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EDB6190F-02A1-4880-94D8-FA964B648EE6}" xr6:coauthVersionLast="47" xr6:coauthVersionMax="47" xr10:uidLastSave="{00000000-0000-0000-0000-000000000000}"/>
  <bookViews>
    <workbookView xWindow="-120" yWindow="-120" windowWidth="29040" windowHeight="15720" tabRatio="605" xr2:uid="{00000000-000D-0000-FFFF-FFFF00000000}"/>
  </bookViews>
  <sheets>
    <sheet name="INDICE" sheetId="53" r:id="rId1"/>
    <sheet name="1.1" sheetId="55" r:id="rId2"/>
    <sheet name="1.2" sheetId="129" r:id="rId3"/>
    <sheet name="1.2.b" sheetId="136" r:id="rId4"/>
    <sheet name="1.3" sheetId="64" r:id="rId5"/>
    <sheet name="1.4" sheetId="65" r:id="rId6"/>
    <sheet name="1.5" sheetId="116" r:id="rId7"/>
    <sheet name="1.6" sheetId="106" r:id="rId8"/>
    <sheet name="1.7" sheetId="126" r:id="rId9"/>
    <sheet name="2.1" sheetId="14" r:id="rId10"/>
    <sheet name="2.2" sheetId="41" r:id="rId11"/>
    <sheet name="2.2.a" sheetId="115" r:id="rId12"/>
    <sheet name="2.2.b" sheetId="122" r:id="rId13"/>
    <sheet name="2.2.c" sheetId="123" r:id="rId14"/>
    <sheet name="2.2.d" sheetId="124" r:id="rId15"/>
    <sheet name="2.2.e" sheetId="125" r:id="rId16"/>
    <sheet name="2.3" sheetId="134" r:id="rId17"/>
    <sheet name="2.4" sheetId="135" r:id="rId18"/>
    <sheet name="2.5" sheetId="141" r:id="rId19"/>
    <sheet name="2.6" sheetId="95" r:id="rId20"/>
    <sheet name="2.7" sheetId="105" r:id="rId21"/>
    <sheet name="3.1" sheetId="30" r:id="rId22"/>
    <sheet name="3.2" sheetId="68" r:id="rId23"/>
    <sheet name="3.3" sheetId="100" r:id="rId24"/>
    <sheet name="3.4" sheetId="20" r:id="rId25"/>
    <sheet name="3.5" sheetId="128" r:id="rId26"/>
    <sheet name="3.6" sheetId="24" r:id="rId27"/>
    <sheet name="3.7" sheetId="114" r:id="rId28"/>
    <sheet name="3.8" sheetId="78" r:id="rId29"/>
    <sheet name="3.9" sheetId="91" r:id="rId30"/>
    <sheet name="3.10" sheetId="117" r:id="rId31"/>
    <sheet name="3.11" sheetId="119" r:id="rId32"/>
    <sheet name="4.1" sheetId="49" r:id="rId33"/>
    <sheet name="4.2" sheetId="45" r:id="rId34"/>
    <sheet name="4.3" sheetId="3" r:id="rId35"/>
    <sheet name="4.4" sheetId="1" r:id="rId36"/>
    <sheet name="4.5" sheetId="76" r:id="rId37"/>
    <sheet name="4.6" sheetId="132" r:id="rId38"/>
    <sheet name="4.7" sheetId="137" r:id="rId39"/>
    <sheet name="5.1" sheetId="17" r:id="rId40"/>
    <sheet name="5.2" sheetId="127" r:id="rId41"/>
    <sheet name="5.3" sheetId="4" r:id="rId42"/>
    <sheet name="6.1" sheetId="38" r:id="rId43"/>
    <sheet name="6.2" sheetId="51" r:id="rId44"/>
    <sheet name="6.2.b" sheetId="121" r:id="rId45"/>
    <sheet name="6.3" sheetId="90" r:id="rId46"/>
    <sheet name="6.4" sheetId="70" r:id="rId47"/>
    <sheet name="7.1" sheetId="11" r:id="rId48"/>
    <sheet name="7.2" sheetId="56" r:id="rId49"/>
    <sheet name="7.3" sheetId="89" r:id="rId50"/>
    <sheet name="7.4" sheetId="88" r:id="rId51"/>
    <sheet name="8.1" sheetId="108" r:id="rId52"/>
    <sheet name="8.2" sheetId="130" r:id="rId53"/>
    <sheet name="8.3" sheetId="112" r:id="rId54"/>
    <sheet name="8.4" sheetId="111" r:id="rId55"/>
    <sheet name="8.5" sheetId="59" r:id="rId56"/>
    <sheet name="8.6" sheetId="27" r:id="rId57"/>
    <sheet name="8.7" sheetId="107" r:id="rId58"/>
    <sheet name="8.8" sheetId="69" r:id="rId59"/>
    <sheet name="8.9" sheetId="71" r:id="rId60"/>
    <sheet name="8.10" sheetId="62" r:id="rId61"/>
    <sheet name="8.11" sheetId="142" r:id="rId62"/>
    <sheet name="9.1" sheetId="52" r:id="rId63"/>
    <sheet name="9.2" sheetId="84" r:id="rId64"/>
    <sheet name="9.3" sheetId="46" r:id="rId65"/>
  </sheets>
  <definedNames>
    <definedName name="adfsd" localSheetId="25">#REF!</definedName>
    <definedName name="adfsd" localSheetId="37">#REF!</definedName>
    <definedName name="adfsd">#REF!</definedName>
    <definedName name="adsf" localSheetId="25">#REF!</definedName>
    <definedName name="adsf" localSheetId="37">#REF!</definedName>
    <definedName name="adsf">#REF!</definedName>
    <definedName name="AJESTA" localSheetId="6">#REF!</definedName>
    <definedName name="AJESTA" localSheetId="7">#REF!</definedName>
    <definedName name="AJESTA" localSheetId="14">#REF!</definedName>
    <definedName name="AJESTA" localSheetId="15">#REF!</definedName>
    <definedName name="AJESTA" localSheetId="30">#REF!</definedName>
    <definedName name="AJESTA" localSheetId="23">#REF!</definedName>
    <definedName name="AJESTA" localSheetId="37">#REF!</definedName>
    <definedName name="AJESTA" localSheetId="51">#REF!</definedName>
    <definedName name="AJESTA" localSheetId="61">#REF!</definedName>
    <definedName name="AJESTA" localSheetId="57">#REF!</definedName>
    <definedName name="AJESTA">#REF!</definedName>
    <definedName name="ALFA" localSheetId="6">#REF!</definedName>
    <definedName name="ALFA" localSheetId="7">#REF!</definedName>
    <definedName name="ALFA" localSheetId="14">#REF!</definedName>
    <definedName name="ALFA" localSheetId="15">#REF!</definedName>
    <definedName name="ALFA" localSheetId="30">#REF!</definedName>
    <definedName name="ALFA" localSheetId="23">#REF!</definedName>
    <definedName name="ALFA" localSheetId="37">#REF!</definedName>
    <definedName name="ALFA" localSheetId="51">#REF!</definedName>
    <definedName name="ALFA" localSheetId="61">#REF!</definedName>
    <definedName name="ALFA" localSheetId="57">#REF!</definedName>
    <definedName name="ALFA">#REF!</definedName>
    <definedName name="_xlnm.Print_Area" localSheetId="58">'8.8'!$A$1:$K$157</definedName>
    <definedName name="_xlnm.Print_Area" localSheetId="59">'8.9'!$A$1:$F$361</definedName>
    <definedName name="CEMENTO" localSheetId="6">#REF!</definedName>
    <definedName name="CEMENTO" localSheetId="7">#REF!</definedName>
    <definedName name="CEMENTO" localSheetId="13">#REF!</definedName>
    <definedName name="CEMENTO" localSheetId="14">#REF!</definedName>
    <definedName name="CEMENTO" localSheetId="15">#REF!</definedName>
    <definedName name="CEMENTO" localSheetId="30">#REF!</definedName>
    <definedName name="CEMENTO" localSheetId="23">#REF!</definedName>
    <definedName name="CEMENTO" localSheetId="37">#REF!</definedName>
    <definedName name="CEMENTO" localSheetId="51">#REF!</definedName>
    <definedName name="CEMENTO" localSheetId="61">#REF!</definedName>
    <definedName name="CEMENTO" localSheetId="57">#REF!</definedName>
    <definedName name="CEMENTO">#REF!</definedName>
    <definedName name="CICESP" localSheetId="6">#REF!</definedName>
    <definedName name="CICESP" localSheetId="7">#REF!</definedName>
    <definedName name="CICESP" localSheetId="14">#REF!</definedName>
    <definedName name="CICESP" localSheetId="15">#REF!</definedName>
    <definedName name="CICESP" localSheetId="30">#REF!</definedName>
    <definedName name="CICESP" localSheetId="23">#REF!</definedName>
    <definedName name="CICESP" localSheetId="37">#REF!</definedName>
    <definedName name="CICESP" localSheetId="51">#REF!</definedName>
    <definedName name="CICESP" localSheetId="61">#REF!</definedName>
    <definedName name="CICESP" localSheetId="57">#REF!</definedName>
    <definedName name="CICESP">#REF!</definedName>
    <definedName name="CO" localSheetId="6">#REF!</definedName>
    <definedName name="CO" localSheetId="7">#REF!</definedName>
    <definedName name="CO" localSheetId="13">#REF!</definedName>
    <definedName name="CO" localSheetId="14">#REF!</definedName>
    <definedName name="CO" localSheetId="15">#REF!</definedName>
    <definedName name="CO" localSheetId="30">#REF!</definedName>
    <definedName name="CO" localSheetId="23">#REF!</definedName>
    <definedName name="CO" localSheetId="25">#REF!</definedName>
    <definedName name="CO" localSheetId="37">#REF!</definedName>
    <definedName name="CO" localSheetId="51">#REF!</definedName>
    <definedName name="CO" localSheetId="61">#REF!</definedName>
    <definedName name="CO" localSheetId="57">#REF!</definedName>
    <definedName name="CO">#REF!</definedName>
    <definedName name="COMB" localSheetId="6">#REF!</definedName>
    <definedName name="COMB" localSheetId="7">#REF!</definedName>
    <definedName name="COMB" localSheetId="14">#REF!</definedName>
    <definedName name="COMB" localSheetId="15">#REF!</definedName>
    <definedName name="COMB" localSheetId="30">#REF!</definedName>
    <definedName name="COMB" localSheetId="23">#REF!</definedName>
    <definedName name="COMB" localSheetId="37">#REF!</definedName>
    <definedName name="COMB" localSheetId="51">#REF!</definedName>
    <definedName name="COMB" localSheetId="61">#REF!</definedName>
    <definedName name="COMB" localSheetId="57">#REF!</definedName>
    <definedName name="COMB">#REF!</definedName>
    <definedName name="CONSTRUC" localSheetId="6">#REF!</definedName>
    <definedName name="CONSTRUC" localSheetId="7">#REF!</definedName>
    <definedName name="CONSTRUC" localSheetId="14">#REF!</definedName>
    <definedName name="CONSTRUC" localSheetId="15">#REF!</definedName>
    <definedName name="CONSTRUC" localSheetId="30">#REF!</definedName>
    <definedName name="CONSTRUC" localSheetId="23">#REF!</definedName>
    <definedName name="CONSTRUC" localSheetId="37">#REF!</definedName>
    <definedName name="CONSTRUC" localSheetId="51">#REF!</definedName>
    <definedName name="CONSTRUC" localSheetId="61">#REF!</definedName>
    <definedName name="CONSTRUC" localSheetId="57">#REF!</definedName>
    <definedName name="CONSTRUC">#REF!</definedName>
    <definedName name="DIFTA" localSheetId="6">#REF!</definedName>
    <definedName name="DIFTA" localSheetId="7">#REF!</definedName>
    <definedName name="DIFTA" localSheetId="14">#REF!</definedName>
    <definedName name="DIFTA" localSheetId="15">#REF!</definedName>
    <definedName name="DIFTA" localSheetId="30">#REF!</definedName>
    <definedName name="DIFTA" localSheetId="23">#REF!</definedName>
    <definedName name="DIFTA" localSheetId="37">#REF!</definedName>
    <definedName name="DIFTA" localSheetId="51">#REF!</definedName>
    <definedName name="DIFTA" localSheetId="61">#REF!</definedName>
    <definedName name="DIFTA" localSheetId="57">#REF!</definedName>
    <definedName name="DIFTA">#REF!</definedName>
    <definedName name="EEI" localSheetId="6">#REF!</definedName>
    <definedName name="EEI" localSheetId="7">#REF!</definedName>
    <definedName name="EEI" localSheetId="14">#REF!</definedName>
    <definedName name="EEI" localSheetId="15">#REF!</definedName>
    <definedName name="EEI" localSheetId="30">#REF!</definedName>
    <definedName name="EEI" localSheetId="23">#REF!</definedName>
    <definedName name="EEI" localSheetId="37">#REF!</definedName>
    <definedName name="EEI" localSheetId="51">#REF!</definedName>
    <definedName name="EEI" localSheetId="61">#REF!</definedName>
    <definedName name="EEI" localSheetId="57">#REF!</definedName>
    <definedName name="EEI">#REF!</definedName>
    <definedName name="EMPLEO" localSheetId="6">#REF!</definedName>
    <definedName name="EMPLEO" localSheetId="7">#REF!</definedName>
    <definedName name="EMPLEO" localSheetId="14">#REF!</definedName>
    <definedName name="EMPLEO" localSheetId="15">#REF!</definedName>
    <definedName name="EMPLEO" localSheetId="30">#REF!</definedName>
    <definedName name="EMPLEO" localSheetId="23">#REF!</definedName>
    <definedName name="EMPLEO" localSheetId="37">#REF!</definedName>
    <definedName name="EMPLEO" localSheetId="51">#REF!</definedName>
    <definedName name="EMPLEO" localSheetId="61">#REF!</definedName>
    <definedName name="EMPLEO" localSheetId="57">#REF!</definedName>
    <definedName name="EMPLEO">#REF!</definedName>
    <definedName name="EPH" localSheetId="6">#REF!</definedName>
    <definedName name="EPH" localSheetId="7">#REF!</definedName>
    <definedName name="EPH" localSheetId="14">#REF!</definedName>
    <definedName name="EPH" localSheetId="15">#REF!</definedName>
    <definedName name="EPH" localSheetId="30">#REF!</definedName>
    <definedName name="EPH" localSheetId="23">#REF!</definedName>
    <definedName name="EPH" localSheetId="37">#REF!</definedName>
    <definedName name="EPH" localSheetId="51">#REF!</definedName>
    <definedName name="EPH" localSheetId="61">#REF!</definedName>
    <definedName name="EPH" localSheetId="57">#REF!</definedName>
    <definedName name="EPH">#REF!</definedName>
    <definedName name="EPH_POB" localSheetId="6">#REF!</definedName>
    <definedName name="EPH_POB" localSheetId="7">#REF!</definedName>
    <definedName name="EPH_POB" localSheetId="14">#REF!</definedName>
    <definedName name="EPH_POB" localSheetId="15">#REF!</definedName>
    <definedName name="EPH_POB" localSheetId="30">#REF!</definedName>
    <definedName name="EPH_POB" localSheetId="23">#REF!</definedName>
    <definedName name="EPH_POB" localSheetId="37">#REF!</definedName>
    <definedName name="EPH_POB" localSheetId="51">#REF!</definedName>
    <definedName name="EPH_POB" localSheetId="61">#REF!</definedName>
    <definedName name="EPH_POB" localSheetId="57">#REF!</definedName>
    <definedName name="EPH_POB">#REF!</definedName>
    <definedName name="FAE_BOVINOS" localSheetId="6">#REF!</definedName>
    <definedName name="FAE_BOVINOS" localSheetId="7">#REF!</definedName>
    <definedName name="FAE_BOVINOS" localSheetId="14">#REF!</definedName>
    <definedName name="FAE_BOVINOS" localSheetId="15">#REF!</definedName>
    <definedName name="FAE_BOVINOS" localSheetId="30">#REF!</definedName>
    <definedName name="FAE_BOVINOS" localSheetId="23">#REF!</definedName>
    <definedName name="FAE_BOVINOS" localSheetId="37">#REF!</definedName>
    <definedName name="FAE_BOVINOS" localSheetId="51">#REF!</definedName>
    <definedName name="FAE_BOVINOS" localSheetId="61">#REF!</definedName>
    <definedName name="FAE_BOVINOS" localSheetId="57">#REF!</definedName>
    <definedName name="FAE_BOVINOS">#REF!</definedName>
    <definedName name="GAS" localSheetId="6">#REF!</definedName>
    <definedName name="GAS" localSheetId="7">#REF!</definedName>
    <definedName name="GAS" localSheetId="14">#REF!</definedName>
    <definedName name="GAS" localSheetId="15">#REF!</definedName>
    <definedName name="GAS" localSheetId="30">#REF!</definedName>
    <definedName name="GAS" localSheetId="23">#REF!</definedName>
    <definedName name="GAS" localSheetId="37">#REF!</definedName>
    <definedName name="GAS" localSheetId="51">#REF!</definedName>
    <definedName name="GAS" localSheetId="61">#REF!</definedName>
    <definedName name="GAS" localSheetId="57">#REF!</definedName>
    <definedName name="GAS">#REF!</definedName>
    <definedName name="ICC_FM" localSheetId="6">#REF!</definedName>
    <definedName name="ICC_FM" localSheetId="7">#REF!</definedName>
    <definedName name="ICC_FM" localSheetId="14">#REF!</definedName>
    <definedName name="ICC_FM" localSheetId="15">#REF!</definedName>
    <definedName name="ICC_FM" localSheetId="30">#REF!</definedName>
    <definedName name="ICC_FM" localSheetId="23">#REF!</definedName>
    <definedName name="ICC_FM" localSheetId="37">#REF!</definedName>
    <definedName name="ICC_FM" localSheetId="51">#REF!</definedName>
    <definedName name="ICC_FM" localSheetId="61">#REF!</definedName>
    <definedName name="ICC_FM" localSheetId="57">#REF!</definedName>
    <definedName name="ICC_FM">#REF!</definedName>
    <definedName name="IDL_UTDT" localSheetId="6">#REF!</definedName>
    <definedName name="IDL_UTDT" localSheetId="7">#REF!</definedName>
    <definedName name="IDL_UTDT" localSheetId="14">#REF!</definedName>
    <definedName name="IDL_UTDT" localSheetId="15">#REF!</definedName>
    <definedName name="IDL_UTDT" localSheetId="30">#REF!</definedName>
    <definedName name="IDL_UTDT" localSheetId="23">#REF!</definedName>
    <definedName name="IDL_UTDT" localSheetId="37">#REF!</definedName>
    <definedName name="IDL_UTDT" localSheetId="51">#REF!</definedName>
    <definedName name="IDL_UTDT" localSheetId="61">#REF!</definedName>
    <definedName name="IDL_UTDT" localSheetId="57">#REF!</definedName>
    <definedName name="IDL_UTDT">#REF!</definedName>
    <definedName name="IND_ACEITERA" localSheetId="6">#REF!</definedName>
    <definedName name="IND_ACEITERA" localSheetId="7">#REF!</definedName>
    <definedName name="IND_ACEITERA" localSheetId="14">#REF!</definedName>
    <definedName name="IND_ACEITERA" localSheetId="15">#REF!</definedName>
    <definedName name="IND_ACEITERA" localSheetId="30">#REF!</definedName>
    <definedName name="IND_ACEITERA" localSheetId="23">#REF!</definedName>
    <definedName name="IND_ACEITERA" localSheetId="37">#REF!</definedName>
    <definedName name="IND_ACEITERA" localSheetId="51">#REF!</definedName>
    <definedName name="IND_ACEITERA" localSheetId="61">#REF!</definedName>
    <definedName name="IND_ACEITERA" localSheetId="57">#REF!</definedName>
    <definedName name="IND_ACEITERA">#REF!</definedName>
    <definedName name="IPC_GBA" localSheetId="6">#REF!</definedName>
    <definedName name="IPC_GBA" localSheetId="7">#REF!</definedName>
    <definedName name="IPC_GBA" localSheetId="14">#REF!</definedName>
    <definedName name="IPC_GBA" localSheetId="15">#REF!</definedName>
    <definedName name="IPC_GBA" localSheetId="30">#REF!</definedName>
    <definedName name="IPC_GBA" localSheetId="23">#REF!</definedName>
    <definedName name="IPC_GBA" localSheetId="37">#REF!</definedName>
    <definedName name="IPC_GBA" localSheetId="51">#REF!</definedName>
    <definedName name="IPC_GBA" localSheetId="61">#REF!</definedName>
    <definedName name="IPC_GBA" localSheetId="57">#REF!</definedName>
    <definedName name="IPC_GBA">#REF!</definedName>
    <definedName name="IPC_NAC" localSheetId="6">#REF!</definedName>
    <definedName name="IPC_NAC" localSheetId="7">#REF!</definedName>
    <definedName name="IPC_NAC" localSheetId="14">#REF!</definedName>
    <definedName name="IPC_NAC" localSheetId="15">#REF!</definedName>
    <definedName name="IPC_NAC" localSheetId="30">#REF!</definedName>
    <definedName name="IPC_NAC" localSheetId="23">#REF!</definedName>
    <definedName name="IPC_NAC" localSheetId="37">#REF!</definedName>
    <definedName name="IPC_NAC" localSheetId="51">#REF!</definedName>
    <definedName name="IPC_NAC" localSheetId="61">#REF!</definedName>
    <definedName name="IPC_NAC" localSheetId="57">#REF!</definedName>
    <definedName name="IPC_NAC">#REF!</definedName>
    <definedName name="IPC_SFE" localSheetId="6">#REF!</definedName>
    <definedName name="IPC_SFE" localSheetId="7">#REF!</definedName>
    <definedName name="IPC_SFE" localSheetId="14">#REF!</definedName>
    <definedName name="IPC_SFE" localSheetId="15">#REF!</definedName>
    <definedName name="IPC_SFE" localSheetId="30">#REF!</definedName>
    <definedName name="IPC_SFE" localSheetId="23">#REF!</definedName>
    <definedName name="IPC_SFE" localSheetId="37">#REF!</definedName>
    <definedName name="IPC_SFE" localSheetId="51">#REF!</definedName>
    <definedName name="IPC_SFE" localSheetId="61">#REF!</definedName>
    <definedName name="IPC_SFE" localSheetId="57">#REF!</definedName>
    <definedName name="IPC_SFE">#REF!</definedName>
    <definedName name="IPM" localSheetId="6">#REF!</definedName>
    <definedName name="IPM" localSheetId="7">#REF!</definedName>
    <definedName name="IPM" localSheetId="14">#REF!</definedName>
    <definedName name="IPM" localSheetId="15">#REF!</definedName>
    <definedName name="IPM" localSheetId="30">#REF!</definedName>
    <definedName name="IPM" localSheetId="23">#REF!</definedName>
    <definedName name="IPM" localSheetId="37">#REF!</definedName>
    <definedName name="IPM" localSheetId="51">#REF!</definedName>
    <definedName name="IPM" localSheetId="61">#REF!</definedName>
    <definedName name="IPM" localSheetId="57">#REF!</definedName>
    <definedName name="IPM">#REF!</definedName>
    <definedName name="IPMPE" localSheetId="6">#REF!</definedName>
    <definedName name="IPMPE" localSheetId="7">#REF!</definedName>
    <definedName name="IPMPE" localSheetId="14">#REF!</definedName>
    <definedName name="IPMPE" localSheetId="15">#REF!</definedName>
    <definedName name="IPMPE" localSheetId="30">#REF!</definedName>
    <definedName name="IPMPE" localSheetId="23">#REF!</definedName>
    <definedName name="IPMPE" localSheetId="37">#REF!</definedName>
    <definedName name="IPMPE" localSheetId="51">#REF!</definedName>
    <definedName name="IPMPE" localSheetId="61">#REF!</definedName>
    <definedName name="IPMPE" localSheetId="57">#REF!</definedName>
    <definedName name="IPMPE">#REF!</definedName>
    <definedName name="IRR" localSheetId="6">#REF!</definedName>
    <definedName name="IRR" localSheetId="7">#REF!</definedName>
    <definedName name="IRR" localSheetId="14">#REF!</definedName>
    <definedName name="IRR" localSheetId="15">#REF!</definedName>
    <definedName name="IRR" localSheetId="30">#REF!</definedName>
    <definedName name="IRR" localSheetId="23">#REF!</definedName>
    <definedName name="IRR" localSheetId="37">#REF!</definedName>
    <definedName name="IRR" localSheetId="51">#REF!</definedName>
    <definedName name="IRR" localSheetId="61">#REF!</definedName>
    <definedName name="IRR" localSheetId="57">#REF!</definedName>
    <definedName name="IRR">#REF!</definedName>
    <definedName name="LACTEA" localSheetId="6">#REF!</definedName>
    <definedName name="LACTEA" localSheetId="7">#REF!</definedName>
    <definedName name="LACTEA" localSheetId="14">#REF!</definedName>
    <definedName name="LACTEA" localSheetId="15">#REF!</definedName>
    <definedName name="LACTEA" localSheetId="30">#REF!</definedName>
    <definedName name="LACTEA" localSheetId="23">#REF!</definedName>
    <definedName name="LACTEA" localSheetId="37">#REF!</definedName>
    <definedName name="LACTEA" localSheetId="51">#REF!</definedName>
    <definedName name="LACTEA" localSheetId="61">#REF!</definedName>
    <definedName name="LACTEA" localSheetId="57">#REF!</definedName>
    <definedName name="LACTEA">#REF!</definedName>
    <definedName name="MAQ_AGR" localSheetId="6">#REF!</definedName>
    <definedName name="MAQ_AGR" localSheetId="7">#REF!</definedName>
    <definedName name="MAQ_AGR" localSheetId="14">#REF!</definedName>
    <definedName name="MAQ_AGR" localSheetId="15">#REF!</definedName>
    <definedName name="MAQ_AGR" localSheetId="30">#REF!</definedName>
    <definedName name="MAQ_AGR" localSheetId="23">#REF!</definedName>
    <definedName name="MAQ_AGR" localSheetId="37">#REF!</definedName>
    <definedName name="MAQ_AGR" localSheetId="51">#REF!</definedName>
    <definedName name="MAQ_AGR" localSheetId="61">#REF!</definedName>
    <definedName name="MAQ_AGR" localSheetId="57">#REF!</definedName>
    <definedName name="MAQ_AGR">#REF!</definedName>
    <definedName name="NA" localSheetId="6">#REF!</definedName>
    <definedName name="NA" localSheetId="7">#REF!</definedName>
    <definedName name="NA" localSheetId="14">#REF!</definedName>
    <definedName name="NA" localSheetId="15">#REF!</definedName>
    <definedName name="NA" localSheetId="30">#REF!</definedName>
    <definedName name="NA" localSheetId="23">#REF!</definedName>
    <definedName name="NA" localSheetId="25">#REF!</definedName>
    <definedName name="NA" localSheetId="32">#REF!</definedName>
    <definedName name="NA" localSheetId="37">#REF!</definedName>
    <definedName name="NA" localSheetId="47">'7.1'!$A$4</definedName>
    <definedName name="NA" localSheetId="48">'7.2'!$A$4</definedName>
    <definedName name="NA" localSheetId="49">'7.3'!$A$4</definedName>
    <definedName name="NA" localSheetId="50">'7.4'!$A$4</definedName>
    <definedName name="NA" localSheetId="51">#REF!</definedName>
    <definedName name="NA" localSheetId="61">#REF!</definedName>
    <definedName name="NA" localSheetId="57">#REF!</definedName>
    <definedName name="NA">#REF!</definedName>
    <definedName name="OLE_LINK1" localSheetId="4">'1.3'!#REF!</definedName>
    <definedName name="OLE_LINK2" localSheetId="4">'1.3'!$D$214</definedName>
    <definedName name="PATENTES" localSheetId="6">#REF!</definedName>
    <definedName name="PATENTES" localSheetId="7">#REF!</definedName>
    <definedName name="PATENTES" localSheetId="14">#REF!</definedName>
    <definedName name="PATENTES" localSheetId="15">#REF!</definedName>
    <definedName name="PATENTES" localSheetId="30">#REF!</definedName>
    <definedName name="PATENTES" localSheetId="23">#REF!</definedName>
    <definedName name="PATENTES" localSheetId="25">#REF!</definedName>
    <definedName name="PATENTES" localSheetId="37">#REF!</definedName>
    <definedName name="PATENTES" localSheetId="51">#REF!</definedName>
    <definedName name="PATENTES" localSheetId="61">#REF!</definedName>
    <definedName name="PATENTES" localSheetId="57">#REF!</definedName>
    <definedName name="PATENTES">#REF!</definedName>
    <definedName name="PBG" localSheetId="6">#REF!</definedName>
    <definedName name="PBG" localSheetId="7">#REF!</definedName>
    <definedName name="PBG" localSheetId="14">#REF!</definedName>
    <definedName name="PBG" localSheetId="15">#REF!</definedName>
    <definedName name="PBG" localSheetId="30">#REF!</definedName>
    <definedName name="PBG" localSheetId="23">#REF!</definedName>
    <definedName name="PBG" localSheetId="25">#REF!</definedName>
    <definedName name="PBG" localSheetId="37">#REF!</definedName>
    <definedName name="PBG" localSheetId="51">#REF!</definedName>
    <definedName name="PBG" localSheetId="61">#REF!</definedName>
    <definedName name="PBG" localSheetId="57">#REF!</definedName>
    <definedName name="PBG">#REF!</definedName>
    <definedName name="PGCLAS" localSheetId="6">#REF!</definedName>
    <definedName name="PGCLAS" localSheetId="7">#REF!</definedName>
    <definedName name="PGCLAS" localSheetId="14">#REF!</definedName>
    <definedName name="PGCLAS" localSheetId="15">#REF!</definedName>
    <definedName name="PGCLAS" localSheetId="30">#REF!</definedName>
    <definedName name="PGCLAS" localSheetId="23">#REF!</definedName>
    <definedName name="PGCLAS" localSheetId="37">#REF!</definedName>
    <definedName name="PGCLAS" localSheetId="51">#REF!</definedName>
    <definedName name="PGCLAS" localSheetId="61">#REF!</definedName>
    <definedName name="PGCLAS" localSheetId="57">#REF!</definedName>
    <definedName name="PGCLAS">#REF!</definedName>
    <definedName name="PGCREC" localSheetId="6">#REF!</definedName>
    <definedName name="PGCREC" localSheetId="7">#REF!</definedName>
    <definedName name="PGCREC" localSheetId="14">#REF!</definedName>
    <definedName name="PGCREC" localSheetId="15">#REF!</definedName>
    <definedName name="PGCREC" localSheetId="30">#REF!</definedName>
    <definedName name="PGCREC" localSheetId="23">#REF!</definedName>
    <definedName name="PGCREC" localSheetId="37">#REF!</definedName>
    <definedName name="PGCREC" localSheetId="51">#REF!</definedName>
    <definedName name="PGCREC" localSheetId="61">#REF!</definedName>
    <definedName name="PGCREC" localSheetId="57">#REF!</definedName>
    <definedName name="PGCREC">#REF!</definedName>
    <definedName name="REC" localSheetId="6">#REF!</definedName>
    <definedName name="REC" localSheetId="7">#REF!</definedName>
    <definedName name="REC" localSheetId="14">#REF!</definedName>
    <definedName name="REC" localSheetId="15">#REF!</definedName>
    <definedName name="REC" localSheetId="30">#REF!</definedName>
    <definedName name="REC" localSheetId="23">#REF!</definedName>
    <definedName name="REC" localSheetId="37">#REF!</definedName>
    <definedName name="REC" localSheetId="51">#REF!</definedName>
    <definedName name="REC" localSheetId="61">#REF!</definedName>
    <definedName name="REC" localSheetId="57">#REF!</definedName>
    <definedName name="REC">#REF!</definedName>
    <definedName name="sct" localSheetId="6">#REF!</definedName>
    <definedName name="sct" localSheetId="7">#REF!</definedName>
    <definedName name="sct" localSheetId="14">#REF!</definedName>
    <definedName name="sct" localSheetId="15">#REF!</definedName>
    <definedName name="sct" localSheetId="30">#REF!</definedName>
    <definedName name="sct" localSheetId="23">#REF!</definedName>
    <definedName name="sct" localSheetId="37">#REF!</definedName>
    <definedName name="sct" localSheetId="51">#REF!</definedName>
    <definedName name="sct" localSheetId="61">#REF!</definedName>
    <definedName name="sct" localSheetId="57">#REF!</definedName>
    <definedName name="sct">#REF!</definedName>
    <definedName name="T" localSheetId="6">#REF!</definedName>
    <definedName name="T" localSheetId="7">#REF!</definedName>
    <definedName name="T" localSheetId="13">#REF!</definedName>
    <definedName name="T" localSheetId="14">#REF!</definedName>
    <definedName name="T" localSheetId="15">#REF!</definedName>
    <definedName name="T" localSheetId="30">#REF!</definedName>
    <definedName name="T" localSheetId="23">#REF!</definedName>
    <definedName name="T" localSheetId="25">#REF!</definedName>
    <definedName name="T" localSheetId="37">#REF!</definedName>
    <definedName name="T" localSheetId="51">#REF!</definedName>
    <definedName name="T" localSheetId="61">#REF!</definedName>
    <definedName name="T" localSheetId="57">#REF!</definedName>
    <definedName name="T">#REF!</definedName>
    <definedName name="Trigo" localSheetId="6">#REF!</definedName>
    <definedName name="Trigo" localSheetId="7">#REF!</definedName>
    <definedName name="Trigo" localSheetId="14">#REF!</definedName>
    <definedName name="Trigo" localSheetId="15">#REF!</definedName>
    <definedName name="Trigo" localSheetId="30">#REF!</definedName>
    <definedName name="Trigo" localSheetId="23">#REF!</definedName>
    <definedName name="Trigo" localSheetId="32">#REF!</definedName>
    <definedName name="Trigo" localSheetId="37">#REF!</definedName>
    <definedName name="Trigo" localSheetId="51">#REF!</definedName>
    <definedName name="Trigo" localSheetId="61">#REF!</definedName>
    <definedName name="Trigo" localSheetId="57">#REF!</definedName>
    <definedName name="Trigo">#REF!</definedName>
    <definedName name="VARCRI" localSheetId="6">#REF!</definedName>
    <definedName name="VARCRI" localSheetId="7">#REF!</definedName>
    <definedName name="VARCRI" localSheetId="14">#REF!</definedName>
    <definedName name="VARCRI" localSheetId="15">#REF!</definedName>
    <definedName name="VARCRI" localSheetId="30">#REF!</definedName>
    <definedName name="VARCRI" localSheetId="23">#REF!</definedName>
    <definedName name="VARCRI" localSheetId="37">#REF!</definedName>
    <definedName name="VARCRI" localSheetId="51">#REF!</definedName>
    <definedName name="VARCRI" localSheetId="61">#REF!</definedName>
    <definedName name="VARCRI" localSheetId="57">#REF!</definedName>
    <definedName name="VARCRI">#REF!</definedName>
    <definedName name="VARTA" localSheetId="6">#REF!</definedName>
    <definedName name="VARTA" localSheetId="7">#REF!</definedName>
    <definedName name="VARTA" localSheetId="14">#REF!</definedName>
    <definedName name="VARTA" localSheetId="15">#REF!</definedName>
    <definedName name="VARTA" localSheetId="30">#REF!</definedName>
    <definedName name="VARTA" localSheetId="23">#REF!</definedName>
    <definedName name="VARTA" localSheetId="37">#REF!</definedName>
    <definedName name="VARTA" localSheetId="51">#REF!</definedName>
    <definedName name="VARTA" localSheetId="61">#REF!</definedName>
    <definedName name="VARTA" localSheetId="57">#REF!</definedName>
    <definedName name="VARTA">#REF!</definedName>
    <definedName name="VENTAS" localSheetId="6">#REF!</definedName>
    <definedName name="VENTAS" localSheetId="7">#REF!</definedName>
    <definedName name="VENTAS" localSheetId="14">#REF!</definedName>
    <definedName name="VENTAS" localSheetId="15">#REF!</definedName>
    <definedName name="VENTAS" localSheetId="30">#REF!</definedName>
    <definedName name="VENTAS" localSheetId="23">#REF!</definedName>
    <definedName name="VENTAS" localSheetId="25">#REF!</definedName>
    <definedName name="VENTAS" localSheetId="37">#REF!</definedName>
    <definedName name="VENTAS" localSheetId="51">#REF!</definedName>
    <definedName name="VENTAS" localSheetId="61">#REF!</definedName>
    <definedName name="VENTAS" localSheetId="57">#REF!</definedName>
    <definedName name="VENTAS">#REF!</definedName>
    <definedName name="XCER" localSheetId="6">#REF!</definedName>
    <definedName name="XCER" localSheetId="7">#REF!</definedName>
    <definedName name="XCER" localSheetId="14">#REF!</definedName>
    <definedName name="XCER" localSheetId="15">#REF!</definedName>
    <definedName name="XCER" localSheetId="30">#REF!</definedName>
    <definedName name="XCER" localSheetId="23">#REF!</definedName>
    <definedName name="XCER" localSheetId="25">#REF!</definedName>
    <definedName name="XCER" localSheetId="37">#REF!</definedName>
    <definedName name="XCER" localSheetId="51">#REF!</definedName>
    <definedName name="XCER" localSheetId="61">#REF!</definedName>
    <definedName name="XCER" localSheetId="57">#REF!</definedName>
    <definedName name="XC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5" i="20" l="1"/>
  <c r="O421" i="128" l="1"/>
  <c r="E9" i="64" l="1"/>
  <c r="E144" i="64" s="1"/>
  <c r="E382" i="100" l="1"/>
  <c r="C14" i="136" l="1"/>
  <c r="D395" i="132"/>
  <c r="D393" i="132"/>
  <c r="B393" i="132"/>
  <c r="B395" i="132"/>
  <c r="B397" i="132" s="1"/>
  <c r="C395" i="132"/>
  <c r="B103" i="114"/>
  <c r="C103" i="114"/>
  <c r="B104" i="114"/>
  <c r="C104" i="114" s="1"/>
  <c r="B105" i="114"/>
  <c r="C105" i="114" s="1"/>
  <c r="B106" i="114"/>
  <c r="C106" i="114"/>
  <c r="B107" i="114"/>
  <c r="C107" i="114"/>
  <c r="B108" i="114"/>
  <c r="C108" i="114"/>
  <c r="B109" i="114"/>
  <c r="C109" i="114"/>
  <c r="E146" i="49"/>
  <c r="B146" i="49"/>
  <c r="D148" i="49"/>
  <c r="G148" i="49"/>
  <c r="G81" i="53"/>
  <c r="A58" i="142"/>
  <c r="A70" i="142" s="1"/>
  <c r="A82" i="142" s="1"/>
  <c r="A94" i="142" s="1"/>
  <c r="A106" i="142" s="1"/>
  <c r="A118" i="142" s="1"/>
  <c r="A130" i="142" s="1"/>
  <c r="A142" i="142" s="1"/>
  <c r="A154" i="142" s="1"/>
  <c r="A166" i="142" s="1"/>
  <c r="A178" i="142" s="1"/>
  <c r="A190" i="142" s="1"/>
  <c r="A202" i="142" s="1"/>
  <c r="A214" i="142" s="1"/>
  <c r="A226" i="142" s="1"/>
  <c r="A238" i="142" s="1"/>
  <c r="A250" i="142" s="1"/>
  <c r="A262" i="142" s="1"/>
  <c r="A274" i="142" s="1"/>
  <c r="A286" i="142" s="1"/>
  <c r="A298" i="142" s="1"/>
  <c r="A310" i="142" s="1"/>
  <c r="A322" i="142" s="1"/>
  <c r="A334" i="142" s="1"/>
  <c r="A346" i="142" s="1"/>
  <c r="A358" i="142" s="1"/>
  <c r="A370" i="142" s="1"/>
  <c r="A382" i="142" s="1"/>
  <c r="A394" i="142" s="1"/>
  <c r="A406" i="142" s="1"/>
  <c r="A418" i="142" s="1"/>
  <c r="A430" i="142" s="1"/>
  <c r="A442" i="142" s="1"/>
  <c r="A454" i="142" s="1"/>
  <c r="A44" i="142"/>
  <c r="A56" i="142" s="1"/>
  <c r="A68" i="142" s="1"/>
  <c r="A80" i="142" s="1"/>
  <c r="A92" i="142" s="1"/>
  <c r="A104" i="142" s="1"/>
  <c r="A116" i="142" s="1"/>
  <c r="A128" i="142" s="1"/>
  <c r="A140" i="142" s="1"/>
  <c r="A152" i="142" s="1"/>
  <c r="A164" i="142" s="1"/>
  <c r="A176" i="142" s="1"/>
  <c r="A188" i="142" s="1"/>
  <c r="A200" i="142" s="1"/>
  <c r="A212" i="142" s="1"/>
  <c r="A224" i="142" s="1"/>
  <c r="A236" i="142" s="1"/>
  <c r="A248" i="142" s="1"/>
  <c r="A260" i="142" s="1"/>
  <c r="A272" i="142" s="1"/>
  <c r="A284" i="142" s="1"/>
  <c r="A296" i="142" s="1"/>
  <c r="A308" i="142" s="1"/>
  <c r="A320" i="142" s="1"/>
  <c r="A332" i="142" s="1"/>
  <c r="A344" i="142" s="1"/>
  <c r="A356" i="142" s="1"/>
  <c r="A368" i="142" s="1"/>
  <c r="A380" i="142" s="1"/>
  <c r="A392" i="142" s="1"/>
  <c r="A404" i="142" s="1"/>
  <c r="A416" i="142" s="1"/>
  <c r="A428" i="142" s="1"/>
  <c r="A440" i="142" s="1"/>
  <c r="A452" i="142" s="1"/>
  <c r="A464" i="142" s="1"/>
  <c r="A43" i="142"/>
  <c r="A55" i="142" s="1"/>
  <c r="A67" i="142" s="1"/>
  <c r="A79" i="142" s="1"/>
  <c r="A91" i="142" s="1"/>
  <c r="A103" i="142" s="1"/>
  <c r="A115" i="142" s="1"/>
  <c r="A127" i="142" s="1"/>
  <c r="A139" i="142" s="1"/>
  <c r="A151" i="142" s="1"/>
  <c r="A163" i="142" s="1"/>
  <c r="A175" i="142" s="1"/>
  <c r="A187" i="142" s="1"/>
  <c r="A199" i="142" s="1"/>
  <c r="A211" i="142" s="1"/>
  <c r="A223" i="142" s="1"/>
  <c r="A235" i="142" s="1"/>
  <c r="A247" i="142" s="1"/>
  <c r="A259" i="142" s="1"/>
  <c r="A271" i="142" s="1"/>
  <c r="A283" i="142" s="1"/>
  <c r="A295" i="142" s="1"/>
  <c r="A307" i="142" s="1"/>
  <c r="A319" i="142" s="1"/>
  <c r="A331" i="142" s="1"/>
  <c r="A343" i="142" s="1"/>
  <c r="A355" i="142" s="1"/>
  <c r="A367" i="142" s="1"/>
  <c r="A379" i="142" s="1"/>
  <c r="A391" i="142" s="1"/>
  <c r="A403" i="142" s="1"/>
  <c r="A415" i="142" s="1"/>
  <c r="A427" i="142" s="1"/>
  <c r="A439" i="142" s="1"/>
  <c r="A451" i="142" s="1"/>
  <c r="A463" i="142" s="1"/>
  <c r="A42" i="142"/>
  <c r="A54" i="142" s="1"/>
  <c r="A66" i="142" s="1"/>
  <c r="A78" i="142" s="1"/>
  <c r="A90" i="142" s="1"/>
  <c r="A102" i="142" s="1"/>
  <c r="A114" i="142" s="1"/>
  <c r="A126" i="142" s="1"/>
  <c r="A138" i="142" s="1"/>
  <c r="A150" i="142" s="1"/>
  <c r="A162" i="142" s="1"/>
  <c r="A174" i="142" s="1"/>
  <c r="A186" i="142" s="1"/>
  <c r="A198" i="142" s="1"/>
  <c r="A210" i="142" s="1"/>
  <c r="A222" i="142" s="1"/>
  <c r="A234" i="142" s="1"/>
  <c r="A246" i="142" s="1"/>
  <c r="A258" i="142" s="1"/>
  <c r="A270" i="142" s="1"/>
  <c r="A282" i="142" s="1"/>
  <c r="A294" i="142" s="1"/>
  <c r="A306" i="142" s="1"/>
  <c r="A318" i="142" s="1"/>
  <c r="A330" i="142" s="1"/>
  <c r="A342" i="142" s="1"/>
  <c r="A354" i="142" s="1"/>
  <c r="A366" i="142" s="1"/>
  <c r="A378" i="142" s="1"/>
  <c r="A390" i="142" s="1"/>
  <c r="A402" i="142" s="1"/>
  <c r="A414" i="142" s="1"/>
  <c r="A426" i="142" s="1"/>
  <c r="A438" i="142" s="1"/>
  <c r="A450" i="142" s="1"/>
  <c r="A462" i="142" s="1"/>
  <c r="A41" i="142"/>
  <c r="A53" i="142" s="1"/>
  <c r="A65" i="142" s="1"/>
  <c r="A77" i="142" s="1"/>
  <c r="A89" i="142" s="1"/>
  <c r="A101" i="142" s="1"/>
  <c r="A113" i="142" s="1"/>
  <c r="A125" i="142" s="1"/>
  <c r="A137" i="142" s="1"/>
  <c r="A149" i="142" s="1"/>
  <c r="A161" i="142" s="1"/>
  <c r="A173" i="142" s="1"/>
  <c r="A185" i="142" s="1"/>
  <c r="A197" i="142" s="1"/>
  <c r="A209" i="142" s="1"/>
  <c r="A221" i="142" s="1"/>
  <c r="A233" i="142" s="1"/>
  <c r="A245" i="142" s="1"/>
  <c r="A257" i="142" s="1"/>
  <c r="A269" i="142" s="1"/>
  <c r="A281" i="142" s="1"/>
  <c r="A293" i="142" s="1"/>
  <c r="A305" i="142" s="1"/>
  <c r="A317" i="142" s="1"/>
  <c r="A329" i="142" s="1"/>
  <c r="A341" i="142" s="1"/>
  <c r="A353" i="142" s="1"/>
  <c r="A365" i="142" s="1"/>
  <c r="A377" i="142" s="1"/>
  <c r="A389" i="142" s="1"/>
  <c r="A401" i="142" s="1"/>
  <c r="A413" i="142" s="1"/>
  <c r="A425" i="142" s="1"/>
  <c r="A437" i="142" s="1"/>
  <c r="A449" i="142" s="1"/>
  <c r="A461" i="142" s="1"/>
  <c r="A36" i="142"/>
  <c r="A48" i="142" s="1"/>
  <c r="A60" i="142" s="1"/>
  <c r="A72" i="142" s="1"/>
  <c r="A84" i="142" s="1"/>
  <c r="A96" i="142" s="1"/>
  <c r="A108" i="142" s="1"/>
  <c r="A120" i="142" s="1"/>
  <c r="A132" i="142" s="1"/>
  <c r="A144" i="142" s="1"/>
  <c r="A156" i="142" s="1"/>
  <c r="A168" i="142" s="1"/>
  <c r="A180" i="142" s="1"/>
  <c r="A192" i="142" s="1"/>
  <c r="A204" i="142" s="1"/>
  <c r="A216" i="142" s="1"/>
  <c r="A228" i="142" s="1"/>
  <c r="A240" i="142" s="1"/>
  <c r="A252" i="142" s="1"/>
  <c r="A264" i="142" s="1"/>
  <c r="A276" i="142" s="1"/>
  <c r="A288" i="142" s="1"/>
  <c r="A300" i="142" s="1"/>
  <c r="A312" i="142" s="1"/>
  <c r="A324" i="142" s="1"/>
  <c r="A336" i="142" s="1"/>
  <c r="A348" i="142" s="1"/>
  <c r="A360" i="142" s="1"/>
  <c r="A372" i="142" s="1"/>
  <c r="A384" i="142" s="1"/>
  <c r="A396" i="142" s="1"/>
  <c r="A408" i="142" s="1"/>
  <c r="A420" i="142" s="1"/>
  <c r="A432" i="142" s="1"/>
  <c r="A444" i="142" s="1"/>
  <c r="A456" i="142" s="1"/>
  <c r="A35" i="142"/>
  <c r="A47" i="142" s="1"/>
  <c r="A59" i="142" s="1"/>
  <c r="A71" i="142" s="1"/>
  <c r="A83" i="142" s="1"/>
  <c r="A95" i="142" s="1"/>
  <c r="A107" i="142" s="1"/>
  <c r="A119" i="142" s="1"/>
  <c r="A131" i="142" s="1"/>
  <c r="A143" i="142" s="1"/>
  <c r="A155" i="142" s="1"/>
  <c r="A167" i="142" s="1"/>
  <c r="A179" i="142" s="1"/>
  <c r="A191" i="142" s="1"/>
  <c r="A203" i="142" s="1"/>
  <c r="A215" i="142" s="1"/>
  <c r="A227" i="142" s="1"/>
  <c r="A239" i="142" s="1"/>
  <c r="A251" i="142" s="1"/>
  <c r="A263" i="142" s="1"/>
  <c r="A275" i="142" s="1"/>
  <c r="A287" i="142" s="1"/>
  <c r="A299" i="142" s="1"/>
  <c r="A311" i="142" s="1"/>
  <c r="A323" i="142" s="1"/>
  <c r="A335" i="142" s="1"/>
  <c r="A347" i="142" s="1"/>
  <c r="A359" i="142" s="1"/>
  <c r="A371" i="142" s="1"/>
  <c r="A383" i="142" s="1"/>
  <c r="A395" i="142" s="1"/>
  <c r="A407" i="142" s="1"/>
  <c r="A419" i="142" s="1"/>
  <c r="A431" i="142" s="1"/>
  <c r="A443" i="142" s="1"/>
  <c r="A455" i="142" s="1"/>
  <c r="A34" i="142"/>
  <c r="A46" i="142" s="1"/>
  <c r="A33" i="142"/>
  <c r="A45" i="142" s="1"/>
  <c r="A57" i="142" s="1"/>
  <c r="A69" i="142" s="1"/>
  <c r="A81" i="142" s="1"/>
  <c r="A93" i="142" s="1"/>
  <c r="A105" i="142" s="1"/>
  <c r="A117" i="142" s="1"/>
  <c r="A129" i="142" s="1"/>
  <c r="A141" i="142" s="1"/>
  <c r="A153" i="142" s="1"/>
  <c r="A165" i="142" s="1"/>
  <c r="A177" i="142" s="1"/>
  <c r="A189" i="142" s="1"/>
  <c r="A201" i="142" s="1"/>
  <c r="A213" i="142" s="1"/>
  <c r="A225" i="142" s="1"/>
  <c r="A237" i="142" s="1"/>
  <c r="A249" i="142" s="1"/>
  <c r="A261" i="142" s="1"/>
  <c r="A273" i="142" s="1"/>
  <c r="A285" i="142" s="1"/>
  <c r="A297" i="142" s="1"/>
  <c r="A309" i="142" s="1"/>
  <c r="A321" i="142" s="1"/>
  <c r="A333" i="142" s="1"/>
  <c r="A345" i="142" s="1"/>
  <c r="A357" i="142" s="1"/>
  <c r="A369" i="142" s="1"/>
  <c r="A381" i="142" s="1"/>
  <c r="A393" i="142" s="1"/>
  <c r="A405" i="142" s="1"/>
  <c r="A417" i="142" s="1"/>
  <c r="A429" i="142" s="1"/>
  <c r="A441" i="142" s="1"/>
  <c r="A453" i="142" s="1"/>
  <c r="A465" i="142" s="1"/>
  <c r="A32" i="142"/>
  <c r="A31" i="142"/>
  <c r="A30" i="142"/>
  <c r="A29" i="142"/>
  <c r="A28" i="142"/>
  <c r="A40" i="142" s="1"/>
  <c r="A52" i="142" s="1"/>
  <c r="A64" i="142" s="1"/>
  <c r="A76" i="142" s="1"/>
  <c r="A88" i="142" s="1"/>
  <c r="A100" i="142" s="1"/>
  <c r="A112" i="142" s="1"/>
  <c r="A124" i="142" s="1"/>
  <c r="A136" i="142" s="1"/>
  <c r="A148" i="142" s="1"/>
  <c r="A160" i="142" s="1"/>
  <c r="A172" i="142" s="1"/>
  <c r="A184" i="142" s="1"/>
  <c r="A196" i="142" s="1"/>
  <c r="A208" i="142" s="1"/>
  <c r="A220" i="142" s="1"/>
  <c r="A232" i="142" s="1"/>
  <c r="A244" i="142" s="1"/>
  <c r="A256" i="142" s="1"/>
  <c r="A268" i="142" s="1"/>
  <c r="A280" i="142" s="1"/>
  <c r="A292" i="142" s="1"/>
  <c r="A304" i="142" s="1"/>
  <c r="A316" i="142" s="1"/>
  <c r="A328" i="142" s="1"/>
  <c r="A340" i="142" s="1"/>
  <c r="A352" i="142" s="1"/>
  <c r="A364" i="142" s="1"/>
  <c r="A376" i="142" s="1"/>
  <c r="A388" i="142" s="1"/>
  <c r="A400" i="142" s="1"/>
  <c r="A412" i="142" s="1"/>
  <c r="A424" i="142" s="1"/>
  <c r="A436" i="142" s="1"/>
  <c r="A448" i="142" s="1"/>
  <c r="A460" i="142" s="1"/>
  <c r="A27" i="142"/>
  <c r="A39" i="142" s="1"/>
  <c r="A51" i="142" s="1"/>
  <c r="A63" i="142" s="1"/>
  <c r="A75" i="142" s="1"/>
  <c r="A87" i="142" s="1"/>
  <c r="A99" i="142" s="1"/>
  <c r="A111" i="142" s="1"/>
  <c r="A123" i="142" s="1"/>
  <c r="A135" i="142" s="1"/>
  <c r="A147" i="142" s="1"/>
  <c r="A159" i="142" s="1"/>
  <c r="A171" i="142" s="1"/>
  <c r="A183" i="142" s="1"/>
  <c r="A195" i="142" s="1"/>
  <c r="A207" i="142" s="1"/>
  <c r="A219" i="142" s="1"/>
  <c r="A231" i="142" s="1"/>
  <c r="A243" i="142" s="1"/>
  <c r="A255" i="142" s="1"/>
  <c r="A267" i="142" s="1"/>
  <c r="A279" i="142" s="1"/>
  <c r="A291" i="142" s="1"/>
  <c r="A303" i="142" s="1"/>
  <c r="A315" i="142" s="1"/>
  <c r="A327" i="142" s="1"/>
  <c r="A339" i="142" s="1"/>
  <c r="A351" i="142" s="1"/>
  <c r="A363" i="142" s="1"/>
  <c r="A375" i="142" s="1"/>
  <c r="A387" i="142" s="1"/>
  <c r="A399" i="142" s="1"/>
  <c r="A411" i="142" s="1"/>
  <c r="A423" i="142" s="1"/>
  <c r="A435" i="142" s="1"/>
  <c r="A447" i="142" s="1"/>
  <c r="A459" i="142" s="1"/>
  <c r="A26" i="142"/>
  <c r="A38" i="142" s="1"/>
  <c r="A50" i="142" s="1"/>
  <c r="A62" i="142" s="1"/>
  <c r="A74" i="142" s="1"/>
  <c r="A86" i="142" s="1"/>
  <c r="A98" i="142" s="1"/>
  <c r="A110" i="142" s="1"/>
  <c r="A122" i="142" s="1"/>
  <c r="A134" i="142" s="1"/>
  <c r="A146" i="142" s="1"/>
  <c r="A158" i="142" s="1"/>
  <c r="A170" i="142" s="1"/>
  <c r="A182" i="142" s="1"/>
  <c r="A194" i="142" s="1"/>
  <c r="A206" i="142" s="1"/>
  <c r="A218" i="142" s="1"/>
  <c r="A230" i="142" s="1"/>
  <c r="A242" i="142" s="1"/>
  <c r="A254" i="142" s="1"/>
  <c r="A266" i="142" s="1"/>
  <c r="A278" i="142" s="1"/>
  <c r="A290" i="142" s="1"/>
  <c r="A302" i="142" s="1"/>
  <c r="A314" i="142" s="1"/>
  <c r="A326" i="142" s="1"/>
  <c r="A338" i="142" s="1"/>
  <c r="A350" i="142" s="1"/>
  <c r="A362" i="142" s="1"/>
  <c r="A374" i="142" s="1"/>
  <c r="A386" i="142" s="1"/>
  <c r="A398" i="142" s="1"/>
  <c r="A410" i="142" s="1"/>
  <c r="A422" i="142" s="1"/>
  <c r="A434" i="142" s="1"/>
  <c r="A446" i="142" s="1"/>
  <c r="A458" i="142" s="1"/>
  <c r="A25" i="142"/>
  <c r="A37" i="142" s="1"/>
  <c r="A49" i="142" s="1"/>
  <c r="A61" i="142" s="1"/>
  <c r="A73" i="142" s="1"/>
  <c r="A85" i="142" s="1"/>
  <c r="A97" i="142" s="1"/>
  <c r="A109" i="142" s="1"/>
  <c r="A121" i="142" s="1"/>
  <c r="A133" i="142" s="1"/>
  <c r="A145" i="142" s="1"/>
  <c r="A157" i="142" s="1"/>
  <c r="A169" i="142" s="1"/>
  <c r="A181" i="142" s="1"/>
  <c r="A193" i="142" s="1"/>
  <c r="A205" i="142" s="1"/>
  <c r="A217" i="142" s="1"/>
  <c r="A229" i="142" s="1"/>
  <c r="A241" i="142" s="1"/>
  <c r="A253" i="142" s="1"/>
  <c r="A265" i="142" s="1"/>
  <c r="A277" i="142" s="1"/>
  <c r="A289" i="142" s="1"/>
  <c r="A301" i="142" s="1"/>
  <c r="A313" i="142" s="1"/>
  <c r="A325" i="142" s="1"/>
  <c r="A337" i="142" s="1"/>
  <c r="A349" i="142" s="1"/>
  <c r="A361" i="142" s="1"/>
  <c r="A373" i="142" s="1"/>
  <c r="A385" i="142" s="1"/>
  <c r="A397" i="142" s="1"/>
  <c r="A409" i="142" s="1"/>
  <c r="A421" i="142" s="1"/>
  <c r="A433" i="142" s="1"/>
  <c r="A445" i="142" s="1"/>
  <c r="A457" i="142" s="1"/>
  <c r="A24" i="142"/>
  <c r="A23" i="142"/>
  <c r="A22" i="142"/>
  <c r="L409" i="108" l="1"/>
  <c r="O420" i="128" l="1"/>
  <c r="O417" i="128"/>
  <c r="O416" i="128"/>
  <c r="G40" i="53"/>
  <c r="O419" i="128"/>
  <c r="O418" i="128"/>
  <c r="O415" i="128"/>
  <c r="O414" i="128"/>
  <c r="O413" i="128"/>
  <c r="O412" i="128"/>
  <c r="O411" i="128"/>
  <c r="O410" i="128"/>
  <c r="O409" i="128"/>
  <c r="O408" i="128"/>
  <c r="O407" i="128"/>
  <c r="O406" i="128"/>
  <c r="O405" i="128"/>
  <c r="O404" i="128"/>
  <c r="O403" i="128"/>
  <c r="O402" i="128"/>
  <c r="O401" i="128"/>
  <c r="O400" i="128"/>
  <c r="O399" i="128"/>
  <c r="O398" i="128"/>
  <c r="O397" i="128"/>
  <c r="O396" i="128"/>
  <c r="O395" i="128"/>
  <c r="O394" i="128"/>
  <c r="O393" i="128"/>
  <c r="O392" i="128"/>
  <c r="O391" i="128"/>
  <c r="O390" i="128"/>
  <c r="O389" i="128"/>
  <c r="O388" i="128"/>
  <c r="O387" i="128"/>
  <c r="O386" i="128"/>
  <c r="O385" i="128"/>
  <c r="O384" i="128"/>
  <c r="O383" i="128"/>
  <c r="O382" i="128"/>
  <c r="O381" i="128"/>
  <c r="O380" i="128"/>
  <c r="O379" i="128"/>
  <c r="O378" i="128"/>
  <c r="O377" i="128"/>
  <c r="O376" i="128"/>
  <c r="O375" i="128"/>
  <c r="O374" i="128"/>
  <c r="O373" i="128"/>
  <c r="O372" i="128"/>
  <c r="O371" i="128"/>
  <c r="O370" i="128"/>
  <c r="O369" i="128"/>
  <c r="O368" i="128"/>
  <c r="O367" i="128"/>
  <c r="O366" i="128"/>
  <c r="O365" i="128"/>
  <c r="O364" i="128"/>
  <c r="O363" i="128"/>
  <c r="O362" i="128"/>
  <c r="O361" i="128"/>
  <c r="O360" i="128"/>
  <c r="O359" i="128"/>
  <c r="O358" i="128"/>
  <c r="O357" i="128"/>
  <c r="O356" i="128"/>
  <c r="O355" i="128"/>
  <c r="O354" i="128"/>
  <c r="O353" i="128"/>
  <c r="O352" i="128"/>
  <c r="O351" i="128"/>
  <c r="O350" i="128"/>
  <c r="O349" i="128"/>
  <c r="O348" i="128"/>
  <c r="O347" i="128"/>
  <c r="O346" i="128"/>
  <c r="O345" i="128"/>
  <c r="O344" i="128"/>
  <c r="O343" i="128"/>
  <c r="O342" i="128"/>
  <c r="O341" i="128"/>
  <c r="O340" i="128"/>
  <c r="O339" i="128"/>
  <c r="O338" i="128"/>
  <c r="O337" i="128"/>
  <c r="O336" i="128"/>
  <c r="O335" i="128"/>
  <c r="O334" i="128"/>
  <c r="O333" i="128"/>
  <c r="O332" i="128"/>
  <c r="O331" i="128"/>
  <c r="O330" i="128"/>
  <c r="O329" i="128"/>
  <c r="O328" i="128"/>
  <c r="O327" i="128"/>
  <c r="O326" i="128"/>
  <c r="O325" i="128"/>
  <c r="O324" i="128"/>
  <c r="O323" i="128"/>
  <c r="O322" i="128"/>
  <c r="O321" i="128"/>
  <c r="O320" i="128"/>
  <c r="O319" i="128"/>
  <c r="O318" i="128"/>
  <c r="O317" i="128"/>
  <c r="O316" i="128"/>
  <c r="O315" i="128"/>
  <c r="O314" i="128"/>
  <c r="O313" i="128"/>
  <c r="O312" i="128"/>
  <c r="O311" i="128"/>
  <c r="O310" i="128"/>
  <c r="O309" i="128"/>
  <c r="O308" i="128"/>
  <c r="O307" i="128"/>
  <c r="O306" i="128"/>
  <c r="O305" i="128"/>
  <c r="O304" i="128"/>
  <c r="O303" i="128"/>
  <c r="O302" i="128"/>
  <c r="O301" i="128"/>
  <c r="O300" i="128"/>
  <c r="O299" i="128"/>
  <c r="O298" i="128"/>
  <c r="O297" i="128"/>
  <c r="O296" i="128"/>
  <c r="O295" i="128"/>
  <c r="O294" i="128"/>
  <c r="O293" i="128"/>
  <c r="O292" i="128"/>
  <c r="O291" i="128"/>
  <c r="O290" i="128"/>
  <c r="O289" i="128"/>
  <c r="O288" i="128"/>
  <c r="O287" i="128"/>
  <c r="O286" i="128"/>
  <c r="O285" i="128"/>
  <c r="O284" i="128"/>
  <c r="O283" i="128"/>
  <c r="O282" i="128"/>
  <c r="O281" i="128"/>
  <c r="O280" i="128"/>
  <c r="O279" i="128"/>
  <c r="O278" i="128"/>
  <c r="O277" i="128"/>
  <c r="O276" i="128"/>
  <c r="O275" i="128"/>
  <c r="O274" i="128"/>
  <c r="O273" i="128"/>
  <c r="O272" i="128"/>
  <c r="O271" i="128"/>
  <c r="O270" i="128"/>
  <c r="O269" i="128"/>
  <c r="O268" i="128"/>
  <c r="O267" i="128"/>
  <c r="O266" i="128"/>
  <c r="O265" i="128"/>
  <c r="O264" i="128"/>
  <c r="O263" i="128"/>
  <c r="O262" i="128"/>
  <c r="O261" i="128"/>
  <c r="O260" i="128"/>
  <c r="O259" i="128"/>
  <c r="O258" i="128"/>
  <c r="O257" i="128"/>
  <c r="O256" i="128"/>
  <c r="O255" i="128"/>
  <c r="O254" i="128"/>
  <c r="O253" i="128"/>
  <c r="O252" i="128"/>
  <c r="O251" i="128"/>
  <c r="O250" i="128"/>
  <c r="O249" i="128"/>
  <c r="O248" i="128"/>
  <c r="O247" i="128"/>
  <c r="O246" i="128"/>
  <c r="O245" i="128"/>
  <c r="O244" i="128"/>
  <c r="O243" i="128"/>
  <c r="O242" i="128"/>
  <c r="O241" i="128"/>
  <c r="O240" i="128"/>
  <c r="O239" i="128"/>
  <c r="O238" i="128"/>
  <c r="O237" i="128"/>
  <c r="O236" i="128"/>
  <c r="O235" i="128"/>
  <c r="O234" i="128"/>
  <c r="O233" i="128"/>
  <c r="O232" i="128"/>
  <c r="O231" i="128"/>
  <c r="O230" i="128"/>
  <c r="O229" i="128"/>
  <c r="O228" i="128"/>
  <c r="O227" i="128"/>
  <c r="O226" i="128"/>
  <c r="O225" i="128"/>
  <c r="O224" i="128"/>
  <c r="O223" i="128"/>
  <c r="O222" i="128"/>
  <c r="O221" i="128"/>
  <c r="O220" i="128"/>
  <c r="O219" i="128"/>
  <c r="O218" i="128"/>
  <c r="O217" i="128"/>
  <c r="O216" i="128"/>
  <c r="O215" i="128"/>
  <c r="O214" i="128"/>
  <c r="O213" i="128"/>
  <c r="O212" i="128"/>
  <c r="O211" i="128"/>
  <c r="O210" i="128"/>
  <c r="O209" i="128"/>
  <c r="O208" i="128"/>
  <c r="O207" i="128"/>
  <c r="O206" i="128"/>
  <c r="O205" i="128"/>
  <c r="O204" i="128"/>
  <c r="O203" i="128"/>
  <c r="O202" i="128"/>
  <c r="O201" i="128"/>
  <c r="O200" i="128"/>
  <c r="O199" i="128"/>
  <c r="O198" i="128"/>
  <c r="O197" i="128"/>
  <c r="O196" i="128"/>
  <c r="O195" i="128"/>
  <c r="O194" i="128"/>
  <c r="O193" i="128"/>
  <c r="O192" i="128"/>
  <c r="O191" i="128"/>
  <c r="O190" i="128"/>
  <c r="O189" i="128"/>
  <c r="O188" i="128"/>
  <c r="O187" i="128"/>
  <c r="O186" i="128"/>
  <c r="O185" i="128"/>
  <c r="O184" i="128"/>
  <c r="O183" i="128"/>
  <c r="O182" i="128"/>
  <c r="O181" i="128"/>
  <c r="O180" i="128"/>
  <c r="O179" i="128"/>
  <c r="O178" i="128"/>
  <c r="O177" i="128"/>
  <c r="O176" i="128"/>
  <c r="O175" i="128"/>
  <c r="O174" i="128"/>
  <c r="O173" i="128"/>
  <c r="O172" i="128"/>
  <c r="O171" i="128"/>
  <c r="O170" i="128"/>
  <c r="O169" i="128"/>
  <c r="O168" i="128"/>
  <c r="O167" i="128"/>
  <c r="O166" i="128"/>
  <c r="O165" i="128"/>
  <c r="O164" i="128"/>
  <c r="O163" i="128"/>
  <c r="O162" i="128"/>
  <c r="O161" i="128"/>
  <c r="O160" i="128"/>
  <c r="O159" i="128"/>
  <c r="O158" i="128"/>
  <c r="O157" i="128"/>
  <c r="O156" i="128"/>
  <c r="O155" i="128"/>
  <c r="O154" i="128"/>
  <c r="O153" i="128"/>
  <c r="O152" i="128"/>
  <c r="O151" i="128"/>
  <c r="O150" i="128"/>
  <c r="O149" i="128"/>
  <c r="O148" i="128"/>
  <c r="O147" i="128"/>
  <c r="O146" i="128"/>
  <c r="O145" i="128"/>
  <c r="O144" i="128"/>
  <c r="O143" i="128"/>
  <c r="O142" i="128"/>
  <c r="O141" i="128"/>
  <c r="O140" i="128"/>
  <c r="O139" i="128"/>
  <c r="O138" i="128"/>
  <c r="O137" i="128"/>
  <c r="O136" i="128"/>
  <c r="O135" i="128"/>
  <c r="O134" i="128"/>
  <c r="O133" i="128"/>
  <c r="O132" i="128"/>
  <c r="O131" i="128"/>
  <c r="O130" i="128"/>
  <c r="O129" i="128"/>
  <c r="O128" i="128"/>
  <c r="O127" i="128"/>
  <c r="O126" i="128"/>
  <c r="O125" i="128"/>
  <c r="O124" i="128"/>
  <c r="O123" i="128"/>
  <c r="O122" i="128"/>
  <c r="O121" i="128"/>
  <c r="O120" i="128"/>
  <c r="O119" i="128"/>
  <c r="O118" i="128"/>
  <c r="O117" i="128"/>
  <c r="O116" i="128"/>
  <c r="O115" i="128"/>
  <c r="O114" i="128"/>
  <c r="O113" i="128"/>
  <c r="O112" i="128"/>
  <c r="O111" i="128"/>
  <c r="O110" i="128"/>
  <c r="O109" i="128"/>
  <c r="O108" i="128"/>
  <c r="O107" i="128"/>
  <c r="O106" i="128"/>
  <c r="O105" i="128"/>
  <c r="O104" i="128"/>
  <c r="O103" i="128"/>
  <c r="O102" i="128"/>
  <c r="O101" i="128"/>
  <c r="O100" i="128"/>
  <c r="O99" i="128"/>
  <c r="O98" i="128"/>
  <c r="O97" i="128"/>
  <c r="O96" i="128"/>
  <c r="O95" i="128"/>
  <c r="O94" i="128"/>
  <c r="O93" i="128"/>
  <c r="O92" i="128"/>
  <c r="O91" i="128"/>
  <c r="O90" i="128"/>
  <c r="O89" i="128"/>
  <c r="O88" i="128"/>
  <c r="O87" i="128"/>
  <c r="O86" i="128"/>
  <c r="O85" i="128"/>
  <c r="O84" i="128"/>
  <c r="O83" i="128"/>
  <c r="O82" i="128"/>
  <c r="O81" i="128"/>
  <c r="O80" i="128"/>
  <c r="O79" i="128"/>
  <c r="O78" i="128"/>
  <c r="O77" i="128"/>
  <c r="O76" i="128"/>
  <c r="O75" i="128"/>
  <c r="O74" i="128"/>
  <c r="O73" i="128"/>
  <c r="O72" i="128"/>
  <c r="O71" i="128"/>
  <c r="O70" i="128"/>
  <c r="O69" i="128"/>
  <c r="O68" i="128"/>
  <c r="O67" i="128"/>
  <c r="O66" i="128"/>
  <c r="O65" i="128"/>
  <c r="O64" i="128"/>
  <c r="O63" i="128"/>
  <c r="O62" i="128"/>
  <c r="O61" i="128"/>
  <c r="O60" i="128"/>
  <c r="O59" i="128"/>
  <c r="O58" i="128"/>
  <c r="O57" i="128"/>
  <c r="O56" i="128"/>
  <c r="O55" i="128"/>
  <c r="O54" i="128"/>
  <c r="O53" i="128"/>
  <c r="O52" i="128"/>
  <c r="O51" i="128"/>
  <c r="O50" i="128"/>
  <c r="O49" i="128"/>
  <c r="O48" i="128"/>
  <c r="O47" i="128"/>
  <c r="O46" i="128"/>
  <c r="O45" i="128"/>
  <c r="O44" i="128"/>
  <c r="O43" i="128"/>
  <c r="O42" i="128"/>
  <c r="O41" i="128"/>
  <c r="O40" i="128"/>
  <c r="O39" i="128"/>
  <c r="O38" i="128"/>
  <c r="O37" i="128"/>
  <c r="O36" i="128"/>
  <c r="O35" i="128"/>
  <c r="O34" i="128"/>
  <c r="O33" i="128"/>
  <c r="O32" i="128"/>
  <c r="O31" i="128"/>
  <c r="O30" i="128"/>
  <c r="O29" i="128"/>
  <c r="O28" i="128"/>
  <c r="O27" i="128"/>
  <c r="O26" i="128"/>
  <c r="O25" i="128"/>
  <c r="O24" i="128"/>
  <c r="O23" i="128"/>
  <c r="O22" i="128"/>
  <c r="O21" i="128"/>
  <c r="O20" i="128"/>
  <c r="O19" i="128"/>
  <c r="O18" i="128"/>
  <c r="O17" i="128"/>
  <c r="O16" i="128"/>
  <c r="O15" i="128"/>
  <c r="O14" i="128"/>
  <c r="O13" i="128"/>
  <c r="O12" i="128"/>
  <c r="O11" i="128"/>
  <c r="O10" i="128"/>
  <c r="K382" i="100" l="1"/>
  <c r="H407" i="11" l="1"/>
  <c r="H406" i="11"/>
  <c r="H405" i="11"/>
  <c r="H408" i="11" l="1"/>
  <c r="D10" i="51" l="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97" i="51"/>
  <c r="D198" i="51"/>
  <c r="D199" i="51"/>
  <c r="D200" i="51"/>
  <c r="D201" i="51"/>
  <c r="D202" i="51"/>
  <c r="D203" i="51"/>
  <c r="D204" i="51"/>
  <c r="D205" i="51"/>
  <c r="D206" i="51"/>
  <c r="D207" i="51"/>
  <c r="D208" i="51"/>
  <c r="D209" i="51"/>
  <c r="D210" i="51"/>
  <c r="D211" i="51"/>
  <c r="D212" i="51"/>
  <c r="D213" i="51"/>
  <c r="D214" i="51"/>
  <c r="D215" i="51"/>
  <c r="D216" i="51"/>
  <c r="D217" i="51"/>
  <c r="D218" i="51"/>
  <c r="D219" i="51"/>
  <c r="D220" i="51"/>
  <c r="D221" i="51"/>
  <c r="D222" i="51"/>
  <c r="D223" i="51"/>
  <c r="D224" i="51"/>
  <c r="D225" i="51"/>
  <c r="D226" i="51"/>
  <c r="D227" i="51"/>
  <c r="D228" i="51"/>
  <c r="D229" i="51"/>
  <c r="D230" i="51"/>
  <c r="D231" i="51"/>
  <c r="D232" i="51"/>
  <c r="D233" i="51"/>
  <c r="D234" i="51"/>
  <c r="D235" i="51"/>
  <c r="D236" i="51"/>
  <c r="D237" i="51"/>
  <c r="D238" i="51"/>
  <c r="D239" i="51"/>
  <c r="D240" i="51"/>
  <c r="D241" i="51"/>
  <c r="D242" i="51"/>
  <c r="D243" i="51"/>
  <c r="D244" i="51"/>
  <c r="D245" i="51"/>
  <c r="D246" i="51"/>
  <c r="D247" i="51"/>
  <c r="D248" i="51"/>
  <c r="D249" i="51"/>
  <c r="D250" i="51"/>
  <c r="D251" i="51"/>
  <c r="D252" i="51"/>
  <c r="D253" i="51"/>
  <c r="D254" i="51"/>
  <c r="D255" i="51"/>
  <c r="D256" i="51"/>
  <c r="D257" i="51"/>
  <c r="D258" i="51"/>
  <c r="D259" i="51"/>
  <c r="D260" i="51"/>
  <c r="D261" i="51"/>
  <c r="D262" i="51"/>
  <c r="D263" i="51"/>
  <c r="D264" i="51"/>
  <c r="D265" i="51"/>
  <c r="D266" i="51"/>
  <c r="D267" i="51"/>
  <c r="D268" i="51"/>
  <c r="D269" i="51"/>
  <c r="D270" i="51"/>
  <c r="D271" i="51"/>
  <c r="D272" i="51"/>
  <c r="D273" i="51"/>
  <c r="D274" i="51"/>
  <c r="D275" i="51"/>
  <c r="D276" i="51"/>
  <c r="D277" i="51"/>
  <c r="D278" i="51"/>
  <c r="D279" i="51"/>
  <c r="D280" i="51"/>
  <c r="D281" i="51"/>
  <c r="D282" i="51"/>
  <c r="D283" i="51"/>
  <c r="D284" i="51"/>
  <c r="D285" i="51"/>
  <c r="D286" i="51"/>
  <c r="D287" i="51"/>
  <c r="D288" i="51"/>
  <c r="D289" i="51"/>
  <c r="D290" i="51"/>
  <c r="D291" i="51"/>
  <c r="D292" i="51"/>
  <c r="D293" i="51"/>
  <c r="D294" i="51"/>
  <c r="D295" i="51"/>
  <c r="D296" i="51"/>
  <c r="D297" i="51"/>
  <c r="D298" i="51"/>
  <c r="D299" i="51"/>
  <c r="D300" i="51"/>
  <c r="D301" i="51"/>
  <c r="D302" i="51"/>
  <c r="D303" i="51"/>
  <c r="D304" i="51"/>
  <c r="D305" i="51"/>
  <c r="D306" i="51"/>
  <c r="D307" i="51"/>
  <c r="D308" i="51"/>
  <c r="D309" i="51"/>
  <c r="D310" i="51"/>
  <c r="D311" i="51"/>
  <c r="D312" i="51"/>
  <c r="D313" i="51"/>
  <c r="D314" i="51"/>
  <c r="D315" i="51"/>
  <c r="D316" i="51"/>
  <c r="D317" i="51"/>
  <c r="D318" i="51"/>
  <c r="D319" i="51"/>
  <c r="D320" i="51"/>
  <c r="D321" i="51"/>
  <c r="D322" i="51"/>
  <c r="D323" i="51"/>
  <c r="D324" i="51"/>
  <c r="D325" i="51"/>
  <c r="D326" i="51"/>
  <c r="D327" i="51"/>
  <c r="D328" i="51"/>
  <c r="D329" i="51"/>
  <c r="D330" i="51"/>
  <c r="D331" i="51"/>
  <c r="D332" i="51"/>
  <c r="D333" i="51"/>
  <c r="D334" i="51"/>
  <c r="D335" i="51"/>
  <c r="D336" i="51"/>
  <c r="D337" i="51"/>
  <c r="D338" i="51"/>
  <c r="D339" i="51"/>
  <c r="D340" i="51"/>
  <c r="D341" i="51"/>
  <c r="D342" i="51"/>
  <c r="D343" i="51"/>
  <c r="D344" i="51"/>
  <c r="D345" i="51"/>
  <c r="D346" i="51"/>
  <c r="D347" i="51"/>
  <c r="D348" i="51"/>
  <c r="D349" i="51"/>
  <c r="D350" i="51"/>
  <c r="D351" i="51"/>
  <c r="D352" i="51"/>
  <c r="D353" i="51"/>
  <c r="D354" i="51"/>
  <c r="D355" i="51"/>
  <c r="D356" i="51"/>
  <c r="D357" i="51"/>
  <c r="D358" i="51"/>
  <c r="D359" i="51"/>
  <c r="D360" i="51"/>
  <c r="D361" i="51"/>
  <c r="D362" i="51"/>
  <c r="D363" i="51"/>
  <c r="D364" i="51"/>
  <c r="D365" i="51"/>
  <c r="D366" i="51"/>
  <c r="D367" i="51"/>
  <c r="D368" i="51"/>
  <c r="D369" i="51"/>
  <c r="D370" i="51"/>
  <c r="D371" i="51"/>
  <c r="D372" i="51"/>
  <c r="D373" i="51"/>
  <c r="D374" i="51"/>
  <c r="D375" i="51"/>
  <c r="D376" i="51"/>
  <c r="D377" i="51"/>
  <c r="D378" i="51"/>
  <c r="D379" i="51"/>
  <c r="D380" i="51"/>
  <c r="D381" i="51"/>
  <c r="D382" i="51"/>
  <c r="D383" i="51"/>
  <c r="D384" i="51"/>
  <c r="D385" i="51"/>
  <c r="D386" i="51"/>
  <c r="D387" i="51"/>
  <c r="D388" i="51"/>
  <c r="D389" i="51"/>
  <c r="D390" i="51"/>
  <c r="D391" i="51"/>
  <c r="D392" i="51"/>
  <c r="D393" i="51"/>
  <c r="D394" i="51"/>
  <c r="D395" i="51"/>
  <c r="D396" i="51"/>
  <c r="D397" i="51"/>
  <c r="D398" i="51"/>
  <c r="D399" i="51"/>
  <c r="D400" i="51"/>
  <c r="D401" i="51"/>
  <c r="D402" i="51"/>
  <c r="D403" i="51"/>
  <c r="D404" i="51"/>
  <c r="D405" i="51"/>
  <c r="D406" i="51"/>
  <c r="D407" i="51"/>
  <c r="D408" i="51"/>
  <c r="D409" i="51"/>
  <c r="D410" i="51"/>
  <c r="D411" i="51"/>
  <c r="D412" i="51"/>
  <c r="D413" i="51"/>
  <c r="D414" i="51"/>
  <c r="D415" i="51"/>
  <c r="D416" i="51"/>
  <c r="D417" i="51"/>
  <c r="D418" i="51"/>
  <c r="D419" i="51"/>
  <c r="D420" i="51"/>
  <c r="D421" i="51"/>
  <c r="D422" i="51"/>
  <c r="D423" i="51"/>
  <c r="D424" i="51"/>
  <c r="D425" i="51"/>
  <c r="D426" i="51"/>
  <c r="D427" i="51"/>
  <c r="D428" i="51"/>
  <c r="D429" i="51"/>
  <c r="D430" i="51"/>
  <c r="G32" i="53"/>
  <c r="M59" i="141"/>
  <c r="M92" i="141"/>
  <c r="Y21" i="141"/>
  <c r="Y22" i="141"/>
  <c r="Y23" i="141"/>
  <c r="Y25" i="141"/>
  <c r="Y26" i="141"/>
  <c r="Y27" i="141"/>
  <c r="Y28" i="141"/>
  <c r="Y29" i="141"/>
  <c r="Y30" i="141"/>
  <c r="Y31" i="141"/>
  <c r="Y32" i="141"/>
  <c r="Y33" i="141"/>
  <c r="Y34" i="141"/>
  <c r="Y35" i="141"/>
  <c r="Y36" i="141"/>
  <c r="Y37" i="141"/>
  <c r="Y38" i="141"/>
  <c r="Y39" i="141"/>
  <c r="Y40" i="141"/>
  <c r="Y41" i="141"/>
  <c r="Y42" i="141"/>
  <c r="Y43" i="141"/>
  <c r="Y44" i="141"/>
  <c r="Y45" i="141"/>
  <c r="Y46" i="141"/>
  <c r="Y47" i="141"/>
  <c r="Y48" i="141"/>
  <c r="Y49" i="141"/>
  <c r="Y50" i="141"/>
  <c r="Y51" i="141"/>
  <c r="Y52" i="141"/>
  <c r="Y53" i="141"/>
  <c r="Y54" i="141"/>
  <c r="Y55" i="141"/>
  <c r="Y56" i="141"/>
  <c r="Y59" i="141"/>
  <c r="Y60" i="141"/>
  <c r="Y61" i="141"/>
  <c r="Y62" i="141"/>
  <c r="Y63" i="141"/>
  <c r="Y64" i="141"/>
  <c r="Y65" i="141"/>
  <c r="Y66" i="141"/>
  <c r="Y67" i="141"/>
  <c r="Y68" i="141"/>
  <c r="Y69" i="141"/>
  <c r="Y70" i="141"/>
  <c r="Y71" i="141"/>
  <c r="Y72" i="141"/>
  <c r="Y73" i="141"/>
  <c r="Y74" i="141"/>
  <c r="Y75" i="141"/>
  <c r="Y76" i="141"/>
  <c r="Y77" i="141"/>
  <c r="Y78" i="141"/>
  <c r="Y79" i="141"/>
  <c r="Y80" i="141"/>
  <c r="Y81" i="141"/>
  <c r="Y82" i="141"/>
  <c r="Y83" i="141"/>
  <c r="Y84" i="141"/>
  <c r="Y85" i="141"/>
  <c r="Y86" i="141"/>
  <c r="Y87" i="141"/>
  <c r="Y88" i="141"/>
  <c r="Y89" i="141"/>
  <c r="Y90" i="141"/>
  <c r="Y91" i="141"/>
  <c r="Y92" i="141"/>
  <c r="Y93" i="141"/>
  <c r="Y94" i="141"/>
  <c r="Y95" i="141"/>
  <c r="Y96" i="141"/>
  <c r="Y97" i="141"/>
  <c r="Y98" i="141"/>
  <c r="Y99" i="141"/>
  <c r="Y100" i="141"/>
  <c r="Y101" i="141"/>
  <c r="Y102" i="141"/>
  <c r="Y103" i="141"/>
  <c r="Y104" i="141"/>
  <c r="Y105" i="141"/>
  <c r="Y106" i="141"/>
  <c r="Y107" i="141"/>
  <c r="Y108" i="141"/>
  <c r="Y109" i="141"/>
  <c r="Y110" i="141"/>
  <c r="Y111" i="141"/>
  <c r="Y112" i="141"/>
  <c r="Y113" i="141"/>
  <c r="Y114" i="141"/>
  <c r="Y115" i="141"/>
  <c r="Y116" i="141"/>
  <c r="Y117" i="141"/>
  <c r="Y20" i="141"/>
  <c r="M11" i="141"/>
  <c r="M12" i="141"/>
  <c r="M13" i="141"/>
  <c r="M14" i="141"/>
  <c r="M15" i="141"/>
  <c r="M16" i="141"/>
  <c r="M17" i="141"/>
  <c r="M18" i="141"/>
  <c r="M19" i="141"/>
  <c r="M20" i="141"/>
  <c r="M21" i="141"/>
  <c r="M22" i="141"/>
  <c r="M23" i="141"/>
  <c r="M25" i="141"/>
  <c r="M26" i="141"/>
  <c r="M27" i="141"/>
  <c r="M28" i="141"/>
  <c r="M29" i="141"/>
  <c r="M30" i="141"/>
  <c r="M31" i="141"/>
  <c r="M32" i="141"/>
  <c r="M33" i="141"/>
  <c r="M34" i="141"/>
  <c r="M35" i="141"/>
  <c r="M36" i="141"/>
  <c r="M37" i="141"/>
  <c r="M38" i="141"/>
  <c r="M39" i="141"/>
  <c r="M40" i="141"/>
  <c r="M42" i="141"/>
  <c r="M43" i="141"/>
  <c r="M44" i="141"/>
  <c r="M45" i="141"/>
  <c r="M46" i="141"/>
  <c r="M47" i="141"/>
  <c r="M48" i="141"/>
  <c r="M49" i="141"/>
  <c r="M50" i="141"/>
  <c r="M51" i="141"/>
  <c r="M52" i="141"/>
  <c r="M53" i="141"/>
  <c r="M54" i="141"/>
  <c r="M55" i="141"/>
  <c r="M60" i="141"/>
  <c r="M61" i="141"/>
  <c r="M62" i="141"/>
  <c r="M63" i="141"/>
  <c r="M64" i="141"/>
  <c r="M65" i="141"/>
  <c r="M66" i="141"/>
  <c r="M67" i="141"/>
  <c r="M68" i="141"/>
  <c r="M69" i="141"/>
  <c r="M70" i="141"/>
  <c r="M71" i="141"/>
  <c r="M72" i="141"/>
  <c r="M73" i="141"/>
  <c r="M74" i="141"/>
  <c r="M75" i="141"/>
  <c r="M76" i="141"/>
  <c r="M77" i="141"/>
  <c r="M78" i="141"/>
  <c r="M79" i="141"/>
  <c r="M80" i="141"/>
  <c r="M81" i="141"/>
  <c r="M82" i="141"/>
  <c r="M83" i="141"/>
  <c r="M84" i="141"/>
  <c r="M85" i="141"/>
  <c r="M86" i="141"/>
  <c r="M87" i="141"/>
  <c r="M88" i="141"/>
  <c r="M89" i="141"/>
  <c r="M90" i="141"/>
  <c r="M91" i="141"/>
  <c r="M93" i="141"/>
  <c r="M94" i="141"/>
  <c r="M95" i="141"/>
  <c r="M96" i="141"/>
  <c r="M97" i="141"/>
  <c r="M98" i="141"/>
  <c r="M99" i="141"/>
  <c r="M100" i="141"/>
  <c r="M101" i="141"/>
  <c r="M102" i="141"/>
  <c r="M103" i="141"/>
  <c r="M104" i="141"/>
  <c r="M105" i="141"/>
  <c r="M106" i="141"/>
  <c r="M107" i="141"/>
  <c r="M108" i="141"/>
  <c r="M109" i="141"/>
  <c r="M110" i="141"/>
  <c r="M111" i="141"/>
  <c r="M112" i="141"/>
  <c r="M113" i="141"/>
  <c r="M114" i="141"/>
  <c r="M115" i="141"/>
  <c r="M116" i="141"/>
  <c r="M117" i="141"/>
  <c r="M10" i="141"/>
  <c r="L41" i="141" l="1"/>
  <c r="C41" i="141"/>
  <c r="M41" i="141" l="1"/>
  <c r="I369" i="41" l="1"/>
  <c r="H256" i="14"/>
  <c r="D406" i="89" l="1"/>
  <c r="B406" i="89"/>
  <c r="J218" i="106" l="1"/>
  <c r="L408" i="108"/>
  <c r="G50" i="53"/>
  <c r="X345" i="3"/>
  <c r="X344" i="3"/>
  <c r="X343" i="3"/>
  <c r="X341" i="3"/>
  <c r="V382" i="4" l="1"/>
  <c r="O382" i="4"/>
  <c r="K382" i="4"/>
  <c r="H382" i="4"/>
  <c r="E383" i="100" l="1"/>
  <c r="E384" i="100"/>
  <c r="K383" i="100"/>
  <c r="L407" i="108"/>
  <c r="C359" i="111"/>
  <c r="C344" i="3" l="1"/>
  <c r="H404" i="11" l="1"/>
  <c r="D403" i="89" l="1"/>
  <c r="H403" i="11"/>
  <c r="H402" i="11"/>
  <c r="O378" i="4" l="1"/>
  <c r="J228" i="106" l="1"/>
  <c r="S228" i="106"/>
  <c r="Z228" i="106"/>
  <c r="Y390" i="68" l="1"/>
  <c r="G41" i="53" l="1"/>
  <c r="H400" i="11"/>
  <c r="H401" i="11"/>
  <c r="H399" i="11"/>
  <c r="D119" i="116"/>
  <c r="H387" i="17" l="1"/>
  <c r="H398" i="11"/>
  <c r="I162" i="121"/>
  <c r="I163" i="121"/>
  <c r="C11" i="136" l="1"/>
  <c r="G17" i="53" l="1"/>
  <c r="L400" i="108" l="1"/>
  <c r="D411" i="30" l="1"/>
  <c r="N375" i="24"/>
  <c r="E385" i="64" l="1"/>
  <c r="E386" i="64" l="1"/>
  <c r="E387" i="64"/>
  <c r="X250" i="3" l="1"/>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O372" i="84" l="1"/>
  <c r="O371" i="84"/>
  <c r="K370" i="100"/>
  <c r="H397" i="11" l="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6" i="11"/>
  <c r="H377" i="11"/>
  <c r="H378" i="11"/>
  <c r="H379" i="11"/>
  <c r="H380" i="11"/>
  <c r="H381" i="11"/>
  <c r="H382" i="11"/>
  <c r="H383" i="11"/>
  <c r="H384" i="11"/>
  <c r="H385" i="11"/>
  <c r="H386" i="11"/>
  <c r="H387" i="11"/>
  <c r="H388" i="11"/>
  <c r="H389" i="11"/>
  <c r="H390" i="11"/>
  <c r="H391" i="11"/>
  <c r="H392" i="11"/>
  <c r="H393" i="11"/>
  <c r="H394" i="11"/>
  <c r="H395" i="11"/>
  <c r="H396" i="11"/>
  <c r="H10" i="11"/>
  <c r="L386" i="38" l="1"/>
  <c r="B395" i="89" l="1"/>
  <c r="B396" i="89"/>
  <c r="B397" i="89"/>
  <c r="B398" i="89"/>
  <c r="B399" i="89"/>
  <c r="B400" i="89"/>
  <c r="B401" i="89"/>
  <c r="B402" i="89"/>
  <c r="B403" i="89"/>
  <c r="B404" i="89"/>
  <c r="B405" i="89"/>
  <c r="D394" i="89"/>
  <c r="B394" i="89"/>
  <c r="E73" i="84" l="1"/>
  <c r="C250" i="3" l="1"/>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G84" i="53" l="1"/>
  <c r="P344" i="84"/>
  <c r="O344" i="84"/>
  <c r="N344" i="84"/>
  <c r="M344" i="84"/>
  <c r="L344" i="84"/>
  <c r="K344" i="84"/>
  <c r="J344" i="84"/>
  <c r="I344" i="84"/>
  <c r="H344" i="84"/>
  <c r="G344" i="84"/>
  <c r="F344" i="84"/>
  <c r="E344" i="84"/>
  <c r="P331" i="84"/>
  <c r="O331" i="84"/>
  <c r="N331" i="84"/>
  <c r="M331" i="84"/>
  <c r="Q73" i="84"/>
  <c r="P73" i="84"/>
  <c r="O73" i="84"/>
  <c r="N73" i="84"/>
  <c r="M73" i="84"/>
  <c r="L73" i="84"/>
  <c r="K73" i="84"/>
  <c r="J73" i="84"/>
  <c r="I73" i="84"/>
  <c r="H73" i="84"/>
  <c r="G83" i="53" l="1"/>
  <c r="I74" i="114"/>
  <c r="I75" i="114"/>
  <c r="I76" i="114"/>
  <c r="I77" i="114"/>
  <c r="I78" i="114"/>
  <c r="I79" i="114"/>
  <c r="I80" i="114"/>
  <c r="I81" i="114"/>
  <c r="I82" i="114"/>
  <c r="I83" i="114"/>
  <c r="I84" i="114"/>
  <c r="I85" i="114"/>
  <c r="I86" i="114"/>
  <c r="I87" i="114"/>
  <c r="I88" i="114"/>
  <c r="I89" i="114"/>
  <c r="I90" i="114"/>
  <c r="I91" i="114"/>
  <c r="I92" i="114"/>
  <c r="I93" i="114"/>
  <c r="I94" i="114"/>
  <c r="I95" i="114"/>
  <c r="I96" i="114"/>
  <c r="I97" i="114"/>
  <c r="M111" i="135" l="1"/>
  <c r="L394" i="108"/>
  <c r="G54" i="53"/>
  <c r="A17" i="137"/>
  <c r="A21" i="137" s="1"/>
  <c r="A25" i="137" s="1"/>
  <c r="A29" i="137" s="1"/>
  <c r="A33" i="137" s="1"/>
  <c r="A37" i="137" s="1"/>
  <c r="A41" i="137" s="1"/>
  <c r="A45" i="137" s="1"/>
  <c r="A49" i="137" s="1"/>
  <c r="A53" i="137" s="1"/>
  <c r="A57" i="137" s="1"/>
  <c r="A61" i="137" s="1"/>
  <c r="A65" i="137" s="1"/>
  <c r="A69" i="137" s="1"/>
  <c r="A73" i="137" s="1"/>
  <c r="A77" i="137" s="1"/>
  <c r="A16" i="137"/>
  <c r="A20" i="137" s="1"/>
  <c r="A24" i="137" s="1"/>
  <c r="A28" i="137" s="1"/>
  <c r="A32" i="137" s="1"/>
  <c r="A36" i="137" s="1"/>
  <c r="A40" i="137" s="1"/>
  <c r="A44" i="137" s="1"/>
  <c r="A48" i="137" s="1"/>
  <c r="A52" i="137" s="1"/>
  <c r="A56" i="137" s="1"/>
  <c r="A60" i="137" s="1"/>
  <c r="A64" i="137" s="1"/>
  <c r="A68" i="137" s="1"/>
  <c r="A72" i="137" s="1"/>
  <c r="A76" i="137" s="1"/>
  <c r="A15" i="137"/>
  <c r="A19" i="137" s="1"/>
  <c r="A23" i="137" s="1"/>
  <c r="A27" i="137" s="1"/>
  <c r="A31" i="137" s="1"/>
  <c r="A35" i="137" s="1"/>
  <c r="A39" i="137" s="1"/>
  <c r="A43" i="137" s="1"/>
  <c r="A47" i="137" s="1"/>
  <c r="A51" i="137" s="1"/>
  <c r="A55" i="137" s="1"/>
  <c r="A59" i="137" s="1"/>
  <c r="A63" i="137" s="1"/>
  <c r="A67" i="137" s="1"/>
  <c r="A71" i="137" s="1"/>
  <c r="A75" i="137" s="1"/>
  <c r="A14" i="137"/>
  <c r="A18" i="137" s="1"/>
  <c r="A22" i="137" s="1"/>
  <c r="A26" i="137" s="1"/>
  <c r="A30" i="137" s="1"/>
  <c r="A34" i="137" s="1"/>
  <c r="A38" i="137" s="1"/>
  <c r="A42" i="137" s="1"/>
  <c r="A46" i="137" s="1"/>
  <c r="A50" i="137" s="1"/>
  <c r="A54" i="137" s="1"/>
  <c r="A58" i="137" s="1"/>
  <c r="A62" i="137" s="1"/>
  <c r="A66" i="137" s="1"/>
  <c r="A70" i="137" s="1"/>
  <c r="A74" i="137" s="1"/>
  <c r="A23" i="112"/>
  <c r="A35" i="112" s="1"/>
  <c r="A47" i="112" s="1"/>
  <c r="A59" i="112" s="1"/>
  <c r="A71" i="112" s="1"/>
  <c r="A83" i="112" s="1"/>
  <c r="A95" i="112" s="1"/>
  <c r="A107" i="112" s="1"/>
  <c r="A119" i="112" s="1"/>
  <c r="A131" i="112" s="1"/>
  <c r="A143" i="112" s="1"/>
  <c r="A155" i="112" s="1"/>
  <c r="A167" i="112" s="1"/>
  <c r="A179" i="112" s="1"/>
  <c r="A24" i="112"/>
  <c r="A36" i="112" s="1"/>
  <c r="A48" i="112" s="1"/>
  <c r="A60" i="112" s="1"/>
  <c r="A72" i="112" s="1"/>
  <c r="A84" i="112" s="1"/>
  <c r="A96" i="112" s="1"/>
  <c r="A108" i="112" s="1"/>
  <c r="A120" i="112" s="1"/>
  <c r="A132" i="112" s="1"/>
  <c r="A144" i="112" s="1"/>
  <c r="A156" i="112" s="1"/>
  <c r="A168" i="112" s="1"/>
  <c r="A180" i="112" s="1"/>
  <c r="A25" i="112"/>
  <c r="A37" i="112" s="1"/>
  <c r="A49" i="112" s="1"/>
  <c r="A61" i="112" s="1"/>
  <c r="A73" i="112" s="1"/>
  <c r="A85" i="112" s="1"/>
  <c r="A97" i="112" s="1"/>
  <c r="A109" i="112" s="1"/>
  <c r="A121" i="112" s="1"/>
  <c r="A133" i="112" s="1"/>
  <c r="A145" i="112" s="1"/>
  <c r="A157" i="112" s="1"/>
  <c r="A169" i="112" s="1"/>
  <c r="A181" i="112" s="1"/>
  <c r="A26" i="112"/>
  <c r="A38" i="112" s="1"/>
  <c r="A50" i="112" s="1"/>
  <c r="A62" i="112" s="1"/>
  <c r="A74" i="112" s="1"/>
  <c r="A86" i="112" s="1"/>
  <c r="A98" i="112" s="1"/>
  <c r="A110" i="112" s="1"/>
  <c r="A122" i="112" s="1"/>
  <c r="A134" i="112" s="1"/>
  <c r="A146" i="112" s="1"/>
  <c r="A158" i="112" s="1"/>
  <c r="A170" i="112" s="1"/>
  <c r="A182" i="112" s="1"/>
  <c r="A27" i="112"/>
  <c r="A39" i="112" s="1"/>
  <c r="A51" i="112" s="1"/>
  <c r="A63" i="112" s="1"/>
  <c r="A75" i="112" s="1"/>
  <c r="A87" i="112" s="1"/>
  <c r="A99" i="112" s="1"/>
  <c r="A111" i="112" s="1"/>
  <c r="A123" i="112" s="1"/>
  <c r="A135" i="112" s="1"/>
  <c r="A147" i="112" s="1"/>
  <c r="A159" i="112" s="1"/>
  <c r="A171" i="112" s="1"/>
  <c r="A183" i="112" s="1"/>
  <c r="A22" i="112"/>
  <c r="A34" i="112" s="1"/>
  <c r="A46" i="112" s="1"/>
  <c r="A58" i="112" s="1"/>
  <c r="A70" i="112" s="1"/>
  <c r="A82" i="112" s="1"/>
  <c r="A94" i="112" s="1"/>
  <c r="A106" i="112" s="1"/>
  <c r="A118" i="112" s="1"/>
  <c r="A130" i="112" s="1"/>
  <c r="A142" i="112" s="1"/>
  <c r="A154" i="112" s="1"/>
  <c r="A166" i="112" s="1"/>
  <c r="A178" i="112" s="1"/>
  <c r="E369" i="100"/>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10" i="14"/>
  <c r="E358" i="100"/>
  <c r="K358" i="100"/>
  <c r="D148" i="116" l="1"/>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C12" i="136"/>
  <c r="C13" i="136"/>
  <c r="C15" i="136"/>
  <c r="C16" i="136"/>
  <c r="C17" i="136"/>
  <c r="C18" i="136"/>
  <c r="C19" i="136"/>
  <c r="C20" i="136"/>
  <c r="C21" i="136"/>
  <c r="C22" i="136"/>
  <c r="C23" i="136"/>
  <c r="C24" i="136"/>
  <c r="C25" i="136"/>
  <c r="C26" i="136"/>
  <c r="C27" i="136"/>
  <c r="C28" i="136"/>
  <c r="C29" i="136"/>
  <c r="C30" i="136"/>
  <c r="C31" i="136"/>
  <c r="C32" i="136"/>
  <c r="C33" i="136"/>
  <c r="C34" i="136"/>
  <c r="C35" i="136"/>
  <c r="C36" i="136"/>
  <c r="C37" i="136"/>
  <c r="C38" i="136"/>
  <c r="C39" i="136"/>
  <c r="C40" i="136"/>
  <c r="C41" i="136"/>
  <c r="C42" i="136"/>
  <c r="C43" i="136"/>
  <c r="C44" i="136"/>
  <c r="C45" i="136"/>
  <c r="C46" i="136"/>
  <c r="C47" i="136"/>
  <c r="C48" i="136"/>
  <c r="C49" i="136"/>
  <c r="C50" i="136"/>
  <c r="C51" i="136"/>
  <c r="C52" i="136"/>
  <c r="C53" i="136"/>
  <c r="C54" i="136"/>
  <c r="C55" i="136"/>
  <c r="C56" i="136"/>
  <c r="C57" i="136"/>
  <c r="C58" i="136"/>
  <c r="C59" i="136"/>
  <c r="C60" i="136"/>
  <c r="C61" i="136"/>
  <c r="C62" i="136"/>
  <c r="C63" i="136"/>
  <c r="C64" i="136"/>
  <c r="C65" i="136"/>
  <c r="C66" i="136"/>
  <c r="C67" i="136"/>
  <c r="C68" i="136"/>
  <c r="C69" i="136"/>
  <c r="C70" i="136"/>
  <c r="C71" i="136"/>
  <c r="C72" i="136"/>
  <c r="C73" i="136"/>
  <c r="C74" i="136"/>
  <c r="C75" i="136"/>
  <c r="C76" i="136"/>
  <c r="C77" i="136"/>
  <c r="C78" i="136"/>
  <c r="C79" i="136"/>
  <c r="C80" i="136"/>
  <c r="C81" i="136"/>
  <c r="C82" i="136"/>
  <c r="C83" i="136"/>
  <c r="C84" i="136"/>
  <c r="C85" i="136"/>
  <c r="C86" i="136"/>
  <c r="C87" i="136"/>
  <c r="C88" i="136"/>
  <c r="C89" i="136"/>
  <c r="C90" i="136"/>
  <c r="C91" i="136"/>
  <c r="C92" i="136"/>
  <c r="C93" i="136"/>
  <c r="C94" i="136"/>
  <c r="C95" i="136"/>
  <c r="C96" i="136"/>
  <c r="C97" i="136"/>
  <c r="C98" i="136"/>
  <c r="C99" i="136"/>
  <c r="C100" i="136"/>
  <c r="C101" i="136"/>
  <c r="C102" i="136"/>
  <c r="C103" i="136"/>
  <c r="C104" i="136"/>
  <c r="C105" i="136"/>
  <c r="C106" i="136"/>
  <c r="C107" i="136"/>
  <c r="C108" i="136"/>
  <c r="C109" i="136"/>
  <c r="C110" i="136"/>
  <c r="C111" i="136"/>
  <c r="C112" i="136"/>
  <c r="C113" i="136"/>
  <c r="C114" i="136"/>
  <c r="C115" i="136"/>
  <c r="C116" i="136"/>
  <c r="C117" i="136"/>
  <c r="C118" i="136"/>
  <c r="C119" i="136"/>
  <c r="C120" i="136"/>
  <c r="C121" i="136"/>
  <c r="C122" i="136"/>
  <c r="C123" i="136"/>
  <c r="C124" i="136"/>
  <c r="C125" i="136"/>
  <c r="C126" i="136"/>
  <c r="C127" i="136"/>
  <c r="C128" i="136"/>
  <c r="C129" i="136"/>
  <c r="C130" i="136"/>
  <c r="C131" i="136"/>
  <c r="C132" i="136"/>
  <c r="C133" i="136"/>
  <c r="C134" i="136"/>
  <c r="C135" i="136"/>
  <c r="C136" i="136"/>
  <c r="C137" i="136"/>
  <c r="C138" i="136"/>
  <c r="C139" i="136"/>
  <c r="C140" i="136"/>
  <c r="C141" i="136"/>
  <c r="C142" i="136"/>
  <c r="C143" i="136"/>
  <c r="C144" i="136"/>
  <c r="C145" i="136"/>
  <c r="C146" i="136"/>
  <c r="C147" i="136"/>
  <c r="C148" i="136"/>
  <c r="C149" i="136"/>
  <c r="C150" i="136"/>
  <c r="C151" i="136"/>
  <c r="C152" i="136"/>
  <c r="C153" i="136"/>
  <c r="C154" i="136"/>
  <c r="C155" i="136"/>
  <c r="C156" i="136"/>
  <c r="C157" i="136"/>
  <c r="C158" i="136"/>
  <c r="C159" i="136"/>
  <c r="C160" i="136"/>
  <c r="C161" i="136"/>
  <c r="C162" i="136"/>
  <c r="C163" i="136"/>
  <c r="C164" i="136"/>
  <c r="C165" i="136"/>
  <c r="C166" i="136"/>
  <c r="C167" i="136"/>
  <c r="C168" i="136"/>
  <c r="C169" i="136"/>
  <c r="C170" i="136"/>
  <c r="C171" i="136"/>
  <c r="C172" i="136"/>
  <c r="C173" i="136"/>
  <c r="C174" i="136"/>
  <c r="C175" i="136"/>
  <c r="C176" i="136"/>
  <c r="C177" i="136"/>
  <c r="C178" i="136"/>
  <c r="C179" i="136"/>
  <c r="C180" i="136"/>
  <c r="C181" i="136"/>
  <c r="C182" i="136"/>
  <c r="C183" i="136"/>
  <c r="C184" i="136"/>
  <c r="C185" i="136"/>
  <c r="C186" i="136"/>
  <c r="C187" i="136"/>
  <c r="C188" i="136"/>
  <c r="C189" i="136"/>
  <c r="C190" i="136"/>
  <c r="C191" i="136"/>
  <c r="C192" i="136"/>
  <c r="C193" i="136"/>
  <c r="C194" i="136"/>
  <c r="C195" i="136"/>
  <c r="C196" i="136"/>
  <c r="C197" i="136"/>
  <c r="C198" i="136"/>
  <c r="C199" i="136"/>
  <c r="C200" i="136"/>
  <c r="C201" i="136"/>
  <c r="C202" i="136"/>
  <c r="C203" i="136"/>
  <c r="C204" i="136"/>
  <c r="C205" i="136"/>
  <c r="C206" i="136"/>
  <c r="C207" i="136"/>
  <c r="C208" i="136"/>
  <c r="C209" i="136"/>
  <c r="C210" i="136"/>
  <c r="C211" i="136"/>
  <c r="C212" i="136"/>
  <c r="C213" i="136"/>
  <c r="C214" i="136"/>
  <c r="C215" i="136"/>
  <c r="C216" i="136"/>
  <c r="C217" i="136"/>
  <c r="C218" i="136"/>
  <c r="C219" i="136"/>
  <c r="C220" i="136"/>
  <c r="C221" i="136"/>
  <c r="C222" i="136"/>
  <c r="C223" i="136"/>
  <c r="C224" i="136"/>
  <c r="C225" i="136"/>
  <c r="C226" i="136"/>
  <c r="C227" i="136"/>
  <c r="C228" i="136"/>
  <c r="C229" i="136"/>
  <c r="C230" i="136"/>
  <c r="C231" i="136"/>
  <c r="C232" i="136"/>
  <c r="C233" i="136"/>
  <c r="C234" i="136"/>
  <c r="C235" i="136"/>
  <c r="C236" i="136"/>
  <c r="C237" i="136"/>
  <c r="C238" i="136"/>
  <c r="C239" i="136"/>
  <c r="C240" i="136"/>
  <c r="C241" i="136"/>
  <c r="C242" i="136"/>
  <c r="C243" i="136"/>
  <c r="C244" i="136"/>
  <c r="C245" i="136"/>
  <c r="C246" i="136"/>
  <c r="C247" i="136"/>
  <c r="C248" i="136"/>
  <c r="C249" i="136"/>
  <c r="C250" i="136"/>
  <c r="C251" i="136"/>
  <c r="C252" i="136"/>
  <c r="C253" i="136"/>
  <c r="C254" i="136"/>
  <c r="C255" i="136"/>
  <c r="C256" i="136"/>
  <c r="C257" i="136"/>
  <c r="C258" i="136"/>
  <c r="C259" i="136"/>
  <c r="C260" i="136"/>
  <c r="C261" i="136"/>
  <c r="C262" i="136"/>
  <c r="C263" i="136"/>
  <c r="C264" i="136"/>
  <c r="C265" i="136"/>
  <c r="C266" i="136"/>
  <c r="C267" i="136"/>
  <c r="C268" i="136"/>
  <c r="C269" i="136"/>
  <c r="C270" i="136"/>
  <c r="C271" i="136"/>
  <c r="C272" i="136"/>
  <c r="C273" i="136"/>
  <c r="C274" i="136"/>
  <c r="C275" i="136"/>
  <c r="C276" i="136"/>
  <c r="C277" i="136"/>
  <c r="C278" i="136"/>
  <c r="C279" i="136"/>
  <c r="C280" i="136"/>
  <c r="C281" i="136"/>
  <c r="C282" i="136"/>
  <c r="C283" i="136"/>
  <c r="C284" i="136"/>
  <c r="C285" i="136"/>
  <c r="C286" i="136"/>
  <c r="C287" i="136"/>
  <c r="C288" i="136"/>
  <c r="C289" i="136"/>
  <c r="C290" i="136"/>
  <c r="C291" i="136"/>
  <c r="C292" i="136"/>
  <c r="C293" i="136"/>
  <c r="C294" i="136"/>
  <c r="C295" i="136"/>
  <c r="C296" i="136"/>
  <c r="C297" i="136"/>
  <c r="C298" i="136"/>
  <c r="C299" i="136"/>
  <c r="C300" i="136"/>
  <c r="C301" i="136"/>
  <c r="C302" i="136"/>
  <c r="C303" i="136"/>
  <c r="C304" i="136"/>
  <c r="C305" i="136"/>
  <c r="C306" i="136"/>
  <c r="C307" i="136"/>
  <c r="C308" i="136"/>
  <c r="C309" i="136"/>
  <c r="C310" i="136"/>
  <c r="C311" i="136"/>
  <c r="C312" i="136"/>
  <c r="C313" i="136"/>
  <c r="C314" i="136"/>
  <c r="C315" i="136"/>
  <c r="C316" i="136"/>
  <c r="C317" i="136"/>
  <c r="C318" i="136"/>
  <c r="C319" i="136"/>
  <c r="C320" i="136"/>
  <c r="C321" i="136"/>
  <c r="C322" i="136"/>
  <c r="C323" i="136"/>
  <c r="C324" i="136"/>
  <c r="C325" i="136"/>
  <c r="C326" i="136"/>
  <c r="C327" i="136"/>
  <c r="C328" i="136"/>
  <c r="C329" i="136"/>
  <c r="C330" i="136"/>
  <c r="C331" i="136"/>
  <c r="C332" i="136"/>
  <c r="C333" i="136"/>
  <c r="G16" i="53"/>
  <c r="A69" i="136"/>
  <c r="A81" i="136" s="1"/>
  <c r="A93" i="136" s="1"/>
  <c r="A105" i="136" s="1"/>
  <c r="A117" i="136" s="1"/>
  <c r="A129" i="136" s="1"/>
  <c r="A141" i="136" s="1"/>
  <c r="A153" i="136" s="1"/>
  <c r="A165" i="136" s="1"/>
  <c r="A177" i="136" s="1"/>
  <c r="A189" i="136" s="1"/>
  <c r="A201" i="136" s="1"/>
  <c r="A213" i="136" s="1"/>
  <c r="A225" i="136" s="1"/>
  <c r="A237" i="136" s="1"/>
  <c r="A249" i="136" s="1"/>
  <c r="A261" i="136" s="1"/>
  <c r="A273" i="136" s="1"/>
  <c r="A285" i="136" s="1"/>
  <c r="A297" i="136" s="1"/>
  <c r="A309" i="136" s="1"/>
  <c r="A321" i="136" s="1"/>
  <c r="A333" i="136" s="1"/>
  <c r="A68" i="136"/>
  <c r="A80" i="136" s="1"/>
  <c r="A92" i="136" s="1"/>
  <c r="A104" i="136" s="1"/>
  <c r="A116" i="136" s="1"/>
  <c r="A128" i="136" s="1"/>
  <c r="A140" i="136" s="1"/>
  <c r="A152" i="136" s="1"/>
  <c r="A164" i="136" s="1"/>
  <c r="A176" i="136" s="1"/>
  <c r="A188" i="136" s="1"/>
  <c r="A200" i="136" s="1"/>
  <c r="A212" i="136" s="1"/>
  <c r="A224" i="136" s="1"/>
  <c r="A236" i="136" s="1"/>
  <c r="A248" i="136" s="1"/>
  <c r="A260" i="136" s="1"/>
  <c r="A272" i="136" s="1"/>
  <c r="A284" i="136" s="1"/>
  <c r="A296" i="136" s="1"/>
  <c r="A308" i="136" s="1"/>
  <c r="A320" i="136" s="1"/>
  <c r="A332" i="136" s="1"/>
  <c r="A67" i="136"/>
  <c r="A79" i="136" s="1"/>
  <c r="A91" i="136" s="1"/>
  <c r="A103" i="136" s="1"/>
  <c r="A115" i="136" s="1"/>
  <c r="A127" i="136" s="1"/>
  <c r="A139" i="136" s="1"/>
  <c r="A151" i="136" s="1"/>
  <c r="A163" i="136" s="1"/>
  <c r="A175" i="136" s="1"/>
  <c r="A187" i="136" s="1"/>
  <c r="A199" i="136" s="1"/>
  <c r="A211" i="136" s="1"/>
  <c r="A223" i="136" s="1"/>
  <c r="A235" i="136" s="1"/>
  <c r="A247" i="136" s="1"/>
  <c r="A259" i="136" s="1"/>
  <c r="A271" i="136" s="1"/>
  <c r="A283" i="136" s="1"/>
  <c r="A295" i="136" s="1"/>
  <c r="A307" i="136" s="1"/>
  <c r="A319" i="136" s="1"/>
  <c r="A331" i="136" s="1"/>
  <c r="A66" i="136"/>
  <c r="A78" i="136" s="1"/>
  <c r="A90" i="136" s="1"/>
  <c r="A102" i="136" s="1"/>
  <c r="A114" i="136" s="1"/>
  <c r="A126" i="136" s="1"/>
  <c r="A138" i="136" s="1"/>
  <c r="A150" i="136" s="1"/>
  <c r="A162" i="136" s="1"/>
  <c r="A174" i="136" s="1"/>
  <c r="A186" i="136" s="1"/>
  <c r="A198" i="136" s="1"/>
  <c r="A210" i="136" s="1"/>
  <c r="A222" i="136" s="1"/>
  <c r="A234" i="136" s="1"/>
  <c r="A246" i="136" s="1"/>
  <c r="A258" i="136" s="1"/>
  <c r="A270" i="136" s="1"/>
  <c r="A282" i="136" s="1"/>
  <c r="A294" i="136" s="1"/>
  <c r="A306" i="136" s="1"/>
  <c r="A318" i="136" s="1"/>
  <c r="A330" i="136" s="1"/>
  <c r="A65" i="136"/>
  <c r="A77" i="136" s="1"/>
  <c r="A89" i="136" s="1"/>
  <c r="A101" i="136" s="1"/>
  <c r="A113" i="136" s="1"/>
  <c r="A125" i="136" s="1"/>
  <c r="A137" i="136" s="1"/>
  <c r="A149" i="136" s="1"/>
  <c r="A161" i="136" s="1"/>
  <c r="A173" i="136" s="1"/>
  <c r="A185" i="136" s="1"/>
  <c r="A197" i="136" s="1"/>
  <c r="A209" i="136" s="1"/>
  <c r="A221" i="136" s="1"/>
  <c r="A233" i="136" s="1"/>
  <c r="A245" i="136" s="1"/>
  <c r="A257" i="136" s="1"/>
  <c r="A269" i="136" s="1"/>
  <c r="A281" i="136" s="1"/>
  <c r="A293" i="136" s="1"/>
  <c r="A305" i="136" s="1"/>
  <c r="A317" i="136" s="1"/>
  <c r="A329" i="136" s="1"/>
  <c r="A64" i="136"/>
  <c r="A76" i="136" s="1"/>
  <c r="A88" i="136" s="1"/>
  <c r="A100" i="136" s="1"/>
  <c r="A112" i="136" s="1"/>
  <c r="A124" i="136" s="1"/>
  <c r="A136" i="136" s="1"/>
  <c r="A148" i="136" s="1"/>
  <c r="A160" i="136" s="1"/>
  <c r="A172" i="136" s="1"/>
  <c r="A184" i="136" s="1"/>
  <c r="A196" i="136" s="1"/>
  <c r="A208" i="136" s="1"/>
  <c r="A220" i="136" s="1"/>
  <c r="A232" i="136" s="1"/>
  <c r="A244" i="136" s="1"/>
  <c r="A256" i="136" s="1"/>
  <c r="A268" i="136" s="1"/>
  <c r="A280" i="136" s="1"/>
  <c r="A292" i="136" s="1"/>
  <c r="A304" i="136" s="1"/>
  <c r="A316" i="136" s="1"/>
  <c r="A328" i="136" s="1"/>
  <c r="A63" i="136"/>
  <c r="A75" i="136" s="1"/>
  <c r="A87" i="136" s="1"/>
  <c r="A99" i="136" s="1"/>
  <c r="A111" i="136" s="1"/>
  <c r="A123" i="136" s="1"/>
  <c r="A135" i="136" s="1"/>
  <c r="A147" i="136" s="1"/>
  <c r="A159" i="136" s="1"/>
  <c r="A171" i="136" s="1"/>
  <c r="A183" i="136" s="1"/>
  <c r="A195" i="136" s="1"/>
  <c r="A207" i="136" s="1"/>
  <c r="A219" i="136" s="1"/>
  <c r="A231" i="136" s="1"/>
  <c r="A243" i="136" s="1"/>
  <c r="A255" i="136" s="1"/>
  <c r="A267" i="136" s="1"/>
  <c r="A279" i="136" s="1"/>
  <c r="A291" i="136" s="1"/>
  <c r="A303" i="136" s="1"/>
  <c r="A315" i="136" s="1"/>
  <c r="A327" i="136" s="1"/>
  <c r="A62" i="136"/>
  <c r="A74" i="136" s="1"/>
  <c r="A86" i="136" s="1"/>
  <c r="A98" i="136" s="1"/>
  <c r="A110" i="136" s="1"/>
  <c r="A122" i="136" s="1"/>
  <c r="A134" i="136" s="1"/>
  <c r="A146" i="136" s="1"/>
  <c r="A158" i="136" s="1"/>
  <c r="A170" i="136" s="1"/>
  <c r="A182" i="136" s="1"/>
  <c r="A194" i="136" s="1"/>
  <c r="A206" i="136" s="1"/>
  <c r="A218" i="136" s="1"/>
  <c r="A230" i="136" s="1"/>
  <c r="A242" i="136" s="1"/>
  <c r="A254" i="136" s="1"/>
  <c r="A266" i="136" s="1"/>
  <c r="A278" i="136" s="1"/>
  <c r="A290" i="136" s="1"/>
  <c r="A302" i="136" s="1"/>
  <c r="A314" i="136" s="1"/>
  <c r="A326" i="136" s="1"/>
  <c r="A61" i="136"/>
  <c r="A73" i="136" s="1"/>
  <c r="A85" i="136" s="1"/>
  <c r="A97" i="136" s="1"/>
  <c r="A109" i="136" s="1"/>
  <c r="A121" i="136" s="1"/>
  <c r="A133" i="136" s="1"/>
  <c r="A145" i="136" s="1"/>
  <c r="A157" i="136" s="1"/>
  <c r="A169" i="136" s="1"/>
  <c r="A181" i="136" s="1"/>
  <c r="A193" i="136" s="1"/>
  <c r="A205" i="136" s="1"/>
  <c r="A217" i="136" s="1"/>
  <c r="A229" i="136" s="1"/>
  <c r="A241" i="136" s="1"/>
  <c r="A253" i="136" s="1"/>
  <c r="A265" i="136" s="1"/>
  <c r="A277" i="136" s="1"/>
  <c r="A289" i="136" s="1"/>
  <c r="A301" i="136" s="1"/>
  <c r="A313" i="136" s="1"/>
  <c r="A325" i="136" s="1"/>
  <c r="A60" i="136"/>
  <c r="A72" i="136" s="1"/>
  <c r="A84" i="136" s="1"/>
  <c r="A96" i="136" s="1"/>
  <c r="A108" i="136" s="1"/>
  <c r="A120" i="136" s="1"/>
  <c r="A132" i="136" s="1"/>
  <c r="A144" i="136" s="1"/>
  <c r="A156" i="136" s="1"/>
  <c r="A168" i="136" s="1"/>
  <c r="A180" i="136" s="1"/>
  <c r="A192" i="136" s="1"/>
  <c r="A204" i="136" s="1"/>
  <c r="A216" i="136" s="1"/>
  <c r="A228" i="136" s="1"/>
  <c r="A240" i="136" s="1"/>
  <c r="A252" i="136" s="1"/>
  <c r="A264" i="136" s="1"/>
  <c r="A276" i="136" s="1"/>
  <c r="A288" i="136" s="1"/>
  <c r="A300" i="136" s="1"/>
  <c r="A312" i="136" s="1"/>
  <c r="A324" i="136" s="1"/>
  <c r="A59" i="136"/>
  <c r="A71" i="136" s="1"/>
  <c r="A83" i="136" s="1"/>
  <c r="A95" i="136" s="1"/>
  <c r="A107" i="136" s="1"/>
  <c r="A119" i="136" s="1"/>
  <c r="A131" i="136" s="1"/>
  <c r="A143" i="136" s="1"/>
  <c r="A155" i="136" s="1"/>
  <c r="A167" i="136" s="1"/>
  <c r="A179" i="136" s="1"/>
  <c r="A191" i="136" s="1"/>
  <c r="A203" i="136" s="1"/>
  <c r="A215" i="136" s="1"/>
  <c r="A227" i="136" s="1"/>
  <c r="A239" i="136" s="1"/>
  <c r="A251" i="136" s="1"/>
  <c r="A263" i="136" s="1"/>
  <c r="A275" i="136" s="1"/>
  <c r="A287" i="136" s="1"/>
  <c r="A299" i="136" s="1"/>
  <c r="A311" i="136" s="1"/>
  <c r="A323" i="136" s="1"/>
  <c r="A58" i="136"/>
  <c r="A70" i="136" s="1"/>
  <c r="A82" i="136" s="1"/>
  <c r="A94" i="136" s="1"/>
  <c r="A106" i="136" s="1"/>
  <c r="A118" i="136" s="1"/>
  <c r="A130" i="136" s="1"/>
  <c r="A142" i="136" s="1"/>
  <c r="A154" i="136" s="1"/>
  <c r="A166" i="136" s="1"/>
  <c r="A178" i="136" s="1"/>
  <c r="A190" i="136" s="1"/>
  <c r="A202" i="136" s="1"/>
  <c r="A214" i="136" s="1"/>
  <c r="A226" i="136" s="1"/>
  <c r="A238" i="136" s="1"/>
  <c r="A250" i="136" s="1"/>
  <c r="A262" i="136" s="1"/>
  <c r="A274" i="136" s="1"/>
  <c r="A286" i="136" s="1"/>
  <c r="A298" i="136" s="1"/>
  <c r="A310" i="136" s="1"/>
  <c r="A322" i="136" s="1"/>
  <c r="S19" i="3" l="1"/>
  <c r="G31" i="53"/>
  <c r="G30" i="53"/>
  <c r="G29" i="53"/>
  <c r="B78" i="134" l="1"/>
  <c r="B80" i="134"/>
  <c r="C78" i="134"/>
  <c r="C80" i="134"/>
  <c r="D78" i="134"/>
  <c r="M56" i="141" s="1"/>
  <c r="D80" i="134"/>
  <c r="M58" i="141" s="1"/>
  <c r="E78" i="134"/>
  <c r="F78" i="134"/>
  <c r="E80" i="134"/>
  <c r="F80" i="134"/>
  <c r="B3" i="95"/>
  <c r="E79" i="134" l="1"/>
  <c r="B79" i="134"/>
  <c r="F79" i="134"/>
  <c r="C79" i="134"/>
  <c r="D79" i="134"/>
  <c r="M57" i="141" s="1"/>
  <c r="T10" i="95"/>
  <c r="T11" i="95"/>
  <c r="T12" i="95"/>
  <c r="T13" i="95"/>
  <c r="T14" i="95"/>
  <c r="T15" i="95"/>
  <c r="T16" i="95"/>
  <c r="T17" i="95"/>
  <c r="T18" i="95"/>
  <c r="T19" i="95"/>
  <c r="T20" i="95"/>
  <c r="T21" i="95"/>
  <c r="Q10" i="95"/>
  <c r="Q11" i="95"/>
  <c r="Q12" i="95"/>
  <c r="Q13" i="95"/>
  <c r="Q14" i="95"/>
  <c r="Q15" i="95"/>
  <c r="Q16" i="95"/>
  <c r="Q17" i="95"/>
  <c r="Q18" i="95"/>
  <c r="Q19" i="95"/>
  <c r="Q20" i="95"/>
  <c r="Q21" i="95"/>
  <c r="N10" i="95"/>
  <c r="N11" i="95"/>
  <c r="N12" i="95"/>
  <c r="N13" i="95"/>
  <c r="N14" i="95"/>
  <c r="N15" i="95"/>
  <c r="N16" i="95"/>
  <c r="N17" i="95"/>
  <c r="N18" i="95"/>
  <c r="N19" i="95"/>
  <c r="N20" i="95"/>
  <c r="N21" i="95"/>
  <c r="V139" i="135" l="1"/>
  <c r="U139" i="135"/>
  <c r="T139" i="135"/>
  <c r="V138" i="135"/>
  <c r="U138" i="135"/>
  <c r="T138" i="135"/>
  <c r="V137" i="135"/>
  <c r="U137" i="135"/>
  <c r="T137" i="135"/>
  <c r="V136" i="135"/>
  <c r="U136" i="135"/>
  <c r="T136" i="135"/>
  <c r="V135" i="135"/>
  <c r="U135" i="135"/>
  <c r="T135" i="135"/>
  <c r="V134" i="135"/>
  <c r="U134" i="135"/>
  <c r="T134" i="135"/>
  <c r="V133" i="135"/>
  <c r="U133" i="135"/>
  <c r="T133" i="135"/>
  <c r="V132" i="135"/>
  <c r="U132" i="135"/>
  <c r="T132" i="135"/>
  <c r="V131" i="135"/>
  <c r="U131" i="135"/>
  <c r="T131" i="135"/>
  <c r="V130" i="135"/>
  <c r="U130" i="135"/>
  <c r="T130" i="135"/>
  <c r="V129" i="135"/>
  <c r="U129" i="135"/>
  <c r="T129" i="135"/>
  <c r="V128" i="135"/>
  <c r="U128" i="135"/>
  <c r="T128" i="135"/>
  <c r="V127" i="135"/>
  <c r="U127" i="135"/>
  <c r="T127" i="135"/>
  <c r="V126" i="135"/>
  <c r="U126" i="135"/>
  <c r="T126" i="135"/>
  <c r="V125" i="135"/>
  <c r="U125" i="135"/>
  <c r="T125" i="135"/>
  <c r="V124" i="135"/>
  <c r="U124" i="135"/>
  <c r="T124" i="135"/>
  <c r="V123" i="135"/>
  <c r="U123" i="135"/>
  <c r="T123" i="135"/>
  <c r="V122" i="135"/>
  <c r="U122" i="135"/>
  <c r="T122" i="135"/>
  <c r="V121" i="135"/>
  <c r="U121" i="135"/>
  <c r="T121" i="135"/>
  <c r="V120" i="135"/>
  <c r="U120" i="135"/>
  <c r="T120" i="135"/>
  <c r="V119" i="135"/>
  <c r="U119" i="135"/>
  <c r="T119" i="135"/>
  <c r="V118" i="135"/>
  <c r="U118" i="135"/>
  <c r="T118" i="135"/>
  <c r="V117" i="135"/>
  <c r="U117" i="135"/>
  <c r="T117" i="135"/>
  <c r="V116" i="135"/>
  <c r="U116" i="135"/>
  <c r="T116" i="135"/>
  <c r="V115" i="135"/>
  <c r="U115" i="135"/>
  <c r="T115" i="135"/>
  <c r="V114" i="135"/>
  <c r="U114" i="135"/>
  <c r="T114" i="135"/>
  <c r="V113" i="135"/>
  <c r="U113" i="135"/>
  <c r="T113" i="135"/>
  <c r="V83" i="135"/>
  <c r="U83" i="135"/>
  <c r="T83" i="135"/>
  <c r="V82" i="135"/>
  <c r="U82" i="135"/>
  <c r="T82" i="135"/>
  <c r="V81" i="135"/>
  <c r="U81" i="135"/>
  <c r="T81" i="135"/>
  <c r="Y46" i="135"/>
  <c r="V46" i="135"/>
  <c r="U46" i="135"/>
  <c r="T46" i="135"/>
  <c r="V10" i="135"/>
  <c r="V29" i="135"/>
  <c r="V28" i="135"/>
  <c r="V27" i="135"/>
  <c r="V26" i="135"/>
  <c r="V25" i="135"/>
  <c r="V24" i="135"/>
  <c r="V23" i="135"/>
  <c r="V22" i="135"/>
  <c r="V21" i="135"/>
  <c r="V20" i="135"/>
  <c r="V19" i="135"/>
  <c r="V18" i="135"/>
  <c r="V17" i="135"/>
  <c r="V16" i="135"/>
  <c r="V15" i="135"/>
  <c r="V14" i="135"/>
  <c r="V13" i="135"/>
  <c r="V12" i="135"/>
  <c r="V11" i="135"/>
  <c r="U29" i="135"/>
  <c r="U28" i="135"/>
  <c r="U27" i="135"/>
  <c r="U26" i="135"/>
  <c r="U25" i="135"/>
  <c r="U24" i="135"/>
  <c r="U23" i="135"/>
  <c r="U22" i="135"/>
  <c r="U21" i="135"/>
  <c r="U20" i="135"/>
  <c r="U19" i="135"/>
  <c r="U18" i="135"/>
  <c r="U17" i="135"/>
  <c r="U16" i="135"/>
  <c r="U15" i="135"/>
  <c r="U14" i="135"/>
  <c r="U13" i="135"/>
  <c r="U12" i="135"/>
  <c r="U11" i="135"/>
  <c r="U10" i="135"/>
  <c r="T11" i="135"/>
  <c r="T29" i="135"/>
  <c r="T28" i="135"/>
  <c r="T27" i="135"/>
  <c r="T26" i="135"/>
  <c r="T25" i="135"/>
  <c r="T24" i="135"/>
  <c r="T23" i="135"/>
  <c r="T22" i="135"/>
  <c r="T21" i="135"/>
  <c r="T20" i="135"/>
  <c r="T19" i="135"/>
  <c r="T18" i="135"/>
  <c r="T17" i="135"/>
  <c r="T16" i="135"/>
  <c r="T15" i="135"/>
  <c r="T14" i="135"/>
  <c r="T13" i="135"/>
  <c r="T12" i="135"/>
  <c r="T10" i="135"/>
  <c r="T69" i="95" l="1"/>
  <c r="Q69" i="95"/>
  <c r="N69" i="95"/>
  <c r="T68" i="95"/>
  <c r="Q68" i="95"/>
  <c r="N68" i="95"/>
  <c r="T67" i="95"/>
  <c r="Q67" i="95"/>
  <c r="N67" i="95"/>
  <c r="T66" i="95"/>
  <c r="Q66" i="95"/>
  <c r="N66" i="95"/>
  <c r="T65" i="95"/>
  <c r="Q65" i="95"/>
  <c r="N65" i="95"/>
  <c r="T64" i="95"/>
  <c r="Q64" i="95"/>
  <c r="N64" i="95"/>
  <c r="T63" i="95"/>
  <c r="Q63" i="95"/>
  <c r="N63" i="95"/>
  <c r="T62" i="95"/>
  <c r="Q62" i="95"/>
  <c r="N62" i="95"/>
  <c r="T61" i="95"/>
  <c r="Q61" i="95"/>
  <c r="N61" i="95"/>
  <c r="T60" i="95"/>
  <c r="Q60" i="95"/>
  <c r="N60" i="95"/>
  <c r="T59" i="95"/>
  <c r="Q59" i="95"/>
  <c r="N59" i="95"/>
  <c r="T58" i="95"/>
  <c r="Q58" i="95"/>
  <c r="N58" i="95"/>
  <c r="T57" i="95"/>
  <c r="Q57" i="95"/>
  <c r="N57" i="95"/>
  <c r="T56" i="95"/>
  <c r="Q56" i="95"/>
  <c r="N56" i="95"/>
  <c r="T55" i="95"/>
  <c r="Q55" i="95"/>
  <c r="N55" i="95"/>
  <c r="T54" i="95"/>
  <c r="Q54" i="95"/>
  <c r="N54" i="95"/>
  <c r="T53" i="95"/>
  <c r="Q53" i="95"/>
  <c r="N53" i="95"/>
  <c r="T52" i="95"/>
  <c r="Q52" i="95"/>
  <c r="N52" i="95"/>
  <c r="T51" i="95"/>
  <c r="Q51" i="95"/>
  <c r="N51" i="95"/>
  <c r="T50" i="95"/>
  <c r="Q50" i="95"/>
  <c r="N50" i="95"/>
  <c r="T49" i="95"/>
  <c r="Q49" i="95"/>
  <c r="N49" i="95"/>
  <c r="T48" i="95"/>
  <c r="Q48" i="95"/>
  <c r="N48" i="95"/>
  <c r="T47" i="95"/>
  <c r="Q47" i="95"/>
  <c r="N47" i="95"/>
  <c r="T46" i="95"/>
  <c r="Q46" i="95"/>
  <c r="N46" i="95"/>
  <c r="T45" i="95"/>
  <c r="Q45" i="95"/>
  <c r="N45" i="95"/>
  <c r="T44" i="95"/>
  <c r="Q44" i="95"/>
  <c r="N44" i="95"/>
  <c r="T43" i="95"/>
  <c r="Q43" i="95"/>
  <c r="N43" i="95"/>
  <c r="T42" i="95"/>
  <c r="Q42" i="95"/>
  <c r="N42" i="95"/>
  <c r="T41" i="95"/>
  <c r="Q41" i="95"/>
  <c r="N41" i="95"/>
  <c r="T40" i="95"/>
  <c r="T39" i="95"/>
  <c r="T38" i="95"/>
  <c r="Q38" i="95"/>
  <c r="N38" i="95"/>
  <c r="T37" i="95"/>
  <c r="Q37" i="95"/>
  <c r="N37" i="95"/>
  <c r="T36" i="95"/>
  <c r="Q36" i="95"/>
  <c r="N36" i="95"/>
  <c r="T35" i="95"/>
  <c r="Q35" i="95"/>
  <c r="N35" i="95"/>
  <c r="T34" i="95"/>
  <c r="Q34" i="95"/>
  <c r="N34" i="95"/>
  <c r="T33" i="95"/>
  <c r="Q33" i="95"/>
  <c r="N33" i="95"/>
  <c r="T32" i="95"/>
  <c r="Q32" i="95"/>
  <c r="N32" i="95"/>
  <c r="T31" i="95"/>
  <c r="Q31" i="95"/>
  <c r="N31" i="95"/>
  <c r="T30" i="95"/>
  <c r="Q30" i="95"/>
  <c r="N30" i="95"/>
  <c r="T29" i="95"/>
  <c r="Q29" i="95"/>
  <c r="N29" i="95"/>
  <c r="T28" i="95"/>
  <c r="Q28" i="95"/>
  <c r="N28" i="95"/>
  <c r="T27" i="95"/>
  <c r="Q27" i="95"/>
  <c r="N27" i="95"/>
  <c r="T26" i="95"/>
  <c r="Q26" i="95"/>
  <c r="N26" i="95"/>
  <c r="T25" i="95"/>
  <c r="Q25" i="95"/>
  <c r="N25" i="95"/>
  <c r="T24" i="95"/>
  <c r="Q24" i="95"/>
  <c r="N24" i="95"/>
  <c r="T23" i="95"/>
  <c r="Q23" i="95"/>
  <c r="N23" i="95"/>
  <c r="T22" i="95"/>
  <c r="Q22" i="95"/>
  <c r="N22" i="95"/>
  <c r="Y139" i="135"/>
  <c r="R139" i="135"/>
  <c r="Q139" i="135"/>
  <c r="P139" i="135"/>
  <c r="O139" i="135"/>
  <c r="N139" i="135"/>
  <c r="M139" i="135"/>
  <c r="G139" i="135"/>
  <c r="Y138" i="135"/>
  <c r="R138" i="135"/>
  <c r="Q138" i="135"/>
  <c r="P138" i="135"/>
  <c r="O138" i="135"/>
  <c r="N138" i="135"/>
  <c r="M138" i="135"/>
  <c r="G138" i="135"/>
  <c r="Y137" i="135"/>
  <c r="R137" i="135"/>
  <c r="Q137" i="135"/>
  <c r="P137" i="135"/>
  <c r="O137" i="135"/>
  <c r="N137" i="135"/>
  <c r="M137" i="135"/>
  <c r="G137" i="135"/>
  <c r="Y136" i="135"/>
  <c r="R136" i="135"/>
  <c r="Q136" i="135"/>
  <c r="P136" i="135"/>
  <c r="O136" i="135"/>
  <c r="N136" i="135"/>
  <c r="M136" i="135"/>
  <c r="G136" i="135"/>
  <c r="Y135" i="135"/>
  <c r="R135" i="135"/>
  <c r="Q135" i="135"/>
  <c r="P135" i="135"/>
  <c r="O135" i="135"/>
  <c r="N135" i="135"/>
  <c r="M135" i="135"/>
  <c r="G135" i="135"/>
  <c r="Y134" i="135"/>
  <c r="R134" i="135"/>
  <c r="Q134" i="135"/>
  <c r="P134" i="135"/>
  <c r="O134" i="135"/>
  <c r="N134" i="135"/>
  <c r="M134" i="135"/>
  <c r="G134" i="135"/>
  <c r="Y133" i="135"/>
  <c r="R133" i="135"/>
  <c r="Q133" i="135"/>
  <c r="P133" i="135"/>
  <c r="O133" i="135"/>
  <c r="N133" i="135"/>
  <c r="M133" i="135"/>
  <c r="G133" i="135"/>
  <c r="Y132" i="135"/>
  <c r="R132" i="135"/>
  <c r="Q132" i="135"/>
  <c r="P132" i="135"/>
  <c r="O132" i="135"/>
  <c r="N132" i="135"/>
  <c r="M132" i="135"/>
  <c r="G132" i="135"/>
  <c r="Y131" i="135"/>
  <c r="R131" i="135"/>
  <c r="Q131" i="135"/>
  <c r="P131" i="135"/>
  <c r="O131" i="135"/>
  <c r="N131" i="135"/>
  <c r="M131" i="135"/>
  <c r="G131" i="135"/>
  <c r="Y130" i="135"/>
  <c r="R130" i="135"/>
  <c r="Q130" i="135"/>
  <c r="P130" i="135"/>
  <c r="O130" i="135"/>
  <c r="N130" i="135"/>
  <c r="M130" i="135"/>
  <c r="G130" i="135"/>
  <c r="Y129" i="135"/>
  <c r="R129" i="135"/>
  <c r="Q129" i="135"/>
  <c r="P129" i="135"/>
  <c r="O129" i="135"/>
  <c r="N129" i="135"/>
  <c r="M129" i="135"/>
  <c r="G129" i="135"/>
  <c r="Y128" i="135"/>
  <c r="R128" i="135"/>
  <c r="Q128" i="135"/>
  <c r="P128" i="135"/>
  <c r="O128" i="135"/>
  <c r="N128" i="135"/>
  <c r="M128" i="135"/>
  <c r="G128" i="135"/>
  <c r="Y127" i="135"/>
  <c r="R127" i="135"/>
  <c r="Q127" i="135"/>
  <c r="P127" i="135"/>
  <c r="O127" i="135"/>
  <c r="N127" i="135"/>
  <c r="M127" i="135"/>
  <c r="G127" i="135"/>
  <c r="Y126" i="135"/>
  <c r="R126" i="135"/>
  <c r="Q126" i="135"/>
  <c r="P126" i="135"/>
  <c r="O126" i="135"/>
  <c r="N126" i="135"/>
  <c r="M126" i="135"/>
  <c r="G126" i="135"/>
  <c r="Y125" i="135"/>
  <c r="R125" i="135"/>
  <c r="Q125" i="135"/>
  <c r="P125" i="135"/>
  <c r="O125" i="135"/>
  <c r="N125" i="135"/>
  <c r="M125" i="135"/>
  <c r="G125" i="135"/>
  <c r="Y124" i="135"/>
  <c r="R124" i="135"/>
  <c r="Q124" i="135"/>
  <c r="P124" i="135"/>
  <c r="O124" i="135"/>
  <c r="N124" i="135"/>
  <c r="M124" i="135"/>
  <c r="G124" i="135"/>
  <c r="Y123" i="135"/>
  <c r="R123" i="135"/>
  <c r="Q123" i="135"/>
  <c r="P123" i="135"/>
  <c r="O123" i="135"/>
  <c r="N123" i="135"/>
  <c r="M123" i="135"/>
  <c r="G123" i="135"/>
  <c r="Y122" i="135"/>
  <c r="R122" i="135"/>
  <c r="Q122" i="135"/>
  <c r="P122" i="135"/>
  <c r="O122" i="135"/>
  <c r="N122" i="135"/>
  <c r="M122" i="135"/>
  <c r="G122" i="135"/>
  <c r="Y121" i="135"/>
  <c r="R121" i="135"/>
  <c r="Q121" i="135"/>
  <c r="P121" i="135"/>
  <c r="O121" i="135"/>
  <c r="N121" i="135"/>
  <c r="M121" i="135"/>
  <c r="G121" i="135"/>
  <c r="Y120" i="135"/>
  <c r="R120" i="135"/>
  <c r="Q120" i="135"/>
  <c r="P120" i="135"/>
  <c r="O120" i="135"/>
  <c r="N120" i="135"/>
  <c r="M120" i="135"/>
  <c r="G120" i="135"/>
  <c r="Y119" i="135"/>
  <c r="R119" i="135"/>
  <c r="Q119" i="135"/>
  <c r="P119" i="135"/>
  <c r="O119" i="135"/>
  <c r="N119" i="135"/>
  <c r="M119" i="135"/>
  <c r="G119" i="135"/>
  <c r="Y118" i="135"/>
  <c r="R118" i="135"/>
  <c r="Q118" i="135"/>
  <c r="P118" i="135"/>
  <c r="O118" i="135"/>
  <c r="N118" i="135"/>
  <c r="M118" i="135"/>
  <c r="G118" i="135"/>
  <c r="Y117" i="135"/>
  <c r="R117" i="135"/>
  <c r="Q117" i="135"/>
  <c r="P117" i="135"/>
  <c r="O117" i="135"/>
  <c r="N117" i="135"/>
  <c r="M117" i="135"/>
  <c r="G117" i="135"/>
  <c r="Y116" i="135"/>
  <c r="R116" i="135"/>
  <c r="Q116" i="135"/>
  <c r="P116" i="135"/>
  <c r="O116" i="135"/>
  <c r="N116" i="135"/>
  <c r="M116" i="135"/>
  <c r="G116" i="135"/>
  <c r="Y115" i="135"/>
  <c r="R115" i="135"/>
  <c r="Q115" i="135"/>
  <c r="P115" i="135"/>
  <c r="O115" i="135"/>
  <c r="N115" i="135"/>
  <c r="M115" i="135"/>
  <c r="G115" i="135"/>
  <c r="Y114" i="135"/>
  <c r="R114" i="135"/>
  <c r="Q114" i="135"/>
  <c r="P114" i="135"/>
  <c r="O114" i="135"/>
  <c r="N114" i="135"/>
  <c r="M114" i="135"/>
  <c r="G114" i="135"/>
  <c r="Y113" i="135"/>
  <c r="R113" i="135"/>
  <c r="Q113" i="135"/>
  <c r="P113" i="135"/>
  <c r="O113" i="135"/>
  <c r="N113" i="135"/>
  <c r="M113" i="135"/>
  <c r="G113" i="135"/>
  <c r="Y112" i="135"/>
  <c r="R112" i="135"/>
  <c r="Q112" i="135"/>
  <c r="P112" i="135"/>
  <c r="O112" i="135"/>
  <c r="N112" i="135"/>
  <c r="M112" i="135"/>
  <c r="G112" i="135"/>
  <c r="Y111" i="135"/>
  <c r="R111" i="135"/>
  <c r="Q111" i="135"/>
  <c r="P111" i="135"/>
  <c r="O111" i="135"/>
  <c r="N111" i="135"/>
  <c r="G111" i="135"/>
  <c r="Y110" i="135"/>
  <c r="R110" i="135"/>
  <c r="Q110" i="135"/>
  <c r="P110" i="135"/>
  <c r="O110" i="135"/>
  <c r="N110" i="135"/>
  <c r="M110" i="135"/>
  <c r="G110" i="135"/>
  <c r="Y109" i="135"/>
  <c r="R109" i="135"/>
  <c r="Q109" i="135"/>
  <c r="P109" i="135"/>
  <c r="O109" i="135"/>
  <c r="N109" i="135"/>
  <c r="M109" i="135"/>
  <c r="G109" i="135"/>
  <c r="Y108" i="135"/>
  <c r="R108" i="135"/>
  <c r="Q108" i="135"/>
  <c r="P108" i="135"/>
  <c r="O108" i="135"/>
  <c r="N108" i="135"/>
  <c r="M108" i="135"/>
  <c r="G108" i="135"/>
  <c r="Y107" i="135"/>
  <c r="R107" i="135"/>
  <c r="Q107" i="135"/>
  <c r="P107" i="135"/>
  <c r="O107" i="135"/>
  <c r="N107" i="135"/>
  <c r="M107" i="135"/>
  <c r="G107" i="135"/>
  <c r="Y106" i="135"/>
  <c r="R106" i="135"/>
  <c r="Q106" i="135"/>
  <c r="P106" i="135"/>
  <c r="O106" i="135"/>
  <c r="N106" i="135"/>
  <c r="M106" i="135"/>
  <c r="G106" i="135"/>
  <c r="Y105" i="135"/>
  <c r="R105" i="135"/>
  <c r="Q105" i="135"/>
  <c r="P105" i="135"/>
  <c r="O105" i="135"/>
  <c r="N105" i="135"/>
  <c r="M105" i="135"/>
  <c r="G105" i="135"/>
  <c r="Y104" i="135"/>
  <c r="R104" i="135"/>
  <c r="Q104" i="135"/>
  <c r="P104" i="135"/>
  <c r="O104" i="135"/>
  <c r="N104" i="135"/>
  <c r="M104" i="135"/>
  <c r="G104" i="135"/>
  <c r="Y103" i="135"/>
  <c r="R103" i="135"/>
  <c r="Q103" i="135"/>
  <c r="P103" i="135"/>
  <c r="O103" i="135"/>
  <c r="N103" i="135"/>
  <c r="M103" i="135"/>
  <c r="G103" i="135"/>
  <c r="Y102" i="135"/>
  <c r="R102" i="135"/>
  <c r="Q102" i="135"/>
  <c r="P102" i="135"/>
  <c r="O102" i="135"/>
  <c r="N102" i="135"/>
  <c r="M102" i="135"/>
  <c r="G102" i="135"/>
  <c r="Y101" i="135"/>
  <c r="R101" i="135"/>
  <c r="Q101" i="135"/>
  <c r="P101" i="135"/>
  <c r="O101" i="135"/>
  <c r="N101" i="135"/>
  <c r="M101" i="135"/>
  <c r="G101" i="135"/>
  <c r="Y100" i="135"/>
  <c r="R100" i="135"/>
  <c r="Q100" i="135"/>
  <c r="P100" i="135"/>
  <c r="O100" i="135"/>
  <c r="N100" i="135"/>
  <c r="M100" i="135"/>
  <c r="G100" i="135"/>
  <c r="Y99" i="135"/>
  <c r="R99" i="135"/>
  <c r="Q99" i="135"/>
  <c r="P99" i="135"/>
  <c r="O99" i="135"/>
  <c r="N99" i="135"/>
  <c r="M99" i="135"/>
  <c r="G99" i="135"/>
  <c r="Y98" i="135"/>
  <c r="R98" i="135"/>
  <c r="Q98" i="135"/>
  <c r="P98" i="135"/>
  <c r="O98" i="135"/>
  <c r="N98" i="135"/>
  <c r="M98" i="135"/>
  <c r="G98" i="135"/>
  <c r="Y97" i="135"/>
  <c r="R97" i="135"/>
  <c r="Q97" i="135"/>
  <c r="P97" i="135"/>
  <c r="O97" i="135"/>
  <c r="N97" i="135"/>
  <c r="M97" i="135"/>
  <c r="G97" i="135"/>
  <c r="Y96" i="135"/>
  <c r="R96" i="135"/>
  <c r="Q96" i="135"/>
  <c r="P96" i="135"/>
  <c r="O96" i="135"/>
  <c r="N96" i="135"/>
  <c r="M96" i="135"/>
  <c r="G96" i="135"/>
  <c r="Y95" i="135"/>
  <c r="R95" i="135"/>
  <c r="Q95" i="135"/>
  <c r="P95" i="135"/>
  <c r="O95" i="135"/>
  <c r="N95" i="135"/>
  <c r="M95" i="135"/>
  <c r="G95" i="135"/>
  <c r="Y94" i="135"/>
  <c r="R94" i="135"/>
  <c r="Q94" i="135"/>
  <c r="P94" i="135"/>
  <c r="O94" i="135"/>
  <c r="N94" i="135"/>
  <c r="M94" i="135"/>
  <c r="G94" i="135"/>
  <c r="Y93" i="135"/>
  <c r="R93" i="135"/>
  <c r="Q93" i="135"/>
  <c r="P93" i="135"/>
  <c r="O93" i="135"/>
  <c r="N93" i="135"/>
  <c r="M93" i="135"/>
  <c r="G93" i="135"/>
  <c r="Y92" i="135"/>
  <c r="R92" i="135"/>
  <c r="Q92" i="135"/>
  <c r="P92" i="135"/>
  <c r="O92" i="135"/>
  <c r="N92" i="135"/>
  <c r="M92" i="135"/>
  <c r="G92" i="135"/>
  <c r="Y91" i="135"/>
  <c r="R91" i="135"/>
  <c r="Q91" i="135"/>
  <c r="P91" i="135"/>
  <c r="O91" i="135"/>
  <c r="N91" i="135"/>
  <c r="M91" i="135"/>
  <c r="G91" i="135"/>
  <c r="Y90" i="135"/>
  <c r="R90" i="135"/>
  <c r="Q90" i="135"/>
  <c r="P90" i="135"/>
  <c r="O90" i="135"/>
  <c r="N90" i="135"/>
  <c r="M90" i="135"/>
  <c r="G90" i="135"/>
  <c r="Y89" i="135"/>
  <c r="R89" i="135"/>
  <c r="Q89" i="135"/>
  <c r="P89" i="135"/>
  <c r="O89" i="135"/>
  <c r="N89" i="135"/>
  <c r="M89" i="135"/>
  <c r="G89" i="135"/>
  <c r="Y88" i="135"/>
  <c r="R88" i="135"/>
  <c r="Q88" i="135"/>
  <c r="P88" i="135"/>
  <c r="O88" i="135"/>
  <c r="N88" i="135"/>
  <c r="M88" i="135"/>
  <c r="G88" i="135"/>
  <c r="Y87" i="135"/>
  <c r="R87" i="135"/>
  <c r="Q87" i="135"/>
  <c r="P87" i="135"/>
  <c r="O87" i="135"/>
  <c r="N87" i="135"/>
  <c r="M87" i="135"/>
  <c r="G87" i="135"/>
  <c r="Y86" i="135"/>
  <c r="R86" i="135"/>
  <c r="Q86" i="135"/>
  <c r="P86" i="135"/>
  <c r="O86" i="135"/>
  <c r="N86" i="135"/>
  <c r="M86" i="135"/>
  <c r="G86" i="135"/>
  <c r="Y85" i="135"/>
  <c r="R85" i="135"/>
  <c r="Q85" i="135"/>
  <c r="P85" i="135"/>
  <c r="O85" i="135"/>
  <c r="N85" i="135"/>
  <c r="M85" i="135"/>
  <c r="G85" i="135"/>
  <c r="Y84" i="135"/>
  <c r="R84" i="135"/>
  <c r="Q84" i="135"/>
  <c r="P84" i="135"/>
  <c r="O84" i="135"/>
  <c r="N84" i="135"/>
  <c r="M84" i="135"/>
  <c r="G84" i="135"/>
  <c r="Y83" i="135"/>
  <c r="R83" i="135"/>
  <c r="Q83" i="135"/>
  <c r="P83" i="135"/>
  <c r="O83" i="135"/>
  <c r="N83" i="135"/>
  <c r="M83" i="135"/>
  <c r="G83" i="135"/>
  <c r="Y82" i="135"/>
  <c r="U80" i="135"/>
  <c r="R82" i="135"/>
  <c r="Q82" i="135"/>
  <c r="P82" i="135"/>
  <c r="O82" i="135"/>
  <c r="N82" i="135"/>
  <c r="M82" i="135"/>
  <c r="G82" i="135"/>
  <c r="Y81" i="135"/>
  <c r="R81" i="135"/>
  <c r="Q81" i="135"/>
  <c r="P81" i="135"/>
  <c r="O81" i="135"/>
  <c r="N81" i="135"/>
  <c r="M81" i="135"/>
  <c r="G81" i="135"/>
  <c r="X80" i="135"/>
  <c r="W80" i="135"/>
  <c r="L80" i="135"/>
  <c r="K80" i="135"/>
  <c r="J80" i="135"/>
  <c r="I80" i="135"/>
  <c r="H80" i="135"/>
  <c r="F80" i="135"/>
  <c r="E80" i="135"/>
  <c r="D80" i="135"/>
  <c r="C80" i="135"/>
  <c r="B80" i="135"/>
  <c r="X79" i="135"/>
  <c r="W79" i="135"/>
  <c r="V79" i="135"/>
  <c r="U79" i="135"/>
  <c r="T79" i="135"/>
  <c r="L79" i="135"/>
  <c r="K79" i="135"/>
  <c r="J79" i="135"/>
  <c r="I79" i="135"/>
  <c r="H79" i="135"/>
  <c r="F79" i="135"/>
  <c r="E79" i="135"/>
  <c r="D79" i="135"/>
  <c r="C79" i="135"/>
  <c r="B79" i="135"/>
  <c r="Y78" i="135"/>
  <c r="R78" i="135"/>
  <c r="Q78" i="135"/>
  <c r="P78" i="135"/>
  <c r="O78" i="135"/>
  <c r="N78" i="135"/>
  <c r="M78" i="135"/>
  <c r="G78" i="135"/>
  <c r="Y77" i="135"/>
  <c r="R77" i="135"/>
  <c r="Q77" i="135"/>
  <c r="P77" i="135"/>
  <c r="O77" i="135"/>
  <c r="N77" i="135"/>
  <c r="M77" i="135"/>
  <c r="G77" i="135"/>
  <c r="Y76" i="135"/>
  <c r="R76" i="135"/>
  <c r="Q76" i="135"/>
  <c r="P76" i="135"/>
  <c r="O76" i="135"/>
  <c r="N76" i="135"/>
  <c r="M76" i="135"/>
  <c r="G76" i="135"/>
  <c r="Y75" i="135"/>
  <c r="R75" i="135"/>
  <c r="Q75" i="135"/>
  <c r="P75" i="135"/>
  <c r="O75" i="135"/>
  <c r="N75" i="135"/>
  <c r="M75" i="135"/>
  <c r="G75" i="135"/>
  <c r="Y74" i="135"/>
  <c r="R74" i="135"/>
  <c r="Q74" i="135"/>
  <c r="P74" i="135"/>
  <c r="O74" i="135"/>
  <c r="N74" i="135"/>
  <c r="M74" i="135"/>
  <c r="G74" i="135"/>
  <c r="Y73" i="135"/>
  <c r="R73" i="135"/>
  <c r="Q73" i="135"/>
  <c r="P73" i="135"/>
  <c r="O73" i="135"/>
  <c r="N73" i="135"/>
  <c r="M73" i="135"/>
  <c r="G73" i="135"/>
  <c r="Y72" i="135"/>
  <c r="R72" i="135"/>
  <c r="Q72" i="135"/>
  <c r="P72" i="135"/>
  <c r="O72" i="135"/>
  <c r="N72" i="135"/>
  <c r="M72" i="135"/>
  <c r="G72" i="135"/>
  <c r="Y71" i="135"/>
  <c r="R71" i="135"/>
  <c r="Q71" i="135"/>
  <c r="P71" i="135"/>
  <c r="O71" i="135"/>
  <c r="N71" i="135"/>
  <c r="M71" i="135"/>
  <c r="G71" i="135"/>
  <c r="Y70" i="135"/>
  <c r="R70" i="135"/>
  <c r="Q70" i="135"/>
  <c r="P70" i="135"/>
  <c r="O70" i="135"/>
  <c r="N70" i="135"/>
  <c r="M70" i="135"/>
  <c r="G70" i="135"/>
  <c r="Y69" i="135"/>
  <c r="R69" i="135"/>
  <c r="Q69" i="135"/>
  <c r="P69" i="135"/>
  <c r="O69" i="135"/>
  <c r="N69" i="135"/>
  <c r="M69" i="135"/>
  <c r="G69" i="135"/>
  <c r="Y68" i="135"/>
  <c r="R68" i="135"/>
  <c r="Q68" i="135"/>
  <c r="P68" i="135"/>
  <c r="O68" i="135"/>
  <c r="N68" i="135"/>
  <c r="M68" i="135"/>
  <c r="G68" i="135"/>
  <c r="Y67" i="135"/>
  <c r="R67" i="135"/>
  <c r="Q67" i="135"/>
  <c r="P67" i="135"/>
  <c r="O67" i="135"/>
  <c r="N67" i="135"/>
  <c r="M67" i="135"/>
  <c r="G67" i="135"/>
  <c r="Y66" i="135"/>
  <c r="R66" i="135"/>
  <c r="Q66" i="135"/>
  <c r="P66" i="135"/>
  <c r="O66" i="135"/>
  <c r="N66" i="135"/>
  <c r="M66" i="135"/>
  <c r="G66" i="135"/>
  <c r="Y65" i="135"/>
  <c r="R65" i="135"/>
  <c r="Q65" i="135"/>
  <c r="P65" i="135"/>
  <c r="O65" i="135"/>
  <c r="N65" i="135"/>
  <c r="M65" i="135"/>
  <c r="G65" i="135"/>
  <c r="Y64" i="135"/>
  <c r="R64" i="135"/>
  <c r="Q64" i="135"/>
  <c r="P64" i="135"/>
  <c r="O64" i="135"/>
  <c r="N64" i="135"/>
  <c r="M64" i="135"/>
  <c r="G64" i="135"/>
  <c r="Y63" i="135"/>
  <c r="R63" i="135"/>
  <c r="Q63" i="135"/>
  <c r="P63" i="135"/>
  <c r="O63" i="135"/>
  <c r="N63" i="135"/>
  <c r="M63" i="135"/>
  <c r="G63" i="135"/>
  <c r="Y62" i="135"/>
  <c r="R62" i="135"/>
  <c r="Q62" i="135"/>
  <c r="P62" i="135"/>
  <c r="O62" i="135"/>
  <c r="N62" i="135"/>
  <c r="M62" i="135"/>
  <c r="G62" i="135"/>
  <c r="Y61" i="135"/>
  <c r="R61" i="135"/>
  <c r="Q61" i="135"/>
  <c r="P61" i="135"/>
  <c r="O61" i="135"/>
  <c r="N61" i="135"/>
  <c r="M61" i="135"/>
  <c r="G61" i="135"/>
  <c r="Y60" i="135"/>
  <c r="R60" i="135"/>
  <c r="Q60" i="135"/>
  <c r="P60" i="135"/>
  <c r="O60" i="135"/>
  <c r="N60" i="135"/>
  <c r="M60" i="135"/>
  <c r="G60" i="135"/>
  <c r="Y59" i="135"/>
  <c r="R59" i="135"/>
  <c r="Q59" i="135"/>
  <c r="P59" i="135"/>
  <c r="O59" i="135"/>
  <c r="N59" i="135"/>
  <c r="M59" i="135"/>
  <c r="G59" i="135"/>
  <c r="Y58" i="135"/>
  <c r="R58" i="135"/>
  <c r="Q58" i="135"/>
  <c r="P58" i="135"/>
  <c r="O58" i="135"/>
  <c r="N58" i="135"/>
  <c r="M58" i="135"/>
  <c r="G58" i="135"/>
  <c r="Y57" i="135"/>
  <c r="R57" i="135"/>
  <c r="Q57" i="135"/>
  <c r="P57" i="135"/>
  <c r="O57" i="135"/>
  <c r="N57" i="135"/>
  <c r="M57" i="135"/>
  <c r="G57" i="135"/>
  <c r="Y56" i="135"/>
  <c r="R56" i="135"/>
  <c r="Q56" i="135"/>
  <c r="P56" i="135"/>
  <c r="O56" i="135"/>
  <c r="N56" i="135"/>
  <c r="M56" i="135"/>
  <c r="G56" i="135"/>
  <c r="Y55" i="135"/>
  <c r="R55" i="135"/>
  <c r="Q55" i="135"/>
  <c r="P55" i="135"/>
  <c r="O55" i="135"/>
  <c r="N55" i="135"/>
  <c r="M55" i="135"/>
  <c r="G55" i="135"/>
  <c r="Y54" i="135"/>
  <c r="R54" i="135"/>
  <c r="Q54" i="135"/>
  <c r="P54" i="135"/>
  <c r="O54" i="135"/>
  <c r="N54" i="135"/>
  <c r="M54" i="135"/>
  <c r="G54" i="135"/>
  <c r="Y53" i="135"/>
  <c r="R53" i="135"/>
  <c r="Q53" i="135"/>
  <c r="P53" i="135"/>
  <c r="O53" i="135"/>
  <c r="N53" i="135"/>
  <c r="M53" i="135"/>
  <c r="G53" i="135"/>
  <c r="Y52" i="135"/>
  <c r="R52" i="135"/>
  <c r="Q52" i="135"/>
  <c r="P52" i="135"/>
  <c r="O52" i="135"/>
  <c r="N52" i="135"/>
  <c r="M52" i="135"/>
  <c r="G52" i="135"/>
  <c r="Y51" i="135"/>
  <c r="R51" i="135"/>
  <c r="Q51" i="135"/>
  <c r="P51" i="135"/>
  <c r="O51" i="135"/>
  <c r="N51" i="135"/>
  <c r="M51" i="135"/>
  <c r="G51" i="135"/>
  <c r="A51" i="135"/>
  <c r="A55" i="135" s="1"/>
  <c r="A59" i="135" s="1"/>
  <c r="A63" i="135" s="1"/>
  <c r="A67" i="135" s="1"/>
  <c r="A71" i="135" s="1"/>
  <c r="A75" i="135" s="1"/>
  <c r="A79" i="135" s="1"/>
  <c r="A83" i="135" s="1"/>
  <c r="A87" i="135" s="1"/>
  <c r="A91" i="135" s="1"/>
  <c r="A95" i="135" s="1"/>
  <c r="A99" i="135" s="1"/>
  <c r="A103" i="135" s="1"/>
  <c r="A107" i="135" s="1"/>
  <c r="A111" i="135" s="1"/>
  <c r="A115" i="135" s="1"/>
  <c r="A119" i="135" s="1"/>
  <c r="A123" i="135" s="1"/>
  <c r="A127" i="135" s="1"/>
  <c r="A131" i="135" s="1"/>
  <c r="A135" i="135" s="1"/>
  <c r="A139" i="135" s="1"/>
  <c r="Y50" i="135"/>
  <c r="R50" i="135"/>
  <c r="Q50" i="135"/>
  <c r="P50" i="135"/>
  <c r="O50" i="135"/>
  <c r="N50" i="135"/>
  <c r="M50" i="135"/>
  <c r="G50" i="135"/>
  <c r="A50" i="135"/>
  <c r="A54" i="135" s="1"/>
  <c r="A58" i="135" s="1"/>
  <c r="A62" i="135" s="1"/>
  <c r="A66" i="135" s="1"/>
  <c r="A70" i="135" s="1"/>
  <c r="A74" i="135" s="1"/>
  <c r="A78" i="135" s="1"/>
  <c r="A82" i="135" s="1"/>
  <c r="A86" i="135" s="1"/>
  <c r="A90" i="135" s="1"/>
  <c r="A94" i="135" s="1"/>
  <c r="A98" i="135" s="1"/>
  <c r="A102" i="135" s="1"/>
  <c r="A106" i="135" s="1"/>
  <c r="A110" i="135" s="1"/>
  <c r="A114" i="135" s="1"/>
  <c r="A118" i="135" s="1"/>
  <c r="A122" i="135" s="1"/>
  <c r="A126" i="135" s="1"/>
  <c r="A130" i="135" s="1"/>
  <c r="A134" i="135" s="1"/>
  <c r="A138" i="135" s="1"/>
  <c r="Y49" i="135"/>
  <c r="R49" i="135"/>
  <c r="Q49" i="135"/>
  <c r="P49" i="135"/>
  <c r="O49" i="135"/>
  <c r="N49" i="135"/>
  <c r="M49" i="135"/>
  <c r="G49" i="135"/>
  <c r="A49" i="135"/>
  <c r="A53" i="135" s="1"/>
  <c r="A57" i="135" s="1"/>
  <c r="A61" i="135" s="1"/>
  <c r="A65" i="135" s="1"/>
  <c r="A69" i="135" s="1"/>
  <c r="A73" i="135" s="1"/>
  <c r="A77" i="135" s="1"/>
  <c r="A81" i="135" s="1"/>
  <c r="A85" i="135" s="1"/>
  <c r="A89" i="135" s="1"/>
  <c r="A93" i="135" s="1"/>
  <c r="A97" i="135" s="1"/>
  <c r="A101" i="135" s="1"/>
  <c r="A105" i="135" s="1"/>
  <c r="A109" i="135" s="1"/>
  <c r="A113" i="135" s="1"/>
  <c r="A117" i="135" s="1"/>
  <c r="A121" i="135" s="1"/>
  <c r="A125" i="135" s="1"/>
  <c r="A129" i="135" s="1"/>
  <c r="A133" i="135" s="1"/>
  <c r="A137" i="135" s="1"/>
  <c r="Y48" i="135"/>
  <c r="R48" i="135"/>
  <c r="Q48" i="135"/>
  <c r="P48" i="135"/>
  <c r="O48" i="135"/>
  <c r="N48" i="135"/>
  <c r="M48" i="135"/>
  <c r="G48" i="135"/>
  <c r="A48" i="135"/>
  <c r="A52" i="135" s="1"/>
  <c r="A56" i="135" s="1"/>
  <c r="A60" i="135" s="1"/>
  <c r="A64" i="135" s="1"/>
  <c r="A68" i="135" s="1"/>
  <c r="A72" i="135" s="1"/>
  <c r="A76" i="135" s="1"/>
  <c r="A80" i="135" s="1"/>
  <c r="A84" i="135" s="1"/>
  <c r="A88" i="135" s="1"/>
  <c r="A92" i="135" s="1"/>
  <c r="A96" i="135" s="1"/>
  <c r="A100" i="135" s="1"/>
  <c r="A104" i="135" s="1"/>
  <c r="A108" i="135" s="1"/>
  <c r="A112" i="135" s="1"/>
  <c r="A116" i="135" s="1"/>
  <c r="A120" i="135" s="1"/>
  <c r="A124" i="135" s="1"/>
  <c r="A128" i="135" s="1"/>
  <c r="A132" i="135" s="1"/>
  <c r="A136" i="135" s="1"/>
  <c r="Y47" i="135"/>
  <c r="R47" i="135"/>
  <c r="Q47" i="135"/>
  <c r="P47" i="135"/>
  <c r="O47" i="135"/>
  <c r="N47" i="135"/>
  <c r="M47" i="135"/>
  <c r="G47" i="135"/>
  <c r="R46" i="135"/>
  <c r="Q46" i="135"/>
  <c r="P46" i="135"/>
  <c r="O46" i="135"/>
  <c r="N46" i="135"/>
  <c r="M46" i="135"/>
  <c r="G46" i="135"/>
  <c r="Y45" i="135"/>
  <c r="R45" i="135"/>
  <c r="Q45" i="135"/>
  <c r="P45" i="135"/>
  <c r="O45" i="135"/>
  <c r="N45" i="135"/>
  <c r="M45" i="135"/>
  <c r="G45" i="135"/>
  <c r="Y44" i="135"/>
  <c r="R44" i="135"/>
  <c r="Q44" i="135"/>
  <c r="P44" i="135"/>
  <c r="O44" i="135"/>
  <c r="N44" i="135"/>
  <c r="M44" i="135"/>
  <c r="G44" i="135"/>
  <c r="Y43" i="135"/>
  <c r="R43" i="135"/>
  <c r="Q43" i="135"/>
  <c r="P43" i="135"/>
  <c r="O43" i="135"/>
  <c r="N43" i="135"/>
  <c r="M43" i="135"/>
  <c r="G43" i="135"/>
  <c r="Y42" i="135"/>
  <c r="R42" i="135"/>
  <c r="Q42" i="135"/>
  <c r="P42" i="135"/>
  <c r="O42" i="135"/>
  <c r="N42" i="135"/>
  <c r="M42" i="135"/>
  <c r="G42" i="135"/>
  <c r="Y41" i="135"/>
  <c r="R41" i="135"/>
  <c r="Q41" i="135"/>
  <c r="P41" i="135"/>
  <c r="O41" i="135"/>
  <c r="N41" i="135"/>
  <c r="M41" i="135"/>
  <c r="G41" i="135"/>
  <c r="Y40" i="135"/>
  <c r="R40" i="135"/>
  <c r="Q40" i="135"/>
  <c r="P40" i="135"/>
  <c r="O40" i="135"/>
  <c r="N40" i="135"/>
  <c r="M40" i="135"/>
  <c r="G40" i="135"/>
  <c r="Y39" i="135"/>
  <c r="R39" i="135"/>
  <c r="Q39" i="135"/>
  <c r="P39" i="135"/>
  <c r="O39" i="135"/>
  <c r="N39" i="135"/>
  <c r="M39" i="135"/>
  <c r="G39" i="135"/>
  <c r="Y38" i="135"/>
  <c r="R38" i="135"/>
  <c r="Q38" i="135"/>
  <c r="P38" i="135"/>
  <c r="O38" i="135"/>
  <c r="N38" i="135"/>
  <c r="M38" i="135"/>
  <c r="G38" i="135"/>
  <c r="Y37" i="135"/>
  <c r="R37" i="135"/>
  <c r="Q37" i="135"/>
  <c r="P37" i="135"/>
  <c r="O37" i="135"/>
  <c r="N37" i="135"/>
  <c r="M37" i="135"/>
  <c r="G37" i="135"/>
  <c r="Y36" i="135"/>
  <c r="R36" i="135"/>
  <c r="Q36" i="135"/>
  <c r="P36" i="135"/>
  <c r="O36" i="135"/>
  <c r="N36" i="135"/>
  <c r="M36" i="135"/>
  <c r="G36" i="135"/>
  <c r="Y35" i="135"/>
  <c r="R35" i="135"/>
  <c r="Q35" i="135"/>
  <c r="P35" i="135"/>
  <c r="O35" i="135"/>
  <c r="N35" i="135"/>
  <c r="M35" i="135"/>
  <c r="G35" i="135"/>
  <c r="Y34" i="135"/>
  <c r="R34" i="135"/>
  <c r="Q34" i="135"/>
  <c r="P34" i="135"/>
  <c r="O34" i="135"/>
  <c r="N34" i="135"/>
  <c r="M34" i="135"/>
  <c r="G34" i="135"/>
  <c r="Y33" i="135"/>
  <c r="R33" i="135"/>
  <c r="Q33" i="135"/>
  <c r="P33" i="135"/>
  <c r="O33" i="135"/>
  <c r="N33" i="135"/>
  <c r="M33" i="135"/>
  <c r="G33" i="135"/>
  <c r="Y32" i="135"/>
  <c r="R32" i="135"/>
  <c r="Q32" i="135"/>
  <c r="P32" i="135"/>
  <c r="O32" i="135"/>
  <c r="N32" i="135"/>
  <c r="M32" i="135"/>
  <c r="G32" i="135"/>
  <c r="Y31" i="135"/>
  <c r="R31" i="135"/>
  <c r="Q31" i="135"/>
  <c r="P31" i="135"/>
  <c r="O31" i="135"/>
  <c r="N31" i="135"/>
  <c r="M31" i="135"/>
  <c r="G31" i="135"/>
  <c r="Y30" i="135"/>
  <c r="R30" i="135"/>
  <c r="Q30" i="135"/>
  <c r="P30" i="135"/>
  <c r="O30" i="135"/>
  <c r="N30" i="135"/>
  <c r="M30" i="135"/>
  <c r="G30" i="135"/>
  <c r="Y29" i="135"/>
  <c r="J29" i="135"/>
  <c r="I29" i="135"/>
  <c r="H29" i="135"/>
  <c r="G29" i="135"/>
  <c r="Y28" i="135"/>
  <c r="J28" i="135"/>
  <c r="I28" i="135"/>
  <c r="H28" i="135"/>
  <c r="G28" i="135"/>
  <c r="P139" i="134"/>
  <c r="O139" i="134"/>
  <c r="N139" i="134"/>
  <c r="M139" i="134"/>
  <c r="L139" i="134"/>
  <c r="P138" i="134"/>
  <c r="O138" i="134"/>
  <c r="N138" i="134"/>
  <c r="M138" i="134"/>
  <c r="L138" i="134"/>
  <c r="P137" i="134"/>
  <c r="O137" i="134"/>
  <c r="N137" i="134"/>
  <c r="M137" i="134"/>
  <c r="L137" i="134"/>
  <c r="P136" i="134"/>
  <c r="O136" i="134"/>
  <c r="N136" i="134"/>
  <c r="M136" i="134"/>
  <c r="L136" i="134"/>
  <c r="P135" i="134"/>
  <c r="O135" i="134"/>
  <c r="N135" i="134"/>
  <c r="M135" i="134"/>
  <c r="L135" i="134"/>
  <c r="P134" i="134"/>
  <c r="O134" i="134"/>
  <c r="N134" i="134"/>
  <c r="M134" i="134"/>
  <c r="L134" i="134"/>
  <c r="P133" i="134"/>
  <c r="O133" i="134"/>
  <c r="N133" i="134"/>
  <c r="M133" i="134"/>
  <c r="L133" i="134"/>
  <c r="P132" i="134"/>
  <c r="O132" i="134"/>
  <c r="N132" i="134"/>
  <c r="M132" i="134"/>
  <c r="L132" i="134"/>
  <c r="P131" i="134"/>
  <c r="O131" i="134"/>
  <c r="N131" i="134"/>
  <c r="M131" i="134"/>
  <c r="L131" i="134"/>
  <c r="P130" i="134"/>
  <c r="O130" i="134"/>
  <c r="N130" i="134"/>
  <c r="M130" i="134"/>
  <c r="L130" i="134"/>
  <c r="P129" i="134"/>
  <c r="O129" i="134"/>
  <c r="N129" i="134"/>
  <c r="M129" i="134"/>
  <c r="L129" i="134"/>
  <c r="P128" i="134"/>
  <c r="O128" i="134"/>
  <c r="N128" i="134"/>
  <c r="M128" i="134"/>
  <c r="L128" i="134"/>
  <c r="P127" i="134"/>
  <c r="O127" i="134"/>
  <c r="N127" i="134"/>
  <c r="M127" i="134"/>
  <c r="L127" i="134"/>
  <c r="P126" i="134"/>
  <c r="O126" i="134"/>
  <c r="N126" i="134"/>
  <c r="M126" i="134"/>
  <c r="L126" i="134"/>
  <c r="P125" i="134"/>
  <c r="O125" i="134"/>
  <c r="N125" i="134"/>
  <c r="M125" i="134"/>
  <c r="L125" i="134"/>
  <c r="P124" i="134"/>
  <c r="O124" i="134"/>
  <c r="N124" i="134"/>
  <c r="M124" i="134"/>
  <c r="L124" i="134"/>
  <c r="P123" i="134"/>
  <c r="O123" i="134"/>
  <c r="N123" i="134"/>
  <c r="M123" i="134"/>
  <c r="L123" i="134"/>
  <c r="P122" i="134"/>
  <c r="O122" i="134"/>
  <c r="N122" i="134"/>
  <c r="M122" i="134"/>
  <c r="L122" i="134"/>
  <c r="P121" i="134"/>
  <c r="O121" i="134"/>
  <c r="N121" i="134"/>
  <c r="M121" i="134"/>
  <c r="L121" i="134"/>
  <c r="P120" i="134"/>
  <c r="O120" i="134"/>
  <c r="N120" i="134"/>
  <c r="M120" i="134"/>
  <c r="L120" i="134"/>
  <c r="P119" i="134"/>
  <c r="O119" i="134"/>
  <c r="N119" i="134"/>
  <c r="M119" i="134"/>
  <c r="L119" i="134"/>
  <c r="P118" i="134"/>
  <c r="O118" i="134"/>
  <c r="N118" i="134"/>
  <c r="M118" i="134"/>
  <c r="L118" i="134"/>
  <c r="P117" i="134"/>
  <c r="O117" i="134"/>
  <c r="N117" i="134"/>
  <c r="M117" i="134"/>
  <c r="L117" i="134"/>
  <c r="P116" i="134"/>
  <c r="O116" i="134"/>
  <c r="N116" i="134"/>
  <c r="M116" i="134"/>
  <c r="L116" i="134"/>
  <c r="P115" i="134"/>
  <c r="O115" i="134"/>
  <c r="N115" i="134"/>
  <c r="M115" i="134"/>
  <c r="L115" i="134"/>
  <c r="P114" i="134"/>
  <c r="O114" i="134"/>
  <c r="N114" i="134"/>
  <c r="M114" i="134"/>
  <c r="L114" i="134"/>
  <c r="P113" i="134"/>
  <c r="O113" i="134"/>
  <c r="N113" i="134"/>
  <c r="M113" i="134"/>
  <c r="L113" i="134"/>
  <c r="P112" i="134"/>
  <c r="O112" i="134"/>
  <c r="N112" i="134"/>
  <c r="M112" i="134"/>
  <c r="L112" i="134"/>
  <c r="P111" i="134"/>
  <c r="O111" i="134"/>
  <c r="N111" i="134"/>
  <c r="M111" i="134"/>
  <c r="L111" i="134"/>
  <c r="P110" i="134"/>
  <c r="O110" i="134"/>
  <c r="N110" i="134"/>
  <c r="M110" i="134"/>
  <c r="L110" i="134"/>
  <c r="P109" i="134"/>
  <c r="O109" i="134"/>
  <c r="N109" i="134"/>
  <c r="M109" i="134"/>
  <c r="L109" i="134"/>
  <c r="P108" i="134"/>
  <c r="O108" i="134"/>
  <c r="N108" i="134"/>
  <c r="M108" i="134"/>
  <c r="L108" i="134"/>
  <c r="P107" i="134"/>
  <c r="O107" i="134"/>
  <c r="N107" i="134"/>
  <c r="M107" i="134"/>
  <c r="L107" i="134"/>
  <c r="P106" i="134"/>
  <c r="O106" i="134"/>
  <c r="N106" i="134"/>
  <c r="M106" i="134"/>
  <c r="L106" i="134"/>
  <c r="P105" i="134"/>
  <c r="O105" i="134"/>
  <c r="N105" i="134"/>
  <c r="M105" i="134"/>
  <c r="L105" i="134"/>
  <c r="P104" i="134"/>
  <c r="O104" i="134"/>
  <c r="N104" i="134"/>
  <c r="M104" i="134"/>
  <c r="L104" i="134"/>
  <c r="P103" i="134"/>
  <c r="O103" i="134"/>
  <c r="N103" i="134"/>
  <c r="M103" i="134"/>
  <c r="L103" i="134"/>
  <c r="P102" i="134"/>
  <c r="O102" i="134"/>
  <c r="N102" i="134"/>
  <c r="M102" i="134"/>
  <c r="L102" i="134"/>
  <c r="P101" i="134"/>
  <c r="O101" i="134"/>
  <c r="N101" i="134"/>
  <c r="M101" i="134"/>
  <c r="L101" i="134"/>
  <c r="P100" i="134"/>
  <c r="O100" i="134"/>
  <c r="N100" i="134"/>
  <c r="M100" i="134"/>
  <c r="L100" i="134"/>
  <c r="P99" i="134"/>
  <c r="O99" i="134"/>
  <c r="N99" i="134"/>
  <c r="M99" i="134"/>
  <c r="L99" i="134"/>
  <c r="P98" i="134"/>
  <c r="O98" i="134"/>
  <c r="N98" i="134"/>
  <c r="M98" i="134"/>
  <c r="L98" i="134"/>
  <c r="P97" i="134"/>
  <c r="O97" i="134"/>
  <c r="N97" i="134"/>
  <c r="M97" i="134"/>
  <c r="L97" i="134"/>
  <c r="P96" i="134"/>
  <c r="O96" i="134"/>
  <c r="N96" i="134"/>
  <c r="M96" i="134"/>
  <c r="L96" i="134"/>
  <c r="P95" i="134"/>
  <c r="O95" i="134"/>
  <c r="N95" i="134"/>
  <c r="M95" i="134"/>
  <c r="L95" i="134"/>
  <c r="P94" i="134"/>
  <c r="O94" i="134"/>
  <c r="N94" i="134"/>
  <c r="M94" i="134"/>
  <c r="L94" i="134"/>
  <c r="P93" i="134"/>
  <c r="O93" i="134"/>
  <c r="N93" i="134"/>
  <c r="M93" i="134"/>
  <c r="L93" i="134"/>
  <c r="P92" i="134"/>
  <c r="O92" i="134"/>
  <c r="N92" i="134"/>
  <c r="M92" i="134"/>
  <c r="L92" i="134"/>
  <c r="P91" i="134"/>
  <c r="O91" i="134"/>
  <c r="N91" i="134"/>
  <c r="M91" i="134"/>
  <c r="L91" i="134"/>
  <c r="P90" i="134"/>
  <c r="O90" i="134"/>
  <c r="N90" i="134"/>
  <c r="M90" i="134"/>
  <c r="L90" i="134"/>
  <c r="P89" i="134"/>
  <c r="O89" i="134"/>
  <c r="N89" i="134"/>
  <c r="M89" i="134"/>
  <c r="L89" i="134"/>
  <c r="P88" i="134"/>
  <c r="O88" i="134"/>
  <c r="N88" i="134"/>
  <c r="M88" i="134"/>
  <c r="L88" i="134"/>
  <c r="P87" i="134"/>
  <c r="O87" i="134"/>
  <c r="N87" i="134"/>
  <c r="M87" i="134"/>
  <c r="L87" i="134"/>
  <c r="P86" i="134"/>
  <c r="O86" i="134"/>
  <c r="N86" i="134"/>
  <c r="M86" i="134"/>
  <c r="L86" i="134"/>
  <c r="P85" i="134"/>
  <c r="O85" i="134"/>
  <c r="N85" i="134"/>
  <c r="M85" i="134"/>
  <c r="L85" i="134"/>
  <c r="P84" i="134"/>
  <c r="O84" i="134"/>
  <c r="N84" i="134"/>
  <c r="M84" i="134"/>
  <c r="L84" i="134"/>
  <c r="P83" i="134"/>
  <c r="O83" i="134"/>
  <c r="N83" i="134"/>
  <c r="M83" i="134"/>
  <c r="L83" i="134"/>
  <c r="P82" i="134"/>
  <c r="O82" i="134"/>
  <c r="N82" i="134"/>
  <c r="M82" i="134"/>
  <c r="L82" i="134"/>
  <c r="P81" i="134"/>
  <c r="O81" i="134"/>
  <c r="N81" i="134"/>
  <c r="M81" i="134"/>
  <c r="L81" i="134"/>
  <c r="U80" i="134"/>
  <c r="T80" i="134"/>
  <c r="S80" i="134"/>
  <c r="R80" i="134"/>
  <c r="Q80" i="134"/>
  <c r="K80" i="134"/>
  <c r="J80" i="134"/>
  <c r="I80" i="134"/>
  <c r="Y58" i="141" s="1"/>
  <c r="H80" i="134"/>
  <c r="M80" i="134" s="1"/>
  <c r="G80" i="134"/>
  <c r="N40" i="95" s="1"/>
  <c r="J79" i="134"/>
  <c r="I79" i="134"/>
  <c r="Y57" i="141" s="1"/>
  <c r="H79" i="134"/>
  <c r="G79" i="134"/>
  <c r="N39" i="95" s="1"/>
  <c r="U78" i="134"/>
  <c r="T78" i="134"/>
  <c r="S78" i="134"/>
  <c r="R78" i="134"/>
  <c r="Q78" i="134"/>
  <c r="M78" i="134"/>
  <c r="L78" i="134"/>
  <c r="K78" i="134"/>
  <c r="O78" i="134"/>
  <c r="N78" i="134"/>
  <c r="P77" i="134"/>
  <c r="O77" i="134"/>
  <c r="N77" i="134"/>
  <c r="M77" i="134"/>
  <c r="L77" i="134"/>
  <c r="P76" i="134"/>
  <c r="O76" i="134"/>
  <c r="N76" i="134"/>
  <c r="M76" i="134"/>
  <c r="L76" i="134"/>
  <c r="P75" i="134"/>
  <c r="O75" i="134"/>
  <c r="N75" i="134"/>
  <c r="M75" i="134"/>
  <c r="L75" i="134"/>
  <c r="P74" i="134"/>
  <c r="O74" i="134"/>
  <c r="N74" i="134"/>
  <c r="M74" i="134"/>
  <c r="L74" i="134"/>
  <c r="P73" i="134"/>
  <c r="O73" i="134"/>
  <c r="N73" i="134"/>
  <c r="M73" i="134"/>
  <c r="L73" i="134"/>
  <c r="P72" i="134"/>
  <c r="O72" i="134"/>
  <c r="N72" i="134"/>
  <c r="M72" i="134"/>
  <c r="L72" i="134"/>
  <c r="P71" i="134"/>
  <c r="O71" i="134"/>
  <c r="N71" i="134"/>
  <c r="M71" i="134"/>
  <c r="L71" i="134"/>
  <c r="P70" i="134"/>
  <c r="O70" i="134"/>
  <c r="N70" i="134"/>
  <c r="M70" i="134"/>
  <c r="L70" i="134"/>
  <c r="P69" i="134"/>
  <c r="O69" i="134"/>
  <c r="N69" i="134"/>
  <c r="M69" i="134"/>
  <c r="L69" i="134"/>
  <c r="P68" i="134"/>
  <c r="O68" i="134"/>
  <c r="N68" i="134"/>
  <c r="M68" i="134"/>
  <c r="L68" i="134"/>
  <c r="P67" i="134"/>
  <c r="O67" i="134"/>
  <c r="N67" i="134"/>
  <c r="M67" i="134"/>
  <c r="L67" i="134"/>
  <c r="P66" i="134"/>
  <c r="O66" i="134"/>
  <c r="N66" i="134"/>
  <c r="M66" i="134"/>
  <c r="L66" i="134"/>
  <c r="P65" i="134"/>
  <c r="O65" i="134"/>
  <c r="N65" i="134"/>
  <c r="M65" i="134"/>
  <c r="L65" i="134"/>
  <c r="P64" i="134"/>
  <c r="O64" i="134"/>
  <c r="N64" i="134"/>
  <c r="M64" i="134"/>
  <c r="L64" i="134"/>
  <c r="P63" i="134"/>
  <c r="O63" i="134"/>
  <c r="N63" i="134"/>
  <c r="M63" i="134"/>
  <c r="L63" i="134"/>
  <c r="P62" i="134"/>
  <c r="O62" i="134"/>
  <c r="N62" i="134"/>
  <c r="M62" i="134"/>
  <c r="L62" i="134"/>
  <c r="P61" i="134"/>
  <c r="O61" i="134"/>
  <c r="N61" i="134"/>
  <c r="M61" i="134"/>
  <c r="L61" i="134"/>
  <c r="P60" i="134"/>
  <c r="O60" i="134"/>
  <c r="N60" i="134"/>
  <c r="M60" i="134"/>
  <c r="L60" i="134"/>
  <c r="P59" i="134"/>
  <c r="O59" i="134"/>
  <c r="N59" i="134"/>
  <c r="M59" i="134"/>
  <c r="L59" i="134"/>
  <c r="P58" i="134"/>
  <c r="O58" i="134"/>
  <c r="N58" i="134"/>
  <c r="M58" i="134"/>
  <c r="L58" i="134"/>
  <c r="P57" i="134"/>
  <c r="O57" i="134"/>
  <c r="N57" i="134"/>
  <c r="M57" i="134"/>
  <c r="L57" i="134"/>
  <c r="P56" i="134"/>
  <c r="O56" i="134"/>
  <c r="N56" i="134"/>
  <c r="M56" i="134"/>
  <c r="L56" i="134"/>
  <c r="P55" i="134"/>
  <c r="O55" i="134"/>
  <c r="N55" i="134"/>
  <c r="M55" i="134"/>
  <c r="L55" i="134"/>
  <c r="P54" i="134"/>
  <c r="O54" i="134"/>
  <c r="N54" i="134"/>
  <c r="M54" i="134"/>
  <c r="L54" i="134"/>
  <c r="P53" i="134"/>
  <c r="O53" i="134"/>
  <c r="N53" i="134"/>
  <c r="M53" i="134"/>
  <c r="L53" i="134"/>
  <c r="P52" i="134"/>
  <c r="O52" i="134"/>
  <c r="N52" i="134"/>
  <c r="M52" i="134"/>
  <c r="L52" i="134"/>
  <c r="P51" i="134"/>
  <c r="O51" i="134"/>
  <c r="N51" i="134"/>
  <c r="M51" i="134"/>
  <c r="L51" i="134"/>
  <c r="A51" i="134"/>
  <c r="A55" i="134" s="1"/>
  <c r="A59" i="134" s="1"/>
  <c r="A63" i="134" s="1"/>
  <c r="A67" i="134" s="1"/>
  <c r="A71" i="134" s="1"/>
  <c r="A75" i="134" s="1"/>
  <c r="A79" i="134" s="1"/>
  <c r="A83" i="134" s="1"/>
  <c r="A87" i="134" s="1"/>
  <c r="A91" i="134" s="1"/>
  <c r="A95" i="134" s="1"/>
  <c r="A99" i="134" s="1"/>
  <c r="A103" i="134" s="1"/>
  <c r="A107" i="134" s="1"/>
  <c r="A111" i="134" s="1"/>
  <c r="A115" i="134" s="1"/>
  <c r="A119" i="134" s="1"/>
  <c r="A123" i="134" s="1"/>
  <c r="A127" i="134" s="1"/>
  <c r="A131" i="134" s="1"/>
  <c r="A135" i="134" s="1"/>
  <c r="A139" i="134" s="1"/>
  <c r="P50" i="134"/>
  <c r="O50" i="134"/>
  <c r="N50" i="134"/>
  <c r="M50" i="134"/>
  <c r="L50" i="134"/>
  <c r="A50" i="134"/>
  <c r="A54" i="134" s="1"/>
  <c r="A58" i="134" s="1"/>
  <c r="A62" i="134" s="1"/>
  <c r="A66" i="134" s="1"/>
  <c r="A70" i="134" s="1"/>
  <c r="A74" i="134" s="1"/>
  <c r="A78" i="134" s="1"/>
  <c r="A82" i="134" s="1"/>
  <c r="A86" i="134" s="1"/>
  <c r="A90" i="134" s="1"/>
  <c r="A94" i="134" s="1"/>
  <c r="A98" i="134" s="1"/>
  <c r="A102" i="134" s="1"/>
  <c r="A106" i="134" s="1"/>
  <c r="A110" i="134" s="1"/>
  <c r="A114" i="134" s="1"/>
  <c r="A118" i="134" s="1"/>
  <c r="A122" i="134" s="1"/>
  <c r="A126" i="134" s="1"/>
  <c r="A130" i="134" s="1"/>
  <c r="A134" i="134" s="1"/>
  <c r="A138" i="134" s="1"/>
  <c r="P49" i="134"/>
  <c r="O49" i="134"/>
  <c r="N49" i="134"/>
  <c r="M49" i="134"/>
  <c r="L49" i="134"/>
  <c r="A49" i="134"/>
  <c r="A53" i="134" s="1"/>
  <c r="A57" i="134" s="1"/>
  <c r="A61" i="134" s="1"/>
  <c r="A65" i="134" s="1"/>
  <c r="A69" i="134" s="1"/>
  <c r="A73" i="134" s="1"/>
  <c r="A77" i="134" s="1"/>
  <c r="A81" i="134" s="1"/>
  <c r="A85" i="134" s="1"/>
  <c r="A89" i="134" s="1"/>
  <c r="A93" i="134" s="1"/>
  <c r="A97" i="134" s="1"/>
  <c r="A101" i="134" s="1"/>
  <c r="A105" i="134" s="1"/>
  <c r="A109" i="134" s="1"/>
  <c r="A113" i="134" s="1"/>
  <c r="A117" i="134" s="1"/>
  <c r="A121" i="134" s="1"/>
  <c r="A125" i="134" s="1"/>
  <c r="A129" i="134" s="1"/>
  <c r="A133" i="134" s="1"/>
  <c r="A137" i="134" s="1"/>
  <c r="P48" i="134"/>
  <c r="O48" i="134"/>
  <c r="N48" i="134"/>
  <c r="M48" i="134"/>
  <c r="L48" i="134"/>
  <c r="A48" i="134"/>
  <c r="A52" i="134" s="1"/>
  <c r="A56" i="134" s="1"/>
  <c r="A60" i="134" s="1"/>
  <c r="A64" i="134" s="1"/>
  <c r="A68" i="134" s="1"/>
  <c r="A72" i="134" s="1"/>
  <c r="A76" i="134" s="1"/>
  <c r="A80" i="134" s="1"/>
  <c r="A84" i="134" s="1"/>
  <c r="A88" i="134" s="1"/>
  <c r="A92" i="134" s="1"/>
  <c r="A96" i="134" s="1"/>
  <c r="A100" i="134" s="1"/>
  <c r="A104" i="134" s="1"/>
  <c r="A108" i="134" s="1"/>
  <c r="A112" i="134" s="1"/>
  <c r="A116" i="134" s="1"/>
  <c r="A120" i="134" s="1"/>
  <c r="A124" i="134" s="1"/>
  <c r="A128" i="134" s="1"/>
  <c r="A132" i="134" s="1"/>
  <c r="A136" i="134" s="1"/>
  <c r="P47" i="134"/>
  <c r="O47" i="134"/>
  <c r="N47" i="134"/>
  <c r="M47" i="134"/>
  <c r="L47" i="134"/>
  <c r="P46" i="134"/>
  <c r="O46" i="134"/>
  <c r="N46" i="134"/>
  <c r="M46" i="134"/>
  <c r="L46" i="134"/>
  <c r="P45" i="134"/>
  <c r="O45" i="134"/>
  <c r="N45" i="134"/>
  <c r="M45" i="134"/>
  <c r="L45" i="134"/>
  <c r="P44" i="134"/>
  <c r="O44" i="134"/>
  <c r="N44" i="134"/>
  <c r="M44" i="134"/>
  <c r="L44" i="134"/>
  <c r="P43" i="134"/>
  <c r="O43" i="134"/>
  <c r="N43" i="134"/>
  <c r="M43" i="134"/>
  <c r="L43" i="134"/>
  <c r="P42" i="134"/>
  <c r="O42" i="134"/>
  <c r="N42" i="134"/>
  <c r="M42" i="134"/>
  <c r="L42" i="134"/>
  <c r="P41" i="134"/>
  <c r="O41" i="134"/>
  <c r="N41" i="134"/>
  <c r="M41" i="134"/>
  <c r="L41" i="134"/>
  <c r="P40" i="134"/>
  <c r="O40" i="134"/>
  <c r="N40" i="134"/>
  <c r="M40" i="134"/>
  <c r="L40" i="134"/>
  <c r="P39" i="134"/>
  <c r="O39" i="134"/>
  <c r="N39" i="134"/>
  <c r="M39" i="134"/>
  <c r="L39" i="134"/>
  <c r="P38" i="134"/>
  <c r="O38" i="134"/>
  <c r="N38" i="134"/>
  <c r="M38" i="134"/>
  <c r="L38" i="134"/>
  <c r="P37" i="134"/>
  <c r="O37" i="134"/>
  <c r="N37" i="134"/>
  <c r="M37" i="134"/>
  <c r="L37" i="134"/>
  <c r="P36" i="134"/>
  <c r="O36" i="134"/>
  <c r="N36" i="134"/>
  <c r="M36" i="134"/>
  <c r="L36" i="134"/>
  <c r="P35" i="134"/>
  <c r="O35" i="134"/>
  <c r="N35" i="134"/>
  <c r="M35" i="134"/>
  <c r="L35" i="134"/>
  <c r="P34" i="134"/>
  <c r="O34" i="134"/>
  <c r="N34" i="134"/>
  <c r="M34" i="134"/>
  <c r="L34" i="134"/>
  <c r="P33" i="134"/>
  <c r="O33" i="134"/>
  <c r="N33" i="134"/>
  <c r="M33" i="134"/>
  <c r="L33" i="134"/>
  <c r="P32" i="134"/>
  <c r="O32" i="134"/>
  <c r="N32" i="134"/>
  <c r="M32" i="134"/>
  <c r="L32" i="134"/>
  <c r="P31" i="134"/>
  <c r="O31" i="134"/>
  <c r="N31" i="134"/>
  <c r="M31" i="134"/>
  <c r="L31" i="134"/>
  <c r="P30" i="134"/>
  <c r="O30" i="134"/>
  <c r="N30" i="134"/>
  <c r="M30" i="134"/>
  <c r="L30" i="134"/>
  <c r="N29" i="134"/>
  <c r="M29" i="134"/>
  <c r="L29" i="134"/>
  <c r="O29" i="134"/>
  <c r="N28" i="134"/>
  <c r="M28" i="134"/>
  <c r="L28" i="134"/>
  <c r="O28" i="134"/>
  <c r="O27" i="134"/>
  <c r="N27" i="134"/>
  <c r="M27" i="134"/>
  <c r="L27" i="134"/>
  <c r="O26" i="134"/>
  <c r="N26" i="134"/>
  <c r="M26" i="134"/>
  <c r="L26" i="134"/>
  <c r="O25" i="134"/>
  <c r="N25" i="134"/>
  <c r="M25" i="134"/>
  <c r="L25" i="134"/>
  <c r="O24" i="134"/>
  <c r="N24" i="134"/>
  <c r="M24" i="134"/>
  <c r="L24" i="134"/>
  <c r="O23" i="134"/>
  <c r="N23" i="134"/>
  <c r="M23" i="134"/>
  <c r="L23" i="134"/>
  <c r="O22" i="134"/>
  <c r="N22" i="134"/>
  <c r="M22" i="134"/>
  <c r="L22" i="134"/>
  <c r="O21" i="134"/>
  <c r="N21" i="134"/>
  <c r="M21" i="134"/>
  <c r="L21" i="134"/>
  <c r="O20" i="134"/>
  <c r="N20" i="134"/>
  <c r="M20" i="134"/>
  <c r="L20" i="134"/>
  <c r="O19" i="134"/>
  <c r="N19" i="134"/>
  <c r="M19" i="134"/>
  <c r="L19" i="134"/>
  <c r="O18" i="134"/>
  <c r="N18" i="134"/>
  <c r="M18" i="134"/>
  <c r="L18" i="134"/>
  <c r="O17" i="134"/>
  <c r="N17" i="134"/>
  <c r="M17" i="134"/>
  <c r="L17" i="134"/>
  <c r="O16" i="134"/>
  <c r="N16" i="134"/>
  <c r="M16" i="134"/>
  <c r="L16" i="134"/>
  <c r="O15" i="134"/>
  <c r="N15" i="134"/>
  <c r="M15" i="134"/>
  <c r="L15" i="134"/>
  <c r="O14" i="134"/>
  <c r="N14" i="134"/>
  <c r="M14" i="134"/>
  <c r="L14" i="134"/>
  <c r="O13" i="134"/>
  <c r="N13" i="134"/>
  <c r="M13" i="134"/>
  <c r="L13" i="134"/>
  <c r="O12" i="134"/>
  <c r="N12" i="134"/>
  <c r="M12" i="134"/>
  <c r="L12" i="134"/>
  <c r="O11" i="134"/>
  <c r="N11" i="134"/>
  <c r="M11" i="134"/>
  <c r="L11" i="134"/>
  <c r="O10" i="134"/>
  <c r="N10" i="134"/>
  <c r="M10" i="134"/>
  <c r="L10" i="134"/>
  <c r="I378" i="38"/>
  <c r="N361" i="24"/>
  <c r="S99" i="135" l="1"/>
  <c r="Q79" i="134"/>
  <c r="S115" i="135"/>
  <c r="S118" i="135"/>
  <c r="S127" i="135"/>
  <c r="S103" i="135"/>
  <c r="S40" i="135"/>
  <c r="S42" i="135"/>
  <c r="S131" i="135"/>
  <c r="S89" i="135"/>
  <c r="S53" i="135"/>
  <c r="S56" i="135"/>
  <c r="S57" i="135"/>
  <c r="S59" i="135"/>
  <c r="S60" i="135"/>
  <c r="S63" i="135"/>
  <c r="S65" i="135"/>
  <c r="S68" i="135"/>
  <c r="S69" i="135"/>
  <c r="S71" i="135"/>
  <c r="S101" i="135"/>
  <c r="S104" i="135"/>
  <c r="S119" i="135"/>
  <c r="S125" i="135"/>
  <c r="S52" i="135"/>
  <c r="S55" i="135"/>
  <c r="S61" i="135"/>
  <c r="S64" i="135"/>
  <c r="S91" i="135"/>
  <c r="S47" i="135"/>
  <c r="S90" i="135"/>
  <c r="S44" i="135"/>
  <c r="S102" i="135"/>
  <c r="S117" i="135"/>
  <c r="S120" i="135"/>
  <c r="S123" i="135"/>
  <c r="S132" i="135"/>
  <c r="K79" i="134"/>
  <c r="P79" i="134" s="1"/>
  <c r="S92" i="135"/>
  <c r="Y80" i="135"/>
  <c r="R79" i="134"/>
  <c r="G79" i="135"/>
  <c r="S136" i="135"/>
  <c r="S81" i="135"/>
  <c r="S36" i="135"/>
  <c r="S84" i="135"/>
  <c r="S85" i="135"/>
  <c r="S93" i="135"/>
  <c r="S48" i="135"/>
  <c r="S49" i="135"/>
  <c r="P80" i="135"/>
  <c r="S112" i="135"/>
  <c r="S137" i="135"/>
  <c r="L79" i="134"/>
  <c r="S74" i="135"/>
  <c r="S78" i="135"/>
  <c r="G80" i="135"/>
  <c r="S128" i="135"/>
  <c r="S133" i="135"/>
  <c r="S134" i="135"/>
  <c r="S116" i="135"/>
  <c r="Y79" i="135"/>
  <c r="S83" i="135"/>
  <c r="S86" i="135"/>
  <c r="S87" i="135"/>
  <c r="S88" i="135"/>
  <c r="S138" i="135"/>
  <c r="S139" i="135"/>
  <c r="S32" i="135"/>
  <c r="S33" i="135"/>
  <c r="S34" i="135"/>
  <c r="S35" i="135"/>
  <c r="S38" i="135"/>
  <c r="S39" i="135"/>
  <c r="S58" i="135"/>
  <c r="S62" i="135"/>
  <c r="S66" i="135"/>
  <c r="S72" i="135"/>
  <c r="S73" i="135"/>
  <c r="S75" i="135"/>
  <c r="S76" i="135"/>
  <c r="S77" i="135"/>
  <c r="N79" i="135"/>
  <c r="M80" i="135"/>
  <c r="S94" i="135"/>
  <c r="S95" i="135"/>
  <c r="S96" i="135"/>
  <c r="S97" i="135"/>
  <c r="S98" i="135"/>
  <c r="O79" i="135"/>
  <c r="R80" i="135"/>
  <c r="S43" i="135"/>
  <c r="R79" i="135"/>
  <c r="S100" i="135"/>
  <c r="S106" i="135"/>
  <c r="S107" i="135"/>
  <c r="S109" i="135"/>
  <c r="S111" i="135"/>
  <c r="S114" i="135"/>
  <c r="T79" i="134"/>
  <c r="Q80" i="135"/>
  <c r="P79" i="135"/>
  <c r="U79" i="134"/>
  <c r="N80" i="135"/>
  <c r="S54" i="135"/>
  <c r="S70" i="135"/>
  <c r="S124" i="135"/>
  <c r="M79" i="134"/>
  <c r="N80" i="134"/>
  <c r="S37" i="135"/>
  <c r="O80" i="135"/>
  <c r="S108" i="135"/>
  <c r="O80" i="134"/>
  <c r="S30" i="135"/>
  <c r="S113" i="135"/>
  <c r="S129" i="135"/>
  <c r="S130" i="135"/>
  <c r="Q39" i="95"/>
  <c r="P78" i="134"/>
  <c r="S46" i="135"/>
  <c r="S51" i="135"/>
  <c r="S67" i="135"/>
  <c r="M79" i="135"/>
  <c r="S82" i="135"/>
  <c r="S110" i="135"/>
  <c r="S126" i="135"/>
  <c r="Q40" i="95"/>
  <c r="S45" i="135"/>
  <c r="S50" i="135"/>
  <c r="S105" i="135"/>
  <c r="S121" i="135"/>
  <c r="S122" i="135"/>
  <c r="S79" i="134"/>
  <c r="P80" i="134"/>
  <c r="S31" i="135"/>
  <c r="S41" i="135"/>
  <c r="S135" i="135"/>
  <c r="T80" i="135"/>
  <c r="V80" i="135"/>
  <c r="N79" i="134"/>
  <c r="O79" i="134"/>
  <c r="Q79" i="135"/>
  <c r="L80" i="134"/>
  <c r="S80" i="135" l="1"/>
  <c r="S79" i="135"/>
  <c r="R10" i="95"/>
  <c r="R23" i="95"/>
  <c r="R22" i="95"/>
  <c r="R21" i="95"/>
  <c r="R20" i="95"/>
  <c r="R19" i="95"/>
  <c r="R18" i="95"/>
  <c r="R17" i="95"/>
  <c r="R16" i="95"/>
  <c r="R15" i="95"/>
  <c r="R14" i="95"/>
  <c r="R13" i="95"/>
  <c r="R12" i="95"/>
  <c r="R11" i="95"/>
  <c r="S23" i="95"/>
  <c r="P23" i="95"/>
  <c r="O23" i="95"/>
  <c r="V42" i="95"/>
  <c r="U42" i="95"/>
  <c r="S42" i="95"/>
  <c r="R42" i="95"/>
  <c r="P42" i="95"/>
  <c r="O42" i="95"/>
  <c r="O54" i="95"/>
  <c r="O41" i="95"/>
  <c r="O10" i="95"/>
  <c r="I377" i="38" l="1"/>
  <c r="M376" i="17" l="1"/>
  <c r="Z146" i="106" l="1"/>
  <c r="Z147" i="106"/>
  <c r="Z148" i="106"/>
  <c r="Z149" i="106"/>
  <c r="Z150" i="106"/>
  <c r="Z151" i="106"/>
  <c r="S223" i="106"/>
  <c r="L286" i="14" l="1"/>
  <c r="L287" i="14"/>
  <c r="L288" i="14"/>
  <c r="E375" i="64" l="1"/>
  <c r="D400" i="30"/>
  <c r="I158" i="121" l="1"/>
  <c r="G71" i="53" l="1"/>
  <c r="G61" i="53"/>
  <c r="G38" i="53"/>
  <c r="N250" i="24"/>
  <c r="N453" i="24" l="1"/>
  <c r="N452" i="24"/>
  <c r="N451" i="24"/>
  <c r="N450" i="24"/>
  <c r="N449" i="24"/>
  <c r="N448" i="24"/>
  <c r="N447" i="24"/>
  <c r="N446" i="24"/>
  <c r="N445" i="24"/>
  <c r="N444" i="24"/>
  <c r="N443" i="24"/>
  <c r="N442" i="24"/>
  <c r="N441" i="24"/>
  <c r="N440" i="24"/>
  <c r="N439" i="24"/>
  <c r="N438" i="24"/>
  <c r="N437" i="24"/>
  <c r="N436" i="24"/>
  <c r="N435" i="24"/>
  <c r="N434" i="24"/>
  <c r="N433" i="24"/>
  <c r="N432" i="24"/>
  <c r="N431" i="24"/>
  <c r="N430" i="24"/>
  <c r="N429" i="24"/>
  <c r="N428" i="24"/>
  <c r="N427" i="24"/>
  <c r="N426" i="24"/>
  <c r="N425" i="24"/>
  <c r="N424" i="24"/>
  <c r="N423" i="24"/>
  <c r="N422" i="24"/>
  <c r="N421" i="24"/>
  <c r="N420" i="24"/>
  <c r="N419" i="24"/>
  <c r="N418" i="24"/>
  <c r="N417" i="24"/>
  <c r="N416" i="24"/>
  <c r="N415" i="24"/>
  <c r="N414" i="24"/>
  <c r="N413" i="24"/>
  <c r="N412" i="24"/>
  <c r="N411" i="24"/>
  <c r="N410" i="24"/>
  <c r="N409" i="24"/>
  <c r="N408" i="24"/>
  <c r="N407" i="24"/>
  <c r="N406" i="24"/>
  <c r="N405" i="24"/>
  <c r="N404" i="24"/>
  <c r="N403" i="24"/>
  <c r="N402" i="24"/>
  <c r="N401" i="24"/>
  <c r="N400" i="24"/>
  <c r="N399" i="24"/>
  <c r="N398" i="24"/>
  <c r="N397" i="24"/>
  <c r="N396" i="24"/>
  <c r="N395" i="24"/>
  <c r="N394" i="24"/>
  <c r="N393" i="24"/>
  <c r="N392" i="24"/>
  <c r="N391" i="24"/>
  <c r="N390" i="24"/>
  <c r="N389" i="24"/>
  <c r="N388" i="24"/>
  <c r="N387" i="24"/>
  <c r="N386" i="24"/>
  <c r="N385" i="24"/>
  <c r="N384" i="24"/>
  <c r="N383" i="24"/>
  <c r="N382" i="24"/>
  <c r="N381" i="24"/>
  <c r="N380" i="24"/>
  <c r="N379" i="24"/>
  <c r="N378" i="24"/>
  <c r="N377" i="24"/>
  <c r="N376" i="24"/>
  <c r="N374" i="24"/>
  <c r="N373" i="24"/>
  <c r="N372" i="24"/>
  <c r="N371" i="24"/>
  <c r="N370" i="24"/>
  <c r="N369" i="24"/>
  <c r="N368" i="24"/>
  <c r="N367" i="24"/>
  <c r="N366" i="24"/>
  <c r="N365" i="24"/>
  <c r="N364" i="24"/>
  <c r="N363" i="24"/>
  <c r="N362" i="24"/>
  <c r="N360" i="24"/>
  <c r="N359" i="24"/>
  <c r="N358" i="24"/>
  <c r="N357" i="24"/>
  <c r="N356" i="24"/>
  <c r="N355" i="24"/>
  <c r="N354" i="24"/>
  <c r="N353" i="24"/>
  <c r="N352" i="24"/>
  <c r="N351" i="24"/>
  <c r="N350" i="24"/>
  <c r="N349" i="24"/>
  <c r="N348" i="24"/>
  <c r="N347" i="24"/>
  <c r="N346" i="24"/>
  <c r="N345" i="24"/>
  <c r="N344" i="24"/>
  <c r="N343" i="24"/>
  <c r="N342" i="24"/>
  <c r="N341" i="24"/>
  <c r="N340" i="24"/>
  <c r="N339" i="24"/>
  <c r="N338" i="24"/>
  <c r="N337" i="24"/>
  <c r="N336" i="24"/>
  <c r="N335" i="24"/>
  <c r="N334" i="24"/>
  <c r="N333" i="24"/>
  <c r="N332" i="24"/>
  <c r="N331" i="24"/>
  <c r="N330" i="24"/>
  <c r="N329" i="24"/>
  <c r="N328" i="24"/>
  <c r="N327" i="24"/>
  <c r="N326" i="24"/>
  <c r="N325" i="24"/>
  <c r="N324" i="24"/>
  <c r="N323" i="24"/>
  <c r="N322" i="24"/>
  <c r="N321" i="24"/>
  <c r="N320" i="24"/>
  <c r="N319" i="24"/>
  <c r="N318" i="24"/>
  <c r="N317" i="24"/>
  <c r="N316" i="24"/>
  <c r="N315" i="24"/>
  <c r="N314" i="24"/>
  <c r="N313" i="24"/>
  <c r="N312" i="24"/>
  <c r="N311" i="24"/>
  <c r="N310" i="24"/>
  <c r="N309" i="24"/>
  <c r="N308" i="24"/>
  <c r="N307" i="24"/>
  <c r="N306" i="24"/>
  <c r="N305" i="24"/>
  <c r="N304" i="24"/>
  <c r="N303" i="24"/>
  <c r="N302" i="24"/>
  <c r="N301" i="24"/>
  <c r="N300" i="24"/>
  <c r="N299" i="24"/>
  <c r="N298" i="24"/>
  <c r="N297" i="24"/>
  <c r="N296" i="24"/>
  <c r="N295" i="24"/>
  <c r="N294" i="24"/>
  <c r="N293" i="24"/>
  <c r="N292" i="24"/>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A201" i="24"/>
  <c r="A213" i="24" s="1"/>
  <c r="A225" i="24" s="1"/>
  <c r="A237" i="24" s="1"/>
  <c r="A249" i="24" s="1"/>
  <c r="A261" i="24" s="1"/>
  <c r="A273" i="24" s="1"/>
  <c r="A285" i="24" s="1"/>
  <c r="A297" i="24" s="1"/>
  <c r="A309" i="24" s="1"/>
  <c r="A321" i="24" s="1"/>
  <c r="A333" i="24" s="1"/>
  <c r="A345" i="24" s="1"/>
  <c r="A357" i="24" s="1"/>
  <c r="A369" i="24" s="1"/>
  <c r="A381" i="24" s="1"/>
  <c r="A393" i="24" s="1"/>
  <c r="A405" i="24" s="1"/>
  <c r="A417" i="24" s="1"/>
  <c r="A429" i="24" s="1"/>
  <c r="A441" i="24" s="1"/>
  <c r="A453" i="24" s="1"/>
  <c r="A200" i="24"/>
  <c r="A212" i="24" s="1"/>
  <c r="A224" i="24" s="1"/>
  <c r="A236" i="24" s="1"/>
  <c r="A248" i="24" s="1"/>
  <c r="A260" i="24" s="1"/>
  <c r="A272" i="24" s="1"/>
  <c r="A284" i="24" s="1"/>
  <c r="A296" i="24" s="1"/>
  <c r="A308" i="24" s="1"/>
  <c r="A320" i="24" s="1"/>
  <c r="A332" i="24" s="1"/>
  <c r="A344" i="24" s="1"/>
  <c r="A356" i="24" s="1"/>
  <c r="A368" i="24" s="1"/>
  <c r="A380" i="24" s="1"/>
  <c r="A392" i="24" s="1"/>
  <c r="A404" i="24" s="1"/>
  <c r="A416" i="24" s="1"/>
  <c r="A428" i="24" s="1"/>
  <c r="A440" i="24" s="1"/>
  <c r="A452" i="24" s="1"/>
  <c r="A199" i="24"/>
  <c r="A211" i="24" s="1"/>
  <c r="A223" i="24" s="1"/>
  <c r="A235" i="24" s="1"/>
  <c r="A247" i="24" s="1"/>
  <c r="A259" i="24" s="1"/>
  <c r="A271" i="24" s="1"/>
  <c r="A283" i="24" s="1"/>
  <c r="A295" i="24" s="1"/>
  <c r="A307" i="24" s="1"/>
  <c r="A319" i="24" s="1"/>
  <c r="A331" i="24" s="1"/>
  <c r="A343" i="24" s="1"/>
  <c r="A355" i="24" s="1"/>
  <c r="A367" i="24" s="1"/>
  <c r="A379" i="24" s="1"/>
  <c r="A391" i="24" s="1"/>
  <c r="A403" i="24" s="1"/>
  <c r="A415" i="24" s="1"/>
  <c r="A427" i="24" s="1"/>
  <c r="A439" i="24" s="1"/>
  <c r="A451" i="24" s="1"/>
  <c r="A198" i="24"/>
  <c r="A210" i="24" s="1"/>
  <c r="A222" i="24" s="1"/>
  <c r="A234" i="24" s="1"/>
  <c r="A246" i="24" s="1"/>
  <c r="A258" i="24" s="1"/>
  <c r="A270" i="24" s="1"/>
  <c r="A282" i="24" s="1"/>
  <c r="A294" i="24" s="1"/>
  <c r="A306" i="24" s="1"/>
  <c r="A318" i="24" s="1"/>
  <c r="A330" i="24" s="1"/>
  <c r="A342" i="24" s="1"/>
  <c r="A354" i="24" s="1"/>
  <c r="A366" i="24" s="1"/>
  <c r="A378" i="24" s="1"/>
  <c r="A390" i="24" s="1"/>
  <c r="A402" i="24" s="1"/>
  <c r="A414" i="24" s="1"/>
  <c r="A426" i="24" s="1"/>
  <c r="A438" i="24" s="1"/>
  <c r="A450" i="24" s="1"/>
  <c r="A197" i="24"/>
  <c r="A209" i="24" s="1"/>
  <c r="A221" i="24" s="1"/>
  <c r="A233" i="24" s="1"/>
  <c r="A245" i="24" s="1"/>
  <c r="A257" i="24" s="1"/>
  <c r="A269" i="24" s="1"/>
  <c r="A281" i="24" s="1"/>
  <c r="A293" i="24" s="1"/>
  <c r="A305" i="24" s="1"/>
  <c r="A317" i="24" s="1"/>
  <c r="A329" i="24" s="1"/>
  <c r="A341" i="24" s="1"/>
  <c r="A353" i="24" s="1"/>
  <c r="A365" i="24" s="1"/>
  <c r="A377" i="24" s="1"/>
  <c r="A389" i="24" s="1"/>
  <c r="A401" i="24" s="1"/>
  <c r="A413" i="24" s="1"/>
  <c r="A425" i="24" s="1"/>
  <c r="A437" i="24" s="1"/>
  <c r="A449" i="24" s="1"/>
  <c r="A196" i="24"/>
  <c r="A208" i="24" s="1"/>
  <c r="A220" i="24" s="1"/>
  <c r="A232" i="24" s="1"/>
  <c r="A244" i="24" s="1"/>
  <c r="A256" i="24" s="1"/>
  <c r="A268" i="24" s="1"/>
  <c r="A280" i="24" s="1"/>
  <c r="A292" i="24" s="1"/>
  <c r="A304" i="24" s="1"/>
  <c r="A316" i="24" s="1"/>
  <c r="A328" i="24" s="1"/>
  <c r="A340" i="24" s="1"/>
  <c r="A352" i="24" s="1"/>
  <c r="A364" i="24" s="1"/>
  <c r="A376" i="24" s="1"/>
  <c r="A388" i="24" s="1"/>
  <c r="A400" i="24" s="1"/>
  <c r="A412" i="24" s="1"/>
  <c r="A424" i="24" s="1"/>
  <c r="A436" i="24" s="1"/>
  <c r="A448" i="24" s="1"/>
  <c r="A195" i="24"/>
  <c r="A207" i="24" s="1"/>
  <c r="A219" i="24" s="1"/>
  <c r="A231" i="24" s="1"/>
  <c r="A243" i="24" s="1"/>
  <c r="A255" i="24" s="1"/>
  <c r="A267" i="24" s="1"/>
  <c r="A279" i="24" s="1"/>
  <c r="A291" i="24" s="1"/>
  <c r="A303" i="24" s="1"/>
  <c r="A315" i="24" s="1"/>
  <c r="A327" i="24" s="1"/>
  <c r="A339" i="24" s="1"/>
  <c r="A351" i="24" s="1"/>
  <c r="A363" i="24" s="1"/>
  <c r="A375" i="24" s="1"/>
  <c r="A387" i="24" s="1"/>
  <c r="A399" i="24" s="1"/>
  <c r="A411" i="24" s="1"/>
  <c r="A423" i="24" s="1"/>
  <c r="A435" i="24" s="1"/>
  <c r="A447" i="24" s="1"/>
  <c r="A194" i="24"/>
  <c r="A206" i="24" s="1"/>
  <c r="A218" i="24" s="1"/>
  <c r="A230" i="24" s="1"/>
  <c r="A242" i="24" s="1"/>
  <c r="A254" i="24" s="1"/>
  <c r="A266" i="24" s="1"/>
  <c r="A278" i="24" s="1"/>
  <c r="A290" i="24" s="1"/>
  <c r="A302" i="24" s="1"/>
  <c r="A314" i="24" s="1"/>
  <c r="A326" i="24" s="1"/>
  <c r="A338" i="24" s="1"/>
  <c r="A350" i="24" s="1"/>
  <c r="A362" i="24" s="1"/>
  <c r="A374" i="24" s="1"/>
  <c r="A386" i="24" s="1"/>
  <c r="A398" i="24" s="1"/>
  <c r="A410" i="24" s="1"/>
  <c r="A422" i="24" s="1"/>
  <c r="A434" i="24" s="1"/>
  <c r="A446" i="24" s="1"/>
  <c r="A193" i="24"/>
  <c r="A205" i="24" s="1"/>
  <c r="A217" i="24" s="1"/>
  <c r="A229" i="24" s="1"/>
  <c r="A241" i="24" s="1"/>
  <c r="A253" i="24" s="1"/>
  <c r="A265" i="24" s="1"/>
  <c r="A277" i="24" s="1"/>
  <c r="A289" i="24" s="1"/>
  <c r="A301" i="24" s="1"/>
  <c r="A313" i="24" s="1"/>
  <c r="A325" i="24" s="1"/>
  <c r="A337" i="24" s="1"/>
  <c r="A349" i="24" s="1"/>
  <c r="A361" i="24" s="1"/>
  <c r="A373" i="24" s="1"/>
  <c r="A385" i="24" s="1"/>
  <c r="A397" i="24" s="1"/>
  <c r="A409" i="24" s="1"/>
  <c r="A421" i="24" s="1"/>
  <c r="A433" i="24" s="1"/>
  <c r="A445" i="24" s="1"/>
  <c r="A192" i="24"/>
  <c r="A204" i="24" s="1"/>
  <c r="A216" i="24" s="1"/>
  <c r="A228" i="24" s="1"/>
  <c r="A240" i="24" s="1"/>
  <c r="A252" i="24" s="1"/>
  <c r="A264" i="24" s="1"/>
  <c r="A276" i="24" s="1"/>
  <c r="A288" i="24" s="1"/>
  <c r="A300" i="24" s="1"/>
  <c r="A312" i="24" s="1"/>
  <c r="A324" i="24" s="1"/>
  <c r="A336" i="24" s="1"/>
  <c r="A348" i="24" s="1"/>
  <c r="A360" i="24" s="1"/>
  <c r="A372" i="24" s="1"/>
  <c r="A384" i="24" s="1"/>
  <c r="A396" i="24" s="1"/>
  <c r="A408" i="24" s="1"/>
  <c r="A420" i="24" s="1"/>
  <c r="A432" i="24" s="1"/>
  <c r="A444" i="24" s="1"/>
  <c r="A191" i="24"/>
  <c r="A203" i="24" s="1"/>
  <c r="A215" i="24" s="1"/>
  <c r="A227" i="24" s="1"/>
  <c r="A239" i="24" s="1"/>
  <c r="A251" i="24" s="1"/>
  <c r="A263" i="24" s="1"/>
  <c r="A275" i="24" s="1"/>
  <c r="A287" i="24" s="1"/>
  <c r="A299" i="24" s="1"/>
  <c r="A311" i="24" s="1"/>
  <c r="A323" i="24" s="1"/>
  <c r="A335" i="24" s="1"/>
  <c r="A347" i="24" s="1"/>
  <c r="A359" i="24" s="1"/>
  <c r="A371" i="24" s="1"/>
  <c r="A383" i="24" s="1"/>
  <c r="A395" i="24" s="1"/>
  <c r="A407" i="24" s="1"/>
  <c r="A419" i="24" s="1"/>
  <c r="A431" i="24" s="1"/>
  <c r="A443" i="24" s="1"/>
  <c r="A190" i="24"/>
  <c r="A202" i="24" s="1"/>
  <c r="A214" i="24" s="1"/>
  <c r="A226" i="24" s="1"/>
  <c r="A238" i="24" s="1"/>
  <c r="A250" i="24" s="1"/>
  <c r="A262" i="24" s="1"/>
  <c r="A274" i="24" s="1"/>
  <c r="A286" i="24" s="1"/>
  <c r="A298" i="24" s="1"/>
  <c r="A310" i="24" s="1"/>
  <c r="A322" i="24" s="1"/>
  <c r="A334" i="24" s="1"/>
  <c r="A346" i="24" s="1"/>
  <c r="A358" i="24" s="1"/>
  <c r="A370" i="24" s="1"/>
  <c r="A382" i="24" s="1"/>
  <c r="A394" i="24" s="1"/>
  <c r="A406" i="24" s="1"/>
  <c r="A418" i="24" s="1"/>
  <c r="A430" i="24" s="1"/>
  <c r="A442" i="24" s="1"/>
  <c r="K7" i="24"/>
  <c r="G24" i="53" l="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8"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D375" i="11" l="1"/>
  <c r="H375" i="11" l="1"/>
  <c r="E372" i="64"/>
  <c r="I170" i="121" l="1"/>
  <c r="I171" i="121"/>
  <c r="I172" i="121"/>
  <c r="I173" i="121"/>
  <c r="I174" i="121"/>
  <c r="I175" i="121"/>
  <c r="I176" i="121"/>
  <c r="I177" i="121"/>
  <c r="I178" i="121"/>
  <c r="I179" i="121"/>
  <c r="I180" i="121"/>
  <c r="I181" i="121"/>
  <c r="I182" i="121"/>
  <c r="I183" i="121"/>
  <c r="I184" i="121"/>
  <c r="I185" i="121"/>
  <c r="I186" i="121"/>
  <c r="I187" i="121"/>
  <c r="I188" i="121"/>
  <c r="I189" i="121"/>
  <c r="J453" i="52" l="1"/>
  <c r="D453" i="52"/>
  <c r="J452" i="52"/>
  <c r="D452" i="52"/>
  <c r="J451" i="52"/>
  <c r="D451" i="52"/>
  <c r="J450" i="52"/>
  <c r="D450" i="52"/>
  <c r="J449" i="52"/>
  <c r="D449" i="52"/>
  <c r="J448" i="52"/>
  <c r="D448" i="52"/>
  <c r="J447" i="52"/>
  <c r="D447" i="52"/>
  <c r="J446" i="52"/>
  <c r="D446" i="52"/>
  <c r="J445" i="52"/>
  <c r="D445" i="52"/>
  <c r="J444" i="52"/>
  <c r="D444" i="52"/>
  <c r="J443" i="52"/>
  <c r="D443" i="52"/>
  <c r="J442" i="52"/>
  <c r="D442" i="52"/>
  <c r="J441" i="52"/>
  <c r="D441" i="52"/>
  <c r="J440" i="52"/>
  <c r="D440" i="52"/>
  <c r="J439" i="52"/>
  <c r="D439" i="52"/>
  <c r="J438" i="52"/>
  <c r="D438" i="52"/>
  <c r="J437" i="52"/>
  <c r="D437" i="52"/>
  <c r="J436" i="52"/>
  <c r="D436" i="52"/>
  <c r="J435" i="52"/>
  <c r="D435" i="52"/>
  <c r="J434" i="52"/>
  <c r="D434" i="52"/>
  <c r="J433" i="52"/>
  <c r="D433" i="52"/>
  <c r="J432" i="52"/>
  <c r="D432" i="52"/>
  <c r="J431" i="52"/>
  <c r="D431" i="52"/>
  <c r="J430" i="52"/>
  <c r="D430" i="52"/>
  <c r="J429" i="52"/>
  <c r="D429" i="52"/>
  <c r="J428" i="52"/>
  <c r="D428" i="52"/>
  <c r="J427" i="52"/>
  <c r="D427" i="52"/>
  <c r="J426" i="52"/>
  <c r="D426" i="52"/>
  <c r="J425" i="52"/>
  <c r="D425" i="52"/>
  <c r="J424" i="52"/>
  <c r="D424" i="52"/>
  <c r="J423" i="52"/>
  <c r="D423" i="52"/>
  <c r="J422" i="52"/>
  <c r="D422" i="52"/>
  <c r="J421" i="52"/>
  <c r="D421" i="52"/>
  <c r="J420" i="52"/>
  <c r="D420" i="52"/>
  <c r="J419" i="52"/>
  <c r="D419" i="52"/>
  <c r="J418" i="52"/>
  <c r="D418" i="52"/>
  <c r="J417" i="52"/>
  <c r="D417" i="52"/>
  <c r="J416" i="52"/>
  <c r="D416" i="52"/>
  <c r="J415" i="52"/>
  <c r="D415" i="52"/>
  <c r="J414" i="52"/>
  <c r="D414" i="52"/>
  <c r="J413" i="52"/>
  <c r="D413" i="52"/>
  <c r="J412" i="52"/>
  <c r="D412" i="52"/>
  <c r="J411" i="52"/>
  <c r="D411" i="52"/>
  <c r="J410" i="52"/>
  <c r="D410" i="52"/>
  <c r="J409" i="52"/>
  <c r="D409" i="52"/>
  <c r="J408" i="52"/>
  <c r="D408" i="52"/>
  <c r="J407" i="52"/>
  <c r="D407" i="52"/>
  <c r="J406" i="52"/>
  <c r="D406" i="52"/>
  <c r="J405" i="52"/>
  <c r="D405" i="52"/>
  <c r="J404" i="52"/>
  <c r="D404" i="52"/>
  <c r="J403" i="52"/>
  <c r="D403" i="52"/>
  <c r="J402" i="52"/>
  <c r="D402" i="52"/>
  <c r="J401" i="52"/>
  <c r="D401" i="52"/>
  <c r="J400" i="52"/>
  <c r="D400" i="52"/>
  <c r="J399" i="52"/>
  <c r="D399" i="52"/>
  <c r="J398" i="52"/>
  <c r="D398" i="52"/>
  <c r="J397" i="52"/>
  <c r="D397" i="52"/>
  <c r="J396" i="52"/>
  <c r="D396" i="52"/>
  <c r="J395" i="52"/>
  <c r="D395" i="52"/>
  <c r="J394" i="52"/>
  <c r="D394" i="52"/>
  <c r="E429" i="59"/>
  <c r="C429" i="59"/>
  <c r="E428" i="59"/>
  <c r="C428" i="59"/>
  <c r="E427" i="59"/>
  <c r="C427" i="59"/>
  <c r="E426" i="59"/>
  <c r="C426" i="59"/>
  <c r="E425" i="59"/>
  <c r="C425" i="59"/>
  <c r="E424" i="59"/>
  <c r="C424" i="59"/>
  <c r="E423" i="59"/>
  <c r="C423" i="59"/>
  <c r="E422" i="59"/>
  <c r="C422" i="59"/>
  <c r="E421" i="59"/>
  <c r="C421" i="59"/>
  <c r="E420" i="59"/>
  <c r="C420" i="59"/>
  <c r="E419" i="59"/>
  <c r="C419" i="59"/>
  <c r="E418" i="59"/>
  <c r="C418" i="59"/>
  <c r="E417" i="59"/>
  <c r="C417" i="59"/>
  <c r="E416" i="59"/>
  <c r="C416" i="59"/>
  <c r="E415" i="59"/>
  <c r="C415" i="59"/>
  <c r="E414" i="59"/>
  <c r="C414" i="59"/>
  <c r="E413" i="59"/>
  <c r="C413" i="59"/>
  <c r="E412" i="59"/>
  <c r="C412" i="59"/>
  <c r="E411" i="59"/>
  <c r="C411" i="59"/>
  <c r="E410" i="59"/>
  <c r="C410" i="59"/>
  <c r="E409" i="59"/>
  <c r="C409" i="59"/>
  <c r="E408" i="59"/>
  <c r="C408" i="59"/>
  <c r="E407" i="59"/>
  <c r="C407" i="59"/>
  <c r="E406" i="59"/>
  <c r="C406" i="59"/>
  <c r="E405" i="59"/>
  <c r="C405" i="59"/>
  <c r="E404" i="59"/>
  <c r="C404" i="59"/>
  <c r="E403" i="59"/>
  <c r="C403" i="59"/>
  <c r="E402" i="59"/>
  <c r="C402" i="59"/>
  <c r="E401" i="59"/>
  <c r="C401" i="59"/>
  <c r="E400" i="59"/>
  <c r="C400" i="59"/>
  <c r="E399" i="59"/>
  <c r="C399" i="59"/>
  <c r="E398" i="59"/>
  <c r="C398" i="59"/>
  <c r="E397" i="59"/>
  <c r="C397" i="59"/>
  <c r="E396" i="59"/>
  <c r="C396" i="59"/>
  <c r="E395" i="59"/>
  <c r="C395" i="59"/>
  <c r="E394" i="59"/>
  <c r="C394" i="59"/>
  <c r="E393" i="59"/>
  <c r="C393" i="59"/>
  <c r="E392" i="59"/>
  <c r="C392" i="59"/>
  <c r="E391" i="59"/>
  <c r="C391" i="59"/>
  <c r="E390" i="59"/>
  <c r="C390" i="59"/>
  <c r="E389" i="59"/>
  <c r="C389" i="59"/>
  <c r="E388" i="59"/>
  <c r="C388" i="59"/>
  <c r="E387" i="59"/>
  <c r="C387" i="59"/>
  <c r="E386" i="59"/>
  <c r="C386" i="59"/>
  <c r="E385" i="59"/>
  <c r="C385" i="59"/>
  <c r="E384" i="59"/>
  <c r="C384" i="59"/>
  <c r="E383" i="59"/>
  <c r="C383" i="59"/>
  <c r="E382" i="59"/>
  <c r="C382" i="59"/>
  <c r="E381" i="59"/>
  <c r="C381" i="59"/>
  <c r="E380" i="59"/>
  <c r="C380" i="59"/>
  <c r="E379" i="59"/>
  <c r="C379" i="59"/>
  <c r="E378" i="59"/>
  <c r="C378" i="59"/>
  <c r="E377" i="59"/>
  <c r="C377" i="59"/>
  <c r="E376" i="59"/>
  <c r="C376" i="59"/>
  <c r="E375" i="59"/>
  <c r="C375" i="59"/>
  <c r="E374" i="59"/>
  <c r="C374" i="59"/>
  <c r="E373" i="59"/>
  <c r="C373" i="59"/>
  <c r="E372" i="59"/>
  <c r="C372" i="59"/>
  <c r="E371" i="59"/>
  <c r="C371" i="59"/>
  <c r="E370" i="59"/>
  <c r="C370" i="59"/>
  <c r="L477" i="108"/>
  <c r="L476" i="108"/>
  <c r="L475" i="108"/>
  <c r="L474" i="108"/>
  <c r="L473" i="108"/>
  <c r="L472" i="108"/>
  <c r="L471" i="108"/>
  <c r="L470" i="108"/>
  <c r="L469" i="108"/>
  <c r="L468" i="108"/>
  <c r="L467" i="108"/>
  <c r="L466" i="108"/>
  <c r="L465" i="108"/>
  <c r="L464" i="108"/>
  <c r="L463" i="108"/>
  <c r="L462" i="108"/>
  <c r="L461" i="108"/>
  <c r="L460" i="108"/>
  <c r="L459" i="108"/>
  <c r="L458" i="108"/>
  <c r="L457" i="108"/>
  <c r="L456" i="108"/>
  <c r="L455" i="108"/>
  <c r="L454" i="108"/>
  <c r="L453" i="108"/>
  <c r="L452" i="108"/>
  <c r="L451" i="108"/>
  <c r="L450" i="108"/>
  <c r="L449" i="108"/>
  <c r="L448" i="108"/>
  <c r="L447" i="108"/>
  <c r="L446" i="108"/>
  <c r="L445" i="108"/>
  <c r="L444" i="108"/>
  <c r="L443" i="108"/>
  <c r="L442" i="108"/>
  <c r="L441" i="108"/>
  <c r="L440" i="108"/>
  <c r="L439" i="108"/>
  <c r="L438" i="108"/>
  <c r="L437" i="108"/>
  <c r="L436" i="108"/>
  <c r="L435" i="108"/>
  <c r="L434" i="108"/>
  <c r="L433" i="108"/>
  <c r="L432" i="108"/>
  <c r="L431" i="108"/>
  <c r="L430" i="108"/>
  <c r="L429" i="108"/>
  <c r="L428" i="108"/>
  <c r="L427" i="108"/>
  <c r="L426" i="108"/>
  <c r="L425" i="108"/>
  <c r="L424" i="108"/>
  <c r="L423" i="108"/>
  <c r="L422" i="108"/>
  <c r="L421" i="108"/>
  <c r="L420" i="108"/>
  <c r="L419" i="108"/>
  <c r="L418" i="108"/>
  <c r="D477" i="89"/>
  <c r="B477" i="89"/>
  <c r="D476" i="89"/>
  <c r="B476" i="89"/>
  <c r="D475" i="89"/>
  <c r="B475" i="89"/>
  <c r="D474" i="89"/>
  <c r="B474" i="89"/>
  <c r="D473" i="89"/>
  <c r="B473" i="89"/>
  <c r="D472" i="89"/>
  <c r="B472" i="89"/>
  <c r="D471" i="89"/>
  <c r="B471" i="89"/>
  <c r="D470" i="89"/>
  <c r="B470" i="89"/>
  <c r="D469" i="89"/>
  <c r="B469" i="89"/>
  <c r="D468" i="89"/>
  <c r="B468" i="89"/>
  <c r="D467" i="89"/>
  <c r="B467" i="89"/>
  <c r="D466" i="89"/>
  <c r="B466" i="89"/>
  <c r="D465" i="89"/>
  <c r="B465" i="89"/>
  <c r="D464" i="89"/>
  <c r="B464" i="89"/>
  <c r="D463" i="89"/>
  <c r="B463" i="89"/>
  <c r="D462" i="89"/>
  <c r="B462" i="89"/>
  <c r="D461" i="89"/>
  <c r="B461" i="89"/>
  <c r="D460" i="89"/>
  <c r="B460" i="89"/>
  <c r="D459" i="89"/>
  <c r="B459" i="89"/>
  <c r="D458" i="89"/>
  <c r="B458" i="89"/>
  <c r="D457" i="89"/>
  <c r="B457" i="89"/>
  <c r="D456" i="89"/>
  <c r="B456" i="89"/>
  <c r="D455" i="89"/>
  <c r="B455" i="89"/>
  <c r="D454" i="89"/>
  <c r="B454" i="89"/>
  <c r="D453" i="89"/>
  <c r="B453" i="89"/>
  <c r="D452" i="89"/>
  <c r="B452" i="89"/>
  <c r="D451" i="89"/>
  <c r="B451" i="89"/>
  <c r="D450" i="89"/>
  <c r="B450" i="89"/>
  <c r="D449" i="89"/>
  <c r="B449" i="89"/>
  <c r="D448" i="89"/>
  <c r="B448" i="89"/>
  <c r="D447" i="89"/>
  <c r="B447" i="89"/>
  <c r="D446" i="89"/>
  <c r="B446" i="89"/>
  <c r="D445" i="89"/>
  <c r="B445" i="89"/>
  <c r="D444" i="89"/>
  <c r="B444" i="89"/>
  <c r="D443" i="89"/>
  <c r="B443" i="89"/>
  <c r="D442" i="89"/>
  <c r="B442" i="89"/>
  <c r="D441" i="89"/>
  <c r="B441" i="89"/>
  <c r="D440" i="89"/>
  <c r="B440" i="89"/>
  <c r="D439" i="89"/>
  <c r="B439" i="89"/>
  <c r="D438" i="89"/>
  <c r="B438" i="89"/>
  <c r="D437" i="89"/>
  <c r="B437" i="89"/>
  <c r="D436" i="89"/>
  <c r="B436" i="89"/>
  <c r="D435" i="89"/>
  <c r="B435" i="89"/>
  <c r="D434" i="89"/>
  <c r="B434" i="89"/>
  <c r="D433" i="89"/>
  <c r="B433" i="89"/>
  <c r="D432" i="89"/>
  <c r="B432" i="89"/>
  <c r="D431" i="89"/>
  <c r="B431" i="89"/>
  <c r="D430" i="89"/>
  <c r="B430" i="89"/>
  <c r="D429" i="89"/>
  <c r="B429" i="89"/>
  <c r="D428" i="89"/>
  <c r="B428" i="89"/>
  <c r="D427" i="89"/>
  <c r="B427" i="89"/>
  <c r="D426" i="89"/>
  <c r="B426" i="89"/>
  <c r="D425" i="89"/>
  <c r="B425" i="89"/>
  <c r="D424" i="89"/>
  <c r="B424" i="89"/>
  <c r="D423" i="89"/>
  <c r="B423" i="89"/>
  <c r="D422" i="89"/>
  <c r="B422" i="89"/>
  <c r="D421" i="89"/>
  <c r="B421" i="89"/>
  <c r="D420" i="89"/>
  <c r="B420" i="89"/>
  <c r="D419" i="89"/>
  <c r="B419" i="89"/>
  <c r="D418" i="89"/>
  <c r="B418" i="89"/>
  <c r="D500" i="51" l="1"/>
  <c r="D501" i="51"/>
  <c r="D490" i="51"/>
  <c r="D491" i="51"/>
  <c r="D492" i="51"/>
  <c r="D493" i="51"/>
  <c r="D494" i="51"/>
  <c r="D495" i="51"/>
  <c r="D496" i="51"/>
  <c r="D497" i="51"/>
  <c r="D498" i="51"/>
  <c r="D499" i="51"/>
  <c r="D478" i="51"/>
  <c r="D479" i="51"/>
  <c r="D480" i="51"/>
  <c r="D481" i="51"/>
  <c r="D482" i="51"/>
  <c r="D483" i="51"/>
  <c r="D484" i="51"/>
  <c r="D485" i="51"/>
  <c r="D486" i="51"/>
  <c r="D487" i="51"/>
  <c r="D488" i="51"/>
  <c r="D489" i="51"/>
  <c r="D465" i="51"/>
  <c r="D466" i="51"/>
  <c r="D467" i="51"/>
  <c r="D468" i="51"/>
  <c r="D469" i="51"/>
  <c r="D470" i="51"/>
  <c r="D471" i="51"/>
  <c r="D472" i="51"/>
  <c r="D473" i="51"/>
  <c r="D474" i="51"/>
  <c r="D475" i="51"/>
  <c r="D476" i="51"/>
  <c r="D477" i="51"/>
  <c r="D458" i="51"/>
  <c r="D459" i="51"/>
  <c r="D460" i="51"/>
  <c r="D461" i="51"/>
  <c r="D462" i="51"/>
  <c r="D463" i="51"/>
  <c r="D464" i="51"/>
  <c r="D442" i="51"/>
  <c r="D443" i="51"/>
  <c r="D444" i="51"/>
  <c r="D445" i="51"/>
  <c r="D446" i="51"/>
  <c r="D447" i="51"/>
  <c r="D448" i="51"/>
  <c r="D449" i="51"/>
  <c r="D450" i="51"/>
  <c r="D451" i="51"/>
  <c r="D452" i="51"/>
  <c r="D453" i="51"/>
  <c r="D454" i="51"/>
  <c r="D455" i="51"/>
  <c r="D456" i="51"/>
  <c r="D457" i="51"/>
  <c r="L433" i="38"/>
  <c r="B433" i="38" s="1"/>
  <c r="Q433" i="38"/>
  <c r="C433" i="38" s="1"/>
  <c r="L434" i="38"/>
  <c r="B434" i="38" s="1"/>
  <c r="Q434" i="38"/>
  <c r="C434" i="38" s="1"/>
  <c r="L435" i="38"/>
  <c r="B435" i="38" s="1"/>
  <c r="Q435" i="38"/>
  <c r="C435" i="38" s="1"/>
  <c r="L436" i="38"/>
  <c r="B436" i="38" s="1"/>
  <c r="Q436" i="38"/>
  <c r="C436" i="38" s="1"/>
  <c r="L437" i="38"/>
  <c r="B437" i="38" s="1"/>
  <c r="Q437" i="38"/>
  <c r="C437" i="38" s="1"/>
  <c r="L438" i="38"/>
  <c r="B438" i="38" s="1"/>
  <c r="Q438" i="38"/>
  <c r="C438" i="38" s="1"/>
  <c r="L439" i="38"/>
  <c r="B439" i="38" s="1"/>
  <c r="Q439" i="38"/>
  <c r="C439" i="38" s="1"/>
  <c r="L440" i="38"/>
  <c r="B440" i="38" s="1"/>
  <c r="Q440" i="38"/>
  <c r="C440" i="38" s="1"/>
  <c r="L441" i="38"/>
  <c r="B441" i="38" s="1"/>
  <c r="Q441" i="38"/>
  <c r="C441" i="38" s="1"/>
  <c r="L442" i="38"/>
  <c r="B442" i="38" s="1"/>
  <c r="Q442" i="38"/>
  <c r="C442" i="38" s="1"/>
  <c r="L443" i="38"/>
  <c r="B443" i="38" s="1"/>
  <c r="Q443" i="38"/>
  <c r="C443" i="38" s="1"/>
  <c r="L444" i="38"/>
  <c r="B444" i="38" s="1"/>
  <c r="Q444" i="38"/>
  <c r="C444" i="38" s="1"/>
  <c r="L445" i="38"/>
  <c r="B445" i="38" s="1"/>
  <c r="Q445" i="38"/>
  <c r="C445" i="38" s="1"/>
  <c r="L446" i="38"/>
  <c r="B446" i="38" s="1"/>
  <c r="Q446" i="38"/>
  <c r="C446" i="38" s="1"/>
  <c r="L447" i="38"/>
  <c r="B447" i="38" s="1"/>
  <c r="Q447" i="38"/>
  <c r="C447" i="38" s="1"/>
  <c r="L448" i="38"/>
  <c r="B448" i="38" s="1"/>
  <c r="Q448" i="38"/>
  <c r="C448" i="38" s="1"/>
  <c r="L449" i="38"/>
  <c r="B449" i="38" s="1"/>
  <c r="Q449" i="38"/>
  <c r="C449" i="38" s="1"/>
  <c r="L450" i="38"/>
  <c r="B450" i="38" s="1"/>
  <c r="Q450" i="38"/>
  <c r="C450" i="38" s="1"/>
  <c r="L451" i="38"/>
  <c r="B451" i="38" s="1"/>
  <c r="Q451" i="38"/>
  <c r="C451" i="38" s="1"/>
  <c r="L452" i="38"/>
  <c r="B452" i="38" s="1"/>
  <c r="Q452" i="38"/>
  <c r="C452" i="38" s="1"/>
  <c r="L453" i="38"/>
  <c r="B453" i="38" s="1"/>
  <c r="Q453" i="38"/>
  <c r="C453" i="38" s="1"/>
  <c r="L454" i="38"/>
  <c r="B454" i="38" s="1"/>
  <c r="Q454" i="38"/>
  <c r="C454" i="38" s="1"/>
  <c r="L455" i="38"/>
  <c r="B455" i="38" s="1"/>
  <c r="Q455" i="38"/>
  <c r="C455" i="38" s="1"/>
  <c r="L456" i="38"/>
  <c r="B456" i="38" s="1"/>
  <c r="Q456" i="38"/>
  <c r="C456" i="38" s="1"/>
  <c r="L457" i="38"/>
  <c r="B457" i="38" s="1"/>
  <c r="Q457" i="38"/>
  <c r="C457" i="38" s="1"/>
  <c r="L458" i="38"/>
  <c r="B458" i="38" s="1"/>
  <c r="Q458" i="38"/>
  <c r="C458" i="38" s="1"/>
  <c r="L459" i="38"/>
  <c r="B459" i="38" s="1"/>
  <c r="Q459" i="38"/>
  <c r="C459" i="38" s="1"/>
  <c r="L460" i="38"/>
  <c r="B460" i="38" s="1"/>
  <c r="Q460" i="38"/>
  <c r="C460" i="38" s="1"/>
  <c r="L461" i="38"/>
  <c r="B461" i="38" s="1"/>
  <c r="Q461" i="38"/>
  <c r="C461" i="38" s="1"/>
  <c r="L462" i="38"/>
  <c r="B462" i="38" s="1"/>
  <c r="Q462" i="38"/>
  <c r="C462" i="38" s="1"/>
  <c r="L463" i="38"/>
  <c r="B463" i="38" s="1"/>
  <c r="Q463" i="38"/>
  <c r="C463" i="38" s="1"/>
  <c r="L464" i="38"/>
  <c r="B464" i="38" s="1"/>
  <c r="Q464" i="38"/>
  <c r="C464" i="38" s="1"/>
  <c r="L465" i="38"/>
  <c r="B465" i="38" s="1"/>
  <c r="Q465" i="38"/>
  <c r="C465" i="38" s="1"/>
  <c r="L406" i="38"/>
  <c r="B406" i="38" s="1"/>
  <c r="Q406" i="38"/>
  <c r="C406" i="38" s="1"/>
  <c r="L407" i="38"/>
  <c r="B407" i="38" s="1"/>
  <c r="Q407" i="38"/>
  <c r="C407" i="38" s="1"/>
  <c r="L408" i="38"/>
  <c r="B408" i="38" s="1"/>
  <c r="Q408" i="38"/>
  <c r="C408" i="38" s="1"/>
  <c r="L409" i="38"/>
  <c r="B409" i="38" s="1"/>
  <c r="Q409" i="38"/>
  <c r="C409" i="38" s="1"/>
  <c r="L410" i="38"/>
  <c r="B410" i="38" s="1"/>
  <c r="Q410" i="38"/>
  <c r="C410" i="38" s="1"/>
  <c r="L411" i="38"/>
  <c r="B411" i="38" s="1"/>
  <c r="Q411" i="38"/>
  <c r="C411" i="38" s="1"/>
  <c r="L412" i="38"/>
  <c r="B412" i="38" s="1"/>
  <c r="Q412" i="38"/>
  <c r="C412" i="38" s="1"/>
  <c r="L413" i="38"/>
  <c r="B413" i="38" s="1"/>
  <c r="Q413" i="38"/>
  <c r="C413" i="38" s="1"/>
  <c r="L414" i="38"/>
  <c r="B414" i="38" s="1"/>
  <c r="Q414" i="38"/>
  <c r="C414" i="38" s="1"/>
  <c r="L415" i="38"/>
  <c r="B415" i="38" s="1"/>
  <c r="Q415" i="38"/>
  <c r="C415" i="38" s="1"/>
  <c r="L416" i="38"/>
  <c r="B416" i="38" s="1"/>
  <c r="Q416" i="38"/>
  <c r="C416" i="38" s="1"/>
  <c r="L417" i="38"/>
  <c r="B417" i="38" s="1"/>
  <c r="Q417" i="38"/>
  <c r="C417" i="38" s="1"/>
  <c r="L418" i="38"/>
  <c r="B418" i="38" s="1"/>
  <c r="Q418" i="38"/>
  <c r="C418" i="38" s="1"/>
  <c r="L419" i="38"/>
  <c r="B419" i="38" s="1"/>
  <c r="Q419" i="38"/>
  <c r="C419" i="38" s="1"/>
  <c r="L420" i="38"/>
  <c r="B420" i="38" s="1"/>
  <c r="Q420" i="38"/>
  <c r="C420" i="38" s="1"/>
  <c r="L421" i="38"/>
  <c r="B421" i="38" s="1"/>
  <c r="Q421" i="38"/>
  <c r="C421" i="38" s="1"/>
  <c r="L422" i="38"/>
  <c r="B422" i="38" s="1"/>
  <c r="Q422" i="38"/>
  <c r="C422" i="38" s="1"/>
  <c r="L423" i="38"/>
  <c r="B423" i="38" s="1"/>
  <c r="Q423" i="38"/>
  <c r="C423" i="38" s="1"/>
  <c r="L424" i="38"/>
  <c r="B424" i="38" s="1"/>
  <c r="Q424" i="38"/>
  <c r="C424" i="38" s="1"/>
  <c r="L425" i="38"/>
  <c r="B425" i="38" s="1"/>
  <c r="Q425" i="38"/>
  <c r="C425" i="38" s="1"/>
  <c r="L426" i="38"/>
  <c r="B426" i="38" s="1"/>
  <c r="Q426" i="38"/>
  <c r="C426" i="38" s="1"/>
  <c r="L427" i="38"/>
  <c r="B427" i="38" s="1"/>
  <c r="Q427" i="38"/>
  <c r="C427" i="38" s="1"/>
  <c r="L428" i="38"/>
  <c r="B428" i="38" s="1"/>
  <c r="Q428" i="38"/>
  <c r="C428" i="38" s="1"/>
  <c r="L429" i="38"/>
  <c r="B429" i="38" s="1"/>
  <c r="Q429" i="38"/>
  <c r="C429" i="38" s="1"/>
  <c r="L430" i="38"/>
  <c r="B430" i="38" s="1"/>
  <c r="Q430" i="38"/>
  <c r="C430" i="38" s="1"/>
  <c r="L431" i="38"/>
  <c r="B431" i="38" s="1"/>
  <c r="Q431" i="38"/>
  <c r="C431" i="38" s="1"/>
  <c r="L432" i="38"/>
  <c r="B432" i="38" s="1"/>
  <c r="Q432" i="38"/>
  <c r="C432" i="38" s="1"/>
  <c r="H446" i="4"/>
  <c r="K446" i="4"/>
  <c r="O446" i="4"/>
  <c r="V446" i="4"/>
  <c r="H447" i="4"/>
  <c r="K447" i="4"/>
  <c r="O447" i="4"/>
  <c r="V447" i="4"/>
  <c r="H448" i="4"/>
  <c r="K448" i="4"/>
  <c r="O448" i="4"/>
  <c r="V448" i="4"/>
  <c r="H449" i="4"/>
  <c r="K449" i="4"/>
  <c r="O449" i="4"/>
  <c r="V449" i="4"/>
  <c r="H450" i="4"/>
  <c r="K450" i="4"/>
  <c r="O450" i="4"/>
  <c r="V450" i="4"/>
  <c r="H451" i="4"/>
  <c r="K451" i="4"/>
  <c r="O451" i="4"/>
  <c r="V451" i="4"/>
  <c r="H452" i="4"/>
  <c r="K452" i="4"/>
  <c r="O452" i="4"/>
  <c r="V452" i="4"/>
  <c r="H453" i="4"/>
  <c r="K453" i="4"/>
  <c r="O453" i="4"/>
  <c r="V453" i="4"/>
  <c r="H437" i="4"/>
  <c r="K437" i="4"/>
  <c r="O437" i="4"/>
  <c r="V437" i="4"/>
  <c r="H438" i="4"/>
  <c r="K438" i="4"/>
  <c r="O438" i="4"/>
  <c r="V438" i="4"/>
  <c r="H439" i="4"/>
  <c r="K439" i="4"/>
  <c r="O439" i="4"/>
  <c r="V439" i="4"/>
  <c r="H440" i="4"/>
  <c r="K440" i="4"/>
  <c r="O440" i="4"/>
  <c r="V440" i="4"/>
  <c r="H441" i="4"/>
  <c r="K441" i="4"/>
  <c r="O441" i="4"/>
  <c r="V441" i="4"/>
  <c r="H442" i="4"/>
  <c r="K442" i="4"/>
  <c r="O442" i="4"/>
  <c r="V442" i="4"/>
  <c r="H443" i="4"/>
  <c r="K443" i="4"/>
  <c r="O443" i="4"/>
  <c r="V443" i="4"/>
  <c r="H444" i="4"/>
  <c r="K444" i="4"/>
  <c r="O444" i="4"/>
  <c r="V444" i="4"/>
  <c r="H445" i="4"/>
  <c r="K445" i="4"/>
  <c r="O445" i="4"/>
  <c r="V445" i="4"/>
  <c r="H425" i="4"/>
  <c r="K425" i="4"/>
  <c r="O425" i="4"/>
  <c r="V425" i="4"/>
  <c r="H426" i="4"/>
  <c r="K426" i="4"/>
  <c r="O426" i="4"/>
  <c r="V426" i="4"/>
  <c r="H427" i="4"/>
  <c r="K427" i="4"/>
  <c r="O427" i="4"/>
  <c r="V427" i="4"/>
  <c r="H428" i="4"/>
  <c r="K428" i="4"/>
  <c r="O428" i="4"/>
  <c r="V428" i="4"/>
  <c r="H429" i="4"/>
  <c r="K429" i="4"/>
  <c r="O429" i="4"/>
  <c r="V429" i="4"/>
  <c r="H430" i="4"/>
  <c r="K430" i="4"/>
  <c r="O430" i="4"/>
  <c r="V430" i="4"/>
  <c r="H431" i="4"/>
  <c r="K431" i="4"/>
  <c r="O431" i="4"/>
  <c r="V431" i="4"/>
  <c r="H432" i="4"/>
  <c r="K432" i="4"/>
  <c r="O432" i="4"/>
  <c r="V432" i="4"/>
  <c r="H433" i="4"/>
  <c r="K433" i="4"/>
  <c r="O433" i="4"/>
  <c r="V433" i="4"/>
  <c r="H434" i="4"/>
  <c r="K434" i="4"/>
  <c r="O434" i="4"/>
  <c r="V434" i="4"/>
  <c r="H435" i="4"/>
  <c r="K435" i="4"/>
  <c r="O435" i="4"/>
  <c r="V435" i="4"/>
  <c r="H436" i="4"/>
  <c r="K436" i="4"/>
  <c r="O436" i="4"/>
  <c r="V436" i="4"/>
  <c r="H410" i="4"/>
  <c r="K410" i="4"/>
  <c r="O410" i="4"/>
  <c r="V410" i="4"/>
  <c r="H411" i="4"/>
  <c r="K411" i="4"/>
  <c r="O411" i="4"/>
  <c r="V411" i="4"/>
  <c r="H412" i="4"/>
  <c r="K412" i="4"/>
  <c r="O412" i="4"/>
  <c r="V412" i="4"/>
  <c r="H413" i="4"/>
  <c r="K413" i="4"/>
  <c r="O413" i="4"/>
  <c r="V413" i="4"/>
  <c r="H414" i="4"/>
  <c r="K414" i="4"/>
  <c r="O414" i="4"/>
  <c r="V414" i="4"/>
  <c r="H415" i="4"/>
  <c r="K415" i="4"/>
  <c r="O415" i="4"/>
  <c r="V415" i="4"/>
  <c r="H416" i="4"/>
  <c r="K416" i="4"/>
  <c r="O416" i="4"/>
  <c r="V416" i="4"/>
  <c r="H417" i="4"/>
  <c r="K417" i="4"/>
  <c r="O417" i="4"/>
  <c r="V417" i="4"/>
  <c r="H418" i="4"/>
  <c r="K418" i="4"/>
  <c r="O418" i="4"/>
  <c r="V418" i="4"/>
  <c r="H419" i="4"/>
  <c r="K419" i="4"/>
  <c r="O419" i="4"/>
  <c r="V419" i="4"/>
  <c r="H420" i="4"/>
  <c r="K420" i="4"/>
  <c r="O420" i="4"/>
  <c r="V420" i="4"/>
  <c r="H421" i="4"/>
  <c r="K421" i="4"/>
  <c r="O421" i="4"/>
  <c r="V421" i="4"/>
  <c r="H422" i="4"/>
  <c r="K422" i="4"/>
  <c r="O422" i="4"/>
  <c r="V422" i="4"/>
  <c r="H423" i="4"/>
  <c r="K423" i="4"/>
  <c r="O423" i="4"/>
  <c r="V423" i="4"/>
  <c r="H424" i="4"/>
  <c r="K424" i="4"/>
  <c r="O424" i="4"/>
  <c r="V424" i="4"/>
  <c r="H394" i="4"/>
  <c r="K394" i="4"/>
  <c r="O394" i="4"/>
  <c r="V394" i="4"/>
  <c r="H395" i="4"/>
  <c r="K395" i="4"/>
  <c r="O395" i="4"/>
  <c r="V395" i="4"/>
  <c r="H396" i="4"/>
  <c r="K396" i="4"/>
  <c r="O396" i="4"/>
  <c r="V396" i="4"/>
  <c r="H397" i="4"/>
  <c r="K397" i="4"/>
  <c r="O397" i="4"/>
  <c r="V397" i="4"/>
  <c r="H398" i="4"/>
  <c r="K398" i="4"/>
  <c r="O398" i="4"/>
  <c r="V398" i="4"/>
  <c r="H399" i="4"/>
  <c r="K399" i="4"/>
  <c r="O399" i="4"/>
  <c r="V399" i="4"/>
  <c r="H400" i="4"/>
  <c r="K400" i="4"/>
  <c r="O400" i="4"/>
  <c r="V400" i="4"/>
  <c r="H401" i="4"/>
  <c r="K401" i="4"/>
  <c r="O401" i="4"/>
  <c r="V401" i="4"/>
  <c r="H402" i="4"/>
  <c r="K402" i="4"/>
  <c r="O402" i="4"/>
  <c r="V402" i="4"/>
  <c r="H403" i="4"/>
  <c r="K403" i="4"/>
  <c r="O403" i="4"/>
  <c r="V403" i="4"/>
  <c r="H404" i="4"/>
  <c r="K404" i="4"/>
  <c r="O404" i="4"/>
  <c r="V404" i="4"/>
  <c r="H405" i="4"/>
  <c r="K405" i="4"/>
  <c r="O405" i="4"/>
  <c r="V405" i="4"/>
  <c r="H406" i="4"/>
  <c r="K406" i="4"/>
  <c r="O406" i="4"/>
  <c r="V406" i="4"/>
  <c r="H407" i="4"/>
  <c r="K407" i="4"/>
  <c r="O407" i="4"/>
  <c r="V407" i="4"/>
  <c r="H408" i="4"/>
  <c r="K408" i="4"/>
  <c r="O408" i="4"/>
  <c r="V408" i="4"/>
  <c r="H409" i="4"/>
  <c r="K409" i="4"/>
  <c r="O409" i="4"/>
  <c r="V409" i="4"/>
  <c r="H464" i="17"/>
  <c r="H465" i="17"/>
  <c r="H457" i="17"/>
  <c r="H458" i="17"/>
  <c r="H459" i="17"/>
  <c r="H460" i="17"/>
  <c r="H461" i="17"/>
  <c r="H462" i="17"/>
  <c r="H463" i="17"/>
  <c r="H450" i="17"/>
  <c r="H451" i="17"/>
  <c r="H452" i="17"/>
  <c r="H453" i="17"/>
  <c r="H454" i="17"/>
  <c r="H455" i="17"/>
  <c r="H456" i="17"/>
  <c r="H440" i="17"/>
  <c r="H441" i="17"/>
  <c r="H442" i="17"/>
  <c r="H443" i="17"/>
  <c r="H444" i="17"/>
  <c r="H445" i="17"/>
  <c r="H446" i="17"/>
  <c r="H447" i="17"/>
  <c r="H448" i="17"/>
  <c r="H449" i="17"/>
  <c r="H431" i="17"/>
  <c r="H432" i="17"/>
  <c r="H433" i="17"/>
  <c r="H434" i="17"/>
  <c r="H435" i="17"/>
  <c r="H436" i="17"/>
  <c r="H437" i="17"/>
  <c r="H438" i="17"/>
  <c r="H439" i="17"/>
  <c r="H420" i="17"/>
  <c r="H421" i="17"/>
  <c r="H422" i="17"/>
  <c r="H423" i="17"/>
  <c r="H424" i="17"/>
  <c r="H425" i="17"/>
  <c r="H426" i="17"/>
  <c r="H427" i="17"/>
  <c r="H428" i="17"/>
  <c r="H429" i="17"/>
  <c r="H430" i="17"/>
  <c r="H406" i="17"/>
  <c r="H407" i="17"/>
  <c r="H408" i="17"/>
  <c r="H409" i="17"/>
  <c r="H410" i="17"/>
  <c r="H411" i="17"/>
  <c r="H412" i="17"/>
  <c r="H413" i="17"/>
  <c r="H414" i="17"/>
  <c r="H415" i="17"/>
  <c r="H416" i="17"/>
  <c r="H417" i="17"/>
  <c r="H418" i="17"/>
  <c r="H419" i="17"/>
  <c r="C413" i="3"/>
  <c r="R413" i="3"/>
  <c r="X413" i="3"/>
  <c r="C414" i="3"/>
  <c r="R414" i="3"/>
  <c r="X414" i="3"/>
  <c r="C415" i="3"/>
  <c r="R415" i="3"/>
  <c r="X415" i="3"/>
  <c r="C416" i="3"/>
  <c r="R416" i="3"/>
  <c r="X416" i="3"/>
  <c r="C417" i="3"/>
  <c r="R417" i="3"/>
  <c r="X417" i="3"/>
  <c r="C404" i="3"/>
  <c r="R404" i="3"/>
  <c r="X404" i="3"/>
  <c r="C405" i="3"/>
  <c r="R405" i="3"/>
  <c r="X405" i="3"/>
  <c r="C406" i="3"/>
  <c r="R406" i="3"/>
  <c r="X406" i="3"/>
  <c r="C407" i="3"/>
  <c r="R407" i="3"/>
  <c r="X407" i="3"/>
  <c r="C408" i="3"/>
  <c r="R408" i="3"/>
  <c r="X408" i="3"/>
  <c r="C409" i="3"/>
  <c r="R409" i="3"/>
  <c r="X409" i="3"/>
  <c r="C410" i="3"/>
  <c r="R410" i="3"/>
  <c r="X410" i="3"/>
  <c r="C411" i="3"/>
  <c r="R411" i="3"/>
  <c r="X411" i="3"/>
  <c r="C412" i="3"/>
  <c r="R412" i="3"/>
  <c r="X412" i="3"/>
  <c r="C390" i="3"/>
  <c r="R390" i="3"/>
  <c r="X390" i="3"/>
  <c r="C391" i="3"/>
  <c r="R391" i="3"/>
  <c r="X391" i="3"/>
  <c r="C392" i="3"/>
  <c r="R392" i="3"/>
  <c r="X392" i="3"/>
  <c r="C393" i="3"/>
  <c r="R393" i="3"/>
  <c r="X393" i="3"/>
  <c r="C394" i="3"/>
  <c r="R394" i="3"/>
  <c r="X394" i="3"/>
  <c r="C395" i="3"/>
  <c r="R395" i="3"/>
  <c r="X395" i="3"/>
  <c r="C396" i="3"/>
  <c r="R396" i="3"/>
  <c r="X396" i="3"/>
  <c r="C397" i="3"/>
  <c r="R397" i="3"/>
  <c r="X397" i="3"/>
  <c r="C398" i="3"/>
  <c r="R398" i="3"/>
  <c r="X398" i="3"/>
  <c r="C399" i="3"/>
  <c r="R399" i="3"/>
  <c r="X399" i="3"/>
  <c r="C400" i="3"/>
  <c r="R400" i="3"/>
  <c r="X400" i="3"/>
  <c r="C401" i="3"/>
  <c r="R401" i="3"/>
  <c r="X401" i="3"/>
  <c r="C402" i="3"/>
  <c r="R402" i="3"/>
  <c r="X402" i="3"/>
  <c r="C403" i="3"/>
  <c r="R403" i="3"/>
  <c r="X403" i="3"/>
  <c r="C375" i="3"/>
  <c r="R375" i="3"/>
  <c r="X375" i="3"/>
  <c r="C376" i="3"/>
  <c r="R376" i="3"/>
  <c r="X376" i="3"/>
  <c r="C377" i="3"/>
  <c r="R377" i="3"/>
  <c r="X377" i="3"/>
  <c r="C378" i="3"/>
  <c r="R378" i="3"/>
  <c r="X378" i="3"/>
  <c r="C379" i="3"/>
  <c r="R379" i="3"/>
  <c r="X379" i="3"/>
  <c r="C380" i="3"/>
  <c r="R380" i="3"/>
  <c r="X380" i="3"/>
  <c r="C381" i="3"/>
  <c r="R381" i="3"/>
  <c r="X381" i="3"/>
  <c r="C382" i="3"/>
  <c r="R382" i="3"/>
  <c r="X382" i="3"/>
  <c r="C383" i="3"/>
  <c r="R383" i="3"/>
  <c r="X383" i="3"/>
  <c r="C384" i="3"/>
  <c r="R384" i="3"/>
  <c r="X384" i="3"/>
  <c r="C385" i="3"/>
  <c r="R385" i="3"/>
  <c r="X385" i="3"/>
  <c r="C386" i="3"/>
  <c r="R386" i="3"/>
  <c r="X386" i="3"/>
  <c r="C387" i="3"/>
  <c r="R387" i="3"/>
  <c r="X387" i="3"/>
  <c r="C388" i="3"/>
  <c r="R388" i="3"/>
  <c r="X388" i="3"/>
  <c r="C389" i="3"/>
  <c r="R389" i="3"/>
  <c r="X389" i="3"/>
  <c r="C358" i="3"/>
  <c r="R358" i="3"/>
  <c r="X358" i="3"/>
  <c r="C359" i="3"/>
  <c r="R359" i="3"/>
  <c r="X359" i="3"/>
  <c r="C360" i="3"/>
  <c r="R360" i="3"/>
  <c r="X360" i="3"/>
  <c r="C361" i="3"/>
  <c r="R361" i="3"/>
  <c r="X361" i="3"/>
  <c r="C362" i="3"/>
  <c r="R362" i="3"/>
  <c r="X362" i="3"/>
  <c r="C363" i="3"/>
  <c r="R363" i="3"/>
  <c r="X363" i="3"/>
  <c r="C364" i="3"/>
  <c r="R364" i="3"/>
  <c r="X364" i="3"/>
  <c r="C365" i="3"/>
  <c r="R365" i="3"/>
  <c r="X365" i="3"/>
  <c r="C366" i="3"/>
  <c r="R366" i="3"/>
  <c r="X366" i="3"/>
  <c r="C367" i="3"/>
  <c r="R367" i="3"/>
  <c r="X367" i="3"/>
  <c r="C368" i="3"/>
  <c r="R368" i="3"/>
  <c r="X368" i="3"/>
  <c r="C369" i="3"/>
  <c r="R369" i="3"/>
  <c r="X369" i="3"/>
  <c r="C370" i="3"/>
  <c r="R370" i="3"/>
  <c r="X370" i="3"/>
  <c r="C371" i="3"/>
  <c r="R371" i="3"/>
  <c r="X371" i="3"/>
  <c r="C372" i="3"/>
  <c r="R372" i="3"/>
  <c r="X372" i="3"/>
  <c r="C373" i="3"/>
  <c r="R373" i="3"/>
  <c r="X373" i="3"/>
  <c r="C374" i="3"/>
  <c r="R374" i="3"/>
  <c r="X374" i="3"/>
  <c r="B162" i="49"/>
  <c r="E162" i="49"/>
  <c r="I162" i="49"/>
  <c r="L162" i="49"/>
  <c r="B163" i="49"/>
  <c r="E163" i="49"/>
  <c r="I163" i="49"/>
  <c r="L163" i="49"/>
  <c r="B164" i="49"/>
  <c r="E164" i="49"/>
  <c r="I164" i="49"/>
  <c r="L164" i="49"/>
  <c r="B165" i="49"/>
  <c r="E165" i="49"/>
  <c r="I165" i="49"/>
  <c r="L165" i="49"/>
  <c r="B166" i="49"/>
  <c r="E166" i="49"/>
  <c r="I166" i="49"/>
  <c r="L166" i="49"/>
  <c r="B167" i="49"/>
  <c r="E167" i="49"/>
  <c r="I167" i="49"/>
  <c r="L167" i="49"/>
  <c r="B168" i="49"/>
  <c r="E168" i="49"/>
  <c r="I168" i="49"/>
  <c r="L168" i="49"/>
  <c r="B169" i="49"/>
  <c r="E169" i="49"/>
  <c r="I169" i="49"/>
  <c r="L169" i="49"/>
  <c r="B150" i="49"/>
  <c r="E150" i="49"/>
  <c r="I150" i="49"/>
  <c r="L150" i="49"/>
  <c r="B151" i="49"/>
  <c r="E151" i="49"/>
  <c r="I151" i="49"/>
  <c r="L151" i="49"/>
  <c r="B152" i="49"/>
  <c r="E152" i="49"/>
  <c r="I152" i="49"/>
  <c r="L152" i="49"/>
  <c r="B153" i="49"/>
  <c r="E153" i="49"/>
  <c r="I153" i="49"/>
  <c r="L153" i="49"/>
  <c r="B154" i="49"/>
  <c r="E154" i="49"/>
  <c r="I154" i="49"/>
  <c r="L154" i="49"/>
  <c r="B155" i="49"/>
  <c r="E155" i="49"/>
  <c r="I155" i="49"/>
  <c r="L155" i="49"/>
  <c r="B156" i="49"/>
  <c r="E156" i="49"/>
  <c r="I156" i="49"/>
  <c r="L156" i="49"/>
  <c r="B157" i="49"/>
  <c r="E157" i="49"/>
  <c r="I157" i="49"/>
  <c r="L157" i="49"/>
  <c r="B158" i="49"/>
  <c r="E158" i="49"/>
  <c r="I158" i="49"/>
  <c r="L158" i="49"/>
  <c r="B159" i="49"/>
  <c r="E159" i="49"/>
  <c r="I159" i="49"/>
  <c r="L159" i="49"/>
  <c r="B160" i="49"/>
  <c r="E160" i="49"/>
  <c r="I160" i="49"/>
  <c r="L160" i="49"/>
  <c r="B161" i="49"/>
  <c r="E161" i="49"/>
  <c r="I161" i="49"/>
  <c r="L161" i="49"/>
  <c r="B122" i="114"/>
  <c r="C122" i="114" s="1"/>
  <c r="I122" i="114"/>
  <c r="B123" i="114"/>
  <c r="C123" i="114" s="1"/>
  <c r="I123" i="114"/>
  <c r="B124" i="114"/>
  <c r="C124" i="114" s="1"/>
  <c r="I124" i="114"/>
  <c r="B125" i="114"/>
  <c r="C125" i="114" s="1"/>
  <c r="I125" i="114"/>
  <c r="B119" i="114"/>
  <c r="C119" i="114" s="1"/>
  <c r="I119" i="114"/>
  <c r="B120" i="114"/>
  <c r="C120" i="114" s="1"/>
  <c r="I120" i="114"/>
  <c r="B121" i="114"/>
  <c r="C121" i="114" s="1"/>
  <c r="I121" i="114"/>
  <c r="I106" i="114"/>
  <c r="I107" i="114"/>
  <c r="I108" i="114"/>
  <c r="I109" i="114"/>
  <c r="B110" i="114"/>
  <c r="C110" i="114" s="1"/>
  <c r="I110" i="114"/>
  <c r="B111" i="114"/>
  <c r="C111" i="114" s="1"/>
  <c r="I111" i="114"/>
  <c r="B112" i="114"/>
  <c r="C112" i="114" s="1"/>
  <c r="I112" i="114"/>
  <c r="B113" i="114"/>
  <c r="C113" i="114" s="1"/>
  <c r="I113" i="114"/>
  <c r="B114" i="114"/>
  <c r="C114" i="114" s="1"/>
  <c r="I114" i="114"/>
  <c r="B115" i="114"/>
  <c r="C115" i="114" s="1"/>
  <c r="I115" i="114"/>
  <c r="B116" i="114"/>
  <c r="C116" i="114" s="1"/>
  <c r="I116" i="114"/>
  <c r="B117" i="114"/>
  <c r="C117" i="114" s="1"/>
  <c r="I117" i="114"/>
  <c r="B118" i="114"/>
  <c r="C118" i="114" s="1"/>
  <c r="I118" i="114"/>
  <c r="E394" i="100"/>
  <c r="K394" i="100"/>
  <c r="E395" i="100"/>
  <c r="K395" i="100"/>
  <c r="E396" i="100"/>
  <c r="K396" i="100"/>
  <c r="E397" i="100"/>
  <c r="K397" i="100"/>
  <c r="E398" i="100"/>
  <c r="K398" i="100"/>
  <c r="E399" i="100"/>
  <c r="K399" i="100"/>
  <c r="E400" i="100"/>
  <c r="K400" i="100"/>
  <c r="E401" i="100"/>
  <c r="K401" i="100"/>
  <c r="E402" i="100"/>
  <c r="K402" i="100"/>
  <c r="E403" i="100"/>
  <c r="K403" i="100"/>
  <c r="E404" i="100"/>
  <c r="K404" i="100"/>
  <c r="E405" i="100"/>
  <c r="K405" i="100"/>
  <c r="E406" i="100"/>
  <c r="K406" i="100"/>
  <c r="E407" i="100"/>
  <c r="K407" i="100"/>
  <c r="E408" i="100"/>
  <c r="K408" i="100"/>
  <c r="E409" i="100"/>
  <c r="K409" i="100"/>
  <c r="E410" i="100"/>
  <c r="K410" i="100"/>
  <c r="E411" i="100"/>
  <c r="K411" i="100"/>
  <c r="E412" i="100"/>
  <c r="K412" i="100"/>
  <c r="E413" i="100"/>
  <c r="K413" i="100"/>
  <c r="E414" i="100"/>
  <c r="K414" i="100"/>
  <c r="E415" i="100"/>
  <c r="K415" i="100"/>
  <c r="E416" i="100"/>
  <c r="K416" i="100"/>
  <c r="E417" i="100"/>
  <c r="K417" i="100"/>
  <c r="E418" i="100"/>
  <c r="K418" i="100"/>
  <c r="E419" i="100"/>
  <c r="K419" i="100"/>
  <c r="E420" i="100"/>
  <c r="K420" i="100"/>
  <c r="E421" i="100"/>
  <c r="K421" i="100"/>
  <c r="E422" i="100"/>
  <c r="K422" i="100"/>
  <c r="E423" i="100"/>
  <c r="K423" i="100"/>
  <c r="E424" i="100"/>
  <c r="K424" i="100"/>
  <c r="E425" i="100"/>
  <c r="K425" i="100"/>
  <c r="E426" i="100"/>
  <c r="K426" i="100"/>
  <c r="E427" i="100"/>
  <c r="K427" i="100"/>
  <c r="E428" i="100"/>
  <c r="K428" i="100"/>
  <c r="E429" i="100"/>
  <c r="K429" i="100"/>
  <c r="E430" i="100"/>
  <c r="K430" i="100"/>
  <c r="E431" i="100"/>
  <c r="K431" i="100"/>
  <c r="E432" i="100"/>
  <c r="K432" i="100"/>
  <c r="E433" i="100"/>
  <c r="K433" i="100"/>
  <c r="E434" i="100"/>
  <c r="K434" i="100"/>
  <c r="E435" i="100"/>
  <c r="K435" i="100"/>
  <c r="E436" i="100"/>
  <c r="K436" i="100"/>
  <c r="E437" i="100"/>
  <c r="K437" i="100"/>
  <c r="E438" i="100"/>
  <c r="K438" i="100"/>
  <c r="E439" i="100"/>
  <c r="K439" i="100"/>
  <c r="E440" i="100"/>
  <c r="K440" i="100"/>
  <c r="E441" i="100"/>
  <c r="K441" i="100"/>
  <c r="E442" i="100"/>
  <c r="K442" i="100"/>
  <c r="E443" i="100"/>
  <c r="K443" i="100"/>
  <c r="E444" i="100"/>
  <c r="K444" i="100"/>
  <c r="E445" i="100"/>
  <c r="K445" i="100"/>
  <c r="E446" i="100"/>
  <c r="K446" i="100"/>
  <c r="E447" i="100"/>
  <c r="K447" i="100"/>
  <c r="E448" i="100"/>
  <c r="K448" i="100"/>
  <c r="E449" i="100"/>
  <c r="K449" i="100"/>
  <c r="E450" i="100"/>
  <c r="K450" i="100"/>
  <c r="E451" i="100"/>
  <c r="K451" i="100"/>
  <c r="E452" i="100"/>
  <c r="K452" i="100"/>
  <c r="E453" i="100"/>
  <c r="K453" i="100"/>
  <c r="Z452" i="68"/>
  <c r="AF452" i="68"/>
  <c r="Z453" i="68"/>
  <c r="AF453" i="68"/>
  <c r="Z454" i="68"/>
  <c r="AF454" i="68"/>
  <c r="Z455" i="68"/>
  <c r="AF455" i="68"/>
  <c r="Z456" i="68"/>
  <c r="AF456" i="68"/>
  <c r="Z457" i="68"/>
  <c r="AF457" i="68"/>
  <c r="Z458" i="68"/>
  <c r="AF458" i="68"/>
  <c r="Z459" i="68"/>
  <c r="AF459" i="68"/>
  <c r="Z460" i="68"/>
  <c r="AF460" i="68"/>
  <c r="Z461" i="68"/>
  <c r="AF461" i="68"/>
  <c r="Z462" i="68"/>
  <c r="AF462" i="68"/>
  <c r="Z463" i="68"/>
  <c r="AF463" i="68"/>
  <c r="Z464" i="68"/>
  <c r="AF464" i="68"/>
  <c r="Z465" i="68"/>
  <c r="AF465" i="68"/>
  <c r="Z437" i="68"/>
  <c r="AF437" i="68"/>
  <c r="Z438" i="68"/>
  <c r="AF438" i="68"/>
  <c r="Z439" i="68"/>
  <c r="AF439" i="68"/>
  <c r="Z440" i="68"/>
  <c r="AF440" i="68"/>
  <c r="Z441" i="68"/>
  <c r="AF441" i="68"/>
  <c r="Z442" i="68"/>
  <c r="AF442" i="68"/>
  <c r="Z443" i="68"/>
  <c r="AF443" i="68"/>
  <c r="Z444" i="68"/>
  <c r="AF444" i="68"/>
  <c r="Z445" i="68"/>
  <c r="AF445" i="68"/>
  <c r="Z446" i="68"/>
  <c r="AF446" i="68"/>
  <c r="Z447" i="68"/>
  <c r="AF447" i="68"/>
  <c r="Z448" i="68"/>
  <c r="AF448" i="68"/>
  <c r="Z449" i="68"/>
  <c r="AF449" i="68"/>
  <c r="Z450" i="68"/>
  <c r="AF450" i="68"/>
  <c r="Z451" i="68"/>
  <c r="AF451" i="68"/>
  <c r="Z419" i="68"/>
  <c r="AF419" i="68"/>
  <c r="Z420" i="68"/>
  <c r="AF420" i="68"/>
  <c r="Z421" i="68"/>
  <c r="AF421" i="68"/>
  <c r="Z422" i="68"/>
  <c r="AF422" i="68"/>
  <c r="Z423" i="68"/>
  <c r="AF423" i="68"/>
  <c r="Z424" i="68"/>
  <c r="AF424" i="68"/>
  <c r="Z425" i="68"/>
  <c r="AF425" i="68"/>
  <c r="Z426" i="68"/>
  <c r="AF426" i="68"/>
  <c r="Z427" i="68"/>
  <c r="AF427" i="68"/>
  <c r="Z428" i="68"/>
  <c r="AF428" i="68"/>
  <c r="Z429" i="68"/>
  <c r="AF429" i="68"/>
  <c r="Z430" i="68"/>
  <c r="AF430" i="68"/>
  <c r="Z431" i="68"/>
  <c r="AF431" i="68"/>
  <c r="Z432" i="68"/>
  <c r="AF432" i="68"/>
  <c r="Z433" i="68"/>
  <c r="AF433" i="68"/>
  <c r="Z434" i="68"/>
  <c r="AF434" i="68"/>
  <c r="Z435" i="68"/>
  <c r="AF435" i="68"/>
  <c r="Z436" i="68"/>
  <c r="AF436" i="68"/>
  <c r="Z406" i="68"/>
  <c r="AF406" i="68"/>
  <c r="Z407" i="68"/>
  <c r="AF407" i="68"/>
  <c r="Z408" i="68"/>
  <c r="AF408" i="68"/>
  <c r="Z409" i="68"/>
  <c r="AF409" i="68"/>
  <c r="Z410" i="68"/>
  <c r="AF410" i="68"/>
  <c r="Z411" i="68"/>
  <c r="AF411" i="68"/>
  <c r="Z412" i="68"/>
  <c r="AF412" i="68"/>
  <c r="Z413" i="68"/>
  <c r="AF413" i="68"/>
  <c r="Z414" i="68"/>
  <c r="AF414" i="68"/>
  <c r="Z415" i="68"/>
  <c r="AF415" i="68"/>
  <c r="Z416" i="68"/>
  <c r="AF416" i="68"/>
  <c r="Z417" i="68"/>
  <c r="AF417" i="68"/>
  <c r="Z418" i="68"/>
  <c r="AF418" i="68"/>
  <c r="D478" i="30"/>
  <c r="D479" i="30"/>
  <c r="D480" i="30"/>
  <c r="D481" i="30"/>
  <c r="D482" i="30"/>
  <c r="D483" i="30"/>
  <c r="D484" i="30"/>
  <c r="D485" i="30"/>
  <c r="D486" i="30"/>
  <c r="D487" i="30"/>
  <c r="D488" i="30"/>
  <c r="D489" i="30"/>
  <c r="D461" i="30"/>
  <c r="D462" i="30"/>
  <c r="D463" i="30"/>
  <c r="D464" i="30"/>
  <c r="D465" i="30"/>
  <c r="D466" i="30"/>
  <c r="D467" i="30"/>
  <c r="D468" i="30"/>
  <c r="D469" i="30"/>
  <c r="D470" i="30"/>
  <c r="D471" i="30"/>
  <c r="D472" i="30"/>
  <c r="D473" i="30"/>
  <c r="D474" i="30"/>
  <c r="D475" i="30"/>
  <c r="D476" i="30"/>
  <c r="D477" i="30"/>
  <c r="D449" i="30"/>
  <c r="D450" i="30"/>
  <c r="D451" i="30"/>
  <c r="D452" i="30"/>
  <c r="D453" i="30"/>
  <c r="D454" i="30"/>
  <c r="D455" i="30"/>
  <c r="D456" i="30"/>
  <c r="D457" i="30"/>
  <c r="D458" i="30"/>
  <c r="D459" i="30"/>
  <c r="D460" i="30"/>
  <c r="D430" i="30"/>
  <c r="D431" i="30"/>
  <c r="D432" i="30"/>
  <c r="D433" i="30"/>
  <c r="D434" i="30"/>
  <c r="D435" i="30"/>
  <c r="D436" i="30"/>
  <c r="D437" i="30"/>
  <c r="D438" i="30"/>
  <c r="D439" i="30"/>
  <c r="D440" i="30"/>
  <c r="D441" i="30"/>
  <c r="D442" i="30"/>
  <c r="D443" i="30"/>
  <c r="D444" i="30"/>
  <c r="D445" i="30"/>
  <c r="D446" i="30"/>
  <c r="D447" i="30"/>
  <c r="D448" i="30"/>
  <c r="P66" i="95"/>
  <c r="U66" i="95"/>
  <c r="O67" i="95"/>
  <c r="S67" i="95"/>
  <c r="O68" i="95"/>
  <c r="S68" i="95"/>
  <c r="U68" i="95"/>
  <c r="O69" i="95"/>
  <c r="R69" i="95"/>
  <c r="U69" i="95"/>
  <c r="R60" i="95"/>
  <c r="P61" i="95"/>
  <c r="S61" i="95"/>
  <c r="P62" i="95"/>
  <c r="R62" i="95"/>
  <c r="U62" i="95"/>
  <c r="R63" i="95"/>
  <c r="V63" i="95"/>
  <c r="O64" i="95"/>
  <c r="R64" i="95"/>
  <c r="V64" i="95"/>
  <c r="O65" i="95"/>
  <c r="R65" i="95"/>
  <c r="U65" i="95"/>
  <c r="H378" i="14"/>
  <c r="L378" i="14"/>
  <c r="H379" i="14"/>
  <c r="L379" i="14"/>
  <c r="H380" i="14"/>
  <c r="L380" i="14"/>
  <c r="H381" i="14"/>
  <c r="L381" i="14"/>
  <c r="H374" i="14"/>
  <c r="L374" i="14"/>
  <c r="H375" i="14"/>
  <c r="L375" i="14"/>
  <c r="H376" i="14"/>
  <c r="L376" i="14"/>
  <c r="H377" i="14"/>
  <c r="L377" i="14"/>
  <c r="H367" i="14"/>
  <c r="L367" i="14"/>
  <c r="H368" i="14"/>
  <c r="L368" i="14"/>
  <c r="H369" i="14"/>
  <c r="L369" i="14"/>
  <c r="H370" i="14"/>
  <c r="L370" i="14"/>
  <c r="H371" i="14"/>
  <c r="L371" i="14"/>
  <c r="H372" i="14"/>
  <c r="L372" i="14"/>
  <c r="H373" i="14"/>
  <c r="L373" i="14"/>
  <c r="H355" i="14"/>
  <c r="L355" i="14"/>
  <c r="H356" i="14"/>
  <c r="L356" i="14"/>
  <c r="H357" i="14"/>
  <c r="L357" i="14"/>
  <c r="H358" i="14"/>
  <c r="L358" i="14"/>
  <c r="H359" i="14"/>
  <c r="L359" i="14"/>
  <c r="H360" i="14"/>
  <c r="L360" i="14"/>
  <c r="H361" i="14"/>
  <c r="L361" i="14"/>
  <c r="H362" i="14"/>
  <c r="L362" i="14"/>
  <c r="H363" i="14"/>
  <c r="L363" i="14"/>
  <c r="H364" i="14"/>
  <c r="L364" i="14"/>
  <c r="H365" i="14"/>
  <c r="L365" i="14"/>
  <c r="H366" i="14"/>
  <c r="L366" i="14"/>
  <c r="H348" i="14"/>
  <c r="L348" i="14"/>
  <c r="H349" i="14"/>
  <c r="L349" i="14"/>
  <c r="H350" i="14"/>
  <c r="L350" i="14"/>
  <c r="H351" i="14"/>
  <c r="L351" i="14"/>
  <c r="H352" i="14"/>
  <c r="L352" i="14"/>
  <c r="H353" i="14"/>
  <c r="L353" i="14"/>
  <c r="H354" i="14"/>
  <c r="L354" i="14"/>
  <c r="H335" i="14"/>
  <c r="L335" i="14"/>
  <c r="H336" i="14"/>
  <c r="L336" i="14"/>
  <c r="H337" i="14"/>
  <c r="L337" i="14"/>
  <c r="H338" i="14"/>
  <c r="L338" i="14"/>
  <c r="H339" i="14"/>
  <c r="L339" i="14"/>
  <c r="H340" i="14"/>
  <c r="L340" i="14"/>
  <c r="H341" i="14"/>
  <c r="L341" i="14"/>
  <c r="H342" i="14"/>
  <c r="L342" i="14"/>
  <c r="H343" i="14"/>
  <c r="L343" i="14"/>
  <c r="H344" i="14"/>
  <c r="L344" i="14"/>
  <c r="H345" i="14"/>
  <c r="L345" i="14"/>
  <c r="H346" i="14"/>
  <c r="L346" i="14"/>
  <c r="H347" i="14"/>
  <c r="L347" i="14"/>
  <c r="H322" i="14"/>
  <c r="L322" i="14"/>
  <c r="H323" i="14"/>
  <c r="L323" i="14"/>
  <c r="H324" i="14"/>
  <c r="L324" i="14"/>
  <c r="H325" i="14"/>
  <c r="L325" i="14"/>
  <c r="H326" i="14"/>
  <c r="L326" i="14"/>
  <c r="H327" i="14"/>
  <c r="L327" i="14"/>
  <c r="H328" i="14"/>
  <c r="L328" i="14"/>
  <c r="H329" i="14"/>
  <c r="L329" i="14"/>
  <c r="H330" i="14"/>
  <c r="L330" i="14"/>
  <c r="H331" i="14"/>
  <c r="L331" i="14"/>
  <c r="H332" i="14"/>
  <c r="L332" i="14"/>
  <c r="H333" i="14"/>
  <c r="L333" i="14"/>
  <c r="H334" i="14"/>
  <c r="L334" i="14"/>
  <c r="J248" i="106"/>
  <c r="S248" i="106"/>
  <c r="Z248" i="106"/>
  <c r="J249" i="106"/>
  <c r="S249" i="106"/>
  <c r="Z249" i="106"/>
  <c r="J250" i="106"/>
  <c r="S250" i="106"/>
  <c r="Z250" i="106"/>
  <c r="J251" i="106"/>
  <c r="S251" i="106"/>
  <c r="Z251" i="106"/>
  <c r="J252" i="106"/>
  <c r="S252" i="106"/>
  <c r="Z252" i="106"/>
  <c r="J253" i="106"/>
  <c r="S253" i="106"/>
  <c r="Z253" i="106"/>
  <c r="J243" i="106"/>
  <c r="S243" i="106"/>
  <c r="Z243" i="106"/>
  <c r="J244" i="106"/>
  <c r="S244" i="106"/>
  <c r="Z244" i="106"/>
  <c r="J245" i="106"/>
  <c r="S245" i="106"/>
  <c r="Z245" i="106"/>
  <c r="J246" i="106"/>
  <c r="S246" i="106"/>
  <c r="Z246" i="106"/>
  <c r="J247" i="106"/>
  <c r="S247" i="106"/>
  <c r="Z247" i="106"/>
  <c r="J238" i="106"/>
  <c r="S238" i="106"/>
  <c r="Z238" i="106"/>
  <c r="J239" i="106"/>
  <c r="S239" i="106"/>
  <c r="Z239" i="106"/>
  <c r="J240" i="106"/>
  <c r="S240" i="106"/>
  <c r="Z240" i="106"/>
  <c r="J241" i="106"/>
  <c r="S241" i="106"/>
  <c r="Z241" i="106"/>
  <c r="J242" i="106"/>
  <c r="S242" i="106"/>
  <c r="Z242" i="106"/>
  <c r="A234" i="106"/>
  <c r="A238" i="106" s="1"/>
  <c r="A242" i="106" s="1"/>
  <c r="A246" i="106" s="1"/>
  <c r="A250" i="106" s="1"/>
  <c r="J234" i="106"/>
  <c r="S234" i="106"/>
  <c r="Z234" i="106"/>
  <c r="A235" i="106"/>
  <c r="A239" i="106" s="1"/>
  <c r="A243" i="106" s="1"/>
  <c r="A247" i="106" s="1"/>
  <c r="A251" i="106" s="1"/>
  <c r="J235" i="106"/>
  <c r="S235" i="106"/>
  <c r="Z235" i="106"/>
  <c r="A236" i="106"/>
  <c r="A240" i="106" s="1"/>
  <c r="A244" i="106" s="1"/>
  <c r="A248" i="106" s="1"/>
  <c r="A252" i="106" s="1"/>
  <c r="J236" i="106"/>
  <c r="S236" i="106"/>
  <c r="Z236" i="106"/>
  <c r="J237" i="106"/>
  <c r="S237" i="106"/>
  <c r="Z237" i="106"/>
  <c r="A233" i="106"/>
  <c r="A237" i="106" s="1"/>
  <c r="A241" i="106" s="1"/>
  <c r="A245" i="106" s="1"/>
  <c r="A249" i="106" s="1"/>
  <c r="A253" i="106" s="1"/>
  <c r="A440" i="126"/>
  <c r="A452" i="126" s="1"/>
  <c r="A464" i="126" s="1"/>
  <c r="A476" i="126" s="1"/>
  <c r="A488" i="126" s="1"/>
  <c r="A437" i="126"/>
  <c r="A449" i="126" s="1"/>
  <c r="A461" i="126" s="1"/>
  <c r="A473" i="126" s="1"/>
  <c r="A485" i="126" s="1"/>
  <c r="A438" i="126"/>
  <c r="A450" i="126" s="1"/>
  <c r="A462" i="126" s="1"/>
  <c r="A474" i="126" s="1"/>
  <c r="A486" i="126" s="1"/>
  <c r="A439" i="126"/>
  <c r="A451" i="126" s="1"/>
  <c r="A463" i="126" s="1"/>
  <c r="A475" i="126" s="1"/>
  <c r="A487" i="126" s="1"/>
  <c r="A430" i="126"/>
  <c r="A442" i="126" s="1"/>
  <c r="A454" i="126" s="1"/>
  <c r="A466" i="126" s="1"/>
  <c r="A478" i="126" s="1"/>
  <c r="A431" i="126"/>
  <c r="A443" i="126" s="1"/>
  <c r="A455" i="126" s="1"/>
  <c r="A467" i="126" s="1"/>
  <c r="A479" i="126" s="1"/>
  <c r="A432" i="126"/>
  <c r="A444" i="126" s="1"/>
  <c r="A456" i="126" s="1"/>
  <c r="A468" i="126" s="1"/>
  <c r="A480" i="126" s="1"/>
  <c r="A433" i="126"/>
  <c r="A445" i="126" s="1"/>
  <c r="A457" i="126" s="1"/>
  <c r="A469" i="126" s="1"/>
  <c r="A481" i="126" s="1"/>
  <c r="A434" i="126"/>
  <c r="A446" i="126" s="1"/>
  <c r="A458" i="126" s="1"/>
  <c r="A470" i="126" s="1"/>
  <c r="A482" i="126" s="1"/>
  <c r="A435" i="126"/>
  <c r="A447" i="126" s="1"/>
  <c r="A459" i="126" s="1"/>
  <c r="A471" i="126" s="1"/>
  <c r="A483" i="126" s="1"/>
  <c r="A436" i="126"/>
  <c r="A448" i="126" s="1"/>
  <c r="A460" i="126" s="1"/>
  <c r="A472" i="126" s="1"/>
  <c r="A484" i="126" s="1"/>
  <c r="A429" i="126"/>
  <c r="A441" i="126" s="1"/>
  <c r="A453" i="126" s="1"/>
  <c r="A465" i="126" s="1"/>
  <c r="A477" i="126" s="1"/>
  <c r="A489" i="126" s="1"/>
  <c r="D152" i="116"/>
  <c r="D153" i="116"/>
  <c r="D154" i="116"/>
  <c r="D155" i="116"/>
  <c r="D156" i="116"/>
  <c r="Z17" i="68"/>
  <c r="Z11" i="68"/>
  <c r="E156" i="116" l="1"/>
  <c r="E155" i="116"/>
  <c r="R61" i="95"/>
  <c r="V65" i="95"/>
  <c r="R67" i="95"/>
  <c r="O61" i="95"/>
  <c r="P67" i="95"/>
  <c r="U63" i="95"/>
  <c r="V69" i="95"/>
  <c r="E153" i="116"/>
  <c r="S64" i="95"/>
  <c r="R68" i="95"/>
  <c r="S65" i="95"/>
  <c r="P64" i="95"/>
  <c r="P69" i="95"/>
  <c r="V66" i="95"/>
  <c r="O62" i="95"/>
  <c r="S60" i="95"/>
  <c r="V68" i="95"/>
  <c r="U64" i="95"/>
  <c r="O66" i="95"/>
  <c r="P60" i="95"/>
  <c r="O60" i="95"/>
  <c r="P63" i="95"/>
  <c r="O63" i="95"/>
  <c r="V60" i="95"/>
  <c r="U60" i="95"/>
  <c r="V67" i="95"/>
  <c r="U67" i="95"/>
  <c r="U61" i="95"/>
  <c r="V61" i="95"/>
  <c r="S66" i="95"/>
  <c r="R66" i="95"/>
  <c r="P68" i="95"/>
  <c r="S69" i="95"/>
  <c r="P65" i="95"/>
  <c r="V62" i="95"/>
  <c r="S63" i="95"/>
  <c r="S62" i="95"/>
  <c r="E154" i="116"/>
  <c r="J361" i="52" l="1"/>
  <c r="D12" i="52" l="1"/>
  <c r="D359" i="52" l="1"/>
  <c r="J359" i="52"/>
  <c r="B136" i="49" l="1"/>
  <c r="A165" i="46" l="1"/>
  <c r="A177" i="46" s="1"/>
  <c r="A189" i="46" s="1"/>
  <c r="A201" i="46" s="1"/>
  <c r="A213" i="46" s="1"/>
  <c r="A225" i="46" s="1"/>
  <c r="A237" i="46" s="1"/>
  <c r="A249" i="46" s="1"/>
  <c r="A261" i="46" s="1"/>
  <c r="A273" i="46" s="1"/>
  <c r="A285" i="46" s="1"/>
  <c r="A297" i="46" s="1"/>
  <c r="A309" i="46" s="1"/>
  <c r="A321" i="46" s="1"/>
  <c r="A333" i="46" s="1"/>
  <c r="A345" i="46" s="1"/>
  <c r="A357" i="46" s="1"/>
  <c r="A369" i="46" s="1"/>
  <c r="A164" i="46"/>
  <c r="A176" i="46" s="1"/>
  <c r="A188" i="46" s="1"/>
  <c r="A200" i="46" s="1"/>
  <c r="A212" i="46" s="1"/>
  <c r="A224" i="46" s="1"/>
  <c r="A236" i="46" s="1"/>
  <c r="A248" i="46" s="1"/>
  <c r="A260" i="46" s="1"/>
  <c r="A272" i="46" s="1"/>
  <c r="A284" i="46" s="1"/>
  <c r="A296" i="46" s="1"/>
  <c r="A308" i="46" s="1"/>
  <c r="A320" i="46" s="1"/>
  <c r="A332" i="46" s="1"/>
  <c r="A344" i="46" s="1"/>
  <c r="A356" i="46" s="1"/>
  <c r="A368" i="46" s="1"/>
  <c r="A163" i="46"/>
  <c r="A175" i="46" s="1"/>
  <c r="A187" i="46" s="1"/>
  <c r="A199" i="46" s="1"/>
  <c r="A211" i="46" s="1"/>
  <c r="A223" i="46" s="1"/>
  <c r="A235" i="46" s="1"/>
  <c r="A247" i="46" s="1"/>
  <c r="A259" i="46" s="1"/>
  <c r="A271" i="46" s="1"/>
  <c r="A283" i="46" s="1"/>
  <c r="A295" i="46" s="1"/>
  <c r="A307" i="46" s="1"/>
  <c r="A319" i="46" s="1"/>
  <c r="A331" i="46" s="1"/>
  <c r="A343" i="46" s="1"/>
  <c r="A355" i="46" s="1"/>
  <c r="A367" i="46" s="1"/>
  <c r="A162" i="46"/>
  <c r="A174" i="46" s="1"/>
  <c r="A186" i="46" s="1"/>
  <c r="A198" i="46" s="1"/>
  <c r="A210" i="46" s="1"/>
  <c r="A222" i="46" s="1"/>
  <c r="A234" i="46" s="1"/>
  <c r="A246" i="46" s="1"/>
  <c r="A258" i="46" s="1"/>
  <c r="A270" i="46" s="1"/>
  <c r="A282" i="46" s="1"/>
  <c r="A294" i="46" s="1"/>
  <c r="A306" i="46" s="1"/>
  <c r="A318" i="46" s="1"/>
  <c r="A330" i="46" s="1"/>
  <c r="A342" i="46" s="1"/>
  <c r="A354" i="46" s="1"/>
  <c r="A366" i="46" s="1"/>
  <c r="A161" i="46"/>
  <c r="A173" i="46" s="1"/>
  <c r="A185" i="46" s="1"/>
  <c r="A197" i="46" s="1"/>
  <c r="A209" i="46" s="1"/>
  <c r="A221" i="46" s="1"/>
  <c r="A233" i="46" s="1"/>
  <c r="A245" i="46" s="1"/>
  <c r="A257" i="46" s="1"/>
  <c r="A269" i="46" s="1"/>
  <c r="A281" i="46" s="1"/>
  <c r="A293" i="46" s="1"/>
  <c r="A305" i="46" s="1"/>
  <c r="A317" i="46" s="1"/>
  <c r="A329" i="46" s="1"/>
  <c r="A341" i="46" s="1"/>
  <c r="A353" i="46" s="1"/>
  <c r="A365" i="46" s="1"/>
  <c r="A160" i="46"/>
  <c r="A172" i="46" s="1"/>
  <c r="A184" i="46" s="1"/>
  <c r="A196" i="46" s="1"/>
  <c r="A208" i="46" s="1"/>
  <c r="A220" i="46" s="1"/>
  <c r="A232" i="46" s="1"/>
  <c r="A244" i="46" s="1"/>
  <c r="A256" i="46" s="1"/>
  <c r="A268" i="46" s="1"/>
  <c r="A280" i="46" s="1"/>
  <c r="A292" i="46" s="1"/>
  <c r="A304" i="46" s="1"/>
  <c r="A316" i="46" s="1"/>
  <c r="A328" i="46" s="1"/>
  <c r="A340" i="46" s="1"/>
  <c r="A352" i="46" s="1"/>
  <c r="A364" i="46" s="1"/>
  <c r="A159" i="46"/>
  <c r="A171" i="46" s="1"/>
  <c r="A183" i="46" s="1"/>
  <c r="A195" i="46" s="1"/>
  <c r="A207" i="46" s="1"/>
  <c r="A219" i="46" s="1"/>
  <c r="A231" i="46" s="1"/>
  <c r="A243" i="46" s="1"/>
  <c r="A255" i="46" s="1"/>
  <c r="A267" i="46" s="1"/>
  <c r="A279" i="46" s="1"/>
  <c r="A291" i="46" s="1"/>
  <c r="A303" i="46" s="1"/>
  <c r="A315" i="46" s="1"/>
  <c r="A327" i="46" s="1"/>
  <c r="A339" i="46" s="1"/>
  <c r="A351" i="46" s="1"/>
  <c r="A363" i="46" s="1"/>
  <c r="A158" i="46"/>
  <c r="A170" i="46" s="1"/>
  <c r="A182" i="46" s="1"/>
  <c r="A194" i="46" s="1"/>
  <c r="A206" i="46" s="1"/>
  <c r="A218" i="46" s="1"/>
  <c r="A230" i="46" s="1"/>
  <c r="A242" i="46" s="1"/>
  <c r="A254" i="46" s="1"/>
  <c r="A266" i="46" s="1"/>
  <c r="A278" i="46" s="1"/>
  <c r="A290" i="46" s="1"/>
  <c r="A302" i="46" s="1"/>
  <c r="A314" i="46" s="1"/>
  <c r="A326" i="46" s="1"/>
  <c r="A338" i="46" s="1"/>
  <c r="A350" i="46" s="1"/>
  <c r="A362" i="46" s="1"/>
  <c r="A157" i="46"/>
  <c r="A169" i="46" s="1"/>
  <c r="A181" i="46" s="1"/>
  <c r="A193" i="46" s="1"/>
  <c r="A205" i="46" s="1"/>
  <c r="A217" i="46" s="1"/>
  <c r="A229" i="46" s="1"/>
  <c r="A241" i="46" s="1"/>
  <c r="A253" i="46" s="1"/>
  <c r="A265" i="46" s="1"/>
  <c r="A277" i="46" s="1"/>
  <c r="A289" i="46" s="1"/>
  <c r="A301" i="46" s="1"/>
  <c r="A313" i="46" s="1"/>
  <c r="A325" i="46" s="1"/>
  <c r="A337" i="46" s="1"/>
  <c r="A349" i="46" s="1"/>
  <c r="A361" i="46" s="1"/>
  <c r="A156" i="46"/>
  <c r="A168" i="46" s="1"/>
  <c r="A180" i="46" s="1"/>
  <c r="A192" i="46" s="1"/>
  <c r="A204" i="46" s="1"/>
  <c r="A216" i="46" s="1"/>
  <c r="A228" i="46" s="1"/>
  <c r="A240" i="46" s="1"/>
  <c r="A252" i="46" s="1"/>
  <c r="A264" i="46" s="1"/>
  <c r="A276" i="46" s="1"/>
  <c r="A288" i="46" s="1"/>
  <c r="A300" i="46" s="1"/>
  <c r="A312" i="46" s="1"/>
  <c r="A324" i="46" s="1"/>
  <c r="A336" i="46" s="1"/>
  <c r="A348" i="46" s="1"/>
  <c r="A360" i="46" s="1"/>
  <c r="A155" i="46"/>
  <c r="A167" i="46" s="1"/>
  <c r="A179" i="46" s="1"/>
  <c r="A191" i="46" s="1"/>
  <c r="A203" i="46" s="1"/>
  <c r="A215" i="46" s="1"/>
  <c r="A227" i="46" s="1"/>
  <c r="A239" i="46" s="1"/>
  <c r="A251" i="46" s="1"/>
  <c r="A263" i="46" s="1"/>
  <c r="A275" i="46" s="1"/>
  <c r="A287" i="46" s="1"/>
  <c r="A299" i="46" s="1"/>
  <c r="A311" i="46" s="1"/>
  <c r="A323" i="46" s="1"/>
  <c r="A335" i="46" s="1"/>
  <c r="A347" i="46" s="1"/>
  <c r="A359" i="46" s="1"/>
  <c r="A154" i="46"/>
  <c r="A166" i="46" s="1"/>
  <c r="A178" i="46" s="1"/>
  <c r="A190" i="46" s="1"/>
  <c r="A202" i="46" s="1"/>
  <c r="A214" i="46" s="1"/>
  <c r="A226" i="46" s="1"/>
  <c r="A238" i="46" s="1"/>
  <c r="A250" i="46" s="1"/>
  <c r="A262" i="46" s="1"/>
  <c r="A274" i="46" s="1"/>
  <c r="A286" i="46" s="1"/>
  <c r="A298" i="46" s="1"/>
  <c r="A310" i="46" s="1"/>
  <c r="A322" i="46" s="1"/>
  <c r="A334" i="46" s="1"/>
  <c r="A346" i="46" s="1"/>
  <c r="A358" i="46" s="1"/>
  <c r="A189" i="127"/>
  <c r="A201" i="127" s="1"/>
  <c r="A213" i="127" s="1"/>
  <c r="A225" i="127" s="1"/>
  <c r="A237" i="127" s="1"/>
  <c r="A249" i="127" s="1"/>
  <c r="A261" i="127" s="1"/>
  <c r="A273" i="127" s="1"/>
  <c r="A285" i="127" s="1"/>
  <c r="A297" i="127" s="1"/>
  <c r="A309" i="127" s="1"/>
  <c r="A321" i="127" s="1"/>
  <c r="A333" i="127" s="1"/>
  <c r="A345" i="127" s="1"/>
  <c r="A357" i="127" s="1"/>
  <c r="A369" i="127" s="1"/>
  <c r="A381" i="127" s="1"/>
  <c r="A393" i="127" s="1"/>
  <c r="A405" i="127" s="1"/>
  <c r="A417" i="127" s="1"/>
  <c r="A429" i="127" s="1"/>
  <c r="A441" i="127" s="1"/>
  <c r="A453" i="127" s="1"/>
  <c r="A188" i="127"/>
  <c r="A200" i="127" s="1"/>
  <c r="A212" i="127" s="1"/>
  <c r="A224" i="127" s="1"/>
  <c r="A236" i="127" s="1"/>
  <c r="A248" i="127" s="1"/>
  <c r="A260" i="127" s="1"/>
  <c r="A272" i="127" s="1"/>
  <c r="A284" i="127" s="1"/>
  <c r="A296" i="127" s="1"/>
  <c r="A308" i="127" s="1"/>
  <c r="A320" i="127" s="1"/>
  <c r="A332" i="127" s="1"/>
  <c r="A344" i="127" s="1"/>
  <c r="A356" i="127" s="1"/>
  <c r="A368" i="127" s="1"/>
  <c r="A380" i="127" s="1"/>
  <c r="A392" i="127" s="1"/>
  <c r="A404" i="127" s="1"/>
  <c r="A416" i="127" s="1"/>
  <c r="A428" i="127" s="1"/>
  <c r="A440" i="127" s="1"/>
  <c r="A452" i="127" s="1"/>
  <c r="A187" i="127"/>
  <c r="A199" i="127" s="1"/>
  <c r="A211" i="127" s="1"/>
  <c r="A223" i="127" s="1"/>
  <c r="A235" i="127" s="1"/>
  <c r="A247" i="127" s="1"/>
  <c r="A259" i="127" s="1"/>
  <c r="A271" i="127" s="1"/>
  <c r="A283" i="127" s="1"/>
  <c r="A295" i="127" s="1"/>
  <c r="A307" i="127" s="1"/>
  <c r="A319" i="127" s="1"/>
  <c r="A331" i="127" s="1"/>
  <c r="A343" i="127" s="1"/>
  <c r="A355" i="127" s="1"/>
  <c r="A367" i="127" s="1"/>
  <c r="A379" i="127" s="1"/>
  <c r="A391" i="127" s="1"/>
  <c r="A403" i="127" s="1"/>
  <c r="A415" i="127" s="1"/>
  <c r="A427" i="127" s="1"/>
  <c r="A439" i="127" s="1"/>
  <c r="A451" i="127" s="1"/>
  <c r="A186" i="127"/>
  <c r="A198" i="127" s="1"/>
  <c r="A210" i="127" s="1"/>
  <c r="A222" i="127" s="1"/>
  <c r="A234" i="127" s="1"/>
  <c r="A246" i="127" s="1"/>
  <c r="A258" i="127" s="1"/>
  <c r="A270" i="127" s="1"/>
  <c r="A282" i="127" s="1"/>
  <c r="A294" i="127" s="1"/>
  <c r="A306" i="127" s="1"/>
  <c r="A318" i="127" s="1"/>
  <c r="A330" i="127" s="1"/>
  <c r="A342" i="127" s="1"/>
  <c r="A354" i="127" s="1"/>
  <c r="A366" i="127" s="1"/>
  <c r="A378" i="127" s="1"/>
  <c r="A390" i="127" s="1"/>
  <c r="A402" i="127" s="1"/>
  <c r="A414" i="127" s="1"/>
  <c r="A426" i="127" s="1"/>
  <c r="A438" i="127" s="1"/>
  <c r="A450" i="127" s="1"/>
  <c r="A185" i="127"/>
  <c r="A197" i="127" s="1"/>
  <c r="A209" i="127" s="1"/>
  <c r="A221" i="127" s="1"/>
  <c r="A233" i="127" s="1"/>
  <c r="A245" i="127" s="1"/>
  <c r="A257" i="127" s="1"/>
  <c r="A269" i="127" s="1"/>
  <c r="A281" i="127" s="1"/>
  <c r="A293" i="127" s="1"/>
  <c r="A305" i="127" s="1"/>
  <c r="A317" i="127" s="1"/>
  <c r="A329" i="127" s="1"/>
  <c r="A341" i="127" s="1"/>
  <c r="A353" i="127" s="1"/>
  <c r="A365" i="127" s="1"/>
  <c r="A377" i="127" s="1"/>
  <c r="A389" i="127" s="1"/>
  <c r="A401" i="127" s="1"/>
  <c r="A413" i="127" s="1"/>
  <c r="A425" i="127" s="1"/>
  <c r="A437" i="127" s="1"/>
  <c r="A449" i="127" s="1"/>
  <c r="A184" i="127"/>
  <c r="A196" i="127" s="1"/>
  <c r="A208" i="127" s="1"/>
  <c r="A220" i="127" s="1"/>
  <c r="A232" i="127" s="1"/>
  <c r="A244" i="127" s="1"/>
  <c r="A256" i="127" s="1"/>
  <c r="A268" i="127" s="1"/>
  <c r="A280" i="127" s="1"/>
  <c r="A292" i="127" s="1"/>
  <c r="A304" i="127" s="1"/>
  <c r="A316" i="127" s="1"/>
  <c r="A328" i="127" s="1"/>
  <c r="A340" i="127" s="1"/>
  <c r="A352" i="127" s="1"/>
  <c r="A364" i="127" s="1"/>
  <c r="A376" i="127" s="1"/>
  <c r="A388" i="127" s="1"/>
  <c r="A400" i="127" s="1"/>
  <c r="A412" i="127" s="1"/>
  <c r="A424" i="127" s="1"/>
  <c r="A436" i="127" s="1"/>
  <c r="A448" i="127" s="1"/>
  <c r="A183" i="127"/>
  <c r="A195" i="127" s="1"/>
  <c r="A207" i="127" s="1"/>
  <c r="A219" i="127" s="1"/>
  <c r="A231" i="127" s="1"/>
  <c r="A243" i="127" s="1"/>
  <c r="A255" i="127" s="1"/>
  <c r="A267" i="127" s="1"/>
  <c r="A279" i="127" s="1"/>
  <c r="A291" i="127" s="1"/>
  <c r="A303" i="127" s="1"/>
  <c r="A315" i="127" s="1"/>
  <c r="A327" i="127" s="1"/>
  <c r="A339" i="127" s="1"/>
  <c r="A351" i="127" s="1"/>
  <c r="A363" i="127" s="1"/>
  <c r="A375" i="127" s="1"/>
  <c r="A387" i="127" s="1"/>
  <c r="A399" i="127" s="1"/>
  <c r="A411" i="127" s="1"/>
  <c r="A423" i="127" s="1"/>
  <c r="A435" i="127" s="1"/>
  <c r="A447" i="127" s="1"/>
  <c r="A182" i="127"/>
  <c r="A194" i="127" s="1"/>
  <c r="A206" i="127" s="1"/>
  <c r="A218" i="127" s="1"/>
  <c r="A230" i="127" s="1"/>
  <c r="A242" i="127" s="1"/>
  <c r="A254" i="127" s="1"/>
  <c r="A266" i="127" s="1"/>
  <c r="A278" i="127" s="1"/>
  <c r="A290" i="127" s="1"/>
  <c r="A302" i="127" s="1"/>
  <c r="A314" i="127" s="1"/>
  <c r="A326" i="127" s="1"/>
  <c r="A338" i="127" s="1"/>
  <c r="A350" i="127" s="1"/>
  <c r="A362" i="127" s="1"/>
  <c r="A374" i="127" s="1"/>
  <c r="A386" i="127" s="1"/>
  <c r="A398" i="127" s="1"/>
  <c r="A410" i="127" s="1"/>
  <c r="A422" i="127" s="1"/>
  <c r="A434" i="127" s="1"/>
  <c r="A446" i="127" s="1"/>
  <c r="A181" i="127"/>
  <c r="A193" i="127" s="1"/>
  <c r="A205" i="127" s="1"/>
  <c r="A217" i="127" s="1"/>
  <c r="A229" i="127" s="1"/>
  <c r="A241" i="127" s="1"/>
  <c r="A253" i="127" s="1"/>
  <c r="A265" i="127" s="1"/>
  <c r="A277" i="127" s="1"/>
  <c r="A289" i="127" s="1"/>
  <c r="A301" i="127" s="1"/>
  <c r="A313" i="127" s="1"/>
  <c r="A325" i="127" s="1"/>
  <c r="A337" i="127" s="1"/>
  <c r="A349" i="127" s="1"/>
  <c r="A361" i="127" s="1"/>
  <c r="A373" i="127" s="1"/>
  <c r="A385" i="127" s="1"/>
  <c r="A397" i="127" s="1"/>
  <c r="A409" i="127" s="1"/>
  <c r="A421" i="127" s="1"/>
  <c r="A433" i="127" s="1"/>
  <c r="A445" i="127" s="1"/>
  <c r="A180" i="127"/>
  <c r="A192" i="127" s="1"/>
  <c r="A204" i="127" s="1"/>
  <c r="A216" i="127" s="1"/>
  <c r="A228" i="127" s="1"/>
  <c r="A240" i="127" s="1"/>
  <c r="A252" i="127" s="1"/>
  <c r="A264" i="127" s="1"/>
  <c r="A276" i="127" s="1"/>
  <c r="A288" i="127" s="1"/>
  <c r="A300" i="127" s="1"/>
  <c r="A312" i="127" s="1"/>
  <c r="A324" i="127" s="1"/>
  <c r="A336" i="127" s="1"/>
  <c r="A348" i="127" s="1"/>
  <c r="A360" i="127" s="1"/>
  <c r="A372" i="127" s="1"/>
  <c r="A384" i="127" s="1"/>
  <c r="A396" i="127" s="1"/>
  <c r="A408" i="127" s="1"/>
  <c r="A420" i="127" s="1"/>
  <c r="A432" i="127" s="1"/>
  <c r="A444" i="127" s="1"/>
  <c r="A179" i="127"/>
  <c r="A191" i="127" s="1"/>
  <c r="A203" i="127" s="1"/>
  <c r="A215" i="127" s="1"/>
  <c r="A227" i="127" s="1"/>
  <c r="A239" i="127" s="1"/>
  <c r="A251" i="127" s="1"/>
  <c r="A263" i="127" s="1"/>
  <c r="A275" i="127" s="1"/>
  <c r="A287" i="127" s="1"/>
  <c r="A299" i="127" s="1"/>
  <c r="A311" i="127" s="1"/>
  <c r="A323" i="127" s="1"/>
  <c r="A335" i="127" s="1"/>
  <c r="A347" i="127" s="1"/>
  <c r="A359" i="127" s="1"/>
  <c r="A371" i="127" s="1"/>
  <c r="A383" i="127" s="1"/>
  <c r="A395" i="127" s="1"/>
  <c r="A407" i="127" s="1"/>
  <c r="A419" i="127" s="1"/>
  <c r="A431" i="127" s="1"/>
  <c r="A443" i="127" s="1"/>
  <c r="A178" i="127"/>
  <c r="A190" i="127" s="1"/>
  <c r="A202" i="127" s="1"/>
  <c r="A214" i="127" s="1"/>
  <c r="A226" i="127" s="1"/>
  <c r="A238" i="127" s="1"/>
  <c r="A250" i="127" s="1"/>
  <c r="A262" i="127" s="1"/>
  <c r="A274" i="127" s="1"/>
  <c r="A286" i="127" s="1"/>
  <c r="A298" i="127" s="1"/>
  <c r="A310" i="127" s="1"/>
  <c r="A322" i="127" s="1"/>
  <c r="A334" i="127" s="1"/>
  <c r="A346" i="127" s="1"/>
  <c r="A358" i="127" s="1"/>
  <c r="A370" i="127" s="1"/>
  <c r="A382" i="127" s="1"/>
  <c r="A394" i="127" s="1"/>
  <c r="A406" i="127" s="1"/>
  <c r="A418" i="127" s="1"/>
  <c r="A430" i="127" s="1"/>
  <c r="A442" i="127" s="1"/>
  <c r="A202" i="132"/>
  <c r="A214" i="132" s="1"/>
  <c r="A226" i="132" s="1"/>
  <c r="A238" i="132" s="1"/>
  <c r="A250" i="132" s="1"/>
  <c r="A262" i="132" s="1"/>
  <c r="A274" i="132" s="1"/>
  <c r="A286" i="132" s="1"/>
  <c r="A298" i="132" s="1"/>
  <c r="A310" i="132" s="1"/>
  <c r="A322" i="132" s="1"/>
  <c r="A334" i="132" s="1"/>
  <c r="A346" i="132" s="1"/>
  <c r="A358" i="132" s="1"/>
  <c r="A370" i="132" s="1"/>
  <c r="A382" i="132" s="1"/>
  <c r="A394" i="132" s="1"/>
  <c r="A406" i="132" s="1"/>
  <c r="A418" i="132" s="1"/>
  <c r="A430" i="132" s="1"/>
  <c r="A442" i="132" s="1"/>
  <c r="A454" i="132" s="1"/>
  <c r="A203" i="132"/>
  <c r="A215" i="132" s="1"/>
  <c r="A227" i="132" s="1"/>
  <c r="A239" i="132" s="1"/>
  <c r="A251" i="132" s="1"/>
  <c r="A263" i="132" s="1"/>
  <c r="A275" i="132" s="1"/>
  <c r="A287" i="132" s="1"/>
  <c r="A299" i="132" s="1"/>
  <c r="A311" i="132" s="1"/>
  <c r="A323" i="132" s="1"/>
  <c r="A335" i="132" s="1"/>
  <c r="A347" i="132" s="1"/>
  <c r="A359" i="132" s="1"/>
  <c r="A371" i="132" s="1"/>
  <c r="A383" i="132" s="1"/>
  <c r="A395" i="132" s="1"/>
  <c r="A407" i="132" s="1"/>
  <c r="A419" i="132" s="1"/>
  <c r="A431" i="132" s="1"/>
  <c r="A443" i="132" s="1"/>
  <c r="A455" i="132" s="1"/>
  <c r="A204" i="132"/>
  <c r="A216" i="132" s="1"/>
  <c r="A228" i="132" s="1"/>
  <c r="A240" i="132" s="1"/>
  <c r="A252" i="132" s="1"/>
  <c r="A264" i="132" s="1"/>
  <c r="A276" i="132" s="1"/>
  <c r="A288" i="132" s="1"/>
  <c r="A300" i="132" s="1"/>
  <c r="A312" i="132" s="1"/>
  <c r="A324" i="132" s="1"/>
  <c r="A336" i="132" s="1"/>
  <c r="A348" i="132" s="1"/>
  <c r="A360" i="132" s="1"/>
  <c r="A372" i="132" s="1"/>
  <c r="A384" i="132" s="1"/>
  <c r="A396" i="132" s="1"/>
  <c r="A408" i="132" s="1"/>
  <c r="A420" i="132" s="1"/>
  <c r="A432" i="132" s="1"/>
  <c r="A444" i="132" s="1"/>
  <c r="A456" i="132" s="1"/>
  <c r="A205" i="132"/>
  <c r="A217" i="132" s="1"/>
  <c r="A229" i="132" s="1"/>
  <c r="A241" i="132" s="1"/>
  <c r="A253" i="132" s="1"/>
  <c r="A265" i="132" s="1"/>
  <c r="A277" i="132" s="1"/>
  <c r="A289" i="132" s="1"/>
  <c r="A301" i="132" s="1"/>
  <c r="A313" i="132" s="1"/>
  <c r="A325" i="132" s="1"/>
  <c r="A337" i="132" s="1"/>
  <c r="A349" i="132" s="1"/>
  <c r="A361" i="132" s="1"/>
  <c r="A373" i="132" s="1"/>
  <c r="A385" i="132" s="1"/>
  <c r="A397" i="132" s="1"/>
  <c r="A409" i="132" s="1"/>
  <c r="A421" i="132" s="1"/>
  <c r="A433" i="132" s="1"/>
  <c r="A445" i="132" s="1"/>
  <c r="A457" i="132" s="1"/>
  <c r="A206" i="132"/>
  <c r="A218" i="132" s="1"/>
  <c r="A230" i="132" s="1"/>
  <c r="A242" i="132" s="1"/>
  <c r="A254" i="132" s="1"/>
  <c r="A266" i="132" s="1"/>
  <c r="A278" i="132" s="1"/>
  <c r="A290" i="132" s="1"/>
  <c r="A302" i="132" s="1"/>
  <c r="A314" i="132" s="1"/>
  <c r="A326" i="132" s="1"/>
  <c r="A338" i="132" s="1"/>
  <c r="A350" i="132" s="1"/>
  <c r="A362" i="132" s="1"/>
  <c r="A374" i="132" s="1"/>
  <c r="A386" i="132" s="1"/>
  <c r="A398" i="132" s="1"/>
  <c r="A410" i="132" s="1"/>
  <c r="A422" i="132" s="1"/>
  <c r="A434" i="132" s="1"/>
  <c r="A446" i="132" s="1"/>
  <c r="A458" i="132" s="1"/>
  <c r="A207" i="132"/>
  <c r="A219" i="132" s="1"/>
  <c r="A231" i="132" s="1"/>
  <c r="A243" i="132" s="1"/>
  <c r="A255" i="132" s="1"/>
  <c r="A267" i="132" s="1"/>
  <c r="A279" i="132" s="1"/>
  <c r="A291" i="132" s="1"/>
  <c r="A303" i="132" s="1"/>
  <c r="A315" i="132" s="1"/>
  <c r="A327" i="132" s="1"/>
  <c r="A339" i="132" s="1"/>
  <c r="A351" i="132" s="1"/>
  <c r="A363" i="132" s="1"/>
  <c r="A375" i="132" s="1"/>
  <c r="A387" i="132" s="1"/>
  <c r="A399" i="132" s="1"/>
  <c r="A411" i="132" s="1"/>
  <c r="A423" i="132" s="1"/>
  <c r="A435" i="132" s="1"/>
  <c r="A447" i="132" s="1"/>
  <c r="A459" i="132" s="1"/>
  <c r="A208" i="132"/>
  <c r="A220" i="132" s="1"/>
  <c r="A232" i="132" s="1"/>
  <c r="A244" i="132" s="1"/>
  <c r="A256" i="132" s="1"/>
  <c r="A268" i="132" s="1"/>
  <c r="A280" i="132" s="1"/>
  <c r="A292" i="132" s="1"/>
  <c r="A304" i="132" s="1"/>
  <c r="A316" i="132" s="1"/>
  <c r="A328" i="132" s="1"/>
  <c r="A340" i="132" s="1"/>
  <c r="A352" i="132" s="1"/>
  <c r="A364" i="132" s="1"/>
  <c r="A376" i="132" s="1"/>
  <c r="A388" i="132" s="1"/>
  <c r="A400" i="132" s="1"/>
  <c r="A412" i="132" s="1"/>
  <c r="A424" i="132" s="1"/>
  <c r="A436" i="132" s="1"/>
  <c r="A448" i="132" s="1"/>
  <c r="A460" i="132" s="1"/>
  <c r="A209" i="132"/>
  <c r="A221" i="132" s="1"/>
  <c r="A233" i="132" s="1"/>
  <c r="A245" i="132" s="1"/>
  <c r="A257" i="132" s="1"/>
  <c r="A269" i="132" s="1"/>
  <c r="A281" i="132" s="1"/>
  <c r="A293" i="132" s="1"/>
  <c r="A305" i="132" s="1"/>
  <c r="A317" i="132" s="1"/>
  <c r="A329" i="132" s="1"/>
  <c r="A341" i="132" s="1"/>
  <c r="A353" i="132" s="1"/>
  <c r="A365" i="132" s="1"/>
  <c r="A377" i="132" s="1"/>
  <c r="A389" i="132" s="1"/>
  <c r="A401" i="132" s="1"/>
  <c r="A413" i="132" s="1"/>
  <c r="A425" i="132" s="1"/>
  <c r="A437" i="132" s="1"/>
  <c r="A449" i="132" s="1"/>
  <c r="A461" i="132" s="1"/>
  <c r="A210" i="132"/>
  <c r="A222" i="132" s="1"/>
  <c r="A234" i="132" s="1"/>
  <c r="A246" i="132" s="1"/>
  <c r="A258" i="132" s="1"/>
  <c r="A270" i="132" s="1"/>
  <c r="A282" i="132" s="1"/>
  <c r="A294" i="132" s="1"/>
  <c r="A306" i="132" s="1"/>
  <c r="A318" i="132" s="1"/>
  <c r="A330" i="132" s="1"/>
  <c r="A342" i="132" s="1"/>
  <c r="A354" i="132" s="1"/>
  <c r="A366" i="132" s="1"/>
  <c r="A378" i="132" s="1"/>
  <c r="A390" i="132" s="1"/>
  <c r="A402" i="132" s="1"/>
  <c r="A414" i="132" s="1"/>
  <c r="A426" i="132" s="1"/>
  <c r="A438" i="132" s="1"/>
  <c r="A450" i="132" s="1"/>
  <c r="A462" i="132" s="1"/>
  <c r="A211" i="132"/>
  <c r="A223" i="132" s="1"/>
  <c r="A235" i="132" s="1"/>
  <c r="A247" i="132" s="1"/>
  <c r="A259" i="132" s="1"/>
  <c r="A271" i="132" s="1"/>
  <c r="A283" i="132" s="1"/>
  <c r="A295" i="132" s="1"/>
  <c r="A307" i="132" s="1"/>
  <c r="A319" i="132" s="1"/>
  <c r="A331" i="132" s="1"/>
  <c r="A343" i="132" s="1"/>
  <c r="A355" i="132" s="1"/>
  <c r="A367" i="132" s="1"/>
  <c r="A379" i="132" s="1"/>
  <c r="A391" i="132" s="1"/>
  <c r="A403" i="132" s="1"/>
  <c r="A415" i="132" s="1"/>
  <c r="A427" i="132" s="1"/>
  <c r="A439" i="132" s="1"/>
  <c r="A451" i="132" s="1"/>
  <c r="A463" i="132" s="1"/>
  <c r="A212" i="132"/>
  <c r="A224" i="132" s="1"/>
  <c r="A236" i="132" s="1"/>
  <c r="A248" i="132" s="1"/>
  <c r="A260" i="132" s="1"/>
  <c r="A272" i="132" s="1"/>
  <c r="A284" i="132" s="1"/>
  <c r="A296" i="132" s="1"/>
  <c r="A308" i="132" s="1"/>
  <c r="A320" i="132" s="1"/>
  <c r="A332" i="132" s="1"/>
  <c r="A344" i="132" s="1"/>
  <c r="A356" i="132" s="1"/>
  <c r="A368" i="132" s="1"/>
  <c r="A380" i="132" s="1"/>
  <c r="A392" i="132" s="1"/>
  <c r="A404" i="132" s="1"/>
  <c r="A416" i="132" s="1"/>
  <c r="A428" i="132" s="1"/>
  <c r="A440" i="132" s="1"/>
  <c r="A452" i="132" s="1"/>
  <c r="A464" i="132" s="1"/>
  <c r="A213" i="132"/>
  <c r="A225" i="132" s="1"/>
  <c r="A237" i="132" s="1"/>
  <c r="A249" i="132" s="1"/>
  <c r="A261" i="132" s="1"/>
  <c r="A273" i="132" s="1"/>
  <c r="A285" i="132" s="1"/>
  <c r="A297" i="132" s="1"/>
  <c r="A309" i="132" s="1"/>
  <c r="A321" i="132" s="1"/>
  <c r="A333" i="132" s="1"/>
  <c r="A345" i="132" s="1"/>
  <c r="A357" i="132" s="1"/>
  <c r="A369" i="132" s="1"/>
  <c r="A381" i="132" s="1"/>
  <c r="A393" i="132" s="1"/>
  <c r="A405" i="132" s="1"/>
  <c r="A417" i="132" s="1"/>
  <c r="A429" i="132" s="1"/>
  <c r="A441" i="132" s="1"/>
  <c r="A453" i="132" s="1"/>
  <c r="A465" i="132" s="1"/>
  <c r="L289" i="14" l="1"/>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AF371" i="68"/>
  <c r="Z152" i="106" l="1"/>
  <c r="Z153" i="106"/>
  <c r="Z154" i="106"/>
  <c r="Z155" i="106"/>
  <c r="Z156" i="106"/>
  <c r="Z157" i="106"/>
  <c r="Z158" i="106"/>
  <c r="Z159" i="106"/>
  <c r="Z160" i="106"/>
  <c r="Z161" i="106"/>
  <c r="Z162" i="106"/>
  <c r="Z163" i="106"/>
  <c r="Z164" i="106"/>
  <c r="Z165" i="106"/>
  <c r="Z166" i="106"/>
  <c r="Z167" i="106"/>
  <c r="Z168" i="106"/>
  <c r="Z169" i="106"/>
  <c r="Z170" i="106"/>
  <c r="Z171" i="106"/>
  <c r="Z172" i="106"/>
  <c r="Z173" i="106"/>
  <c r="Z174" i="106"/>
  <c r="Z175" i="106"/>
  <c r="Z176" i="106"/>
  <c r="Z177" i="106"/>
  <c r="Z178" i="106"/>
  <c r="Z179" i="106"/>
  <c r="Z180" i="106"/>
  <c r="Z181" i="106"/>
  <c r="Z182" i="106"/>
  <c r="Z183" i="106"/>
  <c r="Z184" i="106"/>
  <c r="Z185" i="106"/>
  <c r="Z186" i="106"/>
  <c r="Z187" i="106"/>
  <c r="Z188" i="106"/>
  <c r="Z189" i="106"/>
  <c r="Z190" i="106"/>
  <c r="Z191" i="106"/>
  <c r="Z192" i="106"/>
  <c r="Z193" i="106"/>
  <c r="Z194" i="106"/>
  <c r="Z195" i="106"/>
  <c r="Z196" i="106"/>
  <c r="Z197" i="106"/>
  <c r="Z198" i="106"/>
  <c r="Z199" i="106"/>
  <c r="Z200" i="106"/>
  <c r="Z201" i="106"/>
  <c r="Z202" i="106"/>
  <c r="Z203" i="106"/>
  <c r="Z204" i="106"/>
  <c r="Z205" i="106"/>
  <c r="Z206" i="106"/>
  <c r="Z207" i="106"/>
  <c r="Z208" i="106"/>
  <c r="Z209" i="106"/>
  <c r="Z210" i="106"/>
  <c r="Z211" i="106"/>
  <c r="Z212" i="106"/>
  <c r="Z213" i="106"/>
  <c r="Z214" i="106"/>
  <c r="Z215" i="106"/>
  <c r="Z216" i="106"/>
  <c r="Z217" i="106"/>
  <c r="Z218" i="106"/>
  <c r="Z219" i="106"/>
  <c r="Z220" i="106"/>
  <c r="Z221" i="106"/>
  <c r="Z222" i="106"/>
  <c r="Z370" i="68" l="1"/>
  <c r="N371" i="38" l="1"/>
  <c r="I371" i="38"/>
  <c r="L383" i="108" l="1"/>
  <c r="D382" i="89" l="1"/>
  <c r="B382" i="89"/>
  <c r="B380" i="89"/>
  <c r="B381" i="89"/>
  <c r="C202" i="105" l="1"/>
  <c r="C203" i="105" s="1"/>
  <c r="C204" i="105" s="1"/>
  <c r="C205" i="105" s="1"/>
  <c r="C206" i="105" s="1"/>
  <c r="C207" i="105" s="1"/>
  <c r="C208" i="105" s="1"/>
  <c r="C209" i="105" s="1"/>
  <c r="B202" i="105"/>
  <c r="B203" i="105" s="1"/>
  <c r="B204" i="105" s="1"/>
  <c r="B205" i="105" s="1"/>
  <c r="B206" i="105" s="1"/>
  <c r="B207" i="105" s="1"/>
  <c r="B208" i="105" s="1"/>
  <c r="B209" i="105" s="1"/>
  <c r="D211" i="105" l="1"/>
  <c r="L370" i="38"/>
  <c r="AA368" i="68"/>
  <c r="Y368" i="68"/>
  <c r="D146" i="116" l="1"/>
  <c r="D355" i="52" l="1"/>
  <c r="D351" i="52"/>
  <c r="D352" i="52"/>
  <c r="D353" i="52"/>
  <c r="D354" i="52"/>
  <c r="D350" i="52"/>
  <c r="A225" i="128"/>
  <c r="A237" i="128" s="1"/>
  <c r="A249" i="128" s="1"/>
  <c r="A261" i="128" s="1"/>
  <c r="A273" i="128" s="1"/>
  <c r="A285" i="128" s="1"/>
  <c r="A297" i="128" s="1"/>
  <c r="A309" i="128" s="1"/>
  <c r="A321" i="128" s="1"/>
  <c r="A333" i="128" s="1"/>
  <c r="A345" i="128" s="1"/>
  <c r="A357" i="128" s="1"/>
  <c r="A369" i="128" s="1"/>
  <c r="A381" i="128" s="1"/>
  <c r="A393" i="128" s="1"/>
  <c r="A405" i="128" s="1"/>
  <c r="A417" i="128" s="1"/>
  <c r="A429" i="128" s="1"/>
  <c r="A441" i="128" s="1"/>
  <c r="A453" i="128" s="1"/>
  <c r="A465" i="128" s="1"/>
  <c r="A477" i="128" s="1"/>
  <c r="A489" i="128" s="1"/>
  <c r="A224" i="128"/>
  <c r="A236" i="128" s="1"/>
  <c r="A248" i="128" s="1"/>
  <c r="A260" i="128" s="1"/>
  <c r="A272" i="128" s="1"/>
  <c r="A284" i="128" s="1"/>
  <c r="A296" i="128" s="1"/>
  <c r="A308" i="128" s="1"/>
  <c r="A320" i="128" s="1"/>
  <c r="A332" i="128" s="1"/>
  <c r="A344" i="128" s="1"/>
  <c r="A356" i="128" s="1"/>
  <c r="A368" i="128" s="1"/>
  <c r="A380" i="128" s="1"/>
  <c r="A392" i="128" s="1"/>
  <c r="A404" i="128" s="1"/>
  <c r="A416" i="128" s="1"/>
  <c r="A428" i="128" s="1"/>
  <c r="A440" i="128" s="1"/>
  <c r="A452" i="128" s="1"/>
  <c r="A464" i="128" s="1"/>
  <c r="A476" i="128" s="1"/>
  <c r="A488" i="128" s="1"/>
  <c r="A223" i="128"/>
  <c r="A235" i="128" s="1"/>
  <c r="A247" i="128" s="1"/>
  <c r="A259" i="128" s="1"/>
  <c r="A271" i="128" s="1"/>
  <c r="A283" i="128" s="1"/>
  <c r="A295" i="128" s="1"/>
  <c r="A307" i="128" s="1"/>
  <c r="A319" i="128" s="1"/>
  <c r="A331" i="128" s="1"/>
  <c r="A343" i="128" s="1"/>
  <c r="A355" i="128" s="1"/>
  <c r="A367" i="128" s="1"/>
  <c r="A379" i="128" s="1"/>
  <c r="A391" i="128" s="1"/>
  <c r="A403" i="128" s="1"/>
  <c r="A415" i="128" s="1"/>
  <c r="A427" i="128" s="1"/>
  <c r="A439" i="128" s="1"/>
  <c r="A451" i="128" s="1"/>
  <c r="A463" i="128" s="1"/>
  <c r="A475" i="128" s="1"/>
  <c r="A487" i="128" s="1"/>
  <c r="A222" i="128"/>
  <c r="A234" i="128" s="1"/>
  <c r="A246" i="128" s="1"/>
  <c r="A258" i="128" s="1"/>
  <c r="A270" i="128" s="1"/>
  <c r="A282" i="128" s="1"/>
  <c r="A294" i="128" s="1"/>
  <c r="A306" i="128" s="1"/>
  <c r="A318" i="128" s="1"/>
  <c r="A330" i="128" s="1"/>
  <c r="A342" i="128" s="1"/>
  <c r="A354" i="128" s="1"/>
  <c r="A366" i="128" s="1"/>
  <c r="A378" i="128" s="1"/>
  <c r="A390" i="128" s="1"/>
  <c r="A402" i="128" s="1"/>
  <c r="A414" i="128" s="1"/>
  <c r="A426" i="128" s="1"/>
  <c r="A438" i="128" s="1"/>
  <c r="A450" i="128" s="1"/>
  <c r="A462" i="128" s="1"/>
  <c r="A474" i="128" s="1"/>
  <c r="A486" i="128" s="1"/>
  <c r="A221" i="128"/>
  <c r="A233" i="128" s="1"/>
  <c r="A245" i="128" s="1"/>
  <c r="A257" i="128" s="1"/>
  <c r="A269" i="128" s="1"/>
  <c r="A281" i="128" s="1"/>
  <c r="A293" i="128" s="1"/>
  <c r="A305" i="128" s="1"/>
  <c r="A317" i="128" s="1"/>
  <c r="A329" i="128" s="1"/>
  <c r="A341" i="128" s="1"/>
  <c r="A353" i="128" s="1"/>
  <c r="A365" i="128" s="1"/>
  <c r="A377" i="128" s="1"/>
  <c r="A389" i="128" s="1"/>
  <c r="A401" i="128" s="1"/>
  <c r="A413" i="128" s="1"/>
  <c r="A425" i="128" s="1"/>
  <c r="A437" i="128" s="1"/>
  <c r="A449" i="128" s="1"/>
  <c r="A461" i="128" s="1"/>
  <c r="A473" i="128" s="1"/>
  <c r="A485" i="128" s="1"/>
  <c r="A220" i="128"/>
  <c r="A232" i="128" s="1"/>
  <c r="A244" i="128" s="1"/>
  <c r="A256" i="128" s="1"/>
  <c r="A268" i="128" s="1"/>
  <c r="A280" i="128" s="1"/>
  <c r="A292" i="128" s="1"/>
  <c r="A304" i="128" s="1"/>
  <c r="A316" i="128" s="1"/>
  <c r="A328" i="128" s="1"/>
  <c r="A340" i="128" s="1"/>
  <c r="A352" i="128" s="1"/>
  <c r="A364" i="128" s="1"/>
  <c r="A376" i="128" s="1"/>
  <c r="A388" i="128" s="1"/>
  <c r="A400" i="128" s="1"/>
  <c r="A412" i="128" s="1"/>
  <c r="A424" i="128" s="1"/>
  <c r="A436" i="128" s="1"/>
  <c r="A448" i="128" s="1"/>
  <c r="A460" i="128" s="1"/>
  <c r="A472" i="128" s="1"/>
  <c r="A484" i="128" s="1"/>
  <c r="A219" i="128"/>
  <c r="A231" i="128" s="1"/>
  <c r="A243" i="128" s="1"/>
  <c r="A255" i="128" s="1"/>
  <c r="A267" i="128" s="1"/>
  <c r="A279" i="128" s="1"/>
  <c r="A291" i="128" s="1"/>
  <c r="A303" i="128" s="1"/>
  <c r="A315" i="128" s="1"/>
  <c r="A327" i="128" s="1"/>
  <c r="A339" i="128" s="1"/>
  <c r="A351" i="128" s="1"/>
  <c r="A363" i="128" s="1"/>
  <c r="A375" i="128" s="1"/>
  <c r="A387" i="128" s="1"/>
  <c r="A399" i="128" s="1"/>
  <c r="A411" i="128" s="1"/>
  <c r="A423" i="128" s="1"/>
  <c r="A435" i="128" s="1"/>
  <c r="A447" i="128" s="1"/>
  <c r="A459" i="128" s="1"/>
  <c r="A471" i="128" s="1"/>
  <c r="A483" i="128" s="1"/>
  <c r="A218" i="128"/>
  <c r="A230" i="128" s="1"/>
  <c r="A242" i="128" s="1"/>
  <c r="A254" i="128" s="1"/>
  <c r="A266" i="128" s="1"/>
  <c r="A278" i="128" s="1"/>
  <c r="A290" i="128" s="1"/>
  <c r="A302" i="128" s="1"/>
  <c r="A314" i="128" s="1"/>
  <c r="A326" i="128" s="1"/>
  <c r="A338" i="128" s="1"/>
  <c r="A350" i="128" s="1"/>
  <c r="A362" i="128" s="1"/>
  <c r="A374" i="128" s="1"/>
  <c r="A386" i="128" s="1"/>
  <c r="A398" i="128" s="1"/>
  <c r="A410" i="128" s="1"/>
  <c r="A422" i="128" s="1"/>
  <c r="A434" i="128" s="1"/>
  <c r="A446" i="128" s="1"/>
  <c r="A458" i="128" s="1"/>
  <c r="A470" i="128" s="1"/>
  <c r="A482" i="128" s="1"/>
  <c r="A217" i="128"/>
  <c r="A229" i="128" s="1"/>
  <c r="A241" i="128" s="1"/>
  <c r="A253" i="128" s="1"/>
  <c r="A265" i="128" s="1"/>
  <c r="A277" i="128" s="1"/>
  <c r="A289" i="128" s="1"/>
  <c r="A301" i="128" s="1"/>
  <c r="A313" i="128" s="1"/>
  <c r="A325" i="128" s="1"/>
  <c r="A337" i="128" s="1"/>
  <c r="A349" i="128" s="1"/>
  <c r="A361" i="128" s="1"/>
  <c r="A373" i="128" s="1"/>
  <c r="A385" i="128" s="1"/>
  <c r="A397" i="128" s="1"/>
  <c r="A409" i="128" s="1"/>
  <c r="A421" i="128" s="1"/>
  <c r="A433" i="128" s="1"/>
  <c r="A445" i="128" s="1"/>
  <c r="A457" i="128" s="1"/>
  <c r="A469" i="128" s="1"/>
  <c r="A481" i="128" s="1"/>
  <c r="A216" i="128"/>
  <c r="A228" i="128" s="1"/>
  <c r="A240" i="128" s="1"/>
  <c r="A252" i="128" s="1"/>
  <c r="A264" i="128" s="1"/>
  <c r="A276" i="128" s="1"/>
  <c r="A288" i="128" s="1"/>
  <c r="A300" i="128" s="1"/>
  <c r="A312" i="128" s="1"/>
  <c r="A324" i="128" s="1"/>
  <c r="A336" i="128" s="1"/>
  <c r="A348" i="128" s="1"/>
  <c r="A360" i="128" s="1"/>
  <c r="A372" i="128" s="1"/>
  <c r="A384" i="128" s="1"/>
  <c r="A396" i="128" s="1"/>
  <c r="A408" i="128" s="1"/>
  <c r="A420" i="128" s="1"/>
  <c r="A432" i="128" s="1"/>
  <c r="A444" i="128" s="1"/>
  <c r="A456" i="128" s="1"/>
  <c r="A468" i="128" s="1"/>
  <c r="A480" i="128" s="1"/>
  <c r="A215" i="128"/>
  <c r="A227" i="128" s="1"/>
  <c r="A239" i="128" s="1"/>
  <c r="A251" i="128" s="1"/>
  <c r="A263" i="128" s="1"/>
  <c r="A275" i="128" s="1"/>
  <c r="A287" i="128" s="1"/>
  <c r="A299" i="128" s="1"/>
  <c r="A311" i="128" s="1"/>
  <c r="A323" i="128" s="1"/>
  <c r="A335" i="128" s="1"/>
  <c r="A347" i="128" s="1"/>
  <c r="A359" i="128" s="1"/>
  <c r="A371" i="128" s="1"/>
  <c r="A383" i="128" s="1"/>
  <c r="A395" i="128" s="1"/>
  <c r="A407" i="128" s="1"/>
  <c r="A419" i="128" s="1"/>
  <c r="A431" i="128" s="1"/>
  <c r="A443" i="128" s="1"/>
  <c r="A455" i="128" s="1"/>
  <c r="A467" i="128" s="1"/>
  <c r="A479" i="128" s="1"/>
  <c r="A214" i="128"/>
  <c r="A226" i="128" s="1"/>
  <c r="A238" i="128" s="1"/>
  <c r="A250" i="128" s="1"/>
  <c r="A262" i="128" s="1"/>
  <c r="A274" i="128" s="1"/>
  <c r="A286" i="128" s="1"/>
  <c r="A298" i="128" s="1"/>
  <c r="A310" i="128" s="1"/>
  <c r="A322" i="128" s="1"/>
  <c r="A334" i="128" s="1"/>
  <c r="A346" i="128" s="1"/>
  <c r="A358" i="128" s="1"/>
  <c r="A370" i="128" s="1"/>
  <c r="A382" i="128" s="1"/>
  <c r="A394" i="128" s="1"/>
  <c r="A406" i="128" s="1"/>
  <c r="A418" i="128" s="1"/>
  <c r="A430" i="128" s="1"/>
  <c r="A442" i="128" s="1"/>
  <c r="A454" i="128" s="1"/>
  <c r="A466" i="128" s="1"/>
  <c r="A478" i="128" s="1"/>
  <c r="J163" i="76" l="1"/>
  <c r="AA365" i="68"/>
  <c r="Y365" i="68"/>
  <c r="X365" i="68"/>
  <c r="E310" i="100" l="1"/>
  <c r="K310" i="100"/>
  <c r="E322" i="100" l="1"/>
  <c r="K322" i="100"/>
  <c r="L376" i="108" l="1"/>
  <c r="E346" i="100" l="1"/>
  <c r="E347" i="100"/>
  <c r="E348" i="100"/>
  <c r="E349" i="100"/>
  <c r="E350" i="100"/>
  <c r="E351" i="100"/>
  <c r="E352" i="100"/>
  <c r="B374" i="89" l="1"/>
  <c r="B373" i="89"/>
  <c r="B372" i="89"/>
  <c r="B371" i="89"/>
  <c r="B370" i="89"/>
  <c r="B375" i="89"/>
  <c r="AA362" i="68" l="1"/>
  <c r="Q344" i="38" l="1"/>
  <c r="L374" i="108" l="1"/>
  <c r="D79" i="30" l="1"/>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1" i="30"/>
  <c r="D402" i="30"/>
  <c r="D403" i="30"/>
  <c r="D404" i="30"/>
  <c r="D405" i="30"/>
  <c r="D406" i="30"/>
  <c r="D407" i="30"/>
  <c r="D408" i="30"/>
  <c r="D409" i="30"/>
  <c r="D410" i="30"/>
  <c r="D412" i="30"/>
  <c r="D413" i="30"/>
  <c r="D414" i="30"/>
  <c r="D415" i="30"/>
  <c r="D416" i="30"/>
  <c r="D417" i="30"/>
  <c r="D418" i="30"/>
  <c r="D419" i="30"/>
  <c r="D420" i="30"/>
  <c r="D421" i="30"/>
  <c r="D422" i="30"/>
  <c r="D423" i="30"/>
  <c r="D424" i="30"/>
  <c r="D425" i="30"/>
  <c r="D426" i="30"/>
  <c r="D427" i="30"/>
  <c r="D428" i="30"/>
  <c r="D429" i="30"/>
  <c r="D78" i="30"/>
  <c r="D77" i="30"/>
  <c r="J349" i="52" l="1"/>
  <c r="AA361" i="68" l="1"/>
  <c r="O348" i="4" l="1"/>
  <c r="D372" i="89" l="1"/>
  <c r="D371" i="89"/>
  <c r="D370" i="89"/>
  <c r="B359" i="89"/>
  <c r="G72" i="53" l="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209" i="130" s="1"/>
  <c r="A221" i="130" s="1"/>
  <c r="A233" i="130" s="1"/>
  <c r="A245" i="130" s="1"/>
  <c r="A257" i="130" s="1"/>
  <c r="A269" i="130" s="1"/>
  <c r="A281" i="130" s="1"/>
  <c r="A293" i="130" s="1"/>
  <c r="A305" i="130" s="1"/>
  <c r="A317" i="130" s="1"/>
  <c r="A329" i="130" s="1"/>
  <c r="A341" i="130" s="1"/>
  <c r="A353" i="130" s="1"/>
  <c r="A365" i="130" s="1"/>
  <c r="A377" i="130" s="1"/>
  <c r="A389"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D143" i="116"/>
  <c r="A374" i="130" l="1"/>
  <c r="A386" i="130" s="1"/>
  <c r="Z360" i="68"/>
  <c r="L371" i="108" l="1"/>
  <c r="E323" i="59" l="1"/>
  <c r="L275" i="14" l="1"/>
  <c r="G15" i="53" l="1"/>
  <c r="A141" i="129" l="1"/>
  <c r="A153" i="129" s="1"/>
  <c r="A165" i="129" s="1"/>
  <c r="A177" i="129" s="1"/>
  <c r="A189" i="129" s="1"/>
  <c r="A201" i="129" s="1"/>
  <c r="A213" i="129" s="1"/>
  <c r="A225" i="129" s="1"/>
  <c r="A237" i="129" s="1"/>
  <c r="A249" i="129" s="1"/>
  <c r="A261" i="129" s="1"/>
  <c r="A273" i="129" s="1"/>
  <c r="A285" i="129" s="1"/>
  <c r="A297" i="129" s="1"/>
  <c r="A309" i="129" s="1"/>
  <c r="A321" i="129" s="1"/>
  <c r="A333" i="129" s="1"/>
  <c r="A345" i="129" s="1"/>
  <c r="A357" i="129" s="1"/>
  <c r="A369" i="129" s="1"/>
  <c r="A381" i="129" s="1"/>
  <c r="A393" i="129" s="1"/>
  <c r="A405" i="129" s="1"/>
  <c r="A140" i="129"/>
  <c r="A152" i="129" s="1"/>
  <c r="A164" i="129" s="1"/>
  <c r="A176" i="129" s="1"/>
  <c r="A188" i="129" s="1"/>
  <c r="A200" i="129" s="1"/>
  <c r="A212" i="129" s="1"/>
  <c r="A224" i="129" s="1"/>
  <c r="A236" i="129" s="1"/>
  <c r="A248" i="129" s="1"/>
  <c r="A260" i="129" s="1"/>
  <c r="A272" i="129" s="1"/>
  <c r="A284" i="129" s="1"/>
  <c r="A296" i="129" s="1"/>
  <c r="A308" i="129" s="1"/>
  <c r="A320" i="129" s="1"/>
  <c r="A332" i="129" s="1"/>
  <c r="A344" i="129" s="1"/>
  <c r="A356" i="129" s="1"/>
  <c r="A368" i="129" s="1"/>
  <c r="A380" i="129" s="1"/>
  <c r="A392" i="129" s="1"/>
  <c r="A404" i="129" s="1"/>
  <c r="A139" i="129"/>
  <c r="A151" i="129" s="1"/>
  <c r="A163" i="129" s="1"/>
  <c r="A175" i="129" s="1"/>
  <c r="A187" i="129" s="1"/>
  <c r="A199" i="129" s="1"/>
  <c r="A211" i="129" s="1"/>
  <c r="A223" i="129" s="1"/>
  <c r="A235" i="129" s="1"/>
  <c r="A247" i="129" s="1"/>
  <c r="A259" i="129" s="1"/>
  <c r="A271" i="129" s="1"/>
  <c r="A283" i="129" s="1"/>
  <c r="A295" i="129" s="1"/>
  <c r="A307" i="129" s="1"/>
  <c r="A319" i="129" s="1"/>
  <c r="A331" i="129" s="1"/>
  <c r="A343" i="129" s="1"/>
  <c r="A355" i="129" s="1"/>
  <c r="A367" i="129" s="1"/>
  <c r="A379" i="129" s="1"/>
  <c r="A391" i="129" s="1"/>
  <c r="A403" i="129" s="1"/>
  <c r="A138" i="129"/>
  <c r="A150" i="129" s="1"/>
  <c r="A162" i="129" s="1"/>
  <c r="A174" i="129" s="1"/>
  <c r="A186" i="129" s="1"/>
  <c r="A198" i="129" s="1"/>
  <c r="A210" i="129" s="1"/>
  <c r="A222" i="129" s="1"/>
  <c r="A234" i="129" s="1"/>
  <c r="A246" i="129" s="1"/>
  <c r="A258" i="129" s="1"/>
  <c r="A270" i="129" s="1"/>
  <c r="A282" i="129" s="1"/>
  <c r="A294" i="129" s="1"/>
  <c r="A306" i="129" s="1"/>
  <c r="A318" i="129" s="1"/>
  <c r="A330" i="129" s="1"/>
  <c r="A342" i="129" s="1"/>
  <c r="A354" i="129" s="1"/>
  <c r="A366" i="129" s="1"/>
  <c r="A378" i="129" s="1"/>
  <c r="A390" i="129" s="1"/>
  <c r="A402" i="129" s="1"/>
  <c r="A137" i="129"/>
  <c r="A149" i="129" s="1"/>
  <c r="A161" i="129" s="1"/>
  <c r="A173" i="129" s="1"/>
  <c r="A185" i="129" s="1"/>
  <c r="A197" i="129" s="1"/>
  <c r="A209" i="129" s="1"/>
  <c r="A221" i="129" s="1"/>
  <c r="A233" i="129" s="1"/>
  <c r="A245" i="129" s="1"/>
  <c r="A257" i="129" s="1"/>
  <c r="A269" i="129" s="1"/>
  <c r="A281" i="129" s="1"/>
  <c r="A293" i="129" s="1"/>
  <c r="A305" i="129" s="1"/>
  <c r="A317" i="129" s="1"/>
  <c r="A329" i="129" s="1"/>
  <c r="A341" i="129" s="1"/>
  <c r="A353" i="129" s="1"/>
  <c r="A365" i="129" s="1"/>
  <c r="A377" i="129" s="1"/>
  <c r="A389" i="129" s="1"/>
  <c r="A401" i="129" s="1"/>
  <c r="A136" i="129"/>
  <c r="A148" i="129" s="1"/>
  <c r="A160" i="129" s="1"/>
  <c r="A172" i="129" s="1"/>
  <c r="A184" i="129" s="1"/>
  <c r="A196" i="129" s="1"/>
  <c r="A208" i="129" s="1"/>
  <c r="A220" i="129" s="1"/>
  <c r="A232" i="129" s="1"/>
  <c r="A244" i="129" s="1"/>
  <c r="A256" i="129" s="1"/>
  <c r="A268" i="129" s="1"/>
  <c r="A280" i="129" s="1"/>
  <c r="A292" i="129" s="1"/>
  <c r="A304" i="129" s="1"/>
  <c r="A316" i="129" s="1"/>
  <c r="A328" i="129" s="1"/>
  <c r="A340" i="129" s="1"/>
  <c r="A352" i="129" s="1"/>
  <c r="A364" i="129" s="1"/>
  <c r="A376" i="129" s="1"/>
  <c r="A388" i="129" s="1"/>
  <c r="A400" i="129" s="1"/>
  <c r="A135" i="129"/>
  <c r="A147" i="129" s="1"/>
  <c r="A159" i="129" s="1"/>
  <c r="A171" i="129" s="1"/>
  <c r="A183" i="129" s="1"/>
  <c r="A195" i="129" s="1"/>
  <c r="A207" i="129" s="1"/>
  <c r="A219" i="129" s="1"/>
  <c r="A231" i="129" s="1"/>
  <c r="A243" i="129" s="1"/>
  <c r="A255" i="129" s="1"/>
  <c r="A267" i="129" s="1"/>
  <c r="A279" i="129" s="1"/>
  <c r="A291" i="129" s="1"/>
  <c r="A303" i="129" s="1"/>
  <c r="A315" i="129" s="1"/>
  <c r="A327" i="129" s="1"/>
  <c r="A339" i="129" s="1"/>
  <c r="A351" i="129" s="1"/>
  <c r="A363" i="129" s="1"/>
  <c r="A375" i="129" s="1"/>
  <c r="A387" i="129" s="1"/>
  <c r="A399" i="129" s="1"/>
  <c r="A134" i="129"/>
  <c r="A146" i="129" s="1"/>
  <c r="A158" i="129" s="1"/>
  <c r="A170" i="129" s="1"/>
  <c r="A182" i="129" s="1"/>
  <c r="A194" i="129" s="1"/>
  <c r="A206" i="129" s="1"/>
  <c r="A218" i="129" s="1"/>
  <c r="A230" i="129" s="1"/>
  <c r="A242" i="129" s="1"/>
  <c r="A254" i="129" s="1"/>
  <c r="A266" i="129" s="1"/>
  <c r="A278" i="129" s="1"/>
  <c r="A290" i="129" s="1"/>
  <c r="A302" i="129" s="1"/>
  <c r="A314" i="129" s="1"/>
  <c r="A326" i="129" s="1"/>
  <c r="A338" i="129" s="1"/>
  <c r="A350" i="129" s="1"/>
  <c r="A362" i="129" s="1"/>
  <c r="A374" i="129" s="1"/>
  <c r="A386" i="129" s="1"/>
  <c r="A398" i="129" s="1"/>
  <c r="A133" i="129"/>
  <c r="A145" i="129" s="1"/>
  <c r="A157" i="129" s="1"/>
  <c r="A169" i="129" s="1"/>
  <c r="A181" i="129" s="1"/>
  <c r="A193" i="129" s="1"/>
  <c r="A205" i="129" s="1"/>
  <c r="A217" i="129" s="1"/>
  <c r="A229" i="129" s="1"/>
  <c r="A241" i="129" s="1"/>
  <c r="A253" i="129" s="1"/>
  <c r="A265" i="129" s="1"/>
  <c r="A277" i="129" s="1"/>
  <c r="A289" i="129" s="1"/>
  <c r="A301" i="129" s="1"/>
  <c r="A313" i="129" s="1"/>
  <c r="A325" i="129" s="1"/>
  <c r="A337" i="129" s="1"/>
  <c r="A349" i="129" s="1"/>
  <c r="A361" i="129" s="1"/>
  <c r="A373" i="129" s="1"/>
  <c r="A385" i="129" s="1"/>
  <c r="A397" i="129" s="1"/>
  <c r="A132" i="129"/>
  <c r="A144" i="129" s="1"/>
  <c r="A156" i="129" s="1"/>
  <c r="A168" i="129" s="1"/>
  <c r="A180" i="129" s="1"/>
  <c r="A192" i="129" s="1"/>
  <c r="A204" i="129" s="1"/>
  <c r="A216" i="129" s="1"/>
  <c r="A228" i="129" s="1"/>
  <c r="A240" i="129" s="1"/>
  <c r="A252" i="129" s="1"/>
  <c r="A264" i="129" s="1"/>
  <c r="A276" i="129" s="1"/>
  <c r="A288" i="129" s="1"/>
  <c r="A300" i="129" s="1"/>
  <c r="A312" i="129" s="1"/>
  <c r="A324" i="129" s="1"/>
  <c r="A336" i="129" s="1"/>
  <c r="A348" i="129" s="1"/>
  <c r="A360" i="129" s="1"/>
  <c r="A372" i="129" s="1"/>
  <c r="A384" i="129" s="1"/>
  <c r="A396" i="129" s="1"/>
  <c r="A131" i="129"/>
  <c r="A143" i="129" s="1"/>
  <c r="A155" i="129" s="1"/>
  <c r="A167" i="129" s="1"/>
  <c r="A179" i="129" s="1"/>
  <c r="A191" i="129" s="1"/>
  <c r="A203" i="129" s="1"/>
  <c r="A215" i="129" s="1"/>
  <c r="A227" i="129" s="1"/>
  <c r="A239" i="129" s="1"/>
  <c r="A251" i="129" s="1"/>
  <c r="A263" i="129" s="1"/>
  <c r="A275" i="129" s="1"/>
  <c r="A287" i="129" s="1"/>
  <c r="A299" i="129" s="1"/>
  <c r="A311" i="129" s="1"/>
  <c r="A323" i="129" s="1"/>
  <c r="A335" i="129" s="1"/>
  <c r="A347" i="129" s="1"/>
  <c r="A359" i="129" s="1"/>
  <c r="A371" i="129" s="1"/>
  <c r="A383" i="129" s="1"/>
  <c r="A395" i="129" s="1"/>
  <c r="A130" i="129"/>
  <c r="A142" i="129" s="1"/>
  <c r="A154" i="129" s="1"/>
  <c r="A166" i="129" s="1"/>
  <c r="A178" i="129" s="1"/>
  <c r="A190" i="129" s="1"/>
  <c r="A202" i="129" s="1"/>
  <c r="A214" i="129" s="1"/>
  <c r="A226" i="129" s="1"/>
  <c r="A238" i="129" s="1"/>
  <c r="A250" i="129" s="1"/>
  <c r="A262" i="129" s="1"/>
  <c r="A274" i="129" s="1"/>
  <c r="A286" i="129" s="1"/>
  <c r="A298" i="129" s="1"/>
  <c r="A310" i="129" s="1"/>
  <c r="A322" i="129" s="1"/>
  <c r="A334" i="129" s="1"/>
  <c r="A346" i="129" s="1"/>
  <c r="A358" i="129" s="1"/>
  <c r="A370" i="129" s="1"/>
  <c r="A382" i="129" s="1"/>
  <c r="A394" i="129" s="1"/>
  <c r="Z357" i="68" l="1"/>
  <c r="Z356" i="68"/>
  <c r="AA349" i="68"/>
  <c r="AA321" i="68"/>
  <c r="Y321" i="68"/>
  <c r="AA320" i="68"/>
  <c r="AA319" i="68"/>
  <c r="AA318" i="68"/>
  <c r="AA317" i="68"/>
  <c r="AA316" i="68"/>
  <c r="AA315" i="68"/>
  <c r="AA314" i="68"/>
  <c r="Y314" i="68"/>
  <c r="AA313" i="68"/>
  <c r="Y313" i="68"/>
  <c r="Y312" i="68"/>
  <c r="AA312" i="68"/>
  <c r="Z311" i="68"/>
  <c r="AA357" i="68" l="1"/>
  <c r="Z358" i="68" l="1"/>
  <c r="D320" i="41" l="1"/>
  <c r="C320" i="41"/>
  <c r="B320" i="41"/>
  <c r="I152" i="121" l="1"/>
  <c r="I153" i="121"/>
  <c r="L273" i="14" l="1"/>
  <c r="H273" i="14"/>
  <c r="E344" i="100" l="1"/>
  <c r="K334" i="100" l="1"/>
  <c r="AA356" i="68" l="1"/>
  <c r="I355" i="38" l="1"/>
  <c r="AG355" i="68" l="1"/>
  <c r="AA355" i="68"/>
  <c r="Y355" i="68"/>
  <c r="B365" i="89" l="1"/>
  <c r="I354" i="38" l="1"/>
  <c r="AA354" i="68" l="1"/>
  <c r="Y354" i="68"/>
  <c r="J215" i="106" l="1"/>
  <c r="AA353" i="68" l="1"/>
  <c r="Y353" i="68"/>
  <c r="I149" i="121" l="1"/>
  <c r="I150" i="121"/>
  <c r="I151" i="121"/>
  <c r="AA352" i="68" l="1"/>
  <c r="Y352" i="68"/>
  <c r="I351" i="38" l="1"/>
  <c r="AA351" i="68" l="1"/>
  <c r="Y351" i="68"/>
  <c r="AA350" i="68" l="1"/>
  <c r="Y350" i="68"/>
  <c r="I350" i="38" l="1"/>
  <c r="Y349" i="68" l="1"/>
  <c r="Z349" i="68" s="1"/>
  <c r="I349" i="38" l="1"/>
  <c r="D358" i="89" l="1"/>
  <c r="B358" i="89"/>
  <c r="AA348" i="68" l="1"/>
  <c r="AA347" i="68" l="1"/>
  <c r="AG346" i="68" l="1"/>
  <c r="AA346" i="68"/>
  <c r="AA344" i="68" l="1"/>
  <c r="K344" i="38" l="1"/>
  <c r="I344" i="38"/>
  <c r="AA343" i="68" l="1"/>
  <c r="AA342" i="68" l="1"/>
  <c r="I342" i="38" l="1"/>
  <c r="D130" i="116" l="1"/>
  <c r="D131" i="116"/>
  <c r="D132" i="116"/>
  <c r="D133" i="116"/>
  <c r="D134" i="116"/>
  <c r="D135" i="116"/>
  <c r="D136" i="116"/>
  <c r="D137" i="116"/>
  <c r="D138" i="116"/>
  <c r="D139" i="116"/>
  <c r="D140" i="116"/>
  <c r="D141" i="116"/>
  <c r="D142" i="116"/>
  <c r="E143" i="116" s="1"/>
  <c r="D144" i="116"/>
  <c r="E136" i="116" l="1"/>
  <c r="E131" i="116"/>
  <c r="E133" i="116"/>
  <c r="E135" i="116"/>
  <c r="E141" i="116"/>
  <c r="E139" i="116"/>
  <c r="E144" i="116"/>
  <c r="E138" i="116"/>
  <c r="E140" i="116"/>
  <c r="E137" i="116"/>
  <c r="E132" i="116"/>
  <c r="E142" i="116"/>
  <c r="E134" i="116"/>
  <c r="AA341" i="68" l="1"/>
  <c r="G23" i="53" l="1"/>
  <c r="L256" i="14"/>
  <c r="L257" i="14" l="1"/>
  <c r="L258" i="14"/>
  <c r="L259" i="14"/>
  <c r="L260" i="14"/>
  <c r="L261" i="14"/>
  <c r="L262" i="14"/>
  <c r="L263" i="14"/>
  <c r="L264" i="14"/>
  <c r="L265" i="14"/>
  <c r="L266" i="14"/>
  <c r="L267" i="14"/>
  <c r="L268" i="14"/>
  <c r="L269" i="14"/>
  <c r="L270" i="14"/>
  <c r="L271" i="14"/>
  <c r="L272" i="14"/>
  <c r="L274" i="14"/>
  <c r="L276" i="14"/>
  <c r="L277" i="14"/>
  <c r="L278" i="14"/>
  <c r="L279" i="14"/>
  <c r="L280" i="14"/>
  <c r="L281" i="14"/>
  <c r="L282" i="14"/>
  <c r="L283" i="14"/>
  <c r="L284" i="14"/>
  <c r="L285"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7" i="14"/>
  <c r="H258" i="14"/>
  <c r="H259" i="14"/>
  <c r="H260" i="14"/>
  <c r="H261" i="14"/>
  <c r="H262" i="14"/>
  <c r="H263" i="14"/>
  <c r="H264" i="14"/>
  <c r="H265" i="14"/>
  <c r="H266" i="14"/>
  <c r="H267" i="14"/>
  <c r="H268" i="14"/>
  <c r="H269" i="14"/>
  <c r="H270" i="14"/>
  <c r="H271" i="14"/>
  <c r="H272"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64"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E327" i="41" l="1"/>
  <c r="AA340" i="68" l="1"/>
  <c r="AA339" i="68" l="1"/>
  <c r="H326" i="4" l="1"/>
  <c r="E326" i="41" l="1"/>
  <c r="B348" i="89" l="1"/>
  <c r="B349" i="89"/>
  <c r="S198" i="106" l="1"/>
  <c r="S199" i="106"/>
  <c r="S200" i="106"/>
  <c r="S201" i="106"/>
  <c r="AA338" i="68" l="1"/>
  <c r="V6" i="4" l="1"/>
  <c r="I338" i="38" l="1"/>
  <c r="B346" i="89" l="1"/>
  <c r="I337" i="38" l="1"/>
  <c r="AA337" i="68" l="1"/>
  <c r="G21" i="53" l="1"/>
  <c r="AA335" i="68" l="1"/>
  <c r="AA336" i="68"/>
  <c r="M81" i="114" l="1"/>
  <c r="AA333" i="68" l="1"/>
  <c r="AA334" i="68"/>
  <c r="L346" i="108" l="1"/>
  <c r="AA325" i="68" l="1"/>
  <c r="AA326" i="68"/>
  <c r="AA327" i="68"/>
  <c r="AA328" i="68"/>
  <c r="AA329" i="68"/>
  <c r="AA330" i="68"/>
  <c r="AA331" i="68"/>
  <c r="AA332" i="68"/>
  <c r="Z332" i="68"/>
  <c r="H323" i="17" l="1"/>
  <c r="H322" i="17"/>
  <c r="H332" i="17"/>
  <c r="M80" i="114" l="1"/>
  <c r="S194" i="106" l="1"/>
  <c r="S195" i="106"/>
  <c r="S196" i="106"/>
  <c r="S197" i="106"/>
  <c r="J194" i="106"/>
  <c r="J195" i="106"/>
  <c r="X330" i="68" l="1"/>
  <c r="I329" i="38" l="1"/>
  <c r="A117" i="125" l="1"/>
  <c r="A129" i="125" s="1"/>
  <c r="A141" i="125" s="1"/>
  <c r="A153" i="125" s="1"/>
  <c r="A165" i="125" s="1"/>
  <c r="A177" i="125" s="1"/>
  <c r="A189" i="125" s="1"/>
  <c r="A201" i="125" s="1"/>
  <c r="A213" i="125" s="1"/>
  <c r="A225" i="125" s="1"/>
  <c r="A116" i="125"/>
  <c r="A128" i="125" s="1"/>
  <c r="A140" i="125" s="1"/>
  <c r="A152" i="125" s="1"/>
  <c r="A164" i="125" s="1"/>
  <c r="A176" i="125" s="1"/>
  <c r="A188" i="125" s="1"/>
  <c r="A200" i="125" s="1"/>
  <c r="A212" i="125" s="1"/>
  <c r="A224" i="125" s="1"/>
  <c r="A115" i="125"/>
  <c r="A127" i="125" s="1"/>
  <c r="A139" i="125" s="1"/>
  <c r="A151" i="125" s="1"/>
  <c r="A163" i="125" s="1"/>
  <c r="A175" i="125" s="1"/>
  <c r="A187" i="125" s="1"/>
  <c r="A199" i="125" s="1"/>
  <c r="A211" i="125" s="1"/>
  <c r="A223" i="125" s="1"/>
  <c r="A114" i="125"/>
  <c r="A126" i="125" s="1"/>
  <c r="A138" i="125" s="1"/>
  <c r="A150" i="125" s="1"/>
  <c r="A162" i="125" s="1"/>
  <c r="A174" i="125" s="1"/>
  <c r="A186" i="125" s="1"/>
  <c r="A198" i="125" s="1"/>
  <c r="A210" i="125" s="1"/>
  <c r="A222" i="125" s="1"/>
  <c r="A113" i="125"/>
  <c r="A125" i="125" s="1"/>
  <c r="A137" i="125" s="1"/>
  <c r="A149" i="125" s="1"/>
  <c r="A161" i="125" s="1"/>
  <c r="A173" i="125" s="1"/>
  <c r="A185" i="125" s="1"/>
  <c r="A197" i="125" s="1"/>
  <c r="A209" i="125" s="1"/>
  <c r="A221" i="125" s="1"/>
  <c r="A112" i="125"/>
  <c r="A124" i="125" s="1"/>
  <c r="A136" i="125" s="1"/>
  <c r="A148" i="125" s="1"/>
  <c r="A160" i="125" s="1"/>
  <c r="A172" i="125" s="1"/>
  <c r="A184" i="125" s="1"/>
  <c r="A196" i="125" s="1"/>
  <c r="A208" i="125" s="1"/>
  <c r="A220" i="125" s="1"/>
  <c r="A111" i="125"/>
  <c r="A123" i="125" s="1"/>
  <c r="A135" i="125" s="1"/>
  <c r="A147" i="125" s="1"/>
  <c r="A159" i="125" s="1"/>
  <c r="A171" i="125" s="1"/>
  <c r="A183" i="125" s="1"/>
  <c r="A195" i="125" s="1"/>
  <c r="A207" i="125" s="1"/>
  <c r="A219" i="125" s="1"/>
  <c r="A110" i="125"/>
  <c r="A122" i="125" s="1"/>
  <c r="A134" i="125" s="1"/>
  <c r="A146" i="125" s="1"/>
  <c r="A158" i="125" s="1"/>
  <c r="A170" i="125" s="1"/>
  <c r="A182" i="125" s="1"/>
  <c r="A194" i="125" s="1"/>
  <c r="A206" i="125" s="1"/>
  <c r="A218" i="125" s="1"/>
  <c r="A109" i="125"/>
  <c r="A121" i="125" s="1"/>
  <c r="A133" i="125" s="1"/>
  <c r="A145" i="125" s="1"/>
  <c r="A157" i="125" s="1"/>
  <c r="A169" i="125" s="1"/>
  <c r="A181" i="125" s="1"/>
  <c r="A193" i="125" s="1"/>
  <c r="A205" i="125" s="1"/>
  <c r="A217" i="125" s="1"/>
  <c r="A108" i="125"/>
  <c r="A120" i="125" s="1"/>
  <c r="A132" i="125" s="1"/>
  <c r="A144" i="125" s="1"/>
  <c r="A156" i="125" s="1"/>
  <c r="A168" i="125" s="1"/>
  <c r="A180" i="125" s="1"/>
  <c r="A192" i="125" s="1"/>
  <c r="A204" i="125" s="1"/>
  <c r="A216" i="125" s="1"/>
  <c r="A107" i="125"/>
  <c r="A119" i="125" s="1"/>
  <c r="A131" i="125" s="1"/>
  <c r="A143" i="125" s="1"/>
  <c r="A155" i="125" s="1"/>
  <c r="A167" i="125" s="1"/>
  <c r="A179" i="125" s="1"/>
  <c r="A191" i="125" s="1"/>
  <c r="A203" i="125" s="1"/>
  <c r="A215" i="125" s="1"/>
  <c r="A106" i="125"/>
  <c r="A118" i="125" s="1"/>
  <c r="A130" i="125" s="1"/>
  <c r="A142" i="125" s="1"/>
  <c r="A154" i="125" s="1"/>
  <c r="A166" i="125" s="1"/>
  <c r="A178" i="125" s="1"/>
  <c r="A190" i="125" s="1"/>
  <c r="A202" i="125" s="1"/>
  <c r="A214" i="125" s="1"/>
  <c r="G28" i="53" l="1"/>
  <c r="G27" i="53"/>
  <c r="A129" i="124" l="1"/>
  <c r="A141" i="124" s="1"/>
  <c r="A153" i="124" s="1"/>
  <c r="A165" i="124" s="1"/>
  <c r="A177" i="124" s="1"/>
  <c r="A189" i="124" s="1"/>
  <c r="A201" i="124" s="1"/>
  <c r="A213" i="124" s="1"/>
  <c r="A225" i="124" s="1"/>
  <c r="A237" i="124" s="1"/>
  <c r="A128" i="124"/>
  <c r="A140" i="124" s="1"/>
  <c r="A152" i="124" s="1"/>
  <c r="A164" i="124" s="1"/>
  <c r="A176" i="124" s="1"/>
  <c r="A188" i="124" s="1"/>
  <c r="A200" i="124" s="1"/>
  <c r="A212" i="124" s="1"/>
  <c r="A224" i="124" s="1"/>
  <c r="A236" i="124" s="1"/>
  <c r="A127" i="124"/>
  <c r="A139" i="124" s="1"/>
  <c r="A151" i="124" s="1"/>
  <c r="A163" i="124" s="1"/>
  <c r="A175" i="124" s="1"/>
  <c r="A187" i="124" s="1"/>
  <c r="A199" i="124" s="1"/>
  <c r="A211" i="124" s="1"/>
  <c r="A223" i="124" s="1"/>
  <c r="A235" i="124" s="1"/>
  <c r="A126" i="124"/>
  <c r="A138" i="124" s="1"/>
  <c r="A150" i="124" s="1"/>
  <c r="A162" i="124" s="1"/>
  <c r="A174" i="124" s="1"/>
  <c r="A186" i="124" s="1"/>
  <c r="A198" i="124" s="1"/>
  <c r="A210" i="124" s="1"/>
  <c r="A222" i="124" s="1"/>
  <c r="A234" i="124" s="1"/>
  <c r="A125" i="124"/>
  <c r="A137" i="124" s="1"/>
  <c r="A149" i="124" s="1"/>
  <c r="A161" i="124" s="1"/>
  <c r="A173" i="124" s="1"/>
  <c r="A185" i="124" s="1"/>
  <c r="A197" i="124" s="1"/>
  <c r="A209" i="124" s="1"/>
  <c r="A221" i="124" s="1"/>
  <c r="A233" i="124" s="1"/>
  <c r="A124" i="124"/>
  <c r="A136" i="124" s="1"/>
  <c r="A148" i="124" s="1"/>
  <c r="A160" i="124" s="1"/>
  <c r="A172" i="124" s="1"/>
  <c r="A184" i="124" s="1"/>
  <c r="A196" i="124" s="1"/>
  <c r="A208" i="124" s="1"/>
  <c r="A220" i="124" s="1"/>
  <c r="A232" i="124" s="1"/>
  <c r="A123" i="124"/>
  <c r="A135" i="124" s="1"/>
  <c r="A147" i="124" s="1"/>
  <c r="A159" i="124" s="1"/>
  <c r="A171" i="124" s="1"/>
  <c r="A183" i="124" s="1"/>
  <c r="A195" i="124" s="1"/>
  <c r="A207" i="124" s="1"/>
  <c r="A219" i="124" s="1"/>
  <c r="A231" i="124" s="1"/>
  <c r="A122" i="124"/>
  <c r="A134" i="124" s="1"/>
  <c r="A146" i="124" s="1"/>
  <c r="A158" i="124" s="1"/>
  <c r="A170" i="124" s="1"/>
  <c r="A182" i="124" s="1"/>
  <c r="A194" i="124" s="1"/>
  <c r="A206" i="124" s="1"/>
  <c r="A218" i="124" s="1"/>
  <c r="A230" i="124" s="1"/>
  <c r="A121" i="124"/>
  <c r="A133" i="124" s="1"/>
  <c r="A145" i="124" s="1"/>
  <c r="A157" i="124" s="1"/>
  <c r="A169" i="124" s="1"/>
  <c r="A181" i="124" s="1"/>
  <c r="A193" i="124" s="1"/>
  <c r="A205" i="124" s="1"/>
  <c r="A217" i="124" s="1"/>
  <c r="A229" i="124" s="1"/>
  <c r="A120" i="124"/>
  <c r="A132" i="124" s="1"/>
  <c r="A144" i="124" s="1"/>
  <c r="A156" i="124" s="1"/>
  <c r="A168" i="124" s="1"/>
  <c r="A180" i="124" s="1"/>
  <c r="A192" i="124" s="1"/>
  <c r="A204" i="124" s="1"/>
  <c r="A216" i="124" s="1"/>
  <c r="A228" i="124" s="1"/>
  <c r="A119" i="124"/>
  <c r="A131" i="124" s="1"/>
  <c r="A143" i="124" s="1"/>
  <c r="A155" i="124" s="1"/>
  <c r="A167" i="124" s="1"/>
  <c r="A179" i="124" s="1"/>
  <c r="A191" i="124" s="1"/>
  <c r="A203" i="124" s="1"/>
  <c r="A215" i="124" s="1"/>
  <c r="A227" i="124" s="1"/>
  <c r="A118" i="124"/>
  <c r="A130" i="124" s="1"/>
  <c r="A142" i="124" s="1"/>
  <c r="A154" i="124" s="1"/>
  <c r="A166" i="124" s="1"/>
  <c r="A178" i="124" s="1"/>
  <c r="A190" i="124" s="1"/>
  <c r="A202" i="124" s="1"/>
  <c r="A214" i="124" s="1"/>
  <c r="A226" i="124" s="1"/>
  <c r="A21" i="124"/>
  <c r="A20" i="124"/>
  <c r="A19" i="124"/>
  <c r="A18" i="124"/>
  <c r="A17" i="124"/>
  <c r="A16" i="124"/>
  <c r="A15" i="124"/>
  <c r="A14" i="124"/>
  <c r="A13" i="124"/>
  <c r="A12" i="124"/>
  <c r="A11" i="124"/>
  <c r="A10" i="124"/>
  <c r="A117" i="123"/>
  <c r="A129" i="123" s="1"/>
  <c r="A141" i="123" s="1"/>
  <c r="A153" i="123" s="1"/>
  <c r="A165" i="123" s="1"/>
  <c r="A177" i="123" s="1"/>
  <c r="A189" i="123" s="1"/>
  <c r="A201" i="123" s="1"/>
  <c r="A213" i="123" s="1"/>
  <c r="A225" i="123" s="1"/>
  <c r="A116" i="123"/>
  <c r="A128" i="123" s="1"/>
  <c r="A140" i="123" s="1"/>
  <c r="A152" i="123" s="1"/>
  <c r="A164" i="123" s="1"/>
  <c r="A176" i="123" s="1"/>
  <c r="A188" i="123" s="1"/>
  <c r="A200" i="123" s="1"/>
  <c r="A212" i="123" s="1"/>
  <c r="A224" i="123" s="1"/>
  <c r="A115" i="123"/>
  <c r="A127" i="123" s="1"/>
  <c r="A139" i="123" s="1"/>
  <c r="A151" i="123" s="1"/>
  <c r="A163" i="123" s="1"/>
  <c r="A175" i="123" s="1"/>
  <c r="A187" i="123" s="1"/>
  <c r="A199" i="123" s="1"/>
  <c r="A211" i="123" s="1"/>
  <c r="A223" i="123" s="1"/>
  <c r="A114" i="123"/>
  <c r="A126" i="123" s="1"/>
  <c r="A138" i="123" s="1"/>
  <c r="A150" i="123" s="1"/>
  <c r="A162" i="123" s="1"/>
  <c r="A174" i="123" s="1"/>
  <c r="A186" i="123" s="1"/>
  <c r="A198" i="123" s="1"/>
  <c r="A210" i="123" s="1"/>
  <c r="A222" i="123" s="1"/>
  <c r="A113" i="123"/>
  <c r="A125" i="123" s="1"/>
  <c r="A137" i="123" s="1"/>
  <c r="A149" i="123" s="1"/>
  <c r="A161" i="123" s="1"/>
  <c r="A173" i="123" s="1"/>
  <c r="A185" i="123" s="1"/>
  <c r="A197" i="123" s="1"/>
  <c r="A209" i="123" s="1"/>
  <c r="A221" i="123" s="1"/>
  <c r="A112" i="123"/>
  <c r="A124" i="123" s="1"/>
  <c r="A136" i="123" s="1"/>
  <c r="A148" i="123" s="1"/>
  <c r="A160" i="123" s="1"/>
  <c r="A172" i="123" s="1"/>
  <c r="A184" i="123" s="1"/>
  <c r="A196" i="123" s="1"/>
  <c r="A208" i="123" s="1"/>
  <c r="A220" i="123" s="1"/>
  <c r="A111" i="123"/>
  <c r="A123" i="123" s="1"/>
  <c r="A135" i="123" s="1"/>
  <c r="A147" i="123" s="1"/>
  <c r="A159" i="123" s="1"/>
  <c r="A171" i="123" s="1"/>
  <c r="A183" i="123" s="1"/>
  <c r="A195" i="123" s="1"/>
  <c r="A207" i="123" s="1"/>
  <c r="A219" i="123" s="1"/>
  <c r="A110" i="123"/>
  <c r="A122" i="123" s="1"/>
  <c r="A134" i="123" s="1"/>
  <c r="A146" i="123" s="1"/>
  <c r="A158" i="123" s="1"/>
  <c r="A170" i="123" s="1"/>
  <c r="A182" i="123" s="1"/>
  <c r="A194" i="123" s="1"/>
  <c r="A206" i="123" s="1"/>
  <c r="A218" i="123" s="1"/>
  <c r="A109" i="123"/>
  <c r="A121" i="123" s="1"/>
  <c r="A133" i="123" s="1"/>
  <c r="A145" i="123" s="1"/>
  <c r="A157" i="123" s="1"/>
  <c r="A169" i="123" s="1"/>
  <c r="A181" i="123" s="1"/>
  <c r="A193" i="123" s="1"/>
  <c r="A205" i="123" s="1"/>
  <c r="A217" i="123" s="1"/>
  <c r="A108" i="123"/>
  <c r="A120" i="123" s="1"/>
  <c r="A132" i="123" s="1"/>
  <c r="A144" i="123" s="1"/>
  <c r="A156" i="123" s="1"/>
  <c r="A168" i="123" s="1"/>
  <c r="A180" i="123" s="1"/>
  <c r="A192" i="123" s="1"/>
  <c r="A204" i="123" s="1"/>
  <c r="A216" i="123" s="1"/>
  <c r="A107" i="123"/>
  <c r="A119" i="123" s="1"/>
  <c r="A131" i="123" s="1"/>
  <c r="A143" i="123" s="1"/>
  <c r="A155" i="123" s="1"/>
  <c r="A167" i="123" s="1"/>
  <c r="A179" i="123" s="1"/>
  <c r="A191" i="123" s="1"/>
  <c r="A203" i="123" s="1"/>
  <c r="A215" i="123" s="1"/>
  <c r="A106" i="123"/>
  <c r="A118" i="123" s="1"/>
  <c r="A130" i="123" s="1"/>
  <c r="A142" i="123" s="1"/>
  <c r="A154" i="123" s="1"/>
  <c r="A166" i="123" s="1"/>
  <c r="A178" i="123" s="1"/>
  <c r="A190" i="123" s="1"/>
  <c r="A202" i="123" s="1"/>
  <c r="A214" i="123" s="1"/>
  <c r="K393" i="100" l="1"/>
  <c r="K319" i="100"/>
  <c r="K320" i="100"/>
  <c r="K321" i="100"/>
  <c r="K323" i="100"/>
  <c r="K324" i="100"/>
  <c r="K325" i="100"/>
  <c r="K326" i="100"/>
  <c r="K327" i="100"/>
  <c r="K328" i="100"/>
  <c r="K329" i="100"/>
  <c r="K330" i="100"/>
  <c r="K331" i="100"/>
  <c r="K332" i="100"/>
  <c r="K333" i="100"/>
  <c r="K335" i="100"/>
  <c r="K336" i="100"/>
  <c r="K337" i="100"/>
  <c r="K338" i="100"/>
  <c r="K339" i="100"/>
  <c r="K340" i="100"/>
  <c r="K341" i="100"/>
  <c r="K342" i="100"/>
  <c r="K343" i="100"/>
  <c r="K344" i="100"/>
  <c r="K345" i="100"/>
  <c r="K346" i="100"/>
  <c r="K347" i="100"/>
  <c r="K348" i="100"/>
  <c r="K349" i="100"/>
  <c r="K350" i="100"/>
  <c r="K351" i="100"/>
  <c r="K352" i="100"/>
  <c r="K353" i="100"/>
  <c r="K354" i="100"/>
  <c r="K355" i="100"/>
  <c r="K356" i="100"/>
  <c r="K357" i="100"/>
  <c r="K359" i="100"/>
  <c r="K360" i="100"/>
  <c r="K361" i="100"/>
  <c r="K362" i="100"/>
  <c r="K363" i="100"/>
  <c r="K364" i="100"/>
  <c r="K365" i="100"/>
  <c r="K366" i="100"/>
  <c r="K367" i="100"/>
  <c r="K368" i="100"/>
  <c r="K369" i="100"/>
  <c r="K371" i="100"/>
  <c r="K372" i="100"/>
  <c r="K373" i="100"/>
  <c r="K374" i="100"/>
  <c r="K375" i="100"/>
  <c r="K376" i="100"/>
  <c r="K377" i="100"/>
  <c r="K378" i="100"/>
  <c r="K379" i="100"/>
  <c r="K380" i="100"/>
  <c r="K381" i="100"/>
  <c r="K384" i="100"/>
  <c r="K385" i="100"/>
  <c r="K386" i="100"/>
  <c r="K387" i="100"/>
  <c r="K388" i="100"/>
  <c r="K389" i="100"/>
  <c r="K390" i="100"/>
  <c r="K391" i="100"/>
  <c r="K392" i="100"/>
  <c r="K238" i="100"/>
  <c r="K239" i="100"/>
  <c r="K240" i="100"/>
  <c r="K241" i="100"/>
  <c r="K242" i="100"/>
  <c r="K243" i="100"/>
  <c r="K244" i="100"/>
  <c r="K245" i="100"/>
  <c r="K246" i="100"/>
  <c r="K247" i="100"/>
  <c r="K248" i="100"/>
  <c r="K249" i="100"/>
  <c r="K250" i="100"/>
  <c r="K251" i="100"/>
  <c r="K252" i="100"/>
  <c r="K253" i="100"/>
  <c r="K254" i="100"/>
  <c r="K255" i="100"/>
  <c r="K256" i="100"/>
  <c r="K257" i="100"/>
  <c r="K258" i="100"/>
  <c r="K259" i="100"/>
  <c r="K260" i="100"/>
  <c r="K261" i="100"/>
  <c r="K262" i="100"/>
  <c r="K263" i="100"/>
  <c r="K264" i="100"/>
  <c r="K265" i="100"/>
  <c r="K266" i="100"/>
  <c r="K267" i="100"/>
  <c r="K268" i="100"/>
  <c r="K269" i="100"/>
  <c r="K270" i="100"/>
  <c r="K271" i="100"/>
  <c r="K272" i="100"/>
  <c r="K273" i="100"/>
  <c r="K274" i="100"/>
  <c r="K275" i="100"/>
  <c r="K276" i="100"/>
  <c r="K277" i="100"/>
  <c r="K278" i="100"/>
  <c r="K279" i="100"/>
  <c r="K280" i="100"/>
  <c r="K281" i="100"/>
  <c r="K282" i="100"/>
  <c r="K283" i="100"/>
  <c r="K284" i="100"/>
  <c r="K285" i="100"/>
  <c r="K286" i="100"/>
  <c r="K287" i="100"/>
  <c r="K288" i="100"/>
  <c r="K289" i="100"/>
  <c r="K290" i="100"/>
  <c r="K291" i="100"/>
  <c r="K292" i="100"/>
  <c r="K293" i="100"/>
  <c r="K294" i="100"/>
  <c r="K295" i="100"/>
  <c r="K296" i="100"/>
  <c r="K297" i="100"/>
  <c r="K298" i="100"/>
  <c r="K299" i="100"/>
  <c r="K300" i="100"/>
  <c r="K301" i="100"/>
  <c r="K302" i="100"/>
  <c r="K303" i="100"/>
  <c r="K304" i="100"/>
  <c r="K305" i="100"/>
  <c r="K306" i="100"/>
  <c r="K307" i="100"/>
  <c r="K308" i="100"/>
  <c r="K309" i="100"/>
  <c r="K311" i="100"/>
  <c r="K312" i="100"/>
  <c r="K313" i="100"/>
  <c r="K314" i="100"/>
  <c r="K315" i="100"/>
  <c r="K316" i="100"/>
  <c r="K317" i="100"/>
  <c r="K318" i="100"/>
  <c r="E286" i="100" l="1"/>
  <c r="E287" i="100"/>
  <c r="E288" i="100"/>
  <c r="E289" i="100"/>
  <c r="E290" i="100"/>
  <c r="E291" i="100"/>
  <c r="E292" i="100"/>
  <c r="E293" i="100"/>
  <c r="E294" i="100"/>
  <c r="E295" i="100"/>
  <c r="E296" i="100"/>
  <c r="E297" i="100"/>
  <c r="E298" i="100"/>
  <c r="E299" i="100"/>
  <c r="E300" i="100"/>
  <c r="E301" i="100"/>
  <c r="E302" i="100"/>
  <c r="E303" i="100"/>
  <c r="E304" i="100"/>
  <c r="E305" i="100"/>
  <c r="E306" i="100"/>
  <c r="E307" i="100"/>
  <c r="E308" i="100"/>
  <c r="E309" i="100"/>
  <c r="E311" i="100"/>
  <c r="E312" i="100"/>
  <c r="E313" i="100"/>
  <c r="E314" i="100"/>
  <c r="E315" i="100"/>
  <c r="E316" i="100"/>
  <c r="E317" i="100"/>
  <c r="E319" i="100"/>
  <c r="E320" i="100"/>
  <c r="E321" i="100"/>
  <c r="E323" i="100"/>
  <c r="E324" i="100"/>
  <c r="E325" i="100"/>
  <c r="E326" i="100"/>
  <c r="E327" i="100"/>
  <c r="E328" i="100"/>
  <c r="E329" i="100"/>
  <c r="E330" i="100"/>
  <c r="E331" i="100"/>
  <c r="E332" i="100"/>
  <c r="E333" i="100"/>
  <c r="E334" i="100"/>
  <c r="E335" i="100"/>
  <c r="E336" i="100"/>
  <c r="E337" i="100"/>
  <c r="E338" i="100"/>
  <c r="E339" i="100"/>
  <c r="E340" i="100"/>
  <c r="E341" i="100"/>
  <c r="E342" i="100"/>
  <c r="E343" i="100"/>
  <c r="E345" i="100"/>
  <c r="E353" i="100"/>
  <c r="E354" i="100"/>
  <c r="E355" i="100"/>
  <c r="E356" i="100"/>
  <c r="E357" i="100"/>
  <c r="E359" i="100"/>
  <c r="E360" i="100"/>
  <c r="E361" i="100"/>
  <c r="E362" i="100"/>
  <c r="E363" i="100"/>
  <c r="E364" i="100"/>
  <c r="E365" i="100"/>
  <c r="E366" i="100"/>
  <c r="E367" i="100"/>
  <c r="E368" i="100"/>
  <c r="E370" i="100"/>
  <c r="E371" i="100"/>
  <c r="E372" i="100"/>
  <c r="E373" i="100"/>
  <c r="E374" i="100"/>
  <c r="E375" i="100"/>
  <c r="E376" i="100"/>
  <c r="E377" i="100"/>
  <c r="E378" i="100"/>
  <c r="E379" i="100"/>
  <c r="E380" i="100"/>
  <c r="E381" i="100"/>
  <c r="E385" i="100"/>
  <c r="E386" i="100"/>
  <c r="E387" i="100"/>
  <c r="E388" i="100"/>
  <c r="E389" i="100"/>
  <c r="E390" i="100"/>
  <c r="E391" i="100"/>
  <c r="E392" i="100"/>
  <c r="E393" i="100"/>
  <c r="E318" i="100"/>
  <c r="E285" i="100" l="1"/>
  <c r="E284" i="100"/>
  <c r="E283" i="100"/>
  <c r="E282" i="100"/>
  <c r="E281" i="100"/>
  <c r="E280" i="100"/>
  <c r="E279" i="100"/>
  <c r="E278" i="100"/>
  <c r="E277" i="100"/>
  <c r="E276" i="100"/>
  <c r="E275" i="100"/>
  <c r="E274" i="100"/>
  <c r="E273" i="100"/>
  <c r="E272" i="100"/>
  <c r="E271" i="100"/>
  <c r="E270" i="100"/>
  <c r="E269" i="100"/>
  <c r="E268" i="100"/>
  <c r="E267" i="100"/>
  <c r="E266" i="100"/>
  <c r="E265" i="100"/>
  <c r="E264" i="100"/>
  <c r="E263" i="100"/>
  <c r="E262" i="100"/>
  <c r="E261" i="100"/>
  <c r="E260" i="100"/>
  <c r="E259" i="100"/>
  <c r="E258" i="100"/>
  <c r="E257" i="100"/>
  <c r="E256" i="100"/>
  <c r="E255" i="100"/>
  <c r="E254" i="100"/>
  <c r="E253" i="100"/>
  <c r="E252" i="100"/>
  <c r="E251" i="100"/>
  <c r="E250" i="100"/>
  <c r="E249" i="100"/>
  <c r="E248" i="100"/>
  <c r="E247" i="100"/>
  <c r="E246" i="100"/>
  <c r="E245" i="100"/>
  <c r="E244" i="100"/>
  <c r="E243" i="100"/>
  <c r="E242" i="100"/>
  <c r="E241" i="100"/>
  <c r="E240" i="100"/>
  <c r="E239" i="100"/>
  <c r="E238" i="100"/>
  <c r="E237" i="100"/>
  <c r="E236" i="100"/>
  <c r="K235" i="100"/>
  <c r="E235" i="100"/>
  <c r="K234" i="100"/>
  <c r="E234" i="100"/>
  <c r="K233" i="100"/>
  <c r="E233" i="100"/>
  <c r="K232" i="100"/>
  <c r="E232" i="100"/>
  <c r="K231" i="100"/>
  <c r="E231" i="100"/>
  <c r="K230" i="100"/>
  <c r="E230" i="100"/>
  <c r="K229" i="100"/>
  <c r="E229" i="100"/>
  <c r="K228" i="100"/>
  <c r="E228" i="100"/>
  <c r="K227" i="100"/>
  <c r="E227" i="100"/>
  <c r="K226" i="100"/>
  <c r="E226" i="100"/>
  <c r="K225" i="100"/>
  <c r="H237" i="100" s="1"/>
  <c r="E225" i="100"/>
  <c r="K224" i="100"/>
  <c r="H236" i="100" s="1"/>
  <c r="E224" i="100"/>
  <c r="K223" i="100"/>
  <c r="E223" i="100"/>
  <c r="K222" i="100"/>
  <c r="E222" i="100"/>
  <c r="K221" i="100"/>
  <c r="E221" i="100"/>
  <c r="K220" i="100"/>
  <c r="E220" i="100"/>
  <c r="K219" i="100"/>
  <c r="E219" i="100"/>
  <c r="K218" i="100"/>
  <c r="E218" i="100"/>
  <c r="K217" i="100"/>
  <c r="E217" i="100"/>
  <c r="K216" i="100"/>
  <c r="E216" i="100"/>
  <c r="K215" i="100"/>
  <c r="E215" i="100"/>
  <c r="K214" i="100"/>
  <c r="E214" i="100"/>
  <c r="K213" i="100"/>
  <c r="E213" i="100"/>
  <c r="K212" i="100"/>
  <c r="E212" i="100"/>
  <c r="K211" i="100"/>
  <c r="E211" i="100"/>
  <c r="K210" i="100"/>
  <c r="E210" i="100"/>
  <c r="K209" i="100"/>
  <c r="E209" i="100"/>
  <c r="K208" i="100"/>
  <c r="E208" i="100"/>
  <c r="K207" i="100"/>
  <c r="E207" i="100"/>
  <c r="K206" i="100"/>
  <c r="E206" i="100"/>
  <c r="K205" i="100"/>
  <c r="E205" i="100"/>
  <c r="K204" i="100"/>
  <c r="E204" i="100"/>
  <c r="K203" i="100"/>
  <c r="E203" i="100"/>
  <c r="K202" i="100"/>
  <c r="E202" i="100"/>
  <c r="K201" i="100"/>
  <c r="E201" i="100"/>
  <c r="K200" i="100"/>
  <c r="E200" i="100"/>
  <c r="K199" i="100"/>
  <c r="E199" i="100"/>
  <c r="K198" i="100"/>
  <c r="E198" i="100"/>
  <c r="K197" i="100"/>
  <c r="E197" i="100"/>
  <c r="K196" i="100"/>
  <c r="E196" i="100"/>
  <c r="K195" i="100"/>
  <c r="E195" i="100"/>
  <c r="K194" i="100"/>
  <c r="E194" i="100"/>
  <c r="K193" i="100"/>
  <c r="E193" i="100"/>
  <c r="K192" i="100"/>
  <c r="E192" i="100"/>
  <c r="K191" i="100"/>
  <c r="E191" i="100"/>
  <c r="K190" i="100"/>
  <c r="E190" i="100"/>
  <c r="K189" i="100"/>
  <c r="E189" i="100"/>
  <c r="K188" i="100"/>
  <c r="E188" i="100"/>
  <c r="K187" i="100"/>
  <c r="E187" i="100"/>
  <c r="K186" i="100"/>
  <c r="E186" i="100"/>
  <c r="K185" i="100"/>
  <c r="E185" i="100"/>
  <c r="K184" i="100"/>
  <c r="E184" i="100"/>
  <c r="K183" i="100"/>
  <c r="E183" i="100"/>
  <c r="K182" i="100"/>
  <c r="E182" i="100"/>
  <c r="K181" i="100"/>
  <c r="E181" i="100"/>
  <c r="K180" i="100"/>
  <c r="E180" i="100"/>
  <c r="K179" i="100"/>
  <c r="E179" i="100"/>
  <c r="K178" i="100"/>
  <c r="E178" i="100"/>
  <c r="K177" i="100"/>
  <c r="E177" i="100"/>
  <c r="K176" i="100"/>
  <c r="E176" i="100"/>
  <c r="K175" i="100"/>
  <c r="E175" i="100"/>
  <c r="K174" i="100"/>
  <c r="E174" i="100"/>
  <c r="K173" i="100"/>
  <c r="E173" i="100"/>
  <c r="K172" i="100"/>
  <c r="E172" i="100"/>
  <c r="K171" i="100"/>
  <c r="E171" i="100"/>
  <c r="K170" i="100"/>
  <c r="E170" i="100"/>
  <c r="K169" i="100"/>
  <c r="E169" i="100"/>
  <c r="K168" i="100"/>
  <c r="E168" i="100"/>
  <c r="K167" i="100"/>
  <c r="E167" i="100"/>
  <c r="K166" i="100"/>
  <c r="E166" i="100"/>
  <c r="K165" i="100"/>
  <c r="E165" i="100"/>
  <c r="K164" i="100"/>
  <c r="E164" i="100"/>
  <c r="K163" i="100"/>
  <c r="E163" i="100"/>
  <c r="K162" i="100"/>
  <c r="E162" i="100"/>
  <c r="K161" i="100"/>
  <c r="E161" i="100"/>
  <c r="K160" i="100"/>
  <c r="E160" i="100"/>
  <c r="K159" i="100"/>
  <c r="E159" i="100"/>
  <c r="K158" i="100"/>
  <c r="E158" i="100"/>
  <c r="K157" i="100"/>
  <c r="E157" i="100"/>
  <c r="K156" i="100"/>
  <c r="E156" i="100"/>
  <c r="K155" i="100"/>
  <c r="E155" i="100"/>
  <c r="K154" i="100"/>
  <c r="E154" i="100"/>
  <c r="K153" i="100"/>
  <c r="E153" i="100"/>
  <c r="K152" i="100"/>
  <c r="E152" i="100"/>
  <c r="K151" i="100"/>
  <c r="E151" i="100"/>
  <c r="K150" i="100"/>
  <c r="E150" i="100"/>
  <c r="K149" i="100"/>
  <c r="E149" i="100"/>
  <c r="K148" i="100"/>
  <c r="E148" i="100"/>
  <c r="K147" i="100"/>
  <c r="E147" i="100"/>
  <c r="K146" i="100"/>
  <c r="E146" i="100"/>
  <c r="K145" i="100"/>
  <c r="E145" i="100"/>
  <c r="K144" i="100"/>
  <c r="E144" i="100"/>
  <c r="K143" i="100"/>
  <c r="E143" i="100"/>
  <c r="K142" i="100"/>
  <c r="E142" i="100"/>
  <c r="K141" i="100"/>
  <c r="E141" i="100"/>
  <c r="K140" i="100"/>
  <c r="E140" i="100"/>
  <c r="K139" i="100"/>
  <c r="E139" i="100"/>
  <c r="K138" i="100"/>
  <c r="E138" i="100"/>
  <c r="K137" i="100"/>
  <c r="E137" i="100"/>
  <c r="K136" i="100"/>
  <c r="E136" i="100"/>
  <c r="K135" i="100"/>
  <c r="E135" i="100"/>
  <c r="K134" i="100"/>
  <c r="E134" i="100"/>
  <c r="K133" i="100"/>
  <c r="E133" i="100"/>
  <c r="K132" i="100"/>
  <c r="E132" i="100"/>
  <c r="K131" i="100"/>
  <c r="E131" i="100"/>
  <c r="K130" i="100"/>
  <c r="E130" i="100"/>
  <c r="K129" i="100"/>
  <c r="E129" i="100"/>
  <c r="K128" i="100"/>
  <c r="E128" i="100"/>
  <c r="K127" i="100"/>
  <c r="E127" i="100"/>
  <c r="K126" i="100"/>
  <c r="E126" i="100"/>
  <c r="K125" i="100"/>
  <c r="E125" i="100"/>
  <c r="K124" i="100"/>
  <c r="E124" i="100"/>
  <c r="K123" i="100"/>
  <c r="E123" i="100"/>
  <c r="K122" i="100"/>
  <c r="E122" i="100"/>
  <c r="K121" i="100"/>
  <c r="E121" i="100"/>
  <c r="K120" i="100"/>
  <c r="E120" i="100"/>
  <c r="K119" i="100"/>
  <c r="E119" i="100"/>
  <c r="K118" i="100"/>
  <c r="E118" i="100"/>
  <c r="K117" i="100"/>
  <c r="E117" i="100"/>
  <c r="K116" i="100"/>
  <c r="E116" i="100"/>
  <c r="K115" i="100"/>
  <c r="E115" i="100"/>
  <c r="K114" i="100"/>
  <c r="E114" i="100"/>
  <c r="K113" i="100"/>
  <c r="E113" i="100"/>
  <c r="K112" i="100"/>
  <c r="E112" i="100"/>
  <c r="K111" i="100"/>
  <c r="E111" i="100"/>
  <c r="K110" i="100"/>
  <c r="E110" i="100"/>
  <c r="K109" i="100"/>
  <c r="E109" i="100"/>
  <c r="K108" i="100"/>
  <c r="E108" i="100"/>
  <c r="K107" i="100"/>
  <c r="E107" i="100"/>
  <c r="K106" i="100"/>
  <c r="E106" i="100"/>
  <c r="K105" i="100"/>
  <c r="E105" i="100"/>
  <c r="K104" i="100"/>
  <c r="E104" i="100"/>
  <c r="K103" i="100"/>
  <c r="E103" i="100"/>
  <c r="K102" i="100"/>
  <c r="E102" i="100"/>
  <c r="K101" i="100"/>
  <c r="E101" i="100"/>
  <c r="K100" i="100"/>
  <c r="E100" i="100"/>
  <c r="K99" i="100"/>
  <c r="E99" i="100"/>
  <c r="K98" i="100"/>
  <c r="E98" i="100"/>
  <c r="K97" i="100"/>
  <c r="E97" i="100"/>
  <c r="K96" i="100"/>
  <c r="E96" i="100"/>
  <c r="K95" i="100"/>
  <c r="E95" i="100"/>
  <c r="K94" i="100"/>
  <c r="E94" i="100"/>
  <c r="K93" i="100"/>
  <c r="E93" i="100"/>
  <c r="K92" i="100"/>
  <c r="E92" i="100"/>
  <c r="K91" i="100"/>
  <c r="E91" i="100"/>
  <c r="K90" i="100"/>
  <c r="E90" i="100"/>
  <c r="K89" i="100"/>
  <c r="E89" i="100"/>
  <c r="K88" i="100"/>
  <c r="E88" i="100"/>
  <c r="K87" i="100"/>
  <c r="E87" i="100"/>
  <c r="K86" i="100"/>
  <c r="E86" i="100"/>
  <c r="K85" i="100"/>
  <c r="E85" i="100"/>
  <c r="K84" i="100"/>
  <c r="E84" i="100"/>
  <c r="K83" i="100"/>
  <c r="E83" i="100"/>
  <c r="K82" i="100"/>
  <c r="E82" i="100"/>
  <c r="K81" i="100"/>
  <c r="E81" i="100"/>
  <c r="K80" i="100"/>
  <c r="E80" i="100"/>
  <c r="K79" i="100"/>
  <c r="E79" i="100"/>
  <c r="K78" i="100"/>
  <c r="E78" i="100"/>
  <c r="K77" i="100"/>
  <c r="E77" i="100"/>
  <c r="K76" i="100"/>
  <c r="E76" i="100"/>
  <c r="K75" i="100"/>
  <c r="E75" i="100"/>
  <c r="K74" i="100"/>
  <c r="E74" i="100"/>
  <c r="K73" i="100"/>
  <c r="E73" i="100"/>
  <c r="K72" i="100"/>
  <c r="E72" i="100"/>
  <c r="K71" i="100"/>
  <c r="E71" i="100"/>
  <c r="K70" i="100"/>
  <c r="E70" i="100"/>
  <c r="E69" i="100"/>
  <c r="E68" i="100"/>
  <c r="E67" i="100"/>
  <c r="E66" i="100"/>
  <c r="E65" i="100"/>
  <c r="E64" i="100"/>
  <c r="E63" i="100"/>
  <c r="E62" i="100"/>
  <c r="E61" i="100"/>
  <c r="E60" i="100"/>
  <c r="E59" i="100"/>
  <c r="E58" i="100"/>
  <c r="E57" i="100"/>
  <c r="E56" i="100"/>
  <c r="E55" i="100"/>
  <c r="E54" i="100"/>
  <c r="E53" i="100"/>
  <c r="E52" i="100"/>
  <c r="E51" i="100"/>
  <c r="E50" i="100"/>
  <c r="E49" i="100"/>
  <c r="E48" i="100"/>
  <c r="E47" i="100"/>
  <c r="E46" i="100"/>
  <c r="E45" i="100"/>
  <c r="E44" i="100"/>
  <c r="E43" i="100"/>
  <c r="E42" i="100"/>
  <c r="E41" i="100"/>
  <c r="E40" i="100"/>
  <c r="E39" i="100"/>
  <c r="E38" i="100"/>
  <c r="E37" i="100"/>
  <c r="E36" i="100"/>
  <c r="E35" i="100"/>
  <c r="E34" i="100"/>
  <c r="E33" i="100"/>
  <c r="E32" i="100"/>
  <c r="E31" i="100"/>
  <c r="E30" i="100"/>
  <c r="E29" i="100"/>
  <c r="E28" i="100"/>
  <c r="E27" i="100"/>
  <c r="E26" i="100"/>
  <c r="E25" i="100"/>
  <c r="E24" i="100"/>
  <c r="E23" i="100"/>
  <c r="E22" i="100"/>
  <c r="E21" i="100"/>
  <c r="E20" i="100"/>
  <c r="E19" i="100"/>
  <c r="E18" i="100"/>
  <c r="E17" i="100"/>
  <c r="E16" i="100"/>
  <c r="E15" i="100"/>
  <c r="E14" i="100"/>
  <c r="E13" i="100"/>
  <c r="E12" i="100"/>
  <c r="E11" i="100"/>
  <c r="E10" i="100"/>
  <c r="K236" i="100" l="1"/>
  <c r="K237" i="100"/>
  <c r="M79" i="114"/>
  <c r="M78" i="114"/>
  <c r="M77" i="114"/>
  <c r="N326" i="38" l="1"/>
  <c r="G75" i="53" l="1"/>
  <c r="G44" i="53" l="1"/>
  <c r="U7" i="3" l="1"/>
  <c r="T7" i="3"/>
  <c r="G25" i="53" l="1"/>
  <c r="G79" i="53" l="1"/>
  <c r="G42" i="53" l="1"/>
  <c r="I325" i="38" l="1"/>
  <c r="G26" i="53" l="1"/>
  <c r="A45" i="122" l="1"/>
  <c r="A57" i="122" s="1"/>
  <c r="A69" i="122" s="1"/>
  <c r="A81" i="122" s="1"/>
  <c r="A93" i="122" s="1"/>
  <c r="A105" i="122" s="1"/>
  <c r="A117" i="122" s="1"/>
  <c r="A129" i="122" s="1"/>
  <c r="A141" i="122" s="1"/>
  <c r="A153" i="122" s="1"/>
  <c r="A165" i="122" s="1"/>
  <c r="A177" i="122" s="1"/>
  <c r="A189" i="122" s="1"/>
  <c r="A201" i="122" s="1"/>
  <c r="A213" i="122" s="1"/>
  <c r="A225" i="122" s="1"/>
  <c r="A237" i="122" s="1"/>
  <c r="A249" i="122" s="1"/>
  <c r="A261" i="122" s="1"/>
  <c r="A273" i="122" s="1"/>
  <c r="A285" i="122" s="1"/>
  <c r="A297" i="122" s="1"/>
  <c r="A309" i="122" s="1"/>
  <c r="A321" i="122" s="1"/>
  <c r="A333" i="122" s="1"/>
  <c r="A345" i="122" s="1"/>
  <c r="A357" i="122" s="1"/>
  <c r="A369" i="122" s="1"/>
  <c r="A44" i="122"/>
  <c r="A56" i="122" s="1"/>
  <c r="A68" i="122" s="1"/>
  <c r="A80" i="122" s="1"/>
  <c r="A92" i="122" s="1"/>
  <c r="A104" i="122" s="1"/>
  <c r="A116" i="122" s="1"/>
  <c r="A128" i="122" s="1"/>
  <c r="A140" i="122" s="1"/>
  <c r="A152" i="122" s="1"/>
  <c r="A164" i="122" s="1"/>
  <c r="A176" i="122" s="1"/>
  <c r="A188" i="122" s="1"/>
  <c r="A200" i="122" s="1"/>
  <c r="A212" i="122" s="1"/>
  <c r="A224" i="122" s="1"/>
  <c r="A236" i="122" s="1"/>
  <c r="A248" i="122" s="1"/>
  <c r="A260" i="122" s="1"/>
  <c r="A272" i="122" s="1"/>
  <c r="A284" i="122" s="1"/>
  <c r="A296" i="122" s="1"/>
  <c r="A308" i="122" s="1"/>
  <c r="A320" i="122" s="1"/>
  <c r="A332" i="122" s="1"/>
  <c r="A344" i="122" s="1"/>
  <c r="A356" i="122" s="1"/>
  <c r="A368" i="122" s="1"/>
  <c r="A43" i="122"/>
  <c r="A55" i="122" s="1"/>
  <c r="A67" i="122" s="1"/>
  <c r="A79" i="122" s="1"/>
  <c r="A91" i="122" s="1"/>
  <c r="A103" i="122" s="1"/>
  <c r="A115" i="122" s="1"/>
  <c r="A127" i="122" s="1"/>
  <c r="A139" i="122" s="1"/>
  <c r="A151" i="122" s="1"/>
  <c r="A163" i="122" s="1"/>
  <c r="A175" i="122" s="1"/>
  <c r="A187" i="122" s="1"/>
  <c r="A199" i="122" s="1"/>
  <c r="A211" i="122" s="1"/>
  <c r="A223" i="122" s="1"/>
  <c r="A235" i="122" s="1"/>
  <c r="A247" i="122" s="1"/>
  <c r="A259" i="122" s="1"/>
  <c r="A271" i="122" s="1"/>
  <c r="A283" i="122" s="1"/>
  <c r="A295" i="122" s="1"/>
  <c r="A307" i="122" s="1"/>
  <c r="A319" i="122" s="1"/>
  <c r="A331" i="122" s="1"/>
  <c r="A343" i="122" s="1"/>
  <c r="A355" i="122" s="1"/>
  <c r="A367" i="122" s="1"/>
  <c r="A42" i="122"/>
  <c r="A54" i="122" s="1"/>
  <c r="A66" i="122" s="1"/>
  <c r="A78" i="122" s="1"/>
  <c r="A90" i="122" s="1"/>
  <c r="A102" i="122" s="1"/>
  <c r="A114" i="122" s="1"/>
  <c r="A126" i="122" s="1"/>
  <c r="A138" i="122" s="1"/>
  <c r="A150" i="122" s="1"/>
  <c r="A162" i="122" s="1"/>
  <c r="A174" i="122" s="1"/>
  <c r="A186" i="122" s="1"/>
  <c r="A198" i="122" s="1"/>
  <c r="A210" i="122" s="1"/>
  <c r="A222" i="122" s="1"/>
  <c r="A234" i="122" s="1"/>
  <c r="A246" i="122" s="1"/>
  <c r="A258" i="122" s="1"/>
  <c r="A270" i="122" s="1"/>
  <c r="A282" i="122" s="1"/>
  <c r="A294" i="122" s="1"/>
  <c r="A306" i="122" s="1"/>
  <c r="A318" i="122" s="1"/>
  <c r="A330" i="122" s="1"/>
  <c r="A342" i="122" s="1"/>
  <c r="A354" i="122" s="1"/>
  <c r="A366" i="122" s="1"/>
  <c r="A41" i="122"/>
  <c r="A53" i="122" s="1"/>
  <c r="A65" i="122" s="1"/>
  <c r="A77" i="122" s="1"/>
  <c r="A89" i="122" s="1"/>
  <c r="A101" i="122" s="1"/>
  <c r="A113" i="122" s="1"/>
  <c r="A125" i="122" s="1"/>
  <c r="A137" i="122" s="1"/>
  <c r="A149" i="122" s="1"/>
  <c r="A161" i="122" s="1"/>
  <c r="A173" i="122" s="1"/>
  <c r="A185" i="122" s="1"/>
  <c r="A197" i="122" s="1"/>
  <c r="A209" i="122" s="1"/>
  <c r="A221" i="122" s="1"/>
  <c r="A233" i="122" s="1"/>
  <c r="A245" i="122" s="1"/>
  <c r="A257" i="122" s="1"/>
  <c r="A269" i="122" s="1"/>
  <c r="A281" i="122" s="1"/>
  <c r="A293" i="122" s="1"/>
  <c r="A305" i="122" s="1"/>
  <c r="A317" i="122" s="1"/>
  <c r="A329" i="122" s="1"/>
  <c r="A341" i="122" s="1"/>
  <c r="A353" i="122" s="1"/>
  <c r="A365" i="122" s="1"/>
  <c r="A40" i="122"/>
  <c r="A52" i="122" s="1"/>
  <c r="A64" i="122" s="1"/>
  <c r="A76" i="122" s="1"/>
  <c r="A88" i="122" s="1"/>
  <c r="A100" i="122" s="1"/>
  <c r="A112" i="122" s="1"/>
  <c r="A124" i="122" s="1"/>
  <c r="A136" i="122" s="1"/>
  <c r="A148" i="122" s="1"/>
  <c r="A160" i="122" s="1"/>
  <c r="A172" i="122" s="1"/>
  <c r="A184" i="122" s="1"/>
  <c r="A196" i="122" s="1"/>
  <c r="A208" i="122" s="1"/>
  <c r="A220" i="122" s="1"/>
  <c r="A232" i="122" s="1"/>
  <c r="A244" i="122" s="1"/>
  <c r="A256" i="122" s="1"/>
  <c r="A268" i="122" s="1"/>
  <c r="A280" i="122" s="1"/>
  <c r="A292" i="122" s="1"/>
  <c r="A304" i="122" s="1"/>
  <c r="A316" i="122" s="1"/>
  <c r="A328" i="122" s="1"/>
  <c r="A340" i="122" s="1"/>
  <c r="A352" i="122" s="1"/>
  <c r="A364" i="122" s="1"/>
  <c r="A39" i="122"/>
  <c r="A51" i="122" s="1"/>
  <c r="A63" i="122" s="1"/>
  <c r="A75" i="122" s="1"/>
  <c r="A87" i="122" s="1"/>
  <c r="A99" i="122" s="1"/>
  <c r="A111" i="122" s="1"/>
  <c r="A123" i="122" s="1"/>
  <c r="A135" i="122" s="1"/>
  <c r="A147" i="122" s="1"/>
  <c r="A159" i="122" s="1"/>
  <c r="A171" i="122" s="1"/>
  <c r="A183" i="122" s="1"/>
  <c r="A195" i="122" s="1"/>
  <c r="A207" i="122" s="1"/>
  <c r="A219" i="122" s="1"/>
  <c r="A231" i="122" s="1"/>
  <c r="A243" i="122" s="1"/>
  <c r="A255" i="122" s="1"/>
  <c r="A267" i="122" s="1"/>
  <c r="A279" i="122" s="1"/>
  <c r="A291" i="122" s="1"/>
  <c r="A303" i="122" s="1"/>
  <c r="A315" i="122" s="1"/>
  <c r="A327" i="122" s="1"/>
  <c r="A339" i="122" s="1"/>
  <c r="A351" i="122" s="1"/>
  <c r="A363" i="122" s="1"/>
  <c r="A38" i="122"/>
  <c r="A50" i="122" s="1"/>
  <c r="A62" i="122" s="1"/>
  <c r="A74" i="122" s="1"/>
  <c r="A86" i="122" s="1"/>
  <c r="A98" i="122" s="1"/>
  <c r="A110" i="122" s="1"/>
  <c r="A122" i="122" s="1"/>
  <c r="A134" i="122" s="1"/>
  <c r="A146" i="122" s="1"/>
  <c r="A158" i="122" s="1"/>
  <c r="A170" i="122" s="1"/>
  <c r="A182" i="122" s="1"/>
  <c r="A194" i="122" s="1"/>
  <c r="A206" i="122" s="1"/>
  <c r="A218" i="122" s="1"/>
  <c r="A230" i="122" s="1"/>
  <c r="A242" i="122" s="1"/>
  <c r="A254" i="122" s="1"/>
  <c r="A266" i="122" s="1"/>
  <c r="A278" i="122" s="1"/>
  <c r="A290" i="122" s="1"/>
  <c r="A302" i="122" s="1"/>
  <c r="A314" i="122" s="1"/>
  <c r="A326" i="122" s="1"/>
  <c r="A338" i="122" s="1"/>
  <c r="A350" i="122" s="1"/>
  <c r="A362" i="122" s="1"/>
  <c r="A37" i="122"/>
  <c r="A49" i="122" s="1"/>
  <c r="A61" i="122" s="1"/>
  <c r="A73" i="122" s="1"/>
  <c r="A85" i="122" s="1"/>
  <c r="A97" i="122" s="1"/>
  <c r="A109" i="122" s="1"/>
  <c r="A121" i="122" s="1"/>
  <c r="A133" i="122" s="1"/>
  <c r="A145" i="122" s="1"/>
  <c r="A157" i="122" s="1"/>
  <c r="A169" i="122" s="1"/>
  <c r="A181" i="122" s="1"/>
  <c r="A193" i="122" s="1"/>
  <c r="A205" i="122" s="1"/>
  <c r="A217" i="122" s="1"/>
  <c r="A229" i="122" s="1"/>
  <c r="A241" i="122" s="1"/>
  <c r="A253" i="122" s="1"/>
  <c r="A265" i="122" s="1"/>
  <c r="A277" i="122" s="1"/>
  <c r="A289" i="122" s="1"/>
  <c r="A301" i="122" s="1"/>
  <c r="A313" i="122" s="1"/>
  <c r="A325" i="122" s="1"/>
  <c r="A337" i="122" s="1"/>
  <c r="A349" i="122" s="1"/>
  <c r="A361" i="122" s="1"/>
  <c r="A36" i="122"/>
  <c r="A48" i="122" s="1"/>
  <c r="A60" i="122" s="1"/>
  <c r="A72" i="122" s="1"/>
  <c r="A84" i="122" s="1"/>
  <c r="A96" i="122" s="1"/>
  <c r="A108" i="122" s="1"/>
  <c r="A120" i="122" s="1"/>
  <c r="A132" i="122" s="1"/>
  <c r="A144" i="122" s="1"/>
  <c r="A156" i="122" s="1"/>
  <c r="A168" i="122" s="1"/>
  <c r="A180" i="122" s="1"/>
  <c r="A192" i="122" s="1"/>
  <c r="A204" i="122" s="1"/>
  <c r="A216" i="122" s="1"/>
  <c r="A228" i="122" s="1"/>
  <c r="A240" i="122" s="1"/>
  <c r="A252" i="122" s="1"/>
  <c r="A264" i="122" s="1"/>
  <c r="A276" i="122" s="1"/>
  <c r="A288" i="122" s="1"/>
  <c r="A300" i="122" s="1"/>
  <c r="A312" i="122" s="1"/>
  <c r="A324" i="122" s="1"/>
  <c r="A336" i="122" s="1"/>
  <c r="A348" i="122" s="1"/>
  <c r="A360" i="122" s="1"/>
  <c r="A35" i="122"/>
  <c r="A47" i="122" s="1"/>
  <c r="A59" i="122" s="1"/>
  <c r="A71" i="122" s="1"/>
  <c r="A83" i="122" s="1"/>
  <c r="A95" i="122" s="1"/>
  <c r="A107" i="122" s="1"/>
  <c r="A119" i="122" s="1"/>
  <c r="A131" i="122" s="1"/>
  <c r="A143" i="122" s="1"/>
  <c r="A155" i="122" s="1"/>
  <c r="A167" i="122" s="1"/>
  <c r="A179" i="122" s="1"/>
  <c r="A191" i="122" s="1"/>
  <c r="A203" i="122" s="1"/>
  <c r="A215" i="122" s="1"/>
  <c r="A227" i="122" s="1"/>
  <c r="A239" i="122" s="1"/>
  <c r="A251" i="122" s="1"/>
  <c r="A263" i="122" s="1"/>
  <c r="A275" i="122" s="1"/>
  <c r="A287" i="122" s="1"/>
  <c r="A299" i="122" s="1"/>
  <c r="A311" i="122" s="1"/>
  <c r="A323" i="122" s="1"/>
  <c r="A335" i="122" s="1"/>
  <c r="A347" i="122" s="1"/>
  <c r="A359" i="122" s="1"/>
  <c r="A34" i="122"/>
  <c r="A46" i="122" s="1"/>
  <c r="A58" i="122" s="1"/>
  <c r="A70" i="122" s="1"/>
  <c r="A82" i="122" s="1"/>
  <c r="A94" i="122" s="1"/>
  <c r="A106" i="122" s="1"/>
  <c r="A118" i="122" s="1"/>
  <c r="A130" i="122" s="1"/>
  <c r="A142" i="122" s="1"/>
  <c r="A154" i="122" s="1"/>
  <c r="A166" i="122" s="1"/>
  <c r="A178" i="122" s="1"/>
  <c r="A190" i="122" s="1"/>
  <c r="A202" i="122" s="1"/>
  <c r="A214" i="122" s="1"/>
  <c r="A226" i="122" s="1"/>
  <c r="A238" i="122" s="1"/>
  <c r="A250" i="122" s="1"/>
  <c r="A262" i="122" s="1"/>
  <c r="A274" i="122" s="1"/>
  <c r="A286" i="122" s="1"/>
  <c r="A298" i="122" s="1"/>
  <c r="A310" i="122" s="1"/>
  <c r="A322" i="122" s="1"/>
  <c r="A334" i="122" s="1"/>
  <c r="A346" i="122" s="1"/>
  <c r="A358" i="122" s="1"/>
  <c r="G49" i="53" l="1"/>
  <c r="D337" i="89" l="1"/>
  <c r="G62" i="53" l="1"/>
  <c r="I169" i="121"/>
  <c r="I168" i="121"/>
  <c r="I167" i="121"/>
  <c r="I166" i="121"/>
  <c r="I165" i="121"/>
  <c r="I164" i="121"/>
  <c r="I161" i="121"/>
  <c r="I160" i="121"/>
  <c r="I159" i="121"/>
  <c r="I157" i="121"/>
  <c r="I156" i="121"/>
  <c r="I155" i="121"/>
  <c r="I154" i="121"/>
  <c r="I148" i="121"/>
  <c r="I147" i="121"/>
  <c r="I146" i="121"/>
  <c r="I145" i="121"/>
  <c r="I144" i="121"/>
  <c r="I143" i="121"/>
  <c r="I142" i="121"/>
  <c r="I141" i="121"/>
  <c r="I140" i="121"/>
  <c r="I139" i="121"/>
  <c r="I138" i="121"/>
  <c r="I137" i="121"/>
  <c r="I136" i="121"/>
  <c r="I135" i="121"/>
  <c r="I134" i="121"/>
  <c r="I133" i="121"/>
  <c r="I132" i="121"/>
  <c r="I131" i="121"/>
  <c r="I130" i="121"/>
  <c r="I129" i="121"/>
  <c r="I128" i="121"/>
  <c r="I127" i="121"/>
  <c r="I126" i="121"/>
  <c r="I125" i="121"/>
  <c r="I124" i="121"/>
  <c r="I123" i="121"/>
  <c r="I122" i="121"/>
  <c r="I121" i="121"/>
  <c r="I120" i="121"/>
  <c r="I119" i="121"/>
  <c r="I118" i="121"/>
  <c r="I117" i="121"/>
  <c r="I116" i="121"/>
  <c r="I115" i="121"/>
  <c r="I114" i="121"/>
  <c r="I113" i="121"/>
  <c r="I112" i="121"/>
  <c r="I111" i="121"/>
  <c r="I110" i="121"/>
  <c r="I10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A17" i="121"/>
  <c r="A21" i="121" s="1"/>
  <c r="A25" i="121" s="1"/>
  <c r="A29" i="121" s="1"/>
  <c r="A33" i="121" s="1"/>
  <c r="A37" i="121" s="1"/>
  <c r="A41" i="121" s="1"/>
  <c r="A45" i="121" s="1"/>
  <c r="A49" i="121" s="1"/>
  <c r="A53" i="121" s="1"/>
  <c r="A57" i="121" s="1"/>
  <c r="A61" i="121" s="1"/>
  <c r="A65" i="121" s="1"/>
  <c r="A69" i="121" s="1"/>
  <c r="A73" i="121" s="1"/>
  <c r="A77" i="121" s="1"/>
  <c r="A81" i="121" s="1"/>
  <c r="A85" i="121" s="1"/>
  <c r="A89" i="121" s="1"/>
  <c r="A93" i="121" s="1"/>
  <c r="A97" i="121" s="1"/>
  <c r="A101" i="121" s="1"/>
  <c r="A105" i="121" s="1"/>
  <c r="A109" i="121" s="1"/>
  <c r="A113" i="121" s="1"/>
  <c r="A117" i="121" s="1"/>
  <c r="A121" i="121" s="1"/>
  <c r="A125" i="121" s="1"/>
  <c r="A129" i="121" s="1"/>
  <c r="A133" i="121" s="1"/>
  <c r="A137" i="121" s="1"/>
  <c r="A141" i="121" s="1"/>
  <c r="A145" i="121" s="1"/>
  <c r="A149" i="121" s="1"/>
  <c r="A153" i="121" s="1"/>
  <c r="A157" i="121" s="1"/>
  <c r="A161" i="121" s="1"/>
  <c r="A165" i="121" s="1"/>
  <c r="A169" i="121" s="1"/>
  <c r="A173" i="121" s="1"/>
  <c r="A177" i="121" s="1"/>
  <c r="A181" i="121" s="1"/>
  <c r="A185" i="121" s="1"/>
  <c r="A189" i="121" s="1"/>
  <c r="I16" i="121"/>
  <c r="A16" i="121"/>
  <c r="A20" i="121" s="1"/>
  <c r="A24" i="121" s="1"/>
  <c r="A28" i="121" s="1"/>
  <c r="A32" i="121" s="1"/>
  <c r="A36" i="121" s="1"/>
  <c r="A40" i="121" s="1"/>
  <c r="A44" i="121" s="1"/>
  <c r="A48" i="121" s="1"/>
  <c r="A52" i="121" s="1"/>
  <c r="A56" i="121" s="1"/>
  <c r="A60" i="121" s="1"/>
  <c r="A64" i="121" s="1"/>
  <c r="A68" i="121" s="1"/>
  <c r="A72" i="121" s="1"/>
  <c r="A76" i="121" s="1"/>
  <c r="A80" i="121" s="1"/>
  <c r="A84" i="121" s="1"/>
  <c r="A88" i="121" s="1"/>
  <c r="A92" i="121" s="1"/>
  <c r="A96" i="121" s="1"/>
  <c r="A100" i="121" s="1"/>
  <c r="A104" i="121" s="1"/>
  <c r="A108" i="121" s="1"/>
  <c r="A112" i="121" s="1"/>
  <c r="A116" i="121" s="1"/>
  <c r="A120" i="121" s="1"/>
  <c r="A124" i="121" s="1"/>
  <c r="A128" i="121" s="1"/>
  <c r="A132" i="121" s="1"/>
  <c r="A136" i="121" s="1"/>
  <c r="A140" i="121" s="1"/>
  <c r="A144" i="121" s="1"/>
  <c r="A148" i="121" s="1"/>
  <c r="A152" i="121" s="1"/>
  <c r="A156" i="121" s="1"/>
  <c r="A160" i="121" s="1"/>
  <c r="A164" i="121" s="1"/>
  <c r="A168" i="121" s="1"/>
  <c r="A172" i="121" s="1"/>
  <c r="A176" i="121" s="1"/>
  <c r="A180" i="121" s="1"/>
  <c r="A184" i="121" s="1"/>
  <c r="A188" i="121" s="1"/>
  <c r="I15" i="121"/>
  <c r="A15" i="121"/>
  <c r="A19" i="121" s="1"/>
  <c r="A23" i="121" s="1"/>
  <c r="A27" i="121" s="1"/>
  <c r="A31" i="121" s="1"/>
  <c r="A35" i="121" s="1"/>
  <c r="A39" i="121" s="1"/>
  <c r="A43" i="121" s="1"/>
  <c r="A47" i="121" s="1"/>
  <c r="A51" i="121" s="1"/>
  <c r="A55" i="121" s="1"/>
  <c r="A59" i="121" s="1"/>
  <c r="A63" i="121" s="1"/>
  <c r="A67" i="121" s="1"/>
  <c r="A71" i="121" s="1"/>
  <c r="A75" i="121" s="1"/>
  <c r="A79" i="121" s="1"/>
  <c r="A83" i="121" s="1"/>
  <c r="A87" i="121" s="1"/>
  <c r="A91" i="121" s="1"/>
  <c r="A95" i="121" s="1"/>
  <c r="A99" i="121" s="1"/>
  <c r="A103" i="121" s="1"/>
  <c r="A107" i="121" s="1"/>
  <c r="A111" i="121" s="1"/>
  <c r="A115" i="121" s="1"/>
  <c r="A119" i="121" s="1"/>
  <c r="A123" i="121" s="1"/>
  <c r="A127" i="121" s="1"/>
  <c r="A131" i="121" s="1"/>
  <c r="A135" i="121" s="1"/>
  <c r="A139" i="121" s="1"/>
  <c r="A143" i="121" s="1"/>
  <c r="A147" i="121" s="1"/>
  <c r="A151" i="121" s="1"/>
  <c r="A155" i="121" s="1"/>
  <c r="A159" i="121" s="1"/>
  <c r="A163" i="121" s="1"/>
  <c r="A167" i="121" s="1"/>
  <c r="A171" i="121" s="1"/>
  <c r="A175" i="121" s="1"/>
  <c r="A179" i="121" s="1"/>
  <c r="A183" i="121" s="1"/>
  <c r="A187" i="121" s="1"/>
  <c r="I14" i="121"/>
  <c r="A14" i="121"/>
  <c r="A18" i="121" s="1"/>
  <c r="A22" i="121" s="1"/>
  <c r="A26" i="121" s="1"/>
  <c r="A30" i="121" s="1"/>
  <c r="A34" i="121" s="1"/>
  <c r="A38" i="121" s="1"/>
  <c r="A42" i="121" s="1"/>
  <c r="A46" i="121" s="1"/>
  <c r="A50" i="121" s="1"/>
  <c r="A54" i="121" s="1"/>
  <c r="A58" i="121" s="1"/>
  <c r="A62" i="121" s="1"/>
  <c r="A66" i="121" s="1"/>
  <c r="A70" i="121" s="1"/>
  <c r="A74" i="121" s="1"/>
  <c r="A78" i="121" s="1"/>
  <c r="A82" i="121" s="1"/>
  <c r="A86" i="121" s="1"/>
  <c r="A90" i="121" s="1"/>
  <c r="A94" i="121" s="1"/>
  <c r="A98" i="121" s="1"/>
  <c r="A102" i="121" s="1"/>
  <c r="A106" i="121" s="1"/>
  <c r="A110" i="121" s="1"/>
  <c r="A114" i="121" s="1"/>
  <c r="A118" i="121" s="1"/>
  <c r="A122" i="121" s="1"/>
  <c r="A126" i="121" s="1"/>
  <c r="A130" i="121" s="1"/>
  <c r="A134" i="121" s="1"/>
  <c r="A138" i="121" s="1"/>
  <c r="A142" i="121" s="1"/>
  <c r="A146" i="121" s="1"/>
  <c r="A150" i="121" s="1"/>
  <c r="A154" i="121" s="1"/>
  <c r="A158" i="121" s="1"/>
  <c r="A162" i="121" s="1"/>
  <c r="A166" i="121" s="1"/>
  <c r="A170" i="121" s="1"/>
  <c r="A174" i="121" s="1"/>
  <c r="A178" i="121" s="1"/>
  <c r="A182" i="121" s="1"/>
  <c r="A186" i="121" s="1"/>
  <c r="I13" i="121"/>
  <c r="I12" i="121"/>
  <c r="I11" i="121"/>
  <c r="I10" i="121"/>
  <c r="AA324" i="68" l="1"/>
  <c r="C336" i="3" l="1"/>
  <c r="C337" i="3"/>
  <c r="C338" i="3"/>
  <c r="C339" i="3"/>
  <c r="C340" i="3"/>
  <c r="C341" i="3"/>
  <c r="C342" i="3"/>
  <c r="C343" i="3"/>
  <c r="C345" i="3"/>
  <c r="C346" i="3"/>
  <c r="C347" i="3"/>
  <c r="C348" i="3"/>
  <c r="C349" i="3"/>
  <c r="C350" i="3"/>
  <c r="C351" i="3"/>
  <c r="C352" i="3"/>
  <c r="C353" i="3"/>
  <c r="C354" i="3"/>
  <c r="C355" i="3"/>
  <c r="C356" i="3"/>
  <c r="C357" i="3"/>
  <c r="X338" i="3"/>
  <c r="X339" i="3"/>
  <c r="X340" i="3"/>
  <c r="X342" i="3"/>
  <c r="X346" i="3"/>
  <c r="X347" i="3"/>
  <c r="X348" i="3"/>
  <c r="X349" i="3"/>
  <c r="X350" i="3"/>
  <c r="X351" i="3"/>
  <c r="X352" i="3"/>
  <c r="X353" i="3"/>
  <c r="X354" i="3"/>
  <c r="X355" i="3"/>
  <c r="X356" i="3"/>
  <c r="X357" i="3"/>
  <c r="R237" i="3"/>
  <c r="R238" i="3"/>
  <c r="R239" i="3"/>
  <c r="R240" i="3"/>
  <c r="R241" i="3"/>
  <c r="R242" i="3"/>
  <c r="R243" i="3"/>
  <c r="R244" i="3"/>
  <c r="R245" i="3"/>
  <c r="R246" i="3"/>
  <c r="R247" i="3"/>
  <c r="R248" i="3"/>
  <c r="R249"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C110" i="49" l="1"/>
  <c r="A201" i="27" l="1"/>
  <c r="A213" i="27" s="1"/>
  <c r="A225" i="27" s="1"/>
  <c r="A237" i="27" s="1"/>
  <c r="A249" i="27" s="1"/>
  <c r="A261" i="27" s="1"/>
  <c r="A273" i="27" s="1"/>
  <c r="A285" i="27" s="1"/>
  <c r="A200" i="27"/>
  <c r="A212" i="27" s="1"/>
  <c r="A224" i="27" s="1"/>
  <c r="A236" i="27" s="1"/>
  <c r="A248" i="27" s="1"/>
  <c r="A260" i="27" s="1"/>
  <c r="A272" i="27" s="1"/>
  <c r="A284" i="27" s="1"/>
  <c r="A199" i="27"/>
  <c r="A211" i="27" s="1"/>
  <c r="A223" i="27" s="1"/>
  <c r="A235" i="27" s="1"/>
  <c r="A247" i="27" s="1"/>
  <c r="A259" i="27" s="1"/>
  <c r="A271" i="27" s="1"/>
  <c r="A283" i="27" s="1"/>
  <c r="A198" i="27"/>
  <c r="A210" i="27" s="1"/>
  <c r="A222" i="27" s="1"/>
  <c r="A234" i="27" s="1"/>
  <c r="A246" i="27" s="1"/>
  <c r="A258" i="27" s="1"/>
  <c r="A270" i="27" s="1"/>
  <c r="A282" i="27" s="1"/>
  <c r="A197" i="27"/>
  <c r="A209" i="27" s="1"/>
  <c r="A221" i="27" s="1"/>
  <c r="A233" i="27" s="1"/>
  <c r="A245" i="27" s="1"/>
  <c r="A257" i="27" s="1"/>
  <c r="A269" i="27" s="1"/>
  <c r="A281" i="27" s="1"/>
  <c r="A196" i="27"/>
  <c r="A208" i="27" s="1"/>
  <c r="A220" i="27" s="1"/>
  <c r="A232" i="27" s="1"/>
  <c r="A244" i="27" s="1"/>
  <c r="A256" i="27" s="1"/>
  <c r="A268" i="27" s="1"/>
  <c r="A280" i="27" s="1"/>
  <c r="A195" i="27"/>
  <c r="A207" i="27" s="1"/>
  <c r="A219" i="27" s="1"/>
  <c r="A231" i="27" s="1"/>
  <c r="A243" i="27" s="1"/>
  <c r="A255" i="27" s="1"/>
  <c r="A267" i="27" s="1"/>
  <c r="A279" i="27" s="1"/>
  <c r="A194" i="27"/>
  <c r="A206" i="27" s="1"/>
  <c r="A218" i="27" s="1"/>
  <c r="A230" i="27" s="1"/>
  <c r="A242" i="27" s="1"/>
  <c r="A254" i="27" s="1"/>
  <c r="A266" i="27" s="1"/>
  <c r="A278" i="27" s="1"/>
  <c r="A193" i="27"/>
  <c r="A205" i="27" s="1"/>
  <c r="A217" i="27" s="1"/>
  <c r="A229" i="27" s="1"/>
  <c r="A241" i="27" s="1"/>
  <c r="A253" i="27" s="1"/>
  <c r="A265" i="27" s="1"/>
  <c r="A277" i="27" s="1"/>
  <c r="A192" i="27"/>
  <c r="A204" i="27" s="1"/>
  <c r="A216" i="27" s="1"/>
  <c r="A228" i="27" s="1"/>
  <c r="A240" i="27" s="1"/>
  <c r="A252" i="27" s="1"/>
  <c r="A264" i="27" s="1"/>
  <c r="A276" i="27" s="1"/>
  <c r="A191" i="27"/>
  <c r="A203" i="27" s="1"/>
  <c r="A215" i="27" s="1"/>
  <c r="A227" i="27" s="1"/>
  <c r="A239" i="27" s="1"/>
  <c r="A251" i="27" s="1"/>
  <c r="A263" i="27" s="1"/>
  <c r="A275" i="27" s="1"/>
  <c r="A190" i="27"/>
  <c r="A202" i="27" s="1"/>
  <c r="A214" i="27" s="1"/>
  <c r="A226" i="27" s="1"/>
  <c r="A238" i="27" s="1"/>
  <c r="A250" i="27" s="1"/>
  <c r="A262" i="27" s="1"/>
  <c r="A274" i="27" s="1"/>
  <c r="AA323" i="68" l="1"/>
  <c r="B334" i="89" l="1"/>
  <c r="Z322" i="68" l="1"/>
  <c r="AA322" i="68"/>
  <c r="G46" i="53" l="1"/>
  <c r="A33" i="119" l="1"/>
  <c r="A45" i="119" s="1"/>
  <c r="A57" i="119" s="1"/>
  <c r="A69" i="119" s="1"/>
  <c r="A81" i="119" s="1"/>
  <c r="A93" i="119" s="1"/>
  <c r="A105" i="119" s="1"/>
  <c r="A117" i="119" s="1"/>
  <c r="A129" i="119" s="1"/>
  <c r="A141" i="119" s="1"/>
  <c r="A153" i="119" s="1"/>
  <c r="A165" i="119" s="1"/>
  <c r="A177" i="119" s="1"/>
  <c r="A189" i="119" s="1"/>
  <c r="A201" i="119" s="1"/>
  <c r="A213" i="119" s="1"/>
  <c r="A225" i="119" s="1"/>
  <c r="A237" i="119" s="1"/>
  <c r="A249" i="119" s="1"/>
  <c r="A261" i="119" s="1"/>
  <c r="A273" i="119" s="1"/>
  <c r="A285" i="119" s="1"/>
  <c r="A297" i="119" s="1"/>
  <c r="A309" i="119" s="1"/>
  <c r="A321" i="119" s="1"/>
  <c r="A333" i="119" s="1"/>
  <c r="A32" i="119"/>
  <c r="A44" i="119" s="1"/>
  <c r="A56" i="119" s="1"/>
  <c r="A68" i="119" s="1"/>
  <c r="A80" i="119" s="1"/>
  <c r="A92" i="119" s="1"/>
  <c r="A104" i="119" s="1"/>
  <c r="A116" i="119" s="1"/>
  <c r="A128" i="119" s="1"/>
  <c r="A140" i="119" s="1"/>
  <c r="A152" i="119" s="1"/>
  <c r="A164" i="119" s="1"/>
  <c r="A176" i="119" s="1"/>
  <c r="A188" i="119" s="1"/>
  <c r="A200" i="119" s="1"/>
  <c r="A212" i="119" s="1"/>
  <c r="A224" i="119" s="1"/>
  <c r="A236" i="119" s="1"/>
  <c r="A248" i="119" s="1"/>
  <c r="A260" i="119" s="1"/>
  <c r="A272" i="119" s="1"/>
  <c r="A284" i="119" s="1"/>
  <c r="A296" i="119" s="1"/>
  <c r="A308" i="119" s="1"/>
  <c r="A320" i="119" s="1"/>
  <c r="A332" i="119" s="1"/>
  <c r="A31" i="119"/>
  <c r="A43" i="119" s="1"/>
  <c r="A55" i="119" s="1"/>
  <c r="A67" i="119" s="1"/>
  <c r="A79" i="119" s="1"/>
  <c r="A91" i="119" s="1"/>
  <c r="A103" i="119" s="1"/>
  <c r="A115" i="119" s="1"/>
  <c r="A127" i="119" s="1"/>
  <c r="A139" i="119" s="1"/>
  <c r="A151" i="119" s="1"/>
  <c r="A163" i="119" s="1"/>
  <c r="A175" i="119" s="1"/>
  <c r="A187" i="119" s="1"/>
  <c r="A199" i="119" s="1"/>
  <c r="A211" i="119" s="1"/>
  <c r="A223" i="119" s="1"/>
  <c r="A235" i="119" s="1"/>
  <c r="A247" i="119" s="1"/>
  <c r="A259" i="119" s="1"/>
  <c r="A271" i="119" s="1"/>
  <c r="A283" i="119" s="1"/>
  <c r="A295" i="119" s="1"/>
  <c r="A307" i="119" s="1"/>
  <c r="A319" i="119" s="1"/>
  <c r="A331" i="119" s="1"/>
  <c r="A30" i="119"/>
  <c r="A42" i="119" s="1"/>
  <c r="A54" i="119" s="1"/>
  <c r="A66" i="119" s="1"/>
  <c r="A78" i="119" s="1"/>
  <c r="A90" i="119" s="1"/>
  <c r="A102" i="119" s="1"/>
  <c r="A114" i="119" s="1"/>
  <c r="A126" i="119" s="1"/>
  <c r="A138" i="119" s="1"/>
  <c r="A150" i="119" s="1"/>
  <c r="A162" i="119" s="1"/>
  <c r="A174" i="119" s="1"/>
  <c r="A186" i="119" s="1"/>
  <c r="A198" i="119" s="1"/>
  <c r="A210" i="119" s="1"/>
  <c r="A222" i="119" s="1"/>
  <c r="A234" i="119" s="1"/>
  <c r="A246" i="119" s="1"/>
  <c r="A258" i="119" s="1"/>
  <c r="A270" i="119" s="1"/>
  <c r="A282" i="119" s="1"/>
  <c r="A294" i="119" s="1"/>
  <c r="A306" i="119" s="1"/>
  <c r="A318" i="119" s="1"/>
  <c r="A330" i="119" s="1"/>
  <c r="A29" i="119"/>
  <c r="A41" i="119" s="1"/>
  <c r="A53" i="119" s="1"/>
  <c r="A65" i="119" s="1"/>
  <c r="A77" i="119" s="1"/>
  <c r="A89" i="119" s="1"/>
  <c r="A101" i="119" s="1"/>
  <c r="A113" i="119" s="1"/>
  <c r="A125" i="119" s="1"/>
  <c r="A137" i="119" s="1"/>
  <c r="A149" i="119" s="1"/>
  <c r="A161" i="119" s="1"/>
  <c r="A173" i="119" s="1"/>
  <c r="A185" i="119" s="1"/>
  <c r="A197" i="119" s="1"/>
  <c r="A209" i="119" s="1"/>
  <c r="A221" i="119" s="1"/>
  <c r="A233" i="119" s="1"/>
  <c r="A245" i="119" s="1"/>
  <c r="A257" i="119" s="1"/>
  <c r="A269" i="119" s="1"/>
  <c r="A281" i="119" s="1"/>
  <c r="A293" i="119" s="1"/>
  <c r="A305" i="119" s="1"/>
  <c r="A317" i="119" s="1"/>
  <c r="A329" i="119" s="1"/>
  <c r="A28" i="119"/>
  <c r="A40" i="119" s="1"/>
  <c r="A52" i="119" s="1"/>
  <c r="A64" i="119" s="1"/>
  <c r="A76" i="119" s="1"/>
  <c r="A88" i="119" s="1"/>
  <c r="A100" i="119" s="1"/>
  <c r="A112" i="119" s="1"/>
  <c r="A124" i="119" s="1"/>
  <c r="A136" i="119" s="1"/>
  <c r="A148" i="119" s="1"/>
  <c r="A160" i="119" s="1"/>
  <c r="A172" i="119" s="1"/>
  <c r="A184" i="119" s="1"/>
  <c r="A196" i="119" s="1"/>
  <c r="A208" i="119" s="1"/>
  <c r="A220" i="119" s="1"/>
  <c r="A232" i="119" s="1"/>
  <c r="A244" i="119" s="1"/>
  <c r="A256" i="119" s="1"/>
  <c r="A268" i="119" s="1"/>
  <c r="A280" i="119" s="1"/>
  <c r="A292" i="119" s="1"/>
  <c r="A304" i="119" s="1"/>
  <c r="A316" i="119" s="1"/>
  <c r="A328" i="119" s="1"/>
  <c r="A27" i="119"/>
  <c r="A39" i="119" s="1"/>
  <c r="A51" i="119" s="1"/>
  <c r="A63" i="119" s="1"/>
  <c r="A75" i="119" s="1"/>
  <c r="A87" i="119" s="1"/>
  <c r="A99" i="119" s="1"/>
  <c r="A111" i="119" s="1"/>
  <c r="A123" i="119" s="1"/>
  <c r="A135" i="119" s="1"/>
  <c r="A147" i="119" s="1"/>
  <c r="A159" i="119" s="1"/>
  <c r="A171" i="119" s="1"/>
  <c r="A183" i="119" s="1"/>
  <c r="A195" i="119" s="1"/>
  <c r="A207" i="119" s="1"/>
  <c r="A219" i="119" s="1"/>
  <c r="A231" i="119" s="1"/>
  <c r="A243" i="119" s="1"/>
  <c r="A255" i="119" s="1"/>
  <c r="A267" i="119" s="1"/>
  <c r="A279" i="119" s="1"/>
  <c r="A291" i="119" s="1"/>
  <c r="A303" i="119" s="1"/>
  <c r="A315" i="119" s="1"/>
  <c r="A327" i="119" s="1"/>
  <c r="A26" i="119"/>
  <c r="A38" i="119" s="1"/>
  <c r="A50" i="119" s="1"/>
  <c r="A62" i="119" s="1"/>
  <c r="A74" i="119" s="1"/>
  <c r="A86" i="119" s="1"/>
  <c r="A98" i="119" s="1"/>
  <c r="A110" i="119" s="1"/>
  <c r="A122" i="119" s="1"/>
  <c r="A134" i="119" s="1"/>
  <c r="A146" i="119" s="1"/>
  <c r="A158" i="119" s="1"/>
  <c r="A170" i="119" s="1"/>
  <c r="A182" i="119" s="1"/>
  <c r="A194" i="119" s="1"/>
  <c r="A206" i="119" s="1"/>
  <c r="A218" i="119" s="1"/>
  <c r="A230" i="119" s="1"/>
  <c r="A242" i="119" s="1"/>
  <c r="A254" i="119" s="1"/>
  <c r="A266" i="119" s="1"/>
  <c r="A278" i="119" s="1"/>
  <c r="A290" i="119" s="1"/>
  <c r="A302" i="119" s="1"/>
  <c r="A314" i="119" s="1"/>
  <c r="A326" i="119" s="1"/>
  <c r="A25" i="119"/>
  <c r="A37" i="119" s="1"/>
  <c r="A49" i="119" s="1"/>
  <c r="A61" i="119" s="1"/>
  <c r="A73" i="119" s="1"/>
  <c r="A85" i="119" s="1"/>
  <c r="A97" i="119" s="1"/>
  <c r="A109" i="119" s="1"/>
  <c r="A121" i="119" s="1"/>
  <c r="A133" i="119" s="1"/>
  <c r="A145" i="119" s="1"/>
  <c r="A157" i="119" s="1"/>
  <c r="A169" i="119" s="1"/>
  <c r="A181" i="119" s="1"/>
  <c r="A193" i="119" s="1"/>
  <c r="A205" i="119" s="1"/>
  <c r="A217" i="119" s="1"/>
  <c r="A229" i="119" s="1"/>
  <c r="A241" i="119" s="1"/>
  <c r="A253" i="119" s="1"/>
  <c r="A265" i="119" s="1"/>
  <c r="A277" i="119" s="1"/>
  <c r="A289" i="119" s="1"/>
  <c r="A301" i="119" s="1"/>
  <c r="A313" i="119" s="1"/>
  <c r="A325" i="119" s="1"/>
  <c r="A24" i="119"/>
  <c r="A36" i="119" s="1"/>
  <c r="A48" i="119" s="1"/>
  <c r="A60" i="119" s="1"/>
  <c r="A72" i="119" s="1"/>
  <c r="A84" i="119" s="1"/>
  <c r="A96" i="119" s="1"/>
  <c r="A108" i="119" s="1"/>
  <c r="A120" i="119" s="1"/>
  <c r="A132" i="119" s="1"/>
  <c r="A144" i="119" s="1"/>
  <c r="A156" i="119" s="1"/>
  <c r="A168" i="119" s="1"/>
  <c r="A180" i="119" s="1"/>
  <c r="A192" i="119" s="1"/>
  <c r="A204" i="119" s="1"/>
  <c r="A216" i="119" s="1"/>
  <c r="A228" i="119" s="1"/>
  <c r="A240" i="119" s="1"/>
  <c r="A252" i="119" s="1"/>
  <c r="A264" i="119" s="1"/>
  <c r="A276" i="119" s="1"/>
  <c r="A288" i="119" s="1"/>
  <c r="A300" i="119" s="1"/>
  <c r="A312" i="119" s="1"/>
  <c r="A324" i="119" s="1"/>
  <c r="A23" i="119"/>
  <c r="A35" i="119" s="1"/>
  <c r="A47" i="119" s="1"/>
  <c r="A59" i="119" s="1"/>
  <c r="A71" i="119" s="1"/>
  <c r="A83" i="119" s="1"/>
  <c r="A95" i="119" s="1"/>
  <c r="A107" i="119" s="1"/>
  <c r="A119" i="119" s="1"/>
  <c r="A131" i="119" s="1"/>
  <c r="A143" i="119" s="1"/>
  <c r="A155" i="119" s="1"/>
  <c r="A167" i="119" s="1"/>
  <c r="A179" i="119" s="1"/>
  <c r="A191" i="119" s="1"/>
  <c r="A203" i="119" s="1"/>
  <c r="A215" i="119" s="1"/>
  <c r="A227" i="119" s="1"/>
  <c r="A239" i="119" s="1"/>
  <c r="A251" i="119" s="1"/>
  <c r="A263" i="119" s="1"/>
  <c r="A275" i="119" s="1"/>
  <c r="A287" i="119" s="1"/>
  <c r="A299" i="119" s="1"/>
  <c r="A311" i="119" s="1"/>
  <c r="A323" i="119" s="1"/>
  <c r="A22" i="119"/>
  <c r="A34" i="119" s="1"/>
  <c r="A46" i="119" s="1"/>
  <c r="A58" i="119" s="1"/>
  <c r="A70" i="119" s="1"/>
  <c r="A82" i="119" s="1"/>
  <c r="A94" i="119" s="1"/>
  <c r="A106" i="119" s="1"/>
  <c r="A118" i="119" s="1"/>
  <c r="A130" i="119" s="1"/>
  <c r="A142" i="119" s="1"/>
  <c r="A154" i="119" s="1"/>
  <c r="A166" i="119" s="1"/>
  <c r="A178" i="119" s="1"/>
  <c r="A190" i="119" s="1"/>
  <c r="A202" i="119" s="1"/>
  <c r="A214" i="119" s="1"/>
  <c r="A226" i="119" s="1"/>
  <c r="A238" i="119" s="1"/>
  <c r="A250" i="119" s="1"/>
  <c r="A262" i="119" s="1"/>
  <c r="A274" i="119" s="1"/>
  <c r="A286" i="119" s="1"/>
  <c r="A298" i="119" s="1"/>
  <c r="A310" i="119" s="1"/>
  <c r="A322" i="119" s="1"/>
  <c r="B333" i="89" l="1"/>
  <c r="L310" i="4" l="1"/>
  <c r="AF308" i="68" l="1"/>
  <c r="AF309" i="68"/>
  <c r="AF310" i="68"/>
  <c r="AF311" i="68"/>
  <c r="AF312" i="68"/>
  <c r="AF313" i="68"/>
  <c r="AF314" i="68"/>
  <c r="AF315" i="68"/>
  <c r="AF316" i="68"/>
  <c r="AF317" i="68"/>
  <c r="AF318" i="68"/>
  <c r="AF319" i="68"/>
  <c r="AF320" i="68"/>
  <c r="AF321" i="68"/>
  <c r="AF322" i="68"/>
  <c r="AF323" i="68"/>
  <c r="AF324" i="68"/>
  <c r="AF325" i="68"/>
  <c r="AF326" i="68"/>
  <c r="AF327" i="68"/>
  <c r="AF328" i="68"/>
  <c r="AF329" i="68"/>
  <c r="AF330" i="68"/>
  <c r="AF331" i="68"/>
  <c r="AF332" i="68"/>
  <c r="AF333" i="68"/>
  <c r="AF334" i="68"/>
  <c r="AF335" i="68"/>
  <c r="AF336" i="68"/>
  <c r="AF337" i="68"/>
  <c r="AF338" i="68"/>
  <c r="AF339" i="68"/>
  <c r="AF340" i="68"/>
  <c r="AF341" i="68"/>
  <c r="AF342" i="68"/>
  <c r="AF343" i="68"/>
  <c r="AF344" i="68"/>
  <c r="AF345" i="68"/>
  <c r="AF346" i="68"/>
  <c r="AF347" i="68"/>
  <c r="AF348" i="68"/>
  <c r="AF349" i="68"/>
  <c r="AF350" i="68"/>
  <c r="AF351" i="68"/>
  <c r="AF352" i="68"/>
  <c r="AF353" i="68"/>
  <c r="AF354" i="68"/>
  <c r="AF355" i="68"/>
  <c r="AF356" i="68"/>
  <c r="AF357" i="68"/>
  <c r="AF358" i="68"/>
  <c r="AF359" i="68"/>
  <c r="AF360" i="68"/>
  <c r="AF361" i="68"/>
  <c r="AF362" i="68"/>
  <c r="AF363" i="68"/>
  <c r="AF364" i="68"/>
  <c r="AF365" i="68"/>
  <c r="AF366" i="68"/>
  <c r="AF367" i="68"/>
  <c r="AF368" i="68"/>
  <c r="AF369" i="68"/>
  <c r="AF370" i="68"/>
  <c r="AF372" i="68"/>
  <c r="AF373" i="68"/>
  <c r="AF374" i="68"/>
  <c r="AF375" i="68"/>
  <c r="AF376" i="68"/>
  <c r="AF377" i="68"/>
  <c r="AF378" i="68"/>
  <c r="AF379" i="68"/>
  <c r="AF380" i="68"/>
  <c r="AF381" i="68"/>
  <c r="AF382" i="68"/>
  <c r="AF383" i="68"/>
  <c r="AF384" i="68"/>
  <c r="AF385" i="68"/>
  <c r="AF386" i="68"/>
  <c r="AF387" i="68"/>
  <c r="AF388" i="68"/>
  <c r="AF389" i="68"/>
  <c r="AF390" i="68"/>
  <c r="AF391" i="68"/>
  <c r="AF392" i="68"/>
  <c r="AF393" i="68"/>
  <c r="AF395" i="68"/>
  <c r="AF396" i="68"/>
  <c r="AF397" i="68"/>
  <c r="AF398" i="68"/>
  <c r="AF399" i="68"/>
  <c r="AF400" i="68"/>
  <c r="AF401" i="68"/>
  <c r="AF402" i="68"/>
  <c r="AF403" i="68"/>
  <c r="AF404" i="68"/>
  <c r="AF405" i="68"/>
  <c r="Z310" i="68"/>
  <c r="Z312" i="68"/>
  <c r="Z313" i="68"/>
  <c r="Z314" i="68"/>
  <c r="Z315" i="68"/>
  <c r="Z316" i="68"/>
  <c r="Z317" i="68"/>
  <c r="Z318" i="68"/>
  <c r="Z319" i="68"/>
  <c r="Z320" i="68"/>
  <c r="Z321" i="68"/>
  <c r="Z323" i="68"/>
  <c r="Z324" i="68"/>
  <c r="Z325" i="68"/>
  <c r="Z326" i="68"/>
  <c r="Z327" i="68"/>
  <c r="Z328" i="68"/>
  <c r="Z329" i="68"/>
  <c r="Z330" i="68"/>
  <c r="Z331" i="68"/>
  <c r="Z333" i="68"/>
  <c r="Z334" i="68"/>
  <c r="Z335" i="68"/>
  <c r="Z336" i="68"/>
  <c r="Z337" i="68"/>
  <c r="Z338" i="68"/>
  <c r="Z339" i="68"/>
  <c r="Z340" i="68"/>
  <c r="Z341" i="68"/>
  <c r="Z342" i="68"/>
  <c r="Z343" i="68"/>
  <c r="Z344" i="68"/>
  <c r="Z345" i="68"/>
  <c r="Z346" i="68"/>
  <c r="Z347" i="68"/>
  <c r="Z348" i="68"/>
  <c r="Z350" i="68"/>
  <c r="Z351" i="68"/>
  <c r="Z352" i="68"/>
  <c r="Z353" i="68"/>
  <c r="Z354" i="68"/>
  <c r="Z355" i="68"/>
  <c r="Z359" i="68"/>
  <c r="Z361" i="68"/>
  <c r="Z362" i="68"/>
  <c r="Z363" i="68"/>
  <c r="Z364" i="68"/>
  <c r="Z365" i="68"/>
  <c r="Z366" i="68"/>
  <c r="Z367" i="68"/>
  <c r="Z368" i="68"/>
  <c r="Z369" i="68"/>
  <c r="Z371" i="68"/>
  <c r="Z372" i="68"/>
  <c r="Z373" i="68"/>
  <c r="Z374" i="68"/>
  <c r="Z375" i="68"/>
  <c r="Z376" i="68"/>
  <c r="Z377" i="68"/>
  <c r="Z378" i="68"/>
  <c r="Z379" i="68"/>
  <c r="Z380" i="68"/>
  <c r="Z381" i="68"/>
  <c r="Z382" i="68"/>
  <c r="Z383" i="68"/>
  <c r="Z384" i="68"/>
  <c r="Z385" i="68"/>
  <c r="Z386" i="68"/>
  <c r="Z387" i="68"/>
  <c r="Z388" i="68"/>
  <c r="Z389" i="68"/>
  <c r="Z390" i="68"/>
  <c r="Z391" i="68"/>
  <c r="Z392" i="68"/>
  <c r="Z393" i="68"/>
  <c r="Z395" i="68"/>
  <c r="Z396" i="68"/>
  <c r="Z397" i="68"/>
  <c r="Z398" i="68"/>
  <c r="Z399" i="68"/>
  <c r="Z400" i="68"/>
  <c r="Z401" i="68"/>
  <c r="Z402" i="68"/>
  <c r="Z403" i="68"/>
  <c r="Z404" i="68"/>
  <c r="Z405" i="68"/>
  <c r="Z273" i="68" l="1"/>
  <c r="U9" i="117" l="1"/>
  <c r="G45" i="53" l="1"/>
  <c r="A345" i="117" l="1"/>
  <c r="A357" i="117" s="1"/>
  <c r="A369" i="117" s="1"/>
  <c r="A381" i="117" s="1"/>
  <c r="A393" i="117" s="1"/>
  <c r="A405" i="117" s="1"/>
  <c r="A417" i="117" s="1"/>
  <c r="A429" i="117" s="1"/>
  <c r="A441" i="117" s="1"/>
  <c r="A453" i="117" s="1"/>
  <c r="A344" i="117"/>
  <c r="A356" i="117" s="1"/>
  <c r="A368" i="117" s="1"/>
  <c r="A380" i="117" s="1"/>
  <c r="A392" i="117" s="1"/>
  <c r="A404" i="117" s="1"/>
  <c r="A416" i="117" s="1"/>
  <c r="A428" i="117" s="1"/>
  <c r="A440" i="117" s="1"/>
  <c r="A452" i="117" s="1"/>
  <c r="A343" i="117"/>
  <c r="A355" i="117" s="1"/>
  <c r="A367" i="117" s="1"/>
  <c r="A379" i="117" s="1"/>
  <c r="A391" i="117" s="1"/>
  <c r="A403" i="117" s="1"/>
  <c r="A415" i="117" s="1"/>
  <c r="A427" i="117" s="1"/>
  <c r="A439" i="117" s="1"/>
  <c r="A451" i="117" s="1"/>
  <c r="A342" i="117"/>
  <c r="A354" i="117" s="1"/>
  <c r="A366" i="117" s="1"/>
  <c r="A378" i="117" s="1"/>
  <c r="A390" i="117" s="1"/>
  <c r="A402" i="117" s="1"/>
  <c r="A414" i="117" s="1"/>
  <c r="A426" i="117" s="1"/>
  <c r="A438" i="117" s="1"/>
  <c r="A450" i="117" s="1"/>
  <c r="A341" i="117"/>
  <c r="A353" i="117" s="1"/>
  <c r="A365" i="117" s="1"/>
  <c r="A377" i="117" s="1"/>
  <c r="A389" i="117" s="1"/>
  <c r="A401" i="117" s="1"/>
  <c r="A413" i="117" s="1"/>
  <c r="A425" i="117" s="1"/>
  <c r="A437" i="117" s="1"/>
  <c r="A449" i="117" s="1"/>
  <c r="A340" i="117"/>
  <c r="A352" i="117" s="1"/>
  <c r="A364" i="117" s="1"/>
  <c r="A376" i="117" s="1"/>
  <c r="A388" i="117" s="1"/>
  <c r="A400" i="117" s="1"/>
  <c r="A412" i="117" s="1"/>
  <c r="A424" i="117" s="1"/>
  <c r="A436" i="117" s="1"/>
  <c r="A448" i="117" s="1"/>
  <c r="A339" i="117"/>
  <c r="A351" i="117" s="1"/>
  <c r="A363" i="117" s="1"/>
  <c r="A375" i="117" s="1"/>
  <c r="A387" i="117" s="1"/>
  <c r="A399" i="117" s="1"/>
  <c r="A411" i="117" s="1"/>
  <c r="A423" i="117" s="1"/>
  <c r="A435" i="117" s="1"/>
  <c r="A447" i="117" s="1"/>
  <c r="A338" i="117"/>
  <c r="A350" i="117" s="1"/>
  <c r="A362" i="117" s="1"/>
  <c r="A374" i="117" s="1"/>
  <c r="A386" i="117" s="1"/>
  <c r="A398" i="117" s="1"/>
  <c r="A410" i="117" s="1"/>
  <c r="A422" i="117" s="1"/>
  <c r="A434" i="117" s="1"/>
  <c r="A446" i="117" s="1"/>
  <c r="A337" i="117"/>
  <c r="A349" i="117" s="1"/>
  <c r="A361" i="117" s="1"/>
  <c r="A373" i="117" s="1"/>
  <c r="A385" i="117" s="1"/>
  <c r="A397" i="117" s="1"/>
  <c r="A409" i="117" s="1"/>
  <c r="A421" i="117" s="1"/>
  <c r="A433" i="117" s="1"/>
  <c r="A445" i="117" s="1"/>
  <c r="A336" i="117"/>
  <c r="A348" i="117" s="1"/>
  <c r="A360" i="117" s="1"/>
  <c r="A372" i="117" s="1"/>
  <c r="A384" i="117" s="1"/>
  <c r="A396" i="117" s="1"/>
  <c r="A408" i="117" s="1"/>
  <c r="A420" i="117" s="1"/>
  <c r="A432" i="117" s="1"/>
  <c r="A444" i="117" s="1"/>
  <c r="A335" i="117"/>
  <c r="A347" i="117" s="1"/>
  <c r="A359" i="117" s="1"/>
  <c r="A371" i="117" s="1"/>
  <c r="A383" i="117" s="1"/>
  <c r="A395" i="117" s="1"/>
  <c r="A407" i="117" s="1"/>
  <c r="A419" i="117" s="1"/>
  <c r="A431" i="117" s="1"/>
  <c r="A443" i="117" s="1"/>
  <c r="A334" i="117"/>
  <c r="A346" i="117" s="1"/>
  <c r="A358" i="117" s="1"/>
  <c r="A370" i="117" s="1"/>
  <c r="A382" i="117" s="1"/>
  <c r="A394" i="117" s="1"/>
  <c r="A406" i="117" s="1"/>
  <c r="A418" i="117" s="1"/>
  <c r="A430" i="117" s="1"/>
  <c r="A442" i="117" s="1"/>
  <c r="B332" i="89" l="1"/>
  <c r="Z223" i="106" l="1"/>
  <c r="Z224" i="106"/>
  <c r="Z225" i="106"/>
  <c r="Z226" i="106"/>
  <c r="Z227" i="106"/>
  <c r="Z229" i="106"/>
  <c r="Z230" i="106"/>
  <c r="Z231" i="106"/>
  <c r="Z232" i="106"/>
  <c r="Z233" i="106"/>
  <c r="D334" i="52" l="1"/>
  <c r="J334" i="52"/>
  <c r="D335" i="52"/>
  <c r="J335" i="52"/>
  <c r="D336" i="52"/>
  <c r="J336" i="52"/>
  <c r="D337" i="52"/>
  <c r="J337" i="52"/>
  <c r="D338" i="52"/>
  <c r="J338" i="52"/>
  <c r="D339" i="52"/>
  <c r="J339" i="52"/>
  <c r="D340" i="52"/>
  <c r="J340" i="52"/>
  <c r="D341" i="52"/>
  <c r="J341" i="52"/>
  <c r="D342" i="52"/>
  <c r="J342" i="52"/>
  <c r="D343" i="52"/>
  <c r="J343" i="52"/>
  <c r="D344" i="52"/>
  <c r="J344" i="52"/>
  <c r="D345" i="52"/>
  <c r="J345" i="52"/>
  <c r="D346" i="52"/>
  <c r="J346" i="52"/>
  <c r="D347" i="52"/>
  <c r="J347" i="52"/>
  <c r="D348" i="52"/>
  <c r="J348" i="52"/>
  <c r="D349" i="52"/>
  <c r="J350" i="52"/>
  <c r="J351" i="52"/>
  <c r="J352" i="52"/>
  <c r="J353" i="52"/>
  <c r="J354" i="52"/>
  <c r="J355" i="52"/>
  <c r="D356" i="52"/>
  <c r="J356" i="52"/>
  <c r="D357" i="52"/>
  <c r="J357" i="52"/>
  <c r="D358" i="52"/>
  <c r="J358" i="52"/>
  <c r="D360" i="52"/>
  <c r="J360" i="52"/>
  <c r="D361" i="52"/>
  <c r="D362" i="52"/>
  <c r="J362" i="52"/>
  <c r="D363" i="52"/>
  <c r="J363" i="52"/>
  <c r="D364" i="52"/>
  <c r="J364" i="52"/>
  <c r="D365" i="52"/>
  <c r="J365" i="52"/>
  <c r="D366" i="52"/>
  <c r="J366" i="52"/>
  <c r="D367" i="52"/>
  <c r="J367" i="52"/>
  <c r="D368" i="52"/>
  <c r="J368" i="52"/>
  <c r="D369" i="52"/>
  <c r="J369" i="52"/>
  <c r="D370" i="52"/>
  <c r="J370" i="52"/>
  <c r="D371" i="52"/>
  <c r="J371" i="52"/>
  <c r="D372" i="52"/>
  <c r="J372" i="52"/>
  <c r="D373" i="52"/>
  <c r="J373" i="52"/>
  <c r="D374" i="52"/>
  <c r="J374" i="52"/>
  <c r="D375" i="52"/>
  <c r="J375" i="52"/>
  <c r="D376" i="52"/>
  <c r="J376" i="52"/>
  <c r="D377" i="52"/>
  <c r="J377" i="52"/>
  <c r="D378" i="52"/>
  <c r="J378" i="52"/>
  <c r="D379" i="52"/>
  <c r="J379" i="52"/>
  <c r="D380" i="52"/>
  <c r="J380" i="52"/>
  <c r="D381" i="52"/>
  <c r="J381" i="52"/>
  <c r="D382" i="52"/>
  <c r="J382" i="52"/>
  <c r="D383" i="52"/>
  <c r="J383" i="52"/>
  <c r="D384" i="52"/>
  <c r="J384" i="52"/>
  <c r="D385" i="52"/>
  <c r="J385" i="52"/>
  <c r="D386" i="52"/>
  <c r="J386" i="52"/>
  <c r="D387" i="52"/>
  <c r="J387" i="52"/>
  <c r="D388" i="52"/>
  <c r="J388" i="52"/>
  <c r="D389" i="52"/>
  <c r="J389" i="52"/>
  <c r="D390" i="52"/>
  <c r="J390" i="52"/>
  <c r="D391" i="52"/>
  <c r="J391" i="52"/>
  <c r="D392" i="52"/>
  <c r="J392" i="52"/>
  <c r="D393" i="52"/>
  <c r="J393" i="52"/>
  <c r="C310" i="59"/>
  <c r="E310" i="59"/>
  <c r="C311" i="59"/>
  <c r="E311" i="59"/>
  <c r="C312" i="59"/>
  <c r="E312" i="59"/>
  <c r="C313" i="59"/>
  <c r="E313" i="59"/>
  <c r="C314" i="59"/>
  <c r="E314" i="59"/>
  <c r="C315" i="59"/>
  <c r="E315" i="59"/>
  <c r="C316" i="59"/>
  <c r="E316" i="59"/>
  <c r="C317" i="59"/>
  <c r="E317" i="59"/>
  <c r="C318" i="59"/>
  <c r="E318" i="59"/>
  <c r="C319" i="59"/>
  <c r="E319" i="59"/>
  <c r="C320" i="59"/>
  <c r="E320" i="59"/>
  <c r="C321" i="59"/>
  <c r="E321" i="59"/>
  <c r="C322" i="59"/>
  <c r="E322" i="59"/>
  <c r="C323" i="59"/>
  <c r="C324" i="59"/>
  <c r="E324" i="59"/>
  <c r="C325" i="59"/>
  <c r="E325" i="59"/>
  <c r="C326" i="59"/>
  <c r="E326" i="59"/>
  <c r="C327" i="59"/>
  <c r="E327" i="59"/>
  <c r="C328" i="59"/>
  <c r="E328" i="59"/>
  <c r="C329" i="59"/>
  <c r="E329" i="59"/>
  <c r="C330" i="59"/>
  <c r="E330" i="59"/>
  <c r="C331" i="59"/>
  <c r="E331" i="59"/>
  <c r="C332" i="59"/>
  <c r="E332" i="59"/>
  <c r="C333" i="59"/>
  <c r="E333" i="59"/>
  <c r="C334" i="59"/>
  <c r="E334" i="59"/>
  <c r="C335" i="59"/>
  <c r="E335" i="59"/>
  <c r="C336" i="59"/>
  <c r="E336" i="59"/>
  <c r="C337" i="59"/>
  <c r="E337" i="59"/>
  <c r="C338" i="59"/>
  <c r="E338" i="59"/>
  <c r="C339" i="59"/>
  <c r="E339" i="59"/>
  <c r="C340" i="59"/>
  <c r="E340" i="59"/>
  <c r="C341" i="59"/>
  <c r="E341" i="59"/>
  <c r="C342" i="59"/>
  <c r="E342" i="59"/>
  <c r="C343" i="59"/>
  <c r="E343" i="59"/>
  <c r="C344" i="59"/>
  <c r="E344" i="59"/>
  <c r="C345" i="59"/>
  <c r="E345" i="59"/>
  <c r="C346" i="59"/>
  <c r="E346" i="59"/>
  <c r="C347" i="59"/>
  <c r="E347" i="59"/>
  <c r="C348" i="59"/>
  <c r="E348" i="59"/>
  <c r="C349" i="59"/>
  <c r="E349" i="59"/>
  <c r="C350" i="59"/>
  <c r="E350" i="59"/>
  <c r="C351" i="59"/>
  <c r="E351" i="59"/>
  <c r="C352" i="59"/>
  <c r="E352" i="59"/>
  <c r="C353" i="59"/>
  <c r="E353" i="59"/>
  <c r="C354" i="59"/>
  <c r="E354" i="59"/>
  <c r="C355" i="59"/>
  <c r="E355" i="59"/>
  <c r="C356" i="59"/>
  <c r="E356" i="59"/>
  <c r="C357" i="59"/>
  <c r="E357" i="59"/>
  <c r="C358" i="59"/>
  <c r="E358" i="59"/>
  <c r="C359" i="59"/>
  <c r="E359" i="59"/>
  <c r="C360" i="59"/>
  <c r="E360" i="59"/>
  <c r="C361" i="59"/>
  <c r="E361" i="59"/>
  <c r="C362" i="59"/>
  <c r="E362" i="59"/>
  <c r="C363" i="59"/>
  <c r="E363" i="59"/>
  <c r="C364" i="59"/>
  <c r="E364" i="59"/>
  <c r="C365" i="59"/>
  <c r="E365" i="59"/>
  <c r="C366" i="59"/>
  <c r="E366" i="59"/>
  <c r="C367" i="59"/>
  <c r="E367" i="59"/>
  <c r="C368" i="59"/>
  <c r="E368" i="59"/>
  <c r="C369" i="59"/>
  <c r="E369" i="59"/>
  <c r="L358" i="108"/>
  <c r="L359" i="108"/>
  <c r="L360" i="108"/>
  <c r="L361" i="108"/>
  <c r="L362" i="108"/>
  <c r="L363" i="108"/>
  <c r="L364" i="108"/>
  <c r="L365" i="108"/>
  <c r="L366" i="108"/>
  <c r="L367" i="108"/>
  <c r="L368" i="108"/>
  <c r="L369" i="108"/>
  <c r="L370" i="108"/>
  <c r="L372" i="108"/>
  <c r="L373" i="108"/>
  <c r="L375" i="108"/>
  <c r="L377" i="108"/>
  <c r="L378" i="108"/>
  <c r="L379" i="108"/>
  <c r="L380" i="108"/>
  <c r="L381" i="108"/>
  <c r="L382" i="108"/>
  <c r="L384" i="108"/>
  <c r="L385" i="108"/>
  <c r="L386" i="108"/>
  <c r="L387" i="108"/>
  <c r="L388" i="108"/>
  <c r="L389" i="108"/>
  <c r="L390" i="108"/>
  <c r="L391" i="108"/>
  <c r="L392" i="108"/>
  <c r="L393" i="108"/>
  <c r="L395" i="108"/>
  <c r="L396" i="108"/>
  <c r="L397" i="108"/>
  <c r="L398" i="108"/>
  <c r="L399" i="108"/>
  <c r="L401" i="108"/>
  <c r="L402" i="108"/>
  <c r="L403" i="108"/>
  <c r="L404" i="108"/>
  <c r="L405" i="108"/>
  <c r="L406" i="108"/>
  <c r="L410" i="108"/>
  <c r="L411" i="108"/>
  <c r="L412" i="108"/>
  <c r="L413" i="108"/>
  <c r="L414" i="108"/>
  <c r="L415" i="108"/>
  <c r="L416" i="108"/>
  <c r="L417" i="108"/>
  <c r="D359" i="89"/>
  <c r="B360" i="89"/>
  <c r="D360" i="89"/>
  <c r="B361" i="89"/>
  <c r="D361" i="89"/>
  <c r="B362" i="89"/>
  <c r="D362" i="89"/>
  <c r="B363" i="89"/>
  <c r="D363" i="89"/>
  <c r="B364" i="89"/>
  <c r="D364" i="89"/>
  <c r="D365" i="89"/>
  <c r="B366" i="89"/>
  <c r="D366" i="89"/>
  <c r="B367" i="89"/>
  <c r="D367" i="89"/>
  <c r="B368" i="89"/>
  <c r="D368" i="89"/>
  <c r="B369" i="89"/>
  <c r="D369" i="89"/>
  <c r="D373" i="89"/>
  <c r="D374" i="89"/>
  <c r="D375" i="89"/>
  <c r="B376" i="89"/>
  <c r="D376" i="89"/>
  <c r="B377" i="89"/>
  <c r="D377" i="89"/>
  <c r="B378" i="89"/>
  <c r="D378" i="89"/>
  <c r="B379" i="89"/>
  <c r="D379" i="89"/>
  <c r="D380" i="89"/>
  <c r="D381" i="89"/>
  <c r="B383" i="89"/>
  <c r="D383" i="89"/>
  <c r="B384" i="89"/>
  <c r="D384" i="89"/>
  <c r="B385" i="89"/>
  <c r="D385" i="89"/>
  <c r="B386" i="89"/>
  <c r="D386" i="89"/>
  <c r="B387" i="89"/>
  <c r="D387" i="89"/>
  <c r="B388" i="89"/>
  <c r="D388" i="89"/>
  <c r="B389" i="89"/>
  <c r="D389" i="89"/>
  <c r="B390" i="89"/>
  <c r="D390" i="89"/>
  <c r="B391" i="89"/>
  <c r="D391" i="89"/>
  <c r="B392" i="89"/>
  <c r="D392" i="89"/>
  <c r="B393" i="89"/>
  <c r="D393" i="89"/>
  <c r="D395" i="89"/>
  <c r="D396" i="89"/>
  <c r="D397" i="89"/>
  <c r="D398" i="89"/>
  <c r="D399" i="89"/>
  <c r="D400" i="89"/>
  <c r="D401" i="89"/>
  <c r="D402" i="89"/>
  <c r="D404" i="89"/>
  <c r="D405" i="89"/>
  <c r="B407" i="89"/>
  <c r="D407" i="89"/>
  <c r="B408" i="89"/>
  <c r="D408" i="89"/>
  <c r="B409" i="89"/>
  <c r="D409" i="89"/>
  <c r="B410" i="89"/>
  <c r="D410" i="89"/>
  <c r="B411" i="89"/>
  <c r="D411" i="89"/>
  <c r="B412" i="89"/>
  <c r="D412" i="89"/>
  <c r="B413" i="89"/>
  <c r="D413" i="89"/>
  <c r="B414" i="89"/>
  <c r="D414" i="89"/>
  <c r="B415" i="89"/>
  <c r="D415" i="89"/>
  <c r="B416" i="89"/>
  <c r="D416" i="89"/>
  <c r="B417" i="89"/>
  <c r="D417" i="89"/>
  <c r="D431" i="51"/>
  <c r="D432" i="51"/>
  <c r="D433" i="51"/>
  <c r="D434" i="51"/>
  <c r="D435" i="51"/>
  <c r="D436" i="51"/>
  <c r="D437" i="51"/>
  <c r="D438" i="51"/>
  <c r="D439" i="51"/>
  <c r="D440" i="51"/>
  <c r="D441" i="51"/>
  <c r="L346" i="38"/>
  <c r="B346" i="38" s="1"/>
  <c r="Q346" i="38"/>
  <c r="C346" i="38" s="1"/>
  <c r="L347" i="38"/>
  <c r="B347" i="38" s="1"/>
  <c r="Q347" i="38"/>
  <c r="C347" i="38" s="1"/>
  <c r="L348" i="38"/>
  <c r="B348" i="38" s="1"/>
  <c r="Q348" i="38"/>
  <c r="C348" i="38" s="1"/>
  <c r="L349" i="38"/>
  <c r="B349" i="38" s="1"/>
  <c r="Q349" i="38"/>
  <c r="C349" i="38" s="1"/>
  <c r="L350" i="38"/>
  <c r="B350" i="38" s="1"/>
  <c r="Q350" i="38"/>
  <c r="C350" i="38" s="1"/>
  <c r="L351" i="38"/>
  <c r="B351" i="38" s="1"/>
  <c r="Q351" i="38"/>
  <c r="C351" i="38" s="1"/>
  <c r="L352" i="38"/>
  <c r="B352" i="38" s="1"/>
  <c r="Q352" i="38"/>
  <c r="C352" i="38" s="1"/>
  <c r="L353" i="38"/>
  <c r="B353" i="38" s="1"/>
  <c r="Q353" i="38"/>
  <c r="C353" i="38" s="1"/>
  <c r="L354" i="38"/>
  <c r="B354" i="38" s="1"/>
  <c r="Q354" i="38"/>
  <c r="C354" i="38" s="1"/>
  <c r="L355" i="38"/>
  <c r="B355" i="38" s="1"/>
  <c r="Q355" i="38"/>
  <c r="C355" i="38" s="1"/>
  <c r="L356" i="38"/>
  <c r="B356" i="38" s="1"/>
  <c r="Q356" i="38"/>
  <c r="C356" i="38" s="1"/>
  <c r="L357" i="38"/>
  <c r="B357" i="38" s="1"/>
  <c r="Q357" i="38"/>
  <c r="C357" i="38" s="1"/>
  <c r="L358" i="38"/>
  <c r="B358" i="38" s="1"/>
  <c r="Q358" i="38"/>
  <c r="C358" i="38" s="1"/>
  <c r="L359" i="38"/>
  <c r="B359" i="38" s="1"/>
  <c r="Q359" i="38"/>
  <c r="C359" i="38" s="1"/>
  <c r="L360" i="38"/>
  <c r="B360" i="38" s="1"/>
  <c r="Q360" i="38"/>
  <c r="C360" i="38" s="1"/>
  <c r="L361" i="38"/>
  <c r="B361" i="38" s="1"/>
  <c r="Q361" i="38"/>
  <c r="C361" i="38" s="1"/>
  <c r="L362" i="38"/>
  <c r="B362" i="38" s="1"/>
  <c r="Q362" i="38"/>
  <c r="C362" i="38" s="1"/>
  <c r="L363" i="38"/>
  <c r="B363" i="38" s="1"/>
  <c r="Q363" i="38"/>
  <c r="C363" i="38" s="1"/>
  <c r="L364" i="38"/>
  <c r="B364" i="38" s="1"/>
  <c r="Q364" i="38"/>
  <c r="C364" i="38" s="1"/>
  <c r="L365" i="38"/>
  <c r="B365" i="38" s="1"/>
  <c r="Q365" i="38"/>
  <c r="C365" i="38" s="1"/>
  <c r="L366" i="38"/>
  <c r="B366" i="38" s="1"/>
  <c r="Q366" i="38"/>
  <c r="C366" i="38" s="1"/>
  <c r="L367" i="38"/>
  <c r="B367" i="38" s="1"/>
  <c r="Q367" i="38"/>
  <c r="C367" i="38" s="1"/>
  <c r="L368" i="38"/>
  <c r="B368" i="38" s="1"/>
  <c r="Q368" i="38"/>
  <c r="C368" i="38" s="1"/>
  <c r="L369" i="38"/>
  <c r="B369" i="38" s="1"/>
  <c r="Q369" i="38"/>
  <c r="C369" i="38" s="1"/>
  <c r="B370" i="38"/>
  <c r="Q370" i="38"/>
  <c r="C370" i="38" s="1"/>
  <c r="L371" i="38"/>
  <c r="B371" i="38" s="1"/>
  <c r="Q371" i="38"/>
  <c r="C371" i="38" s="1"/>
  <c r="L372" i="38"/>
  <c r="B372" i="38" s="1"/>
  <c r="Q372" i="38"/>
  <c r="C372" i="38" s="1"/>
  <c r="L373" i="38"/>
  <c r="B373" i="38" s="1"/>
  <c r="Q373" i="38"/>
  <c r="C373" i="38" s="1"/>
  <c r="L374" i="38"/>
  <c r="B374" i="38" s="1"/>
  <c r="Q374" i="38"/>
  <c r="C374" i="38" s="1"/>
  <c r="L375" i="38"/>
  <c r="B375" i="38" s="1"/>
  <c r="Q375" i="38"/>
  <c r="C375" i="38" s="1"/>
  <c r="L376" i="38"/>
  <c r="B376" i="38" s="1"/>
  <c r="Q376" i="38"/>
  <c r="C376" i="38" s="1"/>
  <c r="L377" i="38"/>
  <c r="B377" i="38" s="1"/>
  <c r="Q377" i="38"/>
  <c r="C377" i="38" s="1"/>
  <c r="L378" i="38"/>
  <c r="B378" i="38" s="1"/>
  <c r="Q378" i="38"/>
  <c r="C378" i="38" s="1"/>
  <c r="L379" i="38"/>
  <c r="B379" i="38" s="1"/>
  <c r="Q379" i="38"/>
  <c r="C379" i="38" s="1"/>
  <c r="L380" i="38"/>
  <c r="B380" i="38" s="1"/>
  <c r="Q380" i="38"/>
  <c r="C380" i="38" s="1"/>
  <c r="L381" i="38"/>
  <c r="B381" i="38" s="1"/>
  <c r="Q381" i="38"/>
  <c r="C381" i="38" s="1"/>
  <c r="L382" i="38"/>
  <c r="B382" i="38" s="1"/>
  <c r="Q382" i="38"/>
  <c r="C382" i="38" s="1"/>
  <c r="L383" i="38"/>
  <c r="B383" i="38" s="1"/>
  <c r="Q383" i="38"/>
  <c r="C383" i="38" s="1"/>
  <c r="L384" i="38"/>
  <c r="B384" i="38" s="1"/>
  <c r="Q384" i="38"/>
  <c r="C384" i="38" s="1"/>
  <c r="L385" i="38"/>
  <c r="B385" i="38" s="1"/>
  <c r="Q385" i="38"/>
  <c r="C385" i="38" s="1"/>
  <c r="B386" i="38"/>
  <c r="Q386" i="38"/>
  <c r="C386" i="38" s="1"/>
  <c r="L387" i="38"/>
  <c r="B387" i="38" s="1"/>
  <c r="Q387" i="38"/>
  <c r="C387" i="38" s="1"/>
  <c r="L388" i="38"/>
  <c r="B388" i="38" s="1"/>
  <c r="Q388" i="38"/>
  <c r="C388" i="38" s="1"/>
  <c r="L389" i="38"/>
  <c r="B389" i="38" s="1"/>
  <c r="Q389" i="38"/>
  <c r="C389" i="38" s="1"/>
  <c r="L390" i="38"/>
  <c r="B390" i="38" s="1"/>
  <c r="Q390" i="38"/>
  <c r="C390" i="38" s="1"/>
  <c r="L391" i="38"/>
  <c r="B391" i="38" s="1"/>
  <c r="Q391" i="38"/>
  <c r="C391" i="38" s="1"/>
  <c r="L392" i="38"/>
  <c r="B392" i="38" s="1"/>
  <c r="Q392" i="38"/>
  <c r="C392" i="38" s="1"/>
  <c r="L393" i="38"/>
  <c r="B393" i="38" s="1"/>
  <c r="Q393" i="38"/>
  <c r="C393" i="38" s="1"/>
  <c r="L394" i="38"/>
  <c r="B394" i="38" s="1"/>
  <c r="Q394" i="38"/>
  <c r="C394" i="38" s="1"/>
  <c r="L395" i="38"/>
  <c r="B395" i="38" s="1"/>
  <c r="Q395" i="38"/>
  <c r="C395" i="38" s="1"/>
  <c r="L396" i="38"/>
  <c r="B396" i="38" s="1"/>
  <c r="Q396" i="38"/>
  <c r="C396" i="38" s="1"/>
  <c r="L397" i="38"/>
  <c r="B397" i="38" s="1"/>
  <c r="Q397" i="38"/>
  <c r="C397" i="38" s="1"/>
  <c r="L398" i="38"/>
  <c r="B398" i="38" s="1"/>
  <c r="Q398" i="38"/>
  <c r="C398" i="38" s="1"/>
  <c r="L399" i="38"/>
  <c r="B399" i="38" s="1"/>
  <c r="Q399" i="38"/>
  <c r="C399" i="38" s="1"/>
  <c r="L400" i="38"/>
  <c r="B400" i="38" s="1"/>
  <c r="Q400" i="38"/>
  <c r="C400" i="38" s="1"/>
  <c r="L401" i="38"/>
  <c r="B401" i="38" s="1"/>
  <c r="Q401" i="38"/>
  <c r="C401" i="38" s="1"/>
  <c r="L402" i="38"/>
  <c r="B402" i="38" s="1"/>
  <c r="Q402" i="38"/>
  <c r="C402" i="38" s="1"/>
  <c r="L403" i="38"/>
  <c r="B403" i="38" s="1"/>
  <c r="Q403" i="38"/>
  <c r="C403" i="38" s="1"/>
  <c r="L404" i="38"/>
  <c r="B404" i="38" s="1"/>
  <c r="Q404" i="38"/>
  <c r="C404" i="38" s="1"/>
  <c r="L405" i="38"/>
  <c r="B405" i="38" s="1"/>
  <c r="Q405" i="38"/>
  <c r="C405" i="38" s="1"/>
  <c r="H334" i="4"/>
  <c r="K334" i="4"/>
  <c r="O334" i="4"/>
  <c r="V334" i="4"/>
  <c r="H335" i="4"/>
  <c r="K335" i="4"/>
  <c r="O335" i="4"/>
  <c r="V335" i="4"/>
  <c r="H336" i="4"/>
  <c r="K336" i="4"/>
  <c r="O336" i="4"/>
  <c r="V336" i="4"/>
  <c r="H337" i="4"/>
  <c r="K337" i="4"/>
  <c r="O337" i="4"/>
  <c r="V337" i="4"/>
  <c r="H338" i="4"/>
  <c r="K338" i="4"/>
  <c r="O338" i="4"/>
  <c r="V338" i="4"/>
  <c r="H339" i="4"/>
  <c r="K339" i="4"/>
  <c r="O339" i="4"/>
  <c r="V339" i="4"/>
  <c r="H340" i="4"/>
  <c r="K340" i="4"/>
  <c r="O340" i="4"/>
  <c r="V340" i="4"/>
  <c r="H341" i="4"/>
  <c r="K341" i="4"/>
  <c r="O341" i="4"/>
  <c r="V341" i="4"/>
  <c r="H342" i="4"/>
  <c r="K342" i="4"/>
  <c r="O342" i="4"/>
  <c r="V342" i="4"/>
  <c r="H343" i="4"/>
  <c r="K343" i="4"/>
  <c r="O343" i="4"/>
  <c r="V343" i="4"/>
  <c r="H344" i="4"/>
  <c r="K344" i="4"/>
  <c r="O344" i="4"/>
  <c r="V344" i="4"/>
  <c r="H345" i="4"/>
  <c r="K345" i="4"/>
  <c r="O345" i="4"/>
  <c r="V345" i="4"/>
  <c r="H346" i="4"/>
  <c r="K346" i="4"/>
  <c r="O346" i="4"/>
  <c r="V346" i="4"/>
  <c r="H347" i="4"/>
  <c r="K347" i="4"/>
  <c r="O347" i="4"/>
  <c r="V347" i="4"/>
  <c r="H348" i="4"/>
  <c r="K348" i="4"/>
  <c r="V348" i="4"/>
  <c r="H349" i="4"/>
  <c r="K349" i="4"/>
  <c r="O349" i="4"/>
  <c r="V349" i="4"/>
  <c r="H350" i="4"/>
  <c r="K350" i="4"/>
  <c r="O350" i="4"/>
  <c r="V350" i="4"/>
  <c r="H351" i="4"/>
  <c r="K351" i="4"/>
  <c r="O351" i="4"/>
  <c r="V351" i="4"/>
  <c r="H352" i="4"/>
  <c r="K352" i="4"/>
  <c r="O352" i="4"/>
  <c r="V352" i="4"/>
  <c r="H353" i="4"/>
  <c r="K353" i="4"/>
  <c r="O353" i="4"/>
  <c r="V353" i="4"/>
  <c r="H354" i="4"/>
  <c r="K354" i="4"/>
  <c r="O354" i="4"/>
  <c r="V354" i="4"/>
  <c r="H355" i="4"/>
  <c r="K355" i="4"/>
  <c r="O355" i="4"/>
  <c r="V355" i="4"/>
  <c r="H356" i="4"/>
  <c r="K356" i="4"/>
  <c r="O356" i="4"/>
  <c r="V356" i="4"/>
  <c r="H357" i="4"/>
  <c r="K357" i="4"/>
  <c r="O357" i="4"/>
  <c r="V357" i="4"/>
  <c r="H358" i="4"/>
  <c r="K358" i="4"/>
  <c r="O358" i="4"/>
  <c r="V358" i="4"/>
  <c r="H359" i="4"/>
  <c r="K359" i="4"/>
  <c r="O359" i="4"/>
  <c r="V359" i="4"/>
  <c r="H360" i="4"/>
  <c r="K360" i="4"/>
  <c r="O360" i="4"/>
  <c r="V360" i="4"/>
  <c r="H361" i="4"/>
  <c r="K361" i="4"/>
  <c r="O361" i="4"/>
  <c r="V361" i="4"/>
  <c r="H362" i="4"/>
  <c r="K362" i="4"/>
  <c r="O362" i="4"/>
  <c r="V362" i="4"/>
  <c r="H363" i="4"/>
  <c r="K363" i="4"/>
  <c r="O363" i="4"/>
  <c r="V363" i="4"/>
  <c r="H364" i="4"/>
  <c r="K364" i="4"/>
  <c r="O364" i="4"/>
  <c r="V364" i="4"/>
  <c r="H365" i="4"/>
  <c r="K365" i="4"/>
  <c r="O365" i="4"/>
  <c r="V365" i="4"/>
  <c r="H366" i="4"/>
  <c r="K366" i="4"/>
  <c r="O366" i="4"/>
  <c r="V366" i="4"/>
  <c r="H367" i="4"/>
  <c r="K367" i="4"/>
  <c r="O367" i="4"/>
  <c r="V367" i="4"/>
  <c r="H368" i="4"/>
  <c r="K368" i="4"/>
  <c r="O368" i="4"/>
  <c r="V368" i="4"/>
  <c r="H369" i="4"/>
  <c r="K369" i="4"/>
  <c r="O369" i="4"/>
  <c r="V369" i="4"/>
  <c r="H370" i="4"/>
  <c r="K370" i="4"/>
  <c r="O370" i="4"/>
  <c r="V370" i="4"/>
  <c r="H371" i="4"/>
  <c r="K371" i="4"/>
  <c r="O371" i="4"/>
  <c r="V371" i="4"/>
  <c r="H372" i="4"/>
  <c r="K372" i="4"/>
  <c r="O372" i="4"/>
  <c r="V372" i="4"/>
  <c r="H373" i="4"/>
  <c r="K373" i="4"/>
  <c r="O373" i="4"/>
  <c r="V373" i="4"/>
  <c r="H374" i="4"/>
  <c r="K374" i="4"/>
  <c r="O374" i="4"/>
  <c r="V374" i="4"/>
  <c r="H375" i="4"/>
  <c r="K375" i="4"/>
  <c r="O375" i="4"/>
  <c r="V375" i="4"/>
  <c r="H376" i="4"/>
  <c r="K376" i="4"/>
  <c r="O376" i="4"/>
  <c r="V376" i="4"/>
  <c r="H377" i="4"/>
  <c r="K377" i="4"/>
  <c r="O377" i="4"/>
  <c r="V377" i="4"/>
  <c r="H378" i="4"/>
  <c r="K378" i="4"/>
  <c r="V378" i="4"/>
  <c r="H379" i="4"/>
  <c r="K379" i="4"/>
  <c r="O379" i="4"/>
  <c r="V379" i="4"/>
  <c r="H380" i="4"/>
  <c r="K380" i="4"/>
  <c r="O380" i="4"/>
  <c r="V380" i="4"/>
  <c r="H381" i="4"/>
  <c r="K381" i="4"/>
  <c r="O381" i="4"/>
  <c r="V381" i="4"/>
  <c r="H383" i="4"/>
  <c r="K383" i="4"/>
  <c r="O383" i="4"/>
  <c r="V383" i="4"/>
  <c r="H384" i="4"/>
  <c r="K384" i="4"/>
  <c r="O384" i="4"/>
  <c r="V384" i="4"/>
  <c r="H385" i="4"/>
  <c r="K385" i="4"/>
  <c r="O385" i="4"/>
  <c r="V385" i="4"/>
  <c r="H386" i="4"/>
  <c r="K386" i="4"/>
  <c r="O386" i="4"/>
  <c r="V386" i="4"/>
  <c r="H387" i="4"/>
  <c r="K387" i="4"/>
  <c r="O387" i="4"/>
  <c r="V387" i="4"/>
  <c r="H388" i="4"/>
  <c r="K388" i="4"/>
  <c r="O388" i="4"/>
  <c r="V388" i="4"/>
  <c r="H389" i="4"/>
  <c r="K389" i="4"/>
  <c r="O389" i="4"/>
  <c r="V389" i="4"/>
  <c r="H390" i="4"/>
  <c r="K390" i="4"/>
  <c r="O390" i="4"/>
  <c r="V390" i="4"/>
  <c r="H391" i="4"/>
  <c r="K391" i="4"/>
  <c r="O391" i="4"/>
  <c r="V391" i="4"/>
  <c r="H392" i="4"/>
  <c r="K392" i="4"/>
  <c r="O392" i="4"/>
  <c r="V392" i="4"/>
  <c r="H393" i="4"/>
  <c r="K393" i="4"/>
  <c r="O393" i="4"/>
  <c r="V393" i="4"/>
  <c r="H346" i="17"/>
  <c r="H347" i="17"/>
  <c r="H348" i="17"/>
  <c r="H349" i="17"/>
  <c r="H366" i="17"/>
  <c r="H367" i="17"/>
  <c r="H368" i="17"/>
  <c r="H369" i="17"/>
  <c r="H370" i="17"/>
  <c r="H371" i="17"/>
  <c r="H372" i="17"/>
  <c r="H373" i="17"/>
  <c r="H374" i="17"/>
  <c r="H375" i="17"/>
  <c r="H376" i="17"/>
  <c r="H377" i="17"/>
  <c r="H378" i="17"/>
  <c r="H379" i="17"/>
  <c r="H380" i="17"/>
  <c r="H381" i="17"/>
  <c r="H382" i="17"/>
  <c r="H383" i="17"/>
  <c r="H384" i="17"/>
  <c r="H385" i="17"/>
  <c r="H386" i="17"/>
  <c r="H388" i="17"/>
  <c r="H389" i="17"/>
  <c r="H390" i="17"/>
  <c r="H391" i="17"/>
  <c r="H392" i="17"/>
  <c r="H393" i="17"/>
  <c r="H394" i="17"/>
  <c r="H395" i="17"/>
  <c r="H396" i="17"/>
  <c r="H397" i="17"/>
  <c r="H398" i="17"/>
  <c r="H399" i="17"/>
  <c r="H400" i="17"/>
  <c r="H401" i="17"/>
  <c r="H402" i="17"/>
  <c r="H403" i="17"/>
  <c r="H404" i="17"/>
  <c r="H405" i="17"/>
  <c r="B130" i="49"/>
  <c r="E130" i="49"/>
  <c r="I130" i="49"/>
  <c r="L130" i="49"/>
  <c r="B131" i="49"/>
  <c r="E131" i="49"/>
  <c r="I131" i="49"/>
  <c r="L131" i="49"/>
  <c r="B132" i="49"/>
  <c r="E132" i="49"/>
  <c r="I132" i="49"/>
  <c r="L132" i="49"/>
  <c r="B133" i="49"/>
  <c r="E133" i="49"/>
  <c r="I133" i="49"/>
  <c r="L133" i="49"/>
  <c r="B134" i="49"/>
  <c r="E134" i="49"/>
  <c r="I134" i="49"/>
  <c r="L134" i="49"/>
  <c r="B135" i="49"/>
  <c r="E135" i="49"/>
  <c r="I135" i="49"/>
  <c r="L135" i="49"/>
  <c r="E136" i="49"/>
  <c r="I136" i="49"/>
  <c r="L136" i="49"/>
  <c r="B137" i="49"/>
  <c r="E137" i="49"/>
  <c r="I137" i="49"/>
  <c r="L137" i="49"/>
  <c r="B138" i="49"/>
  <c r="E138" i="49"/>
  <c r="I138" i="49"/>
  <c r="L138" i="49"/>
  <c r="B139" i="49"/>
  <c r="E139" i="49"/>
  <c r="I139" i="49"/>
  <c r="L139" i="49"/>
  <c r="B140" i="49"/>
  <c r="E140" i="49"/>
  <c r="I140" i="49"/>
  <c r="L140" i="49"/>
  <c r="B141" i="49"/>
  <c r="E141" i="49"/>
  <c r="I141" i="49"/>
  <c r="L141" i="49"/>
  <c r="B142" i="49"/>
  <c r="E142" i="49"/>
  <c r="I142" i="49"/>
  <c r="L142" i="49"/>
  <c r="B143" i="49"/>
  <c r="E143" i="49"/>
  <c r="I143" i="49"/>
  <c r="L143" i="49"/>
  <c r="B144" i="49"/>
  <c r="E144" i="49"/>
  <c r="I144" i="49"/>
  <c r="L144" i="49"/>
  <c r="B145" i="49"/>
  <c r="E145" i="49"/>
  <c r="I145" i="49"/>
  <c r="L145" i="49"/>
  <c r="I146" i="49"/>
  <c r="L146" i="49"/>
  <c r="B147" i="49"/>
  <c r="E147" i="49"/>
  <c r="E148" i="49" s="1"/>
  <c r="I147" i="49"/>
  <c r="L147" i="49"/>
  <c r="B148" i="49"/>
  <c r="I148" i="49"/>
  <c r="L148" i="49"/>
  <c r="B149" i="49"/>
  <c r="E149" i="49"/>
  <c r="I149" i="49"/>
  <c r="L149" i="49"/>
  <c r="I98" i="114"/>
  <c r="I99" i="114"/>
  <c r="I100" i="114"/>
  <c r="I101" i="114"/>
  <c r="I102" i="114"/>
  <c r="I103" i="114"/>
  <c r="I104" i="114"/>
  <c r="I105" i="114"/>
  <c r="O50" i="95"/>
  <c r="V50" i="95"/>
  <c r="U51" i="95"/>
  <c r="O52" i="95"/>
  <c r="V52" i="95"/>
  <c r="U53" i="95"/>
  <c r="V54" i="95"/>
  <c r="P55" i="95"/>
  <c r="U55" i="95"/>
  <c r="O56" i="95"/>
  <c r="V56" i="95"/>
  <c r="P57" i="95"/>
  <c r="U57" i="95"/>
  <c r="O58" i="95"/>
  <c r="V58" i="95"/>
  <c r="P59" i="95"/>
  <c r="U59" i="95"/>
  <c r="A167" i="115"/>
  <c r="A179" i="115" s="1"/>
  <c r="A191" i="115" s="1"/>
  <c r="A203" i="115" s="1"/>
  <c r="A215" i="115" s="1"/>
  <c r="A227" i="115" s="1"/>
  <c r="A239" i="115" s="1"/>
  <c r="A251" i="115" s="1"/>
  <c r="A263" i="115" s="1"/>
  <c r="A275" i="115" s="1"/>
  <c r="A168" i="115"/>
  <c r="A180" i="115" s="1"/>
  <c r="A192" i="115" s="1"/>
  <c r="A204" i="115" s="1"/>
  <c r="A216" i="115" s="1"/>
  <c r="A228" i="115" s="1"/>
  <c r="A240" i="115" s="1"/>
  <c r="A252" i="115" s="1"/>
  <c r="A264" i="115" s="1"/>
  <c r="A276" i="115" s="1"/>
  <c r="A169" i="115"/>
  <c r="A181" i="115" s="1"/>
  <c r="A193" i="115" s="1"/>
  <c r="A205" i="115" s="1"/>
  <c r="A217" i="115" s="1"/>
  <c r="A229" i="115" s="1"/>
  <c r="A241" i="115" s="1"/>
  <c r="A253" i="115" s="1"/>
  <c r="A265" i="115" s="1"/>
  <c r="A277" i="115" s="1"/>
  <c r="A170" i="115"/>
  <c r="A182" i="115" s="1"/>
  <c r="A194" i="115" s="1"/>
  <c r="A206" i="115" s="1"/>
  <c r="A218" i="115" s="1"/>
  <c r="A230" i="115" s="1"/>
  <c r="A242" i="115" s="1"/>
  <c r="A254" i="115" s="1"/>
  <c r="A266" i="115" s="1"/>
  <c r="A278" i="115" s="1"/>
  <c r="A171" i="115"/>
  <c r="A183" i="115" s="1"/>
  <c r="A195" i="115" s="1"/>
  <c r="A207" i="115" s="1"/>
  <c r="A219" i="115" s="1"/>
  <c r="A231" i="115" s="1"/>
  <c r="A243" i="115" s="1"/>
  <c r="A255" i="115" s="1"/>
  <c r="A267" i="115" s="1"/>
  <c r="A279" i="115" s="1"/>
  <c r="A172" i="115"/>
  <c r="A184" i="115" s="1"/>
  <c r="A196" i="115" s="1"/>
  <c r="A208" i="115" s="1"/>
  <c r="A220" i="115" s="1"/>
  <c r="A232" i="115" s="1"/>
  <c r="A244" i="115" s="1"/>
  <c r="A256" i="115" s="1"/>
  <c r="A268" i="115" s="1"/>
  <c r="A280" i="115" s="1"/>
  <c r="A173" i="115"/>
  <c r="A185" i="115" s="1"/>
  <c r="A197" i="115" s="1"/>
  <c r="A209" i="115" s="1"/>
  <c r="A221" i="115" s="1"/>
  <c r="A233" i="115" s="1"/>
  <c r="A245" i="115" s="1"/>
  <c r="A257" i="115" s="1"/>
  <c r="A269" i="115" s="1"/>
  <c r="A281" i="115" s="1"/>
  <c r="A174" i="115"/>
  <c r="A186" i="115" s="1"/>
  <c r="A198" i="115" s="1"/>
  <c r="A210" i="115" s="1"/>
  <c r="A222" i="115" s="1"/>
  <c r="A234" i="115" s="1"/>
  <c r="A246" i="115" s="1"/>
  <c r="A258" i="115" s="1"/>
  <c r="A270" i="115" s="1"/>
  <c r="A282" i="115" s="1"/>
  <c r="A175" i="115"/>
  <c r="A187" i="115" s="1"/>
  <c r="A199" i="115" s="1"/>
  <c r="A211" i="115" s="1"/>
  <c r="A223" i="115" s="1"/>
  <c r="A235" i="115" s="1"/>
  <c r="A247" i="115" s="1"/>
  <c r="A259" i="115" s="1"/>
  <c r="A271" i="115" s="1"/>
  <c r="A283" i="115" s="1"/>
  <c r="A176" i="115"/>
  <c r="A188" i="115" s="1"/>
  <c r="A200" i="115" s="1"/>
  <c r="A212" i="115" s="1"/>
  <c r="A224" i="115" s="1"/>
  <c r="A236" i="115" s="1"/>
  <c r="A248" i="115" s="1"/>
  <c r="A260" i="115" s="1"/>
  <c r="A272" i="115" s="1"/>
  <c r="A284" i="115" s="1"/>
  <c r="A177" i="115"/>
  <c r="A189" i="115" s="1"/>
  <c r="A201" i="115" s="1"/>
  <c r="A213" i="115" s="1"/>
  <c r="A225" i="115" s="1"/>
  <c r="A237" i="115" s="1"/>
  <c r="A249" i="115" s="1"/>
  <c r="A261" i="115" s="1"/>
  <c r="A273" i="115" s="1"/>
  <c r="A285" i="115" s="1"/>
  <c r="A166" i="115"/>
  <c r="A178" i="115" s="1"/>
  <c r="A190" i="115" s="1"/>
  <c r="A202" i="115" s="1"/>
  <c r="A214" i="115" s="1"/>
  <c r="A226" i="115" s="1"/>
  <c r="A238" i="115" s="1"/>
  <c r="A250" i="115" s="1"/>
  <c r="A262" i="115" s="1"/>
  <c r="A274" i="115" s="1"/>
  <c r="J219" i="106"/>
  <c r="S219" i="106"/>
  <c r="J220" i="106"/>
  <c r="S220" i="106"/>
  <c r="J221" i="106"/>
  <c r="S221" i="106"/>
  <c r="J222" i="106"/>
  <c r="S222" i="106"/>
  <c r="J223" i="106"/>
  <c r="J224" i="106"/>
  <c r="S224" i="106"/>
  <c r="J225" i="106"/>
  <c r="S225" i="106"/>
  <c r="J226" i="106"/>
  <c r="S226" i="106"/>
  <c r="J227" i="106"/>
  <c r="S227" i="106"/>
  <c r="J229" i="106"/>
  <c r="S229" i="106"/>
  <c r="J230" i="106"/>
  <c r="S230" i="106"/>
  <c r="J231" i="106"/>
  <c r="S231" i="106"/>
  <c r="J232" i="106"/>
  <c r="S232" i="106"/>
  <c r="J233" i="106"/>
  <c r="S233" i="106"/>
  <c r="S215" i="106"/>
  <c r="J216" i="106"/>
  <c r="S216" i="106"/>
  <c r="J217" i="106"/>
  <c r="S217" i="106"/>
  <c r="S218" i="106"/>
  <c r="D147" i="116"/>
  <c r="E147" i="116" s="1"/>
  <c r="D149" i="116"/>
  <c r="D150" i="116"/>
  <c r="D151" i="116"/>
  <c r="E152" i="116" s="1"/>
  <c r="R53" i="95" l="1"/>
  <c r="S53" i="95"/>
  <c r="R58" i="95"/>
  <c r="S58" i="95"/>
  <c r="R50" i="95"/>
  <c r="S50" i="95"/>
  <c r="R59" i="95"/>
  <c r="S59" i="95"/>
  <c r="R55" i="95"/>
  <c r="S55" i="95"/>
  <c r="R51" i="95"/>
  <c r="S51" i="95"/>
  <c r="R57" i="95"/>
  <c r="S57" i="95"/>
  <c r="R54" i="95"/>
  <c r="S54" i="95"/>
  <c r="S56" i="95"/>
  <c r="R56" i="95"/>
  <c r="S52" i="95"/>
  <c r="R52" i="95"/>
  <c r="E148" i="116"/>
  <c r="P52" i="95"/>
  <c r="P50" i="95"/>
  <c r="P54" i="95"/>
  <c r="E150" i="116"/>
  <c r="O59" i="95"/>
  <c r="O57" i="95"/>
  <c r="O55" i="95"/>
  <c r="U54" i="95"/>
  <c r="V53" i="95"/>
  <c r="U52" i="95"/>
  <c r="V51" i="95"/>
  <c r="U50" i="95"/>
  <c r="E149" i="116"/>
  <c r="E151" i="116"/>
  <c r="V59" i="95"/>
  <c r="P58" i="95"/>
  <c r="V57" i="95"/>
  <c r="P56" i="95"/>
  <c r="V55" i="95"/>
  <c r="P53" i="95"/>
  <c r="O53" i="95"/>
  <c r="U58" i="95"/>
  <c r="U56" i="95"/>
  <c r="P51" i="95"/>
  <c r="O51" i="95"/>
  <c r="H308" i="4" l="1"/>
  <c r="M76" i="114" l="1"/>
  <c r="I319" i="38"/>
  <c r="L319" i="38" s="1"/>
  <c r="B319" i="38" s="1"/>
  <c r="E285" i="59"/>
  <c r="E286" i="59"/>
  <c r="E287" i="59"/>
  <c r="E288" i="59"/>
  <c r="E289" i="59"/>
  <c r="E290" i="59"/>
  <c r="E291" i="59"/>
  <c r="E292" i="59"/>
  <c r="E293" i="59"/>
  <c r="E294" i="59"/>
  <c r="E295" i="59"/>
  <c r="E296" i="59"/>
  <c r="E297" i="59"/>
  <c r="E298" i="59"/>
  <c r="E299" i="59"/>
  <c r="E300" i="59"/>
  <c r="E301" i="59"/>
  <c r="E302" i="59"/>
  <c r="E303" i="59"/>
  <c r="E304" i="59"/>
  <c r="E305" i="59"/>
  <c r="E306" i="59"/>
  <c r="E307" i="59"/>
  <c r="E308" i="59"/>
  <c r="E309" i="59"/>
  <c r="E264" i="59"/>
  <c r="E265" i="59"/>
  <c r="E266" i="59"/>
  <c r="E267" i="59"/>
  <c r="E268" i="59"/>
  <c r="E269" i="59"/>
  <c r="E270" i="59"/>
  <c r="E271" i="59"/>
  <c r="E272" i="59"/>
  <c r="E273" i="59"/>
  <c r="E274" i="59"/>
  <c r="E275" i="59"/>
  <c r="E276" i="59"/>
  <c r="E277" i="59"/>
  <c r="E278" i="59"/>
  <c r="E279" i="59"/>
  <c r="E280" i="59"/>
  <c r="E281" i="59"/>
  <c r="E282" i="59"/>
  <c r="E283" i="59"/>
  <c r="E284" i="59"/>
  <c r="E263" i="59"/>
  <c r="G19" i="53"/>
  <c r="D127" i="116"/>
  <c r="D145" i="116"/>
  <c r="D129" i="116"/>
  <c r="E130" i="116" s="1"/>
  <c r="D126" i="116"/>
  <c r="D128" i="116"/>
  <c r="L331" i="108"/>
  <c r="D125" i="116"/>
  <c r="Q42" i="38"/>
  <c r="C42" i="38" s="1"/>
  <c r="D124" i="116"/>
  <c r="D123" i="116"/>
  <c r="Q306" i="38"/>
  <c r="C306" i="38" s="1"/>
  <c r="Q307" i="38"/>
  <c r="C307" i="38" s="1"/>
  <c r="Q308" i="38"/>
  <c r="C308" i="38" s="1"/>
  <c r="Q309" i="38"/>
  <c r="C309" i="38" s="1"/>
  <c r="Q310" i="38"/>
  <c r="C310" i="38" s="1"/>
  <c r="Q311" i="38"/>
  <c r="C311" i="38" s="1"/>
  <c r="Q312" i="38"/>
  <c r="C312" i="38" s="1"/>
  <c r="Q313" i="38"/>
  <c r="C313" i="38" s="1"/>
  <c r="Q314" i="38"/>
  <c r="C314" i="38" s="1"/>
  <c r="Q315" i="38"/>
  <c r="C315" i="38" s="1"/>
  <c r="Q316" i="38"/>
  <c r="C316" i="38" s="1"/>
  <c r="Q317" i="38"/>
  <c r="C317" i="38" s="1"/>
  <c r="Q318" i="38"/>
  <c r="C318" i="38" s="1"/>
  <c r="Q319" i="38"/>
  <c r="C319" i="38" s="1"/>
  <c r="Q320" i="38"/>
  <c r="C320" i="38" s="1"/>
  <c r="L309" i="38"/>
  <c r="B309" i="38" s="1"/>
  <c r="L310" i="38"/>
  <c r="B310" i="38" s="1"/>
  <c r="L311" i="38"/>
  <c r="B311" i="38" s="1"/>
  <c r="L312" i="38"/>
  <c r="B312" i="38" s="1"/>
  <c r="L313" i="38"/>
  <c r="B313" i="38" s="1"/>
  <c r="L314" i="38"/>
  <c r="B314" i="38" s="1"/>
  <c r="L315" i="38"/>
  <c r="B315" i="38" s="1"/>
  <c r="L316" i="38"/>
  <c r="B316" i="38" s="1"/>
  <c r="L317" i="38"/>
  <c r="B317" i="38" s="1"/>
  <c r="L318" i="38"/>
  <c r="B318" i="38" s="1"/>
  <c r="L307" i="38"/>
  <c r="B307" i="38" s="1"/>
  <c r="L308" i="38"/>
  <c r="B308" i="38" s="1"/>
  <c r="D122" i="116"/>
  <c r="L193" i="38"/>
  <c r="B193" i="38" s="1"/>
  <c r="Q195" i="38"/>
  <c r="C195" i="38" s="1"/>
  <c r="D121" i="116"/>
  <c r="Q142" i="38"/>
  <c r="C142" i="38" s="1"/>
  <c r="Q143" i="38"/>
  <c r="C143" i="38" s="1"/>
  <c r="Q144" i="38"/>
  <c r="C144" i="38" s="1"/>
  <c r="Q145" i="38"/>
  <c r="C145" i="38" s="1"/>
  <c r="Q146" i="38"/>
  <c r="C146" i="38" s="1"/>
  <c r="Q147" i="38"/>
  <c r="C147" i="38" s="1"/>
  <c r="Q148" i="38"/>
  <c r="C148" i="38" s="1"/>
  <c r="Q149" i="38"/>
  <c r="C149" i="38" s="1"/>
  <c r="Q150" i="38"/>
  <c r="C150" i="38" s="1"/>
  <c r="Q151" i="38"/>
  <c r="C151" i="38" s="1"/>
  <c r="Q152" i="38"/>
  <c r="C152" i="38" s="1"/>
  <c r="Q153" i="38"/>
  <c r="C153" i="38" s="1"/>
  <c r="Q154" i="38"/>
  <c r="C154" i="38" s="1"/>
  <c r="Q155" i="38"/>
  <c r="C155" i="38" s="1"/>
  <c r="Q156" i="38"/>
  <c r="C156" i="38" s="1"/>
  <c r="Q157" i="38"/>
  <c r="C157" i="38" s="1"/>
  <c r="Q158" i="38"/>
  <c r="C158" i="38" s="1"/>
  <c r="Q159" i="38"/>
  <c r="C159" i="38" s="1"/>
  <c r="Q160" i="38"/>
  <c r="C160" i="38" s="1"/>
  <c r="Q161" i="38"/>
  <c r="C161" i="38" s="1"/>
  <c r="Q162" i="38"/>
  <c r="C162" i="38" s="1"/>
  <c r="Q163" i="38"/>
  <c r="C163" i="38" s="1"/>
  <c r="Q164" i="38"/>
  <c r="C164" i="38" s="1"/>
  <c r="Q165" i="38"/>
  <c r="C165" i="38" s="1"/>
  <c r="Q166" i="38"/>
  <c r="C166" i="38" s="1"/>
  <c r="Q167" i="38"/>
  <c r="C167" i="38" s="1"/>
  <c r="Q168" i="38"/>
  <c r="C168" i="38" s="1"/>
  <c r="Q169" i="38"/>
  <c r="C169" i="38" s="1"/>
  <c r="Q170" i="38"/>
  <c r="C170" i="38" s="1"/>
  <c r="Q171" i="38"/>
  <c r="C171" i="38" s="1"/>
  <c r="Q172" i="38"/>
  <c r="C172" i="38" s="1"/>
  <c r="Q173" i="38"/>
  <c r="C173" i="38" s="1"/>
  <c r="Q174" i="38"/>
  <c r="C174" i="38" s="1"/>
  <c r="Q175" i="38"/>
  <c r="C175" i="38" s="1"/>
  <c r="Q176" i="38"/>
  <c r="C176" i="38" s="1"/>
  <c r="Q177" i="38"/>
  <c r="C177" i="38" s="1"/>
  <c r="Q178" i="38"/>
  <c r="C178" i="38" s="1"/>
  <c r="Q179" i="38"/>
  <c r="C179" i="38" s="1"/>
  <c r="Q180" i="38"/>
  <c r="C180" i="38" s="1"/>
  <c r="Q181" i="38"/>
  <c r="C181" i="38" s="1"/>
  <c r="Q182" i="38"/>
  <c r="C182" i="38" s="1"/>
  <c r="Q183" i="38"/>
  <c r="C183" i="38" s="1"/>
  <c r="Q184" i="38"/>
  <c r="C184" i="38" s="1"/>
  <c r="Q185" i="38"/>
  <c r="C185" i="38" s="1"/>
  <c r="Q186" i="38"/>
  <c r="C186" i="38" s="1"/>
  <c r="Q187" i="38"/>
  <c r="C187" i="38" s="1"/>
  <c r="Q188" i="38"/>
  <c r="C188" i="38" s="1"/>
  <c r="Q189" i="38"/>
  <c r="C189" i="38" s="1"/>
  <c r="Q190" i="38"/>
  <c r="C190" i="38" s="1"/>
  <c r="Q191" i="38"/>
  <c r="C191" i="38" s="1"/>
  <c r="Q192" i="38"/>
  <c r="C192" i="38" s="1"/>
  <c r="Q193" i="38"/>
  <c r="C193" i="38" s="1"/>
  <c r="Q194" i="38"/>
  <c r="C194" i="38" s="1"/>
  <c r="Q196" i="38"/>
  <c r="C196" i="38" s="1"/>
  <c r="Q197" i="38"/>
  <c r="C197" i="38" s="1"/>
  <c r="Q198" i="38"/>
  <c r="C198" i="38" s="1"/>
  <c r="Q199" i="38"/>
  <c r="C199" i="38" s="1"/>
  <c r="Q200" i="38"/>
  <c r="C200" i="38" s="1"/>
  <c r="Q201" i="38"/>
  <c r="C201" i="38" s="1"/>
  <c r="Q202" i="38"/>
  <c r="C202" i="38" s="1"/>
  <c r="Q203" i="38"/>
  <c r="C203" i="38" s="1"/>
  <c r="Q204" i="38"/>
  <c r="C204" i="38" s="1"/>
  <c r="Q205" i="38"/>
  <c r="C205" i="38" s="1"/>
  <c r="Q206" i="38"/>
  <c r="C206" i="38" s="1"/>
  <c r="Q207" i="38"/>
  <c r="C207" i="38" s="1"/>
  <c r="Q208" i="38"/>
  <c r="C208" i="38" s="1"/>
  <c r="Q209" i="38"/>
  <c r="C209" i="38" s="1"/>
  <c r="Q210" i="38"/>
  <c r="C210" i="38" s="1"/>
  <c r="Q211" i="38"/>
  <c r="C211" i="38" s="1"/>
  <c r="Q212" i="38"/>
  <c r="C212" i="38" s="1"/>
  <c r="Q213" i="38"/>
  <c r="C213" i="38" s="1"/>
  <c r="Q214" i="38"/>
  <c r="C214" i="38" s="1"/>
  <c r="Q215" i="38"/>
  <c r="C215" i="38" s="1"/>
  <c r="Q216" i="38"/>
  <c r="C216" i="38" s="1"/>
  <c r="Q217" i="38"/>
  <c r="C217" i="38" s="1"/>
  <c r="Q218" i="38"/>
  <c r="C218" i="38" s="1"/>
  <c r="Q219" i="38"/>
  <c r="C219" i="38" s="1"/>
  <c r="Q220" i="38"/>
  <c r="C220" i="38" s="1"/>
  <c r="Q221" i="38"/>
  <c r="C221" i="38" s="1"/>
  <c r="Q222" i="38"/>
  <c r="C222" i="38" s="1"/>
  <c r="Q223" i="38"/>
  <c r="C223" i="38" s="1"/>
  <c r="Q224" i="38"/>
  <c r="C224" i="38" s="1"/>
  <c r="Q225" i="38"/>
  <c r="C225" i="38" s="1"/>
  <c r="Q226" i="38"/>
  <c r="C226" i="38" s="1"/>
  <c r="Q227" i="38"/>
  <c r="C227" i="38" s="1"/>
  <c r="Q228" i="38"/>
  <c r="C228" i="38" s="1"/>
  <c r="Q229" i="38"/>
  <c r="C229" i="38" s="1"/>
  <c r="Q230" i="38"/>
  <c r="C230" i="38" s="1"/>
  <c r="Q231" i="38"/>
  <c r="C231" i="38" s="1"/>
  <c r="Q232" i="38"/>
  <c r="C232" i="38" s="1"/>
  <c r="Q233" i="38"/>
  <c r="C233" i="38" s="1"/>
  <c r="Q234" i="38"/>
  <c r="C234" i="38" s="1"/>
  <c r="Q235" i="38"/>
  <c r="C235" i="38" s="1"/>
  <c r="Q236" i="38"/>
  <c r="C236" i="38" s="1"/>
  <c r="Q237" i="38"/>
  <c r="C237" i="38" s="1"/>
  <c r="Q238" i="38"/>
  <c r="C238" i="38" s="1"/>
  <c r="Q239" i="38"/>
  <c r="C239" i="38" s="1"/>
  <c r="Q240" i="38"/>
  <c r="C240" i="38" s="1"/>
  <c r="Q241" i="38"/>
  <c r="C241" i="38" s="1"/>
  <c r="Q242" i="38"/>
  <c r="C242" i="38" s="1"/>
  <c r="Q243" i="38"/>
  <c r="C243" i="38" s="1"/>
  <c r="Q244" i="38"/>
  <c r="C244" i="38" s="1"/>
  <c r="Q245" i="38"/>
  <c r="C245" i="38" s="1"/>
  <c r="Q246" i="38"/>
  <c r="C246" i="38" s="1"/>
  <c r="Q247" i="38"/>
  <c r="C247" i="38" s="1"/>
  <c r="Q248" i="38"/>
  <c r="C248" i="38" s="1"/>
  <c r="Q249" i="38"/>
  <c r="C249" i="38" s="1"/>
  <c r="Q250" i="38"/>
  <c r="C250" i="38" s="1"/>
  <c r="Q251" i="38"/>
  <c r="C251" i="38" s="1"/>
  <c r="Q252" i="38"/>
  <c r="C252" i="38" s="1"/>
  <c r="Q253" i="38"/>
  <c r="C253" i="38" s="1"/>
  <c r="Q254" i="38"/>
  <c r="C254" i="38" s="1"/>
  <c r="Q255" i="38"/>
  <c r="C255" i="38" s="1"/>
  <c r="Q256" i="38"/>
  <c r="C256" i="38" s="1"/>
  <c r="Q257" i="38"/>
  <c r="C257" i="38" s="1"/>
  <c r="Q258" i="38"/>
  <c r="C258" i="38" s="1"/>
  <c r="Q259" i="38"/>
  <c r="C259" i="38" s="1"/>
  <c r="Q260" i="38"/>
  <c r="C260" i="38" s="1"/>
  <c r="Q261" i="38"/>
  <c r="C261" i="38" s="1"/>
  <c r="Q262" i="38"/>
  <c r="C262" i="38" s="1"/>
  <c r="Q263" i="38"/>
  <c r="C263" i="38" s="1"/>
  <c r="Q264" i="38"/>
  <c r="C264" i="38" s="1"/>
  <c r="Q265" i="38"/>
  <c r="C265" i="38" s="1"/>
  <c r="Q266" i="38"/>
  <c r="C266" i="38" s="1"/>
  <c r="Q267" i="38"/>
  <c r="C267" i="38" s="1"/>
  <c r="Q268" i="38"/>
  <c r="C268" i="38" s="1"/>
  <c r="Q269" i="38"/>
  <c r="C269" i="38" s="1"/>
  <c r="Q270" i="38"/>
  <c r="C270" i="38" s="1"/>
  <c r="Q271" i="38"/>
  <c r="C271" i="38" s="1"/>
  <c r="Q272" i="38"/>
  <c r="C272" i="38" s="1"/>
  <c r="Q273" i="38"/>
  <c r="C273" i="38" s="1"/>
  <c r="Q274" i="38"/>
  <c r="C274" i="38" s="1"/>
  <c r="Q275" i="38"/>
  <c r="C275" i="38" s="1"/>
  <c r="Q276" i="38"/>
  <c r="C276" i="38" s="1"/>
  <c r="Q277" i="38"/>
  <c r="C277" i="38" s="1"/>
  <c r="Q278" i="38"/>
  <c r="C278" i="38" s="1"/>
  <c r="Q279" i="38"/>
  <c r="C279" i="38" s="1"/>
  <c r="Q280" i="38"/>
  <c r="C280" i="38" s="1"/>
  <c r="Q281" i="38"/>
  <c r="C281" i="38" s="1"/>
  <c r="Q282" i="38"/>
  <c r="C282" i="38" s="1"/>
  <c r="Q283" i="38"/>
  <c r="C283" i="38" s="1"/>
  <c r="Q284" i="38"/>
  <c r="C284" i="38" s="1"/>
  <c r="Q285" i="38"/>
  <c r="C285" i="38" s="1"/>
  <c r="Q286" i="38"/>
  <c r="C286" i="38" s="1"/>
  <c r="Q287" i="38"/>
  <c r="C287" i="38" s="1"/>
  <c r="Q288" i="38"/>
  <c r="C288" i="38" s="1"/>
  <c r="Q289" i="38"/>
  <c r="C289" i="38" s="1"/>
  <c r="Q290" i="38"/>
  <c r="C290" i="38" s="1"/>
  <c r="Q291" i="38"/>
  <c r="C291" i="38" s="1"/>
  <c r="Q292" i="38"/>
  <c r="C292" i="38" s="1"/>
  <c r="Q293" i="38"/>
  <c r="C293" i="38" s="1"/>
  <c r="Q294" i="38"/>
  <c r="C294" i="38" s="1"/>
  <c r="Q295" i="38"/>
  <c r="C295" i="38" s="1"/>
  <c r="Q296" i="38"/>
  <c r="C296" i="38" s="1"/>
  <c r="Q297" i="38"/>
  <c r="C297" i="38" s="1"/>
  <c r="Q298" i="38"/>
  <c r="C298" i="38" s="1"/>
  <c r="Q299" i="38"/>
  <c r="C299" i="38" s="1"/>
  <c r="Q300" i="38"/>
  <c r="C300" i="38" s="1"/>
  <c r="Q301" i="38"/>
  <c r="C301" i="38" s="1"/>
  <c r="Q302" i="38"/>
  <c r="C302" i="38" s="1"/>
  <c r="Q303" i="38"/>
  <c r="C303" i="38" s="1"/>
  <c r="Q304" i="38"/>
  <c r="C304" i="38" s="1"/>
  <c r="Q305" i="38"/>
  <c r="C305" i="38" s="1"/>
  <c r="Q321" i="38"/>
  <c r="C321" i="38" s="1"/>
  <c r="Q322" i="38"/>
  <c r="C322" i="38" s="1"/>
  <c r="Q323" i="38"/>
  <c r="C323" i="38" s="1"/>
  <c r="Q324" i="38"/>
  <c r="C324" i="38" s="1"/>
  <c r="Q325" i="38"/>
  <c r="C325" i="38" s="1"/>
  <c r="Q326" i="38"/>
  <c r="C326" i="38" s="1"/>
  <c r="Q327" i="38"/>
  <c r="C327" i="38" s="1"/>
  <c r="Q328" i="38"/>
  <c r="C328" i="38" s="1"/>
  <c r="Q329" i="38"/>
  <c r="C329" i="38" s="1"/>
  <c r="Q330" i="38"/>
  <c r="C330" i="38" s="1"/>
  <c r="Q331" i="38"/>
  <c r="C331" i="38" s="1"/>
  <c r="Q332" i="38"/>
  <c r="C332" i="38" s="1"/>
  <c r="Q333" i="38"/>
  <c r="C333" i="38" s="1"/>
  <c r="Q334" i="38"/>
  <c r="C334" i="38" s="1"/>
  <c r="Q335" i="38"/>
  <c r="C335" i="38" s="1"/>
  <c r="Q336" i="38"/>
  <c r="C336" i="38" s="1"/>
  <c r="Q337" i="38"/>
  <c r="C337" i="38" s="1"/>
  <c r="Q338" i="38"/>
  <c r="C338" i="38" s="1"/>
  <c r="Q339" i="38"/>
  <c r="C339" i="38" s="1"/>
  <c r="Q340" i="38"/>
  <c r="C340" i="38" s="1"/>
  <c r="Q341" i="38"/>
  <c r="C341" i="38" s="1"/>
  <c r="Q342" i="38"/>
  <c r="C342" i="38" s="1"/>
  <c r="Q343" i="38"/>
  <c r="C343" i="38" s="1"/>
  <c r="C344" i="38"/>
  <c r="Q345" i="38"/>
  <c r="C345" i="38" s="1"/>
  <c r="L146" i="38"/>
  <c r="B146" i="38" s="1"/>
  <c r="L147" i="38"/>
  <c r="B147" i="38" s="1"/>
  <c r="L148" i="38"/>
  <c r="B148" i="38" s="1"/>
  <c r="L149" i="38"/>
  <c r="B149" i="38" s="1"/>
  <c r="L150" i="38"/>
  <c r="B150" i="38" s="1"/>
  <c r="L151" i="38"/>
  <c r="B151" i="38" s="1"/>
  <c r="L152" i="38"/>
  <c r="B152" i="38" s="1"/>
  <c r="L153" i="38"/>
  <c r="B153" i="38" s="1"/>
  <c r="L154" i="38"/>
  <c r="B154" i="38" s="1"/>
  <c r="L155" i="38"/>
  <c r="B155" i="38" s="1"/>
  <c r="L156" i="38"/>
  <c r="B156" i="38" s="1"/>
  <c r="L157" i="38"/>
  <c r="B157" i="38" s="1"/>
  <c r="L158" i="38"/>
  <c r="B158" i="38" s="1"/>
  <c r="L159" i="38"/>
  <c r="B159" i="38" s="1"/>
  <c r="L160" i="38"/>
  <c r="B160" i="38" s="1"/>
  <c r="L161" i="38"/>
  <c r="B161" i="38" s="1"/>
  <c r="L162" i="38"/>
  <c r="B162" i="38" s="1"/>
  <c r="L163" i="38"/>
  <c r="B163" i="38" s="1"/>
  <c r="L164" i="38"/>
  <c r="B164" i="38" s="1"/>
  <c r="L165" i="38"/>
  <c r="B165" i="38" s="1"/>
  <c r="L166" i="38"/>
  <c r="B166" i="38" s="1"/>
  <c r="L167" i="38"/>
  <c r="B167" i="38" s="1"/>
  <c r="L168" i="38"/>
  <c r="B168" i="38" s="1"/>
  <c r="L169" i="38"/>
  <c r="B169" i="38" s="1"/>
  <c r="L170" i="38"/>
  <c r="B170" i="38" s="1"/>
  <c r="L171" i="38"/>
  <c r="B171" i="38" s="1"/>
  <c r="L172" i="38"/>
  <c r="B172" i="38" s="1"/>
  <c r="L173" i="38"/>
  <c r="B173" i="38" s="1"/>
  <c r="L174" i="38"/>
  <c r="B174" i="38" s="1"/>
  <c r="L175" i="38"/>
  <c r="B175" i="38" s="1"/>
  <c r="L176" i="38"/>
  <c r="B176" i="38" s="1"/>
  <c r="L177" i="38"/>
  <c r="B177" i="38" s="1"/>
  <c r="L178" i="38"/>
  <c r="B178" i="38" s="1"/>
  <c r="L179" i="38"/>
  <c r="B179" i="38" s="1"/>
  <c r="L180" i="38"/>
  <c r="B180" i="38" s="1"/>
  <c r="L181" i="38"/>
  <c r="B181" i="38" s="1"/>
  <c r="L182" i="38"/>
  <c r="B182" i="38" s="1"/>
  <c r="L183" i="38"/>
  <c r="B183" i="38" s="1"/>
  <c r="L184" i="38"/>
  <c r="B184" i="38" s="1"/>
  <c r="L185" i="38"/>
  <c r="B185" i="38" s="1"/>
  <c r="L186" i="38"/>
  <c r="B186" i="38" s="1"/>
  <c r="L187" i="38"/>
  <c r="B187" i="38" s="1"/>
  <c r="L188" i="38"/>
  <c r="B188" i="38" s="1"/>
  <c r="L189" i="38"/>
  <c r="B189" i="38" s="1"/>
  <c r="L190" i="38"/>
  <c r="B190" i="38" s="1"/>
  <c r="L191" i="38"/>
  <c r="B191" i="38" s="1"/>
  <c r="L192" i="38"/>
  <c r="B192" i="38" s="1"/>
  <c r="L194" i="38"/>
  <c r="B194" i="38" s="1"/>
  <c r="L195" i="38"/>
  <c r="B195" i="38" s="1"/>
  <c r="L196" i="38"/>
  <c r="B196" i="38" s="1"/>
  <c r="L197" i="38"/>
  <c r="B197" i="38" s="1"/>
  <c r="L198" i="38"/>
  <c r="B198" i="38" s="1"/>
  <c r="L199" i="38"/>
  <c r="B199" i="38" s="1"/>
  <c r="L200" i="38"/>
  <c r="B200" i="38" s="1"/>
  <c r="L201" i="38"/>
  <c r="B201" i="38" s="1"/>
  <c r="L202" i="38"/>
  <c r="B202" i="38" s="1"/>
  <c r="L203" i="38"/>
  <c r="B203" i="38" s="1"/>
  <c r="L204" i="38"/>
  <c r="B204" i="38" s="1"/>
  <c r="L205" i="38"/>
  <c r="B205" i="38" s="1"/>
  <c r="L206" i="38"/>
  <c r="B206" i="38" s="1"/>
  <c r="L207" i="38"/>
  <c r="B207" i="38" s="1"/>
  <c r="L208" i="38"/>
  <c r="B208" i="38" s="1"/>
  <c r="L209" i="38"/>
  <c r="B209" i="38" s="1"/>
  <c r="L210" i="38"/>
  <c r="B210" i="38" s="1"/>
  <c r="L211" i="38"/>
  <c r="B211" i="38" s="1"/>
  <c r="L212" i="38"/>
  <c r="B212" i="38" s="1"/>
  <c r="L213" i="38"/>
  <c r="B213" i="38" s="1"/>
  <c r="L214" i="38"/>
  <c r="B214" i="38" s="1"/>
  <c r="L215" i="38"/>
  <c r="B215" i="38" s="1"/>
  <c r="L216" i="38"/>
  <c r="B216" i="38" s="1"/>
  <c r="L217" i="38"/>
  <c r="B217" i="38" s="1"/>
  <c r="L218" i="38"/>
  <c r="B218" i="38" s="1"/>
  <c r="L219" i="38"/>
  <c r="B219" i="38" s="1"/>
  <c r="L220" i="38"/>
  <c r="B220" i="38" s="1"/>
  <c r="L221" i="38"/>
  <c r="B221" i="38" s="1"/>
  <c r="L222" i="38"/>
  <c r="B222" i="38" s="1"/>
  <c r="L223" i="38"/>
  <c r="B223" i="38" s="1"/>
  <c r="L224" i="38"/>
  <c r="B224" i="38" s="1"/>
  <c r="L225" i="38"/>
  <c r="B225" i="38" s="1"/>
  <c r="L226" i="38"/>
  <c r="B226" i="38" s="1"/>
  <c r="L227" i="38"/>
  <c r="B227" i="38" s="1"/>
  <c r="L228" i="38"/>
  <c r="B228" i="38" s="1"/>
  <c r="L229" i="38"/>
  <c r="B229" i="38" s="1"/>
  <c r="L230" i="38"/>
  <c r="B230" i="38" s="1"/>
  <c r="L231" i="38"/>
  <c r="B231" i="38" s="1"/>
  <c r="L232" i="38"/>
  <c r="B232" i="38" s="1"/>
  <c r="L233" i="38"/>
  <c r="B233" i="38" s="1"/>
  <c r="L234" i="38"/>
  <c r="B234" i="38" s="1"/>
  <c r="L235" i="38"/>
  <c r="B235" i="38" s="1"/>
  <c r="L236" i="38"/>
  <c r="B236" i="38" s="1"/>
  <c r="L237" i="38"/>
  <c r="B237" i="38" s="1"/>
  <c r="L238" i="38"/>
  <c r="B238" i="38" s="1"/>
  <c r="L239" i="38"/>
  <c r="B239" i="38" s="1"/>
  <c r="L240" i="38"/>
  <c r="B240" i="38" s="1"/>
  <c r="L241" i="38"/>
  <c r="B241" i="38" s="1"/>
  <c r="L242" i="38"/>
  <c r="B242" i="38" s="1"/>
  <c r="L243" i="38"/>
  <c r="B243" i="38" s="1"/>
  <c r="L244" i="38"/>
  <c r="B244" i="38" s="1"/>
  <c r="L245" i="38"/>
  <c r="B245" i="38" s="1"/>
  <c r="L246" i="38"/>
  <c r="B246" i="38" s="1"/>
  <c r="L247" i="38"/>
  <c r="B247" i="38" s="1"/>
  <c r="L248" i="38"/>
  <c r="B248" i="38" s="1"/>
  <c r="L249" i="38"/>
  <c r="B249" i="38" s="1"/>
  <c r="L250" i="38"/>
  <c r="B250" i="38" s="1"/>
  <c r="L251" i="38"/>
  <c r="B251" i="38" s="1"/>
  <c r="L252" i="38"/>
  <c r="B252" i="38" s="1"/>
  <c r="L253" i="38"/>
  <c r="B253" i="38" s="1"/>
  <c r="L254" i="38"/>
  <c r="B254" i="38" s="1"/>
  <c r="L255" i="38"/>
  <c r="B255" i="38" s="1"/>
  <c r="L256" i="38"/>
  <c r="B256" i="38" s="1"/>
  <c r="L257" i="38"/>
  <c r="B257" i="38" s="1"/>
  <c r="L258" i="38"/>
  <c r="B258" i="38" s="1"/>
  <c r="L259" i="38"/>
  <c r="B259" i="38" s="1"/>
  <c r="L260" i="38"/>
  <c r="B260" i="38" s="1"/>
  <c r="L261" i="38"/>
  <c r="B261" i="38" s="1"/>
  <c r="L262" i="38"/>
  <c r="B262" i="38" s="1"/>
  <c r="L263" i="38"/>
  <c r="B263" i="38" s="1"/>
  <c r="L264" i="38"/>
  <c r="B264" i="38" s="1"/>
  <c r="L265" i="38"/>
  <c r="B265" i="38" s="1"/>
  <c r="L266" i="38"/>
  <c r="B266" i="38" s="1"/>
  <c r="L267" i="38"/>
  <c r="B267" i="38" s="1"/>
  <c r="L268" i="38"/>
  <c r="B268" i="38" s="1"/>
  <c r="L269" i="38"/>
  <c r="B269" i="38" s="1"/>
  <c r="L270" i="38"/>
  <c r="B270" i="38" s="1"/>
  <c r="L271" i="38"/>
  <c r="B271" i="38" s="1"/>
  <c r="L272" i="38"/>
  <c r="B272" i="38" s="1"/>
  <c r="L273" i="38"/>
  <c r="B273" i="38" s="1"/>
  <c r="L274" i="38"/>
  <c r="B274" i="38" s="1"/>
  <c r="L275" i="38"/>
  <c r="B275" i="38" s="1"/>
  <c r="L276" i="38"/>
  <c r="B276" i="38" s="1"/>
  <c r="L277" i="38"/>
  <c r="B277" i="38" s="1"/>
  <c r="L278" i="38"/>
  <c r="B278" i="38" s="1"/>
  <c r="L279" i="38"/>
  <c r="B279" i="38" s="1"/>
  <c r="L280" i="38"/>
  <c r="B280" i="38" s="1"/>
  <c r="L281" i="38"/>
  <c r="B281" i="38" s="1"/>
  <c r="L282" i="38"/>
  <c r="B282" i="38" s="1"/>
  <c r="L283" i="38"/>
  <c r="B283" i="38" s="1"/>
  <c r="L284" i="38"/>
  <c r="B284" i="38" s="1"/>
  <c r="L285" i="38"/>
  <c r="B285" i="38" s="1"/>
  <c r="L286" i="38"/>
  <c r="B286" i="38" s="1"/>
  <c r="L287" i="38"/>
  <c r="B287" i="38" s="1"/>
  <c r="L288" i="38"/>
  <c r="B288" i="38" s="1"/>
  <c r="L289" i="38"/>
  <c r="B289" i="38" s="1"/>
  <c r="L290" i="38"/>
  <c r="B290" i="38" s="1"/>
  <c r="L291" i="38"/>
  <c r="B291" i="38" s="1"/>
  <c r="L292" i="38"/>
  <c r="B292" i="38" s="1"/>
  <c r="L293" i="38"/>
  <c r="B293" i="38" s="1"/>
  <c r="L294" i="38"/>
  <c r="B294" i="38" s="1"/>
  <c r="L295" i="38"/>
  <c r="B295" i="38" s="1"/>
  <c r="L296" i="38"/>
  <c r="B296" i="38" s="1"/>
  <c r="L297" i="38"/>
  <c r="B297" i="38" s="1"/>
  <c r="L298" i="38"/>
  <c r="B298" i="38" s="1"/>
  <c r="L299" i="38"/>
  <c r="B299" i="38" s="1"/>
  <c r="L300" i="38"/>
  <c r="B300" i="38" s="1"/>
  <c r="L301" i="38"/>
  <c r="B301" i="38" s="1"/>
  <c r="L302" i="38"/>
  <c r="B302" i="38" s="1"/>
  <c r="L303" i="38"/>
  <c r="B303" i="38" s="1"/>
  <c r="L304" i="38"/>
  <c r="B304" i="38" s="1"/>
  <c r="L305" i="38"/>
  <c r="B305" i="38" s="1"/>
  <c r="L306" i="38"/>
  <c r="B306" i="38" s="1"/>
  <c r="L320" i="38"/>
  <c r="B320" i="38" s="1"/>
  <c r="L321" i="38"/>
  <c r="B321" i="38" s="1"/>
  <c r="L322" i="38"/>
  <c r="B322" i="38" s="1"/>
  <c r="L323" i="38"/>
  <c r="B323" i="38" s="1"/>
  <c r="L324" i="38"/>
  <c r="B324" i="38" s="1"/>
  <c r="L325" i="38"/>
  <c r="B325" i="38" s="1"/>
  <c r="L326" i="38"/>
  <c r="B326" i="38" s="1"/>
  <c r="L327" i="38"/>
  <c r="B327" i="38" s="1"/>
  <c r="L328" i="38"/>
  <c r="B328" i="38" s="1"/>
  <c r="L329" i="38"/>
  <c r="B329" i="38" s="1"/>
  <c r="L330" i="38"/>
  <c r="B330" i="38" s="1"/>
  <c r="L331" i="38"/>
  <c r="B331" i="38" s="1"/>
  <c r="L332" i="38"/>
  <c r="B332" i="38" s="1"/>
  <c r="L333" i="38"/>
  <c r="B333" i="38" s="1"/>
  <c r="L334" i="38"/>
  <c r="B334" i="38" s="1"/>
  <c r="L335" i="38"/>
  <c r="B335" i="38" s="1"/>
  <c r="L336" i="38"/>
  <c r="B336" i="38" s="1"/>
  <c r="L337" i="38"/>
  <c r="B337" i="38" s="1"/>
  <c r="L338" i="38"/>
  <c r="B338" i="38" s="1"/>
  <c r="L339" i="38"/>
  <c r="B339" i="38" s="1"/>
  <c r="L340" i="38"/>
  <c r="B340" i="38" s="1"/>
  <c r="L341" i="38"/>
  <c r="B341" i="38" s="1"/>
  <c r="L342" i="38"/>
  <c r="B342" i="38" s="1"/>
  <c r="L343" i="38"/>
  <c r="B343" i="38" s="1"/>
  <c r="L344" i="38"/>
  <c r="B344" i="38" s="1"/>
  <c r="L345" i="38"/>
  <c r="B345" i="38" s="1"/>
  <c r="D120" i="116"/>
  <c r="L330" i="108"/>
  <c r="D329" i="89"/>
  <c r="AF265" i="68"/>
  <c r="M75" i="114"/>
  <c r="V304" i="4"/>
  <c r="O304" i="4"/>
  <c r="K304" i="4"/>
  <c r="H304" i="4"/>
  <c r="M119" i="49"/>
  <c r="L119" i="49" s="1"/>
  <c r="J119" i="49"/>
  <c r="I119" i="49" s="1"/>
  <c r="E119" i="49"/>
  <c r="C119" i="49"/>
  <c r="B119" i="49" s="1"/>
  <c r="L328" i="108"/>
  <c r="L327" i="108"/>
  <c r="M74" i="114"/>
  <c r="J201" i="106"/>
  <c r="L326" i="108"/>
  <c r="B313" i="89"/>
  <c r="B62" i="114"/>
  <c r="L325" i="108"/>
  <c r="B117" i="49"/>
  <c r="B324" i="89"/>
  <c r="D323" i="89"/>
  <c r="B322" i="89"/>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43" i="114"/>
  <c r="D44" i="114"/>
  <c r="D45" i="114"/>
  <c r="D46" i="114"/>
  <c r="D47" i="114"/>
  <c r="D48" i="114"/>
  <c r="D49" i="114"/>
  <c r="D50" i="114"/>
  <c r="D51" i="114"/>
  <c r="D52" i="114"/>
  <c r="D53" i="114"/>
  <c r="D54" i="114"/>
  <c r="D55" i="114"/>
  <c r="D56" i="114"/>
  <c r="D57" i="114"/>
  <c r="D58" i="114"/>
  <c r="D59" i="114"/>
  <c r="D60" i="114"/>
  <c r="D61" i="114"/>
  <c r="D11" i="114"/>
  <c r="D10" i="114"/>
  <c r="A15" i="114"/>
  <c r="A19" i="114" s="1"/>
  <c r="A23" i="114" s="1"/>
  <c r="A27" i="114" s="1"/>
  <c r="A31" i="114" s="1"/>
  <c r="A35" i="114" s="1"/>
  <c r="A39" i="114" s="1"/>
  <c r="A43" i="114" s="1"/>
  <c r="A47" i="114" s="1"/>
  <c r="A51" i="114" s="1"/>
  <c r="A55" i="114" s="1"/>
  <c r="A59" i="114" s="1"/>
  <c r="A63" i="114" s="1"/>
  <c r="A67" i="114" s="1"/>
  <c r="A71" i="114" s="1"/>
  <c r="A75" i="114" s="1"/>
  <c r="A79" i="114" s="1"/>
  <c r="A83" i="114" s="1"/>
  <c r="A87" i="114" s="1"/>
  <c r="A91" i="114" s="1"/>
  <c r="A95" i="114" s="1"/>
  <c r="A99" i="114" s="1"/>
  <c r="A103" i="114" s="1"/>
  <c r="A107" i="114" s="1"/>
  <c r="A111" i="114" s="1"/>
  <c r="A115" i="114" s="1"/>
  <c r="A119" i="114" s="1"/>
  <c r="A123" i="114" s="1"/>
  <c r="A16" i="114"/>
  <c r="A20" i="114" s="1"/>
  <c r="A24" i="114" s="1"/>
  <c r="A28" i="114" s="1"/>
  <c r="A32" i="114" s="1"/>
  <c r="A36" i="114" s="1"/>
  <c r="A40" i="114" s="1"/>
  <c r="A44" i="114" s="1"/>
  <c r="A48" i="114" s="1"/>
  <c r="A52" i="114" s="1"/>
  <c r="A56" i="114" s="1"/>
  <c r="A60" i="114" s="1"/>
  <c r="A64" i="114" s="1"/>
  <c r="A68" i="114" s="1"/>
  <c r="A72" i="114" s="1"/>
  <c r="A76" i="114" s="1"/>
  <c r="A80" i="114" s="1"/>
  <c r="A84" i="114" s="1"/>
  <c r="A88" i="114" s="1"/>
  <c r="A92" i="114" s="1"/>
  <c r="A96" i="114" s="1"/>
  <c r="A100" i="114" s="1"/>
  <c r="A104" i="114" s="1"/>
  <c r="A108" i="114" s="1"/>
  <c r="A112" i="114" s="1"/>
  <c r="A116" i="114" s="1"/>
  <c r="A120" i="114" s="1"/>
  <c r="A124" i="114" s="1"/>
  <c r="A17" i="114"/>
  <c r="A21" i="114" s="1"/>
  <c r="A25" i="114" s="1"/>
  <c r="A29" i="114" s="1"/>
  <c r="A33" i="114" s="1"/>
  <c r="A37" i="114" s="1"/>
  <c r="A41" i="114" s="1"/>
  <c r="A45" i="114" s="1"/>
  <c r="A49" i="114" s="1"/>
  <c r="A53" i="114" s="1"/>
  <c r="A57" i="114" s="1"/>
  <c r="A61" i="114" s="1"/>
  <c r="A65" i="114" s="1"/>
  <c r="A69" i="114" s="1"/>
  <c r="A73" i="114" s="1"/>
  <c r="A77" i="114" s="1"/>
  <c r="A81" i="114" s="1"/>
  <c r="A85" i="114" s="1"/>
  <c r="A89" i="114" s="1"/>
  <c r="A93" i="114" s="1"/>
  <c r="A97" i="114" s="1"/>
  <c r="A101" i="114" s="1"/>
  <c r="A105" i="114" s="1"/>
  <c r="A109" i="114" s="1"/>
  <c r="A113" i="114" s="1"/>
  <c r="A117" i="114" s="1"/>
  <c r="A121" i="114" s="1"/>
  <c r="A125" i="114" s="1"/>
  <c r="A14" i="114"/>
  <c r="A18" i="114" s="1"/>
  <c r="A22" i="114" s="1"/>
  <c r="A26" i="114" s="1"/>
  <c r="A30" i="114" s="1"/>
  <c r="A34" i="114" s="1"/>
  <c r="A38" i="114" s="1"/>
  <c r="A42" i="114" s="1"/>
  <c r="A46" i="114" s="1"/>
  <c r="A50" i="114" s="1"/>
  <c r="A54" i="114" s="1"/>
  <c r="A58" i="114" s="1"/>
  <c r="A62" i="114" s="1"/>
  <c r="A66" i="114" s="1"/>
  <c r="A70" i="114" s="1"/>
  <c r="A74" i="114" s="1"/>
  <c r="A78" i="114" s="1"/>
  <c r="A82" i="114" s="1"/>
  <c r="A86" i="114" s="1"/>
  <c r="A90" i="114" s="1"/>
  <c r="A94" i="114" s="1"/>
  <c r="A98" i="114" s="1"/>
  <c r="A102" i="114" s="1"/>
  <c r="A106" i="114" s="1"/>
  <c r="A110" i="114" s="1"/>
  <c r="A114" i="114" s="1"/>
  <c r="A118" i="114" s="1"/>
  <c r="A122" i="114" s="1"/>
  <c r="M70" i="114"/>
  <c r="M69" i="114"/>
  <c r="M68" i="114"/>
  <c r="M67" i="114"/>
  <c r="M66" i="114"/>
  <c r="J146" i="106"/>
  <c r="S146" i="106"/>
  <c r="D91" i="1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11" i="4"/>
  <c r="V10"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7" i="4"/>
  <c r="O298" i="4"/>
  <c r="O299" i="4"/>
  <c r="O300" i="4"/>
  <c r="O301" i="4"/>
  <c r="O302" i="4"/>
  <c r="O303"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20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11" i="4"/>
  <c r="O10" i="4"/>
  <c r="L321" i="108"/>
  <c r="Q14" i="38"/>
  <c r="C14" i="38" s="1"/>
  <c r="C305" i="108"/>
  <c r="L296" i="4"/>
  <c r="O296" i="4" s="1"/>
  <c r="B296" i="4"/>
  <c r="Z307" i="68"/>
  <c r="H307" i="17"/>
  <c r="G80" i="53"/>
  <c r="K306" i="108"/>
  <c r="J306" i="108"/>
  <c r="I306" i="108"/>
  <c r="H306" i="108"/>
  <c r="G306" i="108"/>
  <c r="F306" i="108"/>
  <c r="E306" i="108"/>
  <c r="D306" i="108"/>
  <c r="C306" i="108"/>
  <c r="B116" i="49"/>
  <c r="B118" i="49"/>
  <c r="B120" i="49"/>
  <c r="B121" i="49"/>
  <c r="B122" i="49"/>
  <c r="B123" i="49"/>
  <c r="B124" i="49"/>
  <c r="B125" i="49"/>
  <c r="B126" i="49"/>
  <c r="B127" i="49"/>
  <c r="B128" i="49"/>
  <c r="B129" i="49"/>
  <c r="E116" i="49"/>
  <c r="E117" i="49"/>
  <c r="E118" i="49"/>
  <c r="E120" i="49"/>
  <c r="E121" i="49"/>
  <c r="E122" i="49"/>
  <c r="E123" i="49"/>
  <c r="E124" i="49"/>
  <c r="E125" i="49"/>
  <c r="E126" i="49"/>
  <c r="E127" i="49"/>
  <c r="E128" i="49"/>
  <c r="E129" i="49"/>
  <c r="I116" i="49"/>
  <c r="I117" i="49"/>
  <c r="I118" i="49"/>
  <c r="I120" i="49"/>
  <c r="I121" i="49"/>
  <c r="I122" i="49"/>
  <c r="I123" i="49"/>
  <c r="I124" i="49"/>
  <c r="I125" i="49"/>
  <c r="I126" i="49"/>
  <c r="I127" i="49"/>
  <c r="I128" i="49"/>
  <c r="I129" i="49"/>
  <c r="L116" i="49"/>
  <c r="L117" i="49"/>
  <c r="L118" i="49"/>
  <c r="L120" i="49"/>
  <c r="L121" i="49"/>
  <c r="L122" i="49"/>
  <c r="L123" i="49"/>
  <c r="L124" i="49"/>
  <c r="L125" i="49"/>
  <c r="L126" i="49"/>
  <c r="L127" i="49"/>
  <c r="L128" i="49"/>
  <c r="L129" i="49"/>
  <c r="Z304" i="68"/>
  <c r="K302" i="108"/>
  <c r="J302" i="108"/>
  <c r="I302" i="108"/>
  <c r="H302" i="108"/>
  <c r="G302" i="108"/>
  <c r="F302" i="108"/>
  <c r="E302" i="108"/>
  <c r="D302" i="108"/>
  <c r="C302" i="108"/>
  <c r="K303" i="108"/>
  <c r="J303" i="108"/>
  <c r="I303" i="108"/>
  <c r="H303" i="108"/>
  <c r="G303" i="108"/>
  <c r="F303" i="108"/>
  <c r="E303" i="108"/>
  <c r="D303" i="108"/>
  <c r="C303" i="108"/>
  <c r="K304" i="108"/>
  <c r="J304" i="108"/>
  <c r="I304" i="108"/>
  <c r="H304" i="108"/>
  <c r="G304" i="108"/>
  <c r="F304" i="108"/>
  <c r="E304" i="108"/>
  <c r="D304" i="108"/>
  <c r="C304" i="108"/>
  <c r="K305" i="108"/>
  <c r="J305" i="108"/>
  <c r="I305" i="108"/>
  <c r="H305" i="108"/>
  <c r="G305" i="108"/>
  <c r="F305" i="108"/>
  <c r="E305" i="108"/>
  <c r="D305" i="108"/>
  <c r="B115" i="49"/>
  <c r="E115" i="49"/>
  <c r="I115" i="49"/>
  <c r="L115" i="49"/>
  <c r="AF303" i="68"/>
  <c r="Z303" i="68"/>
  <c r="C301" i="108"/>
  <c r="G77" i="53"/>
  <c r="A16" i="112"/>
  <c r="G73" i="53"/>
  <c r="G74" i="53"/>
  <c r="C518" i="111"/>
  <c r="C519" i="111" s="1"/>
  <c r="C520" i="111" s="1"/>
  <c r="C521" i="111" s="1"/>
  <c r="C522" i="111" s="1"/>
  <c r="C523" i="111" s="1"/>
  <c r="C524" i="111" s="1"/>
  <c r="C525" i="111" s="1"/>
  <c r="C526" i="111" s="1"/>
  <c r="C527" i="111" s="1"/>
  <c r="C528" i="111" s="1"/>
  <c r="C529" i="111" s="1"/>
  <c r="C530" i="111" s="1"/>
  <c r="C531" i="111" s="1"/>
  <c r="C532" i="111" s="1"/>
  <c r="C533" i="111" s="1"/>
  <c r="C534" i="111" s="1"/>
  <c r="C535" i="111" s="1"/>
  <c r="C536" i="111" s="1"/>
  <c r="C537" i="111" s="1"/>
  <c r="C538" i="111" s="1"/>
  <c r="C539" i="111" s="1"/>
  <c r="C540" i="111" s="1"/>
  <c r="C541" i="111" s="1"/>
  <c r="C542" i="111" s="1"/>
  <c r="C543" i="111" s="1"/>
  <c r="C544" i="111" s="1"/>
  <c r="C545" i="111" s="1"/>
  <c r="C546" i="111" s="1"/>
  <c r="C547" i="111" s="1"/>
  <c r="C548" i="111" s="1"/>
  <c r="C549" i="111" s="1"/>
  <c r="C550" i="111" s="1"/>
  <c r="C551" i="111" s="1"/>
  <c r="C552" i="111" s="1"/>
  <c r="C553" i="111" s="1"/>
  <c r="C554" i="111" s="1"/>
  <c r="C555" i="111" s="1"/>
  <c r="C556" i="111" s="1"/>
  <c r="C557" i="111" s="1"/>
  <c r="C558" i="111" s="1"/>
  <c r="C559" i="111" s="1"/>
  <c r="C560" i="111" s="1"/>
  <c r="C561" i="111" s="1"/>
  <c r="C562" i="111" s="1"/>
  <c r="C563" i="111" s="1"/>
  <c r="C564" i="111" s="1"/>
  <c r="C565" i="111" s="1"/>
  <c r="C566" i="111" s="1"/>
  <c r="C567" i="111" s="1"/>
  <c r="C568" i="111" s="1"/>
  <c r="C569" i="111" s="1"/>
  <c r="C570" i="111" s="1"/>
  <c r="C571" i="111" s="1"/>
  <c r="C572" i="111" s="1"/>
  <c r="C573" i="111" s="1"/>
  <c r="C574" i="111" s="1"/>
  <c r="C575" i="111" s="1"/>
  <c r="C576" i="111" s="1"/>
  <c r="C577" i="111" s="1"/>
  <c r="C578" i="111" s="1"/>
  <c r="C579" i="111" s="1"/>
  <c r="C580" i="111" s="1"/>
  <c r="C581" i="111" s="1"/>
  <c r="C582" i="111" s="1"/>
  <c r="C583" i="111" s="1"/>
  <c r="C584" i="111" s="1"/>
  <c r="C585" i="111" s="1"/>
  <c r="C586" i="111" s="1"/>
  <c r="C310" i="111"/>
  <c r="C311" i="111"/>
  <c r="C312" i="111"/>
  <c r="C313" i="111"/>
  <c r="C314" i="111"/>
  <c r="C315" i="111"/>
  <c r="C316" i="111"/>
  <c r="C317" i="111"/>
  <c r="C318" i="111"/>
  <c r="C319" i="111"/>
  <c r="C320" i="111"/>
  <c r="C321" i="111"/>
  <c r="C322" i="111"/>
  <c r="C323" i="111"/>
  <c r="C324" i="111"/>
  <c r="C325" i="111"/>
  <c r="C326" i="111"/>
  <c r="C327" i="111"/>
  <c r="C328" i="111"/>
  <c r="C329" i="111"/>
  <c r="C330" i="111"/>
  <c r="C331" i="111"/>
  <c r="C332" i="111"/>
  <c r="C333" i="111"/>
  <c r="C334" i="111"/>
  <c r="C335" i="111"/>
  <c r="C336" i="111"/>
  <c r="C337" i="111"/>
  <c r="C338" i="111"/>
  <c r="C339" i="111"/>
  <c r="C340" i="111"/>
  <c r="C341" i="111"/>
  <c r="C342" i="111"/>
  <c r="C343" i="111"/>
  <c r="C344" i="111"/>
  <c r="C345" i="111"/>
  <c r="C346" i="111"/>
  <c r="C347" i="111"/>
  <c r="C348" i="111"/>
  <c r="C349" i="111"/>
  <c r="C350" i="111"/>
  <c r="C351" i="111"/>
  <c r="C352" i="111"/>
  <c r="C353" i="111"/>
  <c r="C354" i="111"/>
  <c r="C355" i="111"/>
  <c r="C356" i="111"/>
  <c r="C357" i="111"/>
  <c r="C358" i="111"/>
  <c r="C360" i="111"/>
  <c r="C361" i="111"/>
  <c r="C362" i="111"/>
  <c r="C363" i="111"/>
  <c r="C364" i="111"/>
  <c r="C365" i="111"/>
  <c r="C366" i="111"/>
  <c r="C367" i="111"/>
  <c r="C368" i="111"/>
  <c r="C369" i="111"/>
  <c r="C370" i="111"/>
  <c r="C371" i="111"/>
  <c r="C372" i="111"/>
  <c r="C373" i="111"/>
  <c r="C374" i="111"/>
  <c r="C375" i="111"/>
  <c r="C376" i="111"/>
  <c r="C377" i="111"/>
  <c r="C378" i="111"/>
  <c r="C379" i="111"/>
  <c r="C380" i="111"/>
  <c r="C381" i="111"/>
  <c r="C382" i="111"/>
  <c r="C383" i="111"/>
  <c r="C384" i="111"/>
  <c r="C385" i="111"/>
  <c r="C386" i="111"/>
  <c r="C387" i="111"/>
  <c r="C388" i="111"/>
  <c r="C389" i="111"/>
  <c r="C390" i="111"/>
  <c r="C391" i="111"/>
  <c r="C392" i="111"/>
  <c r="C393" i="111"/>
  <c r="C394" i="111"/>
  <c r="C395" i="111"/>
  <c r="C396" i="111"/>
  <c r="C397" i="111"/>
  <c r="C398" i="111"/>
  <c r="C399" i="111"/>
  <c r="C400" i="111"/>
  <c r="C401" i="111"/>
  <c r="C402" i="111"/>
  <c r="C403" i="111"/>
  <c r="C404" i="111"/>
  <c r="C405" i="111"/>
  <c r="C406" i="111"/>
  <c r="C407" i="111"/>
  <c r="C408" i="111"/>
  <c r="C409" i="111"/>
  <c r="C410" i="111"/>
  <c r="C411" i="111"/>
  <c r="C412" i="111"/>
  <c r="C413" i="111"/>
  <c r="C414" i="111"/>
  <c r="C415" i="111"/>
  <c r="C416" i="111"/>
  <c r="C417" i="111"/>
  <c r="C418" i="111"/>
  <c r="C419" i="111"/>
  <c r="C420" i="111"/>
  <c r="C421" i="111"/>
  <c r="C422" i="111"/>
  <c r="C423" i="111"/>
  <c r="C424" i="111"/>
  <c r="C425" i="111"/>
  <c r="C426" i="111"/>
  <c r="C427" i="111"/>
  <c r="C428" i="111"/>
  <c r="C429" i="111"/>
  <c r="C430" i="111"/>
  <c r="C431" i="111"/>
  <c r="C432" i="111"/>
  <c r="C433" i="111"/>
  <c r="C434" i="111"/>
  <c r="C435" i="111"/>
  <c r="C436" i="111"/>
  <c r="C437" i="111"/>
  <c r="C438" i="111"/>
  <c r="C439" i="111"/>
  <c r="C440" i="111"/>
  <c r="C441" i="111"/>
  <c r="C442" i="111"/>
  <c r="C443" i="111"/>
  <c r="C444" i="111"/>
  <c r="C445" i="111"/>
  <c r="C446" i="111"/>
  <c r="C447" i="111"/>
  <c r="C448" i="111"/>
  <c r="C449" i="111"/>
  <c r="C450" i="111"/>
  <c r="C451" i="111"/>
  <c r="C452" i="111"/>
  <c r="C453" i="111"/>
  <c r="C454" i="111"/>
  <c r="C455" i="111"/>
  <c r="C456" i="111"/>
  <c r="C457" i="111"/>
  <c r="C458" i="111"/>
  <c r="C459" i="111"/>
  <c r="C460" i="111"/>
  <c r="C461" i="111"/>
  <c r="C462" i="111"/>
  <c r="C463" i="111" s="1"/>
  <c r="C464" i="111" s="1"/>
  <c r="C465" i="111" s="1"/>
  <c r="C466" i="111" s="1"/>
  <c r="C467" i="111" s="1"/>
  <c r="C468" i="111" s="1"/>
  <c r="C469" i="111" s="1"/>
  <c r="C470" i="111" s="1"/>
  <c r="C471" i="111" s="1"/>
  <c r="C472" i="111" s="1"/>
  <c r="C473" i="111" s="1"/>
  <c r="C474" i="111" s="1"/>
  <c r="C475" i="111" s="1"/>
  <c r="C476" i="111" s="1"/>
  <c r="C477" i="111" s="1"/>
  <c r="C478" i="111" s="1"/>
  <c r="C479" i="111" s="1"/>
  <c r="C480" i="111" s="1"/>
  <c r="C481" i="111" s="1"/>
  <c r="C482" i="111" s="1"/>
  <c r="C483" i="111" s="1"/>
  <c r="C484" i="111" s="1"/>
  <c r="C485" i="111" s="1"/>
  <c r="C486" i="111" s="1"/>
  <c r="C487" i="111" s="1"/>
  <c r="C488" i="111" s="1"/>
  <c r="C489" i="111" s="1"/>
  <c r="C490" i="111" s="1"/>
  <c r="C491" i="111" s="1"/>
  <c r="C492" i="111" s="1"/>
  <c r="C493" i="111" s="1"/>
  <c r="C494" i="111" s="1"/>
  <c r="C495" i="111" s="1"/>
  <c r="C496" i="111" s="1"/>
  <c r="C497" i="111" s="1"/>
  <c r="C498" i="111" s="1"/>
  <c r="C499" i="111" s="1"/>
  <c r="C500" i="111" s="1"/>
  <c r="C501" i="111" s="1"/>
  <c r="C502" i="111" s="1"/>
  <c r="C503" i="111" s="1"/>
  <c r="C504" i="111" s="1"/>
  <c r="C505" i="111" s="1"/>
  <c r="C506" i="111" s="1"/>
  <c r="C507" i="111" s="1"/>
  <c r="C508" i="111" s="1"/>
  <c r="C509" i="111" s="1"/>
  <c r="C510" i="111" s="1"/>
  <c r="C511" i="111" s="1"/>
  <c r="C512" i="111" s="1"/>
  <c r="C12" i="111"/>
  <c r="C13" i="111"/>
  <c r="C14" i="111"/>
  <c r="C15" i="111"/>
  <c r="C16" i="111"/>
  <c r="C17" i="111"/>
  <c r="C18" i="111"/>
  <c r="C19" i="111"/>
  <c r="C20" i="111"/>
  <c r="C21" i="111"/>
  <c r="C22" i="111"/>
  <c r="C23" i="111"/>
  <c r="C24" i="111"/>
  <c r="C25" i="111"/>
  <c r="C26" i="111"/>
  <c r="C27" i="111"/>
  <c r="C28" i="111"/>
  <c r="C29" i="111"/>
  <c r="C30" i="111"/>
  <c r="C31" i="111"/>
  <c r="C32" i="111"/>
  <c r="C33" i="111"/>
  <c r="C34" i="111"/>
  <c r="C35" i="111"/>
  <c r="C36" i="111"/>
  <c r="C37" i="111"/>
  <c r="C38" i="111"/>
  <c r="C39" i="111"/>
  <c r="C40" i="111"/>
  <c r="C41" i="111"/>
  <c r="C42" i="111"/>
  <c r="C43" i="111"/>
  <c r="C44" i="111"/>
  <c r="C45" i="111"/>
  <c r="C46" i="111"/>
  <c r="C47" i="111"/>
  <c r="C48" i="111"/>
  <c r="C49" i="111"/>
  <c r="C50" i="111"/>
  <c r="C51" i="111"/>
  <c r="C52" i="111"/>
  <c r="C53" i="111"/>
  <c r="C54" i="111"/>
  <c r="C55" i="111"/>
  <c r="C56" i="111"/>
  <c r="C57" i="111"/>
  <c r="C58" i="111"/>
  <c r="C59" i="111"/>
  <c r="C60" i="111"/>
  <c r="C61" i="111"/>
  <c r="C62" i="111"/>
  <c r="C63" i="111"/>
  <c r="C64" i="111"/>
  <c r="C65" i="111"/>
  <c r="C66" i="111"/>
  <c r="C67" i="111"/>
  <c r="C68" i="111"/>
  <c r="C69" i="111"/>
  <c r="C70" i="111"/>
  <c r="C71" i="111"/>
  <c r="C72" i="111"/>
  <c r="C73" i="111"/>
  <c r="C74" i="111"/>
  <c r="C75" i="111"/>
  <c r="C76" i="111"/>
  <c r="C77" i="111"/>
  <c r="C78" i="111"/>
  <c r="C79" i="111"/>
  <c r="C80" i="111"/>
  <c r="C81" i="111"/>
  <c r="C82" i="111"/>
  <c r="C83" i="111"/>
  <c r="C84" i="111"/>
  <c r="C85" i="111"/>
  <c r="C86" i="111"/>
  <c r="C87" i="111"/>
  <c r="C88" i="111"/>
  <c r="C89" i="111"/>
  <c r="C90" i="111"/>
  <c r="C91" i="111"/>
  <c r="C92" i="111"/>
  <c r="C93" i="111"/>
  <c r="C94" i="111"/>
  <c r="C95" i="111"/>
  <c r="C96" i="111"/>
  <c r="C97" i="111"/>
  <c r="C98" i="111"/>
  <c r="C99" i="111"/>
  <c r="C100" i="111"/>
  <c r="C101" i="111"/>
  <c r="C102" i="111"/>
  <c r="C103" i="111"/>
  <c r="C104" i="111"/>
  <c r="C105" i="111"/>
  <c r="C106" i="111"/>
  <c r="C107" i="111"/>
  <c r="C108" i="111"/>
  <c r="C109" i="111"/>
  <c r="C110" i="111"/>
  <c r="C111" i="111"/>
  <c r="C112" i="111"/>
  <c r="C113" i="111"/>
  <c r="C114" i="111"/>
  <c r="C115" i="111"/>
  <c r="C116" i="111"/>
  <c r="C117" i="111"/>
  <c r="C118" i="111"/>
  <c r="C119" i="111"/>
  <c r="C120" i="111"/>
  <c r="C121" i="111"/>
  <c r="C122" i="111"/>
  <c r="C123" i="111"/>
  <c r="C124" i="111"/>
  <c r="C125" i="111"/>
  <c r="C126" i="111"/>
  <c r="C127" i="111"/>
  <c r="C128" i="111"/>
  <c r="C129" i="111"/>
  <c r="C130" i="111"/>
  <c r="C131" i="111"/>
  <c r="C132" i="111"/>
  <c r="C133" i="111"/>
  <c r="C134" i="111"/>
  <c r="C135" i="111"/>
  <c r="C136" i="111"/>
  <c r="C137" i="111"/>
  <c r="C138" i="111"/>
  <c r="C139" i="111"/>
  <c r="C140" i="111"/>
  <c r="C141" i="111"/>
  <c r="C142" i="111"/>
  <c r="C143" i="111"/>
  <c r="C144" i="111"/>
  <c r="C145" i="111"/>
  <c r="C146" i="111"/>
  <c r="C147" i="111"/>
  <c r="C148" i="111"/>
  <c r="C149" i="111"/>
  <c r="C150" i="111"/>
  <c r="C151" i="111"/>
  <c r="C152" i="111"/>
  <c r="C153" i="111"/>
  <c r="C154" i="111"/>
  <c r="C155" i="111"/>
  <c r="C156" i="111"/>
  <c r="C157" i="111"/>
  <c r="C158" i="111"/>
  <c r="C159" i="111"/>
  <c r="C160" i="111"/>
  <c r="C161" i="111"/>
  <c r="C162" i="111"/>
  <c r="C163" i="111"/>
  <c r="C164" i="111"/>
  <c r="C165" i="111"/>
  <c r="C166" i="111"/>
  <c r="C167" i="111"/>
  <c r="C168" i="111"/>
  <c r="C169" i="111"/>
  <c r="C170" i="111"/>
  <c r="C171" i="111"/>
  <c r="C172" i="111"/>
  <c r="C173" i="111"/>
  <c r="C174" i="111"/>
  <c r="C175" i="111"/>
  <c r="C176" i="111"/>
  <c r="C177" i="111"/>
  <c r="C178" i="111"/>
  <c r="C179" i="111"/>
  <c r="C180" i="111"/>
  <c r="C181" i="111"/>
  <c r="C182" i="111"/>
  <c r="C183" i="111"/>
  <c r="C184" i="111"/>
  <c r="C185" i="111"/>
  <c r="C186" i="111"/>
  <c r="C187" i="111"/>
  <c r="C188" i="111"/>
  <c r="C189" i="111"/>
  <c r="C190" i="111"/>
  <c r="C191" i="111"/>
  <c r="C192" i="111"/>
  <c r="C193" i="111"/>
  <c r="C194" i="111"/>
  <c r="C195" i="111"/>
  <c r="C196" i="111"/>
  <c r="C197" i="111"/>
  <c r="C198" i="111"/>
  <c r="C199" i="111"/>
  <c r="C200" i="111"/>
  <c r="C201" i="111"/>
  <c r="C202" i="111"/>
  <c r="C203" i="111"/>
  <c r="C204" i="111"/>
  <c r="C205" i="111"/>
  <c r="C206" i="111"/>
  <c r="C207" i="111"/>
  <c r="C208" i="111"/>
  <c r="C209" i="111"/>
  <c r="C210" i="111"/>
  <c r="C211" i="111"/>
  <c r="C212" i="111"/>
  <c r="C213" i="111"/>
  <c r="C214" i="111"/>
  <c r="C215" i="111"/>
  <c r="C216" i="111"/>
  <c r="C217" i="111"/>
  <c r="C218" i="111"/>
  <c r="C219" i="111"/>
  <c r="C220" i="111"/>
  <c r="C221" i="111"/>
  <c r="C222" i="111"/>
  <c r="C223" i="111"/>
  <c r="C224" i="111"/>
  <c r="C225" i="111"/>
  <c r="C226" i="111"/>
  <c r="C227" i="111"/>
  <c r="C228" i="111"/>
  <c r="C229" i="111"/>
  <c r="C230" i="111"/>
  <c r="C231" i="111"/>
  <c r="C232" i="111"/>
  <c r="C233" i="111"/>
  <c r="C234" i="111"/>
  <c r="C235" i="111"/>
  <c r="C236" i="111"/>
  <c r="C237" i="111"/>
  <c r="C238" i="111"/>
  <c r="C239" i="111"/>
  <c r="C240" i="111"/>
  <c r="C241" i="111"/>
  <c r="C242" i="111"/>
  <c r="C243" i="111"/>
  <c r="C244" i="111"/>
  <c r="C245" i="111"/>
  <c r="C246" i="111"/>
  <c r="C247" i="111"/>
  <c r="C248" i="111"/>
  <c r="C249" i="111"/>
  <c r="C250" i="111"/>
  <c r="C251" i="111"/>
  <c r="C252" i="111"/>
  <c r="C253" i="111"/>
  <c r="C254" i="111"/>
  <c r="C255" i="111"/>
  <c r="C256" i="111"/>
  <c r="C257" i="111"/>
  <c r="C258" i="111"/>
  <c r="C259" i="111"/>
  <c r="C260" i="111"/>
  <c r="C261" i="111"/>
  <c r="C262" i="111"/>
  <c r="C263" i="111"/>
  <c r="C264" i="111"/>
  <c r="C265" i="111"/>
  <c r="C266" i="111"/>
  <c r="C267" i="111"/>
  <c r="C268" i="111"/>
  <c r="C269" i="111"/>
  <c r="C270" i="111"/>
  <c r="C271" i="111"/>
  <c r="C272" i="111"/>
  <c r="C273" i="111"/>
  <c r="C274" i="111"/>
  <c r="C275" i="111"/>
  <c r="C276" i="111"/>
  <c r="C277" i="111"/>
  <c r="C278" i="111"/>
  <c r="C279" i="111"/>
  <c r="C280" i="111"/>
  <c r="C281" i="111"/>
  <c r="C282" i="111"/>
  <c r="C283" i="111"/>
  <c r="C284" i="111"/>
  <c r="C285" i="111"/>
  <c r="C286" i="111"/>
  <c r="C287" i="111"/>
  <c r="C288" i="111"/>
  <c r="C289" i="111"/>
  <c r="C290" i="111"/>
  <c r="C291" i="111"/>
  <c r="C292" i="111"/>
  <c r="C293" i="111"/>
  <c r="C294" i="111"/>
  <c r="C295" i="111"/>
  <c r="C296" i="111"/>
  <c r="C297" i="111"/>
  <c r="C298" i="111"/>
  <c r="C299" i="111"/>
  <c r="C300" i="111"/>
  <c r="C301" i="111"/>
  <c r="C302" i="111"/>
  <c r="C303" i="111"/>
  <c r="C304" i="111"/>
  <c r="C305" i="111"/>
  <c r="C306" i="111"/>
  <c r="C307" i="111"/>
  <c r="C308" i="111"/>
  <c r="C309" i="111"/>
  <c r="C11" i="111"/>
  <c r="C10" i="111"/>
  <c r="A489" i="111"/>
  <c r="A501" i="111" s="1"/>
  <c r="A513" i="111" s="1"/>
  <c r="A525" i="111" s="1"/>
  <c r="A537" i="111" s="1"/>
  <c r="A549" i="111" s="1"/>
  <c r="A561" i="111" s="1"/>
  <c r="A573" i="111" s="1"/>
  <c r="A585" i="111" s="1"/>
  <c r="A597" i="111" s="1"/>
  <c r="A609" i="111" s="1"/>
  <c r="A621" i="111" s="1"/>
  <c r="A633" i="111" s="1"/>
  <c r="A645" i="111" s="1"/>
  <c r="A657" i="111" s="1"/>
  <c r="A669" i="111" s="1"/>
  <c r="A681" i="111" s="1"/>
  <c r="A693" i="111" s="1"/>
  <c r="A488" i="111"/>
  <c r="A500" i="111" s="1"/>
  <c r="A512" i="111" s="1"/>
  <c r="A524" i="111" s="1"/>
  <c r="A536" i="111" s="1"/>
  <c r="A548" i="111" s="1"/>
  <c r="A560" i="111" s="1"/>
  <c r="A572" i="111" s="1"/>
  <c r="A584" i="111" s="1"/>
  <c r="A596" i="111" s="1"/>
  <c r="A608" i="111" s="1"/>
  <c r="A620" i="111" s="1"/>
  <c r="A632" i="111" s="1"/>
  <c r="A644" i="111" s="1"/>
  <c r="A656" i="111" s="1"/>
  <c r="A668" i="111" s="1"/>
  <c r="A680" i="111" s="1"/>
  <c r="A692" i="111" s="1"/>
  <c r="A487" i="111"/>
  <c r="A499" i="111" s="1"/>
  <c r="A511" i="111" s="1"/>
  <c r="A523" i="111" s="1"/>
  <c r="A535" i="111" s="1"/>
  <c r="A547" i="111" s="1"/>
  <c r="A559" i="111" s="1"/>
  <c r="A571" i="111" s="1"/>
  <c r="A583" i="111" s="1"/>
  <c r="A595" i="111" s="1"/>
  <c r="A607" i="111" s="1"/>
  <c r="A619" i="111" s="1"/>
  <c r="A631" i="111" s="1"/>
  <c r="A643" i="111" s="1"/>
  <c r="A655" i="111" s="1"/>
  <c r="A667" i="111" s="1"/>
  <c r="A679" i="111" s="1"/>
  <c r="A691" i="111" s="1"/>
  <c r="A486" i="111"/>
  <c r="A498" i="111" s="1"/>
  <c r="A510" i="111" s="1"/>
  <c r="A522" i="111" s="1"/>
  <c r="A534" i="111" s="1"/>
  <c r="A546" i="111" s="1"/>
  <c r="A558" i="111" s="1"/>
  <c r="A570" i="111" s="1"/>
  <c r="A582" i="111" s="1"/>
  <c r="A594" i="111" s="1"/>
  <c r="A606" i="111" s="1"/>
  <c r="A618" i="111" s="1"/>
  <c r="A630" i="111" s="1"/>
  <c r="A642" i="111" s="1"/>
  <c r="A654" i="111" s="1"/>
  <c r="A666" i="111" s="1"/>
  <c r="A678" i="111" s="1"/>
  <c r="A690" i="111" s="1"/>
  <c r="A485" i="111"/>
  <c r="A497" i="111" s="1"/>
  <c r="A509" i="111" s="1"/>
  <c r="A521" i="111" s="1"/>
  <c r="A533" i="111" s="1"/>
  <c r="A545" i="111" s="1"/>
  <c r="A557" i="111" s="1"/>
  <c r="A569" i="111" s="1"/>
  <c r="A581" i="111" s="1"/>
  <c r="A593" i="111" s="1"/>
  <c r="A605" i="111" s="1"/>
  <c r="A617" i="111" s="1"/>
  <c r="A629" i="111" s="1"/>
  <c r="A641" i="111" s="1"/>
  <c r="A653" i="111" s="1"/>
  <c r="A665" i="111" s="1"/>
  <c r="A677" i="111" s="1"/>
  <c r="A689" i="111" s="1"/>
  <c r="A484" i="111"/>
  <c r="A496" i="111" s="1"/>
  <c r="A508" i="111" s="1"/>
  <c r="A520" i="111" s="1"/>
  <c r="A532" i="111" s="1"/>
  <c r="A544" i="111" s="1"/>
  <c r="A556" i="111" s="1"/>
  <c r="A568" i="111" s="1"/>
  <c r="A580" i="111" s="1"/>
  <c r="A592" i="111" s="1"/>
  <c r="A604" i="111" s="1"/>
  <c r="A616" i="111" s="1"/>
  <c r="A628" i="111" s="1"/>
  <c r="A640" i="111" s="1"/>
  <c r="A652" i="111" s="1"/>
  <c r="A664" i="111" s="1"/>
  <c r="A676" i="111" s="1"/>
  <c r="A688" i="111" s="1"/>
  <c r="A483" i="111"/>
  <c r="A495" i="111" s="1"/>
  <c r="A507" i="111" s="1"/>
  <c r="A519" i="111" s="1"/>
  <c r="A531" i="111" s="1"/>
  <c r="A543" i="111" s="1"/>
  <c r="A555" i="111" s="1"/>
  <c r="A567" i="111" s="1"/>
  <c r="A579" i="111" s="1"/>
  <c r="A591" i="111" s="1"/>
  <c r="A603" i="111" s="1"/>
  <c r="A615" i="111" s="1"/>
  <c r="A627" i="111" s="1"/>
  <c r="A639" i="111" s="1"/>
  <c r="A651" i="111" s="1"/>
  <c r="A663" i="111" s="1"/>
  <c r="A675" i="111" s="1"/>
  <c r="A687" i="111" s="1"/>
  <c r="A482" i="111"/>
  <c r="A494" i="111" s="1"/>
  <c r="A506" i="111" s="1"/>
  <c r="A518" i="111" s="1"/>
  <c r="A530" i="111" s="1"/>
  <c r="A542" i="111" s="1"/>
  <c r="A554" i="111" s="1"/>
  <c r="A566" i="111" s="1"/>
  <c r="A578" i="111" s="1"/>
  <c r="A590" i="111" s="1"/>
  <c r="A602" i="111" s="1"/>
  <c r="A614" i="111" s="1"/>
  <c r="A626" i="111" s="1"/>
  <c r="A638" i="111" s="1"/>
  <c r="A650" i="111" s="1"/>
  <c r="A662" i="111" s="1"/>
  <c r="A674" i="111" s="1"/>
  <c r="A686" i="111" s="1"/>
  <c r="A481" i="111"/>
  <c r="A493" i="111" s="1"/>
  <c r="A505" i="111" s="1"/>
  <c r="A517" i="111" s="1"/>
  <c r="A529" i="111" s="1"/>
  <c r="A541" i="111" s="1"/>
  <c r="A553" i="111" s="1"/>
  <c r="A565" i="111" s="1"/>
  <c r="A577" i="111" s="1"/>
  <c r="A589" i="111" s="1"/>
  <c r="A601" i="111" s="1"/>
  <c r="A613" i="111" s="1"/>
  <c r="A625" i="111" s="1"/>
  <c r="A637" i="111" s="1"/>
  <c r="A649" i="111" s="1"/>
  <c r="A661" i="111" s="1"/>
  <c r="A673" i="111" s="1"/>
  <c r="A685" i="111" s="1"/>
  <c r="A480" i="111"/>
  <c r="A492" i="111" s="1"/>
  <c r="A504" i="111" s="1"/>
  <c r="A516" i="111" s="1"/>
  <c r="A528" i="111" s="1"/>
  <c r="A540" i="111" s="1"/>
  <c r="A552" i="111" s="1"/>
  <c r="A564" i="111" s="1"/>
  <c r="A576" i="111" s="1"/>
  <c r="A588" i="111" s="1"/>
  <c r="A600" i="111" s="1"/>
  <c r="A612" i="111" s="1"/>
  <c r="A624" i="111" s="1"/>
  <c r="A636" i="111" s="1"/>
  <c r="A648" i="111" s="1"/>
  <c r="A660" i="111" s="1"/>
  <c r="A672" i="111" s="1"/>
  <c r="A684" i="111" s="1"/>
  <c r="A479" i="111"/>
  <c r="A491" i="111" s="1"/>
  <c r="A503" i="111" s="1"/>
  <c r="A515" i="111" s="1"/>
  <c r="A527" i="111" s="1"/>
  <c r="A539" i="111" s="1"/>
  <c r="A551" i="111" s="1"/>
  <c r="A563" i="111" s="1"/>
  <c r="A575" i="111" s="1"/>
  <c r="A587" i="111" s="1"/>
  <c r="A599" i="111" s="1"/>
  <c r="A611" i="111" s="1"/>
  <c r="A623" i="111" s="1"/>
  <c r="A635" i="111" s="1"/>
  <c r="A647" i="111" s="1"/>
  <c r="A659" i="111" s="1"/>
  <c r="A671" i="111" s="1"/>
  <c r="A683" i="111" s="1"/>
  <c r="A478" i="111"/>
  <c r="A490" i="111" s="1"/>
  <c r="A502" i="111" s="1"/>
  <c r="A514" i="111" s="1"/>
  <c r="A526" i="111" s="1"/>
  <c r="A538" i="111" s="1"/>
  <c r="A550" i="111" s="1"/>
  <c r="A562" i="111" s="1"/>
  <c r="A574" i="111" s="1"/>
  <c r="A586" i="111" s="1"/>
  <c r="A598" i="111" s="1"/>
  <c r="A610" i="111" s="1"/>
  <c r="A622" i="111" s="1"/>
  <c r="A634" i="111" s="1"/>
  <c r="A646" i="111" s="1"/>
  <c r="A658" i="111" s="1"/>
  <c r="A670" i="111" s="1"/>
  <c r="A682" i="111" s="1"/>
  <c r="Z301" i="68"/>
  <c r="B311" i="89"/>
  <c r="B312" i="89"/>
  <c r="K301" i="108"/>
  <c r="J301" i="108"/>
  <c r="I301" i="108"/>
  <c r="H301" i="108"/>
  <c r="G301" i="108"/>
  <c r="F301" i="108"/>
  <c r="E301" i="108"/>
  <c r="D301" i="108"/>
  <c r="B114" i="49"/>
  <c r="E114" i="49"/>
  <c r="I114" i="49"/>
  <c r="L114" i="49"/>
  <c r="K297" i="108"/>
  <c r="K300" i="108"/>
  <c r="J300" i="108"/>
  <c r="I300" i="108"/>
  <c r="H300" i="108"/>
  <c r="G300" i="108"/>
  <c r="F300" i="108"/>
  <c r="E300" i="108"/>
  <c r="D300" i="108"/>
  <c r="C300" i="108"/>
  <c r="D299" i="108"/>
  <c r="B310" i="89"/>
  <c r="P41" i="95"/>
  <c r="K299" i="108"/>
  <c r="J299" i="108"/>
  <c r="I299" i="108"/>
  <c r="H299" i="108"/>
  <c r="G299" i="108"/>
  <c r="F299" i="108"/>
  <c r="E299" i="108"/>
  <c r="C299" i="108"/>
  <c r="C298" i="108"/>
  <c r="E296" i="108"/>
  <c r="J112" i="49"/>
  <c r="I112" i="49" s="1"/>
  <c r="M112" i="49"/>
  <c r="L112" i="49" s="1"/>
  <c r="J113" i="49"/>
  <c r="I113" i="49" s="1"/>
  <c r="M113" i="49"/>
  <c r="L113" i="49" s="1"/>
  <c r="C112" i="49"/>
  <c r="B112" i="49" s="1"/>
  <c r="F112" i="49"/>
  <c r="E112" i="49" s="1"/>
  <c r="C113" i="49"/>
  <c r="B113" i="49" s="1"/>
  <c r="F113" i="49"/>
  <c r="E113" i="49" s="1"/>
  <c r="K298" i="108"/>
  <c r="J298" i="108"/>
  <c r="I298" i="108"/>
  <c r="H298" i="108"/>
  <c r="G298" i="108"/>
  <c r="F298" i="108"/>
  <c r="E298" i="108"/>
  <c r="D298" i="108"/>
  <c r="J297" i="108"/>
  <c r="I297" i="108"/>
  <c r="H297" i="108"/>
  <c r="G297" i="108"/>
  <c r="F297" i="108"/>
  <c r="E297" i="108"/>
  <c r="D297" i="108"/>
  <c r="C297" i="108"/>
  <c r="K296" i="108"/>
  <c r="J296" i="108"/>
  <c r="I296" i="108"/>
  <c r="H296" i="108"/>
  <c r="G296" i="108"/>
  <c r="F296" i="108"/>
  <c r="D296" i="108"/>
  <c r="L307" i="108"/>
  <c r="C296" i="108"/>
  <c r="P235" i="3"/>
  <c r="Z295" i="68"/>
  <c r="B236" i="3"/>
  <c r="L308" i="108"/>
  <c r="L309" i="108"/>
  <c r="L310" i="108"/>
  <c r="L311" i="108"/>
  <c r="L312" i="108"/>
  <c r="L313" i="108"/>
  <c r="L314" i="108"/>
  <c r="L315" i="108"/>
  <c r="L316" i="108"/>
  <c r="L317" i="108"/>
  <c r="L318" i="108"/>
  <c r="L319" i="108"/>
  <c r="L320" i="108"/>
  <c r="L322" i="108"/>
  <c r="L323" i="108"/>
  <c r="L324" i="108"/>
  <c r="L329" i="108"/>
  <c r="L332" i="108"/>
  <c r="L333" i="108"/>
  <c r="L334" i="108"/>
  <c r="L335" i="108"/>
  <c r="L336" i="108"/>
  <c r="L337" i="108"/>
  <c r="L338" i="108"/>
  <c r="L339" i="108"/>
  <c r="L340" i="108"/>
  <c r="L341" i="108"/>
  <c r="L342" i="108"/>
  <c r="L343" i="108"/>
  <c r="L344" i="108"/>
  <c r="L345" i="108"/>
  <c r="L347" i="108"/>
  <c r="L348" i="108"/>
  <c r="L349" i="108"/>
  <c r="L350" i="108"/>
  <c r="L351" i="108"/>
  <c r="L352" i="108"/>
  <c r="L353" i="108"/>
  <c r="L354" i="108"/>
  <c r="L355" i="108"/>
  <c r="L356" i="108"/>
  <c r="L357" i="108"/>
  <c r="A225" i="108"/>
  <c r="A237" i="108" s="1"/>
  <c r="A249" i="108" s="1"/>
  <c r="A261" i="108" s="1"/>
  <c r="A273" i="108" s="1"/>
  <c r="A285" i="108" s="1"/>
  <c r="A297" i="108" s="1"/>
  <c r="A309" i="108" s="1"/>
  <c r="A321" i="108" s="1"/>
  <c r="A333" i="108" s="1"/>
  <c r="A345" i="108" s="1"/>
  <c r="A357" i="108" s="1"/>
  <c r="A369" i="108" s="1"/>
  <c r="A381" i="108" s="1"/>
  <c r="A393" i="108" s="1"/>
  <c r="A405" i="108" s="1"/>
  <c r="A417" i="108" s="1"/>
  <c r="A429" i="108" s="1"/>
  <c r="A441" i="108" s="1"/>
  <c r="A453" i="108" s="1"/>
  <c r="A465" i="108" s="1"/>
  <c r="A477" i="108" s="1"/>
  <c r="A224" i="108"/>
  <c r="A236" i="108" s="1"/>
  <c r="A248" i="108" s="1"/>
  <c r="A260" i="108" s="1"/>
  <c r="A272" i="108" s="1"/>
  <c r="A284" i="108" s="1"/>
  <c r="A296" i="108" s="1"/>
  <c r="A308" i="108" s="1"/>
  <c r="A320" i="108" s="1"/>
  <c r="A332" i="108" s="1"/>
  <c r="A344" i="108" s="1"/>
  <c r="A356" i="108" s="1"/>
  <c r="A368" i="108" s="1"/>
  <c r="A380" i="108" s="1"/>
  <c r="A223" i="108"/>
  <c r="A235" i="108" s="1"/>
  <c r="A247" i="108" s="1"/>
  <c r="A259" i="108" s="1"/>
  <c r="A271" i="108" s="1"/>
  <c r="A283" i="108" s="1"/>
  <c r="A295" i="108" s="1"/>
  <c r="A307" i="108" s="1"/>
  <c r="A319" i="108" s="1"/>
  <c r="A331" i="108" s="1"/>
  <c r="A343" i="108" s="1"/>
  <c r="A355" i="108" s="1"/>
  <c r="A367" i="108" s="1"/>
  <c r="A379" i="108" s="1"/>
  <c r="A391" i="108" s="1"/>
  <c r="A403" i="108" s="1"/>
  <c r="A415" i="108" s="1"/>
  <c r="A427" i="108" s="1"/>
  <c r="A439" i="108" s="1"/>
  <c r="A451" i="108" s="1"/>
  <c r="A463" i="108" s="1"/>
  <c r="A475" i="108" s="1"/>
  <c r="A222" i="108"/>
  <c r="A234" i="108" s="1"/>
  <c r="A246" i="108" s="1"/>
  <c r="A258" i="108" s="1"/>
  <c r="A270" i="108" s="1"/>
  <c r="A282" i="108" s="1"/>
  <c r="A294" i="108" s="1"/>
  <c r="A306" i="108" s="1"/>
  <c r="A318" i="108" s="1"/>
  <c r="A330" i="108" s="1"/>
  <c r="A342" i="108" s="1"/>
  <c r="A354" i="108" s="1"/>
  <c r="A366" i="108" s="1"/>
  <c r="A378" i="108" s="1"/>
  <c r="A390" i="108" s="1"/>
  <c r="A402" i="108" s="1"/>
  <c r="A414" i="108" s="1"/>
  <c r="A426" i="108" s="1"/>
  <c r="A438" i="108" s="1"/>
  <c r="A450" i="108" s="1"/>
  <c r="A462" i="108" s="1"/>
  <c r="A474" i="108" s="1"/>
  <c r="A221" i="108"/>
  <c r="A233" i="108" s="1"/>
  <c r="A245" i="108" s="1"/>
  <c r="A257" i="108" s="1"/>
  <c r="A269" i="108" s="1"/>
  <c r="A281" i="108" s="1"/>
  <c r="A293" i="108" s="1"/>
  <c r="A305" i="108" s="1"/>
  <c r="A317" i="108" s="1"/>
  <c r="A329" i="108" s="1"/>
  <c r="A341" i="108" s="1"/>
  <c r="A353" i="108" s="1"/>
  <c r="A365" i="108" s="1"/>
  <c r="A377" i="108" s="1"/>
  <c r="A389" i="108" s="1"/>
  <c r="A401" i="108" s="1"/>
  <c r="A413" i="108" s="1"/>
  <c r="A425" i="108" s="1"/>
  <c r="A437" i="108" s="1"/>
  <c r="A449" i="108" s="1"/>
  <c r="A461" i="108" s="1"/>
  <c r="A473" i="108" s="1"/>
  <c r="A220" i="108"/>
  <c r="A232" i="108" s="1"/>
  <c r="A244" i="108" s="1"/>
  <c r="A256" i="108" s="1"/>
  <c r="A268" i="108" s="1"/>
  <c r="A280" i="108" s="1"/>
  <c r="A292" i="108" s="1"/>
  <c r="A304" i="108" s="1"/>
  <c r="A316" i="108" s="1"/>
  <c r="A328" i="108" s="1"/>
  <c r="A340" i="108" s="1"/>
  <c r="A352" i="108" s="1"/>
  <c r="A364" i="108" s="1"/>
  <c r="A376" i="108" s="1"/>
  <c r="A388" i="108" s="1"/>
  <c r="A400" i="108" s="1"/>
  <c r="A412" i="108" s="1"/>
  <c r="A424" i="108" s="1"/>
  <c r="A436" i="108" s="1"/>
  <c r="A448" i="108" s="1"/>
  <c r="A460" i="108" s="1"/>
  <c r="A472" i="108" s="1"/>
  <c r="A219" i="108"/>
  <c r="A231" i="108" s="1"/>
  <c r="A243" i="108" s="1"/>
  <c r="A255" i="108" s="1"/>
  <c r="A267" i="108" s="1"/>
  <c r="A279" i="108" s="1"/>
  <c r="A291" i="108" s="1"/>
  <c r="A303" i="108" s="1"/>
  <c r="A315" i="108" s="1"/>
  <c r="A327" i="108" s="1"/>
  <c r="A339" i="108" s="1"/>
  <c r="A351" i="108" s="1"/>
  <c r="A363" i="108" s="1"/>
  <c r="A375" i="108" s="1"/>
  <c r="A387" i="108" s="1"/>
  <c r="A399" i="108" s="1"/>
  <c r="A411" i="108" s="1"/>
  <c r="A423" i="108" s="1"/>
  <c r="A435" i="108" s="1"/>
  <c r="A447" i="108" s="1"/>
  <c r="A459" i="108" s="1"/>
  <c r="A471" i="108" s="1"/>
  <c r="A218" i="108"/>
  <c r="A230" i="108" s="1"/>
  <c r="A242" i="108" s="1"/>
  <c r="A254" i="108" s="1"/>
  <c r="A266" i="108" s="1"/>
  <c r="A278" i="108" s="1"/>
  <c r="A290" i="108" s="1"/>
  <c r="A302" i="108" s="1"/>
  <c r="A314" i="108" s="1"/>
  <c r="A326" i="108" s="1"/>
  <c r="A338" i="108" s="1"/>
  <c r="A350" i="108" s="1"/>
  <c r="A362" i="108" s="1"/>
  <c r="A374" i="108" s="1"/>
  <c r="A386" i="108" s="1"/>
  <c r="A398" i="108" s="1"/>
  <c r="A410" i="108" s="1"/>
  <c r="A422" i="108" s="1"/>
  <c r="A434" i="108" s="1"/>
  <c r="A446" i="108" s="1"/>
  <c r="A458" i="108" s="1"/>
  <c r="A470" i="108" s="1"/>
  <c r="A217" i="108"/>
  <c r="A229" i="108" s="1"/>
  <c r="A241" i="108" s="1"/>
  <c r="A253" i="108" s="1"/>
  <c r="A265" i="108" s="1"/>
  <c r="A277" i="108" s="1"/>
  <c r="A289" i="108" s="1"/>
  <c r="A301" i="108" s="1"/>
  <c r="A313" i="108" s="1"/>
  <c r="A325" i="108" s="1"/>
  <c r="A337" i="108" s="1"/>
  <c r="A349" i="108" s="1"/>
  <c r="A361" i="108" s="1"/>
  <c r="A373" i="108" s="1"/>
  <c r="A385" i="108" s="1"/>
  <c r="A397" i="108" s="1"/>
  <c r="A409" i="108" s="1"/>
  <c r="A421" i="108" s="1"/>
  <c r="A433" i="108" s="1"/>
  <c r="A445" i="108" s="1"/>
  <c r="A457" i="108" s="1"/>
  <c r="A469" i="108" s="1"/>
  <c r="A216" i="108"/>
  <c r="A228" i="108" s="1"/>
  <c r="A240" i="108" s="1"/>
  <c r="A252" i="108" s="1"/>
  <c r="A264" i="108" s="1"/>
  <c r="A276" i="108" s="1"/>
  <c r="A288" i="108" s="1"/>
  <c r="A300" i="108" s="1"/>
  <c r="A312" i="108" s="1"/>
  <c r="A324" i="108" s="1"/>
  <c r="A336" i="108" s="1"/>
  <c r="A348" i="108" s="1"/>
  <c r="A360" i="108" s="1"/>
  <c r="A372" i="108" s="1"/>
  <c r="A384" i="108" s="1"/>
  <c r="A396" i="108" s="1"/>
  <c r="A408" i="108" s="1"/>
  <c r="A420" i="108" s="1"/>
  <c r="A432" i="108" s="1"/>
  <c r="A444" i="108" s="1"/>
  <c r="A456" i="108" s="1"/>
  <c r="A468" i="108" s="1"/>
  <c r="A215" i="108"/>
  <c r="A227" i="108" s="1"/>
  <c r="A239" i="108" s="1"/>
  <c r="A251" i="108" s="1"/>
  <c r="A263" i="108" s="1"/>
  <c r="A275" i="108" s="1"/>
  <c r="A287" i="108" s="1"/>
  <c r="A299" i="108" s="1"/>
  <c r="A311" i="108" s="1"/>
  <c r="A323" i="108" s="1"/>
  <c r="A335" i="108" s="1"/>
  <c r="A347" i="108" s="1"/>
  <c r="A359" i="108" s="1"/>
  <c r="A371" i="108" s="1"/>
  <c r="A383" i="108" s="1"/>
  <c r="A395" i="108" s="1"/>
  <c r="A407" i="108" s="1"/>
  <c r="A419" i="108" s="1"/>
  <c r="A431" i="108" s="1"/>
  <c r="A443" i="108" s="1"/>
  <c r="A455" i="108" s="1"/>
  <c r="A467" i="108" s="1"/>
  <c r="A214" i="108"/>
  <c r="A226" i="108" s="1"/>
  <c r="A238" i="108" s="1"/>
  <c r="A250" i="108" s="1"/>
  <c r="A262" i="108" s="1"/>
  <c r="A274" i="108" s="1"/>
  <c r="A286" i="108" s="1"/>
  <c r="A298" i="108" s="1"/>
  <c r="A310" i="108" s="1"/>
  <c r="A322" i="108" s="1"/>
  <c r="A334" i="108" s="1"/>
  <c r="A346" i="108" s="1"/>
  <c r="A358" i="108" s="1"/>
  <c r="A370" i="108" s="1"/>
  <c r="A382" i="108" s="1"/>
  <c r="A394" i="108" s="1"/>
  <c r="L9" i="108"/>
  <c r="B235" i="3"/>
  <c r="D235" i="3"/>
  <c r="D236" i="3" s="1"/>
  <c r="Z292" i="68"/>
  <c r="C261" i="59"/>
  <c r="C260" i="59"/>
  <c r="C262" i="59"/>
  <c r="S22" i="95"/>
  <c r="V48" i="95"/>
  <c r="V45" i="95"/>
  <c r="V44" i="95"/>
  <c r="V43" i="95"/>
  <c r="V41" i="95"/>
  <c r="P49" i="95"/>
  <c r="P48" i="95"/>
  <c r="P47" i="95"/>
  <c r="P46" i="95"/>
  <c r="P43" i="95"/>
  <c r="P44" i="95"/>
  <c r="P45" i="95"/>
  <c r="O21" i="95"/>
  <c r="O14" i="95"/>
  <c r="P236" i="3"/>
  <c r="E235" i="3"/>
  <c r="E236" i="3" s="1"/>
  <c r="F235" i="3"/>
  <c r="F236" i="3" s="1"/>
  <c r="G235" i="3"/>
  <c r="G236" i="3" s="1"/>
  <c r="H235" i="3"/>
  <c r="I235" i="3"/>
  <c r="I236" i="3" s="1"/>
  <c r="J235" i="3"/>
  <c r="J236" i="3" s="1"/>
  <c r="K235" i="3"/>
  <c r="K236" i="3" s="1"/>
  <c r="L235" i="3"/>
  <c r="L236" i="3" s="1"/>
  <c r="M235" i="3"/>
  <c r="M236" i="3" s="1"/>
  <c r="N235" i="3"/>
  <c r="N236" i="3" s="1"/>
  <c r="G20" i="53"/>
  <c r="C111" i="49"/>
  <c r="B111" i="49" s="1"/>
  <c r="F111" i="49"/>
  <c r="E111" i="49" s="1"/>
  <c r="J111" i="49"/>
  <c r="I111" i="49" s="1"/>
  <c r="M111" i="49"/>
  <c r="L111" i="49" s="1"/>
  <c r="G67" i="53"/>
  <c r="A165" i="107"/>
  <c r="A177" i="107" s="1"/>
  <c r="A189" i="107" s="1"/>
  <c r="A201" i="107" s="1"/>
  <c r="A213" i="107" s="1"/>
  <c r="A225" i="107" s="1"/>
  <c r="A237" i="107" s="1"/>
  <c r="A249" i="107" s="1"/>
  <c r="A261" i="107" s="1"/>
  <c r="A273" i="107" s="1"/>
  <c r="A285" i="107" s="1"/>
  <c r="A297" i="107" s="1"/>
  <c r="A309" i="107" s="1"/>
  <c r="A321" i="107" s="1"/>
  <c r="A333" i="107" s="1"/>
  <c r="A345" i="107" s="1"/>
  <c r="A357" i="107" s="1"/>
  <c r="A369" i="107" s="1"/>
  <c r="A164" i="107"/>
  <c r="A176" i="107" s="1"/>
  <c r="A188" i="107" s="1"/>
  <c r="A200" i="107" s="1"/>
  <c r="A212" i="107" s="1"/>
  <c r="A224" i="107" s="1"/>
  <c r="A236" i="107" s="1"/>
  <c r="A248" i="107" s="1"/>
  <c r="A260" i="107" s="1"/>
  <c r="A272" i="107" s="1"/>
  <c r="A284" i="107" s="1"/>
  <c r="A296" i="107" s="1"/>
  <c r="A308" i="107" s="1"/>
  <c r="A320" i="107" s="1"/>
  <c r="A332" i="107" s="1"/>
  <c r="A344" i="107" s="1"/>
  <c r="A356" i="107" s="1"/>
  <c r="A368" i="107" s="1"/>
  <c r="A163" i="107"/>
  <c r="A175" i="107" s="1"/>
  <c r="A187" i="107" s="1"/>
  <c r="A199" i="107" s="1"/>
  <c r="A211" i="107" s="1"/>
  <c r="A223" i="107" s="1"/>
  <c r="A235" i="107" s="1"/>
  <c r="A247" i="107" s="1"/>
  <c r="A259" i="107" s="1"/>
  <c r="A271" i="107" s="1"/>
  <c r="A283" i="107" s="1"/>
  <c r="A295" i="107" s="1"/>
  <c r="A307" i="107" s="1"/>
  <c r="A319" i="107" s="1"/>
  <c r="A331" i="107" s="1"/>
  <c r="A343" i="107" s="1"/>
  <c r="A355" i="107" s="1"/>
  <c r="A367" i="107" s="1"/>
  <c r="A162" i="107"/>
  <c r="A174" i="107" s="1"/>
  <c r="A186" i="107" s="1"/>
  <c r="A198" i="107" s="1"/>
  <c r="A210" i="107" s="1"/>
  <c r="A222" i="107" s="1"/>
  <c r="A234" i="107" s="1"/>
  <c r="A246" i="107" s="1"/>
  <c r="A258" i="107" s="1"/>
  <c r="A270" i="107" s="1"/>
  <c r="A282" i="107" s="1"/>
  <c r="A294" i="107" s="1"/>
  <c r="A306" i="107" s="1"/>
  <c r="A318" i="107" s="1"/>
  <c r="A330" i="107" s="1"/>
  <c r="A342" i="107" s="1"/>
  <c r="A354" i="107" s="1"/>
  <c r="A366" i="107" s="1"/>
  <c r="A161" i="107"/>
  <c r="A173" i="107" s="1"/>
  <c r="A185" i="107" s="1"/>
  <c r="A197" i="107" s="1"/>
  <c r="A209" i="107" s="1"/>
  <c r="A221" i="107" s="1"/>
  <c r="A233" i="107" s="1"/>
  <c r="A245" i="107" s="1"/>
  <c r="A257" i="107" s="1"/>
  <c r="A269" i="107" s="1"/>
  <c r="A281" i="107" s="1"/>
  <c r="A293" i="107" s="1"/>
  <c r="A305" i="107" s="1"/>
  <c r="A317" i="107" s="1"/>
  <c r="A329" i="107" s="1"/>
  <c r="A341" i="107" s="1"/>
  <c r="A353" i="107" s="1"/>
  <c r="A365" i="107" s="1"/>
  <c r="A160" i="107"/>
  <c r="A172" i="107" s="1"/>
  <c r="A184" i="107" s="1"/>
  <c r="A196" i="107" s="1"/>
  <c r="A208" i="107" s="1"/>
  <c r="A220" i="107" s="1"/>
  <c r="A232" i="107" s="1"/>
  <c r="A244" i="107" s="1"/>
  <c r="A256" i="107" s="1"/>
  <c r="A268" i="107" s="1"/>
  <c r="A280" i="107" s="1"/>
  <c r="A292" i="107" s="1"/>
  <c r="A304" i="107" s="1"/>
  <c r="A316" i="107" s="1"/>
  <c r="A328" i="107" s="1"/>
  <c r="A340" i="107" s="1"/>
  <c r="A352" i="107" s="1"/>
  <c r="A364" i="107" s="1"/>
  <c r="A159" i="107"/>
  <c r="A171" i="107" s="1"/>
  <c r="A183" i="107" s="1"/>
  <c r="A195" i="107" s="1"/>
  <c r="A207" i="107" s="1"/>
  <c r="A219" i="107" s="1"/>
  <c r="A231" i="107" s="1"/>
  <c r="A243" i="107" s="1"/>
  <c r="A255" i="107" s="1"/>
  <c r="A267" i="107" s="1"/>
  <c r="A279" i="107" s="1"/>
  <c r="A291" i="107" s="1"/>
  <c r="A303" i="107" s="1"/>
  <c r="A315" i="107" s="1"/>
  <c r="A327" i="107" s="1"/>
  <c r="A339" i="107" s="1"/>
  <c r="A351" i="107" s="1"/>
  <c r="A363" i="107" s="1"/>
  <c r="A158" i="107"/>
  <c r="A170" i="107" s="1"/>
  <c r="A182" i="107" s="1"/>
  <c r="A194" i="107" s="1"/>
  <c r="A206" i="107" s="1"/>
  <c r="A218" i="107" s="1"/>
  <c r="A230" i="107" s="1"/>
  <c r="A242" i="107" s="1"/>
  <c r="A254" i="107" s="1"/>
  <c r="A266" i="107" s="1"/>
  <c r="A278" i="107" s="1"/>
  <c r="A290" i="107" s="1"/>
  <c r="A302" i="107" s="1"/>
  <c r="A314" i="107" s="1"/>
  <c r="A326" i="107" s="1"/>
  <c r="A338" i="107" s="1"/>
  <c r="A350" i="107" s="1"/>
  <c r="A362" i="107" s="1"/>
  <c r="A157" i="107"/>
  <c r="A169" i="107" s="1"/>
  <c r="A181" i="107" s="1"/>
  <c r="A193" i="107" s="1"/>
  <c r="A205" i="107" s="1"/>
  <c r="A217" i="107" s="1"/>
  <c r="A229" i="107" s="1"/>
  <c r="A241" i="107" s="1"/>
  <c r="A253" i="107" s="1"/>
  <c r="A265" i="107" s="1"/>
  <c r="A277" i="107" s="1"/>
  <c r="A289" i="107" s="1"/>
  <c r="A301" i="107" s="1"/>
  <c r="A313" i="107" s="1"/>
  <c r="A325" i="107" s="1"/>
  <c r="A337" i="107" s="1"/>
  <c r="A349" i="107" s="1"/>
  <c r="A361" i="107" s="1"/>
  <c r="A156" i="107"/>
  <c r="A168" i="107" s="1"/>
  <c r="A180" i="107" s="1"/>
  <c r="A192" i="107" s="1"/>
  <c r="A204" i="107" s="1"/>
  <c r="A216" i="107" s="1"/>
  <c r="A228" i="107" s="1"/>
  <c r="A240" i="107" s="1"/>
  <c r="A252" i="107" s="1"/>
  <c r="A264" i="107" s="1"/>
  <c r="A276" i="107" s="1"/>
  <c r="A288" i="107" s="1"/>
  <c r="A300" i="107" s="1"/>
  <c r="A312" i="107" s="1"/>
  <c r="A324" i="107" s="1"/>
  <c r="A336" i="107" s="1"/>
  <c r="A348" i="107" s="1"/>
  <c r="A360" i="107" s="1"/>
  <c r="A155" i="107"/>
  <c r="A167" i="107" s="1"/>
  <c r="A179" i="107" s="1"/>
  <c r="A191" i="107" s="1"/>
  <c r="A203" i="107" s="1"/>
  <c r="A215" i="107" s="1"/>
  <c r="A227" i="107" s="1"/>
  <c r="A239" i="107" s="1"/>
  <c r="A251" i="107" s="1"/>
  <c r="A263" i="107" s="1"/>
  <c r="A275" i="107" s="1"/>
  <c r="A287" i="107" s="1"/>
  <c r="A299" i="107" s="1"/>
  <c r="A311" i="107" s="1"/>
  <c r="A323" i="107" s="1"/>
  <c r="A335" i="107" s="1"/>
  <c r="A347" i="107" s="1"/>
  <c r="A359" i="107" s="1"/>
  <c r="A154" i="107"/>
  <c r="A166" i="107" s="1"/>
  <c r="A178" i="107" s="1"/>
  <c r="A190" i="107" s="1"/>
  <c r="A202" i="107" s="1"/>
  <c r="A214" i="107" s="1"/>
  <c r="A226" i="107" s="1"/>
  <c r="A238" i="107" s="1"/>
  <c r="A250" i="107" s="1"/>
  <c r="A262" i="107" s="1"/>
  <c r="A274" i="107" s="1"/>
  <c r="A286" i="107" s="1"/>
  <c r="A298" i="107" s="1"/>
  <c r="A310" i="107" s="1"/>
  <c r="A322" i="107" s="1"/>
  <c r="A334" i="107" s="1"/>
  <c r="A346" i="107" s="1"/>
  <c r="A358" i="107" s="1"/>
  <c r="Z289" i="68"/>
  <c r="B299" i="89"/>
  <c r="J200" i="106"/>
  <c r="J199" i="106"/>
  <c r="J198" i="106"/>
  <c r="J197" i="106"/>
  <c r="J196" i="106"/>
  <c r="S193" i="106"/>
  <c r="J193" i="106"/>
  <c r="S192" i="106"/>
  <c r="J192" i="106"/>
  <c r="S191" i="106"/>
  <c r="J191" i="106"/>
  <c r="S190" i="106"/>
  <c r="J190" i="106"/>
  <c r="S189" i="106"/>
  <c r="J189" i="106"/>
  <c r="S188" i="106"/>
  <c r="J188" i="106"/>
  <c r="S187" i="106"/>
  <c r="J187" i="106"/>
  <c r="S186" i="106"/>
  <c r="J186" i="106"/>
  <c r="S185" i="106"/>
  <c r="J185" i="106"/>
  <c r="S184" i="106"/>
  <c r="J184" i="106"/>
  <c r="S183" i="106"/>
  <c r="J183" i="106"/>
  <c r="S182" i="106"/>
  <c r="J182" i="106"/>
  <c r="S181" i="106"/>
  <c r="J181" i="106"/>
  <c r="S180" i="106"/>
  <c r="J180" i="106"/>
  <c r="S179" i="106"/>
  <c r="J179" i="106"/>
  <c r="S178" i="106"/>
  <c r="J178" i="106"/>
  <c r="S177" i="106"/>
  <c r="J177" i="106"/>
  <c r="S176" i="106"/>
  <c r="J176" i="106"/>
  <c r="S175" i="106"/>
  <c r="J175" i="106"/>
  <c r="S174" i="106"/>
  <c r="J174" i="106"/>
  <c r="S173" i="106"/>
  <c r="J173" i="106"/>
  <c r="S172" i="106"/>
  <c r="J172" i="106"/>
  <c r="S171" i="106"/>
  <c r="J171" i="106"/>
  <c r="S170" i="106"/>
  <c r="J170" i="106"/>
  <c r="S169" i="106"/>
  <c r="J169" i="106"/>
  <c r="S168" i="106"/>
  <c r="J168" i="106"/>
  <c r="S167" i="106"/>
  <c r="J167" i="106"/>
  <c r="S166" i="106"/>
  <c r="J166" i="106"/>
  <c r="S165" i="106"/>
  <c r="J165" i="106"/>
  <c r="S164" i="106"/>
  <c r="J164" i="106"/>
  <c r="S163" i="106"/>
  <c r="J163" i="106"/>
  <c r="S162" i="106"/>
  <c r="J162" i="106"/>
  <c r="S161" i="106"/>
  <c r="J161" i="106"/>
  <c r="S160" i="106"/>
  <c r="J160" i="106"/>
  <c r="S159" i="106"/>
  <c r="J159" i="106"/>
  <c r="S158" i="106"/>
  <c r="J158" i="106"/>
  <c r="S157" i="106"/>
  <c r="J157" i="106"/>
  <c r="S156" i="106"/>
  <c r="J156" i="106"/>
  <c r="S155" i="106"/>
  <c r="J155" i="106"/>
  <c r="S154" i="106"/>
  <c r="J154" i="106"/>
  <c r="S153" i="106"/>
  <c r="J153" i="106"/>
  <c r="S152" i="106"/>
  <c r="J152" i="106"/>
  <c r="S151" i="106"/>
  <c r="J151" i="106"/>
  <c r="S150" i="106"/>
  <c r="J150" i="106"/>
  <c r="S149" i="106"/>
  <c r="J149" i="106"/>
  <c r="S148" i="106"/>
  <c r="J148" i="106"/>
  <c r="S147" i="106"/>
  <c r="J147" i="106"/>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117" i="14"/>
  <c r="G116"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92" i="14"/>
  <c r="B110" i="49"/>
  <c r="F110" i="49"/>
  <c r="E110" i="49" s="1"/>
  <c r="J110" i="49"/>
  <c r="I110" i="49" s="1"/>
  <c r="M110" i="49"/>
  <c r="L110" i="49" s="1"/>
  <c r="D287" i="89"/>
  <c r="B298" i="89"/>
  <c r="G34" i="53"/>
  <c r="G33" i="53"/>
  <c r="G91" i="53" s="1"/>
  <c r="G18" i="53"/>
  <c r="D227" i="105"/>
  <c r="D205" i="105"/>
  <c r="D206" i="105"/>
  <c r="D207" i="105"/>
  <c r="D208" i="105"/>
  <c r="D209" i="105"/>
  <c r="D210" i="105"/>
  <c r="D212" i="105"/>
  <c r="D213" i="105"/>
  <c r="D214" i="105"/>
  <c r="D215" i="105"/>
  <c r="D216" i="105"/>
  <c r="D217" i="105"/>
  <c r="D218" i="105"/>
  <c r="D219" i="105"/>
  <c r="D220" i="105"/>
  <c r="D221" i="105"/>
  <c r="D222" i="105"/>
  <c r="D223" i="105"/>
  <c r="D224" i="105"/>
  <c r="D225" i="105"/>
  <c r="D226" i="105"/>
  <c r="D228" i="105"/>
  <c r="D229" i="105"/>
  <c r="D230" i="105"/>
  <c r="D231" i="105"/>
  <c r="D232" i="105"/>
  <c r="D233" i="105"/>
  <c r="D234" i="105"/>
  <c r="D235" i="105"/>
  <c r="D236" i="105"/>
  <c r="D237" i="105"/>
  <c r="D238" i="105"/>
  <c r="D239" i="105"/>
  <c r="D240" i="105"/>
  <c r="D204" i="105"/>
  <c r="D199"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22" i="105"/>
  <c r="D123" i="105"/>
  <c r="D124" i="105"/>
  <c r="D125" i="105"/>
  <c r="D126" i="105"/>
  <c r="D127" i="105"/>
  <c r="D128" i="105"/>
  <c r="D129" i="105"/>
  <c r="D130" i="105"/>
  <c r="D131" i="105"/>
  <c r="D132" i="105"/>
  <c r="D133" i="105"/>
  <c r="D134" i="105"/>
  <c r="D135" i="105"/>
  <c r="D136" i="105"/>
  <c r="D137" i="105"/>
  <c r="D138" i="105"/>
  <c r="D139" i="105"/>
  <c r="D140" i="105"/>
  <c r="D141" i="105"/>
  <c r="D142" i="105"/>
  <c r="D143" i="105"/>
  <c r="D144" i="105"/>
  <c r="D145" i="105"/>
  <c r="D146" i="105"/>
  <c r="D147" i="105"/>
  <c r="D148" i="105"/>
  <c r="D149" i="105"/>
  <c r="D150" i="105"/>
  <c r="D151" i="105"/>
  <c r="D152" i="105"/>
  <c r="D153" i="105"/>
  <c r="D154" i="105"/>
  <c r="D155" i="105"/>
  <c r="D156" i="105"/>
  <c r="D157" i="105"/>
  <c r="D158" i="105"/>
  <c r="D159" i="105"/>
  <c r="D160" i="105"/>
  <c r="D161" i="105"/>
  <c r="D162" i="105"/>
  <c r="D163" i="105"/>
  <c r="D164" i="105"/>
  <c r="D165" i="105"/>
  <c r="D166" i="105"/>
  <c r="D167" i="105"/>
  <c r="D168" i="105"/>
  <c r="D169" i="105"/>
  <c r="D170" i="105"/>
  <c r="D171" i="105"/>
  <c r="D172" i="105"/>
  <c r="D173" i="105"/>
  <c r="D174" i="105"/>
  <c r="D175" i="105"/>
  <c r="D176" i="105"/>
  <c r="D177" i="105"/>
  <c r="D178" i="105"/>
  <c r="D179" i="105"/>
  <c r="D180" i="105"/>
  <c r="D181" i="105"/>
  <c r="D182" i="105"/>
  <c r="D183" i="105"/>
  <c r="D184" i="105"/>
  <c r="D185" i="105"/>
  <c r="D186" i="105"/>
  <c r="D187" i="105"/>
  <c r="D188" i="105"/>
  <c r="D189" i="105"/>
  <c r="D190" i="105"/>
  <c r="D191" i="105"/>
  <c r="D192" i="105"/>
  <c r="D193" i="105"/>
  <c r="D194" i="105"/>
  <c r="D195" i="105"/>
  <c r="D196" i="105"/>
  <c r="D197" i="105"/>
  <c r="D198" i="105"/>
  <c r="D200" i="105"/>
  <c r="D201" i="105"/>
  <c r="D202" i="105"/>
  <c r="D203" i="105"/>
  <c r="D70" i="105"/>
  <c r="D69" i="105"/>
  <c r="A11" i="105"/>
  <c r="A12" i="105" s="1"/>
  <c r="A13" i="105" s="1"/>
  <c r="A14" i="105" s="1"/>
  <c r="A15" i="105" s="1"/>
  <c r="A16" i="105" s="1"/>
  <c r="A17" i="105" s="1"/>
  <c r="A18" i="105" s="1"/>
  <c r="A19" i="105" s="1"/>
  <c r="A20" i="105" s="1"/>
  <c r="A21" i="105" s="1"/>
  <c r="A22" i="105" s="1"/>
  <c r="A23" i="105" s="1"/>
  <c r="A24" i="105" s="1"/>
  <c r="A25" i="105" s="1"/>
  <c r="A26" i="105" s="1"/>
  <c r="A27" i="105" s="1"/>
  <c r="A28" i="105" s="1"/>
  <c r="A29" i="105" s="1"/>
  <c r="A30" i="105" s="1"/>
  <c r="A31" i="105" s="1"/>
  <c r="A32" i="105" s="1"/>
  <c r="A33" i="105" s="1"/>
  <c r="A34" i="105" s="1"/>
  <c r="A35" i="105" s="1"/>
  <c r="A36" i="105" s="1"/>
  <c r="A37" i="105" s="1"/>
  <c r="A38" i="105" s="1"/>
  <c r="A39" i="105" s="1"/>
  <c r="A40" i="105" s="1"/>
  <c r="A41" i="105" s="1"/>
  <c r="A42" i="105" s="1"/>
  <c r="A43" i="105" s="1"/>
  <c r="A44" i="105" s="1"/>
  <c r="A45" i="105" s="1"/>
  <c r="A46" i="105" s="1"/>
  <c r="A47" i="105" s="1"/>
  <c r="A48" i="105" s="1"/>
  <c r="A49" i="105" s="1"/>
  <c r="A50" i="105" s="1"/>
  <c r="A51" i="105" s="1"/>
  <c r="A52" i="105" s="1"/>
  <c r="A53" i="105" s="1"/>
  <c r="A54" i="105" s="1"/>
  <c r="A55" i="105" s="1"/>
  <c r="A56" i="105" s="1"/>
  <c r="A57" i="105" s="1"/>
  <c r="A58" i="105" s="1"/>
  <c r="A59" i="105" s="1"/>
  <c r="A60" i="105" s="1"/>
  <c r="A61" i="105" s="1"/>
  <c r="A62" i="105" s="1"/>
  <c r="A63" i="105" s="1"/>
  <c r="A64" i="105" s="1"/>
  <c r="A65" i="105" s="1"/>
  <c r="A66" i="105" s="1"/>
  <c r="A67" i="105" s="1"/>
  <c r="A68" i="105" s="1"/>
  <c r="A69" i="105" s="1"/>
  <c r="A70" i="105" s="1"/>
  <c r="A71" i="105" s="1"/>
  <c r="A72" i="105" s="1"/>
  <c r="A73" i="105" s="1"/>
  <c r="A74" i="105" s="1"/>
  <c r="A75" i="105" s="1"/>
  <c r="A76" i="105" s="1"/>
  <c r="A77" i="105" s="1"/>
  <c r="A78" i="105" s="1"/>
  <c r="A79" i="105" s="1"/>
  <c r="A80" i="105" s="1"/>
  <c r="A81" i="105" s="1"/>
  <c r="A82" i="105" s="1"/>
  <c r="A83" i="105" s="1"/>
  <c r="A84" i="105" s="1"/>
  <c r="A85" i="105" s="1"/>
  <c r="A86" i="105" s="1"/>
  <c r="A87" i="105" s="1"/>
  <c r="A88" i="105" s="1"/>
  <c r="A89" i="105" s="1"/>
  <c r="A90" i="105" s="1"/>
  <c r="A91" i="105" s="1"/>
  <c r="A92" i="105" s="1"/>
  <c r="A93" i="105" s="1"/>
  <c r="A94" i="105" s="1"/>
  <c r="A95" i="105" s="1"/>
  <c r="A96" i="105" s="1"/>
  <c r="A97" i="105" s="1"/>
  <c r="A98" i="105" s="1"/>
  <c r="A99" i="105" s="1"/>
  <c r="A100" i="105" s="1"/>
  <c r="A101" i="105" s="1"/>
  <c r="A102" i="105" s="1"/>
  <c r="A103" i="105" s="1"/>
  <c r="A104" i="105" s="1"/>
  <c r="A105" i="105" s="1"/>
  <c r="A106" i="105" s="1"/>
  <c r="A107" i="105" s="1"/>
  <c r="A108" i="105" s="1"/>
  <c r="A109" i="105" s="1"/>
  <c r="A110" i="105" s="1"/>
  <c r="A111" i="105" s="1"/>
  <c r="A112" i="105" s="1"/>
  <c r="A113" i="105" s="1"/>
  <c r="A114" i="105" s="1"/>
  <c r="A115" i="105" s="1"/>
  <c r="A116" i="105" s="1"/>
  <c r="A117" i="105" s="1"/>
  <c r="A118" i="105" s="1"/>
  <c r="A119" i="105" s="1"/>
  <c r="A120" i="105" s="1"/>
  <c r="A121" i="105" s="1"/>
  <c r="A122" i="105" s="1"/>
  <c r="A123" i="105" s="1"/>
  <c r="A124" i="105" s="1"/>
  <c r="A125" i="105" s="1"/>
  <c r="A126" i="105" s="1"/>
  <c r="A127" i="105" s="1"/>
  <c r="A128" i="105" s="1"/>
  <c r="A129" i="105" s="1"/>
  <c r="A130" i="105" s="1"/>
  <c r="A131" i="105" s="1"/>
  <c r="A132" i="105" s="1"/>
  <c r="A133" i="105" s="1"/>
  <c r="A134" i="105" s="1"/>
  <c r="A135" i="105" s="1"/>
  <c r="A136" i="105" s="1"/>
  <c r="A137" i="105" s="1"/>
  <c r="A138" i="105" s="1"/>
  <c r="A139" i="105" s="1"/>
  <c r="A140" i="105" s="1"/>
  <c r="A141" i="105" s="1"/>
  <c r="A142" i="105" s="1"/>
  <c r="A143" i="105" s="1"/>
  <c r="A144" i="105" s="1"/>
  <c r="A145" i="105" s="1"/>
  <c r="A146" i="105" s="1"/>
  <c r="A147" i="105" s="1"/>
  <c r="A148" i="105" s="1"/>
  <c r="A149" i="105" s="1"/>
  <c r="A150" i="105" s="1"/>
  <c r="A151" i="105" s="1"/>
  <c r="A152" i="105" s="1"/>
  <c r="A153" i="105" s="1"/>
  <c r="A154" i="105" s="1"/>
  <c r="A155" i="105" s="1"/>
  <c r="A156" i="105" s="1"/>
  <c r="A157" i="105" s="1"/>
  <c r="A158" i="105" s="1"/>
  <c r="A159" i="105" s="1"/>
  <c r="A160" i="105" s="1"/>
  <c r="A161" i="105" s="1"/>
  <c r="A162" i="105" s="1"/>
  <c r="A163" i="105" s="1"/>
  <c r="A164" i="105" s="1"/>
  <c r="A165" i="105" s="1"/>
  <c r="A166" i="105" s="1"/>
  <c r="A167" i="105" s="1"/>
  <c r="A168" i="105" s="1"/>
  <c r="A169" i="105" s="1"/>
  <c r="A170" i="105" s="1"/>
  <c r="A171" i="105" s="1"/>
  <c r="A172" i="105" s="1"/>
  <c r="A173" i="105" s="1"/>
  <c r="A174" i="105" s="1"/>
  <c r="A175" i="105" s="1"/>
  <c r="A176" i="105" s="1"/>
  <c r="A177" i="105" s="1"/>
  <c r="A178" i="105" s="1"/>
  <c r="A179" i="105" s="1"/>
  <c r="A180" i="105" s="1"/>
  <c r="A181" i="105" s="1"/>
  <c r="A182" i="105" s="1"/>
  <c r="A183" i="105" s="1"/>
  <c r="A184" i="105" s="1"/>
  <c r="A185" i="105" s="1"/>
  <c r="A186" i="105" s="1"/>
  <c r="A187" i="105" s="1"/>
  <c r="A188" i="105" s="1"/>
  <c r="A189" i="105" s="1"/>
  <c r="A190" i="105" s="1"/>
  <c r="A191" i="105" s="1"/>
  <c r="A192" i="105" s="1"/>
  <c r="A193" i="105" s="1"/>
  <c r="A194" i="105" s="1"/>
  <c r="A195" i="105" s="1"/>
  <c r="A196" i="105" s="1"/>
  <c r="A197" i="105" s="1"/>
  <c r="A198" i="105" s="1"/>
  <c r="A199" i="105" s="1"/>
  <c r="A200" i="105" s="1"/>
  <c r="A201" i="105" s="1"/>
  <c r="A202" i="105" s="1"/>
  <c r="A203" i="105" s="1"/>
  <c r="A204" i="105" s="1"/>
  <c r="A205" i="105" s="1"/>
  <c r="A206" i="105" s="1"/>
  <c r="A207" i="105" s="1"/>
  <c r="A208" i="105" s="1"/>
  <c r="A209" i="105" s="1"/>
  <c r="A210" i="105" s="1"/>
  <c r="A211" i="105" s="1"/>
  <c r="A212" i="105" s="1"/>
  <c r="A213" i="105" s="1"/>
  <c r="A214" i="105" s="1"/>
  <c r="A215" i="105" s="1"/>
  <c r="A216" i="105" s="1"/>
  <c r="A217" i="105" s="1"/>
  <c r="A218" i="105" s="1"/>
  <c r="A219" i="105" s="1"/>
  <c r="A220" i="105" s="1"/>
  <c r="A221" i="105" s="1"/>
  <c r="A222" i="105" s="1"/>
  <c r="A223" i="105" s="1"/>
  <c r="A224" i="105" s="1"/>
  <c r="A225" i="105" s="1"/>
  <c r="A226" i="105" s="1"/>
  <c r="A227" i="105" s="1"/>
  <c r="A228" i="105" s="1"/>
  <c r="A229" i="105" s="1"/>
  <c r="A230" i="105" s="1"/>
  <c r="A231" i="105" s="1"/>
  <c r="A232" i="105" s="1"/>
  <c r="A233" i="105" s="1"/>
  <c r="A234" i="105" s="1"/>
  <c r="A235" i="105" s="1"/>
  <c r="A236" i="105" s="1"/>
  <c r="A237" i="105" s="1"/>
  <c r="A238" i="105" s="1"/>
  <c r="A239" i="105" s="1"/>
  <c r="A240" i="105" s="1"/>
  <c r="A241" i="105" s="1"/>
  <c r="A242" i="105" s="1"/>
  <c r="A243" i="105" s="1"/>
  <c r="A244" i="105" s="1"/>
  <c r="A245" i="105" s="1"/>
  <c r="A246" i="105" s="1"/>
  <c r="A247" i="105" s="1"/>
  <c r="A248" i="105" s="1"/>
  <c r="A249" i="105" s="1"/>
  <c r="A250" i="105" s="1"/>
  <c r="A251" i="105" s="1"/>
  <c r="A252" i="105" s="1"/>
  <c r="A253" i="105" s="1"/>
  <c r="A254" i="105" s="1"/>
  <c r="A255" i="105" s="1"/>
  <c r="Z284" i="68"/>
  <c r="C109" i="49"/>
  <c r="B109" i="49" s="1"/>
  <c r="F109" i="49"/>
  <c r="E109" i="49" s="1"/>
  <c r="C108" i="49"/>
  <c r="B108" i="49" s="1"/>
  <c r="F108" i="49"/>
  <c r="E108" i="49" s="1"/>
  <c r="C107" i="49"/>
  <c r="B107" i="49" s="1"/>
  <c r="F107" i="49"/>
  <c r="E107" i="49" s="1"/>
  <c r="C106" i="49"/>
  <c r="B106" i="49" s="1"/>
  <c r="F106" i="49"/>
  <c r="E106" i="49" s="1"/>
  <c r="J109" i="49"/>
  <c r="I109" i="49" s="1"/>
  <c r="M109" i="49"/>
  <c r="L109" i="49" s="1"/>
  <c r="J108" i="49"/>
  <c r="I108" i="49" s="1"/>
  <c r="M108" i="49"/>
  <c r="L108" i="49" s="1"/>
  <c r="J107" i="49"/>
  <c r="I107" i="49" s="1"/>
  <c r="M107" i="49"/>
  <c r="L107" i="49" s="1"/>
  <c r="M106" i="49"/>
  <c r="L106" i="49" s="1"/>
  <c r="J106" i="49"/>
  <c r="I106" i="49" s="1"/>
  <c r="D296" i="89"/>
  <c r="H272" i="4"/>
  <c r="Z281" i="68"/>
  <c r="B293" i="89"/>
  <c r="H280" i="17"/>
  <c r="B290" i="89"/>
  <c r="G68" i="53"/>
  <c r="D357" i="89"/>
  <c r="D356" i="89"/>
  <c r="D355" i="89"/>
  <c r="D354" i="89"/>
  <c r="D353" i="89"/>
  <c r="D352" i="89"/>
  <c r="D351" i="89"/>
  <c r="D350" i="89"/>
  <c r="D349" i="89"/>
  <c r="D348" i="89"/>
  <c r="D347" i="89"/>
  <c r="D346" i="89"/>
  <c r="D345" i="89"/>
  <c r="D344" i="89"/>
  <c r="D343" i="89"/>
  <c r="D342" i="89"/>
  <c r="D341" i="89"/>
  <c r="D340" i="89"/>
  <c r="D339" i="89"/>
  <c r="D338" i="89"/>
  <c r="D336" i="89"/>
  <c r="D335" i="89"/>
  <c r="D334" i="89"/>
  <c r="D333" i="89"/>
  <c r="D332" i="89"/>
  <c r="D331" i="89"/>
  <c r="D330" i="89"/>
  <c r="D327" i="89"/>
  <c r="D326" i="89"/>
  <c r="D325" i="89"/>
  <c r="D324" i="89"/>
  <c r="D322" i="89"/>
  <c r="D321" i="89"/>
  <c r="D320" i="89"/>
  <c r="D319" i="89"/>
  <c r="D318" i="89"/>
  <c r="D317" i="89"/>
  <c r="D316" i="89"/>
  <c r="D315" i="89"/>
  <c r="D314" i="89"/>
  <c r="D313" i="89"/>
  <c r="D312" i="89"/>
  <c r="D311" i="89"/>
  <c r="D310" i="89"/>
  <c r="D309" i="89"/>
  <c r="D308" i="89"/>
  <c r="D307" i="89"/>
  <c r="D306" i="89"/>
  <c r="D305" i="89"/>
  <c r="D304" i="89"/>
  <c r="D303" i="89"/>
  <c r="D302" i="89"/>
  <c r="D301" i="89"/>
  <c r="D300" i="89"/>
  <c r="D299" i="89"/>
  <c r="D298" i="89"/>
  <c r="D297" i="89"/>
  <c r="D295" i="89"/>
  <c r="D294" i="89"/>
  <c r="D293" i="89"/>
  <c r="D292" i="89"/>
  <c r="D291" i="89"/>
  <c r="D290" i="89"/>
  <c r="D289" i="89"/>
  <c r="D288" i="89"/>
  <c r="D286" i="89"/>
  <c r="D285" i="89"/>
  <c r="D276" i="89"/>
  <c r="D277" i="89"/>
  <c r="D278" i="89"/>
  <c r="D279" i="89"/>
  <c r="D280" i="89"/>
  <c r="D281" i="89"/>
  <c r="D282" i="89"/>
  <c r="D283" i="89"/>
  <c r="D284" i="89"/>
  <c r="D275" i="89"/>
  <c r="D274" i="89"/>
  <c r="D264" i="89"/>
  <c r="D265" i="89"/>
  <c r="D266" i="89"/>
  <c r="D267" i="89"/>
  <c r="D268" i="89"/>
  <c r="D269" i="89"/>
  <c r="D270" i="89"/>
  <c r="D271" i="89"/>
  <c r="D272" i="89"/>
  <c r="D273" i="89"/>
  <c r="D263" i="89"/>
  <c r="D262" i="89"/>
  <c r="D252" i="89"/>
  <c r="D253" i="89"/>
  <c r="D254" i="89"/>
  <c r="D255" i="89"/>
  <c r="D256" i="89"/>
  <c r="D257" i="89"/>
  <c r="D258" i="89"/>
  <c r="D259" i="89"/>
  <c r="D260" i="89"/>
  <c r="D261" i="89"/>
  <c r="D251" i="89"/>
  <c r="D250" i="89"/>
  <c r="D240" i="89"/>
  <c r="D241" i="89"/>
  <c r="D242" i="89"/>
  <c r="D243" i="89"/>
  <c r="D244" i="89"/>
  <c r="D245" i="89"/>
  <c r="D246" i="89"/>
  <c r="D247" i="89"/>
  <c r="D248" i="89"/>
  <c r="D249" i="89"/>
  <c r="D239" i="89"/>
  <c r="D238" i="89"/>
  <c r="D228" i="89"/>
  <c r="D229" i="89"/>
  <c r="D230" i="89"/>
  <c r="D231" i="89"/>
  <c r="D232" i="89"/>
  <c r="D233" i="89"/>
  <c r="D234" i="89"/>
  <c r="D235" i="89"/>
  <c r="D236" i="89"/>
  <c r="D237" i="89"/>
  <c r="D227" i="89"/>
  <c r="D226" i="89"/>
  <c r="D216" i="89"/>
  <c r="D217" i="89"/>
  <c r="D218" i="89"/>
  <c r="D219" i="89"/>
  <c r="D220" i="89"/>
  <c r="D221" i="89"/>
  <c r="D222" i="89"/>
  <c r="D223" i="89"/>
  <c r="D224" i="89"/>
  <c r="D225" i="89"/>
  <c r="D215" i="89"/>
  <c r="D214" i="89"/>
  <c r="D204" i="89"/>
  <c r="D205" i="89"/>
  <c r="D206" i="89"/>
  <c r="D207" i="89"/>
  <c r="D208" i="89"/>
  <c r="D209" i="89"/>
  <c r="D210" i="89"/>
  <c r="D211" i="89"/>
  <c r="D212" i="89"/>
  <c r="D213" i="89"/>
  <c r="D203" i="89"/>
  <c r="D202" i="89"/>
  <c r="D192" i="89"/>
  <c r="D193" i="89"/>
  <c r="D194" i="89"/>
  <c r="D195" i="89"/>
  <c r="D196" i="89"/>
  <c r="D197" i="89"/>
  <c r="D198" i="89"/>
  <c r="D199" i="89"/>
  <c r="D200" i="89"/>
  <c r="D201" i="89"/>
  <c r="D191" i="89"/>
  <c r="D190" i="89"/>
  <c r="D180" i="89"/>
  <c r="D181" i="89"/>
  <c r="D182" i="89"/>
  <c r="D183" i="89"/>
  <c r="D184" i="89"/>
  <c r="D185" i="89"/>
  <c r="D186" i="89"/>
  <c r="D187" i="89"/>
  <c r="D188" i="89"/>
  <c r="D189" i="89"/>
  <c r="D179" i="89"/>
  <c r="D178" i="89"/>
  <c r="D168" i="89"/>
  <c r="D169" i="89"/>
  <c r="D170" i="89"/>
  <c r="D171" i="89"/>
  <c r="D172" i="89"/>
  <c r="D173" i="89"/>
  <c r="D174" i="89"/>
  <c r="D175" i="89"/>
  <c r="D176" i="89"/>
  <c r="D177" i="89"/>
  <c r="D167" i="89"/>
  <c r="D166" i="89"/>
  <c r="D161" i="89"/>
  <c r="D162" i="89"/>
  <c r="D163" i="89"/>
  <c r="D164" i="89"/>
  <c r="D165" i="89"/>
  <c r="D157" i="89"/>
  <c r="D158" i="89"/>
  <c r="D159" i="89"/>
  <c r="D160" i="89"/>
  <c r="D156" i="89"/>
  <c r="D155" i="89"/>
  <c r="D147" i="89"/>
  <c r="D148" i="89"/>
  <c r="D149" i="89"/>
  <c r="D150" i="89"/>
  <c r="D151" i="89"/>
  <c r="D152" i="89"/>
  <c r="D153" i="89"/>
  <c r="D144" i="89"/>
  <c r="D145" i="89"/>
  <c r="D146" i="89"/>
  <c r="D143" i="89"/>
  <c r="B285" i="89"/>
  <c r="J105" i="49"/>
  <c r="I105" i="49" s="1"/>
  <c r="M105" i="49"/>
  <c r="L105" i="49" s="1"/>
  <c r="C103" i="49"/>
  <c r="B103" i="49" s="1"/>
  <c r="F103" i="49"/>
  <c r="E103" i="49" s="1"/>
  <c r="F104" i="49"/>
  <c r="E104" i="49" s="1"/>
  <c r="C105" i="49"/>
  <c r="B105" i="49" s="1"/>
  <c r="F105" i="49"/>
  <c r="E105" i="49" s="1"/>
  <c r="G39" i="53"/>
  <c r="A201" i="100"/>
  <c r="A213" i="100" s="1"/>
  <c r="A225" i="100" s="1"/>
  <c r="A237" i="100" s="1"/>
  <c r="A249" i="100" s="1"/>
  <c r="A261" i="100" s="1"/>
  <c r="A273" i="100" s="1"/>
  <c r="A285" i="100" s="1"/>
  <c r="A297" i="100" s="1"/>
  <c r="A309" i="100" s="1"/>
  <c r="A321" i="100" s="1"/>
  <c r="A333" i="100" s="1"/>
  <c r="A345" i="100" s="1"/>
  <c r="A357" i="100" s="1"/>
  <c r="A369" i="100" s="1"/>
  <c r="A381" i="100" s="1"/>
  <c r="A393" i="100" s="1"/>
  <c r="A405" i="100" s="1"/>
  <c r="A417" i="100" s="1"/>
  <c r="A429" i="100" s="1"/>
  <c r="A441" i="100" s="1"/>
  <c r="A453" i="100" s="1"/>
  <c r="A200" i="100"/>
  <c r="A212" i="100" s="1"/>
  <c r="A224" i="100" s="1"/>
  <c r="A236" i="100" s="1"/>
  <c r="A248" i="100" s="1"/>
  <c r="A260" i="100" s="1"/>
  <c r="A272" i="100" s="1"/>
  <c r="A284" i="100" s="1"/>
  <c r="A296" i="100" s="1"/>
  <c r="A308" i="100" s="1"/>
  <c r="A320" i="100" s="1"/>
  <c r="A332" i="100" s="1"/>
  <c r="A344" i="100" s="1"/>
  <c r="A356" i="100" s="1"/>
  <c r="A368" i="100" s="1"/>
  <c r="A380" i="100" s="1"/>
  <c r="A392" i="100" s="1"/>
  <c r="A404" i="100" s="1"/>
  <c r="A416" i="100" s="1"/>
  <c r="A428" i="100" s="1"/>
  <c r="A440" i="100" s="1"/>
  <c r="A452" i="100" s="1"/>
  <c r="A199" i="100"/>
  <c r="A211" i="100" s="1"/>
  <c r="A223" i="100" s="1"/>
  <c r="A235" i="100" s="1"/>
  <c r="A247" i="100" s="1"/>
  <c r="A259" i="100" s="1"/>
  <c r="A271" i="100" s="1"/>
  <c r="A283" i="100" s="1"/>
  <c r="A295" i="100" s="1"/>
  <c r="A307" i="100" s="1"/>
  <c r="A319" i="100" s="1"/>
  <c r="A331" i="100" s="1"/>
  <c r="A343" i="100" s="1"/>
  <c r="A355" i="100" s="1"/>
  <c r="A367" i="100" s="1"/>
  <c r="A379" i="100" s="1"/>
  <c r="A391" i="100" s="1"/>
  <c r="A403" i="100" s="1"/>
  <c r="A415" i="100" s="1"/>
  <c r="A427" i="100" s="1"/>
  <c r="A439" i="100" s="1"/>
  <c r="A451" i="100" s="1"/>
  <c r="A198" i="100"/>
  <c r="A210" i="100" s="1"/>
  <c r="A222" i="100" s="1"/>
  <c r="A234" i="100" s="1"/>
  <c r="A246" i="100" s="1"/>
  <c r="A258" i="100" s="1"/>
  <c r="A270" i="100" s="1"/>
  <c r="A282" i="100" s="1"/>
  <c r="A294" i="100" s="1"/>
  <c r="A306" i="100" s="1"/>
  <c r="A318" i="100" s="1"/>
  <c r="A330" i="100" s="1"/>
  <c r="A342" i="100" s="1"/>
  <c r="A354" i="100" s="1"/>
  <c r="A366" i="100" s="1"/>
  <c r="A378" i="100" s="1"/>
  <c r="A390" i="100" s="1"/>
  <c r="A402" i="100" s="1"/>
  <c r="A414" i="100" s="1"/>
  <c r="A426" i="100" s="1"/>
  <c r="A438" i="100" s="1"/>
  <c r="A450" i="100" s="1"/>
  <c r="A197" i="100"/>
  <c r="A209" i="100" s="1"/>
  <c r="A221" i="100" s="1"/>
  <c r="A233" i="100" s="1"/>
  <c r="A245" i="100" s="1"/>
  <c r="A257" i="100" s="1"/>
  <c r="A269" i="100" s="1"/>
  <c r="A281" i="100" s="1"/>
  <c r="A293" i="100" s="1"/>
  <c r="A305" i="100" s="1"/>
  <c r="A317" i="100" s="1"/>
  <c r="A329" i="100" s="1"/>
  <c r="A341" i="100" s="1"/>
  <c r="A353" i="100" s="1"/>
  <c r="A365" i="100" s="1"/>
  <c r="A377" i="100" s="1"/>
  <c r="A389" i="100" s="1"/>
  <c r="A401" i="100" s="1"/>
  <c r="A413" i="100" s="1"/>
  <c r="A425" i="100" s="1"/>
  <c r="A437" i="100" s="1"/>
  <c r="A449" i="100" s="1"/>
  <c r="A196" i="100"/>
  <c r="A208" i="100" s="1"/>
  <c r="A220" i="100" s="1"/>
  <c r="A232" i="100" s="1"/>
  <c r="A244" i="100" s="1"/>
  <c r="A256" i="100" s="1"/>
  <c r="A268" i="100" s="1"/>
  <c r="A280" i="100" s="1"/>
  <c r="A292" i="100" s="1"/>
  <c r="A304" i="100" s="1"/>
  <c r="A316" i="100" s="1"/>
  <c r="A328" i="100" s="1"/>
  <c r="A340" i="100" s="1"/>
  <c r="A352" i="100" s="1"/>
  <c r="A364" i="100" s="1"/>
  <c r="A376" i="100" s="1"/>
  <c r="A388" i="100" s="1"/>
  <c r="A400" i="100" s="1"/>
  <c r="A412" i="100" s="1"/>
  <c r="A424" i="100" s="1"/>
  <c r="A436" i="100" s="1"/>
  <c r="A448" i="100" s="1"/>
  <c r="A195" i="100"/>
  <c r="A207" i="100" s="1"/>
  <c r="A219" i="100" s="1"/>
  <c r="A231" i="100" s="1"/>
  <c r="A243" i="100" s="1"/>
  <c r="A255" i="100" s="1"/>
  <c r="A267" i="100" s="1"/>
  <c r="A279" i="100" s="1"/>
  <c r="A291" i="100" s="1"/>
  <c r="A303" i="100" s="1"/>
  <c r="A315" i="100" s="1"/>
  <c r="A327" i="100" s="1"/>
  <c r="A339" i="100" s="1"/>
  <c r="A351" i="100" s="1"/>
  <c r="A363" i="100" s="1"/>
  <c r="A375" i="100" s="1"/>
  <c r="A387" i="100" s="1"/>
  <c r="A399" i="100" s="1"/>
  <c r="A411" i="100" s="1"/>
  <c r="A423" i="100" s="1"/>
  <c r="A435" i="100" s="1"/>
  <c r="A447" i="100" s="1"/>
  <c r="A194" i="100"/>
  <c r="A206" i="100" s="1"/>
  <c r="A218" i="100" s="1"/>
  <c r="A230" i="100" s="1"/>
  <c r="A242" i="100" s="1"/>
  <c r="A254" i="100" s="1"/>
  <c r="A266" i="100" s="1"/>
  <c r="A278" i="100" s="1"/>
  <c r="A290" i="100" s="1"/>
  <c r="A302" i="100" s="1"/>
  <c r="A314" i="100" s="1"/>
  <c r="A326" i="100" s="1"/>
  <c r="A338" i="100" s="1"/>
  <c r="A350" i="100" s="1"/>
  <c r="A362" i="100" s="1"/>
  <c r="A374" i="100" s="1"/>
  <c r="A386" i="100" s="1"/>
  <c r="A398" i="100" s="1"/>
  <c r="A410" i="100" s="1"/>
  <c r="A422" i="100" s="1"/>
  <c r="A434" i="100" s="1"/>
  <c r="A446" i="100" s="1"/>
  <c r="A193" i="100"/>
  <c r="A205" i="100" s="1"/>
  <c r="A217" i="100" s="1"/>
  <c r="A229" i="100" s="1"/>
  <c r="A241" i="100" s="1"/>
  <c r="A253" i="100" s="1"/>
  <c r="A265" i="100" s="1"/>
  <c r="A277" i="100" s="1"/>
  <c r="A289" i="100" s="1"/>
  <c r="A301" i="100" s="1"/>
  <c r="A313" i="100" s="1"/>
  <c r="A325" i="100" s="1"/>
  <c r="A337" i="100" s="1"/>
  <c r="A349" i="100" s="1"/>
  <c r="A361" i="100" s="1"/>
  <c r="A373" i="100" s="1"/>
  <c r="A385" i="100" s="1"/>
  <c r="A397" i="100" s="1"/>
  <c r="A409" i="100" s="1"/>
  <c r="A421" i="100" s="1"/>
  <c r="A433" i="100" s="1"/>
  <c r="A445" i="100" s="1"/>
  <c r="A192" i="100"/>
  <c r="A204" i="100" s="1"/>
  <c r="A216" i="100" s="1"/>
  <c r="A228" i="100" s="1"/>
  <c r="A240" i="100" s="1"/>
  <c r="A252" i="100" s="1"/>
  <c r="A264" i="100" s="1"/>
  <c r="A276" i="100" s="1"/>
  <c r="A288" i="100" s="1"/>
  <c r="A300" i="100" s="1"/>
  <c r="A312" i="100" s="1"/>
  <c r="A324" i="100" s="1"/>
  <c r="A336" i="100" s="1"/>
  <c r="A348" i="100" s="1"/>
  <c r="A360" i="100" s="1"/>
  <c r="A372" i="100" s="1"/>
  <c r="A384" i="100" s="1"/>
  <c r="A396" i="100" s="1"/>
  <c r="A408" i="100" s="1"/>
  <c r="A420" i="100" s="1"/>
  <c r="A432" i="100" s="1"/>
  <c r="A444" i="100" s="1"/>
  <c r="A191" i="100"/>
  <c r="A203" i="100" s="1"/>
  <c r="A215" i="100" s="1"/>
  <c r="A227" i="100" s="1"/>
  <c r="A239" i="100" s="1"/>
  <c r="A251" i="100" s="1"/>
  <c r="A263" i="100" s="1"/>
  <c r="A275" i="100" s="1"/>
  <c r="A287" i="100" s="1"/>
  <c r="A299" i="100" s="1"/>
  <c r="A311" i="100" s="1"/>
  <c r="A323" i="100" s="1"/>
  <c r="A335" i="100" s="1"/>
  <c r="A347" i="100" s="1"/>
  <c r="A359" i="100" s="1"/>
  <c r="A371" i="100" s="1"/>
  <c r="A383" i="100" s="1"/>
  <c r="A395" i="100" s="1"/>
  <c r="A407" i="100" s="1"/>
  <c r="A419" i="100" s="1"/>
  <c r="A431" i="100" s="1"/>
  <c r="A443" i="100" s="1"/>
  <c r="A190" i="100"/>
  <c r="A202" i="100" s="1"/>
  <c r="A214" i="100" s="1"/>
  <c r="A226" i="100" s="1"/>
  <c r="A238" i="100" s="1"/>
  <c r="A250" i="100" s="1"/>
  <c r="A262" i="100" s="1"/>
  <c r="A274" i="100" s="1"/>
  <c r="A286" i="100" s="1"/>
  <c r="A298" i="100" s="1"/>
  <c r="A310" i="100" s="1"/>
  <c r="A322" i="100" s="1"/>
  <c r="A334" i="100" s="1"/>
  <c r="A346" i="100" s="1"/>
  <c r="A358" i="100" s="1"/>
  <c r="A370" i="100" s="1"/>
  <c r="A382" i="100" s="1"/>
  <c r="A394" i="100" s="1"/>
  <c r="A406" i="100" s="1"/>
  <c r="A418" i="100" s="1"/>
  <c r="A430" i="100" s="1"/>
  <c r="A442" i="100" s="1"/>
  <c r="G64" i="53"/>
  <c r="J104" i="49"/>
  <c r="I104" i="49" s="1"/>
  <c r="M104" i="49"/>
  <c r="L104" i="49" s="1"/>
  <c r="J103" i="49"/>
  <c r="I103" i="49" s="1"/>
  <c r="M103" i="49"/>
  <c r="L103" i="49" s="1"/>
  <c r="C102" i="49"/>
  <c r="B102" i="49" s="1"/>
  <c r="F102" i="49"/>
  <c r="E102" i="49" s="1"/>
  <c r="C104" i="49"/>
  <c r="B104" i="49" s="1"/>
  <c r="H273" i="17"/>
  <c r="S224" i="3"/>
  <c r="R224" i="3"/>
  <c r="AF271" i="68"/>
  <c r="Z270" i="68"/>
  <c r="B205" i="68"/>
  <c r="C221" i="3"/>
  <c r="S220" i="3"/>
  <c r="B281" i="89"/>
  <c r="B282" i="89"/>
  <c r="Z268" i="68"/>
  <c r="C220" i="3"/>
  <c r="C229"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109" i="59"/>
  <c r="C110" i="59"/>
  <c r="C111" i="59"/>
  <c r="C112" i="59"/>
  <c r="C113" i="59"/>
  <c r="C114" i="59"/>
  <c r="C115" i="59"/>
  <c r="C116" i="59"/>
  <c r="C117" i="59"/>
  <c r="C118" i="59"/>
  <c r="C119" i="59"/>
  <c r="C120" i="59"/>
  <c r="C121" i="59"/>
  <c r="C122" i="59"/>
  <c r="C123" i="59"/>
  <c r="C124" i="59"/>
  <c r="C125" i="59"/>
  <c r="C126" i="59"/>
  <c r="C127" i="59"/>
  <c r="C128" i="59"/>
  <c r="C129" i="59"/>
  <c r="C130" i="59"/>
  <c r="C131" i="59"/>
  <c r="C132" i="59"/>
  <c r="C133" i="59"/>
  <c r="C134" i="59"/>
  <c r="C135" i="59"/>
  <c r="C136" i="59"/>
  <c r="C137" i="59"/>
  <c r="C138" i="59"/>
  <c r="C139" i="59"/>
  <c r="C140" i="59"/>
  <c r="C141" i="59"/>
  <c r="C142" i="59"/>
  <c r="C143" i="59"/>
  <c r="C144" i="59"/>
  <c r="C145" i="59"/>
  <c r="C146" i="59"/>
  <c r="C147" i="59"/>
  <c r="C148" i="59"/>
  <c r="C149" i="59"/>
  <c r="C150" i="59"/>
  <c r="C151" i="59"/>
  <c r="C152" i="59"/>
  <c r="C153" i="59"/>
  <c r="C154" i="59"/>
  <c r="C155" i="59"/>
  <c r="C156" i="59"/>
  <c r="C157" i="59"/>
  <c r="C158" i="59"/>
  <c r="C159" i="59"/>
  <c r="C160" i="59"/>
  <c r="C161" i="59"/>
  <c r="C162" i="59"/>
  <c r="C163" i="59"/>
  <c r="C218" i="3"/>
  <c r="J102" i="49"/>
  <c r="I102" i="49" s="1"/>
  <c r="M102" i="49"/>
  <c r="L102" i="49" s="1"/>
  <c r="G78" i="53"/>
  <c r="Z266" i="68"/>
  <c r="D255" i="52"/>
  <c r="G255" i="52"/>
  <c r="J253" i="52"/>
  <c r="G253" i="52"/>
  <c r="D253" i="52"/>
  <c r="J200" i="52"/>
  <c r="G200" i="52"/>
  <c r="D200" i="52"/>
  <c r="J10" i="52"/>
  <c r="D10" i="52"/>
  <c r="B275" i="11"/>
  <c r="Z264" i="68"/>
  <c r="AA261" i="68"/>
  <c r="Y261" i="68"/>
  <c r="X261" i="68"/>
  <c r="AA260" i="68"/>
  <c r="Y260" i="68"/>
  <c r="X260" i="68"/>
  <c r="AA259" i="68"/>
  <c r="Y259" i="68"/>
  <c r="X259" i="68"/>
  <c r="AA258" i="68"/>
  <c r="Y258" i="68"/>
  <c r="X258" i="68"/>
  <c r="AA257" i="68"/>
  <c r="Y257" i="68"/>
  <c r="X257" i="68"/>
  <c r="AA256" i="68"/>
  <c r="Y256" i="68"/>
  <c r="Z256" i="68" s="1"/>
  <c r="AA255" i="68"/>
  <c r="AA254" i="68"/>
  <c r="AA253" i="68"/>
  <c r="AA252" i="68"/>
  <c r="AA251" i="68"/>
  <c r="Y251" i="68"/>
  <c r="Z251" i="68" s="1"/>
  <c r="AA249" i="68"/>
  <c r="AA248" i="68"/>
  <c r="AA247" i="68"/>
  <c r="AA245" i="68"/>
  <c r="X245" i="68"/>
  <c r="Z245" i="68" s="1"/>
  <c r="AA244" i="68"/>
  <c r="AA243" i="68"/>
  <c r="Y243" i="68"/>
  <c r="Z243" i="68" s="1"/>
  <c r="AA242" i="68"/>
  <c r="AA241" i="68"/>
  <c r="AA240" i="68"/>
  <c r="Y240" i="68"/>
  <c r="Z240" i="68" s="1"/>
  <c r="AA239" i="68"/>
  <c r="AA238" i="68"/>
  <c r="Y238" i="68"/>
  <c r="Z238" i="68" s="1"/>
  <c r="AA237" i="68"/>
  <c r="Y237" i="68"/>
  <c r="Z237" i="68" s="1"/>
  <c r="AG237" i="68"/>
  <c r="AA236" i="68"/>
  <c r="Y236" i="68"/>
  <c r="Z236" i="68" s="1"/>
  <c r="AA235" i="68"/>
  <c r="Y235" i="68"/>
  <c r="Z235" i="68" s="1"/>
  <c r="AA234" i="68"/>
  <c r="Y234" i="68"/>
  <c r="Z234" i="68" s="1"/>
  <c r="AA233" i="68"/>
  <c r="Y233" i="68"/>
  <c r="Z233" i="68" s="1"/>
  <c r="AA232" i="68"/>
  <c r="Y232" i="68"/>
  <c r="Z232" i="68" s="1"/>
  <c r="AA231" i="68"/>
  <c r="AA230" i="68"/>
  <c r="AA228" i="68"/>
  <c r="AA227" i="68"/>
  <c r="AA226" i="68"/>
  <c r="AA214" i="68"/>
  <c r="Y214" i="68"/>
  <c r="Z214" i="68" s="1"/>
  <c r="AA215" i="68"/>
  <c r="AA216" i="68"/>
  <c r="Y216" i="68"/>
  <c r="Z216" i="68" s="1"/>
  <c r="AA217" i="68"/>
  <c r="Y217" i="68"/>
  <c r="X217" i="68"/>
  <c r="AA218" i="68"/>
  <c r="AG218" i="68"/>
  <c r="AA219" i="68"/>
  <c r="AA220" i="68"/>
  <c r="AA221" i="68"/>
  <c r="AA222" i="68"/>
  <c r="Y222" i="68"/>
  <c r="Z222" i="68" s="1"/>
  <c r="AA223" i="68"/>
  <c r="X223" i="68"/>
  <c r="Z223" i="68" s="1"/>
  <c r="AA224" i="68"/>
  <c r="AF10" i="68"/>
  <c r="AF11" i="68"/>
  <c r="AF12" i="68"/>
  <c r="AF13" i="68"/>
  <c r="AF14" i="68"/>
  <c r="AF15" i="68"/>
  <c r="AF16" i="68"/>
  <c r="AF17" i="68"/>
  <c r="AF18" i="68"/>
  <c r="AF19" i="68"/>
  <c r="AF20" i="68"/>
  <c r="AF21" i="68"/>
  <c r="AF22" i="68"/>
  <c r="AF23" i="68"/>
  <c r="AF24" i="68"/>
  <c r="AF25" i="68"/>
  <c r="AF26" i="68"/>
  <c r="AF27" i="68"/>
  <c r="AF28" i="68"/>
  <c r="AF29" i="68"/>
  <c r="AF30" i="68"/>
  <c r="AF31" i="68"/>
  <c r="AF32" i="68"/>
  <c r="AF33" i="68"/>
  <c r="AF34" i="68"/>
  <c r="AF35" i="68"/>
  <c r="AF36" i="68"/>
  <c r="AF37" i="68"/>
  <c r="AF38" i="68"/>
  <c r="AF39" i="68"/>
  <c r="AF40" i="68"/>
  <c r="AF41" i="68"/>
  <c r="AF42" i="68"/>
  <c r="AF43" i="68"/>
  <c r="AF44" i="68"/>
  <c r="AF45" i="68"/>
  <c r="AF46" i="68"/>
  <c r="AF47" i="68"/>
  <c r="AF48" i="68"/>
  <c r="AF49" i="68"/>
  <c r="AF50" i="68"/>
  <c r="AF51" i="68"/>
  <c r="AF52" i="68"/>
  <c r="AF53" i="68"/>
  <c r="AF54" i="68"/>
  <c r="AF55" i="68"/>
  <c r="AF56" i="68"/>
  <c r="AF57" i="68"/>
  <c r="AF58" i="68"/>
  <c r="AF59" i="68"/>
  <c r="AF60" i="68"/>
  <c r="AF61" i="68"/>
  <c r="AF62" i="68"/>
  <c r="AF63" i="68"/>
  <c r="AF64" i="68"/>
  <c r="AF65" i="68"/>
  <c r="AF66" i="68"/>
  <c r="AF67" i="68"/>
  <c r="AF68" i="68"/>
  <c r="AF69" i="68"/>
  <c r="AF70" i="68"/>
  <c r="AF71" i="68"/>
  <c r="AF72" i="68"/>
  <c r="AF73" i="68"/>
  <c r="AF74" i="68"/>
  <c r="AF75" i="68"/>
  <c r="AF76" i="68"/>
  <c r="AF77" i="68"/>
  <c r="AF78" i="68"/>
  <c r="AF79" i="68"/>
  <c r="AF80" i="68"/>
  <c r="AF81" i="68"/>
  <c r="AF82" i="68"/>
  <c r="AF83" i="68"/>
  <c r="AF84" i="68"/>
  <c r="AF85" i="68"/>
  <c r="AF86" i="68"/>
  <c r="AF87" i="68"/>
  <c r="AF88" i="68"/>
  <c r="AF89" i="68"/>
  <c r="AF90" i="68"/>
  <c r="AF91" i="68"/>
  <c r="AF92" i="68"/>
  <c r="AF93" i="68"/>
  <c r="AF94" i="68"/>
  <c r="AF95" i="68"/>
  <c r="AF96" i="68"/>
  <c r="AF97" i="68"/>
  <c r="AF98" i="68"/>
  <c r="AF99" i="68"/>
  <c r="AF100" i="68"/>
  <c r="AF101" i="68"/>
  <c r="AF102" i="68"/>
  <c r="AF103" i="68"/>
  <c r="AF104" i="68"/>
  <c r="AF105" i="68"/>
  <c r="AF106" i="68"/>
  <c r="AF107" i="68"/>
  <c r="AF108" i="68"/>
  <c r="AF109" i="68"/>
  <c r="AF110" i="68"/>
  <c r="AF111" i="68"/>
  <c r="AF112" i="68"/>
  <c r="AF113" i="68"/>
  <c r="AF114" i="68"/>
  <c r="AF115" i="68"/>
  <c r="AF116" i="68"/>
  <c r="AF117" i="68"/>
  <c r="AF118" i="68"/>
  <c r="AF119" i="68"/>
  <c r="AF120" i="68"/>
  <c r="AF121" i="68"/>
  <c r="AF122" i="68"/>
  <c r="AF123" i="68"/>
  <c r="AF124" i="68"/>
  <c r="AF125" i="68"/>
  <c r="AF126" i="68"/>
  <c r="AF127" i="68"/>
  <c r="AF128" i="68"/>
  <c r="AF129" i="68"/>
  <c r="AF130" i="68"/>
  <c r="AF131" i="68"/>
  <c r="AF132" i="68"/>
  <c r="AF133" i="68"/>
  <c r="AF134" i="68"/>
  <c r="AF135" i="68"/>
  <c r="AF136" i="68"/>
  <c r="AF137" i="68"/>
  <c r="AF138" i="68"/>
  <c r="AF139" i="68"/>
  <c r="AF140" i="68"/>
  <c r="AF141" i="68"/>
  <c r="AF142" i="68"/>
  <c r="AF143" i="68"/>
  <c r="AF144" i="68"/>
  <c r="AF145" i="68"/>
  <c r="AF146" i="68"/>
  <c r="AF147" i="68"/>
  <c r="AF148" i="68"/>
  <c r="AF149" i="68"/>
  <c r="AF150" i="68"/>
  <c r="AF151" i="68"/>
  <c r="AF152" i="68"/>
  <c r="AF153" i="68"/>
  <c r="AF154" i="68"/>
  <c r="AF155" i="68"/>
  <c r="AF156" i="68"/>
  <c r="AF157" i="68"/>
  <c r="AF158" i="68"/>
  <c r="AF159" i="68"/>
  <c r="AF160" i="68"/>
  <c r="AF161" i="68"/>
  <c r="AF162" i="68"/>
  <c r="AF163" i="68"/>
  <c r="AF164" i="68"/>
  <c r="AF165" i="68"/>
  <c r="AF166" i="68"/>
  <c r="AF167" i="68"/>
  <c r="AF168" i="68"/>
  <c r="AF169" i="68"/>
  <c r="AF170" i="68"/>
  <c r="AF171" i="68"/>
  <c r="AF172" i="68"/>
  <c r="AF173" i="68"/>
  <c r="AF174" i="68"/>
  <c r="AF175" i="68"/>
  <c r="AF176" i="68"/>
  <c r="AF177" i="68"/>
  <c r="AF178" i="68"/>
  <c r="AF179" i="68"/>
  <c r="AF180" i="68"/>
  <c r="AF181" i="68"/>
  <c r="AF182" i="68"/>
  <c r="AF183" i="68"/>
  <c r="AF184" i="68"/>
  <c r="AF185" i="68"/>
  <c r="AF186" i="68"/>
  <c r="AF187" i="68"/>
  <c r="AF188" i="68"/>
  <c r="AF189" i="68"/>
  <c r="AF190" i="68"/>
  <c r="AF191" i="68"/>
  <c r="AF192" i="68"/>
  <c r="AF193" i="68"/>
  <c r="AF194" i="68"/>
  <c r="AF195" i="68"/>
  <c r="AF196" i="68"/>
  <c r="AF197" i="68"/>
  <c r="AF198" i="68"/>
  <c r="AF199" i="68"/>
  <c r="AF200" i="68"/>
  <c r="AF201" i="68"/>
  <c r="AF202" i="68"/>
  <c r="AF203" i="68"/>
  <c r="AF204" i="68"/>
  <c r="AF205" i="68"/>
  <c r="AF206" i="68"/>
  <c r="AF207" i="68"/>
  <c r="AF208" i="68"/>
  <c r="AF209" i="68"/>
  <c r="AF210" i="68"/>
  <c r="AF211" i="68"/>
  <c r="AF212" i="68"/>
  <c r="AF213" i="68"/>
  <c r="AF214" i="68"/>
  <c r="AF215" i="68"/>
  <c r="AF216" i="68"/>
  <c r="AF217" i="68"/>
  <c r="AF218" i="68"/>
  <c r="AF219" i="68"/>
  <c r="AF220" i="68"/>
  <c r="AF221" i="68"/>
  <c r="AF222" i="68"/>
  <c r="AF223" i="68"/>
  <c r="AF224" i="68"/>
  <c r="AF226" i="68"/>
  <c r="AF227" i="68"/>
  <c r="AF228" i="68"/>
  <c r="AF229" i="68"/>
  <c r="AF230" i="68"/>
  <c r="AF231" i="68"/>
  <c r="AF232" i="68"/>
  <c r="AF233" i="68"/>
  <c r="AF234" i="68"/>
  <c r="AF236" i="68"/>
  <c r="AF237" i="68"/>
  <c r="AF238" i="68"/>
  <c r="AF239" i="68"/>
  <c r="AF240" i="68"/>
  <c r="AF241" i="68"/>
  <c r="AF242" i="68"/>
  <c r="AF243" i="68"/>
  <c r="AF244" i="68"/>
  <c r="AF245" i="68"/>
  <c r="AF246" i="68"/>
  <c r="AF247" i="68"/>
  <c r="AF248" i="68"/>
  <c r="AF249" i="68"/>
  <c r="AF250" i="68"/>
  <c r="AF251" i="68"/>
  <c r="AF252" i="68"/>
  <c r="AF253" i="68"/>
  <c r="AF254" i="68"/>
  <c r="AF255" i="68"/>
  <c r="AF256" i="68"/>
  <c r="AF257" i="68"/>
  <c r="AF258" i="68"/>
  <c r="AF259" i="68"/>
  <c r="AF260" i="68"/>
  <c r="AF261" i="68"/>
  <c r="AF262" i="68"/>
  <c r="AF263" i="68"/>
  <c r="AF264" i="68"/>
  <c r="AF266" i="68"/>
  <c r="AF267" i="68"/>
  <c r="AF268" i="68"/>
  <c r="AF269" i="68"/>
  <c r="AF270" i="68"/>
  <c r="AF272" i="68"/>
  <c r="AF273" i="68"/>
  <c r="AF274" i="68"/>
  <c r="AF275" i="68"/>
  <c r="AF276" i="68"/>
  <c r="AF277" i="68"/>
  <c r="AF278" i="68"/>
  <c r="AF279" i="68"/>
  <c r="AF280" i="68"/>
  <c r="AF281" i="68"/>
  <c r="AF282" i="68"/>
  <c r="AF283" i="68"/>
  <c r="AF284" i="68"/>
  <c r="AF285" i="68"/>
  <c r="AF286" i="68"/>
  <c r="AF287" i="68"/>
  <c r="AF288" i="68"/>
  <c r="AF289" i="68"/>
  <c r="AF290" i="68"/>
  <c r="AF291" i="68"/>
  <c r="AF292" i="68"/>
  <c r="AF293" i="68"/>
  <c r="AF294" i="68"/>
  <c r="AF295" i="68"/>
  <c r="AF296" i="68"/>
  <c r="AF297" i="68"/>
  <c r="AF298" i="68"/>
  <c r="AF299" i="68"/>
  <c r="AF300" i="68"/>
  <c r="AF301" i="68"/>
  <c r="AF302" i="68"/>
  <c r="AF304" i="68"/>
  <c r="AF305" i="68"/>
  <c r="AF306" i="68"/>
  <c r="AF307" i="68"/>
  <c r="AF225" i="68"/>
  <c r="AA225" i="68"/>
  <c r="Z226" i="68"/>
  <c r="Z227" i="68"/>
  <c r="Z228" i="68"/>
  <c r="Z229" i="68"/>
  <c r="Z230" i="68"/>
  <c r="Z231" i="68"/>
  <c r="Z239" i="68"/>
  <c r="Z241" i="68"/>
  <c r="Z242" i="68"/>
  <c r="Z244" i="68"/>
  <c r="Z246" i="68"/>
  <c r="Z247" i="68"/>
  <c r="Z248" i="68"/>
  <c r="Z249" i="68"/>
  <c r="Z250" i="68"/>
  <c r="Z252" i="68"/>
  <c r="Z253" i="68"/>
  <c r="Z254" i="68"/>
  <c r="Z255" i="68"/>
  <c r="Z263" i="68"/>
  <c r="Z265" i="68"/>
  <c r="Z267" i="68"/>
  <c r="Z269" i="68"/>
  <c r="Z272" i="68"/>
  <c r="Z274" i="68"/>
  <c r="Z275" i="68"/>
  <c r="Z276" i="68"/>
  <c r="Z277" i="68"/>
  <c r="Z278" i="68"/>
  <c r="Z279" i="68"/>
  <c r="Z280" i="68"/>
  <c r="Z282" i="68"/>
  <c r="Z283" i="68"/>
  <c r="Z285" i="68"/>
  <c r="Z286" i="68"/>
  <c r="Z287" i="68"/>
  <c r="Z288" i="68"/>
  <c r="Z290" i="68"/>
  <c r="Z291" i="68"/>
  <c r="Z293" i="68"/>
  <c r="Z294" i="68"/>
  <c r="Z296" i="68"/>
  <c r="Z297" i="68"/>
  <c r="Z298" i="68"/>
  <c r="Z299" i="68"/>
  <c r="Z300" i="68"/>
  <c r="Z302" i="68"/>
  <c r="Z305" i="68"/>
  <c r="Z306" i="68"/>
  <c r="Z308" i="68"/>
  <c r="Z309" i="68"/>
  <c r="Z10" i="68"/>
  <c r="Z12" i="68"/>
  <c r="Z13" i="68"/>
  <c r="Z14" i="68"/>
  <c r="Z15" i="68"/>
  <c r="Z16" i="68"/>
  <c r="Z18" i="68"/>
  <c r="Z19" i="68"/>
  <c r="Z20" i="68"/>
  <c r="Z21" i="68"/>
  <c r="Z22" i="68"/>
  <c r="Z23" i="68"/>
  <c r="Z24" i="68"/>
  <c r="Z25" i="68"/>
  <c r="Z26" i="68"/>
  <c r="Z27" i="68"/>
  <c r="Z28" i="68"/>
  <c r="Z29" i="68"/>
  <c r="Z30" i="68"/>
  <c r="Z31" i="68"/>
  <c r="Z32" i="68"/>
  <c r="Z33" i="68"/>
  <c r="Z34" i="68"/>
  <c r="Z35" i="68"/>
  <c r="Z36" i="68"/>
  <c r="Z37" i="68"/>
  <c r="Z38" i="68"/>
  <c r="Z39" i="68"/>
  <c r="Z40" i="68"/>
  <c r="Z41" i="68"/>
  <c r="Z42" i="68"/>
  <c r="Z43" i="68"/>
  <c r="Z44" i="68"/>
  <c r="Z45" i="68"/>
  <c r="Z46" i="68"/>
  <c r="Z47" i="68"/>
  <c r="Z48" i="68"/>
  <c r="Z49" i="68"/>
  <c r="Z50" i="68"/>
  <c r="Z51" i="68"/>
  <c r="Z52" i="68"/>
  <c r="Z53" i="68"/>
  <c r="Z54" i="68"/>
  <c r="Z55" i="68"/>
  <c r="Z56" i="68"/>
  <c r="Z57" i="68"/>
  <c r="Z58" i="68"/>
  <c r="Z59" i="68"/>
  <c r="Z60" i="68"/>
  <c r="Z61" i="68"/>
  <c r="Z62" i="68"/>
  <c r="Z63" i="68"/>
  <c r="Z64" i="68"/>
  <c r="Z65" i="68"/>
  <c r="Z66" i="68"/>
  <c r="Z67" i="68"/>
  <c r="Z68" i="68"/>
  <c r="Z69" i="68"/>
  <c r="Z70" i="68"/>
  <c r="Z71" i="68"/>
  <c r="Z72" i="68"/>
  <c r="Z73" i="68"/>
  <c r="Z74" i="68"/>
  <c r="Z75" i="68"/>
  <c r="Z76" i="68"/>
  <c r="Z77" i="68"/>
  <c r="Z78" i="68"/>
  <c r="Z79" i="68"/>
  <c r="Z80" i="68"/>
  <c r="Z81" i="68"/>
  <c r="Z82" i="68"/>
  <c r="Z83" i="68"/>
  <c r="Z84" i="68"/>
  <c r="Z85" i="68"/>
  <c r="Z86" i="68"/>
  <c r="Z87" i="68"/>
  <c r="Z88" i="68"/>
  <c r="Z89" i="68"/>
  <c r="Z90" i="68"/>
  <c r="Z91" i="68"/>
  <c r="Z92" i="68"/>
  <c r="Z93" i="68"/>
  <c r="Z94" i="68"/>
  <c r="Z95" i="68"/>
  <c r="Z96" i="68"/>
  <c r="Z97" i="68"/>
  <c r="Z98" i="68"/>
  <c r="Z99" i="68"/>
  <c r="Z100" i="68"/>
  <c r="Z101" i="68"/>
  <c r="Z102" i="68"/>
  <c r="Z103" i="68"/>
  <c r="Z104" i="68"/>
  <c r="Z105" i="68"/>
  <c r="Z106" i="68"/>
  <c r="Z107" i="68"/>
  <c r="Z108" i="68"/>
  <c r="Z109" i="68"/>
  <c r="Z110" i="68"/>
  <c r="Z111" i="68"/>
  <c r="Z112" i="68"/>
  <c r="Z113" i="68"/>
  <c r="Z114" i="68"/>
  <c r="Z115" i="68"/>
  <c r="Z116" i="68"/>
  <c r="Z117" i="68"/>
  <c r="Z118" i="68"/>
  <c r="Z119" i="68"/>
  <c r="Z120" i="68"/>
  <c r="Z121" i="68"/>
  <c r="Z122" i="68"/>
  <c r="Z123" i="68"/>
  <c r="Z124" i="68"/>
  <c r="Z125" i="68"/>
  <c r="Z126" i="68"/>
  <c r="Z127" i="68"/>
  <c r="Z128" i="68"/>
  <c r="Z129" i="68"/>
  <c r="Z130" i="68"/>
  <c r="Z131" i="68"/>
  <c r="Z132" i="68"/>
  <c r="Z133" i="68"/>
  <c r="Z134" i="68"/>
  <c r="Z135" i="68"/>
  <c r="Z136" i="68"/>
  <c r="Z137" i="68"/>
  <c r="Z138" i="68"/>
  <c r="Z139" i="68"/>
  <c r="Z140" i="68"/>
  <c r="Z141" i="68"/>
  <c r="Z142" i="68"/>
  <c r="Z143" i="68"/>
  <c r="Z144" i="68"/>
  <c r="Z145" i="68"/>
  <c r="Z146" i="68"/>
  <c r="Z147" i="68"/>
  <c r="Z148" i="68"/>
  <c r="Z149" i="68"/>
  <c r="Z150" i="68"/>
  <c r="Z151" i="68"/>
  <c r="Z152" i="68"/>
  <c r="Z153" i="68"/>
  <c r="Z154" i="68"/>
  <c r="Z155" i="68"/>
  <c r="Z156" i="68"/>
  <c r="Z157" i="68"/>
  <c r="Z158" i="68"/>
  <c r="Z159" i="68"/>
  <c r="Z160" i="68"/>
  <c r="Z161" i="68"/>
  <c r="Z162" i="68"/>
  <c r="Z163" i="68"/>
  <c r="Z164" i="68"/>
  <c r="Z165" i="68"/>
  <c r="Z166" i="68"/>
  <c r="Z167" i="68"/>
  <c r="Z168" i="68"/>
  <c r="Z169" i="68"/>
  <c r="Z170" i="68"/>
  <c r="Z171" i="68"/>
  <c r="Z172" i="68"/>
  <c r="Z173" i="68"/>
  <c r="Z174" i="68"/>
  <c r="Z175" i="68"/>
  <c r="Z176" i="68"/>
  <c r="Z177" i="68"/>
  <c r="Z178" i="68"/>
  <c r="Z179" i="68"/>
  <c r="Z180" i="68"/>
  <c r="Z181" i="68"/>
  <c r="Z182" i="68"/>
  <c r="Z183" i="68"/>
  <c r="Z184" i="68"/>
  <c r="Z185" i="68"/>
  <c r="Z186" i="68"/>
  <c r="Z187" i="68"/>
  <c r="Z188" i="68"/>
  <c r="Z189" i="68"/>
  <c r="Z190" i="68"/>
  <c r="Z191" i="68"/>
  <c r="Z192" i="68"/>
  <c r="Z193" i="68"/>
  <c r="Z194" i="68"/>
  <c r="Z195" i="68"/>
  <c r="Z196" i="68"/>
  <c r="Z197" i="68"/>
  <c r="Z198" i="68"/>
  <c r="Z199" i="68"/>
  <c r="Z200" i="68"/>
  <c r="Z201" i="68"/>
  <c r="Z202" i="68"/>
  <c r="Z203" i="68"/>
  <c r="Z204" i="68"/>
  <c r="Z205" i="68"/>
  <c r="Z206" i="68"/>
  <c r="Z207" i="68"/>
  <c r="Z208" i="68"/>
  <c r="Z209" i="68"/>
  <c r="Z210" i="68"/>
  <c r="Z211" i="68"/>
  <c r="Z212" i="68"/>
  <c r="Z213" i="68"/>
  <c r="Z215" i="68"/>
  <c r="Z218" i="68"/>
  <c r="Z219" i="68"/>
  <c r="Z220" i="68"/>
  <c r="Z221" i="68"/>
  <c r="Z224" i="68"/>
  <c r="Y225" i="68"/>
  <c r="Z225" i="68" s="1"/>
  <c r="G63" i="53"/>
  <c r="Q10" i="38"/>
  <c r="C10" i="38" s="1"/>
  <c r="Q11" i="38"/>
  <c r="C11" i="38" s="1"/>
  <c r="Q12" i="38"/>
  <c r="C12" i="38" s="1"/>
  <c r="Q13" i="38"/>
  <c r="C13" i="38" s="1"/>
  <c r="Q15" i="38"/>
  <c r="C15" i="38" s="1"/>
  <c r="Q16" i="38"/>
  <c r="C16" i="38" s="1"/>
  <c r="Q17" i="38"/>
  <c r="C17" i="38" s="1"/>
  <c r="Q18" i="38"/>
  <c r="C18" i="38" s="1"/>
  <c r="Q19" i="38"/>
  <c r="C19" i="38" s="1"/>
  <c r="Q20" i="38"/>
  <c r="C20" i="38" s="1"/>
  <c r="Q21" i="38"/>
  <c r="C21" i="38" s="1"/>
  <c r="Q22" i="38"/>
  <c r="C22" i="38" s="1"/>
  <c r="Q23" i="38"/>
  <c r="C23" i="38" s="1"/>
  <c r="Q24" i="38"/>
  <c r="C24" i="38" s="1"/>
  <c r="Q25" i="38"/>
  <c r="C25" i="38" s="1"/>
  <c r="Q26" i="38"/>
  <c r="C26" i="38" s="1"/>
  <c r="Q27" i="38"/>
  <c r="C27" i="38" s="1"/>
  <c r="Q28" i="38"/>
  <c r="C28" i="38" s="1"/>
  <c r="Q29" i="38"/>
  <c r="C29" i="38" s="1"/>
  <c r="Q30" i="38"/>
  <c r="C30" i="38" s="1"/>
  <c r="Q31" i="38"/>
  <c r="C31" i="38" s="1"/>
  <c r="Q32" i="38"/>
  <c r="C32" i="38" s="1"/>
  <c r="Q33" i="38"/>
  <c r="C33" i="38" s="1"/>
  <c r="Q34" i="38"/>
  <c r="C34" i="38" s="1"/>
  <c r="Q35" i="38"/>
  <c r="C35" i="38" s="1"/>
  <c r="Q36" i="38"/>
  <c r="C36" i="38" s="1"/>
  <c r="Q37" i="38"/>
  <c r="C37" i="38" s="1"/>
  <c r="Q38" i="38"/>
  <c r="C38" i="38" s="1"/>
  <c r="Q39" i="38"/>
  <c r="C39" i="38" s="1"/>
  <c r="Q40" i="38"/>
  <c r="C40" i="38" s="1"/>
  <c r="Q41" i="38"/>
  <c r="C41" i="38" s="1"/>
  <c r="Q43" i="38"/>
  <c r="C43" i="38" s="1"/>
  <c r="Q44" i="38"/>
  <c r="C44" i="38" s="1"/>
  <c r="Q45" i="38"/>
  <c r="C45" i="38" s="1"/>
  <c r="Q46" i="38"/>
  <c r="C46" i="38" s="1"/>
  <c r="Q47" i="38"/>
  <c r="C47" i="38" s="1"/>
  <c r="Q48" i="38"/>
  <c r="C48" i="38" s="1"/>
  <c r="Q49" i="38"/>
  <c r="C49" i="38" s="1"/>
  <c r="Q50" i="38"/>
  <c r="C50" i="38" s="1"/>
  <c r="Q51" i="38"/>
  <c r="C51" i="38" s="1"/>
  <c r="Q52" i="38"/>
  <c r="C52" i="38" s="1"/>
  <c r="Q53" i="38"/>
  <c r="C53" i="38" s="1"/>
  <c r="Q54" i="38"/>
  <c r="C54" i="38" s="1"/>
  <c r="Q55" i="38"/>
  <c r="C55" i="38" s="1"/>
  <c r="Q56" i="38"/>
  <c r="C56" i="38" s="1"/>
  <c r="Q57" i="38"/>
  <c r="C57" i="38" s="1"/>
  <c r="Q58" i="38"/>
  <c r="C58" i="38" s="1"/>
  <c r="Q59" i="38"/>
  <c r="C59" i="38" s="1"/>
  <c r="Q60" i="38"/>
  <c r="C60" i="38" s="1"/>
  <c r="Q61" i="38"/>
  <c r="C61" i="38" s="1"/>
  <c r="Q62" i="38"/>
  <c r="C62" i="38" s="1"/>
  <c r="Q63" i="38"/>
  <c r="C63" i="38" s="1"/>
  <c r="Q64" i="38"/>
  <c r="C64" i="38" s="1"/>
  <c r="Q65" i="38"/>
  <c r="C65" i="38" s="1"/>
  <c r="Q66" i="38"/>
  <c r="C66" i="38" s="1"/>
  <c r="Q67" i="38"/>
  <c r="C67" i="38" s="1"/>
  <c r="Q68" i="38"/>
  <c r="C68" i="38" s="1"/>
  <c r="Q69" i="38"/>
  <c r="C69" i="38" s="1"/>
  <c r="Q70" i="38"/>
  <c r="C70" i="38" s="1"/>
  <c r="Q71" i="38"/>
  <c r="C71" i="38" s="1"/>
  <c r="Q72" i="38"/>
  <c r="C72" i="38" s="1"/>
  <c r="Q73" i="38"/>
  <c r="C73" i="38" s="1"/>
  <c r="Q74" i="38"/>
  <c r="C74" i="38" s="1"/>
  <c r="Q75" i="38"/>
  <c r="C75" i="38" s="1"/>
  <c r="Q76" i="38"/>
  <c r="C76" i="38" s="1"/>
  <c r="Q77" i="38"/>
  <c r="C77" i="38" s="1"/>
  <c r="Q78" i="38"/>
  <c r="C78" i="38" s="1"/>
  <c r="Q79" i="38"/>
  <c r="C79" i="38" s="1"/>
  <c r="Q80" i="38"/>
  <c r="C80" i="38" s="1"/>
  <c r="Q81" i="38"/>
  <c r="C81" i="38" s="1"/>
  <c r="Q82" i="38"/>
  <c r="C82" i="38" s="1"/>
  <c r="Q83" i="38"/>
  <c r="C83" i="38" s="1"/>
  <c r="Q84" i="38"/>
  <c r="C84" i="38" s="1"/>
  <c r="Q85" i="38"/>
  <c r="C85" i="38" s="1"/>
  <c r="Q86" i="38"/>
  <c r="C86" i="38" s="1"/>
  <c r="Q87" i="38"/>
  <c r="C87" i="38" s="1"/>
  <c r="Q88" i="38"/>
  <c r="C88" i="38" s="1"/>
  <c r="Q89" i="38"/>
  <c r="C89" i="38" s="1"/>
  <c r="Q90" i="38"/>
  <c r="C90" i="38" s="1"/>
  <c r="Q91" i="38"/>
  <c r="C91" i="38" s="1"/>
  <c r="Q92" i="38"/>
  <c r="C92" i="38" s="1"/>
  <c r="Q93" i="38"/>
  <c r="C93" i="38" s="1"/>
  <c r="Q94" i="38"/>
  <c r="C94" i="38" s="1"/>
  <c r="Q95" i="38"/>
  <c r="C95" i="38" s="1"/>
  <c r="Q96" i="38"/>
  <c r="C96" i="38" s="1"/>
  <c r="Q97" i="38"/>
  <c r="C97" i="38" s="1"/>
  <c r="Q98" i="38"/>
  <c r="C98" i="38" s="1"/>
  <c r="Q99" i="38"/>
  <c r="C99" i="38" s="1"/>
  <c r="Q100" i="38"/>
  <c r="C100" i="38" s="1"/>
  <c r="Q101" i="38"/>
  <c r="C101" i="38" s="1"/>
  <c r="Q102" i="38"/>
  <c r="C102" i="38" s="1"/>
  <c r="Q103" i="38"/>
  <c r="C103" i="38" s="1"/>
  <c r="Q104" i="38"/>
  <c r="C104" i="38" s="1"/>
  <c r="Q105" i="38"/>
  <c r="C105" i="38" s="1"/>
  <c r="Q106" i="38"/>
  <c r="C106" i="38" s="1"/>
  <c r="Q107" i="38"/>
  <c r="C107" i="38" s="1"/>
  <c r="Q108" i="38"/>
  <c r="C108" i="38" s="1"/>
  <c r="Q109" i="38"/>
  <c r="C109" i="38" s="1"/>
  <c r="Q110" i="38"/>
  <c r="C110" i="38" s="1"/>
  <c r="Q111" i="38"/>
  <c r="C111" i="38" s="1"/>
  <c r="Q112" i="38"/>
  <c r="C112" i="38" s="1"/>
  <c r="Q113" i="38"/>
  <c r="C113" i="38" s="1"/>
  <c r="Q114" i="38"/>
  <c r="C114" i="38" s="1"/>
  <c r="Q115" i="38"/>
  <c r="C115" i="38" s="1"/>
  <c r="Q116" i="38"/>
  <c r="C116" i="38" s="1"/>
  <c r="Q117" i="38"/>
  <c r="C117" i="38" s="1"/>
  <c r="Q118" i="38"/>
  <c r="C118" i="38" s="1"/>
  <c r="Q119" i="38"/>
  <c r="C119" i="38" s="1"/>
  <c r="Q120" i="38"/>
  <c r="C120" i="38" s="1"/>
  <c r="Q121" i="38"/>
  <c r="C121" i="38" s="1"/>
  <c r="Q122" i="38"/>
  <c r="C122" i="38" s="1"/>
  <c r="Q123" i="38"/>
  <c r="C123" i="38" s="1"/>
  <c r="Q124" i="38"/>
  <c r="C124" i="38" s="1"/>
  <c r="Q125" i="38"/>
  <c r="C125" i="38" s="1"/>
  <c r="Q126" i="38"/>
  <c r="C126" i="38" s="1"/>
  <c r="Q127" i="38"/>
  <c r="C127" i="38" s="1"/>
  <c r="Q128" i="38"/>
  <c r="C128" i="38" s="1"/>
  <c r="Q129" i="38"/>
  <c r="C129" i="38" s="1"/>
  <c r="Q130" i="38"/>
  <c r="C130" i="38" s="1"/>
  <c r="Q131" i="38"/>
  <c r="C131" i="38" s="1"/>
  <c r="Q132" i="38"/>
  <c r="C132" i="38" s="1"/>
  <c r="Q133" i="38"/>
  <c r="C133" i="38" s="1"/>
  <c r="Q134" i="38"/>
  <c r="C134" i="38" s="1"/>
  <c r="Q135" i="38"/>
  <c r="C135" i="38" s="1"/>
  <c r="Q136" i="38"/>
  <c r="C136" i="38" s="1"/>
  <c r="Q137" i="38"/>
  <c r="C137" i="38" s="1"/>
  <c r="Q138" i="38"/>
  <c r="C138" i="38" s="1"/>
  <c r="Q139" i="38"/>
  <c r="C139" i="38" s="1"/>
  <c r="Q140" i="38"/>
  <c r="C140" i="38" s="1"/>
  <c r="Q141" i="38"/>
  <c r="C141" i="38" s="1"/>
  <c r="L10" i="38"/>
  <c r="B10" i="38" s="1"/>
  <c r="L11" i="38"/>
  <c r="B11" i="38" s="1"/>
  <c r="L12" i="38"/>
  <c r="B12" i="38" s="1"/>
  <c r="L13" i="38"/>
  <c r="B13" i="38" s="1"/>
  <c r="L14" i="38"/>
  <c r="B14" i="38" s="1"/>
  <c r="L15" i="38"/>
  <c r="B15" i="38" s="1"/>
  <c r="L16" i="38"/>
  <c r="B16" i="38" s="1"/>
  <c r="L17" i="38"/>
  <c r="B17" i="38" s="1"/>
  <c r="L18" i="38"/>
  <c r="B18" i="38" s="1"/>
  <c r="L19" i="38"/>
  <c r="B19" i="38" s="1"/>
  <c r="L20" i="38"/>
  <c r="B20" i="38" s="1"/>
  <c r="L21" i="38"/>
  <c r="B21" i="38" s="1"/>
  <c r="L22" i="38"/>
  <c r="B22" i="38" s="1"/>
  <c r="L23" i="38"/>
  <c r="B23" i="38" s="1"/>
  <c r="L24" i="38"/>
  <c r="B24" i="38" s="1"/>
  <c r="L25" i="38"/>
  <c r="B25" i="38" s="1"/>
  <c r="L26" i="38"/>
  <c r="B26" i="38" s="1"/>
  <c r="L27" i="38"/>
  <c r="B27" i="38" s="1"/>
  <c r="L28" i="38"/>
  <c r="B28" i="38" s="1"/>
  <c r="L29" i="38"/>
  <c r="B29" i="38" s="1"/>
  <c r="L30" i="38"/>
  <c r="B30" i="38" s="1"/>
  <c r="L31" i="38"/>
  <c r="B31" i="38" s="1"/>
  <c r="L32" i="38"/>
  <c r="B32" i="38" s="1"/>
  <c r="L33" i="38"/>
  <c r="B33" i="38" s="1"/>
  <c r="L34" i="38"/>
  <c r="B34" i="38" s="1"/>
  <c r="L35" i="38"/>
  <c r="B35" i="38" s="1"/>
  <c r="L36" i="38"/>
  <c r="B36" i="38" s="1"/>
  <c r="L37" i="38"/>
  <c r="B37" i="38" s="1"/>
  <c r="L38" i="38"/>
  <c r="B38" i="38" s="1"/>
  <c r="L39" i="38"/>
  <c r="B39" i="38" s="1"/>
  <c r="L40" i="38"/>
  <c r="B40" i="38" s="1"/>
  <c r="L41" i="38"/>
  <c r="B41" i="38" s="1"/>
  <c r="L42" i="38"/>
  <c r="B42" i="38" s="1"/>
  <c r="L43" i="38"/>
  <c r="B43" i="38" s="1"/>
  <c r="L44" i="38"/>
  <c r="B44" i="38" s="1"/>
  <c r="L45" i="38"/>
  <c r="B45" i="38" s="1"/>
  <c r="L46" i="38"/>
  <c r="B46" i="38" s="1"/>
  <c r="L47" i="38"/>
  <c r="B47" i="38" s="1"/>
  <c r="L48" i="38"/>
  <c r="B48" i="38" s="1"/>
  <c r="L49" i="38"/>
  <c r="B49" i="38" s="1"/>
  <c r="L50" i="38"/>
  <c r="B50" i="38" s="1"/>
  <c r="L51" i="38"/>
  <c r="B51" i="38" s="1"/>
  <c r="L52" i="38"/>
  <c r="B52" i="38" s="1"/>
  <c r="L53" i="38"/>
  <c r="B53" i="38" s="1"/>
  <c r="L54" i="38"/>
  <c r="B54" i="38" s="1"/>
  <c r="L55" i="38"/>
  <c r="B55" i="38" s="1"/>
  <c r="L56" i="38"/>
  <c r="B56" i="38" s="1"/>
  <c r="L57" i="38"/>
  <c r="B57" i="38" s="1"/>
  <c r="L58" i="38"/>
  <c r="B58" i="38" s="1"/>
  <c r="L59" i="38"/>
  <c r="B59" i="38" s="1"/>
  <c r="L60" i="38"/>
  <c r="B60" i="38" s="1"/>
  <c r="L61" i="38"/>
  <c r="B61" i="38" s="1"/>
  <c r="L62" i="38"/>
  <c r="B62" i="38" s="1"/>
  <c r="L63" i="38"/>
  <c r="B63" i="38" s="1"/>
  <c r="L64" i="38"/>
  <c r="B64" i="38" s="1"/>
  <c r="L65" i="38"/>
  <c r="B65" i="38" s="1"/>
  <c r="L66" i="38"/>
  <c r="B66" i="38" s="1"/>
  <c r="L67" i="38"/>
  <c r="B67" i="38" s="1"/>
  <c r="L68" i="38"/>
  <c r="B68" i="38" s="1"/>
  <c r="L69" i="38"/>
  <c r="B69" i="38" s="1"/>
  <c r="L70" i="38"/>
  <c r="B70" i="38" s="1"/>
  <c r="L71" i="38"/>
  <c r="B71" i="38" s="1"/>
  <c r="L72" i="38"/>
  <c r="B72" i="38" s="1"/>
  <c r="L73" i="38"/>
  <c r="B73" i="38" s="1"/>
  <c r="L74" i="38"/>
  <c r="B74" i="38" s="1"/>
  <c r="L75" i="38"/>
  <c r="B75" i="38" s="1"/>
  <c r="L76" i="38"/>
  <c r="B76" i="38" s="1"/>
  <c r="L77" i="38"/>
  <c r="B77" i="38" s="1"/>
  <c r="L78" i="38"/>
  <c r="B78" i="38" s="1"/>
  <c r="L79" i="38"/>
  <c r="B79" i="38" s="1"/>
  <c r="L80" i="38"/>
  <c r="B80" i="38" s="1"/>
  <c r="L81" i="38"/>
  <c r="B81" i="38" s="1"/>
  <c r="L82" i="38"/>
  <c r="B82" i="38" s="1"/>
  <c r="L83" i="38"/>
  <c r="B83" i="38" s="1"/>
  <c r="L84" i="38"/>
  <c r="B84" i="38" s="1"/>
  <c r="L85" i="38"/>
  <c r="B85" i="38" s="1"/>
  <c r="L86" i="38"/>
  <c r="B86" i="38" s="1"/>
  <c r="L87" i="38"/>
  <c r="B87" i="38" s="1"/>
  <c r="L88" i="38"/>
  <c r="B88" i="38" s="1"/>
  <c r="L89" i="38"/>
  <c r="B89" i="38" s="1"/>
  <c r="L90" i="38"/>
  <c r="B90" i="38" s="1"/>
  <c r="L91" i="38"/>
  <c r="B91" i="38" s="1"/>
  <c r="L92" i="38"/>
  <c r="B92" i="38" s="1"/>
  <c r="L93" i="38"/>
  <c r="B93" i="38" s="1"/>
  <c r="L94" i="38"/>
  <c r="B94" i="38" s="1"/>
  <c r="L95" i="38"/>
  <c r="B95" i="38" s="1"/>
  <c r="L96" i="38"/>
  <c r="B96" i="38" s="1"/>
  <c r="L97" i="38"/>
  <c r="B97" i="38" s="1"/>
  <c r="L98" i="38"/>
  <c r="B98" i="38" s="1"/>
  <c r="L99" i="38"/>
  <c r="B99" i="38" s="1"/>
  <c r="L100" i="38"/>
  <c r="B100" i="38" s="1"/>
  <c r="L101" i="38"/>
  <c r="B101" i="38" s="1"/>
  <c r="L102" i="38"/>
  <c r="B102" i="38" s="1"/>
  <c r="L103" i="38"/>
  <c r="B103" i="38" s="1"/>
  <c r="L104" i="38"/>
  <c r="B104" i="38" s="1"/>
  <c r="L105" i="38"/>
  <c r="B105" i="38" s="1"/>
  <c r="L106" i="38"/>
  <c r="B106" i="38" s="1"/>
  <c r="L107" i="38"/>
  <c r="B107" i="38" s="1"/>
  <c r="L108" i="38"/>
  <c r="B108" i="38" s="1"/>
  <c r="L109" i="38"/>
  <c r="B109" i="38" s="1"/>
  <c r="L110" i="38"/>
  <c r="B110" i="38" s="1"/>
  <c r="L111" i="38"/>
  <c r="B111" i="38" s="1"/>
  <c r="L112" i="38"/>
  <c r="B112" i="38" s="1"/>
  <c r="L113" i="38"/>
  <c r="B113" i="38" s="1"/>
  <c r="L114" i="38"/>
  <c r="B114" i="38" s="1"/>
  <c r="L115" i="38"/>
  <c r="B115" i="38" s="1"/>
  <c r="L116" i="38"/>
  <c r="B116" i="38" s="1"/>
  <c r="L117" i="38"/>
  <c r="B117" i="38" s="1"/>
  <c r="L118" i="38"/>
  <c r="B118" i="38" s="1"/>
  <c r="L119" i="38"/>
  <c r="B119" i="38" s="1"/>
  <c r="L120" i="38"/>
  <c r="B120" i="38" s="1"/>
  <c r="L121" i="38"/>
  <c r="B121" i="38" s="1"/>
  <c r="L122" i="38"/>
  <c r="B122" i="38" s="1"/>
  <c r="L123" i="38"/>
  <c r="B123" i="38" s="1"/>
  <c r="L124" i="38"/>
  <c r="B124" i="38" s="1"/>
  <c r="L125" i="38"/>
  <c r="B125" i="38" s="1"/>
  <c r="L126" i="38"/>
  <c r="B126" i="38" s="1"/>
  <c r="L127" i="38"/>
  <c r="B127" i="38" s="1"/>
  <c r="L128" i="38"/>
  <c r="B128" i="38" s="1"/>
  <c r="L129" i="38"/>
  <c r="B129" i="38" s="1"/>
  <c r="L130" i="38"/>
  <c r="B130" i="38" s="1"/>
  <c r="L131" i="38"/>
  <c r="B131" i="38" s="1"/>
  <c r="L132" i="38"/>
  <c r="B132" i="38" s="1"/>
  <c r="L133" i="38"/>
  <c r="B133" i="38" s="1"/>
  <c r="L134" i="38"/>
  <c r="B134" i="38" s="1"/>
  <c r="L135" i="38"/>
  <c r="B135" i="38" s="1"/>
  <c r="L136" i="38"/>
  <c r="B136" i="38" s="1"/>
  <c r="L137" i="38"/>
  <c r="B137" i="38" s="1"/>
  <c r="L138" i="38"/>
  <c r="B138" i="38" s="1"/>
  <c r="L139" i="38"/>
  <c r="B139" i="38" s="1"/>
  <c r="L140" i="38"/>
  <c r="B140" i="38" s="1"/>
  <c r="L141" i="38"/>
  <c r="B141" i="38" s="1"/>
  <c r="L142" i="38"/>
  <c r="B142" i="38" s="1"/>
  <c r="L143" i="38"/>
  <c r="B143" i="38" s="1"/>
  <c r="L144" i="38"/>
  <c r="B144" i="38" s="1"/>
  <c r="L145" i="38"/>
  <c r="B145" i="38" s="1"/>
  <c r="J101" i="49"/>
  <c r="I101" i="49" s="1"/>
  <c r="C101" i="49"/>
  <c r="B101" i="49" s="1"/>
  <c r="F101" i="49"/>
  <c r="E101" i="49" s="1"/>
  <c r="C100" i="49"/>
  <c r="B100" i="49" s="1"/>
  <c r="F100" i="49"/>
  <c r="E100" i="49" s="1"/>
  <c r="M101" i="49"/>
  <c r="L101" i="49" s="1"/>
  <c r="J100" i="49"/>
  <c r="I100" i="49" s="1"/>
  <c r="M100" i="49"/>
  <c r="L100" i="49" s="1"/>
  <c r="D325" i="52"/>
  <c r="J325" i="52"/>
  <c r="D326" i="52"/>
  <c r="J326" i="52"/>
  <c r="D327" i="52"/>
  <c r="J327" i="52"/>
  <c r="D328" i="52"/>
  <c r="J328" i="52"/>
  <c r="D329" i="52"/>
  <c r="J329" i="52"/>
  <c r="D330" i="52"/>
  <c r="J330" i="52"/>
  <c r="D331" i="52"/>
  <c r="J331" i="52"/>
  <c r="D332" i="52"/>
  <c r="J332" i="52"/>
  <c r="D333" i="52"/>
  <c r="J333" i="52"/>
  <c r="D313" i="52"/>
  <c r="J313" i="52"/>
  <c r="D314" i="52"/>
  <c r="J314" i="52"/>
  <c r="D315" i="52"/>
  <c r="J315" i="52"/>
  <c r="D316" i="52"/>
  <c r="J316" i="52"/>
  <c r="D317" i="52"/>
  <c r="J317" i="52"/>
  <c r="D318" i="52"/>
  <c r="J318" i="52"/>
  <c r="D319" i="52"/>
  <c r="J319" i="52"/>
  <c r="D320" i="52"/>
  <c r="J320" i="52"/>
  <c r="D321" i="52"/>
  <c r="J321" i="52"/>
  <c r="D322" i="52"/>
  <c r="J322" i="52"/>
  <c r="D323" i="52"/>
  <c r="J323" i="52"/>
  <c r="D324" i="52"/>
  <c r="J324" i="52"/>
  <c r="D302" i="52"/>
  <c r="J302" i="52"/>
  <c r="D303" i="52"/>
  <c r="J303" i="52"/>
  <c r="D304" i="52"/>
  <c r="J304" i="52"/>
  <c r="D305" i="52"/>
  <c r="J305" i="52"/>
  <c r="D306" i="52"/>
  <c r="J306" i="52"/>
  <c r="D307" i="52"/>
  <c r="J307" i="52"/>
  <c r="D308" i="52"/>
  <c r="J308" i="52"/>
  <c r="D309" i="52"/>
  <c r="J309" i="52"/>
  <c r="D310" i="52"/>
  <c r="J310" i="52"/>
  <c r="D311" i="52"/>
  <c r="J311" i="52"/>
  <c r="D312" i="52"/>
  <c r="J312" i="52"/>
  <c r="D292" i="52"/>
  <c r="J292" i="52"/>
  <c r="D293" i="52"/>
  <c r="J293" i="52"/>
  <c r="D294" i="52"/>
  <c r="J294" i="52"/>
  <c r="D295" i="52"/>
  <c r="J295" i="52"/>
  <c r="D296" i="52"/>
  <c r="J296" i="52"/>
  <c r="D297" i="52"/>
  <c r="J297" i="52"/>
  <c r="D298" i="52"/>
  <c r="J298" i="52"/>
  <c r="D299" i="52"/>
  <c r="J299" i="52"/>
  <c r="D300" i="52"/>
  <c r="J300" i="52"/>
  <c r="D301" i="52"/>
  <c r="J301" i="52"/>
  <c r="D287" i="52"/>
  <c r="G287" i="52"/>
  <c r="J287" i="52"/>
  <c r="D288" i="52"/>
  <c r="G288" i="52"/>
  <c r="J288" i="52"/>
  <c r="D289" i="52"/>
  <c r="J289" i="52"/>
  <c r="D290" i="52"/>
  <c r="J290" i="52"/>
  <c r="D291" i="52"/>
  <c r="J291" i="52"/>
  <c r="D274" i="52"/>
  <c r="G274" i="52"/>
  <c r="J274" i="52"/>
  <c r="D275" i="52"/>
  <c r="G275" i="52"/>
  <c r="J275" i="52"/>
  <c r="D276" i="52"/>
  <c r="G276" i="52"/>
  <c r="J276" i="52"/>
  <c r="D277" i="52"/>
  <c r="G277" i="52"/>
  <c r="J277" i="52"/>
  <c r="D278" i="52"/>
  <c r="G278" i="52"/>
  <c r="J278" i="52"/>
  <c r="D279" i="52"/>
  <c r="G279" i="52"/>
  <c r="J279" i="52"/>
  <c r="D280" i="52"/>
  <c r="G280" i="52"/>
  <c r="J280" i="52"/>
  <c r="D281" i="52"/>
  <c r="G281" i="52"/>
  <c r="J281" i="52"/>
  <c r="D282" i="52"/>
  <c r="G282" i="52"/>
  <c r="J282" i="52"/>
  <c r="D283" i="52"/>
  <c r="G283" i="52"/>
  <c r="J283" i="52"/>
  <c r="D284" i="52"/>
  <c r="G284" i="52"/>
  <c r="J284" i="52"/>
  <c r="D285" i="52"/>
  <c r="G285" i="52"/>
  <c r="J285" i="52"/>
  <c r="D286" i="52"/>
  <c r="G286" i="52"/>
  <c r="J286" i="52"/>
  <c r="A137" i="62"/>
  <c r="A149" i="62" s="1"/>
  <c r="A161" i="62" s="1"/>
  <c r="A173" i="62" s="1"/>
  <c r="A185" i="62" s="1"/>
  <c r="A197" i="62" s="1"/>
  <c r="A209" i="62" s="1"/>
  <c r="A221" i="62" s="1"/>
  <c r="A233" i="62" s="1"/>
  <c r="A245" i="62" s="1"/>
  <c r="A138" i="62"/>
  <c r="A150" i="62" s="1"/>
  <c r="A162" i="62" s="1"/>
  <c r="A174" i="62" s="1"/>
  <c r="A186" i="62" s="1"/>
  <c r="A198" i="62" s="1"/>
  <c r="A210" i="62" s="1"/>
  <c r="A222" i="62" s="1"/>
  <c r="A234" i="62" s="1"/>
  <c r="A246" i="62" s="1"/>
  <c r="A139" i="62"/>
  <c r="A151" i="62" s="1"/>
  <c r="A163" i="62" s="1"/>
  <c r="A175" i="62" s="1"/>
  <c r="A187" i="62" s="1"/>
  <c r="A199" i="62" s="1"/>
  <c r="A211" i="62" s="1"/>
  <c r="A223" i="62" s="1"/>
  <c r="A235" i="62" s="1"/>
  <c r="A247" i="62" s="1"/>
  <c r="A140" i="62"/>
  <c r="A152" i="62" s="1"/>
  <c r="A164" i="62" s="1"/>
  <c r="A176" i="62" s="1"/>
  <c r="A188" i="62" s="1"/>
  <c r="A200" i="62" s="1"/>
  <c r="A212" i="62" s="1"/>
  <c r="A224" i="62" s="1"/>
  <c r="A236" i="62" s="1"/>
  <c r="A248" i="62" s="1"/>
  <c r="A141" i="62"/>
  <c r="A153" i="62" s="1"/>
  <c r="A165" i="62" s="1"/>
  <c r="A177" i="62" s="1"/>
  <c r="A189" i="62" s="1"/>
  <c r="A201" i="62" s="1"/>
  <c r="A213" i="62" s="1"/>
  <c r="A225" i="62" s="1"/>
  <c r="A237" i="62" s="1"/>
  <c r="A249" i="62" s="1"/>
  <c r="A131" i="62"/>
  <c r="A143" i="62" s="1"/>
  <c r="A155" i="62" s="1"/>
  <c r="A167" i="62" s="1"/>
  <c r="A179" i="62" s="1"/>
  <c r="A191" i="62" s="1"/>
  <c r="A203" i="62" s="1"/>
  <c r="A215" i="62" s="1"/>
  <c r="A227" i="62" s="1"/>
  <c r="A239" i="62" s="1"/>
  <c r="A132" i="62"/>
  <c r="A144" i="62" s="1"/>
  <c r="A156" i="62" s="1"/>
  <c r="A168" i="62" s="1"/>
  <c r="A180" i="62" s="1"/>
  <c r="A192" i="62" s="1"/>
  <c r="A204" i="62" s="1"/>
  <c r="A216" i="62" s="1"/>
  <c r="A228" i="62" s="1"/>
  <c r="A240" i="62" s="1"/>
  <c r="A133" i="62"/>
  <c r="A145" i="62" s="1"/>
  <c r="A157" i="62" s="1"/>
  <c r="A169" i="62" s="1"/>
  <c r="A181" i="62" s="1"/>
  <c r="A193" i="62" s="1"/>
  <c r="A205" i="62" s="1"/>
  <c r="A217" i="62" s="1"/>
  <c r="A229" i="62" s="1"/>
  <c r="A241" i="62" s="1"/>
  <c r="A134" i="62"/>
  <c r="A146" i="62" s="1"/>
  <c r="A158" i="62" s="1"/>
  <c r="A170" i="62" s="1"/>
  <c r="A182" i="62" s="1"/>
  <c r="A194" i="62" s="1"/>
  <c r="A206" i="62" s="1"/>
  <c r="A218" i="62" s="1"/>
  <c r="A230" i="62" s="1"/>
  <c r="A242" i="62" s="1"/>
  <c r="A135" i="62"/>
  <c r="A147" i="62" s="1"/>
  <c r="A159" i="62" s="1"/>
  <c r="A171" i="62" s="1"/>
  <c r="A183" i="62" s="1"/>
  <c r="A195" i="62" s="1"/>
  <c r="A207" i="62" s="1"/>
  <c r="A219" i="62" s="1"/>
  <c r="A231" i="62" s="1"/>
  <c r="A243" i="62" s="1"/>
  <c r="A136" i="62"/>
  <c r="A148" i="62" s="1"/>
  <c r="A160" i="62" s="1"/>
  <c r="A172" i="62" s="1"/>
  <c r="A184" i="62" s="1"/>
  <c r="A196" i="62" s="1"/>
  <c r="A208" i="62" s="1"/>
  <c r="A220" i="62" s="1"/>
  <c r="A232" i="62" s="1"/>
  <c r="A244" i="62" s="1"/>
  <c r="A130" i="62"/>
  <c r="A142" i="62" s="1"/>
  <c r="A154" i="62" s="1"/>
  <c r="A166" i="62" s="1"/>
  <c r="A178" i="62" s="1"/>
  <c r="A190" i="62" s="1"/>
  <c r="A202" i="62" s="1"/>
  <c r="A214" i="62" s="1"/>
  <c r="A226" i="62" s="1"/>
  <c r="A238" i="62" s="1"/>
  <c r="C308" i="59"/>
  <c r="C309" i="59"/>
  <c r="C301" i="59"/>
  <c r="C302" i="59"/>
  <c r="C303" i="59"/>
  <c r="C304" i="59"/>
  <c r="C305" i="59"/>
  <c r="C306" i="59"/>
  <c r="C307" i="59"/>
  <c r="C292" i="59"/>
  <c r="C293" i="59"/>
  <c r="C294" i="59"/>
  <c r="C295" i="59"/>
  <c r="C296" i="59"/>
  <c r="C297" i="59"/>
  <c r="C298" i="59"/>
  <c r="C299" i="59"/>
  <c r="C300" i="59"/>
  <c r="C281" i="59"/>
  <c r="C282" i="59"/>
  <c r="C283" i="59"/>
  <c r="C284" i="59"/>
  <c r="C285" i="59"/>
  <c r="C286" i="59"/>
  <c r="C287" i="59"/>
  <c r="C288" i="59"/>
  <c r="C289" i="59"/>
  <c r="C290" i="59"/>
  <c r="C291" i="59"/>
  <c r="C271" i="59"/>
  <c r="C272" i="59"/>
  <c r="C273" i="59"/>
  <c r="C274" i="59"/>
  <c r="C275" i="59"/>
  <c r="C276" i="59"/>
  <c r="C277" i="59"/>
  <c r="C278" i="59"/>
  <c r="C279" i="59"/>
  <c r="C280" i="59"/>
  <c r="C263" i="59"/>
  <c r="C264" i="59"/>
  <c r="C265" i="59"/>
  <c r="C266" i="59"/>
  <c r="C267" i="59"/>
  <c r="C268" i="59"/>
  <c r="C269" i="59"/>
  <c r="C270" i="59"/>
  <c r="C250" i="59"/>
  <c r="C251" i="59"/>
  <c r="C252" i="59"/>
  <c r="C253" i="59"/>
  <c r="C254" i="59"/>
  <c r="C255" i="59"/>
  <c r="C256" i="59"/>
  <c r="C257" i="59"/>
  <c r="C258" i="59"/>
  <c r="C259" i="59"/>
  <c r="B350" i="89"/>
  <c r="B351" i="89"/>
  <c r="B352" i="89"/>
  <c r="B353" i="89"/>
  <c r="B354" i="89"/>
  <c r="B355" i="89"/>
  <c r="B356" i="89"/>
  <c r="B357" i="89"/>
  <c r="B341" i="89"/>
  <c r="B342" i="89"/>
  <c r="B343" i="89"/>
  <c r="B344" i="89"/>
  <c r="B345" i="89"/>
  <c r="B347" i="89"/>
  <c r="B331" i="89"/>
  <c r="B335" i="89"/>
  <c r="B336" i="89"/>
  <c r="B337" i="89"/>
  <c r="B338" i="89"/>
  <c r="B339" i="89"/>
  <c r="B340" i="89"/>
  <c r="B323" i="89"/>
  <c r="B325" i="89"/>
  <c r="B326" i="89"/>
  <c r="B327" i="89"/>
  <c r="B328" i="89"/>
  <c r="B315" i="89"/>
  <c r="B316" i="89"/>
  <c r="B317" i="89"/>
  <c r="B318" i="89"/>
  <c r="B319" i="89"/>
  <c r="B320" i="89"/>
  <c r="B321" i="89"/>
  <c r="B307" i="89"/>
  <c r="B308" i="89"/>
  <c r="B309" i="89"/>
  <c r="B314" i="89"/>
  <c r="B300" i="89"/>
  <c r="B301" i="89"/>
  <c r="B302" i="89"/>
  <c r="B303" i="89"/>
  <c r="B304" i="89"/>
  <c r="B305" i="89"/>
  <c r="B306" i="89"/>
  <c r="A332" i="51"/>
  <c r="A344" i="51" s="1"/>
  <c r="A356" i="51" s="1"/>
  <c r="A368" i="51" s="1"/>
  <c r="A380" i="51" s="1"/>
  <c r="A392" i="51" s="1"/>
  <c r="A404" i="51" s="1"/>
  <c r="A416" i="51" s="1"/>
  <c r="A428" i="51" s="1"/>
  <c r="A440" i="51" s="1"/>
  <c r="A452" i="51" s="1"/>
  <c r="A464" i="51" s="1"/>
  <c r="A476" i="51" s="1"/>
  <c r="A488" i="51" s="1"/>
  <c r="A500" i="51" s="1"/>
  <c r="A333" i="51"/>
  <c r="A345" i="51" s="1"/>
  <c r="A357" i="51" s="1"/>
  <c r="A369" i="51" s="1"/>
  <c r="A381" i="51" s="1"/>
  <c r="A393" i="51" s="1"/>
  <c r="A405" i="51" s="1"/>
  <c r="A417" i="51" s="1"/>
  <c r="A429" i="51" s="1"/>
  <c r="A441" i="51" s="1"/>
  <c r="A453" i="51" s="1"/>
  <c r="A465" i="51" s="1"/>
  <c r="A477" i="51" s="1"/>
  <c r="A489" i="51" s="1"/>
  <c r="A501" i="51" s="1"/>
  <c r="A323" i="51"/>
  <c r="A335" i="51" s="1"/>
  <c r="A347" i="51" s="1"/>
  <c r="A359" i="51" s="1"/>
  <c r="A371" i="51" s="1"/>
  <c r="A383" i="51" s="1"/>
  <c r="A395" i="51" s="1"/>
  <c r="A407" i="51" s="1"/>
  <c r="A419" i="51" s="1"/>
  <c r="A431" i="51" s="1"/>
  <c r="A443" i="51" s="1"/>
  <c r="A455" i="51" s="1"/>
  <c r="A467" i="51" s="1"/>
  <c r="A479" i="51" s="1"/>
  <c r="A491" i="51" s="1"/>
  <c r="A324" i="51"/>
  <c r="A336" i="51" s="1"/>
  <c r="A348" i="51" s="1"/>
  <c r="A360" i="51" s="1"/>
  <c r="A372" i="51" s="1"/>
  <c r="A384" i="51" s="1"/>
  <c r="A396" i="51" s="1"/>
  <c r="A408" i="51" s="1"/>
  <c r="A420" i="51" s="1"/>
  <c r="A432" i="51" s="1"/>
  <c r="A444" i="51" s="1"/>
  <c r="A456" i="51" s="1"/>
  <c r="A468" i="51" s="1"/>
  <c r="A480" i="51" s="1"/>
  <c r="A492" i="51" s="1"/>
  <c r="A325" i="51"/>
  <c r="A337" i="51" s="1"/>
  <c r="A349" i="51" s="1"/>
  <c r="A361" i="51" s="1"/>
  <c r="A373" i="51" s="1"/>
  <c r="A385" i="51" s="1"/>
  <c r="A397" i="51" s="1"/>
  <c r="A409" i="51" s="1"/>
  <c r="A421" i="51" s="1"/>
  <c r="A433" i="51" s="1"/>
  <c r="A445" i="51" s="1"/>
  <c r="A457" i="51" s="1"/>
  <c r="A469" i="51" s="1"/>
  <c r="A481" i="51" s="1"/>
  <c r="A493" i="51" s="1"/>
  <c r="A326" i="51"/>
  <c r="A338" i="51" s="1"/>
  <c r="A350" i="51" s="1"/>
  <c r="A362" i="51" s="1"/>
  <c r="A374" i="51" s="1"/>
  <c r="A386" i="51" s="1"/>
  <c r="A398" i="51" s="1"/>
  <c r="A410" i="51" s="1"/>
  <c r="A422" i="51" s="1"/>
  <c r="A434" i="51" s="1"/>
  <c r="A446" i="51" s="1"/>
  <c r="A458" i="51" s="1"/>
  <c r="A470" i="51" s="1"/>
  <c r="A482" i="51" s="1"/>
  <c r="A494" i="51" s="1"/>
  <c r="A327" i="51"/>
  <c r="A339" i="51" s="1"/>
  <c r="A351" i="51" s="1"/>
  <c r="A363" i="51" s="1"/>
  <c r="A375" i="51" s="1"/>
  <c r="A387" i="51" s="1"/>
  <c r="A399" i="51" s="1"/>
  <c r="A411" i="51" s="1"/>
  <c r="A423" i="51" s="1"/>
  <c r="A435" i="51" s="1"/>
  <c r="A447" i="51" s="1"/>
  <c r="A459" i="51" s="1"/>
  <c r="A471" i="51" s="1"/>
  <c r="A483" i="51" s="1"/>
  <c r="A495" i="51" s="1"/>
  <c r="A328" i="51"/>
  <c r="A340" i="51" s="1"/>
  <c r="A352" i="51" s="1"/>
  <c r="A364" i="51" s="1"/>
  <c r="A376" i="51" s="1"/>
  <c r="A388" i="51" s="1"/>
  <c r="A400" i="51" s="1"/>
  <c r="A412" i="51" s="1"/>
  <c r="A424" i="51" s="1"/>
  <c r="A436" i="51" s="1"/>
  <c r="A448" i="51" s="1"/>
  <c r="A460" i="51" s="1"/>
  <c r="A472" i="51" s="1"/>
  <c r="A484" i="51" s="1"/>
  <c r="A496" i="51" s="1"/>
  <c r="A329" i="51"/>
  <c r="A341" i="51" s="1"/>
  <c r="A353" i="51" s="1"/>
  <c r="A365" i="51" s="1"/>
  <c r="A377" i="51" s="1"/>
  <c r="A389" i="51" s="1"/>
  <c r="A401" i="51" s="1"/>
  <c r="A413" i="51" s="1"/>
  <c r="A425" i="51" s="1"/>
  <c r="A437" i="51" s="1"/>
  <c r="A449" i="51" s="1"/>
  <c r="A461" i="51" s="1"/>
  <c r="A473" i="51" s="1"/>
  <c r="A485" i="51" s="1"/>
  <c r="A497" i="51" s="1"/>
  <c r="A330" i="51"/>
  <c r="A342" i="51" s="1"/>
  <c r="A354" i="51" s="1"/>
  <c r="A366" i="51" s="1"/>
  <c r="A378" i="51" s="1"/>
  <c r="A390" i="51" s="1"/>
  <c r="A402" i="51" s="1"/>
  <c r="A414" i="51" s="1"/>
  <c r="A426" i="51" s="1"/>
  <c r="A438" i="51" s="1"/>
  <c r="A450" i="51" s="1"/>
  <c r="A462" i="51" s="1"/>
  <c r="A474" i="51" s="1"/>
  <c r="A486" i="51" s="1"/>
  <c r="A498" i="51" s="1"/>
  <c r="A331" i="51"/>
  <c r="A343" i="51" s="1"/>
  <c r="A355" i="51" s="1"/>
  <c r="A367" i="51" s="1"/>
  <c r="A379" i="51" s="1"/>
  <c r="A391" i="51" s="1"/>
  <c r="A403" i="51" s="1"/>
  <c r="A415" i="51" s="1"/>
  <c r="A427" i="51" s="1"/>
  <c r="A439" i="51" s="1"/>
  <c r="A451" i="51" s="1"/>
  <c r="A463" i="51" s="1"/>
  <c r="A475" i="51" s="1"/>
  <c r="A487" i="51" s="1"/>
  <c r="A499" i="51" s="1"/>
  <c r="A322" i="51"/>
  <c r="A334" i="51" s="1"/>
  <c r="A346" i="51" s="1"/>
  <c r="A358" i="51" s="1"/>
  <c r="A370" i="51" s="1"/>
  <c r="A382" i="51" s="1"/>
  <c r="A394" i="51" s="1"/>
  <c r="A406" i="51" s="1"/>
  <c r="A418" i="51" s="1"/>
  <c r="A430" i="51" s="1"/>
  <c r="A442" i="51" s="1"/>
  <c r="A454" i="51" s="1"/>
  <c r="A466" i="51" s="1"/>
  <c r="A478" i="51" s="1"/>
  <c r="A490" i="51" s="1"/>
  <c r="A292" i="38"/>
  <c r="A304" i="38" s="1"/>
  <c r="A316" i="38" s="1"/>
  <c r="A328" i="38" s="1"/>
  <c r="A340" i="38" s="1"/>
  <c r="A352" i="38" s="1"/>
  <c r="A364" i="38" s="1"/>
  <c r="A376" i="38" s="1"/>
  <c r="A388" i="38" s="1"/>
  <c r="A400" i="38" s="1"/>
  <c r="A412" i="38" s="1"/>
  <c r="A424" i="38" s="1"/>
  <c r="A436" i="38" s="1"/>
  <c r="A448" i="38" s="1"/>
  <c r="A460" i="38" s="1"/>
  <c r="A293" i="38"/>
  <c r="A305" i="38" s="1"/>
  <c r="A317" i="38" s="1"/>
  <c r="A329" i="38" s="1"/>
  <c r="A341" i="38" s="1"/>
  <c r="A353" i="38" s="1"/>
  <c r="A365" i="38" s="1"/>
  <c r="A377" i="38" s="1"/>
  <c r="A389" i="38" s="1"/>
  <c r="A401" i="38" s="1"/>
  <c r="A413" i="38" s="1"/>
  <c r="A425" i="38" s="1"/>
  <c r="A437" i="38" s="1"/>
  <c r="A449" i="38" s="1"/>
  <c r="A461" i="38" s="1"/>
  <c r="A294" i="38"/>
  <c r="A306" i="38" s="1"/>
  <c r="A318" i="38" s="1"/>
  <c r="A330" i="38" s="1"/>
  <c r="A342" i="38" s="1"/>
  <c r="A354" i="38" s="1"/>
  <c r="A366" i="38" s="1"/>
  <c r="A378" i="38" s="1"/>
  <c r="A390" i="38" s="1"/>
  <c r="A402" i="38" s="1"/>
  <c r="A414" i="38" s="1"/>
  <c r="A426" i="38" s="1"/>
  <c r="A438" i="38" s="1"/>
  <c r="A450" i="38" s="1"/>
  <c r="A462" i="38" s="1"/>
  <c r="A295" i="38"/>
  <c r="A307" i="38" s="1"/>
  <c r="A319" i="38" s="1"/>
  <c r="A331" i="38" s="1"/>
  <c r="A343" i="38" s="1"/>
  <c r="A355" i="38" s="1"/>
  <c r="A367" i="38" s="1"/>
  <c r="A379" i="38" s="1"/>
  <c r="A391" i="38" s="1"/>
  <c r="A403" i="38" s="1"/>
  <c r="A415" i="38" s="1"/>
  <c r="A427" i="38" s="1"/>
  <c r="A439" i="38" s="1"/>
  <c r="A451" i="38" s="1"/>
  <c r="A463" i="38" s="1"/>
  <c r="A296" i="38"/>
  <c r="A308" i="38" s="1"/>
  <c r="A320" i="38" s="1"/>
  <c r="A332" i="38" s="1"/>
  <c r="A344" i="38" s="1"/>
  <c r="A356" i="38" s="1"/>
  <c r="A368" i="38" s="1"/>
  <c r="A380" i="38" s="1"/>
  <c r="A392" i="38" s="1"/>
  <c r="A404" i="38" s="1"/>
  <c r="A416" i="38" s="1"/>
  <c r="A428" i="38" s="1"/>
  <c r="A440" i="38" s="1"/>
  <c r="A452" i="38" s="1"/>
  <c r="A464" i="38" s="1"/>
  <c r="A297" i="38"/>
  <c r="A309" i="38" s="1"/>
  <c r="A321" i="38" s="1"/>
  <c r="A333" i="38" s="1"/>
  <c r="A345" i="38" s="1"/>
  <c r="A357" i="38" s="1"/>
  <c r="A369" i="38" s="1"/>
  <c r="A381" i="38" s="1"/>
  <c r="A393" i="38" s="1"/>
  <c r="A405" i="38" s="1"/>
  <c r="A417" i="38" s="1"/>
  <c r="A429" i="38" s="1"/>
  <c r="A441" i="38" s="1"/>
  <c r="A453" i="38" s="1"/>
  <c r="A465" i="38" s="1"/>
  <c r="A287" i="38"/>
  <c r="A299" i="38" s="1"/>
  <c r="A311" i="38" s="1"/>
  <c r="A323" i="38" s="1"/>
  <c r="A335" i="38" s="1"/>
  <c r="A347" i="38" s="1"/>
  <c r="A359" i="38" s="1"/>
  <c r="A371" i="38" s="1"/>
  <c r="A383" i="38" s="1"/>
  <c r="A395" i="38" s="1"/>
  <c r="A407" i="38" s="1"/>
  <c r="A419" i="38" s="1"/>
  <c r="A431" i="38" s="1"/>
  <c r="A443" i="38" s="1"/>
  <c r="A455" i="38" s="1"/>
  <c r="A288" i="38"/>
  <c r="A300" i="38" s="1"/>
  <c r="A312" i="38" s="1"/>
  <c r="A324" i="38" s="1"/>
  <c r="A336" i="38" s="1"/>
  <c r="A348" i="38" s="1"/>
  <c r="A360" i="38" s="1"/>
  <c r="A372" i="38" s="1"/>
  <c r="A384" i="38" s="1"/>
  <c r="A396" i="38" s="1"/>
  <c r="A408" i="38" s="1"/>
  <c r="A420" i="38" s="1"/>
  <c r="A432" i="38" s="1"/>
  <c r="A444" i="38" s="1"/>
  <c r="A456" i="38" s="1"/>
  <c r="A289" i="38"/>
  <c r="A301" i="38" s="1"/>
  <c r="A313" i="38" s="1"/>
  <c r="A325" i="38" s="1"/>
  <c r="A337" i="38" s="1"/>
  <c r="A349" i="38" s="1"/>
  <c r="A361" i="38" s="1"/>
  <c r="A373" i="38" s="1"/>
  <c r="A385" i="38" s="1"/>
  <c r="A397" i="38" s="1"/>
  <c r="A409" i="38" s="1"/>
  <c r="A421" i="38" s="1"/>
  <c r="A433" i="38" s="1"/>
  <c r="A445" i="38" s="1"/>
  <c r="A457" i="38" s="1"/>
  <c r="A290" i="38"/>
  <c r="A302" i="38" s="1"/>
  <c r="A314" i="38" s="1"/>
  <c r="A326" i="38" s="1"/>
  <c r="A338" i="38" s="1"/>
  <c r="A350" i="38" s="1"/>
  <c r="A362" i="38" s="1"/>
  <c r="A374" i="38" s="1"/>
  <c r="A386" i="38" s="1"/>
  <c r="A398" i="38" s="1"/>
  <c r="A410" i="38" s="1"/>
  <c r="A422" i="38" s="1"/>
  <c r="A434" i="38" s="1"/>
  <c r="A446" i="38" s="1"/>
  <c r="A458" i="38" s="1"/>
  <c r="A291" i="38"/>
  <c r="A303" i="38" s="1"/>
  <c r="A315" i="38" s="1"/>
  <c r="A327" i="38" s="1"/>
  <c r="A339" i="38" s="1"/>
  <c r="A351" i="38" s="1"/>
  <c r="A363" i="38" s="1"/>
  <c r="A375" i="38" s="1"/>
  <c r="A387" i="38" s="1"/>
  <c r="A399" i="38" s="1"/>
  <c r="A411" i="38" s="1"/>
  <c r="A423" i="38" s="1"/>
  <c r="A435" i="38" s="1"/>
  <c r="A447" i="38" s="1"/>
  <c r="A459" i="38" s="1"/>
  <c r="A286" i="38"/>
  <c r="A298" i="38" s="1"/>
  <c r="A310" i="38" s="1"/>
  <c r="A322" i="38" s="1"/>
  <c r="A334" i="38" s="1"/>
  <c r="A346" i="38" s="1"/>
  <c r="A358" i="38" s="1"/>
  <c r="A370" i="38" s="1"/>
  <c r="A382" i="38" s="1"/>
  <c r="A394" i="38" s="1"/>
  <c r="A406" i="38" s="1"/>
  <c r="A418" i="38" s="1"/>
  <c r="A430" i="38" s="1"/>
  <c r="A442" i="38" s="1"/>
  <c r="A454" i="38" s="1"/>
  <c r="H331" i="4"/>
  <c r="K331" i="4"/>
  <c r="H332" i="4"/>
  <c r="K332" i="4"/>
  <c r="H333" i="4"/>
  <c r="K333" i="4"/>
  <c r="H324" i="4"/>
  <c r="K324" i="4"/>
  <c r="H325" i="4"/>
  <c r="K325" i="4"/>
  <c r="K326" i="4"/>
  <c r="H327" i="4"/>
  <c r="K327" i="4"/>
  <c r="H328" i="4"/>
  <c r="K328" i="4"/>
  <c r="H329" i="4"/>
  <c r="K329" i="4"/>
  <c r="H330" i="4"/>
  <c r="K330" i="4"/>
  <c r="H313" i="4"/>
  <c r="K313" i="4"/>
  <c r="H314" i="4"/>
  <c r="K314" i="4"/>
  <c r="H315" i="4"/>
  <c r="K315" i="4"/>
  <c r="H316" i="4"/>
  <c r="K316" i="4"/>
  <c r="H317" i="4"/>
  <c r="K317" i="4"/>
  <c r="H318" i="4"/>
  <c r="K318" i="4"/>
  <c r="H319" i="4"/>
  <c r="K319" i="4"/>
  <c r="H320" i="4"/>
  <c r="K320" i="4"/>
  <c r="H321" i="4"/>
  <c r="K321" i="4"/>
  <c r="H322" i="4"/>
  <c r="K322" i="4"/>
  <c r="H323" i="4"/>
  <c r="K323" i="4"/>
  <c r="H306" i="4"/>
  <c r="K306" i="4"/>
  <c r="H307" i="4"/>
  <c r="K307" i="4"/>
  <c r="K308" i="4"/>
  <c r="H309" i="4"/>
  <c r="K309" i="4"/>
  <c r="H310" i="4"/>
  <c r="K310" i="4"/>
  <c r="H311" i="4"/>
  <c r="K311" i="4"/>
  <c r="H312" i="4"/>
  <c r="K312" i="4"/>
  <c r="H298" i="4"/>
  <c r="K298" i="4"/>
  <c r="H299" i="4"/>
  <c r="K299" i="4"/>
  <c r="H300" i="4"/>
  <c r="K300" i="4"/>
  <c r="H301" i="4"/>
  <c r="K301" i="4"/>
  <c r="H302" i="4"/>
  <c r="K302" i="4"/>
  <c r="H303" i="4"/>
  <c r="K303" i="4"/>
  <c r="H305" i="4"/>
  <c r="K305" i="4"/>
  <c r="H285" i="4"/>
  <c r="K285" i="4"/>
  <c r="H286" i="4"/>
  <c r="K286" i="4"/>
  <c r="H287" i="4"/>
  <c r="K287" i="4"/>
  <c r="H288" i="4"/>
  <c r="K288" i="4"/>
  <c r="H289" i="4"/>
  <c r="K289" i="4"/>
  <c r="H290" i="4"/>
  <c r="K290" i="4"/>
  <c r="H291" i="4"/>
  <c r="K291" i="4"/>
  <c r="H292" i="4"/>
  <c r="K292" i="4"/>
  <c r="H293" i="4"/>
  <c r="K293" i="4"/>
  <c r="H294" i="4"/>
  <c r="K294" i="4"/>
  <c r="H295" i="4"/>
  <c r="H296" i="4"/>
  <c r="K296" i="4"/>
  <c r="H297" i="4"/>
  <c r="K297" i="4"/>
  <c r="H274" i="4"/>
  <c r="K274" i="4"/>
  <c r="H275" i="4"/>
  <c r="K275" i="4"/>
  <c r="H276" i="4"/>
  <c r="K276" i="4"/>
  <c r="H277" i="4"/>
  <c r="K277" i="4"/>
  <c r="H278" i="4"/>
  <c r="K278" i="4"/>
  <c r="H279" i="4"/>
  <c r="K279" i="4"/>
  <c r="H280" i="4"/>
  <c r="K280" i="4"/>
  <c r="H281" i="4"/>
  <c r="K281" i="4"/>
  <c r="H282" i="4"/>
  <c r="K282" i="4"/>
  <c r="H283" i="4"/>
  <c r="K283" i="4"/>
  <c r="H284" i="4"/>
  <c r="K284" i="4"/>
  <c r="H342" i="17"/>
  <c r="H343" i="17"/>
  <c r="H344" i="17"/>
  <c r="H345" i="17"/>
  <c r="H333" i="17"/>
  <c r="H334" i="17"/>
  <c r="H335" i="17"/>
  <c r="H336" i="17"/>
  <c r="H337" i="17"/>
  <c r="H338" i="17"/>
  <c r="H339" i="17"/>
  <c r="H340" i="17"/>
  <c r="H341" i="17"/>
  <c r="H320" i="17"/>
  <c r="H321" i="17"/>
  <c r="H324" i="17"/>
  <c r="H325" i="17"/>
  <c r="H326" i="17"/>
  <c r="H327" i="17"/>
  <c r="H328" i="17"/>
  <c r="H329" i="17"/>
  <c r="H330" i="17"/>
  <c r="H331" i="17"/>
  <c r="H310" i="17"/>
  <c r="H311" i="17"/>
  <c r="H312" i="17"/>
  <c r="H313" i="17"/>
  <c r="H314" i="17"/>
  <c r="H315" i="17"/>
  <c r="H316" i="17"/>
  <c r="H317" i="17"/>
  <c r="H318" i="17"/>
  <c r="H319" i="17"/>
  <c r="H299" i="17"/>
  <c r="H300" i="17"/>
  <c r="H301" i="17"/>
  <c r="H302" i="17"/>
  <c r="H303" i="17"/>
  <c r="H304" i="17"/>
  <c r="H305" i="17"/>
  <c r="H306" i="17"/>
  <c r="H308" i="17"/>
  <c r="H309" i="17"/>
  <c r="H286" i="17"/>
  <c r="H287" i="17"/>
  <c r="H288" i="17"/>
  <c r="H289" i="17"/>
  <c r="H290" i="17"/>
  <c r="H291" i="17"/>
  <c r="H292" i="17"/>
  <c r="H293" i="17"/>
  <c r="H294" i="17"/>
  <c r="H295" i="17"/>
  <c r="H296" i="17"/>
  <c r="H297" i="17"/>
  <c r="H298" i="17"/>
  <c r="C245" i="3"/>
  <c r="C246" i="3"/>
  <c r="C247" i="3"/>
  <c r="C248" i="3"/>
  <c r="C249" i="3"/>
  <c r="C238" i="3"/>
  <c r="C239" i="3"/>
  <c r="C240" i="3"/>
  <c r="C241" i="3"/>
  <c r="C242" i="3"/>
  <c r="C243" i="3"/>
  <c r="C244" i="3"/>
  <c r="A279" i="45"/>
  <c r="A291" i="45" s="1"/>
  <c r="A303" i="45" s="1"/>
  <c r="A315" i="45" s="1"/>
  <c r="A327" i="45" s="1"/>
  <c r="A339" i="45" s="1"/>
  <c r="A351" i="45" s="1"/>
  <c r="A363" i="45" s="1"/>
  <c r="A375" i="45" s="1"/>
  <c r="A387" i="45" s="1"/>
  <c r="A399" i="45" s="1"/>
  <c r="A411" i="45" s="1"/>
  <c r="A423" i="45" s="1"/>
  <c r="A435" i="45" s="1"/>
  <c r="A447" i="45" s="1"/>
  <c r="A281" i="45"/>
  <c r="A293" i="45" s="1"/>
  <c r="A305" i="45" s="1"/>
  <c r="A317" i="45" s="1"/>
  <c r="A329" i="45" s="1"/>
  <c r="A341" i="45" s="1"/>
  <c r="A353" i="45" s="1"/>
  <c r="A365" i="45" s="1"/>
  <c r="A377" i="45" s="1"/>
  <c r="A389" i="45" s="1"/>
  <c r="A401" i="45" s="1"/>
  <c r="A413" i="45" s="1"/>
  <c r="A425" i="45" s="1"/>
  <c r="A437" i="45" s="1"/>
  <c r="A449" i="45" s="1"/>
  <c r="A275" i="45"/>
  <c r="A287" i="45" s="1"/>
  <c r="A299" i="45" s="1"/>
  <c r="A311" i="45" s="1"/>
  <c r="A323" i="45" s="1"/>
  <c r="A335" i="45" s="1"/>
  <c r="A347" i="45" s="1"/>
  <c r="A359" i="45" s="1"/>
  <c r="A371" i="45" s="1"/>
  <c r="A383" i="45" s="1"/>
  <c r="A395" i="45" s="1"/>
  <c r="A407" i="45" s="1"/>
  <c r="A419" i="45" s="1"/>
  <c r="A431" i="45" s="1"/>
  <c r="A443" i="45" s="1"/>
  <c r="A276" i="45"/>
  <c r="A288" i="45" s="1"/>
  <c r="A300" i="45" s="1"/>
  <c r="A312" i="45" s="1"/>
  <c r="A324" i="45" s="1"/>
  <c r="A336" i="45" s="1"/>
  <c r="A348" i="45" s="1"/>
  <c r="A360" i="45" s="1"/>
  <c r="A372" i="45" s="1"/>
  <c r="A384" i="45" s="1"/>
  <c r="A396" i="45" s="1"/>
  <c r="A408" i="45" s="1"/>
  <c r="A420" i="45" s="1"/>
  <c r="A432" i="45" s="1"/>
  <c r="A444" i="45" s="1"/>
  <c r="A277" i="45"/>
  <c r="A289" i="45" s="1"/>
  <c r="A301" i="45" s="1"/>
  <c r="A313" i="45" s="1"/>
  <c r="A325" i="45" s="1"/>
  <c r="A337" i="45" s="1"/>
  <c r="A349" i="45" s="1"/>
  <c r="A361" i="45" s="1"/>
  <c r="A373" i="45" s="1"/>
  <c r="A385" i="45" s="1"/>
  <c r="A397" i="45" s="1"/>
  <c r="A409" i="45" s="1"/>
  <c r="A421" i="45" s="1"/>
  <c r="A433" i="45" s="1"/>
  <c r="A445" i="45" s="1"/>
  <c r="A278" i="45"/>
  <c r="A290" i="45" s="1"/>
  <c r="A302" i="45" s="1"/>
  <c r="A314" i="45" s="1"/>
  <c r="A326" i="45" s="1"/>
  <c r="A338" i="45" s="1"/>
  <c r="A350" i="45" s="1"/>
  <c r="A362" i="45" s="1"/>
  <c r="A374" i="45" s="1"/>
  <c r="A386" i="45" s="1"/>
  <c r="A398" i="45" s="1"/>
  <c r="A410" i="45" s="1"/>
  <c r="A422" i="45" s="1"/>
  <c r="A434" i="45" s="1"/>
  <c r="A446" i="45" s="1"/>
  <c r="A280" i="45"/>
  <c r="A292" i="45" s="1"/>
  <c r="A304" i="45" s="1"/>
  <c r="A316" i="45" s="1"/>
  <c r="A328" i="45" s="1"/>
  <c r="A340" i="45" s="1"/>
  <c r="A352" i="45" s="1"/>
  <c r="A364" i="45" s="1"/>
  <c r="A376" i="45" s="1"/>
  <c r="A388" i="45" s="1"/>
  <c r="A400" i="45" s="1"/>
  <c r="A412" i="45" s="1"/>
  <c r="A424" i="45" s="1"/>
  <c r="A436" i="45" s="1"/>
  <c r="A448" i="45" s="1"/>
  <c r="A282" i="45"/>
  <c r="A294" i="45" s="1"/>
  <c r="A306" i="45" s="1"/>
  <c r="A318" i="45" s="1"/>
  <c r="A330" i="45" s="1"/>
  <c r="A342" i="45" s="1"/>
  <c r="A354" i="45" s="1"/>
  <c r="A366" i="45" s="1"/>
  <c r="A378" i="45" s="1"/>
  <c r="A390" i="45" s="1"/>
  <c r="A402" i="45" s="1"/>
  <c r="A414" i="45" s="1"/>
  <c r="A426" i="45" s="1"/>
  <c r="A438" i="45" s="1"/>
  <c r="A450" i="45" s="1"/>
  <c r="A283" i="45"/>
  <c r="A295" i="45" s="1"/>
  <c r="A307" i="45" s="1"/>
  <c r="A319" i="45" s="1"/>
  <c r="A331" i="45" s="1"/>
  <c r="A343" i="45" s="1"/>
  <c r="A355" i="45" s="1"/>
  <c r="A367" i="45" s="1"/>
  <c r="A379" i="45" s="1"/>
  <c r="A391" i="45" s="1"/>
  <c r="A403" i="45" s="1"/>
  <c r="A415" i="45" s="1"/>
  <c r="A427" i="45" s="1"/>
  <c r="A439" i="45" s="1"/>
  <c r="A451" i="45" s="1"/>
  <c r="A284" i="45"/>
  <c r="A296" i="45" s="1"/>
  <c r="A308" i="45" s="1"/>
  <c r="A320" i="45" s="1"/>
  <c r="A332" i="45" s="1"/>
  <c r="A344" i="45" s="1"/>
  <c r="A356" i="45" s="1"/>
  <c r="A368" i="45" s="1"/>
  <c r="A380" i="45" s="1"/>
  <c r="A392" i="45" s="1"/>
  <c r="A404" i="45" s="1"/>
  <c r="A416" i="45" s="1"/>
  <c r="A428" i="45" s="1"/>
  <c r="A440" i="45" s="1"/>
  <c r="A452" i="45" s="1"/>
  <c r="A285" i="45"/>
  <c r="A297" i="45" s="1"/>
  <c r="A309" i="45" s="1"/>
  <c r="A321" i="45" s="1"/>
  <c r="A333" i="45" s="1"/>
  <c r="A345" i="45" s="1"/>
  <c r="A357" i="45" s="1"/>
  <c r="A369" i="45" s="1"/>
  <c r="A381" i="45" s="1"/>
  <c r="A393" i="45" s="1"/>
  <c r="A405" i="45" s="1"/>
  <c r="A417" i="45" s="1"/>
  <c r="A429" i="45" s="1"/>
  <c r="A441" i="45" s="1"/>
  <c r="A453" i="45" s="1"/>
  <c r="A274" i="45"/>
  <c r="A286" i="45" s="1"/>
  <c r="A298" i="45" s="1"/>
  <c r="A310" i="45" s="1"/>
  <c r="A322" i="45" s="1"/>
  <c r="A334" i="45" s="1"/>
  <c r="A346" i="45" s="1"/>
  <c r="A358" i="45" s="1"/>
  <c r="A370" i="45" s="1"/>
  <c r="A382" i="45" s="1"/>
  <c r="A394" i="45" s="1"/>
  <c r="A406" i="45" s="1"/>
  <c r="A418" i="45" s="1"/>
  <c r="A430" i="45" s="1"/>
  <c r="A442" i="45" s="1"/>
  <c r="R212" i="3"/>
  <c r="E297" i="69"/>
  <c r="G297" i="69"/>
  <c r="J297" i="69"/>
  <c r="F99" i="49"/>
  <c r="E99" i="49" s="1"/>
  <c r="C99" i="49"/>
  <c r="B99" i="49" s="1"/>
  <c r="C98" i="49"/>
  <c r="B98" i="49" s="1"/>
  <c r="F98" i="49"/>
  <c r="E98" i="49" s="1"/>
  <c r="J99" i="49"/>
  <c r="I99" i="49" s="1"/>
  <c r="M99" i="49"/>
  <c r="L99" i="49" s="1"/>
  <c r="S209" i="3"/>
  <c r="R209" i="3"/>
  <c r="C209" i="3"/>
  <c r="S208" i="3"/>
  <c r="R208" i="3"/>
  <c r="C208" i="3"/>
  <c r="M98" i="49"/>
  <c r="L98" i="49" s="1"/>
  <c r="J98" i="49"/>
  <c r="I98" i="49" s="1"/>
  <c r="G36" i="53"/>
  <c r="B262" i="89"/>
  <c r="B261" i="89"/>
  <c r="D7" i="95"/>
  <c r="F7" i="95"/>
  <c r="H7" i="95"/>
  <c r="J7" i="95"/>
  <c r="L7" i="95"/>
  <c r="Q7" i="95"/>
  <c r="T7" i="95"/>
  <c r="P10" i="95"/>
  <c r="S10" i="95"/>
  <c r="U10" i="95"/>
  <c r="V10" i="95"/>
  <c r="O11" i="95"/>
  <c r="P11" i="95"/>
  <c r="S11" i="95"/>
  <c r="U11" i="95"/>
  <c r="V11" i="95"/>
  <c r="O12" i="95"/>
  <c r="P12" i="95"/>
  <c r="S12" i="95"/>
  <c r="U12" i="95"/>
  <c r="V12" i="95"/>
  <c r="O13" i="95"/>
  <c r="P13" i="95"/>
  <c r="S13" i="95"/>
  <c r="U13" i="95"/>
  <c r="V13" i="95"/>
  <c r="P14" i="95"/>
  <c r="U14" i="95"/>
  <c r="O15" i="95"/>
  <c r="P15" i="95"/>
  <c r="V15" i="95"/>
  <c r="O16" i="95"/>
  <c r="P16" i="95"/>
  <c r="S16" i="95"/>
  <c r="U16" i="95"/>
  <c r="V16" i="95"/>
  <c r="O17" i="95"/>
  <c r="P17" i="95"/>
  <c r="S17" i="95"/>
  <c r="U17" i="95"/>
  <c r="V17" i="95"/>
  <c r="O18" i="95"/>
  <c r="P18" i="95"/>
  <c r="S18" i="95"/>
  <c r="U18" i="95"/>
  <c r="V18" i="95"/>
  <c r="O19" i="95"/>
  <c r="P19" i="95"/>
  <c r="S19" i="95"/>
  <c r="U19" i="95"/>
  <c r="V19" i="95"/>
  <c r="O20" i="95"/>
  <c r="P20" i="95"/>
  <c r="S20" i="95"/>
  <c r="U20" i="95"/>
  <c r="V20" i="95"/>
  <c r="P21" i="95"/>
  <c r="S21" i="95"/>
  <c r="U21" i="95"/>
  <c r="V21" i="95"/>
  <c r="P22" i="95"/>
  <c r="V22" i="95"/>
  <c r="V23" i="95"/>
  <c r="A24" i="95"/>
  <c r="A26" i="95" s="1"/>
  <c r="A28" i="95" s="1"/>
  <c r="A30" i="95" s="1"/>
  <c r="A32" i="95" s="1"/>
  <c r="A34" i="95" s="1"/>
  <c r="A36" i="95" s="1"/>
  <c r="A38" i="95" s="1"/>
  <c r="A40" i="95" s="1"/>
  <c r="A42" i="95" s="1"/>
  <c r="A44" i="95" s="1"/>
  <c r="A46" i="95" s="1"/>
  <c r="A48" i="95" s="1"/>
  <c r="A50" i="95" s="1"/>
  <c r="A52" i="95" s="1"/>
  <c r="A54" i="95" s="1"/>
  <c r="A56" i="95" s="1"/>
  <c r="A58" i="95" s="1"/>
  <c r="A60" i="95" s="1"/>
  <c r="A62" i="95" s="1"/>
  <c r="A64" i="95" s="1"/>
  <c r="A66" i="95" s="1"/>
  <c r="A68" i="95" s="1"/>
  <c r="A25" i="95"/>
  <c r="A27" i="95" s="1"/>
  <c r="A29" i="95" s="1"/>
  <c r="A31" i="95" s="1"/>
  <c r="A33" i="95" s="1"/>
  <c r="A35" i="95" s="1"/>
  <c r="A37" i="95" s="1"/>
  <c r="A39" i="95" s="1"/>
  <c r="A41" i="95" s="1"/>
  <c r="A43" i="95" s="1"/>
  <c r="A45" i="95" s="1"/>
  <c r="A47" i="95" s="1"/>
  <c r="A49" i="95" s="1"/>
  <c r="A51" i="95" s="1"/>
  <c r="A53" i="95" s="1"/>
  <c r="A55" i="95" s="1"/>
  <c r="A57" i="95" s="1"/>
  <c r="A59" i="95" s="1"/>
  <c r="A61" i="95" s="1"/>
  <c r="A63" i="95" s="1"/>
  <c r="A65" i="95" s="1"/>
  <c r="A67" i="95" s="1"/>
  <c r="A69" i="95" s="1"/>
  <c r="J97" i="49"/>
  <c r="I97" i="49" s="1"/>
  <c r="M97" i="49"/>
  <c r="L97" i="49" s="1"/>
  <c r="J96" i="49"/>
  <c r="I96" i="49" s="1"/>
  <c r="M96" i="49"/>
  <c r="L96" i="49" s="1"/>
  <c r="J95" i="49"/>
  <c r="I95" i="49" s="1"/>
  <c r="M95" i="49"/>
  <c r="L95" i="49" s="1"/>
  <c r="J94" i="49"/>
  <c r="I94" i="49" s="1"/>
  <c r="M94" i="49"/>
  <c r="L94" i="49" s="1"/>
  <c r="C97" i="49"/>
  <c r="B97" i="49" s="1"/>
  <c r="F97" i="49"/>
  <c r="E97" i="49" s="1"/>
  <c r="C96" i="49"/>
  <c r="B96" i="49" s="1"/>
  <c r="F96" i="49"/>
  <c r="E96" i="49" s="1"/>
  <c r="C95" i="49"/>
  <c r="B95" i="49" s="1"/>
  <c r="F95" i="49"/>
  <c r="E95" i="49" s="1"/>
  <c r="F94" i="49"/>
  <c r="E94" i="49" s="1"/>
  <c r="C94" i="49"/>
  <c r="B94" i="49" s="1"/>
  <c r="B249" i="89"/>
  <c r="B251" i="89"/>
  <c r="C93" i="49"/>
  <c r="B93" i="49" s="1"/>
  <c r="F93" i="49"/>
  <c r="E93" i="49" s="1"/>
  <c r="J93" i="49"/>
  <c r="I93" i="49" s="1"/>
  <c r="M93" i="49"/>
  <c r="L93" i="49" s="1"/>
  <c r="C92" i="49"/>
  <c r="B92" i="49" s="1"/>
  <c r="F92" i="49"/>
  <c r="E92" i="49" s="1"/>
  <c r="C91" i="49"/>
  <c r="B91" i="49" s="1"/>
  <c r="F91" i="49"/>
  <c r="E91" i="49" s="1"/>
  <c r="C90" i="49"/>
  <c r="B90" i="49" s="1"/>
  <c r="F90" i="49"/>
  <c r="E90" i="49" s="1"/>
  <c r="J92" i="49"/>
  <c r="I92" i="49" s="1"/>
  <c r="M92" i="49"/>
  <c r="L92" i="49" s="1"/>
  <c r="J90" i="49"/>
  <c r="I90" i="49" s="1"/>
  <c r="M90" i="49"/>
  <c r="L90" i="49" s="1"/>
  <c r="B248" i="89"/>
  <c r="AG235" i="68"/>
  <c r="AC235" i="68"/>
  <c r="AF235" i="68" s="1"/>
  <c r="J91" i="49"/>
  <c r="I91" i="49" s="1"/>
  <c r="M91" i="49"/>
  <c r="L91" i="49" s="1"/>
  <c r="G51" i="53"/>
  <c r="G37" i="53"/>
  <c r="G76" i="53"/>
  <c r="G43" i="53"/>
  <c r="G56" i="53"/>
  <c r="G66" i="53"/>
  <c r="G14" i="53"/>
  <c r="G52" i="53"/>
  <c r="G58" i="53"/>
  <c r="G69" i="53"/>
  <c r="G60" i="53"/>
  <c r="H231" i="17"/>
  <c r="F217" i="4"/>
  <c r="H217" i="4" s="1"/>
  <c r="F216" i="4"/>
  <c r="H216" i="4" s="1"/>
  <c r="H10"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3" i="4"/>
  <c r="K195" i="4"/>
  <c r="K196" i="4"/>
  <c r="K197" i="4"/>
  <c r="K97" i="4"/>
  <c r="K98" i="4"/>
  <c r="K99" i="4"/>
  <c r="K211" i="4"/>
  <c r="K212" i="4"/>
  <c r="K213" i="4"/>
  <c r="K172" i="4"/>
  <c r="K173" i="4"/>
  <c r="K174" i="4"/>
  <c r="K114" i="4"/>
  <c r="K115" i="4"/>
  <c r="K116"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100" i="4"/>
  <c r="K101" i="4"/>
  <c r="K102" i="4"/>
  <c r="K103" i="4"/>
  <c r="K104" i="4"/>
  <c r="K105" i="4"/>
  <c r="K106" i="4"/>
  <c r="K107" i="4"/>
  <c r="K108" i="4"/>
  <c r="K109" i="4"/>
  <c r="K110" i="4"/>
  <c r="K111" i="4"/>
  <c r="K112" i="4"/>
  <c r="K113"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5" i="4"/>
  <c r="K176" i="4"/>
  <c r="K177" i="4"/>
  <c r="K178" i="4"/>
  <c r="K179" i="4"/>
  <c r="K180" i="4"/>
  <c r="K181" i="4"/>
  <c r="K182" i="4"/>
  <c r="K183" i="4"/>
  <c r="K184" i="4"/>
  <c r="K185" i="4"/>
  <c r="K186" i="4"/>
  <c r="K187" i="4"/>
  <c r="K188" i="4"/>
  <c r="K189" i="4"/>
  <c r="K190" i="4"/>
  <c r="K191" i="4"/>
  <c r="K192" i="4"/>
  <c r="K193" i="4"/>
  <c r="K194" i="4"/>
  <c r="K198" i="4"/>
  <c r="K199" i="4"/>
  <c r="K200" i="4"/>
  <c r="K201" i="4"/>
  <c r="K202" i="4"/>
  <c r="K203" i="4"/>
  <c r="K204" i="4"/>
  <c r="K205" i="4"/>
  <c r="K206" i="4"/>
  <c r="K207" i="4"/>
  <c r="K208" i="4"/>
  <c r="K209" i="4"/>
  <c r="K210" i="4"/>
  <c r="K214" i="4"/>
  <c r="K216" i="4"/>
  <c r="K217" i="4"/>
  <c r="K218" i="4"/>
  <c r="K215" i="4"/>
  <c r="K238" i="4"/>
  <c r="K237" i="4"/>
  <c r="K235" i="4"/>
  <c r="K234" i="4"/>
  <c r="K233" i="4"/>
  <c r="K232" i="4"/>
  <c r="K219" i="4"/>
  <c r="K220" i="4"/>
  <c r="K221" i="4"/>
  <c r="K222" i="4"/>
  <c r="K223" i="4"/>
  <c r="K224" i="4"/>
  <c r="K225" i="4"/>
  <c r="K226" i="4"/>
  <c r="K227" i="4"/>
  <c r="K228" i="4"/>
  <c r="K229" i="4"/>
  <c r="K230" i="4"/>
  <c r="K231" i="4"/>
  <c r="K236"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B237" i="89"/>
  <c r="A178" i="91"/>
  <c r="A190" i="91" s="1"/>
  <c r="A202" i="91" s="1"/>
  <c r="A214" i="91" s="1"/>
  <c r="A226" i="91" s="1"/>
  <c r="A238" i="91" s="1"/>
  <c r="A250" i="91" s="1"/>
  <c r="A262" i="91" s="1"/>
  <c r="A274" i="91" s="1"/>
  <c r="A286" i="91" s="1"/>
  <c r="A298" i="91" s="1"/>
  <c r="A310" i="91" s="1"/>
  <c r="A322" i="91" s="1"/>
  <c r="A334" i="91" s="1"/>
  <c r="A346" i="91" s="1"/>
  <c r="A358" i="91" s="1"/>
  <c r="A370" i="91" s="1"/>
  <c r="A382" i="91" s="1"/>
  <c r="A394" i="91" s="1"/>
  <c r="A406" i="91" s="1"/>
  <c r="A418" i="91" s="1"/>
  <c r="A430" i="91" s="1"/>
  <c r="A442" i="91" s="1"/>
  <c r="A179" i="91"/>
  <c r="A191" i="91" s="1"/>
  <c r="A203" i="91" s="1"/>
  <c r="A215" i="91" s="1"/>
  <c r="A227" i="91" s="1"/>
  <c r="A239" i="91" s="1"/>
  <c r="A251" i="91" s="1"/>
  <c r="A263" i="91" s="1"/>
  <c r="A275" i="91" s="1"/>
  <c r="A287" i="91" s="1"/>
  <c r="A299" i="91" s="1"/>
  <c r="A311" i="91" s="1"/>
  <c r="A323" i="91" s="1"/>
  <c r="A335" i="91" s="1"/>
  <c r="A347" i="91" s="1"/>
  <c r="A359" i="91" s="1"/>
  <c r="A371" i="91" s="1"/>
  <c r="A383" i="91" s="1"/>
  <c r="A395" i="91" s="1"/>
  <c r="A407" i="91" s="1"/>
  <c r="A419" i="91" s="1"/>
  <c r="A431" i="91" s="1"/>
  <c r="A443" i="91" s="1"/>
  <c r="A180" i="91"/>
  <c r="A192" i="91" s="1"/>
  <c r="A204" i="91" s="1"/>
  <c r="A216" i="91" s="1"/>
  <c r="A228" i="91" s="1"/>
  <c r="A240" i="91" s="1"/>
  <c r="A252" i="91" s="1"/>
  <c r="A264" i="91" s="1"/>
  <c r="A276" i="91" s="1"/>
  <c r="A288" i="91" s="1"/>
  <c r="A300" i="91" s="1"/>
  <c r="A312" i="91" s="1"/>
  <c r="A324" i="91" s="1"/>
  <c r="A336" i="91" s="1"/>
  <c r="A348" i="91" s="1"/>
  <c r="A360" i="91" s="1"/>
  <c r="A372" i="91" s="1"/>
  <c r="A384" i="91" s="1"/>
  <c r="A396" i="91" s="1"/>
  <c r="A408" i="91" s="1"/>
  <c r="A420" i="91" s="1"/>
  <c r="A432" i="91" s="1"/>
  <c r="A444" i="91" s="1"/>
  <c r="A181" i="91"/>
  <c r="A193" i="91" s="1"/>
  <c r="A205" i="91" s="1"/>
  <c r="A217" i="91" s="1"/>
  <c r="A229" i="91" s="1"/>
  <c r="A241" i="91" s="1"/>
  <c r="A253" i="91" s="1"/>
  <c r="A265" i="91" s="1"/>
  <c r="A277" i="91" s="1"/>
  <c r="A289" i="91" s="1"/>
  <c r="A301" i="91" s="1"/>
  <c r="A313" i="91" s="1"/>
  <c r="A325" i="91" s="1"/>
  <c r="A337" i="91" s="1"/>
  <c r="A349" i="91" s="1"/>
  <c r="A361" i="91" s="1"/>
  <c r="A373" i="91" s="1"/>
  <c r="A385" i="91" s="1"/>
  <c r="A397" i="91" s="1"/>
  <c r="A409" i="91" s="1"/>
  <c r="A421" i="91" s="1"/>
  <c r="A433" i="91" s="1"/>
  <c r="A445" i="91" s="1"/>
  <c r="A182" i="91"/>
  <c r="A194" i="91" s="1"/>
  <c r="A206" i="91" s="1"/>
  <c r="A218" i="91" s="1"/>
  <c r="A230" i="91" s="1"/>
  <c r="A242" i="91" s="1"/>
  <c r="A254" i="91" s="1"/>
  <c r="A266" i="91" s="1"/>
  <c r="A278" i="91" s="1"/>
  <c r="A290" i="91" s="1"/>
  <c r="A302" i="91" s="1"/>
  <c r="A314" i="91" s="1"/>
  <c r="A326" i="91" s="1"/>
  <c r="A338" i="91" s="1"/>
  <c r="A350" i="91" s="1"/>
  <c r="A362" i="91" s="1"/>
  <c r="A374" i="91" s="1"/>
  <c r="A386" i="91" s="1"/>
  <c r="A398" i="91" s="1"/>
  <c r="A410" i="91" s="1"/>
  <c r="A422" i="91" s="1"/>
  <c r="A434" i="91" s="1"/>
  <c r="A446" i="91" s="1"/>
  <c r="A183" i="91"/>
  <c r="A195" i="91" s="1"/>
  <c r="A207" i="91" s="1"/>
  <c r="A219" i="91" s="1"/>
  <c r="A231" i="91" s="1"/>
  <c r="A243" i="91" s="1"/>
  <c r="A255" i="91" s="1"/>
  <c r="A267" i="91" s="1"/>
  <c r="A279" i="91" s="1"/>
  <c r="A291" i="91" s="1"/>
  <c r="A303" i="91" s="1"/>
  <c r="A315" i="91" s="1"/>
  <c r="A327" i="91" s="1"/>
  <c r="A339" i="91" s="1"/>
  <c r="A351" i="91" s="1"/>
  <c r="A363" i="91" s="1"/>
  <c r="A375" i="91" s="1"/>
  <c r="A387" i="91" s="1"/>
  <c r="A399" i="91" s="1"/>
  <c r="A411" i="91" s="1"/>
  <c r="A423" i="91" s="1"/>
  <c r="A435" i="91" s="1"/>
  <c r="A447" i="91" s="1"/>
  <c r="A184" i="91"/>
  <c r="A196" i="91" s="1"/>
  <c r="A208" i="91" s="1"/>
  <c r="A220" i="91" s="1"/>
  <c r="A232" i="91" s="1"/>
  <c r="A244" i="91" s="1"/>
  <c r="A256" i="91" s="1"/>
  <c r="A268" i="91" s="1"/>
  <c r="A280" i="91" s="1"/>
  <c r="A292" i="91" s="1"/>
  <c r="A304" i="91" s="1"/>
  <c r="A316" i="91" s="1"/>
  <c r="A328" i="91" s="1"/>
  <c r="A340" i="91" s="1"/>
  <c r="A352" i="91" s="1"/>
  <c r="A364" i="91" s="1"/>
  <c r="A376" i="91" s="1"/>
  <c r="A388" i="91" s="1"/>
  <c r="A400" i="91" s="1"/>
  <c r="A412" i="91" s="1"/>
  <c r="A424" i="91" s="1"/>
  <c r="A436" i="91" s="1"/>
  <c r="A448" i="91" s="1"/>
  <c r="A185" i="91"/>
  <c r="A197" i="91" s="1"/>
  <c r="A209" i="91" s="1"/>
  <c r="A221" i="91" s="1"/>
  <c r="A233" i="91" s="1"/>
  <c r="A245" i="91" s="1"/>
  <c r="A257" i="91" s="1"/>
  <c r="A269" i="91" s="1"/>
  <c r="A281" i="91" s="1"/>
  <c r="A293" i="91" s="1"/>
  <c r="A305" i="91" s="1"/>
  <c r="A317" i="91" s="1"/>
  <c r="A329" i="91" s="1"/>
  <c r="A341" i="91" s="1"/>
  <c r="A353" i="91" s="1"/>
  <c r="A365" i="91" s="1"/>
  <c r="A377" i="91" s="1"/>
  <c r="A389" i="91" s="1"/>
  <c r="A401" i="91" s="1"/>
  <c r="A413" i="91" s="1"/>
  <c r="A425" i="91" s="1"/>
  <c r="A437" i="91" s="1"/>
  <c r="A449" i="91" s="1"/>
  <c r="A186" i="91"/>
  <c r="A198" i="91" s="1"/>
  <c r="A210" i="91" s="1"/>
  <c r="A222" i="91" s="1"/>
  <c r="A234" i="91" s="1"/>
  <c r="A246" i="91" s="1"/>
  <c r="A258" i="91" s="1"/>
  <c r="A270" i="91" s="1"/>
  <c r="A282" i="91" s="1"/>
  <c r="A294" i="91" s="1"/>
  <c r="A306" i="91" s="1"/>
  <c r="A318" i="91" s="1"/>
  <c r="A330" i="91" s="1"/>
  <c r="A342" i="91" s="1"/>
  <c r="A354" i="91" s="1"/>
  <c r="A366" i="91" s="1"/>
  <c r="A378" i="91" s="1"/>
  <c r="A390" i="91" s="1"/>
  <c r="A402" i="91" s="1"/>
  <c r="A414" i="91" s="1"/>
  <c r="A426" i="91" s="1"/>
  <c r="A438" i="91" s="1"/>
  <c r="A450" i="91" s="1"/>
  <c r="A187" i="91"/>
  <c r="A199" i="91" s="1"/>
  <c r="A211" i="91" s="1"/>
  <c r="A223" i="91" s="1"/>
  <c r="A235" i="91" s="1"/>
  <c r="A247" i="91" s="1"/>
  <c r="A259" i="91" s="1"/>
  <c r="A271" i="91" s="1"/>
  <c r="A283" i="91" s="1"/>
  <c r="A295" i="91" s="1"/>
  <c r="A307" i="91" s="1"/>
  <c r="A319" i="91" s="1"/>
  <c r="A331" i="91" s="1"/>
  <c r="A343" i="91" s="1"/>
  <c r="A355" i="91" s="1"/>
  <c r="A367" i="91" s="1"/>
  <c r="A379" i="91" s="1"/>
  <c r="A391" i="91" s="1"/>
  <c r="A403" i="91" s="1"/>
  <c r="A415" i="91" s="1"/>
  <c r="A427" i="91" s="1"/>
  <c r="A439" i="91" s="1"/>
  <c r="A451" i="91" s="1"/>
  <c r="A188" i="91"/>
  <c r="A200" i="91" s="1"/>
  <c r="A212" i="91" s="1"/>
  <c r="A224" i="91" s="1"/>
  <c r="A236" i="91" s="1"/>
  <c r="A248" i="91" s="1"/>
  <c r="A260" i="91" s="1"/>
  <c r="A272" i="91" s="1"/>
  <c r="A284" i="91" s="1"/>
  <c r="A296" i="91" s="1"/>
  <c r="A308" i="91" s="1"/>
  <c r="A320" i="91" s="1"/>
  <c r="A332" i="91" s="1"/>
  <c r="A344" i="91" s="1"/>
  <c r="A356" i="91" s="1"/>
  <c r="A368" i="91" s="1"/>
  <c r="A380" i="91" s="1"/>
  <c r="A392" i="91" s="1"/>
  <c r="A404" i="91" s="1"/>
  <c r="A416" i="91" s="1"/>
  <c r="A428" i="91" s="1"/>
  <c r="A440" i="91" s="1"/>
  <c r="A452" i="91" s="1"/>
  <c r="A189" i="91"/>
  <c r="A201" i="91" s="1"/>
  <c r="A213" i="91" s="1"/>
  <c r="A225" i="91" s="1"/>
  <c r="A237" i="91" s="1"/>
  <c r="A249" i="91" s="1"/>
  <c r="A261" i="91" s="1"/>
  <c r="A273" i="91" s="1"/>
  <c r="A285" i="91" s="1"/>
  <c r="A297" i="91" s="1"/>
  <c r="A309" i="91" s="1"/>
  <c r="A321" i="91" s="1"/>
  <c r="A333" i="91" s="1"/>
  <c r="A345" i="91" s="1"/>
  <c r="A357" i="91" s="1"/>
  <c r="A369" i="91" s="1"/>
  <c r="A381" i="91" s="1"/>
  <c r="A393" i="91" s="1"/>
  <c r="A405" i="91" s="1"/>
  <c r="A417" i="91" s="1"/>
  <c r="A429" i="91" s="1"/>
  <c r="A441" i="91" s="1"/>
  <c r="A453" i="91" s="1"/>
  <c r="R217" i="4"/>
  <c r="V217" i="4" s="1"/>
  <c r="C89" i="49"/>
  <c r="B89" i="49" s="1"/>
  <c r="J89" i="49"/>
  <c r="I89" i="49" s="1"/>
  <c r="M89" i="49"/>
  <c r="L89" i="49" s="1"/>
  <c r="G48" i="53"/>
  <c r="J88" i="49"/>
  <c r="M88" i="49"/>
  <c r="J87" i="49"/>
  <c r="I87" i="49" s="1"/>
  <c r="M87" i="49"/>
  <c r="L87" i="49" s="1"/>
  <c r="J86" i="49"/>
  <c r="I86" i="49" s="1"/>
  <c r="M86" i="49"/>
  <c r="L86" i="49" s="1"/>
  <c r="C88" i="49"/>
  <c r="B88" i="49" s="1"/>
  <c r="F88" i="49"/>
  <c r="E88" i="49" s="1"/>
  <c r="C87" i="49"/>
  <c r="B87" i="49" s="1"/>
  <c r="F87" i="49"/>
  <c r="E87" i="49" s="1"/>
  <c r="C86" i="49"/>
  <c r="B86" i="49" s="1"/>
  <c r="F86" i="49"/>
  <c r="E86" i="49" s="1"/>
  <c r="B233" i="89"/>
  <c r="H221" i="17"/>
  <c r="B297" i="89"/>
  <c r="B296" i="89"/>
  <c r="B295" i="89"/>
  <c r="B294" i="89"/>
  <c r="B292" i="89"/>
  <c r="B291" i="89"/>
  <c r="B289" i="89"/>
  <c r="B288" i="89"/>
  <c r="B287" i="89"/>
  <c r="B286" i="89"/>
  <c r="B284" i="89"/>
  <c r="B283" i="89"/>
  <c r="B280" i="89"/>
  <c r="B279" i="89"/>
  <c r="B278" i="89"/>
  <c r="B277" i="89"/>
  <c r="B276" i="89"/>
  <c r="B275" i="89"/>
  <c r="B274" i="89"/>
  <c r="B273" i="89"/>
  <c r="B272" i="89"/>
  <c r="B271" i="89"/>
  <c r="B270" i="89"/>
  <c r="B269" i="89"/>
  <c r="B268" i="89"/>
  <c r="B267" i="89"/>
  <c r="B266" i="89"/>
  <c r="B265" i="89"/>
  <c r="B264" i="89"/>
  <c r="B260" i="89"/>
  <c r="B259" i="89"/>
  <c r="B258" i="89"/>
  <c r="B257" i="89"/>
  <c r="B256" i="89"/>
  <c r="B255" i="89"/>
  <c r="B254" i="89"/>
  <c r="B253" i="89"/>
  <c r="B252" i="89"/>
  <c r="B250" i="89"/>
  <c r="B247" i="89"/>
  <c r="B246" i="89"/>
  <c r="B245" i="89"/>
  <c r="B244" i="89"/>
  <c r="B243" i="89"/>
  <c r="B242" i="89"/>
  <c r="B241" i="89"/>
  <c r="B240" i="89"/>
  <c r="B239" i="89"/>
  <c r="B238" i="89"/>
  <c r="B236" i="89"/>
  <c r="B235" i="89"/>
  <c r="B234" i="89"/>
  <c r="B232" i="89"/>
  <c r="B231" i="89"/>
  <c r="B230" i="89"/>
  <c r="B229" i="89"/>
  <c r="B228" i="89"/>
  <c r="B227" i="89"/>
  <c r="B226" i="89"/>
  <c r="B225" i="89"/>
  <c r="B224" i="89"/>
  <c r="B223" i="89"/>
  <c r="B222" i="89"/>
  <c r="B221" i="89"/>
  <c r="B220" i="89"/>
  <c r="B219" i="89"/>
  <c r="B218" i="89"/>
  <c r="B217" i="89"/>
  <c r="B216" i="89"/>
  <c r="B215" i="89"/>
  <c r="B214" i="89"/>
  <c r="B213" i="89"/>
  <c r="B212" i="89"/>
  <c r="B211" i="89"/>
  <c r="B210" i="89"/>
  <c r="B209" i="89"/>
  <c r="B208" i="89"/>
  <c r="B207" i="89"/>
  <c r="B206" i="89"/>
  <c r="B205" i="89"/>
  <c r="B204" i="89"/>
  <c r="B203" i="89"/>
  <c r="B202" i="89"/>
  <c r="B201" i="89"/>
  <c r="B200" i="89"/>
  <c r="B199" i="89"/>
  <c r="B198" i="89"/>
  <c r="B197" i="89"/>
  <c r="B196" i="89"/>
  <c r="B195" i="89"/>
  <c r="B194" i="89"/>
  <c r="B193" i="89"/>
  <c r="B192" i="89"/>
  <c r="B191" i="89"/>
  <c r="B190" i="89"/>
  <c r="B189" i="89"/>
  <c r="B188" i="89"/>
  <c r="B187" i="89"/>
  <c r="B186" i="89"/>
  <c r="B185" i="89"/>
  <c r="B184" i="89"/>
  <c r="B183" i="89"/>
  <c r="B182" i="89"/>
  <c r="B181" i="89"/>
  <c r="B180" i="89"/>
  <c r="B179" i="89"/>
  <c r="B178" i="89"/>
  <c r="B177" i="89"/>
  <c r="B176" i="89"/>
  <c r="B175" i="89"/>
  <c r="B174" i="89"/>
  <c r="B173" i="89"/>
  <c r="B172" i="89"/>
  <c r="B171" i="89"/>
  <c r="B170" i="89"/>
  <c r="B169" i="89"/>
  <c r="B168" i="89"/>
  <c r="B167" i="89"/>
  <c r="B166" i="89"/>
  <c r="B165" i="89"/>
  <c r="B164" i="89"/>
  <c r="B163" i="89"/>
  <c r="B162" i="89"/>
  <c r="B161" i="89"/>
  <c r="B160" i="89"/>
  <c r="B159" i="89"/>
  <c r="B158" i="89"/>
  <c r="B157" i="89"/>
  <c r="B156" i="89"/>
  <c r="B155" i="89"/>
  <c r="B154" i="89"/>
  <c r="B144" i="89"/>
  <c r="B145" i="89"/>
  <c r="B146" i="89"/>
  <c r="B147" i="89"/>
  <c r="B148" i="89"/>
  <c r="B149" i="89"/>
  <c r="B150" i="89"/>
  <c r="B151" i="89"/>
  <c r="B152" i="89"/>
  <c r="B153" i="89"/>
  <c r="B143" i="89"/>
  <c r="B142" i="89"/>
  <c r="D176" i="52"/>
  <c r="J176" i="52"/>
  <c r="D161" i="52"/>
  <c r="J161" i="52"/>
  <c r="D132" i="52"/>
  <c r="J132" i="52"/>
  <c r="D111" i="52"/>
  <c r="J111" i="52"/>
  <c r="D110" i="52"/>
  <c r="J110" i="52"/>
  <c r="D91" i="52"/>
  <c r="J91" i="52"/>
  <c r="D87" i="52"/>
  <c r="J87" i="52"/>
  <c r="D82" i="52"/>
  <c r="J82" i="52"/>
  <c r="D79" i="52"/>
  <c r="J79" i="52"/>
  <c r="D70" i="52"/>
  <c r="J70" i="52"/>
  <c r="D35" i="52"/>
  <c r="J35" i="52"/>
  <c r="D14" i="52"/>
  <c r="J14" i="52"/>
  <c r="D209" i="52"/>
  <c r="J209" i="52"/>
  <c r="D210" i="52"/>
  <c r="J210" i="52"/>
  <c r="D211" i="52"/>
  <c r="J211" i="52"/>
  <c r="D212" i="52"/>
  <c r="J212" i="52"/>
  <c r="D213" i="52"/>
  <c r="J213" i="52"/>
  <c r="D214" i="52"/>
  <c r="J214" i="52"/>
  <c r="D215" i="52"/>
  <c r="J215" i="52"/>
  <c r="D216" i="52"/>
  <c r="J216" i="52"/>
  <c r="D217" i="52"/>
  <c r="J217" i="52"/>
  <c r="D218" i="52"/>
  <c r="J218" i="52"/>
  <c r="D219" i="52"/>
  <c r="J219" i="52"/>
  <c r="D220" i="52"/>
  <c r="J220" i="52"/>
  <c r="D221" i="52"/>
  <c r="J221" i="52"/>
  <c r="D222" i="52"/>
  <c r="J222" i="52"/>
  <c r="D223" i="52"/>
  <c r="J223" i="52"/>
  <c r="D224" i="52"/>
  <c r="J224" i="52"/>
  <c r="D225" i="52"/>
  <c r="J225" i="52"/>
  <c r="D226" i="52"/>
  <c r="J226" i="52"/>
  <c r="D227" i="52"/>
  <c r="J227" i="52"/>
  <c r="D228" i="52"/>
  <c r="J228" i="52"/>
  <c r="D229" i="52"/>
  <c r="J229" i="52"/>
  <c r="D230" i="52"/>
  <c r="J230" i="52"/>
  <c r="D231" i="52"/>
  <c r="J231" i="52"/>
  <c r="D232" i="52"/>
  <c r="J232" i="52"/>
  <c r="D233" i="52"/>
  <c r="J233" i="52"/>
  <c r="D234" i="52"/>
  <c r="J234" i="52"/>
  <c r="D235" i="52"/>
  <c r="J235" i="52"/>
  <c r="D236" i="52"/>
  <c r="J236" i="52"/>
  <c r="D237" i="52"/>
  <c r="J237" i="52"/>
  <c r="D238" i="52"/>
  <c r="J238" i="52"/>
  <c r="D239" i="52"/>
  <c r="J239" i="52"/>
  <c r="D240" i="52"/>
  <c r="J240" i="52"/>
  <c r="D241" i="52"/>
  <c r="J241" i="52"/>
  <c r="D242" i="52"/>
  <c r="J242" i="52"/>
  <c r="D243" i="52"/>
  <c r="J243" i="52"/>
  <c r="D244" i="52"/>
  <c r="J244" i="52"/>
  <c r="D245" i="52"/>
  <c r="J245" i="52"/>
  <c r="D246" i="52"/>
  <c r="J246" i="52"/>
  <c r="D247" i="52"/>
  <c r="J247" i="52"/>
  <c r="D248" i="52"/>
  <c r="J248" i="52"/>
  <c r="D249" i="52"/>
  <c r="J249" i="52"/>
  <c r="D250" i="52"/>
  <c r="J250" i="52"/>
  <c r="D251" i="52"/>
  <c r="J251" i="52"/>
  <c r="D252" i="52"/>
  <c r="J252" i="52"/>
  <c r="D254" i="52"/>
  <c r="J254" i="52"/>
  <c r="J255" i="52"/>
  <c r="D256" i="52"/>
  <c r="J256" i="52"/>
  <c r="D257" i="52"/>
  <c r="J257" i="52"/>
  <c r="D258" i="52"/>
  <c r="J258" i="52"/>
  <c r="D259" i="52"/>
  <c r="J259" i="52"/>
  <c r="D260" i="52"/>
  <c r="J260" i="52"/>
  <c r="D261" i="52"/>
  <c r="J261" i="52"/>
  <c r="D262" i="52"/>
  <c r="J262" i="52"/>
  <c r="D263" i="52"/>
  <c r="J263" i="52"/>
  <c r="D264" i="52"/>
  <c r="J264" i="52"/>
  <c r="D265" i="52"/>
  <c r="J265" i="52"/>
  <c r="D266" i="52"/>
  <c r="J266" i="52"/>
  <c r="D267" i="52"/>
  <c r="J267" i="52"/>
  <c r="D268" i="52"/>
  <c r="J268" i="52"/>
  <c r="D269" i="52"/>
  <c r="J269" i="52"/>
  <c r="D270" i="52"/>
  <c r="J270" i="52"/>
  <c r="D271" i="52"/>
  <c r="J271" i="52"/>
  <c r="D272" i="52"/>
  <c r="J272" i="52"/>
  <c r="D273" i="52"/>
  <c r="J273" i="52"/>
  <c r="J12" i="52"/>
  <c r="D13" i="52"/>
  <c r="J13" i="52"/>
  <c r="D15" i="52"/>
  <c r="J15" i="52"/>
  <c r="D16" i="52"/>
  <c r="J16" i="52"/>
  <c r="D17" i="52"/>
  <c r="J17" i="52"/>
  <c r="D18" i="52"/>
  <c r="J18" i="52"/>
  <c r="D19" i="52"/>
  <c r="J19" i="52"/>
  <c r="D20" i="52"/>
  <c r="J20" i="52"/>
  <c r="D21" i="52"/>
  <c r="J21" i="52"/>
  <c r="D22" i="52"/>
  <c r="J22" i="52"/>
  <c r="D23" i="52"/>
  <c r="J23" i="52"/>
  <c r="D24" i="52"/>
  <c r="J24" i="52"/>
  <c r="D25" i="52"/>
  <c r="J25" i="52"/>
  <c r="D26" i="52"/>
  <c r="J26" i="52"/>
  <c r="D27" i="52"/>
  <c r="J27" i="52"/>
  <c r="D28" i="52"/>
  <c r="J28" i="52"/>
  <c r="D29" i="52"/>
  <c r="J29" i="52"/>
  <c r="D30" i="52"/>
  <c r="J30" i="52"/>
  <c r="D31" i="52"/>
  <c r="J31" i="52"/>
  <c r="D32" i="52"/>
  <c r="J32" i="52"/>
  <c r="D33" i="52"/>
  <c r="J33" i="52"/>
  <c r="D34" i="52"/>
  <c r="J34" i="52"/>
  <c r="D36" i="52"/>
  <c r="J36" i="52"/>
  <c r="D37" i="52"/>
  <c r="J37" i="52"/>
  <c r="D38" i="52"/>
  <c r="J38" i="52"/>
  <c r="D39" i="52"/>
  <c r="J39" i="52"/>
  <c r="D40" i="52"/>
  <c r="J40" i="52"/>
  <c r="D41" i="52"/>
  <c r="J41" i="52"/>
  <c r="D42" i="52"/>
  <c r="J42" i="52"/>
  <c r="D43" i="52"/>
  <c r="J43" i="52"/>
  <c r="D44" i="52"/>
  <c r="J44" i="52"/>
  <c r="D45" i="52"/>
  <c r="J45" i="52"/>
  <c r="D46" i="52"/>
  <c r="J46" i="52"/>
  <c r="D47" i="52"/>
  <c r="J47" i="52"/>
  <c r="D48" i="52"/>
  <c r="J48" i="52"/>
  <c r="D49" i="52"/>
  <c r="J49" i="52"/>
  <c r="D50" i="52"/>
  <c r="J50" i="52"/>
  <c r="D51" i="52"/>
  <c r="J51" i="52"/>
  <c r="D52" i="52"/>
  <c r="J52" i="52"/>
  <c r="D53" i="52"/>
  <c r="J53" i="52"/>
  <c r="D54" i="52"/>
  <c r="J54" i="52"/>
  <c r="D55" i="52"/>
  <c r="J55" i="52"/>
  <c r="D56" i="52"/>
  <c r="J56" i="52"/>
  <c r="D57" i="52"/>
  <c r="J57" i="52"/>
  <c r="D58" i="52"/>
  <c r="J58" i="52"/>
  <c r="D59" i="52"/>
  <c r="J59" i="52"/>
  <c r="D60" i="52"/>
  <c r="J60" i="52"/>
  <c r="D61" i="52"/>
  <c r="J61" i="52"/>
  <c r="D62" i="52"/>
  <c r="J62" i="52"/>
  <c r="D63" i="52"/>
  <c r="J63" i="52"/>
  <c r="D64" i="52"/>
  <c r="J64" i="52"/>
  <c r="D65" i="52"/>
  <c r="J65" i="52"/>
  <c r="D66" i="52"/>
  <c r="J66" i="52"/>
  <c r="D67" i="52"/>
  <c r="J67" i="52"/>
  <c r="D68" i="52"/>
  <c r="J68" i="52"/>
  <c r="D69" i="52"/>
  <c r="J69" i="52"/>
  <c r="D71" i="52"/>
  <c r="J71" i="52"/>
  <c r="D72" i="52"/>
  <c r="J72" i="52"/>
  <c r="D73" i="52"/>
  <c r="J73" i="52"/>
  <c r="D74" i="52"/>
  <c r="J74" i="52"/>
  <c r="D75" i="52"/>
  <c r="J75" i="52"/>
  <c r="D76" i="52"/>
  <c r="J76" i="52"/>
  <c r="D77" i="52"/>
  <c r="J77" i="52"/>
  <c r="D78" i="52"/>
  <c r="J78" i="52"/>
  <c r="D80" i="52"/>
  <c r="J80" i="52"/>
  <c r="D81" i="52"/>
  <c r="J81" i="52"/>
  <c r="D83" i="52"/>
  <c r="J83" i="52"/>
  <c r="D84" i="52"/>
  <c r="J84" i="52"/>
  <c r="D85" i="52"/>
  <c r="J85" i="52"/>
  <c r="D86" i="52"/>
  <c r="J86" i="52"/>
  <c r="D88" i="52"/>
  <c r="J88" i="52"/>
  <c r="D89" i="52"/>
  <c r="J89" i="52"/>
  <c r="D90" i="52"/>
  <c r="J90" i="52"/>
  <c r="D92" i="52"/>
  <c r="J92" i="52"/>
  <c r="D93" i="52"/>
  <c r="J93" i="52"/>
  <c r="D94" i="52"/>
  <c r="J94" i="52"/>
  <c r="D95" i="52"/>
  <c r="J95" i="52"/>
  <c r="D96" i="52"/>
  <c r="J96" i="52"/>
  <c r="D97" i="52"/>
  <c r="J97" i="52"/>
  <c r="D98" i="52"/>
  <c r="J98" i="52"/>
  <c r="D99" i="52"/>
  <c r="J99" i="52"/>
  <c r="D100" i="52"/>
  <c r="J100" i="52"/>
  <c r="D101" i="52"/>
  <c r="J101" i="52"/>
  <c r="D102" i="52"/>
  <c r="J102" i="52"/>
  <c r="D103" i="52"/>
  <c r="J103" i="52"/>
  <c r="D104" i="52"/>
  <c r="J104" i="52"/>
  <c r="D105" i="52"/>
  <c r="J105" i="52"/>
  <c r="D106" i="52"/>
  <c r="J106" i="52"/>
  <c r="D107" i="52"/>
  <c r="J107" i="52"/>
  <c r="D108" i="52"/>
  <c r="J108" i="52"/>
  <c r="D109" i="52"/>
  <c r="J109" i="52"/>
  <c r="D112" i="52"/>
  <c r="J112" i="52"/>
  <c r="D113" i="52"/>
  <c r="J113" i="52"/>
  <c r="D114" i="52"/>
  <c r="J114" i="52"/>
  <c r="D115" i="52"/>
  <c r="J115" i="52"/>
  <c r="D116" i="52"/>
  <c r="J116" i="52"/>
  <c r="D117" i="52"/>
  <c r="J117" i="52"/>
  <c r="D118" i="52"/>
  <c r="J118" i="52"/>
  <c r="D119" i="52"/>
  <c r="J119" i="52"/>
  <c r="D120" i="52"/>
  <c r="J120" i="52"/>
  <c r="D121" i="52"/>
  <c r="J121" i="52"/>
  <c r="D122" i="52"/>
  <c r="J122" i="52"/>
  <c r="D123" i="52"/>
  <c r="J123" i="52"/>
  <c r="D124" i="52"/>
  <c r="J124" i="52"/>
  <c r="D125" i="52"/>
  <c r="J125" i="52"/>
  <c r="D126" i="52"/>
  <c r="J126" i="52"/>
  <c r="D127" i="52"/>
  <c r="J127" i="52"/>
  <c r="D128" i="52"/>
  <c r="J128" i="52"/>
  <c r="D129" i="52"/>
  <c r="J129" i="52"/>
  <c r="D130" i="52"/>
  <c r="J130" i="52"/>
  <c r="D131" i="52"/>
  <c r="J131" i="52"/>
  <c r="D133" i="52"/>
  <c r="J133" i="52"/>
  <c r="D134" i="52"/>
  <c r="J134" i="52"/>
  <c r="D135" i="52"/>
  <c r="J135" i="52"/>
  <c r="D136" i="52"/>
  <c r="J136" i="52"/>
  <c r="D137" i="52"/>
  <c r="J137" i="52"/>
  <c r="D138" i="52"/>
  <c r="J138" i="52"/>
  <c r="D139" i="52"/>
  <c r="J139" i="52"/>
  <c r="D140" i="52"/>
  <c r="J140" i="52"/>
  <c r="D141" i="52"/>
  <c r="J141" i="52"/>
  <c r="D142" i="52"/>
  <c r="J142" i="52"/>
  <c r="D143" i="52"/>
  <c r="J143" i="52"/>
  <c r="D144" i="52"/>
  <c r="J144" i="52"/>
  <c r="D145" i="52"/>
  <c r="J145" i="52"/>
  <c r="D146" i="52"/>
  <c r="J146" i="52"/>
  <c r="D147" i="52"/>
  <c r="J147" i="52"/>
  <c r="D148" i="52"/>
  <c r="J148" i="52"/>
  <c r="D149" i="52"/>
  <c r="J149" i="52"/>
  <c r="D150" i="52"/>
  <c r="J150" i="52"/>
  <c r="D151" i="52"/>
  <c r="J151" i="52"/>
  <c r="D152" i="52"/>
  <c r="J152" i="52"/>
  <c r="D153" i="52"/>
  <c r="J153" i="52"/>
  <c r="D154" i="52"/>
  <c r="J154" i="52"/>
  <c r="D155" i="52"/>
  <c r="J155" i="52"/>
  <c r="D156" i="52"/>
  <c r="J156" i="52"/>
  <c r="D157" i="52"/>
  <c r="J157" i="52"/>
  <c r="D158" i="52"/>
  <c r="J158" i="52"/>
  <c r="D159" i="52"/>
  <c r="J159" i="52"/>
  <c r="D160" i="52"/>
  <c r="J160" i="52"/>
  <c r="D162" i="52"/>
  <c r="J162" i="52"/>
  <c r="D163" i="52"/>
  <c r="J163" i="52"/>
  <c r="D164" i="52"/>
  <c r="J164" i="52"/>
  <c r="D165" i="52"/>
  <c r="J165" i="52"/>
  <c r="D166" i="52"/>
  <c r="J166" i="52"/>
  <c r="D167" i="52"/>
  <c r="J167" i="52"/>
  <c r="D168" i="52"/>
  <c r="J168" i="52"/>
  <c r="D169" i="52"/>
  <c r="J169" i="52"/>
  <c r="D170" i="52"/>
  <c r="J170" i="52"/>
  <c r="D171" i="52"/>
  <c r="J171" i="52"/>
  <c r="D172" i="52"/>
  <c r="J172" i="52"/>
  <c r="D173" i="52"/>
  <c r="J173" i="52"/>
  <c r="D174" i="52"/>
  <c r="J174" i="52"/>
  <c r="D175" i="52"/>
  <c r="J175" i="52"/>
  <c r="D177" i="52"/>
  <c r="J177" i="52"/>
  <c r="D178" i="52"/>
  <c r="J178" i="52"/>
  <c r="D179" i="52"/>
  <c r="J179" i="52"/>
  <c r="D180" i="52"/>
  <c r="J180" i="52"/>
  <c r="D181" i="52"/>
  <c r="J181" i="52"/>
  <c r="D182" i="52"/>
  <c r="J182" i="52"/>
  <c r="D183" i="52"/>
  <c r="J183" i="52"/>
  <c r="D184" i="52"/>
  <c r="J184" i="52"/>
  <c r="D185" i="52"/>
  <c r="J185" i="52"/>
  <c r="D186" i="52"/>
  <c r="J186" i="52"/>
  <c r="D187" i="52"/>
  <c r="J187" i="52"/>
  <c r="D188" i="52"/>
  <c r="J188" i="52"/>
  <c r="D189" i="52"/>
  <c r="J189" i="52"/>
  <c r="D190" i="52"/>
  <c r="J190" i="52"/>
  <c r="D191" i="52"/>
  <c r="J191" i="52"/>
  <c r="D192" i="52"/>
  <c r="J192" i="52"/>
  <c r="D193" i="52"/>
  <c r="J193" i="52"/>
  <c r="D194" i="52"/>
  <c r="J194" i="52"/>
  <c r="D195" i="52"/>
  <c r="J195" i="52"/>
  <c r="D196" i="52"/>
  <c r="J196" i="52"/>
  <c r="D197" i="52"/>
  <c r="J197" i="52"/>
  <c r="D198" i="52"/>
  <c r="J198" i="52"/>
  <c r="D199" i="52"/>
  <c r="J199" i="52"/>
  <c r="D201" i="52"/>
  <c r="J201" i="52"/>
  <c r="D202" i="52"/>
  <c r="J202" i="52"/>
  <c r="D203" i="52"/>
  <c r="J203" i="52"/>
  <c r="D204" i="52"/>
  <c r="J204" i="52"/>
  <c r="D205" i="52"/>
  <c r="J205" i="52"/>
  <c r="D206" i="52"/>
  <c r="J206" i="52"/>
  <c r="D207" i="52"/>
  <c r="J207" i="52"/>
  <c r="D208" i="52"/>
  <c r="J208" i="52"/>
  <c r="D11" i="52"/>
  <c r="J11" i="52"/>
  <c r="H218" i="17"/>
  <c r="A202" i="89"/>
  <c r="A214" i="89" s="1"/>
  <c r="A226" i="89" s="1"/>
  <c r="A238" i="89" s="1"/>
  <c r="A250" i="89" s="1"/>
  <c r="A262" i="89" s="1"/>
  <c r="A274" i="89" s="1"/>
  <c r="A286" i="89" s="1"/>
  <c r="A298" i="89" s="1"/>
  <c r="A310" i="89" s="1"/>
  <c r="A322" i="89" s="1"/>
  <c r="A334" i="89" s="1"/>
  <c r="A346" i="89" s="1"/>
  <c r="A358" i="89" s="1"/>
  <c r="A370" i="89" s="1"/>
  <c r="A382" i="89" s="1"/>
  <c r="A394" i="89" s="1"/>
  <c r="A406" i="89" s="1"/>
  <c r="A418" i="89" s="1"/>
  <c r="A430" i="89" s="1"/>
  <c r="A442" i="89" s="1"/>
  <c r="A454" i="89" s="1"/>
  <c r="A466" i="89" s="1"/>
  <c r="A203" i="89"/>
  <c r="A215" i="89" s="1"/>
  <c r="A227" i="89" s="1"/>
  <c r="A239" i="89" s="1"/>
  <c r="A251" i="89" s="1"/>
  <c r="A263" i="89" s="1"/>
  <c r="A275" i="89" s="1"/>
  <c r="A287" i="89" s="1"/>
  <c r="A299" i="89" s="1"/>
  <c r="A311" i="89" s="1"/>
  <c r="A323" i="89" s="1"/>
  <c r="A335" i="89" s="1"/>
  <c r="A347" i="89" s="1"/>
  <c r="A359" i="89" s="1"/>
  <c r="A371" i="89" s="1"/>
  <c r="A383" i="89" s="1"/>
  <c r="A395" i="89" s="1"/>
  <c r="A407" i="89" s="1"/>
  <c r="A419" i="89" s="1"/>
  <c r="A431" i="89" s="1"/>
  <c r="A443" i="89" s="1"/>
  <c r="A455" i="89" s="1"/>
  <c r="A467" i="89" s="1"/>
  <c r="A204" i="89"/>
  <c r="A216" i="89" s="1"/>
  <c r="A228" i="89" s="1"/>
  <c r="A240" i="89" s="1"/>
  <c r="A252" i="89" s="1"/>
  <c r="A264" i="89" s="1"/>
  <c r="A276" i="89" s="1"/>
  <c r="A288" i="89" s="1"/>
  <c r="A300" i="89" s="1"/>
  <c r="A312" i="89" s="1"/>
  <c r="A324" i="89" s="1"/>
  <c r="A336" i="89" s="1"/>
  <c r="A348" i="89" s="1"/>
  <c r="A360" i="89" s="1"/>
  <c r="A372" i="89" s="1"/>
  <c r="A384" i="89" s="1"/>
  <c r="A396" i="89" s="1"/>
  <c r="A408" i="89" s="1"/>
  <c r="A420" i="89" s="1"/>
  <c r="A432" i="89" s="1"/>
  <c r="A444" i="89" s="1"/>
  <c r="A456" i="89" s="1"/>
  <c r="A468" i="89" s="1"/>
  <c r="A205" i="89"/>
  <c r="A217" i="89" s="1"/>
  <c r="A229" i="89" s="1"/>
  <c r="A241" i="89" s="1"/>
  <c r="A253" i="89" s="1"/>
  <c r="A265" i="89" s="1"/>
  <c r="A277" i="89" s="1"/>
  <c r="A289" i="89" s="1"/>
  <c r="A301" i="89" s="1"/>
  <c r="A313" i="89" s="1"/>
  <c r="A325" i="89" s="1"/>
  <c r="A337" i="89" s="1"/>
  <c r="A349" i="89" s="1"/>
  <c r="A361" i="89" s="1"/>
  <c r="A373" i="89" s="1"/>
  <c r="A385" i="89" s="1"/>
  <c r="A397" i="89" s="1"/>
  <c r="A409" i="89" s="1"/>
  <c r="A421" i="89" s="1"/>
  <c r="A433" i="89" s="1"/>
  <c r="A445" i="89" s="1"/>
  <c r="A457" i="89" s="1"/>
  <c r="A469" i="89" s="1"/>
  <c r="A206" i="89"/>
  <c r="A218" i="89" s="1"/>
  <c r="A230" i="89" s="1"/>
  <c r="A242" i="89" s="1"/>
  <c r="A254" i="89" s="1"/>
  <c r="A266" i="89" s="1"/>
  <c r="A278" i="89" s="1"/>
  <c r="A290" i="89" s="1"/>
  <c r="A302" i="89" s="1"/>
  <c r="A314" i="89" s="1"/>
  <c r="A326" i="89" s="1"/>
  <c r="A338" i="89" s="1"/>
  <c r="A350" i="89" s="1"/>
  <c r="A362" i="89" s="1"/>
  <c r="A374" i="89" s="1"/>
  <c r="A386" i="89" s="1"/>
  <c r="A398" i="89" s="1"/>
  <c r="A410" i="89" s="1"/>
  <c r="A422" i="89" s="1"/>
  <c r="A434" i="89" s="1"/>
  <c r="A446" i="89" s="1"/>
  <c r="A458" i="89" s="1"/>
  <c r="A470" i="89" s="1"/>
  <c r="A207" i="89"/>
  <c r="A219" i="89" s="1"/>
  <c r="A231" i="89" s="1"/>
  <c r="A243" i="89" s="1"/>
  <c r="A255" i="89" s="1"/>
  <c r="A267" i="89" s="1"/>
  <c r="A279" i="89" s="1"/>
  <c r="A291" i="89" s="1"/>
  <c r="A303" i="89" s="1"/>
  <c r="A315" i="89" s="1"/>
  <c r="A327" i="89" s="1"/>
  <c r="A339" i="89" s="1"/>
  <c r="A351" i="89" s="1"/>
  <c r="A363" i="89" s="1"/>
  <c r="A375" i="89" s="1"/>
  <c r="A387" i="89" s="1"/>
  <c r="A399" i="89" s="1"/>
  <c r="A411" i="89" s="1"/>
  <c r="A423" i="89" s="1"/>
  <c r="A435" i="89" s="1"/>
  <c r="A447" i="89" s="1"/>
  <c r="A459" i="89" s="1"/>
  <c r="A471" i="89" s="1"/>
  <c r="A208" i="89"/>
  <c r="A220" i="89" s="1"/>
  <c r="A232" i="89" s="1"/>
  <c r="A244" i="89" s="1"/>
  <c r="A256" i="89" s="1"/>
  <c r="A268" i="89" s="1"/>
  <c r="A280" i="89" s="1"/>
  <c r="A292" i="89" s="1"/>
  <c r="A304" i="89" s="1"/>
  <c r="A316" i="89" s="1"/>
  <c r="A328" i="89" s="1"/>
  <c r="A340" i="89" s="1"/>
  <c r="A352" i="89" s="1"/>
  <c r="A364" i="89" s="1"/>
  <c r="A376" i="89" s="1"/>
  <c r="A388" i="89" s="1"/>
  <c r="A400" i="89" s="1"/>
  <c r="A412" i="89" s="1"/>
  <c r="A424" i="89" s="1"/>
  <c r="A436" i="89" s="1"/>
  <c r="A448" i="89" s="1"/>
  <c r="A460" i="89" s="1"/>
  <c r="A472" i="89" s="1"/>
  <c r="A209" i="89"/>
  <c r="A221" i="89" s="1"/>
  <c r="A233" i="89" s="1"/>
  <c r="A245" i="89" s="1"/>
  <c r="A257" i="89" s="1"/>
  <c r="A269" i="89" s="1"/>
  <c r="A281" i="89" s="1"/>
  <c r="A293" i="89" s="1"/>
  <c r="A305" i="89" s="1"/>
  <c r="A317" i="89" s="1"/>
  <c r="A329" i="89" s="1"/>
  <c r="A341" i="89" s="1"/>
  <c r="A353" i="89" s="1"/>
  <c r="A365" i="89" s="1"/>
  <c r="A377" i="89" s="1"/>
  <c r="A389" i="89" s="1"/>
  <c r="A401" i="89" s="1"/>
  <c r="A413" i="89" s="1"/>
  <c r="A425" i="89" s="1"/>
  <c r="A437" i="89" s="1"/>
  <c r="A449" i="89" s="1"/>
  <c r="A461" i="89" s="1"/>
  <c r="A473" i="89" s="1"/>
  <c r="A210" i="89"/>
  <c r="A222" i="89" s="1"/>
  <c r="A234" i="89" s="1"/>
  <c r="A246" i="89" s="1"/>
  <c r="A258" i="89" s="1"/>
  <c r="A270" i="89" s="1"/>
  <c r="A282" i="89" s="1"/>
  <c r="A294" i="89" s="1"/>
  <c r="A306" i="89" s="1"/>
  <c r="A318" i="89" s="1"/>
  <c r="A330" i="89" s="1"/>
  <c r="A342" i="89" s="1"/>
  <c r="A354" i="89" s="1"/>
  <c r="A366" i="89" s="1"/>
  <c r="A378" i="89" s="1"/>
  <c r="A390" i="89" s="1"/>
  <c r="A402" i="89" s="1"/>
  <c r="A414" i="89" s="1"/>
  <c r="A426" i="89" s="1"/>
  <c r="A438" i="89" s="1"/>
  <c r="A450" i="89" s="1"/>
  <c r="A462" i="89" s="1"/>
  <c r="A474" i="89" s="1"/>
  <c r="A211" i="89"/>
  <c r="A223" i="89" s="1"/>
  <c r="A235" i="89" s="1"/>
  <c r="A247" i="89" s="1"/>
  <c r="A259" i="89" s="1"/>
  <c r="A271" i="89" s="1"/>
  <c r="A283" i="89" s="1"/>
  <c r="A295" i="89" s="1"/>
  <c r="A307" i="89" s="1"/>
  <c r="A319" i="89" s="1"/>
  <c r="A331" i="89" s="1"/>
  <c r="A343" i="89" s="1"/>
  <c r="A355" i="89" s="1"/>
  <c r="A367" i="89" s="1"/>
  <c r="A379" i="89" s="1"/>
  <c r="A391" i="89" s="1"/>
  <c r="A403" i="89" s="1"/>
  <c r="A415" i="89" s="1"/>
  <c r="A427" i="89" s="1"/>
  <c r="A439" i="89" s="1"/>
  <c r="A451" i="89" s="1"/>
  <c r="A463" i="89" s="1"/>
  <c r="A475" i="89" s="1"/>
  <c r="A212" i="89"/>
  <c r="A224" i="89" s="1"/>
  <c r="A236" i="89" s="1"/>
  <c r="A248" i="89" s="1"/>
  <c r="A260" i="89" s="1"/>
  <c r="A272" i="89" s="1"/>
  <c r="A284" i="89" s="1"/>
  <c r="A296" i="89" s="1"/>
  <c r="A308" i="89" s="1"/>
  <c r="A320" i="89" s="1"/>
  <c r="A332" i="89" s="1"/>
  <c r="A344" i="89" s="1"/>
  <c r="A356" i="89" s="1"/>
  <c r="A368" i="89" s="1"/>
  <c r="A380" i="89" s="1"/>
  <c r="A392" i="89" s="1"/>
  <c r="A404" i="89" s="1"/>
  <c r="A416" i="89" s="1"/>
  <c r="A428" i="89" s="1"/>
  <c r="A440" i="89" s="1"/>
  <c r="A452" i="89" s="1"/>
  <c r="A464" i="89" s="1"/>
  <c r="A476" i="89" s="1"/>
  <c r="A213" i="89"/>
  <c r="A225" i="89" s="1"/>
  <c r="A237" i="89" s="1"/>
  <c r="A249" i="89" s="1"/>
  <c r="A261" i="89" s="1"/>
  <c r="A273" i="89" s="1"/>
  <c r="A285" i="89" s="1"/>
  <c r="A297" i="89" s="1"/>
  <c r="A309" i="89" s="1"/>
  <c r="A321" i="89" s="1"/>
  <c r="A333" i="89" s="1"/>
  <c r="A345" i="89" s="1"/>
  <c r="A357" i="89" s="1"/>
  <c r="A369" i="89" s="1"/>
  <c r="A381" i="89" s="1"/>
  <c r="A393" i="89" s="1"/>
  <c r="A405" i="89" s="1"/>
  <c r="A417" i="89" s="1"/>
  <c r="A429" i="89" s="1"/>
  <c r="A441" i="89" s="1"/>
  <c r="A453" i="89" s="1"/>
  <c r="A465" i="89" s="1"/>
  <c r="A477" i="89" s="1"/>
  <c r="A178" i="88"/>
  <c r="A190" i="88" s="1"/>
  <c r="A202" i="88" s="1"/>
  <c r="A214" i="88" s="1"/>
  <c r="A226" i="88" s="1"/>
  <c r="A238" i="88" s="1"/>
  <c r="A250" i="88" s="1"/>
  <c r="A262" i="88" s="1"/>
  <c r="A274" i="88" s="1"/>
  <c r="A286" i="88" s="1"/>
  <c r="A298" i="88" s="1"/>
  <c r="A310" i="88" s="1"/>
  <c r="A322" i="88" s="1"/>
  <c r="A334" i="88" s="1"/>
  <c r="A346" i="88" s="1"/>
  <c r="A358" i="88" s="1"/>
  <c r="A370" i="88" s="1"/>
  <c r="A382" i="88" s="1"/>
  <c r="A394" i="88" s="1"/>
  <c r="A406" i="88" s="1"/>
  <c r="A418" i="88" s="1"/>
  <c r="A430" i="88" s="1"/>
  <c r="A442" i="88" s="1"/>
  <c r="A179" i="88"/>
  <c r="A191" i="88" s="1"/>
  <c r="A203" i="88" s="1"/>
  <c r="A215" i="88" s="1"/>
  <c r="A227" i="88" s="1"/>
  <c r="A239" i="88" s="1"/>
  <c r="A251" i="88" s="1"/>
  <c r="A263" i="88" s="1"/>
  <c r="A275" i="88" s="1"/>
  <c r="A287" i="88" s="1"/>
  <c r="A299" i="88" s="1"/>
  <c r="A311" i="88" s="1"/>
  <c r="A323" i="88" s="1"/>
  <c r="A335" i="88" s="1"/>
  <c r="A347" i="88" s="1"/>
  <c r="A359" i="88" s="1"/>
  <c r="A371" i="88" s="1"/>
  <c r="A383" i="88" s="1"/>
  <c r="A395" i="88" s="1"/>
  <c r="A407" i="88" s="1"/>
  <c r="A419" i="88" s="1"/>
  <c r="A431" i="88" s="1"/>
  <c r="A443" i="88" s="1"/>
  <c r="A180" i="88"/>
  <c r="A192" i="88" s="1"/>
  <c r="A204" i="88" s="1"/>
  <c r="A216" i="88" s="1"/>
  <c r="A228" i="88" s="1"/>
  <c r="A240" i="88" s="1"/>
  <c r="A252" i="88" s="1"/>
  <c r="A264" i="88" s="1"/>
  <c r="A276" i="88" s="1"/>
  <c r="A288" i="88" s="1"/>
  <c r="A300" i="88" s="1"/>
  <c r="A312" i="88" s="1"/>
  <c r="A324" i="88" s="1"/>
  <c r="A336" i="88" s="1"/>
  <c r="A348" i="88" s="1"/>
  <c r="A360" i="88" s="1"/>
  <c r="A372" i="88" s="1"/>
  <c r="A384" i="88" s="1"/>
  <c r="A396" i="88" s="1"/>
  <c r="A408" i="88" s="1"/>
  <c r="A420" i="88" s="1"/>
  <c r="A432" i="88" s="1"/>
  <c r="A444" i="88" s="1"/>
  <c r="A181" i="88"/>
  <c r="A193" i="88" s="1"/>
  <c r="A205" i="88" s="1"/>
  <c r="A217" i="88" s="1"/>
  <c r="A229" i="88" s="1"/>
  <c r="A241" i="88" s="1"/>
  <c r="A253" i="88" s="1"/>
  <c r="A265" i="88" s="1"/>
  <c r="A277" i="88" s="1"/>
  <c r="A289" i="88" s="1"/>
  <c r="A301" i="88" s="1"/>
  <c r="A313" i="88" s="1"/>
  <c r="A325" i="88" s="1"/>
  <c r="A337" i="88" s="1"/>
  <c r="A349" i="88" s="1"/>
  <c r="A361" i="88" s="1"/>
  <c r="A373" i="88" s="1"/>
  <c r="A385" i="88" s="1"/>
  <c r="A397" i="88" s="1"/>
  <c r="A409" i="88" s="1"/>
  <c r="A421" i="88" s="1"/>
  <c r="A433" i="88" s="1"/>
  <c r="A445" i="88" s="1"/>
  <c r="A182" i="88"/>
  <c r="A194" i="88" s="1"/>
  <c r="A206" i="88" s="1"/>
  <c r="A218" i="88" s="1"/>
  <c r="A230" i="88" s="1"/>
  <c r="A242" i="88" s="1"/>
  <c r="A254" i="88" s="1"/>
  <c r="A266" i="88" s="1"/>
  <c r="A278" i="88" s="1"/>
  <c r="A290" i="88" s="1"/>
  <c r="A302" i="88" s="1"/>
  <c r="A314" i="88" s="1"/>
  <c r="A326" i="88" s="1"/>
  <c r="A338" i="88" s="1"/>
  <c r="A350" i="88" s="1"/>
  <c r="A362" i="88" s="1"/>
  <c r="A374" i="88" s="1"/>
  <c r="A386" i="88" s="1"/>
  <c r="A398" i="88" s="1"/>
  <c r="A410" i="88" s="1"/>
  <c r="A422" i="88" s="1"/>
  <c r="A434" i="88" s="1"/>
  <c r="A446" i="88" s="1"/>
  <c r="A183" i="88"/>
  <c r="A195" i="88" s="1"/>
  <c r="A207" i="88" s="1"/>
  <c r="A219" i="88" s="1"/>
  <c r="A231" i="88" s="1"/>
  <c r="A243" i="88" s="1"/>
  <c r="A255" i="88" s="1"/>
  <c r="A267" i="88" s="1"/>
  <c r="A279" i="88" s="1"/>
  <c r="A291" i="88" s="1"/>
  <c r="A303" i="88" s="1"/>
  <c r="A315" i="88" s="1"/>
  <c r="A327" i="88" s="1"/>
  <c r="A339" i="88" s="1"/>
  <c r="A351" i="88" s="1"/>
  <c r="A363" i="88" s="1"/>
  <c r="A375" i="88" s="1"/>
  <c r="A387" i="88" s="1"/>
  <c r="A399" i="88" s="1"/>
  <c r="A411" i="88" s="1"/>
  <c r="A423" i="88" s="1"/>
  <c r="A435" i="88" s="1"/>
  <c r="A447" i="88" s="1"/>
  <c r="A184" i="88"/>
  <c r="A196" i="88" s="1"/>
  <c r="A208" i="88" s="1"/>
  <c r="A220" i="88" s="1"/>
  <c r="A232" i="88" s="1"/>
  <c r="A244" i="88" s="1"/>
  <c r="A256" i="88" s="1"/>
  <c r="A268" i="88" s="1"/>
  <c r="A280" i="88" s="1"/>
  <c r="A292" i="88" s="1"/>
  <c r="A304" i="88" s="1"/>
  <c r="A316" i="88" s="1"/>
  <c r="A328" i="88" s="1"/>
  <c r="A340" i="88" s="1"/>
  <c r="A352" i="88" s="1"/>
  <c r="A364" i="88" s="1"/>
  <c r="A376" i="88" s="1"/>
  <c r="A388" i="88" s="1"/>
  <c r="A400" i="88" s="1"/>
  <c r="A412" i="88" s="1"/>
  <c r="A424" i="88" s="1"/>
  <c r="A436" i="88" s="1"/>
  <c r="A448" i="88" s="1"/>
  <c r="A185" i="88"/>
  <c r="A197" i="88" s="1"/>
  <c r="A209" i="88" s="1"/>
  <c r="A221" i="88" s="1"/>
  <c r="A233" i="88" s="1"/>
  <c r="A245" i="88" s="1"/>
  <c r="A257" i="88" s="1"/>
  <c r="A269" i="88" s="1"/>
  <c r="A281" i="88" s="1"/>
  <c r="A293" i="88" s="1"/>
  <c r="A305" i="88" s="1"/>
  <c r="A317" i="88" s="1"/>
  <c r="A329" i="88" s="1"/>
  <c r="A341" i="88" s="1"/>
  <c r="A353" i="88" s="1"/>
  <c r="A365" i="88" s="1"/>
  <c r="A377" i="88" s="1"/>
  <c r="A389" i="88" s="1"/>
  <c r="A401" i="88" s="1"/>
  <c r="A413" i="88" s="1"/>
  <c r="A425" i="88" s="1"/>
  <c r="A437" i="88" s="1"/>
  <c r="A449" i="88" s="1"/>
  <c r="A186" i="88"/>
  <c r="A198" i="88" s="1"/>
  <c r="A210" i="88" s="1"/>
  <c r="A222" i="88" s="1"/>
  <c r="A234" i="88" s="1"/>
  <c r="A246" i="88" s="1"/>
  <c r="A258" i="88" s="1"/>
  <c r="A270" i="88" s="1"/>
  <c r="A282" i="88" s="1"/>
  <c r="A294" i="88" s="1"/>
  <c r="A306" i="88" s="1"/>
  <c r="A318" i="88" s="1"/>
  <c r="A330" i="88" s="1"/>
  <c r="A342" i="88" s="1"/>
  <c r="A354" i="88" s="1"/>
  <c r="A366" i="88" s="1"/>
  <c r="A378" i="88" s="1"/>
  <c r="A390" i="88" s="1"/>
  <c r="A402" i="88" s="1"/>
  <c r="A414" i="88" s="1"/>
  <c r="A426" i="88" s="1"/>
  <c r="A438" i="88" s="1"/>
  <c r="A450" i="88" s="1"/>
  <c r="A187" i="88"/>
  <c r="A199" i="88" s="1"/>
  <c r="A211" i="88" s="1"/>
  <c r="A223" i="88" s="1"/>
  <c r="A235" i="88" s="1"/>
  <c r="A247" i="88" s="1"/>
  <c r="A259" i="88" s="1"/>
  <c r="A271" i="88" s="1"/>
  <c r="A283" i="88" s="1"/>
  <c r="A295" i="88" s="1"/>
  <c r="A307" i="88" s="1"/>
  <c r="A319" i="88" s="1"/>
  <c r="A331" i="88" s="1"/>
  <c r="A343" i="88" s="1"/>
  <c r="A355" i="88" s="1"/>
  <c r="A367" i="88" s="1"/>
  <c r="A379" i="88" s="1"/>
  <c r="A391" i="88" s="1"/>
  <c r="A403" i="88" s="1"/>
  <c r="A415" i="88" s="1"/>
  <c r="A427" i="88" s="1"/>
  <c r="A439" i="88" s="1"/>
  <c r="A451" i="88" s="1"/>
  <c r="A188" i="88"/>
  <c r="A200" i="88" s="1"/>
  <c r="A212" i="88" s="1"/>
  <c r="A224" i="88" s="1"/>
  <c r="A236" i="88" s="1"/>
  <c r="A248" i="88" s="1"/>
  <c r="A260" i="88" s="1"/>
  <c r="A272" i="88" s="1"/>
  <c r="A284" i="88" s="1"/>
  <c r="A296" i="88" s="1"/>
  <c r="A308" i="88" s="1"/>
  <c r="A320" i="88" s="1"/>
  <c r="A332" i="88" s="1"/>
  <c r="A344" i="88" s="1"/>
  <c r="A356" i="88" s="1"/>
  <c r="A368" i="88" s="1"/>
  <c r="A380" i="88" s="1"/>
  <c r="A392" i="88" s="1"/>
  <c r="A404" i="88" s="1"/>
  <c r="A416" i="88" s="1"/>
  <c r="A428" i="88" s="1"/>
  <c r="A440" i="88" s="1"/>
  <c r="A452" i="88" s="1"/>
  <c r="A189" i="88"/>
  <c r="A201" i="88" s="1"/>
  <c r="A213" i="88" s="1"/>
  <c r="A225" i="88" s="1"/>
  <c r="A237" i="88" s="1"/>
  <c r="A249" i="88" s="1"/>
  <c r="A261" i="88" s="1"/>
  <c r="A273" i="88" s="1"/>
  <c r="A285" i="88" s="1"/>
  <c r="A297" i="88" s="1"/>
  <c r="A309" i="88" s="1"/>
  <c r="A321" i="88" s="1"/>
  <c r="A333" i="88" s="1"/>
  <c r="A345" i="88" s="1"/>
  <c r="A357" i="88" s="1"/>
  <c r="A369" i="88" s="1"/>
  <c r="A381" i="88" s="1"/>
  <c r="A393" i="88" s="1"/>
  <c r="A405" i="88" s="1"/>
  <c r="A417" i="88" s="1"/>
  <c r="A429" i="88" s="1"/>
  <c r="A441" i="88" s="1"/>
  <c r="A453" i="88" s="1"/>
  <c r="R169" i="3"/>
  <c r="S169" i="3"/>
  <c r="R170" i="3"/>
  <c r="S170" i="3"/>
  <c r="R171" i="3"/>
  <c r="S171" i="3"/>
  <c r="R172" i="3"/>
  <c r="S172" i="3"/>
  <c r="R173" i="3"/>
  <c r="S173" i="3"/>
  <c r="R174" i="3"/>
  <c r="S174" i="3"/>
  <c r="R175" i="3"/>
  <c r="S175" i="3"/>
  <c r="R176" i="3"/>
  <c r="S176" i="3"/>
  <c r="R177" i="3"/>
  <c r="S177" i="3"/>
  <c r="R178" i="3"/>
  <c r="S178" i="3"/>
  <c r="R179" i="3"/>
  <c r="S179" i="3"/>
  <c r="R180" i="3"/>
  <c r="S180" i="3"/>
  <c r="R181" i="3"/>
  <c r="S181" i="3"/>
  <c r="R182" i="3"/>
  <c r="S182" i="3"/>
  <c r="R183" i="3"/>
  <c r="S183" i="3"/>
  <c r="R184" i="3"/>
  <c r="S184" i="3"/>
  <c r="R185" i="3"/>
  <c r="S185" i="3"/>
  <c r="R186" i="3"/>
  <c r="S186" i="3"/>
  <c r="R187" i="3"/>
  <c r="S187" i="3"/>
  <c r="R188" i="3"/>
  <c r="S188" i="3"/>
  <c r="R189" i="3"/>
  <c r="S189" i="3"/>
  <c r="R190" i="3"/>
  <c r="S190" i="3"/>
  <c r="R191" i="3"/>
  <c r="S191" i="3"/>
  <c r="R192" i="3"/>
  <c r="S192" i="3"/>
  <c r="R193" i="3"/>
  <c r="S193" i="3"/>
  <c r="R194" i="3"/>
  <c r="S194" i="3"/>
  <c r="R195" i="3"/>
  <c r="S195" i="3"/>
  <c r="R196" i="3"/>
  <c r="S196" i="3"/>
  <c r="R197" i="3"/>
  <c r="S197" i="3"/>
  <c r="R198" i="3"/>
  <c r="S198" i="3"/>
  <c r="R199" i="3"/>
  <c r="S199" i="3"/>
  <c r="R200" i="3"/>
  <c r="S200" i="3"/>
  <c r="R201" i="3"/>
  <c r="S201" i="3"/>
  <c r="R202" i="3"/>
  <c r="S202" i="3"/>
  <c r="R203" i="3"/>
  <c r="S203" i="3"/>
  <c r="R204" i="3"/>
  <c r="S204" i="3"/>
  <c r="R205" i="3"/>
  <c r="S205" i="3"/>
  <c r="R206" i="3"/>
  <c r="S206" i="3"/>
  <c r="R207" i="3"/>
  <c r="S207" i="3"/>
  <c r="R210" i="3"/>
  <c r="S210" i="3"/>
  <c r="R211" i="3"/>
  <c r="S211" i="3"/>
  <c r="S212" i="3"/>
  <c r="R213" i="3"/>
  <c r="S213" i="3"/>
  <c r="R214" i="3"/>
  <c r="S214" i="3"/>
  <c r="R215" i="3"/>
  <c r="S215" i="3"/>
  <c r="R216" i="3"/>
  <c r="S216" i="3"/>
  <c r="R217" i="3"/>
  <c r="S217" i="3"/>
  <c r="R218" i="3"/>
  <c r="S218" i="3"/>
  <c r="R219" i="3"/>
  <c r="S219" i="3"/>
  <c r="R220" i="3"/>
  <c r="R221" i="3"/>
  <c r="S221" i="3"/>
  <c r="R222" i="3"/>
  <c r="S222" i="3"/>
  <c r="R223" i="3"/>
  <c r="S223" i="3"/>
  <c r="R225" i="3"/>
  <c r="S225" i="3"/>
  <c r="R226" i="3"/>
  <c r="S226" i="3"/>
  <c r="R227" i="3"/>
  <c r="S227" i="3"/>
  <c r="R228" i="3"/>
  <c r="S228" i="3"/>
  <c r="R229" i="3"/>
  <c r="S229" i="3"/>
  <c r="R230" i="3"/>
  <c r="S230" i="3"/>
  <c r="R231" i="3"/>
  <c r="S231" i="3"/>
  <c r="R232" i="3"/>
  <c r="S232" i="3"/>
  <c r="R233" i="3"/>
  <c r="S233" i="3"/>
  <c r="R234" i="3"/>
  <c r="S234" i="3"/>
  <c r="H217" i="17"/>
  <c r="A178" i="84"/>
  <c r="A190" i="84" s="1"/>
  <c r="A202" i="84" s="1"/>
  <c r="A214" i="84" s="1"/>
  <c r="A226" i="84" s="1"/>
  <c r="A238" i="84" s="1"/>
  <c r="A250" i="84" s="1"/>
  <c r="A262" i="84" s="1"/>
  <c r="A274" i="84" s="1"/>
  <c r="A286" i="84" s="1"/>
  <c r="A298" i="84" s="1"/>
  <c r="A310" i="84" s="1"/>
  <c r="A322" i="84" s="1"/>
  <c r="A334" i="84" s="1"/>
  <c r="A346" i="84" s="1"/>
  <c r="A358" i="84" s="1"/>
  <c r="A370" i="84" s="1"/>
  <c r="A179" i="84"/>
  <c r="A191" i="84" s="1"/>
  <c r="A203" i="84" s="1"/>
  <c r="A215" i="84" s="1"/>
  <c r="A227" i="84" s="1"/>
  <c r="A239" i="84" s="1"/>
  <c r="A251" i="84" s="1"/>
  <c r="A263" i="84" s="1"/>
  <c r="A275" i="84" s="1"/>
  <c r="A287" i="84" s="1"/>
  <c r="A299" i="84" s="1"/>
  <c r="A311" i="84" s="1"/>
  <c r="A323" i="84" s="1"/>
  <c r="A335" i="84" s="1"/>
  <c r="A347" i="84" s="1"/>
  <c r="A359" i="84" s="1"/>
  <c r="A371" i="84" s="1"/>
  <c r="A383" i="84" s="1"/>
  <c r="A180" i="84"/>
  <c r="A192" i="84" s="1"/>
  <c r="A204" i="84" s="1"/>
  <c r="A216" i="84" s="1"/>
  <c r="A228" i="84" s="1"/>
  <c r="A240" i="84" s="1"/>
  <c r="A252" i="84" s="1"/>
  <c r="A264" i="84" s="1"/>
  <c r="A276" i="84" s="1"/>
  <c r="A288" i="84" s="1"/>
  <c r="A300" i="84" s="1"/>
  <c r="A312" i="84" s="1"/>
  <c r="A324" i="84" s="1"/>
  <c r="A336" i="84" s="1"/>
  <c r="A348" i="84" s="1"/>
  <c r="A360" i="84" s="1"/>
  <c r="A372" i="84" s="1"/>
  <c r="A384" i="84" s="1"/>
  <c r="A181" i="84"/>
  <c r="A193" i="84" s="1"/>
  <c r="A205" i="84" s="1"/>
  <c r="A217" i="84" s="1"/>
  <c r="A229" i="84" s="1"/>
  <c r="A241" i="84" s="1"/>
  <c r="A253" i="84" s="1"/>
  <c r="A265" i="84" s="1"/>
  <c r="A277" i="84" s="1"/>
  <c r="A289" i="84" s="1"/>
  <c r="A301" i="84" s="1"/>
  <c r="A313" i="84" s="1"/>
  <c r="A325" i="84" s="1"/>
  <c r="A337" i="84" s="1"/>
  <c r="A349" i="84" s="1"/>
  <c r="A361" i="84" s="1"/>
  <c r="A373" i="84" s="1"/>
  <c r="A385" i="84" s="1"/>
  <c r="A182" i="84"/>
  <c r="A194" i="84" s="1"/>
  <c r="A206" i="84" s="1"/>
  <c r="A218" i="84" s="1"/>
  <c r="A230" i="84" s="1"/>
  <c r="A242" i="84" s="1"/>
  <c r="A254" i="84" s="1"/>
  <c r="A266" i="84" s="1"/>
  <c r="A278" i="84" s="1"/>
  <c r="A290" i="84" s="1"/>
  <c r="A302" i="84" s="1"/>
  <c r="A314" i="84" s="1"/>
  <c r="A326" i="84" s="1"/>
  <c r="A338" i="84" s="1"/>
  <c r="A350" i="84" s="1"/>
  <c r="A362" i="84" s="1"/>
  <c r="A374" i="84" s="1"/>
  <c r="A386" i="84" s="1"/>
  <c r="A183" i="84"/>
  <c r="A195" i="84" s="1"/>
  <c r="A207" i="84" s="1"/>
  <c r="A219" i="84" s="1"/>
  <c r="A231" i="84" s="1"/>
  <c r="A243" i="84" s="1"/>
  <c r="A255" i="84" s="1"/>
  <c r="A267" i="84" s="1"/>
  <c r="A279" i="84" s="1"/>
  <c r="A291" i="84" s="1"/>
  <c r="A303" i="84" s="1"/>
  <c r="A315" i="84" s="1"/>
  <c r="A327" i="84" s="1"/>
  <c r="A339" i="84" s="1"/>
  <c r="A351" i="84" s="1"/>
  <c r="A363" i="84" s="1"/>
  <c r="A375" i="84" s="1"/>
  <c r="A387" i="84" s="1"/>
  <c r="A184" i="84"/>
  <c r="A196" i="84" s="1"/>
  <c r="A208" i="84" s="1"/>
  <c r="A220" i="84" s="1"/>
  <c r="A232" i="84" s="1"/>
  <c r="A244" i="84" s="1"/>
  <c r="A256" i="84" s="1"/>
  <c r="A268" i="84" s="1"/>
  <c r="A280" i="84" s="1"/>
  <c r="A292" i="84" s="1"/>
  <c r="A304" i="84" s="1"/>
  <c r="A316" i="84" s="1"/>
  <c r="A328" i="84" s="1"/>
  <c r="A340" i="84" s="1"/>
  <c r="A352" i="84" s="1"/>
  <c r="A364" i="84" s="1"/>
  <c r="A376" i="84" s="1"/>
  <c r="A388" i="84" s="1"/>
  <c r="A185" i="84"/>
  <c r="A197" i="84" s="1"/>
  <c r="A209" i="84" s="1"/>
  <c r="A221" i="84" s="1"/>
  <c r="A233" i="84" s="1"/>
  <c r="A245" i="84" s="1"/>
  <c r="A257" i="84" s="1"/>
  <c r="A269" i="84" s="1"/>
  <c r="A281" i="84" s="1"/>
  <c r="A293" i="84" s="1"/>
  <c r="A305" i="84" s="1"/>
  <c r="A317" i="84" s="1"/>
  <c r="A329" i="84" s="1"/>
  <c r="A341" i="84" s="1"/>
  <c r="A353" i="84" s="1"/>
  <c r="A365" i="84" s="1"/>
  <c r="A377" i="84" s="1"/>
  <c r="A389" i="84" s="1"/>
  <c r="A186" i="84"/>
  <c r="A198" i="84" s="1"/>
  <c r="A210" i="84" s="1"/>
  <c r="A222" i="84" s="1"/>
  <c r="A234" i="84" s="1"/>
  <c r="A246" i="84" s="1"/>
  <c r="A258" i="84" s="1"/>
  <c r="A270" i="84" s="1"/>
  <c r="A282" i="84" s="1"/>
  <c r="A294" i="84" s="1"/>
  <c r="A306" i="84" s="1"/>
  <c r="A318" i="84" s="1"/>
  <c r="A330" i="84" s="1"/>
  <c r="A342" i="84" s="1"/>
  <c r="A354" i="84" s="1"/>
  <c r="A366" i="84" s="1"/>
  <c r="A378" i="84" s="1"/>
  <c r="A390" i="84" s="1"/>
  <c r="A187" i="84"/>
  <c r="A199" i="84" s="1"/>
  <c r="A211" i="84" s="1"/>
  <c r="A223" i="84" s="1"/>
  <c r="A235" i="84" s="1"/>
  <c r="A247" i="84" s="1"/>
  <c r="A259" i="84" s="1"/>
  <c r="A271" i="84" s="1"/>
  <c r="A283" i="84" s="1"/>
  <c r="A295" i="84" s="1"/>
  <c r="A307" i="84" s="1"/>
  <c r="A319" i="84" s="1"/>
  <c r="A331" i="84" s="1"/>
  <c r="A343" i="84" s="1"/>
  <c r="A355" i="84" s="1"/>
  <c r="A367" i="84" s="1"/>
  <c r="A379" i="84" s="1"/>
  <c r="A391" i="84" s="1"/>
  <c r="A188" i="84"/>
  <c r="A200" i="84" s="1"/>
  <c r="A212" i="84" s="1"/>
  <c r="A224" i="84" s="1"/>
  <c r="A236" i="84" s="1"/>
  <c r="A248" i="84" s="1"/>
  <c r="A260" i="84" s="1"/>
  <c r="A272" i="84" s="1"/>
  <c r="A284" i="84" s="1"/>
  <c r="A296" i="84" s="1"/>
  <c r="A308" i="84" s="1"/>
  <c r="A320" i="84" s="1"/>
  <c r="A332" i="84" s="1"/>
  <c r="A344" i="84" s="1"/>
  <c r="A356" i="84" s="1"/>
  <c r="A368" i="84" s="1"/>
  <c r="A380" i="84" s="1"/>
  <c r="A392" i="84" s="1"/>
  <c r="A189" i="84"/>
  <c r="A201" i="84" s="1"/>
  <c r="A213" i="84" s="1"/>
  <c r="A225" i="84" s="1"/>
  <c r="A237" i="84" s="1"/>
  <c r="A249" i="84" s="1"/>
  <c r="A261" i="84" s="1"/>
  <c r="A273" i="84" s="1"/>
  <c r="A285" i="84" s="1"/>
  <c r="A297" i="84" s="1"/>
  <c r="A309" i="84" s="1"/>
  <c r="A321" i="84" s="1"/>
  <c r="A333" i="84" s="1"/>
  <c r="A345" i="84" s="1"/>
  <c r="A357" i="84" s="1"/>
  <c r="A369" i="84" s="1"/>
  <c r="A393" i="84" s="1"/>
  <c r="A178" i="52"/>
  <c r="A190" i="52" s="1"/>
  <c r="A202" i="52" s="1"/>
  <c r="A214" i="52" s="1"/>
  <c r="A226" i="52" s="1"/>
  <c r="A238" i="52" s="1"/>
  <c r="A250" i="52" s="1"/>
  <c r="A262" i="52" s="1"/>
  <c r="A274" i="52" s="1"/>
  <c r="A286" i="52" s="1"/>
  <c r="A298" i="52" s="1"/>
  <c r="A310" i="52" s="1"/>
  <c r="A322" i="52" s="1"/>
  <c r="A334" i="52" s="1"/>
  <c r="A346" i="52" s="1"/>
  <c r="A358" i="52" s="1"/>
  <c r="A370" i="52" s="1"/>
  <c r="A382" i="52" s="1"/>
  <c r="A179" i="52"/>
  <c r="A191" i="52" s="1"/>
  <c r="A203" i="52" s="1"/>
  <c r="A215" i="52" s="1"/>
  <c r="A227" i="52" s="1"/>
  <c r="A239" i="52" s="1"/>
  <c r="A251" i="52" s="1"/>
  <c r="A263" i="52" s="1"/>
  <c r="A275" i="52" s="1"/>
  <c r="A287" i="52" s="1"/>
  <c r="A299" i="52" s="1"/>
  <c r="A311" i="52" s="1"/>
  <c r="A323" i="52" s="1"/>
  <c r="A335" i="52" s="1"/>
  <c r="A347" i="52" s="1"/>
  <c r="A359" i="52" s="1"/>
  <c r="A371" i="52" s="1"/>
  <c r="A383" i="52" s="1"/>
  <c r="A180" i="52"/>
  <c r="A192" i="52" s="1"/>
  <c r="A204" i="52" s="1"/>
  <c r="A216" i="52" s="1"/>
  <c r="A228" i="52" s="1"/>
  <c r="A240" i="52" s="1"/>
  <c r="A252" i="52" s="1"/>
  <c r="A264" i="52" s="1"/>
  <c r="A276" i="52" s="1"/>
  <c r="A288" i="52" s="1"/>
  <c r="A300" i="52" s="1"/>
  <c r="A312" i="52" s="1"/>
  <c r="A324" i="52" s="1"/>
  <c r="A336" i="52" s="1"/>
  <c r="A348" i="52" s="1"/>
  <c r="A360" i="52" s="1"/>
  <c r="A372" i="52" s="1"/>
  <c r="A384" i="52" s="1"/>
  <c r="A181" i="52"/>
  <c r="A193" i="52" s="1"/>
  <c r="A205" i="52" s="1"/>
  <c r="A217" i="52" s="1"/>
  <c r="A229" i="52" s="1"/>
  <c r="A241" i="52" s="1"/>
  <c r="A253" i="52" s="1"/>
  <c r="A265" i="52" s="1"/>
  <c r="A277" i="52" s="1"/>
  <c r="A289" i="52" s="1"/>
  <c r="A301" i="52" s="1"/>
  <c r="A313" i="52" s="1"/>
  <c r="A325" i="52" s="1"/>
  <c r="A337" i="52" s="1"/>
  <c r="A349" i="52" s="1"/>
  <c r="A361" i="52" s="1"/>
  <c r="A373" i="52" s="1"/>
  <c r="A385" i="52" s="1"/>
  <c r="A182" i="52"/>
  <c r="A194" i="52" s="1"/>
  <c r="A206" i="52" s="1"/>
  <c r="A218" i="52" s="1"/>
  <c r="A230" i="52" s="1"/>
  <c r="A242" i="52" s="1"/>
  <c r="A254" i="52" s="1"/>
  <c r="A266" i="52" s="1"/>
  <c r="A278" i="52" s="1"/>
  <c r="A290" i="52" s="1"/>
  <c r="A302" i="52" s="1"/>
  <c r="A314" i="52" s="1"/>
  <c r="A326" i="52" s="1"/>
  <c r="A338" i="52" s="1"/>
  <c r="A350" i="52" s="1"/>
  <c r="A362" i="52" s="1"/>
  <c r="A374" i="52" s="1"/>
  <c r="A386" i="52" s="1"/>
  <c r="A183" i="52"/>
  <c r="A195" i="52" s="1"/>
  <c r="A207" i="52" s="1"/>
  <c r="A219" i="52" s="1"/>
  <c r="A231" i="52" s="1"/>
  <c r="A243" i="52" s="1"/>
  <c r="A255" i="52" s="1"/>
  <c r="A267" i="52" s="1"/>
  <c r="A279" i="52" s="1"/>
  <c r="A291" i="52" s="1"/>
  <c r="A303" i="52" s="1"/>
  <c r="A315" i="52" s="1"/>
  <c r="A327" i="52" s="1"/>
  <c r="A339" i="52" s="1"/>
  <c r="A351" i="52" s="1"/>
  <c r="A363" i="52" s="1"/>
  <c r="A375" i="52" s="1"/>
  <c r="A387" i="52" s="1"/>
  <c r="A184" i="52"/>
  <c r="A196" i="52" s="1"/>
  <c r="A208" i="52" s="1"/>
  <c r="A220" i="52" s="1"/>
  <c r="A232" i="52" s="1"/>
  <c r="A244" i="52" s="1"/>
  <c r="A256" i="52" s="1"/>
  <c r="A268" i="52" s="1"/>
  <c r="A280" i="52" s="1"/>
  <c r="A292" i="52" s="1"/>
  <c r="A304" i="52" s="1"/>
  <c r="A316" i="52" s="1"/>
  <c r="A328" i="52" s="1"/>
  <c r="A340" i="52" s="1"/>
  <c r="A352" i="52" s="1"/>
  <c r="A364" i="52" s="1"/>
  <c r="A376" i="52" s="1"/>
  <c r="A388" i="52" s="1"/>
  <c r="A185" i="52"/>
  <c r="A197" i="52" s="1"/>
  <c r="A209" i="52" s="1"/>
  <c r="A221" i="52" s="1"/>
  <c r="A233" i="52" s="1"/>
  <c r="A245" i="52" s="1"/>
  <c r="A257" i="52" s="1"/>
  <c r="A269" i="52" s="1"/>
  <c r="A281" i="52" s="1"/>
  <c r="A293" i="52" s="1"/>
  <c r="A305" i="52" s="1"/>
  <c r="A317" i="52" s="1"/>
  <c r="A329" i="52" s="1"/>
  <c r="A341" i="52" s="1"/>
  <c r="A353" i="52" s="1"/>
  <c r="A365" i="52" s="1"/>
  <c r="A377" i="52" s="1"/>
  <c r="A389" i="52" s="1"/>
  <c r="A186" i="52"/>
  <c r="A198" i="52" s="1"/>
  <c r="A210" i="52" s="1"/>
  <c r="A222" i="52" s="1"/>
  <c r="A234" i="52" s="1"/>
  <c r="A246" i="52" s="1"/>
  <c r="A258" i="52" s="1"/>
  <c r="A270" i="52" s="1"/>
  <c r="A282" i="52" s="1"/>
  <c r="A294" i="52" s="1"/>
  <c r="A306" i="52" s="1"/>
  <c r="A318" i="52" s="1"/>
  <c r="A330" i="52" s="1"/>
  <c r="A342" i="52" s="1"/>
  <c r="A354" i="52" s="1"/>
  <c r="A366" i="52" s="1"/>
  <c r="A378" i="52" s="1"/>
  <c r="A390" i="52" s="1"/>
  <c r="A187" i="52"/>
  <c r="A199" i="52" s="1"/>
  <c r="A211" i="52" s="1"/>
  <c r="A223" i="52" s="1"/>
  <c r="A235" i="52" s="1"/>
  <c r="A247" i="52" s="1"/>
  <c r="A259" i="52" s="1"/>
  <c r="A271" i="52" s="1"/>
  <c r="A283" i="52" s="1"/>
  <c r="A295" i="52" s="1"/>
  <c r="A307" i="52" s="1"/>
  <c r="A319" i="52" s="1"/>
  <c r="A331" i="52" s="1"/>
  <c r="A343" i="52" s="1"/>
  <c r="A355" i="52" s="1"/>
  <c r="A367" i="52" s="1"/>
  <c r="A379" i="52" s="1"/>
  <c r="A391" i="52" s="1"/>
  <c r="A188" i="52"/>
  <c r="A200" i="52" s="1"/>
  <c r="A212" i="52" s="1"/>
  <c r="A224" i="52" s="1"/>
  <c r="A236" i="52" s="1"/>
  <c r="A248" i="52" s="1"/>
  <c r="A260" i="52" s="1"/>
  <c r="A272" i="52" s="1"/>
  <c r="A284" i="52" s="1"/>
  <c r="A296" i="52" s="1"/>
  <c r="A308" i="52" s="1"/>
  <c r="A320" i="52" s="1"/>
  <c r="A332" i="52" s="1"/>
  <c r="A344" i="52" s="1"/>
  <c r="A356" i="52" s="1"/>
  <c r="A368" i="52" s="1"/>
  <c r="A380" i="52" s="1"/>
  <c r="A392" i="52" s="1"/>
  <c r="A189" i="52"/>
  <c r="A201" i="52" s="1"/>
  <c r="A213" i="52" s="1"/>
  <c r="A225" i="52" s="1"/>
  <c r="A237" i="52" s="1"/>
  <c r="A249" i="52" s="1"/>
  <c r="A261" i="52" s="1"/>
  <c r="A273" i="52" s="1"/>
  <c r="A285" i="52" s="1"/>
  <c r="A297" i="52" s="1"/>
  <c r="A309" i="52" s="1"/>
  <c r="A321" i="52" s="1"/>
  <c r="A333" i="52" s="1"/>
  <c r="A345" i="52" s="1"/>
  <c r="A357" i="52" s="1"/>
  <c r="A369" i="52" s="1"/>
  <c r="A381" i="52" s="1"/>
  <c r="A393" i="52" s="1"/>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4" i="52"/>
  <c r="G256" i="52"/>
  <c r="G257" i="52"/>
  <c r="G258" i="52"/>
  <c r="G259" i="52"/>
  <c r="G260" i="52"/>
  <c r="G261" i="52"/>
  <c r="G262" i="52"/>
  <c r="G263" i="52"/>
  <c r="G264" i="52"/>
  <c r="G265" i="52"/>
  <c r="G266" i="52"/>
  <c r="G267" i="52"/>
  <c r="G268" i="52"/>
  <c r="G269" i="52"/>
  <c r="G270" i="52"/>
  <c r="G271" i="52"/>
  <c r="G272" i="52"/>
  <c r="G273" i="52"/>
  <c r="A430" i="71"/>
  <c r="A442" i="71" s="1"/>
  <c r="A454" i="71" s="1"/>
  <c r="A466" i="71" s="1"/>
  <c r="A478" i="71" s="1"/>
  <c r="A490" i="71" s="1"/>
  <c r="A502" i="71" s="1"/>
  <c r="A514" i="71" s="1"/>
  <c r="A526" i="71" s="1"/>
  <c r="A538" i="71" s="1"/>
  <c r="A550" i="71" s="1"/>
  <c r="A562" i="71" s="1"/>
  <c r="A574" i="71" s="1"/>
  <c r="A586" i="71" s="1"/>
  <c r="A598" i="71" s="1"/>
  <c r="A610" i="71" s="1"/>
  <c r="A622" i="71" s="1"/>
  <c r="A634" i="71" s="1"/>
  <c r="A431" i="71"/>
  <c r="A443" i="71" s="1"/>
  <c r="A455" i="71" s="1"/>
  <c r="A467" i="71" s="1"/>
  <c r="A479" i="71" s="1"/>
  <c r="A491" i="71" s="1"/>
  <c r="A503" i="71" s="1"/>
  <c r="A515" i="71" s="1"/>
  <c r="A527" i="71" s="1"/>
  <c r="A539" i="71" s="1"/>
  <c r="A551" i="71" s="1"/>
  <c r="A563" i="71" s="1"/>
  <c r="A575" i="71" s="1"/>
  <c r="A587" i="71" s="1"/>
  <c r="A599" i="71" s="1"/>
  <c r="A611" i="71" s="1"/>
  <c r="A623" i="71" s="1"/>
  <c r="A635" i="71" s="1"/>
  <c r="A432" i="71"/>
  <c r="A444" i="71" s="1"/>
  <c r="A456" i="71" s="1"/>
  <c r="A468" i="71" s="1"/>
  <c r="A480" i="71" s="1"/>
  <c r="A492" i="71" s="1"/>
  <c r="A504" i="71" s="1"/>
  <c r="A516" i="71" s="1"/>
  <c r="A528" i="71" s="1"/>
  <c r="A540" i="71" s="1"/>
  <c r="A552" i="71" s="1"/>
  <c r="A564" i="71" s="1"/>
  <c r="A576" i="71" s="1"/>
  <c r="A588" i="71" s="1"/>
  <c r="A600" i="71" s="1"/>
  <c r="A433" i="71"/>
  <c r="A445" i="71" s="1"/>
  <c r="A457" i="71" s="1"/>
  <c r="A469" i="71" s="1"/>
  <c r="A481" i="71" s="1"/>
  <c r="A493" i="71" s="1"/>
  <c r="A505" i="71" s="1"/>
  <c r="A517" i="71" s="1"/>
  <c r="A529" i="71" s="1"/>
  <c r="A541" i="71" s="1"/>
  <c r="A553" i="71" s="1"/>
  <c r="A565" i="71" s="1"/>
  <c r="A577" i="71" s="1"/>
  <c r="A589" i="71" s="1"/>
  <c r="A601" i="71" s="1"/>
  <c r="A613" i="71" s="1"/>
  <c r="A625" i="71" s="1"/>
  <c r="A637" i="71" s="1"/>
  <c r="A434" i="71"/>
  <c r="A446" i="71" s="1"/>
  <c r="A458" i="71" s="1"/>
  <c r="A470" i="71" s="1"/>
  <c r="A482" i="71" s="1"/>
  <c r="A494" i="71" s="1"/>
  <c r="A506" i="71" s="1"/>
  <c r="A518" i="71" s="1"/>
  <c r="A530" i="71" s="1"/>
  <c r="A542" i="71" s="1"/>
  <c r="A554" i="71" s="1"/>
  <c r="A566" i="71" s="1"/>
  <c r="A578" i="71" s="1"/>
  <c r="A590" i="71" s="1"/>
  <c r="A602" i="71" s="1"/>
  <c r="A614" i="71" s="1"/>
  <c r="A626" i="71" s="1"/>
  <c r="A638" i="71" s="1"/>
  <c r="A435" i="71"/>
  <c r="A447" i="71" s="1"/>
  <c r="A459" i="71" s="1"/>
  <c r="A471" i="71" s="1"/>
  <c r="A483" i="71" s="1"/>
  <c r="A495" i="71" s="1"/>
  <c r="A507" i="71" s="1"/>
  <c r="A519" i="71" s="1"/>
  <c r="A531" i="71" s="1"/>
  <c r="A543" i="71" s="1"/>
  <c r="A555" i="71" s="1"/>
  <c r="A567" i="71" s="1"/>
  <c r="A579" i="71" s="1"/>
  <c r="A591" i="71" s="1"/>
  <c r="A603" i="71" s="1"/>
  <c r="A615" i="71" s="1"/>
  <c r="A627" i="71" s="1"/>
  <c r="A639" i="71" s="1"/>
  <c r="A436" i="71"/>
  <c r="A448" i="71" s="1"/>
  <c r="A460" i="71" s="1"/>
  <c r="A472" i="71" s="1"/>
  <c r="A484" i="71" s="1"/>
  <c r="A496" i="71" s="1"/>
  <c r="A508" i="71" s="1"/>
  <c r="A520" i="71" s="1"/>
  <c r="A532" i="71" s="1"/>
  <c r="A544" i="71" s="1"/>
  <c r="A556" i="71" s="1"/>
  <c r="A568" i="71" s="1"/>
  <c r="A580" i="71" s="1"/>
  <c r="A592" i="71" s="1"/>
  <c r="A604" i="71" s="1"/>
  <c r="A616" i="71" s="1"/>
  <c r="A628" i="71" s="1"/>
  <c r="A640" i="71" s="1"/>
  <c r="A437" i="71"/>
  <c r="A449" i="71" s="1"/>
  <c r="A461" i="71" s="1"/>
  <c r="A473" i="71" s="1"/>
  <c r="A485" i="71" s="1"/>
  <c r="A497" i="71" s="1"/>
  <c r="A509" i="71" s="1"/>
  <c r="A521" i="71" s="1"/>
  <c r="A533" i="71" s="1"/>
  <c r="A545" i="71" s="1"/>
  <c r="A557" i="71" s="1"/>
  <c r="A569" i="71" s="1"/>
  <c r="A438" i="71"/>
  <c r="A450" i="71" s="1"/>
  <c r="A462" i="71" s="1"/>
  <c r="A474" i="71" s="1"/>
  <c r="A486" i="71" s="1"/>
  <c r="A498" i="71" s="1"/>
  <c r="A510" i="71" s="1"/>
  <c r="A522" i="71" s="1"/>
  <c r="A534" i="71" s="1"/>
  <c r="A546" i="71" s="1"/>
  <c r="A558" i="71" s="1"/>
  <c r="A570" i="71" s="1"/>
  <c r="A582" i="71" s="1"/>
  <c r="A594" i="71" s="1"/>
  <c r="A606" i="71" s="1"/>
  <c r="A618" i="71" s="1"/>
  <c r="A630" i="71" s="1"/>
  <c r="A642" i="71" s="1"/>
  <c r="A439" i="71"/>
  <c r="A451" i="71" s="1"/>
  <c r="A463" i="71" s="1"/>
  <c r="A475" i="71" s="1"/>
  <c r="A487" i="71" s="1"/>
  <c r="A499" i="71" s="1"/>
  <c r="A511" i="71" s="1"/>
  <c r="A523" i="71" s="1"/>
  <c r="A535" i="71" s="1"/>
  <c r="A547" i="71" s="1"/>
  <c r="A559" i="71" s="1"/>
  <c r="A571" i="71" s="1"/>
  <c r="A583" i="71" s="1"/>
  <c r="A595" i="71" s="1"/>
  <c r="A607" i="71" s="1"/>
  <c r="A619" i="71" s="1"/>
  <c r="A631" i="71" s="1"/>
  <c r="A643" i="71" s="1"/>
  <c r="A440" i="71"/>
  <c r="A452" i="71" s="1"/>
  <c r="A464" i="71" s="1"/>
  <c r="A476" i="71" s="1"/>
  <c r="A488" i="71" s="1"/>
  <c r="A500" i="71" s="1"/>
  <c r="A512" i="71" s="1"/>
  <c r="A524" i="71" s="1"/>
  <c r="A536" i="71" s="1"/>
  <c r="A548" i="71" s="1"/>
  <c r="A560" i="71" s="1"/>
  <c r="A572" i="71" s="1"/>
  <c r="A584" i="71" s="1"/>
  <c r="A596" i="71" s="1"/>
  <c r="A608" i="71" s="1"/>
  <c r="A620" i="71" s="1"/>
  <c r="A632" i="71" s="1"/>
  <c r="A644" i="71" s="1"/>
  <c r="A441" i="71"/>
  <c r="A453" i="71" s="1"/>
  <c r="A465" i="71" s="1"/>
  <c r="A477" i="71" s="1"/>
  <c r="A489" i="71" s="1"/>
  <c r="A501" i="71" s="1"/>
  <c r="A513" i="71" s="1"/>
  <c r="A525" i="71" s="1"/>
  <c r="A537" i="71" s="1"/>
  <c r="A549" i="71" s="1"/>
  <c r="A561" i="71" s="1"/>
  <c r="A573" i="71" s="1"/>
  <c r="A585" i="71" s="1"/>
  <c r="A597" i="71" s="1"/>
  <c r="A609" i="71" s="1"/>
  <c r="A621" i="71" s="1"/>
  <c r="A633" i="71" s="1"/>
  <c r="A645" i="71" s="1"/>
  <c r="B148" i="69"/>
  <c r="C148" i="69"/>
  <c r="C146" i="69" s="1"/>
  <c r="C147" i="69" s="1"/>
  <c r="E148" i="69"/>
  <c r="F148" i="69"/>
  <c r="F146" i="69" s="1"/>
  <c r="G148" i="69"/>
  <c r="H148" i="69"/>
  <c r="H146" i="69" s="1"/>
  <c r="J148" i="69"/>
  <c r="K148" i="69"/>
  <c r="A226" i="69"/>
  <c r="A238" i="69" s="1"/>
  <c r="A250" i="69" s="1"/>
  <c r="A262" i="69" s="1"/>
  <c r="A274" i="69" s="1"/>
  <c r="A286" i="69" s="1"/>
  <c r="A298" i="69" s="1"/>
  <c r="A310" i="69" s="1"/>
  <c r="A322" i="69" s="1"/>
  <c r="A334" i="69" s="1"/>
  <c r="A346" i="69" s="1"/>
  <c r="A358" i="69" s="1"/>
  <c r="A370" i="69" s="1"/>
  <c r="A382" i="69" s="1"/>
  <c r="A394" i="69" s="1"/>
  <c r="A406" i="69" s="1"/>
  <c r="A418" i="69" s="1"/>
  <c r="A430" i="69" s="1"/>
  <c r="A227" i="69"/>
  <c r="A239" i="69" s="1"/>
  <c r="A251" i="69" s="1"/>
  <c r="A263" i="69" s="1"/>
  <c r="A275" i="69" s="1"/>
  <c r="A287" i="69" s="1"/>
  <c r="A299" i="69" s="1"/>
  <c r="A311" i="69" s="1"/>
  <c r="A323" i="69" s="1"/>
  <c r="A335" i="69" s="1"/>
  <c r="A347" i="69" s="1"/>
  <c r="A359" i="69" s="1"/>
  <c r="A371" i="69" s="1"/>
  <c r="A383" i="69" s="1"/>
  <c r="A395" i="69" s="1"/>
  <c r="A407" i="69" s="1"/>
  <c r="A419" i="69" s="1"/>
  <c r="A431" i="69" s="1"/>
  <c r="A228" i="69"/>
  <c r="A240" i="69" s="1"/>
  <c r="A252" i="69" s="1"/>
  <c r="A264" i="69" s="1"/>
  <c r="A276" i="69" s="1"/>
  <c r="A288" i="69" s="1"/>
  <c r="A300" i="69" s="1"/>
  <c r="A312" i="69" s="1"/>
  <c r="A324" i="69" s="1"/>
  <c r="A336" i="69" s="1"/>
  <c r="A348" i="69" s="1"/>
  <c r="A360" i="69" s="1"/>
  <c r="A372" i="69" s="1"/>
  <c r="A384" i="69" s="1"/>
  <c r="A396" i="69" s="1"/>
  <c r="A408" i="69" s="1"/>
  <c r="A420" i="69" s="1"/>
  <c r="A432" i="69" s="1"/>
  <c r="A229" i="69"/>
  <c r="A241" i="69" s="1"/>
  <c r="A253" i="69" s="1"/>
  <c r="A265" i="69" s="1"/>
  <c r="A277" i="69" s="1"/>
  <c r="A289" i="69" s="1"/>
  <c r="A301" i="69" s="1"/>
  <c r="A313" i="69" s="1"/>
  <c r="A325" i="69" s="1"/>
  <c r="A337" i="69" s="1"/>
  <c r="A349" i="69" s="1"/>
  <c r="A361" i="69" s="1"/>
  <c r="A373" i="69" s="1"/>
  <c r="A385" i="69" s="1"/>
  <c r="A397" i="69" s="1"/>
  <c r="A409" i="69" s="1"/>
  <c r="A421" i="69" s="1"/>
  <c r="A433" i="69" s="1"/>
  <c r="A230" i="69"/>
  <c r="A242" i="69" s="1"/>
  <c r="A254" i="69" s="1"/>
  <c r="A266" i="69" s="1"/>
  <c r="A278" i="69" s="1"/>
  <c r="A290" i="69" s="1"/>
  <c r="A302" i="69" s="1"/>
  <c r="A314" i="69" s="1"/>
  <c r="A326" i="69" s="1"/>
  <c r="A338" i="69" s="1"/>
  <c r="A350" i="69" s="1"/>
  <c r="A362" i="69" s="1"/>
  <c r="A374" i="69" s="1"/>
  <c r="A386" i="69" s="1"/>
  <c r="A398" i="69" s="1"/>
  <c r="A410" i="69" s="1"/>
  <c r="A422" i="69" s="1"/>
  <c r="A434" i="69" s="1"/>
  <c r="A231" i="69"/>
  <c r="A243" i="69" s="1"/>
  <c r="A255" i="69" s="1"/>
  <c r="A267" i="69" s="1"/>
  <c r="A279" i="69" s="1"/>
  <c r="A291" i="69" s="1"/>
  <c r="A303" i="69" s="1"/>
  <c r="A315" i="69" s="1"/>
  <c r="A327" i="69" s="1"/>
  <c r="A339" i="69" s="1"/>
  <c r="A351" i="69" s="1"/>
  <c r="A363" i="69" s="1"/>
  <c r="A375" i="69" s="1"/>
  <c r="A387" i="69" s="1"/>
  <c r="A399" i="69" s="1"/>
  <c r="A411" i="69" s="1"/>
  <c r="A423" i="69" s="1"/>
  <c r="A435" i="69" s="1"/>
  <c r="A232" i="69"/>
  <c r="A244" i="69" s="1"/>
  <c r="A256" i="69" s="1"/>
  <c r="A268" i="69" s="1"/>
  <c r="A280" i="69" s="1"/>
  <c r="A292" i="69" s="1"/>
  <c r="A304" i="69" s="1"/>
  <c r="A316" i="69" s="1"/>
  <c r="A328" i="69" s="1"/>
  <c r="A340" i="69" s="1"/>
  <c r="A352" i="69" s="1"/>
  <c r="A364" i="69" s="1"/>
  <c r="A376" i="69" s="1"/>
  <c r="A388" i="69" s="1"/>
  <c r="A400" i="69" s="1"/>
  <c r="A412" i="69" s="1"/>
  <c r="A424" i="69" s="1"/>
  <c r="A436" i="69" s="1"/>
  <c r="A233" i="69"/>
  <c r="A245" i="69" s="1"/>
  <c r="A257" i="69" s="1"/>
  <c r="A269" i="69" s="1"/>
  <c r="A281" i="69" s="1"/>
  <c r="A293" i="69" s="1"/>
  <c r="A305" i="69" s="1"/>
  <c r="A317" i="69" s="1"/>
  <c r="A329" i="69" s="1"/>
  <c r="A341" i="69" s="1"/>
  <c r="A353" i="69" s="1"/>
  <c r="A365" i="69" s="1"/>
  <c r="A377" i="69" s="1"/>
  <c r="A389" i="69" s="1"/>
  <c r="A401" i="69" s="1"/>
  <c r="A413" i="69" s="1"/>
  <c r="A425" i="69" s="1"/>
  <c r="A437" i="69" s="1"/>
  <c r="A234" i="69"/>
  <c r="A246" i="69" s="1"/>
  <c r="A258" i="69" s="1"/>
  <c r="A270" i="69" s="1"/>
  <c r="A282" i="69" s="1"/>
  <c r="A294" i="69" s="1"/>
  <c r="A306" i="69" s="1"/>
  <c r="A318" i="69" s="1"/>
  <c r="A330" i="69" s="1"/>
  <c r="A342" i="69" s="1"/>
  <c r="A354" i="69" s="1"/>
  <c r="A366" i="69" s="1"/>
  <c r="A378" i="69" s="1"/>
  <c r="A390" i="69" s="1"/>
  <c r="A402" i="69" s="1"/>
  <c r="A414" i="69" s="1"/>
  <c r="A426" i="69" s="1"/>
  <c r="A438" i="69" s="1"/>
  <c r="A235" i="69"/>
  <c r="A247" i="69" s="1"/>
  <c r="A259" i="69" s="1"/>
  <c r="A271" i="69" s="1"/>
  <c r="A283" i="69" s="1"/>
  <c r="A295" i="69" s="1"/>
  <c r="A307" i="69" s="1"/>
  <c r="A319" i="69" s="1"/>
  <c r="A331" i="69" s="1"/>
  <c r="A343" i="69" s="1"/>
  <c r="A355" i="69" s="1"/>
  <c r="A367" i="69" s="1"/>
  <c r="A379" i="69" s="1"/>
  <c r="A391" i="69" s="1"/>
  <c r="A403" i="69" s="1"/>
  <c r="A415" i="69" s="1"/>
  <c r="A427" i="69" s="1"/>
  <c r="A439" i="69" s="1"/>
  <c r="A236" i="69"/>
  <c r="A248" i="69" s="1"/>
  <c r="A260" i="69" s="1"/>
  <c r="A272" i="69" s="1"/>
  <c r="A284" i="69" s="1"/>
  <c r="A296" i="69" s="1"/>
  <c r="A308" i="69" s="1"/>
  <c r="A320" i="69" s="1"/>
  <c r="A332" i="69" s="1"/>
  <c r="A344" i="69" s="1"/>
  <c r="A356" i="69" s="1"/>
  <c r="A368" i="69" s="1"/>
  <c r="A380" i="69" s="1"/>
  <c r="A392" i="69" s="1"/>
  <c r="A404" i="69" s="1"/>
  <c r="A416" i="69" s="1"/>
  <c r="A428" i="69" s="1"/>
  <c r="A440" i="69" s="1"/>
  <c r="A237" i="69"/>
  <c r="A249" i="69" s="1"/>
  <c r="A261" i="69" s="1"/>
  <c r="A273" i="69" s="1"/>
  <c r="A285" i="69" s="1"/>
  <c r="A297" i="69" s="1"/>
  <c r="A309" i="69" s="1"/>
  <c r="A321" i="69" s="1"/>
  <c r="A333" i="69" s="1"/>
  <c r="A345" i="69" s="1"/>
  <c r="A357" i="69" s="1"/>
  <c r="A369" i="69" s="1"/>
  <c r="A381" i="69" s="1"/>
  <c r="A393" i="69" s="1"/>
  <c r="A405" i="69" s="1"/>
  <c r="A417" i="69" s="1"/>
  <c r="A429" i="69" s="1"/>
  <c r="A441" i="69" s="1"/>
  <c r="A298" i="27"/>
  <c r="A310" i="27" s="1"/>
  <c r="A322" i="27" s="1"/>
  <c r="A334" i="27" s="1"/>
  <c r="A346" i="27" s="1"/>
  <c r="A358" i="27" s="1"/>
  <c r="A370" i="27" s="1"/>
  <c r="A382" i="27" s="1"/>
  <c r="A394" i="27" s="1"/>
  <c r="A299" i="27"/>
  <c r="A311" i="27" s="1"/>
  <c r="A323" i="27" s="1"/>
  <c r="A335" i="27" s="1"/>
  <c r="A347" i="27" s="1"/>
  <c r="A359" i="27" s="1"/>
  <c r="A371" i="27" s="1"/>
  <c r="A383" i="27" s="1"/>
  <c r="A395" i="27" s="1"/>
  <c r="A300" i="27"/>
  <c r="A312" i="27" s="1"/>
  <c r="A324" i="27" s="1"/>
  <c r="A336" i="27" s="1"/>
  <c r="A348" i="27" s="1"/>
  <c r="A360" i="27" s="1"/>
  <c r="A372" i="27" s="1"/>
  <c r="A384" i="27" s="1"/>
  <c r="A396" i="27" s="1"/>
  <c r="A301" i="27"/>
  <c r="A313" i="27" s="1"/>
  <c r="A325" i="27" s="1"/>
  <c r="A337" i="27" s="1"/>
  <c r="A349" i="27" s="1"/>
  <c r="A361" i="27" s="1"/>
  <c r="A373" i="27" s="1"/>
  <c r="A385" i="27" s="1"/>
  <c r="A397" i="27" s="1"/>
  <c r="A302" i="27"/>
  <c r="A314" i="27" s="1"/>
  <c r="A326" i="27" s="1"/>
  <c r="A338" i="27" s="1"/>
  <c r="A350" i="27" s="1"/>
  <c r="A362" i="27" s="1"/>
  <c r="A374" i="27" s="1"/>
  <c r="A386" i="27" s="1"/>
  <c r="A398" i="27" s="1"/>
  <c r="A303" i="27"/>
  <c r="A315" i="27" s="1"/>
  <c r="A327" i="27" s="1"/>
  <c r="A339" i="27" s="1"/>
  <c r="A351" i="27" s="1"/>
  <c r="A363" i="27" s="1"/>
  <c r="A375" i="27" s="1"/>
  <c r="A387" i="27" s="1"/>
  <c r="A399" i="27" s="1"/>
  <c r="A304" i="27"/>
  <c r="A316" i="27" s="1"/>
  <c r="A328" i="27" s="1"/>
  <c r="A340" i="27" s="1"/>
  <c r="A352" i="27" s="1"/>
  <c r="A364" i="27" s="1"/>
  <c r="A376" i="27" s="1"/>
  <c r="A388" i="27" s="1"/>
  <c r="A400" i="27" s="1"/>
  <c r="A305" i="27"/>
  <c r="A317" i="27" s="1"/>
  <c r="A329" i="27" s="1"/>
  <c r="A341" i="27" s="1"/>
  <c r="A353" i="27" s="1"/>
  <c r="A365" i="27" s="1"/>
  <c r="A377" i="27" s="1"/>
  <c r="A389" i="27" s="1"/>
  <c r="A401" i="27" s="1"/>
  <c r="A306" i="27"/>
  <c r="A318" i="27" s="1"/>
  <c r="A330" i="27" s="1"/>
  <c r="A342" i="27" s="1"/>
  <c r="A354" i="27" s="1"/>
  <c r="A366" i="27" s="1"/>
  <c r="A378" i="27" s="1"/>
  <c r="A390" i="27" s="1"/>
  <c r="A402" i="27" s="1"/>
  <c r="A307" i="27"/>
  <c r="A319" i="27" s="1"/>
  <c r="A331" i="27" s="1"/>
  <c r="A343" i="27" s="1"/>
  <c r="A355" i="27" s="1"/>
  <c r="A367" i="27" s="1"/>
  <c r="A379" i="27" s="1"/>
  <c r="A391" i="27" s="1"/>
  <c r="A403" i="27" s="1"/>
  <c r="A308" i="27"/>
  <c r="A320" i="27" s="1"/>
  <c r="A332" i="27" s="1"/>
  <c r="A344" i="27" s="1"/>
  <c r="A356" i="27" s="1"/>
  <c r="A368" i="27" s="1"/>
  <c r="A380" i="27" s="1"/>
  <c r="A392" i="27" s="1"/>
  <c r="A404" i="27" s="1"/>
  <c r="A309" i="27"/>
  <c r="A321" i="27" s="1"/>
  <c r="A333" i="27" s="1"/>
  <c r="A345" i="27" s="1"/>
  <c r="A357" i="27" s="1"/>
  <c r="A369" i="27" s="1"/>
  <c r="A381" i="27" s="1"/>
  <c r="A393" i="27" s="1"/>
  <c r="A405" i="27" s="1"/>
  <c r="C164" i="59"/>
  <c r="C165" i="59"/>
  <c r="A166" i="59"/>
  <c r="A178" i="59" s="1"/>
  <c r="A190" i="59" s="1"/>
  <c r="A202" i="59" s="1"/>
  <c r="A214" i="59" s="1"/>
  <c r="A226" i="59" s="1"/>
  <c r="A238" i="59" s="1"/>
  <c r="A250" i="59" s="1"/>
  <c r="A262" i="59" s="1"/>
  <c r="A274" i="59" s="1"/>
  <c r="A286" i="59" s="1"/>
  <c r="A298" i="59" s="1"/>
  <c r="A310" i="59" s="1"/>
  <c r="A322" i="59" s="1"/>
  <c r="A334" i="59" s="1"/>
  <c r="A346" i="59" s="1"/>
  <c r="A358" i="59" s="1"/>
  <c r="C166" i="59"/>
  <c r="A167" i="59"/>
  <c r="A179" i="59" s="1"/>
  <c r="A191" i="59" s="1"/>
  <c r="A203" i="59" s="1"/>
  <c r="A215" i="59" s="1"/>
  <c r="A227" i="59" s="1"/>
  <c r="A239" i="59" s="1"/>
  <c r="A251" i="59" s="1"/>
  <c r="A263" i="59" s="1"/>
  <c r="A275" i="59" s="1"/>
  <c r="A287" i="59" s="1"/>
  <c r="A299" i="59" s="1"/>
  <c r="A311" i="59" s="1"/>
  <c r="A323" i="59" s="1"/>
  <c r="A335" i="59" s="1"/>
  <c r="A347" i="59" s="1"/>
  <c r="A359" i="59" s="1"/>
  <c r="C167" i="59"/>
  <c r="A168" i="59"/>
  <c r="A180" i="59" s="1"/>
  <c r="A192" i="59" s="1"/>
  <c r="A204" i="59" s="1"/>
  <c r="A216" i="59" s="1"/>
  <c r="A228" i="59" s="1"/>
  <c r="A240" i="59" s="1"/>
  <c r="A252" i="59" s="1"/>
  <c r="A264" i="59" s="1"/>
  <c r="A276" i="59" s="1"/>
  <c r="A288" i="59" s="1"/>
  <c r="A300" i="59" s="1"/>
  <c r="A312" i="59" s="1"/>
  <c r="A324" i="59" s="1"/>
  <c r="A336" i="59" s="1"/>
  <c r="A348" i="59" s="1"/>
  <c r="A360" i="59" s="1"/>
  <c r="C168" i="59"/>
  <c r="A169" i="59"/>
  <c r="A181" i="59" s="1"/>
  <c r="A193" i="59" s="1"/>
  <c r="A205" i="59" s="1"/>
  <c r="A217" i="59" s="1"/>
  <c r="A229" i="59" s="1"/>
  <c r="A241" i="59" s="1"/>
  <c r="A253" i="59" s="1"/>
  <c r="A265" i="59" s="1"/>
  <c r="A277" i="59" s="1"/>
  <c r="A289" i="59" s="1"/>
  <c r="A301" i="59" s="1"/>
  <c r="A313" i="59" s="1"/>
  <c r="A325" i="59" s="1"/>
  <c r="A337" i="59" s="1"/>
  <c r="A349" i="59" s="1"/>
  <c r="A361" i="59" s="1"/>
  <c r="C169" i="59"/>
  <c r="A170" i="59"/>
  <c r="A182" i="59" s="1"/>
  <c r="A194" i="59" s="1"/>
  <c r="A206" i="59" s="1"/>
  <c r="A218" i="59" s="1"/>
  <c r="A230" i="59" s="1"/>
  <c r="A242" i="59" s="1"/>
  <c r="A254" i="59" s="1"/>
  <c r="A266" i="59" s="1"/>
  <c r="A278" i="59" s="1"/>
  <c r="A290" i="59" s="1"/>
  <c r="A302" i="59" s="1"/>
  <c r="A314" i="59" s="1"/>
  <c r="A326" i="59" s="1"/>
  <c r="A338" i="59" s="1"/>
  <c r="A350" i="59" s="1"/>
  <c r="A362" i="59" s="1"/>
  <c r="C170" i="59"/>
  <c r="A171" i="59"/>
  <c r="A183" i="59" s="1"/>
  <c r="A195" i="59" s="1"/>
  <c r="A207" i="59" s="1"/>
  <c r="A219" i="59" s="1"/>
  <c r="A231" i="59" s="1"/>
  <c r="A243" i="59" s="1"/>
  <c r="A255" i="59" s="1"/>
  <c r="A267" i="59" s="1"/>
  <c r="A279" i="59" s="1"/>
  <c r="A291" i="59" s="1"/>
  <c r="A303" i="59" s="1"/>
  <c r="A315" i="59" s="1"/>
  <c r="A327" i="59" s="1"/>
  <c r="A339" i="59" s="1"/>
  <c r="A351" i="59" s="1"/>
  <c r="A363" i="59" s="1"/>
  <c r="C171" i="59"/>
  <c r="A172" i="59"/>
  <c r="A184" i="59" s="1"/>
  <c r="A196" i="59" s="1"/>
  <c r="A208" i="59" s="1"/>
  <c r="A220" i="59" s="1"/>
  <c r="A232" i="59" s="1"/>
  <c r="A244" i="59" s="1"/>
  <c r="A256" i="59" s="1"/>
  <c r="A268" i="59" s="1"/>
  <c r="A280" i="59" s="1"/>
  <c r="A292" i="59" s="1"/>
  <c r="A304" i="59" s="1"/>
  <c r="A316" i="59" s="1"/>
  <c r="A328" i="59" s="1"/>
  <c r="A340" i="59" s="1"/>
  <c r="A352" i="59" s="1"/>
  <c r="A364" i="59" s="1"/>
  <c r="C172" i="59"/>
  <c r="A173" i="59"/>
  <c r="A185" i="59" s="1"/>
  <c r="A197" i="59" s="1"/>
  <c r="A209" i="59" s="1"/>
  <c r="A221" i="59" s="1"/>
  <c r="A233" i="59" s="1"/>
  <c r="A245" i="59" s="1"/>
  <c r="A257" i="59" s="1"/>
  <c r="A269" i="59" s="1"/>
  <c r="A281" i="59" s="1"/>
  <c r="A293" i="59" s="1"/>
  <c r="A305" i="59" s="1"/>
  <c r="A317" i="59" s="1"/>
  <c r="A329" i="59" s="1"/>
  <c r="A341" i="59" s="1"/>
  <c r="A353" i="59" s="1"/>
  <c r="A365" i="59" s="1"/>
  <c r="C173" i="59"/>
  <c r="A174" i="59"/>
  <c r="A186" i="59" s="1"/>
  <c r="A198" i="59" s="1"/>
  <c r="A210" i="59" s="1"/>
  <c r="A222" i="59" s="1"/>
  <c r="A234" i="59" s="1"/>
  <c r="A246" i="59" s="1"/>
  <c r="A258" i="59" s="1"/>
  <c r="A270" i="59" s="1"/>
  <c r="A282" i="59" s="1"/>
  <c r="A294" i="59" s="1"/>
  <c r="A306" i="59" s="1"/>
  <c r="A318" i="59" s="1"/>
  <c r="A330" i="59" s="1"/>
  <c r="A342" i="59" s="1"/>
  <c r="A354" i="59" s="1"/>
  <c r="A366" i="59" s="1"/>
  <c r="C174" i="59"/>
  <c r="A175" i="59"/>
  <c r="A187" i="59" s="1"/>
  <c r="A199" i="59" s="1"/>
  <c r="A211" i="59" s="1"/>
  <c r="A223" i="59" s="1"/>
  <c r="A235" i="59" s="1"/>
  <c r="A247" i="59" s="1"/>
  <c r="A259" i="59" s="1"/>
  <c r="A271" i="59" s="1"/>
  <c r="A283" i="59" s="1"/>
  <c r="A295" i="59" s="1"/>
  <c r="A307" i="59" s="1"/>
  <c r="A319" i="59" s="1"/>
  <c r="A331" i="59" s="1"/>
  <c r="A343" i="59" s="1"/>
  <c r="A355" i="59" s="1"/>
  <c r="A367" i="59" s="1"/>
  <c r="C175" i="59"/>
  <c r="A176" i="59"/>
  <c r="A188" i="59" s="1"/>
  <c r="A200" i="59" s="1"/>
  <c r="A212" i="59" s="1"/>
  <c r="A224" i="59" s="1"/>
  <c r="A236" i="59" s="1"/>
  <c r="A248" i="59" s="1"/>
  <c r="A260" i="59" s="1"/>
  <c r="A272" i="59" s="1"/>
  <c r="A284" i="59" s="1"/>
  <c r="A296" i="59" s="1"/>
  <c r="A308" i="59" s="1"/>
  <c r="A320" i="59" s="1"/>
  <c r="A332" i="59" s="1"/>
  <c r="A344" i="59" s="1"/>
  <c r="A356" i="59" s="1"/>
  <c r="A368" i="59" s="1"/>
  <c r="C176" i="59"/>
  <c r="A177" i="59"/>
  <c r="A189" i="59" s="1"/>
  <c r="A201" i="59" s="1"/>
  <c r="A213" i="59" s="1"/>
  <c r="A225" i="59" s="1"/>
  <c r="A237" i="59" s="1"/>
  <c r="A249" i="59" s="1"/>
  <c r="A261" i="59" s="1"/>
  <c r="A273" i="59" s="1"/>
  <c r="A285" i="59" s="1"/>
  <c r="A297" i="59" s="1"/>
  <c r="A309" i="59" s="1"/>
  <c r="A321" i="59" s="1"/>
  <c r="A333" i="59" s="1"/>
  <c r="A345" i="59" s="1"/>
  <c r="A357" i="59" s="1"/>
  <c r="A369" i="59" s="1"/>
  <c r="C177" i="59"/>
  <c r="C178" i="59"/>
  <c r="C179" i="59"/>
  <c r="C180" i="59"/>
  <c r="C181" i="59"/>
  <c r="C182" i="59"/>
  <c r="C183" i="59"/>
  <c r="C184" i="59"/>
  <c r="C185" i="59"/>
  <c r="C186" i="59"/>
  <c r="C187" i="59"/>
  <c r="C188" i="59"/>
  <c r="C189" i="59"/>
  <c r="C190" i="59"/>
  <c r="C191" i="59"/>
  <c r="C192" i="59"/>
  <c r="C193" i="59"/>
  <c r="C194" i="59"/>
  <c r="C195" i="59"/>
  <c r="C196" i="59"/>
  <c r="C197" i="59"/>
  <c r="C198" i="59"/>
  <c r="C199" i="59"/>
  <c r="C200" i="59"/>
  <c r="C201" i="59"/>
  <c r="C202" i="59"/>
  <c r="C203" i="59"/>
  <c r="C204" i="59"/>
  <c r="C205" i="59"/>
  <c r="C206" i="59"/>
  <c r="C207" i="59"/>
  <c r="C208" i="59"/>
  <c r="C209" i="59"/>
  <c r="C210" i="59"/>
  <c r="C211" i="59"/>
  <c r="C212" i="59"/>
  <c r="C213" i="59"/>
  <c r="C214" i="59"/>
  <c r="C215" i="59"/>
  <c r="C216" i="59"/>
  <c r="C217" i="59"/>
  <c r="C218" i="59"/>
  <c r="C219" i="59"/>
  <c r="C220" i="59"/>
  <c r="C221" i="59"/>
  <c r="C222" i="59"/>
  <c r="C223" i="59"/>
  <c r="C224" i="59"/>
  <c r="C225" i="59"/>
  <c r="C226" i="59"/>
  <c r="C227" i="59"/>
  <c r="C228" i="59"/>
  <c r="C230" i="59"/>
  <c r="C231" i="59"/>
  <c r="C232" i="59"/>
  <c r="C233" i="59"/>
  <c r="C234" i="59"/>
  <c r="C235" i="59"/>
  <c r="C236" i="59"/>
  <c r="C237" i="59"/>
  <c r="C238" i="59"/>
  <c r="C239" i="59"/>
  <c r="C240" i="59"/>
  <c r="C241" i="59"/>
  <c r="C242" i="59"/>
  <c r="C243" i="59"/>
  <c r="C244" i="59"/>
  <c r="C245" i="59"/>
  <c r="C246" i="59"/>
  <c r="C247" i="59"/>
  <c r="C248" i="59"/>
  <c r="C249" i="59"/>
  <c r="A202" i="56"/>
  <c r="A214" i="56" s="1"/>
  <c r="A226" i="56" s="1"/>
  <c r="A238" i="56" s="1"/>
  <c r="A250" i="56" s="1"/>
  <c r="A262" i="56" s="1"/>
  <c r="A274" i="56" s="1"/>
  <c r="A286" i="56" s="1"/>
  <c r="A298" i="56" s="1"/>
  <c r="A310" i="56" s="1"/>
  <c r="A322" i="56" s="1"/>
  <c r="A334" i="56" s="1"/>
  <c r="A346" i="56" s="1"/>
  <c r="A358" i="56" s="1"/>
  <c r="A370" i="56" s="1"/>
  <c r="A382" i="56" s="1"/>
  <c r="A394" i="56" s="1"/>
  <c r="A406" i="56" s="1"/>
  <c r="A418" i="56" s="1"/>
  <c r="A430" i="56" s="1"/>
  <c r="A442" i="56" s="1"/>
  <c r="A454" i="56" s="1"/>
  <c r="A466" i="56" s="1"/>
  <c r="A203" i="56"/>
  <c r="A215" i="56" s="1"/>
  <c r="A227" i="56" s="1"/>
  <c r="A239" i="56" s="1"/>
  <c r="A251" i="56" s="1"/>
  <c r="A263" i="56" s="1"/>
  <c r="A275" i="56" s="1"/>
  <c r="A287" i="56" s="1"/>
  <c r="A299" i="56" s="1"/>
  <c r="A311" i="56" s="1"/>
  <c r="A323" i="56" s="1"/>
  <c r="A335" i="56" s="1"/>
  <c r="A347" i="56" s="1"/>
  <c r="A359" i="56" s="1"/>
  <c r="A371" i="56" s="1"/>
  <c r="A383" i="56" s="1"/>
  <c r="A395" i="56" s="1"/>
  <c r="A407" i="56" s="1"/>
  <c r="A419" i="56" s="1"/>
  <c r="A431" i="56" s="1"/>
  <c r="A443" i="56" s="1"/>
  <c r="A455" i="56" s="1"/>
  <c r="A467" i="56" s="1"/>
  <c r="A204" i="56"/>
  <c r="A216" i="56" s="1"/>
  <c r="A228" i="56" s="1"/>
  <c r="A240" i="56" s="1"/>
  <c r="A252" i="56" s="1"/>
  <c r="A264" i="56" s="1"/>
  <c r="A276" i="56" s="1"/>
  <c r="A288" i="56" s="1"/>
  <c r="A300" i="56" s="1"/>
  <c r="A312" i="56" s="1"/>
  <c r="A324" i="56" s="1"/>
  <c r="A336" i="56" s="1"/>
  <c r="A348" i="56" s="1"/>
  <c r="A360" i="56" s="1"/>
  <c r="A372" i="56" s="1"/>
  <c r="A384" i="56" s="1"/>
  <c r="A396" i="56" s="1"/>
  <c r="A408" i="56" s="1"/>
  <c r="A420" i="56" s="1"/>
  <c r="A432" i="56" s="1"/>
  <c r="A444" i="56" s="1"/>
  <c r="A456" i="56" s="1"/>
  <c r="A468" i="56" s="1"/>
  <c r="A205" i="56"/>
  <c r="A217" i="56" s="1"/>
  <c r="A229" i="56" s="1"/>
  <c r="A241" i="56" s="1"/>
  <c r="A253" i="56" s="1"/>
  <c r="A265" i="56" s="1"/>
  <c r="A277" i="56" s="1"/>
  <c r="A289" i="56" s="1"/>
  <c r="A301" i="56" s="1"/>
  <c r="A313" i="56" s="1"/>
  <c r="A325" i="56" s="1"/>
  <c r="A337" i="56" s="1"/>
  <c r="A349" i="56" s="1"/>
  <c r="A361" i="56" s="1"/>
  <c r="A373" i="56" s="1"/>
  <c r="A385" i="56" s="1"/>
  <c r="A397" i="56" s="1"/>
  <c r="A409" i="56" s="1"/>
  <c r="A421" i="56" s="1"/>
  <c r="A433" i="56" s="1"/>
  <c r="A445" i="56" s="1"/>
  <c r="A457" i="56" s="1"/>
  <c r="A469" i="56" s="1"/>
  <c r="A206" i="56"/>
  <c r="A218" i="56" s="1"/>
  <c r="A230" i="56" s="1"/>
  <c r="A242" i="56" s="1"/>
  <c r="A254" i="56" s="1"/>
  <c r="A266" i="56" s="1"/>
  <c r="A278" i="56" s="1"/>
  <c r="A290" i="56" s="1"/>
  <c r="A302" i="56" s="1"/>
  <c r="A314" i="56" s="1"/>
  <c r="A326" i="56" s="1"/>
  <c r="A338" i="56" s="1"/>
  <c r="A350" i="56" s="1"/>
  <c r="A362" i="56" s="1"/>
  <c r="A374" i="56" s="1"/>
  <c r="A386" i="56" s="1"/>
  <c r="A398" i="56" s="1"/>
  <c r="A410" i="56" s="1"/>
  <c r="A422" i="56" s="1"/>
  <c r="A434" i="56" s="1"/>
  <c r="A446" i="56" s="1"/>
  <c r="A458" i="56" s="1"/>
  <c r="A470" i="56" s="1"/>
  <c r="A207" i="56"/>
  <c r="A219" i="56" s="1"/>
  <c r="A231" i="56" s="1"/>
  <c r="A243" i="56" s="1"/>
  <c r="A255" i="56" s="1"/>
  <c r="A267" i="56" s="1"/>
  <c r="A279" i="56" s="1"/>
  <c r="A291" i="56" s="1"/>
  <c r="A303" i="56" s="1"/>
  <c r="A315" i="56" s="1"/>
  <c r="A327" i="56" s="1"/>
  <c r="A339" i="56" s="1"/>
  <c r="A351" i="56" s="1"/>
  <c r="A363" i="56" s="1"/>
  <c r="A375" i="56" s="1"/>
  <c r="A387" i="56" s="1"/>
  <c r="A399" i="56" s="1"/>
  <c r="A411" i="56" s="1"/>
  <c r="A423" i="56" s="1"/>
  <c r="A435" i="56" s="1"/>
  <c r="A447" i="56" s="1"/>
  <c r="A459" i="56" s="1"/>
  <c r="A471" i="56" s="1"/>
  <c r="A208" i="56"/>
  <c r="A220" i="56" s="1"/>
  <c r="A232" i="56" s="1"/>
  <c r="A244" i="56" s="1"/>
  <c r="A256" i="56" s="1"/>
  <c r="A268" i="56" s="1"/>
  <c r="A280" i="56" s="1"/>
  <c r="A292" i="56" s="1"/>
  <c r="A304" i="56" s="1"/>
  <c r="A316" i="56" s="1"/>
  <c r="A328" i="56" s="1"/>
  <c r="A340" i="56" s="1"/>
  <c r="A352" i="56" s="1"/>
  <c r="A364" i="56" s="1"/>
  <c r="A376" i="56" s="1"/>
  <c r="A388" i="56" s="1"/>
  <c r="A400" i="56" s="1"/>
  <c r="A412" i="56" s="1"/>
  <c r="A424" i="56" s="1"/>
  <c r="A436" i="56" s="1"/>
  <c r="A448" i="56" s="1"/>
  <c r="A460" i="56" s="1"/>
  <c r="A472" i="56" s="1"/>
  <c r="A209" i="56"/>
  <c r="A221" i="56" s="1"/>
  <c r="A233" i="56" s="1"/>
  <c r="A245" i="56" s="1"/>
  <c r="A257" i="56" s="1"/>
  <c r="A269" i="56" s="1"/>
  <c r="A281" i="56" s="1"/>
  <c r="A293" i="56" s="1"/>
  <c r="A305" i="56" s="1"/>
  <c r="A317" i="56" s="1"/>
  <c r="A329" i="56" s="1"/>
  <c r="A341" i="56" s="1"/>
  <c r="A353" i="56" s="1"/>
  <c r="A365" i="56" s="1"/>
  <c r="A377" i="56" s="1"/>
  <c r="A389" i="56" s="1"/>
  <c r="A401" i="56" s="1"/>
  <c r="A413" i="56" s="1"/>
  <c r="A425" i="56" s="1"/>
  <c r="A437" i="56" s="1"/>
  <c r="A449" i="56" s="1"/>
  <c r="A461" i="56" s="1"/>
  <c r="A473" i="56" s="1"/>
  <c r="A210" i="56"/>
  <c r="A222" i="56" s="1"/>
  <c r="A234" i="56" s="1"/>
  <c r="A246" i="56" s="1"/>
  <c r="A258" i="56" s="1"/>
  <c r="A270" i="56" s="1"/>
  <c r="A282" i="56" s="1"/>
  <c r="A294" i="56" s="1"/>
  <c r="A306" i="56" s="1"/>
  <c r="A318" i="56" s="1"/>
  <c r="A330" i="56" s="1"/>
  <c r="A342" i="56" s="1"/>
  <c r="A354" i="56" s="1"/>
  <c r="A366" i="56" s="1"/>
  <c r="A378" i="56" s="1"/>
  <c r="A390" i="56" s="1"/>
  <c r="A402" i="56" s="1"/>
  <c r="A414" i="56" s="1"/>
  <c r="A426" i="56" s="1"/>
  <c r="A438" i="56" s="1"/>
  <c r="A450" i="56" s="1"/>
  <c r="A462" i="56" s="1"/>
  <c r="A474" i="56" s="1"/>
  <c r="A211" i="56"/>
  <c r="A223" i="56" s="1"/>
  <c r="A235" i="56" s="1"/>
  <c r="A247" i="56" s="1"/>
  <c r="A259" i="56" s="1"/>
  <c r="A271" i="56" s="1"/>
  <c r="A283" i="56" s="1"/>
  <c r="A295" i="56" s="1"/>
  <c r="A307" i="56" s="1"/>
  <c r="A319" i="56" s="1"/>
  <c r="A331" i="56" s="1"/>
  <c r="A343" i="56" s="1"/>
  <c r="A355" i="56" s="1"/>
  <c r="A367" i="56" s="1"/>
  <c r="A379" i="56" s="1"/>
  <c r="A391" i="56" s="1"/>
  <c r="A403" i="56" s="1"/>
  <c r="A415" i="56" s="1"/>
  <c r="A427" i="56" s="1"/>
  <c r="A439" i="56" s="1"/>
  <c r="A451" i="56" s="1"/>
  <c r="A463" i="56" s="1"/>
  <c r="A475" i="56" s="1"/>
  <c r="A212" i="56"/>
  <c r="A224" i="56" s="1"/>
  <c r="A236" i="56" s="1"/>
  <c r="A248" i="56" s="1"/>
  <c r="A260" i="56" s="1"/>
  <c r="A272" i="56" s="1"/>
  <c r="A284" i="56" s="1"/>
  <c r="A296" i="56" s="1"/>
  <c r="A308" i="56" s="1"/>
  <c r="A320" i="56" s="1"/>
  <c r="A332" i="56" s="1"/>
  <c r="A344" i="56" s="1"/>
  <c r="A356" i="56" s="1"/>
  <c r="A368" i="56" s="1"/>
  <c r="A380" i="56" s="1"/>
  <c r="A392" i="56" s="1"/>
  <c r="A404" i="56" s="1"/>
  <c r="A416" i="56" s="1"/>
  <c r="A428" i="56" s="1"/>
  <c r="A440" i="56" s="1"/>
  <c r="A452" i="56" s="1"/>
  <c r="A464" i="56" s="1"/>
  <c r="A476" i="56" s="1"/>
  <c r="A213" i="56"/>
  <c r="A225" i="56" s="1"/>
  <c r="A237" i="56" s="1"/>
  <c r="A249" i="56" s="1"/>
  <c r="A261" i="56" s="1"/>
  <c r="A273" i="56" s="1"/>
  <c r="A285" i="56" s="1"/>
  <c r="A297" i="56" s="1"/>
  <c r="A309" i="56" s="1"/>
  <c r="A321" i="56" s="1"/>
  <c r="A333" i="56" s="1"/>
  <c r="A345" i="56" s="1"/>
  <c r="A357" i="56" s="1"/>
  <c r="A369" i="56" s="1"/>
  <c r="A381" i="56" s="1"/>
  <c r="A393" i="56" s="1"/>
  <c r="A405" i="56" s="1"/>
  <c r="A417" i="56" s="1"/>
  <c r="A429" i="56" s="1"/>
  <c r="A441" i="56" s="1"/>
  <c r="A453" i="56" s="1"/>
  <c r="A465" i="56" s="1"/>
  <c r="A477" i="56" s="1"/>
  <c r="H7" i="11"/>
  <c r="A202" i="11"/>
  <c r="A214" i="11" s="1"/>
  <c r="A226" i="11" s="1"/>
  <c r="A238" i="11" s="1"/>
  <c r="A250" i="11" s="1"/>
  <c r="A262" i="11" s="1"/>
  <c r="A274" i="11" s="1"/>
  <c r="A286" i="11" s="1"/>
  <c r="A298" i="11" s="1"/>
  <c r="A310" i="11" s="1"/>
  <c r="A322" i="11" s="1"/>
  <c r="A334" i="11" s="1"/>
  <c r="A346" i="11" s="1"/>
  <c r="A358" i="11" s="1"/>
  <c r="A370" i="11" s="1"/>
  <c r="A382" i="11" s="1"/>
  <c r="A394" i="11" s="1"/>
  <c r="A406" i="11" s="1"/>
  <c r="A418" i="11" s="1"/>
  <c r="A430" i="11" s="1"/>
  <c r="A442" i="11" s="1"/>
  <c r="A454" i="11" s="1"/>
  <c r="A466" i="11" s="1"/>
  <c r="A203" i="11"/>
  <c r="A215" i="11" s="1"/>
  <c r="A227" i="11" s="1"/>
  <c r="A239" i="11" s="1"/>
  <c r="A251" i="11" s="1"/>
  <c r="A263" i="11" s="1"/>
  <c r="A275" i="11" s="1"/>
  <c r="A287" i="11" s="1"/>
  <c r="A299" i="11" s="1"/>
  <c r="A311" i="11" s="1"/>
  <c r="A323" i="11" s="1"/>
  <c r="A335" i="11" s="1"/>
  <c r="A347" i="11" s="1"/>
  <c r="A359" i="11" s="1"/>
  <c r="A371" i="11" s="1"/>
  <c r="A383" i="11" s="1"/>
  <c r="A395" i="11" s="1"/>
  <c r="A407" i="11" s="1"/>
  <c r="A419" i="11" s="1"/>
  <c r="A431" i="11" s="1"/>
  <c r="A443" i="11" s="1"/>
  <c r="A455" i="11" s="1"/>
  <c r="A467" i="11" s="1"/>
  <c r="A204" i="11"/>
  <c r="A216" i="11" s="1"/>
  <c r="A228" i="11" s="1"/>
  <c r="A240" i="11" s="1"/>
  <c r="A252" i="11" s="1"/>
  <c r="A264" i="11" s="1"/>
  <c r="A276" i="11" s="1"/>
  <c r="A288" i="11" s="1"/>
  <c r="A300" i="11" s="1"/>
  <c r="A312" i="11" s="1"/>
  <c r="A324" i="11" s="1"/>
  <c r="A336" i="11" s="1"/>
  <c r="A348" i="11" s="1"/>
  <c r="A360" i="11" s="1"/>
  <c r="A372" i="11" s="1"/>
  <c r="A384" i="11" s="1"/>
  <c r="A396" i="11" s="1"/>
  <c r="A408" i="11" s="1"/>
  <c r="A420" i="11" s="1"/>
  <c r="A432" i="11" s="1"/>
  <c r="A444" i="11" s="1"/>
  <c r="A456" i="11" s="1"/>
  <c r="A468" i="11" s="1"/>
  <c r="A205" i="11"/>
  <c r="A217" i="11" s="1"/>
  <c r="A229" i="11" s="1"/>
  <c r="A241" i="11" s="1"/>
  <c r="A253" i="11" s="1"/>
  <c r="A265" i="11" s="1"/>
  <c r="A277" i="11" s="1"/>
  <c r="A289" i="11" s="1"/>
  <c r="A301" i="11" s="1"/>
  <c r="A313" i="11" s="1"/>
  <c r="A325" i="11" s="1"/>
  <c r="A337" i="11" s="1"/>
  <c r="A349" i="11" s="1"/>
  <c r="A361" i="11" s="1"/>
  <c r="A373" i="11" s="1"/>
  <c r="A385" i="11" s="1"/>
  <c r="A397" i="11" s="1"/>
  <c r="A409" i="11" s="1"/>
  <c r="A421" i="11" s="1"/>
  <c r="A433" i="11" s="1"/>
  <c r="A445" i="11" s="1"/>
  <c r="A457" i="11" s="1"/>
  <c r="A469" i="11" s="1"/>
  <c r="A206" i="11"/>
  <c r="A218" i="11" s="1"/>
  <c r="A230" i="11" s="1"/>
  <c r="A242" i="11" s="1"/>
  <c r="A254" i="11" s="1"/>
  <c r="A266" i="11" s="1"/>
  <c r="A278" i="11" s="1"/>
  <c r="A290" i="11" s="1"/>
  <c r="A302" i="11" s="1"/>
  <c r="A314" i="11" s="1"/>
  <c r="A326" i="11" s="1"/>
  <c r="A338" i="11" s="1"/>
  <c r="A350" i="11" s="1"/>
  <c r="A362" i="11" s="1"/>
  <c r="A374" i="11" s="1"/>
  <c r="A386" i="11" s="1"/>
  <c r="A398" i="11" s="1"/>
  <c r="A410" i="11" s="1"/>
  <c r="A422" i="11" s="1"/>
  <c r="A434" i="11" s="1"/>
  <c r="A446" i="11" s="1"/>
  <c r="A458" i="11" s="1"/>
  <c r="A470" i="11" s="1"/>
  <c r="A207" i="11"/>
  <c r="A219" i="11" s="1"/>
  <c r="A231" i="11" s="1"/>
  <c r="A243" i="11" s="1"/>
  <c r="A255" i="11" s="1"/>
  <c r="A267" i="11" s="1"/>
  <c r="A279" i="11" s="1"/>
  <c r="A291" i="11" s="1"/>
  <c r="A303" i="11" s="1"/>
  <c r="A315" i="11" s="1"/>
  <c r="A327" i="11" s="1"/>
  <c r="A339" i="11" s="1"/>
  <c r="A351" i="11" s="1"/>
  <c r="A363" i="11" s="1"/>
  <c r="A375" i="11" s="1"/>
  <c r="A387" i="11" s="1"/>
  <c r="A399" i="11" s="1"/>
  <c r="A411" i="11" s="1"/>
  <c r="A423" i="11" s="1"/>
  <c r="A435" i="11" s="1"/>
  <c r="A447" i="11" s="1"/>
  <c r="A459" i="11" s="1"/>
  <c r="A471" i="11" s="1"/>
  <c r="A208" i="11"/>
  <c r="A220" i="11" s="1"/>
  <c r="A232" i="11" s="1"/>
  <c r="A244" i="11" s="1"/>
  <c r="A256" i="11" s="1"/>
  <c r="A268" i="11" s="1"/>
  <c r="A280" i="11" s="1"/>
  <c r="A292" i="11" s="1"/>
  <c r="A304" i="11" s="1"/>
  <c r="A316" i="11" s="1"/>
  <c r="A328" i="11" s="1"/>
  <c r="A340" i="11" s="1"/>
  <c r="A352" i="11" s="1"/>
  <c r="A364" i="11" s="1"/>
  <c r="A376" i="11" s="1"/>
  <c r="A388" i="11" s="1"/>
  <c r="A400" i="11" s="1"/>
  <c r="A412" i="11" s="1"/>
  <c r="A424" i="11" s="1"/>
  <c r="A436" i="11" s="1"/>
  <c r="A448" i="11" s="1"/>
  <c r="A460" i="11" s="1"/>
  <c r="A472" i="11" s="1"/>
  <c r="A209" i="11"/>
  <c r="A221" i="11" s="1"/>
  <c r="A233" i="11" s="1"/>
  <c r="A245" i="11" s="1"/>
  <c r="A257" i="11" s="1"/>
  <c r="A269" i="11" s="1"/>
  <c r="A281" i="11" s="1"/>
  <c r="A293" i="11" s="1"/>
  <c r="A305" i="11" s="1"/>
  <c r="A317" i="11" s="1"/>
  <c r="A329" i="11" s="1"/>
  <c r="A341" i="11" s="1"/>
  <c r="A353" i="11" s="1"/>
  <c r="A365" i="11" s="1"/>
  <c r="A377" i="11" s="1"/>
  <c r="A389" i="11" s="1"/>
  <c r="A401" i="11" s="1"/>
  <c r="A413" i="11" s="1"/>
  <c r="A425" i="11" s="1"/>
  <c r="A437" i="11" s="1"/>
  <c r="A449" i="11" s="1"/>
  <c r="A461" i="11" s="1"/>
  <c r="A473" i="11" s="1"/>
  <c r="A210" i="11"/>
  <c r="A222" i="11" s="1"/>
  <c r="A234" i="11" s="1"/>
  <c r="A246" i="11" s="1"/>
  <c r="A258" i="11" s="1"/>
  <c r="A270" i="11" s="1"/>
  <c r="A282" i="11" s="1"/>
  <c r="A294" i="11" s="1"/>
  <c r="A306" i="11" s="1"/>
  <c r="A318" i="11" s="1"/>
  <c r="A330" i="11" s="1"/>
  <c r="A342" i="11" s="1"/>
  <c r="A354" i="11" s="1"/>
  <c r="A366" i="11" s="1"/>
  <c r="A378" i="11" s="1"/>
  <c r="A390" i="11" s="1"/>
  <c r="A402" i="11" s="1"/>
  <c r="A414" i="11" s="1"/>
  <c r="A426" i="11" s="1"/>
  <c r="A438" i="11" s="1"/>
  <c r="A450" i="11" s="1"/>
  <c r="A462" i="11" s="1"/>
  <c r="A474" i="11" s="1"/>
  <c r="A211" i="11"/>
  <c r="A223" i="11" s="1"/>
  <c r="A235" i="11" s="1"/>
  <c r="A247" i="11" s="1"/>
  <c r="A259" i="11" s="1"/>
  <c r="A271" i="11" s="1"/>
  <c r="A283" i="11" s="1"/>
  <c r="A295" i="11" s="1"/>
  <c r="A307" i="11" s="1"/>
  <c r="A319" i="11" s="1"/>
  <c r="A331" i="11" s="1"/>
  <c r="A343" i="11" s="1"/>
  <c r="A355" i="11" s="1"/>
  <c r="A367" i="11" s="1"/>
  <c r="A379" i="11" s="1"/>
  <c r="A391" i="11" s="1"/>
  <c r="A403" i="11" s="1"/>
  <c r="A415" i="11" s="1"/>
  <c r="A427" i="11" s="1"/>
  <c r="A439" i="11" s="1"/>
  <c r="A451" i="11" s="1"/>
  <c r="A463" i="11" s="1"/>
  <c r="A475" i="11" s="1"/>
  <c r="A212" i="11"/>
  <c r="A224" i="11" s="1"/>
  <c r="A236" i="11" s="1"/>
  <c r="A248" i="11" s="1"/>
  <c r="A260" i="11" s="1"/>
  <c r="A272" i="11" s="1"/>
  <c r="A284" i="11" s="1"/>
  <c r="A296" i="11" s="1"/>
  <c r="A308" i="11" s="1"/>
  <c r="A320" i="11" s="1"/>
  <c r="A332" i="11" s="1"/>
  <c r="A344" i="11" s="1"/>
  <c r="A356" i="11" s="1"/>
  <c r="A368" i="11" s="1"/>
  <c r="A380" i="11" s="1"/>
  <c r="A213" i="11"/>
  <c r="A225" i="11" s="1"/>
  <c r="A237" i="11" s="1"/>
  <c r="A249" i="11" s="1"/>
  <c r="A261" i="11" s="1"/>
  <c r="A273" i="11" s="1"/>
  <c r="A285" i="11" s="1"/>
  <c r="A297" i="11" s="1"/>
  <c r="A309" i="11" s="1"/>
  <c r="A321" i="11" s="1"/>
  <c r="A333" i="11" s="1"/>
  <c r="A345" i="11" s="1"/>
  <c r="A357" i="11" s="1"/>
  <c r="A369" i="11" s="1"/>
  <c r="A381" i="11" s="1"/>
  <c r="A393" i="11" s="1"/>
  <c r="A405" i="11" s="1"/>
  <c r="A417" i="11" s="1"/>
  <c r="A429" i="11" s="1"/>
  <c r="A441" i="11" s="1"/>
  <c r="A453" i="11" s="1"/>
  <c r="A465" i="11" s="1"/>
  <c r="A477" i="11" s="1"/>
  <c r="A214" i="70"/>
  <c r="A226" i="70" s="1"/>
  <c r="A238" i="70" s="1"/>
  <c r="A250" i="70" s="1"/>
  <c r="A262" i="70" s="1"/>
  <c r="A274" i="70" s="1"/>
  <c r="A286" i="70" s="1"/>
  <c r="A298" i="70" s="1"/>
  <c r="A310" i="70" s="1"/>
  <c r="A322" i="70" s="1"/>
  <c r="A334" i="70" s="1"/>
  <c r="A346" i="70" s="1"/>
  <c r="A358" i="70" s="1"/>
  <c r="A370" i="70" s="1"/>
  <c r="A382" i="70" s="1"/>
  <c r="A394" i="70" s="1"/>
  <c r="A406" i="70" s="1"/>
  <c r="A418" i="70" s="1"/>
  <c r="A430" i="70" s="1"/>
  <c r="A442" i="70" s="1"/>
  <c r="A454" i="70" s="1"/>
  <c r="A466" i="70" s="1"/>
  <c r="A478" i="70" s="1"/>
  <c r="A215" i="70"/>
  <c r="A227" i="70" s="1"/>
  <c r="A239" i="70" s="1"/>
  <c r="A251" i="70" s="1"/>
  <c r="A263" i="70" s="1"/>
  <c r="A275" i="70" s="1"/>
  <c r="A287" i="70" s="1"/>
  <c r="A299" i="70" s="1"/>
  <c r="A311" i="70" s="1"/>
  <c r="A323" i="70" s="1"/>
  <c r="A335" i="70" s="1"/>
  <c r="A347" i="70" s="1"/>
  <c r="A359" i="70" s="1"/>
  <c r="A371" i="70" s="1"/>
  <c r="A383" i="70" s="1"/>
  <c r="A395" i="70" s="1"/>
  <c r="A407" i="70" s="1"/>
  <c r="A419" i="70" s="1"/>
  <c r="A431" i="70" s="1"/>
  <c r="A443" i="70" s="1"/>
  <c r="A455" i="70" s="1"/>
  <c r="A467" i="70" s="1"/>
  <c r="A479" i="70" s="1"/>
  <c r="A216" i="70"/>
  <c r="A228" i="70" s="1"/>
  <c r="A240" i="70" s="1"/>
  <c r="A252" i="70" s="1"/>
  <c r="A264" i="70" s="1"/>
  <c r="A276" i="70" s="1"/>
  <c r="A288" i="70" s="1"/>
  <c r="A300" i="70" s="1"/>
  <c r="A312" i="70" s="1"/>
  <c r="A324" i="70" s="1"/>
  <c r="A336" i="70" s="1"/>
  <c r="A348" i="70" s="1"/>
  <c r="A360" i="70" s="1"/>
  <c r="A372" i="70" s="1"/>
  <c r="A384" i="70" s="1"/>
  <c r="A396" i="70" s="1"/>
  <c r="A408" i="70" s="1"/>
  <c r="A420" i="70" s="1"/>
  <c r="A432" i="70" s="1"/>
  <c r="A444" i="70" s="1"/>
  <c r="A456" i="70" s="1"/>
  <c r="A468" i="70" s="1"/>
  <c r="A480" i="70" s="1"/>
  <c r="A217" i="70"/>
  <c r="A229" i="70" s="1"/>
  <c r="A241" i="70" s="1"/>
  <c r="A253" i="70" s="1"/>
  <c r="A265" i="70" s="1"/>
  <c r="A277" i="70" s="1"/>
  <c r="A289" i="70" s="1"/>
  <c r="A301" i="70" s="1"/>
  <c r="A313" i="70" s="1"/>
  <c r="A325" i="70" s="1"/>
  <c r="A337" i="70" s="1"/>
  <c r="A349" i="70" s="1"/>
  <c r="A361" i="70" s="1"/>
  <c r="A373" i="70" s="1"/>
  <c r="A385" i="70" s="1"/>
  <c r="A397" i="70" s="1"/>
  <c r="A409" i="70" s="1"/>
  <c r="A421" i="70" s="1"/>
  <c r="A433" i="70" s="1"/>
  <c r="A445" i="70" s="1"/>
  <c r="A457" i="70" s="1"/>
  <c r="A469" i="70" s="1"/>
  <c r="A481" i="70" s="1"/>
  <c r="A218" i="70"/>
  <c r="A230" i="70" s="1"/>
  <c r="A242" i="70" s="1"/>
  <c r="A254" i="70" s="1"/>
  <c r="A266" i="70" s="1"/>
  <c r="A278" i="70" s="1"/>
  <c r="A290" i="70" s="1"/>
  <c r="A302" i="70" s="1"/>
  <c r="A314" i="70" s="1"/>
  <c r="A326" i="70" s="1"/>
  <c r="A338" i="70" s="1"/>
  <c r="A350" i="70" s="1"/>
  <c r="A362" i="70" s="1"/>
  <c r="A374" i="70" s="1"/>
  <c r="A386" i="70" s="1"/>
  <c r="A398" i="70" s="1"/>
  <c r="A410" i="70" s="1"/>
  <c r="A422" i="70" s="1"/>
  <c r="A434" i="70" s="1"/>
  <c r="A446" i="70" s="1"/>
  <c r="A458" i="70" s="1"/>
  <c r="A470" i="70" s="1"/>
  <c r="A482" i="70" s="1"/>
  <c r="A219" i="70"/>
  <c r="A231" i="70" s="1"/>
  <c r="A243" i="70" s="1"/>
  <c r="A255" i="70" s="1"/>
  <c r="A267" i="70" s="1"/>
  <c r="A279" i="70" s="1"/>
  <c r="A291" i="70" s="1"/>
  <c r="A303" i="70" s="1"/>
  <c r="A315" i="70" s="1"/>
  <c r="A327" i="70" s="1"/>
  <c r="A339" i="70" s="1"/>
  <c r="A351" i="70" s="1"/>
  <c r="A363" i="70" s="1"/>
  <c r="A375" i="70" s="1"/>
  <c r="A387" i="70" s="1"/>
  <c r="A399" i="70" s="1"/>
  <c r="A411" i="70" s="1"/>
  <c r="A423" i="70" s="1"/>
  <c r="A435" i="70" s="1"/>
  <c r="A447" i="70" s="1"/>
  <c r="A459" i="70" s="1"/>
  <c r="A471" i="70" s="1"/>
  <c r="A483" i="70" s="1"/>
  <c r="A220" i="70"/>
  <c r="A232" i="70" s="1"/>
  <c r="A244" i="70" s="1"/>
  <c r="A256" i="70" s="1"/>
  <c r="A268" i="70" s="1"/>
  <c r="A280" i="70" s="1"/>
  <c r="A292" i="70" s="1"/>
  <c r="A304" i="70" s="1"/>
  <c r="A316" i="70" s="1"/>
  <c r="A328" i="70" s="1"/>
  <c r="A340" i="70" s="1"/>
  <c r="A352" i="70" s="1"/>
  <c r="A364" i="70" s="1"/>
  <c r="A376" i="70" s="1"/>
  <c r="A388" i="70" s="1"/>
  <c r="A400" i="70" s="1"/>
  <c r="A412" i="70" s="1"/>
  <c r="A424" i="70" s="1"/>
  <c r="A436" i="70" s="1"/>
  <c r="A448" i="70" s="1"/>
  <c r="A460" i="70" s="1"/>
  <c r="A472" i="70" s="1"/>
  <c r="A484" i="70" s="1"/>
  <c r="A221" i="70"/>
  <c r="A233" i="70" s="1"/>
  <c r="A245" i="70" s="1"/>
  <c r="A257" i="70" s="1"/>
  <c r="A269" i="70" s="1"/>
  <c r="A281" i="70" s="1"/>
  <c r="A293" i="70" s="1"/>
  <c r="A305" i="70" s="1"/>
  <c r="A317" i="70" s="1"/>
  <c r="A329" i="70" s="1"/>
  <c r="A341" i="70" s="1"/>
  <c r="A353" i="70" s="1"/>
  <c r="A365" i="70" s="1"/>
  <c r="A377" i="70" s="1"/>
  <c r="A389" i="70" s="1"/>
  <c r="A401" i="70" s="1"/>
  <c r="A413" i="70" s="1"/>
  <c r="A425" i="70" s="1"/>
  <c r="A437" i="70" s="1"/>
  <c r="A449" i="70" s="1"/>
  <c r="A461" i="70" s="1"/>
  <c r="A473" i="70" s="1"/>
  <c r="A485" i="70" s="1"/>
  <c r="A222" i="70"/>
  <c r="A234" i="70" s="1"/>
  <c r="A246" i="70" s="1"/>
  <c r="A258" i="70" s="1"/>
  <c r="A270" i="70" s="1"/>
  <c r="A282" i="70" s="1"/>
  <c r="A294" i="70" s="1"/>
  <c r="A306" i="70" s="1"/>
  <c r="A318" i="70" s="1"/>
  <c r="A330" i="70" s="1"/>
  <c r="A342" i="70" s="1"/>
  <c r="A354" i="70" s="1"/>
  <c r="A366" i="70" s="1"/>
  <c r="A378" i="70" s="1"/>
  <c r="A390" i="70" s="1"/>
  <c r="A402" i="70" s="1"/>
  <c r="A414" i="70" s="1"/>
  <c r="A426" i="70" s="1"/>
  <c r="A438" i="70" s="1"/>
  <c r="A450" i="70" s="1"/>
  <c r="A462" i="70" s="1"/>
  <c r="A474" i="70" s="1"/>
  <c r="A486" i="70" s="1"/>
  <c r="A223" i="70"/>
  <c r="A235" i="70" s="1"/>
  <c r="A247" i="70" s="1"/>
  <c r="A259" i="70" s="1"/>
  <c r="A271" i="70" s="1"/>
  <c r="A283" i="70" s="1"/>
  <c r="A295" i="70" s="1"/>
  <c r="A307" i="70" s="1"/>
  <c r="A319" i="70" s="1"/>
  <c r="A331" i="70" s="1"/>
  <c r="A343" i="70" s="1"/>
  <c r="A355" i="70" s="1"/>
  <c r="A367" i="70" s="1"/>
  <c r="A379" i="70" s="1"/>
  <c r="A391" i="70" s="1"/>
  <c r="A403" i="70" s="1"/>
  <c r="A415" i="70" s="1"/>
  <c r="A427" i="70" s="1"/>
  <c r="A439" i="70" s="1"/>
  <c r="A451" i="70" s="1"/>
  <c r="A463" i="70" s="1"/>
  <c r="A475" i="70" s="1"/>
  <c r="A487" i="70" s="1"/>
  <c r="A224" i="70"/>
  <c r="A236" i="70" s="1"/>
  <c r="A248" i="70" s="1"/>
  <c r="A260" i="70" s="1"/>
  <c r="A272" i="70" s="1"/>
  <c r="A284" i="70" s="1"/>
  <c r="A296" i="70" s="1"/>
  <c r="A308" i="70" s="1"/>
  <c r="A320" i="70" s="1"/>
  <c r="A332" i="70" s="1"/>
  <c r="A344" i="70" s="1"/>
  <c r="A356" i="70" s="1"/>
  <c r="A368" i="70" s="1"/>
  <c r="A380" i="70" s="1"/>
  <c r="A392" i="70" s="1"/>
  <c r="A404" i="70" s="1"/>
  <c r="A416" i="70" s="1"/>
  <c r="A428" i="70" s="1"/>
  <c r="A440" i="70" s="1"/>
  <c r="A452" i="70" s="1"/>
  <c r="A464" i="70" s="1"/>
  <c r="A476" i="70" s="1"/>
  <c r="A488" i="70" s="1"/>
  <c r="A225" i="70"/>
  <c r="A237" i="70" s="1"/>
  <c r="A249" i="70" s="1"/>
  <c r="A261" i="70" s="1"/>
  <c r="A273" i="70" s="1"/>
  <c r="A285" i="70" s="1"/>
  <c r="A297" i="70" s="1"/>
  <c r="A309" i="70" s="1"/>
  <c r="A321" i="70" s="1"/>
  <c r="A333" i="70" s="1"/>
  <c r="A345" i="70" s="1"/>
  <c r="A357" i="70" s="1"/>
  <c r="A369" i="70" s="1"/>
  <c r="A381" i="70" s="1"/>
  <c r="A393" i="70" s="1"/>
  <c r="A405" i="70" s="1"/>
  <c r="A417" i="70" s="1"/>
  <c r="A429" i="70" s="1"/>
  <c r="A441" i="70" s="1"/>
  <c r="A453" i="70" s="1"/>
  <c r="A465" i="70" s="1"/>
  <c r="A477" i="70" s="1"/>
  <c r="A489" i="70" s="1"/>
  <c r="A11" i="38"/>
  <c r="A12" i="38" s="1"/>
  <c r="A24" i="38" s="1"/>
  <c r="A36" i="38" s="1"/>
  <c r="A48" i="38" s="1"/>
  <c r="A60" i="38" s="1"/>
  <c r="A72" i="38" s="1"/>
  <c r="A84" i="38" s="1"/>
  <c r="A96" i="38" s="1"/>
  <c r="A108" i="38" s="1"/>
  <c r="A120" i="38" s="1"/>
  <c r="A132" i="38" s="1"/>
  <c r="A144" i="38" s="1"/>
  <c r="A156" i="38" s="1"/>
  <c r="A168" i="38" s="1"/>
  <c r="A180" i="38" s="1"/>
  <c r="A192" i="38" s="1"/>
  <c r="A204" i="38" s="1"/>
  <c r="A22" i="38"/>
  <c r="A34" i="38" s="1"/>
  <c r="A46" i="38" s="1"/>
  <c r="A58" i="38" s="1"/>
  <c r="A70" i="38" s="1"/>
  <c r="A82" i="38" s="1"/>
  <c r="A94" i="38" s="1"/>
  <c r="A106" i="38" s="1"/>
  <c r="A118" i="38" s="1"/>
  <c r="A130" i="38" s="1"/>
  <c r="A142" i="38" s="1"/>
  <c r="A154" i="38" s="1"/>
  <c r="A166" i="38" s="1"/>
  <c r="A178" i="38" s="1"/>
  <c r="A190" i="38" s="1"/>
  <c r="A202" i="38" s="1"/>
  <c r="A178" i="4"/>
  <c r="A190" i="4" s="1"/>
  <c r="A202" i="4" s="1"/>
  <c r="A214" i="4" s="1"/>
  <c r="A226" i="4" s="1"/>
  <c r="A238" i="4" s="1"/>
  <c r="A250" i="4" s="1"/>
  <c r="A262" i="4" s="1"/>
  <c r="A274" i="4" s="1"/>
  <c r="A286" i="4" s="1"/>
  <c r="A298" i="4" s="1"/>
  <c r="A310" i="4" s="1"/>
  <c r="A322" i="4" s="1"/>
  <c r="A334" i="4" s="1"/>
  <c r="A346" i="4" s="1"/>
  <c r="A358" i="4" s="1"/>
  <c r="A370" i="4" s="1"/>
  <c r="A382" i="4" s="1"/>
  <c r="A394" i="4" s="1"/>
  <c r="A406" i="4" s="1"/>
  <c r="A418" i="4" s="1"/>
  <c r="A430" i="4" s="1"/>
  <c r="A442" i="4" s="1"/>
  <c r="A179" i="4"/>
  <c r="A191" i="4" s="1"/>
  <c r="A203" i="4" s="1"/>
  <c r="A215" i="4" s="1"/>
  <c r="A227" i="4" s="1"/>
  <c r="A239" i="4" s="1"/>
  <c r="A251" i="4" s="1"/>
  <c r="A263" i="4" s="1"/>
  <c r="A275" i="4" s="1"/>
  <c r="A287" i="4" s="1"/>
  <c r="A299" i="4" s="1"/>
  <c r="A311" i="4" s="1"/>
  <c r="A323" i="4" s="1"/>
  <c r="A335" i="4" s="1"/>
  <c r="A347" i="4" s="1"/>
  <c r="A359" i="4" s="1"/>
  <c r="A371" i="4" s="1"/>
  <c r="A383" i="4" s="1"/>
  <c r="A395" i="4" s="1"/>
  <c r="A407" i="4" s="1"/>
  <c r="A419" i="4" s="1"/>
  <c r="A431" i="4" s="1"/>
  <c r="A443" i="4" s="1"/>
  <c r="A180" i="4"/>
  <c r="A192" i="4" s="1"/>
  <c r="A204" i="4" s="1"/>
  <c r="A216" i="4" s="1"/>
  <c r="A228" i="4" s="1"/>
  <c r="A240" i="4" s="1"/>
  <c r="A252" i="4" s="1"/>
  <c r="A264" i="4" s="1"/>
  <c r="A276" i="4" s="1"/>
  <c r="A288" i="4" s="1"/>
  <c r="A300" i="4" s="1"/>
  <c r="A312" i="4" s="1"/>
  <c r="A324" i="4" s="1"/>
  <c r="A336" i="4" s="1"/>
  <c r="A348" i="4" s="1"/>
  <c r="A360" i="4" s="1"/>
  <c r="A372" i="4" s="1"/>
  <c r="A384" i="4" s="1"/>
  <c r="A396" i="4" s="1"/>
  <c r="A408" i="4" s="1"/>
  <c r="A420" i="4" s="1"/>
  <c r="A432" i="4" s="1"/>
  <c r="A444" i="4" s="1"/>
  <c r="A181" i="4"/>
  <c r="A193" i="4" s="1"/>
  <c r="A205" i="4" s="1"/>
  <c r="A217" i="4" s="1"/>
  <c r="A229" i="4" s="1"/>
  <c r="A241" i="4" s="1"/>
  <c r="A253" i="4" s="1"/>
  <c r="A265" i="4" s="1"/>
  <c r="A277" i="4" s="1"/>
  <c r="A289" i="4" s="1"/>
  <c r="A301" i="4" s="1"/>
  <c r="A313" i="4" s="1"/>
  <c r="A325" i="4" s="1"/>
  <c r="A337" i="4" s="1"/>
  <c r="A349" i="4" s="1"/>
  <c r="A361" i="4" s="1"/>
  <c r="A373" i="4" s="1"/>
  <c r="A385" i="4" s="1"/>
  <c r="A397" i="4" s="1"/>
  <c r="A409" i="4" s="1"/>
  <c r="A421" i="4" s="1"/>
  <c r="A433" i="4" s="1"/>
  <c r="A445" i="4" s="1"/>
  <c r="A182" i="4"/>
  <c r="A194" i="4" s="1"/>
  <c r="A206" i="4" s="1"/>
  <c r="A218" i="4" s="1"/>
  <c r="A230" i="4" s="1"/>
  <c r="A242" i="4" s="1"/>
  <c r="A254" i="4" s="1"/>
  <c r="A266" i="4" s="1"/>
  <c r="A278" i="4" s="1"/>
  <c r="A290" i="4" s="1"/>
  <c r="A302" i="4" s="1"/>
  <c r="A314" i="4" s="1"/>
  <c r="A326" i="4" s="1"/>
  <c r="A338" i="4" s="1"/>
  <c r="A350" i="4" s="1"/>
  <c r="A362" i="4" s="1"/>
  <c r="A374" i="4" s="1"/>
  <c r="A386" i="4" s="1"/>
  <c r="A398" i="4" s="1"/>
  <c r="A410" i="4" s="1"/>
  <c r="A422" i="4" s="1"/>
  <c r="A434" i="4" s="1"/>
  <c r="A446" i="4" s="1"/>
  <c r="A183" i="4"/>
  <c r="A195" i="4" s="1"/>
  <c r="A207" i="4" s="1"/>
  <c r="A219" i="4" s="1"/>
  <c r="A231" i="4" s="1"/>
  <c r="A243" i="4" s="1"/>
  <c r="A255" i="4" s="1"/>
  <c r="A267" i="4" s="1"/>
  <c r="A279" i="4" s="1"/>
  <c r="A291" i="4" s="1"/>
  <c r="A303" i="4" s="1"/>
  <c r="A315" i="4" s="1"/>
  <c r="A327" i="4" s="1"/>
  <c r="A339" i="4" s="1"/>
  <c r="A351" i="4" s="1"/>
  <c r="A363" i="4" s="1"/>
  <c r="A375" i="4" s="1"/>
  <c r="A387" i="4" s="1"/>
  <c r="A399" i="4" s="1"/>
  <c r="A411" i="4" s="1"/>
  <c r="A423" i="4" s="1"/>
  <c r="A435" i="4" s="1"/>
  <c r="A447" i="4" s="1"/>
  <c r="A184" i="4"/>
  <c r="A196" i="4" s="1"/>
  <c r="A208" i="4" s="1"/>
  <c r="A220" i="4" s="1"/>
  <c r="A232" i="4" s="1"/>
  <c r="A244" i="4" s="1"/>
  <c r="A256" i="4" s="1"/>
  <c r="A268" i="4" s="1"/>
  <c r="A280" i="4" s="1"/>
  <c r="A292" i="4" s="1"/>
  <c r="A304" i="4" s="1"/>
  <c r="A316" i="4" s="1"/>
  <c r="A328" i="4" s="1"/>
  <c r="A340" i="4" s="1"/>
  <c r="A352" i="4" s="1"/>
  <c r="A364" i="4" s="1"/>
  <c r="A376" i="4" s="1"/>
  <c r="A388" i="4" s="1"/>
  <c r="A400" i="4" s="1"/>
  <c r="A412" i="4" s="1"/>
  <c r="A424" i="4" s="1"/>
  <c r="A436" i="4" s="1"/>
  <c r="A448" i="4" s="1"/>
  <c r="A185" i="4"/>
  <c r="A197" i="4" s="1"/>
  <c r="A209" i="4" s="1"/>
  <c r="A221" i="4" s="1"/>
  <c r="A233" i="4" s="1"/>
  <c r="A245" i="4" s="1"/>
  <c r="A257" i="4" s="1"/>
  <c r="A269" i="4" s="1"/>
  <c r="A281" i="4" s="1"/>
  <c r="A293" i="4" s="1"/>
  <c r="A305" i="4" s="1"/>
  <c r="A317" i="4" s="1"/>
  <c r="A329" i="4" s="1"/>
  <c r="A341" i="4" s="1"/>
  <c r="A353" i="4" s="1"/>
  <c r="A365" i="4" s="1"/>
  <c r="A377" i="4" s="1"/>
  <c r="A389" i="4" s="1"/>
  <c r="A401" i="4" s="1"/>
  <c r="A413" i="4" s="1"/>
  <c r="A425" i="4" s="1"/>
  <c r="A437" i="4" s="1"/>
  <c r="A449" i="4" s="1"/>
  <c r="A186" i="4"/>
  <c r="A198" i="4" s="1"/>
  <c r="A210" i="4" s="1"/>
  <c r="A222" i="4" s="1"/>
  <c r="A234" i="4" s="1"/>
  <c r="A246" i="4" s="1"/>
  <c r="A258" i="4" s="1"/>
  <c r="A270" i="4" s="1"/>
  <c r="A282" i="4" s="1"/>
  <c r="A294" i="4" s="1"/>
  <c r="A306" i="4" s="1"/>
  <c r="A318" i="4" s="1"/>
  <c r="A330" i="4" s="1"/>
  <c r="A342" i="4" s="1"/>
  <c r="A354" i="4" s="1"/>
  <c r="A366" i="4" s="1"/>
  <c r="A378" i="4" s="1"/>
  <c r="A390" i="4" s="1"/>
  <c r="A402" i="4" s="1"/>
  <c r="A414" i="4" s="1"/>
  <c r="A426" i="4" s="1"/>
  <c r="A438" i="4" s="1"/>
  <c r="A450" i="4" s="1"/>
  <c r="A187" i="4"/>
  <c r="A199" i="4" s="1"/>
  <c r="A211" i="4" s="1"/>
  <c r="A223" i="4" s="1"/>
  <c r="A235" i="4" s="1"/>
  <c r="A247" i="4" s="1"/>
  <c r="A259" i="4" s="1"/>
  <c r="A271" i="4" s="1"/>
  <c r="A283" i="4" s="1"/>
  <c r="A295" i="4" s="1"/>
  <c r="A307" i="4" s="1"/>
  <c r="A319" i="4" s="1"/>
  <c r="A331" i="4" s="1"/>
  <c r="A343" i="4" s="1"/>
  <c r="A355" i="4" s="1"/>
  <c r="A367" i="4" s="1"/>
  <c r="A379" i="4" s="1"/>
  <c r="A391" i="4" s="1"/>
  <c r="A403" i="4" s="1"/>
  <c r="A415" i="4" s="1"/>
  <c r="A427" i="4" s="1"/>
  <c r="A439" i="4" s="1"/>
  <c r="A451" i="4" s="1"/>
  <c r="A188" i="4"/>
  <c r="A200" i="4" s="1"/>
  <c r="A212" i="4" s="1"/>
  <c r="A224" i="4" s="1"/>
  <c r="A236" i="4" s="1"/>
  <c r="A248" i="4" s="1"/>
  <c r="A260" i="4" s="1"/>
  <c r="A272" i="4" s="1"/>
  <c r="A284" i="4" s="1"/>
  <c r="A296" i="4" s="1"/>
  <c r="A308" i="4" s="1"/>
  <c r="A320" i="4" s="1"/>
  <c r="A332" i="4" s="1"/>
  <c r="A344" i="4" s="1"/>
  <c r="A356" i="4" s="1"/>
  <c r="A368" i="4" s="1"/>
  <c r="A380" i="4" s="1"/>
  <c r="A392" i="4" s="1"/>
  <c r="A404" i="4" s="1"/>
  <c r="A416" i="4" s="1"/>
  <c r="A428" i="4" s="1"/>
  <c r="A440" i="4" s="1"/>
  <c r="A452" i="4" s="1"/>
  <c r="A189" i="4"/>
  <c r="A201" i="4" s="1"/>
  <c r="A213" i="4" s="1"/>
  <c r="A225" i="4" s="1"/>
  <c r="A237" i="4" s="1"/>
  <c r="A249" i="4" s="1"/>
  <c r="A261" i="4" s="1"/>
  <c r="A273" i="4" s="1"/>
  <c r="A285" i="4" s="1"/>
  <c r="A297" i="4" s="1"/>
  <c r="A309" i="4" s="1"/>
  <c r="A321" i="4" s="1"/>
  <c r="A333" i="4" s="1"/>
  <c r="A345" i="4" s="1"/>
  <c r="A357" i="4" s="1"/>
  <c r="A369" i="4" s="1"/>
  <c r="A381" i="4" s="1"/>
  <c r="A393" i="4" s="1"/>
  <c r="A405" i="4" s="1"/>
  <c r="A417" i="4" s="1"/>
  <c r="A429" i="4" s="1"/>
  <c r="A441" i="4" s="1"/>
  <c r="A453" i="4" s="1"/>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A190" i="17"/>
  <c r="A202" i="17" s="1"/>
  <c r="A214" i="17" s="1"/>
  <c r="A226" i="17" s="1"/>
  <c r="A238" i="17" s="1"/>
  <c r="A250" i="17" s="1"/>
  <c r="A262" i="17" s="1"/>
  <c r="A274" i="17" s="1"/>
  <c r="A286" i="17" s="1"/>
  <c r="A298" i="17" s="1"/>
  <c r="A310" i="17" s="1"/>
  <c r="A322" i="17" s="1"/>
  <c r="A334" i="17" s="1"/>
  <c r="A346" i="17" s="1"/>
  <c r="A370" i="17" s="1"/>
  <c r="A382" i="17" s="1"/>
  <c r="A394" i="17" s="1"/>
  <c r="A406" i="17" s="1"/>
  <c r="A418" i="17" s="1"/>
  <c r="A430" i="17" s="1"/>
  <c r="A442" i="17" s="1"/>
  <c r="A454" i="17" s="1"/>
  <c r="H190" i="17"/>
  <c r="A191" i="17"/>
  <c r="A203" i="17" s="1"/>
  <c r="A215" i="17" s="1"/>
  <c r="A227" i="17" s="1"/>
  <c r="A239" i="17" s="1"/>
  <c r="A251" i="17" s="1"/>
  <c r="A263" i="17" s="1"/>
  <c r="A275" i="17" s="1"/>
  <c r="A287" i="17" s="1"/>
  <c r="A299" i="17" s="1"/>
  <c r="A311" i="17" s="1"/>
  <c r="A323" i="17" s="1"/>
  <c r="A335" i="17" s="1"/>
  <c r="A347" i="17" s="1"/>
  <c r="A371" i="17" s="1"/>
  <c r="A383" i="17" s="1"/>
  <c r="A395" i="17" s="1"/>
  <c r="A407" i="17" s="1"/>
  <c r="A419" i="17" s="1"/>
  <c r="A431" i="17" s="1"/>
  <c r="A443" i="17" s="1"/>
  <c r="A455" i="17" s="1"/>
  <c r="H191" i="17"/>
  <c r="A192" i="17"/>
  <c r="A204" i="17" s="1"/>
  <c r="A216" i="17" s="1"/>
  <c r="A228" i="17" s="1"/>
  <c r="A240" i="17" s="1"/>
  <c r="A252" i="17" s="1"/>
  <c r="A264" i="17" s="1"/>
  <c r="A276" i="17" s="1"/>
  <c r="A288" i="17" s="1"/>
  <c r="A300" i="17" s="1"/>
  <c r="A312" i="17" s="1"/>
  <c r="A324" i="17" s="1"/>
  <c r="A336" i="17" s="1"/>
  <c r="A348" i="17" s="1"/>
  <c r="A372" i="17" s="1"/>
  <c r="A384" i="17" s="1"/>
  <c r="A396" i="17" s="1"/>
  <c r="A408" i="17" s="1"/>
  <c r="A420" i="17" s="1"/>
  <c r="A432" i="17" s="1"/>
  <c r="A444" i="17" s="1"/>
  <c r="A456" i="17" s="1"/>
  <c r="H192" i="17"/>
  <c r="A193" i="17"/>
  <c r="A205" i="17" s="1"/>
  <c r="A217" i="17" s="1"/>
  <c r="A229" i="17" s="1"/>
  <c r="A241" i="17" s="1"/>
  <c r="A253" i="17" s="1"/>
  <c r="A265" i="17" s="1"/>
  <c r="A277" i="17" s="1"/>
  <c r="A289" i="17" s="1"/>
  <c r="A301" i="17" s="1"/>
  <c r="A313" i="17" s="1"/>
  <c r="A325" i="17" s="1"/>
  <c r="A337" i="17" s="1"/>
  <c r="A349" i="17" s="1"/>
  <c r="A373" i="17" s="1"/>
  <c r="A385" i="17" s="1"/>
  <c r="A397" i="17" s="1"/>
  <c r="A409" i="17" s="1"/>
  <c r="A421" i="17" s="1"/>
  <c r="A433" i="17" s="1"/>
  <c r="A445" i="17" s="1"/>
  <c r="A457" i="17" s="1"/>
  <c r="H193" i="17"/>
  <c r="A194" i="17"/>
  <c r="A206" i="17" s="1"/>
  <c r="A218" i="17" s="1"/>
  <c r="A230" i="17" s="1"/>
  <c r="A242" i="17" s="1"/>
  <c r="A254" i="17" s="1"/>
  <c r="A266" i="17" s="1"/>
  <c r="A278" i="17" s="1"/>
  <c r="A290" i="17" s="1"/>
  <c r="A302" i="17" s="1"/>
  <c r="A314" i="17" s="1"/>
  <c r="A326" i="17" s="1"/>
  <c r="A338" i="17" s="1"/>
  <c r="A374" i="17" s="1"/>
  <c r="A386" i="17" s="1"/>
  <c r="A398" i="17" s="1"/>
  <c r="A410" i="17" s="1"/>
  <c r="A422" i="17" s="1"/>
  <c r="A434" i="17" s="1"/>
  <c r="A446" i="17" s="1"/>
  <c r="A458" i="17" s="1"/>
  <c r="H194" i="17"/>
  <c r="A195" i="17"/>
  <c r="A207" i="17" s="1"/>
  <c r="A219" i="17" s="1"/>
  <c r="A231" i="17" s="1"/>
  <c r="A243" i="17" s="1"/>
  <c r="A255" i="17" s="1"/>
  <c r="A267" i="17" s="1"/>
  <c r="A279" i="17" s="1"/>
  <c r="A291" i="17" s="1"/>
  <c r="A303" i="17" s="1"/>
  <c r="A315" i="17" s="1"/>
  <c r="A327" i="17" s="1"/>
  <c r="A339" i="17" s="1"/>
  <c r="A375" i="17" s="1"/>
  <c r="A387" i="17" s="1"/>
  <c r="A399" i="17" s="1"/>
  <c r="A411" i="17" s="1"/>
  <c r="A423" i="17" s="1"/>
  <c r="A435" i="17" s="1"/>
  <c r="A447" i="17" s="1"/>
  <c r="A459" i="17" s="1"/>
  <c r="H195" i="17"/>
  <c r="A196" i="17"/>
  <c r="A208" i="17" s="1"/>
  <c r="A220" i="17" s="1"/>
  <c r="A232" i="17" s="1"/>
  <c r="A244" i="17" s="1"/>
  <c r="A256" i="17" s="1"/>
  <c r="A268" i="17" s="1"/>
  <c r="A280" i="17" s="1"/>
  <c r="A292" i="17" s="1"/>
  <c r="A304" i="17" s="1"/>
  <c r="A316" i="17" s="1"/>
  <c r="A328" i="17" s="1"/>
  <c r="A340" i="17" s="1"/>
  <c r="A376" i="17" s="1"/>
  <c r="A388" i="17" s="1"/>
  <c r="A400" i="17" s="1"/>
  <c r="A412" i="17" s="1"/>
  <c r="A424" i="17" s="1"/>
  <c r="A436" i="17" s="1"/>
  <c r="A448" i="17" s="1"/>
  <c r="A460" i="17" s="1"/>
  <c r="H196" i="17"/>
  <c r="A197" i="17"/>
  <c r="A209" i="17" s="1"/>
  <c r="A221" i="17" s="1"/>
  <c r="A233" i="17" s="1"/>
  <c r="A245" i="17" s="1"/>
  <c r="A257" i="17" s="1"/>
  <c r="A269" i="17" s="1"/>
  <c r="A281" i="17" s="1"/>
  <c r="A293" i="17" s="1"/>
  <c r="A305" i="17" s="1"/>
  <c r="A317" i="17" s="1"/>
  <c r="A329" i="17" s="1"/>
  <c r="A341" i="17" s="1"/>
  <c r="A365" i="17" s="1"/>
  <c r="A377" i="17" s="1"/>
  <c r="A389" i="17" s="1"/>
  <c r="A401" i="17" s="1"/>
  <c r="A413" i="17" s="1"/>
  <c r="A425" i="17" s="1"/>
  <c r="A437" i="17" s="1"/>
  <c r="A449" i="17" s="1"/>
  <c r="A461" i="17" s="1"/>
  <c r="H197" i="17"/>
  <c r="A198" i="17"/>
  <c r="A210" i="17" s="1"/>
  <c r="A222" i="17" s="1"/>
  <c r="A234" i="17" s="1"/>
  <c r="A246" i="17" s="1"/>
  <c r="A258" i="17" s="1"/>
  <c r="A270" i="17" s="1"/>
  <c r="A282" i="17" s="1"/>
  <c r="A294" i="17" s="1"/>
  <c r="A306" i="17" s="1"/>
  <c r="A318" i="17" s="1"/>
  <c r="A330" i="17" s="1"/>
  <c r="A342" i="17" s="1"/>
  <c r="A366" i="17" s="1"/>
  <c r="A378" i="17" s="1"/>
  <c r="A390" i="17" s="1"/>
  <c r="A402" i="17" s="1"/>
  <c r="A414" i="17" s="1"/>
  <c r="A426" i="17" s="1"/>
  <c r="A438" i="17" s="1"/>
  <c r="A450" i="17" s="1"/>
  <c r="A462" i="17" s="1"/>
  <c r="H198" i="17"/>
  <c r="A199" i="17"/>
  <c r="A211" i="17" s="1"/>
  <c r="A223" i="17" s="1"/>
  <c r="A235" i="17" s="1"/>
  <c r="A247" i="17" s="1"/>
  <c r="A259" i="17" s="1"/>
  <c r="A271" i="17" s="1"/>
  <c r="A283" i="17" s="1"/>
  <c r="A295" i="17" s="1"/>
  <c r="A307" i="17" s="1"/>
  <c r="A319" i="17" s="1"/>
  <c r="A331" i="17" s="1"/>
  <c r="A343" i="17" s="1"/>
  <c r="A367" i="17" s="1"/>
  <c r="A379" i="17" s="1"/>
  <c r="A391" i="17" s="1"/>
  <c r="A403" i="17" s="1"/>
  <c r="A415" i="17" s="1"/>
  <c r="A427" i="17" s="1"/>
  <c r="A439" i="17" s="1"/>
  <c r="A451" i="17" s="1"/>
  <c r="A463" i="17" s="1"/>
  <c r="H199" i="17"/>
  <c r="A200" i="17"/>
  <c r="A212" i="17" s="1"/>
  <c r="A224" i="17" s="1"/>
  <c r="A236" i="17" s="1"/>
  <c r="A248" i="17" s="1"/>
  <c r="A260" i="17" s="1"/>
  <c r="A272" i="17" s="1"/>
  <c r="A284" i="17" s="1"/>
  <c r="A296" i="17" s="1"/>
  <c r="A308" i="17" s="1"/>
  <c r="A320" i="17" s="1"/>
  <c r="A332" i="17" s="1"/>
  <c r="A344" i="17" s="1"/>
  <c r="A368" i="17" s="1"/>
  <c r="A380" i="17" s="1"/>
  <c r="A392" i="17" s="1"/>
  <c r="A404" i="17" s="1"/>
  <c r="A416" i="17" s="1"/>
  <c r="A428" i="17" s="1"/>
  <c r="A440" i="17" s="1"/>
  <c r="A452" i="17" s="1"/>
  <c r="A464" i="17" s="1"/>
  <c r="H200" i="17"/>
  <c r="A201" i="17"/>
  <c r="A213" i="17" s="1"/>
  <c r="A225" i="17" s="1"/>
  <c r="A237" i="17" s="1"/>
  <c r="A249" i="17" s="1"/>
  <c r="A261" i="17" s="1"/>
  <c r="A273" i="17" s="1"/>
  <c r="A285" i="17" s="1"/>
  <c r="A297" i="17" s="1"/>
  <c r="A309" i="17" s="1"/>
  <c r="A321" i="17" s="1"/>
  <c r="A333" i="17" s="1"/>
  <c r="A345" i="17" s="1"/>
  <c r="A369" i="17" s="1"/>
  <c r="A381" i="17" s="1"/>
  <c r="A393" i="17" s="1"/>
  <c r="A405" i="17" s="1"/>
  <c r="A417" i="17" s="1"/>
  <c r="A429" i="17" s="1"/>
  <c r="A441" i="17" s="1"/>
  <c r="A453" i="17" s="1"/>
  <c r="A465" i="17" s="1"/>
  <c r="H201" i="17"/>
  <c r="H202" i="17"/>
  <c r="H203" i="17"/>
  <c r="H204" i="17"/>
  <c r="H205" i="17"/>
  <c r="H206" i="17"/>
  <c r="H207" i="17"/>
  <c r="H208" i="17"/>
  <c r="H209" i="17"/>
  <c r="H210" i="17"/>
  <c r="H211" i="17"/>
  <c r="H212" i="17"/>
  <c r="H213" i="17"/>
  <c r="H214" i="17"/>
  <c r="H215" i="17"/>
  <c r="H216" i="17"/>
  <c r="H219" i="17"/>
  <c r="H220" i="17"/>
  <c r="H222" i="17"/>
  <c r="H223" i="17"/>
  <c r="H224" i="17"/>
  <c r="H225" i="17"/>
  <c r="H226" i="17"/>
  <c r="H227" i="17"/>
  <c r="H228" i="17"/>
  <c r="H229" i="17"/>
  <c r="H230"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4" i="17"/>
  <c r="H275" i="17"/>
  <c r="H276" i="17"/>
  <c r="H277" i="17"/>
  <c r="H278" i="17"/>
  <c r="H279" i="17"/>
  <c r="H281" i="17"/>
  <c r="H282" i="17"/>
  <c r="H283" i="17"/>
  <c r="H284" i="17"/>
  <c r="H285" i="17"/>
  <c r="A34" i="76"/>
  <c r="A46" i="76" s="1"/>
  <c r="A58" i="76" s="1"/>
  <c r="A70" i="76" s="1"/>
  <c r="A82" i="76" s="1"/>
  <c r="A94" i="76" s="1"/>
  <c r="A106" i="76" s="1"/>
  <c r="A118" i="76" s="1"/>
  <c r="A130" i="76" s="1"/>
  <c r="A142" i="76" s="1"/>
  <c r="A154" i="76" s="1"/>
  <c r="A166" i="76" s="1"/>
  <c r="A178" i="76" s="1"/>
  <c r="A190" i="76" s="1"/>
  <c r="A202" i="76" s="1"/>
  <c r="A214" i="76" s="1"/>
  <c r="A226" i="76" s="1"/>
  <c r="A238" i="76" s="1"/>
  <c r="A250" i="76" s="1"/>
  <c r="A262" i="76" s="1"/>
  <c r="A274" i="76" s="1"/>
  <c r="A286" i="76" s="1"/>
  <c r="A298" i="76" s="1"/>
  <c r="A35" i="76"/>
  <c r="A47" i="76" s="1"/>
  <c r="A59" i="76" s="1"/>
  <c r="A71" i="76" s="1"/>
  <c r="A83" i="76" s="1"/>
  <c r="A95" i="76" s="1"/>
  <c r="A107" i="76" s="1"/>
  <c r="A119" i="76" s="1"/>
  <c r="A131" i="76" s="1"/>
  <c r="A143" i="76" s="1"/>
  <c r="A155" i="76" s="1"/>
  <c r="A167" i="76" s="1"/>
  <c r="A179" i="76" s="1"/>
  <c r="A191" i="76" s="1"/>
  <c r="A203" i="76" s="1"/>
  <c r="A215" i="76" s="1"/>
  <c r="A227" i="76" s="1"/>
  <c r="A239" i="76" s="1"/>
  <c r="A251" i="76" s="1"/>
  <c r="A263" i="76" s="1"/>
  <c r="A275" i="76" s="1"/>
  <c r="A287" i="76" s="1"/>
  <c r="A299" i="76" s="1"/>
  <c r="A36" i="76"/>
  <c r="A48" i="76" s="1"/>
  <c r="A60" i="76" s="1"/>
  <c r="A72" i="76" s="1"/>
  <c r="A84" i="76" s="1"/>
  <c r="A96" i="76" s="1"/>
  <c r="A108" i="76" s="1"/>
  <c r="A120" i="76" s="1"/>
  <c r="A132" i="76" s="1"/>
  <c r="A144" i="76" s="1"/>
  <c r="A156" i="76" s="1"/>
  <c r="A168" i="76" s="1"/>
  <c r="A180" i="76" s="1"/>
  <c r="A192" i="76" s="1"/>
  <c r="A204" i="76" s="1"/>
  <c r="A216" i="76" s="1"/>
  <c r="A228" i="76" s="1"/>
  <c r="A240" i="76" s="1"/>
  <c r="A252" i="76" s="1"/>
  <c r="A264" i="76" s="1"/>
  <c r="A276" i="76" s="1"/>
  <c r="A288" i="76" s="1"/>
  <c r="A300" i="76" s="1"/>
  <c r="A37" i="76"/>
  <c r="A49" i="76" s="1"/>
  <c r="A61" i="76" s="1"/>
  <c r="A73" i="76" s="1"/>
  <c r="A85" i="76" s="1"/>
  <c r="A97" i="76" s="1"/>
  <c r="A109" i="76" s="1"/>
  <c r="A121" i="76" s="1"/>
  <c r="A133" i="76" s="1"/>
  <c r="A145" i="76" s="1"/>
  <c r="A157" i="76" s="1"/>
  <c r="A169" i="76" s="1"/>
  <c r="A181" i="76" s="1"/>
  <c r="A193" i="76" s="1"/>
  <c r="A205" i="76" s="1"/>
  <c r="A217" i="76" s="1"/>
  <c r="A229" i="76" s="1"/>
  <c r="A241" i="76" s="1"/>
  <c r="A253" i="76" s="1"/>
  <c r="A265" i="76" s="1"/>
  <c r="A277" i="76" s="1"/>
  <c r="A289" i="76" s="1"/>
  <c r="A301" i="76" s="1"/>
  <c r="A38" i="76"/>
  <c r="A50" i="76" s="1"/>
  <c r="A62" i="76" s="1"/>
  <c r="A74" i="76" s="1"/>
  <c r="A86" i="76" s="1"/>
  <c r="A98" i="76" s="1"/>
  <c r="A110" i="76" s="1"/>
  <c r="A122" i="76" s="1"/>
  <c r="A134" i="76" s="1"/>
  <c r="A146" i="76" s="1"/>
  <c r="A158" i="76" s="1"/>
  <c r="A170" i="76" s="1"/>
  <c r="A182" i="76" s="1"/>
  <c r="A194" i="76" s="1"/>
  <c r="A206" i="76" s="1"/>
  <c r="A218" i="76" s="1"/>
  <c r="A230" i="76" s="1"/>
  <c r="A242" i="76" s="1"/>
  <c r="A254" i="76" s="1"/>
  <c r="A266" i="76" s="1"/>
  <c r="A278" i="76" s="1"/>
  <c r="A290" i="76" s="1"/>
  <c r="A302" i="76" s="1"/>
  <c r="A39" i="76"/>
  <c r="A51" i="76" s="1"/>
  <c r="A63" i="76" s="1"/>
  <c r="A75" i="76" s="1"/>
  <c r="A87" i="76" s="1"/>
  <c r="A99" i="76" s="1"/>
  <c r="A111" i="76" s="1"/>
  <c r="A123" i="76" s="1"/>
  <c r="A135" i="76" s="1"/>
  <c r="A147" i="76" s="1"/>
  <c r="A159" i="76" s="1"/>
  <c r="A171" i="76" s="1"/>
  <c r="A183" i="76" s="1"/>
  <c r="A195" i="76" s="1"/>
  <c r="A207" i="76" s="1"/>
  <c r="A219" i="76" s="1"/>
  <c r="A231" i="76" s="1"/>
  <c r="A243" i="76" s="1"/>
  <c r="A255" i="76" s="1"/>
  <c r="A267" i="76" s="1"/>
  <c r="A279" i="76" s="1"/>
  <c r="A291" i="76" s="1"/>
  <c r="A303" i="76" s="1"/>
  <c r="A40" i="76"/>
  <c r="A52" i="76" s="1"/>
  <c r="A64" i="76" s="1"/>
  <c r="A76" i="76" s="1"/>
  <c r="A88" i="76" s="1"/>
  <c r="A100" i="76" s="1"/>
  <c r="A112" i="76" s="1"/>
  <c r="A124" i="76" s="1"/>
  <c r="A136" i="76" s="1"/>
  <c r="A148" i="76" s="1"/>
  <c r="A160" i="76" s="1"/>
  <c r="A172" i="76" s="1"/>
  <c r="A184" i="76" s="1"/>
  <c r="A196" i="76" s="1"/>
  <c r="A208" i="76" s="1"/>
  <c r="A220" i="76" s="1"/>
  <c r="A232" i="76" s="1"/>
  <c r="A244" i="76" s="1"/>
  <c r="A256" i="76" s="1"/>
  <c r="A268" i="76" s="1"/>
  <c r="A280" i="76" s="1"/>
  <c r="A292" i="76" s="1"/>
  <c r="A304" i="76" s="1"/>
  <c r="A41" i="76"/>
  <c r="A53" i="76" s="1"/>
  <c r="A65" i="76" s="1"/>
  <c r="A77" i="76" s="1"/>
  <c r="A89" i="76" s="1"/>
  <c r="A101" i="76" s="1"/>
  <c r="A113" i="76" s="1"/>
  <c r="A125" i="76" s="1"/>
  <c r="A137" i="76" s="1"/>
  <c r="A149" i="76" s="1"/>
  <c r="A161" i="76" s="1"/>
  <c r="A173" i="76" s="1"/>
  <c r="A185" i="76" s="1"/>
  <c r="A197" i="76" s="1"/>
  <c r="A209" i="76" s="1"/>
  <c r="A221" i="76" s="1"/>
  <c r="A233" i="76" s="1"/>
  <c r="A245" i="76" s="1"/>
  <c r="A257" i="76" s="1"/>
  <c r="A269" i="76" s="1"/>
  <c r="A281" i="76" s="1"/>
  <c r="A293" i="76" s="1"/>
  <c r="A305" i="76" s="1"/>
  <c r="A42" i="76"/>
  <c r="A54" i="76" s="1"/>
  <c r="A66" i="76" s="1"/>
  <c r="A78" i="76" s="1"/>
  <c r="A90" i="76" s="1"/>
  <c r="A102" i="76" s="1"/>
  <c r="A114" i="76" s="1"/>
  <c r="A126" i="76" s="1"/>
  <c r="A138" i="76" s="1"/>
  <c r="A150" i="76" s="1"/>
  <c r="A162" i="76" s="1"/>
  <c r="A174" i="76" s="1"/>
  <c r="A186" i="76" s="1"/>
  <c r="A198" i="76" s="1"/>
  <c r="A210" i="76" s="1"/>
  <c r="A222" i="76" s="1"/>
  <c r="A234" i="76" s="1"/>
  <c r="A246" i="76" s="1"/>
  <c r="A258" i="76" s="1"/>
  <c r="A270" i="76" s="1"/>
  <c r="A282" i="76" s="1"/>
  <c r="A294" i="76" s="1"/>
  <c r="A306" i="76" s="1"/>
  <c r="A43" i="76"/>
  <c r="A55" i="76" s="1"/>
  <c r="A67" i="76" s="1"/>
  <c r="A79" i="76" s="1"/>
  <c r="A91" i="76" s="1"/>
  <c r="A103" i="76" s="1"/>
  <c r="A115" i="76" s="1"/>
  <c r="A127" i="76" s="1"/>
  <c r="A139" i="76" s="1"/>
  <c r="A151" i="76" s="1"/>
  <c r="A163" i="76" s="1"/>
  <c r="A175" i="76" s="1"/>
  <c r="A187" i="76" s="1"/>
  <c r="A199" i="76" s="1"/>
  <c r="A211" i="76" s="1"/>
  <c r="A223" i="76" s="1"/>
  <c r="A235" i="76" s="1"/>
  <c r="A247" i="76" s="1"/>
  <c r="A259" i="76" s="1"/>
  <c r="A271" i="76" s="1"/>
  <c r="A283" i="76" s="1"/>
  <c r="A295" i="76" s="1"/>
  <c r="A307" i="76" s="1"/>
  <c r="A44" i="76"/>
  <c r="A56" i="76" s="1"/>
  <c r="A68" i="76" s="1"/>
  <c r="A80" i="76" s="1"/>
  <c r="A92" i="76" s="1"/>
  <c r="A104" i="76" s="1"/>
  <c r="A116" i="76" s="1"/>
  <c r="A128" i="76" s="1"/>
  <c r="A140" i="76" s="1"/>
  <c r="A152" i="76" s="1"/>
  <c r="A164" i="76" s="1"/>
  <c r="A176" i="76" s="1"/>
  <c r="A188" i="76" s="1"/>
  <c r="A200" i="76" s="1"/>
  <c r="A212" i="76" s="1"/>
  <c r="A224" i="76" s="1"/>
  <c r="A236" i="76" s="1"/>
  <c r="A248" i="76" s="1"/>
  <c r="A260" i="76" s="1"/>
  <c r="A272" i="76" s="1"/>
  <c r="A284" i="76" s="1"/>
  <c r="A296" i="76" s="1"/>
  <c r="A308" i="76" s="1"/>
  <c r="A45" i="76"/>
  <c r="A57" i="76" s="1"/>
  <c r="A69" i="76" s="1"/>
  <c r="A81" i="76" s="1"/>
  <c r="A93" i="76" s="1"/>
  <c r="A105" i="76" s="1"/>
  <c r="A117" i="76" s="1"/>
  <c r="A129" i="76" s="1"/>
  <c r="A141" i="76" s="1"/>
  <c r="A153" i="76" s="1"/>
  <c r="A165" i="76" s="1"/>
  <c r="A177" i="76" s="1"/>
  <c r="A189" i="76" s="1"/>
  <c r="A201" i="76" s="1"/>
  <c r="A213" i="76" s="1"/>
  <c r="A225" i="76" s="1"/>
  <c r="A237" i="76" s="1"/>
  <c r="A249" i="76" s="1"/>
  <c r="A261" i="76" s="1"/>
  <c r="A273" i="76" s="1"/>
  <c r="A285" i="76" s="1"/>
  <c r="A297" i="76" s="1"/>
  <c r="A309" i="76" s="1"/>
  <c r="A130" i="1"/>
  <c r="A142" i="1" s="1"/>
  <c r="A154" i="1" s="1"/>
  <c r="A166" i="1" s="1"/>
  <c r="A178" i="1" s="1"/>
  <c r="A190" i="1" s="1"/>
  <c r="A202" i="1" s="1"/>
  <c r="A214" i="1" s="1"/>
  <c r="A226" i="1" s="1"/>
  <c r="A238" i="1" s="1"/>
  <c r="A250" i="1" s="1"/>
  <c r="A262" i="1" s="1"/>
  <c r="A274" i="1" s="1"/>
  <c r="A286" i="1" s="1"/>
  <c r="A298" i="1" s="1"/>
  <c r="A310" i="1" s="1"/>
  <c r="A322" i="1" s="1"/>
  <c r="A334" i="1" s="1"/>
  <c r="A346" i="1" s="1"/>
  <c r="A358" i="1" s="1"/>
  <c r="A370" i="1" s="1"/>
  <c r="A382" i="1" s="1"/>
  <c r="A394" i="1" s="1"/>
  <c r="A131" i="1"/>
  <c r="A143" i="1" s="1"/>
  <c r="A155" i="1" s="1"/>
  <c r="A167" i="1" s="1"/>
  <c r="A179" i="1" s="1"/>
  <c r="A191" i="1" s="1"/>
  <c r="A203" i="1" s="1"/>
  <c r="A215" i="1" s="1"/>
  <c r="A227" i="1" s="1"/>
  <c r="A239" i="1" s="1"/>
  <c r="A251" i="1" s="1"/>
  <c r="A263" i="1" s="1"/>
  <c r="A275" i="1" s="1"/>
  <c r="A287" i="1" s="1"/>
  <c r="A299" i="1" s="1"/>
  <c r="A311" i="1" s="1"/>
  <c r="A323" i="1" s="1"/>
  <c r="A335" i="1" s="1"/>
  <c r="A347" i="1" s="1"/>
  <c r="A359" i="1" s="1"/>
  <c r="A371" i="1" s="1"/>
  <c r="A383" i="1" s="1"/>
  <c r="A395" i="1" s="1"/>
  <c r="A132" i="1"/>
  <c r="A144" i="1" s="1"/>
  <c r="A156" i="1" s="1"/>
  <c r="A168" i="1" s="1"/>
  <c r="A180" i="1" s="1"/>
  <c r="A192" i="1" s="1"/>
  <c r="A204" i="1" s="1"/>
  <c r="A216" i="1" s="1"/>
  <c r="A228" i="1" s="1"/>
  <c r="A240" i="1" s="1"/>
  <c r="A252" i="1" s="1"/>
  <c r="A264" i="1" s="1"/>
  <c r="A276" i="1" s="1"/>
  <c r="A288" i="1" s="1"/>
  <c r="A300" i="1" s="1"/>
  <c r="A133" i="1"/>
  <c r="A145" i="1" s="1"/>
  <c r="A157" i="1" s="1"/>
  <c r="A169" i="1" s="1"/>
  <c r="A181" i="1" s="1"/>
  <c r="A193" i="1" s="1"/>
  <c r="A205" i="1" s="1"/>
  <c r="A217" i="1" s="1"/>
  <c r="A229" i="1" s="1"/>
  <c r="A241" i="1" s="1"/>
  <c r="A253" i="1" s="1"/>
  <c r="A265" i="1" s="1"/>
  <c r="A277" i="1" s="1"/>
  <c r="A289" i="1" s="1"/>
  <c r="A301" i="1" s="1"/>
  <c r="A313" i="1" s="1"/>
  <c r="A325" i="1" s="1"/>
  <c r="A337" i="1" s="1"/>
  <c r="A349" i="1" s="1"/>
  <c r="A361" i="1" s="1"/>
  <c r="A373" i="1" s="1"/>
  <c r="A385" i="1" s="1"/>
  <c r="A397" i="1" s="1"/>
  <c r="A134" i="1"/>
  <c r="A146" i="1" s="1"/>
  <c r="A158" i="1" s="1"/>
  <c r="A170" i="1" s="1"/>
  <c r="A182" i="1" s="1"/>
  <c r="A194" i="1" s="1"/>
  <c r="A206" i="1" s="1"/>
  <c r="A218" i="1" s="1"/>
  <c r="A230" i="1" s="1"/>
  <c r="A242" i="1" s="1"/>
  <c r="A254" i="1" s="1"/>
  <c r="A266" i="1" s="1"/>
  <c r="A278" i="1" s="1"/>
  <c r="A290" i="1" s="1"/>
  <c r="A302" i="1" s="1"/>
  <c r="A314" i="1" s="1"/>
  <c r="A326" i="1" s="1"/>
  <c r="A338" i="1" s="1"/>
  <c r="A350" i="1" s="1"/>
  <c r="A362" i="1" s="1"/>
  <c r="A374" i="1" s="1"/>
  <c r="A386" i="1" s="1"/>
  <c r="A398" i="1" s="1"/>
  <c r="A135" i="1"/>
  <c r="A147" i="1" s="1"/>
  <c r="A159" i="1" s="1"/>
  <c r="A171" i="1" s="1"/>
  <c r="A183" i="1" s="1"/>
  <c r="A195" i="1" s="1"/>
  <c r="A207" i="1" s="1"/>
  <c r="A219" i="1" s="1"/>
  <c r="A231" i="1" s="1"/>
  <c r="A243" i="1" s="1"/>
  <c r="A255" i="1" s="1"/>
  <c r="A267" i="1" s="1"/>
  <c r="A279" i="1" s="1"/>
  <c r="A291" i="1" s="1"/>
  <c r="A303" i="1" s="1"/>
  <c r="A315" i="1" s="1"/>
  <c r="A327" i="1" s="1"/>
  <c r="A339" i="1" s="1"/>
  <c r="A351" i="1" s="1"/>
  <c r="A363" i="1" s="1"/>
  <c r="A375" i="1" s="1"/>
  <c r="A387" i="1" s="1"/>
  <c r="A399" i="1" s="1"/>
  <c r="A136" i="1"/>
  <c r="A148" i="1" s="1"/>
  <c r="A160" i="1" s="1"/>
  <c r="A172" i="1" s="1"/>
  <c r="A184" i="1" s="1"/>
  <c r="A196" i="1" s="1"/>
  <c r="A208" i="1" s="1"/>
  <c r="A220" i="1" s="1"/>
  <c r="A232" i="1" s="1"/>
  <c r="A244" i="1" s="1"/>
  <c r="A256" i="1" s="1"/>
  <c r="A268" i="1" s="1"/>
  <c r="A280" i="1" s="1"/>
  <c r="A292" i="1" s="1"/>
  <c r="A304" i="1" s="1"/>
  <c r="A316" i="1" s="1"/>
  <c r="A328" i="1" s="1"/>
  <c r="A340" i="1" s="1"/>
  <c r="A352" i="1" s="1"/>
  <c r="A364" i="1" s="1"/>
  <c r="A376" i="1" s="1"/>
  <c r="A388" i="1" s="1"/>
  <c r="A400" i="1" s="1"/>
  <c r="A137" i="1"/>
  <c r="A149" i="1" s="1"/>
  <c r="A161" i="1" s="1"/>
  <c r="A173" i="1" s="1"/>
  <c r="A185" i="1" s="1"/>
  <c r="A197" i="1" s="1"/>
  <c r="A209" i="1" s="1"/>
  <c r="A221" i="1" s="1"/>
  <c r="A233" i="1" s="1"/>
  <c r="A245" i="1" s="1"/>
  <c r="A257" i="1" s="1"/>
  <c r="A269" i="1" s="1"/>
  <c r="A281" i="1" s="1"/>
  <c r="A293" i="1" s="1"/>
  <c r="A305" i="1" s="1"/>
  <c r="A317" i="1" s="1"/>
  <c r="A329" i="1" s="1"/>
  <c r="A341" i="1" s="1"/>
  <c r="A353" i="1" s="1"/>
  <c r="A365" i="1" s="1"/>
  <c r="A377" i="1" s="1"/>
  <c r="A389" i="1" s="1"/>
  <c r="A401" i="1" s="1"/>
  <c r="A138" i="1"/>
  <c r="A150" i="1" s="1"/>
  <c r="A162" i="1" s="1"/>
  <c r="A174" i="1" s="1"/>
  <c r="A186" i="1" s="1"/>
  <c r="A198" i="1" s="1"/>
  <c r="A210" i="1" s="1"/>
  <c r="A222" i="1" s="1"/>
  <c r="A234" i="1" s="1"/>
  <c r="A246" i="1" s="1"/>
  <c r="A258" i="1" s="1"/>
  <c r="A270" i="1" s="1"/>
  <c r="A282" i="1" s="1"/>
  <c r="A294" i="1" s="1"/>
  <c r="A306" i="1" s="1"/>
  <c r="A318" i="1" s="1"/>
  <c r="A330" i="1" s="1"/>
  <c r="A342" i="1" s="1"/>
  <c r="A354" i="1" s="1"/>
  <c r="A366" i="1" s="1"/>
  <c r="A378" i="1" s="1"/>
  <c r="A390" i="1" s="1"/>
  <c r="A402" i="1" s="1"/>
  <c r="A139" i="1"/>
  <c r="A151" i="1" s="1"/>
  <c r="A163" i="1" s="1"/>
  <c r="A175" i="1" s="1"/>
  <c r="A187" i="1" s="1"/>
  <c r="A199" i="1" s="1"/>
  <c r="A211" i="1" s="1"/>
  <c r="A223" i="1" s="1"/>
  <c r="A235" i="1" s="1"/>
  <c r="A247" i="1" s="1"/>
  <c r="A259" i="1" s="1"/>
  <c r="A271" i="1" s="1"/>
  <c r="A283" i="1" s="1"/>
  <c r="A295" i="1" s="1"/>
  <c r="A307" i="1" s="1"/>
  <c r="A319" i="1" s="1"/>
  <c r="A331" i="1" s="1"/>
  <c r="A343" i="1" s="1"/>
  <c r="A355" i="1" s="1"/>
  <c r="A367" i="1" s="1"/>
  <c r="A379" i="1" s="1"/>
  <c r="A391" i="1" s="1"/>
  <c r="A403" i="1" s="1"/>
  <c r="A140" i="1"/>
  <c r="A152" i="1" s="1"/>
  <c r="A164" i="1" s="1"/>
  <c r="A176" i="1" s="1"/>
  <c r="A188" i="1" s="1"/>
  <c r="A200" i="1" s="1"/>
  <c r="A212" i="1" s="1"/>
  <c r="A224" i="1" s="1"/>
  <c r="A236" i="1" s="1"/>
  <c r="A248" i="1" s="1"/>
  <c r="A260" i="1" s="1"/>
  <c r="A272" i="1" s="1"/>
  <c r="A284" i="1" s="1"/>
  <c r="A296" i="1" s="1"/>
  <c r="A308" i="1" s="1"/>
  <c r="A320" i="1" s="1"/>
  <c r="A332" i="1" s="1"/>
  <c r="A344" i="1" s="1"/>
  <c r="A356" i="1" s="1"/>
  <c r="A368" i="1" s="1"/>
  <c r="A380" i="1" s="1"/>
  <c r="A392" i="1" s="1"/>
  <c r="A404" i="1" s="1"/>
  <c r="A141" i="1"/>
  <c r="A153" i="1" s="1"/>
  <c r="A165" i="1" s="1"/>
  <c r="A177" i="1" s="1"/>
  <c r="A189" i="1" s="1"/>
  <c r="A201" i="1" s="1"/>
  <c r="A213" i="1" s="1"/>
  <c r="A225" i="1" s="1"/>
  <c r="A237" i="1" s="1"/>
  <c r="A249" i="1" s="1"/>
  <c r="A261" i="1" s="1"/>
  <c r="A273" i="1" s="1"/>
  <c r="A285" i="1" s="1"/>
  <c r="A297" i="1" s="1"/>
  <c r="A309" i="1" s="1"/>
  <c r="A321" i="1" s="1"/>
  <c r="A333" i="1" s="1"/>
  <c r="A345" i="1" s="1"/>
  <c r="A357" i="1" s="1"/>
  <c r="A369" i="1" s="1"/>
  <c r="A381" i="1" s="1"/>
  <c r="A393" i="1" s="1"/>
  <c r="A405" i="1" s="1"/>
  <c r="C7" i="3"/>
  <c r="D7" i="3" s="1"/>
  <c r="E7" i="3" s="1"/>
  <c r="F7" i="3" s="1"/>
  <c r="G7" i="3" s="1"/>
  <c r="H7" i="3" s="1"/>
  <c r="I7" i="3" s="1"/>
  <c r="J7" i="3" s="1"/>
  <c r="K7" i="3" s="1"/>
  <c r="L7" i="3" s="1"/>
  <c r="M7" i="3" s="1"/>
  <c r="N7" i="3" s="1"/>
  <c r="R10" i="3"/>
  <c r="S10" i="3"/>
  <c r="R11" i="3"/>
  <c r="S11" i="3"/>
  <c r="R12" i="3"/>
  <c r="S12" i="3"/>
  <c r="R13" i="3"/>
  <c r="S13" i="3"/>
  <c r="R14" i="3"/>
  <c r="S14" i="3"/>
  <c r="R15" i="3"/>
  <c r="S15" i="3"/>
  <c r="R16" i="3"/>
  <c r="S16" i="3"/>
  <c r="R17" i="3"/>
  <c r="S17" i="3"/>
  <c r="R18" i="3"/>
  <c r="S18" i="3"/>
  <c r="R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C96" i="3"/>
  <c r="R96" i="3"/>
  <c r="S96" i="3"/>
  <c r="C97" i="3"/>
  <c r="R97" i="3"/>
  <c r="S97" i="3"/>
  <c r="C98" i="3"/>
  <c r="R98" i="3"/>
  <c r="S98" i="3"/>
  <c r="C99" i="3"/>
  <c r="R99" i="3"/>
  <c r="S99" i="3"/>
  <c r="C100" i="3"/>
  <c r="R100" i="3"/>
  <c r="S100" i="3"/>
  <c r="C101" i="3"/>
  <c r="R101" i="3"/>
  <c r="S101" i="3"/>
  <c r="C102" i="3"/>
  <c r="R102" i="3"/>
  <c r="S102" i="3"/>
  <c r="C103" i="3"/>
  <c r="R103" i="3"/>
  <c r="S103" i="3"/>
  <c r="C104" i="3"/>
  <c r="R104" i="3"/>
  <c r="S104" i="3"/>
  <c r="C105" i="3"/>
  <c r="R105" i="3"/>
  <c r="S105" i="3"/>
  <c r="C106" i="3"/>
  <c r="R106" i="3"/>
  <c r="S106" i="3"/>
  <c r="C107" i="3"/>
  <c r="R107" i="3"/>
  <c r="S107" i="3"/>
  <c r="C108" i="3"/>
  <c r="R108" i="3"/>
  <c r="S108" i="3"/>
  <c r="C109" i="3"/>
  <c r="R109" i="3"/>
  <c r="S109" i="3"/>
  <c r="C110" i="3"/>
  <c r="R110" i="3"/>
  <c r="S110" i="3"/>
  <c r="C111" i="3"/>
  <c r="R111" i="3"/>
  <c r="S111" i="3"/>
  <c r="C112" i="3"/>
  <c r="R112" i="3"/>
  <c r="S112" i="3"/>
  <c r="C113" i="3"/>
  <c r="R113" i="3"/>
  <c r="S113" i="3"/>
  <c r="C114" i="3"/>
  <c r="R114" i="3"/>
  <c r="S114" i="3"/>
  <c r="C115" i="3"/>
  <c r="R115" i="3"/>
  <c r="S115" i="3"/>
  <c r="C116" i="3"/>
  <c r="R116" i="3"/>
  <c r="S116" i="3"/>
  <c r="C117" i="3"/>
  <c r="R117" i="3"/>
  <c r="S117" i="3"/>
  <c r="C118" i="3"/>
  <c r="R118" i="3"/>
  <c r="S118" i="3"/>
  <c r="C119" i="3"/>
  <c r="R119" i="3"/>
  <c r="S119" i="3"/>
  <c r="C120" i="3"/>
  <c r="R120" i="3"/>
  <c r="S120" i="3"/>
  <c r="C121" i="3"/>
  <c r="R121" i="3"/>
  <c r="S121" i="3"/>
  <c r="C122" i="3"/>
  <c r="R122" i="3"/>
  <c r="S122" i="3"/>
  <c r="C123" i="3"/>
  <c r="R123" i="3"/>
  <c r="S123" i="3"/>
  <c r="C124" i="3"/>
  <c r="R124" i="3"/>
  <c r="S124" i="3"/>
  <c r="C125" i="3"/>
  <c r="R125" i="3"/>
  <c r="S125" i="3"/>
  <c r="C126" i="3"/>
  <c r="R126" i="3"/>
  <c r="S126" i="3"/>
  <c r="C127" i="3"/>
  <c r="R127" i="3"/>
  <c r="S127" i="3"/>
  <c r="C128" i="3"/>
  <c r="R128" i="3"/>
  <c r="S128" i="3"/>
  <c r="C129" i="3"/>
  <c r="R129" i="3"/>
  <c r="S129" i="3"/>
  <c r="C130" i="3"/>
  <c r="R130" i="3"/>
  <c r="S130" i="3"/>
  <c r="C131" i="3"/>
  <c r="R131" i="3"/>
  <c r="S131" i="3"/>
  <c r="C132" i="3"/>
  <c r="R132" i="3"/>
  <c r="S132" i="3"/>
  <c r="C133" i="3"/>
  <c r="R133" i="3"/>
  <c r="S133" i="3"/>
  <c r="C134" i="3"/>
  <c r="R134" i="3"/>
  <c r="S134" i="3"/>
  <c r="C135" i="3"/>
  <c r="R135" i="3"/>
  <c r="S135" i="3"/>
  <c r="C136" i="3"/>
  <c r="R136" i="3"/>
  <c r="S136" i="3"/>
  <c r="C137" i="3"/>
  <c r="R137" i="3"/>
  <c r="S137" i="3"/>
  <c r="C138" i="3"/>
  <c r="R138" i="3"/>
  <c r="S138" i="3"/>
  <c r="C139" i="3"/>
  <c r="R139" i="3"/>
  <c r="S139" i="3"/>
  <c r="C140" i="3"/>
  <c r="R140" i="3"/>
  <c r="S140" i="3"/>
  <c r="C141" i="3"/>
  <c r="R141" i="3"/>
  <c r="S141" i="3"/>
  <c r="A142" i="3"/>
  <c r="A154" i="3" s="1"/>
  <c r="A166" i="3" s="1"/>
  <c r="A178" i="3" s="1"/>
  <c r="A190" i="3" s="1"/>
  <c r="A202" i="3" s="1"/>
  <c r="A214" i="3" s="1"/>
  <c r="A226" i="3" s="1"/>
  <c r="A238" i="3" s="1"/>
  <c r="A250" i="3" s="1"/>
  <c r="A262" i="3" s="1"/>
  <c r="A274" i="3" s="1"/>
  <c r="A286" i="3" s="1"/>
  <c r="A298" i="3" s="1"/>
  <c r="A310" i="3" s="1"/>
  <c r="A322" i="3" s="1"/>
  <c r="A334" i="3" s="1"/>
  <c r="A346" i="3" s="1"/>
  <c r="A358" i="3" s="1"/>
  <c r="A370" i="3" s="1"/>
  <c r="A382" i="3" s="1"/>
  <c r="A394" i="3" s="1"/>
  <c r="A406" i="3" s="1"/>
  <c r="C142" i="3"/>
  <c r="R142" i="3"/>
  <c r="S142" i="3"/>
  <c r="A143" i="3"/>
  <c r="A155" i="3" s="1"/>
  <c r="A167" i="3" s="1"/>
  <c r="A179" i="3" s="1"/>
  <c r="A191" i="3" s="1"/>
  <c r="A203" i="3" s="1"/>
  <c r="A215" i="3" s="1"/>
  <c r="A227" i="3" s="1"/>
  <c r="A239" i="3" s="1"/>
  <c r="A251" i="3" s="1"/>
  <c r="A263" i="3" s="1"/>
  <c r="A275" i="3" s="1"/>
  <c r="A287" i="3" s="1"/>
  <c r="A299" i="3" s="1"/>
  <c r="A311" i="3" s="1"/>
  <c r="A323" i="3" s="1"/>
  <c r="A335" i="3" s="1"/>
  <c r="A347" i="3" s="1"/>
  <c r="A359" i="3" s="1"/>
  <c r="A371" i="3" s="1"/>
  <c r="A383" i="3" s="1"/>
  <c r="A395" i="3" s="1"/>
  <c r="A407" i="3" s="1"/>
  <c r="C143" i="3"/>
  <c r="R143" i="3"/>
  <c r="S143" i="3"/>
  <c r="A144" i="3"/>
  <c r="A156" i="3" s="1"/>
  <c r="A168" i="3" s="1"/>
  <c r="A180" i="3" s="1"/>
  <c r="A192" i="3" s="1"/>
  <c r="A204" i="3" s="1"/>
  <c r="A216" i="3" s="1"/>
  <c r="A228" i="3" s="1"/>
  <c r="A240" i="3" s="1"/>
  <c r="A252" i="3" s="1"/>
  <c r="A264" i="3" s="1"/>
  <c r="A276" i="3" s="1"/>
  <c r="A288" i="3" s="1"/>
  <c r="A300" i="3" s="1"/>
  <c r="A312" i="3" s="1"/>
  <c r="A324" i="3" s="1"/>
  <c r="A336" i="3" s="1"/>
  <c r="A348" i="3" s="1"/>
  <c r="A360" i="3" s="1"/>
  <c r="A372" i="3" s="1"/>
  <c r="A384" i="3" s="1"/>
  <c r="A396" i="3" s="1"/>
  <c r="A408" i="3" s="1"/>
  <c r="C144" i="3"/>
  <c r="R144" i="3"/>
  <c r="S144" i="3"/>
  <c r="A145" i="3"/>
  <c r="A157" i="3" s="1"/>
  <c r="A169" i="3" s="1"/>
  <c r="A181" i="3" s="1"/>
  <c r="A193" i="3" s="1"/>
  <c r="A205" i="3" s="1"/>
  <c r="A217" i="3" s="1"/>
  <c r="A229" i="3" s="1"/>
  <c r="A241" i="3" s="1"/>
  <c r="A253" i="3" s="1"/>
  <c r="A265" i="3" s="1"/>
  <c r="A277" i="3" s="1"/>
  <c r="A289" i="3" s="1"/>
  <c r="A301" i="3" s="1"/>
  <c r="A313" i="3" s="1"/>
  <c r="A325" i="3" s="1"/>
  <c r="A337" i="3" s="1"/>
  <c r="A349" i="3" s="1"/>
  <c r="A361" i="3" s="1"/>
  <c r="A373" i="3" s="1"/>
  <c r="A385" i="3" s="1"/>
  <c r="A397" i="3" s="1"/>
  <c r="A409" i="3" s="1"/>
  <c r="C145" i="3"/>
  <c r="R145" i="3"/>
  <c r="S145" i="3"/>
  <c r="A146" i="3"/>
  <c r="A158" i="3" s="1"/>
  <c r="A170" i="3" s="1"/>
  <c r="A182" i="3" s="1"/>
  <c r="A194" i="3" s="1"/>
  <c r="A206" i="3" s="1"/>
  <c r="A218" i="3" s="1"/>
  <c r="A230" i="3" s="1"/>
  <c r="A242" i="3" s="1"/>
  <c r="A254" i="3" s="1"/>
  <c r="A266" i="3" s="1"/>
  <c r="A278" i="3" s="1"/>
  <c r="A290" i="3" s="1"/>
  <c r="A302" i="3" s="1"/>
  <c r="A314" i="3" s="1"/>
  <c r="A326" i="3" s="1"/>
  <c r="A338" i="3" s="1"/>
  <c r="A350" i="3" s="1"/>
  <c r="A362" i="3" s="1"/>
  <c r="A374" i="3" s="1"/>
  <c r="A386" i="3" s="1"/>
  <c r="A398" i="3" s="1"/>
  <c r="A410" i="3" s="1"/>
  <c r="C146" i="3"/>
  <c r="R146" i="3"/>
  <c r="S146" i="3"/>
  <c r="A147" i="3"/>
  <c r="A159" i="3" s="1"/>
  <c r="A171" i="3" s="1"/>
  <c r="A183" i="3" s="1"/>
  <c r="A195" i="3" s="1"/>
  <c r="A207" i="3" s="1"/>
  <c r="A219" i="3" s="1"/>
  <c r="A231" i="3" s="1"/>
  <c r="A243" i="3" s="1"/>
  <c r="A255" i="3" s="1"/>
  <c r="A267" i="3" s="1"/>
  <c r="A279" i="3" s="1"/>
  <c r="A291" i="3" s="1"/>
  <c r="A303" i="3" s="1"/>
  <c r="A315" i="3" s="1"/>
  <c r="A327" i="3" s="1"/>
  <c r="A339" i="3" s="1"/>
  <c r="A351" i="3" s="1"/>
  <c r="A363" i="3" s="1"/>
  <c r="A375" i="3" s="1"/>
  <c r="A387" i="3" s="1"/>
  <c r="A399" i="3" s="1"/>
  <c r="A411" i="3" s="1"/>
  <c r="C147" i="3"/>
  <c r="R147" i="3"/>
  <c r="S147" i="3"/>
  <c r="A148" i="3"/>
  <c r="A160" i="3" s="1"/>
  <c r="A172" i="3" s="1"/>
  <c r="A184" i="3" s="1"/>
  <c r="A196" i="3" s="1"/>
  <c r="A208" i="3" s="1"/>
  <c r="A220" i="3" s="1"/>
  <c r="A232" i="3" s="1"/>
  <c r="A244" i="3" s="1"/>
  <c r="A256" i="3" s="1"/>
  <c r="A268" i="3" s="1"/>
  <c r="A280" i="3" s="1"/>
  <c r="A292" i="3" s="1"/>
  <c r="A304" i="3" s="1"/>
  <c r="A316" i="3" s="1"/>
  <c r="A328" i="3" s="1"/>
  <c r="A340" i="3" s="1"/>
  <c r="A352" i="3" s="1"/>
  <c r="A364" i="3" s="1"/>
  <c r="A376" i="3" s="1"/>
  <c r="A388" i="3" s="1"/>
  <c r="A400" i="3" s="1"/>
  <c r="A412" i="3" s="1"/>
  <c r="C148" i="3"/>
  <c r="R148" i="3"/>
  <c r="S148" i="3"/>
  <c r="A149" i="3"/>
  <c r="A161" i="3" s="1"/>
  <c r="A173" i="3" s="1"/>
  <c r="A185" i="3" s="1"/>
  <c r="A197" i="3" s="1"/>
  <c r="A209" i="3" s="1"/>
  <c r="A221" i="3" s="1"/>
  <c r="A233" i="3" s="1"/>
  <c r="A245" i="3" s="1"/>
  <c r="A257" i="3" s="1"/>
  <c r="A269" i="3" s="1"/>
  <c r="A281" i="3" s="1"/>
  <c r="A293" i="3" s="1"/>
  <c r="A305" i="3" s="1"/>
  <c r="A317" i="3" s="1"/>
  <c r="A329" i="3" s="1"/>
  <c r="A341" i="3" s="1"/>
  <c r="A353" i="3" s="1"/>
  <c r="A365" i="3" s="1"/>
  <c r="A377" i="3" s="1"/>
  <c r="A389" i="3" s="1"/>
  <c r="A401" i="3" s="1"/>
  <c r="A413" i="3" s="1"/>
  <c r="C149" i="3"/>
  <c r="R149" i="3"/>
  <c r="S149" i="3"/>
  <c r="A150" i="3"/>
  <c r="A162" i="3" s="1"/>
  <c r="A174" i="3" s="1"/>
  <c r="A186" i="3" s="1"/>
  <c r="A198" i="3" s="1"/>
  <c r="A210" i="3" s="1"/>
  <c r="A222" i="3" s="1"/>
  <c r="A234" i="3" s="1"/>
  <c r="A246" i="3" s="1"/>
  <c r="A258" i="3" s="1"/>
  <c r="A270" i="3" s="1"/>
  <c r="A282" i="3" s="1"/>
  <c r="A294" i="3" s="1"/>
  <c r="A306" i="3" s="1"/>
  <c r="A318" i="3" s="1"/>
  <c r="A330" i="3" s="1"/>
  <c r="A342" i="3" s="1"/>
  <c r="A354" i="3" s="1"/>
  <c r="A366" i="3" s="1"/>
  <c r="A378" i="3" s="1"/>
  <c r="A390" i="3" s="1"/>
  <c r="A402" i="3" s="1"/>
  <c r="A414" i="3" s="1"/>
  <c r="C150" i="3"/>
  <c r="R150" i="3"/>
  <c r="S150" i="3"/>
  <c r="A151" i="3"/>
  <c r="A163" i="3" s="1"/>
  <c r="A175" i="3" s="1"/>
  <c r="A187" i="3" s="1"/>
  <c r="A199" i="3" s="1"/>
  <c r="A211" i="3" s="1"/>
  <c r="A223" i="3" s="1"/>
  <c r="A235" i="3" s="1"/>
  <c r="A247" i="3" s="1"/>
  <c r="A259" i="3" s="1"/>
  <c r="A271" i="3" s="1"/>
  <c r="A283" i="3" s="1"/>
  <c r="A295" i="3" s="1"/>
  <c r="A307" i="3" s="1"/>
  <c r="A319" i="3" s="1"/>
  <c r="A331" i="3" s="1"/>
  <c r="A343" i="3" s="1"/>
  <c r="A355" i="3" s="1"/>
  <c r="A367" i="3" s="1"/>
  <c r="A379" i="3" s="1"/>
  <c r="A391" i="3" s="1"/>
  <c r="A403" i="3" s="1"/>
  <c r="A415" i="3" s="1"/>
  <c r="C151" i="3"/>
  <c r="R151" i="3"/>
  <c r="S151" i="3"/>
  <c r="A152" i="3"/>
  <c r="A164" i="3" s="1"/>
  <c r="A176" i="3" s="1"/>
  <c r="A188" i="3" s="1"/>
  <c r="A200" i="3" s="1"/>
  <c r="A212" i="3" s="1"/>
  <c r="A224" i="3" s="1"/>
  <c r="A236" i="3" s="1"/>
  <c r="A248" i="3" s="1"/>
  <c r="A260" i="3" s="1"/>
  <c r="A272" i="3" s="1"/>
  <c r="A284" i="3" s="1"/>
  <c r="A296" i="3" s="1"/>
  <c r="A308" i="3" s="1"/>
  <c r="A320" i="3" s="1"/>
  <c r="A332" i="3" s="1"/>
  <c r="A344" i="3" s="1"/>
  <c r="A356" i="3" s="1"/>
  <c r="A368" i="3" s="1"/>
  <c r="A380" i="3" s="1"/>
  <c r="A392" i="3" s="1"/>
  <c r="A404" i="3" s="1"/>
  <c r="A416" i="3" s="1"/>
  <c r="R152" i="3"/>
  <c r="S152" i="3"/>
  <c r="A153" i="3"/>
  <c r="A165" i="3" s="1"/>
  <c r="A177" i="3" s="1"/>
  <c r="A189" i="3" s="1"/>
  <c r="A201" i="3" s="1"/>
  <c r="A213" i="3" s="1"/>
  <c r="A225" i="3" s="1"/>
  <c r="A237" i="3" s="1"/>
  <c r="A249" i="3" s="1"/>
  <c r="A261" i="3" s="1"/>
  <c r="A273" i="3" s="1"/>
  <c r="A285" i="3" s="1"/>
  <c r="A297" i="3" s="1"/>
  <c r="A309" i="3" s="1"/>
  <c r="A321" i="3" s="1"/>
  <c r="A333" i="3" s="1"/>
  <c r="A345" i="3" s="1"/>
  <c r="A357" i="3" s="1"/>
  <c r="A369" i="3" s="1"/>
  <c r="A381" i="3" s="1"/>
  <c r="A393" i="3" s="1"/>
  <c r="A405" i="3" s="1"/>
  <c r="A417" i="3" s="1"/>
  <c r="R153" i="3"/>
  <c r="S153" i="3"/>
  <c r="C154" i="3"/>
  <c r="R154" i="3"/>
  <c r="S154" i="3"/>
  <c r="C155" i="3"/>
  <c r="R155" i="3"/>
  <c r="S155" i="3"/>
  <c r="C156" i="3"/>
  <c r="R156" i="3"/>
  <c r="S156" i="3"/>
  <c r="C157" i="3"/>
  <c r="R157" i="3"/>
  <c r="S157" i="3"/>
  <c r="C158" i="3"/>
  <c r="R158" i="3"/>
  <c r="S158" i="3"/>
  <c r="C159" i="3"/>
  <c r="R159" i="3"/>
  <c r="S159" i="3"/>
  <c r="C160" i="3"/>
  <c r="R160" i="3"/>
  <c r="S160" i="3"/>
  <c r="C161" i="3"/>
  <c r="R161" i="3"/>
  <c r="S161" i="3"/>
  <c r="C162" i="3"/>
  <c r="R162" i="3"/>
  <c r="S162" i="3"/>
  <c r="C163" i="3"/>
  <c r="R163" i="3"/>
  <c r="S163" i="3"/>
  <c r="C164" i="3"/>
  <c r="R164" i="3"/>
  <c r="S164" i="3"/>
  <c r="C165" i="3"/>
  <c r="R165" i="3"/>
  <c r="S165" i="3"/>
  <c r="C166" i="3"/>
  <c r="R166" i="3"/>
  <c r="S166" i="3"/>
  <c r="C167" i="3"/>
  <c r="R167" i="3"/>
  <c r="S167" i="3"/>
  <c r="C168" i="3"/>
  <c r="R168" i="3"/>
  <c r="S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10" i="3"/>
  <c r="C211" i="3"/>
  <c r="C212" i="3"/>
  <c r="C213" i="3"/>
  <c r="C214" i="3"/>
  <c r="C215" i="3"/>
  <c r="C216" i="3"/>
  <c r="C217" i="3"/>
  <c r="C219" i="3"/>
  <c r="C222" i="3"/>
  <c r="C223" i="3"/>
  <c r="C224" i="3"/>
  <c r="C225" i="3"/>
  <c r="C226" i="3"/>
  <c r="C227" i="3"/>
  <c r="C228" i="3"/>
  <c r="C229" i="3"/>
  <c r="C230" i="3"/>
  <c r="C231" i="3"/>
  <c r="C232" i="3"/>
  <c r="C233" i="3"/>
  <c r="C234" i="3"/>
  <c r="C237" i="3"/>
  <c r="A23" i="45"/>
  <c r="A35" i="45" s="1"/>
  <c r="A47" i="45" s="1"/>
  <c r="A59" i="45" s="1"/>
  <c r="A71" i="45" s="1"/>
  <c r="A83" i="45" s="1"/>
  <c r="A95" i="45" s="1"/>
  <c r="A107" i="45" s="1"/>
  <c r="A119" i="45" s="1"/>
  <c r="A131" i="45" s="1"/>
  <c r="A143" i="45" s="1"/>
  <c r="A155" i="45" s="1"/>
  <c r="A167" i="45" s="1"/>
  <c r="A179" i="45" s="1"/>
  <c r="A191" i="45" s="1"/>
  <c r="A22" i="45"/>
  <c r="A34" i="45" s="1"/>
  <c r="A46" i="45" s="1"/>
  <c r="A58" i="45" s="1"/>
  <c r="A70" i="45" s="1"/>
  <c r="A82" i="45" s="1"/>
  <c r="A94" i="45" s="1"/>
  <c r="A106" i="45" s="1"/>
  <c r="A118" i="45" s="1"/>
  <c r="A130" i="45" s="1"/>
  <c r="A142" i="45" s="1"/>
  <c r="A154" i="45" s="1"/>
  <c r="A166" i="45" s="1"/>
  <c r="A178" i="45" s="1"/>
  <c r="A190" i="45" s="1"/>
  <c r="I5" i="49"/>
  <c r="B10" i="49"/>
  <c r="E10" i="49"/>
  <c r="I10" i="49"/>
  <c r="J10" i="49"/>
  <c r="K10" i="49"/>
  <c r="L10" i="49"/>
  <c r="M10" i="49"/>
  <c r="N10" i="49"/>
  <c r="B11" i="49"/>
  <c r="E11" i="49"/>
  <c r="I11" i="49"/>
  <c r="J11" i="49"/>
  <c r="K11" i="49"/>
  <c r="L11" i="49"/>
  <c r="M11" i="49"/>
  <c r="N11" i="49"/>
  <c r="B12" i="49"/>
  <c r="E12" i="49"/>
  <c r="I12" i="49"/>
  <c r="J12" i="49"/>
  <c r="K12" i="49"/>
  <c r="L12" i="49"/>
  <c r="M12" i="49"/>
  <c r="N12" i="49"/>
  <c r="B13" i="49"/>
  <c r="E13" i="49"/>
  <c r="I13" i="49"/>
  <c r="J13" i="49"/>
  <c r="K13" i="49"/>
  <c r="L13" i="49"/>
  <c r="M13" i="49"/>
  <c r="N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E46" i="49"/>
  <c r="I46" i="49"/>
  <c r="L46" i="49"/>
  <c r="B47" i="49"/>
  <c r="E47" i="49"/>
  <c r="I47" i="49"/>
  <c r="L47" i="49"/>
  <c r="B48" i="49"/>
  <c r="E48" i="49"/>
  <c r="I48" i="49"/>
  <c r="L48" i="49"/>
  <c r="B49" i="49"/>
  <c r="E49" i="49"/>
  <c r="I49" i="49"/>
  <c r="L49" i="49"/>
  <c r="B50" i="49"/>
  <c r="E50" i="49"/>
  <c r="I50" i="49"/>
  <c r="L50" i="49"/>
  <c r="B51" i="49"/>
  <c r="E51" i="49"/>
  <c r="I51" i="49"/>
  <c r="L51" i="49"/>
  <c r="B52" i="49"/>
  <c r="E52" i="49"/>
  <c r="I52" i="49"/>
  <c r="L52" i="49"/>
  <c r="B53" i="49"/>
  <c r="E53" i="49"/>
  <c r="I53" i="49"/>
  <c r="L53" i="49"/>
  <c r="B54" i="49"/>
  <c r="E54" i="49"/>
  <c r="I54" i="49"/>
  <c r="L54" i="49"/>
  <c r="B55" i="49"/>
  <c r="E55" i="49"/>
  <c r="I55" i="49"/>
  <c r="L55" i="49"/>
  <c r="B56" i="49"/>
  <c r="E56" i="49"/>
  <c r="I56" i="49"/>
  <c r="L56" i="49"/>
  <c r="B57" i="49"/>
  <c r="E57" i="49"/>
  <c r="I57" i="49"/>
  <c r="L57" i="49"/>
  <c r="B58" i="49"/>
  <c r="E58" i="49"/>
  <c r="I58" i="49"/>
  <c r="L58" i="49"/>
  <c r="B59" i="49"/>
  <c r="E59" i="49"/>
  <c r="I59" i="49"/>
  <c r="L59" i="49"/>
  <c r="B60" i="49"/>
  <c r="E60" i="49"/>
  <c r="I60" i="49"/>
  <c r="L60" i="49"/>
  <c r="B61" i="49"/>
  <c r="E61" i="49"/>
  <c r="I61" i="49"/>
  <c r="L61" i="49"/>
  <c r="B62" i="49"/>
  <c r="E62" i="49"/>
  <c r="I62" i="49"/>
  <c r="L62" i="49"/>
  <c r="B63" i="49"/>
  <c r="E63" i="49"/>
  <c r="I63" i="49"/>
  <c r="L63" i="49"/>
  <c r="B64" i="49"/>
  <c r="E64" i="49"/>
  <c r="I64" i="49"/>
  <c r="L64" i="49"/>
  <c r="B65" i="49"/>
  <c r="E65" i="49"/>
  <c r="I65" i="49"/>
  <c r="L65" i="49"/>
  <c r="B66" i="49"/>
  <c r="E66" i="49"/>
  <c r="I66" i="49"/>
  <c r="L66" i="49"/>
  <c r="B67" i="49"/>
  <c r="E67" i="49"/>
  <c r="I67" i="49"/>
  <c r="L67" i="49"/>
  <c r="B68" i="49"/>
  <c r="E68" i="49"/>
  <c r="I68" i="49"/>
  <c r="L68" i="49"/>
  <c r="B69" i="49"/>
  <c r="E69" i="49"/>
  <c r="I69" i="49"/>
  <c r="L69" i="49"/>
  <c r="B70" i="49"/>
  <c r="E70" i="49"/>
  <c r="I70" i="49"/>
  <c r="L70" i="49"/>
  <c r="B71" i="49"/>
  <c r="E71" i="49"/>
  <c r="I71" i="49"/>
  <c r="L71" i="49"/>
  <c r="B72" i="49"/>
  <c r="E72" i="49"/>
  <c r="I72" i="49"/>
  <c r="L72" i="49"/>
  <c r="B73" i="49"/>
  <c r="E73" i="49"/>
  <c r="I73" i="49"/>
  <c r="L73" i="49"/>
  <c r="B74" i="49"/>
  <c r="E74" i="49"/>
  <c r="I74" i="49"/>
  <c r="L74" i="49"/>
  <c r="B75" i="49"/>
  <c r="E75" i="49"/>
  <c r="I75" i="49"/>
  <c r="L75" i="49"/>
  <c r="B76" i="49"/>
  <c r="E76" i="49"/>
  <c r="I76" i="49"/>
  <c r="L76" i="49"/>
  <c r="B77" i="49"/>
  <c r="E77" i="49"/>
  <c r="I77" i="49"/>
  <c r="L77" i="49"/>
  <c r="A78" i="49"/>
  <c r="A82" i="49" s="1"/>
  <c r="A86" i="49" s="1"/>
  <c r="A90" i="49" s="1"/>
  <c r="A94" i="49" s="1"/>
  <c r="A98" i="49" s="1"/>
  <c r="A102" i="49" s="1"/>
  <c r="A106" i="49" s="1"/>
  <c r="A110" i="49" s="1"/>
  <c r="A114" i="49" s="1"/>
  <c r="A118" i="49" s="1"/>
  <c r="A122" i="49" s="1"/>
  <c r="A126" i="49" s="1"/>
  <c r="A130" i="49" s="1"/>
  <c r="A134" i="49" s="1"/>
  <c r="A138" i="49" s="1"/>
  <c r="A142" i="49" s="1"/>
  <c r="A146" i="49" s="1"/>
  <c r="A150" i="49" s="1"/>
  <c r="A154" i="49" s="1"/>
  <c r="A158" i="49" s="1"/>
  <c r="A162" i="49" s="1"/>
  <c r="A166" i="49" s="1"/>
  <c r="B78" i="49"/>
  <c r="E78" i="49"/>
  <c r="I78" i="49"/>
  <c r="L78" i="49"/>
  <c r="A79" i="49"/>
  <c r="A83" i="49" s="1"/>
  <c r="A87" i="49" s="1"/>
  <c r="A91" i="49" s="1"/>
  <c r="A95" i="49" s="1"/>
  <c r="A99" i="49" s="1"/>
  <c r="A103" i="49" s="1"/>
  <c r="A107" i="49" s="1"/>
  <c r="A111" i="49" s="1"/>
  <c r="A115" i="49" s="1"/>
  <c r="A119" i="49" s="1"/>
  <c r="A123" i="49" s="1"/>
  <c r="A127" i="49" s="1"/>
  <c r="A131" i="49" s="1"/>
  <c r="A135" i="49" s="1"/>
  <c r="A139" i="49" s="1"/>
  <c r="A143" i="49" s="1"/>
  <c r="A147" i="49" s="1"/>
  <c r="A151" i="49" s="1"/>
  <c r="A155" i="49" s="1"/>
  <c r="A159" i="49" s="1"/>
  <c r="A163" i="49" s="1"/>
  <c r="A167" i="49" s="1"/>
  <c r="B79" i="49"/>
  <c r="E79" i="49"/>
  <c r="I79" i="49"/>
  <c r="L79" i="49"/>
  <c r="A80" i="49"/>
  <c r="A84" i="49" s="1"/>
  <c r="A88" i="49" s="1"/>
  <c r="A92" i="49" s="1"/>
  <c r="A96" i="49" s="1"/>
  <c r="A100" i="49" s="1"/>
  <c r="A104" i="49" s="1"/>
  <c r="A108" i="49" s="1"/>
  <c r="A112" i="49" s="1"/>
  <c r="A116" i="49" s="1"/>
  <c r="A120" i="49" s="1"/>
  <c r="A124" i="49" s="1"/>
  <c r="A128" i="49" s="1"/>
  <c r="A132" i="49" s="1"/>
  <c r="A136" i="49" s="1"/>
  <c r="A140" i="49" s="1"/>
  <c r="A144" i="49" s="1"/>
  <c r="A148" i="49" s="1"/>
  <c r="A152" i="49" s="1"/>
  <c r="A156" i="49" s="1"/>
  <c r="A160" i="49" s="1"/>
  <c r="A164" i="49" s="1"/>
  <c r="A168" i="49" s="1"/>
  <c r="B80" i="49"/>
  <c r="E80" i="49"/>
  <c r="I80" i="49"/>
  <c r="L80" i="49"/>
  <c r="A81" i="49"/>
  <c r="A85" i="49" s="1"/>
  <c r="A89" i="49" s="1"/>
  <c r="A93" i="49" s="1"/>
  <c r="A97" i="49" s="1"/>
  <c r="A101" i="49" s="1"/>
  <c r="A105" i="49" s="1"/>
  <c r="A109" i="49" s="1"/>
  <c r="A113" i="49" s="1"/>
  <c r="A117" i="49" s="1"/>
  <c r="A121" i="49" s="1"/>
  <c r="A125" i="49" s="1"/>
  <c r="A129" i="49" s="1"/>
  <c r="A133" i="49" s="1"/>
  <c r="A137" i="49" s="1"/>
  <c r="A141" i="49" s="1"/>
  <c r="A145" i="49" s="1"/>
  <c r="A149" i="49" s="1"/>
  <c r="A153" i="49" s="1"/>
  <c r="A157" i="49" s="1"/>
  <c r="A161" i="49" s="1"/>
  <c r="A165" i="49" s="1"/>
  <c r="A169" i="49" s="1"/>
  <c r="B81" i="49"/>
  <c r="E81" i="49"/>
  <c r="I81" i="49"/>
  <c r="L81" i="49"/>
  <c r="C82" i="49"/>
  <c r="B82" i="49" s="1"/>
  <c r="F82" i="49"/>
  <c r="E82" i="49" s="1"/>
  <c r="J82" i="49"/>
  <c r="I82" i="49" s="1"/>
  <c r="M82" i="49"/>
  <c r="L82" i="49" s="1"/>
  <c r="C83" i="49"/>
  <c r="B83" i="49" s="1"/>
  <c r="F83" i="49"/>
  <c r="E83" i="49" s="1"/>
  <c r="J83" i="49"/>
  <c r="I83" i="49" s="1"/>
  <c r="M83" i="49"/>
  <c r="L83" i="49" s="1"/>
  <c r="C84" i="49"/>
  <c r="B84" i="49" s="1"/>
  <c r="F84" i="49"/>
  <c r="E84" i="49" s="1"/>
  <c r="J84" i="49"/>
  <c r="I84" i="49" s="1"/>
  <c r="M84" i="49"/>
  <c r="L84" i="49" s="1"/>
  <c r="C85" i="49"/>
  <c r="B85" i="49" s="1"/>
  <c r="F85" i="49"/>
  <c r="E85" i="49" s="1"/>
  <c r="J85" i="49"/>
  <c r="I85" i="49" s="1"/>
  <c r="M85" i="49"/>
  <c r="L85" i="49" s="1"/>
  <c r="E89" i="49"/>
  <c r="A190" i="78"/>
  <c r="A202" i="78" s="1"/>
  <c r="A214" i="78" s="1"/>
  <c r="A226" i="78" s="1"/>
  <c r="A238" i="78" s="1"/>
  <c r="A250" i="78" s="1"/>
  <c r="A262" i="78" s="1"/>
  <c r="A274" i="78" s="1"/>
  <c r="A286" i="78" s="1"/>
  <c r="A298" i="78" s="1"/>
  <c r="A310" i="78" s="1"/>
  <c r="A322" i="78" s="1"/>
  <c r="A334" i="78" s="1"/>
  <c r="A346" i="78" s="1"/>
  <c r="A358" i="78" s="1"/>
  <c r="A370" i="78" s="1"/>
  <c r="A382" i="78" s="1"/>
  <c r="A394" i="78" s="1"/>
  <c r="A406" i="78" s="1"/>
  <c r="A418" i="78" s="1"/>
  <c r="A430" i="78" s="1"/>
  <c r="A442" i="78" s="1"/>
  <c r="A454" i="78" s="1"/>
  <c r="A191" i="78"/>
  <c r="A203" i="78" s="1"/>
  <c r="A215" i="78" s="1"/>
  <c r="A227" i="78" s="1"/>
  <c r="A239" i="78" s="1"/>
  <c r="A251" i="78" s="1"/>
  <c r="A263" i="78" s="1"/>
  <c r="A275" i="78" s="1"/>
  <c r="A287" i="78" s="1"/>
  <c r="A299" i="78" s="1"/>
  <c r="A311" i="78" s="1"/>
  <c r="A323" i="78" s="1"/>
  <c r="A335" i="78" s="1"/>
  <c r="A347" i="78" s="1"/>
  <c r="A359" i="78" s="1"/>
  <c r="A371" i="78" s="1"/>
  <c r="A383" i="78" s="1"/>
  <c r="A395" i="78" s="1"/>
  <c r="A407" i="78" s="1"/>
  <c r="A419" i="78" s="1"/>
  <c r="A431" i="78" s="1"/>
  <c r="A443" i="78" s="1"/>
  <c r="A455" i="78" s="1"/>
  <c r="A192" i="78"/>
  <c r="A204" i="78" s="1"/>
  <c r="A216" i="78" s="1"/>
  <c r="A228" i="78" s="1"/>
  <c r="A240" i="78" s="1"/>
  <c r="A252" i="78" s="1"/>
  <c r="A264" i="78" s="1"/>
  <c r="A276" i="78" s="1"/>
  <c r="A288" i="78" s="1"/>
  <c r="A300" i="78" s="1"/>
  <c r="A312" i="78" s="1"/>
  <c r="A324" i="78" s="1"/>
  <c r="A336" i="78" s="1"/>
  <c r="A348" i="78" s="1"/>
  <c r="A360" i="78" s="1"/>
  <c r="A372" i="78" s="1"/>
  <c r="A384" i="78" s="1"/>
  <c r="A396" i="78" s="1"/>
  <c r="A408" i="78" s="1"/>
  <c r="A420" i="78" s="1"/>
  <c r="A432" i="78" s="1"/>
  <c r="A444" i="78" s="1"/>
  <c r="A456" i="78" s="1"/>
  <c r="A193" i="78"/>
  <c r="A205" i="78" s="1"/>
  <c r="A217" i="78" s="1"/>
  <c r="A229" i="78" s="1"/>
  <c r="A241" i="78" s="1"/>
  <c r="A253" i="78" s="1"/>
  <c r="A265" i="78" s="1"/>
  <c r="A277" i="78" s="1"/>
  <c r="A289" i="78" s="1"/>
  <c r="A301" i="78" s="1"/>
  <c r="A313" i="78" s="1"/>
  <c r="A325" i="78" s="1"/>
  <c r="A337" i="78" s="1"/>
  <c r="A349" i="78" s="1"/>
  <c r="A361" i="78" s="1"/>
  <c r="A373" i="78" s="1"/>
  <c r="A385" i="78" s="1"/>
  <c r="A397" i="78" s="1"/>
  <c r="A409" i="78" s="1"/>
  <c r="A421" i="78" s="1"/>
  <c r="A433" i="78" s="1"/>
  <c r="A445" i="78" s="1"/>
  <c r="A457" i="78" s="1"/>
  <c r="A194" i="78"/>
  <c r="A206" i="78" s="1"/>
  <c r="A218" i="78" s="1"/>
  <c r="A230" i="78" s="1"/>
  <c r="A242" i="78" s="1"/>
  <c r="A254" i="78" s="1"/>
  <c r="A266" i="78" s="1"/>
  <c r="A278" i="78" s="1"/>
  <c r="A290" i="78" s="1"/>
  <c r="A302" i="78" s="1"/>
  <c r="A314" i="78" s="1"/>
  <c r="A326" i="78" s="1"/>
  <c r="A338" i="78" s="1"/>
  <c r="A350" i="78" s="1"/>
  <c r="A362" i="78" s="1"/>
  <c r="A374" i="78" s="1"/>
  <c r="A386" i="78" s="1"/>
  <c r="A398" i="78" s="1"/>
  <c r="A410" i="78" s="1"/>
  <c r="A422" i="78" s="1"/>
  <c r="A434" i="78" s="1"/>
  <c r="A446" i="78" s="1"/>
  <c r="A458" i="78" s="1"/>
  <c r="A195" i="78"/>
  <c r="A207" i="78" s="1"/>
  <c r="A219" i="78" s="1"/>
  <c r="A231" i="78" s="1"/>
  <c r="A243" i="78" s="1"/>
  <c r="A255" i="78" s="1"/>
  <c r="A267" i="78" s="1"/>
  <c r="A279" i="78" s="1"/>
  <c r="A291" i="78" s="1"/>
  <c r="A303" i="78" s="1"/>
  <c r="A315" i="78" s="1"/>
  <c r="A327" i="78" s="1"/>
  <c r="A339" i="78" s="1"/>
  <c r="A351" i="78" s="1"/>
  <c r="A363" i="78" s="1"/>
  <c r="A375" i="78" s="1"/>
  <c r="A387" i="78" s="1"/>
  <c r="A399" i="78" s="1"/>
  <c r="A411" i="78" s="1"/>
  <c r="A423" i="78" s="1"/>
  <c r="A435" i="78" s="1"/>
  <c r="A447" i="78" s="1"/>
  <c r="A459" i="78" s="1"/>
  <c r="A196" i="78"/>
  <c r="A208" i="78" s="1"/>
  <c r="A220" i="78" s="1"/>
  <c r="A232" i="78" s="1"/>
  <c r="A244" i="78" s="1"/>
  <c r="A256" i="78" s="1"/>
  <c r="A268" i="78" s="1"/>
  <c r="A280" i="78" s="1"/>
  <c r="A292" i="78" s="1"/>
  <c r="A304" i="78" s="1"/>
  <c r="A316" i="78" s="1"/>
  <c r="A328" i="78" s="1"/>
  <c r="A340" i="78" s="1"/>
  <c r="A352" i="78" s="1"/>
  <c r="A364" i="78" s="1"/>
  <c r="A376" i="78" s="1"/>
  <c r="A388" i="78" s="1"/>
  <c r="A400" i="78" s="1"/>
  <c r="A412" i="78" s="1"/>
  <c r="A424" i="78" s="1"/>
  <c r="A436" i="78" s="1"/>
  <c r="A448" i="78" s="1"/>
  <c r="A460" i="78" s="1"/>
  <c r="A197" i="78"/>
  <c r="A209" i="78" s="1"/>
  <c r="A221" i="78" s="1"/>
  <c r="A233" i="78" s="1"/>
  <c r="A245" i="78" s="1"/>
  <c r="A257" i="78" s="1"/>
  <c r="A269" i="78" s="1"/>
  <c r="A281" i="78" s="1"/>
  <c r="A293" i="78" s="1"/>
  <c r="A305" i="78" s="1"/>
  <c r="A317" i="78" s="1"/>
  <c r="A329" i="78" s="1"/>
  <c r="A341" i="78" s="1"/>
  <c r="A353" i="78" s="1"/>
  <c r="A365" i="78" s="1"/>
  <c r="A377" i="78" s="1"/>
  <c r="A389" i="78" s="1"/>
  <c r="A401" i="78" s="1"/>
  <c r="A413" i="78" s="1"/>
  <c r="A425" i="78" s="1"/>
  <c r="A437" i="78" s="1"/>
  <c r="A449" i="78" s="1"/>
  <c r="A461" i="78" s="1"/>
  <c r="A198" i="78"/>
  <c r="A210" i="78" s="1"/>
  <c r="A222" i="78" s="1"/>
  <c r="A234" i="78" s="1"/>
  <c r="A246" i="78" s="1"/>
  <c r="A258" i="78" s="1"/>
  <c r="A270" i="78" s="1"/>
  <c r="A282" i="78" s="1"/>
  <c r="A294" i="78" s="1"/>
  <c r="A306" i="78" s="1"/>
  <c r="A318" i="78" s="1"/>
  <c r="A330" i="78" s="1"/>
  <c r="A342" i="78" s="1"/>
  <c r="A354" i="78" s="1"/>
  <c r="A366" i="78" s="1"/>
  <c r="A378" i="78" s="1"/>
  <c r="A390" i="78" s="1"/>
  <c r="A402" i="78" s="1"/>
  <c r="A414" i="78" s="1"/>
  <c r="A426" i="78" s="1"/>
  <c r="A438" i="78" s="1"/>
  <c r="A450" i="78" s="1"/>
  <c r="A462" i="78" s="1"/>
  <c r="A199" i="78"/>
  <c r="A211" i="78" s="1"/>
  <c r="A223" i="78" s="1"/>
  <c r="A235" i="78" s="1"/>
  <c r="A247" i="78" s="1"/>
  <c r="A259" i="78" s="1"/>
  <c r="A271" i="78" s="1"/>
  <c r="A283" i="78" s="1"/>
  <c r="A295" i="78" s="1"/>
  <c r="A307" i="78" s="1"/>
  <c r="A319" i="78" s="1"/>
  <c r="A331" i="78" s="1"/>
  <c r="A343" i="78" s="1"/>
  <c r="A355" i="78" s="1"/>
  <c r="A367" i="78" s="1"/>
  <c r="A379" i="78" s="1"/>
  <c r="A391" i="78" s="1"/>
  <c r="A403" i="78" s="1"/>
  <c r="A415" i="78" s="1"/>
  <c r="A427" i="78" s="1"/>
  <c r="A439" i="78" s="1"/>
  <c r="A451" i="78" s="1"/>
  <c r="A463" i="78" s="1"/>
  <c r="A200" i="78"/>
  <c r="A212" i="78" s="1"/>
  <c r="A224" i="78" s="1"/>
  <c r="A236" i="78" s="1"/>
  <c r="A248" i="78" s="1"/>
  <c r="A260" i="78" s="1"/>
  <c r="A272" i="78" s="1"/>
  <c r="A284" i="78" s="1"/>
  <c r="A296" i="78" s="1"/>
  <c r="A308" i="78" s="1"/>
  <c r="A320" i="78" s="1"/>
  <c r="A332" i="78" s="1"/>
  <c r="A344" i="78" s="1"/>
  <c r="A356" i="78" s="1"/>
  <c r="A368" i="78" s="1"/>
  <c r="A380" i="78" s="1"/>
  <c r="A392" i="78" s="1"/>
  <c r="A404" i="78" s="1"/>
  <c r="A416" i="78" s="1"/>
  <c r="A428" i="78" s="1"/>
  <c r="A440" i="78" s="1"/>
  <c r="A452" i="78" s="1"/>
  <c r="A464" i="78" s="1"/>
  <c r="A201" i="78"/>
  <c r="A213" i="78" s="1"/>
  <c r="A225" i="78" s="1"/>
  <c r="A237" i="78" s="1"/>
  <c r="A249" i="78" s="1"/>
  <c r="A261" i="78" s="1"/>
  <c r="A273" i="78" s="1"/>
  <c r="A285" i="78" s="1"/>
  <c r="A297" i="78" s="1"/>
  <c r="A309" i="78" s="1"/>
  <c r="A321" i="78" s="1"/>
  <c r="A333" i="78" s="1"/>
  <c r="A345" i="78" s="1"/>
  <c r="A357" i="78" s="1"/>
  <c r="A369" i="78" s="1"/>
  <c r="A381" i="78" s="1"/>
  <c r="A393" i="78" s="1"/>
  <c r="A405" i="78" s="1"/>
  <c r="A417" i="78" s="1"/>
  <c r="A429" i="78" s="1"/>
  <c r="A441" i="78" s="1"/>
  <c r="A453" i="78" s="1"/>
  <c r="A465" i="78" s="1"/>
  <c r="A178" i="20"/>
  <c r="A190" i="20" s="1"/>
  <c r="A202" i="20" s="1"/>
  <c r="A214" i="20" s="1"/>
  <c r="A226" i="20" s="1"/>
  <c r="A238" i="20" s="1"/>
  <c r="A250" i="20" s="1"/>
  <c r="A262" i="20" s="1"/>
  <c r="A274" i="20" s="1"/>
  <c r="A286" i="20" s="1"/>
  <c r="A298" i="20" s="1"/>
  <c r="A310" i="20" s="1"/>
  <c r="A322" i="20" s="1"/>
  <c r="A334" i="20" s="1"/>
  <c r="A346" i="20" s="1"/>
  <c r="A358" i="20" s="1"/>
  <c r="A370" i="20" s="1"/>
  <c r="A382" i="20" s="1"/>
  <c r="A394" i="20" s="1"/>
  <c r="A406" i="20" s="1"/>
  <c r="A418" i="20" s="1"/>
  <c r="A430" i="20" s="1"/>
  <c r="A442" i="20" s="1"/>
  <c r="A179" i="20"/>
  <c r="A191" i="20" s="1"/>
  <c r="A203" i="20" s="1"/>
  <c r="A215" i="20" s="1"/>
  <c r="A227" i="20" s="1"/>
  <c r="A239" i="20" s="1"/>
  <c r="A251" i="20" s="1"/>
  <c r="A263" i="20" s="1"/>
  <c r="A275" i="20" s="1"/>
  <c r="A287" i="20" s="1"/>
  <c r="A299" i="20" s="1"/>
  <c r="A311" i="20" s="1"/>
  <c r="A323" i="20" s="1"/>
  <c r="A335" i="20" s="1"/>
  <c r="A347" i="20" s="1"/>
  <c r="A359" i="20" s="1"/>
  <c r="A371" i="20" s="1"/>
  <c r="A383" i="20" s="1"/>
  <c r="A395" i="20" s="1"/>
  <c r="A407" i="20" s="1"/>
  <c r="A419" i="20" s="1"/>
  <c r="A431" i="20" s="1"/>
  <c r="A443" i="20" s="1"/>
  <c r="A180" i="20"/>
  <c r="A192" i="20" s="1"/>
  <c r="A204" i="20" s="1"/>
  <c r="A216" i="20" s="1"/>
  <c r="A228" i="20" s="1"/>
  <c r="A240" i="20" s="1"/>
  <c r="A252" i="20" s="1"/>
  <c r="A264" i="20" s="1"/>
  <c r="A276" i="20" s="1"/>
  <c r="A288" i="20" s="1"/>
  <c r="A300" i="20" s="1"/>
  <c r="A312" i="20" s="1"/>
  <c r="A324" i="20" s="1"/>
  <c r="A336" i="20" s="1"/>
  <c r="A348" i="20" s="1"/>
  <c r="A360" i="20" s="1"/>
  <c r="A372" i="20" s="1"/>
  <c r="A384" i="20" s="1"/>
  <c r="A396" i="20" s="1"/>
  <c r="A408" i="20" s="1"/>
  <c r="A420" i="20" s="1"/>
  <c r="A432" i="20" s="1"/>
  <c r="A444" i="20" s="1"/>
  <c r="A181" i="20"/>
  <c r="A193" i="20" s="1"/>
  <c r="A205" i="20" s="1"/>
  <c r="A217" i="20" s="1"/>
  <c r="A229" i="20" s="1"/>
  <c r="A241" i="20" s="1"/>
  <c r="A253" i="20" s="1"/>
  <c r="A265" i="20" s="1"/>
  <c r="A277" i="20" s="1"/>
  <c r="A289" i="20" s="1"/>
  <c r="A301" i="20" s="1"/>
  <c r="A313" i="20" s="1"/>
  <c r="A325" i="20" s="1"/>
  <c r="A337" i="20" s="1"/>
  <c r="A349" i="20" s="1"/>
  <c r="A361" i="20" s="1"/>
  <c r="A373" i="20" s="1"/>
  <c r="A385" i="20" s="1"/>
  <c r="A397" i="20" s="1"/>
  <c r="A409" i="20" s="1"/>
  <c r="A421" i="20" s="1"/>
  <c r="A433" i="20" s="1"/>
  <c r="A445" i="20" s="1"/>
  <c r="A182" i="20"/>
  <c r="A194" i="20" s="1"/>
  <c r="A206" i="20" s="1"/>
  <c r="A218" i="20" s="1"/>
  <c r="A230" i="20" s="1"/>
  <c r="A242" i="20" s="1"/>
  <c r="A254" i="20" s="1"/>
  <c r="A266" i="20" s="1"/>
  <c r="A278" i="20" s="1"/>
  <c r="A290" i="20" s="1"/>
  <c r="A302" i="20" s="1"/>
  <c r="A314" i="20" s="1"/>
  <c r="A326" i="20" s="1"/>
  <c r="A338" i="20" s="1"/>
  <c r="A350" i="20" s="1"/>
  <c r="A362" i="20" s="1"/>
  <c r="A374" i="20" s="1"/>
  <c r="A386" i="20" s="1"/>
  <c r="A398" i="20" s="1"/>
  <c r="A410" i="20" s="1"/>
  <c r="A422" i="20" s="1"/>
  <c r="A434" i="20" s="1"/>
  <c r="A446" i="20" s="1"/>
  <c r="A183" i="20"/>
  <c r="A195" i="20" s="1"/>
  <c r="A207" i="20" s="1"/>
  <c r="A219" i="20" s="1"/>
  <c r="A231" i="20" s="1"/>
  <c r="A243" i="20" s="1"/>
  <c r="A255" i="20" s="1"/>
  <c r="A267" i="20" s="1"/>
  <c r="A279" i="20" s="1"/>
  <c r="A291" i="20" s="1"/>
  <c r="A303" i="20" s="1"/>
  <c r="A315" i="20" s="1"/>
  <c r="A327" i="20" s="1"/>
  <c r="A339" i="20" s="1"/>
  <c r="A351" i="20" s="1"/>
  <c r="A363" i="20" s="1"/>
  <c r="A375" i="20" s="1"/>
  <c r="A387" i="20" s="1"/>
  <c r="A399" i="20" s="1"/>
  <c r="A411" i="20" s="1"/>
  <c r="A423" i="20" s="1"/>
  <c r="A435" i="20" s="1"/>
  <c r="A447" i="20" s="1"/>
  <c r="A184" i="20"/>
  <c r="A196" i="20" s="1"/>
  <c r="A208" i="20" s="1"/>
  <c r="A220" i="20" s="1"/>
  <c r="A232" i="20" s="1"/>
  <c r="A244" i="20" s="1"/>
  <c r="A256" i="20" s="1"/>
  <c r="A268" i="20" s="1"/>
  <c r="A280" i="20" s="1"/>
  <c r="A292" i="20" s="1"/>
  <c r="A304" i="20" s="1"/>
  <c r="A316" i="20" s="1"/>
  <c r="A328" i="20" s="1"/>
  <c r="A340" i="20" s="1"/>
  <c r="A352" i="20" s="1"/>
  <c r="A364" i="20" s="1"/>
  <c r="A376" i="20" s="1"/>
  <c r="A388" i="20" s="1"/>
  <c r="A400" i="20" s="1"/>
  <c r="A412" i="20" s="1"/>
  <c r="A424" i="20" s="1"/>
  <c r="A436" i="20" s="1"/>
  <c r="A448" i="20" s="1"/>
  <c r="A185" i="20"/>
  <c r="A197" i="20" s="1"/>
  <c r="A209" i="20" s="1"/>
  <c r="A221" i="20" s="1"/>
  <c r="A233" i="20" s="1"/>
  <c r="A245" i="20" s="1"/>
  <c r="A257" i="20" s="1"/>
  <c r="A269" i="20" s="1"/>
  <c r="A281" i="20" s="1"/>
  <c r="A293" i="20" s="1"/>
  <c r="A305" i="20" s="1"/>
  <c r="A317" i="20" s="1"/>
  <c r="A329" i="20" s="1"/>
  <c r="A341" i="20" s="1"/>
  <c r="A353" i="20" s="1"/>
  <c r="A365" i="20" s="1"/>
  <c r="A377" i="20" s="1"/>
  <c r="A389" i="20" s="1"/>
  <c r="A401" i="20" s="1"/>
  <c r="A413" i="20" s="1"/>
  <c r="A425" i="20" s="1"/>
  <c r="A437" i="20" s="1"/>
  <c r="A449" i="20" s="1"/>
  <c r="A186" i="20"/>
  <c r="A198" i="20" s="1"/>
  <c r="A210" i="20" s="1"/>
  <c r="A222" i="20" s="1"/>
  <c r="A234" i="20" s="1"/>
  <c r="A246" i="20" s="1"/>
  <c r="A258" i="20" s="1"/>
  <c r="A270" i="20" s="1"/>
  <c r="A282" i="20" s="1"/>
  <c r="A294" i="20" s="1"/>
  <c r="A306" i="20" s="1"/>
  <c r="A318" i="20" s="1"/>
  <c r="A330" i="20" s="1"/>
  <c r="A342" i="20" s="1"/>
  <c r="A354" i="20" s="1"/>
  <c r="A366" i="20" s="1"/>
  <c r="A378" i="20" s="1"/>
  <c r="A390" i="20" s="1"/>
  <c r="A402" i="20" s="1"/>
  <c r="A414" i="20" s="1"/>
  <c r="A426" i="20" s="1"/>
  <c r="A438" i="20" s="1"/>
  <c r="A450" i="20" s="1"/>
  <c r="A187" i="20"/>
  <c r="A199" i="20" s="1"/>
  <c r="A211" i="20" s="1"/>
  <c r="A223" i="20" s="1"/>
  <c r="A235" i="20" s="1"/>
  <c r="A247" i="20" s="1"/>
  <c r="A259" i="20" s="1"/>
  <c r="A271" i="20" s="1"/>
  <c r="A283" i="20" s="1"/>
  <c r="A295" i="20" s="1"/>
  <c r="A307" i="20" s="1"/>
  <c r="A319" i="20" s="1"/>
  <c r="A331" i="20" s="1"/>
  <c r="A343" i="20" s="1"/>
  <c r="A355" i="20" s="1"/>
  <c r="A367" i="20" s="1"/>
  <c r="A379" i="20" s="1"/>
  <c r="A391" i="20" s="1"/>
  <c r="A403" i="20" s="1"/>
  <c r="A415" i="20" s="1"/>
  <c r="A427" i="20" s="1"/>
  <c r="A439" i="20" s="1"/>
  <c r="A451" i="20" s="1"/>
  <c r="A188" i="20"/>
  <c r="A200" i="20" s="1"/>
  <c r="A212" i="20" s="1"/>
  <c r="A224" i="20" s="1"/>
  <c r="A236" i="20" s="1"/>
  <c r="A248" i="20" s="1"/>
  <c r="A260" i="20" s="1"/>
  <c r="A272" i="20" s="1"/>
  <c r="A284" i="20" s="1"/>
  <c r="A296" i="20" s="1"/>
  <c r="A308" i="20" s="1"/>
  <c r="A320" i="20" s="1"/>
  <c r="A332" i="20" s="1"/>
  <c r="A344" i="20" s="1"/>
  <c r="A356" i="20" s="1"/>
  <c r="A368" i="20" s="1"/>
  <c r="A380" i="20" s="1"/>
  <c r="A392" i="20" s="1"/>
  <c r="A404" i="20" s="1"/>
  <c r="A416" i="20" s="1"/>
  <c r="A428" i="20" s="1"/>
  <c r="A440" i="20" s="1"/>
  <c r="A452" i="20" s="1"/>
  <c r="A189" i="20"/>
  <c r="A201" i="20" s="1"/>
  <c r="A213" i="20" s="1"/>
  <c r="A225" i="20" s="1"/>
  <c r="A237" i="20" s="1"/>
  <c r="A249" i="20" s="1"/>
  <c r="A261" i="20" s="1"/>
  <c r="A273" i="20" s="1"/>
  <c r="A285" i="20" s="1"/>
  <c r="A297" i="20" s="1"/>
  <c r="A309" i="20" s="1"/>
  <c r="A321" i="20" s="1"/>
  <c r="A333" i="20" s="1"/>
  <c r="A345" i="20" s="1"/>
  <c r="A357" i="20" s="1"/>
  <c r="A369" i="20" s="1"/>
  <c r="A381" i="20" s="1"/>
  <c r="A393" i="20" s="1"/>
  <c r="A405" i="20" s="1"/>
  <c r="A417" i="20" s="1"/>
  <c r="A429" i="20" s="1"/>
  <c r="A441" i="20" s="1"/>
  <c r="A453" i="20" s="1"/>
  <c r="A11" i="68"/>
  <c r="A12" i="68" s="1"/>
  <c r="A22" i="68"/>
  <c r="A34" i="68" s="1"/>
  <c r="A46" i="68" s="1"/>
  <c r="A58" i="68" s="1"/>
  <c r="A70" i="68" s="1"/>
  <c r="A82" i="68" s="1"/>
  <c r="A94" i="68" s="1"/>
  <c r="A106" i="68" s="1"/>
  <c r="A118" i="68" s="1"/>
  <c r="A130" i="68" s="1"/>
  <c r="A142" i="68" s="1"/>
  <c r="A154" i="68" s="1"/>
  <c r="A166" i="68" s="1"/>
  <c r="A178" i="68" s="1"/>
  <c r="A190" i="68" s="1"/>
  <c r="A202" i="68" s="1"/>
  <c r="A214" i="68" s="1"/>
  <c r="A226" i="68" s="1"/>
  <c r="A238" i="68" s="1"/>
  <c r="A250" i="68" s="1"/>
  <c r="A262" i="68" s="1"/>
  <c r="A274" i="68" s="1"/>
  <c r="A286" i="68" s="1"/>
  <c r="A298" i="68" s="1"/>
  <c r="A310" i="68" s="1"/>
  <c r="A322" i="68" s="1"/>
  <c r="A334" i="68" s="1"/>
  <c r="A346" i="68" s="1"/>
  <c r="A358" i="68" s="1"/>
  <c r="A370" i="68" s="1"/>
  <c r="A382" i="68" s="1"/>
  <c r="A394" i="68" s="1"/>
  <c r="A406" i="68" s="1"/>
  <c r="A418" i="68" s="1"/>
  <c r="A430" i="68" s="1"/>
  <c r="A442" i="68" s="1"/>
  <c r="A454" i="68" s="1"/>
  <c r="A226" i="30"/>
  <c r="A238" i="30" s="1"/>
  <c r="A250" i="30" s="1"/>
  <c r="A262" i="30" s="1"/>
  <c r="A274" i="30" s="1"/>
  <c r="A286" i="30" s="1"/>
  <c r="A298" i="30" s="1"/>
  <c r="A310" i="30" s="1"/>
  <c r="A322" i="30" s="1"/>
  <c r="A334" i="30" s="1"/>
  <c r="A346" i="30" s="1"/>
  <c r="A358" i="30" s="1"/>
  <c r="A370" i="30" s="1"/>
  <c r="A382" i="30" s="1"/>
  <c r="A394" i="30" s="1"/>
  <c r="A406" i="30" s="1"/>
  <c r="A418" i="30" s="1"/>
  <c r="A430" i="30" s="1"/>
  <c r="A442" i="30" s="1"/>
  <c r="A454" i="30" s="1"/>
  <c r="A466" i="30" s="1"/>
  <c r="A478" i="30" s="1"/>
  <c r="A227" i="30"/>
  <c r="A239" i="30" s="1"/>
  <c r="A251" i="30" s="1"/>
  <c r="A263" i="30" s="1"/>
  <c r="A275" i="30" s="1"/>
  <c r="A287" i="30" s="1"/>
  <c r="A299" i="30" s="1"/>
  <c r="A311" i="30" s="1"/>
  <c r="A323" i="30" s="1"/>
  <c r="A335" i="30" s="1"/>
  <c r="A347" i="30" s="1"/>
  <c r="A359" i="30" s="1"/>
  <c r="A371" i="30" s="1"/>
  <c r="A383" i="30" s="1"/>
  <c r="A395" i="30" s="1"/>
  <c r="A407" i="30" s="1"/>
  <c r="A419" i="30" s="1"/>
  <c r="A431" i="30" s="1"/>
  <c r="A443" i="30" s="1"/>
  <c r="A455" i="30" s="1"/>
  <c r="A467" i="30" s="1"/>
  <c r="A479" i="30" s="1"/>
  <c r="A228" i="30"/>
  <c r="A240" i="30" s="1"/>
  <c r="A252" i="30" s="1"/>
  <c r="A264" i="30" s="1"/>
  <c r="A276" i="30" s="1"/>
  <c r="A288" i="30" s="1"/>
  <c r="A300" i="30" s="1"/>
  <c r="A312" i="30" s="1"/>
  <c r="A324" i="30" s="1"/>
  <c r="A336" i="30" s="1"/>
  <c r="A348" i="30" s="1"/>
  <c r="A360" i="30" s="1"/>
  <c r="A372" i="30" s="1"/>
  <c r="A384" i="30" s="1"/>
  <c r="A396" i="30" s="1"/>
  <c r="A408" i="30" s="1"/>
  <c r="A420" i="30" s="1"/>
  <c r="A432" i="30" s="1"/>
  <c r="A444" i="30" s="1"/>
  <c r="A456" i="30" s="1"/>
  <c r="A468" i="30" s="1"/>
  <c r="A480" i="30" s="1"/>
  <c r="A229" i="30"/>
  <c r="A241" i="30" s="1"/>
  <c r="A253" i="30" s="1"/>
  <c r="A265" i="30" s="1"/>
  <c r="A277" i="30" s="1"/>
  <c r="A289" i="30" s="1"/>
  <c r="A301" i="30" s="1"/>
  <c r="A313" i="30" s="1"/>
  <c r="A325" i="30" s="1"/>
  <c r="A337" i="30" s="1"/>
  <c r="A349" i="30" s="1"/>
  <c r="A361" i="30" s="1"/>
  <c r="A373" i="30" s="1"/>
  <c r="A385" i="30" s="1"/>
  <c r="A397" i="30" s="1"/>
  <c r="A409" i="30" s="1"/>
  <c r="A421" i="30" s="1"/>
  <c r="A433" i="30" s="1"/>
  <c r="A445" i="30" s="1"/>
  <c r="A457" i="30" s="1"/>
  <c r="A469" i="30" s="1"/>
  <c r="A481" i="30" s="1"/>
  <c r="A230" i="30"/>
  <c r="A242" i="30" s="1"/>
  <c r="A254" i="30" s="1"/>
  <c r="A266" i="30" s="1"/>
  <c r="A278" i="30" s="1"/>
  <c r="A290" i="30" s="1"/>
  <c r="A302" i="30" s="1"/>
  <c r="A314" i="30" s="1"/>
  <c r="A326" i="30" s="1"/>
  <c r="A338" i="30" s="1"/>
  <c r="A350" i="30" s="1"/>
  <c r="A362" i="30" s="1"/>
  <c r="A374" i="30" s="1"/>
  <c r="A386" i="30" s="1"/>
  <c r="A398" i="30" s="1"/>
  <c r="A410" i="30" s="1"/>
  <c r="A422" i="30" s="1"/>
  <c r="A434" i="30" s="1"/>
  <c r="A446" i="30" s="1"/>
  <c r="A458" i="30" s="1"/>
  <c r="A470" i="30" s="1"/>
  <c r="A482" i="30" s="1"/>
  <c r="A231" i="30"/>
  <c r="A243" i="30" s="1"/>
  <c r="A255" i="30" s="1"/>
  <c r="A267" i="30" s="1"/>
  <c r="A279" i="30" s="1"/>
  <c r="A291" i="30" s="1"/>
  <c r="A303" i="30" s="1"/>
  <c r="A315" i="30" s="1"/>
  <c r="A327" i="30" s="1"/>
  <c r="A339" i="30" s="1"/>
  <c r="A351" i="30" s="1"/>
  <c r="A363" i="30" s="1"/>
  <c r="A375" i="30" s="1"/>
  <c r="A387" i="30" s="1"/>
  <c r="A399" i="30" s="1"/>
  <c r="A411" i="30" s="1"/>
  <c r="A423" i="30" s="1"/>
  <c r="A435" i="30" s="1"/>
  <c r="A447" i="30" s="1"/>
  <c r="A459" i="30" s="1"/>
  <c r="A471" i="30" s="1"/>
  <c r="A483" i="30" s="1"/>
  <c r="A232" i="30"/>
  <c r="A244" i="30" s="1"/>
  <c r="A256" i="30" s="1"/>
  <c r="A268" i="30" s="1"/>
  <c r="A280" i="30" s="1"/>
  <c r="A292" i="30" s="1"/>
  <c r="A304" i="30" s="1"/>
  <c r="A316" i="30" s="1"/>
  <c r="A328" i="30" s="1"/>
  <c r="A340" i="30" s="1"/>
  <c r="A352" i="30" s="1"/>
  <c r="A364" i="30" s="1"/>
  <c r="A376" i="30" s="1"/>
  <c r="A388" i="30" s="1"/>
  <c r="A400" i="30" s="1"/>
  <c r="A412" i="30" s="1"/>
  <c r="A424" i="30" s="1"/>
  <c r="A436" i="30" s="1"/>
  <c r="A448" i="30" s="1"/>
  <c r="A460" i="30" s="1"/>
  <c r="A472" i="30" s="1"/>
  <c r="A484" i="30" s="1"/>
  <c r="A233" i="30"/>
  <c r="A245" i="30" s="1"/>
  <c r="A257" i="30" s="1"/>
  <c r="A269" i="30" s="1"/>
  <c r="A281" i="30" s="1"/>
  <c r="A293" i="30" s="1"/>
  <c r="A305" i="30" s="1"/>
  <c r="A317" i="30" s="1"/>
  <c r="A329" i="30" s="1"/>
  <c r="A341" i="30" s="1"/>
  <c r="A353" i="30" s="1"/>
  <c r="A365" i="30" s="1"/>
  <c r="A377" i="30" s="1"/>
  <c r="A389" i="30" s="1"/>
  <c r="A401" i="30" s="1"/>
  <c r="A413" i="30" s="1"/>
  <c r="A425" i="30" s="1"/>
  <c r="A437" i="30" s="1"/>
  <c r="A449" i="30" s="1"/>
  <c r="A461" i="30" s="1"/>
  <c r="A473" i="30" s="1"/>
  <c r="A485" i="30" s="1"/>
  <c r="A234" i="30"/>
  <c r="A246" i="30" s="1"/>
  <c r="A258" i="30" s="1"/>
  <c r="A270" i="30" s="1"/>
  <c r="A282" i="30" s="1"/>
  <c r="A294" i="30" s="1"/>
  <c r="A306" i="30" s="1"/>
  <c r="A318" i="30" s="1"/>
  <c r="A330" i="30" s="1"/>
  <c r="A342" i="30" s="1"/>
  <c r="A354" i="30" s="1"/>
  <c r="A366" i="30" s="1"/>
  <c r="A378" i="30" s="1"/>
  <c r="A390" i="30" s="1"/>
  <c r="A402" i="30" s="1"/>
  <c r="A414" i="30" s="1"/>
  <c r="A426" i="30" s="1"/>
  <c r="A438" i="30" s="1"/>
  <c r="A450" i="30" s="1"/>
  <c r="A462" i="30" s="1"/>
  <c r="A474" i="30" s="1"/>
  <c r="A486" i="30" s="1"/>
  <c r="A235" i="30"/>
  <c r="A247" i="30" s="1"/>
  <c r="A259" i="30" s="1"/>
  <c r="A271" i="30" s="1"/>
  <c r="A283" i="30" s="1"/>
  <c r="A295" i="30" s="1"/>
  <c r="A307" i="30" s="1"/>
  <c r="A319" i="30" s="1"/>
  <c r="A331" i="30" s="1"/>
  <c r="A343" i="30" s="1"/>
  <c r="A355" i="30" s="1"/>
  <c r="A367" i="30" s="1"/>
  <c r="A379" i="30" s="1"/>
  <c r="A391" i="30" s="1"/>
  <c r="A403" i="30" s="1"/>
  <c r="A415" i="30" s="1"/>
  <c r="A427" i="30" s="1"/>
  <c r="A439" i="30" s="1"/>
  <c r="A451" i="30" s="1"/>
  <c r="A463" i="30" s="1"/>
  <c r="A475" i="30" s="1"/>
  <c r="A487" i="30" s="1"/>
  <c r="A236" i="30"/>
  <c r="A248" i="30" s="1"/>
  <c r="A260" i="30" s="1"/>
  <c r="A272" i="30" s="1"/>
  <c r="A284" i="30" s="1"/>
  <c r="A296" i="30" s="1"/>
  <c r="A308" i="30" s="1"/>
  <c r="A320" i="30" s="1"/>
  <c r="A332" i="30" s="1"/>
  <c r="A344" i="30" s="1"/>
  <c r="A356" i="30" s="1"/>
  <c r="A368" i="30" s="1"/>
  <c r="A380" i="30" s="1"/>
  <c r="A392" i="30" s="1"/>
  <c r="A404" i="30" s="1"/>
  <c r="A416" i="30" s="1"/>
  <c r="A428" i="30" s="1"/>
  <c r="A440" i="30" s="1"/>
  <c r="A452" i="30" s="1"/>
  <c r="A464" i="30" s="1"/>
  <c r="A476" i="30" s="1"/>
  <c r="A488" i="30" s="1"/>
  <c r="A237" i="30"/>
  <c r="A249" i="30" s="1"/>
  <c r="A261" i="30" s="1"/>
  <c r="A273" i="30" s="1"/>
  <c r="A285" i="30" s="1"/>
  <c r="A297" i="30" s="1"/>
  <c r="A309" i="30" s="1"/>
  <c r="A321" i="30" s="1"/>
  <c r="A333" i="30" s="1"/>
  <c r="A345" i="30" s="1"/>
  <c r="A357" i="30" s="1"/>
  <c r="A369" i="30" s="1"/>
  <c r="A381" i="30" s="1"/>
  <c r="A393" i="30" s="1"/>
  <c r="A405" i="30" s="1"/>
  <c r="A417" i="30" s="1"/>
  <c r="A429" i="30" s="1"/>
  <c r="A441" i="30" s="1"/>
  <c r="A453" i="30" s="1"/>
  <c r="A465" i="30" s="1"/>
  <c r="A477" i="30" s="1"/>
  <c r="A489" i="30" s="1"/>
  <c r="A178" i="41"/>
  <c r="A190" i="41" s="1"/>
  <c r="A202" i="41" s="1"/>
  <c r="A214" i="41" s="1"/>
  <c r="A226" i="41" s="1"/>
  <c r="A238" i="41" s="1"/>
  <c r="A250" i="41" s="1"/>
  <c r="A262" i="41" s="1"/>
  <c r="A274" i="41" s="1"/>
  <c r="A286" i="41" s="1"/>
  <c r="A298" i="41" s="1"/>
  <c r="A310" i="41" s="1"/>
  <c r="A322" i="41" s="1"/>
  <c r="A334" i="41" s="1"/>
  <c r="A346" i="41" s="1"/>
  <c r="A358" i="41" s="1"/>
  <c r="A370" i="41" s="1"/>
  <c r="A382" i="41" s="1"/>
  <c r="A394" i="41" s="1"/>
  <c r="A406" i="41" s="1"/>
  <c r="A418" i="41" s="1"/>
  <c r="A430" i="41" s="1"/>
  <c r="A442" i="41" s="1"/>
  <c r="A179" i="41"/>
  <c r="A191" i="41" s="1"/>
  <c r="A203" i="41" s="1"/>
  <c r="A215" i="41" s="1"/>
  <c r="A227" i="41" s="1"/>
  <c r="A239" i="41" s="1"/>
  <c r="A251" i="41" s="1"/>
  <c r="A263" i="41" s="1"/>
  <c r="A275" i="41" s="1"/>
  <c r="A287" i="41" s="1"/>
  <c r="A299" i="41" s="1"/>
  <c r="A311" i="41" s="1"/>
  <c r="A323" i="41" s="1"/>
  <c r="A335" i="41" s="1"/>
  <c r="A347" i="41" s="1"/>
  <c r="A359" i="41" s="1"/>
  <c r="A371" i="41" s="1"/>
  <c r="A383" i="41" s="1"/>
  <c r="A395" i="41" s="1"/>
  <c r="A407" i="41" s="1"/>
  <c r="A419" i="41" s="1"/>
  <c r="A431" i="41" s="1"/>
  <c r="A443" i="41" s="1"/>
  <c r="A180" i="41"/>
  <c r="A192" i="41" s="1"/>
  <c r="A204" i="41" s="1"/>
  <c r="A216" i="41" s="1"/>
  <c r="A228" i="41" s="1"/>
  <c r="A240" i="41" s="1"/>
  <c r="A252" i="41" s="1"/>
  <c r="A264" i="41" s="1"/>
  <c r="A276" i="41" s="1"/>
  <c r="A288" i="41" s="1"/>
  <c r="A300" i="41" s="1"/>
  <c r="A312" i="41" s="1"/>
  <c r="A324" i="41" s="1"/>
  <c r="A336" i="41" s="1"/>
  <c r="A348" i="41" s="1"/>
  <c r="A360" i="41" s="1"/>
  <c r="A372" i="41" s="1"/>
  <c r="A384" i="41" s="1"/>
  <c r="A396" i="41" s="1"/>
  <c r="A408" i="41" s="1"/>
  <c r="A420" i="41" s="1"/>
  <c r="A432" i="41" s="1"/>
  <c r="A444" i="41" s="1"/>
  <c r="A181" i="41"/>
  <c r="A193" i="41" s="1"/>
  <c r="A205" i="41" s="1"/>
  <c r="A217" i="41" s="1"/>
  <c r="A229" i="41" s="1"/>
  <c r="A241" i="41" s="1"/>
  <c r="A253" i="41" s="1"/>
  <c r="A265" i="41" s="1"/>
  <c r="A277" i="41" s="1"/>
  <c r="A289" i="41" s="1"/>
  <c r="A301" i="41" s="1"/>
  <c r="A313" i="41" s="1"/>
  <c r="A325" i="41" s="1"/>
  <c r="A337" i="41" s="1"/>
  <c r="A349" i="41" s="1"/>
  <c r="A361" i="41" s="1"/>
  <c r="A373" i="41" s="1"/>
  <c r="A385" i="41" s="1"/>
  <c r="A397" i="41" s="1"/>
  <c r="A409" i="41" s="1"/>
  <c r="A421" i="41" s="1"/>
  <c r="A433" i="41" s="1"/>
  <c r="A445" i="41" s="1"/>
  <c r="A182" i="41"/>
  <c r="A194" i="41" s="1"/>
  <c r="A206" i="41" s="1"/>
  <c r="A218" i="41" s="1"/>
  <c r="A230" i="41" s="1"/>
  <c r="A242" i="41" s="1"/>
  <c r="A254" i="41" s="1"/>
  <c r="A266" i="41" s="1"/>
  <c r="A278" i="41" s="1"/>
  <c r="A290" i="41" s="1"/>
  <c r="A302" i="41" s="1"/>
  <c r="A314" i="41" s="1"/>
  <c r="A326" i="41" s="1"/>
  <c r="A338" i="41" s="1"/>
  <c r="A350" i="41" s="1"/>
  <c r="A362" i="41" s="1"/>
  <c r="A374" i="41" s="1"/>
  <c r="A386" i="41" s="1"/>
  <c r="A398" i="41" s="1"/>
  <c r="A410" i="41" s="1"/>
  <c r="A422" i="41" s="1"/>
  <c r="A434" i="41" s="1"/>
  <c r="A446" i="41" s="1"/>
  <c r="A183" i="41"/>
  <c r="A195" i="41" s="1"/>
  <c r="A207" i="41" s="1"/>
  <c r="A219" i="41" s="1"/>
  <c r="A231" i="41" s="1"/>
  <c r="A243" i="41" s="1"/>
  <c r="A255" i="41" s="1"/>
  <c r="A267" i="41" s="1"/>
  <c r="A279" i="41" s="1"/>
  <c r="A291" i="41" s="1"/>
  <c r="A303" i="41" s="1"/>
  <c r="A315" i="41" s="1"/>
  <c r="A327" i="41" s="1"/>
  <c r="A339" i="41" s="1"/>
  <c r="A351" i="41" s="1"/>
  <c r="A363" i="41" s="1"/>
  <c r="A375" i="41" s="1"/>
  <c r="A387" i="41" s="1"/>
  <c r="A399" i="41" s="1"/>
  <c r="A411" i="41" s="1"/>
  <c r="A423" i="41" s="1"/>
  <c r="A435" i="41" s="1"/>
  <c r="A447" i="41" s="1"/>
  <c r="A184" i="41"/>
  <c r="A196" i="41" s="1"/>
  <c r="A208" i="41" s="1"/>
  <c r="A220" i="41" s="1"/>
  <c r="A232" i="41" s="1"/>
  <c r="A244" i="41" s="1"/>
  <c r="A256" i="41" s="1"/>
  <c r="A268" i="41" s="1"/>
  <c r="A280" i="41" s="1"/>
  <c r="A292" i="41" s="1"/>
  <c r="A304" i="41" s="1"/>
  <c r="A316" i="41" s="1"/>
  <c r="A328" i="41" s="1"/>
  <c r="A340" i="41" s="1"/>
  <c r="A352" i="41" s="1"/>
  <c r="A364" i="41" s="1"/>
  <c r="A376" i="41" s="1"/>
  <c r="A388" i="41" s="1"/>
  <c r="A400" i="41" s="1"/>
  <c r="A412" i="41" s="1"/>
  <c r="A424" i="41" s="1"/>
  <c r="A436" i="41" s="1"/>
  <c r="A448" i="41" s="1"/>
  <c r="A185" i="41"/>
  <c r="A197" i="41" s="1"/>
  <c r="A209" i="41" s="1"/>
  <c r="A221" i="41" s="1"/>
  <c r="A233" i="41" s="1"/>
  <c r="A245" i="41" s="1"/>
  <c r="A257" i="41" s="1"/>
  <c r="A269" i="41" s="1"/>
  <c r="A281" i="41" s="1"/>
  <c r="A293" i="41" s="1"/>
  <c r="A305" i="41" s="1"/>
  <c r="A317" i="41" s="1"/>
  <c r="A329" i="41" s="1"/>
  <c r="A341" i="41" s="1"/>
  <c r="A353" i="41" s="1"/>
  <c r="A365" i="41" s="1"/>
  <c r="A377" i="41" s="1"/>
  <c r="A389" i="41" s="1"/>
  <c r="A401" i="41" s="1"/>
  <c r="A413" i="41" s="1"/>
  <c r="A425" i="41" s="1"/>
  <c r="A437" i="41" s="1"/>
  <c r="A449" i="41" s="1"/>
  <c r="A186" i="41"/>
  <c r="A198" i="41" s="1"/>
  <c r="A210" i="41" s="1"/>
  <c r="A222" i="41" s="1"/>
  <c r="A234" i="41" s="1"/>
  <c r="A246" i="41" s="1"/>
  <c r="A258" i="41" s="1"/>
  <c r="A270" i="41" s="1"/>
  <c r="A282" i="41" s="1"/>
  <c r="A294" i="41" s="1"/>
  <c r="A306" i="41" s="1"/>
  <c r="A318" i="41" s="1"/>
  <c r="A330" i="41" s="1"/>
  <c r="A342" i="41" s="1"/>
  <c r="A354" i="41" s="1"/>
  <c r="A366" i="41" s="1"/>
  <c r="A378" i="41" s="1"/>
  <c r="A390" i="41" s="1"/>
  <c r="A402" i="41" s="1"/>
  <c r="A414" i="41" s="1"/>
  <c r="A426" i="41" s="1"/>
  <c r="A438" i="41" s="1"/>
  <c r="A450" i="41" s="1"/>
  <c r="A187" i="41"/>
  <c r="A199" i="41" s="1"/>
  <c r="A211" i="41" s="1"/>
  <c r="A223" i="41" s="1"/>
  <c r="A235" i="41" s="1"/>
  <c r="A247" i="41" s="1"/>
  <c r="A259" i="41" s="1"/>
  <c r="A271" i="41" s="1"/>
  <c r="A283" i="41" s="1"/>
  <c r="A295" i="41" s="1"/>
  <c r="A307" i="41" s="1"/>
  <c r="A319" i="41" s="1"/>
  <c r="A331" i="41" s="1"/>
  <c r="A343" i="41" s="1"/>
  <c r="A355" i="41" s="1"/>
  <c r="A367" i="41" s="1"/>
  <c r="A379" i="41" s="1"/>
  <c r="A391" i="41" s="1"/>
  <c r="A403" i="41" s="1"/>
  <c r="A415" i="41" s="1"/>
  <c r="A427" i="41" s="1"/>
  <c r="A439" i="41" s="1"/>
  <c r="A451" i="41" s="1"/>
  <c r="A188" i="41"/>
  <c r="A200" i="41" s="1"/>
  <c r="A212" i="41" s="1"/>
  <c r="A224" i="41" s="1"/>
  <c r="A236" i="41" s="1"/>
  <c r="A248" i="41" s="1"/>
  <c r="A260" i="41" s="1"/>
  <c r="A272" i="41" s="1"/>
  <c r="A284" i="41" s="1"/>
  <c r="A296" i="41" s="1"/>
  <c r="A308" i="41" s="1"/>
  <c r="A320" i="41" s="1"/>
  <c r="A332" i="41" s="1"/>
  <c r="A344" i="41" s="1"/>
  <c r="A356" i="41" s="1"/>
  <c r="A368" i="41" s="1"/>
  <c r="A380" i="41" s="1"/>
  <c r="A392" i="41" s="1"/>
  <c r="A404" i="41" s="1"/>
  <c r="A416" i="41" s="1"/>
  <c r="A428" i="41" s="1"/>
  <c r="A440" i="41" s="1"/>
  <c r="A452" i="41" s="1"/>
  <c r="A189" i="41"/>
  <c r="A201" i="41" s="1"/>
  <c r="A213" i="41" s="1"/>
  <c r="A225" i="41" s="1"/>
  <c r="A237" i="41" s="1"/>
  <c r="A249" i="41" s="1"/>
  <c r="A261" i="41" s="1"/>
  <c r="A273" i="41" s="1"/>
  <c r="A285" i="41" s="1"/>
  <c r="A297" i="41" s="1"/>
  <c r="A309" i="41" s="1"/>
  <c r="A321" i="41" s="1"/>
  <c r="A333" i="41" s="1"/>
  <c r="A345" i="41" s="1"/>
  <c r="A357" i="41" s="1"/>
  <c r="A369" i="41" s="1"/>
  <c r="A381" i="41" s="1"/>
  <c r="A393" i="41" s="1"/>
  <c r="A405" i="41" s="1"/>
  <c r="A417" i="41" s="1"/>
  <c r="A429" i="41" s="1"/>
  <c r="A441" i="41" s="1"/>
  <c r="A453" i="41" s="1"/>
  <c r="A106" i="14"/>
  <c r="A118" i="14" s="1"/>
  <c r="A130" i="14" s="1"/>
  <c r="A142" i="14" s="1"/>
  <c r="A154" i="14" s="1"/>
  <c r="A166" i="14" s="1"/>
  <c r="A178" i="14" s="1"/>
  <c r="A190" i="14" s="1"/>
  <c r="A202" i="14" s="1"/>
  <c r="A214" i="14" s="1"/>
  <c r="A226" i="14" s="1"/>
  <c r="A238" i="14" s="1"/>
  <c r="A250" i="14" s="1"/>
  <c r="A262" i="14" s="1"/>
  <c r="A274" i="14" s="1"/>
  <c r="A286" i="14" s="1"/>
  <c r="A298" i="14" s="1"/>
  <c r="A310" i="14" s="1"/>
  <c r="A322" i="14" s="1"/>
  <c r="A334" i="14" s="1"/>
  <c r="A346" i="14" s="1"/>
  <c r="A358" i="14" s="1"/>
  <c r="A370" i="14" s="1"/>
  <c r="A107" i="14"/>
  <c r="A119" i="14" s="1"/>
  <c r="A131" i="14" s="1"/>
  <c r="A143" i="14" s="1"/>
  <c r="A155" i="14" s="1"/>
  <c r="A167" i="14" s="1"/>
  <c r="A179" i="14" s="1"/>
  <c r="A191" i="14" s="1"/>
  <c r="A203" i="14" s="1"/>
  <c r="A215" i="14" s="1"/>
  <c r="A227" i="14" s="1"/>
  <c r="A239" i="14" s="1"/>
  <c r="A251" i="14" s="1"/>
  <c r="A263" i="14" s="1"/>
  <c r="A275" i="14" s="1"/>
  <c r="A287" i="14" s="1"/>
  <c r="A299" i="14" s="1"/>
  <c r="A311" i="14" s="1"/>
  <c r="A323" i="14" s="1"/>
  <c r="A335" i="14" s="1"/>
  <c r="A347" i="14" s="1"/>
  <c r="A359" i="14" s="1"/>
  <c r="A371" i="14" s="1"/>
  <c r="A108" i="14"/>
  <c r="A120" i="14" s="1"/>
  <c r="A132" i="14" s="1"/>
  <c r="A144" i="14" s="1"/>
  <c r="A156" i="14" s="1"/>
  <c r="A168" i="14" s="1"/>
  <c r="A180" i="14" s="1"/>
  <c r="A192" i="14" s="1"/>
  <c r="A204" i="14" s="1"/>
  <c r="A216" i="14" s="1"/>
  <c r="A228" i="14" s="1"/>
  <c r="A240" i="14" s="1"/>
  <c r="A252" i="14" s="1"/>
  <c r="A264" i="14" s="1"/>
  <c r="A276" i="14" s="1"/>
  <c r="A288" i="14" s="1"/>
  <c r="A300" i="14" s="1"/>
  <c r="A312" i="14" s="1"/>
  <c r="A324" i="14" s="1"/>
  <c r="A336" i="14" s="1"/>
  <c r="A348" i="14" s="1"/>
  <c r="A360" i="14" s="1"/>
  <c r="A372" i="14" s="1"/>
  <c r="A109" i="14"/>
  <c r="A121" i="14" s="1"/>
  <c r="A133" i="14" s="1"/>
  <c r="A145" i="14" s="1"/>
  <c r="A157" i="14" s="1"/>
  <c r="A169" i="14" s="1"/>
  <c r="A181" i="14" s="1"/>
  <c r="A193" i="14" s="1"/>
  <c r="A205" i="14" s="1"/>
  <c r="A217" i="14" s="1"/>
  <c r="A229" i="14" s="1"/>
  <c r="A241" i="14" s="1"/>
  <c r="A253" i="14" s="1"/>
  <c r="A265" i="14" s="1"/>
  <c r="A277" i="14" s="1"/>
  <c r="A289" i="14" s="1"/>
  <c r="A301" i="14" s="1"/>
  <c r="A313" i="14" s="1"/>
  <c r="A325" i="14" s="1"/>
  <c r="A337" i="14" s="1"/>
  <c r="A349" i="14" s="1"/>
  <c r="A361" i="14" s="1"/>
  <c r="A373" i="14" s="1"/>
  <c r="A110" i="14"/>
  <c r="A122" i="14" s="1"/>
  <c r="A134" i="14" s="1"/>
  <c r="A146" i="14" s="1"/>
  <c r="A158" i="14" s="1"/>
  <c r="A170" i="14" s="1"/>
  <c r="A182" i="14" s="1"/>
  <c r="A194" i="14" s="1"/>
  <c r="A206" i="14" s="1"/>
  <c r="A218" i="14" s="1"/>
  <c r="A230" i="14" s="1"/>
  <c r="A242" i="14" s="1"/>
  <c r="A254" i="14" s="1"/>
  <c r="A266" i="14" s="1"/>
  <c r="A278" i="14" s="1"/>
  <c r="A290" i="14" s="1"/>
  <c r="A302" i="14" s="1"/>
  <c r="A314" i="14" s="1"/>
  <c r="A326" i="14" s="1"/>
  <c r="A338" i="14" s="1"/>
  <c r="A350" i="14" s="1"/>
  <c r="A362" i="14" s="1"/>
  <c r="A374" i="14" s="1"/>
  <c r="A111" i="14"/>
  <c r="A123" i="14" s="1"/>
  <c r="A135" i="14" s="1"/>
  <c r="A147" i="14" s="1"/>
  <c r="A159" i="14" s="1"/>
  <c r="A171" i="14" s="1"/>
  <c r="A183" i="14" s="1"/>
  <c r="A195" i="14" s="1"/>
  <c r="A207" i="14" s="1"/>
  <c r="A219" i="14" s="1"/>
  <c r="A231" i="14" s="1"/>
  <c r="A243" i="14" s="1"/>
  <c r="A255" i="14" s="1"/>
  <c r="A267" i="14" s="1"/>
  <c r="A279" i="14" s="1"/>
  <c r="A291" i="14" s="1"/>
  <c r="A303" i="14" s="1"/>
  <c r="A315" i="14" s="1"/>
  <c r="A327" i="14" s="1"/>
  <c r="A339" i="14" s="1"/>
  <c r="A351" i="14" s="1"/>
  <c r="A363" i="14" s="1"/>
  <c r="A375" i="14" s="1"/>
  <c r="A112" i="14"/>
  <c r="A124" i="14" s="1"/>
  <c r="A136" i="14" s="1"/>
  <c r="A148" i="14" s="1"/>
  <c r="A160" i="14" s="1"/>
  <c r="A172" i="14" s="1"/>
  <c r="A184" i="14" s="1"/>
  <c r="A196" i="14" s="1"/>
  <c r="A208" i="14" s="1"/>
  <c r="A220" i="14" s="1"/>
  <c r="A232" i="14" s="1"/>
  <c r="A244" i="14" s="1"/>
  <c r="A256" i="14" s="1"/>
  <c r="A268" i="14" s="1"/>
  <c r="A280" i="14" s="1"/>
  <c r="A292" i="14" s="1"/>
  <c r="A304" i="14" s="1"/>
  <c r="A316" i="14" s="1"/>
  <c r="A328" i="14" s="1"/>
  <c r="A340" i="14" s="1"/>
  <c r="A352" i="14" s="1"/>
  <c r="A364" i="14" s="1"/>
  <c r="A376" i="14" s="1"/>
  <c r="A113" i="14"/>
  <c r="A125" i="14" s="1"/>
  <c r="A137" i="14" s="1"/>
  <c r="A149" i="14" s="1"/>
  <c r="A161" i="14" s="1"/>
  <c r="A173" i="14" s="1"/>
  <c r="A185" i="14" s="1"/>
  <c r="A197" i="14" s="1"/>
  <c r="A209" i="14" s="1"/>
  <c r="A221" i="14" s="1"/>
  <c r="A233" i="14" s="1"/>
  <c r="A245" i="14" s="1"/>
  <c r="A257" i="14" s="1"/>
  <c r="A269" i="14" s="1"/>
  <c r="A281" i="14" s="1"/>
  <c r="A293" i="14" s="1"/>
  <c r="A305" i="14" s="1"/>
  <c r="A317" i="14" s="1"/>
  <c r="A329" i="14" s="1"/>
  <c r="A341" i="14" s="1"/>
  <c r="A353" i="14" s="1"/>
  <c r="A365" i="14" s="1"/>
  <c r="A377" i="14" s="1"/>
  <c r="A114" i="14"/>
  <c r="A126" i="14" s="1"/>
  <c r="A138" i="14" s="1"/>
  <c r="A150" i="14" s="1"/>
  <c r="A162" i="14" s="1"/>
  <c r="A174" i="14" s="1"/>
  <c r="A186" i="14" s="1"/>
  <c r="A198" i="14" s="1"/>
  <c r="A210" i="14" s="1"/>
  <c r="A222" i="14" s="1"/>
  <c r="A234" i="14" s="1"/>
  <c r="A246" i="14" s="1"/>
  <c r="A258" i="14" s="1"/>
  <c r="A270" i="14" s="1"/>
  <c r="A282" i="14" s="1"/>
  <c r="A294" i="14" s="1"/>
  <c r="A306" i="14" s="1"/>
  <c r="A318" i="14" s="1"/>
  <c r="A330" i="14" s="1"/>
  <c r="A342" i="14" s="1"/>
  <c r="A354" i="14" s="1"/>
  <c r="A366" i="14" s="1"/>
  <c r="A378" i="14" s="1"/>
  <c r="A115" i="14"/>
  <c r="A127" i="14" s="1"/>
  <c r="A139" i="14" s="1"/>
  <c r="A151" i="14" s="1"/>
  <c r="A163" i="14" s="1"/>
  <c r="A175" i="14" s="1"/>
  <c r="A187" i="14" s="1"/>
  <c r="A199" i="14" s="1"/>
  <c r="A211" i="14" s="1"/>
  <c r="A223" i="14" s="1"/>
  <c r="A235" i="14" s="1"/>
  <c r="A247" i="14" s="1"/>
  <c r="A259" i="14" s="1"/>
  <c r="A271" i="14" s="1"/>
  <c r="A283" i="14" s="1"/>
  <c r="A295" i="14" s="1"/>
  <c r="A307" i="14" s="1"/>
  <c r="A319" i="14" s="1"/>
  <c r="A331" i="14" s="1"/>
  <c r="A343" i="14" s="1"/>
  <c r="A355" i="14" s="1"/>
  <c r="A367" i="14" s="1"/>
  <c r="A379" i="14" s="1"/>
  <c r="A116" i="14"/>
  <c r="A128" i="14" s="1"/>
  <c r="A140" i="14" s="1"/>
  <c r="A152" i="14" s="1"/>
  <c r="A164" i="14" s="1"/>
  <c r="A176" i="14" s="1"/>
  <c r="A188" i="14" s="1"/>
  <c r="A200" i="14" s="1"/>
  <c r="A212" i="14" s="1"/>
  <c r="A224" i="14" s="1"/>
  <c r="A236" i="14" s="1"/>
  <c r="A248" i="14" s="1"/>
  <c r="A260" i="14" s="1"/>
  <c r="A272" i="14" s="1"/>
  <c r="A284" i="14" s="1"/>
  <c r="A296" i="14" s="1"/>
  <c r="A308" i="14" s="1"/>
  <c r="A320" i="14" s="1"/>
  <c r="A332" i="14" s="1"/>
  <c r="A344" i="14" s="1"/>
  <c r="A356" i="14" s="1"/>
  <c r="A368" i="14" s="1"/>
  <c r="A380" i="14" s="1"/>
  <c r="A117" i="14"/>
  <c r="A129" i="14" s="1"/>
  <c r="A141" i="14" s="1"/>
  <c r="A153" i="14" s="1"/>
  <c r="A165" i="14" s="1"/>
  <c r="A177" i="14" s="1"/>
  <c r="A189" i="14" s="1"/>
  <c r="A201" i="14" s="1"/>
  <c r="A213" i="14" s="1"/>
  <c r="A225" i="14" s="1"/>
  <c r="A237" i="14" s="1"/>
  <c r="A249" i="14" s="1"/>
  <c r="A261" i="14" s="1"/>
  <c r="A273" i="14" s="1"/>
  <c r="A285" i="14" s="1"/>
  <c r="A297" i="14" s="1"/>
  <c r="A309" i="14" s="1"/>
  <c r="A321" i="14" s="1"/>
  <c r="A333" i="14" s="1"/>
  <c r="A345" i="14" s="1"/>
  <c r="A357" i="14" s="1"/>
  <c r="A369" i="14" s="1"/>
  <c r="A381" i="14" s="1"/>
  <c r="A190" i="65"/>
  <c r="A202" i="65" s="1"/>
  <c r="A214" i="65" s="1"/>
  <c r="A226" i="65" s="1"/>
  <c r="A238" i="65" s="1"/>
  <c r="A250" i="65" s="1"/>
  <c r="A262" i="65" s="1"/>
  <c r="A274" i="65" s="1"/>
  <c r="A286" i="65" s="1"/>
  <c r="A298" i="65" s="1"/>
  <c r="A310" i="65" s="1"/>
  <c r="A322" i="65" s="1"/>
  <c r="A334" i="65" s="1"/>
  <c r="A346" i="65" s="1"/>
  <c r="A358" i="65" s="1"/>
  <c r="A370" i="65" s="1"/>
  <c r="A382" i="65" s="1"/>
  <c r="A394" i="65" s="1"/>
  <c r="A406" i="65" s="1"/>
  <c r="A418" i="65" s="1"/>
  <c r="A430" i="65" s="1"/>
  <c r="A442" i="65" s="1"/>
  <c r="A454" i="65" s="1"/>
  <c r="A191" i="65"/>
  <c r="A203" i="65" s="1"/>
  <c r="A215" i="65" s="1"/>
  <c r="A227" i="65" s="1"/>
  <c r="A239" i="65" s="1"/>
  <c r="A251" i="65" s="1"/>
  <c r="A263" i="65" s="1"/>
  <c r="A275" i="65" s="1"/>
  <c r="A287" i="65" s="1"/>
  <c r="A299" i="65" s="1"/>
  <c r="A311" i="65" s="1"/>
  <c r="A323" i="65" s="1"/>
  <c r="A335" i="65" s="1"/>
  <c r="A347" i="65" s="1"/>
  <c r="A359" i="65" s="1"/>
  <c r="A371" i="65" s="1"/>
  <c r="A383" i="65" s="1"/>
  <c r="A395" i="65" s="1"/>
  <c r="A407" i="65" s="1"/>
  <c r="A419" i="65" s="1"/>
  <c r="A431" i="65" s="1"/>
  <c r="A443" i="65" s="1"/>
  <c r="A455" i="65" s="1"/>
  <c r="A192" i="65"/>
  <c r="A204" i="65" s="1"/>
  <c r="A216" i="65" s="1"/>
  <c r="A228" i="65" s="1"/>
  <c r="A240" i="65" s="1"/>
  <c r="A252" i="65" s="1"/>
  <c r="A264" i="65" s="1"/>
  <c r="A276" i="65" s="1"/>
  <c r="A288" i="65" s="1"/>
  <c r="A300" i="65" s="1"/>
  <c r="A312" i="65" s="1"/>
  <c r="A324" i="65" s="1"/>
  <c r="A336" i="65" s="1"/>
  <c r="A348" i="65" s="1"/>
  <c r="A360" i="65" s="1"/>
  <c r="A372" i="65" s="1"/>
  <c r="A384" i="65" s="1"/>
  <c r="A396" i="65" s="1"/>
  <c r="A408" i="65" s="1"/>
  <c r="A420" i="65" s="1"/>
  <c r="A432" i="65" s="1"/>
  <c r="A444" i="65" s="1"/>
  <c r="A456" i="65" s="1"/>
  <c r="A193" i="65"/>
  <c r="A205" i="65" s="1"/>
  <c r="A217" i="65" s="1"/>
  <c r="A229" i="65" s="1"/>
  <c r="A241" i="65" s="1"/>
  <c r="A253" i="65" s="1"/>
  <c r="A265" i="65" s="1"/>
  <c r="A277" i="65" s="1"/>
  <c r="A289" i="65" s="1"/>
  <c r="A301" i="65" s="1"/>
  <c r="A313" i="65" s="1"/>
  <c r="A325" i="65" s="1"/>
  <c r="A337" i="65" s="1"/>
  <c r="A349" i="65" s="1"/>
  <c r="A361" i="65" s="1"/>
  <c r="A373" i="65" s="1"/>
  <c r="A385" i="65" s="1"/>
  <c r="A397" i="65" s="1"/>
  <c r="A409" i="65" s="1"/>
  <c r="A421" i="65" s="1"/>
  <c r="A433" i="65" s="1"/>
  <c r="A445" i="65" s="1"/>
  <c r="A457" i="65" s="1"/>
  <c r="A194" i="65"/>
  <c r="A206" i="65" s="1"/>
  <c r="A218" i="65" s="1"/>
  <c r="A230" i="65" s="1"/>
  <c r="A242" i="65" s="1"/>
  <c r="A254" i="65" s="1"/>
  <c r="A266" i="65" s="1"/>
  <c r="A278" i="65" s="1"/>
  <c r="A290" i="65" s="1"/>
  <c r="A302" i="65" s="1"/>
  <c r="A314" i="65" s="1"/>
  <c r="A326" i="65" s="1"/>
  <c r="A338" i="65" s="1"/>
  <c r="A350" i="65" s="1"/>
  <c r="A362" i="65" s="1"/>
  <c r="A374" i="65" s="1"/>
  <c r="A386" i="65" s="1"/>
  <c r="A398" i="65" s="1"/>
  <c r="A410" i="65" s="1"/>
  <c r="A422" i="65" s="1"/>
  <c r="A434" i="65" s="1"/>
  <c r="A446" i="65" s="1"/>
  <c r="A458" i="65" s="1"/>
  <c r="A195" i="65"/>
  <c r="A207" i="65" s="1"/>
  <c r="A219" i="65" s="1"/>
  <c r="A231" i="65" s="1"/>
  <c r="A243" i="65" s="1"/>
  <c r="A255" i="65" s="1"/>
  <c r="A267" i="65" s="1"/>
  <c r="A279" i="65" s="1"/>
  <c r="A291" i="65" s="1"/>
  <c r="A303" i="65" s="1"/>
  <c r="A315" i="65" s="1"/>
  <c r="A327" i="65" s="1"/>
  <c r="A339" i="65" s="1"/>
  <c r="A351" i="65" s="1"/>
  <c r="A363" i="65" s="1"/>
  <c r="A375" i="65" s="1"/>
  <c r="A387" i="65" s="1"/>
  <c r="A399" i="65" s="1"/>
  <c r="A411" i="65" s="1"/>
  <c r="A423" i="65" s="1"/>
  <c r="A435" i="65" s="1"/>
  <c r="A447" i="65" s="1"/>
  <c r="A459" i="65" s="1"/>
  <c r="A196" i="65"/>
  <c r="A208" i="65" s="1"/>
  <c r="A220" i="65" s="1"/>
  <c r="A232" i="65" s="1"/>
  <c r="A244" i="65" s="1"/>
  <c r="A256" i="65" s="1"/>
  <c r="A268" i="65" s="1"/>
  <c r="A280" i="65" s="1"/>
  <c r="A292" i="65" s="1"/>
  <c r="A304" i="65" s="1"/>
  <c r="A316" i="65" s="1"/>
  <c r="A328" i="65" s="1"/>
  <c r="A340" i="65" s="1"/>
  <c r="A352" i="65" s="1"/>
  <c r="A364" i="65" s="1"/>
  <c r="A376" i="65" s="1"/>
  <c r="A388" i="65" s="1"/>
  <c r="A400" i="65" s="1"/>
  <c r="A412" i="65" s="1"/>
  <c r="A424" i="65" s="1"/>
  <c r="A436" i="65" s="1"/>
  <c r="A448" i="65" s="1"/>
  <c r="A460" i="65" s="1"/>
  <c r="A197" i="65"/>
  <c r="A209" i="65" s="1"/>
  <c r="A221" i="65" s="1"/>
  <c r="A233" i="65" s="1"/>
  <c r="A245" i="65" s="1"/>
  <c r="A257" i="65" s="1"/>
  <c r="A269" i="65" s="1"/>
  <c r="A281" i="65" s="1"/>
  <c r="A293" i="65" s="1"/>
  <c r="A305" i="65" s="1"/>
  <c r="A317" i="65" s="1"/>
  <c r="A329" i="65" s="1"/>
  <c r="A341" i="65" s="1"/>
  <c r="A353" i="65" s="1"/>
  <c r="A365" i="65" s="1"/>
  <c r="A377" i="65" s="1"/>
  <c r="A389" i="65" s="1"/>
  <c r="A401" i="65" s="1"/>
  <c r="A413" i="65" s="1"/>
  <c r="A425" i="65" s="1"/>
  <c r="A437" i="65" s="1"/>
  <c r="A449" i="65" s="1"/>
  <c r="A461" i="65" s="1"/>
  <c r="A198" i="65"/>
  <c r="A210" i="65" s="1"/>
  <c r="A222" i="65" s="1"/>
  <c r="A234" i="65" s="1"/>
  <c r="A246" i="65" s="1"/>
  <c r="A258" i="65" s="1"/>
  <c r="A270" i="65" s="1"/>
  <c r="A282" i="65" s="1"/>
  <c r="A294" i="65" s="1"/>
  <c r="A306" i="65" s="1"/>
  <c r="A318" i="65" s="1"/>
  <c r="A330" i="65" s="1"/>
  <c r="A342" i="65" s="1"/>
  <c r="A354" i="65" s="1"/>
  <c r="A366" i="65" s="1"/>
  <c r="A378" i="65" s="1"/>
  <c r="A390" i="65" s="1"/>
  <c r="A402" i="65" s="1"/>
  <c r="A414" i="65" s="1"/>
  <c r="A426" i="65" s="1"/>
  <c r="A438" i="65" s="1"/>
  <c r="A450" i="65" s="1"/>
  <c r="A462" i="65" s="1"/>
  <c r="A199" i="65"/>
  <c r="A211" i="65" s="1"/>
  <c r="A223" i="65" s="1"/>
  <c r="A235" i="65" s="1"/>
  <c r="A247" i="65" s="1"/>
  <c r="A259" i="65" s="1"/>
  <c r="A271" i="65" s="1"/>
  <c r="A283" i="65" s="1"/>
  <c r="A295" i="65" s="1"/>
  <c r="A307" i="65" s="1"/>
  <c r="A319" i="65" s="1"/>
  <c r="A331" i="65" s="1"/>
  <c r="A343" i="65" s="1"/>
  <c r="A355" i="65" s="1"/>
  <c r="A367" i="65" s="1"/>
  <c r="A379" i="65" s="1"/>
  <c r="A391" i="65" s="1"/>
  <c r="A403" i="65" s="1"/>
  <c r="A415" i="65" s="1"/>
  <c r="A427" i="65" s="1"/>
  <c r="A439" i="65" s="1"/>
  <c r="A451" i="65" s="1"/>
  <c r="A463" i="65" s="1"/>
  <c r="A200" i="65"/>
  <c r="A212" i="65" s="1"/>
  <c r="A224" i="65" s="1"/>
  <c r="A236" i="65" s="1"/>
  <c r="A248" i="65" s="1"/>
  <c r="A260" i="65" s="1"/>
  <c r="A272" i="65" s="1"/>
  <c r="A284" i="65" s="1"/>
  <c r="A296" i="65" s="1"/>
  <c r="A308" i="65" s="1"/>
  <c r="A320" i="65" s="1"/>
  <c r="A332" i="65" s="1"/>
  <c r="A344" i="65" s="1"/>
  <c r="A356" i="65" s="1"/>
  <c r="A368" i="65" s="1"/>
  <c r="A380" i="65" s="1"/>
  <c r="A392" i="65" s="1"/>
  <c r="A404" i="65" s="1"/>
  <c r="A416" i="65" s="1"/>
  <c r="A428" i="65" s="1"/>
  <c r="A440" i="65" s="1"/>
  <c r="A452" i="65" s="1"/>
  <c r="A464" i="65" s="1"/>
  <c r="A201" i="65"/>
  <c r="A213" i="65" s="1"/>
  <c r="A225" i="65" s="1"/>
  <c r="A237" i="65" s="1"/>
  <c r="A249" i="65" s="1"/>
  <c r="A261" i="65" s="1"/>
  <c r="A273" i="65" s="1"/>
  <c r="A285" i="65" s="1"/>
  <c r="A297" i="65" s="1"/>
  <c r="A309" i="65" s="1"/>
  <c r="A321" i="65" s="1"/>
  <c r="A333" i="65" s="1"/>
  <c r="A345" i="65" s="1"/>
  <c r="A357" i="65" s="1"/>
  <c r="A369" i="65" s="1"/>
  <c r="A381" i="65" s="1"/>
  <c r="A393" i="65" s="1"/>
  <c r="A405" i="65" s="1"/>
  <c r="A417" i="65" s="1"/>
  <c r="A429" i="65" s="1"/>
  <c r="A441" i="65" s="1"/>
  <c r="A453" i="65" s="1"/>
  <c r="A465" i="65" s="1"/>
  <c r="A190" i="64"/>
  <c r="A202" i="64" s="1"/>
  <c r="A214" i="64" s="1"/>
  <c r="A226" i="64" s="1"/>
  <c r="A238" i="64" s="1"/>
  <c r="A250" i="64" s="1"/>
  <c r="A262" i="64" s="1"/>
  <c r="A274" i="64" s="1"/>
  <c r="A286" i="64" s="1"/>
  <c r="A298" i="64" s="1"/>
  <c r="A310" i="64" s="1"/>
  <c r="A322" i="64" s="1"/>
  <c r="A334" i="64" s="1"/>
  <c r="A346" i="64" s="1"/>
  <c r="A358" i="64" s="1"/>
  <c r="A370" i="64" s="1"/>
  <c r="A382" i="64" s="1"/>
  <c r="A394" i="64" s="1"/>
  <c r="A406" i="64" s="1"/>
  <c r="A418" i="64" s="1"/>
  <c r="A430" i="64" s="1"/>
  <c r="A442" i="64" s="1"/>
  <c r="A454" i="64" s="1"/>
  <c r="A191" i="64"/>
  <c r="A203" i="64" s="1"/>
  <c r="A215" i="64" s="1"/>
  <c r="A227" i="64" s="1"/>
  <c r="A239" i="64" s="1"/>
  <c r="A251" i="64" s="1"/>
  <c r="A263" i="64" s="1"/>
  <c r="A275" i="64" s="1"/>
  <c r="A287" i="64" s="1"/>
  <c r="A299" i="64" s="1"/>
  <c r="A311" i="64" s="1"/>
  <c r="A323" i="64" s="1"/>
  <c r="A335" i="64" s="1"/>
  <c r="A347" i="64" s="1"/>
  <c r="A359" i="64" s="1"/>
  <c r="A371" i="64" s="1"/>
  <c r="A383" i="64" s="1"/>
  <c r="A395" i="64" s="1"/>
  <c r="A407" i="64" s="1"/>
  <c r="A419" i="64" s="1"/>
  <c r="A431" i="64" s="1"/>
  <c r="A443" i="64" s="1"/>
  <c r="A455" i="64" s="1"/>
  <c r="A192" i="64"/>
  <c r="A204" i="64" s="1"/>
  <c r="A216" i="64" s="1"/>
  <c r="A228" i="64" s="1"/>
  <c r="A240" i="64" s="1"/>
  <c r="A252" i="64" s="1"/>
  <c r="A264" i="64" s="1"/>
  <c r="A276" i="64" s="1"/>
  <c r="A288" i="64" s="1"/>
  <c r="A300" i="64" s="1"/>
  <c r="A312" i="64" s="1"/>
  <c r="A324" i="64" s="1"/>
  <c r="A336" i="64" s="1"/>
  <c r="A348" i="64" s="1"/>
  <c r="A360" i="64" s="1"/>
  <c r="A372" i="64" s="1"/>
  <c r="A384" i="64" s="1"/>
  <c r="A396" i="64" s="1"/>
  <c r="A408" i="64" s="1"/>
  <c r="A420" i="64" s="1"/>
  <c r="A432" i="64" s="1"/>
  <c r="A444" i="64" s="1"/>
  <c r="A456" i="64" s="1"/>
  <c r="A193" i="64"/>
  <c r="A205" i="64" s="1"/>
  <c r="A217" i="64" s="1"/>
  <c r="A229" i="64" s="1"/>
  <c r="A241" i="64" s="1"/>
  <c r="A253" i="64" s="1"/>
  <c r="A265" i="64" s="1"/>
  <c r="A277" i="64" s="1"/>
  <c r="A289" i="64" s="1"/>
  <c r="A301" i="64" s="1"/>
  <c r="A313" i="64" s="1"/>
  <c r="A325" i="64" s="1"/>
  <c r="A337" i="64" s="1"/>
  <c r="A349" i="64" s="1"/>
  <c r="A361" i="64" s="1"/>
  <c r="A373" i="64" s="1"/>
  <c r="A385" i="64" s="1"/>
  <c r="A397" i="64" s="1"/>
  <c r="A409" i="64" s="1"/>
  <c r="A421" i="64" s="1"/>
  <c r="A433" i="64" s="1"/>
  <c r="A445" i="64" s="1"/>
  <c r="A457" i="64" s="1"/>
  <c r="A194" i="64"/>
  <c r="A206" i="64" s="1"/>
  <c r="A218" i="64" s="1"/>
  <c r="A230" i="64" s="1"/>
  <c r="A242" i="64" s="1"/>
  <c r="A254" i="64" s="1"/>
  <c r="A266" i="64" s="1"/>
  <c r="A278" i="64" s="1"/>
  <c r="A290" i="64" s="1"/>
  <c r="A302" i="64" s="1"/>
  <c r="A314" i="64" s="1"/>
  <c r="A326" i="64" s="1"/>
  <c r="A338" i="64" s="1"/>
  <c r="A350" i="64" s="1"/>
  <c r="A362" i="64" s="1"/>
  <c r="A374" i="64" s="1"/>
  <c r="A386" i="64" s="1"/>
  <c r="A398" i="64" s="1"/>
  <c r="A410" i="64" s="1"/>
  <c r="A422" i="64" s="1"/>
  <c r="A434" i="64" s="1"/>
  <c r="A446" i="64" s="1"/>
  <c r="A458" i="64" s="1"/>
  <c r="A195" i="64"/>
  <c r="A207" i="64" s="1"/>
  <c r="A219" i="64" s="1"/>
  <c r="A231" i="64" s="1"/>
  <c r="A243" i="64" s="1"/>
  <c r="A255" i="64" s="1"/>
  <c r="A267" i="64" s="1"/>
  <c r="A279" i="64" s="1"/>
  <c r="A291" i="64" s="1"/>
  <c r="A303" i="64" s="1"/>
  <c r="A315" i="64" s="1"/>
  <c r="A327" i="64" s="1"/>
  <c r="A339" i="64" s="1"/>
  <c r="A351" i="64" s="1"/>
  <c r="A363" i="64" s="1"/>
  <c r="A375" i="64" s="1"/>
  <c r="A387" i="64" s="1"/>
  <c r="A399" i="64" s="1"/>
  <c r="A411" i="64" s="1"/>
  <c r="A423" i="64" s="1"/>
  <c r="A435" i="64" s="1"/>
  <c r="A447" i="64" s="1"/>
  <c r="A459" i="64" s="1"/>
  <c r="A196" i="64"/>
  <c r="A208" i="64" s="1"/>
  <c r="A220" i="64" s="1"/>
  <c r="A232" i="64" s="1"/>
  <c r="A244" i="64" s="1"/>
  <c r="A256" i="64" s="1"/>
  <c r="A268" i="64" s="1"/>
  <c r="A280" i="64" s="1"/>
  <c r="A292" i="64" s="1"/>
  <c r="A304" i="64" s="1"/>
  <c r="A316" i="64" s="1"/>
  <c r="A328" i="64" s="1"/>
  <c r="A340" i="64" s="1"/>
  <c r="A352" i="64" s="1"/>
  <c r="A364" i="64" s="1"/>
  <c r="A376" i="64" s="1"/>
  <c r="A388" i="64" s="1"/>
  <c r="A400" i="64" s="1"/>
  <c r="A412" i="64" s="1"/>
  <c r="A424" i="64" s="1"/>
  <c r="A436" i="64" s="1"/>
  <c r="A448" i="64" s="1"/>
  <c r="A460" i="64" s="1"/>
  <c r="A197" i="64"/>
  <c r="A209" i="64" s="1"/>
  <c r="A221" i="64" s="1"/>
  <c r="A233" i="64" s="1"/>
  <c r="A245" i="64" s="1"/>
  <c r="A257" i="64" s="1"/>
  <c r="A269" i="64" s="1"/>
  <c r="A281" i="64" s="1"/>
  <c r="A293" i="64" s="1"/>
  <c r="A305" i="64" s="1"/>
  <c r="A317" i="64" s="1"/>
  <c r="A329" i="64" s="1"/>
  <c r="A341" i="64" s="1"/>
  <c r="A353" i="64" s="1"/>
  <c r="A365" i="64" s="1"/>
  <c r="A377" i="64" s="1"/>
  <c r="A389" i="64" s="1"/>
  <c r="A401" i="64" s="1"/>
  <c r="A413" i="64" s="1"/>
  <c r="A425" i="64" s="1"/>
  <c r="A437" i="64" s="1"/>
  <c r="A449" i="64" s="1"/>
  <c r="A461" i="64" s="1"/>
  <c r="A198" i="64"/>
  <c r="A210" i="64" s="1"/>
  <c r="A222" i="64" s="1"/>
  <c r="A234" i="64" s="1"/>
  <c r="A246" i="64" s="1"/>
  <c r="A258" i="64" s="1"/>
  <c r="A270" i="64" s="1"/>
  <c r="A282" i="64" s="1"/>
  <c r="A294" i="64" s="1"/>
  <c r="A306" i="64" s="1"/>
  <c r="A318" i="64" s="1"/>
  <c r="A330" i="64" s="1"/>
  <c r="A342" i="64" s="1"/>
  <c r="A354" i="64" s="1"/>
  <c r="A366" i="64" s="1"/>
  <c r="A378" i="64" s="1"/>
  <c r="A390" i="64" s="1"/>
  <c r="A402" i="64" s="1"/>
  <c r="A414" i="64" s="1"/>
  <c r="A426" i="64" s="1"/>
  <c r="A438" i="64" s="1"/>
  <c r="A450" i="64" s="1"/>
  <c r="A462" i="64" s="1"/>
  <c r="A199" i="64"/>
  <c r="A211" i="64" s="1"/>
  <c r="A223" i="64" s="1"/>
  <c r="A235" i="64" s="1"/>
  <c r="A247" i="64" s="1"/>
  <c r="A259" i="64" s="1"/>
  <c r="A271" i="64" s="1"/>
  <c r="A283" i="64" s="1"/>
  <c r="A295" i="64" s="1"/>
  <c r="A307" i="64" s="1"/>
  <c r="A319" i="64" s="1"/>
  <c r="A331" i="64" s="1"/>
  <c r="A343" i="64" s="1"/>
  <c r="A355" i="64" s="1"/>
  <c r="A367" i="64" s="1"/>
  <c r="A379" i="64" s="1"/>
  <c r="A391" i="64" s="1"/>
  <c r="A403" i="64" s="1"/>
  <c r="A415" i="64" s="1"/>
  <c r="A427" i="64" s="1"/>
  <c r="A439" i="64" s="1"/>
  <c r="A451" i="64" s="1"/>
  <c r="A463" i="64" s="1"/>
  <c r="A200" i="64"/>
  <c r="A212" i="64" s="1"/>
  <c r="A224" i="64" s="1"/>
  <c r="A236" i="64" s="1"/>
  <c r="A248" i="64" s="1"/>
  <c r="A260" i="64" s="1"/>
  <c r="A272" i="64" s="1"/>
  <c r="A284" i="64" s="1"/>
  <c r="A296" i="64" s="1"/>
  <c r="A308" i="64" s="1"/>
  <c r="A320" i="64" s="1"/>
  <c r="A332" i="64" s="1"/>
  <c r="A344" i="64" s="1"/>
  <c r="A356" i="64" s="1"/>
  <c r="A368" i="64" s="1"/>
  <c r="A380" i="64" s="1"/>
  <c r="A392" i="64" s="1"/>
  <c r="A404" i="64" s="1"/>
  <c r="A416" i="64" s="1"/>
  <c r="A428" i="64" s="1"/>
  <c r="A440" i="64" s="1"/>
  <c r="A452" i="64" s="1"/>
  <c r="A464" i="64" s="1"/>
  <c r="A201" i="64"/>
  <c r="A213" i="64" s="1"/>
  <c r="A225" i="64" s="1"/>
  <c r="A237" i="64" s="1"/>
  <c r="A249" i="64" s="1"/>
  <c r="A261" i="64" s="1"/>
  <c r="A273" i="64" s="1"/>
  <c r="A285" i="64" s="1"/>
  <c r="A297" i="64" s="1"/>
  <c r="A309" i="64" s="1"/>
  <c r="A321" i="64" s="1"/>
  <c r="A333" i="64" s="1"/>
  <c r="A345" i="64" s="1"/>
  <c r="A357" i="64" s="1"/>
  <c r="A369" i="64" s="1"/>
  <c r="A381" i="64" s="1"/>
  <c r="A393" i="64" s="1"/>
  <c r="A405" i="64" s="1"/>
  <c r="A417" i="64" s="1"/>
  <c r="A429" i="64" s="1"/>
  <c r="A441" i="64" s="1"/>
  <c r="A453" i="64" s="1"/>
  <c r="A465" i="64" s="1"/>
  <c r="A178" i="55"/>
  <c r="A190" i="55" s="1"/>
  <c r="A202" i="55" s="1"/>
  <c r="A214" i="55" s="1"/>
  <c r="A226" i="55" s="1"/>
  <c r="A238" i="55" s="1"/>
  <c r="A250" i="55" s="1"/>
  <c r="A262" i="55" s="1"/>
  <c r="A274" i="55" s="1"/>
  <c r="A286" i="55" s="1"/>
  <c r="A298" i="55" s="1"/>
  <c r="A310" i="55" s="1"/>
  <c r="A322" i="55" s="1"/>
  <c r="A334" i="55" s="1"/>
  <c r="A346" i="55" s="1"/>
  <c r="A358" i="55" s="1"/>
  <c r="A370" i="55" s="1"/>
  <c r="A382" i="55" s="1"/>
  <c r="A394" i="55" s="1"/>
  <c r="A406" i="55" s="1"/>
  <c r="A418" i="55" s="1"/>
  <c r="A430" i="55" s="1"/>
  <c r="A442" i="55" s="1"/>
  <c r="A179" i="55"/>
  <c r="A191" i="55" s="1"/>
  <c r="A203" i="55" s="1"/>
  <c r="A215" i="55" s="1"/>
  <c r="A227" i="55" s="1"/>
  <c r="A239" i="55" s="1"/>
  <c r="A251" i="55" s="1"/>
  <c r="A263" i="55" s="1"/>
  <c r="A275" i="55" s="1"/>
  <c r="A287" i="55" s="1"/>
  <c r="A299" i="55" s="1"/>
  <c r="A311" i="55" s="1"/>
  <c r="A323" i="55" s="1"/>
  <c r="A335" i="55" s="1"/>
  <c r="A347" i="55" s="1"/>
  <c r="A359" i="55" s="1"/>
  <c r="A371" i="55" s="1"/>
  <c r="A383" i="55" s="1"/>
  <c r="A395" i="55" s="1"/>
  <c r="A407" i="55" s="1"/>
  <c r="A419" i="55" s="1"/>
  <c r="A431" i="55" s="1"/>
  <c r="A443" i="55" s="1"/>
  <c r="A180" i="55"/>
  <c r="A192" i="55" s="1"/>
  <c r="A204" i="55" s="1"/>
  <c r="A216" i="55" s="1"/>
  <c r="A228" i="55" s="1"/>
  <c r="A240" i="55" s="1"/>
  <c r="A252" i="55" s="1"/>
  <c r="A264" i="55" s="1"/>
  <c r="A276" i="55" s="1"/>
  <c r="A288" i="55" s="1"/>
  <c r="A300" i="55" s="1"/>
  <c r="A312" i="55" s="1"/>
  <c r="A324" i="55" s="1"/>
  <c r="A336" i="55" s="1"/>
  <c r="A348" i="55" s="1"/>
  <c r="A360" i="55" s="1"/>
  <c r="A372" i="55" s="1"/>
  <c r="A384" i="55" s="1"/>
  <c r="A396" i="55" s="1"/>
  <c r="A408" i="55" s="1"/>
  <c r="A420" i="55" s="1"/>
  <c r="A432" i="55" s="1"/>
  <c r="A444" i="55" s="1"/>
  <c r="A181" i="55"/>
  <c r="A193" i="55" s="1"/>
  <c r="A205" i="55" s="1"/>
  <c r="A217" i="55" s="1"/>
  <c r="A229" i="55" s="1"/>
  <c r="A241" i="55" s="1"/>
  <c r="A253" i="55" s="1"/>
  <c r="A265" i="55" s="1"/>
  <c r="A277" i="55" s="1"/>
  <c r="A289" i="55" s="1"/>
  <c r="A301" i="55" s="1"/>
  <c r="A313" i="55" s="1"/>
  <c r="A325" i="55" s="1"/>
  <c r="A337" i="55" s="1"/>
  <c r="A349" i="55" s="1"/>
  <c r="A361" i="55" s="1"/>
  <c r="A373" i="55" s="1"/>
  <c r="A385" i="55" s="1"/>
  <c r="A397" i="55" s="1"/>
  <c r="A409" i="55" s="1"/>
  <c r="A421" i="55" s="1"/>
  <c r="A433" i="55" s="1"/>
  <c r="A445" i="55" s="1"/>
  <c r="A182" i="55"/>
  <c r="A194" i="55" s="1"/>
  <c r="A206" i="55" s="1"/>
  <c r="A218" i="55" s="1"/>
  <c r="A230" i="55" s="1"/>
  <c r="A242" i="55" s="1"/>
  <c r="A254" i="55" s="1"/>
  <c r="A266" i="55" s="1"/>
  <c r="A278" i="55" s="1"/>
  <c r="A290" i="55" s="1"/>
  <c r="A302" i="55" s="1"/>
  <c r="A314" i="55" s="1"/>
  <c r="A326" i="55" s="1"/>
  <c r="A338" i="55" s="1"/>
  <c r="A350" i="55" s="1"/>
  <c r="A362" i="55" s="1"/>
  <c r="A374" i="55" s="1"/>
  <c r="A386" i="55" s="1"/>
  <c r="A398" i="55" s="1"/>
  <c r="A410" i="55" s="1"/>
  <c r="A422" i="55" s="1"/>
  <c r="A434" i="55" s="1"/>
  <c r="A446" i="55" s="1"/>
  <c r="A183" i="55"/>
  <c r="A195" i="55" s="1"/>
  <c r="A207" i="55" s="1"/>
  <c r="A219" i="55" s="1"/>
  <c r="A231" i="55" s="1"/>
  <c r="A243" i="55" s="1"/>
  <c r="A255" i="55" s="1"/>
  <c r="A267" i="55" s="1"/>
  <c r="A279" i="55" s="1"/>
  <c r="A291" i="55" s="1"/>
  <c r="A303" i="55" s="1"/>
  <c r="A315" i="55" s="1"/>
  <c r="A327" i="55" s="1"/>
  <c r="A339" i="55" s="1"/>
  <c r="A351" i="55" s="1"/>
  <c r="A363" i="55" s="1"/>
  <c r="A375" i="55" s="1"/>
  <c r="A387" i="55" s="1"/>
  <c r="A399" i="55" s="1"/>
  <c r="A411" i="55" s="1"/>
  <c r="A423" i="55" s="1"/>
  <c r="A435" i="55" s="1"/>
  <c r="A447" i="55" s="1"/>
  <c r="A184" i="55"/>
  <c r="A196" i="55" s="1"/>
  <c r="A208" i="55" s="1"/>
  <c r="A220" i="55" s="1"/>
  <c r="A232" i="55" s="1"/>
  <c r="A244" i="55" s="1"/>
  <c r="A256" i="55" s="1"/>
  <c r="A268" i="55" s="1"/>
  <c r="A280" i="55" s="1"/>
  <c r="A292" i="55" s="1"/>
  <c r="A304" i="55" s="1"/>
  <c r="A316" i="55" s="1"/>
  <c r="A328" i="55" s="1"/>
  <c r="A340" i="55" s="1"/>
  <c r="A352" i="55" s="1"/>
  <c r="A364" i="55" s="1"/>
  <c r="A376" i="55" s="1"/>
  <c r="A388" i="55" s="1"/>
  <c r="A400" i="55" s="1"/>
  <c r="A412" i="55" s="1"/>
  <c r="A424" i="55" s="1"/>
  <c r="A436" i="55" s="1"/>
  <c r="A448" i="55" s="1"/>
  <c r="A185" i="55"/>
  <c r="A197" i="55" s="1"/>
  <c r="A209" i="55" s="1"/>
  <c r="A221" i="55" s="1"/>
  <c r="A233" i="55" s="1"/>
  <c r="A245" i="55" s="1"/>
  <c r="A257" i="55" s="1"/>
  <c r="A269" i="55" s="1"/>
  <c r="A281" i="55" s="1"/>
  <c r="A293" i="55" s="1"/>
  <c r="A305" i="55" s="1"/>
  <c r="A317" i="55" s="1"/>
  <c r="A329" i="55" s="1"/>
  <c r="A341" i="55" s="1"/>
  <c r="A353" i="55" s="1"/>
  <c r="A365" i="55" s="1"/>
  <c r="A377" i="55" s="1"/>
  <c r="A389" i="55" s="1"/>
  <c r="A401" i="55" s="1"/>
  <c r="A413" i="55" s="1"/>
  <c r="A425" i="55" s="1"/>
  <c r="A437" i="55" s="1"/>
  <c r="A449" i="55" s="1"/>
  <c r="A186" i="55"/>
  <c r="A198" i="55" s="1"/>
  <c r="A210" i="55" s="1"/>
  <c r="A222" i="55" s="1"/>
  <c r="A234" i="55" s="1"/>
  <c r="A246" i="55" s="1"/>
  <c r="A258" i="55" s="1"/>
  <c r="A270" i="55" s="1"/>
  <c r="A282" i="55" s="1"/>
  <c r="A294" i="55" s="1"/>
  <c r="A306" i="55" s="1"/>
  <c r="A318" i="55" s="1"/>
  <c r="A330" i="55" s="1"/>
  <c r="A342" i="55" s="1"/>
  <c r="A354" i="55" s="1"/>
  <c r="A366" i="55" s="1"/>
  <c r="A378" i="55" s="1"/>
  <c r="A390" i="55" s="1"/>
  <c r="A402" i="55" s="1"/>
  <c r="A414" i="55" s="1"/>
  <c r="A426" i="55" s="1"/>
  <c r="A438" i="55" s="1"/>
  <c r="A450" i="55" s="1"/>
  <c r="A187" i="55"/>
  <c r="A199" i="55" s="1"/>
  <c r="A211" i="55" s="1"/>
  <c r="A223" i="55" s="1"/>
  <c r="A235" i="55" s="1"/>
  <c r="A247" i="55" s="1"/>
  <c r="A259" i="55" s="1"/>
  <c r="A271" i="55" s="1"/>
  <c r="A283" i="55" s="1"/>
  <c r="A295" i="55" s="1"/>
  <c r="A307" i="55" s="1"/>
  <c r="A319" i="55" s="1"/>
  <c r="A331" i="55" s="1"/>
  <c r="A343" i="55" s="1"/>
  <c r="A355" i="55" s="1"/>
  <c r="A367" i="55" s="1"/>
  <c r="A379" i="55" s="1"/>
  <c r="A391" i="55" s="1"/>
  <c r="A403" i="55" s="1"/>
  <c r="A415" i="55" s="1"/>
  <c r="A427" i="55" s="1"/>
  <c r="A439" i="55" s="1"/>
  <c r="A451" i="55" s="1"/>
  <c r="A188" i="55"/>
  <c r="A200" i="55" s="1"/>
  <c r="A212" i="55" s="1"/>
  <c r="A224" i="55" s="1"/>
  <c r="A236" i="55" s="1"/>
  <c r="A248" i="55" s="1"/>
  <c r="A260" i="55" s="1"/>
  <c r="A272" i="55" s="1"/>
  <c r="A284" i="55" s="1"/>
  <c r="A296" i="55" s="1"/>
  <c r="A308" i="55" s="1"/>
  <c r="A320" i="55" s="1"/>
  <c r="A332" i="55" s="1"/>
  <c r="A344" i="55" s="1"/>
  <c r="A356" i="55" s="1"/>
  <c r="A368" i="55" s="1"/>
  <c r="A380" i="55" s="1"/>
  <c r="A392" i="55" s="1"/>
  <c r="A404" i="55" s="1"/>
  <c r="A416" i="55" s="1"/>
  <c r="A428" i="55" s="1"/>
  <c r="A440" i="55" s="1"/>
  <c r="A452" i="55" s="1"/>
  <c r="A189" i="55"/>
  <c r="A201" i="55" s="1"/>
  <c r="A213" i="55" s="1"/>
  <c r="A225" i="55" s="1"/>
  <c r="A237" i="55" s="1"/>
  <c r="A249" i="55" s="1"/>
  <c r="A261" i="55" s="1"/>
  <c r="A273" i="55" s="1"/>
  <c r="A285" i="55" s="1"/>
  <c r="A297" i="55" s="1"/>
  <c r="A309" i="55" s="1"/>
  <c r="A321" i="55" s="1"/>
  <c r="A333" i="55" s="1"/>
  <c r="A345" i="55" s="1"/>
  <c r="A357" i="55" s="1"/>
  <c r="A369" i="55" s="1"/>
  <c r="A381" i="55" s="1"/>
  <c r="A393" i="55" s="1"/>
  <c r="A405" i="55" s="1"/>
  <c r="A417" i="55" s="1"/>
  <c r="A429" i="55" s="1"/>
  <c r="A441" i="55" s="1"/>
  <c r="A453" i="55" s="1"/>
  <c r="B263" i="89"/>
  <c r="Z262" i="68"/>
  <c r="Z271" i="68"/>
  <c r="O48" i="95"/>
  <c r="A24" i="45"/>
  <c r="A36" i="45" s="1"/>
  <c r="A48" i="45" s="1"/>
  <c r="A60" i="45" s="1"/>
  <c r="A72" i="45" s="1"/>
  <c r="A84" i="45" s="1"/>
  <c r="A96" i="45" s="1"/>
  <c r="A108" i="45" s="1"/>
  <c r="A120" i="45" s="1"/>
  <c r="A132" i="45" s="1"/>
  <c r="A144" i="45" s="1"/>
  <c r="A156" i="45" s="1"/>
  <c r="A168" i="45" s="1"/>
  <c r="A180" i="45" s="1"/>
  <c r="A192" i="45" s="1"/>
  <c r="A25" i="45"/>
  <c r="A37" i="45" s="1"/>
  <c r="A49" i="45" s="1"/>
  <c r="A61" i="45" s="1"/>
  <c r="A73" i="45" s="1"/>
  <c r="A85" i="45" s="1"/>
  <c r="A97" i="45" s="1"/>
  <c r="A109" i="45" s="1"/>
  <c r="A121" i="45" s="1"/>
  <c r="A133" i="45" s="1"/>
  <c r="A145" i="45" s="1"/>
  <c r="A157" i="45" s="1"/>
  <c r="A169" i="45" s="1"/>
  <c r="A181" i="45" s="1"/>
  <c r="A193" i="45" s="1"/>
  <c r="A26" i="45"/>
  <c r="A38" i="45" s="1"/>
  <c r="A50" i="45" s="1"/>
  <c r="A62" i="45" s="1"/>
  <c r="A74" i="45" s="1"/>
  <c r="A86" i="45" s="1"/>
  <c r="A98" i="45" s="1"/>
  <c r="A110" i="45" s="1"/>
  <c r="A122" i="45" s="1"/>
  <c r="A134" i="45" s="1"/>
  <c r="A146" i="45" s="1"/>
  <c r="A158" i="45" s="1"/>
  <c r="A170" i="45" s="1"/>
  <c r="A182" i="45" s="1"/>
  <c r="A194" i="45" s="1"/>
  <c r="A27" i="45"/>
  <c r="A39" i="45" s="1"/>
  <c r="A51" i="45" s="1"/>
  <c r="A63" i="45" s="1"/>
  <c r="A75" i="45" s="1"/>
  <c r="A87" i="45" s="1"/>
  <c r="A99" i="45" s="1"/>
  <c r="A111" i="45" s="1"/>
  <c r="A123" i="45" s="1"/>
  <c r="A135" i="45" s="1"/>
  <c r="A147" i="45" s="1"/>
  <c r="A159" i="45" s="1"/>
  <c r="A171" i="45" s="1"/>
  <c r="A183" i="45" s="1"/>
  <c r="A195" i="45" s="1"/>
  <c r="A28" i="45"/>
  <c r="A40" i="45" s="1"/>
  <c r="A52" i="45" s="1"/>
  <c r="A64" i="45" s="1"/>
  <c r="A76" i="45" s="1"/>
  <c r="A88" i="45" s="1"/>
  <c r="A100" i="45" s="1"/>
  <c r="A112" i="45" s="1"/>
  <c r="A124" i="45" s="1"/>
  <c r="A136" i="45" s="1"/>
  <c r="A148" i="45" s="1"/>
  <c r="A160" i="45" s="1"/>
  <c r="A172" i="45" s="1"/>
  <c r="A184" i="45" s="1"/>
  <c r="A196" i="45" s="1"/>
  <c r="A29" i="45"/>
  <c r="A41" i="45" s="1"/>
  <c r="A53" i="45" s="1"/>
  <c r="A65" i="45" s="1"/>
  <c r="A77" i="45" s="1"/>
  <c r="A89" i="45" s="1"/>
  <c r="A101" i="45" s="1"/>
  <c r="A113" i="45" s="1"/>
  <c r="A125" i="45" s="1"/>
  <c r="A137" i="45" s="1"/>
  <c r="A149" i="45" s="1"/>
  <c r="A161" i="45" s="1"/>
  <c r="A173" i="45" s="1"/>
  <c r="A185" i="45" s="1"/>
  <c r="A197" i="45" s="1"/>
  <c r="A30" i="45"/>
  <c r="A42" i="45" s="1"/>
  <c r="A54" i="45" s="1"/>
  <c r="A66" i="45" s="1"/>
  <c r="A78" i="45" s="1"/>
  <c r="A90" i="45" s="1"/>
  <c r="A102" i="45" s="1"/>
  <c r="A114" i="45" s="1"/>
  <c r="A126" i="45" s="1"/>
  <c r="A138" i="45" s="1"/>
  <c r="A150" i="45" s="1"/>
  <c r="A162" i="45" s="1"/>
  <c r="A174" i="45" s="1"/>
  <c r="A186" i="45" s="1"/>
  <c r="A198" i="45" s="1"/>
  <c r="A31" i="45"/>
  <c r="A43" i="45" s="1"/>
  <c r="A55" i="45" s="1"/>
  <c r="A67" i="45" s="1"/>
  <c r="A79" i="45" s="1"/>
  <c r="A91" i="45" s="1"/>
  <c r="A103" i="45" s="1"/>
  <c r="A115" i="45" s="1"/>
  <c r="A127" i="45" s="1"/>
  <c r="A139" i="45" s="1"/>
  <c r="A151" i="45" s="1"/>
  <c r="A163" i="45" s="1"/>
  <c r="A175" i="45" s="1"/>
  <c r="A187" i="45" s="1"/>
  <c r="A199" i="45" s="1"/>
  <c r="A33" i="45"/>
  <c r="A45" i="45" s="1"/>
  <c r="A57" i="45" s="1"/>
  <c r="A69" i="45" s="1"/>
  <c r="A81" i="45" s="1"/>
  <c r="A93" i="45" s="1"/>
  <c r="A105" i="45" s="1"/>
  <c r="A117" i="45" s="1"/>
  <c r="A129" i="45" s="1"/>
  <c r="A141" i="45" s="1"/>
  <c r="A153" i="45" s="1"/>
  <c r="A165" i="45" s="1"/>
  <c r="A177" i="45" s="1"/>
  <c r="A189" i="45" s="1"/>
  <c r="A201" i="45" s="1"/>
  <c r="A32" i="45"/>
  <c r="A44" i="45" s="1"/>
  <c r="A56" i="45" s="1"/>
  <c r="A68" i="45" s="1"/>
  <c r="A80" i="45" s="1"/>
  <c r="A92" i="45" s="1"/>
  <c r="A104" i="45" s="1"/>
  <c r="A116" i="45" s="1"/>
  <c r="A128" i="45" s="1"/>
  <c r="A140" i="45" s="1"/>
  <c r="A152" i="45" s="1"/>
  <c r="A164" i="45" s="1"/>
  <c r="A176" i="45" s="1"/>
  <c r="A188" i="45" s="1"/>
  <c r="A200" i="45" s="1"/>
  <c r="D328" i="89"/>
  <c r="B329" i="89"/>
  <c r="B330" i="89"/>
  <c r="G87" i="53" l="1"/>
  <c r="G89" i="53"/>
  <c r="C587" i="111"/>
  <c r="C588" i="111" s="1"/>
  <c r="C589" i="111" s="1"/>
  <c r="C590" i="111" s="1"/>
  <c r="C591" i="111" s="1"/>
  <c r="C592" i="111" s="1"/>
  <c r="C593" i="111" s="1"/>
  <c r="G93" i="53"/>
  <c r="A406" i="108"/>
  <c r="A418" i="108" s="1"/>
  <c r="A430" i="108" s="1"/>
  <c r="A442" i="108" s="1"/>
  <c r="A454" i="108" s="1"/>
  <c r="A466" i="108" s="1"/>
  <c r="H275" i="11"/>
  <c r="A17" i="112"/>
  <c r="A28" i="112"/>
  <c r="A40" i="112" s="1"/>
  <c r="A52" i="112" s="1"/>
  <c r="A64" i="112" s="1"/>
  <c r="A76" i="112" s="1"/>
  <c r="A88" i="112" s="1"/>
  <c r="A100" i="112" s="1"/>
  <c r="A112" i="112" s="1"/>
  <c r="A124" i="112" s="1"/>
  <c r="A136" i="112" s="1"/>
  <c r="A148" i="112" s="1"/>
  <c r="A160" i="112" s="1"/>
  <c r="A172" i="112" s="1"/>
  <c r="A184" i="112" s="1"/>
  <c r="A392" i="11"/>
  <c r="A404" i="11" s="1"/>
  <c r="A416" i="11" s="1"/>
  <c r="A428" i="11" s="1"/>
  <c r="A440" i="11" s="1"/>
  <c r="A452" i="11" s="1"/>
  <c r="A464" i="11" s="1"/>
  <c r="A476" i="11" s="1"/>
  <c r="A392" i="108"/>
  <c r="A404" i="108" s="1"/>
  <c r="A416" i="108" s="1"/>
  <c r="A428" i="108" s="1"/>
  <c r="A440" i="108" s="1"/>
  <c r="A452" i="108" s="1"/>
  <c r="A464" i="108" s="1"/>
  <c r="A476" i="108" s="1"/>
  <c r="J146" i="69"/>
  <c r="G146" i="69"/>
  <c r="E149" i="69"/>
  <c r="B146" i="69"/>
  <c r="E417" i="64"/>
  <c r="E459" i="64"/>
  <c r="E444" i="64"/>
  <c r="E452" i="64"/>
  <c r="E436" i="64"/>
  <c r="E407" i="64"/>
  <c r="E415" i="64"/>
  <c r="E418" i="64"/>
  <c r="E421" i="64"/>
  <c r="E424" i="64"/>
  <c r="E427" i="64"/>
  <c r="E457" i="64"/>
  <c r="E465" i="64"/>
  <c r="E442" i="64"/>
  <c r="E413" i="64"/>
  <c r="E462" i="64"/>
  <c r="E447" i="64"/>
  <c r="E455" i="64"/>
  <c r="E439" i="64"/>
  <c r="E410" i="64"/>
  <c r="E431" i="64"/>
  <c r="E450" i="64"/>
  <c r="E434" i="64"/>
  <c r="E463" i="64"/>
  <c r="E448" i="64"/>
  <c r="E456" i="64"/>
  <c r="E440" i="64"/>
  <c r="E411" i="64"/>
  <c r="E432" i="64"/>
  <c r="E461" i="64"/>
  <c r="E454" i="64"/>
  <c r="E420" i="64"/>
  <c r="E458" i="64"/>
  <c r="E443" i="64"/>
  <c r="E451" i="64"/>
  <c r="E435" i="64"/>
  <c r="E406" i="64"/>
  <c r="E414" i="64"/>
  <c r="E423" i="64"/>
  <c r="E426" i="64"/>
  <c r="E429" i="64"/>
  <c r="E446" i="64"/>
  <c r="E438" i="64"/>
  <c r="E409" i="64"/>
  <c r="E433" i="64"/>
  <c r="E425" i="64"/>
  <c r="E460" i="64"/>
  <c r="E408" i="64"/>
  <c r="E419" i="64"/>
  <c r="E449" i="64"/>
  <c r="E437" i="64"/>
  <c r="E464" i="64"/>
  <c r="E412" i="64"/>
  <c r="E422" i="64"/>
  <c r="E428" i="64"/>
  <c r="E453" i="64"/>
  <c r="E441" i="64"/>
  <c r="E445" i="64"/>
  <c r="E430" i="64"/>
  <c r="E416" i="64"/>
  <c r="A612" i="71"/>
  <c r="A624" i="71" s="1"/>
  <c r="A636" i="71" s="1"/>
  <c r="E12" i="64"/>
  <c r="E360" i="64"/>
  <c r="S44" i="95"/>
  <c r="R44" i="95"/>
  <c r="S48" i="95"/>
  <c r="R48" i="95"/>
  <c r="S41" i="95"/>
  <c r="R41" i="95"/>
  <c r="R45" i="95"/>
  <c r="S45" i="95"/>
  <c r="R49" i="95"/>
  <c r="S49" i="95"/>
  <c r="R46" i="95"/>
  <c r="S46" i="95"/>
  <c r="R43" i="95"/>
  <c r="S43" i="95"/>
  <c r="R47" i="95"/>
  <c r="S47" i="95"/>
  <c r="A312" i="1"/>
  <c r="A324" i="1" s="1"/>
  <c r="A336" i="1" s="1"/>
  <c r="A348" i="1" s="1"/>
  <c r="A360" i="1" s="1"/>
  <c r="A372" i="1" s="1"/>
  <c r="A384" i="1" s="1"/>
  <c r="A396" i="1" s="1"/>
  <c r="E405" i="64"/>
  <c r="E131" i="64"/>
  <c r="U43" i="95"/>
  <c r="S14" i="95"/>
  <c r="E121" i="116"/>
  <c r="S15" i="95"/>
  <c r="O49" i="95"/>
  <c r="E146" i="69"/>
  <c r="F149" i="69"/>
  <c r="F150" i="69" s="1"/>
  <c r="F151" i="69" s="1"/>
  <c r="F152" i="69" s="1"/>
  <c r="F153" i="69" s="1"/>
  <c r="U44" i="95"/>
  <c r="U23" i="95"/>
  <c r="C149" i="69"/>
  <c r="C150" i="69" s="1"/>
  <c r="C151" i="69" s="1"/>
  <c r="C152" i="69" s="1"/>
  <c r="C153" i="69" s="1"/>
  <c r="O44" i="95"/>
  <c r="U22" i="95"/>
  <c r="H149" i="69"/>
  <c r="H150" i="69" s="1"/>
  <c r="H151" i="69" s="1"/>
  <c r="H152" i="69" s="1"/>
  <c r="H153" i="69" s="1"/>
  <c r="C144" i="69"/>
  <c r="C145" i="69" s="1"/>
  <c r="E123" i="116"/>
  <c r="A13" i="38"/>
  <c r="A25" i="38" s="1"/>
  <c r="A37" i="38" s="1"/>
  <c r="A49" i="38" s="1"/>
  <c r="A61" i="38" s="1"/>
  <c r="A73" i="38" s="1"/>
  <c r="A85" i="38" s="1"/>
  <c r="A97" i="38" s="1"/>
  <c r="A109" i="38" s="1"/>
  <c r="A121" i="38" s="1"/>
  <c r="A133" i="38" s="1"/>
  <c r="A145" i="38" s="1"/>
  <c r="A157" i="38" s="1"/>
  <c r="A169" i="38" s="1"/>
  <c r="A181" i="38" s="1"/>
  <c r="A193" i="38" s="1"/>
  <c r="A205" i="38" s="1"/>
  <c r="Z257" i="68"/>
  <c r="L303" i="108"/>
  <c r="O22" i="95"/>
  <c r="I88" i="49"/>
  <c r="E127" i="116"/>
  <c r="V14" i="95"/>
  <c r="L305" i="108"/>
  <c r="L304" i="108"/>
  <c r="L302" i="108"/>
  <c r="L296" i="108"/>
  <c r="L299" i="108"/>
  <c r="L300" i="108"/>
  <c r="E125" i="116"/>
  <c r="L301" i="108"/>
  <c r="E120" i="116"/>
  <c r="O45" i="95"/>
  <c r="J149" i="69"/>
  <c r="A23" i="68"/>
  <c r="A35" i="68" s="1"/>
  <c r="A47" i="68" s="1"/>
  <c r="A59" i="68" s="1"/>
  <c r="A71" i="68" s="1"/>
  <c r="A83" i="68" s="1"/>
  <c r="A95" i="68" s="1"/>
  <c r="A107" i="68" s="1"/>
  <c r="A119" i="68" s="1"/>
  <c r="A131" i="68" s="1"/>
  <c r="A143" i="68" s="1"/>
  <c r="A155" i="68" s="1"/>
  <c r="A167" i="68" s="1"/>
  <c r="A179" i="68" s="1"/>
  <c r="A191" i="68" s="1"/>
  <c r="A203" i="68" s="1"/>
  <c r="A215" i="68" s="1"/>
  <c r="A227" i="68" s="1"/>
  <c r="A239" i="68" s="1"/>
  <c r="A251" i="68" s="1"/>
  <c r="A263" i="68" s="1"/>
  <c r="A275" i="68" s="1"/>
  <c r="A287" i="68" s="1"/>
  <c r="A299" i="68" s="1"/>
  <c r="A311" i="68" s="1"/>
  <c r="A323" i="68" s="1"/>
  <c r="A335" i="68" s="1"/>
  <c r="A347" i="68" s="1"/>
  <c r="A359" i="68" s="1"/>
  <c r="A371" i="68" s="1"/>
  <c r="A383" i="68" s="1"/>
  <c r="A395" i="68" s="1"/>
  <c r="A407" i="68" s="1"/>
  <c r="A419" i="68" s="1"/>
  <c r="A431" i="68" s="1"/>
  <c r="A443" i="68" s="1"/>
  <c r="A455" i="68" s="1"/>
  <c r="U41" i="95"/>
  <c r="U15" i="95"/>
  <c r="O43" i="95"/>
  <c r="A23" i="38"/>
  <c r="A35" i="38" s="1"/>
  <c r="A47" i="38" s="1"/>
  <c r="A59" i="38" s="1"/>
  <c r="A71" i="38" s="1"/>
  <c r="A83" i="38" s="1"/>
  <c r="A95" i="38" s="1"/>
  <c r="A107" i="38" s="1"/>
  <c r="A119" i="38" s="1"/>
  <c r="A131" i="38" s="1"/>
  <c r="A143" i="38" s="1"/>
  <c r="A155" i="38" s="1"/>
  <c r="A167" i="38" s="1"/>
  <c r="A179" i="38" s="1"/>
  <c r="A191" i="38" s="1"/>
  <c r="A203" i="38" s="1"/>
  <c r="E124" i="116"/>
  <c r="E126" i="116"/>
  <c r="F147" i="69"/>
  <c r="F144" i="69"/>
  <c r="F145" i="69" s="1"/>
  <c r="H147" i="69"/>
  <c r="H144" i="69"/>
  <c r="H145" i="69" s="1"/>
  <c r="B149" i="69"/>
  <c r="E142" i="64"/>
  <c r="E143" i="64"/>
  <c r="E128" i="116"/>
  <c r="L297" i="108"/>
  <c r="E146" i="116"/>
  <c r="A581" i="71"/>
  <c r="A593" i="71" s="1"/>
  <c r="A605" i="71" s="1"/>
  <c r="A617" i="71" s="1"/>
  <c r="A629" i="71" s="1"/>
  <c r="A641" i="71" s="1"/>
  <c r="R235" i="3"/>
  <c r="Z258" i="68"/>
  <c r="Z260" i="68"/>
  <c r="L88" i="49"/>
  <c r="L306" i="108"/>
  <c r="A24" i="68"/>
  <c r="A36" i="68" s="1"/>
  <c r="A48" i="68" s="1"/>
  <c r="A60" i="68" s="1"/>
  <c r="A72" i="68" s="1"/>
  <c r="A84" i="68" s="1"/>
  <c r="A96" i="68" s="1"/>
  <c r="A108" i="68" s="1"/>
  <c r="A120" i="68" s="1"/>
  <c r="A132" i="68" s="1"/>
  <c r="A144" i="68" s="1"/>
  <c r="A156" i="68" s="1"/>
  <c r="A168" i="68" s="1"/>
  <c r="A180" i="68" s="1"/>
  <c r="A192" i="68" s="1"/>
  <c r="A204" i="68" s="1"/>
  <c r="A216" i="68" s="1"/>
  <c r="A228" i="68" s="1"/>
  <c r="A240" i="68" s="1"/>
  <c r="A252" i="68" s="1"/>
  <c r="A264" i="68" s="1"/>
  <c r="A276" i="68" s="1"/>
  <c r="A288" i="68" s="1"/>
  <c r="A300" i="68" s="1"/>
  <c r="A312" i="68" s="1"/>
  <c r="A324" i="68" s="1"/>
  <c r="A336" i="68" s="1"/>
  <c r="A348" i="68" s="1"/>
  <c r="A360" i="68" s="1"/>
  <c r="A372" i="68" s="1"/>
  <c r="A384" i="68" s="1"/>
  <c r="A396" i="68" s="1"/>
  <c r="A408" i="68" s="1"/>
  <c r="A420" i="68" s="1"/>
  <c r="A432" i="68" s="1"/>
  <c r="A444" i="68" s="1"/>
  <c r="A456" i="68" s="1"/>
  <c r="A13" i="68"/>
  <c r="G149" i="69"/>
  <c r="V49" i="95"/>
  <c r="U49" i="95"/>
  <c r="U48" i="95"/>
  <c r="Z217" i="68"/>
  <c r="Z259" i="68"/>
  <c r="Z261" i="68"/>
  <c r="E129" i="116"/>
  <c r="O47" i="95"/>
  <c r="E33" i="64"/>
  <c r="E324" i="64"/>
  <c r="E376" i="64"/>
  <c r="E380" i="64"/>
  <c r="E384" i="64"/>
  <c r="E388" i="64"/>
  <c r="E392" i="64"/>
  <c r="E396" i="64"/>
  <c r="E400" i="64"/>
  <c r="E404" i="64"/>
  <c r="E377" i="64"/>
  <c r="E381" i="64"/>
  <c r="E389" i="64"/>
  <c r="E393" i="64"/>
  <c r="E397" i="64"/>
  <c r="E401" i="64"/>
  <c r="E378" i="64"/>
  <c r="E382" i="64"/>
  <c r="E390" i="64"/>
  <c r="E394" i="64"/>
  <c r="E398" i="64"/>
  <c r="E402" i="64"/>
  <c r="E379" i="64"/>
  <c r="E383" i="64"/>
  <c r="E391" i="64"/>
  <c r="E395" i="64"/>
  <c r="E399" i="64"/>
  <c r="E403" i="64"/>
  <c r="E147" i="64"/>
  <c r="E151" i="64"/>
  <c r="E155" i="64"/>
  <c r="E159" i="64"/>
  <c r="E163" i="64"/>
  <c r="E167" i="64"/>
  <c r="E171" i="64"/>
  <c r="E175" i="64"/>
  <c r="E179" i="64"/>
  <c r="E183" i="64"/>
  <c r="E187" i="64"/>
  <c r="E191" i="64"/>
  <c r="E195" i="64"/>
  <c r="E199" i="64"/>
  <c r="E203" i="64"/>
  <c r="E207" i="64"/>
  <c r="E211" i="64"/>
  <c r="E215" i="64"/>
  <c r="E219" i="64"/>
  <c r="E223" i="64"/>
  <c r="E227" i="64"/>
  <c r="E231" i="64"/>
  <c r="E235" i="64"/>
  <c r="E239" i="64"/>
  <c r="E243" i="64"/>
  <c r="E247" i="64"/>
  <c r="E251" i="64"/>
  <c r="E255" i="64"/>
  <c r="E259" i="64"/>
  <c r="E263" i="64"/>
  <c r="E267" i="64"/>
  <c r="E271" i="64"/>
  <c r="E275" i="64"/>
  <c r="E279" i="64"/>
  <c r="E283" i="64"/>
  <c r="E287" i="64"/>
  <c r="E291" i="64"/>
  <c r="E295" i="64"/>
  <c r="E299" i="64"/>
  <c r="E303" i="64"/>
  <c r="E307" i="64"/>
  <c r="E311" i="64"/>
  <c r="E315" i="64"/>
  <c r="E319" i="64"/>
  <c r="E323" i="64"/>
  <c r="E328" i="64"/>
  <c r="E332" i="64"/>
  <c r="E336" i="64"/>
  <c r="E340" i="64"/>
  <c r="E344" i="64"/>
  <c r="E348" i="64"/>
  <c r="E352" i="64"/>
  <c r="E356" i="64"/>
  <c r="E364" i="64"/>
  <c r="E368" i="64"/>
  <c r="E148" i="64"/>
  <c r="E152" i="64"/>
  <c r="E156" i="64"/>
  <c r="E160" i="64"/>
  <c r="E164" i="64"/>
  <c r="E168" i="64"/>
  <c r="E172" i="64"/>
  <c r="E176" i="64"/>
  <c r="E180" i="64"/>
  <c r="E184" i="64"/>
  <c r="E188" i="64"/>
  <c r="E192" i="64"/>
  <c r="E196" i="64"/>
  <c r="E200" i="64"/>
  <c r="E204" i="64"/>
  <c r="E208" i="64"/>
  <c r="E212" i="64"/>
  <c r="E216" i="64"/>
  <c r="E220" i="64"/>
  <c r="E224" i="64"/>
  <c r="E228" i="64"/>
  <c r="E232" i="64"/>
  <c r="E236" i="64"/>
  <c r="E240" i="64"/>
  <c r="E244" i="64"/>
  <c r="E248" i="64"/>
  <c r="E146" i="64"/>
  <c r="E154" i="64"/>
  <c r="E162" i="64"/>
  <c r="E170" i="64"/>
  <c r="E178" i="64"/>
  <c r="E186" i="64"/>
  <c r="E194" i="64"/>
  <c r="E202" i="64"/>
  <c r="E210" i="64"/>
  <c r="E218" i="64"/>
  <c r="E226" i="64"/>
  <c r="E234" i="64"/>
  <c r="E242" i="64"/>
  <c r="E250" i="64"/>
  <c r="E256" i="64"/>
  <c r="E261" i="64"/>
  <c r="E266" i="64"/>
  <c r="E272" i="64"/>
  <c r="E277" i="64"/>
  <c r="E282" i="64"/>
  <c r="E288" i="64"/>
  <c r="E293" i="64"/>
  <c r="E298" i="64"/>
  <c r="E304" i="64"/>
  <c r="E309" i="64"/>
  <c r="E314" i="64"/>
  <c r="E320" i="64"/>
  <c r="E326" i="64"/>
  <c r="E331" i="64"/>
  <c r="E337" i="64"/>
  <c r="E342" i="64"/>
  <c r="E347" i="64"/>
  <c r="E353" i="64"/>
  <c r="E358" i="64"/>
  <c r="E363" i="64"/>
  <c r="E369" i="64"/>
  <c r="E374" i="64"/>
  <c r="E149" i="64"/>
  <c r="E157" i="64"/>
  <c r="E165" i="64"/>
  <c r="E173" i="64"/>
  <c r="E181" i="64"/>
  <c r="E189" i="64"/>
  <c r="E197" i="64"/>
  <c r="E205" i="64"/>
  <c r="E213" i="64"/>
  <c r="E221" i="64"/>
  <c r="E229" i="64"/>
  <c r="E237" i="64"/>
  <c r="E245" i="64"/>
  <c r="E252" i="64"/>
  <c r="E257" i="64"/>
  <c r="E262" i="64"/>
  <c r="E268" i="64"/>
  <c r="E273" i="64"/>
  <c r="E278" i="64"/>
  <c r="E284" i="64"/>
  <c r="E289" i="64"/>
  <c r="E294" i="64"/>
  <c r="E300" i="64"/>
  <c r="E305" i="64"/>
  <c r="E310" i="64"/>
  <c r="E316" i="64"/>
  <c r="E321" i="64"/>
  <c r="E327" i="64"/>
  <c r="E333" i="64"/>
  <c r="E338" i="64"/>
  <c r="E343" i="64"/>
  <c r="E349" i="64"/>
  <c r="E354" i="64"/>
  <c r="E359" i="64"/>
  <c r="E365" i="64"/>
  <c r="E370" i="64"/>
  <c r="E150" i="64"/>
  <c r="E158" i="64"/>
  <c r="E166" i="64"/>
  <c r="E174" i="64"/>
  <c r="E182" i="64"/>
  <c r="E190" i="64"/>
  <c r="E198" i="64"/>
  <c r="E206" i="64"/>
  <c r="E214" i="64"/>
  <c r="E222" i="64"/>
  <c r="E230" i="64"/>
  <c r="E145" i="64"/>
  <c r="E177" i="64"/>
  <c r="E209" i="64"/>
  <c r="E238" i="64"/>
  <c r="E253" i="64"/>
  <c r="E264" i="64"/>
  <c r="E274" i="64"/>
  <c r="E285" i="64"/>
  <c r="E296" i="64"/>
  <c r="E306" i="64"/>
  <c r="E317" i="64"/>
  <c r="E329" i="64"/>
  <c r="E339" i="64"/>
  <c r="E350" i="64"/>
  <c r="E361" i="64"/>
  <c r="E371" i="64"/>
  <c r="E153" i="64"/>
  <c r="E185" i="64"/>
  <c r="E217" i="64"/>
  <c r="E241" i="64"/>
  <c r="E254" i="64"/>
  <c r="E265" i="64"/>
  <c r="E276" i="64"/>
  <c r="E286" i="64"/>
  <c r="E297" i="64"/>
  <c r="E308" i="64"/>
  <c r="E318" i="64"/>
  <c r="E330" i="64"/>
  <c r="E341" i="64"/>
  <c r="E351" i="64"/>
  <c r="E362" i="64"/>
  <c r="E373" i="64"/>
  <c r="E161" i="64"/>
  <c r="E193" i="64"/>
  <c r="E225" i="64"/>
  <c r="E246" i="64"/>
  <c r="E258" i="64"/>
  <c r="E269" i="64"/>
  <c r="E280" i="64"/>
  <c r="E290" i="64"/>
  <c r="E301" i="64"/>
  <c r="E312" i="64"/>
  <c r="E322" i="64"/>
  <c r="E334" i="64"/>
  <c r="E345" i="64"/>
  <c r="E355" i="64"/>
  <c r="E366" i="64"/>
  <c r="E169" i="64"/>
  <c r="E201" i="64"/>
  <c r="E233" i="64"/>
  <c r="E249" i="64"/>
  <c r="E260" i="64"/>
  <c r="E270" i="64"/>
  <c r="E281" i="64"/>
  <c r="E292" i="64"/>
  <c r="E302" i="64"/>
  <c r="E313" i="64"/>
  <c r="E325" i="64"/>
  <c r="E335" i="64"/>
  <c r="E346" i="64"/>
  <c r="E357" i="64"/>
  <c r="E367" i="64"/>
  <c r="O46" i="95"/>
  <c r="R236" i="3"/>
  <c r="E82" i="64"/>
  <c r="E104" i="64"/>
  <c r="E70" i="64"/>
  <c r="E45" i="64"/>
  <c r="E140" i="64"/>
  <c r="E18" i="64"/>
  <c r="E37" i="64"/>
  <c r="E49" i="64"/>
  <c r="E52" i="64"/>
  <c r="E105" i="64"/>
  <c r="E130" i="64"/>
  <c r="E69" i="64"/>
  <c r="E101" i="64"/>
  <c r="E25" i="64"/>
  <c r="E64" i="64"/>
  <c r="E127" i="64"/>
  <c r="E67" i="64"/>
  <c r="E47" i="64"/>
  <c r="E39" i="64"/>
  <c r="E80" i="64"/>
  <c r="E42" i="64"/>
  <c r="E86" i="64"/>
  <c r="E85" i="64"/>
  <c r="E132" i="64"/>
  <c r="E88" i="64"/>
  <c r="E114" i="64"/>
  <c r="E50" i="64"/>
  <c r="E121" i="64"/>
  <c r="E123" i="64"/>
  <c r="E95" i="64"/>
  <c r="E40" i="64"/>
  <c r="E103" i="64"/>
  <c r="E106" i="64"/>
  <c r="E26" i="64"/>
  <c r="E135" i="64"/>
  <c r="E17" i="64"/>
  <c r="E84" i="64"/>
  <c r="E115" i="64"/>
  <c r="E44" i="64"/>
  <c r="E21" i="64"/>
  <c r="E55" i="64"/>
  <c r="E87" i="64"/>
  <c r="E119" i="64"/>
  <c r="E19" i="64"/>
  <c r="E61" i="64"/>
  <c r="E93" i="64"/>
  <c r="E41" i="64"/>
  <c r="E73" i="64"/>
  <c r="E129" i="64"/>
  <c r="E81" i="64"/>
  <c r="E91" i="64"/>
  <c r="E27" i="64"/>
  <c r="E38" i="64"/>
  <c r="E66" i="64"/>
  <c r="E90" i="64"/>
  <c r="E122" i="64"/>
  <c r="E134" i="64"/>
  <c r="E102" i="64"/>
  <c r="E58" i="64"/>
  <c r="E22" i="64"/>
  <c r="E113" i="64"/>
  <c r="E92" i="64"/>
  <c r="E68" i="64"/>
  <c r="E20" i="64"/>
  <c r="E125" i="64"/>
  <c r="E72" i="64"/>
  <c r="E29" i="64"/>
  <c r="E112" i="64"/>
  <c r="E76" i="64"/>
  <c r="E23" i="64"/>
  <c r="E11" i="64"/>
  <c r="E32" i="64"/>
  <c r="E53" i="64"/>
  <c r="E75" i="64"/>
  <c r="E96" i="64"/>
  <c r="E111" i="64"/>
  <c r="E124" i="64"/>
  <c r="E139" i="64"/>
  <c r="E13" i="64"/>
  <c r="E35" i="64"/>
  <c r="E56" i="64"/>
  <c r="E77" i="64"/>
  <c r="E99" i="64"/>
  <c r="E120" i="64"/>
  <c r="E141" i="64"/>
  <c r="E15" i="64"/>
  <c r="E36" i="64"/>
  <c r="E57" i="64"/>
  <c r="E79" i="64"/>
  <c r="E137" i="64"/>
  <c r="E108" i="64"/>
  <c r="E71" i="64"/>
  <c r="E28" i="64"/>
  <c r="E128" i="64"/>
  <c r="E100" i="64"/>
  <c r="E59" i="64"/>
  <c r="E16" i="64"/>
  <c r="E14" i="64"/>
  <c r="E30" i="64"/>
  <c r="E46" i="64"/>
  <c r="E62" i="64"/>
  <c r="E78" i="64"/>
  <c r="E94" i="64"/>
  <c r="E110" i="64"/>
  <c r="E126" i="64"/>
  <c r="E138" i="64"/>
  <c r="E118" i="64"/>
  <c r="E98" i="64"/>
  <c r="E74" i="64"/>
  <c r="E54" i="64"/>
  <c r="E34" i="64"/>
  <c r="E10" i="64"/>
  <c r="E48" i="64"/>
  <c r="E107" i="64"/>
  <c r="E60" i="64"/>
  <c r="E116" i="64"/>
  <c r="E89" i="64"/>
  <c r="E63" i="64"/>
  <c r="E31" i="64"/>
  <c r="E136" i="64"/>
  <c r="E109" i="64"/>
  <c r="E83" i="64"/>
  <c r="E51" i="64"/>
  <c r="E24" i="64"/>
  <c r="E133" i="64"/>
  <c r="E117" i="64"/>
  <c r="E97" i="64"/>
  <c r="E65" i="64"/>
  <c r="E43" i="64"/>
  <c r="H236" i="3"/>
  <c r="C236" i="3" s="1"/>
  <c r="C235" i="3"/>
  <c r="K146" i="69"/>
  <c r="K149" i="69"/>
  <c r="K150" i="69" s="1"/>
  <c r="K151" i="69" s="1"/>
  <c r="K152" i="69" s="1"/>
  <c r="K153" i="69" s="1"/>
  <c r="U46" i="95"/>
  <c r="V46" i="95"/>
  <c r="U47" i="95"/>
  <c r="V47" i="95"/>
  <c r="L298" i="108"/>
  <c r="E122" i="116"/>
  <c r="E145" i="116"/>
  <c r="U45" i="95"/>
  <c r="C594" i="111" l="1"/>
  <c r="C595" i="111" s="1"/>
  <c r="C596" i="111" s="1"/>
  <c r="C597" i="111" s="1"/>
  <c r="G9" i="64"/>
  <c r="B147" i="69"/>
  <c r="G147" i="69"/>
  <c r="J147" i="69"/>
  <c r="J144" i="69"/>
  <c r="A18" i="112"/>
  <c r="A29" i="112"/>
  <c r="A41" i="112" s="1"/>
  <c r="A53" i="112" s="1"/>
  <c r="A65" i="112" s="1"/>
  <c r="A77" i="112" s="1"/>
  <c r="A89" i="112" s="1"/>
  <c r="A101" i="112" s="1"/>
  <c r="A113" i="112" s="1"/>
  <c r="A125" i="112" s="1"/>
  <c r="A137" i="112" s="1"/>
  <c r="A149" i="112" s="1"/>
  <c r="A161" i="112" s="1"/>
  <c r="A173" i="112" s="1"/>
  <c r="A185" i="112" s="1"/>
  <c r="J150" i="69"/>
  <c r="E147" i="69"/>
  <c r="G150" i="69"/>
  <c r="E150" i="69"/>
  <c r="G144" i="69"/>
  <c r="B150" i="69"/>
  <c r="B144" i="69"/>
  <c r="A14" i="38"/>
  <c r="A26" i="38" s="1"/>
  <c r="A38" i="38" s="1"/>
  <c r="A50" i="38" s="1"/>
  <c r="A62" i="38" s="1"/>
  <c r="A74" i="38" s="1"/>
  <c r="A86" i="38" s="1"/>
  <c r="A98" i="38" s="1"/>
  <c r="A110" i="38" s="1"/>
  <c r="A122" i="38" s="1"/>
  <c r="A134" i="38" s="1"/>
  <c r="A146" i="38" s="1"/>
  <c r="A158" i="38" s="1"/>
  <c r="A170" i="38" s="1"/>
  <c r="A182" i="38" s="1"/>
  <c r="A194" i="38" s="1"/>
  <c r="A206" i="38" s="1"/>
  <c r="E144" i="69"/>
  <c r="A14" i="68"/>
  <c r="A25" i="68"/>
  <c r="A37" i="68" s="1"/>
  <c r="A49" i="68" s="1"/>
  <c r="A61" i="68" s="1"/>
  <c r="A73" i="68" s="1"/>
  <c r="A85" i="68" s="1"/>
  <c r="A97" i="68" s="1"/>
  <c r="A109" i="68" s="1"/>
  <c r="A121" i="68" s="1"/>
  <c r="A133" i="68" s="1"/>
  <c r="A145" i="68" s="1"/>
  <c r="A157" i="68" s="1"/>
  <c r="A169" i="68" s="1"/>
  <c r="A181" i="68" s="1"/>
  <c r="A193" i="68" s="1"/>
  <c r="A205" i="68" s="1"/>
  <c r="A217" i="68" s="1"/>
  <c r="A229" i="68" s="1"/>
  <c r="A241" i="68" s="1"/>
  <c r="A253" i="68" s="1"/>
  <c r="A265" i="68" s="1"/>
  <c r="A277" i="68" s="1"/>
  <c r="A289" i="68" s="1"/>
  <c r="A301" i="68" s="1"/>
  <c r="A313" i="68" s="1"/>
  <c r="A325" i="68" s="1"/>
  <c r="A337" i="68" s="1"/>
  <c r="A349" i="68" s="1"/>
  <c r="A361" i="68" s="1"/>
  <c r="A373" i="68" s="1"/>
  <c r="A385" i="68" s="1"/>
  <c r="A397" i="68" s="1"/>
  <c r="A409" i="68" s="1"/>
  <c r="A421" i="68" s="1"/>
  <c r="A433" i="68" s="1"/>
  <c r="A445" i="68" s="1"/>
  <c r="A457" i="68" s="1"/>
  <c r="K144" i="69"/>
  <c r="K145" i="69" s="1"/>
  <c r="K147" i="69"/>
  <c r="J145" i="69" l="1"/>
  <c r="A19" i="112"/>
  <c r="A30" i="112"/>
  <c r="A42" i="112" s="1"/>
  <c r="A54" i="112" s="1"/>
  <c r="A66" i="112" s="1"/>
  <c r="A78" i="112" s="1"/>
  <c r="A90" i="112" s="1"/>
  <c r="A102" i="112" s="1"/>
  <c r="A114" i="112" s="1"/>
  <c r="A126" i="112" s="1"/>
  <c r="A138" i="112" s="1"/>
  <c r="A150" i="112" s="1"/>
  <c r="A162" i="112" s="1"/>
  <c r="A174" i="112" s="1"/>
  <c r="A186" i="112" s="1"/>
  <c r="E151" i="69"/>
  <c r="G151" i="69"/>
  <c r="E145" i="69"/>
  <c r="G145" i="69"/>
  <c r="J151" i="69"/>
  <c r="B145" i="69"/>
  <c r="B151" i="69"/>
  <c r="A15" i="38"/>
  <c r="A27" i="38" s="1"/>
  <c r="A39" i="38" s="1"/>
  <c r="A51" i="38" s="1"/>
  <c r="A63" i="38" s="1"/>
  <c r="A75" i="38" s="1"/>
  <c r="A87" i="38" s="1"/>
  <c r="A99" i="38" s="1"/>
  <c r="A111" i="38" s="1"/>
  <c r="A123" i="38" s="1"/>
  <c r="A135" i="38" s="1"/>
  <c r="A147" i="38" s="1"/>
  <c r="A159" i="38" s="1"/>
  <c r="A171" i="38" s="1"/>
  <c r="A183" i="38" s="1"/>
  <c r="A195" i="38" s="1"/>
  <c r="A207" i="38" s="1"/>
  <c r="A26" i="68"/>
  <c r="A38" i="68" s="1"/>
  <c r="A50" i="68" s="1"/>
  <c r="A62" i="68" s="1"/>
  <c r="A74" i="68" s="1"/>
  <c r="A86" i="68" s="1"/>
  <c r="A98" i="68" s="1"/>
  <c r="A110" i="68" s="1"/>
  <c r="A122" i="68" s="1"/>
  <c r="A134" i="68" s="1"/>
  <c r="A146" i="68" s="1"/>
  <c r="A158" i="68" s="1"/>
  <c r="A170" i="68" s="1"/>
  <c r="A182" i="68" s="1"/>
  <c r="A194" i="68" s="1"/>
  <c r="A206" i="68" s="1"/>
  <c r="A218" i="68" s="1"/>
  <c r="A230" i="68" s="1"/>
  <c r="A242" i="68" s="1"/>
  <c r="A254" i="68" s="1"/>
  <c r="A266" i="68" s="1"/>
  <c r="A278" i="68" s="1"/>
  <c r="A290" i="68" s="1"/>
  <c r="A302" i="68" s="1"/>
  <c r="A314" i="68" s="1"/>
  <c r="A326" i="68" s="1"/>
  <c r="A338" i="68" s="1"/>
  <c r="A350" i="68" s="1"/>
  <c r="A362" i="68" s="1"/>
  <c r="A374" i="68" s="1"/>
  <c r="A386" i="68" s="1"/>
  <c r="A398" i="68" s="1"/>
  <c r="A410" i="68" s="1"/>
  <c r="A422" i="68" s="1"/>
  <c r="A434" i="68" s="1"/>
  <c r="A446" i="68" s="1"/>
  <c r="A458" i="68" s="1"/>
  <c r="A15" i="68"/>
  <c r="A20" i="112" l="1"/>
  <c r="A31" i="112"/>
  <c r="A43" i="112" s="1"/>
  <c r="A55" i="112" s="1"/>
  <c r="A67" i="112" s="1"/>
  <c r="A79" i="112" s="1"/>
  <c r="A91" i="112" s="1"/>
  <c r="A103" i="112" s="1"/>
  <c r="A115" i="112" s="1"/>
  <c r="A127" i="112" s="1"/>
  <c r="A139" i="112" s="1"/>
  <c r="A151" i="112" s="1"/>
  <c r="A163" i="112" s="1"/>
  <c r="A175" i="112" s="1"/>
  <c r="A187" i="112" s="1"/>
  <c r="G152" i="69"/>
  <c r="J152" i="69"/>
  <c r="E152" i="69"/>
  <c r="B152" i="69"/>
  <c r="A16" i="38"/>
  <c r="A17" i="38" s="1"/>
  <c r="A18" i="38" s="1"/>
  <c r="A27" i="68"/>
  <c r="A39" i="68" s="1"/>
  <c r="A51" i="68" s="1"/>
  <c r="A63" i="68" s="1"/>
  <c r="A75" i="68" s="1"/>
  <c r="A87" i="68" s="1"/>
  <c r="A99" i="68" s="1"/>
  <c r="A111" i="68" s="1"/>
  <c r="A123" i="68" s="1"/>
  <c r="A135" i="68" s="1"/>
  <c r="A147" i="68" s="1"/>
  <c r="A159" i="68" s="1"/>
  <c r="A171" i="68" s="1"/>
  <c r="A183" i="68" s="1"/>
  <c r="A195" i="68" s="1"/>
  <c r="A207" i="68" s="1"/>
  <c r="A219" i="68" s="1"/>
  <c r="A231" i="68" s="1"/>
  <c r="A243" i="68" s="1"/>
  <c r="A255" i="68" s="1"/>
  <c r="A267" i="68" s="1"/>
  <c r="A279" i="68" s="1"/>
  <c r="A291" i="68" s="1"/>
  <c r="A303" i="68" s="1"/>
  <c r="A315" i="68" s="1"/>
  <c r="A327" i="68" s="1"/>
  <c r="A339" i="68" s="1"/>
  <c r="A351" i="68" s="1"/>
  <c r="A363" i="68" s="1"/>
  <c r="A375" i="68" s="1"/>
  <c r="A387" i="68" s="1"/>
  <c r="A399" i="68" s="1"/>
  <c r="A411" i="68" s="1"/>
  <c r="A423" i="68" s="1"/>
  <c r="A435" i="68" s="1"/>
  <c r="A447" i="68" s="1"/>
  <c r="A459" i="68" s="1"/>
  <c r="A16" i="68"/>
  <c r="A21" i="112" l="1"/>
  <c r="A33" i="112" s="1"/>
  <c r="A45" i="112" s="1"/>
  <c r="A57" i="112" s="1"/>
  <c r="A69" i="112" s="1"/>
  <c r="A81" i="112" s="1"/>
  <c r="A93" i="112" s="1"/>
  <c r="A105" i="112" s="1"/>
  <c r="A117" i="112" s="1"/>
  <c r="A129" i="112" s="1"/>
  <c r="A141" i="112" s="1"/>
  <c r="A153" i="112" s="1"/>
  <c r="A165" i="112" s="1"/>
  <c r="A177" i="112" s="1"/>
  <c r="A189" i="112" s="1"/>
  <c r="A32" i="112"/>
  <c r="A44" i="112" s="1"/>
  <c r="A56" i="112" s="1"/>
  <c r="A68" i="112" s="1"/>
  <c r="A80" i="112" s="1"/>
  <c r="A92" i="112" s="1"/>
  <c r="A104" i="112" s="1"/>
  <c r="A116" i="112" s="1"/>
  <c r="A128" i="112" s="1"/>
  <c r="A140" i="112" s="1"/>
  <c r="A152" i="112" s="1"/>
  <c r="A164" i="112" s="1"/>
  <c r="A176" i="112" s="1"/>
  <c r="A188" i="112" s="1"/>
  <c r="E153" i="69"/>
  <c r="J153" i="69"/>
  <c r="G153" i="69"/>
  <c r="B153" i="69"/>
  <c r="A28" i="38"/>
  <c r="A40" i="38" s="1"/>
  <c r="A52" i="38" s="1"/>
  <c r="A64" i="38" s="1"/>
  <c r="A76" i="38" s="1"/>
  <c r="A88" i="38" s="1"/>
  <c r="A100" i="38" s="1"/>
  <c r="A112" i="38" s="1"/>
  <c r="A124" i="38" s="1"/>
  <c r="A136" i="38" s="1"/>
  <c r="A148" i="38" s="1"/>
  <c r="A160" i="38" s="1"/>
  <c r="A172" i="38" s="1"/>
  <c r="A184" i="38" s="1"/>
  <c r="A196" i="38" s="1"/>
  <c r="A208" i="38" s="1"/>
  <c r="A29" i="38"/>
  <c r="A41" i="38" s="1"/>
  <c r="A53" i="38" s="1"/>
  <c r="A65" i="38" s="1"/>
  <c r="A77" i="38" s="1"/>
  <c r="A89" i="38" s="1"/>
  <c r="A101" i="38" s="1"/>
  <c r="A113" i="38" s="1"/>
  <c r="A125" i="38" s="1"/>
  <c r="A137" i="38" s="1"/>
  <c r="A149" i="38" s="1"/>
  <c r="A161" i="38" s="1"/>
  <c r="A173" i="38" s="1"/>
  <c r="A185" i="38" s="1"/>
  <c r="A197" i="38" s="1"/>
  <c r="A209" i="38" s="1"/>
  <c r="A28" i="68"/>
  <c r="A40" i="68" s="1"/>
  <c r="A52" i="68" s="1"/>
  <c r="A64" i="68" s="1"/>
  <c r="A76" i="68" s="1"/>
  <c r="A88" i="68" s="1"/>
  <c r="A100" i="68" s="1"/>
  <c r="A112" i="68" s="1"/>
  <c r="A124" i="68" s="1"/>
  <c r="A136" i="68" s="1"/>
  <c r="A148" i="68" s="1"/>
  <c r="A160" i="68" s="1"/>
  <c r="A172" i="68" s="1"/>
  <c r="A184" i="68" s="1"/>
  <c r="A196" i="68" s="1"/>
  <c r="A208" i="68" s="1"/>
  <c r="A220" i="68" s="1"/>
  <c r="A232" i="68" s="1"/>
  <c r="A244" i="68" s="1"/>
  <c r="A256" i="68" s="1"/>
  <c r="A268" i="68" s="1"/>
  <c r="A280" i="68" s="1"/>
  <c r="A292" i="68" s="1"/>
  <c r="A304" i="68" s="1"/>
  <c r="A316" i="68" s="1"/>
  <c r="A328" i="68" s="1"/>
  <c r="A340" i="68" s="1"/>
  <c r="A352" i="68" s="1"/>
  <c r="A364" i="68" s="1"/>
  <c r="A376" i="68" s="1"/>
  <c r="A388" i="68" s="1"/>
  <c r="A400" i="68" s="1"/>
  <c r="A412" i="68" s="1"/>
  <c r="A424" i="68" s="1"/>
  <c r="A436" i="68" s="1"/>
  <c r="A448" i="68" s="1"/>
  <c r="A460" i="68" s="1"/>
  <c r="A17" i="68"/>
  <c r="A19" i="38"/>
  <c r="A30" i="38"/>
  <c r="A42" i="38" s="1"/>
  <c r="A54" i="38" s="1"/>
  <c r="A66" i="38" s="1"/>
  <c r="A78" i="38" s="1"/>
  <c r="A90" i="38" s="1"/>
  <c r="A102" i="38" s="1"/>
  <c r="A114" i="38" s="1"/>
  <c r="A126" i="38" s="1"/>
  <c r="A138" i="38" s="1"/>
  <c r="A150" i="38" s="1"/>
  <c r="A162" i="38" s="1"/>
  <c r="A174" i="38" s="1"/>
  <c r="A186" i="38" s="1"/>
  <c r="A198" i="38" s="1"/>
  <c r="A210" i="38" s="1"/>
  <c r="A29" i="68" l="1"/>
  <c r="A41" i="68" s="1"/>
  <c r="A53" i="68" s="1"/>
  <c r="A65" i="68" s="1"/>
  <c r="A77" i="68" s="1"/>
  <c r="A89" i="68" s="1"/>
  <c r="A101" i="68" s="1"/>
  <c r="A113" i="68" s="1"/>
  <c r="A125" i="68" s="1"/>
  <c r="A137" i="68" s="1"/>
  <c r="A149" i="68" s="1"/>
  <c r="A161" i="68" s="1"/>
  <c r="A173" i="68" s="1"/>
  <c r="A185" i="68" s="1"/>
  <c r="A197" i="68" s="1"/>
  <c r="A209" i="68" s="1"/>
  <c r="A221" i="68" s="1"/>
  <c r="A233" i="68" s="1"/>
  <c r="A245" i="68" s="1"/>
  <c r="A257" i="68" s="1"/>
  <c r="A269" i="68" s="1"/>
  <c r="A281" i="68" s="1"/>
  <c r="A293" i="68" s="1"/>
  <c r="A305" i="68" s="1"/>
  <c r="A317" i="68" s="1"/>
  <c r="A329" i="68" s="1"/>
  <c r="A341" i="68" s="1"/>
  <c r="A353" i="68" s="1"/>
  <c r="A365" i="68" s="1"/>
  <c r="A377" i="68" s="1"/>
  <c r="A389" i="68" s="1"/>
  <c r="A401" i="68" s="1"/>
  <c r="A413" i="68" s="1"/>
  <c r="A425" i="68" s="1"/>
  <c r="A437" i="68" s="1"/>
  <c r="A449" i="68" s="1"/>
  <c r="A461" i="68" s="1"/>
  <c r="A18" i="68"/>
  <c r="A20" i="38"/>
  <c r="A31" i="38"/>
  <c r="A43" i="38" s="1"/>
  <c r="A55" i="38" s="1"/>
  <c r="A67" i="38" s="1"/>
  <c r="A79" i="38" s="1"/>
  <c r="A91" i="38" s="1"/>
  <c r="A103" i="38" s="1"/>
  <c r="A115" i="38" s="1"/>
  <c r="A127" i="38" s="1"/>
  <c r="A139" i="38" s="1"/>
  <c r="A151" i="38" s="1"/>
  <c r="A163" i="38" s="1"/>
  <c r="A175" i="38" s="1"/>
  <c r="A187" i="38" s="1"/>
  <c r="A199" i="38" s="1"/>
  <c r="A211" i="38" s="1"/>
  <c r="A30" i="68" l="1"/>
  <c r="A42" i="68" s="1"/>
  <c r="A54" i="68" s="1"/>
  <c r="A66" i="68" s="1"/>
  <c r="A78" i="68" s="1"/>
  <c r="A90" i="68" s="1"/>
  <c r="A102" i="68" s="1"/>
  <c r="A114" i="68" s="1"/>
  <c r="A126" i="68" s="1"/>
  <c r="A138" i="68" s="1"/>
  <c r="A150" i="68" s="1"/>
  <c r="A162" i="68" s="1"/>
  <c r="A174" i="68" s="1"/>
  <c r="A186" i="68" s="1"/>
  <c r="A198" i="68" s="1"/>
  <c r="A210" i="68" s="1"/>
  <c r="A222" i="68" s="1"/>
  <c r="A234" i="68" s="1"/>
  <c r="A246" i="68" s="1"/>
  <c r="A258" i="68" s="1"/>
  <c r="A270" i="68" s="1"/>
  <c r="A282" i="68" s="1"/>
  <c r="A294" i="68" s="1"/>
  <c r="A306" i="68" s="1"/>
  <c r="A318" i="68" s="1"/>
  <c r="A330" i="68" s="1"/>
  <c r="A342" i="68" s="1"/>
  <c r="A354" i="68" s="1"/>
  <c r="A366" i="68" s="1"/>
  <c r="A378" i="68" s="1"/>
  <c r="A390" i="68" s="1"/>
  <c r="A402" i="68" s="1"/>
  <c r="A414" i="68" s="1"/>
  <c r="A426" i="68" s="1"/>
  <c r="A438" i="68" s="1"/>
  <c r="A450" i="68" s="1"/>
  <c r="A462" i="68" s="1"/>
  <c r="A19" i="68"/>
  <c r="A21" i="38"/>
  <c r="A33" i="38" s="1"/>
  <c r="A45" i="38" s="1"/>
  <c r="A57" i="38" s="1"/>
  <c r="A69" i="38" s="1"/>
  <c r="A81" i="38" s="1"/>
  <c r="A93" i="38" s="1"/>
  <c r="A105" i="38" s="1"/>
  <c r="A117" i="38" s="1"/>
  <c r="A129" i="38" s="1"/>
  <c r="A141" i="38" s="1"/>
  <c r="A153" i="38" s="1"/>
  <c r="A165" i="38" s="1"/>
  <c r="A177" i="38" s="1"/>
  <c r="A189" i="38" s="1"/>
  <c r="A201" i="38" s="1"/>
  <c r="A213" i="38" s="1"/>
  <c r="A32" i="38"/>
  <c r="A44" i="38" s="1"/>
  <c r="A56" i="38" s="1"/>
  <c r="A68" i="38" s="1"/>
  <c r="A80" i="38" s="1"/>
  <c r="A92" i="38" s="1"/>
  <c r="A104" i="38" s="1"/>
  <c r="A116" i="38" s="1"/>
  <c r="A128" i="38" s="1"/>
  <c r="A140" i="38" s="1"/>
  <c r="A152" i="38" s="1"/>
  <c r="A164" i="38" s="1"/>
  <c r="A176" i="38" s="1"/>
  <c r="A188" i="38" s="1"/>
  <c r="A200" i="38" s="1"/>
  <c r="A212" i="38" s="1"/>
  <c r="A20" i="68" l="1"/>
  <c r="A31" i="68"/>
  <c r="A43" i="68" s="1"/>
  <c r="A55" i="68" s="1"/>
  <c r="A67" i="68" s="1"/>
  <c r="A79" i="68" s="1"/>
  <c r="A91" i="68" s="1"/>
  <c r="A103" i="68" s="1"/>
  <c r="A115" i="68" s="1"/>
  <c r="A127" i="68" s="1"/>
  <c r="A139" i="68" s="1"/>
  <c r="A151" i="68" s="1"/>
  <c r="A163" i="68" s="1"/>
  <c r="A175" i="68" s="1"/>
  <c r="A187" i="68" s="1"/>
  <c r="A199" i="68" s="1"/>
  <c r="A211" i="68" s="1"/>
  <c r="A223" i="68" s="1"/>
  <c r="A235" i="68" s="1"/>
  <c r="A247" i="68" s="1"/>
  <c r="A259" i="68" s="1"/>
  <c r="A271" i="68" s="1"/>
  <c r="A283" i="68" s="1"/>
  <c r="A295" i="68" s="1"/>
  <c r="A307" i="68" s="1"/>
  <c r="A319" i="68" s="1"/>
  <c r="A331" i="68" s="1"/>
  <c r="A343" i="68" s="1"/>
  <c r="A355" i="68" s="1"/>
  <c r="A367" i="68" s="1"/>
  <c r="A379" i="68" s="1"/>
  <c r="A391" i="68" s="1"/>
  <c r="A403" i="68" s="1"/>
  <c r="A415" i="68" s="1"/>
  <c r="A427" i="68" s="1"/>
  <c r="A439" i="68" s="1"/>
  <c r="A451" i="68" s="1"/>
  <c r="A463" i="68" s="1"/>
  <c r="A21" i="68" l="1"/>
  <c r="A33" i="68" s="1"/>
  <c r="A45" i="68" s="1"/>
  <c r="A57" i="68" s="1"/>
  <c r="A69" i="68" s="1"/>
  <c r="A81" i="68" s="1"/>
  <c r="A93" i="68" s="1"/>
  <c r="A105" i="68" s="1"/>
  <c r="A117" i="68" s="1"/>
  <c r="A129" i="68" s="1"/>
  <c r="A141" i="68" s="1"/>
  <c r="A153" i="68" s="1"/>
  <c r="A165" i="68" s="1"/>
  <c r="A177" i="68" s="1"/>
  <c r="A189" i="68" s="1"/>
  <c r="A201" i="68" s="1"/>
  <c r="A213" i="68" s="1"/>
  <c r="A225" i="68" s="1"/>
  <c r="A237" i="68" s="1"/>
  <c r="A249" i="68" s="1"/>
  <c r="A261" i="68" s="1"/>
  <c r="A273" i="68" s="1"/>
  <c r="A285" i="68" s="1"/>
  <c r="A297" i="68" s="1"/>
  <c r="A309" i="68" s="1"/>
  <c r="A321" i="68" s="1"/>
  <c r="A333" i="68" s="1"/>
  <c r="A345" i="68" s="1"/>
  <c r="A357" i="68" s="1"/>
  <c r="A369" i="68" s="1"/>
  <c r="A381" i="68" s="1"/>
  <c r="A393" i="68" s="1"/>
  <c r="A405" i="68" s="1"/>
  <c r="A417" i="68" s="1"/>
  <c r="A429" i="68" s="1"/>
  <c r="A441" i="68" s="1"/>
  <c r="A453" i="68" s="1"/>
  <c r="A465" i="68" s="1"/>
  <c r="A32" i="68"/>
  <c r="A44" i="68" s="1"/>
  <c r="A56" i="68" s="1"/>
  <c r="A68" i="68" s="1"/>
  <c r="A80" i="68" s="1"/>
  <c r="A92" i="68" s="1"/>
  <c r="A104" i="68" s="1"/>
  <c r="A116" i="68" s="1"/>
  <c r="A128" i="68" s="1"/>
  <c r="A140" i="68" s="1"/>
  <c r="A152" i="68" s="1"/>
  <c r="A164" i="68" s="1"/>
  <c r="A176" i="68" s="1"/>
  <c r="A188" i="68" s="1"/>
  <c r="A200" i="68" s="1"/>
  <c r="A212" i="68" s="1"/>
  <c r="A224" i="68" s="1"/>
  <c r="A236" i="68" s="1"/>
  <c r="A248" i="68" s="1"/>
  <c r="A260" i="68" s="1"/>
  <c r="A272" i="68" s="1"/>
  <c r="A284" i="68" s="1"/>
  <c r="A296" i="68" s="1"/>
  <c r="A308" i="68" s="1"/>
  <c r="A320" i="68" s="1"/>
  <c r="A332" i="68" s="1"/>
  <c r="A344" i="68" s="1"/>
  <c r="A356" i="68" s="1"/>
  <c r="A368" i="68" s="1"/>
  <c r="A380" i="68" s="1"/>
  <c r="A392" i="68" s="1"/>
  <c r="A404" i="68" s="1"/>
  <c r="A416" i="68" s="1"/>
  <c r="A428" i="68" s="1"/>
  <c r="A440" i="68" s="1"/>
  <c r="A452" i="68" s="1"/>
  <c r="A464"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C9" authorId="0" shapeId="0" xr:uid="{00000000-0006-0000-0400-000001000000}">
      <text>
        <r>
          <rPr>
            <sz val="8"/>
            <color indexed="81"/>
            <rFont val="Tahoma"/>
            <family val="2"/>
          </rPr>
          <t>Los datos desde 2003.12 a 1993.01 se estiman con las tasas de cambio del indicador base 1993=100.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Florencia Camusso</author>
    <author>pcohan</author>
  </authors>
  <commentList>
    <comment ref="D5" authorId="0" shapeId="0" xr:uid="{00000000-0006-0000-0600-000001000000}">
      <text>
        <r>
          <rPr>
            <sz val="9"/>
            <color indexed="81"/>
            <rFont val="Tahoma"/>
            <family val="2"/>
          </rPr>
          <t>Precios implícitos = (PGB Corriente / PBG Constante) * 100</t>
        </r>
      </text>
    </comment>
    <comment ref="C10" authorId="1" shapeId="0" xr:uid="{00000000-0006-0000-0600-000002000000}">
      <text>
        <r>
          <rPr>
            <b/>
            <sz val="8"/>
            <color indexed="81"/>
            <rFont val="Tahoma"/>
            <family val="2"/>
          </rPr>
          <t xml:space="preserve">El tramo 1884 - 2003 ha sido estimado por economistas del CES, utilizando datos históricos de distintas fuentes bibliográficas.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author>
    <author>ces11</author>
  </authors>
  <commentList>
    <comment ref="J3" authorId="0" shapeId="0" xr:uid="{00000000-0006-0000-0700-000001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S3" authorId="0" shapeId="0" xr:uid="{00000000-0006-0000-0700-000002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H5" authorId="1" shapeId="0" xr:uid="{00000000-0006-0000-0700-000003000000}">
      <text>
        <r>
          <rPr>
            <sz val="9"/>
            <color indexed="81"/>
            <rFont val="Tahoma"/>
            <family val="2"/>
          </rPr>
          <t>Hasta el 2015 incluye: variación de existencias de productos agrícolas e industriales nacionales y variación de existencias de productos industriales importados más discrepancia estadistica neta.</t>
        </r>
      </text>
    </comment>
    <comment ref="Q5" authorId="1" shapeId="0" xr:uid="{00000000-0006-0000-0700-000004000000}">
      <text>
        <r>
          <rPr>
            <sz val="9"/>
            <color indexed="81"/>
            <rFont val="Tahoma"/>
            <family val="2"/>
          </rPr>
          <t xml:space="preserve">Hasta el 2015 incluye: variación de existencias de productos agrícolas e industriales nacionales y variación de existencias de productos industriales importados más discrepancia estadistica neta.
</t>
        </r>
      </text>
    </comment>
    <comment ref="Z5" authorId="1" shapeId="0" xr:uid="{00000000-0006-0000-0700-000005000000}">
      <text>
        <r>
          <rPr>
            <sz val="9"/>
            <color indexed="81"/>
            <rFont val="Tahoma"/>
            <family val="2"/>
          </rPr>
          <t>Incluye: variación de existencias de productos agrícolas e industriales nacionales y variación de existencias de productos industriales importados más discrepancia estadística neta.</t>
        </r>
      </text>
    </comment>
    <comment ref="A102" authorId="0" shapeId="0" xr:uid="{00000000-0006-0000-0700-000006000000}">
      <text>
        <r>
          <rPr>
            <sz val="8"/>
            <color indexed="81"/>
            <rFont val="Tahoma"/>
            <family val="2"/>
          </rPr>
          <t>Las estimaciones se hicieron tomando tasas de cambio de los sub-componentes en la metodología base 1993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K2" authorId="0" shapeId="0" xr:uid="{00000000-0006-0000-0900-000001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 ref="O2" authorId="0" shapeId="0" xr:uid="{00000000-0006-0000-0900-000002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Pedro Pablo Cohan</author>
    <author>pcohan</author>
  </authors>
  <commentList>
    <comment ref="E2" authorId="0" shapeId="0" xr:uid="{00000000-0006-0000-0B00-000001000000}">
      <text>
        <r>
          <rPr>
            <sz val="9"/>
            <color indexed="81"/>
            <rFont val="Tahoma"/>
            <family val="2"/>
          </rPr>
          <t>Valores acumulados desde enero a diciembre. Los datos provienen del informe denominado Análisis de las finanzas provinciales.</t>
        </r>
      </text>
    </comment>
    <comment ref="F2" authorId="1" shapeId="0" xr:uid="{00000000-0006-0000-0B00-000002000000}">
      <text>
        <r>
          <rPr>
            <sz val="9"/>
            <color indexed="81"/>
            <rFont val="Tahoma"/>
            <family val="2"/>
          </rPr>
          <t>No incluye asalariados del sector publico, asalariados de casas particulares, monostributistas o autonomos</t>
        </r>
      </text>
    </comment>
    <comment ref="G2" authorId="2" shapeId="0" xr:uid="{00000000-0006-0000-0B00-000003000000}">
      <text>
        <r>
          <rPr>
            <sz val="9"/>
            <color indexed="81"/>
            <rFont val="Tahoma"/>
            <family val="2"/>
          </rPr>
          <t>Incluye puestos de todas las jurisdicciones (niveles de gobierno)</t>
        </r>
      </text>
    </comment>
    <comment ref="E5" authorId="0" shapeId="0" xr:uid="{00000000-0006-0000-0B00-000004000000}">
      <text>
        <r>
          <rPr>
            <sz val="9"/>
            <color indexed="81"/>
            <rFont val="Tahoma"/>
            <family val="2"/>
          </rPr>
          <t xml:space="preserve">Incluye egresos destinados a pagos de: Emergencia Salud y Promoción Comunitaria / Desarrollo Social / Reemplazos docentes y no docentes.
s/ esquema AIF: incluye remuneraciones a la Administración Central, Org. Desentralizados e Inst. de la Seguridad Social. </t>
        </r>
      </text>
    </comment>
    <comment ref="E10" authorId="3" shapeId="0" xr:uid="{00000000-0006-0000-0B00-000005000000}">
      <text>
        <r>
          <rPr>
            <sz val="8"/>
            <color indexed="81"/>
            <rFont val="Tahoma"/>
            <family val="2"/>
          </rPr>
          <t xml:space="preserve">Estimados utilizando los valores publicados para diciembre de cada año desde 1994 a 2001 en el Presupuesto Provincial y los pesos estacionales de la serie publicada de 2001 en adelante
</t>
        </r>
      </text>
    </comment>
    <comment ref="B370" authorId="2" shapeId="0" xr:uid="{D64ED8DD-0019-4DDC-9386-B3FFFBC40239}">
      <text>
        <r>
          <rPr>
            <sz val="9"/>
            <color indexed="81"/>
            <rFont val="Tahoma"/>
            <family val="2"/>
          </rPr>
          <t>Estrapolación lineal usando de base los datos publicados en 2024.12 y 2025.03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s>
  <commentList>
    <comment ref="H3" authorId="0" shapeId="0" xr:uid="{00000000-0006-0000-0C00-000002000000}">
      <text>
        <r>
          <rPr>
            <sz val="9"/>
            <color indexed="81"/>
            <rFont val="Tahoma"/>
            <family val="2"/>
          </rPr>
          <t>Sobre la base de registros administrativos de los sistemas de la seguridad social.</t>
        </r>
      </text>
    </comment>
    <comment ref="B5" authorId="1" shapeId="0" xr:uid="{00000000-0006-0000-0C00-000003000000}">
      <text>
        <r>
          <rPr>
            <sz val="9"/>
            <color indexed="81"/>
            <rFont val="Tahoma"/>
            <family val="2"/>
          </rPr>
          <t xml:space="preserve">La asignación corresponde al lugar en el cual desarrolla su tarea el individuo informado. Los datos fueron relevados de los formularios ingresados en el mes de vencimiento de la obligación. Al no incluir a los empleados informados con posterioridad al mes de vencimiento de la obligación, las cantidades
pueden presentar diferencias con sistemas administrativos de registración abiertos en el tiempo.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Florencia Camusso</author>
  </authors>
  <commentList>
    <comment ref="H3" authorId="0" shapeId="0" xr:uid="{00000000-0006-0000-0F00-000001000000}">
      <text>
        <r>
          <rPr>
            <sz val="9"/>
            <color indexed="81"/>
            <rFont val="Tahoma"/>
            <family val="2"/>
          </rPr>
          <t xml:space="preserve">Sobre la base de registros administrativos de los sistemas de la seguridad social.
</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D5" authorId="0" shapeId="0" xr:uid="{00000000-0006-0000-1000-000001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 ref="E5" authorId="0" shapeId="0" xr:uid="{00000000-0006-0000-1000-000002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Florencia Camusso</author>
    <author>Yamila Sonder</author>
    <author>pcohan</author>
  </authors>
  <commentList>
    <comment ref="M3" authorId="0" shapeId="0" xr:uid="{AB8F00B4-A3A4-45C7-AC24-DCAE4E8A010A}">
      <text>
        <r>
          <rPr>
            <sz val="9"/>
            <color indexed="81"/>
            <rFont val="Tahoma"/>
            <family val="2"/>
          </rPr>
          <t xml:space="preserve">EPH continua y empalmes con la EPH puntual.
</t>
        </r>
        <r>
          <rPr>
            <u/>
            <sz val="9"/>
            <color indexed="81"/>
            <rFont val="Tahoma"/>
            <family val="2"/>
          </rPr>
          <t>Período 2006.3 a 2015.3</t>
        </r>
        <r>
          <rPr>
            <sz val="9"/>
            <color indexed="81"/>
            <rFont val="Tahoma"/>
            <family val="2"/>
          </rPr>
          <t>: Se utiliza la reconstrucción publicada por IPEC.</t>
        </r>
      </text>
    </comment>
    <comment ref="Y3" authorId="0" shapeId="0" xr:uid="{9B67E778-07C6-4C7F-9666-74BDEF70DF41}">
      <text>
        <r>
          <rPr>
            <sz val="9"/>
            <color indexed="81"/>
            <rFont val="Tahoma"/>
            <family val="2"/>
          </rPr>
          <t>EPH continua y empalmes con la EPH puntual.</t>
        </r>
      </text>
    </comment>
    <comment ref="B6" authorId="1" shapeId="0" xr:uid="{FCCB440E-72C0-4E8C-A327-D92257F3F140}">
      <text>
        <r>
          <rPr>
            <sz val="9"/>
            <color indexed="81"/>
            <rFont val="Tahoma"/>
            <family val="2"/>
          </rPr>
          <t>PEA / Población total</t>
        </r>
      </text>
    </comment>
    <comment ref="C6" authorId="1" shapeId="0" xr:uid="{1F857BB0-EA41-4870-B164-1CC54384FFF7}">
      <text>
        <r>
          <rPr>
            <sz val="9"/>
            <color indexed="81"/>
            <rFont val="Tahoma"/>
            <family val="2"/>
          </rPr>
          <t>Población ocupada / Población total
O bien, (1 - T. Desempleo) * T. De actividad</t>
        </r>
      </text>
    </comment>
    <comment ref="D6" authorId="1" shapeId="0" xr:uid="{FFE7A051-7465-4AE7-AE66-74140CFEAB8D}">
      <text>
        <r>
          <rPr>
            <sz val="9"/>
            <color indexed="81"/>
            <rFont val="Tahoma"/>
            <family val="2"/>
          </rPr>
          <t>Población desocupada / PEA</t>
        </r>
      </text>
    </comment>
    <comment ref="G6" authorId="1" shapeId="0" xr:uid="{4AF8A55C-23EF-451B-AA9C-738217C502DB}">
      <text>
        <r>
          <rPr>
            <sz val="9"/>
            <color indexed="81"/>
            <rFont val="Tahoma"/>
            <family val="2"/>
          </rPr>
          <t>Población subocupada / PEA</t>
        </r>
      </text>
    </comment>
    <comment ref="H6" authorId="1" shapeId="0" xr:uid="{3BDD2F36-1BD5-4337-93D1-13C21A640CF6}">
      <text>
        <r>
          <rPr>
            <sz val="9"/>
            <color indexed="81"/>
            <rFont val="Tahoma"/>
            <family val="2"/>
          </rPr>
          <t>PEA / Población total</t>
        </r>
      </text>
    </comment>
    <comment ref="I6" authorId="1" shapeId="0" xr:uid="{55E14471-721B-4FF5-A783-5F93AB9EF8BC}">
      <text>
        <r>
          <rPr>
            <sz val="9"/>
            <color indexed="81"/>
            <rFont val="Tahoma"/>
            <family val="2"/>
          </rPr>
          <t>Población ocupada / Población total
O bien, (1 - T. Desempleo) * T. De actividad</t>
        </r>
      </text>
    </comment>
    <comment ref="J6" authorId="1" shapeId="0" xr:uid="{AE5A0190-66C3-4307-A468-3EC1358ECBBF}">
      <text>
        <r>
          <rPr>
            <sz val="9"/>
            <color indexed="81"/>
            <rFont val="Tahoma"/>
            <family val="2"/>
          </rPr>
          <t>Población desocupada / PEA</t>
        </r>
      </text>
    </comment>
    <comment ref="M6" authorId="1" shapeId="0" xr:uid="{D4254861-77A4-42F6-AB92-198020EEEDD4}">
      <text>
        <r>
          <rPr>
            <sz val="9"/>
            <color indexed="81"/>
            <rFont val="Tahoma"/>
            <family val="2"/>
          </rPr>
          <t>Población subocupada / PEA</t>
        </r>
      </text>
    </comment>
    <comment ref="N6" authorId="1" shapeId="0" xr:uid="{ED0D2B3C-80D2-4DF0-BCC2-227C0C5C5BA0}">
      <text>
        <r>
          <rPr>
            <sz val="9"/>
            <color indexed="81"/>
            <rFont val="Tahoma"/>
            <family val="2"/>
          </rPr>
          <t>PEA / Población total</t>
        </r>
      </text>
    </comment>
    <comment ref="O6" authorId="1" shapeId="0" xr:uid="{3A6624CC-62C1-494D-9586-FE6E37716DD5}">
      <text>
        <r>
          <rPr>
            <sz val="9"/>
            <color indexed="81"/>
            <rFont val="Tahoma"/>
            <family val="2"/>
          </rPr>
          <t>Población ocupada / Población total
O bien, (1 - T. Desempleo) * T. De actividad</t>
        </r>
      </text>
    </comment>
    <comment ref="P6" authorId="1" shapeId="0" xr:uid="{41463101-7BB0-43B7-9B16-04A955036C2B}">
      <text>
        <r>
          <rPr>
            <sz val="9"/>
            <color indexed="81"/>
            <rFont val="Tahoma"/>
            <family val="2"/>
          </rPr>
          <t>Población desocupada / PEA</t>
        </r>
      </text>
    </comment>
    <comment ref="S6" authorId="1" shapeId="0" xr:uid="{41B5D63E-05A8-4787-B44B-638883885036}">
      <text>
        <r>
          <rPr>
            <sz val="9"/>
            <color indexed="81"/>
            <rFont val="Tahoma"/>
            <family val="2"/>
          </rPr>
          <t>Población subocupada / PEA</t>
        </r>
      </text>
    </comment>
    <comment ref="T6" authorId="1" shapeId="0" xr:uid="{E52E041E-AC48-4AAA-B06D-A07C1138E374}">
      <text>
        <r>
          <rPr>
            <sz val="9"/>
            <color indexed="81"/>
            <rFont val="Tahoma"/>
            <family val="2"/>
          </rPr>
          <t>PEA / Población total</t>
        </r>
      </text>
    </comment>
    <comment ref="U6" authorId="1" shapeId="0" xr:uid="{36BAF12B-4039-4003-A150-287002F00AAA}">
      <text>
        <r>
          <rPr>
            <sz val="9"/>
            <color indexed="81"/>
            <rFont val="Tahoma"/>
            <family val="2"/>
          </rPr>
          <t>Población ocupada / Población total
O bien, (1 - T. Desempleo) * T. De actividad</t>
        </r>
      </text>
    </comment>
    <comment ref="V6" authorId="1" shapeId="0" xr:uid="{35BF4A58-43C0-4027-8965-6BD5DB80A678}">
      <text>
        <r>
          <rPr>
            <sz val="9"/>
            <color indexed="81"/>
            <rFont val="Tahoma"/>
            <family val="2"/>
          </rPr>
          <t>Población desocupada / PEA</t>
        </r>
      </text>
    </comment>
    <comment ref="Y6" authorId="1" shapeId="0" xr:uid="{37F9FD81-C6AF-4346-A933-906A8E9F8427}">
      <text>
        <r>
          <rPr>
            <sz val="9"/>
            <color indexed="81"/>
            <rFont val="Tahoma"/>
            <family val="2"/>
          </rPr>
          <t>Población subocupada / PEA</t>
        </r>
      </text>
    </comment>
    <comment ref="A28" authorId="2" shapeId="0" xr:uid="{9B3B0BC8-37FB-4FD7-A2A0-387AFAFA99C9}">
      <text>
        <r>
          <rPr>
            <b/>
            <sz val="8"/>
            <color indexed="81"/>
            <rFont val="Tahoma"/>
            <family val="2"/>
          </rPr>
          <t>Comienza la EPH contínua</t>
        </r>
      </text>
    </comment>
    <comment ref="H29" authorId="2" shapeId="0" xr:uid="{EB746901-3A6B-4B0A-B9C6-1CA9E9C464A8}">
      <text>
        <r>
          <rPr>
            <b/>
            <sz val="8"/>
            <color indexed="81"/>
            <rFont val="Tahoma"/>
            <family val="2"/>
          </rPr>
          <t>Se postergó por inundaciones...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Pedro Pablo Cohan</author>
    <author>Valentin Corvalan Erbes</author>
  </authors>
  <commentList>
    <comment ref="B6" authorId="0" shapeId="0" xr:uid="{C33A07C8-50BC-495B-823B-65B53C9DA47D}">
      <text>
        <r>
          <rPr>
            <u/>
            <sz val="9"/>
            <color indexed="81"/>
            <rFont val="Tahoma"/>
            <family val="2"/>
          </rPr>
          <t>Estructura microdatos</t>
        </r>
        <r>
          <rPr>
            <sz val="9"/>
            <color indexed="81"/>
            <rFont val="Tahoma"/>
            <family val="2"/>
          </rPr>
          <t>:
ESTADO = "1" &amp; PP04A = "1"</t>
        </r>
      </text>
    </comment>
    <comment ref="C6" authorId="1" shapeId="0" xr:uid="{5846BBFF-B7C0-4DDA-A8D4-61F3306692C9}">
      <text>
        <r>
          <rPr>
            <sz val="9"/>
            <color indexed="81"/>
            <rFont val="Tahoma"/>
            <family val="2"/>
          </rPr>
          <t xml:space="preserve">Suma de patrones formales, cuentapropistas formales y asalariados formales.
</t>
        </r>
      </text>
    </comment>
    <comment ref="D6" authorId="1" shapeId="0" xr:uid="{1E32638C-E974-46EC-9E67-37796AD57726}">
      <text>
        <r>
          <rPr>
            <u/>
            <sz val="9"/>
            <color indexed="81"/>
            <rFont val="Tahoma"/>
            <family val="2"/>
          </rPr>
          <t>Estructura microdato</t>
        </r>
        <r>
          <rPr>
            <sz val="9"/>
            <color indexed="81"/>
            <rFont val="Tahoma"/>
            <family val="2"/>
          </rPr>
          <t xml:space="preserve">s:
ESTADO = "1" &amp; PP04A = "2" &amp;
CAT_OCUP = "1" &amp; PP06E = "1"
</t>
        </r>
      </text>
    </comment>
    <comment ref="E6" authorId="1" shapeId="0" xr:uid="{340112E3-B8B6-4330-80ED-A42BA91BD153}">
      <text>
        <r>
          <rPr>
            <u/>
            <sz val="9"/>
            <color indexed="81"/>
            <rFont val="Tahoma"/>
            <family val="2"/>
          </rPr>
          <t>Estructura microdatos</t>
        </r>
        <r>
          <rPr>
            <sz val="9"/>
            <color indexed="81"/>
            <rFont val="Tahoma"/>
            <family val="2"/>
          </rPr>
          <t xml:space="preserve">:
ESTADO = "1" &amp;  PP04A = "2" &amp;
CAT_OCUP = "2" &amp; CH08 = (1+2+3)
</t>
        </r>
      </text>
    </comment>
    <comment ref="F6" authorId="1" shapeId="0" xr:uid="{0392DFD2-5693-4B5A-BD56-4AE06D8B86A0}">
      <text>
        <r>
          <rPr>
            <u/>
            <sz val="9"/>
            <color indexed="81"/>
            <rFont val="Tahoma"/>
            <family val="2"/>
          </rPr>
          <t>Estructura microdatos</t>
        </r>
        <r>
          <rPr>
            <sz val="9"/>
            <color indexed="81"/>
            <rFont val="Tahoma"/>
            <family val="2"/>
          </rPr>
          <t>:
ESTADO = "1" &amp; PP04A = "2" &amp; CAT_OCUP = "3" &amp; PP07H = "1"</t>
        </r>
      </text>
    </comment>
    <comment ref="G6" authorId="1" shapeId="0" xr:uid="{75DDE587-6041-474D-866D-44E723CE91FF}">
      <text>
        <r>
          <rPr>
            <sz val="9"/>
            <color indexed="81"/>
            <rFont val="Tahoma"/>
            <family val="2"/>
          </rPr>
          <t>Suma de patrones informales, cuentapropistas informales, asalariados informales y trabajadores familiares sin remuneración</t>
        </r>
      </text>
    </comment>
    <comment ref="H6" authorId="1" shapeId="0" xr:uid="{27AE0B9E-26FD-49C9-9AD6-04443605F4C1}">
      <text>
        <r>
          <rPr>
            <u/>
            <sz val="9"/>
            <color indexed="81"/>
            <rFont val="Tahoma"/>
            <family val="2"/>
          </rPr>
          <t>Estructura microdatos</t>
        </r>
        <r>
          <rPr>
            <sz val="9"/>
            <color indexed="81"/>
            <rFont val="Tahoma"/>
            <family val="2"/>
          </rPr>
          <t xml:space="preserve">:
ESTADO = "1" &amp;  PP04A = "2" &amp; 
CAT_OCUP = "1" &amp; PP06E = (2+3) &amp;
PP06H = (1+2)
</t>
        </r>
      </text>
    </comment>
    <comment ref="I6" authorId="1" shapeId="0" xr:uid="{628EB866-C0B1-4793-B799-81F171D28994}">
      <text>
        <r>
          <rPr>
            <u/>
            <sz val="9"/>
            <color indexed="81"/>
            <rFont val="Tahoma"/>
            <family val="2"/>
          </rPr>
          <t>Estructura microdatos</t>
        </r>
        <r>
          <rPr>
            <sz val="9"/>
            <color indexed="81"/>
            <rFont val="Tahoma"/>
            <family val="2"/>
          </rPr>
          <t xml:space="preserve">:
ESTADO = "1" &amp; PP04A = "2" &amp;
CAT_OCUP = "2" &amp; CH08 = "4"
</t>
        </r>
      </text>
    </comment>
    <comment ref="J6" authorId="1" shapeId="0" xr:uid="{FF44D009-88B2-40CB-9980-91F72BDE01FB}">
      <text>
        <r>
          <rPr>
            <u/>
            <sz val="9"/>
            <color indexed="81"/>
            <rFont val="Tahoma"/>
            <family val="2"/>
          </rPr>
          <t>Estructura microdatos</t>
        </r>
        <r>
          <rPr>
            <sz val="9"/>
            <color indexed="81"/>
            <rFont val="Tahoma"/>
            <family val="2"/>
          </rPr>
          <t xml:space="preserve">:
ESTADO = "1" &amp;  PP04A = "2" &amp; CAT_OCUP = "3" &amp; PP07H = "2"
</t>
        </r>
      </text>
    </comment>
    <comment ref="K6" authorId="1" shapeId="0" xr:uid="{612BE4BC-C3D4-486B-BC47-D8EB99635A2A}">
      <text>
        <r>
          <rPr>
            <u/>
            <sz val="9"/>
            <color indexed="81"/>
            <rFont val="Tahoma"/>
            <family val="2"/>
          </rPr>
          <t>Estructura microdatos</t>
        </r>
        <r>
          <rPr>
            <sz val="9"/>
            <color indexed="81"/>
            <rFont val="Tahoma"/>
            <family val="2"/>
          </rPr>
          <t xml:space="preserve">:
ESTADO = "1" &amp;  PP04A = "2" &amp; CAT_OCUP = "4" 
</t>
        </r>
      </text>
    </comment>
    <comment ref="L6" authorId="0" shapeId="0" xr:uid="{AA3ACAA3-E8F6-4E20-BFD1-9E208BCBCDC1}">
      <text>
        <r>
          <rPr>
            <u/>
            <sz val="9"/>
            <color indexed="81"/>
            <rFont val="Tahoma"/>
            <family val="2"/>
          </rPr>
          <t>Estructura microdatos</t>
        </r>
        <r>
          <rPr>
            <sz val="9"/>
            <color indexed="81"/>
            <rFont val="Tahoma"/>
            <family val="2"/>
          </rPr>
          <t>:
PP04A = "3" o CAT_OCUP = "9"</t>
        </r>
      </text>
    </comment>
    <comment ref="M6" authorId="0" shapeId="0" xr:uid="{6CD54ABB-8E8A-43C7-A9B1-0FBBECA32B7C}">
      <text>
        <r>
          <rPr>
            <sz val="9"/>
            <color indexed="81"/>
            <rFont val="Tahoma"/>
            <family val="2"/>
          </rPr>
          <t>Ocupados publicados en reportes EPH - (filtrado de microdatos: públicos, privados y otros)</t>
        </r>
      </text>
    </comment>
    <comment ref="N6" authorId="0" shapeId="0" xr:uid="{72B8AB65-49CC-4F45-B1D5-2EE24058D621}">
      <text>
        <r>
          <rPr>
            <u/>
            <sz val="9"/>
            <color indexed="81"/>
            <rFont val="Tahoma"/>
            <family val="2"/>
          </rPr>
          <t>Estructura microdatos</t>
        </r>
        <r>
          <rPr>
            <sz val="9"/>
            <color indexed="81"/>
            <rFont val="Tahoma"/>
            <family val="2"/>
          </rPr>
          <t xml:space="preserve">:
ESTADO = "1" &amp;  PP04A = "1"
</t>
        </r>
      </text>
    </comment>
    <comment ref="O6" authorId="1" shapeId="0" xr:uid="{7E4786BA-7BFB-428E-BA9F-8A1F5594BA26}">
      <text>
        <r>
          <rPr>
            <sz val="9"/>
            <color indexed="81"/>
            <rFont val="Tahoma"/>
            <family val="2"/>
          </rPr>
          <t xml:space="preserve">Suma de patrones formales, cuentapropistas formales y asalariados formales
</t>
        </r>
      </text>
    </comment>
    <comment ref="P6" authorId="1" shapeId="0" xr:uid="{9CB16768-C029-4102-9E5C-14875031A761}">
      <text>
        <r>
          <rPr>
            <u/>
            <sz val="9"/>
            <color indexed="81"/>
            <rFont val="Tahoma"/>
            <family val="2"/>
          </rPr>
          <t>Estructura microdatos</t>
        </r>
        <r>
          <rPr>
            <sz val="9"/>
            <color indexed="81"/>
            <rFont val="Tahoma"/>
            <family val="2"/>
          </rPr>
          <t xml:space="preserve">:
ESTADO = "1" &amp; PP04A = "2" &amp;
CAT_OCUP = "1" &amp; PP06E = "1"
</t>
        </r>
      </text>
    </comment>
    <comment ref="Q6" authorId="1" shapeId="0" xr:uid="{2DB8E2E5-B962-4E48-BC2D-2DF4ABAC0535}">
      <text>
        <r>
          <rPr>
            <u/>
            <sz val="9"/>
            <color indexed="81"/>
            <rFont val="Tahoma"/>
            <family val="2"/>
          </rPr>
          <t>Estructura microdatos</t>
        </r>
        <r>
          <rPr>
            <sz val="9"/>
            <color indexed="81"/>
            <rFont val="Tahoma"/>
            <family val="2"/>
          </rPr>
          <t xml:space="preserve">:
ESTADO = "1" &amp; PP04A = "2" &amp;
CAT_OCUP = "2" &amp; CH08 = (1+2+3)
</t>
        </r>
      </text>
    </comment>
    <comment ref="R6" authorId="1" shapeId="0" xr:uid="{6ABCDA29-DDFD-4CA0-B26D-6A32FFCDBCCC}">
      <text>
        <r>
          <rPr>
            <u/>
            <sz val="9"/>
            <color indexed="81"/>
            <rFont val="Tahoma"/>
            <family val="2"/>
          </rPr>
          <t>Estructura microdatos</t>
        </r>
        <r>
          <rPr>
            <sz val="9"/>
            <color indexed="81"/>
            <rFont val="Tahoma"/>
            <family val="2"/>
          </rPr>
          <t xml:space="preserve">:
ESTADO = "1" &amp; PP04A = "2" &amp; 
CAT_OCUP = "3" &amp; PP07H = "1"
</t>
        </r>
      </text>
    </comment>
    <comment ref="S6" authorId="1" shapeId="0" xr:uid="{BE61F600-C028-48AF-9245-E4A07E92B691}">
      <text>
        <r>
          <rPr>
            <sz val="9"/>
            <color indexed="81"/>
            <rFont val="Tahoma"/>
            <family val="2"/>
          </rPr>
          <t>Suma de patrones informales, cuentapropistas informales, asalariados informales y trabajadores familiares sin remuneración</t>
        </r>
      </text>
    </comment>
    <comment ref="T6" authorId="1" shapeId="0" xr:uid="{945DA872-22A2-4621-A4CE-7960C1BB45FA}">
      <text>
        <r>
          <rPr>
            <u/>
            <sz val="9"/>
            <color indexed="81"/>
            <rFont val="Tahoma"/>
            <family val="2"/>
          </rPr>
          <t>Estructura microdatos</t>
        </r>
        <r>
          <rPr>
            <sz val="9"/>
            <color indexed="81"/>
            <rFont val="Tahoma"/>
            <family val="2"/>
          </rPr>
          <t xml:space="preserve">:
ESTADO = "1" &amp;  PP04A = "2" &amp; 
CAT_OCUP = "1" &amp; PP06E = (2+3) &amp;
PP06H = (1+2)
</t>
        </r>
      </text>
    </comment>
    <comment ref="U6" authorId="1" shapeId="0" xr:uid="{652ED537-CA43-4184-8EEA-BC105177416C}">
      <text>
        <r>
          <rPr>
            <u/>
            <sz val="9"/>
            <color indexed="81"/>
            <rFont val="Tahoma"/>
            <family val="2"/>
          </rPr>
          <t>Estructura microdatos</t>
        </r>
        <r>
          <rPr>
            <sz val="9"/>
            <color indexed="81"/>
            <rFont val="Tahoma"/>
            <family val="2"/>
          </rPr>
          <t xml:space="preserve">:
PP04A = "2" &amp; CAT_OCUP = "2" &amp;
CH08 = "4"
</t>
        </r>
      </text>
    </comment>
    <comment ref="V6" authorId="1" shapeId="0" xr:uid="{1E34DF15-65A4-43A3-AC4A-282C7124E21C}">
      <text>
        <r>
          <rPr>
            <u/>
            <sz val="9"/>
            <color indexed="81"/>
            <rFont val="Tahoma"/>
            <family val="2"/>
          </rPr>
          <t>Estructura microdatos</t>
        </r>
        <r>
          <rPr>
            <sz val="9"/>
            <color indexed="81"/>
            <rFont val="Tahoma"/>
            <family val="2"/>
          </rPr>
          <t xml:space="preserve">:
ESTADO = "1" &amp; PP04A = "2" &amp;
CAT_OCUP = "3" &amp; PP07H = "2"
</t>
        </r>
      </text>
    </comment>
    <comment ref="W6" authorId="1" shapeId="0" xr:uid="{000D5B7C-CE2A-4B50-A936-EA4E19447889}">
      <text>
        <r>
          <rPr>
            <u/>
            <sz val="9"/>
            <color indexed="81"/>
            <rFont val="Tahoma"/>
            <family val="2"/>
          </rPr>
          <t>Estructura microdatos</t>
        </r>
        <r>
          <rPr>
            <sz val="9"/>
            <color indexed="81"/>
            <rFont val="Tahoma"/>
            <family val="2"/>
          </rPr>
          <t xml:space="preserve">:
ESTADO = "1" &amp;  PP04A = "2" &amp;
CAT_OCUP = "4" 
</t>
        </r>
      </text>
    </comment>
    <comment ref="X6" authorId="0" shapeId="0" xr:uid="{F0478FDB-D7BF-4C58-BE7C-E7D77E903BF1}">
      <text>
        <r>
          <rPr>
            <u/>
            <sz val="9"/>
            <color indexed="81"/>
            <rFont val="Tahoma"/>
            <family val="2"/>
          </rPr>
          <t>Estructura microdatos</t>
        </r>
        <r>
          <rPr>
            <sz val="9"/>
            <color indexed="81"/>
            <rFont val="Tahoma"/>
            <family val="2"/>
          </rPr>
          <t>:
PP04A = "3" o CAT_OCUP = "9"</t>
        </r>
      </text>
    </comment>
    <comment ref="Y6" authorId="0" shapeId="0" xr:uid="{F59ECC67-9929-462F-A3D1-87B28F0AFD91}">
      <text>
        <r>
          <rPr>
            <sz val="9"/>
            <color indexed="81"/>
            <rFont val="Tahoma"/>
            <family val="2"/>
          </rPr>
          <t>Ocupados publicados en reportes EPH - (filtrado de microdatos: públicos, privados y otros)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A14" authorId="0" shapeId="0" xr:uid="{00000000-0006-0000-1300-000001000000}">
      <text>
        <r>
          <rPr>
            <b/>
            <sz val="8"/>
            <color indexed="81"/>
            <rFont val="Tahoma"/>
            <family val="2"/>
          </rPr>
          <t>Comienza la EPH Contínua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ces11</author>
    <author>Lautaro Zanini</author>
    <author>Martina Mas</author>
  </authors>
  <commentList>
    <comment ref="A10" authorId="0" shapeId="0" xr:uid="{00000000-0006-0000-1400-000001000000}">
      <text>
        <r>
          <rPr>
            <sz val="9"/>
            <color indexed="81"/>
            <rFont val="Tahoma"/>
            <family val="2"/>
          </rPr>
          <t>Para el período 1810-2004 los datos corresponden a estimaciones realizadas por la Fundación Norte y Sur
(bajo la dirección de Orlando J. Ferreres)</t>
        </r>
      </text>
    </comment>
    <comment ref="B202" authorId="1" shapeId="0" xr:uid="{00000000-0006-0000-1400-000002000000}">
      <text>
        <r>
          <rPr>
            <b/>
            <sz val="9"/>
            <color indexed="81"/>
            <rFont val="Tahoma"/>
            <family val="2"/>
          </rPr>
          <t>Anualizando la tasa intercensal a 0.013161</t>
        </r>
      </text>
    </comment>
    <comment ref="C202" authorId="1" shapeId="0" xr:uid="{00000000-0006-0000-1400-000003000000}">
      <text>
        <r>
          <rPr>
            <b/>
            <sz val="9"/>
            <color indexed="81"/>
            <rFont val="Tahoma"/>
            <family val="2"/>
          </rPr>
          <t>Anualizando la tasa intercensal a 0.009180</t>
        </r>
      </text>
    </comment>
    <comment ref="A210" authorId="0" shapeId="0" xr:uid="{00000000-0006-0000-1400-000004000000}">
      <text>
        <r>
          <rPr>
            <b/>
            <sz val="9"/>
            <color indexed="81"/>
            <rFont val="Tahoma"/>
            <family val="2"/>
          </rPr>
          <t>Población del Censo 2010 evaluada y corregida. Definida como población base de las siguientes proyecciones al 2040 realizada por INDEC</t>
        </r>
      </text>
    </comment>
    <comment ref="A222" authorId="2" shapeId="0" xr:uid="{00000000-0006-0000-1400-000007000000}">
      <text>
        <r>
          <rPr>
            <b/>
            <sz val="9"/>
            <color indexed="81"/>
            <rFont val="Tahoma"/>
            <family val="2"/>
          </rPr>
          <t>Población del Censo Nacional 2022: resultados provisionales a enero 2023.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Pedro Pablo Cohan</author>
    <author>Yamila Sonder</author>
  </authors>
  <commentList>
    <comment ref="B2" authorId="0" shapeId="0" xr:uid="{00000000-0006-0000-1500-000001000000}">
      <text>
        <r>
          <rPr>
            <sz val="9"/>
            <color indexed="81"/>
            <rFont val="Tahoma"/>
            <family val="2"/>
          </rPr>
          <t>S/ Ministerio de la Producción, 78,13% de la producción total</t>
        </r>
      </text>
    </comment>
    <comment ref="D2" authorId="1" shapeId="0" xr:uid="{9F98294E-5406-47CF-8DF0-B21AD1824BC4}">
      <text>
        <r>
          <rPr>
            <sz val="9"/>
            <color indexed="81"/>
            <rFont val="Tahoma"/>
            <family val="2"/>
          </rPr>
          <t>Promedio, por el total de las empresas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Florencia Camusso</author>
    <author>Ailén Bianchi</author>
  </authors>
  <commentList>
    <comment ref="AG3" authorId="0" shapeId="0" xr:uid="{00000000-0006-0000-1600-000001000000}">
      <text>
        <r>
          <rPr>
            <sz val="9"/>
            <color indexed="81"/>
            <rFont val="Tahoma"/>
            <family val="2"/>
          </rPr>
          <t xml:space="preserve">En base a declaraciones juradas de empresas exportadoras. </t>
        </r>
      </text>
    </comment>
    <comment ref="Z9" authorId="1" shapeId="0" xr:uid="{00000000-0006-0000-1600-000002000000}">
      <text>
        <r>
          <rPr>
            <sz val="9"/>
            <color indexed="81"/>
            <rFont val="Tahoma"/>
            <family val="2"/>
          </rPr>
          <t xml:space="preserve">Revisión de datos desde 2014.01 hasta 2018.06, corrigiendo diferencias entre publicaciones mensuales y datos acumulados (septiembre 2018) 
</t>
        </r>
      </text>
    </comment>
    <comment ref="AF9" authorId="1" shapeId="0" xr:uid="{00000000-0006-0000-1600-000003000000}">
      <text>
        <r>
          <rPr>
            <sz val="8"/>
            <color indexed="81"/>
            <rFont val="Tahoma"/>
            <family val="2"/>
          </rPr>
          <t xml:space="preserve">Revisión de datos desde 2014.01 hasta 2018.06, corrigiendo diferencias entre publicaciones mensuales y datos acumulados (septiembre 2018)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Pedro</author>
    <author>Lautaro Zanini</author>
    <author>ces14</author>
  </authors>
  <commentList>
    <comment ref="B5" authorId="0" shapeId="0" xr:uid="{00000000-0006-0000-1700-000001000000}">
      <text>
        <r>
          <rPr>
            <sz val="9"/>
            <color indexed="81"/>
            <rFont val="Tahoma"/>
            <family val="2"/>
          </rPr>
          <t xml:space="preserve">2017,01 en adelante:
Los datos  surgen de lo informado en concepto de Declaración Jurada por establecimientos faenadores inscriptos en el Registro Único de Operadores de la Cadena Agroindustrial (RUCA) a través del Sistema SIF/SIGICA. </t>
        </r>
      </text>
    </comment>
    <comment ref="C5" authorId="0" shapeId="0" xr:uid="{00000000-0006-0000-1700-000002000000}">
      <text>
        <r>
          <rPr>
            <sz val="9"/>
            <color indexed="81"/>
            <rFont val="Tahoma"/>
            <family val="2"/>
          </rPr>
          <t>2017,01 en adelante:
Los datos  surgen de lo informado en concepto de Declaración Jurada por establecimientos faenadores inscriptos en el Registro Único de Operadores de la Cadena Agroindustrial (RUCA) a través del Sistema SIF/SIGICA. 
Eliminacion RUCA: https://www.magyp.gob.ar/comercio-agropecuario/eliminacion.php</t>
        </r>
      </text>
    </comment>
    <comment ref="F5" authorId="0" shapeId="0" xr:uid="{00000000-0006-0000-1700-000003000000}">
      <text>
        <r>
          <rPr>
            <sz val="9"/>
            <color indexed="81"/>
            <rFont val="Tahoma"/>
            <family val="2"/>
          </rPr>
          <t xml:space="preserve">Promedio ponderado de cabezas faenadas por categoría: datos nacionales. En Kg de res con hueso
</t>
        </r>
      </text>
    </comment>
    <comment ref="G5" authorId="1" shapeId="0" xr:uid="{00000000-0006-0000-1700-000004000000}">
      <text>
        <r>
          <rPr>
            <sz val="9"/>
            <color indexed="81"/>
            <rFont val="Tahoma"/>
            <family val="2"/>
          </rPr>
          <t>Precio promedio ponderado por kilo vivo de ganado bovino en el mercado de Liniers</t>
        </r>
      </text>
    </comment>
    <comment ref="H5" authorId="0" shapeId="0" xr:uid="{00000000-0006-0000-1700-000005000000}">
      <text>
        <r>
          <rPr>
            <sz val="9"/>
            <color indexed="81"/>
            <rFont val="Tahoma"/>
            <family val="2"/>
          </rPr>
          <t xml:space="preserve">2013.01 en adelante:
Los datos  surgen de lo informado en concepto de Declaración Jurada por establecimientos faenadores inscriptos en el Registro Único de Operadores de la Cadena Agroindustrial (RUCA) a través del Sistema SIF/SIGICA. </t>
        </r>
      </text>
    </comment>
    <comment ref="I5" authorId="0" shapeId="0" xr:uid="{00000000-0006-0000-1700-000006000000}">
      <text>
        <r>
          <rPr>
            <sz val="9"/>
            <color indexed="81"/>
            <rFont val="Tahoma"/>
            <family val="2"/>
          </rPr>
          <t xml:space="preserve">2013.01 en adelante:
Los datos  surgen de lo informado en concepto de Declaración Jurada por establecimientos faenadores inscriptos en el Registro Único de Operadores de la Cadena Agroindustrial (RUCA) a través del Sistema SIF/SIGICA. </t>
        </r>
      </text>
    </comment>
    <comment ref="L5" authorId="0" shapeId="0" xr:uid="{00000000-0006-0000-1700-000007000000}">
      <text>
        <r>
          <rPr>
            <sz val="9"/>
            <color indexed="81"/>
            <rFont val="Tahoma"/>
            <family val="2"/>
          </rPr>
          <t>Promedio ponderado de cabezas faenadas por categoría: datos nacionales. En Kg de res con hueso.</t>
        </r>
      </text>
    </comment>
    <comment ref="M5" authorId="1" shapeId="0" xr:uid="{00000000-0006-0000-1700-000008000000}">
      <text>
        <r>
          <rPr>
            <sz val="9"/>
            <color indexed="81"/>
            <rFont val="Tahoma"/>
            <family val="2"/>
          </rPr>
          <t>Precios promedios de categoría "capón general", en pesos ($) por kilos vivos, según Resolución ONCCA 1797/05</t>
        </r>
      </text>
    </comment>
    <comment ref="B10" authorId="2" shapeId="0" xr:uid="{00000000-0006-0000-1700-000009000000}">
      <text>
        <r>
          <rPr>
            <sz val="9"/>
            <color indexed="81"/>
            <rFont val="Tahoma"/>
            <family val="2"/>
          </rPr>
          <t xml:space="preserve">SENASA y estimaciones propias (1994,01-1998,12) </t>
        </r>
      </text>
    </comment>
    <comment ref="D10" authorId="2" shapeId="0" xr:uid="{00000000-0006-0000-1700-00000A000000}">
      <text>
        <r>
          <rPr>
            <sz val="9"/>
            <color indexed="81"/>
            <rFont val="Tahoma"/>
            <family val="2"/>
          </rPr>
          <t xml:space="preserve">SENASA y estimaciones propias (1994,01-1998,12) </t>
        </r>
      </text>
    </comment>
    <comment ref="H10" authorId="2" shapeId="0" xr:uid="{00000000-0006-0000-1700-00000B000000}">
      <text>
        <r>
          <rPr>
            <sz val="9"/>
            <color indexed="81"/>
            <rFont val="Tahoma"/>
            <family val="2"/>
          </rPr>
          <t>SENASA y estimaciones propias (1994,01-1998,12)</t>
        </r>
        <r>
          <rPr>
            <b/>
            <sz val="9"/>
            <color indexed="81"/>
            <rFont val="Tahoma"/>
            <family val="2"/>
          </rPr>
          <t xml:space="preserve"> </t>
        </r>
      </text>
    </comment>
    <comment ref="B70" authorId="2" shapeId="0" xr:uid="{00000000-0006-0000-1700-00000C000000}">
      <text>
        <r>
          <rPr>
            <sz val="9"/>
            <color indexed="81"/>
            <rFont val="Tahoma"/>
            <family val="2"/>
          </rPr>
          <t xml:space="preserve">ONCCA (1991,01 - 2012,02)
</t>
        </r>
      </text>
    </comment>
    <comment ref="D70" authorId="2" shapeId="0" xr:uid="{00000000-0006-0000-1700-00000D000000}">
      <text>
        <r>
          <rPr>
            <b/>
            <sz val="9"/>
            <color indexed="81"/>
            <rFont val="Tahoma"/>
            <family val="2"/>
          </rPr>
          <t>ONCCA (1991,01 - 2012,02)</t>
        </r>
      </text>
    </comment>
    <comment ref="H70" authorId="2" shapeId="0" xr:uid="{00000000-0006-0000-1700-00000E000000}">
      <text>
        <r>
          <rPr>
            <sz val="9"/>
            <color indexed="81"/>
            <rFont val="Tahoma"/>
            <family val="2"/>
          </rPr>
          <t>ONCCA (1991,01 - 2012,10)</t>
        </r>
      </text>
    </comment>
    <comment ref="J70" authorId="2" shapeId="0" xr:uid="{00000000-0006-0000-1700-00000F000000}">
      <text>
        <r>
          <rPr>
            <sz val="9"/>
            <color indexed="81"/>
            <rFont val="Tahoma"/>
            <family val="2"/>
          </rPr>
          <t>SENASA - DNMF (MINAGRI)</t>
        </r>
      </text>
    </comment>
    <comment ref="B228" authorId="2" shapeId="0" xr:uid="{00000000-0006-0000-1700-000010000000}">
      <text>
        <r>
          <rPr>
            <sz val="9"/>
            <color indexed="81"/>
            <rFont val="Tahoma"/>
            <family val="2"/>
          </rPr>
          <t>Datos estimados como proporción de la provincia de Santa Fe (DNMF) sobre el total nacional en base a proporción promedio de año previo y año siguiente para cada mes</t>
        </r>
      </text>
    </comment>
    <comment ref="H235" authorId="1" shapeId="0" xr:uid="{00000000-0006-0000-1700-000011000000}">
      <text>
        <r>
          <rPr>
            <sz val="9"/>
            <color indexed="81"/>
            <rFont val="Tahoma"/>
            <family val="2"/>
          </rPr>
          <t xml:space="preserve">
No se publica más
</t>
        </r>
      </text>
    </comment>
    <comment ref="H238" authorId="2" shapeId="0" xr:uid="{00000000-0006-0000-1700-000012000000}">
      <text>
        <r>
          <rPr>
            <sz val="9"/>
            <color indexed="81"/>
            <rFont val="Tahoma"/>
            <family val="2"/>
          </rPr>
          <t>(RUCA) a través del Sistema SIF/SIGICA.</t>
        </r>
      </text>
    </comment>
    <comment ref="I238" authorId="2" shapeId="0" xr:uid="{00000000-0006-0000-1700-000013000000}">
      <text>
        <r>
          <rPr>
            <sz val="9"/>
            <color indexed="81"/>
            <rFont val="Tahoma"/>
            <family val="2"/>
          </rPr>
          <t>(RUCA) a través del Sistema SIF/SIGICA.</t>
        </r>
      </text>
    </comment>
    <comment ref="L238" authorId="1" shapeId="0" xr:uid="{00000000-0006-0000-1700-000014000000}">
      <text>
        <r>
          <rPr>
            <sz val="9"/>
            <color indexed="81"/>
            <rFont val="Tahoma"/>
            <family val="2"/>
          </rPr>
          <t>Promedio ponderado de cabezas faenadas por categoría: datos nacionales</t>
        </r>
      </text>
    </comment>
    <comment ref="B259" authorId="2" shapeId="0" xr:uid="{00000000-0006-0000-1700-000015000000}">
      <text>
        <r>
          <rPr>
            <sz val="9"/>
            <color indexed="81"/>
            <rFont val="Tahoma"/>
            <family val="2"/>
          </rPr>
          <t>Datos estimados como proporción de la provincia de Santa Fe (DNMF) sobre el total nacional en base a MINAGRI (2014,10 - 2016,12)</t>
        </r>
      </text>
    </comment>
    <comment ref="B286" authorId="2" shapeId="0" xr:uid="{00000000-0006-0000-1700-000016000000}">
      <text>
        <r>
          <rPr>
            <sz val="9"/>
            <color indexed="81"/>
            <rFont val="Tahoma"/>
            <family val="2"/>
          </rPr>
          <t>(RUCA) a través del Sistema SIF/SIGICA.</t>
        </r>
      </text>
    </comment>
    <comment ref="C286" authorId="0" shapeId="0" xr:uid="{00000000-0006-0000-1700-000017000000}">
      <text>
        <r>
          <rPr>
            <sz val="9"/>
            <color indexed="81"/>
            <rFont val="Tahoma"/>
            <family val="2"/>
          </rPr>
          <t>(RUCA) a través del Sistema SIF/SIGICA.</t>
        </r>
      </text>
    </comment>
    <comment ref="F286" authorId="1" shapeId="0" xr:uid="{00000000-0006-0000-1700-000018000000}">
      <text>
        <r>
          <rPr>
            <sz val="9"/>
            <color indexed="81"/>
            <rFont val="Tahoma"/>
            <family val="2"/>
          </rPr>
          <t xml:space="preserve">
Dato de peso promedio de faena publicado por MAGyP</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Agustin Rodríguez</author>
    <author>Martina Mas</author>
  </authors>
  <commentList>
    <comment ref="D3" authorId="0" shapeId="0" xr:uid="{00000000-0006-0000-1800-000001000000}">
      <text>
        <r>
          <rPr>
            <sz val="7"/>
            <color indexed="81"/>
            <rFont val="Tahoma"/>
            <family val="2"/>
          </rPr>
          <t xml:space="preserve">Por disposición nacional en mayo de 2022, la información desagregada por provincias se comienza a publicar con un rezago de 12 meses.
</t>
        </r>
      </text>
    </comment>
    <comment ref="E5" authorId="1" shapeId="0" xr:uid="{00000000-0006-0000-1800-000002000000}">
      <text>
        <r>
          <rPr>
            <sz val="9"/>
            <color indexed="81"/>
            <rFont val="Tahoma"/>
            <family val="2"/>
          </rPr>
          <t xml:space="preserve">Incluye el despacho al mercado interno (despacho nacional) más las importaciones.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Agustin Rodríguez</author>
  </authors>
  <commentList>
    <comment ref="R5" authorId="0" shapeId="0" xr:uid="{00000000-0006-0000-1900-000001000000}">
      <text>
        <r>
          <rPr>
            <sz val="8"/>
            <color indexed="81"/>
            <rFont val="Tahoma"/>
            <family val="2"/>
          </rPr>
          <t xml:space="preserve">Incluye la sumatoria de las municipalidades, quedando excluídas las comunas.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Ailén Bianchi</author>
  </authors>
  <commentList>
    <comment ref="D7" authorId="0" shapeId="0" xr:uid="{00000000-0006-0000-1A00-000002000000}">
      <text>
        <r>
          <rPr>
            <sz val="9"/>
            <color indexed="81"/>
            <rFont val="Tahoma"/>
            <family val="2"/>
          </rPr>
          <t>Incluye maquinaria vial, agrícola e industrial. Según Disposición 948/97 de DNRPA, se compone de: 
Tractor, cosechadora, pulverizadora, sembradora, fumigadora, enfardadora, rotoenfardadora, pavimentadora, aplanadora, pala mecánica, grúa, excavadora, carretón, motoniveladora, cargadora, mototrailla, máquina compactadora, máquina para tratamiento de suelo, autoelevador, motovehículo con dispositivo de enganche y otros.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Pedro</author>
    <author>Yamila Sonder</author>
  </authors>
  <commentList>
    <comment ref="D2" authorId="0" shapeId="0" xr:uid="{00000000-0006-0000-1B00-000001000000}">
      <text>
        <r>
          <rPr>
            <u/>
            <sz val="9"/>
            <color indexed="81"/>
            <rFont val="Tahoma"/>
            <family val="2"/>
          </rPr>
          <t>Implementos:</t>
        </r>
        <r>
          <rPr>
            <sz val="9"/>
            <color indexed="81"/>
            <rFont val="Tahoma"/>
            <family val="2"/>
          </rPr>
          <t xml:space="preserve">
Pulverizadoras autopropulsadas y de arrastre
Acarreo y almacenaje de granos 
Otros Implementos</t>
        </r>
      </text>
    </comment>
    <comment ref="D5" authorId="1" shapeId="0" xr:uid="{F10485AC-6F30-4864-960E-9796D0CA164F}">
      <text>
        <r>
          <rPr>
            <sz val="9"/>
            <color indexed="81"/>
            <rFont val="Tahoma"/>
            <family val="2"/>
          </rPr>
          <t>Las ventas totales pueden no coincidir con la suma de ventas nacionales e importadas debido a que, por resguardo estadístico, no se presenta la desagregación de algunos implementos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0" authorId="0" shapeId="0" xr:uid="{00000000-0006-0000-1D00-000001000000}">
      <text>
        <r>
          <rPr>
            <sz val="9"/>
            <color indexed="81"/>
            <rFont val="Tahoma"/>
            <family val="2"/>
          </rPr>
          <t>Hacia atrás usando niveles de capacidad instalada según EMI base 2006=100</t>
        </r>
      </text>
    </comment>
    <comment ref="A271" authorId="0" shapeId="0" xr:uid="{00000000-0006-0000-1D00-000002000000}">
      <text>
        <r>
          <rPr>
            <sz val="9"/>
            <color indexed="81"/>
            <rFont val="Tahoma"/>
            <family val="2"/>
          </rPr>
          <t xml:space="preserve">Estimados con la tasa de cambio del mismo mes del año 2014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3" authorId="0" shapeId="0" xr:uid="{00000000-0006-0000-1E00-000001000000}">
      <text>
        <r>
          <rPr>
            <sz val="9"/>
            <color indexed="81"/>
            <rFont val="Tahoma"/>
            <family val="2"/>
          </rPr>
          <t xml:space="preserve">Serie empalmada con la tasa de cambio mensual del EMI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pc2</author>
    <author>pcohan</author>
    <author>ces11</author>
  </authors>
  <commentList>
    <comment ref="C6" authorId="0" shapeId="0" xr:uid="{00000000-0006-0000-2000-000001000000}">
      <text>
        <r>
          <rPr>
            <sz val="8"/>
            <color indexed="81"/>
            <rFont val="Tahoma"/>
            <family val="2"/>
          </rPr>
          <t>depósitos privados con residentes en el pais + depósitos privados con residentes en el exterior</t>
        </r>
      </text>
    </comment>
    <comment ref="H6" authorId="1" shapeId="0" xr:uid="{00000000-0006-0000-2000-000002000000}">
      <text>
        <r>
          <rPr>
            <sz val="8"/>
            <color indexed="81"/>
            <rFont val="Tahoma"/>
            <family val="2"/>
          </rPr>
          <t xml:space="preserve">billetes, monedas y oro ya sea en caja en custodia o en tránsito.
</t>
        </r>
      </text>
    </comment>
    <comment ref="J6" authorId="0" shapeId="0" xr:uid="{00000000-0006-0000-2000-000003000000}">
      <text>
        <r>
          <rPr>
            <sz val="8"/>
            <color indexed="81"/>
            <rFont val="Tahoma"/>
            <family val="2"/>
          </rPr>
          <t>depósitos privados con residentes en el pais + depósitos privados con residentes en el exterior.</t>
        </r>
      </text>
    </comment>
    <comment ref="M6" authorId="2" shapeId="0" xr:uid="{00000000-0006-0000-2000-000004000000}">
      <text>
        <r>
          <rPr>
            <sz val="9"/>
            <color indexed="81"/>
            <rFont val="Tahoma"/>
            <family val="2"/>
          </rPr>
          <t xml:space="preserve">Prestamos Privados= prestamos privados con residentes en el pais + prestamos privados con residentes en el exterior
</t>
        </r>
      </text>
    </comment>
    <comment ref="O6" authorId="1" shapeId="0" xr:uid="{00000000-0006-0000-2000-000005000000}">
      <text>
        <r>
          <rPr>
            <sz val="8"/>
            <color indexed="81"/>
            <rFont val="Tahoma"/>
            <family val="2"/>
          </rPr>
          <t xml:space="preserve">billetes, monedas y oro ya sea en caja en custodia o en tránsito.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 authorId="0" shapeId="0" xr:uid="{00000000-0006-0000-2100-000001000000}">
      <text>
        <r>
          <rPr>
            <sz val="9"/>
            <color indexed="81"/>
            <rFont val="Tahoma"/>
            <family val="2"/>
          </rPr>
          <t>Empalme: los datos de 1994.01 a 2019.01 refieren al índice Merval que publicaba la Bolsa de Comercio de Buenos Aires antes de adoptar la metodología propuesta por S&amp;P.
Actualmente son 20 componentes.</t>
        </r>
      </text>
    </comment>
    <comment ref="C2" authorId="1" shapeId="0" xr:uid="{00000000-0006-0000-2100-000002000000}">
      <text>
        <r>
          <rPr>
            <sz val="9"/>
            <color indexed="81"/>
            <rFont val="Tahoma"/>
            <family val="2"/>
          </rPr>
          <t>Empalme: los datos de 2009.02 a 2019.03 refieren al índice Byma que publicaba Bolsas y Mercados Argentinos antes de adoptar la metodología propuesta por S&amp;P.
El índice mide el desempeño de todas las acciones que han registrado actividad en al menos el 20% de las sesiones de negociación en Bolsa durante los últimos seis meses.
Compuesto por 56 componentes, de los cuales 10 se ponderan en 78.0%.</t>
        </r>
      </text>
    </comment>
    <comment ref="B7" authorId="1" shapeId="0" xr:uid="{00000000-0006-0000-2100-000003000000}">
      <text>
        <r>
          <rPr>
            <sz val="9"/>
            <color indexed="81"/>
            <rFont val="Tahoma"/>
            <family val="2"/>
          </rPr>
          <t>Valor de cierre del último día habil de cada mes.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Pedro</author>
    <author>ces11</author>
    <author>Agustin Rodríguez</author>
  </authors>
  <commentList>
    <comment ref="B235" authorId="0" shapeId="0" xr:uid="{00000000-0006-0000-2200-000001000000}">
      <text>
        <r>
          <rPr>
            <b/>
            <sz val="9"/>
            <color indexed="81"/>
            <rFont val="Tahoma"/>
            <family val="2"/>
          </rPr>
          <t>Calculado sobre la base de la publicación interanual de octubre de 2016 (20,0%)</t>
        </r>
      </text>
    </comment>
    <comment ref="B236" authorId="1" shapeId="0" xr:uid="{00000000-0006-0000-2200-000002000000}">
      <text>
        <r>
          <rPr>
            <sz val="9"/>
            <color indexed="81"/>
            <rFont val="Tahoma"/>
            <family val="2"/>
          </rPr>
          <t xml:space="preserve">Calculado sobre la base de la publicación interanual de octubre de 2016 (19,2%)
</t>
        </r>
      </text>
    </comment>
    <comment ref="Y315" authorId="2" shapeId="0" xr:uid="{00000000-0006-0000-2200-000003000000}">
      <text>
        <r>
          <rPr>
            <sz val="7"/>
            <color indexed="81"/>
            <rFont val="Tahoma"/>
            <family val="2"/>
          </rPr>
          <t xml:space="preserve">Debido a que no han publicado el informe correspondiente al mes de Junio, dicho dato se obtuvo por diferencia respecto al promedio acumulado de crecimiento de ventas para los primeros 7 meses del año respecto al mismo período de 2021. Éste último se encuentra en el informe de Julio 2022.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C5" authorId="0" shapeId="0" xr:uid="{8D6B2289-FEB9-4453-8231-A565BDDCB405}">
      <text>
        <r>
          <rPr>
            <b/>
            <sz val="9"/>
            <color indexed="81"/>
            <rFont val="Tahoma"/>
            <family val="2"/>
          </rPr>
          <t xml:space="preserve">Incluye principalmente los puertos de Santa Fe y Rosario. 
</t>
        </r>
        <r>
          <rPr>
            <u/>
            <sz val="9"/>
            <color indexed="81"/>
            <rFont val="Tahoma"/>
            <family val="2"/>
          </rPr>
          <t>No obstante, también se consideran los siguientes muelles:</t>
        </r>
        <r>
          <rPr>
            <sz val="9"/>
            <color indexed="81"/>
            <rFont val="Tahoma"/>
            <family val="2"/>
          </rPr>
          <t xml:space="preserve">
ACA (San Lorenzo), Acindar (Villa Constitución), ADM AGRO - Muelle El Tránsito, ADM AGRO (Arroyo Seco), Bunge (Dempa y Pampa), Cargill - Muelle Quebracho, Cargill (Punta Alvear), Cargill (Villa Gobernador Gálvez), Cofco International Argentina S.A. (PGSM), Dreyfus (Gral Lagos), Dreyfus (Timbúes), Minera Alumbrera, Molinos San Benito, Pampa Energía, Pan American Energy (San Lorenzo), Profertil, Renova, Shell (Arroyo Seco), Terminal 6, Terminal de Fertilizantes Argentinos, Termoeléctrica San Martín, Vicentín, Aceitera General Deheza, Nouryon (Ex Akzo Nobel), Planta fluvial YPF, San Lorenzo - San Martín - Muelle YPF.</t>
        </r>
      </text>
    </comment>
    <comment ref="K5" authorId="0" shapeId="0" xr:uid="{6371BF72-5510-4250-B62C-F8D1A360A2FE}">
      <text>
        <r>
          <rPr>
            <b/>
            <sz val="9"/>
            <color indexed="81"/>
            <rFont val="Tahoma"/>
            <family val="2"/>
          </rPr>
          <t>Incluye principalmente los puertos de San Lorenzo, Villa Constitución, Puerto Gral. San Martín, Arroyo Seco, Alvear, Villa Gobernador Gálvez, Timbúes, Rosario y Santa Fe.</t>
        </r>
      </text>
    </comment>
    <comment ref="B6" authorId="0" shapeId="0" xr:uid="{CECE7793-DF7D-4A13-BE80-2BF277FB2634}">
      <text>
        <r>
          <rPr>
            <b/>
            <sz val="9"/>
            <color indexed="81"/>
            <rFont val="Tahoma"/>
            <family val="2"/>
          </rPr>
          <t>Embarque o carga:</t>
        </r>
        <r>
          <rPr>
            <sz val="9"/>
            <color indexed="81"/>
            <rFont val="Tahoma"/>
            <family val="2"/>
          </rPr>
          <t xml:space="preserve"> Tipo de operación portuaria en la que se introducen contenedores en una embarcación.</t>
        </r>
      </text>
    </comment>
    <comment ref="C6" authorId="0" shapeId="0" xr:uid="{2710BE96-5FA5-4ACB-963C-3F9790BAE170}">
      <text>
        <r>
          <rPr>
            <b/>
            <sz val="9"/>
            <color indexed="81"/>
            <rFont val="Tahoma"/>
            <family val="2"/>
          </rPr>
          <t>Desembarque o descarga:</t>
        </r>
        <r>
          <rPr>
            <sz val="9"/>
            <color indexed="81"/>
            <rFont val="Tahoma"/>
            <family val="2"/>
          </rPr>
          <t xml:space="preserve"> Tipo de operación portuaria en la que se sacan contenedores de una embarcación y se ponen en tierra.</t>
        </r>
      </text>
    </comment>
    <comment ref="F6" authorId="0" shapeId="0" xr:uid="{4177C35F-7543-49AC-95A2-05C4C66B3B47}">
      <text>
        <r>
          <rPr>
            <sz val="9"/>
            <color indexed="81"/>
            <rFont val="Tahoma"/>
            <family val="2"/>
          </rPr>
          <t>Entrada de bienes o mercancías en el país desde el extranjero, a través de un puerto nacional.</t>
        </r>
      </text>
    </comment>
    <comment ref="G6" authorId="0" shapeId="0" xr:uid="{9FBF087E-D20B-43FB-A78F-1D1BC745138B}">
      <text>
        <r>
          <rPr>
            <sz val="9"/>
            <color indexed="81"/>
            <rFont val="Tahoma"/>
            <family val="2"/>
          </rPr>
          <t>Envío de bienes o mercancías fuera del país, a través de un puerto nacional.</t>
        </r>
      </text>
    </comment>
    <comment ref="H6" authorId="0" shapeId="0" xr:uid="{C1120E33-B8E0-408D-B4FA-FF65203C3CFD}">
      <text>
        <r>
          <rPr>
            <sz val="9"/>
            <color indexed="81"/>
            <rFont val="Tahoma"/>
            <family val="2"/>
          </rPr>
          <t>Se refiere al movimiento de bienes o mercancías entre puertos dentro del mismo país. En particular, serían los movimientos de carga que llegan a los puertos de la provincia desde otros puertos nacionales.</t>
        </r>
      </text>
    </comment>
    <comment ref="I6" authorId="0" shapeId="0" xr:uid="{440DE9E0-00C5-4CAF-842F-8B0FB5D50901}">
      <text>
        <r>
          <rPr>
            <sz val="9"/>
            <color indexed="81"/>
            <rFont val="Tahoma"/>
            <family val="2"/>
          </rPr>
          <t>Implica el transporte de mercancías desde los puertos de la provincia hacia otros puertos nacionales.</t>
        </r>
      </text>
    </comment>
    <comment ref="J6" authorId="0" shapeId="0" xr:uid="{CD7EF6C6-FED5-460F-B766-817B012CC386}">
      <text>
        <r>
          <rPr>
            <sz val="9"/>
            <color indexed="81"/>
            <rFont val="Tahoma"/>
            <family val="2"/>
          </rPr>
          <t>Indica que las mercancías están en tránsito hacia otro destino final, ya sea dentro del país o internacionalmente.</t>
        </r>
      </text>
    </comment>
    <comment ref="K6" authorId="0" shapeId="0" xr:uid="{87BE9B9F-8425-4486-A278-17DFA51DFE08}">
      <text>
        <r>
          <rPr>
            <sz val="9"/>
            <color indexed="81"/>
            <rFont val="Tahoma"/>
            <family val="2"/>
          </rPr>
          <t>Las mercancías salen del puerto con destino a otro puerto nacional o internacional.</t>
        </r>
      </text>
    </comment>
    <comment ref="B7" authorId="0" shapeId="0" xr:uid="{FE067D71-AC9B-4745-B732-97F3395D9731}">
      <text>
        <r>
          <rPr>
            <b/>
            <sz val="9"/>
            <color indexed="81"/>
            <rFont val="Tahoma"/>
            <family val="2"/>
          </rPr>
          <t xml:space="preserve">TEU: </t>
        </r>
        <r>
          <rPr>
            <sz val="9"/>
            <color indexed="81"/>
            <rFont val="Tahoma"/>
            <family val="2"/>
          </rPr>
          <t>Twenty-foot Equivalent Unit (unidad equivalente a veinte pies).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L5" authorId="0" shapeId="0" xr:uid="{00000000-0006-0000-2600-000001000000}">
      <text>
        <r>
          <rPr>
            <sz val="8"/>
            <color indexed="81"/>
            <rFont val="Tahoma"/>
            <family val="2"/>
          </rPr>
          <t xml:space="preserve">Servicio general: usos no domésticos sin contratación de entrega mínima
</t>
        </r>
      </text>
    </comment>
    <comment ref="M5" authorId="0" shapeId="0" xr:uid="{00000000-0006-0000-2600-000002000000}">
      <text>
        <r>
          <rPr>
            <sz val="8"/>
            <color indexed="81"/>
            <rFont val="Tahoma"/>
            <family val="2"/>
          </rPr>
          <t>Servicio general: usos no domésticos con contratación de entrega mínima</t>
        </r>
      </text>
    </comment>
    <comment ref="N5" authorId="0" shapeId="0" xr:uid="{00000000-0006-0000-2600-000003000000}">
      <text>
        <r>
          <rPr>
            <sz val="8"/>
            <color indexed="81"/>
            <rFont val="Tahoma"/>
            <family val="2"/>
          </rPr>
          <t xml:space="preserve">Servicios grandes usuarios:
ID = Grandes usuarios no domésticos, ni estaciones, ni GNC, ni subdistribuidor. </t>
        </r>
        <r>
          <rPr>
            <b/>
            <sz val="8"/>
            <color indexed="81"/>
            <rFont val="Tahoma"/>
            <family val="2"/>
          </rPr>
          <t>Ininterrumpible</t>
        </r>
        <r>
          <rPr>
            <sz val="8"/>
            <color indexed="81"/>
            <rFont val="Tahoma"/>
            <family val="2"/>
          </rPr>
          <t>. Mínimo de 3 millones de m3 por año.
IT = idem ID pero</t>
        </r>
        <r>
          <rPr>
            <b/>
            <sz val="8"/>
            <color indexed="81"/>
            <rFont val="Tahoma"/>
            <family val="2"/>
          </rPr>
          <t xml:space="preserve"> Interrumpible</t>
        </r>
        <r>
          <rPr>
            <sz val="8"/>
            <color indexed="81"/>
            <rFont val="Tahoma"/>
            <family val="2"/>
          </rPr>
          <t xml:space="preserve">. 
FD = grandes usuarios no domesticos, ni estaciones, ni GNC, ni subdistribuidor.Mínimo de 10 mil m3 diarios.
FT = idem FD pero a través de una distribuidora.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6" authorId="0" shapeId="0" xr:uid="{00000000-0006-0000-2800-000001000000}">
      <text>
        <r>
          <rPr>
            <sz val="9"/>
            <color indexed="81"/>
            <rFont val="Tahoma"/>
            <family val="2"/>
          </rPr>
          <t>Considerando la suma empresas del sector y otras</t>
        </r>
      </text>
    </comment>
    <comment ref="C6" authorId="0" shapeId="0" xr:uid="{00000000-0006-0000-2800-000002000000}">
      <text>
        <r>
          <rPr>
            <sz val="9"/>
            <color indexed="81"/>
            <rFont val="Tahoma"/>
            <family val="2"/>
          </rPr>
          <t>Considerando la suma empresas del sector y otras</t>
        </r>
      </text>
    </comment>
    <comment ref="D6" authorId="0" shapeId="0" xr:uid="{00000000-0006-0000-2800-000003000000}">
      <text>
        <r>
          <rPr>
            <sz val="9"/>
            <color indexed="81"/>
            <rFont val="Tahoma"/>
            <family val="2"/>
          </rPr>
          <t>Considerando la suma empresas del sector y otras</t>
        </r>
      </text>
    </comment>
    <comment ref="E6" authorId="0" shapeId="0" xr:uid="{00000000-0006-0000-2800-000004000000}">
      <text>
        <r>
          <rPr>
            <sz val="9"/>
            <color indexed="81"/>
            <rFont val="Tahoma"/>
            <family val="2"/>
          </rPr>
          <t>Considerando la suma empresas del sector y otras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Franco Riottini</author>
    <author>Ailén Bianchi</author>
    <author>Pedro</author>
  </authors>
  <commentList>
    <comment ref="L2" authorId="0" shapeId="0" xr:uid="{00000000-0006-0000-2900-000001000000}">
      <text>
        <r>
          <rPr>
            <sz val="9"/>
            <color indexed="81"/>
            <rFont val="Tahoma"/>
            <family val="2"/>
          </rPr>
          <t>Clasificadas por puerto de salida</t>
        </r>
        <r>
          <rPr>
            <sz val="9"/>
            <color indexed="81"/>
            <rFont val="Tahoma"/>
            <family val="2"/>
          </rPr>
          <t xml:space="preserve">
</t>
        </r>
      </text>
    </comment>
    <comment ref="Q2" authorId="0" shapeId="0" xr:uid="{00000000-0006-0000-2900-000002000000}">
      <text>
        <r>
          <rPr>
            <sz val="9"/>
            <color indexed="81"/>
            <rFont val="Tahoma"/>
            <family val="2"/>
          </rPr>
          <t xml:space="preserve">Clasificación por puerto de salida
</t>
        </r>
      </text>
    </comment>
    <comment ref="B5" authorId="1" shapeId="0" xr:uid="{00000000-0006-0000-2900-000003000000}">
      <text>
        <r>
          <rPr>
            <sz val="9"/>
            <color indexed="81"/>
            <rFont val="Tahoma"/>
            <family val="2"/>
          </rPr>
          <t xml:space="preserve">Revisión de datos desde 2005.01 hasta 2018.08, corrigiendo diferencias entre publicaciones mensuales y datos acumulados (noviembre 2018) 
</t>
        </r>
      </text>
    </comment>
    <comment ref="H233" authorId="2" shapeId="0" xr:uid="{00000000-0006-0000-2900-000004000000}">
      <text>
        <r>
          <rPr>
            <b/>
            <sz val="8"/>
            <color indexed="81"/>
            <rFont val="Tahoma"/>
            <family val="2"/>
          </rPr>
          <t>+ Arroyo Seco</t>
        </r>
        <r>
          <rPr>
            <sz val="8"/>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Pedro</author>
    <author>Franco Riottini</author>
  </authors>
  <commentList>
    <comment ref="B5" authorId="0" shapeId="0" xr:uid="{00000000-0006-0000-2B00-000001000000}">
      <text>
        <r>
          <rPr>
            <sz val="9"/>
            <color indexed="81"/>
            <rFont val="Tahoma"/>
            <family val="2"/>
          </rPr>
          <t>Mide la evolución del valor corriente de las exportaciones del período considerado respecto al valor corriente de las exportaciones del año base</t>
        </r>
      </text>
    </comment>
    <comment ref="C5" authorId="1" shapeId="0" xr:uid="{00000000-0006-0000-2B00-000002000000}">
      <text>
        <r>
          <rPr>
            <sz val="9"/>
            <color indexed="81"/>
            <rFont val="Tahoma"/>
            <family val="2"/>
          </rPr>
          <t>Mide la evolución de los precios de las exportaciones del período considerado respecto al año base.</t>
        </r>
      </text>
    </comment>
    <comment ref="D5" authorId="1" shapeId="0" xr:uid="{00000000-0006-0000-2B00-000003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E5" authorId="1" shapeId="0" xr:uid="{00000000-0006-0000-2B00-000004000000}">
      <text>
        <r>
          <rPr>
            <sz val="9"/>
            <color indexed="81"/>
            <rFont val="Tahoma"/>
            <family val="2"/>
          </rPr>
          <t>Mide la evolución del valor corriente de las importaciones del período considerado respecto al valor corriente de las importaciones del año base</t>
        </r>
      </text>
    </comment>
    <comment ref="F5" authorId="1" shapeId="0" xr:uid="{00000000-0006-0000-2B00-000005000000}">
      <text>
        <r>
          <rPr>
            <sz val="9"/>
            <color indexed="81"/>
            <rFont val="Tahoma"/>
            <family val="2"/>
          </rPr>
          <t>Mide la evolución de los precios de las importaciones del período considerado respecto al año base.</t>
        </r>
      </text>
    </comment>
    <comment ref="G5" authorId="1" shapeId="0" xr:uid="{00000000-0006-0000-2B00-000006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H5" authorId="1" shapeId="0" xr:uid="{00000000-0006-0000-2B00-000007000000}">
      <text>
        <r>
          <rPr>
            <sz val="9"/>
            <color indexed="81"/>
            <rFont val="Tahoma"/>
            <family val="2"/>
          </rPr>
          <t>Mide la evolución del poder de compra de una unidad física de exportación en términos de importaciones. Representa las variaciones en los precios relativos.</t>
        </r>
      </text>
    </comment>
    <comment ref="I5" authorId="1" shapeId="0" xr:uid="{00000000-0006-0000-2B00-000008000000}">
      <text>
        <r>
          <rPr>
            <sz val="9"/>
            <color indexed="81"/>
            <rFont val="Tahoma"/>
            <family val="2"/>
          </rPr>
          <t>Mide el valor de las unidades físicas de importación, a precios del año base, que se pueden comprar con las exportaciones del período.</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10" authorId="0" shapeId="0" xr:uid="{00000000-0006-0000-2D00-000001000000}">
      <text>
        <r>
          <rPr>
            <sz val="9"/>
            <color indexed="81"/>
            <rFont val="Tahoma"/>
            <family val="2"/>
          </rPr>
          <t>Datos calculados con las tasas de cambio del indicador que se publicó hasta noviembre de 2015 utlizando de punto de empalme 1997.01</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Martina Mas</author>
    <author>pcohan</author>
  </authors>
  <commentList>
    <comment ref="D5" authorId="0" shapeId="0" xr:uid="{00000000-0006-0000-2E00-000001000000}">
      <text>
        <r>
          <rPr>
            <sz val="9"/>
            <color indexed="81"/>
            <rFont val="Tahoma"/>
            <family val="2"/>
          </rPr>
          <t xml:space="preserve">Este componente no aparece en el análisis de las finanzas provinciales, por tanto, se estima.
Aportes sociales mes objetivo = Participación del mismo mes del año anterior * suma de resto de componentes mes objetivo
Part. en el mismo mes del año anterior = (Aportes sociales mes anterior / (Remuneración total mes anterior - Aportes sociales mes anterior))
</t>
        </r>
      </text>
    </comment>
    <comment ref="F5" authorId="1" shapeId="0" xr:uid="{00000000-0006-0000-2E00-000002000000}">
      <text>
        <r>
          <rPr>
            <sz val="8"/>
            <color indexed="81"/>
            <rFont val="Tahoma"/>
            <family val="2"/>
          </rPr>
          <t>05/06/2024
Este componente no se encuentra en el análisis de las finanzas provinciales, por tanto, se estima.
El 95 % de lo recaudado se coparticipa a municipios y comunas.
PUSV = 5% de provincia de la tabla: RECURSOS DE LA ADMINISTRACIÓN PROVINCIAL del mes + (acumulado coparticipacion mes actual - acumulado coparticipacion mes anterior.
Se lo calcula de esta manera: se toma el total del concepto Tributarios, se le resta inmobiliario y se le suma inmobiliario corregido (regla de tres)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Francisco Leiva</author>
    <author>Pedro</author>
  </authors>
  <commentList>
    <comment ref="C6" authorId="0" shapeId="0" xr:uid="{8889D21E-40AD-400C-AC51-4FB1A39907DC}">
      <text>
        <r>
          <rPr>
            <b/>
            <sz val="8"/>
            <color indexed="81"/>
            <rFont val="Tahoma"/>
            <family val="2"/>
          </rPr>
          <t xml:space="preserve">19-5-25: se modificaron en el data (el cambio por parte de IPEC lo implementó en 2023.12), antes se leían la siguientes ponderaciones:
32,55% 8,42% 10,18% 7,51% 5,97% 19,27% 8,72% 2,52% 4,86% 0,15% </t>
        </r>
      </text>
    </comment>
    <comment ref="B272" authorId="1" shapeId="0" xr:uid="{00000000-0006-0000-3200-000001000000}">
      <text>
        <r>
          <rPr>
            <b/>
            <sz val="9"/>
            <color indexed="81"/>
            <rFont val="Tahoma"/>
            <family val="2"/>
          </rPr>
          <t>tasas de cambio del IPC de la provincia de Santa Fe base 2003 = 100</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Martina Mas</author>
  </authors>
  <commentList>
    <comment ref="B7" authorId="0" shapeId="0" xr:uid="{00000000-0006-0000-3300-000001000000}">
      <text>
        <r>
          <rPr>
            <sz val="9"/>
            <color indexed="81"/>
            <rFont val="Tahoma"/>
            <family val="2"/>
          </rPr>
          <t>Los niveles correspondientes al año 2021 no se encuentran publicados. Por tal motivo, las cifras con nueva base, se estiman en función de datos históricos, con eje en las ponderaciones previas al cambio de base.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W5" authorId="0" shapeId="0" xr:uid="{00000000-0006-0000-3400-000001000000}">
      <text>
        <r>
          <rPr>
            <sz val="9"/>
            <color indexed="81"/>
            <rFont val="Tahoma"/>
            <family val="2"/>
          </rPr>
          <t xml:space="preserve">Partidas no incluídas en "Regulados" ni en "Estacionales". Representan el 69,9% de la canasta total del IPC
</t>
        </r>
      </text>
    </comment>
    <comment ref="X5" authorId="0" shapeId="0" xr:uid="{00000000-0006-0000-3400-000002000000}">
      <text>
        <r>
          <rPr>
            <sz val="9"/>
            <color indexed="81"/>
            <rFont val="Tahoma"/>
            <family val="2"/>
          </rPr>
          <t>Bienes y servicios cuyos precios están sujetos a regulación o tienen un alto componente impositivo: combustibles para la vivienda, electricidad, agua y servicios sanitarios, sistemas de salud y servicios auxiliares, transporte público de pasajeros, funcionamiento y mantenimiento de vehículos, correo, teléfono, educación formal y cigarrillos y accesorios. Esta categoría representa el 19,4% de la canasta total del IPC.</t>
        </r>
      </text>
    </comment>
    <comment ref="Y5" authorId="0" shapeId="0" xr:uid="{00000000-0006-0000-3400-000003000000}">
      <text>
        <r>
          <rPr>
            <sz val="9"/>
            <color indexed="81"/>
            <rFont val="Tahoma"/>
            <family val="2"/>
          </rPr>
          <t>Bienes y servicios con comportamiento estacional: frutas, verduras, ropa exterior, transporte por turismo y alojamiento y excursiones. Esta categoría representa el 10,8% de la canasta total del IPC</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Florencia Camusso</author>
    <author>Pedro</author>
  </authors>
  <commentList>
    <comment ref="B2" authorId="0" shapeId="0" xr:uid="{00000000-0006-0000-3500-000001000000}">
      <text>
        <r>
          <rPr>
            <b/>
            <sz val="9"/>
            <color indexed="81"/>
            <rFont val="Tahoma"/>
            <family val="2"/>
          </rPr>
          <t>1969.01 a 2013.12.</t>
        </r>
      </text>
    </comment>
    <comment ref="C2" authorId="0" shapeId="0" xr:uid="{00000000-0006-0000-3500-000002000000}">
      <text>
        <r>
          <rPr>
            <sz val="9"/>
            <color indexed="81"/>
            <rFont val="Tahoma"/>
            <family val="2"/>
          </rPr>
          <t>Datos corregidos por fuentes alternativas</t>
        </r>
      </text>
    </comment>
    <comment ref="C3" authorId="1" shapeId="0" xr:uid="{00000000-0006-0000-3500-000003000000}">
      <text>
        <r>
          <rPr>
            <b/>
            <u/>
            <sz val="9"/>
            <color indexed="81"/>
            <rFont val="Tahoma"/>
            <family val="2"/>
          </rPr>
          <t xml:space="preserve">
Empalmes
</t>
        </r>
        <r>
          <rPr>
            <sz val="9"/>
            <color indexed="81"/>
            <rFont val="Tahoma"/>
            <family val="2"/>
          </rPr>
          <t xml:space="preserve">2006.10 con IPC Buenos Aires City
2010.12 con IPC Santa Fe
2011.05 con IPC Congreso
</t>
        </r>
      </text>
    </comment>
    <comment ref="E3" authorId="1" shapeId="0" xr:uid="{00000000-0006-0000-3500-000004000000}">
      <text>
        <r>
          <rPr>
            <sz val="9"/>
            <color indexed="81"/>
            <rFont val="Tahoma"/>
            <family val="2"/>
          </rPr>
          <t xml:space="preserve">Promedio de mediciones privadas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E5" authorId="0" shapeId="0" xr:uid="{00000000-0006-0000-3600-000001000000}">
      <text>
        <r>
          <rPr>
            <sz val="8"/>
            <color indexed="81"/>
            <rFont val="Tahoma"/>
            <family val="2"/>
          </rPr>
          <t xml:space="preserve">Nueva canasta en línea con lo que propone el INDEC.
Canasta Básica: Canasta alimentaria + bienes y servicios. Delimita la línea de pobreza.
Familia tipo de 4 personas; un matrimonio y dos hijos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Ignacio Falco</author>
    <author>Franco Riottini</author>
  </authors>
  <commentList>
    <comment ref="B5" authorId="0" shapeId="0" xr:uid="{00000000-0006-0000-3700-000001000000}">
      <text>
        <r>
          <rPr>
            <sz val="9"/>
            <color indexed="81"/>
            <rFont val="Tahoma"/>
            <family val="2"/>
          </rPr>
          <t xml:space="preserve">Mide la evolución promedio de los precios de los productos de orígenes nacional e importado ofrecidos en el mercado interno. Se incluyen el IVA, los impuestos internos y los impuestos a los combustibles netos de los subsidios explícitos. Se excluye el valor de las exportaciones en el cálculo del peso relativo de cada actividad. </t>
        </r>
      </text>
    </comment>
    <comment ref="G5" authorId="0" shapeId="0" xr:uid="{00000000-0006-0000-3700-000002000000}">
      <text>
        <r>
          <rPr>
            <b/>
            <sz val="9"/>
            <color indexed="81"/>
            <rFont val="Tahoma"/>
            <family val="2"/>
          </rPr>
          <t>Igual cobertura que el IPIM, pero los precios no incluyen el efecto impositivo mencionado en el IPIM.</t>
        </r>
        <r>
          <rPr>
            <sz val="9"/>
            <color indexed="81"/>
            <rFont val="Tahoma"/>
            <family val="2"/>
          </rPr>
          <t xml:space="preserve">
</t>
        </r>
      </text>
    </comment>
    <comment ref="L5" authorId="0" shapeId="0" xr:uid="{00000000-0006-0000-3700-000003000000}">
      <text>
        <r>
          <rPr>
            <sz val="9"/>
            <color indexed="81"/>
            <rFont val="Tahoma"/>
            <family val="2"/>
          </rPr>
          <t xml:space="preserve">Mide la variación promedio de los precios percibidos por el productor local; por lo tanto se excluyen los bienes importados y en la ponderación de cada actividad se incluyen las exportaciones.
</t>
        </r>
      </text>
    </comment>
    <comment ref="A284" authorId="1" shapeId="0" xr:uid="{00000000-0006-0000-3700-000004000000}">
      <text>
        <r>
          <rPr>
            <sz val="9"/>
            <color indexed="81"/>
            <rFont val="Tahoma"/>
            <family val="2"/>
          </rPr>
          <t>Estimación: tasa de cambio del  IPC-NACIONAL (INDEC) + 0,03% de factor de corrección. Diferencia media entre IPC e IPIM durante 2014.03-2015.10</t>
        </r>
      </text>
    </comment>
    <comment ref="A285" authorId="1" shapeId="0" xr:uid="{00000000-0006-0000-3700-000005000000}">
      <text>
        <r>
          <rPr>
            <sz val="9"/>
            <color indexed="81"/>
            <rFont val="Tahoma"/>
            <family val="2"/>
          </rPr>
          <t>Estimación: tasa de cambio del  IPC-NACIONAL (INDEC) + 0,03% de factor de corrección. Diferencia media entre IPC e IPIM durante 2014.03-2015.10</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D5" authorId="0" shapeId="0" xr:uid="{00000000-0006-0000-3900-000001000000}">
      <text>
        <r>
          <rPr>
            <sz val="8"/>
            <color indexed="81"/>
            <rFont val="Tahoma"/>
            <family val="2"/>
          </rPr>
          <t>Referencia: Pergamino, Rojas, Colón (Bs. As.)</t>
        </r>
      </text>
    </comment>
    <comment ref="F5" authorId="0" shapeId="0" xr:uid="{00000000-0006-0000-3900-000002000000}">
      <text>
        <r>
          <rPr>
            <sz val="8"/>
            <color indexed="81"/>
            <rFont val="Tahoma"/>
            <family val="2"/>
          </rPr>
          <t>Referencia: Tres Arroyos, Necochea, Lobería (Bs. As.)</t>
        </r>
      </text>
    </comment>
    <comment ref="I5" authorId="0" shapeId="0" xr:uid="{00000000-0006-0000-3900-000003000000}">
      <text>
        <r>
          <rPr>
            <sz val="8"/>
            <color indexed="81"/>
            <rFont val="Tahoma"/>
            <family val="2"/>
          </rPr>
          <t>Referencia: Partidos de Trenque Lauquen, Rivadavia, Villegas (Bs. As.)</t>
        </r>
      </text>
    </comment>
    <comment ref="K5" authorId="0" shapeId="0" xr:uid="{00000000-0006-0000-3900-000004000000}">
      <text>
        <r>
          <rPr>
            <sz val="8"/>
            <color indexed="81"/>
            <rFont val="Tahoma"/>
            <family val="2"/>
          </rPr>
          <t>Referencia: Partidos de Ayacucho, Rauch, Las Flores (Bs. As.)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Franco Riottini</author>
    <author>Francisco Leiva</author>
  </authors>
  <commentList>
    <comment ref="K2" authorId="0" shapeId="0" xr:uid="{00000000-0006-0000-3A00-000001000000}">
      <text>
        <r>
          <rPr>
            <sz val="9"/>
            <color indexed="81"/>
            <rFont val="Tahoma"/>
            <family val="2"/>
          </rPr>
          <t>El dólar MEP (o dólar bolsa) surge a partir de la compraventa de bonos y acciones que coticen en el mercado local y en el extranjero. A diferencia del dólar CCL, la compra se realiza en pesos y estos se venden en el mercado local en su variante "D". En este sentido, la cotización es el resultado de la división de la cantidad de pesos gastados en la compra de los bonos o acciones, por los dólares recibidos al venderlos.</t>
        </r>
      </text>
    </comment>
    <comment ref="L2" authorId="0" shapeId="0" xr:uid="{00000000-0006-0000-3A00-000002000000}">
      <text>
        <r>
          <rPr>
            <sz val="9"/>
            <color indexed="81"/>
            <rFont val="Tahoma"/>
            <family val="2"/>
          </rPr>
          <t>El dólar CCL (contado con liquidación) surge a partir de la compraventa de bonos y acciones que coticen en el mercado local y en el extranjero. A diferencia del dólar MEP, la compra se realiza en pesos y estos se venden en el mercado local en su variante "C", y estas especies liquidan luego en cuentas de EE. UU. En este sentido, la cotización es el resultado de la división de la cantidad de pesos gastados en la compra de los bonos o acciones, por los dólares recibidos al venderlos. El plazo de permanencia (parking) es de dos días hábiles. Y entre las restricciones existentes para obtener dólar CCL, si se utilizó el cupo mensual de los US$200 para obtener dólar turista, no se puede operar en dólar CCL sin que hayan transcurrido 90 días, y viceversa.</t>
        </r>
      </text>
    </comment>
    <comment ref="K6" authorId="1" shapeId="0" xr:uid="{99696C8C-CCC4-45EB-92F4-8D400FF586B2}">
      <text>
        <r>
          <rPr>
            <b/>
            <sz val="9"/>
            <color indexed="81"/>
            <rFont val="Tahoma"/>
            <family val="2"/>
          </rPr>
          <t>Antes del 16/04/2024 se cargaba el valor de cierre al último día del mes.</t>
        </r>
      </text>
    </comment>
    <comment ref="L6" authorId="1" shapeId="0" xr:uid="{D6839F64-B409-477A-B5CD-8410970DF479}">
      <text>
        <r>
          <rPr>
            <b/>
            <sz val="9"/>
            <color indexed="81"/>
            <rFont val="Tahoma"/>
            <family val="2"/>
          </rPr>
          <t>Antes del 16/04/2024 se cargaba el valor de cierre al último día del mes.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G3" authorId="0" shapeId="0" xr:uid="{00000000-0006-0000-3B00-000001000000}">
      <text>
        <r>
          <rPr>
            <sz val="9"/>
            <color indexed="81"/>
            <rFont val="Tahoma"/>
            <family val="2"/>
          </rPr>
          <t>Resultados del Relevamiento de Expectativas de Mercado (REM)</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58" authorId="0" shapeId="0" xr:uid="{27D40779-4B24-4D9D-A5BF-1BF81AA46045}">
      <text>
        <r>
          <rPr>
            <b/>
            <sz val="9"/>
            <color indexed="81"/>
            <rFont val="Tahoma"/>
            <family val="2"/>
          </rPr>
          <t>tasas de cambio del IPC de la provincia de Santa Fe base 2003 = 100</t>
        </r>
      </text>
    </comment>
    <comment ref="F287" authorId="1" shapeId="0" xr:uid="{874EF381-A668-46A1-80CF-A483B7529974}">
      <text>
        <r>
          <rPr>
            <sz val="9"/>
            <color indexed="81"/>
            <rFont val="Tahoma"/>
            <family val="2"/>
          </rPr>
          <t>Valores estimados a partir de la tasa de cambio del valor del m2 en la ciudad de Santa Fe</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5" authorId="0" shapeId="0" xr:uid="{00000000-0006-0000-3D00-000001000000}">
      <text>
        <r>
          <rPr>
            <sz val="9"/>
            <color indexed="81"/>
            <rFont val="Tahoma"/>
            <family val="2"/>
          </rPr>
          <t>Total país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M5" authorId="0" shapeId="0" xr:uid="{4AE183F7-2305-4845-B3E3-604A7D2C7048}">
      <text>
        <r>
          <rPr>
            <sz val="9"/>
            <color indexed="81"/>
            <rFont val="Tahoma"/>
            <family val="2"/>
          </rPr>
          <t>- Comercio al por mayor y al por menor; reparación.
- Servicios de alojamiento y servicios de comida.</t>
        </r>
      </text>
    </comment>
    <comment ref="N5" authorId="0" shapeId="0" xr:uid="{6797999D-2644-41ED-A69F-84CC406E306F}">
      <text>
        <r>
          <rPr>
            <sz val="9"/>
            <color indexed="81"/>
            <rFont val="Tahoma"/>
            <family val="2"/>
          </rPr>
          <t>- Servicio de transporte y almacenamiento.
- Información y comunicaciones.</t>
        </r>
      </text>
    </comment>
    <comment ref="O5" authorId="0" shapeId="0" xr:uid="{5A814CBD-423F-4A48-A53F-0FC592BCA6BD}">
      <text>
        <r>
          <rPr>
            <sz val="9"/>
            <color indexed="81"/>
            <rFont val="Tahoma"/>
            <family val="2"/>
          </rPr>
          <t>- Intermediación financiera y servicios de seguros.
- Servicios inmobiliarios.</t>
        </r>
      </text>
    </comment>
    <comment ref="P5" authorId="0" shapeId="0" xr:uid="{606C3833-1E2D-4EAF-B4E0-6DA56427D018}">
      <text>
        <r>
          <rPr>
            <sz val="9"/>
            <color indexed="81"/>
            <rFont val="Tahoma"/>
            <family val="2"/>
          </rPr>
          <t>- Suministro de agua, cloacas, gestión de residuos.
- Servicios profesionales, científicos y técnicos.
- Actividades administrativas y servicios de apoyo.
- Administración publica, defensa y seguridad social.
- Enseñanza.
- Salud humana y servicios sociales.
- Servicios artísticos, culturales, deportivos y de esparcimiento. 
- Servicios de asociaciones y servicios personales.
- Servicios de organizaciones y órganos extraterritoriales.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Francisco Leiva</author>
  </authors>
  <commentList>
    <comment ref="A349" authorId="0" shapeId="0" xr:uid="{65B21FA5-FE0B-4AA7-847F-3E3DB30137DF}">
      <text>
        <r>
          <rPr>
            <b/>
            <sz val="8"/>
            <color indexed="81"/>
            <rFont val="Tahoma"/>
            <family val="2"/>
          </rPr>
          <t>A partir de este período, los valores que se reciben desde la oficina son corregidos. En efecto, se tienen en cuenta categorías no determinadas, las cuales se suman a la categoría 1 (monto insignificante). Adicionalmente, las categorías 1 2 y 3 del tramo km146 se corrigen evitando que se considere el tráfico ineherente al puente Santa Fe-Santo Tomé.</t>
        </r>
      </text>
    </comment>
    <comment ref="A352" authorId="0" shapeId="0" xr:uid="{6200F16B-8566-4DEE-ABA5-8A0D193CF729}">
      <text>
        <r>
          <rPr>
            <b/>
            <sz val="8"/>
            <color indexed="81"/>
            <rFont val="Tahoma"/>
            <family val="2"/>
          </rPr>
          <t>Desde acá en adelante, existen vehículos que no se suman a ninguna de las categorías dado que se los registra como "Cat s/ determinar".
Entre 2024.07 y 2024.10, este número fue amplio (364.564, 356.034 y 203.530), mientras que en adelante se está ubicando en 6.500 vehículos en promedio.
Según se ha conversado con Vialidad, estos vehículos se sumaban a la categoría 1.</t>
        </r>
      </text>
    </comment>
    <comment ref="A358" authorId="0" shapeId="0" xr:uid="{AE7CA4C8-D2D5-47F2-BDD6-6F6D76C30818}">
      <text>
        <r>
          <rPr>
            <b/>
            <sz val="9"/>
            <color indexed="81"/>
            <rFont val="Tahoma"/>
            <family val="2"/>
          </rPr>
          <t>A partir de este período, los vehículos catalogados como sin categoría, se suman a la categoría 1, como siempre lo ha hecho vialidad (según mencionaron).</t>
        </r>
      </text>
    </comment>
  </commentList>
</comments>
</file>

<file path=xl/sharedStrings.xml><?xml version="1.0" encoding="utf-8"?>
<sst xmlns="http://schemas.openxmlformats.org/spreadsheetml/2006/main" count="3117" uniqueCount="1724">
  <si>
    <t>Centro de Estudios y Servicios - Bolsa de Comercio de Santa Fe -</t>
  </si>
  <si>
    <t>San Martín 2231 - 3000 - Santa Fe - Argentina</t>
  </si>
  <si>
    <t xml:space="preserve">Tel Fax: (0342) 4845800 </t>
  </si>
  <si>
    <t>Email: ces@bcsf.com.ar</t>
  </si>
  <si>
    <t xml:space="preserve">Websites: https://bcsf.com.ar/ces/ o bien http://www.bcsf.com.ar </t>
  </si>
  <si>
    <t xml:space="preserve"> </t>
  </si>
  <si>
    <t>BASE DE DATOS ESTADÍSTICOS DE LA PROVINCIA DE SANTA FE</t>
  </si>
  <si>
    <t>Aclaración general: los datos subrayados implican estimaciones propias y los datos en azul la existencia de una fórmula. Los datos en marrón indican información provisoria.</t>
  </si>
  <si>
    <t>Actividad económica y valor agregado</t>
  </si>
  <si>
    <t>Frecuencia</t>
  </si>
  <si>
    <t>Nº de series</t>
  </si>
  <si>
    <t>Fecha de inicio</t>
  </si>
  <si>
    <t>1.1. Índice de Actividad Económica (ICA-SFE) - provincia de Santa Fe -</t>
  </si>
  <si>
    <t>Mensual</t>
  </si>
  <si>
    <t>1.2. Indicador Sintético de Actividad Económica (ISAE) - provincia de Santa Fe -</t>
  </si>
  <si>
    <t>1.2.b.  Indicador Mensual de la Actividad Económica (IMAE) - provincia de Santa Fe -</t>
  </si>
  <si>
    <t>}</t>
  </si>
  <si>
    <t>1.3. Actividad económica coincidente - Argentina -</t>
  </si>
  <si>
    <t>1.4. Actividad económica líder - Argentina -</t>
  </si>
  <si>
    <t>1.5. Producto Bruto Geográfico de Santa Fe (PBG)</t>
  </si>
  <si>
    <t>Anual</t>
  </si>
  <si>
    <t>1.6. Producto Bruto Interno (PBI) de Argentina y subcomponentes</t>
  </si>
  <si>
    <t>Trimestral</t>
  </si>
  <si>
    <t>1970:T1</t>
  </si>
  <si>
    <t>1.7. Actividad económica global</t>
  </si>
  <si>
    <t>Mercado laboral y población</t>
  </si>
  <si>
    <t>2.1. Demanda laboral, expectativas empresarias y puestos vacantes</t>
  </si>
  <si>
    <t>2.2. Nivel de empleo y remuneraciones (Santa Fe)</t>
  </si>
  <si>
    <t>2.2.a. Nivel de empleo y remuneraciones (Argentina)</t>
  </si>
  <si>
    <t>2.2.b. Indice de salarios</t>
  </si>
  <si>
    <t>2.2.c. Jubilaciones y pensiones por tipo de prestación</t>
  </si>
  <si>
    <t>2.2.d. Trabajadores registrados según modalidad ocupacional principal</t>
  </si>
  <si>
    <t>2.2.e. Titulares de derecho de la Asignacion Universal por Hijo (AUH)</t>
  </si>
  <si>
    <t>2.3. PEA, ocupación, desocupación y subocupación (EPH)</t>
  </si>
  <si>
    <t>1994:T2</t>
  </si>
  <si>
    <t>2.4. Tasas de actividad, empleo, desocupación y subempleo (EPH)</t>
  </si>
  <si>
    <t>2.5. Empleo público, categorías ocupacionales e informalidad (microdatos EPH)</t>
  </si>
  <si>
    <t>2004.T1</t>
  </si>
  <si>
    <t>2.6. Pobreza e indigencia (EPH)</t>
  </si>
  <si>
    <t>Semestral</t>
  </si>
  <si>
    <t>2001:S1</t>
  </si>
  <si>
    <t>2.7. Población provincial y nacional</t>
  </si>
  <si>
    <t>Indicadores del sector primario y secundario</t>
  </si>
  <si>
    <t>3.1. Producción de la industria láctea y precios de referencia</t>
  </si>
  <si>
    <t>3.2. Molienda y exportaciones de oleaginosas</t>
  </si>
  <si>
    <t>3.3. Faena bovina y porcina</t>
  </si>
  <si>
    <t>3.4. Despacho de cemento y otras estadísticas del sector construcción</t>
  </si>
  <si>
    <t>3.5. Permisos de edificación y superficie cubierta autorizada</t>
  </si>
  <si>
    <t>3.6. Patentamientos, transferencias y producción vehicular</t>
  </si>
  <si>
    <t>Algunos datos no se publican por secreto estadístico</t>
  </si>
  <si>
    <t>3.7. Maquinaria agrícola (INDEC)</t>
  </si>
  <si>
    <t>2002:T1</t>
  </si>
  <si>
    <t>3.8. Índice de Producción Industrial (IPI) - Argentina -</t>
  </si>
  <si>
    <t>3.9. Utilización de la capacidad instalada en la industria</t>
  </si>
  <si>
    <t>3.10. Índice de Producción Industrial Manufacturera (IPIM) - Argentina -</t>
  </si>
  <si>
    <t>3.11. Índice Provincial de Actividad Industrial (IPAI)</t>
  </si>
  <si>
    <t>Indicadores del sector terciario</t>
  </si>
  <si>
    <t>4.1. Mercado financiero bancario</t>
  </si>
  <si>
    <t>1991:T1</t>
  </si>
  <si>
    <t>4.2. Mercado de capitales</t>
  </si>
  <si>
    <t>4.3. Ventas de supermercados e indicadores de consumo minorista</t>
  </si>
  <si>
    <t>4.4. Índice de Confianza del Consumidor (ICC)</t>
  </si>
  <si>
    <t>4.5. Encuesta de Ocupación Hotelera (EOH)</t>
  </si>
  <si>
    <t>4.6. Transferencias de inmuebles y estadísticas afines</t>
  </si>
  <si>
    <t>No se publican por secreto estadístico</t>
  </si>
  <si>
    <t>4.7. Movimientos de carga de puertos de la provincia</t>
  </si>
  <si>
    <t>2014:T1</t>
  </si>
  <si>
    <t>Indicadores del sector energético</t>
  </si>
  <si>
    <t>5.1. Consumo de gas</t>
  </si>
  <si>
    <t>5.2. Consumo de energía eléctrica</t>
  </si>
  <si>
    <t>5.3. Ventas de combustibles</t>
  </si>
  <si>
    <t>Sector externo</t>
  </si>
  <si>
    <t>6.1. Exportación de cereales por puertos santafesinos</t>
  </si>
  <si>
    <t>6.2. Balanza comercial y reservas - Argentina -</t>
  </si>
  <si>
    <t>6.2.b. Terminos de Intercambio comercial</t>
  </si>
  <si>
    <t>1986:T1</t>
  </si>
  <si>
    <t>6.3. Exportaciones con origen en la provincia de SantaFe</t>
  </si>
  <si>
    <t>6.4. Tipo de Cambio Real Multilateral y Bilaterales de principales socios comerciales</t>
  </si>
  <si>
    <t>Finanzas Públicas</t>
  </si>
  <si>
    <t>7.1. Recursos tributarios de origen provincial</t>
  </si>
  <si>
    <t>7.2. Recursos tributarios de origen nacional</t>
  </si>
  <si>
    <t>7.3. Gasto público provincial</t>
  </si>
  <si>
    <t>7.4. Recaudación de IVA</t>
  </si>
  <si>
    <t>Precios</t>
  </si>
  <si>
    <t>8.1. IPC Santa Fe</t>
  </si>
  <si>
    <t xml:space="preserve">8.2. Índice de Precios al Consumidor de la Ciudad de Buenos Aires (IPC-BA) </t>
  </si>
  <si>
    <t xml:space="preserve">8.3. IPC Nacional y regiones  - oficial - </t>
  </si>
  <si>
    <t>8.4. Precios minoristas  - serie histórica GBA y fuentes alternativas -</t>
  </si>
  <si>
    <t>8.5. Precios minoristas y costo de vida en Bahía Blanca</t>
  </si>
  <si>
    <t>8.6. Sistema de Índices de Precios Mayoristas (SIPM)</t>
  </si>
  <si>
    <t>8.7. Índice de precios de las materias primas de exportación</t>
  </si>
  <si>
    <t xml:space="preserve">8.8. Valor de la tierra destinada a la explotación agrícola y ganadera </t>
  </si>
  <si>
    <t>8.9. Valor del dólar norteamericano respecto al peso y a otras monedas</t>
  </si>
  <si>
    <t>8.10. Expectativas inflacionarias para 12 meses</t>
  </si>
  <si>
    <t>Otros indicadores</t>
  </si>
  <si>
    <t>9.1. Circulación de periódicos</t>
  </si>
  <si>
    <t>9.2. Empledores afiliados</t>
  </si>
  <si>
    <t>9.3. Tránsito vehicular autopista AP-01</t>
  </si>
  <si>
    <t>Total de series mensuales</t>
  </si>
  <si>
    <t>Total de series trimestrales</t>
  </si>
  <si>
    <t>Total de series semestrales</t>
  </si>
  <si>
    <t>Total de series anuales</t>
  </si>
  <si>
    <t>Empleo</t>
  </si>
  <si>
    <t>Energía</t>
  </si>
  <si>
    <t>Índice de precios al productor de USA</t>
  </si>
  <si>
    <t>Título</t>
  </si>
  <si>
    <t>Índice de precios de materias primas de exportación</t>
  </si>
  <si>
    <t>S&amp;P 500 Index</t>
  </si>
  <si>
    <t>Index, not seasonally adjusted</t>
  </si>
  <si>
    <t>Fuente</t>
  </si>
  <si>
    <t>KOF Swiss Economic Institute and Fundação Getúlio Vargas (FGV)</t>
  </si>
  <si>
    <t>Universidad Torcuato Di Tella (UTDT)</t>
  </si>
  <si>
    <t>Secretaría de Energía de la Nación</t>
  </si>
  <si>
    <t>Instituto Nacional de Estadística y Censos (INDEC)</t>
  </si>
  <si>
    <t>Ente Nacional Regulador del Gas (ENARGAS)</t>
  </si>
  <si>
    <t>Banco Central de la República Argentina (BCRA)</t>
  </si>
  <si>
    <t>Administración Provincial de Impuestos (API)</t>
  </si>
  <si>
    <t>Fundación de Investigaciones Económicas Latinoamericanas (FIEL)</t>
  </si>
  <si>
    <t>Comisión Nacional de Valores (CNV)</t>
  </si>
  <si>
    <t>Dirección Nacional de Registro de la Propiedad Automotor de Argentina (DNRPA)</t>
  </si>
  <si>
    <t>Revista Márgenes Agropecuarios</t>
  </si>
  <si>
    <t>Confederación Argentina de la Mediana Empresa (CAME)</t>
  </si>
  <si>
    <t>INDEC</t>
  </si>
  <si>
    <t>Unidad de medida</t>
  </si>
  <si>
    <t>Porcentaje</t>
  </si>
  <si>
    <t>Toneladas</t>
  </si>
  <si>
    <t>Miles de asalariados</t>
  </si>
  <si>
    <t>Índice Base 2001.12=100</t>
  </si>
  <si>
    <t>Índice base 1993=100</t>
  </si>
  <si>
    <t>Millones de litros</t>
  </si>
  <si>
    <t>Índice base 1994=100</t>
  </si>
  <si>
    <t>Producto Interno Bruto a precios de mercado</t>
  </si>
  <si>
    <t>Instituto Nacional de Estadísticas y Censos (INDEC)</t>
  </si>
  <si>
    <t>Millones de pesos constantes de 2004</t>
  </si>
  <si>
    <t>Miles de personas</t>
  </si>
  <si>
    <t>Índice Compuesto Coincidente de Actividad Económica de la provincia de Santa Fe (ICA-SFE)</t>
  </si>
  <si>
    <t>Centro de Estudios y Servicios (CES) - Bolsa de Comercio de Santa Fe (BCSF)</t>
  </si>
  <si>
    <t>VOLVER AL ÍNDICE</t>
  </si>
  <si>
    <t>Nivel</t>
  </si>
  <si>
    <t>Variaciones mensuales</t>
  </si>
  <si>
    <t>Variaciones interanuales</t>
  </si>
  <si>
    <t>CÓDIGO</t>
  </si>
  <si>
    <t>1.1.1</t>
  </si>
  <si>
    <t>1.1.2</t>
  </si>
  <si>
    <t>1.1.3</t>
  </si>
  <si>
    <t>Índice Sintético de Actividad Económica de la provincia de Santa Fe (ISAE)</t>
  </si>
  <si>
    <t>Componentes del Índice Sintético de Actividad Económica de la provincia de Santa Fe (ISAE)</t>
  </si>
  <si>
    <t>Instituto Provincial de Estadísticas y Censos (IPEC)</t>
  </si>
  <si>
    <t>Gasoil</t>
  </si>
  <si>
    <t>Gas industrial</t>
  </si>
  <si>
    <t>Ingresos 
Brutos</t>
  </si>
  <si>
    <t>Patentamiento y transferencias de autos</t>
  </si>
  <si>
    <t>Variaciones mensuales desestacionalizadas</t>
  </si>
  <si>
    <t>Variaciones interanuales desestacionalizadas</t>
  </si>
  <si>
    <t>Índice base 2004=100</t>
  </si>
  <si>
    <t>1.2.1</t>
  </si>
  <si>
    <t>1.2.2</t>
  </si>
  <si>
    <t>1.2.3</t>
  </si>
  <si>
    <t>1.2.4</t>
  </si>
  <si>
    <t>1.2.5</t>
  </si>
  <si>
    <t>1.2.6</t>
  </si>
  <si>
    <t>1.2.7</t>
  </si>
  <si>
    <t>1.2.8</t>
  </si>
  <si>
    <t>1.2.9</t>
  </si>
  <si>
    <t>1.2.10</t>
  </si>
  <si>
    <t>1.2.11</t>
  </si>
  <si>
    <t>1.2.12</t>
  </si>
  <si>
    <t>1.2.13</t>
  </si>
  <si>
    <t>1.2.14</t>
  </si>
  <si>
    <t>1.2.15</t>
  </si>
  <si>
    <t>Indicador Mensual de Actividad Económica de la provincia de Santa Fe (IMAE)</t>
  </si>
  <si>
    <t>Componentes del Indicador Mensual de Actividad Económica de la provincia de Santa Fe (IMAE)</t>
  </si>
  <si>
    <t xml:space="preserve">Agricultura, ganadería, caza y silvicultura </t>
  </si>
  <si>
    <t xml:space="preserve"> Pesca</t>
  </si>
  <si>
    <t>Explotación de minas y canteras</t>
  </si>
  <si>
    <t>Industria manufacturera</t>
  </si>
  <si>
    <t>Electricidad, gas y agua</t>
  </si>
  <si>
    <t>Construcción</t>
  </si>
  <si>
    <t>Comercio mayorista, minorista y reparaciones</t>
  </si>
  <si>
    <t>Hoteles y restaurantes</t>
  </si>
  <si>
    <t>Transporte y comunicaciones</t>
  </si>
  <si>
    <t>Intermediación financiera</t>
  </si>
  <si>
    <t>Actividades inmobiliarias, empresariales y de alquiler</t>
  </si>
  <si>
    <t xml:space="preserve"> Administración pública y defensa; planes de seguridad social de afiliación obligatoria</t>
  </si>
  <si>
    <t>Enseñanza</t>
  </si>
  <si>
    <t>Servicios sociales y de salud</t>
  </si>
  <si>
    <t>Otras actividades de servicios comunitarios, sociales y personales</t>
  </si>
  <si>
    <t>Servicio doméstico</t>
  </si>
  <si>
    <t>Nivel - con estacionalidad -</t>
  </si>
  <si>
    <t>Series con estacionalidad</t>
  </si>
  <si>
    <t>1.2.b.1</t>
  </si>
  <si>
    <t>1.2.b.2</t>
  </si>
  <si>
    <t>1.2.b.3</t>
  </si>
  <si>
    <t>1.2.b.4</t>
  </si>
  <si>
    <t>1.2.b.5</t>
  </si>
  <si>
    <t>1.2.b.6</t>
  </si>
  <si>
    <t>1.2.b.7</t>
  </si>
  <si>
    <t>1.2.b.8</t>
  </si>
  <si>
    <t>1.2.b.9</t>
  </si>
  <si>
    <t>1.2.b.10</t>
  </si>
  <si>
    <t>1.2.b.11</t>
  </si>
  <si>
    <t>1.2.b.12</t>
  </si>
  <si>
    <t>1.2.b.13</t>
  </si>
  <si>
    <t>1.2.b.14</t>
  </si>
  <si>
    <t>1.2.b.15</t>
  </si>
  <si>
    <t>1.2.b.16</t>
  </si>
  <si>
    <t>1.2.b.17</t>
  </si>
  <si>
    <t>1.2.b.18</t>
  </si>
  <si>
    <t>1.2.b.19</t>
  </si>
  <si>
    <t xml:space="preserve"> Estimador Mensual de Actividad Económica (EMAE) en Argentina</t>
  </si>
  <si>
    <t>Indice General de Actividad (IGA) de Argentina</t>
  </si>
  <si>
    <t>Índice Compuesto de Actividad Económica de Argentina</t>
  </si>
  <si>
    <t>Fuentes</t>
  </si>
  <si>
    <t xml:space="preserve"> Orlando J. Ferreres &amp; Asociados S.A. (OJF)</t>
  </si>
  <si>
    <t>Centro de Investigación del Ciclo Económico (CICEc)</t>
  </si>
  <si>
    <t>Serie original</t>
  </si>
  <si>
    <t>Serie desestacionalizada</t>
  </si>
  <si>
    <t>Serie tendencia- ciclo</t>
  </si>
  <si>
    <t>Tendencia con cambio de base</t>
  </si>
  <si>
    <t>1.3.1</t>
  </si>
  <si>
    <t>1.3.2</t>
  </si>
  <si>
    <t>1.3.3</t>
  </si>
  <si>
    <t>1.3.4</t>
  </si>
  <si>
    <t>1.3.5</t>
  </si>
  <si>
    <t>1.3.6</t>
  </si>
  <si>
    <t>Índice líder de actividad económica de Argentina</t>
  </si>
  <si>
    <t>1.4.1</t>
  </si>
  <si>
    <t>Producto Bruto Geográfico (PBG) de la provincia de Santa Fe, a precios constantes de 2004, sin IVA, según categoría</t>
  </si>
  <si>
    <t>Instituto Provincial de Estadística y Censos (IPEC), CEPAL y Consejo Federal de Inversiones (CFI). La estimación de largo plazo (1884-1992) fue realizada por el CES</t>
  </si>
  <si>
    <t>Productores de Bienes</t>
  </si>
  <si>
    <t>Productores de Servicios</t>
  </si>
  <si>
    <t>PBG Total</t>
  </si>
  <si>
    <t>Precios implícitos</t>
  </si>
  <si>
    <t>Inflación implicita anual</t>
  </si>
  <si>
    <t>Agricultura, ganadería, caza y silvicultura</t>
  </si>
  <si>
    <t>Pesca</t>
  </si>
  <si>
    <t>Construcciones</t>
  </si>
  <si>
    <t>Comercio</t>
  </si>
  <si>
    <t>Restaurantes y hoteles</t>
  </si>
  <si>
    <t>Transporte, almacenamiento y comunicaciones</t>
  </si>
  <si>
    <t>Servicios inmobiliarios, empresariales y de alquiler</t>
  </si>
  <si>
    <t>Administración pública y Seguridad Social</t>
  </si>
  <si>
    <t>Servicios comunitarios, sociales y personales</t>
  </si>
  <si>
    <t>A</t>
  </si>
  <si>
    <t>B</t>
  </si>
  <si>
    <t>C</t>
  </si>
  <si>
    <t>D</t>
  </si>
  <si>
    <t>E</t>
  </si>
  <si>
    <t>F</t>
  </si>
  <si>
    <t>G</t>
  </si>
  <si>
    <t>H</t>
  </si>
  <si>
    <t>I</t>
  </si>
  <si>
    <t>J</t>
  </si>
  <si>
    <t>K</t>
  </si>
  <si>
    <t>L</t>
  </si>
  <si>
    <t>M</t>
  </si>
  <si>
    <t>N</t>
  </si>
  <si>
    <t xml:space="preserve">O </t>
  </si>
  <si>
    <t>P</t>
  </si>
  <si>
    <t>Miles de pesos corrientes</t>
  </si>
  <si>
    <t>Miles de pesos de 2004</t>
  </si>
  <si>
    <t>Índice</t>
  </si>
  <si>
    <t>%</t>
  </si>
  <si>
    <t>Miles de pesos constantes de 2004</t>
  </si>
  <si>
    <t>1.5.1</t>
  </si>
  <si>
    <t>1.5.2</t>
  </si>
  <si>
    <t>1.5.3</t>
  </si>
  <si>
    <t>1.5.4</t>
  </si>
  <si>
    <t>1.5.5</t>
  </si>
  <si>
    <t>1.5.6</t>
  </si>
  <si>
    <t>1.5.7</t>
  </si>
  <si>
    <t>1.5.8</t>
  </si>
  <si>
    <t>1.5.9</t>
  </si>
  <si>
    <t>1.5.10</t>
  </si>
  <si>
    <t>1.5.11</t>
  </si>
  <si>
    <t>1.5.12</t>
  </si>
  <si>
    <t>1.5.13</t>
  </si>
  <si>
    <t>1.5.14</t>
  </si>
  <si>
    <t>1.5.15</t>
  </si>
  <si>
    <t>1.5.16</t>
  </si>
  <si>
    <t>1.5.17</t>
  </si>
  <si>
    <t>1.5.18</t>
  </si>
  <si>
    <t>1.5.19</t>
  </si>
  <si>
    <t>1.5.20</t>
  </si>
  <si>
    <t>Oferta y Demanda agregada: Producto Bruto Interno (PBI) y otros sub-componentes, a precios de mercado. Pesos constantes de 2004</t>
  </si>
  <si>
    <t>Oferta y Demanda agregada: Producto Bruto Interno (PBI) y otros sub-componentes, a precios de mercado. Precios Corrientes</t>
  </si>
  <si>
    <t>Oferta y Demanda Globales: series desestacionalizadas en millones de pesos, a precios de 2004</t>
  </si>
  <si>
    <t>Cuentas Nacionales - Instituto Nacional de Estadísticas y Censos (INDEC). Metodología revisión base 2004</t>
  </si>
  <si>
    <t>Oferta Agregada</t>
  </si>
  <si>
    <t>Demanda Agregada</t>
  </si>
  <si>
    <t>Otros</t>
  </si>
  <si>
    <t>Importaciones</t>
  </si>
  <si>
    <t>Consumo Privado</t>
  </si>
  <si>
    <t>Consumo Público</t>
  </si>
  <si>
    <t>Exportaciones</t>
  </si>
  <si>
    <t>Formación Bruta de Capital</t>
  </si>
  <si>
    <t>Variación de Existencias</t>
  </si>
  <si>
    <t>Discrepancia Estadística</t>
  </si>
  <si>
    <t>Discrepancia Estadística y Variación de Existencias</t>
  </si>
  <si>
    <t>Millones de pesos corrientes</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</si>
  <si>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</si>
  <si>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</si>
  <si>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</si>
  <si>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</si>
  <si>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</si>
  <si>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</si>
  <si>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</si>
  <si>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</si>
  <si>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</si>
  <si>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</si>
  <si>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</si>
  <si>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</si>
  <si>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</si>
  <si>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</si>
  <si>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</si>
  <si>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</si>
  <si>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</si>
  <si>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</si>
  <si>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</si>
  <si>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</si>
  <si>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</si>
  <si>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</si>
  <si>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</si>
  <si>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</si>
  <si>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</si>
  <si>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Actividad económica global (Global Economic Barometers)</t>
  </si>
  <si>
    <t>Global economic barometer (Coincident)</t>
  </si>
  <si>
    <t>Global economic barometer (Leading)</t>
  </si>
  <si>
    <t>Índice. Promedio de largo plazo = 100</t>
  </si>
  <si>
    <t>1.7.1</t>
  </si>
  <si>
    <t>1.7.2</t>
  </si>
  <si>
    <t>Expectativas de los empresarios: demanda laboral en Gran Rosario</t>
  </si>
  <si>
    <t>Expectativas de los empresarios: demanda laboral en Gran Santa Fe</t>
  </si>
  <si>
    <t>Expectativas empresarias y puestos vacantes: Aglomerado Gran Rosario</t>
  </si>
  <si>
    <t>Expectativas empresarias y puestos vacantes: Aglomerado Gran Santa Fe</t>
  </si>
  <si>
    <t>Encuesta de Indicadores Laborales (EIL) - Ministerio de Capital Humano</t>
  </si>
  <si>
    <t>No realizaron búsquedas de personal</t>
  </si>
  <si>
    <t>Realizaron búsquedas de personal</t>
  </si>
  <si>
    <t>Total</t>
  </si>
  <si>
    <t>La dotación se mantendrá</t>
  </si>
  <si>
    <t>La dotación aumentará</t>
  </si>
  <si>
    <t>La dotación disminuirá</t>
  </si>
  <si>
    <t>2.1.1</t>
  </si>
  <si>
    <t>2.1.2</t>
  </si>
  <si>
    <t>2.1.3</t>
  </si>
  <si>
    <t>2.1.4</t>
  </si>
  <si>
    <t>2.1.5</t>
  </si>
  <si>
    <t>2.1.6</t>
  </si>
  <si>
    <t>2.1.7</t>
  </si>
  <si>
    <t>2.1.8</t>
  </si>
  <si>
    <t>2.1.9</t>
  </si>
  <si>
    <t>2.1.10</t>
  </si>
  <si>
    <t>2.1.11</t>
  </si>
  <si>
    <t>2.1.12</t>
  </si>
  <si>
    <t>2.1.13</t>
  </si>
  <si>
    <t>2.1.14</t>
  </si>
  <si>
    <t>no se publica más</t>
  </si>
  <si>
    <t>Nº de personas</t>
  </si>
  <si>
    <t>Pesos corrientes</t>
  </si>
  <si>
    <t>O</t>
  </si>
  <si>
    <t>Comercio al por mayor y al por menor</t>
  </si>
  <si>
    <t>Nº de puestos</t>
  </si>
  <si>
    <t>Monto destinado a remuneraciones</t>
  </si>
  <si>
    <t>Asalariados registrados del sector privado en el SIPA de la provincia de Santa Fe</t>
  </si>
  <si>
    <t>Puestos de trabajo asalariados registrados en el sector público</t>
  </si>
  <si>
    <t>Puestos de trabajo asalariados registrados en el sector privado</t>
  </si>
  <si>
    <t>Total de puestos de trabajo asalariados registrados</t>
  </si>
  <si>
    <t>Salario promedio del sector público</t>
  </si>
  <si>
    <t>Salario promedio del sector privado</t>
  </si>
  <si>
    <t>Salario mediano del sector público</t>
  </si>
  <si>
    <t>Salario mediano del sector privado</t>
  </si>
  <si>
    <t>Puestos de trabajo por sector de actividad. Públicos y privados</t>
  </si>
  <si>
    <t>Ministerio de Economía de la provincia de Santa Fe</t>
  </si>
  <si>
    <t>Observatorio de Empleo y Dinámica Empresarial (OEDE) - MTEySS</t>
  </si>
  <si>
    <t>Ministerio de Desarrollo Productivo. Unidad Gabinete de Asesores. Dirección Nacional de Estudios para la Producción.</t>
  </si>
  <si>
    <t>Ministerio de Desarrollo Productivo. Unidad Gabinete de Asesores. Dirección Nacional de Estudios para la Producción</t>
  </si>
  <si>
    <t>Nivel de empleo</t>
  </si>
  <si>
    <t>Remuneraciones</t>
  </si>
  <si>
    <t>Q</t>
  </si>
  <si>
    <t>R</t>
  </si>
  <si>
    <t>S</t>
  </si>
  <si>
    <t>Z</t>
  </si>
  <si>
    <t>Puestos de trabajo asalariados registrados. Suma de los dptos. de la provincia de Santa Fe (no se publica el total provincial)</t>
  </si>
  <si>
    <t>Salario promedio - promedio de los departamentos de la provincia de Santa Fe (no se publica el total provincial)</t>
  </si>
  <si>
    <t>Salario mediano - mediana de los departamentos de la provincia de Santa Fe (no se publica el total provincial)</t>
  </si>
  <si>
    <t>Agricultura, ganadería, caza, silvicultura y pesca</t>
  </si>
  <si>
    <t>Suministro de electricidad, gas, vapor y aire acondicionado</t>
  </si>
  <si>
    <t>Suministro de agua</t>
  </si>
  <si>
    <t>Servicio de transporte y almacenamiento</t>
  </si>
  <si>
    <t>Servicios de alojamiento y servicios de comida</t>
  </si>
  <si>
    <t>Información y comunicaciones</t>
  </si>
  <si>
    <t>Intermediación financiera y servicios de seguros</t>
  </si>
  <si>
    <t>Servicios inmobiliarios</t>
  </si>
  <si>
    <t>Servicios profesionales, científicos y técnicos</t>
  </si>
  <si>
    <t>Actividades administrativas y servicios de apoyo</t>
  </si>
  <si>
    <t xml:space="preserve"> Administracion publica,defensa y seguridad social obligatoria</t>
  </si>
  <si>
    <t>Salud humana y servicios sociales</t>
  </si>
  <si>
    <t>Servicios artísticos, culturales, deportivos y de esparcimiento</t>
  </si>
  <si>
    <t>Servicios de asociaciones y servicios personales</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</si>
  <si>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</si>
  <si>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</si>
  <si>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</si>
  <si>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</si>
  <si>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</si>
  <si>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</si>
  <si>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</si>
  <si>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</si>
  <si>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</si>
  <si>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</si>
  <si>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</si>
  <si>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</si>
  <si>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</si>
  <si>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</si>
  <si>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</si>
  <si>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</si>
  <si>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</si>
  <si>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</si>
  <si>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</si>
  <si>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</si>
  <si>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</si>
  <si>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</si>
  <si>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</si>
  <si>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</si>
  <si>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</si>
  <si>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</si>
  <si>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</si>
  <si>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</si>
  <si>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</si>
  <si>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</si>
  <si>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</si>
  <si>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</si>
  <si>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Número de empleos privados registrados en la provincia de Santa Fe</t>
  </si>
  <si>
    <t>Número de empleos registrados en Argentina</t>
  </si>
  <si>
    <t>Sistema Integrado Previsional Argentino (SIPA)</t>
  </si>
  <si>
    <t xml:space="preserve">Nº de empleos privados registrados en la provincia de Santa Fe </t>
  </si>
  <si>
    <t>N° de empleos totales registrados en SIPA en Argentina</t>
  </si>
  <si>
    <t>N° de empleos públicos registrados en SIPA en Argentina</t>
  </si>
  <si>
    <t>N° de empleos privados registrados en Argentina</t>
  </si>
  <si>
    <t>Remuneración mediana</t>
  </si>
  <si>
    <t xml:space="preserve">Remuneración promedio </t>
  </si>
  <si>
    <t>N° de personas</t>
  </si>
  <si>
    <t>2.2.a.1</t>
  </si>
  <si>
    <t>2.2.a.2</t>
  </si>
  <si>
    <t>2.2.a.3</t>
  </si>
  <si>
    <t>2.2.a.4</t>
  </si>
  <si>
    <t>2.2.a.5</t>
  </si>
  <si>
    <t>2.2.a.6</t>
  </si>
  <si>
    <t>2.2.a.7</t>
  </si>
  <si>
    <t>Índice de salarios</t>
  </si>
  <si>
    <t>Instituto Nacional de Estadisticas y Censos (INDEC)</t>
  </si>
  <si>
    <t>Sector registrado</t>
  </si>
  <si>
    <t>Sector privado no registrado</t>
  </si>
  <si>
    <t>Total índice de salarios</t>
  </si>
  <si>
    <t>Sector privado registrado</t>
  </si>
  <si>
    <t>Sector público</t>
  </si>
  <si>
    <t>Total registrado</t>
  </si>
  <si>
    <t>Índice base 2016.10=100</t>
  </si>
  <si>
    <t>Ponderaciones</t>
  </si>
  <si>
    <t>2.2.b.1</t>
  </si>
  <si>
    <t>2.2.b.2</t>
  </si>
  <si>
    <t>2.2.b.3</t>
  </si>
  <si>
    <t>2.2.b.4</t>
  </si>
  <si>
    <t>2.2.b.5</t>
  </si>
  <si>
    <t>Administración Nacional de la Seguridad Social (ANSES)</t>
  </si>
  <si>
    <t>Jubilados</t>
  </si>
  <si>
    <t>Pensionados</t>
  </si>
  <si>
    <t>2.2.c.1</t>
  </si>
  <si>
    <t>2.2.c.2</t>
  </si>
  <si>
    <t>2.2.c.3</t>
  </si>
  <si>
    <t>Asalariados privados</t>
  </si>
  <si>
    <t>Asalariados públicos</t>
  </si>
  <si>
    <t xml:space="preserve">Asalariados de casas particulares </t>
  </si>
  <si>
    <t xml:space="preserve">Independientes Autónomos </t>
  </si>
  <si>
    <t>Independientes Monotributo</t>
  </si>
  <si>
    <t xml:space="preserve">Independientes Monotributo
Social </t>
  </si>
  <si>
    <t xml:space="preserve">Total </t>
  </si>
  <si>
    <t>2.2.d.1</t>
  </si>
  <si>
    <t>2.2.d.2</t>
  </si>
  <si>
    <t>2.2.d.3</t>
  </si>
  <si>
    <t>2.2.d.4</t>
  </si>
  <si>
    <t>2.2.d.5</t>
  </si>
  <si>
    <t>2.2.d.6</t>
  </si>
  <si>
    <t>2.2.d.7</t>
  </si>
  <si>
    <t>Titulares de derecho de la Asignacion Universal por Hijo (AUH) y por Hijo Discapacitado (AUHD)</t>
  </si>
  <si>
    <t>AUH</t>
  </si>
  <si>
    <t>AUHD</t>
  </si>
  <si>
    <t>N° de titulares</t>
  </si>
  <si>
    <t>2.2.e.1</t>
  </si>
  <si>
    <t>2.2.e.2</t>
  </si>
  <si>
    <t>2.2.e.3</t>
  </si>
  <si>
    <t>2.2.e.4</t>
  </si>
  <si>
    <t>EPH Poblacional. PEA, Población ocupada, desocupada y subocupada, por aglomerado</t>
  </si>
  <si>
    <t>Encuesta Permanente de Hogares (EPH) - INDEC</t>
  </si>
  <si>
    <t>Aglomerado: 
GRAN ROSARIO</t>
  </si>
  <si>
    <t>Aglomerado:
GRAN SANTA FE</t>
  </si>
  <si>
    <t>Provincia de Santa Fe: Integrada por Gran Santa Fe y Rosario</t>
  </si>
  <si>
    <t>Total de aglomerados relevados en Argentina</t>
  </si>
  <si>
    <t>2.3.1</t>
  </si>
  <si>
    <t>2.3.2</t>
  </si>
  <si>
    <t>2.3.3</t>
  </si>
  <si>
    <t>2.3.4</t>
  </si>
  <si>
    <t>2.3.5</t>
  </si>
  <si>
    <t>2.3.6</t>
  </si>
  <si>
    <t>2.3.7</t>
  </si>
  <si>
    <t>2.3.8</t>
  </si>
  <si>
    <t>2.3.9</t>
  </si>
  <si>
    <t>2.3.10</t>
  </si>
  <si>
    <t>2.3.11</t>
  </si>
  <si>
    <t>2.3.12</t>
  </si>
  <si>
    <t>2.3.13</t>
  </si>
  <si>
    <t>2.3.14</t>
  </si>
  <si>
    <t>2.3.15</t>
  </si>
  <si>
    <t>2.3.16</t>
  </si>
  <si>
    <t>2.3.17</t>
  </si>
  <si>
    <t>2.3.18</t>
  </si>
  <si>
    <t>2.3.19</t>
  </si>
  <si>
    <t>2.3.20</t>
  </si>
  <si>
    <t>Serie</t>
  </si>
  <si>
    <t>ROS-Total</t>
  </si>
  <si>
    <t>ROS-PEA</t>
  </si>
  <si>
    <t>ROS-POC</t>
  </si>
  <si>
    <t>ROS-DES</t>
  </si>
  <si>
    <t>ROS-SUB</t>
  </si>
  <si>
    <t>SFE-Total</t>
  </si>
  <si>
    <t>SFE-PEA</t>
  </si>
  <si>
    <t>SFE-POC</t>
  </si>
  <si>
    <t>SFE-DES</t>
  </si>
  <si>
    <t>SFE-SUB</t>
  </si>
  <si>
    <t>PSF-Total</t>
  </si>
  <si>
    <t>PSF-PEA</t>
  </si>
  <si>
    <t>PSF-POC</t>
  </si>
  <si>
    <t>PSF-DES</t>
  </si>
  <si>
    <t>PSF-SUB</t>
  </si>
  <si>
    <t>ARG-Total</t>
  </si>
  <si>
    <t>ARG-PEA</t>
  </si>
  <si>
    <t>ARG-POC</t>
  </si>
  <si>
    <t>ARG-DES</t>
  </si>
  <si>
    <t>ARG-SUB</t>
  </si>
  <si>
    <t>mayo.94</t>
  </si>
  <si>
    <t>octubre.94</t>
  </si>
  <si>
    <t>mayo.95</t>
  </si>
  <si>
    <t>octubre.95</t>
  </si>
  <si>
    <t>mayo.96</t>
  </si>
  <si>
    <t>octubre.96</t>
  </si>
  <si>
    <t>mayo.97</t>
  </si>
  <si>
    <t>octubre.97</t>
  </si>
  <si>
    <t>mayo.98</t>
  </si>
  <si>
    <t>octubre.98</t>
  </si>
  <si>
    <t>mayo.99</t>
  </si>
  <si>
    <t>octubre.99</t>
  </si>
  <si>
    <t>mayo.00</t>
  </si>
  <si>
    <t>octubre.00</t>
  </si>
  <si>
    <t>mayo.01</t>
  </si>
  <si>
    <t>octubre.01</t>
  </si>
  <si>
    <t>mayo.02</t>
  </si>
  <si>
    <t>octubre.02</t>
  </si>
  <si>
    <r>
      <t>Advertencia sobre el uso de series estadísticas (comunicado oficial de INDEC)</t>
    </r>
    <r>
      <rPr>
        <b/>
        <sz val="8"/>
        <rFont val="Arial"/>
        <family val="2"/>
      </rPr>
      <t xml:space="preserve">: </t>
    </r>
    <r>
      <rPr>
        <sz val="8"/>
        <rFont val="Arial"/>
        <family val="2"/>
      </rPr>
      <t xml:space="preserve">Los datos subrayados indican que las estadísticas publicadas entre enero 2007 y hasta diciembre 2015 deben ser consideradas con reservas, excepto las que ya hayan sido revisadas en 2016 y su difusión lo consigne expresamente. </t>
    </r>
  </si>
  <si>
    <t>Mercado de trabajo: principales indicadores. Aglomerado:
GRAN ROSARIO</t>
  </si>
  <si>
    <t>Mercado de trabajo: principales indicadores. Aglomerado:
GRAN SANTA FE</t>
  </si>
  <si>
    <t>Mercado de Trabajo: Principales Indicadores Región Santa Fe
Integrada por los aglomerados Gran Santa Fe y Rosario</t>
  </si>
  <si>
    <t>Mercado de Trabajo: Principales Indicadores. Argentina</t>
  </si>
  <si>
    <t>Tasa de actividad</t>
  </si>
  <si>
    <t>Tasa de empleo</t>
  </si>
  <si>
    <t>Tasa de desocupación</t>
  </si>
  <si>
    <t>Tasa de subocupación demandante</t>
  </si>
  <si>
    <t>Tasa de subocupación no demandante</t>
  </si>
  <si>
    <t>Tasa de subocupación</t>
  </si>
  <si>
    <t>Tasas</t>
  </si>
  <si>
    <t>2.4.1</t>
  </si>
  <si>
    <t>2.4.2</t>
  </si>
  <si>
    <t>2.4.3</t>
  </si>
  <si>
    <t>2.4.4</t>
  </si>
  <si>
    <t>2.4.5</t>
  </si>
  <si>
    <t>2.4.6</t>
  </si>
  <si>
    <t>2.4.7</t>
  </si>
  <si>
    <t>2.4.8</t>
  </si>
  <si>
    <t>2.4.9</t>
  </si>
  <si>
    <t>2.4.10</t>
  </si>
  <si>
    <t>2.4.11</t>
  </si>
  <si>
    <t>2.4.12</t>
  </si>
  <si>
    <t>2.4.13</t>
  </si>
  <si>
    <t>2.4.14</t>
  </si>
  <si>
    <t>2.4.15</t>
  </si>
  <si>
    <t>2.4.16</t>
  </si>
  <si>
    <t>2.4.17</t>
  </si>
  <si>
    <t>2.4.18</t>
  </si>
  <si>
    <t>2.4.19</t>
  </si>
  <si>
    <t>2.4.20</t>
  </si>
  <si>
    <t>2.4.21</t>
  </si>
  <si>
    <t>2.4.22</t>
  </si>
  <si>
    <t>2.4.23</t>
  </si>
  <si>
    <t>2.4.24</t>
  </si>
  <si>
    <t>GROS-ACT</t>
  </si>
  <si>
    <t>GROS-EMP</t>
  </si>
  <si>
    <t>GROS-DES</t>
  </si>
  <si>
    <t>GROS-SUBD</t>
  </si>
  <si>
    <t>GROS-SUBN</t>
  </si>
  <si>
    <t>GROS-SUB</t>
  </si>
  <si>
    <t>GSFE-ACT</t>
  </si>
  <si>
    <t>GSFE-EMP</t>
  </si>
  <si>
    <t>GSFE-DES</t>
  </si>
  <si>
    <t>GSFE-SUBD</t>
  </si>
  <si>
    <t>GSFE-SUBN</t>
  </si>
  <si>
    <t>GSFE-SUB</t>
  </si>
  <si>
    <t>SFE-ACT</t>
  </si>
  <si>
    <t>SFE-EMP</t>
  </si>
  <si>
    <t>SFE-SUBD</t>
  </si>
  <si>
    <t>SFE-SUBN</t>
  </si>
  <si>
    <t>ARG-ACT</t>
  </si>
  <si>
    <t>ARG-EMP</t>
  </si>
  <si>
    <t>ARG-SUBD</t>
  </si>
  <si>
    <t>ARG-SUBN</t>
  </si>
  <si>
    <t>Estimaciones para el mercado de trabajo en base a filtros sobre la base de microdatos de EPH</t>
  </si>
  <si>
    <t>Base de microdatos de la Encuesta Permanente de Hogares (EPH) - INDEC</t>
  </si>
  <si>
    <t>Gran Rosario</t>
  </si>
  <si>
    <t>Gran Santa Fe</t>
  </si>
  <si>
    <t>Emplados del sector público</t>
  </si>
  <si>
    <t>Empleados del sector privado formal</t>
  </si>
  <si>
    <t>Patrones formales</t>
  </si>
  <si>
    <t>Cuentapropistas formales</t>
  </si>
  <si>
    <t>Asalariados formales</t>
  </si>
  <si>
    <t>Empleados del sector privado informal</t>
  </si>
  <si>
    <t>Patrones informales</t>
  </si>
  <si>
    <t>Cuentapropistas informales</t>
  </si>
  <si>
    <t>Asalariados informales</t>
  </si>
  <si>
    <t>Trabajadores familiares sin remuneración</t>
  </si>
  <si>
    <t>Otro tipo / NS NR</t>
  </si>
  <si>
    <t>Difrencia con reportes EPH</t>
  </si>
  <si>
    <t>Personas</t>
  </si>
  <si>
    <t>2.5.1</t>
  </si>
  <si>
    <t>2.5.2</t>
  </si>
  <si>
    <t>2.5.2.1</t>
  </si>
  <si>
    <t>2.5.2.2</t>
  </si>
  <si>
    <t>2.5.2.3</t>
  </si>
  <si>
    <t>2.5.3</t>
  </si>
  <si>
    <t>2.5.3.1</t>
  </si>
  <si>
    <t>2.5.3.2</t>
  </si>
  <si>
    <t>2.5.3.3</t>
  </si>
  <si>
    <t>2.5.3.4</t>
  </si>
  <si>
    <t>2.5.4</t>
  </si>
  <si>
    <t>2.5.5</t>
  </si>
  <si>
    <t>2.5.6</t>
  </si>
  <si>
    <t>2.5.6.1</t>
  </si>
  <si>
    <t>2.5.6.2</t>
  </si>
  <si>
    <t>2.5.6.3</t>
  </si>
  <si>
    <t>2.5.7</t>
  </si>
  <si>
    <t>2.5.7.1</t>
  </si>
  <si>
    <t>2.5.7.2</t>
  </si>
  <si>
    <t>2.5.7.3</t>
  </si>
  <si>
    <t>2.5.7.4</t>
  </si>
  <si>
    <t>2.5.8</t>
  </si>
  <si>
    <t>Población según condición de pobreza e indigencia</t>
  </si>
  <si>
    <t>Hogares según condición de pobreza e indigencia</t>
  </si>
  <si>
    <t>Aglomerado:
TOTAL PAÍS</t>
  </si>
  <si>
    <t>Miles personas</t>
  </si>
  <si>
    <t>2.6.1</t>
  </si>
  <si>
    <t>2.6.2</t>
  </si>
  <si>
    <t>2.6.3</t>
  </si>
  <si>
    <t>2.6.4</t>
  </si>
  <si>
    <t>2.6.5</t>
  </si>
  <si>
    <t>2.6.6</t>
  </si>
  <si>
    <t>2.6.7</t>
  </si>
  <si>
    <t>2.6.8</t>
  </si>
  <si>
    <t>2.6.9</t>
  </si>
  <si>
    <t>2.6.10</t>
  </si>
  <si>
    <t>2.6.11</t>
  </si>
  <si>
    <t>2.6.12</t>
  </si>
  <si>
    <t>2.6.13</t>
  </si>
  <si>
    <t>2.6.14</t>
  </si>
  <si>
    <t>2.6.15</t>
  </si>
  <si>
    <t>2.6.16</t>
  </si>
  <si>
    <t>2.6.17</t>
  </si>
  <si>
    <t>2.6.18</t>
  </si>
  <si>
    <t>2.6.19</t>
  </si>
  <si>
    <t>2.6.20</t>
  </si>
  <si>
    <t>2.6.21</t>
  </si>
  <si>
    <t>Pobreza</t>
  </si>
  <si>
    <t>Indigencia</t>
  </si>
  <si>
    <t>Habitantes</t>
  </si>
  <si>
    <t>Pobres</t>
  </si>
  <si>
    <t>Indigentes</t>
  </si>
  <si>
    <t>Población provincial y nacional</t>
  </si>
  <si>
    <t xml:space="preserve">Fundación Norte y Sur (con la colaboración de la UCA); Director Orlando J. Ferreres y proyecciones de INDEC desde 2010 </t>
  </si>
  <si>
    <t>Población de Argentina</t>
  </si>
  <si>
    <t>Población provincia de Santa Fe</t>
  </si>
  <si>
    <t>Participación de la población provincial en la población nacional</t>
  </si>
  <si>
    <t>2.7.1</t>
  </si>
  <si>
    <t>2.7.2</t>
  </si>
  <si>
    <t>2.7.3</t>
  </si>
  <si>
    <t>Producción láctea de once (11) empresas de la provincia de Santa Fe</t>
  </si>
  <si>
    <t xml:space="preserve">Precio del litro de leche abonada al productor </t>
  </si>
  <si>
    <t>Producción nacional de leche cruda</t>
  </si>
  <si>
    <t>Precio internacional de leche entera en polvo con 26% de contenido graso (Oceanía)</t>
  </si>
  <si>
    <t>Departamento de Lechería - Dirección de Sanidad Animal - Ministerio de Desarrollo Productivo</t>
  </si>
  <si>
    <t>Dirección Nacional Láctea - Secretaría de Agricultura, Ganadería y Pesca</t>
  </si>
  <si>
    <t>Understanding dairy markets 1995.01-2017.12 y CLAL desde 2018.01</t>
  </si>
  <si>
    <t>Producción láctea industrial</t>
  </si>
  <si>
    <t>Precio por litro</t>
  </si>
  <si>
    <t>Producción nacional</t>
  </si>
  <si>
    <t>Dólares por tonelada (último precio disponible del mes: valor promedio)</t>
  </si>
  <si>
    <t>Litros</t>
  </si>
  <si>
    <t>Pesos constantes de 2014</t>
  </si>
  <si>
    <t>U$S</t>
  </si>
  <si>
    <t>3.1.1</t>
  </si>
  <si>
    <t>3.1.2</t>
  </si>
  <si>
    <t>3.1.3</t>
  </si>
  <si>
    <t>3.1.4</t>
  </si>
  <si>
    <t>3.1.5</t>
  </si>
  <si>
    <t>Semillas de oleaginosas para molienda en la provincia de Santa Fe</t>
  </si>
  <si>
    <t>Producción de aceites de oleaginosas en la provincia de Santa Fe</t>
  </si>
  <si>
    <t>Producción de pellets de oleaginosas en la provincia de Santa Fe</t>
  </si>
  <si>
    <t>Producción de expellers de oleaginosas en la provincia de Santa Fe</t>
  </si>
  <si>
    <t>Semillas de oleaginosas para molienda en Argentina</t>
  </si>
  <si>
    <t>Exportaciones de aceites oleaginosos por puertos de Santa Fe</t>
  </si>
  <si>
    <t>Secretaría de Agricultura, Ganadería y Pesca  - Ministerio de Economía de la Nación</t>
  </si>
  <si>
    <t>Soja</t>
  </si>
  <si>
    <t>Girasol</t>
  </si>
  <si>
    <t>Lino</t>
  </si>
  <si>
    <t>Algodón</t>
  </si>
  <si>
    <t>Aceite de soja nacional</t>
  </si>
  <si>
    <t>Aceite de soja extranjera (Paraguay y Bolivia)</t>
  </si>
  <si>
    <t>Aceite de soja total</t>
  </si>
  <si>
    <t>Aceite de girasol nacional</t>
  </si>
  <si>
    <t>Aceite de girasol extranjera (Paraguay y Bolivia)</t>
  </si>
  <si>
    <t>Aceite de girasol total</t>
  </si>
  <si>
    <t>Tn.</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</si>
  <si>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</si>
  <si>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</si>
  <si>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</si>
  <si>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</si>
  <si>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</si>
  <si>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</si>
  <si>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</si>
  <si>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</si>
  <si>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</si>
  <si>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</si>
  <si>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</si>
  <si>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</si>
  <si>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</si>
  <si>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</si>
  <si>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</si>
  <si>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</si>
  <si>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</si>
  <si>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</si>
  <si>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</si>
  <si>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</si>
  <si>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</si>
  <si>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</si>
  <si>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</si>
  <si>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</si>
  <si>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</si>
  <si>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</si>
  <si>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</si>
  <si>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</si>
  <si>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</si>
  <si>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</si>
  <si>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</si>
  <si>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</si>
  <si>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Rosario</t>
  </si>
  <si>
    <t>SL/SM</t>
  </si>
  <si>
    <t>Prov. Sta. Fe</t>
  </si>
  <si>
    <t>Faena de bovinos</t>
  </si>
  <si>
    <t>Faena de porcinos</t>
  </si>
  <si>
    <t xml:space="preserve">Servicio Nacional de Sanidad y Calidad Agroalimentaria (SENASA) - Oficina Nacional de Control Comercial Agropecuario (ONCCA) - Secretaría de Agricultura, Ganadería y Pesca de la Nación </t>
  </si>
  <si>
    <t>Provincia de Santa Fe</t>
  </si>
  <si>
    <t>Argentina</t>
  </si>
  <si>
    <t>Participación relativa Santa Fe</t>
  </si>
  <si>
    <t>Peso de referencia de una cabeza tipo</t>
  </si>
  <si>
    <t>Precio de referencia por kilogramo. Promedio mensual.</t>
  </si>
  <si>
    <t>Participación Relativa Santa Fe</t>
  </si>
  <si>
    <t>Cabezas</t>
  </si>
  <si>
    <t>Kg</t>
  </si>
  <si>
    <t>3.3.1</t>
  </si>
  <si>
    <t>3.3.2</t>
  </si>
  <si>
    <t>3.3.3</t>
  </si>
  <si>
    <t>3.3.4</t>
  </si>
  <si>
    <t>3.3.5</t>
  </si>
  <si>
    <t>3.3.6</t>
  </si>
  <si>
    <t>3.3.7</t>
  </si>
  <si>
    <t>3.3.8</t>
  </si>
  <si>
    <t>3.3.9</t>
  </si>
  <si>
    <t>3.3.10</t>
  </si>
  <si>
    <t>3.3.11</t>
  </si>
  <si>
    <t>3.3.12</t>
  </si>
  <si>
    <t>Consumo total de cemento Pórtland en la provincia Santa Fe</t>
  </si>
  <si>
    <t xml:space="preserve">Consumo interno de cemento Pórtland en Argentina </t>
  </si>
  <si>
    <t>Cantidad de empresas constructoras, contratistas y subcontratistas en actividad (asociadas a IERIC)</t>
  </si>
  <si>
    <t>Puestos de trabajo registrados en el sector construcción</t>
  </si>
  <si>
    <t>Puestos de trabajo registrados en el sector construcción (consolidado)</t>
  </si>
  <si>
    <t>Salario promedio mensual de los trabajadores registrados en el sector construcción</t>
  </si>
  <si>
    <t>Salario promedio mensual de los trabajadores registrados en el sector construcción (consolidado)</t>
  </si>
  <si>
    <t>Asociación de Fabricantes de Cemento Pórtland (AFCP)</t>
  </si>
  <si>
    <t>Instituto de Estadística y Registro de la Industria de la Construcción (IERIC)</t>
  </si>
  <si>
    <t xml:space="preserve">Obra Social del Personal de la Construcción (OSPECON - SIJyP) </t>
  </si>
  <si>
    <t>IERIC en base a datos de OSPECON y Seguro de Vida Obligatorio (SIJyP)</t>
  </si>
  <si>
    <t>Total (granel + bolsas)</t>
  </si>
  <si>
    <t>Consumo en bolsa</t>
  </si>
  <si>
    <t>Consumo a granel</t>
  </si>
  <si>
    <t>Consumo del Mercado Interno (Despacho Nacional + Importaciones)</t>
  </si>
  <si>
    <t>Nº de empresas</t>
  </si>
  <si>
    <t>3.4.1</t>
  </si>
  <si>
    <t>3.4.2</t>
  </si>
  <si>
    <t>3.4.3</t>
  </si>
  <si>
    <t>3.4.4</t>
  </si>
  <si>
    <t>3.4.5</t>
  </si>
  <si>
    <t>3.4.6</t>
  </si>
  <si>
    <t>3.4.7</t>
  </si>
  <si>
    <t>3.4.8</t>
  </si>
  <si>
    <t>3.4.9</t>
  </si>
  <si>
    <t>3.4.10</t>
  </si>
  <si>
    <t>3.4.11</t>
  </si>
  <si>
    <t>3.4.12</t>
  </si>
  <si>
    <t>3.4.13</t>
  </si>
  <si>
    <t>3.4.14</t>
  </si>
  <si>
    <t>Superficie cubierta autorizada para obras privadas nuevas y ampliaciones en Argentina</t>
  </si>
  <si>
    <t>Superficie cubierta autorizada de permisos de edificación en la provincia de Santa Fe</t>
  </si>
  <si>
    <t xml:space="preserve">Instituto Nacional de Estadísticas y Censos (INDEC) - Instituto Provincial de Estadísticas y Censos (IPEC) </t>
  </si>
  <si>
    <t>41 municipios de Argentina</t>
  </si>
  <si>
    <t>60 municipios de Argentina</t>
  </si>
  <si>
    <t>176 municipios de Argentina</t>
  </si>
  <si>
    <t>246 municipios de Argentina</t>
  </si>
  <si>
    <t>Casilda</t>
  </si>
  <si>
    <t>Santa Fe</t>
  </si>
  <si>
    <t>Esperanza</t>
  </si>
  <si>
    <t>Rafaela</t>
  </si>
  <si>
    <t>Reconquista</t>
  </si>
  <si>
    <t>Santo Tomé</t>
  </si>
  <si>
    <t>Sunchales</t>
  </si>
  <si>
    <t>Venado Tuerto</t>
  </si>
  <si>
    <t>Villa Constitución</t>
  </si>
  <si>
    <t>San Lorenzo</t>
  </si>
  <si>
    <t>Total provincia de Santa Fe</t>
  </si>
  <si>
    <r>
      <t>m</t>
    </r>
    <r>
      <rPr>
        <vertAlign val="superscript"/>
        <sz val="8"/>
        <rFont val="Arial"/>
        <family val="2"/>
      </rPr>
      <t>2</t>
    </r>
  </si>
  <si>
    <t>3.5.1</t>
  </si>
  <si>
    <t>3.5.2</t>
  </si>
  <si>
    <t>3.5.3</t>
  </si>
  <si>
    <t>3.5.4</t>
  </si>
  <si>
    <t>3.5.5</t>
  </si>
  <si>
    <t>3.5.6</t>
  </si>
  <si>
    <t>3.5.7</t>
  </si>
  <si>
    <t>3.5.8</t>
  </si>
  <si>
    <t>3.5.9</t>
  </si>
  <si>
    <t>3.5.10</t>
  </si>
  <si>
    <t>3.5.11</t>
  </si>
  <si>
    <t>3.5.12</t>
  </si>
  <si>
    <t>3.5.13</t>
  </si>
  <si>
    <t>3.5.14</t>
  </si>
  <si>
    <t>3.5.15</t>
  </si>
  <si>
    <t>3.5.16</t>
  </si>
  <si>
    <t>3.5.17</t>
  </si>
  <si>
    <t>Patentamientos nuevos y transferencias de usados en la provincia de Santa Fe</t>
  </si>
  <si>
    <t>Patentamientos nuevos y transferencias de usados en Argentina</t>
  </si>
  <si>
    <t>Patentamientos de automotores nuevos en la provincia de Santa Fe, desagregados por categoría</t>
  </si>
  <si>
    <t>Producción nacional de automotores</t>
  </si>
  <si>
    <t>Asociación De Fábricas de Automotores (ADEFA)</t>
  </si>
  <si>
    <t>Patentamientos</t>
  </si>
  <si>
    <t>Transferencias</t>
  </si>
  <si>
    <t>Patentamientos de automotores</t>
  </si>
  <si>
    <t>Producción argentina</t>
  </si>
  <si>
    <t>Nº de automotores</t>
  </si>
  <si>
    <t>Nº de motos</t>
  </si>
  <si>
    <t>Nº de maquinarias</t>
  </si>
  <si>
    <t xml:space="preserve">Automóviles </t>
  </si>
  <si>
    <t>Transporte y carga</t>
  </si>
  <si>
    <t>Acoplados</t>
  </si>
  <si>
    <t>Número de automotores</t>
  </si>
  <si>
    <t>3.6.1</t>
  </si>
  <si>
    <t>3.6.2</t>
  </si>
  <si>
    <t>3.6.3</t>
  </si>
  <si>
    <t>3.6.4</t>
  </si>
  <si>
    <t>3.6.5</t>
  </si>
  <si>
    <t>3.6.6</t>
  </si>
  <si>
    <t>3.6.7</t>
  </si>
  <si>
    <t>3.6.8</t>
  </si>
  <si>
    <t>3.6.9</t>
  </si>
  <si>
    <t>3.6.10</t>
  </si>
  <si>
    <t>3.6.11</t>
  </si>
  <si>
    <t>3.6.12</t>
  </si>
  <si>
    <t>3.6.13</t>
  </si>
  <si>
    <t>3.6.14</t>
  </si>
  <si>
    <t>3.6.15</t>
  </si>
  <si>
    <t>3.6.16</t>
  </si>
  <si>
    <t>3.6.17</t>
  </si>
  <si>
    <t>Venta de maquinarias agrícolas en Argentina: incluye cosechadores, tractores, sembradoras e implementos</t>
  </si>
  <si>
    <t>Facturación por ventas de maquinaría agrícola en Argentina: incluye cosechadores, tractores, sembradoras e implementos</t>
  </si>
  <si>
    <t>Producción de maquinaria agrícola en Argentina</t>
  </si>
  <si>
    <t>Instituto Nacional de Estadísticas y Censos (INDEC): informe técnico de maquinaria agrícola</t>
  </si>
  <si>
    <t>Estadísticas de Productos Industriales (EPI) - INDEC</t>
  </si>
  <si>
    <t>Ventas nacionales</t>
  </si>
  <si>
    <t>Ventas importadas</t>
  </si>
  <si>
    <t>Ventas totales</t>
  </si>
  <si>
    <t>Cosechadoras</t>
  </si>
  <si>
    <t>Tractores</t>
  </si>
  <si>
    <t>Sembradoras</t>
  </si>
  <si>
    <t>Implementos</t>
  </si>
  <si>
    <t>Unidades físicas</t>
  </si>
  <si>
    <t>3.7.1</t>
  </si>
  <si>
    <t>3.7.2</t>
  </si>
  <si>
    <t>3.7.3</t>
  </si>
  <si>
    <t>3.7.4</t>
  </si>
  <si>
    <t>3.7.5</t>
  </si>
  <si>
    <t>3.7.6</t>
  </si>
  <si>
    <t>3.7.7</t>
  </si>
  <si>
    <t>3.7.8</t>
  </si>
  <si>
    <t>3.7.9</t>
  </si>
  <si>
    <t>3.7.10</t>
  </si>
  <si>
    <t>3.7.11</t>
  </si>
  <si>
    <t>3.7.12</t>
  </si>
  <si>
    <t>Índice de Producción Industrial (IPI) de Argentina</t>
  </si>
  <si>
    <t>Ramas del Índice de Producción Industrial (IPI) de Argentina</t>
  </si>
  <si>
    <t>Índice de Producción Industrial (IPI) por tipo de bienes</t>
  </si>
  <si>
    <t>Alimentos y bebidas</t>
  </si>
  <si>
    <t>Cigarrillos</t>
  </si>
  <si>
    <t>Insumos textiles</t>
  </si>
  <si>
    <t>Pastas y papel</t>
  </si>
  <si>
    <t>Combustibles</t>
  </si>
  <si>
    <t>Quimicos y plásticos</t>
  </si>
  <si>
    <t>Minerales no metálicos</t>
  </si>
  <si>
    <t>Siderurgia</t>
  </si>
  <si>
    <t>Metalmecánica</t>
  </si>
  <si>
    <t>Automóviles</t>
  </si>
  <si>
    <t>Bienes Consumo No Durable (BCND)</t>
  </si>
  <si>
    <t>Bienes Consumo Durable (BCD)</t>
  </si>
  <si>
    <t>Bienes de Uso Intermedio (BUI)</t>
  </si>
  <si>
    <t>Bienes de Capital (BK)</t>
  </si>
  <si>
    <t xml:space="preserve">BEBIDAS </t>
  </si>
  <si>
    <t>PLASTICOS</t>
  </si>
  <si>
    <t>METALICOS</t>
  </si>
  <si>
    <t>3.8.1</t>
  </si>
  <si>
    <t>3.8.2</t>
  </si>
  <si>
    <t>3.8.3</t>
  </si>
  <si>
    <t>3.8.4</t>
  </si>
  <si>
    <t>3.8.5</t>
  </si>
  <si>
    <t>3.8.6</t>
  </si>
  <si>
    <t>3.8.7</t>
  </si>
  <si>
    <t>3.8.8</t>
  </si>
  <si>
    <t>3.8.9</t>
  </si>
  <si>
    <t>3.8.10</t>
  </si>
  <si>
    <t>3.8.11</t>
  </si>
  <si>
    <t>3.8.12</t>
  </si>
  <si>
    <t>3.8.13</t>
  </si>
  <si>
    <t>3.8.14</t>
  </si>
  <si>
    <t>3.8.15</t>
  </si>
  <si>
    <t>3.8.16</t>
  </si>
  <si>
    <t>Utilización de la capacidad instalada en la industria según bloques del Estimador Mensual Industrial (EMI) base 2004=100</t>
  </si>
  <si>
    <t>Nivel general</t>
  </si>
  <si>
    <t>Productos alimenticios y bebidas</t>
  </si>
  <si>
    <t>Productos del tabaco</t>
  </si>
  <si>
    <t>Productos textiles</t>
  </si>
  <si>
    <t>Papel y cartón</t>
  </si>
  <si>
    <t>Edición e impresión</t>
  </si>
  <si>
    <t>Refinación del petróleo</t>
  </si>
  <si>
    <t>Sustancias y
productos químicos</t>
  </si>
  <si>
    <t>Caucho 
y 
plástico</t>
  </si>
  <si>
    <t>Industrias metálicas básicas</t>
  </si>
  <si>
    <t>Industria automotriz</t>
  </si>
  <si>
    <t>Metalmecánica excluida industria automotriz</t>
  </si>
  <si>
    <t>3.9.1</t>
  </si>
  <si>
    <t>3.9.2</t>
  </si>
  <si>
    <t>3.9.3</t>
  </si>
  <si>
    <t>3.9.4</t>
  </si>
  <si>
    <t>3.9.5</t>
  </si>
  <si>
    <t>3.9.6</t>
  </si>
  <si>
    <t>3.9.7</t>
  </si>
  <si>
    <t>3.9.8</t>
  </si>
  <si>
    <t>3.9.9</t>
  </si>
  <si>
    <t>3.9.10</t>
  </si>
  <si>
    <t>3.9.11</t>
  </si>
  <si>
    <t>3.9.12</t>
  </si>
  <si>
    <t>3.9.13</t>
  </si>
  <si>
    <t>Índice de Producción Industrial Manufacturero (IPIM)</t>
  </si>
  <si>
    <t>Ramas del Índice de Producción Industrial Manufacturero (IPIM)</t>
  </si>
  <si>
    <t>Serie tendencia-ciclo</t>
  </si>
  <si>
    <t>Productos de tabaco</t>
  </si>
  <si>
    <t>Prendas de vestir, cuero y calzado</t>
  </si>
  <si>
    <t>Madera, papel, edición e impresión</t>
  </si>
  <si>
    <t>Refinación del petróleo, coque y combustible nuclear</t>
  </si>
  <si>
    <t>Sustancias y productos químicos</t>
  </si>
  <si>
    <t>Productos de caucho y plástico</t>
  </si>
  <si>
    <t>Productos minerales no metálicos</t>
  </si>
  <si>
    <t>Productos de metal</t>
  </si>
  <si>
    <t>Maquinaria y equipo</t>
  </si>
  <si>
    <t>Otros equipos, aparatos e instrumentos</t>
  </si>
  <si>
    <t>Vehículos automotores, carrocerías, remolques y autopartes</t>
  </si>
  <si>
    <t>Otro equipo de transporte</t>
  </si>
  <si>
    <t>Muebles y colchones, y otras industrias manufactureras</t>
  </si>
  <si>
    <t>Ponderador</t>
  </si>
  <si>
    <t>3.10.1</t>
  </si>
  <si>
    <t>3.10.2</t>
  </si>
  <si>
    <t>3.10.3</t>
  </si>
  <si>
    <t>3.10.4</t>
  </si>
  <si>
    <t>3.10.5</t>
  </si>
  <si>
    <t>3.10.6</t>
  </si>
  <si>
    <t>3.10.7</t>
  </si>
  <si>
    <t>3.10.8</t>
  </si>
  <si>
    <t>3.10.9</t>
  </si>
  <si>
    <t>3.10.10</t>
  </si>
  <si>
    <t>3.10.11</t>
  </si>
  <si>
    <t>3.10.12</t>
  </si>
  <si>
    <t>3.10.13</t>
  </si>
  <si>
    <t>3.10.14</t>
  </si>
  <si>
    <t>3.10.15</t>
  </si>
  <si>
    <t>3.10.16</t>
  </si>
  <si>
    <t>3.10.17</t>
  </si>
  <si>
    <t>3.10.18</t>
  </si>
  <si>
    <t>3.10.19</t>
  </si>
  <si>
    <t>Índice Provincial de Actividad Industrial (IPAI)</t>
  </si>
  <si>
    <t>Bloques industriales del Índice Provincial de Actividad Industrial (IPAI)</t>
  </si>
  <si>
    <t>Instituto Provincial de Estadísticas y Censo (IPEC)</t>
  </si>
  <si>
    <t>Procesamiento de carne y pescado</t>
  </si>
  <si>
    <t>Aceites y grasas de origen vegetal</t>
  </si>
  <si>
    <t>Lácteos</t>
  </si>
  <si>
    <t>Productos textiles y de cuero</t>
  </si>
  <si>
    <t>Madera, papel y productos derivados, excepto muebles</t>
  </si>
  <si>
    <t>Productos de caucho, plástico y minerales no metálicos</t>
  </si>
  <si>
    <t>Productos elaborados de metal, excepto maquinaria y equipo</t>
  </si>
  <si>
    <t>Maquinaria agrícola y equipos de uso general</t>
  </si>
  <si>
    <t>Equipos de oficina, electrónicos y medicinales</t>
  </si>
  <si>
    <t>Vehículos automotores y transporte</t>
  </si>
  <si>
    <t>Muebles y colchones</t>
  </si>
  <si>
    <t>Reciclamiento y reparación de maquinarias</t>
  </si>
  <si>
    <t>Coque y productos de la refinación del petróleo</t>
  </si>
  <si>
    <t>Metales comunes</t>
  </si>
  <si>
    <t>3.11.1</t>
  </si>
  <si>
    <t>3.11.2</t>
  </si>
  <si>
    <t>3.11.3</t>
  </si>
  <si>
    <t>3.11.4</t>
  </si>
  <si>
    <t>3.11.5</t>
  </si>
  <si>
    <t>3.11.6</t>
  </si>
  <si>
    <t>3.11.7</t>
  </si>
  <si>
    <t>3.11.8</t>
  </si>
  <si>
    <t>3.11.9</t>
  </si>
  <si>
    <t>3.11.10</t>
  </si>
  <si>
    <t>3.11.11</t>
  </si>
  <si>
    <t>3.11.12</t>
  </si>
  <si>
    <t>3.11.13</t>
  </si>
  <si>
    <t>3.11.14</t>
  </si>
  <si>
    <t>3.11.15</t>
  </si>
  <si>
    <t>3.11.16</t>
  </si>
  <si>
    <t>3.11.17</t>
  </si>
  <si>
    <t>3.11.18</t>
  </si>
  <si>
    <t>Sistema financiero bancario de la provincia de Santa Fe</t>
  </si>
  <si>
    <t>Sistema financiero bancario de Argentina</t>
  </si>
  <si>
    <t>Tipo de cambio</t>
  </si>
  <si>
    <t>Banco Central de la Republica Argentina (BCRA)</t>
  </si>
  <si>
    <t>BCRA</t>
  </si>
  <si>
    <t>Depósitos y préstamos. Sector privado y público no financiero. Total de residentes en el país y extranjeros.</t>
  </si>
  <si>
    <t>Depósitos Totales</t>
  </si>
  <si>
    <t>Depósitos sector privado</t>
  </si>
  <si>
    <t>Depósitos sector público</t>
  </si>
  <si>
    <t>Préstamos Totales</t>
  </si>
  <si>
    <t>Préstamos sector privado</t>
  </si>
  <si>
    <t>Préstamos Sector Público</t>
  </si>
  <si>
    <t>Disponibilidades</t>
  </si>
  <si>
    <t xml:space="preserve">Tipo de cambio de referencia </t>
  </si>
  <si>
    <t>Pesos corrientes por dólar norteamericano</t>
  </si>
  <si>
    <t>4.1.1</t>
  </si>
  <si>
    <t>4.1.2</t>
  </si>
  <si>
    <t>4.1.3</t>
  </si>
  <si>
    <t>4.1.4</t>
  </si>
  <si>
    <t>4.1.5</t>
  </si>
  <si>
    <t>4.1.6</t>
  </si>
  <si>
    <t>4.1.7</t>
  </si>
  <si>
    <t>4.1.8</t>
  </si>
  <si>
    <t>4.1.9</t>
  </si>
  <si>
    <t>4.1.10</t>
  </si>
  <si>
    <t>4.1.11</t>
  </si>
  <si>
    <t>4.1.12</t>
  </si>
  <si>
    <t>4.1.13</t>
  </si>
  <si>
    <t>4.1.14</t>
  </si>
  <si>
    <t>4.1.15</t>
  </si>
  <si>
    <t>S&amp;P MERVAL Index</t>
  </si>
  <si>
    <t>S&amp;P BYMA Argentina General Index</t>
  </si>
  <si>
    <t>Volumen negociado mercado renta fija</t>
  </si>
  <si>
    <t>Financiamiento total en el mercado de capitales</t>
  </si>
  <si>
    <t>S&amp;P Dow Jones Indices</t>
  </si>
  <si>
    <t>Mercado Abierto Electrónico (MAE)</t>
  </si>
  <si>
    <t>Ventas totales más cartera propia</t>
  </si>
  <si>
    <t>Volúmenes captados</t>
  </si>
  <si>
    <t>Índice base 11-01-2019 = 33884.60</t>
  </si>
  <si>
    <t>Índice base 08-03-2019 = 14333042.31</t>
  </si>
  <si>
    <t>Dólares</t>
  </si>
  <si>
    <t>Índice base 1941-1943=10</t>
  </si>
  <si>
    <t>4.2.1</t>
  </si>
  <si>
    <t>4.2.2</t>
  </si>
  <si>
    <t>4.2.3</t>
  </si>
  <si>
    <t>4.2.4</t>
  </si>
  <si>
    <t>4.2.5</t>
  </si>
  <si>
    <t>Ventas de supermercados de la provincia Santa Fe, grandes superficies</t>
  </si>
  <si>
    <t>Ventas de supermercados en Argentina</t>
  </si>
  <si>
    <t>Ventas de autoservicios mayoristas en Argentina</t>
  </si>
  <si>
    <t>Ventas minoristas en Argentina</t>
  </si>
  <si>
    <t>Bebidas</t>
  </si>
  <si>
    <t>Almacén</t>
  </si>
  <si>
    <t xml:space="preserve">Panadería </t>
  </si>
  <si>
    <t>Carnes</t>
  </si>
  <si>
    <t>Verdulería y frutería</t>
  </si>
  <si>
    <t>Alimentos preparados y rotisería</t>
  </si>
  <si>
    <t>Artículos de limpieza y perfumería</t>
  </si>
  <si>
    <t>Indumentaria, calzado y textiles para el hogar</t>
  </si>
  <si>
    <t>Electrónicos y artículos para el hogar</t>
  </si>
  <si>
    <t>Índice de precios implícitos</t>
  </si>
  <si>
    <t>Superficie del área de ventas</t>
  </si>
  <si>
    <t>Cantidad de operaciones</t>
  </si>
  <si>
    <r>
      <t>Ventas por m</t>
    </r>
    <r>
      <rPr>
        <vertAlign val="superscript"/>
        <sz val="8"/>
        <rFont val="Arial"/>
        <family val="2"/>
      </rPr>
      <t>2</t>
    </r>
  </si>
  <si>
    <t>Ventas por operación</t>
  </si>
  <si>
    <t>Ventas por canales On-line</t>
  </si>
  <si>
    <t>Ventas nacionales totales</t>
  </si>
  <si>
    <t>Facturación tipo "A"</t>
  </si>
  <si>
    <t>Facturación tipo "B"</t>
  </si>
  <si>
    <t>Facturación
"A" y "B"</t>
  </si>
  <si>
    <t>Variaciones inter-anuales</t>
  </si>
  <si>
    <t>Base 2017=100</t>
  </si>
  <si>
    <r>
      <t>M</t>
    </r>
    <r>
      <rPr>
        <vertAlign val="superscript"/>
        <sz val="8"/>
        <rFont val="Arial"/>
        <family val="2"/>
      </rPr>
      <t>2</t>
    </r>
  </si>
  <si>
    <t>Nº</t>
  </si>
  <si>
    <r>
      <t>Pesos Ctes. / m</t>
    </r>
    <r>
      <rPr>
        <vertAlign val="superscript"/>
        <sz val="8"/>
        <rFont val="Arial"/>
        <family val="2"/>
      </rPr>
      <t>2</t>
    </r>
  </si>
  <si>
    <t>Pesos corrientes / Operación</t>
  </si>
  <si>
    <t>Millones de pesos</t>
  </si>
  <si>
    <t>4.3.1</t>
  </si>
  <si>
    <t>4.3.2</t>
  </si>
  <si>
    <t>4.3.3</t>
  </si>
  <si>
    <t>4.3.4</t>
  </si>
  <si>
    <t>4.3.5</t>
  </si>
  <si>
    <t>4.3.6</t>
  </si>
  <si>
    <t>4.3.7</t>
  </si>
  <si>
    <t>4.3.8</t>
  </si>
  <si>
    <t>4.3.9</t>
  </si>
  <si>
    <t>4.3.10</t>
  </si>
  <si>
    <t>4.3.11</t>
  </si>
  <si>
    <t>4.3.12</t>
  </si>
  <si>
    <t>4.3.13</t>
  </si>
  <si>
    <t>4.3.14</t>
  </si>
  <si>
    <t>4.3.15</t>
  </si>
  <si>
    <t>4.3.16</t>
  </si>
  <si>
    <t>4.3.17</t>
  </si>
  <si>
    <t>4.3.18</t>
  </si>
  <si>
    <t>4.3.19</t>
  </si>
  <si>
    <t>4.3.20</t>
  </si>
  <si>
    <t>4.3.21</t>
  </si>
  <si>
    <t>4.3.22</t>
  </si>
  <si>
    <t>4.3.23</t>
  </si>
  <si>
    <t>4.3.24</t>
  </si>
  <si>
    <t>Índices de Confianza del Consumidor (ICC)</t>
  </si>
  <si>
    <t>Desagregado por regiones</t>
  </si>
  <si>
    <t>Desagregado por subíndices</t>
  </si>
  <si>
    <t>ICC Nacional</t>
  </si>
  <si>
    <t>Capital</t>
  </si>
  <si>
    <t>Interior</t>
  </si>
  <si>
    <t>GBA</t>
  </si>
  <si>
    <t>Situación personal</t>
  </si>
  <si>
    <t>Situación macro</t>
  </si>
  <si>
    <t>Bienes durables e inmuebles</t>
  </si>
  <si>
    <t>4.4.1</t>
  </si>
  <si>
    <t>4.4.2</t>
  </si>
  <si>
    <t>4.4.3</t>
  </si>
  <si>
    <t>4.4.4</t>
  </si>
  <si>
    <t>4.4.5</t>
  </si>
  <si>
    <t>4.4.6</t>
  </si>
  <si>
    <t>4.4.7</t>
  </si>
  <si>
    <t>Encuesta de Ocupación Hotelera (EOH). Oferta y demanda</t>
  </si>
  <si>
    <t>Ciudad de Santa Fe</t>
  </si>
  <si>
    <t>Plaza disponibles</t>
  </si>
  <si>
    <t>Plazas ocupadas por residentes</t>
  </si>
  <si>
    <t>Plazas ocupadas por no residentes</t>
  </si>
  <si>
    <t>Plaza</t>
  </si>
  <si>
    <t>4.5.1</t>
  </si>
  <si>
    <t>4.5.2</t>
  </si>
  <si>
    <t>4.5.3</t>
  </si>
  <si>
    <t>4.5.4</t>
  </si>
  <si>
    <t>4.5.5</t>
  </si>
  <si>
    <t>4.5.6</t>
  </si>
  <si>
    <t>4.5.7</t>
  </si>
  <si>
    <t>4.5.8</t>
  </si>
  <si>
    <t>4.5.9</t>
  </si>
  <si>
    <t>Estadísticas de carga en base a los puertos comerciales e industriales del país</t>
  </si>
  <si>
    <t xml:space="preserve">Secretaría de Transporte de la Nación </t>
  </si>
  <si>
    <t>Carga containerizada</t>
  </si>
  <si>
    <t xml:space="preserve">Carga no containerizada </t>
  </si>
  <si>
    <t>Total puertos registrados a nivel nacional</t>
  </si>
  <si>
    <t>Tipo de operación</t>
  </si>
  <si>
    <t>Carga</t>
  </si>
  <si>
    <t>Descarga</t>
  </si>
  <si>
    <t xml:space="preserve">Importación </t>
  </si>
  <si>
    <t xml:space="preserve">Exportación </t>
  </si>
  <si>
    <t xml:space="preserve">Cabotaje entrado </t>
  </si>
  <si>
    <t xml:space="preserve">Cabotaje salido </t>
  </si>
  <si>
    <t>Transbordo / Tránsito Entrado</t>
  </si>
  <si>
    <t>Transbordo / Tránsito Salido</t>
  </si>
  <si>
    <t>TEU</t>
  </si>
  <si>
    <t>4.7.1</t>
  </si>
  <si>
    <t>4.7.2</t>
  </si>
  <si>
    <t>4.7.3</t>
  </si>
  <si>
    <t>4.7.4</t>
  </si>
  <si>
    <t>4.7.5</t>
  </si>
  <si>
    <t>4.7.6</t>
  </si>
  <si>
    <t>4.7.7</t>
  </si>
  <si>
    <t>4.7.8</t>
  </si>
  <si>
    <t>4.7.9</t>
  </si>
  <si>
    <t>4.7.10</t>
  </si>
  <si>
    <t>4.7.11</t>
  </si>
  <si>
    <t>4.7.12</t>
  </si>
  <si>
    <t>4.7.13</t>
  </si>
  <si>
    <t>4.7.14</t>
  </si>
  <si>
    <t>4.7.15</t>
  </si>
  <si>
    <t>4.7.16</t>
  </si>
  <si>
    <t>Gas entregado por tipo de usuario en la provincia de Santa Fe</t>
  </si>
  <si>
    <t>Gas entregado a grandes usuarios industriales en la provincia de Santa Fe</t>
  </si>
  <si>
    <t>Gas entregado a pequeños, medianos y grandes usuarios en la provincia de Santa Fe</t>
  </si>
  <si>
    <t>ENARGAS</t>
  </si>
  <si>
    <t>Categorías</t>
  </si>
  <si>
    <t>Tipo de servicio tarifario</t>
  </si>
  <si>
    <t>GAS Total Entregado</t>
  </si>
  <si>
    <t>GAS Residencial</t>
  </si>
  <si>
    <t>GAS Comercial</t>
  </si>
  <si>
    <t>Entes Oficiales</t>
  </si>
  <si>
    <t>GAS Centrales Eléctricas</t>
  </si>
  <si>
    <t>GAS Industrial</t>
  </si>
  <si>
    <t>GAS Industrial y Centrales Eléctricas</t>
  </si>
  <si>
    <t>SDB (subdistribuidores)</t>
  </si>
  <si>
    <t>GNC (Gas Natural Comprimido)</t>
  </si>
  <si>
    <t>Servicio SGP</t>
  </si>
  <si>
    <t>Servicio SGG</t>
  </si>
  <si>
    <t>Servicios ID+IT+FD+FT</t>
  </si>
  <si>
    <t>Miles de m3 de 9300 kcal</t>
  </si>
  <si>
    <t>5.1.1</t>
  </si>
  <si>
    <t>5.1.2</t>
  </si>
  <si>
    <t>5.1.3</t>
  </si>
  <si>
    <t>5.1.4</t>
  </si>
  <si>
    <t>5.1.5</t>
  </si>
  <si>
    <t>5.1.6</t>
  </si>
  <si>
    <t>5.1.7</t>
  </si>
  <si>
    <t>5.1.8</t>
  </si>
  <si>
    <t>5.1.9</t>
  </si>
  <si>
    <t>5.1.10</t>
  </si>
  <si>
    <t>5.1.11</t>
  </si>
  <si>
    <t>5.1.12</t>
  </si>
  <si>
    <t>5.1.13</t>
  </si>
  <si>
    <t>Ventas de combustibles en la provincia de Santa Fe</t>
  </si>
  <si>
    <t>Aerokerosene (jet)</t>
  </si>
  <si>
    <t>Aeronaftas</t>
  </si>
  <si>
    <t>Asfaltos</t>
  </si>
  <si>
    <t>Kerosene</t>
  </si>
  <si>
    <t>Diesel Oil</t>
  </si>
  <si>
    <t>Fuel Oil</t>
  </si>
  <si>
    <t>Gas Oil (grados 1, 2 y 3)</t>
  </si>
  <si>
    <t>Otro tipo de gasoil</t>
  </si>
  <si>
    <t>Total Gasoil</t>
  </si>
  <si>
    <t>Nafta Grado 1 (Común)</t>
  </si>
  <si>
    <t>Nafta Grado 2 (Super)</t>
  </si>
  <si>
    <t>Nafta Grado 3 (Ultra)</t>
  </si>
  <si>
    <t>Naftas Grado 1, 2 y 3.</t>
  </si>
  <si>
    <t>Otro tipo de naftas + nafta virgen</t>
  </si>
  <si>
    <t>Total Naftas</t>
  </si>
  <si>
    <t>Excluye empresas del sector</t>
  </si>
  <si>
    <t>Empresas del sector</t>
  </si>
  <si>
    <t>Total Fuel Oil</t>
  </si>
  <si>
    <r>
      <t>M</t>
    </r>
    <r>
      <rPr>
        <vertAlign val="superscript"/>
        <sz val="8"/>
        <rFont val="Arial"/>
        <family val="2"/>
      </rPr>
      <t>3</t>
    </r>
  </si>
  <si>
    <t>M3</t>
  </si>
  <si>
    <t>5.3.1</t>
  </si>
  <si>
    <t>5.3.2</t>
  </si>
  <si>
    <t>5.3.3</t>
  </si>
  <si>
    <t>5.3.4</t>
  </si>
  <si>
    <t>5.3.5</t>
  </si>
  <si>
    <t>5.3.6</t>
  </si>
  <si>
    <t>5.3.7</t>
  </si>
  <si>
    <t>5.3.8</t>
  </si>
  <si>
    <t>5.3.9</t>
  </si>
  <si>
    <t>5.3.10</t>
  </si>
  <si>
    <t>5.3.11</t>
  </si>
  <si>
    <t>5.3.12</t>
  </si>
  <si>
    <t>5.3.13</t>
  </si>
  <si>
    <t>5.3.14</t>
  </si>
  <si>
    <t>5.3.15</t>
  </si>
  <si>
    <t>5.3.16</t>
  </si>
  <si>
    <t>5.3.17</t>
  </si>
  <si>
    <t>5.3.18</t>
  </si>
  <si>
    <t>5.3.19</t>
  </si>
  <si>
    <t>5.3.20</t>
  </si>
  <si>
    <t>5.3.21</t>
  </si>
  <si>
    <t>Toneladas de cereales exportadas por puertos de la provincia de Santa Fe</t>
  </si>
  <si>
    <t>Toneladas de cereales exportadas por puertos de todo el país (total Argentina)</t>
  </si>
  <si>
    <t>Toneladas de maíz exportadas por puertos de la provincia de Santa Fe</t>
  </si>
  <si>
    <t>Toneladas de trigo exportadas por puertos de la provincia de Santa Fe</t>
  </si>
  <si>
    <t xml:space="preserve">Secretaría de Agricultura, Ganadería y Pesca de Nación </t>
  </si>
  <si>
    <t>Maíz total</t>
  </si>
  <si>
    <t>Trigo</t>
  </si>
  <si>
    <t>Maíz nacional</t>
  </si>
  <si>
    <t>Maíz paraguayo</t>
  </si>
  <si>
    <t>Trigo nacional</t>
  </si>
  <si>
    <t>Trigo paraguayo</t>
  </si>
  <si>
    <t>Trigo total</t>
  </si>
  <si>
    <t>tn</t>
  </si>
  <si>
    <t>6.1.1</t>
  </si>
  <si>
    <t>6.1.2</t>
  </si>
  <si>
    <t>6.1.3</t>
  </si>
  <si>
    <t>6.1.4</t>
  </si>
  <si>
    <t>6.1.5</t>
  </si>
  <si>
    <t>6.1.6</t>
  </si>
  <si>
    <t>6.1.7</t>
  </si>
  <si>
    <t>6.1.8</t>
  </si>
  <si>
    <t>6.1.9</t>
  </si>
  <si>
    <t>6.1.10</t>
  </si>
  <si>
    <t>6.1.11</t>
  </si>
  <si>
    <t>6.1.12</t>
  </si>
  <si>
    <t>6.1.13</t>
  </si>
  <si>
    <t>6.1.14</t>
  </si>
  <si>
    <t>6.1.15</t>
  </si>
  <si>
    <t>6.1.16</t>
  </si>
  <si>
    <t>San Lorenzo / San Martín / Villa Constitución</t>
  </si>
  <si>
    <t>Total General</t>
  </si>
  <si>
    <t>Exportaciones, importaciones y saldo de balanza comercial argentina</t>
  </si>
  <si>
    <t>Reservas del BCRA</t>
  </si>
  <si>
    <t>Banco Central República Argentina (BCRA)</t>
  </si>
  <si>
    <t>Exportaciones Argentina</t>
  </si>
  <si>
    <t>Importaciones Argentinas</t>
  </si>
  <si>
    <t>Balanza comercial argentina</t>
  </si>
  <si>
    <t>Saldos al cierre de mes</t>
  </si>
  <si>
    <t>Millones de dólares</t>
  </si>
  <si>
    <t>6.2.1</t>
  </si>
  <si>
    <t>6.2.2</t>
  </si>
  <si>
    <t>6.2.3</t>
  </si>
  <si>
    <t>6.2.4</t>
  </si>
  <si>
    <t>Terminos de intercambio</t>
  </si>
  <si>
    <t>Indice de valor de las exportaciones (VX)</t>
  </si>
  <si>
    <t>Indice de precio de las exportaciones (PX)</t>
  </si>
  <si>
    <t>Indice de cantidad de las exportaciones (QX)</t>
  </si>
  <si>
    <t>Indice de valor de las importaciones (VM)</t>
  </si>
  <si>
    <t>Indice de precio de las importaciones (PM)</t>
  </si>
  <si>
    <t>Indice de cantidad de las importaciones (QM)</t>
  </si>
  <si>
    <t>Índice de términos de intercambio (NBTT = PX/PM*100)</t>
  </si>
  <si>
    <t>Indice de poder de compra de las exportaciones (ITT=Qx*PX/PM*100)</t>
  </si>
  <si>
    <t>Base 2004=100</t>
  </si>
  <si>
    <t>6.2.b.1</t>
  </si>
  <si>
    <t>6.2.b.2</t>
  </si>
  <si>
    <t>6.2.b.3</t>
  </si>
  <si>
    <t>6.2.b.4</t>
  </si>
  <si>
    <t>6.2.b.5</t>
  </si>
  <si>
    <t>6.2.b.6</t>
  </si>
  <si>
    <t>6.2.b.7</t>
  </si>
  <si>
    <t>6.2.b.8</t>
  </si>
  <si>
    <t>Exportaciones con origen en la provincia de Santa Fe</t>
  </si>
  <si>
    <t>Exportaciones nacionales</t>
  </si>
  <si>
    <t>Valor Free On Board (FOB)</t>
  </si>
  <si>
    <t>Peso neto</t>
  </si>
  <si>
    <t>6.3.1</t>
  </si>
  <si>
    <t>6.3.2</t>
  </si>
  <si>
    <t>6.3.3</t>
  </si>
  <si>
    <t>6.3.4</t>
  </si>
  <si>
    <t>Índice de Tipo de Cambio Real Multilateral (ITCRM)</t>
  </si>
  <si>
    <t>Índices de tipo de cambio real bilateral con los principales socios comerciales</t>
  </si>
  <si>
    <t>Valor real del peso argentino en relación a las monedas de sus principales socios
comerciales; promedios mensuales</t>
  </si>
  <si>
    <r>
      <t xml:space="preserve">Valor real del peso argentino en relación al </t>
    </r>
    <r>
      <rPr>
        <b/>
        <sz val="8"/>
        <rFont val="Arial"/>
        <family val="2"/>
      </rPr>
      <t>real</t>
    </r>
    <r>
      <rPr>
        <sz val="8"/>
        <rFont val="Arial"/>
        <family val="2"/>
      </rPr>
      <t>; promedios mensuales</t>
    </r>
  </si>
  <si>
    <r>
      <t xml:space="preserve">Valor real del peso argentino en relación al </t>
    </r>
    <r>
      <rPr>
        <b/>
        <sz val="8"/>
        <rFont val="Arial"/>
        <family val="2"/>
      </rPr>
      <t>dólar norteamericano</t>
    </r>
    <r>
      <rPr>
        <sz val="8"/>
        <rFont val="Arial"/>
        <family val="2"/>
      </rPr>
      <t>; promedios mensuales</t>
    </r>
  </si>
  <si>
    <r>
      <t xml:space="preserve">Valor real del peso argentino en relación al </t>
    </r>
    <r>
      <rPr>
        <b/>
        <sz val="8"/>
        <rFont val="Arial"/>
        <family val="2"/>
      </rPr>
      <t>yuan</t>
    </r>
    <r>
      <rPr>
        <sz val="8"/>
        <rFont val="Arial"/>
        <family val="2"/>
      </rPr>
      <t>; promedios mensuales</t>
    </r>
  </si>
  <si>
    <r>
      <t xml:space="preserve">Valor real del peso argentino en relación al </t>
    </r>
    <r>
      <rPr>
        <b/>
        <sz val="8"/>
        <rFont val="Arial"/>
        <family val="2"/>
      </rPr>
      <t>euro</t>
    </r>
    <r>
      <rPr>
        <sz val="8"/>
        <rFont val="Arial"/>
        <family val="2"/>
      </rPr>
      <t>; promedios mensuales</t>
    </r>
  </si>
  <si>
    <t>Índices con base 17-12-15=100</t>
  </si>
  <si>
    <t>6.4.1</t>
  </si>
  <si>
    <t>6.4.2</t>
  </si>
  <si>
    <t>6.4.3</t>
  </si>
  <si>
    <t>6.4.4</t>
  </si>
  <si>
    <t>6.4.5</t>
  </si>
  <si>
    <t>Recursos tributarios de origen provincial, provincia de Santa Fe</t>
  </si>
  <si>
    <t>Impuesto inmobiliario</t>
  </si>
  <si>
    <t>Ingresos brutos</t>
  </si>
  <si>
    <t>Aportes sociales</t>
  </si>
  <si>
    <t>Impuesto de sellos</t>
  </si>
  <si>
    <t>Patente única sobre vehículos</t>
  </si>
  <si>
    <t>Otros Impuestos</t>
  </si>
  <si>
    <t>Recaudación provincial total</t>
  </si>
  <si>
    <t>7.1.1</t>
  </si>
  <si>
    <t>7.1.2</t>
  </si>
  <si>
    <t>7.1.3</t>
  </si>
  <si>
    <t>7.1.4</t>
  </si>
  <si>
    <t>7.1.5</t>
  </si>
  <si>
    <t>7.1.6</t>
  </si>
  <si>
    <t>7.1.7</t>
  </si>
  <si>
    <t>Recursos tributarios de origen nacional transferidos a la provincia de Santa Fe (Coparticipación y otros)</t>
  </si>
  <si>
    <t>Ministerio Economía de la Nación (MECON)</t>
  </si>
  <si>
    <t>7.2.1</t>
  </si>
  <si>
    <t>Gasto público ejecutado en la provincia de Santa Fe</t>
  </si>
  <si>
    <t>Gasto total ejecutado</t>
  </si>
  <si>
    <t>Gasto en capital ejecutado</t>
  </si>
  <si>
    <t xml:space="preserve">  </t>
  </si>
  <si>
    <t>7.3.1</t>
  </si>
  <si>
    <t>7.3.2</t>
  </si>
  <si>
    <t>7.3.3</t>
  </si>
  <si>
    <t>7.3.4</t>
  </si>
  <si>
    <t>del mes</t>
  </si>
  <si>
    <t>acumulado</t>
  </si>
  <si>
    <t>Recaudación de IVA. Contribuyentes con domicilio fiscal en la provincia de Santa Fe</t>
  </si>
  <si>
    <t>Recaudación de IVA total en Argentina</t>
  </si>
  <si>
    <t>Agencia de Recaudación y Control Aduanero (ARCA)</t>
  </si>
  <si>
    <t>7.4.1</t>
  </si>
  <si>
    <t>7.4.2</t>
  </si>
  <si>
    <t xml:space="preserve">Índice de precios al consumidor en la provincia de Santa Fe </t>
  </si>
  <si>
    <t>Instituto Provincial de Estadística y Censos, Provincia de Santa Fe</t>
  </si>
  <si>
    <t>IPC Nivel General (IPEC)</t>
  </si>
  <si>
    <t>Alimentos y Bebidas</t>
  </si>
  <si>
    <t>Indumentaria</t>
  </si>
  <si>
    <t>Vivienda y Servicios Básicos</t>
  </si>
  <si>
    <t>Equip. y Mant. del Hogar</t>
  </si>
  <si>
    <t>Atención Médica y Gtos. de Salud</t>
  </si>
  <si>
    <t>Transporte y Comunicaciones</t>
  </si>
  <si>
    <t>Esparcimiento</t>
  </si>
  <si>
    <t>Educación</t>
  </si>
  <si>
    <t>Otros Bs. y Serv.</t>
  </si>
  <si>
    <t>Control</t>
  </si>
  <si>
    <t>Ponderadores</t>
  </si>
  <si>
    <t>Índice Base 2014=100</t>
  </si>
  <si>
    <t>8.1.1</t>
  </si>
  <si>
    <t>8.1.2</t>
  </si>
  <si>
    <t>8.1.3</t>
  </si>
  <si>
    <t>8.1.4</t>
  </si>
  <si>
    <t>8.1.5</t>
  </si>
  <si>
    <t>8.1.6</t>
  </si>
  <si>
    <t>8.1.7</t>
  </si>
  <si>
    <t>8.1.8</t>
  </si>
  <si>
    <t>8.1.9</t>
  </si>
  <si>
    <t>8.1.10</t>
  </si>
  <si>
    <t>8.1.11</t>
  </si>
  <si>
    <t>SFE-IPC</t>
  </si>
  <si>
    <t>SFE-ALI</t>
  </si>
  <si>
    <t xml:space="preserve"> Índice de Precios al Consumidor de la Ciudad de Buenos Aires (IPCBA) </t>
  </si>
  <si>
    <t>Gobierno de la Ciudad de Buenos Aires</t>
  </si>
  <si>
    <t>Divisiones</t>
  </si>
  <si>
    <t>Alimentos y bebidas no alcohólicas</t>
  </si>
  <si>
    <t>Bebidas alcohólicas y tabaco</t>
  </si>
  <si>
    <t>Prendas de vestir y calzado</t>
  </si>
  <si>
    <t>Vivienda. agua. electricidad y otros combustibles</t>
  </si>
  <si>
    <t>Equipamiento y mantenimiento del hogar</t>
  </si>
  <si>
    <t>Salud</t>
  </si>
  <si>
    <t>Transporte</t>
  </si>
  <si>
    <t>Información y comunicación</t>
  </si>
  <si>
    <t>Recreación y cultura</t>
  </si>
  <si>
    <t>Seguros y servicios financieros</t>
  </si>
  <si>
    <t>Cuidado personal. proteccion social y otros productos</t>
  </si>
  <si>
    <t>Índice base 2021 ≈ 100</t>
  </si>
  <si>
    <t>8.2.1</t>
  </si>
  <si>
    <t>8.2.2</t>
  </si>
  <si>
    <t>8.2.3</t>
  </si>
  <si>
    <t>8.2.4</t>
  </si>
  <si>
    <t>8.2.5</t>
  </si>
  <si>
    <t>8.2.6</t>
  </si>
  <si>
    <t>8.2.7</t>
  </si>
  <si>
    <t>8.2.8</t>
  </si>
  <si>
    <t>8.2.9</t>
  </si>
  <si>
    <t>8.2.10</t>
  </si>
  <si>
    <t>8.2.11</t>
  </si>
  <si>
    <t>8.2.12</t>
  </si>
  <si>
    <t>8.2.13</t>
  </si>
  <si>
    <t>8.2.14</t>
  </si>
  <si>
    <t xml:space="preserve">Índice de precios al consumidor - IPC NACIONAL - </t>
  </si>
  <si>
    <t>Nivel general y regiones</t>
  </si>
  <si>
    <t>Componentes desagregados del IPC Nacional</t>
  </si>
  <si>
    <t>Nacional (Nivel general)</t>
  </si>
  <si>
    <t>Pampeana</t>
  </si>
  <si>
    <t>Noreste</t>
  </si>
  <si>
    <t>Noroeste</t>
  </si>
  <si>
    <t>Cuyo</t>
  </si>
  <si>
    <t>Patagonia</t>
  </si>
  <si>
    <t>Alimentos y bebidas no alchólicos</t>
  </si>
  <si>
    <t>Bebidas alchólicas y tabaco</t>
  </si>
  <si>
    <t>Vivienda, agua, electricidad, gas y
otros combustibles</t>
  </si>
  <si>
    <t>Equip. y mant. del hogar</t>
  </si>
  <si>
    <t>Comunicaciones</t>
  </si>
  <si>
    <t>Otros bs. y serv.</t>
  </si>
  <si>
    <t>Bienes</t>
  </si>
  <si>
    <t>Servicios</t>
  </si>
  <si>
    <t>IPC Núcleo</t>
  </si>
  <si>
    <t>Regulados</t>
  </si>
  <si>
    <t>Estacionales</t>
  </si>
  <si>
    <t>Tasa de cambio mensual</t>
  </si>
  <si>
    <t>8.3.1</t>
  </si>
  <si>
    <t>8.3.2</t>
  </si>
  <si>
    <t>8.3.3</t>
  </si>
  <si>
    <t>8.3.4</t>
  </si>
  <si>
    <t>8.3.5</t>
  </si>
  <si>
    <t>8.3.6</t>
  </si>
  <si>
    <t>8.3.7</t>
  </si>
  <si>
    <t>8.3.8</t>
  </si>
  <si>
    <t>8.3.9</t>
  </si>
  <si>
    <t>8.3.10</t>
  </si>
  <si>
    <t>8.3.11</t>
  </si>
  <si>
    <t>8.3.12</t>
  </si>
  <si>
    <t>8.3.13</t>
  </si>
  <si>
    <t>8.3.14</t>
  </si>
  <si>
    <t>8.3.15</t>
  </si>
  <si>
    <t>8.3.16</t>
  </si>
  <si>
    <t>8.3.17</t>
  </si>
  <si>
    <t>8.3.18</t>
  </si>
  <si>
    <t>8.3.19</t>
  </si>
  <si>
    <t>8.3.20</t>
  </si>
  <si>
    <t>8.3.21</t>
  </si>
  <si>
    <t>8.3.22</t>
  </si>
  <si>
    <t>8.3.23</t>
  </si>
  <si>
    <t>8.3.24</t>
  </si>
  <si>
    <t>IPC-GBA (serie histórica)</t>
  </si>
  <si>
    <t>IPC-GBA (corregida)</t>
  </si>
  <si>
    <t>Precios minoristas GBA (fuentes alternativas)</t>
  </si>
  <si>
    <t>INDEC y otras fuentes</t>
  </si>
  <si>
    <t>Centro de investigacions Buenos Aires City - UBA</t>
  </si>
  <si>
    <t xml:space="preserve">IPC Congreso </t>
  </si>
  <si>
    <t>Índice Base abril 2008=100</t>
  </si>
  <si>
    <t>Sin base</t>
  </si>
  <si>
    <t>8.4.1</t>
  </si>
  <si>
    <t>8.4.2</t>
  </si>
  <si>
    <t>8.4.3</t>
  </si>
  <si>
    <t>8.4.4</t>
  </si>
  <si>
    <t xml:space="preserve">IPC ciudad de Bahía Blanca </t>
  </si>
  <si>
    <t xml:space="preserve"> Costo de vida en Bahía Blanca</t>
  </si>
  <si>
    <t>Centro Regional de Estudios Económicos de Bahía Blanca (CREEBBA)</t>
  </si>
  <si>
    <t>Nivel General</t>
  </si>
  <si>
    <t>Valor de la canasta de básica familiar (familia tipo 2)</t>
  </si>
  <si>
    <t>Índice base 2020.12=100</t>
  </si>
  <si>
    <t>8.5.1</t>
  </si>
  <si>
    <t>8.5.2</t>
  </si>
  <si>
    <t>8.5.3</t>
  </si>
  <si>
    <t>8.5.4</t>
  </si>
  <si>
    <t>Índice de Precios Internos Mayoristas (IPIM)</t>
  </si>
  <si>
    <t>Índice de Precios Internos Básicos (IPIB)</t>
  </si>
  <si>
    <t>Índice de Precios del Productor (IPP)</t>
  </si>
  <si>
    <t>Productos Nacionales</t>
  </si>
  <si>
    <t>Productos importados</t>
  </si>
  <si>
    <t>Productos nacionales</t>
  </si>
  <si>
    <t>Productos primarios</t>
  </si>
  <si>
    <t>Productos manufacturados y energía eléctrica</t>
  </si>
  <si>
    <t>8.6.1</t>
  </si>
  <si>
    <t>8.6.2</t>
  </si>
  <si>
    <t>8.6.3</t>
  </si>
  <si>
    <t>8.6.4</t>
  </si>
  <si>
    <t>8.6.5</t>
  </si>
  <si>
    <t>8.6.6</t>
  </si>
  <si>
    <t>8.6.7</t>
  </si>
  <si>
    <t>8.6.8</t>
  </si>
  <si>
    <t>8.6.9</t>
  </si>
  <si>
    <t>8.6.10</t>
  </si>
  <si>
    <t>8.6.11</t>
  </si>
  <si>
    <t>8.6.12</t>
  </si>
  <si>
    <t>8.6.13</t>
  </si>
  <si>
    <t>En dólares estadounidenses</t>
  </si>
  <si>
    <t>8.7.1</t>
  </si>
  <si>
    <t>Valor de la tierra agrícola y ganadera en la pradera pampeana. Valuación de la tierra libre de mejoras</t>
  </si>
  <si>
    <t>Zona maicera</t>
  </si>
  <si>
    <t>Zona triguera</t>
  </si>
  <si>
    <t>Zona de invernada</t>
  </si>
  <si>
    <t>Zona de cría</t>
  </si>
  <si>
    <t>US$ / hectárea</t>
  </si>
  <si>
    <t>ton. maíz / hectárea</t>
  </si>
  <si>
    <t>ton. soja / hectárea</t>
  </si>
  <si>
    <t>ton. trigo / hectárea</t>
  </si>
  <si>
    <t>Kg. novillo / hectárea</t>
  </si>
  <si>
    <t>Kg. ternera / hectárea</t>
  </si>
  <si>
    <t>8.8.1</t>
  </si>
  <si>
    <t>8.8.2</t>
  </si>
  <si>
    <t>8.8.3</t>
  </si>
  <si>
    <t>8.8.4</t>
  </si>
  <si>
    <t>8.8.5</t>
  </si>
  <si>
    <t>8.8.6</t>
  </si>
  <si>
    <t>8.8.7</t>
  </si>
  <si>
    <t>8.8.8</t>
  </si>
  <si>
    <t>8.8.9</t>
  </si>
  <si>
    <t>8.8.10</t>
  </si>
  <si>
    <t>Loading PDF 45% ...</t>
  </si>
  <si>
    <t>Valor del dólar respecto a otras monedas</t>
  </si>
  <si>
    <t>$ / USD Oficial</t>
  </si>
  <si>
    <t>$ / USD Paralelo</t>
  </si>
  <si>
    <t>$ / USD MEP</t>
  </si>
  <si>
    <t>$ / USD CCL</t>
  </si>
  <si>
    <t>$ / USD  a 12 meses</t>
  </si>
  <si>
    <t>Índice de precios al consumidor de USA</t>
  </si>
  <si>
    <t>Federal Reserve Board</t>
  </si>
  <si>
    <t>Agrofy  News</t>
  </si>
  <si>
    <t>Ámbito Financiero</t>
  </si>
  <si>
    <t>Rava Bursatil</t>
  </si>
  <si>
    <t>Federal Reserve of St. Louis</t>
  </si>
  <si>
    <t>Nominal dollar indexes</t>
  </si>
  <si>
    <t>Real dollar indexes</t>
  </si>
  <si>
    <t>Tipo de cambio nominal</t>
  </si>
  <si>
    <t>Index for all urban consumers, not seasonally adjusted</t>
  </si>
  <si>
    <t>Broad dollar index</t>
  </si>
  <si>
    <t>Advanced Foreign Economies (AFE)</t>
  </si>
  <si>
    <t>Emerging market economies (EME)</t>
  </si>
  <si>
    <t>Advanced Foreign economies (AFE)</t>
  </si>
  <si>
    <r>
      <t xml:space="preserve">Promedio valor de compra / venta a </t>
    </r>
    <r>
      <rPr>
        <b/>
        <sz val="8"/>
        <rFont val="Arial"/>
        <family val="2"/>
      </rPr>
      <t>fin de cada mes</t>
    </r>
  </si>
  <si>
    <r>
      <rPr>
        <b/>
        <sz val="8"/>
        <rFont val="Arial"/>
        <family val="2"/>
      </rPr>
      <t>Promedio mensual</t>
    </r>
    <r>
      <rPr>
        <sz val="8"/>
        <rFont val="Arial"/>
        <family val="2"/>
      </rPr>
      <t xml:space="preserve"> de valores diarios considerando el promedio entre puntas compradora / vendedora de dólar minorista Banco Nación</t>
    </r>
  </si>
  <si>
    <r>
      <rPr>
        <b/>
        <sz val="8"/>
        <rFont val="Arial"/>
        <family val="2"/>
      </rPr>
      <t>Promedio mensual</t>
    </r>
    <r>
      <rPr>
        <sz val="8"/>
        <rFont val="Arial"/>
        <family val="2"/>
      </rPr>
      <t xml:space="preserve"> de </t>
    </r>
    <r>
      <rPr>
        <b/>
        <sz val="8"/>
        <rFont val="Arial"/>
        <family val="2"/>
      </rPr>
      <t>valores</t>
    </r>
    <r>
      <rPr>
        <sz val="8"/>
        <rFont val="Arial"/>
        <family val="2"/>
      </rPr>
      <t xml:space="preserve"> diarios considerando el promedio entre puntas compradora / vendedora</t>
    </r>
  </si>
  <si>
    <r>
      <rPr>
        <b/>
        <sz val="9.1999999999999993"/>
        <rFont val="Arial"/>
        <family val="2"/>
      </rPr>
      <t>Promedio mensual</t>
    </r>
    <r>
      <rPr>
        <sz val="8"/>
        <rFont val="Arial"/>
        <family val="2"/>
      </rPr>
      <t xml:space="preserve"> de valores diarios de </t>
    </r>
    <r>
      <rPr>
        <b/>
        <sz val="8"/>
        <rFont val="Arial"/>
        <family val="2"/>
      </rPr>
      <t>cierre</t>
    </r>
  </si>
  <si>
    <r>
      <t xml:space="preserve">Tipo de cambio </t>
    </r>
    <r>
      <rPr>
        <b/>
        <sz val="8"/>
        <rFont val="Arial"/>
        <family val="2"/>
      </rPr>
      <t>mediano</t>
    </r>
    <r>
      <rPr>
        <sz val="8"/>
        <rFont val="Arial"/>
        <family val="2"/>
      </rPr>
      <t xml:space="preserve"> nominal  esperado: $/US$: Próx. 12 meses</t>
    </r>
  </si>
  <si>
    <r>
      <t xml:space="preserve">Tipo de cambio </t>
    </r>
    <r>
      <rPr>
        <b/>
        <sz val="8"/>
        <rFont val="Arial"/>
        <family val="2"/>
      </rPr>
      <t>promedio</t>
    </r>
    <r>
      <rPr>
        <sz val="8"/>
        <rFont val="Arial"/>
        <family val="2"/>
      </rPr>
      <t xml:space="preserve"> nominal esperado: $/US$: Próx. 12 meses</t>
    </r>
  </si>
  <si>
    <t>All items</t>
  </si>
  <si>
    <t>All commodities</t>
  </si>
  <si>
    <t>Base Enero 2006=100</t>
  </si>
  <si>
    <t>Base 1982-1984=100</t>
  </si>
  <si>
    <t>Base 1982=100</t>
  </si>
  <si>
    <t>8.9.1</t>
  </si>
  <si>
    <t>8.9.2</t>
  </si>
  <si>
    <t>8.9.3</t>
  </si>
  <si>
    <t>8.9.4</t>
  </si>
  <si>
    <t>8.9.5</t>
  </si>
  <si>
    <t>8.9.6</t>
  </si>
  <si>
    <t>8.9.7</t>
  </si>
  <si>
    <t>8.9.8</t>
  </si>
  <si>
    <t>8.9.9</t>
  </si>
  <si>
    <t>8.9.10</t>
  </si>
  <si>
    <t>8.9.11</t>
  </si>
  <si>
    <t>8.9.12</t>
  </si>
  <si>
    <t>8.9.13</t>
  </si>
  <si>
    <t>8.9.14</t>
  </si>
  <si>
    <t>8.9.15</t>
  </si>
  <si>
    <t>Expectativas de Inflación para los próximos 12 meses</t>
  </si>
  <si>
    <t>Mediana nacional</t>
  </si>
  <si>
    <t>Promedio nacional</t>
  </si>
  <si>
    <t>Mediana interior</t>
  </si>
  <si>
    <t>Promedio interior</t>
  </si>
  <si>
    <t xml:space="preserve">Mediana </t>
  </si>
  <si>
    <t xml:space="preserve">Promedio </t>
  </si>
  <si>
    <t>8.10.1</t>
  </si>
  <si>
    <t>8.10.2</t>
  </si>
  <si>
    <t>8.10.3</t>
  </si>
  <si>
    <t>8.10.4</t>
  </si>
  <si>
    <t>8.10.5</t>
  </si>
  <si>
    <t>8.10.6</t>
  </si>
  <si>
    <t>Circulación neta pagada (ventas) del Diario El Litoral</t>
  </si>
  <si>
    <t>Circulación neta pagada (ventas) del Diario Uno de Santa Fe</t>
  </si>
  <si>
    <t>Circulación neta pagada (ventas) del Diario La Capital</t>
  </si>
  <si>
    <t>Instituto Verificador de Circulares (IVC)</t>
  </si>
  <si>
    <t>Circulación total de lunes a domingos</t>
  </si>
  <si>
    <t>Circulación total de los domingos</t>
  </si>
  <si>
    <t>Circulación total del mes</t>
  </si>
  <si>
    <t>Circulación total total del mes</t>
  </si>
  <si>
    <t>Nº de ejemplares</t>
  </si>
  <si>
    <t>9.1.1</t>
  </si>
  <si>
    <t>9.1.2</t>
  </si>
  <si>
    <t>9.1.3</t>
  </si>
  <si>
    <t>9.1.4</t>
  </si>
  <si>
    <t>9.1.5</t>
  </si>
  <si>
    <t>9.1.6</t>
  </si>
  <si>
    <t>9.1.7</t>
  </si>
  <si>
    <t>9.1.8</t>
  </si>
  <si>
    <t>9.1.9</t>
  </si>
  <si>
    <t>SFE-DLIT</t>
  </si>
  <si>
    <t>SFE-DLCA</t>
  </si>
  <si>
    <t>no se edita más</t>
  </si>
  <si>
    <t>Número total de empleadores afiliados en Argentina</t>
  </si>
  <si>
    <t>Número total de empleadores afiliados en la provincia de Santa Fe</t>
  </si>
  <si>
    <t>Empleadores asegurados con trabajadores en unidades productivas según sector económico - Provincia de Santa Fe</t>
  </si>
  <si>
    <t>Nº de empresas con empleados registrados</t>
  </si>
  <si>
    <t xml:space="preserve">Ministerio de Capital Humano - Secretaría de Trabajo, Empleo y Seguridad Social de la Nación </t>
  </si>
  <si>
    <t>Ministerio de Trabajo y Seguridad Social en base a SIJP</t>
  </si>
  <si>
    <t>Total de empleadores afiliados</t>
  </si>
  <si>
    <t>Empleadores asegurados sólo con trabajadores de casas particulares</t>
  </si>
  <si>
    <t>Empleadores asegurados con trabajadores en unidades productivas</t>
  </si>
  <si>
    <t xml:space="preserve">Agricultura </t>
  </si>
  <si>
    <t xml:space="preserve">Mineria </t>
  </si>
  <si>
    <t xml:space="preserve">Manufacturas </t>
  </si>
  <si>
    <t xml:space="preserve">Electricidad </t>
  </si>
  <si>
    <t xml:space="preserve">Construcción </t>
  </si>
  <si>
    <t xml:space="preserve">Comercio </t>
  </si>
  <si>
    <t xml:space="preserve">Transporte </t>
  </si>
  <si>
    <t xml:space="preserve">Servicios financieros </t>
  </si>
  <si>
    <t xml:space="preserve">Servicios sociales </t>
  </si>
  <si>
    <t xml:space="preserve">Sin clasificar </t>
  </si>
  <si>
    <t>Aglomerado 
Gran Santa Fe</t>
  </si>
  <si>
    <t>Aglomerado 
Gran Rosario</t>
  </si>
  <si>
    <t>N° de empresas</t>
  </si>
  <si>
    <t>Empresas sector privado</t>
  </si>
  <si>
    <t>9.2.1</t>
  </si>
  <si>
    <t>9.2.2</t>
  </si>
  <si>
    <t>9.2.3</t>
  </si>
  <si>
    <t>9.2.4</t>
  </si>
  <si>
    <t>9.2.5</t>
  </si>
  <si>
    <t>9.2.6</t>
  </si>
  <si>
    <t>9.2.7</t>
  </si>
  <si>
    <t>9.2.8</t>
  </si>
  <si>
    <t>9.2.9</t>
  </si>
  <si>
    <t>9.2.10</t>
  </si>
  <si>
    <t>9.2.11</t>
  </si>
  <si>
    <t>9.2.12</t>
  </si>
  <si>
    <t>9.2.13</t>
  </si>
  <si>
    <t>9.2.14</t>
  </si>
  <si>
    <t>9.2.15</t>
  </si>
  <si>
    <t>9.2.16</t>
  </si>
  <si>
    <t>9.2.17</t>
  </si>
  <si>
    <t>9.2.18</t>
  </si>
  <si>
    <t>9.2.19</t>
  </si>
  <si>
    <t>Planta de personal ocupado del sector público provincial</t>
  </si>
  <si>
    <t>Planta ocupada</t>
  </si>
  <si>
    <t>Planta permanente</t>
  </si>
  <si>
    <t>Planta no permanente</t>
  </si>
  <si>
    <t xml:space="preserve"> Dirección General de Recursos Humanos y Función Pública - Ministerio de Economía</t>
  </si>
  <si>
    <t>8.11. Índice de costo de la construcción y costo por metro cuadrado</t>
  </si>
  <si>
    <t>Índice de Costo de la Construcción (ICC)</t>
  </si>
  <si>
    <t>Instituto Provincial de Estadística y Censos (IPEC)</t>
  </si>
  <si>
    <t>ICC- Nivel general</t>
  </si>
  <si>
    <t>Materiales</t>
  </si>
  <si>
    <t>Mano de obra</t>
  </si>
  <si>
    <t>Gastos generales</t>
  </si>
  <si>
    <t>Gran Buenos Aires</t>
  </si>
  <si>
    <t>Aglomerado Gran Santa Fe</t>
  </si>
  <si>
    <t>Aglomerado Gran Rosario</t>
  </si>
  <si>
    <t>Índice Base 2022.01=100</t>
  </si>
  <si>
    <t>8.11.1</t>
  </si>
  <si>
    <t>8.11.2</t>
  </si>
  <si>
    <t>8.11.3</t>
  </si>
  <si>
    <t>8.11.4</t>
  </si>
  <si>
    <t>8.11.5</t>
  </si>
  <si>
    <t>8.11.6</t>
  </si>
  <si>
    <t>8.11.7</t>
  </si>
  <si>
    <t>8.11.8</t>
  </si>
  <si>
    <t>8.11.9</t>
  </si>
  <si>
    <t>8.11.10</t>
  </si>
  <si>
    <t>8.11.11</t>
  </si>
  <si>
    <t>8.11.12</t>
  </si>
  <si>
    <t>Costo de la Construcción (CC)</t>
  </si>
  <si>
    <t>Pesos corrientes por metro cuadrado</t>
  </si>
  <si>
    <t>Remuneración de los asalariados registrados del sector privado. Total país.</t>
  </si>
  <si>
    <t>Trabajadores registrados según modalidad ocupacional principal. Serie bruta. Total país.</t>
  </si>
  <si>
    <t>Jubilaciones y pensiones por tipo de prestación. Total país.</t>
  </si>
  <si>
    <t>Observatorio de Empleo y Dinámica Empresarial (OEDE)</t>
  </si>
  <si>
    <t>Numero de empleados. Serie con estacionalidad.</t>
  </si>
  <si>
    <t>Remuneración bruta promedio en Argentina</t>
  </si>
  <si>
    <t>Salarios formales promedios vinculados a SIPA</t>
  </si>
  <si>
    <t>Última actualización:  13/06/2025</t>
  </si>
  <si>
    <t>Próxima fecha de publicación: 04/07/2025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</si>
</sst>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4" formatCode="_-&quot;$&quot;\ * #,##0.00_-;\-&quot;$&quot;\ * #,##0.00_-;_-&quot;$&quot;\ * &quot;-&quot;??_-;_-@_-"/>
    <numFmt numFmtId="43" formatCode="_-* #,##0.00_-;\-* #,##0.00_-;_-* &quot;-&quot;??_-;_-@_-"/>
    <numFmt numFmtId="164" formatCode="_-* #,##0.00\ &quot;€&quot;_-;\-* #,##0.00\ &quot;€&quot;_-;_-* &quot;-&quot;??\ &quot;€&quot;_-;_-@_-"/>
    <numFmt numFmtId="165" formatCode="_ &quot;$&quot;\ * #,##0_ ;_ &quot;$&quot;\ * \-#,##0_ ;_ &quot;$&quot;\ * &quot;-&quot;_ ;_ @_ "/>
    <numFmt numFmtId="166" formatCode="_ &quot;$&quot;\ * #,##0.00_ ;_ &quot;$&quot;\ * \-#,##0.00_ ;_ &quot;$&quot;\ * &quot;-&quot;??_ ;_ @_ "/>
    <numFmt numFmtId="167" formatCode="_ * #,##0.00_ ;_ * \-#,##0.00_ ;_ * &quot;-&quot;??_ ;_ @_ "/>
    <numFmt numFmtId="168" formatCode="_(* #,##0.00_);_(* \(#,##0.00\);_(* &quot;-&quot;??_);_(@_)"/>
    <numFmt numFmtId="169" formatCode="_-* #,##0.00\ _€_-;\-* #,##0.00\ _€_-;_-* &quot;-&quot;??\ _€_-;_-@_-"/>
    <numFmt numFmtId="170" formatCode="#,##0_);[Red]\-#,##0_)"/>
    <numFmt numFmtId="171" formatCode="#,##0.0_);[Red]\-#,##0.0_)"/>
    <numFmt numFmtId="172" formatCode="#,##0.00_);[Red]\-#,##0.00_)"/>
    <numFmt numFmtId="173" formatCode="0.00_);[Red]\-0.00_)"/>
    <numFmt numFmtId="174" formatCode="#,##0.000_);[Red]\-#,##0.000_)"/>
    <numFmt numFmtId="175" formatCode="#,##0_)"/>
    <numFmt numFmtId="176" formatCode="0.000"/>
    <numFmt numFmtId="177" formatCode="#,##0.00_)"/>
    <numFmt numFmtId="178" formatCode="0.00%_);[Red]\-0.00%_)"/>
    <numFmt numFmtId="179" formatCode="0.0%"/>
    <numFmt numFmtId="180" formatCode="0.0%_);[Red]\-0.0%_)"/>
    <numFmt numFmtId="181" formatCode="#,##0.0_)"/>
    <numFmt numFmtId="182" formatCode="0.0000"/>
    <numFmt numFmtId="183" formatCode="#,##0.000"/>
    <numFmt numFmtId="184" formatCode="#,##0.0"/>
    <numFmt numFmtId="185" formatCode="0.0"/>
    <numFmt numFmtId="186" formatCode="0.00000"/>
    <numFmt numFmtId="187" formatCode="General_)"/>
    <numFmt numFmtId="188" formatCode="_ [$€-2]\ * #,##0.00_ ;_ [$€-2]\ * \-#,##0.00_ ;_ [$€-2]\ * &quot;-&quot;??_ "/>
    <numFmt numFmtId="189" formatCode="0.0_)"/>
    <numFmt numFmtId="190" formatCode="#.00"/>
    <numFmt numFmtId="191" formatCode="\$#.00"/>
    <numFmt numFmtId="192" formatCode="#,"/>
    <numFmt numFmtId="193" formatCode="0.0000000%"/>
    <numFmt numFmtId="194" formatCode="_-* #,##0.00\ [$€]_-;\-* #,##0.00\ [$€]_-;_-* &quot;-&quot;??\ [$€]_-;_-@_-"/>
    <numFmt numFmtId="195" formatCode="_ * #,##0.0_ ;_ * \-#,##0.0_ ;_ * &quot;-&quot;??_ ;_ @_ "/>
    <numFmt numFmtId="196" formatCode="_ * #,##0_ ;_ * \-#,##0_ ;_ * &quot;-&quot;??_ ;_ @_ "/>
    <numFmt numFmtId="197" formatCode="#,000,000"/>
    <numFmt numFmtId="198" formatCode="0.0_);[Red]\-0.0_)"/>
    <numFmt numFmtId="199" formatCode="#,##0.0_ ;[Red]\-#,##0.0\ "/>
    <numFmt numFmtId="200" formatCode="#.##000"/>
    <numFmt numFmtId="201" formatCode="\$#,#00"/>
    <numFmt numFmtId="202" formatCode="#,#00"/>
    <numFmt numFmtId="203" formatCode="#.##0,"/>
    <numFmt numFmtId="204" formatCode="\$#,"/>
    <numFmt numFmtId="205" formatCode="0.00000000000000%"/>
    <numFmt numFmtId="206" formatCode="&quot;$&quot;\ #,##0.00_);[Red]\(&quot;$&quot;\ #,##0.00\)"/>
    <numFmt numFmtId="207" formatCode="_-* #,##0.00\ _P_t_s_-;\-* #,##0.00\ _P_t_s_-;_-* &quot;-&quot;??\ _P_t_s_-;_-@_-"/>
    <numFmt numFmtId="208" formatCode="0.0\ \ "/>
    <numFmt numFmtId="209" formatCode="0.00_ ;[Red]\-0.00\ "/>
    <numFmt numFmtId="210" formatCode="##.###.###.##00"/>
    <numFmt numFmtId="211" formatCode="0.0000%"/>
    <numFmt numFmtId="212" formatCode="#,##0_ ;[Red]\-#,##0\ "/>
    <numFmt numFmtId="213" formatCode="#,##0.0000_);[Red]\-#,##0.0000_)"/>
    <numFmt numFmtId="214" formatCode="#,##0.0000_ ;[Red]\-#,##0.0000\ "/>
    <numFmt numFmtId="215" formatCode="0.000000000000000%"/>
    <numFmt numFmtId="216" formatCode="_-* #,##0_-;\-* #,##0_-;_-* &quot;-&quot;??_-;_-@_-"/>
    <numFmt numFmtId="217" formatCode="_(* #,##0_);_(* \(#,##0\);_(* &quot;-&quot;??_);_(@_)"/>
    <numFmt numFmtId="218" formatCode="0.000_);[Red]\-0.000_)"/>
    <numFmt numFmtId="219" formatCode="_-* #,##0.0_-;\-* #,##0.0_-;_-* &quot;-&quot;??_-;_-@_-"/>
    <numFmt numFmtId="220" formatCode="#."/>
    <numFmt numFmtId="221" formatCode="_ [$€]\ * #,##0.00_ ;_ [$€]\ * \-#,##0.00_ ;_ [$€]\ * &quot;-&quot;??_ ;_ @_ "/>
    <numFmt numFmtId="222" formatCode="_-[$€]* #,##0.00_-;\-[$€]* #,##0.00_-;_-[$€]* &quot;-&quot;??_-;_-@_-"/>
  </numFmts>
  <fonts count="3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Univers"/>
      <family val="2"/>
    </font>
    <font>
      <sz val="8"/>
      <name val="Univers"/>
      <family val="2"/>
    </font>
    <font>
      <sz val="10"/>
      <name val="MS Sans Serif"/>
    </font>
    <font>
      <sz val="10"/>
      <name val="Courier"/>
    </font>
    <font>
      <sz val="10"/>
      <name val="Verdana"/>
      <family val="2"/>
    </font>
    <font>
      <b/>
      <sz val="10"/>
      <color indexed="9"/>
      <name val="Arial"/>
      <family val="2"/>
    </font>
    <font>
      <sz val="10"/>
      <color indexed="10"/>
      <name val="Arial"/>
      <family val="2"/>
    </font>
    <font>
      <b/>
      <sz val="8"/>
      <color indexed="81"/>
      <name val="Tahoma"/>
      <family val="2"/>
    </font>
    <font>
      <sz val="8"/>
      <color indexed="81"/>
      <name val="Tahoma"/>
      <family val="2"/>
    </font>
    <font>
      <sz val="8"/>
      <color indexed="9"/>
      <name val="Arial"/>
      <family val="2"/>
    </font>
    <font>
      <b/>
      <sz val="8"/>
      <name val="Arial"/>
      <family val="2"/>
    </font>
    <font>
      <b/>
      <sz val="8"/>
      <color indexed="16"/>
      <name val="Arial"/>
      <family val="2"/>
    </font>
    <font>
      <b/>
      <i/>
      <sz val="8"/>
      <name val="Arial"/>
      <family val="2"/>
    </font>
    <font>
      <b/>
      <sz val="8"/>
      <color indexed="10"/>
      <name val="Arial"/>
      <family val="2"/>
    </font>
    <font>
      <sz val="8"/>
      <name val="Arial"/>
      <family val="2"/>
    </font>
    <font>
      <b/>
      <sz val="8"/>
      <color indexed="12"/>
      <name val="Arial"/>
      <family val="2"/>
    </font>
    <font>
      <b/>
      <sz val="8"/>
      <color indexed="8"/>
      <name val="Arial"/>
      <family val="2"/>
    </font>
    <font>
      <sz val="8"/>
      <color indexed="12"/>
      <name val="Arial"/>
      <family val="2"/>
    </font>
    <font>
      <b/>
      <i/>
      <sz val="8"/>
      <color indexed="9"/>
      <name val="Arial"/>
      <family val="2"/>
    </font>
    <font>
      <b/>
      <sz val="8"/>
      <color indexed="20"/>
      <name val="Arial"/>
      <family val="2"/>
    </font>
    <font>
      <b/>
      <i/>
      <sz val="8"/>
      <color indexed="20"/>
      <name val="Arial"/>
      <family val="2"/>
    </font>
    <font>
      <sz val="9"/>
      <name val="Arial"/>
      <family val="2"/>
    </font>
    <font>
      <sz val="8"/>
      <color indexed="1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i/>
      <sz val="8"/>
      <color indexed="9"/>
      <name val="Arial"/>
      <family val="2"/>
    </font>
    <font>
      <b/>
      <sz val="8"/>
      <color indexed="9"/>
      <name val="Arial"/>
      <family val="2"/>
    </font>
    <font>
      <sz val="8"/>
      <color indexed="22"/>
      <name val="Arial"/>
      <family val="2"/>
    </font>
    <font>
      <b/>
      <sz val="8"/>
      <color indexed="41"/>
      <name val="Arial"/>
      <family val="2"/>
    </font>
    <font>
      <vertAlign val="superscript"/>
      <sz val="8"/>
      <name val="Arial"/>
      <family val="2"/>
    </font>
    <font>
      <b/>
      <u/>
      <sz val="8"/>
      <color indexed="12"/>
      <name val="Arial"/>
      <family val="2"/>
    </font>
    <font>
      <i/>
      <sz val="8"/>
      <name val="Arial"/>
      <family val="2"/>
    </font>
    <font>
      <u/>
      <sz val="8"/>
      <name val="Arial"/>
      <family val="2"/>
    </font>
    <font>
      <sz val="8"/>
      <color indexed="8"/>
      <name val="Arial"/>
      <family val="2"/>
    </font>
    <font>
      <b/>
      <sz val="8"/>
      <color indexed="56"/>
      <name val="Arial"/>
      <family val="2"/>
    </font>
    <font>
      <b/>
      <sz val="11"/>
      <name val="Arial"/>
      <family val="2"/>
    </font>
    <font>
      <sz val="8"/>
      <color indexed="55"/>
      <name val="Arial"/>
      <family val="2"/>
    </font>
    <font>
      <b/>
      <u/>
      <sz val="8"/>
      <color indexed="9"/>
      <name val="Arial"/>
      <family val="2"/>
    </font>
    <font>
      <sz val="8"/>
      <color indexed="53"/>
      <name val="Arial"/>
      <family val="2"/>
    </font>
    <font>
      <sz val="8"/>
      <color indexed="56"/>
      <name val="Arial"/>
      <family val="2"/>
    </font>
    <font>
      <sz val="8"/>
      <color indexed="41"/>
      <name val="Arial"/>
      <family val="2"/>
    </font>
    <font>
      <u/>
      <sz val="8"/>
      <color indexed="12"/>
      <name val="Arial"/>
      <family val="2"/>
    </font>
    <font>
      <sz val="10"/>
      <color indexed="12"/>
      <name val="Arial"/>
      <family val="2"/>
    </font>
    <font>
      <b/>
      <sz val="10"/>
      <color indexed="10"/>
      <name val="Arial"/>
      <family val="2"/>
    </font>
    <font>
      <b/>
      <sz val="7"/>
      <color indexed="8"/>
      <name val="Verdana"/>
      <family val="2"/>
    </font>
    <font>
      <sz val="7"/>
      <name val="Arial"/>
      <family val="2"/>
    </font>
    <font>
      <sz val="12"/>
      <name val="Courier"/>
      <family val="3"/>
    </font>
    <font>
      <sz val="1"/>
      <color indexed="8"/>
      <name val="Courier"/>
      <family val="3"/>
    </font>
    <font>
      <i/>
      <sz val="1"/>
      <color indexed="8"/>
      <name val="Courier"/>
      <family val="3"/>
    </font>
    <font>
      <b/>
      <sz val="8"/>
      <color theme="0"/>
      <name val="Arial"/>
      <family val="2"/>
    </font>
    <font>
      <b/>
      <sz val="9"/>
      <color indexed="81"/>
      <name val="Tahoma"/>
      <family val="2"/>
    </font>
    <font>
      <sz val="8"/>
      <color rgb="FF002060"/>
      <name val="Arial"/>
      <family val="2"/>
    </font>
    <font>
      <b/>
      <sz val="8"/>
      <color theme="4" tint="-0.249977111117893"/>
      <name val="Arial"/>
      <family val="2"/>
    </font>
    <font>
      <b/>
      <sz val="8"/>
      <color theme="4"/>
      <name val="Arial"/>
      <family val="2"/>
    </font>
    <font>
      <sz val="9"/>
      <color indexed="81"/>
      <name val="Tahoma"/>
      <family val="2"/>
    </font>
    <font>
      <b/>
      <sz val="11"/>
      <color rgb="FF002060"/>
      <name val="Arial"/>
      <family val="2"/>
    </font>
    <font>
      <b/>
      <sz val="10"/>
      <color rgb="FF002060"/>
      <name val="Arial"/>
      <family val="2"/>
    </font>
    <font>
      <b/>
      <sz val="8"/>
      <color rgb="FF0070C0"/>
      <name val="Arial"/>
      <family val="2"/>
    </font>
    <font>
      <sz val="8"/>
      <color theme="1"/>
      <name val="Arial"/>
      <family val="2"/>
    </font>
    <font>
      <b/>
      <sz val="8"/>
      <color rgb="FF002060"/>
      <name val="Arial"/>
      <family val="2"/>
    </font>
    <font>
      <u/>
      <sz val="8"/>
      <color rgb="FF002060"/>
      <name val="Arial"/>
      <family val="2"/>
    </font>
    <font>
      <b/>
      <sz val="10"/>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b/>
      <sz val="8"/>
      <color rgb="FF00B0F0"/>
      <name val="Arial"/>
      <family val="2"/>
    </font>
    <font>
      <sz val="10"/>
      <name val="Times New Roman"/>
      <family val="1"/>
    </font>
    <font>
      <sz val="11"/>
      <color indexed="81"/>
      <name val="Tahoma"/>
      <family val="2"/>
    </font>
    <font>
      <sz val="10"/>
      <color rgb="FFFF0000"/>
      <name val="Arial"/>
      <family val="2"/>
    </font>
    <font>
      <sz val="10"/>
      <name val="Arial"/>
      <family val="2"/>
    </font>
    <font>
      <sz val="8"/>
      <color theme="0"/>
      <name val="Arial"/>
      <family val="2"/>
    </font>
    <font>
      <sz val="8"/>
      <color rgb="FFFF0000"/>
      <name val="Arial"/>
      <family val="2"/>
    </font>
    <font>
      <sz val="10"/>
      <name val="Arial"/>
      <family val="2"/>
    </font>
    <font>
      <sz val="12"/>
      <name val="Helv"/>
    </font>
    <font>
      <sz val="8"/>
      <color theme="0" tint="-0.249977111117893"/>
      <name val="Arial"/>
      <family val="2"/>
    </font>
    <font>
      <u/>
      <sz val="8"/>
      <color theme="0" tint="-0.249977111117893"/>
      <name val="Arial"/>
      <family val="2"/>
    </font>
    <font>
      <sz val="9"/>
      <name val="Calibri"/>
      <family val="2"/>
    </font>
    <font>
      <u/>
      <sz val="9"/>
      <name val="Calibri"/>
      <family val="2"/>
    </font>
    <font>
      <b/>
      <u/>
      <sz val="9"/>
      <color indexed="81"/>
      <name val="Tahoma"/>
      <family val="2"/>
    </font>
    <font>
      <b/>
      <u/>
      <sz val="8"/>
      <color theme="0"/>
      <name val="Arial"/>
      <family val="2"/>
    </font>
    <font>
      <u/>
      <sz val="9"/>
      <color indexed="81"/>
      <name val="Tahoma"/>
      <family val="2"/>
    </font>
    <font>
      <b/>
      <u/>
      <sz val="9"/>
      <color theme="0"/>
      <name val="Calibri"/>
      <family val="2"/>
    </font>
    <font>
      <sz val="10"/>
      <name val="Arial"/>
      <family val="2"/>
    </font>
    <font>
      <b/>
      <sz val="10"/>
      <name val="Times New Roman"/>
      <family val="1"/>
    </font>
    <font>
      <sz val="10"/>
      <name val="Arial"/>
      <family val="2"/>
    </font>
    <font>
      <sz val="10"/>
      <color theme="0"/>
      <name val="Arial"/>
      <family val="2"/>
    </font>
    <font>
      <b/>
      <sz val="8"/>
      <color theme="1"/>
      <name val="Arial"/>
      <family val="2"/>
    </font>
    <font>
      <b/>
      <sz val="8"/>
      <color rgb="FFFF0000"/>
      <name val="Arial"/>
      <family val="2"/>
    </font>
    <font>
      <b/>
      <sz val="11"/>
      <name val="Calibri"/>
      <family val="2"/>
      <scheme val="minor"/>
    </font>
    <font>
      <sz val="8"/>
      <color theme="1"/>
      <name val="Calibri"/>
      <family val="2"/>
      <scheme val="minor"/>
    </font>
    <font>
      <sz val="8"/>
      <color theme="4" tint="-0.249977111117893"/>
      <name val="Arial"/>
      <family val="2"/>
    </font>
    <font>
      <sz val="10"/>
      <color theme="1"/>
      <name val="Arial"/>
      <family val="2"/>
    </font>
    <font>
      <b/>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8"/>
      <color rgb="FF543904"/>
      <name val="Arial"/>
      <family val="2"/>
    </font>
    <font>
      <b/>
      <u/>
      <sz val="8"/>
      <color theme="8" tint="0.39997558519241921"/>
      <name val="Arial"/>
      <family val="2"/>
    </font>
    <font>
      <u/>
      <sz val="8"/>
      <color theme="1"/>
      <name val="Arial"/>
      <family val="2"/>
    </font>
    <font>
      <u/>
      <sz val="8"/>
      <color theme="8" tint="-0.499984740745262"/>
      <name val="Arial"/>
      <family val="2"/>
    </font>
    <font>
      <b/>
      <sz val="8"/>
      <color theme="8" tint="0.39997558519241921"/>
      <name val="Arial"/>
      <family val="2"/>
    </font>
    <font>
      <b/>
      <sz val="8"/>
      <color theme="1"/>
      <name val="Calibri"/>
      <family val="2"/>
      <scheme val="minor"/>
    </font>
    <font>
      <sz val="10"/>
      <color rgb="FF000000"/>
      <name val="Calibri"/>
      <family val="2"/>
      <charset val="1"/>
    </font>
    <font>
      <sz val="12"/>
      <name val="Arial"/>
      <family val="2"/>
    </font>
    <font>
      <u/>
      <sz val="10.45"/>
      <color indexed="12"/>
      <name val="Arial"/>
      <family val="2"/>
    </font>
    <font>
      <b/>
      <sz val="8"/>
      <color theme="8"/>
      <name val="Arial"/>
      <family val="2"/>
    </font>
    <font>
      <sz val="8"/>
      <color theme="8"/>
      <name val="Arial"/>
      <family val="2"/>
    </font>
    <font>
      <u/>
      <sz val="9"/>
      <color indexed="12"/>
      <name val="Arial"/>
      <family val="2"/>
    </font>
    <font>
      <sz val="10"/>
      <name val="Arial"/>
      <family val="2"/>
    </font>
    <font>
      <sz val="10"/>
      <name val="Arial"/>
      <family val="2"/>
    </font>
    <font>
      <sz val="10"/>
      <name val="Arial"/>
      <family val="2"/>
    </font>
    <font>
      <u/>
      <sz val="10"/>
      <color theme="10"/>
      <name val="Arial"/>
      <family val="2"/>
    </font>
    <font>
      <u/>
      <sz val="11"/>
      <color theme="10"/>
      <name val="Calibri"/>
      <family val="2"/>
      <scheme val="minor"/>
    </font>
    <font>
      <b/>
      <sz val="7"/>
      <color indexed="10"/>
      <name val="Arial"/>
      <family val="2"/>
    </font>
    <font>
      <b/>
      <sz val="7"/>
      <color theme="0"/>
      <name val="Arial"/>
      <family val="2"/>
    </font>
    <font>
      <sz val="8"/>
      <color theme="7" tint="-0.499984740745262"/>
      <name val="Arial"/>
      <family val="2"/>
    </font>
    <font>
      <sz val="7"/>
      <color indexed="81"/>
      <name val="Tahoma"/>
      <family val="2"/>
    </font>
    <font>
      <i/>
      <sz val="8"/>
      <color rgb="FFFFFFFF"/>
      <name val="Inherit"/>
    </font>
    <font>
      <b/>
      <sz val="12"/>
      <name val="Arial"/>
      <family val="2"/>
    </font>
    <font>
      <b/>
      <sz val="7"/>
      <color indexed="56"/>
      <name val="Arial"/>
      <family val="2"/>
    </font>
    <font>
      <sz val="7"/>
      <color rgb="FF002060"/>
      <name val="Arial"/>
      <family val="2"/>
    </font>
    <font>
      <b/>
      <sz val="8"/>
      <color rgb="FF000000"/>
      <name val="Arial"/>
      <family val="2"/>
    </font>
    <font>
      <sz val="8"/>
      <color rgb="FF000000"/>
      <name val="Arial"/>
      <family val="2"/>
    </font>
    <font>
      <b/>
      <sz val="8"/>
      <color rgb="FFFFFFFF"/>
      <name val="Arial"/>
      <family val="2"/>
    </font>
    <font>
      <b/>
      <sz val="8"/>
      <color rgb="FF800080"/>
      <name val="Arial"/>
      <family val="2"/>
    </font>
    <font>
      <b/>
      <i/>
      <sz val="8"/>
      <color rgb="FFFFFFFF"/>
      <name val="Arial"/>
      <family val="2"/>
    </font>
    <font>
      <b/>
      <sz val="8"/>
      <color rgb="FF003366"/>
      <name val="Arial"/>
      <family val="2"/>
    </font>
    <font>
      <sz val="12"/>
      <name val="Arial"/>
      <family val="2"/>
    </font>
    <font>
      <sz val="8"/>
      <color rgb="FF0070C0"/>
      <name val="Arial"/>
      <family val="2"/>
    </font>
    <font>
      <b/>
      <u/>
      <sz val="8"/>
      <color rgb="FF00B0F0"/>
      <name val="Arial"/>
      <family val="2"/>
    </font>
    <font>
      <u/>
      <sz val="8"/>
      <color rgb="FF0070C0"/>
      <name val="Arial"/>
      <family val="2"/>
    </font>
    <font>
      <sz val="8"/>
      <color theme="7" tint="-0.249977111117893"/>
      <name val="Arial"/>
      <family val="2"/>
    </font>
    <font>
      <sz val="8"/>
      <color rgb="FF996600"/>
      <name val="Arial"/>
      <family val="2"/>
    </font>
    <font>
      <b/>
      <u/>
      <sz val="8"/>
      <color rgb="FFFF0000"/>
      <name val="Arial"/>
      <family val="2"/>
    </font>
    <font>
      <i/>
      <sz val="8"/>
      <color rgb="FFFF0000"/>
      <name val="Arial"/>
      <family val="2"/>
    </font>
    <font>
      <sz val="8"/>
      <color theme="8" tint="-0.249977111117893"/>
      <name val="Arial"/>
      <family val="2"/>
    </font>
    <font>
      <b/>
      <u/>
      <sz val="8"/>
      <name val="Arial"/>
      <family val="2"/>
    </font>
    <font>
      <b/>
      <sz val="7"/>
      <name val="Arial"/>
      <family val="2"/>
    </font>
    <font>
      <b/>
      <u/>
      <sz val="10"/>
      <color rgb="FFFF0000"/>
      <name val="Arial"/>
      <family val="2"/>
    </font>
    <font>
      <sz val="10"/>
      <name val="Arial"/>
      <family val="2"/>
    </font>
    <font>
      <sz val="11"/>
      <color indexed="9"/>
      <name val="Arial"/>
      <family val="2"/>
    </font>
    <font>
      <sz val="10"/>
      <name val="Arial"/>
      <family val="2"/>
    </font>
    <font>
      <sz val="10"/>
      <name val="Arial"/>
      <family val="2"/>
    </font>
    <font>
      <sz val="8"/>
      <color indexed="20"/>
      <name val="Arial"/>
      <family val="2"/>
    </font>
    <font>
      <sz val="8"/>
      <color indexed="16"/>
      <name val="Arial"/>
      <family val="2"/>
    </font>
    <font>
      <u/>
      <sz val="8"/>
      <color theme="7" tint="-0.249977111117893"/>
      <name val="Arial"/>
      <family val="2"/>
    </font>
    <font>
      <b/>
      <sz val="9.1999999999999993"/>
      <name val="Arial"/>
      <family val="2"/>
    </font>
    <font>
      <u/>
      <sz val="8"/>
      <color theme="8"/>
      <name val="Arial"/>
      <family val="2"/>
    </font>
    <font>
      <sz val="8"/>
      <name val="Arial"/>
      <family val="2"/>
    </font>
    <font>
      <sz val="11"/>
      <color rgb="FF9C5700"/>
      <name val="Calibri"/>
      <family val="2"/>
      <scheme val="minor"/>
    </font>
    <font>
      <sz val="11"/>
      <name val="Calibri"/>
      <family val="2"/>
    </font>
    <font>
      <b/>
      <sz val="18"/>
      <color theme="3"/>
      <name val="Calibri Light"/>
      <family val="2"/>
      <scheme val="major"/>
    </font>
    <font>
      <sz val="9"/>
      <color indexed="8"/>
      <name val="Calibri"/>
      <family val="2"/>
    </font>
    <font>
      <sz val="9"/>
      <color indexed="9"/>
      <name val="Calibri"/>
      <family val="2"/>
    </font>
    <font>
      <sz val="10"/>
      <color theme="0"/>
      <name val="Calibri"/>
      <family val="2"/>
    </font>
    <font>
      <sz val="11"/>
      <color indexed="17"/>
      <name val="Calibri"/>
      <family val="2"/>
    </font>
    <font>
      <sz val="9"/>
      <color indexed="17"/>
      <name val="Calibri"/>
      <family val="2"/>
    </font>
    <font>
      <sz val="10"/>
      <color rgb="FF006100"/>
      <name val="Calibri"/>
      <family val="2"/>
    </font>
    <font>
      <b/>
      <sz val="9"/>
      <color indexed="52"/>
      <name val="Calibri"/>
      <family val="2"/>
    </font>
    <font>
      <b/>
      <sz val="10"/>
      <color rgb="FFFA7D00"/>
      <name val="Calibri"/>
      <family val="2"/>
    </font>
    <font>
      <b/>
      <sz val="9"/>
      <color indexed="9"/>
      <name val="Calibri"/>
      <family val="2"/>
    </font>
    <font>
      <b/>
      <sz val="10"/>
      <color theme="0"/>
      <name val="Calibri"/>
      <family val="2"/>
    </font>
    <font>
      <sz val="9"/>
      <color indexed="52"/>
      <name val="Calibri"/>
      <family val="2"/>
    </font>
    <font>
      <sz val="10"/>
      <color rgb="FFFA7D00"/>
      <name val="Calibri"/>
      <family val="2"/>
    </font>
    <font>
      <sz val="1"/>
      <color indexed="18"/>
      <name val="Courier"/>
      <family val="3"/>
    </font>
    <font>
      <b/>
      <sz val="11"/>
      <color theme="3"/>
      <name val="Calibri"/>
      <family val="2"/>
    </font>
    <font>
      <sz val="9"/>
      <color indexed="62"/>
      <name val="Calibri"/>
      <family val="2"/>
    </font>
    <font>
      <sz val="10"/>
      <color rgb="FF3F3F76"/>
      <name val="Calibri"/>
      <family val="2"/>
    </font>
    <font>
      <sz val="9"/>
      <color indexed="20"/>
      <name val="Calibri"/>
      <family val="2"/>
    </font>
    <font>
      <sz val="10"/>
      <color rgb="FF9C0006"/>
      <name val="Calibri"/>
      <family val="2"/>
    </font>
    <font>
      <sz val="9"/>
      <color indexed="8"/>
      <name val="Cambria"/>
      <family val="2"/>
    </font>
    <font>
      <sz val="9"/>
      <color indexed="60"/>
      <name val="Calibri"/>
      <family val="2"/>
    </font>
    <font>
      <sz val="10"/>
      <color rgb="FF9C6500"/>
      <name val="Calibri"/>
      <family val="2"/>
    </font>
    <font>
      <b/>
      <sz val="9"/>
      <color indexed="63"/>
      <name val="Calibri"/>
      <family val="2"/>
    </font>
    <font>
      <b/>
      <sz val="10"/>
      <color rgb="FF3F3F3F"/>
      <name val="Calibri"/>
      <family val="2"/>
    </font>
    <font>
      <sz val="9"/>
      <color indexed="10"/>
      <name val="Calibri"/>
      <family val="2"/>
    </font>
    <font>
      <sz val="10"/>
      <color rgb="FFFF0000"/>
      <name val="Calibri"/>
      <family val="2"/>
    </font>
    <font>
      <i/>
      <sz val="9"/>
      <color indexed="23"/>
      <name val="Calibri"/>
      <family val="2"/>
    </font>
    <font>
      <i/>
      <sz val="10"/>
      <color rgb="FF7F7F7F"/>
      <name val="Calibri"/>
      <family val="2"/>
    </font>
    <font>
      <b/>
      <sz val="15"/>
      <color theme="3"/>
      <name val="Calibri"/>
      <family val="2"/>
    </font>
    <font>
      <b/>
      <sz val="13"/>
      <color theme="3"/>
      <name val="Calibri"/>
      <family val="2"/>
    </font>
    <font>
      <b/>
      <sz val="9"/>
      <color indexed="8"/>
      <name val="Calibri"/>
      <family val="2"/>
    </font>
    <font>
      <b/>
      <sz val="10"/>
      <color theme="1"/>
      <name val="Calibri"/>
      <family val="2"/>
    </font>
    <font>
      <u/>
      <sz val="10"/>
      <name val="Arial"/>
      <family val="2"/>
    </font>
    <font>
      <u/>
      <sz val="8"/>
      <color rgb="FF996600"/>
      <name val="Arial"/>
      <family val="2"/>
    </font>
    <font>
      <sz val="10"/>
      <color indexed="8"/>
      <name val="Calibri"/>
      <family val="2"/>
    </font>
    <font>
      <sz val="10"/>
      <color indexed="9"/>
      <name val="Calibri"/>
      <family val="2"/>
    </font>
    <font>
      <b/>
      <sz val="11"/>
      <color indexed="54"/>
      <name val="Calibri"/>
      <family val="2"/>
    </font>
    <font>
      <sz val="10"/>
      <color indexed="60"/>
      <name val="Calibri"/>
      <family val="2"/>
    </font>
    <font>
      <sz val="18"/>
      <color indexed="54"/>
      <name val="Calibri Light"/>
      <family val="2"/>
    </font>
    <font>
      <b/>
      <sz val="13"/>
      <color indexed="54"/>
      <name val="Calibri"/>
      <family val="2"/>
    </font>
    <font>
      <b/>
      <sz val="18"/>
      <color indexed="54"/>
      <name val="Calibri Light"/>
      <family val="2"/>
    </font>
    <font>
      <b/>
      <sz val="10"/>
      <color indexed="8"/>
      <name val="Calibri"/>
      <family val="2"/>
    </font>
    <font>
      <sz val="12"/>
      <name val="Monaco"/>
      <family val="3"/>
    </font>
    <font>
      <sz val="8.5"/>
      <name val="Arial"/>
      <family val="2"/>
    </font>
    <font>
      <sz val="12"/>
      <name val="Monaco"/>
    </font>
  </fonts>
  <fills count="79">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8"/>
        <bgColor indexed="64"/>
      </patternFill>
    </fill>
    <fill>
      <patternFill patternType="solid">
        <fgColor indexed="22"/>
        <bgColor indexed="64"/>
      </patternFill>
    </fill>
    <fill>
      <patternFill patternType="solid">
        <fgColor indexed="9"/>
        <bgColor indexed="26"/>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theme="2" tint="-9.9978637043366805E-2"/>
        <bgColor indexed="64"/>
      </patternFill>
    </fill>
    <fill>
      <patternFill patternType="solid">
        <fgColor rgb="FF00336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4"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000000"/>
        <bgColor rgb="FF000000"/>
      </patternFill>
    </fill>
    <fill>
      <patternFill patternType="solid">
        <fgColor rgb="FF003366"/>
        <bgColor rgb="FF000000"/>
      </patternFill>
    </fill>
    <fill>
      <patternFill patternType="solid">
        <fgColor rgb="FFFFFF00"/>
        <bgColor indexed="64"/>
      </patternFill>
    </fill>
    <fill>
      <patternFill patternType="solid">
        <fgColor theme="6" tint="0.59999389629810485"/>
        <bgColor indexed="64"/>
      </patternFill>
    </fill>
    <fill>
      <patternFill patternType="solid">
        <fgColor indexed="65"/>
        <bgColor indexed="64"/>
      </patternFill>
    </fill>
  </fills>
  <borders count="197">
    <border>
      <left/>
      <right/>
      <top/>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style="dotted">
        <color indexed="56"/>
      </left>
      <right style="thin">
        <color indexed="64"/>
      </right>
      <top style="thin">
        <color indexed="64"/>
      </top>
      <bottom style="thin">
        <color indexed="64"/>
      </bottom>
      <diagonal/>
    </border>
    <border>
      <left/>
      <right/>
      <top style="medium">
        <color indexed="64"/>
      </top>
      <bottom/>
      <diagonal/>
    </border>
    <border>
      <left style="thin">
        <color theme="0"/>
      </left>
      <right style="thin">
        <color theme="0"/>
      </right>
      <top/>
      <bottom/>
      <diagonal/>
    </border>
    <border>
      <left style="thin">
        <color theme="0"/>
      </left>
      <right style="thin">
        <color indexed="64"/>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thin">
        <color indexed="64"/>
      </right>
      <top style="thin">
        <color indexed="64"/>
      </top>
      <bottom style="thin">
        <color indexed="64"/>
      </bottom>
      <diagonal/>
    </border>
    <border>
      <left style="thin">
        <color theme="0"/>
      </left>
      <right/>
      <top/>
      <bottom/>
      <diagonal/>
    </border>
    <border>
      <left style="thin">
        <color theme="0"/>
      </left>
      <right style="thin">
        <color indexed="64"/>
      </right>
      <top style="medium">
        <color indexed="64"/>
      </top>
      <bottom/>
      <diagonal/>
    </border>
    <border>
      <left style="thin">
        <color indexed="64"/>
      </left>
      <right style="thin">
        <color theme="0"/>
      </right>
      <top style="medium">
        <color indexed="64"/>
      </top>
      <bottom/>
      <diagonal/>
    </border>
    <border>
      <left style="dotted">
        <color theme="0"/>
      </left>
      <right style="medium">
        <color indexed="64"/>
      </right>
      <top/>
      <bottom/>
      <diagonal/>
    </border>
    <border>
      <left style="thin">
        <color theme="0"/>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style="thin">
        <color indexed="64"/>
      </right>
      <top/>
      <bottom/>
      <diagonal/>
    </border>
    <border>
      <left style="thin">
        <color auto="1"/>
      </left>
      <right style="medium">
        <color auto="1"/>
      </right>
      <top/>
      <bottom/>
      <diagonal/>
    </border>
    <border>
      <left style="thin">
        <color theme="0"/>
      </left>
      <right style="medium">
        <color auto="1"/>
      </right>
      <top/>
      <bottom/>
      <diagonal/>
    </border>
    <border>
      <left style="thin">
        <color auto="1"/>
      </left>
      <right style="thin">
        <color theme="0"/>
      </right>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right/>
      <top style="double">
        <color indexed="64"/>
      </top>
      <bottom/>
      <diagonal/>
    </border>
    <border>
      <left/>
      <right style="dotted">
        <color theme="0"/>
      </right>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auto="1"/>
      </left>
      <right style="dotted">
        <color auto="1"/>
      </right>
      <top style="medium">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theme="0"/>
      </right>
      <top style="medium">
        <color indexed="64"/>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bottom/>
      <diagonal/>
    </border>
    <border>
      <left style="thin">
        <color theme="0"/>
      </left>
      <right style="dotted">
        <color indexed="64"/>
      </right>
      <top/>
      <bottom/>
      <diagonal/>
    </border>
    <border>
      <left/>
      <right style="dotted">
        <color indexed="64"/>
      </right>
      <top/>
      <bottom/>
      <diagonal/>
    </border>
    <border>
      <left style="thin">
        <color indexed="64"/>
      </left>
      <right style="dotted">
        <color indexed="64"/>
      </right>
      <top style="thin">
        <color indexed="64"/>
      </top>
      <bottom style="medium">
        <color indexed="64"/>
      </bottom>
      <diagonal/>
    </border>
    <border>
      <left style="thin">
        <color theme="1"/>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auto="1"/>
      </right>
      <top style="medium">
        <color indexed="64"/>
      </top>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diagonal/>
    </border>
    <border>
      <left style="thin">
        <color theme="0"/>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theme="0"/>
      </left>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diagonal/>
    </border>
    <border>
      <left/>
      <right style="dashed">
        <color indexed="64"/>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auto="1"/>
      </left>
      <right style="hair">
        <color auto="1"/>
      </right>
      <top/>
      <bottom/>
      <diagonal/>
    </border>
    <border>
      <left style="medium">
        <color indexed="64"/>
      </left>
      <right style="dotted">
        <color indexed="64"/>
      </right>
      <top style="medium">
        <color indexed="64"/>
      </top>
      <bottom/>
      <diagonal/>
    </border>
    <border>
      <left style="dotted">
        <color indexed="64"/>
      </left>
      <right style="medium">
        <color indexed="64"/>
      </right>
      <top/>
      <bottom style="thin">
        <color indexed="64"/>
      </bottom>
      <diagonal/>
    </border>
    <border>
      <left style="thin">
        <color auto="1"/>
      </left>
      <right style="dotted">
        <color indexed="64"/>
      </right>
      <top/>
      <bottom style="thin">
        <color indexed="64"/>
      </bottom>
      <diagonal/>
    </border>
    <border>
      <left style="hair">
        <color auto="1"/>
      </left>
      <right style="medium">
        <color auto="1"/>
      </right>
      <top style="thin">
        <color indexed="64"/>
      </top>
      <bottom style="thin">
        <color indexed="64"/>
      </bottom>
      <diagonal/>
    </border>
    <border>
      <left style="hair">
        <color auto="1"/>
      </left>
      <right style="dotted">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dotted">
        <color auto="1"/>
      </right>
      <top style="thin">
        <color indexed="64"/>
      </top>
      <bottom style="medium">
        <color indexed="64"/>
      </bottom>
      <diagonal/>
    </border>
    <border>
      <left style="hair">
        <color auto="1"/>
      </left>
      <right style="dotted">
        <color auto="1"/>
      </right>
      <top/>
      <bottom/>
      <diagonal/>
    </border>
    <border>
      <left style="hair">
        <color auto="1"/>
      </left>
      <right style="medium">
        <color auto="1"/>
      </right>
      <top/>
      <bottom/>
      <diagonal/>
    </border>
    <border>
      <left style="dashed">
        <color theme="0"/>
      </left>
      <right style="dotted">
        <color indexed="64"/>
      </right>
      <top/>
      <bottom/>
      <diagonal/>
    </border>
    <border>
      <left style="thin">
        <color auto="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thin">
        <color theme="0"/>
      </left>
      <right style="dashed">
        <color indexed="64"/>
      </right>
      <top/>
      <bottom/>
      <diagonal/>
    </border>
    <border>
      <left/>
      <right style="dotted">
        <color indexed="64"/>
      </right>
      <top/>
      <bottom style="thin">
        <color indexed="64"/>
      </bottom>
      <diagonal/>
    </border>
    <border>
      <left style="medium">
        <color indexed="64"/>
      </left>
      <right style="dotted">
        <color indexed="64"/>
      </right>
      <top style="thin">
        <color indexed="64"/>
      </top>
      <bottom/>
      <diagonal/>
    </border>
    <border>
      <left style="dotted">
        <color auto="1"/>
      </left>
      <right style="thin">
        <color indexed="64"/>
      </right>
      <top/>
      <bottom/>
      <diagonal/>
    </border>
    <border>
      <left style="dotted">
        <color auto="1"/>
      </left>
      <right/>
      <top/>
      <bottom/>
      <diagonal/>
    </border>
    <border>
      <left style="dashed">
        <color auto="1"/>
      </left>
      <right style="thin">
        <color auto="1"/>
      </right>
      <top/>
      <bottom style="thin">
        <color indexed="64"/>
      </bottom>
      <diagonal/>
    </border>
    <border>
      <left style="dashed">
        <color auto="1"/>
      </left>
      <right style="thin">
        <color auto="1"/>
      </right>
      <top style="thin">
        <color indexed="64"/>
      </top>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9"/>
      </left>
      <right style="thin">
        <color indexed="9"/>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bottom/>
      <diagonal/>
    </border>
    <border>
      <left style="dotted">
        <color indexed="64"/>
      </left>
      <right style="thin">
        <color theme="0"/>
      </right>
      <top/>
      <bottom/>
      <diagonal/>
    </border>
    <border>
      <left style="thin">
        <color theme="0"/>
      </left>
      <right style="thin">
        <color theme="1"/>
      </right>
      <top style="medium">
        <color indexed="64"/>
      </top>
      <bottom/>
      <diagonal/>
    </border>
    <border>
      <left style="dotted">
        <color indexed="64"/>
      </left>
      <right style="medium">
        <color indexed="64"/>
      </right>
      <top/>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style="dotted">
        <color indexed="64"/>
      </right>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tted">
        <color auto="1"/>
      </left>
      <right style="dotted">
        <color auto="1"/>
      </right>
      <top/>
      <bottom/>
      <diagonal/>
    </border>
    <border>
      <left style="medium">
        <color indexed="64"/>
      </left>
      <right/>
      <top style="thin">
        <color auto="1"/>
      </top>
      <bottom/>
      <diagonal/>
    </border>
    <border>
      <left/>
      <right style="thin">
        <color theme="0"/>
      </right>
      <top style="thin">
        <color auto="1"/>
      </top>
      <bottom/>
      <diagonal/>
    </border>
    <border>
      <left style="thin">
        <color theme="0"/>
      </left>
      <right/>
      <top style="thin">
        <color auto="1"/>
      </top>
      <bottom/>
      <diagonal/>
    </border>
    <border>
      <left/>
      <right style="thin">
        <color indexed="64"/>
      </right>
      <top style="thin">
        <color auto="1"/>
      </top>
      <bottom/>
      <diagonal/>
    </border>
    <border>
      <left style="thin">
        <color indexed="64"/>
      </left>
      <right style="dotted">
        <color indexed="64"/>
      </right>
      <top style="thin">
        <color indexed="64"/>
      </top>
      <bottom/>
      <diagonal/>
    </border>
    <border>
      <left style="thin">
        <color theme="0"/>
      </left>
      <right style="thin">
        <color theme="0"/>
      </right>
      <top style="thin">
        <color auto="1"/>
      </top>
      <bottom/>
      <diagonal/>
    </border>
    <border>
      <left style="thin">
        <color theme="0"/>
      </left>
      <right style="medium">
        <color indexed="64"/>
      </right>
      <top style="thin">
        <color indexed="64"/>
      </top>
      <bottom/>
      <diagonal/>
    </border>
    <border>
      <left style="dotted">
        <color indexed="18"/>
      </left>
      <right style="dotted">
        <color indexed="18"/>
      </right>
      <top/>
      <bottom/>
      <diagonal/>
    </border>
    <border>
      <left style="dotted">
        <color indexed="18"/>
      </left>
      <right/>
      <top/>
      <bottom/>
      <diagonal/>
    </border>
    <border>
      <left style="dotted">
        <color indexed="18"/>
      </left>
      <right/>
      <top style="thin">
        <color indexed="64"/>
      </top>
      <bottom/>
      <diagonal/>
    </border>
    <border>
      <left style="dotted">
        <color indexed="18"/>
      </left>
      <right style="dotted">
        <color auto="1"/>
      </right>
      <top/>
      <bottom/>
      <diagonal/>
    </border>
    <border>
      <left style="dotted">
        <color indexed="64"/>
      </left>
      <right style="thin">
        <color indexed="64"/>
      </right>
      <top style="thin">
        <color auto="1"/>
      </top>
      <bottom/>
      <diagonal/>
    </border>
    <border>
      <left style="dotted">
        <color auto="1"/>
      </left>
      <right style="dotted">
        <color auto="1"/>
      </right>
      <top style="thin">
        <color auto="1"/>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ashed">
        <color indexed="64"/>
      </right>
      <top style="thin">
        <color indexed="64"/>
      </top>
      <bottom/>
      <diagonal/>
    </border>
    <border>
      <left style="dotted">
        <color indexed="64"/>
      </left>
      <right style="medium">
        <color indexed="64"/>
      </right>
      <top style="thin">
        <color auto="1"/>
      </top>
      <bottom/>
      <diagonal/>
    </border>
    <border>
      <left style="dotted">
        <color indexed="64"/>
      </left>
      <right style="thin">
        <color theme="0"/>
      </right>
      <top style="thin">
        <color auto="1"/>
      </top>
      <bottom/>
      <diagonal/>
    </border>
    <border>
      <left style="thin">
        <color indexed="64"/>
      </left>
      <right style="medium">
        <color indexed="64"/>
      </right>
      <top style="thin">
        <color indexed="64"/>
      </top>
      <bottom/>
      <diagonal/>
    </border>
    <border>
      <left style="thin">
        <color theme="0"/>
      </left>
      <right style="dotted">
        <color indexed="64"/>
      </right>
      <top style="thin">
        <color indexed="64"/>
      </top>
      <bottom/>
      <diagonal/>
    </border>
    <border>
      <left style="dotted">
        <color auto="1"/>
      </left>
      <right style="dotted">
        <color theme="0"/>
      </right>
      <top/>
      <bottom/>
      <diagonal/>
    </border>
    <border>
      <left style="dotted">
        <color auto="1"/>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double">
        <color indexed="8"/>
      </bottom>
      <diagonal/>
    </border>
    <border>
      <left/>
      <right/>
      <top style="thin">
        <color indexed="62"/>
      </top>
      <bottom style="double">
        <color indexed="62"/>
      </bottom>
      <diagonal/>
    </border>
    <border>
      <left/>
      <right/>
      <top/>
      <bottom style="thick">
        <color indexed="44"/>
      </bottom>
      <diagonal/>
    </border>
    <border>
      <left/>
      <right/>
      <top/>
      <bottom style="medium">
        <color indexed="49"/>
      </bottom>
      <diagonal/>
    </border>
  </borders>
  <cellStyleXfs count="18292">
    <xf numFmtId="0" fontId="0" fillId="0" borderId="0"/>
    <xf numFmtId="0" fontId="64" fillId="0" borderId="0">
      <protection locked="0"/>
    </xf>
    <xf numFmtId="0" fontId="56" fillId="0" borderId="0">
      <protection locked="0"/>
    </xf>
    <xf numFmtId="0" fontId="64" fillId="0" borderId="0">
      <protection locked="0"/>
    </xf>
    <xf numFmtId="0" fontId="56" fillId="0" borderId="0">
      <protection locked="0"/>
    </xf>
    <xf numFmtId="0" fontId="57" fillId="0" borderId="0" applyFont="0" applyFill="0" applyBorder="0" applyAlignment="0" applyProtection="0"/>
    <xf numFmtId="0" fontId="56" fillId="0" borderId="0">
      <protection locked="0"/>
    </xf>
    <xf numFmtId="0" fontId="58" fillId="0" borderId="0">
      <protection locked="0"/>
    </xf>
    <xf numFmtId="0" fontId="58" fillId="0" borderId="0">
      <protection locked="0"/>
    </xf>
    <xf numFmtId="0" fontId="59" fillId="0" borderId="0" applyNumberFormat="0" applyFill="0" applyBorder="0" applyAlignment="0" applyProtection="0">
      <alignment vertical="top"/>
      <protection locked="0"/>
    </xf>
    <xf numFmtId="0" fontId="65" fillId="0" borderId="0"/>
    <xf numFmtId="0" fontId="57" fillId="0" borderId="0"/>
    <xf numFmtId="0" fontId="68" fillId="0" borderId="0"/>
    <xf numFmtId="0" fontId="67" fillId="0" borderId="0"/>
    <xf numFmtId="0" fontId="69" fillId="0" borderId="0"/>
    <xf numFmtId="0" fontId="56" fillId="0" borderId="1">
      <protection locked="0"/>
    </xf>
    <xf numFmtId="0" fontId="57" fillId="0" borderId="0"/>
    <xf numFmtId="187" fontId="115" fillId="0" borderId="0"/>
    <xf numFmtId="188" fontId="57" fillId="0" borderId="0" applyFont="0" applyFill="0" applyBorder="0" applyAlignment="0" applyProtection="0"/>
    <xf numFmtId="0" fontId="116" fillId="0" borderId="0">
      <protection locked="0"/>
    </xf>
    <xf numFmtId="0" fontId="116" fillId="0" borderId="0">
      <protection locked="0"/>
    </xf>
    <xf numFmtId="0" fontId="117" fillId="0" borderId="0">
      <protection locked="0"/>
    </xf>
    <xf numFmtId="0" fontId="116" fillId="0" borderId="0">
      <protection locked="0"/>
    </xf>
    <xf numFmtId="0" fontId="116" fillId="0" borderId="0">
      <protection locked="0"/>
    </xf>
    <xf numFmtId="0" fontId="116" fillId="0" borderId="0">
      <protection locked="0"/>
    </xf>
    <xf numFmtId="0" fontId="117" fillId="0" borderId="0">
      <protection locked="0"/>
    </xf>
    <xf numFmtId="167" fontId="55" fillId="0" borderId="0" applyFont="0" applyFill="0" applyBorder="0" applyAlignment="0" applyProtection="0"/>
    <xf numFmtId="9" fontId="57" fillId="0" borderId="0" applyFont="0" applyFill="0" applyBorder="0" applyAlignment="0" applyProtection="0"/>
    <xf numFmtId="167" fontId="54" fillId="0" borderId="0" applyFont="0" applyFill="0" applyBorder="0" applyAlignment="0" applyProtection="0"/>
    <xf numFmtId="189" fontId="115" fillId="0" borderId="0"/>
    <xf numFmtId="0" fontId="131" fillId="0" borderId="0" applyNumberFormat="0" applyFill="0" applyBorder="0" applyAlignment="0" applyProtection="0"/>
    <xf numFmtId="0" fontId="133" fillId="0" borderId="54" applyNumberFormat="0" applyFill="0" applyAlignment="0" applyProtection="0"/>
    <xf numFmtId="0" fontId="134" fillId="0" borderId="55" applyNumberFormat="0" applyFill="0" applyAlignment="0" applyProtection="0"/>
    <xf numFmtId="0" fontId="136" fillId="14" borderId="0" applyNumberFormat="0" applyBorder="0" applyAlignment="0" applyProtection="0"/>
    <xf numFmtId="0" fontId="137" fillId="15" borderId="0" applyNumberFormat="0" applyBorder="0" applyAlignment="0" applyProtection="0"/>
    <xf numFmtId="0" fontId="139" fillId="17" borderId="57" applyNumberFormat="0" applyAlignment="0" applyProtection="0"/>
    <xf numFmtId="0" fontId="140" fillId="17" borderId="56" applyNumberFormat="0" applyAlignment="0" applyProtection="0"/>
    <xf numFmtId="0" fontId="144" fillId="0" borderId="0" applyNumberFormat="0" applyFill="0" applyBorder="0" applyAlignment="0" applyProtection="0"/>
    <xf numFmtId="0" fontId="145"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145" fillId="23" borderId="0" applyNumberFormat="0" applyBorder="0" applyAlignment="0" applyProtection="0"/>
    <xf numFmtId="0" fontId="14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145" fillId="27" borderId="0" applyNumberFormat="0" applyBorder="0" applyAlignment="0" applyProtection="0"/>
    <xf numFmtId="0" fontId="14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145" fillId="31" borderId="0" applyNumberFormat="0" applyBorder="0" applyAlignment="0" applyProtection="0"/>
    <xf numFmtId="0" fontId="14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145" fillId="35" borderId="0" applyNumberFormat="0" applyBorder="0" applyAlignment="0" applyProtection="0"/>
    <xf numFmtId="0" fontId="14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145" fillId="39" borderId="0" applyNumberFormat="0" applyBorder="0" applyAlignment="0" applyProtection="0"/>
    <xf numFmtId="0" fontId="145"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145" fillId="43" borderId="0" applyNumberFormat="0" applyBorder="0" applyAlignment="0" applyProtection="0"/>
    <xf numFmtId="0" fontId="53" fillId="0" borderId="0"/>
    <xf numFmtId="0" fontId="53" fillId="19" borderId="60" applyNumberFormat="0" applyFont="0" applyAlignment="0" applyProtection="0"/>
    <xf numFmtId="0" fontId="146" fillId="0" borderId="61" applyNumberFormat="0" applyFill="0" applyAlignment="0" applyProtection="0"/>
    <xf numFmtId="0" fontId="116" fillId="0" borderId="0">
      <protection locked="0"/>
    </xf>
    <xf numFmtId="0" fontId="147" fillId="0" borderId="0">
      <protection locked="0"/>
    </xf>
    <xf numFmtId="0" fontId="147" fillId="0" borderId="0">
      <protection locked="0"/>
    </xf>
    <xf numFmtId="190" fontId="116" fillId="0" borderId="0">
      <protection locked="0"/>
    </xf>
    <xf numFmtId="4" fontId="116" fillId="0" borderId="0">
      <protection locked="0"/>
    </xf>
    <xf numFmtId="191" fontId="116" fillId="0" borderId="0">
      <protection locked="0"/>
    </xf>
    <xf numFmtId="0" fontId="115" fillId="0" borderId="0"/>
    <xf numFmtId="0" fontId="52" fillId="0" borderId="0"/>
    <xf numFmtId="0" fontId="116" fillId="0" borderId="1">
      <protection locked="0"/>
    </xf>
    <xf numFmtId="167" fontId="57" fillId="0" borderId="0" applyFont="0" applyFill="0" applyBorder="0" applyAlignment="0" applyProtection="0"/>
    <xf numFmtId="0" fontId="148" fillId="0" borderId="0"/>
    <xf numFmtId="192" fontId="149" fillId="0" borderId="0">
      <protection locked="0"/>
    </xf>
    <xf numFmtId="192" fontId="149" fillId="0" borderId="0">
      <protection locked="0"/>
    </xf>
    <xf numFmtId="192" fontId="149" fillId="0" borderId="0">
      <protection locked="0"/>
    </xf>
    <xf numFmtId="192" fontId="150" fillId="0" borderId="0">
      <protection locked="0"/>
    </xf>
    <xf numFmtId="192" fontId="150" fillId="0" borderId="0">
      <protection locked="0"/>
    </xf>
    <xf numFmtId="192" fontId="150" fillId="0" borderId="0">
      <protection locked="0"/>
    </xf>
    <xf numFmtId="192" fontId="150" fillId="0" borderId="0">
      <protection locked="0"/>
    </xf>
    <xf numFmtId="192" fontId="150" fillId="0" borderId="0">
      <protection locked="0"/>
    </xf>
    <xf numFmtId="192" fontId="150" fillId="0" borderId="0">
      <protection locked="0"/>
    </xf>
    <xf numFmtId="192" fontId="150" fillId="0" borderId="0">
      <protection locked="0"/>
    </xf>
    <xf numFmtId="2" fontId="59" fillId="0" borderId="0" applyFont="0" applyFill="0" applyBorder="0" applyAlignment="0" applyProtection="0"/>
    <xf numFmtId="192" fontId="149" fillId="0" borderId="0">
      <protection locked="0"/>
    </xf>
    <xf numFmtId="0" fontId="151" fillId="0" borderId="0" applyNumberFormat="0" applyFill="0" applyBorder="0" applyAlignment="0" applyProtection="0">
      <alignment vertical="top"/>
      <protection locked="0"/>
    </xf>
    <xf numFmtId="167" fontId="57" fillId="0" borderId="0" applyFont="0" applyFill="0" applyBorder="0" applyAlignment="0" applyProtection="0"/>
    <xf numFmtId="193" fontId="57" fillId="0" borderId="0" applyFont="0" applyFill="0" applyBorder="0" applyAlignment="0" applyProtection="0"/>
    <xf numFmtId="43" fontId="51" fillId="0" borderId="0" applyFont="0" applyFill="0" applyBorder="0" applyAlignment="0" applyProtection="0"/>
    <xf numFmtId="43" fontId="57"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44" fontId="51" fillId="0" borderId="0" applyFont="0" applyFill="0" applyBorder="0" applyAlignment="0" applyProtection="0"/>
    <xf numFmtId="166" fontId="57" fillId="0" borderId="0" applyFont="0" applyFill="0" applyBorder="0" applyAlignment="0" applyProtection="0"/>
    <xf numFmtId="192" fontId="149" fillId="0" borderId="0">
      <protection locked="0"/>
    </xf>
    <xf numFmtId="0" fontId="152" fillId="0" borderId="0"/>
    <xf numFmtId="0" fontId="51" fillId="0" borderId="0"/>
    <xf numFmtId="0" fontId="51" fillId="0" borderId="0"/>
    <xf numFmtId="0" fontId="57" fillId="0" borderId="0"/>
    <xf numFmtId="0" fontId="57" fillId="0" borderId="0"/>
    <xf numFmtId="0" fontId="153" fillId="0" borderId="0"/>
    <xf numFmtId="0" fontId="57" fillId="0" borderId="0"/>
    <xf numFmtId="0" fontId="57" fillId="0" borderId="0"/>
    <xf numFmtId="0" fontId="51" fillId="0" borderId="0"/>
    <xf numFmtId="0" fontId="51" fillId="0" borderId="0"/>
    <xf numFmtId="0" fontId="154" fillId="44" borderId="0">
      <alignment horizontal="center"/>
    </xf>
    <xf numFmtId="0" fontId="70" fillId="45" borderId="18"/>
    <xf numFmtId="0" fontId="155" fillId="0" borderId="0" applyBorder="0">
      <alignment horizontal="centerContinuous"/>
    </xf>
    <xf numFmtId="0" fontId="156" fillId="0" borderId="0" applyBorder="0">
      <alignment horizontal="centerContinuous"/>
    </xf>
    <xf numFmtId="9" fontId="51" fillId="0" borderId="0" applyFont="0" applyFill="0" applyBorder="0" applyAlignment="0" applyProtection="0"/>
    <xf numFmtId="9" fontId="51"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 fontId="57" fillId="0" borderId="0" applyFont="0" applyFill="0" applyBorder="0" applyAlignment="0" applyProtection="0"/>
    <xf numFmtId="0" fontId="159" fillId="0" borderId="0"/>
    <xf numFmtId="167" fontId="50" fillId="0" borderId="0" applyFont="0" applyFill="0" applyBorder="0" applyAlignment="0" applyProtection="0"/>
    <xf numFmtId="0" fontId="69" fillId="0" borderId="0"/>
    <xf numFmtId="167" fontId="49" fillId="0" borderId="0" applyFont="0" applyFill="0" applyBorder="0" applyAlignment="0" applyProtection="0"/>
    <xf numFmtId="0" fontId="57" fillId="0" borderId="0"/>
    <xf numFmtId="9" fontId="162" fillId="0" borderId="0" applyFont="0" applyFill="0" applyBorder="0" applyAlignment="0" applyProtection="0"/>
    <xf numFmtId="194" fontId="57" fillId="0" borderId="0" applyFont="0" applyFill="0" applyBorder="0" applyAlignment="0" applyProtection="0"/>
    <xf numFmtId="0" fontId="57" fillId="0" borderId="0" applyNumberFormat="0" applyFill="0" applyBorder="0" applyAlignment="0" applyProtection="0"/>
    <xf numFmtId="187" fontId="68" fillId="0" borderId="0"/>
    <xf numFmtId="0" fontId="165" fillId="0" borderId="0" applyNumberFormat="0" applyFill="0" applyBorder="0" applyAlignment="0" applyProtection="0"/>
    <xf numFmtId="187" fontId="166" fillId="0" borderId="0"/>
    <xf numFmtId="0" fontId="69" fillId="0" borderId="0"/>
    <xf numFmtId="167" fontId="57" fillId="0" borderId="0" applyFont="0" applyFill="0" applyBorder="0" applyAlignment="0" applyProtection="0"/>
    <xf numFmtId="9" fontId="57" fillId="0" borderId="0" applyFont="0" applyFill="0" applyBorder="0" applyAlignment="0" applyProtection="0"/>
    <xf numFmtId="0" fontId="48" fillId="0" borderId="0"/>
    <xf numFmtId="197" fontId="56" fillId="0" borderId="0">
      <protection locked="0"/>
    </xf>
    <xf numFmtId="197" fontId="56" fillId="0" borderId="0">
      <protection locked="0"/>
    </xf>
    <xf numFmtId="197" fontId="56" fillId="0" borderId="0">
      <protection locked="0"/>
    </xf>
    <xf numFmtId="197" fontId="56" fillId="0" borderId="0">
      <protection locked="0"/>
    </xf>
    <xf numFmtId="197" fontId="56" fillId="0" borderId="0">
      <protection locked="0"/>
    </xf>
    <xf numFmtId="197" fontId="56" fillId="0" borderId="0">
      <protection locked="0"/>
    </xf>
    <xf numFmtId="197" fontId="56" fillId="0" borderId="0">
      <protection locked="0"/>
    </xf>
    <xf numFmtId="0" fontId="47" fillId="0" borderId="0"/>
    <xf numFmtId="0" fontId="47" fillId="19" borderId="60" applyNumberFormat="0" applyFont="0" applyAlignment="0" applyProtection="0"/>
    <xf numFmtId="0" fontId="47" fillId="21"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6" fillId="0" borderId="0"/>
    <xf numFmtId="0" fontId="46" fillId="19" borderId="60" applyNumberFormat="0" applyFont="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5" fillId="0" borderId="0"/>
    <xf numFmtId="0" fontId="45" fillId="19" borderId="60" applyNumberFormat="0" applyFont="0" applyAlignment="0" applyProtection="0"/>
    <xf numFmtId="0" fontId="45" fillId="21" borderId="0" applyNumberFormat="0" applyBorder="0" applyAlignment="0" applyProtection="0"/>
    <xf numFmtId="0" fontId="45" fillId="22"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4" fillId="0" borderId="0"/>
    <xf numFmtId="167" fontId="44" fillId="0" borderId="0" applyFont="0" applyFill="0" applyBorder="0" applyAlignment="0" applyProtection="0"/>
    <xf numFmtId="0" fontId="43" fillId="19" borderId="60" applyNumberFormat="0" applyFont="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0" borderId="0"/>
    <xf numFmtId="0" fontId="42" fillId="19" borderId="60" applyNumberFormat="0" applyFont="0" applyAlignment="0" applyProtection="0"/>
    <xf numFmtId="0" fontId="42" fillId="21" borderId="0" applyNumberFormat="0" applyBorder="0" applyAlignment="0" applyProtection="0"/>
    <xf numFmtId="0" fontId="42" fillId="22"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1" fillId="0" borderId="0"/>
    <xf numFmtId="0" fontId="147" fillId="0" borderId="0">
      <protection locked="0"/>
    </xf>
    <xf numFmtId="0" fontId="147" fillId="0" borderId="0">
      <protection locked="0"/>
    </xf>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116" fillId="0" borderId="0">
      <protection locked="0"/>
    </xf>
    <xf numFmtId="202" fontId="116" fillId="0" borderId="0">
      <protection locked="0"/>
    </xf>
    <xf numFmtId="0" fontId="176" fillId="0" borderId="0" applyNumberFormat="0" applyFill="0" applyBorder="0" applyAlignment="0" applyProtection="0">
      <alignment vertical="top"/>
      <protection locked="0"/>
    </xf>
    <xf numFmtId="167"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7"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7"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7"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6" fontId="59" fillId="0" borderId="0" applyFont="0" applyFill="0" applyBorder="0" applyAlignment="0" applyProtection="0"/>
    <xf numFmtId="201" fontId="116" fillId="0" borderId="0">
      <protection locked="0"/>
    </xf>
    <xf numFmtId="204" fontId="116" fillId="0" borderId="0">
      <protection locked="0"/>
    </xf>
    <xf numFmtId="0" fontId="1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7"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00" fontId="116" fillId="0" borderId="0">
      <protection locked="0"/>
    </xf>
    <xf numFmtId="203" fontId="116" fillId="0" borderId="0">
      <protection locked="0"/>
    </xf>
    <xf numFmtId="0" fontId="116" fillId="0" borderId="69">
      <protection locked="0"/>
    </xf>
    <xf numFmtId="0" fontId="159" fillId="0" borderId="69">
      <protection locked="0"/>
    </xf>
    <xf numFmtId="0" fontId="57" fillId="0" borderId="0"/>
    <xf numFmtId="0" fontId="40" fillId="0" borderId="0"/>
    <xf numFmtId="0" fontId="40" fillId="0" borderId="0"/>
    <xf numFmtId="0" fontId="40" fillId="0" borderId="0"/>
    <xf numFmtId="164" fontId="57" fillId="0" borderId="0" applyFont="0" applyFill="0" applyBorder="0" applyAlignment="0" applyProtection="0"/>
    <xf numFmtId="0" fontId="57" fillId="0" borderId="0"/>
    <xf numFmtId="0" fontId="40"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167"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40" fillId="0" borderId="0"/>
    <xf numFmtId="9" fontId="57" fillId="0" borderId="0" applyFont="0" applyFill="0" applyBorder="0" applyAlignment="0" applyProtection="0"/>
    <xf numFmtId="9" fontId="40" fillId="0" borderId="0" applyFont="0" applyFill="0" applyBorder="0" applyAlignment="0" applyProtection="0"/>
    <xf numFmtId="0" fontId="116" fillId="0" borderId="69">
      <protection locked="0"/>
    </xf>
    <xf numFmtId="188" fontId="57" fillId="0" borderId="0" applyFont="0" applyFill="0" applyBorder="0" applyAlignment="0" applyProtection="0"/>
    <xf numFmtId="188"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57" fillId="0" borderId="0"/>
    <xf numFmtId="0" fontId="40" fillId="0" borderId="0"/>
    <xf numFmtId="9" fontId="40" fillId="0" borderId="0" applyFont="0" applyFill="0" applyBorder="0" applyAlignment="0" applyProtection="0"/>
    <xf numFmtId="0" fontId="116" fillId="0" borderId="69">
      <protection locked="0"/>
    </xf>
    <xf numFmtId="0" fontId="40" fillId="0" borderId="0"/>
    <xf numFmtId="0" fontId="57" fillId="0" borderId="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0" fontId="57" fillId="0" borderId="0"/>
    <xf numFmtId="0" fontId="40" fillId="0" borderId="0"/>
    <xf numFmtId="0" fontId="57" fillId="0" borderId="0"/>
    <xf numFmtId="0" fontId="40" fillId="0" borderId="0"/>
    <xf numFmtId="0" fontId="57" fillId="0" borderId="0"/>
    <xf numFmtId="0" fontId="40" fillId="0" borderId="0"/>
    <xf numFmtId="188" fontId="57" fillId="0" borderId="0" applyFont="0" applyFill="0" applyBorder="0" applyAlignment="0" applyProtection="0"/>
    <xf numFmtId="0" fontId="40" fillId="0" borderId="0"/>
    <xf numFmtId="0" fontId="57" fillId="0" borderId="0"/>
    <xf numFmtId="0" fontId="40" fillId="0" borderId="0"/>
    <xf numFmtId="0" fontId="57"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88" fontId="57" fillId="0" borderId="0" applyFont="0" applyFill="0" applyBorder="0" applyAlignment="0" applyProtection="0"/>
    <xf numFmtId="188"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57" fillId="0" borderId="0"/>
    <xf numFmtId="0" fontId="40" fillId="0" borderId="0"/>
    <xf numFmtId="9" fontId="40" fillId="0" borderId="0" applyFont="0" applyFill="0" applyBorder="0" applyAlignment="0" applyProtection="0"/>
    <xf numFmtId="0" fontId="40" fillId="0" borderId="0"/>
    <xf numFmtId="0" fontId="57" fillId="0" borderId="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0" fontId="57" fillId="0" borderId="0"/>
    <xf numFmtId="0" fontId="40" fillId="0" borderId="0"/>
    <xf numFmtId="0" fontId="57" fillId="0" borderId="0"/>
    <xf numFmtId="0" fontId="40" fillId="0" borderId="0"/>
    <xf numFmtId="0" fontId="57" fillId="0" borderId="0"/>
    <xf numFmtId="0" fontId="40" fillId="0" borderId="0"/>
    <xf numFmtId="188" fontId="57" fillId="0" borderId="0" applyFont="0" applyFill="0" applyBorder="0" applyAlignment="0" applyProtection="0"/>
    <xf numFmtId="0" fontId="40" fillId="0" borderId="0"/>
    <xf numFmtId="0" fontId="57" fillId="0" borderId="0"/>
    <xf numFmtId="0" fontId="40" fillId="0" borderId="0"/>
    <xf numFmtId="0" fontId="57"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0" fontId="59" fillId="0" borderId="0" applyNumberFormat="0" applyFill="0" applyBorder="0" applyAlignment="0" applyProtection="0">
      <alignment vertical="top"/>
      <protection locked="0"/>
    </xf>
    <xf numFmtId="167"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40" fillId="0" borderId="0"/>
    <xf numFmtId="9" fontId="57" fillId="0" borderId="0" applyFont="0" applyFill="0" applyBorder="0" applyAlignment="0" applyProtection="0"/>
    <xf numFmtId="9" fontId="40" fillId="0" borderId="0" applyFont="0" applyFill="0" applyBorder="0" applyAlignment="0" applyProtection="0"/>
    <xf numFmtId="0" fontId="116" fillId="0" borderId="69">
      <protection locked="0"/>
    </xf>
    <xf numFmtId="0" fontId="57" fillId="0" borderId="0"/>
    <xf numFmtId="188" fontId="57" fillId="0" borderId="0" applyFont="0" applyFill="0" applyBorder="0" applyAlignment="0" applyProtection="0"/>
    <xf numFmtId="188"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57" fillId="0" borderId="0"/>
    <xf numFmtId="0" fontId="40" fillId="0" borderId="0"/>
    <xf numFmtId="9" fontId="40" fillId="0" borderId="0" applyFont="0" applyFill="0" applyBorder="0" applyAlignment="0" applyProtection="0"/>
    <xf numFmtId="0" fontId="40" fillId="0" borderId="0"/>
    <xf numFmtId="0" fontId="57" fillId="0" borderId="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0" fontId="57" fillId="0" borderId="0"/>
    <xf numFmtId="0" fontId="40" fillId="0" borderId="0"/>
    <xf numFmtId="0" fontId="57" fillId="0" borderId="0"/>
    <xf numFmtId="0" fontId="40" fillId="0" borderId="0"/>
    <xf numFmtId="0" fontId="57" fillId="0" borderId="0"/>
    <xf numFmtId="0" fontId="40" fillId="0" borderId="0"/>
    <xf numFmtId="188" fontId="57" fillId="0" borderId="0" applyFont="0" applyFill="0" applyBorder="0" applyAlignment="0" applyProtection="0"/>
    <xf numFmtId="0" fontId="40" fillId="0" borderId="0"/>
    <xf numFmtId="0" fontId="57" fillId="0" borderId="0"/>
    <xf numFmtId="0" fontId="40" fillId="0" borderId="0"/>
    <xf numFmtId="0" fontId="57"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0" fontId="40" fillId="0" borderId="0"/>
    <xf numFmtId="0" fontId="57" fillId="0" borderId="0"/>
    <xf numFmtId="167" fontId="57" fillId="0" borderId="0" applyFont="0" applyFill="0" applyBorder="0" applyAlignment="0" applyProtection="0"/>
    <xf numFmtId="167" fontId="40" fillId="0" borderId="0" applyFont="0" applyFill="0" applyBorder="0" applyAlignment="0" applyProtection="0"/>
    <xf numFmtId="166" fontId="57" fillId="0" borderId="0" applyFont="0" applyFill="0" applyBorder="0" applyAlignment="0" applyProtection="0"/>
    <xf numFmtId="0" fontId="40" fillId="0" borderId="0"/>
    <xf numFmtId="9" fontId="57" fillId="0" borderId="0" applyFont="0" applyFill="0" applyBorder="0" applyAlignment="0" applyProtection="0"/>
    <xf numFmtId="9" fontId="40" fillId="0" borderId="0" applyFont="0" applyFill="0" applyBorder="0" applyAlignment="0" applyProtection="0"/>
    <xf numFmtId="0" fontId="116" fillId="0" borderId="69">
      <protection locked="0"/>
    </xf>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57"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67" fontId="57" fillId="0" borderId="0" applyFont="0" applyFill="0" applyBorder="0" applyAlignment="0" applyProtection="0"/>
    <xf numFmtId="167" fontId="40" fillId="0" borderId="0" applyFont="0" applyFill="0" applyBorder="0" applyAlignment="0" applyProtection="0"/>
    <xf numFmtId="0" fontId="40" fillId="0" borderId="0"/>
    <xf numFmtId="9" fontId="57" fillId="0" borderId="0" applyFont="0" applyFill="0" applyBorder="0" applyAlignment="0" applyProtection="0"/>
    <xf numFmtId="9" fontId="40"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40"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57" fillId="0" borderId="0"/>
    <xf numFmtId="167" fontId="57" fillId="0" borderId="0" applyFont="0" applyFill="0" applyBorder="0" applyAlignment="0" applyProtection="0"/>
    <xf numFmtId="167" fontId="57"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67" fontId="57"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57" fillId="0" borderId="0" applyFont="0" applyFill="0" applyBorder="0" applyAlignment="0" applyProtection="0"/>
    <xf numFmtId="167" fontId="57"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57" fillId="0" borderId="0" applyFont="0" applyFill="0" applyBorder="0" applyAlignment="0" applyProtection="0"/>
    <xf numFmtId="167" fontId="57" fillId="0" borderId="0" applyFont="0" applyFill="0" applyBorder="0" applyAlignment="0" applyProtection="0"/>
    <xf numFmtId="0" fontId="40" fillId="0" borderId="0"/>
    <xf numFmtId="167" fontId="57"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88" fontId="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0" fontId="57" fillId="0" borderId="0"/>
    <xf numFmtId="0" fontId="40" fillId="0" borderId="0"/>
    <xf numFmtId="167" fontId="57" fillId="0" borderId="0" applyFont="0" applyFill="0" applyBorder="0" applyAlignment="0" applyProtection="0"/>
    <xf numFmtId="167" fontId="57"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5"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116" fillId="0" borderId="69">
      <protection locked="0"/>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9" fontId="40" fillId="0" borderId="0" applyFont="0" applyFill="0" applyBorder="0" applyAlignment="0" applyProtection="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0" fillId="0" borderId="0" applyFont="0" applyFill="0" applyBorder="0" applyAlignment="0" applyProtection="0"/>
    <xf numFmtId="0" fontId="57" fillId="0" borderId="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67"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19" borderId="60" applyNumberFormat="0" applyFont="0" applyAlignment="0" applyProtection="0"/>
    <xf numFmtId="0" fontId="39" fillId="21" borderId="0" applyNumberFormat="0" applyBorder="0" applyAlignment="0" applyProtection="0"/>
    <xf numFmtId="0" fontId="39" fillId="22"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207" fontId="177" fillId="0" borderId="0" applyFont="0" applyFill="0" applyBorder="0" applyAlignment="0" applyProtection="0"/>
    <xf numFmtId="9" fontId="177" fillId="0" borderId="0" applyFont="0" applyFill="0" applyBorder="0" applyAlignment="0" applyProtection="0"/>
    <xf numFmtId="207" fontId="57" fillId="0" borderId="0" applyFont="0" applyFill="0" applyBorder="0" applyAlignment="0" applyProtection="0"/>
    <xf numFmtId="0" fontId="38" fillId="0" borderId="0"/>
    <xf numFmtId="9" fontId="38" fillId="0" borderId="0" applyFont="0" applyFill="0" applyBorder="0" applyAlignment="0" applyProtection="0"/>
    <xf numFmtId="0" fontId="37" fillId="0" borderId="0"/>
    <xf numFmtId="0" fontId="37" fillId="19" borderId="60" applyNumberFormat="0" applyFont="0" applyAlignment="0" applyProtection="0"/>
    <xf numFmtId="0" fontId="37" fillId="21"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6" fillId="0" borderId="0"/>
    <xf numFmtId="167" fontId="35" fillId="0" borderId="0" applyFont="0" applyFill="0" applyBorder="0" applyAlignment="0" applyProtection="0"/>
    <xf numFmtId="0" fontId="35" fillId="0" borderId="0"/>
    <xf numFmtId="9" fontId="35" fillId="0" borderId="0" applyFont="0" applyFill="0" applyBorder="0" applyAlignment="0" applyProtection="0"/>
    <xf numFmtId="0" fontId="34" fillId="0" borderId="0"/>
    <xf numFmtId="0" fontId="186" fillId="0" borderId="0" applyNumberFormat="0" applyFill="0" applyBorder="0" applyAlignment="0" applyProtection="0">
      <alignment vertical="top"/>
      <protection locked="0"/>
    </xf>
    <xf numFmtId="9" fontId="34" fillId="0" borderId="0" applyFont="0" applyFill="0" applyBorder="0" applyAlignment="0" applyProtection="0"/>
    <xf numFmtId="0" fontId="157" fillId="48" borderId="0" applyNumberFormat="0" applyBorder="0" applyAlignment="0" applyProtection="0"/>
    <xf numFmtId="0" fontId="157" fillId="49" borderId="0" applyNumberFormat="0" applyBorder="0" applyAlignment="0" applyProtection="0"/>
    <xf numFmtId="0" fontId="157" fillId="50"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4"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1" borderId="0" applyNumberFormat="0" applyBorder="0" applyAlignment="0" applyProtection="0"/>
    <xf numFmtId="0" fontId="157" fillId="54" borderId="0" applyNumberFormat="0" applyBorder="0" applyAlignment="0" applyProtection="0"/>
    <xf numFmtId="0" fontId="157" fillId="57" borderId="0" applyNumberFormat="0" applyBorder="0" applyAlignment="0" applyProtection="0"/>
    <xf numFmtId="0" fontId="187" fillId="58" borderId="0" applyNumberFormat="0" applyBorder="0" applyAlignment="0" applyProtection="0"/>
    <xf numFmtId="0" fontId="187" fillId="55" borderId="0" applyNumberFormat="0" applyBorder="0" applyAlignment="0" applyProtection="0"/>
    <xf numFmtId="0" fontId="187" fillId="56" borderId="0" applyNumberFormat="0" applyBorder="0" applyAlignment="0" applyProtection="0"/>
    <xf numFmtId="0" fontId="187" fillId="59" borderId="0" applyNumberFormat="0" applyBorder="0" applyAlignment="0" applyProtection="0"/>
    <xf numFmtId="0" fontId="187" fillId="60" borderId="0" applyNumberFormat="0" applyBorder="0" applyAlignment="0" applyProtection="0"/>
    <xf numFmtId="0" fontId="187" fillId="61" borderId="0" applyNumberFormat="0" applyBorder="0" applyAlignment="0" applyProtection="0"/>
    <xf numFmtId="0" fontId="188" fillId="62" borderId="75" applyNumberFormat="0" applyAlignment="0" applyProtection="0"/>
    <xf numFmtId="0" fontId="189" fillId="63" borderId="76" applyNumberFormat="0" applyAlignment="0" applyProtection="0"/>
    <xf numFmtId="0" fontId="190" fillId="0" borderId="77" applyNumberFormat="0" applyFill="0" applyAlignment="0" applyProtection="0"/>
    <xf numFmtId="0" fontId="202" fillId="0" borderId="78" applyNumberFormat="0" applyFill="0" applyAlignment="0" applyProtection="0"/>
    <xf numFmtId="0" fontId="191" fillId="0" borderId="0" applyNumberFormat="0" applyFill="0" applyBorder="0" applyAlignment="0" applyProtection="0"/>
    <xf numFmtId="0" fontId="187" fillId="64" borderId="0" applyNumberFormat="0" applyBorder="0" applyAlignment="0" applyProtection="0"/>
    <xf numFmtId="0" fontId="187" fillId="65" borderId="0" applyNumberFormat="0" applyBorder="0" applyAlignment="0" applyProtection="0"/>
    <xf numFmtId="0" fontId="187" fillId="66" borderId="0" applyNumberFormat="0" applyBorder="0" applyAlignment="0" applyProtection="0"/>
    <xf numFmtId="0" fontId="187" fillId="59" borderId="0" applyNumberFormat="0" applyBorder="0" applyAlignment="0" applyProtection="0"/>
    <xf numFmtId="0" fontId="187" fillId="60" borderId="0" applyNumberFormat="0" applyBorder="0" applyAlignment="0" applyProtection="0"/>
    <xf numFmtId="0" fontId="187" fillId="67" borderId="0" applyNumberFormat="0" applyBorder="0" applyAlignment="0" applyProtection="0"/>
    <xf numFmtId="0" fontId="192" fillId="53" borderId="75" applyNumberFormat="0" applyAlignment="0" applyProtection="0"/>
    <xf numFmtId="0" fontId="20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93" fillId="49" borderId="0" applyNumberFormat="0" applyBorder="0" applyAlignment="0" applyProtection="0"/>
    <xf numFmtId="169" fontId="57" fillId="0" borderId="0" applyFont="0" applyFill="0" applyBorder="0" applyAlignment="0" applyProtection="0"/>
    <xf numFmtId="167" fontId="157" fillId="0" borderId="0" applyFont="0" applyFill="0" applyBorder="0" applyAlignment="0" applyProtection="0"/>
    <xf numFmtId="0" fontId="194" fillId="68" borderId="0" applyNumberFormat="0" applyBorder="0" applyAlignment="0" applyProtection="0"/>
    <xf numFmtId="0" fontId="33" fillId="0" borderId="0"/>
    <xf numFmtId="3" fontId="57" fillId="0" borderId="0">
      <alignment vertical="center"/>
    </xf>
    <xf numFmtId="0" fontId="57" fillId="0" borderId="0"/>
    <xf numFmtId="0" fontId="57" fillId="0" borderId="0"/>
    <xf numFmtId="0" fontId="57" fillId="69" borderId="79" applyNumberFormat="0" applyFont="0" applyAlignment="0" applyProtection="0"/>
    <xf numFmtId="0" fontId="195" fillId="62" borderId="80" applyNumberFormat="0" applyAlignment="0" applyProtection="0"/>
    <xf numFmtId="0" fontId="196" fillId="0" borderId="0" applyNumberFormat="0" applyFill="0" applyBorder="0" applyAlignment="0" applyProtection="0"/>
    <xf numFmtId="0" fontId="197" fillId="0" borderId="0" applyNumberFormat="0" applyFill="0" applyBorder="0" applyAlignment="0" applyProtection="0"/>
    <xf numFmtId="0" fontId="198" fillId="0" borderId="0" applyNumberFormat="0" applyFill="0" applyBorder="0" applyAlignment="0" applyProtection="0"/>
    <xf numFmtId="0" fontId="199" fillId="0" borderId="81" applyNumberFormat="0" applyFill="0" applyAlignment="0" applyProtection="0"/>
    <xf numFmtId="0" fontId="200" fillId="0" borderId="82" applyNumberFormat="0" applyFill="0" applyAlignment="0" applyProtection="0"/>
    <xf numFmtId="0" fontId="191" fillId="0" borderId="83" applyNumberFormat="0" applyFill="0" applyAlignment="0" applyProtection="0"/>
    <xf numFmtId="0" fontId="201" fillId="0" borderId="84" applyNumberFormat="0" applyFill="0" applyAlignment="0" applyProtection="0"/>
    <xf numFmtId="0" fontId="32" fillId="0" borderId="0"/>
    <xf numFmtId="0" fontId="32" fillId="19" borderId="60" applyNumberFormat="0" applyFont="0" applyAlignment="0" applyProtection="0"/>
    <xf numFmtId="0" fontId="32" fillId="21" borderId="0" applyNumberFormat="0" applyBorder="0" applyAlignment="0" applyProtection="0"/>
    <xf numFmtId="0" fontId="32" fillId="22"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1" fillId="0" borderId="0"/>
    <xf numFmtId="0" fontId="30" fillId="0" borderId="0"/>
    <xf numFmtId="0" fontId="184" fillId="0" borderId="0"/>
    <xf numFmtId="0" fontId="29" fillId="0" borderId="0"/>
    <xf numFmtId="0" fontId="28" fillId="0" borderId="0"/>
    <xf numFmtId="0" fontId="27" fillId="29" borderId="0" applyNumberFormat="0" applyBorder="0" applyAlignment="0" applyProtection="0"/>
    <xf numFmtId="9"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9" fontId="2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27" fillId="30" borderId="0" applyNumberFormat="0" applyBorder="0" applyAlignment="0" applyProtection="0"/>
    <xf numFmtId="0" fontId="27" fillId="37" borderId="0" applyNumberFormat="0" applyBorder="0" applyAlignment="0" applyProtection="0"/>
    <xf numFmtId="0" fontId="27" fillId="0" borderId="0"/>
    <xf numFmtId="167" fontId="27" fillId="0" borderId="0" applyFont="0" applyFill="0" applyBorder="0" applyAlignment="0" applyProtection="0"/>
    <xf numFmtId="0" fontId="27" fillId="26"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57" fillId="0" borderId="0" applyFont="0" applyFill="0" applyBorder="0" applyAlignment="0" applyProtection="0"/>
    <xf numFmtId="0" fontId="27" fillId="0" borderId="0"/>
    <xf numFmtId="167" fontId="5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19" borderId="60"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25" borderId="0" applyNumberFormat="0" applyBorder="0" applyAlignment="0" applyProtection="0"/>
    <xf numFmtId="0" fontId="27" fillId="22" borderId="0" applyNumberFormat="0" applyBorder="0" applyAlignment="0" applyProtection="0"/>
    <xf numFmtId="167" fontId="5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167" fontId="57" fillId="0" borderId="0" applyFont="0" applyFill="0" applyBorder="0" applyAlignment="0" applyProtection="0"/>
    <xf numFmtId="167" fontId="5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0" borderId="0"/>
    <xf numFmtId="167" fontId="57" fillId="0" borderId="0" applyFont="0" applyFill="0" applyBorder="0" applyAlignment="0" applyProtection="0"/>
    <xf numFmtId="167" fontId="57" fillId="0" borderId="0" applyFont="0" applyFill="0" applyBorder="0" applyAlignment="0" applyProtection="0"/>
    <xf numFmtId="0" fontId="27" fillId="0" borderId="0"/>
    <xf numFmtId="0" fontId="27" fillId="0" borderId="0"/>
    <xf numFmtId="0" fontId="27" fillId="0" borderId="0"/>
    <xf numFmtId="0" fontId="27" fillId="38" borderId="0" applyNumberFormat="0" applyBorder="0" applyAlignment="0" applyProtection="0"/>
    <xf numFmtId="0" fontId="27" fillId="21"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33" borderId="0" applyNumberFormat="0" applyBorder="0" applyAlignment="0" applyProtection="0"/>
    <xf numFmtId="0" fontId="27" fillId="3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167" fontId="27" fillId="0" borderId="0" applyFont="0" applyFill="0" applyBorder="0" applyAlignment="0" applyProtection="0"/>
    <xf numFmtId="0" fontId="26" fillId="0" borderId="0"/>
    <xf numFmtId="0" fontId="26" fillId="19" borderId="60" applyNumberFormat="0" applyFont="0" applyAlignment="0" applyProtection="0"/>
    <xf numFmtId="0" fontId="26" fillId="21" borderId="0" applyNumberFormat="0" applyBorder="0" applyAlignment="0" applyProtection="0"/>
    <xf numFmtId="0" fontId="26" fillId="22"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5" fillId="0" borderId="0"/>
    <xf numFmtId="0" fontId="25" fillId="0" borderId="0"/>
    <xf numFmtId="0" fontId="25" fillId="0" borderId="0"/>
    <xf numFmtId="0" fontId="25" fillId="0" borderId="0"/>
    <xf numFmtId="167" fontId="57" fillId="0" borderId="0" applyFont="0" applyFill="0" applyBorder="0" applyAlignment="0" applyProtection="0"/>
    <xf numFmtId="0" fontId="25" fillId="0" borderId="0"/>
    <xf numFmtId="167" fontId="57"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167" fontId="25" fillId="0" borderId="0" applyFont="0" applyFill="0" applyBorder="0" applyAlignment="0" applyProtection="0"/>
    <xf numFmtId="167" fontId="57" fillId="0" borderId="0" applyFont="0" applyFill="0" applyBorder="0" applyAlignment="0" applyProtection="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167" fontId="25" fillId="0" borderId="0" applyFont="0" applyFill="0" applyBorder="0" applyAlignment="0" applyProtection="0"/>
    <xf numFmtId="0" fontId="24" fillId="0" borderId="0"/>
    <xf numFmtId="0" fontId="210" fillId="0" borderId="0"/>
    <xf numFmtId="1" fontId="210" fillId="0" borderId="0" applyBorder="0" applyProtection="0"/>
    <xf numFmtId="0" fontId="23" fillId="0" borderId="0"/>
    <xf numFmtId="0" fontId="22" fillId="0" borderId="0"/>
    <xf numFmtId="0" fontId="21" fillId="0" borderId="0"/>
    <xf numFmtId="0" fontId="21" fillId="19" borderId="60" applyNumberFormat="0" applyFont="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0" fillId="0" borderId="0"/>
    <xf numFmtId="0" fontId="211" fillId="70" borderId="0"/>
    <xf numFmtId="0" fontId="67" fillId="0" borderId="0"/>
    <xf numFmtId="0" fontId="212" fillId="0" borderId="0" applyNumberFormat="0" applyFill="0" applyBorder="0" applyAlignment="0" applyProtection="0">
      <alignment vertical="top"/>
      <protection locked="0"/>
    </xf>
    <xf numFmtId="0" fontId="57" fillId="0" borderId="0"/>
    <xf numFmtId="0" fontId="19" fillId="0" borderId="0"/>
    <xf numFmtId="0" fontId="18" fillId="0" borderId="0"/>
    <xf numFmtId="0" fontId="18" fillId="19" borderId="60" applyNumberFormat="0" applyFont="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7" fillId="0" borderId="0"/>
    <xf numFmtId="0" fontId="16" fillId="0" borderId="0"/>
    <xf numFmtId="3" fontId="57" fillId="0" borderId="0" applyFill="0" applyBorder="0" applyAlignment="0" applyProtection="0"/>
    <xf numFmtId="0" fontId="215" fillId="0" borderId="0" applyNumberFormat="0" applyFill="0" applyBorder="0" applyAlignment="0" applyProtection="0">
      <alignment vertical="top"/>
      <protection locked="0"/>
    </xf>
    <xf numFmtId="167" fontId="57" fillId="0" borderId="0" applyFont="0" applyFill="0" applyBorder="0" applyAlignment="0" applyProtection="0"/>
    <xf numFmtId="0" fontId="15" fillId="0" borderId="0"/>
    <xf numFmtId="0" fontId="57" fillId="0" borderId="0"/>
    <xf numFmtId="0" fontId="14" fillId="0" borderId="0"/>
    <xf numFmtId="9" fontId="14" fillId="0" borderId="0" applyFont="0" applyFill="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216" fillId="0" borderId="0"/>
    <xf numFmtId="9" fontId="57" fillId="0" borderId="0" applyFont="0" applyFill="0" applyBorder="0" applyAlignment="0" applyProtection="0"/>
    <xf numFmtId="0" fontId="56" fillId="0" borderId="1">
      <protection locked="0"/>
    </xf>
    <xf numFmtId="167" fontId="14" fillId="0" borderId="0" applyFont="0" applyFill="0" applyBorder="0" applyAlignment="0" applyProtection="0"/>
    <xf numFmtId="167" fontId="14" fillId="0" borderId="0" applyFont="0" applyFill="0" applyBorder="0" applyAlignment="0" applyProtection="0"/>
    <xf numFmtId="0" fontId="137" fillId="15" borderId="0" applyNumberFormat="0" applyBorder="0" applyAlignment="0" applyProtection="0"/>
    <xf numFmtId="0" fontId="145" fillId="23" borderId="0" applyNumberFormat="0" applyBorder="0" applyAlignment="0" applyProtection="0"/>
    <xf numFmtId="0" fontId="145" fillId="27" borderId="0" applyNumberFormat="0" applyBorder="0" applyAlignment="0" applyProtection="0"/>
    <xf numFmtId="0" fontId="145" fillId="31" borderId="0" applyNumberFormat="0" applyBorder="0" applyAlignment="0" applyProtection="0"/>
    <xf numFmtId="0" fontId="145" fillId="35" borderId="0" applyNumberFormat="0" applyBorder="0" applyAlignment="0" applyProtection="0"/>
    <xf numFmtId="0" fontId="145" fillId="39" borderId="0" applyNumberFormat="0" applyBorder="0" applyAlignment="0" applyProtection="0"/>
    <xf numFmtId="0" fontId="145" fillId="43" borderId="0" applyNumberFormat="0" applyBorder="0" applyAlignment="0" applyProtection="0"/>
    <xf numFmtId="0" fontId="14" fillId="0" borderId="0"/>
    <xf numFmtId="0" fontId="14" fillId="19" borderId="60" applyNumberFormat="0" applyFont="0" applyAlignment="0" applyProtection="0"/>
    <xf numFmtId="0" fontId="14" fillId="0" borderId="0"/>
    <xf numFmtId="167" fontId="57" fillId="0" borderId="0" applyFont="0" applyFill="0" applyBorder="0" applyAlignment="0" applyProtection="0"/>
    <xf numFmtId="167" fontId="57" fillId="0" borderId="0" applyFont="0" applyFill="0" applyBorder="0" applyAlignment="0" applyProtection="0"/>
    <xf numFmtId="43" fontId="14"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44" fontId="14" fillId="0" borderId="0" applyFont="0" applyFill="0" applyBorder="0" applyAlignment="0" applyProtection="0"/>
    <xf numFmtId="166" fontId="57"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57" fillId="0" borderId="0" applyNumberFormat="0" applyFill="0" applyBorder="0" applyAlignment="0" applyProtection="0"/>
    <xf numFmtId="167" fontId="57" fillId="0" borderId="0" applyFont="0" applyFill="0" applyBorder="0" applyAlignment="0" applyProtection="0"/>
    <xf numFmtId="0" fontId="14" fillId="0" borderId="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167" fontId="14" fillId="0" borderId="0" applyFont="0" applyFill="0" applyBorder="0" applyAlignment="0" applyProtection="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1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6" fontId="5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57"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0" fontId="14" fillId="0" borderId="0"/>
    <xf numFmtId="167" fontId="57" fillId="0" borderId="0" applyFont="0" applyFill="0" applyBorder="0" applyAlignment="0" applyProtection="0"/>
    <xf numFmtId="167" fontId="14" fillId="0" borderId="0" applyFont="0" applyFill="0" applyBorder="0" applyAlignment="0" applyProtection="0"/>
    <xf numFmtId="166" fontId="57"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57" fillId="0" borderId="0" applyFont="0" applyFill="0" applyBorder="0" applyAlignment="0" applyProtection="0"/>
    <xf numFmtId="0" fontId="14" fillId="0" borderId="0"/>
    <xf numFmtId="9" fontId="14" fillId="0" borderId="0" applyFont="0" applyFill="0" applyBorder="0" applyAlignment="0" applyProtection="0"/>
    <xf numFmtId="167" fontId="57"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0" borderId="0"/>
    <xf numFmtId="9" fontId="14" fillId="0" borderId="0" applyFont="0" applyFill="0" applyBorder="0" applyAlignment="0" applyProtection="0"/>
    <xf numFmtId="167" fontId="57"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167" fontId="57"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0" fontId="14" fillId="0" borderId="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167" fontId="1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167" fontId="57"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207" fontId="57" fillId="0" borderId="0" applyFont="0" applyFill="0" applyBorder="0" applyAlignment="0" applyProtection="0"/>
    <xf numFmtId="9" fontId="57"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57" fillId="0" borderId="0" applyFont="0" applyFill="0" applyBorder="0" applyAlignment="0" applyProtection="0"/>
    <xf numFmtId="0" fontId="14" fillId="0" borderId="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0" borderId="0"/>
    <xf numFmtId="167" fontId="57" fillId="0" borderId="0" applyFont="0" applyFill="0" applyBorder="0" applyAlignment="0" applyProtection="0"/>
    <xf numFmtId="0" fontId="14" fillId="0" borderId="0"/>
    <xf numFmtId="0" fontId="14" fillId="0" borderId="0"/>
    <xf numFmtId="0" fontId="14" fillId="29" borderId="0" applyNumberFormat="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9" fontId="14"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4" fillId="30" borderId="0" applyNumberFormat="0" applyBorder="0" applyAlignment="0" applyProtection="0"/>
    <xf numFmtId="0" fontId="14" fillId="37" borderId="0" applyNumberFormat="0" applyBorder="0" applyAlignment="0" applyProtection="0"/>
    <xf numFmtId="0" fontId="14" fillId="0" borderId="0"/>
    <xf numFmtId="167" fontId="14" fillId="0" borderId="0" applyFont="0" applyFill="0" applyBorder="0" applyAlignment="0" applyProtection="0"/>
    <xf numFmtId="0" fontId="14" fillId="2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0" fontId="14" fillId="0" borderId="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19" borderId="60"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25" borderId="0" applyNumberFormat="0" applyBorder="0" applyAlignment="0" applyProtection="0"/>
    <xf numFmtId="0" fontId="14" fillId="22" borderId="0" applyNumberFormat="0" applyBorder="0" applyAlignment="0" applyProtection="0"/>
    <xf numFmtId="167" fontId="57"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167" fontId="57"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0" fontId="14" fillId="38" borderId="0" applyNumberFormat="0" applyBorder="0" applyAlignment="0" applyProtection="0"/>
    <xf numFmtId="0" fontId="14"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3" borderId="0" applyNumberFormat="0" applyBorder="0" applyAlignment="0" applyProtection="0"/>
    <xf numFmtId="0" fontId="14" fillId="34"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167" fontId="14" fillId="0" borderId="0" applyFont="0" applyFill="0" applyBorder="0" applyAlignment="0" applyProtection="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0" borderId="0"/>
    <xf numFmtId="0" fontId="14" fillId="0" borderId="0"/>
    <xf numFmtId="0" fontId="14" fillId="0" borderId="0"/>
    <xf numFmtId="167" fontId="57" fillId="0" borderId="0" applyFont="0" applyFill="0" applyBorder="0" applyAlignment="0" applyProtection="0"/>
    <xf numFmtId="0" fontId="14" fillId="0" borderId="0"/>
    <xf numFmtId="167" fontId="57"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167" fontId="14" fillId="0" borderId="0" applyFont="0" applyFill="0" applyBorder="0" applyAlignment="0" applyProtection="0"/>
    <xf numFmtId="167" fontId="57"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0" borderId="0"/>
    <xf numFmtId="0" fontId="14" fillId="0" borderId="0"/>
    <xf numFmtId="0" fontId="14" fillId="19" borderId="60"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0" borderId="0"/>
    <xf numFmtId="0" fontId="14" fillId="0" borderId="0"/>
    <xf numFmtId="167" fontId="57" fillId="0" borderId="0" applyFont="0" applyFill="0" applyBorder="0" applyAlignment="0" applyProtection="0"/>
    <xf numFmtId="0" fontId="14" fillId="0" borderId="0"/>
    <xf numFmtId="0" fontId="195" fillId="62" borderId="80" applyNumberFormat="0" applyAlignment="0" applyProtection="0"/>
    <xf numFmtId="0" fontId="188" fillId="62" borderId="75" applyNumberFormat="0" applyAlignment="0" applyProtection="0"/>
    <xf numFmtId="0" fontId="192" fillId="53" borderId="75" applyNumberFormat="0" applyAlignment="0" applyProtection="0"/>
    <xf numFmtId="0" fontId="201" fillId="0" borderId="84" applyNumberFormat="0" applyFill="0" applyAlignment="0" applyProtection="0"/>
    <xf numFmtId="0" fontId="57" fillId="69" borderId="79" applyNumberFormat="0" applyFont="0" applyAlignment="0" applyProtection="0"/>
    <xf numFmtId="0" fontId="188" fillId="62" borderId="75" applyNumberFormat="0" applyAlignment="0" applyProtection="0"/>
    <xf numFmtId="0" fontId="192" fillId="53" borderId="75" applyNumberFormat="0" applyAlignment="0" applyProtection="0"/>
    <xf numFmtId="0" fontId="57" fillId="69" borderId="79" applyNumberFormat="0" applyFont="0" applyAlignment="0" applyProtection="0"/>
    <xf numFmtId="0" fontId="195" fillId="62" borderId="80" applyNumberFormat="0" applyAlignment="0" applyProtection="0"/>
    <xf numFmtId="0" fontId="201" fillId="0" borderId="84" applyNumberFormat="0" applyFill="0" applyAlignment="0" applyProtection="0"/>
    <xf numFmtId="0" fontId="13" fillId="0" borderId="0"/>
    <xf numFmtId="167" fontId="57" fillId="0" borderId="0" applyFont="0" applyFill="0" applyBorder="0" applyAlignment="0" applyProtection="0"/>
    <xf numFmtId="194" fontId="217" fillId="0" borderId="0" applyFont="0" applyFill="0" applyBorder="0" applyAlignment="0" applyProtection="0"/>
    <xf numFmtId="0" fontId="12" fillId="0" borderId="0"/>
    <xf numFmtId="167" fontId="57" fillId="0" borderId="0" applyFont="0" applyFill="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194" fontId="218" fillId="0" borderId="0" applyFont="0" applyFill="0" applyBorder="0" applyAlignment="0" applyProtection="0"/>
    <xf numFmtId="0" fontId="10" fillId="0" borderId="0"/>
    <xf numFmtId="0" fontId="10" fillId="19" borderId="60" applyNumberFormat="0" applyFont="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57" fillId="0" borderId="0" applyFont="0" applyFill="0" applyBorder="0" applyAlignment="0" applyProtection="0"/>
    <xf numFmtId="0" fontId="219" fillId="0" borderId="0" applyNumberFormat="0" applyFill="0" applyBorder="0" applyAlignment="0" applyProtection="0"/>
    <xf numFmtId="0" fontId="9" fillId="0" borderId="0"/>
    <xf numFmtId="167" fontId="57" fillId="0" borderId="0" applyFont="0" applyFill="0" applyBorder="0" applyAlignment="0" applyProtection="0"/>
    <xf numFmtId="0" fontId="8" fillId="0" borderId="0"/>
    <xf numFmtId="0" fontId="220" fillId="0" borderId="0" applyNumberFormat="0" applyFill="0" applyBorder="0" applyAlignment="0" applyProtection="0"/>
    <xf numFmtId="9" fontId="7" fillId="0" borderId="0" applyFont="0" applyFill="0" applyBorder="0" applyAlignment="0" applyProtection="0"/>
    <xf numFmtId="0" fontId="219"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168" fontId="57" fillId="0" borderId="0" applyFont="0" applyFill="0" applyBorder="0" applyAlignment="0" applyProtection="0"/>
    <xf numFmtId="0" fontId="6" fillId="0" borderId="0"/>
    <xf numFmtId="0" fontId="6" fillId="0" borderId="0"/>
    <xf numFmtId="0" fontId="235" fillId="70" borderId="0"/>
    <xf numFmtId="0" fontId="5" fillId="0" borderId="0"/>
    <xf numFmtId="9" fontId="247"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249" fillId="0" borderId="0" applyFont="0" applyFill="0" applyBorder="0" applyAlignment="0" applyProtection="0"/>
    <xf numFmtId="43" fontId="250" fillId="0" borderId="0" applyFont="0" applyFill="0" applyBorder="0" applyAlignment="0" applyProtection="0"/>
    <xf numFmtId="9" fontId="57" fillId="0" borderId="0" applyFont="0" applyFill="0" applyBorder="0" applyAlignment="0" applyProtection="0"/>
    <xf numFmtId="0" fontId="3" fillId="0" borderId="0"/>
    <xf numFmtId="0" fontId="258" fillId="0" borderId="0"/>
    <xf numFmtId="0" fontId="157" fillId="48" borderId="0" applyNumberFormat="0" applyBorder="0" applyAlignment="0" applyProtection="0"/>
    <xf numFmtId="0" fontId="157" fillId="48"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48"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57" fillId="48"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260"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260" fillId="48" borderId="0" applyNumberFormat="0" applyBorder="0" applyAlignment="0" applyProtection="0"/>
    <xf numFmtId="0" fontId="260" fillId="48"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4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57" fillId="4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57" fillId="4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260"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260" fillId="49" borderId="0" applyNumberFormat="0" applyBorder="0" applyAlignment="0" applyProtection="0"/>
    <xf numFmtId="0" fontId="260" fillId="4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57" fillId="49" borderId="0" applyNumberFormat="0" applyBorder="0" applyAlignment="0" applyProtection="0"/>
    <xf numFmtId="0" fontId="157" fillId="4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4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57" fillId="5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57" fillId="5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260"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260" fillId="50" borderId="0" applyNumberFormat="0" applyBorder="0" applyAlignment="0" applyProtection="0"/>
    <xf numFmtId="0" fontId="260" fillId="5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4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57" fillId="5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7" fillId="5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260"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260" fillId="51" borderId="0" applyNumberFormat="0" applyBorder="0" applyAlignment="0" applyProtection="0"/>
    <xf numFmtId="0" fontId="260" fillId="5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4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57" fillId="5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260"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260" fillId="52" borderId="0" applyNumberFormat="0" applyBorder="0" applyAlignment="0" applyProtection="0"/>
    <xf numFmtId="0" fontId="260" fillId="5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57" fillId="5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48"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57" fillId="5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260"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260" fillId="53" borderId="0" applyNumberFormat="0" applyBorder="0" applyAlignment="0" applyProtection="0"/>
    <xf numFmtId="0" fontId="260" fillId="5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5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48"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57" fillId="5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60"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60" fillId="54" borderId="0" applyNumberFormat="0" applyBorder="0" applyAlignment="0" applyProtection="0"/>
    <xf numFmtId="0" fontId="260" fillId="5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57" fillId="5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48"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57" fillId="5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260"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260" fillId="55" borderId="0" applyNumberFormat="0" applyBorder="0" applyAlignment="0" applyProtection="0"/>
    <xf numFmtId="0" fontId="260" fillId="5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57" fillId="5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48"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57" fillId="5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57" fillId="5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260"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260" fillId="56" borderId="0" applyNumberFormat="0" applyBorder="0" applyAlignment="0" applyProtection="0"/>
    <xf numFmtId="0" fontId="260" fillId="5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48"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57"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260"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260" fillId="51" borderId="0" applyNumberFormat="0" applyBorder="0" applyAlignment="0" applyProtection="0"/>
    <xf numFmtId="0" fontId="260"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57"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48"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57" fillId="5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60"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60" fillId="54" borderId="0" applyNumberFormat="0" applyBorder="0" applyAlignment="0" applyProtection="0"/>
    <xf numFmtId="0" fontId="260" fillId="5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57" fillId="5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48"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57" fillId="57"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260"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260" fillId="57" borderId="0" applyNumberFormat="0" applyBorder="0" applyAlignment="0" applyProtection="0"/>
    <xf numFmtId="0" fontId="260" fillId="57"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57" fillId="57"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48"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261"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187" fillId="58" borderId="0" applyNumberFormat="0" applyBorder="0" applyAlignment="0" applyProtection="0"/>
    <xf numFmtId="0" fontId="261" fillId="58" borderId="0" applyNumberFormat="0" applyBorder="0" applyAlignment="0" applyProtection="0"/>
    <xf numFmtId="0" fontId="261" fillId="58" borderId="0" applyNumberFormat="0" applyBorder="0" applyAlignment="0" applyProtection="0"/>
    <xf numFmtId="0" fontId="145" fillId="23" borderId="0" applyNumberFormat="0" applyBorder="0" applyAlignment="0" applyProtection="0"/>
    <xf numFmtId="0" fontId="187" fillId="58" borderId="0" applyNumberFormat="0" applyBorder="0" applyAlignment="0" applyProtection="0"/>
    <xf numFmtId="0" fontId="3" fillId="23" borderId="0" applyNumberFormat="0" applyBorder="0" applyAlignment="0" applyProtection="0"/>
    <xf numFmtId="0" fontId="262" fillId="23"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261"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187" fillId="55" borderId="0" applyNumberFormat="0" applyBorder="0" applyAlignment="0" applyProtection="0"/>
    <xf numFmtId="0" fontId="261" fillId="55" borderId="0" applyNumberFormat="0" applyBorder="0" applyAlignment="0" applyProtection="0"/>
    <xf numFmtId="0" fontId="261" fillId="55" borderId="0" applyNumberFormat="0" applyBorder="0" applyAlignment="0" applyProtection="0"/>
    <xf numFmtId="0" fontId="145" fillId="27" borderId="0" applyNumberFormat="0" applyBorder="0" applyAlignment="0" applyProtection="0"/>
    <xf numFmtId="0" fontId="187" fillId="55" borderId="0" applyNumberFormat="0" applyBorder="0" applyAlignment="0" applyProtection="0"/>
    <xf numFmtId="0" fontId="3" fillId="27" borderId="0" applyNumberFormat="0" applyBorder="0" applyAlignment="0" applyProtection="0"/>
    <xf numFmtId="0" fontId="262" fillId="27"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87" fillId="56" borderId="0" applyNumberFormat="0" applyBorder="0" applyAlignment="0" applyProtection="0"/>
    <xf numFmtId="0" fontId="145" fillId="31"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261" fillId="56"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261" fillId="56" borderId="0" applyNumberFormat="0" applyBorder="0" applyAlignment="0" applyProtection="0"/>
    <xf numFmtId="0" fontId="261" fillId="56" borderId="0" applyNumberFormat="0" applyBorder="0" applyAlignment="0" applyProtection="0"/>
    <xf numFmtId="0" fontId="187" fillId="56" borderId="0" applyNumberFormat="0" applyBorder="0" applyAlignment="0" applyProtection="0"/>
    <xf numFmtId="0" fontId="187" fillId="56" borderId="0" applyNumberFormat="0" applyBorder="0" applyAlignment="0" applyProtection="0"/>
    <xf numFmtId="0" fontId="145" fillId="31" borderId="0" applyNumberFormat="0" applyBorder="0" applyAlignment="0" applyProtection="0"/>
    <xf numFmtId="0" fontId="262" fillId="31"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3" fillId="31"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187" fillId="59" borderId="0" applyNumberFormat="0" applyBorder="0" applyAlignment="0" applyProtection="0"/>
    <xf numFmtId="0" fontId="145" fillId="35"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261"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261" fillId="59" borderId="0" applyNumberFormat="0" applyBorder="0" applyAlignment="0" applyProtection="0"/>
    <xf numFmtId="0" fontId="261"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45" fillId="35" borderId="0" applyNumberFormat="0" applyBorder="0" applyAlignment="0" applyProtection="0"/>
    <xf numFmtId="0" fontId="262"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3"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261"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261" fillId="60" borderId="0" applyNumberFormat="0" applyBorder="0" applyAlignment="0" applyProtection="0"/>
    <xf numFmtId="0" fontId="261" fillId="60" borderId="0" applyNumberFormat="0" applyBorder="0" applyAlignment="0" applyProtection="0"/>
    <xf numFmtId="0" fontId="145" fillId="39" borderId="0" applyNumberFormat="0" applyBorder="0" applyAlignment="0" applyProtection="0"/>
    <xf numFmtId="0" fontId="187" fillId="60" borderId="0" applyNumberFormat="0" applyBorder="0" applyAlignment="0" applyProtection="0"/>
    <xf numFmtId="0" fontId="3" fillId="39" borderId="0" applyNumberFormat="0" applyBorder="0" applyAlignment="0" applyProtection="0"/>
    <xf numFmtId="0" fontId="262" fillId="39" borderId="0" applyNumberFormat="0" applyBorder="0" applyAlignment="0" applyProtection="0"/>
    <xf numFmtId="0" fontId="145" fillId="39" borderId="0" applyNumberFormat="0" applyBorder="0" applyAlignment="0" applyProtection="0"/>
    <xf numFmtId="0" fontId="145" fillId="39" borderId="0" applyNumberFormat="0" applyBorder="0" applyAlignment="0" applyProtection="0"/>
    <xf numFmtId="0" fontId="187" fillId="61" borderId="0" applyNumberFormat="0" applyBorder="0" applyAlignment="0" applyProtection="0"/>
    <xf numFmtId="0" fontId="145" fillId="43"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261" fillId="61"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261" fillId="61" borderId="0" applyNumberFormat="0" applyBorder="0" applyAlignment="0" applyProtection="0"/>
    <xf numFmtId="0" fontId="261" fillId="61" borderId="0" applyNumberFormat="0" applyBorder="0" applyAlignment="0" applyProtection="0"/>
    <xf numFmtId="0" fontId="187" fillId="61" borderId="0" applyNumberFormat="0" applyBorder="0" applyAlignment="0" applyProtection="0"/>
    <xf numFmtId="0" fontId="187" fillId="61" borderId="0" applyNumberFormat="0" applyBorder="0" applyAlignment="0" applyProtection="0"/>
    <xf numFmtId="0" fontId="145" fillId="43" borderId="0" applyNumberFormat="0" applyBorder="0" applyAlignment="0" applyProtection="0"/>
    <xf numFmtId="0" fontId="262"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3"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145" fillId="43" borderId="0" applyNumberFormat="0" applyBorder="0" applyAlignment="0" applyProtection="0"/>
    <xf numFmtId="0" fontId="57" fillId="0" borderId="0" applyNumberFormat="0" applyFill="0" applyBorder="0" applyAlignment="0" applyProtection="0"/>
    <xf numFmtId="0" fontId="263" fillId="50" borderId="0" applyNumberFormat="0" applyBorder="0" applyAlignment="0" applyProtection="0"/>
    <xf numFmtId="0" fontId="264"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3" fillId="50" borderId="0" applyNumberFormat="0" applyBorder="0" applyAlignment="0" applyProtection="0"/>
    <xf numFmtId="0" fontId="264" fillId="50" borderId="0" applyNumberFormat="0" applyBorder="0" applyAlignment="0" applyProtection="0"/>
    <xf numFmtId="0" fontId="264" fillId="50" borderId="0" applyNumberFormat="0" applyBorder="0" applyAlignment="0" applyProtection="0"/>
    <xf numFmtId="0" fontId="263" fillId="50" borderId="0" applyNumberFormat="0" applyBorder="0" applyAlignment="0" applyProtection="0"/>
    <xf numFmtId="0" fontId="135" fillId="13" borderId="0" applyNumberFormat="0" applyBorder="0" applyAlignment="0" applyProtection="0"/>
    <xf numFmtId="0" fontId="26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88" fillId="62" borderId="190" applyNumberFormat="0" applyAlignment="0" applyProtection="0"/>
    <xf numFmtId="0" fontId="266"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266" fillId="62" borderId="190" applyNumberFormat="0" applyAlignment="0" applyProtection="0"/>
    <xf numFmtId="0" fontId="266" fillId="62" borderId="190" applyNumberFormat="0" applyAlignment="0" applyProtection="0"/>
    <xf numFmtId="0" fontId="140" fillId="17" borderId="56" applyNumberFormat="0" applyAlignment="0" applyProtection="0"/>
    <xf numFmtId="0" fontId="140" fillId="17" borderId="56" applyNumberFormat="0" applyAlignment="0" applyProtection="0"/>
    <xf numFmtId="0" fontId="188" fillId="62" borderId="190" applyNumberFormat="0" applyAlignment="0" applyProtection="0"/>
    <xf numFmtId="0" fontId="267" fillId="17" borderId="56" applyNumberFormat="0" applyAlignment="0" applyProtection="0"/>
    <xf numFmtId="0" fontId="140" fillId="17" borderId="56" applyNumberFormat="0" applyAlignment="0" applyProtection="0"/>
    <xf numFmtId="0" fontId="140" fillId="17" borderId="56" applyNumberFormat="0" applyAlignment="0" applyProtection="0"/>
    <xf numFmtId="0" fontId="268"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189" fillId="63" borderId="76" applyNumberFormat="0" applyAlignment="0" applyProtection="0"/>
    <xf numFmtId="0" fontId="268" fillId="63" borderId="76" applyNumberFormat="0" applyAlignment="0" applyProtection="0"/>
    <xf numFmtId="0" fontId="268" fillId="63" borderId="76" applyNumberFormat="0" applyAlignment="0" applyProtection="0"/>
    <xf numFmtId="0" fontId="142" fillId="18" borderId="59" applyNumberFormat="0" applyAlignment="0" applyProtection="0"/>
    <xf numFmtId="0" fontId="142" fillId="18" borderId="59" applyNumberFormat="0" applyAlignment="0" applyProtection="0"/>
    <xf numFmtId="0" fontId="189" fillId="63" borderId="76" applyNumberFormat="0" applyAlignment="0" applyProtection="0"/>
    <xf numFmtId="0" fontId="269" fillId="18" borderId="59" applyNumberFormat="0" applyAlignment="0" applyProtection="0"/>
    <xf numFmtId="0" fontId="142" fillId="18" borderId="59" applyNumberFormat="0" applyAlignment="0" applyProtection="0"/>
    <xf numFmtId="0" fontId="142" fillId="18" borderId="59" applyNumberFormat="0" applyAlignment="0" applyProtection="0"/>
    <xf numFmtId="0" fontId="27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190" fillId="0" borderId="77" applyNumberFormat="0" applyFill="0" applyAlignment="0" applyProtection="0"/>
    <xf numFmtId="0" fontId="270" fillId="0" borderId="77" applyNumberFormat="0" applyFill="0" applyAlignment="0" applyProtection="0"/>
    <xf numFmtId="0" fontId="270" fillId="0" borderId="77" applyNumberFormat="0" applyFill="0" applyAlignment="0" applyProtection="0"/>
    <xf numFmtId="0" fontId="141" fillId="0" borderId="58" applyNumberFormat="0" applyFill="0" applyAlignment="0" applyProtection="0"/>
    <xf numFmtId="0" fontId="141" fillId="0" borderId="58" applyNumberFormat="0" applyFill="0" applyAlignment="0" applyProtection="0"/>
    <xf numFmtId="0" fontId="190" fillId="0" borderId="77" applyNumberFormat="0" applyFill="0" applyAlignment="0" applyProtection="0"/>
    <xf numFmtId="0" fontId="271" fillId="0" borderId="58" applyNumberFormat="0" applyFill="0" applyAlignment="0" applyProtection="0"/>
    <xf numFmtId="0" fontId="141" fillId="0" borderId="58" applyNumberFormat="0" applyFill="0" applyAlignment="0" applyProtection="0"/>
    <xf numFmtId="0" fontId="141" fillId="0" borderId="58" applyNumberFormat="0" applyFill="0" applyAlignment="0" applyProtection="0"/>
    <xf numFmtId="0" fontId="189" fillId="63" borderId="76" applyNumberFormat="0" applyAlignment="0" applyProtection="0"/>
    <xf numFmtId="0" fontId="116" fillId="0" borderId="0">
      <protection locked="0"/>
    </xf>
    <xf numFmtId="0" fontId="272" fillId="0" borderId="0">
      <protection locked="0"/>
    </xf>
    <xf numFmtId="0" fontId="116" fillId="0" borderId="0">
      <protection locked="0"/>
    </xf>
    <xf numFmtId="0" fontId="272" fillId="0" borderId="0">
      <protection locked="0"/>
    </xf>
    <xf numFmtId="0" fontId="116" fillId="0" borderId="0">
      <protection locked="0"/>
    </xf>
    <xf numFmtId="220" fontId="147" fillId="0" borderId="0">
      <protection locked="0"/>
    </xf>
    <xf numFmtId="220" fontId="147" fillId="0" borderId="0">
      <protection locked="0"/>
    </xf>
    <xf numFmtId="0" fontId="132" fillId="0" borderId="53" applyNumberFormat="0" applyFill="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91" fillId="0" borderId="0" applyNumberFormat="0" applyFill="0" applyBorder="0" applyAlignment="0" applyProtection="0"/>
    <xf numFmtId="0" fontId="273"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261"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187" fillId="64" borderId="0" applyNumberFormat="0" applyBorder="0" applyAlignment="0" applyProtection="0"/>
    <xf numFmtId="0" fontId="261" fillId="64" borderId="0" applyNumberFormat="0" applyBorder="0" applyAlignment="0" applyProtection="0"/>
    <xf numFmtId="0" fontId="261" fillId="64"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87" fillId="64" borderId="0" applyNumberFormat="0" applyBorder="0" applyAlignment="0" applyProtection="0"/>
    <xf numFmtId="0" fontId="262"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261"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187" fillId="65" borderId="0" applyNumberFormat="0" applyBorder="0" applyAlignment="0" applyProtection="0"/>
    <xf numFmtId="0" fontId="261" fillId="65" borderId="0" applyNumberFormat="0" applyBorder="0" applyAlignment="0" applyProtection="0"/>
    <xf numFmtId="0" fontId="261" fillId="65"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187" fillId="65" borderId="0" applyNumberFormat="0" applyBorder="0" applyAlignment="0" applyProtection="0"/>
    <xf numFmtId="0" fontId="262" fillId="24" borderId="0" applyNumberFormat="0" applyBorder="0" applyAlignment="0" applyProtection="0"/>
    <xf numFmtId="0" fontId="145" fillId="24" borderId="0" applyNumberFormat="0" applyBorder="0" applyAlignment="0" applyProtection="0"/>
    <xf numFmtId="0" fontId="145" fillId="24" borderId="0" applyNumberFormat="0" applyBorder="0" applyAlignment="0" applyProtection="0"/>
    <xf numFmtId="0" fontId="261"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261" fillId="66" borderId="0" applyNumberFormat="0" applyBorder="0" applyAlignment="0" applyProtection="0"/>
    <xf numFmtId="0" fontId="261" fillId="66"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87" fillId="66" borderId="0" applyNumberFormat="0" applyBorder="0" applyAlignment="0" applyProtection="0"/>
    <xf numFmtId="0" fontId="262" fillId="28"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261"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187" fillId="59" borderId="0" applyNumberFormat="0" applyBorder="0" applyAlignment="0" applyProtection="0"/>
    <xf numFmtId="0" fontId="261" fillId="59" borderId="0" applyNumberFormat="0" applyBorder="0" applyAlignment="0" applyProtection="0"/>
    <xf numFmtId="0" fontId="261" fillId="59"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87" fillId="59" borderId="0" applyNumberFormat="0" applyBorder="0" applyAlignment="0" applyProtection="0"/>
    <xf numFmtId="0" fontId="262" fillId="32"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261"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187" fillId="60" borderId="0" applyNumberFormat="0" applyBorder="0" applyAlignment="0" applyProtection="0"/>
    <xf numFmtId="0" fontId="261" fillId="60" borderId="0" applyNumberFormat="0" applyBorder="0" applyAlignment="0" applyProtection="0"/>
    <xf numFmtId="0" fontId="261" fillId="60"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187" fillId="60" borderId="0" applyNumberFormat="0" applyBorder="0" applyAlignment="0" applyProtection="0"/>
    <xf numFmtId="0" fontId="262" fillId="36" borderId="0" applyNumberFormat="0" applyBorder="0" applyAlignment="0" applyProtection="0"/>
    <xf numFmtId="0" fontId="145" fillId="36" borderId="0" applyNumberFormat="0" applyBorder="0" applyAlignment="0" applyProtection="0"/>
    <xf numFmtId="0" fontId="145" fillId="36" borderId="0" applyNumberFormat="0" applyBorder="0" applyAlignment="0" applyProtection="0"/>
    <xf numFmtId="0" fontId="261"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187" fillId="67" borderId="0" applyNumberFormat="0" applyBorder="0" applyAlignment="0" applyProtection="0"/>
    <xf numFmtId="0" fontId="261" fillId="67" borderId="0" applyNumberFormat="0" applyBorder="0" applyAlignment="0" applyProtection="0"/>
    <xf numFmtId="0" fontId="261" fillId="67"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87" fillId="67" borderId="0" applyNumberFormat="0" applyBorder="0" applyAlignment="0" applyProtection="0"/>
    <xf numFmtId="0" fontId="262" fillId="40" borderId="0" applyNumberFormat="0" applyBorder="0" applyAlignment="0" applyProtection="0"/>
    <xf numFmtId="0" fontId="145" fillId="40" borderId="0" applyNumberFormat="0" applyBorder="0" applyAlignment="0" applyProtection="0"/>
    <xf numFmtId="0" fontId="145" fillId="40" borderId="0" applyNumberFormat="0" applyBorder="0" applyAlignment="0" applyProtection="0"/>
    <xf numFmtId="0" fontId="192" fillId="53" borderId="190" applyNumberFormat="0" applyAlignment="0" applyProtection="0"/>
    <xf numFmtId="0" fontId="274"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274" fillId="53" borderId="190" applyNumberFormat="0" applyAlignment="0" applyProtection="0"/>
    <xf numFmtId="0" fontId="274" fillId="53" borderId="190" applyNumberFormat="0" applyAlignment="0" applyProtection="0"/>
    <xf numFmtId="0" fontId="138" fillId="16" borderId="56" applyNumberFormat="0" applyAlignment="0" applyProtection="0"/>
    <xf numFmtId="0" fontId="138" fillId="16" borderId="56" applyNumberFormat="0" applyAlignment="0" applyProtection="0"/>
    <xf numFmtId="0" fontId="192" fillId="62" borderId="190" applyNumberFormat="0" applyAlignment="0" applyProtection="0"/>
    <xf numFmtId="0" fontId="192" fillId="62" borderId="190" applyNumberFormat="0" applyAlignment="0" applyProtection="0"/>
    <xf numFmtId="0" fontId="192" fillId="53" borderId="190" applyNumberFormat="0" applyAlignment="0" applyProtection="0"/>
    <xf numFmtId="0" fontId="275" fillId="16" borderId="56" applyNumberFormat="0" applyAlignment="0" applyProtection="0"/>
    <xf numFmtId="0" fontId="138" fillId="16" borderId="56" applyNumberFormat="0" applyAlignment="0" applyProtection="0"/>
    <xf numFmtId="0" fontId="138" fillId="16" borderId="56" applyNumberFormat="0" applyAlignment="0" applyProtection="0"/>
    <xf numFmtId="221" fontId="57" fillId="0" borderId="0" applyFont="0" applyFill="0" applyBorder="0" applyAlignment="0" applyProtection="0"/>
    <xf numFmtId="222" fontId="62" fillId="0" borderId="0" applyFont="0" applyFill="0" applyBorder="0" applyAlignment="0" applyProtection="0"/>
    <xf numFmtId="222" fontId="62" fillId="0" borderId="0" applyFont="0" applyFill="0" applyBorder="0" applyAlignment="0" applyProtection="0"/>
    <xf numFmtId="200" fontId="116" fillId="0" borderId="0">
      <protection locked="0"/>
    </xf>
    <xf numFmtId="0" fontId="116" fillId="0" borderId="0">
      <protection locked="0"/>
    </xf>
    <xf numFmtId="0" fontId="263" fillId="50" borderId="0" applyNumberFormat="0" applyBorder="0" applyAlignment="0" applyProtection="0"/>
    <xf numFmtId="0" fontId="199" fillId="0" borderId="81" applyNumberFormat="0" applyFill="0" applyAlignment="0" applyProtection="0"/>
    <xf numFmtId="0" fontId="191" fillId="0" borderId="0" applyNumberFormat="0" applyFill="0" applyBorder="0" applyAlignment="0" applyProtection="0"/>
    <xf numFmtId="0" fontId="147" fillId="0" borderId="0">
      <protection locked="0"/>
    </xf>
    <xf numFmtId="0" fontId="147" fillId="0" borderId="0">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276"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276" fillId="49" borderId="0" applyNumberFormat="0" applyBorder="0" applyAlignment="0" applyProtection="0"/>
    <xf numFmtId="0" fontId="276" fillId="49" borderId="0" applyNumberFormat="0" applyBorder="0" applyAlignment="0" applyProtection="0"/>
    <xf numFmtId="0" fontId="136" fillId="14" borderId="0" applyNumberFormat="0" applyBorder="0" applyAlignment="0" applyProtection="0"/>
    <xf numFmtId="0" fontId="136" fillId="14" borderId="0" applyNumberFormat="0" applyBorder="0" applyAlignment="0" applyProtection="0"/>
    <xf numFmtId="0" fontId="193" fillId="49" borderId="0" applyNumberFormat="0" applyBorder="0" applyAlignment="0" applyProtection="0"/>
    <xf numFmtId="0" fontId="277" fillId="14" borderId="0" applyNumberFormat="0" applyBorder="0" applyAlignment="0" applyProtection="0"/>
    <xf numFmtId="0" fontId="136" fillId="14" borderId="0" applyNumberFormat="0" applyBorder="0" applyAlignment="0" applyProtection="0"/>
    <xf numFmtId="0" fontId="136" fillId="14" borderId="0" applyNumberFormat="0" applyBorder="0" applyAlignment="0" applyProtection="0"/>
    <xf numFmtId="0" fontId="192" fillId="53" borderId="190" applyNumberFormat="0" applyAlignment="0" applyProtection="0"/>
    <xf numFmtId="0" fontId="190" fillId="0" borderId="77" applyNumberFormat="0" applyFill="0" applyAlignment="0" applyProtection="0"/>
    <xf numFmtId="207"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278" fillId="0" borderId="0" applyFont="0" applyFill="0" applyBorder="0" applyAlignment="0" applyProtection="0"/>
    <xf numFmtId="0" fontId="137" fillId="15" borderId="0" applyNumberFormat="0" applyBorder="0" applyAlignment="0" applyProtection="0"/>
    <xf numFmtId="0" fontId="279"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279" fillId="68" borderId="0" applyNumberFormat="0" applyBorder="0" applyAlignment="0" applyProtection="0"/>
    <xf numFmtId="0" fontId="279"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257" fillId="15"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137" fillId="15"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280" fillId="15"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137" fillId="15"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62" fillId="0" borderId="0"/>
    <xf numFmtId="0" fontId="3" fillId="0" borderId="0"/>
    <xf numFmtId="0" fontId="3" fillId="0" borderId="0"/>
    <xf numFmtId="0" fontId="148"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157" fillId="0" borderId="0"/>
    <xf numFmtId="0" fontId="3" fillId="0" borderId="0"/>
    <xf numFmtId="0" fontId="3" fillId="0" borderId="0"/>
    <xf numFmtId="0" fontId="3" fillId="0" borderId="0"/>
    <xf numFmtId="0" fontId="3" fillId="0" borderId="0"/>
    <xf numFmtId="0" fontId="3" fillId="0" borderId="0"/>
    <xf numFmtId="0" fontId="57" fillId="0" borderId="0"/>
    <xf numFmtId="0" fontId="57" fillId="0" borderId="0"/>
    <xf numFmtId="0" fontId="157" fillId="0" borderId="0"/>
    <xf numFmtId="0" fontId="3" fillId="0" borderId="0"/>
    <xf numFmtId="0" fontId="3" fillId="0" borderId="0"/>
    <xf numFmtId="0" fontId="57" fillId="0" borderId="0"/>
    <xf numFmtId="0" fontId="3" fillId="0" borderId="0"/>
    <xf numFmtId="0" fontId="3" fillId="0" borderId="0"/>
    <xf numFmtId="0" fontId="57" fillId="0" borderId="0"/>
    <xf numFmtId="0" fontId="57" fillId="0" borderId="0"/>
    <xf numFmtId="0" fontId="62" fillId="0" borderId="0"/>
    <xf numFmtId="0" fontId="62"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xf numFmtId="0" fontId="3" fillId="0" borderId="0"/>
    <xf numFmtId="0" fontId="62" fillId="0" borderId="0"/>
    <xf numFmtId="0" fontId="62" fillId="0" borderId="0"/>
    <xf numFmtId="0" fontId="57" fillId="0" borderId="0"/>
    <xf numFmtId="0" fontId="3" fillId="0" borderId="0"/>
    <xf numFmtId="0" fontId="62" fillId="0" borderId="0"/>
    <xf numFmtId="0" fontId="62" fillId="0" borderId="0"/>
    <xf numFmtId="0" fontId="62" fillId="0" borderId="0"/>
    <xf numFmtId="0" fontId="62" fillId="0" borderId="0"/>
    <xf numFmtId="0" fontId="62" fillId="0" borderId="0"/>
    <xf numFmtId="0" fontId="57" fillId="0" borderId="0"/>
    <xf numFmtId="0" fontId="62" fillId="0" borderId="0"/>
    <xf numFmtId="0" fontId="62" fillId="0" borderId="0"/>
    <xf numFmtId="0" fontId="57"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62" fillId="0" borderId="0"/>
    <xf numFmtId="0" fontId="62" fillId="0" borderId="0"/>
    <xf numFmtId="0" fontId="62" fillId="0" borderId="0"/>
    <xf numFmtId="0" fontId="62" fillId="0" borderId="0"/>
    <xf numFmtId="0" fontId="57" fillId="0" borderId="0"/>
    <xf numFmtId="0" fontId="57"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xf numFmtId="0" fontId="62" fillId="0" borderId="0"/>
    <xf numFmtId="0" fontId="62" fillId="0" borderId="0"/>
    <xf numFmtId="0" fontId="57" fillId="69" borderId="191"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57" fillId="69" borderId="191"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1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57" fillId="69" borderId="191"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278" fillId="69" borderId="191" applyNumberFormat="0" applyFont="0" applyAlignment="0" applyProtection="0"/>
    <xf numFmtId="0" fontId="278" fillId="69" borderId="191"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48"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157" fillId="19" borderId="60" applyNumberFormat="0" applyFont="0" applyAlignment="0" applyProtection="0"/>
    <xf numFmtId="0" fontId="157"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3" fillId="19" borderId="60" applyNumberFormat="0" applyFont="0" applyAlignment="0" applyProtection="0"/>
    <xf numFmtId="0" fontId="62" fillId="69" borderId="191" applyNumberFormat="0" applyFont="0" applyAlignment="0" applyProtection="0"/>
    <xf numFmtId="0" fontId="116" fillId="0" borderId="0">
      <protection locked="0"/>
    </xf>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57"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5" fillId="62" borderId="192" applyNumberFormat="0" applyAlignment="0" applyProtection="0"/>
    <xf numFmtId="0" fontId="281"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281" fillId="62" borderId="192" applyNumberFormat="0" applyAlignment="0" applyProtection="0"/>
    <xf numFmtId="0" fontId="281" fillId="62" borderId="192" applyNumberFormat="0" applyAlignment="0" applyProtection="0"/>
    <xf numFmtId="0" fontId="139" fillId="17" borderId="57" applyNumberFormat="0" applyAlignment="0" applyProtection="0"/>
    <xf numFmtId="0" fontId="139" fillId="17" borderId="57" applyNumberFormat="0" applyAlignment="0" applyProtection="0"/>
    <xf numFmtId="0" fontId="195" fillId="62" borderId="192" applyNumberFormat="0" applyAlignment="0" applyProtection="0"/>
    <xf numFmtId="0" fontId="282" fillId="17" borderId="57" applyNumberFormat="0" applyAlignment="0" applyProtection="0"/>
    <xf numFmtId="0" fontId="139" fillId="17" borderId="57" applyNumberFormat="0" applyAlignment="0" applyProtection="0"/>
    <xf numFmtId="0" fontId="139" fillId="17" borderId="57" applyNumberFormat="0" applyAlignment="0" applyProtection="0"/>
    <xf numFmtId="0" fontId="283"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96" fillId="0" borderId="0" applyNumberFormat="0" applyFill="0" applyBorder="0" applyAlignment="0" applyProtection="0"/>
    <xf numFmtId="0" fontId="28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285"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97" fillId="0" borderId="0" applyNumberFormat="0" applyFill="0" applyBorder="0" applyAlignment="0" applyProtection="0"/>
    <xf numFmtId="0" fontId="286"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99" fillId="0" borderId="81" applyNumberFormat="0" applyFill="0" applyAlignment="0" applyProtection="0"/>
    <xf numFmtId="0" fontId="199" fillId="0" borderId="81" applyNumberFormat="0" applyFill="0" applyAlignment="0" applyProtection="0"/>
    <xf numFmtId="0" fontId="199" fillId="0" borderId="81" applyNumberFormat="0" applyFill="0" applyAlignment="0" applyProtection="0"/>
    <xf numFmtId="0" fontId="199" fillId="0" borderId="81" applyNumberFormat="0" applyFill="0" applyAlignment="0" applyProtection="0"/>
    <xf numFmtId="0" fontId="199" fillId="0" borderId="81" applyNumberFormat="0" applyFill="0" applyAlignment="0" applyProtection="0"/>
    <xf numFmtId="0" fontId="132" fillId="0" borderId="53" applyNumberFormat="0" applyFill="0" applyAlignment="0" applyProtection="0"/>
    <xf numFmtId="0" fontId="287" fillId="0" borderId="53" applyNumberFormat="0" applyFill="0" applyAlignment="0" applyProtection="0"/>
    <xf numFmtId="0" fontId="132" fillId="0" borderId="53" applyNumberFormat="0" applyFill="0" applyAlignment="0" applyProtection="0"/>
    <xf numFmtId="0" fontId="132" fillId="0" borderId="53" applyNumberFormat="0" applyFill="0" applyAlignment="0" applyProtection="0"/>
    <xf numFmtId="0" fontId="200" fillId="0" borderId="82" applyNumberFormat="0" applyFill="0" applyAlignment="0" applyProtection="0"/>
    <xf numFmtId="0" fontId="200" fillId="0" borderId="82" applyNumberFormat="0" applyFill="0" applyAlignment="0" applyProtection="0"/>
    <xf numFmtId="0" fontId="200" fillId="0" borderId="82" applyNumberFormat="0" applyFill="0" applyAlignment="0" applyProtection="0"/>
    <xf numFmtId="0" fontId="133" fillId="0" borderId="54" applyNumberFormat="0" applyFill="0" applyAlignment="0" applyProtection="0"/>
    <xf numFmtId="0" fontId="133" fillId="0" borderId="54" applyNumberFormat="0" applyFill="0" applyAlignment="0" applyProtection="0"/>
    <xf numFmtId="0" fontId="200" fillId="0" borderId="82" applyNumberFormat="0" applyFill="0" applyAlignment="0" applyProtection="0"/>
    <xf numFmtId="0" fontId="288" fillId="0" borderId="54" applyNumberFormat="0" applyFill="0" applyAlignment="0" applyProtection="0"/>
    <xf numFmtId="0" fontId="133" fillId="0" borderId="54" applyNumberFormat="0" applyFill="0" applyAlignment="0" applyProtection="0"/>
    <xf numFmtId="0" fontId="133" fillId="0" borderId="54" applyNumberFormat="0" applyFill="0" applyAlignment="0" applyProtection="0"/>
    <xf numFmtId="0" fontId="191" fillId="0" borderId="83" applyNumberFormat="0" applyFill="0" applyAlignment="0" applyProtection="0"/>
    <xf numFmtId="0" fontId="191" fillId="0" borderId="83" applyNumberFormat="0" applyFill="0" applyAlignment="0" applyProtection="0"/>
    <xf numFmtId="0" fontId="191" fillId="0" borderId="83" applyNumberFormat="0" applyFill="0" applyAlignment="0" applyProtection="0"/>
    <xf numFmtId="0" fontId="134" fillId="0" borderId="55" applyNumberFormat="0" applyFill="0" applyAlignment="0" applyProtection="0"/>
    <xf numFmtId="0" fontId="134" fillId="0" borderId="55" applyNumberFormat="0" applyFill="0" applyAlignment="0" applyProtection="0"/>
    <xf numFmtId="0" fontId="191" fillId="0" borderId="83" applyNumberFormat="0" applyFill="0" applyAlignment="0" applyProtection="0"/>
    <xf numFmtId="0" fontId="273" fillId="0" borderId="55" applyNumberFormat="0" applyFill="0" applyAlignment="0" applyProtection="0"/>
    <xf numFmtId="0" fontId="134" fillId="0" borderId="55" applyNumberFormat="0" applyFill="0" applyAlignment="0" applyProtection="0"/>
    <xf numFmtId="0" fontId="134" fillId="0" borderId="55" applyNumberFormat="0" applyFill="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198" fillId="0" borderId="0" applyNumberFormat="0" applyFill="0" applyBorder="0" applyAlignment="0" applyProtection="0"/>
    <xf numFmtId="0" fontId="131" fillId="0" borderId="0" applyNumberFormat="0" applyFill="0" applyBorder="0" applyAlignment="0" applyProtection="0"/>
    <xf numFmtId="0" fontId="259" fillId="0" borderId="0" applyNumberFormat="0" applyFill="0" applyBorder="0" applyAlignment="0" applyProtection="0"/>
    <xf numFmtId="0" fontId="259" fillId="0" borderId="0" applyNumberFormat="0" applyFill="0" applyBorder="0" applyAlignment="0" applyProtection="0"/>
    <xf numFmtId="0" fontId="146" fillId="0" borderId="61" applyNumberFormat="0" applyFill="0" applyAlignment="0" applyProtection="0"/>
    <xf numFmtId="220" fontId="116" fillId="0" borderId="193">
      <protection locked="0"/>
    </xf>
    <xf numFmtId="0" fontId="289"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89" fillId="0" borderId="194" applyNumberFormat="0" applyFill="0" applyAlignment="0" applyProtection="0"/>
    <xf numFmtId="0" fontId="289" fillId="0" borderId="194" applyNumberFormat="0" applyFill="0" applyAlignment="0" applyProtection="0"/>
    <xf numFmtId="0" fontId="201" fillId="0" borderId="194" applyNumberFormat="0" applyFill="0" applyAlignment="0" applyProtection="0"/>
    <xf numFmtId="0" fontId="146" fillId="0" borderId="61"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146" fillId="0" borderId="61"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90" fillId="0" borderId="61"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146" fillId="0" borderId="61"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196" fillId="0" borderId="0" applyNumberFormat="0" applyFill="0" applyBorder="0" applyAlignment="0" applyProtection="0"/>
    <xf numFmtId="0" fontId="57" fillId="0" borderId="0"/>
    <xf numFmtId="0" fontId="57" fillId="0" borderId="0"/>
    <xf numFmtId="0" fontId="57" fillId="0" borderId="0" applyNumberFormat="0" applyFill="0" applyBorder="0" applyAlignment="0" applyProtection="0"/>
    <xf numFmtId="0" fontId="57" fillId="0" borderId="0" applyNumberFormat="0" applyFill="0" applyBorder="0" applyAlignment="0" applyProtection="0"/>
    <xf numFmtId="0" fontId="263" fillId="50" borderId="0" applyNumberFormat="0" applyBorder="0" applyAlignment="0" applyProtection="0"/>
    <xf numFmtId="207" fontId="57" fillId="0" borderId="0" applyFont="0" applyFill="0" applyBorder="0" applyAlignment="0" applyProtection="0"/>
    <xf numFmtId="207"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69" borderId="191" applyNumberFormat="0" applyFont="0" applyAlignment="0" applyProtection="0"/>
    <xf numFmtId="0" fontId="57" fillId="69" borderId="191" applyNumberFormat="0" applyFont="0" applyAlignment="0" applyProtection="0"/>
    <xf numFmtId="9" fontId="57" fillId="0" borderId="0" applyFont="0" applyFill="0" applyBorder="0" applyAlignment="0" applyProtection="0"/>
    <xf numFmtId="0" fontId="199" fillId="0" borderId="81" applyNumberFormat="0" applyFill="0" applyAlignment="0" applyProtection="0"/>
    <xf numFmtId="0" fontId="57" fillId="0" borderId="0"/>
    <xf numFmtId="167" fontId="57" fillId="0" borderId="0" applyFont="0" applyFill="0" applyBorder="0" applyAlignment="0" applyProtection="0"/>
    <xf numFmtId="9" fontId="57" fillId="0" borderId="0" applyFont="0" applyFill="0" applyBorder="0" applyAlignment="0" applyProtection="0"/>
    <xf numFmtId="221"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0" fontId="57" fillId="69" borderId="191" applyNumberFormat="0" applyFont="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8" fillId="0" borderId="0" applyFont="0" applyFill="0" applyBorder="0" applyAlignment="0" applyProtection="0"/>
    <xf numFmtId="9" fontId="3" fillId="0" borderId="0" applyFont="0" applyFill="0" applyBorder="0" applyAlignment="0" applyProtection="0"/>
    <xf numFmtId="0" fontId="116" fillId="0" borderId="0">
      <protection locked="0"/>
    </xf>
    <xf numFmtId="0" fontId="116" fillId="0" borderId="0">
      <protection locked="0"/>
    </xf>
    <xf numFmtId="0" fontId="116" fillId="0" borderId="0">
      <protection locked="0"/>
    </xf>
    <xf numFmtId="0" fontId="116" fillId="0" borderId="0">
      <protection locked="0"/>
    </xf>
    <xf numFmtId="0" fontId="116" fillId="0" borderId="0">
      <protection locked="0"/>
    </xf>
    <xf numFmtId="0" fontId="116" fillId="0" borderId="0">
      <protection locked="0"/>
    </xf>
    <xf numFmtId="2" fontId="118" fillId="7" borderId="36"/>
    <xf numFmtId="2" fontId="118" fillId="7" borderId="36"/>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293"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8" borderId="0" applyNumberFormat="0" applyBorder="0" applyAlignment="0" applyProtection="0"/>
    <xf numFmtId="0" fontId="157" fillId="49"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49"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293"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5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293"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70" borderId="0" applyNumberFormat="0" applyBorder="0" applyAlignment="0" applyProtection="0"/>
    <xf numFmtId="0" fontId="157" fillId="51"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51"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293"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69"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293"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3"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293"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0"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93"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5"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293"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6"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56"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293"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51"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293"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93"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57"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293"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57" fillId="68" borderId="0" applyNumberFormat="0" applyBorder="0" applyAlignment="0" applyProtection="0"/>
    <xf numFmtId="0" fontId="187" fillId="60" borderId="0" applyNumberFormat="0" applyBorder="0" applyAlignment="0" applyProtection="0"/>
    <xf numFmtId="0" fontId="157" fillId="60" borderId="0" applyNumberFormat="0" applyBorder="0" applyAlignment="0" applyProtection="0"/>
    <xf numFmtId="0" fontId="187" fillId="53" borderId="0" applyNumberFormat="0" applyBorder="0" applyAlignment="0" applyProtection="0"/>
    <xf numFmtId="0" fontId="157" fillId="53" borderId="0" applyNumberFormat="0" applyBorder="0" applyAlignment="0" applyProtection="0"/>
    <xf numFmtId="0" fontId="187" fillId="62" borderId="0" applyNumberFormat="0" applyBorder="0" applyAlignment="0" applyProtection="0"/>
    <xf numFmtId="0" fontId="187" fillId="62" borderId="0" applyNumberFormat="0" applyBorder="0" applyAlignment="0" applyProtection="0"/>
    <xf numFmtId="0" fontId="187" fillId="62" borderId="0" applyNumberFormat="0" applyBorder="0" applyAlignment="0" applyProtection="0"/>
    <xf numFmtId="0" fontId="294" fillId="62" borderId="0" applyNumberFormat="0" applyBorder="0" applyAlignment="0" applyProtection="0"/>
    <xf numFmtId="0" fontId="157" fillId="62" borderId="0" applyNumberFormat="0" applyBorder="0" applyAlignment="0" applyProtection="0"/>
    <xf numFmtId="0" fontId="187" fillId="68" borderId="0" applyNumberFormat="0" applyBorder="0" applyAlignment="0" applyProtection="0"/>
    <xf numFmtId="0" fontId="187" fillId="68" borderId="0" applyNumberFormat="0" applyBorder="0" applyAlignment="0" applyProtection="0"/>
    <xf numFmtId="0" fontId="187" fillId="68" borderId="0" applyNumberFormat="0" applyBorder="0" applyAlignment="0" applyProtection="0"/>
    <xf numFmtId="0" fontId="294" fillId="68" borderId="0" applyNumberFormat="0" applyBorder="0" applyAlignment="0" applyProtection="0"/>
    <xf numFmtId="0" fontId="157" fillId="68" borderId="0" applyNumberFormat="0" applyBorder="0" applyAlignment="0" applyProtection="0"/>
    <xf numFmtId="0" fontId="187" fillId="54" borderId="0" applyNumberFormat="0" applyBorder="0" applyAlignment="0" applyProtection="0"/>
    <xf numFmtId="0" fontId="157" fillId="54"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187" fillId="66" borderId="0" applyNumberFormat="0" applyBorder="0" applyAlignment="0" applyProtection="0"/>
    <xf numFmtId="0" fontId="294" fillId="66" borderId="0" applyNumberFormat="0" applyBorder="0" applyAlignment="0" applyProtection="0"/>
    <xf numFmtId="0" fontId="157" fillId="66" borderId="0" applyNumberFormat="0" applyBorder="0" applyAlignment="0" applyProtection="0"/>
    <xf numFmtId="0" fontId="188" fillId="62" borderId="190" applyNumberFormat="0" applyAlignment="0" applyProtection="0"/>
    <xf numFmtId="0" fontId="266" fillId="62" borderId="190" applyNumberFormat="0" applyAlignment="0" applyProtection="0"/>
    <xf numFmtId="0" fontId="188" fillId="62" borderId="190" applyNumberFormat="0" applyAlignment="0" applyProtection="0"/>
    <xf numFmtId="0" fontId="188" fillId="62" borderId="190" applyNumberFormat="0" applyAlignment="0" applyProtection="0"/>
    <xf numFmtId="0" fontId="189" fillId="63" borderId="76" applyNumberFormat="0" applyAlignment="0" applyProtection="0"/>
    <xf numFmtId="0" fontId="190" fillId="0" borderId="77" applyNumberFormat="0" applyFill="0" applyAlignment="0" applyProtection="0"/>
    <xf numFmtId="0" fontId="116" fillId="0" borderId="0">
      <protection locked="0"/>
    </xf>
    <xf numFmtId="0" fontId="272" fillId="0" borderId="0">
      <protection locked="0"/>
    </xf>
    <xf numFmtId="0" fontId="116" fillId="0" borderId="0">
      <protection locked="0"/>
    </xf>
    <xf numFmtId="0" fontId="272" fillId="0" borderId="0">
      <protection locked="0"/>
    </xf>
    <xf numFmtId="0" fontId="116" fillId="0" borderId="0">
      <protection locked="0"/>
    </xf>
    <xf numFmtId="220" fontId="147" fillId="0" borderId="0">
      <protection locked="0"/>
    </xf>
    <xf numFmtId="220" fontId="147" fillId="0" borderId="0">
      <protection locked="0"/>
    </xf>
    <xf numFmtId="0" fontId="202" fillId="0" borderId="81" applyNumberFormat="0" applyFill="0" applyAlignment="0" applyProtection="0"/>
    <xf numFmtId="0" fontId="295" fillId="0" borderId="0" applyNumberFormat="0" applyFill="0" applyBorder="0" applyAlignment="0" applyProtection="0"/>
    <xf numFmtId="0" fontId="187" fillId="64" borderId="0" applyNumberFormat="0" applyBorder="0" applyAlignment="0" applyProtection="0"/>
    <xf numFmtId="0" fontId="187" fillId="67" borderId="0" applyNumberFormat="0" applyBorder="0" applyAlignment="0" applyProtection="0"/>
    <xf numFmtId="0" fontId="187" fillId="63" borderId="0" applyNumberFormat="0" applyBorder="0" applyAlignment="0" applyProtection="0"/>
    <xf numFmtId="0" fontId="187" fillId="57" borderId="0" applyNumberFormat="0" applyBorder="0" applyAlignment="0" applyProtection="0"/>
    <xf numFmtId="0" fontId="187" fillId="60" borderId="0" applyNumberFormat="0" applyBorder="0" applyAlignment="0" applyProtection="0"/>
    <xf numFmtId="0" fontId="187" fillId="66" borderId="0" applyNumberFormat="0" applyBorder="0" applyAlignment="0" applyProtection="0"/>
    <xf numFmtId="0" fontId="192" fillId="53" borderId="190" applyNumberFormat="0" applyAlignment="0" applyProtection="0"/>
    <xf numFmtId="0" fontId="274" fillId="53" borderId="190" applyNumberFormat="0" applyAlignment="0" applyProtection="0"/>
    <xf numFmtId="0" fontId="192" fillId="53" borderId="190" applyNumberFormat="0" applyAlignment="0" applyProtection="0"/>
    <xf numFmtId="0" fontId="192" fillId="53" borderId="190" applyNumberFormat="0" applyAlignment="0" applyProtection="0"/>
    <xf numFmtId="0" fontId="57"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57" fillId="0" borderId="0" applyFont="0" applyFill="0" applyBorder="0" applyAlignment="0" applyProtection="0"/>
    <xf numFmtId="202" fontId="116" fillId="0" borderId="0">
      <protection locked="0"/>
    </xf>
    <xf numFmtId="200" fontId="116" fillId="0" borderId="0">
      <protection locked="0"/>
    </xf>
    <xf numFmtId="0" fontId="116" fillId="0" borderId="0">
      <protection locked="0"/>
    </xf>
    <xf numFmtId="0" fontId="147" fillId="0" borderId="0">
      <protection locked="0"/>
    </xf>
    <xf numFmtId="0" fontId="147" fillId="0" borderId="0">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93" fillId="49" borderId="0" applyNumberFormat="0" applyBorder="0" applyAlignment="0" applyProtection="0"/>
    <xf numFmtId="207"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207" fontId="57" fillId="0" borderId="0" applyFont="0" applyFill="0" applyBorder="0" applyAlignment="0" applyProtection="0"/>
    <xf numFmtId="167" fontId="57" fillId="0" borderId="0" applyFont="0" applyFill="0" applyBorder="0" applyAlignment="0" applyProtection="0"/>
    <xf numFmtId="207" fontId="57" fillId="0" borderId="0" applyFont="0" applyFill="0" applyBorder="0" applyAlignment="0" applyProtection="0"/>
    <xf numFmtId="167" fontId="57" fillId="0" borderId="0" applyFont="0" applyFill="0" applyBorder="0" applyAlignment="0" applyProtection="0"/>
    <xf numFmtId="167" fontId="157" fillId="0" borderId="0" applyFont="0" applyFill="0" applyBorder="0" applyAlignment="0" applyProtection="0"/>
    <xf numFmtId="43" fontId="278" fillId="0" borderId="0" applyFont="0" applyFill="0" applyBorder="0" applyAlignment="0" applyProtection="0"/>
    <xf numFmtId="201" fontId="116" fillId="0" borderId="0">
      <protection locked="0"/>
    </xf>
    <xf numFmtId="0" fontId="194" fillId="68" borderId="0" applyNumberFormat="0" applyBorder="0" applyAlignment="0" applyProtection="0"/>
    <xf numFmtId="0" fontId="194" fillId="68" borderId="0" applyNumberFormat="0" applyBorder="0" applyAlignment="0" applyProtection="0"/>
    <xf numFmtId="0" fontId="194" fillId="68" borderId="0" applyNumberFormat="0" applyBorder="0" applyAlignment="0" applyProtection="0"/>
    <xf numFmtId="0" fontId="296" fillId="68" borderId="0" applyNumberFormat="0" applyBorder="0" applyAlignment="0" applyProtection="0"/>
    <xf numFmtId="0" fontId="194" fillId="68" borderId="0" applyNumberFormat="0" applyBorder="0" applyAlignment="0" applyProtection="0"/>
    <xf numFmtId="0" fontId="57" fillId="0" borderId="0"/>
    <xf numFmtId="0" fontId="62" fillId="0" borderId="0"/>
    <xf numFmtId="0" fontId="157" fillId="0" borderId="0"/>
    <xf numFmtId="0" fontId="157" fillId="0" borderId="0"/>
    <xf numFmtId="0" fontId="293" fillId="0" borderId="0"/>
    <xf numFmtId="0" fontId="57" fillId="0" borderId="0"/>
    <xf numFmtId="0" fontId="57" fillId="0" borderId="0"/>
    <xf numFmtId="0" fontId="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258" fillId="0" borderId="0"/>
    <xf numFmtId="0" fontId="157" fillId="0" borderId="0"/>
    <xf numFmtId="0" fontId="157" fillId="0" borderId="0"/>
    <xf numFmtId="0" fontId="157" fillId="0" borderId="0"/>
    <xf numFmtId="0" fontId="157" fillId="0" borderId="0"/>
    <xf numFmtId="0" fontId="57" fillId="0" borderId="0"/>
    <xf numFmtId="0" fontId="57" fillId="0" borderId="0"/>
    <xf numFmtId="0" fontId="57" fillId="0" borderId="0"/>
    <xf numFmtId="0" fontId="57" fillId="0" borderId="0"/>
    <xf numFmtId="0" fontId="1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57" fillId="0" borderId="0"/>
    <xf numFmtId="0" fontId="57" fillId="0" borderId="0"/>
    <xf numFmtId="0" fontId="57" fillId="0" borderId="0"/>
    <xf numFmtId="0" fontId="157" fillId="0" borderId="0"/>
    <xf numFmtId="0" fontId="157" fillId="0" borderId="0"/>
    <xf numFmtId="0" fontId="157" fillId="0" borderId="0"/>
    <xf numFmtId="0" fontId="57" fillId="0" borderId="0"/>
    <xf numFmtId="0" fontId="157" fillId="0" borderId="0"/>
    <xf numFmtId="0" fontId="157" fillId="0" borderId="0"/>
    <xf numFmtId="0" fontId="57" fillId="0" borderId="0"/>
    <xf numFmtId="0" fontId="57" fillId="0" borderId="0"/>
    <xf numFmtId="0" fontId="57" fillId="0" borderId="0"/>
    <xf numFmtId="0" fontId="57" fillId="0" borderId="0"/>
    <xf numFmtId="0" fontId="62" fillId="0" borderId="0"/>
    <xf numFmtId="0" fontId="157" fillId="0" borderId="0"/>
    <xf numFmtId="0" fontId="157" fillId="0" borderId="0"/>
    <xf numFmtId="0" fontId="57" fillId="0" borderId="0"/>
    <xf numFmtId="0" fontId="57" fillId="0" borderId="0"/>
    <xf numFmtId="0" fontId="57" fillId="0" borderId="0"/>
    <xf numFmtId="0" fontId="157" fillId="0" borderId="0"/>
    <xf numFmtId="0" fontId="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57" fillId="0" borderId="0"/>
    <xf numFmtId="0" fontId="157" fillId="0" borderId="0"/>
    <xf numFmtId="0" fontId="157" fillId="0" borderId="0"/>
    <xf numFmtId="0" fontId="157" fillId="0" borderId="0"/>
    <xf numFmtId="0" fontId="62" fillId="0" borderId="0"/>
    <xf numFmtId="0" fontId="157" fillId="0" borderId="0"/>
    <xf numFmtId="0" fontId="62" fillId="0" borderId="0"/>
    <xf numFmtId="0" fontId="62" fillId="0" borderId="0"/>
    <xf numFmtId="0" fontId="57" fillId="0" borderId="0"/>
    <xf numFmtId="0" fontId="157" fillId="0" borderId="0"/>
    <xf numFmtId="0" fontId="62" fillId="0" borderId="0"/>
    <xf numFmtId="0" fontId="62" fillId="0" borderId="0"/>
    <xf numFmtId="0" fontId="62" fillId="0" borderId="0"/>
    <xf numFmtId="0" fontId="57" fillId="0" borderId="0"/>
    <xf numFmtId="0" fontId="62" fillId="0" borderId="0"/>
    <xf numFmtId="0" fontId="57" fillId="0" borderId="0"/>
    <xf numFmtId="0" fontId="57" fillId="0" borderId="0"/>
    <xf numFmtId="0" fontId="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62" fillId="0" borderId="0"/>
    <xf numFmtId="0" fontId="62" fillId="0" borderId="0"/>
    <xf numFmtId="0" fontId="62" fillId="0" borderId="0"/>
    <xf numFmtId="0" fontId="57" fillId="0" borderId="0"/>
    <xf numFmtId="0" fontId="62" fillId="0" borderId="0"/>
    <xf numFmtId="0" fontId="57" fillId="0" borderId="0"/>
    <xf numFmtId="0" fontId="57" fillId="0" borderId="0"/>
    <xf numFmtId="0" fontId="57" fillId="0" borderId="0"/>
    <xf numFmtId="0" fontId="62"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157" fillId="0" borderId="0"/>
    <xf numFmtId="0" fontId="157" fillId="0" borderId="0"/>
    <xf numFmtId="0" fontId="157" fillId="0" borderId="0"/>
    <xf numFmtId="0" fontId="57" fillId="0" borderId="0"/>
    <xf numFmtId="0" fontId="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57" fillId="69" borderId="191" applyNumberFormat="0" applyFont="0" applyAlignment="0" applyProtection="0"/>
    <xf numFmtId="0" fontId="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293"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57" fillId="69" borderId="191" applyNumberFormat="0" applyFont="0" applyAlignment="0" applyProtection="0"/>
    <xf numFmtId="0" fontId="116" fillId="0" borderId="0">
      <protection locked="0"/>
    </xf>
    <xf numFmtId="0" fontId="195" fillId="62" borderId="192" applyNumberFormat="0" applyAlignment="0" applyProtection="0"/>
    <xf numFmtId="0" fontId="281" fillId="62" borderId="192" applyNumberFormat="0" applyAlignment="0" applyProtection="0"/>
    <xf numFmtId="0" fontId="195" fillId="62" borderId="192" applyNumberFormat="0" applyAlignment="0" applyProtection="0"/>
    <xf numFmtId="0" fontId="195" fillId="62" borderId="192" applyNumberFormat="0" applyAlignment="0" applyProtection="0"/>
    <xf numFmtId="0" fontId="196" fillId="0" borderId="0" applyNumberFormat="0" applyFill="0" applyBorder="0" applyAlignment="0" applyProtection="0"/>
    <xf numFmtId="0" fontId="197" fillId="0" borderId="0" applyNumberFormat="0" applyFill="0" applyBorder="0" applyAlignment="0" applyProtection="0"/>
    <xf numFmtId="0" fontId="298" fillId="0" borderId="195" applyNumberFormat="0" applyFill="0" applyAlignment="0" applyProtection="0"/>
    <xf numFmtId="0" fontId="295" fillId="0" borderId="196" applyNumberFormat="0" applyFill="0" applyAlignment="0" applyProtection="0"/>
    <xf numFmtId="0" fontId="299" fillId="0" borderId="0" applyNumberFormat="0" applyFill="0" applyBorder="0" applyAlignment="0" applyProtection="0"/>
    <xf numFmtId="0" fontId="297" fillId="0" borderId="0" applyNumberFormat="0" applyFill="0" applyBorder="0" applyAlignment="0" applyProtection="0"/>
    <xf numFmtId="220" fontId="116" fillId="0" borderId="193">
      <protection locked="0"/>
    </xf>
    <xf numFmtId="0" fontId="289"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300"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01" fillId="0" borderId="194" applyNumberFormat="0" applyFill="0" applyAlignment="0" applyProtection="0"/>
    <xf numFmtId="0" fontId="2" fillId="0" borderId="0"/>
    <xf numFmtId="0" fontId="220" fillId="0" borderId="0" applyNumberFormat="0" applyFill="0" applyBorder="0" applyAlignment="0" applyProtection="0"/>
    <xf numFmtId="0" fontId="258" fillId="0" borderId="0"/>
    <xf numFmtId="0" fontId="2" fillId="35"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57" fillId="4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48"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57" fillId="4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57" fillId="5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48"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57" fillId="5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3" borderId="0" applyNumberFormat="0" applyBorder="0" applyAlignment="0" applyProtection="0"/>
    <xf numFmtId="0" fontId="157" fillId="55" borderId="0" applyNumberFormat="0" applyBorder="0" applyAlignment="0" applyProtection="0"/>
    <xf numFmtId="0" fontId="2" fillId="43"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48"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57" fillId="5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48"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57"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57" fillId="53"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57" fillId="5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57" fillId="5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6" fillId="0" borderId="0">
      <protection locked="0"/>
    </xf>
    <xf numFmtId="0" fontId="116" fillId="0" borderId="0">
      <protection locked="0"/>
    </xf>
    <xf numFmtId="0" fontId="116" fillId="0" borderId="0">
      <protection locked="0"/>
    </xf>
    <xf numFmtId="0" fontId="116" fillId="0" borderId="0">
      <protection locked="0"/>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7" fillId="5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57" fillId="5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48"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57" fillId="51"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57" fillId="5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57" fillId="5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57" fillId="57"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41" borderId="0" applyNumberFormat="0" applyBorder="0" applyAlignment="0" applyProtection="0"/>
    <xf numFmtId="0" fontId="2" fillId="31" borderId="0" applyNumberFormat="0" applyBorder="0" applyAlignment="0" applyProtection="0"/>
    <xf numFmtId="0" fontId="2" fillId="41" borderId="0" applyNumberFormat="0" applyBorder="0" applyAlignment="0" applyProtection="0"/>
    <xf numFmtId="0" fontId="2" fillId="35"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2" fillId="39" borderId="0" applyNumberFormat="0" applyBorder="0" applyAlignment="0" applyProtection="0"/>
    <xf numFmtId="207" fontId="57" fillId="0" borderId="0" applyFont="0" applyFill="0" applyBorder="0" applyAlignment="0" applyProtection="0"/>
    <xf numFmtId="0" fontId="2" fillId="4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7" fillId="52" borderId="0" applyNumberFormat="0" applyBorder="0" applyAlignment="0" applyProtection="0"/>
    <xf numFmtId="0" fontId="2" fillId="0" borderId="0"/>
    <xf numFmtId="0" fontId="2" fillId="0" borderId="0"/>
    <xf numFmtId="0" fontId="157" fillId="52" borderId="0" applyNumberFormat="0" applyBorder="0" applyAlignment="0" applyProtection="0"/>
    <xf numFmtId="0" fontId="2" fillId="0" borderId="0"/>
    <xf numFmtId="0" fontId="2" fillId="0" borderId="0"/>
    <xf numFmtId="0" fontId="2" fillId="0" borderId="0"/>
    <xf numFmtId="0" fontId="116" fillId="0" borderId="0">
      <protection locked="0"/>
    </xf>
    <xf numFmtId="0" fontId="116" fillId="0" borderId="0">
      <protection locked="0"/>
    </xf>
    <xf numFmtId="0" fontId="2" fillId="0" borderId="0"/>
    <xf numFmtId="0" fontId="2" fillId="0" borderId="0"/>
    <xf numFmtId="0" fontId="2" fillId="0" borderId="0"/>
    <xf numFmtId="0" fontId="57" fillId="0" borderId="0"/>
    <xf numFmtId="0" fontId="148" fillId="33"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2" fillId="0" borderId="0"/>
    <xf numFmtId="0" fontId="57" fillId="69" borderId="191" applyNumberFormat="0" applyFont="0" applyAlignment="0" applyProtection="0"/>
    <xf numFmtId="0" fontId="148" fillId="29" borderId="0" applyNumberFormat="0" applyBorder="0" applyAlignment="0" applyProtection="0"/>
    <xf numFmtId="207"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78" fillId="0" borderId="0" applyFont="0" applyFill="0" applyBorder="0" applyAlignment="0" applyProtection="0"/>
    <xf numFmtId="0" fontId="148" fillId="29" borderId="0" applyNumberFormat="0" applyBorder="0" applyAlignment="0" applyProtection="0"/>
    <xf numFmtId="0" fontId="157" fillId="50" borderId="0" applyNumberFormat="0" applyBorder="0" applyAlignment="0" applyProtection="0"/>
    <xf numFmtId="0" fontId="57" fillId="69" borderId="191" applyNumberFormat="0" applyFont="0" applyAlignment="0" applyProtection="0"/>
    <xf numFmtId="0" fontId="148" fillId="19" borderId="60" applyNumberFormat="0" applyFont="0" applyAlignment="0" applyProtection="0"/>
    <xf numFmtId="0" fontId="2" fillId="19" borderId="60" applyNumberFormat="0" applyFont="0" applyAlignment="0" applyProtection="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9" borderId="6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9" borderId="60" applyNumberFormat="0" applyFont="0" applyAlignment="0" applyProtection="0"/>
    <xf numFmtId="0" fontId="2" fillId="0" borderId="0"/>
    <xf numFmtId="0" fontId="2" fillId="0" borderId="0"/>
    <xf numFmtId="0" fontId="2" fillId="0" borderId="0"/>
    <xf numFmtId="0" fontId="2" fillId="0" borderId="0"/>
    <xf numFmtId="0" fontId="2" fillId="0" borderId="0"/>
    <xf numFmtId="0" fontId="148"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49" borderId="0" applyNumberFormat="0" applyBorder="0" applyAlignment="0" applyProtection="0"/>
    <xf numFmtId="0" fontId="2" fillId="0" borderId="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57" fillId="69" borderId="191"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148"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157" fillId="49" borderId="0" applyNumberFormat="0" applyBorder="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89" fillId="0" borderId="194"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0" fillId="0" borderId="61" applyNumberFormat="0" applyFill="0" applyAlignment="0" applyProtection="0"/>
    <xf numFmtId="0" fontId="157" fillId="48" borderId="0" applyNumberFormat="0" applyBorder="0" applyAlignment="0" applyProtection="0"/>
    <xf numFmtId="0" fontId="148" fillId="21" borderId="0" applyNumberFormat="0" applyBorder="0" applyAlignment="0" applyProtection="0"/>
    <xf numFmtId="220" fontId="116" fillId="0" borderId="193">
      <protection locked="0"/>
    </xf>
    <xf numFmtId="0" fontId="289" fillId="0" borderId="194" applyNumberFormat="0" applyFill="0" applyAlignment="0" applyProtection="0"/>
    <xf numFmtId="0" fontId="258" fillId="0" borderId="0"/>
    <xf numFmtId="0" fontId="290" fillId="0" borderId="61" applyNumberFormat="0" applyFill="0" applyAlignment="0" applyProtection="0"/>
    <xf numFmtId="0" fontId="2" fillId="0" borderId="0"/>
    <xf numFmtId="0" fontId="2" fillId="0" borderId="0"/>
    <xf numFmtId="0" fontId="2" fillId="0" borderId="0"/>
    <xf numFmtId="0" fontId="157" fillId="48" borderId="0" applyNumberFormat="0" applyBorder="0" applyAlignment="0" applyProtection="0"/>
    <xf numFmtId="220" fontId="116" fillId="0" borderId="193">
      <protection locked="0"/>
    </xf>
    <xf numFmtId="0" fontId="289" fillId="0" borderId="194" applyNumberFormat="0" applyFill="0" applyAlignment="0" applyProtection="0"/>
    <xf numFmtId="0" fontId="290" fillId="0" borderId="61" applyNumberFormat="0" applyFill="0" applyAlignment="0" applyProtection="0"/>
    <xf numFmtId="0" fontId="258" fillId="0" borderId="0"/>
    <xf numFmtId="0" fontId="220" fillId="0" borderId="0" applyNumberFormat="0" applyFill="0" applyBorder="0" applyAlignment="0" applyProtection="0"/>
    <xf numFmtId="0" fontId="2" fillId="0" borderId="0"/>
    <xf numFmtId="0" fontId="148" fillId="19" borderId="60" applyNumberFormat="0" applyFont="0" applyAlignment="0" applyProtection="0"/>
    <xf numFmtId="0" fontId="148" fillId="25" borderId="0" applyNumberFormat="0" applyBorder="0" applyAlignment="0" applyProtection="0"/>
    <xf numFmtId="0" fontId="2" fillId="19" borderId="60" applyNumberFormat="0" applyFon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8" fillId="0" borderId="0" applyFont="0" applyFill="0" applyBorder="0" applyAlignment="0" applyProtection="0"/>
    <xf numFmtId="0" fontId="157" fillId="50" borderId="0" applyNumberFormat="0" applyBorder="0" applyAlignment="0" applyProtection="0"/>
    <xf numFmtId="0" fontId="2" fillId="19" borderId="60" applyNumberFormat="0" applyFont="0" applyAlignment="0" applyProtection="0"/>
    <xf numFmtId="0" fontId="2" fillId="19" borderId="60" applyNumberFormat="0" applyFont="0" applyAlignment="0" applyProtection="0"/>
    <xf numFmtId="0" fontId="148" fillId="21" borderId="0" applyNumberFormat="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78"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157" fillId="56" borderId="0" applyNumberFormat="0" applyBorder="0" applyAlignment="0" applyProtection="0"/>
    <xf numFmtId="0" fontId="2" fillId="23" borderId="0" applyNumberFormat="0" applyBorder="0" applyAlignment="0" applyProtection="0"/>
    <xf numFmtId="0" fontId="157" fillId="56"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57" fillId="57"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7"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57" fillId="51"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57" fillId="5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157" fillId="56"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3" borderId="0" applyNumberFormat="0" applyBorder="0" applyAlignment="0" applyProtection="0"/>
    <xf numFmtId="0" fontId="157" fillId="55" borderId="0" applyNumberFormat="0" applyBorder="0" applyAlignment="0" applyProtection="0"/>
    <xf numFmtId="0" fontId="2" fillId="43" borderId="0" applyNumberFormat="0" applyBorder="0" applyAlignment="0" applyProtection="0"/>
    <xf numFmtId="0" fontId="157" fillId="55" borderId="0" applyNumberFormat="0" applyBorder="0" applyAlignment="0" applyProtection="0"/>
    <xf numFmtId="0" fontId="2" fillId="22" borderId="0" applyNumberFormat="0" applyBorder="0" applyAlignment="0" applyProtection="0"/>
    <xf numFmtId="0" fontId="116" fillId="0" borderId="0">
      <protection locked="0"/>
    </xf>
    <xf numFmtId="0" fontId="116" fillId="0" borderId="0">
      <protection locked="0"/>
    </xf>
    <xf numFmtId="0" fontId="116" fillId="0" borderId="0">
      <protection locked="0"/>
    </xf>
    <xf numFmtId="0" fontId="116" fillId="0" borderId="0">
      <protection locked="0"/>
    </xf>
    <xf numFmtId="0" fontId="2" fillId="22"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57" fillId="53" borderId="0" applyNumberFormat="0" applyBorder="0" applyAlignment="0" applyProtection="0"/>
    <xf numFmtId="207" fontId="57" fillId="0" borderId="0" applyFont="0" applyFill="0" applyBorder="0" applyAlignment="0" applyProtection="0"/>
    <xf numFmtId="0" fontId="157" fillId="5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2" fillId="0" borderId="0"/>
    <xf numFmtId="0" fontId="2" fillId="0" borderId="0"/>
    <xf numFmtId="0" fontId="2" fillId="0" borderId="0"/>
    <xf numFmtId="0" fontId="2" fillId="0" borderId="0"/>
    <xf numFmtId="0" fontId="2" fillId="0" borderId="0"/>
    <xf numFmtId="0" fontId="157" fillId="52" borderId="0" applyNumberFormat="0" applyBorder="0" applyAlignment="0" applyProtection="0"/>
    <xf numFmtId="0" fontId="2" fillId="0" borderId="0"/>
    <xf numFmtId="0" fontId="157" fillId="5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33" borderId="0" applyNumberFormat="0" applyBorder="0" applyAlignment="0" applyProtection="0"/>
    <xf numFmtId="0" fontId="148" fillId="33" borderId="0" applyNumberFormat="0" applyBorder="0" applyAlignment="0" applyProtection="0"/>
    <xf numFmtId="0" fontId="2" fillId="0" borderId="0"/>
    <xf numFmtId="0" fontId="57" fillId="0" borderId="0"/>
    <xf numFmtId="0" fontId="157" fillId="51" borderId="0" applyNumberFormat="0" applyBorder="0" applyAlignment="0" applyProtection="0"/>
    <xf numFmtId="0" fontId="157" fillId="51" borderId="0" applyNumberFormat="0" applyBorder="0" applyAlignment="0" applyProtection="0"/>
    <xf numFmtId="0" fontId="2" fillId="0" borderId="0"/>
    <xf numFmtId="0" fontId="2" fillId="0" borderId="0"/>
    <xf numFmtId="0" fontId="57" fillId="69" borderId="191" applyNumberFormat="0" applyFont="0" applyAlignment="0" applyProtection="0"/>
    <xf numFmtId="0" fontId="157" fillId="50" borderId="0" applyNumberFormat="0" applyBorder="0" applyAlignment="0" applyProtection="0"/>
    <xf numFmtId="0" fontId="57" fillId="69" borderId="191" applyNumberFormat="0" applyFont="0" applyAlignment="0" applyProtection="0"/>
    <xf numFmtId="0" fontId="157" fillId="50" borderId="0" applyNumberFormat="0" applyBorder="0" applyAlignment="0" applyProtection="0"/>
    <xf numFmtId="0" fontId="148"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2" fillId="19" borderId="60" applyNumberFormat="0" applyFont="0" applyAlignment="0" applyProtection="0"/>
    <xf numFmtId="0" fontId="148" fillId="25" borderId="0" applyNumberFormat="0" applyBorder="0" applyAlignment="0" applyProtection="0"/>
    <xf numFmtId="0" fontId="2" fillId="19" borderId="60" applyNumberFormat="0" applyFont="0" applyAlignment="0" applyProtection="0"/>
    <xf numFmtId="0" fontId="148" fillId="19" borderId="60" applyNumberFormat="0" applyFont="0" applyAlignment="0" applyProtection="0"/>
    <xf numFmtId="0" fontId="2" fillId="19" borderId="60" applyNumberFormat="0" applyFont="0" applyAlignment="0" applyProtection="0"/>
    <xf numFmtId="0" fontId="148" fillId="25" borderId="0" applyNumberFormat="0" applyBorder="0" applyAlignment="0" applyProtection="0"/>
    <xf numFmtId="0" fontId="157" fillId="49" borderId="0" applyNumberFormat="0" applyBorder="0" applyAlignment="0" applyProtection="0"/>
    <xf numFmtId="0" fontId="157" fillId="48" borderId="0" applyNumberFormat="0" applyBorder="0" applyAlignment="0" applyProtection="0"/>
    <xf numFmtId="0" fontId="148" fillId="21" borderId="0" applyNumberFormat="0" applyBorder="0" applyAlignment="0" applyProtection="0"/>
    <xf numFmtId="0" fontId="289" fillId="0" borderId="194" applyNumberFormat="0" applyFill="0" applyAlignment="0" applyProtection="0"/>
    <xf numFmtId="0" fontId="290" fillId="0" borderId="61" applyNumberFormat="0" applyFill="0" applyAlignment="0" applyProtection="0"/>
    <xf numFmtId="0" fontId="258" fillId="0" borderId="0"/>
    <xf numFmtId="0" fontId="2" fillId="0" borderId="0"/>
    <xf numFmtId="0" fontId="157" fillId="48" borderId="0" applyNumberFormat="0" applyBorder="0" applyAlignment="0" applyProtection="0"/>
    <xf numFmtId="0" fontId="148" fillId="29" borderId="0" applyNumberFormat="0" applyBorder="0" applyAlignment="0" applyProtection="0"/>
    <xf numFmtId="220" fontId="116" fillId="0" borderId="193">
      <protection locked="0"/>
    </xf>
    <xf numFmtId="0" fontId="289" fillId="0" borderId="194" applyNumberFormat="0" applyFill="0" applyAlignment="0" applyProtection="0"/>
    <xf numFmtId="0" fontId="290" fillId="0" borderId="61" applyNumberFormat="0" applyFill="0" applyAlignment="0" applyProtection="0"/>
    <xf numFmtId="0" fontId="258" fillId="0" borderId="0"/>
    <xf numFmtId="0" fontId="2" fillId="0" borderId="0"/>
    <xf numFmtId="0" fontId="157" fillId="49" borderId="0" applyNumberFormat="0" applyBorder="0" applyAlignment="0" applyProtection="0"/>
    <xf numFmtId="0" fontId="148" fillId="21" borderId="0" applyNumberFormat="0" applyBorder="0" applyAlignment="0" applyProtection="0"/>
    <xf numFmtId="0" fontId="2" fillId="0" borderId="0"/>
    <xf numFmtId="0" fontId="148" fillId="29" borderId="0" applyNumberFormat="0" applyBorder="0" applyAlignment="0" applyProtection="0"/>
    <xf numFmtId="0" fontId="2" fillId="19" borderId="60" applyNumberFormat="0" applyFont="0" applyAlignment="0" applyProtection="0"/>
    <xf numFmtId="207" fontId="57" fillId="0" borderId="0" applyFont="0" applyFill="0" applyBorder="0" applyAlignment="0" applyProtection="0"/>
    <xf numFmtId="0" fontId="2" fillId="0" borderId="0"/>
    <xf numFmtId="0" fontId="148" fillId="33" borderId="0" applyNumberFormat="0" applyBorder="0" applyAlignment="0" applyProtection="0"/>
    <xf numFmtId="0" fontId="1" fillId="0" borderId="0"/>
    <xf numFmtId="0" fontId="301" fillId="0" borderId="0"/>
    <xf numFmtId="9" fontId="1" fillId="0" borderId="0" applyFont="0" applyFill="0" applyBorder="0" applyAlignment="0" applyProtection="0"/>
    <xf numFmtId="0" fontId="303" fillId="0" borderId="0"/>
  </cellStyleXfs>
  <cellXfs count="3550">
    <xf numFmtId="0" fontId="0" fillId="0" borderId="0" xfId="0"/>
    <xf numFmtId="0" fontId="62" fillId="2" borderId="8" xfId="0" applyFont="1" applyFill="1" applyBorder="1" applyAlignment="1">
      <alignment horizontal="center" vertical="center" wrapText="1"/>
    </xf>
    <xf numFmtId="0" fontId="62" fillId="2" borderId="27" xfId="12" applyFont="1" applyFill="1" applyBorder="1" applyAlignment="1">
      <alignment horizontal="center" vertical="center" wrapText="1"/>
    </xf>
    <xf numFmtId="0" fontId="62" fillId="2" borderId="155" xfId="12" applyFont="1" applyFill="1" applyBorder="1" applyAlignment="1">
      <alignment horizontal="center" vertical="center" wrapText="1"/>
    </xf>
    <xf numFmtId="0" fontId="75" fillId="2" borderId="155" xfId="12" applyFont="1" applyFill="1" applyBorder="1" applyAlignment="1">
      <alignment horizontal="center" vertical="center" wrapText="1"/>
    </xf>
    <xf numFmtId="0" fontId="62" fillId="2" borderId="27" xfId="0" applyFont="1" applyFill="1" applyBorder="1" applyAlignment="1">
      <alignment horizontal="center" vertical="center" wrapText="1"/>
    </xf>
    <xf numFmtId="0" fontId="62" fillId="2" borderId="155"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1" fillId="2" borderId="0" xfId="0" applyFont="1" applyFill="1"/>
    <xf numFmtId="0" fontId="0" fillId="2" borderId="0" xfId="0" applyFill="1"/>
    <xf numFmtId="0" fontId="0" fillId="2" borderId="2" xfId="0" applyFill="1" applyBorder="1"/>
    <xf numFmtId="0" fontId="82" fillId="2" borderId="3" xfId="0" applyFont="1" applyFill="1" applyBorder="1"/>
    <xf numFmtId="0" fontId="61" fillId="2" borderId="0" xfId="0" applyFont="1" applyFill="1" applyAlignment="1">
      <alignment vertical="center"/>
    </xf>
    <xf numFmtId="0" fontId="61" fillId="2" borderId="0" xfId="0" applyFont="1" applyFill="1" applyAlignment="1">
      <alignment vertical="center" wrapText="1"/>
    </xf>
    <xf numFmtId="0" fontId="82" fillId="2" borderId="0" xfId="0" applyFont="1" applyFill="1"/>
    <xf numFmtId="0" fontId="61" fillId="2" borderId="0" xfId="13" applyFont="1" applyFill="1" applyAlignment="1">
      <alignment vertical="center"/>
    </xf>
    <xf numFmtId="0" fontId="61" fillId="2" borderId="0" xfId="13" applyFont="1" applyFill="1" applyAlignment="1">
      <alignment vertical="center" wrapText="1"/>
    </xf>
    <xf numFmtId="0" fontId="61" fillId="2" borderId="0" xfId="13" applyFont="1" applyFill="1"/>
    <xf numFmtId="0" fontId="61" fillId="2" borderId="0" xfId="12" applyFont="1" applyFill="1" applyAlignment="1">
      <alignment vertical="center"/>
    </xf>
    <xf numFmtId="0" fontId="61" fillId="2" borderId="0" xfId="12" applyFont="1" applyFill="1" applyAlignment="1">
      <alignment vertical="center" wrapText="1"/>
    </xf>
    <xf numFmtId="0" fontId="61" fillId="2" borderId="0" xfId="12" applyFont="1" applyFill="1"/>
    <xf numFmtId="0" fontId="63" fillId="2" borderId="0" xfId="0" applyFont="1" applyFill="1"/>
    <xf numFmtId="0" fontId="60" fillId="2" borderId="0" xfId="0" applyFont="1" applyFill="1"/>
    <xf numFmtId="0" fontId="79" fillId="2" borderId="0" xfId="0" applyFont="1" applyFill="1"/>
    <xf numFmtId="0" fontId="70" fillId="2" borderId="0" xfId="0" applyFont="1" applyFill="1" applyAlignment="1">
      <alignment vertical="center"/>
    </xf>
    <xf numFmtId="0" fontId="90" fillId="2" borderId="0" xfId="0" applyFont="1" applyFill="1" applyAlignment="1">
      <alignment horizontal="center" vertical="center"/>
    </xf>
    <xf numFmtId="0" fontId="88" fillId="2" borderId="0" xfId="0" applyFont="1" applyFill="1" applyAlignment="1">
      <alignment horizontal="left" vertical="center"/>
    </xf>
    <xf numFmtId="0" fontId="91" fillId="2" borderId="0" xfId="0" applyFont="1" applyFill="1" applyAlignment="1">
      <alignment horizontal="center" vertical="center"/>
    </xf>
    <xf numFmtId="0" fontId="92" fillId="2" borderId="0" xfId="0" applyFont="1" applyFill="1" applyAlignment="1">
      <alignment horizontal="center" vertical="center"/>
    </xf>
    <xf numFmtId="0" fontId="79" fillId="2" borderId="0" xfId="13" applyFont="1" applyFill="1" applyAlignment="1">
      <alignment vertical="center"/>
    </xf>
    <xf numFmtId="180" fontId="84" fillId="2" borderId="2" xfId="12401" applyNumberFormat="1" applyFont="1" applyFill="1" applyBorder="1" applyAlignment="1">
      <alignment horizontal="center" vertical="center"/>
    </xf>
    <xf numFmtId="0" fontId="0" fillId="2" borderId="0" xfId="0" applyFill="1" applyAlignment="1">
      <alignment wrapText="1"/>
    </xf>
    <xf numFmtId="1" fontId="83" fillId="3" borderId="0" xfId="13" quotePrefix="1" applyNumberFormat="1" applyFont="1" applyFill="1" applyAlignment="1">
      <alignment horizontal="center" vertical="center"/>
    </xf>
    <xf numFmtId="1" fontId="84" fillId="3" borderId="0" xfId="13" applyNumberFormat="1" applyFont="1" applyFill="1" applyAlignment="1">
      <alignment horizontal="center" vertical="center"/>
    </xf>
    <xf numFmtId="1" fontId="84" fillId="3" borderId="8" xfId="13" applyNumberFormat="1" applyFont="1" applyFill="1" applyBorder="1" applyAlignment="1">
      <alignment horizontal="center" vertical="center"/>
    </xf>
    <xf numFmtId="1" fontId="95" fillId="3" borderId="8" xfId="9" applyNumberFormat="1" applyFont="1" applyFill="1" applyBorder="1" applyAlignment="1" applyProtection="1">
      <alignment horizontal="center" vertical="center" wrapText="1"/>
    </xf>
    <xf numFmtId="1" fontId="95" fillId="3" borderId="0" xfId="9" applyNumberFormat="1" applyFont="1" applyFill="1" applyBorder="1" applyAlignment="1" applyProtection="1">
      <alignment horizontal="center" vertical="center" wrapText="1"/>
    </xf>
    <xf numFmtId="170" fontId="95" fillId="4" borderId="2" xfId="0" applyNumberFormat="1" applyFont="1" applyFill="1" applyBorder="1"/>
    <xf numFmtId="0" fontId="77" fillId="2" borderId="7" xfId="13" applyFont="1" applyFill="1" applyBorder="1" applyAlignment="1">
      <alignment horizontal="centerContinuous" vertical="center" wrapText="1"/>
    </xf>
    <xf numFmtId="170" fontId="96" fillId="5" borderId="12" xfId="0" applyNumberFormat="1" applyFont="1" applyFill="1" applyBorder="1"/>
    <xf numFmtId="170" fontId="96" fillId="5" borderId="2" xfId="0" applyNumberFormat="1" applyFont="1" applyFill="1" applyBorder="1"/>
    <xf numFmtId="170" fontId="96" fillId="5" borderId="17" xfId="0" applyNumberFormat="1" applyFont="1" applyFill="1" applyBorder="1"/>
    <xf numFmtId="170" fontId="96" fillId="5" borderId="18" xfId="0" applyNumberFormat="1" applyFont="1" applyFill="1" applyBorder="1"/>
    <xf numFmtId="0" fontId="74" fillId="2" borderId="0" xfId="0" applyFont="1" applyFill="1"/>
    <xf numFmtId="0" fontId="82" fillId="2" borderId="7" xfId="0" applyFont="1" applyFill="1" applyBorder="1" applyAlignment="1">
      <alignment horizontal="centerContinuous" vertical="center" wrapText="1"/>
    </xf>
    <xf numFmtId="0" fontId="77" fillId="2" borderId="7" xfId="0" applyFont="1" applyFill="1" applyBorder="1" applyAlignment="1">
      <alignment horizontal="centerContinuous" vertical="center" wrapText="1"/>
    </xf>
    <xf numFmtId="170" fontId="95" fillId="4" borderId="11" xfId="0" applyNumberFormat="1" applyFont="1" applyFill="1" applyBorder="1"/>
    <xf numFmtId="1" fontId="99" fillId="2" borderId="0" xfId="9" applyNumberFormat="1" applyFont="1" applyFill="1" applyBorder="1" applyAlignment="1" applyProtection="1">
      <alignment horizontal="center" vertical="center"/>
    </xf>
    <xf numFmtId="0" fontId="85" fillId="2" borderId="6" xfId="13" applyFont="1" applyFill="1" applyBorder="1" applyAlignment="1">
      <alignment horizontal="center" vertical="center"/>
    </xf>
    <xf numFmtId="0" fontId="85" fillId="2" borderId="7" xfId="13" applyFont="1" applyFill="1" applyBorder="1" applyAlignment="1">
      <alignment horizontal="center" vertical="center"/>
    </xf>
    <xf numFmtId="0" fontId="85" fillId="2" borderId="20" xfId="13" applyFont="1" applyFill="1" applyBorder="1" applyAlignment="1">
      <alignment horizontal="center" vertical="center"/>
    </xf>
    <xf numFmtId="180" fontId="84" fillId="2" borderId="20" xfId="12401" applyNumberFormat="1" applyFont="1" applyFill="1" applyBorder="1" applyAlignment="1">
      <alignment horizontal="center" vertical="center"/>
    </xf>
    <xf numFmtId="180" fontId="84" fillId="2" borderId="7" xfId="12401" applyNumberFormat="1" applyFont="1" applyFill="1" applyBorder="1" applyAlignment="1">
      <alignment horizontal="center" vertical="center"/>
    </xf>
    <xf numFmtId="180" fontId="84" fillId="2" borderId="21" xfId="12401" applyNumberFormat="1" applyFont="1" applyFill="1" applyBorder="1" applyAlignment="1">
      <alignment horizontal="center" vertical="center"/>
    </xf>
    <xf numFmtId="170" fontId="95" fillId="4" borderId="12" xfId="0" applyNumberFormat="1" applyFont="1" applyFill="1" applyBorder="1"/>
    <xf numFmtId="0" fontId="77" fillId="2" borderId="8" xfId="0" applyFont="1" applyFill="1" applyBorder="1" applyAlignment="1">
      <alignment horizontal="centerContinuous" vertical="center" wrapText="1"/>
    </xf>
    <xf numFmtId="1" fontId="84" fillId="3" borderId="7" xfId="13" applyNumberFormat="1" applyFont="1" applyFill="1" applyBorder="1" applyAlignment="1">
      <alignment horizontal="center" vertical="center"/>
    </xf>
    <xf numFmtId="170" fontId="102" fillId="0" borderId="2" xfId="0" applyNumberFormat="1" applyFont="1" applyBorder="1"/>
    <xf numFmtId="1" fontId="95" fillId="3" borderId="7" xfId="9" applyNumberFormat="1" applyFont="1" applyFill="1" applyBorder="1" applyAlignment="1" applyProtection="1">
      <alignment horizontal="center" vertical="center" wrapText="1"/>
    </xf>
    <xf numFmtId="170" fontId="95" fillId="4" borderId="0" xfId="0" applyNumberFormat="1" applyFont="1" applyFill="1"/>
    <xf numFmtId="0" fontId="80" fillId="2" borderId="22" xfId="0" applyFont="1" applyFill="1" applyBorder="1" applyAlignment="1">
      <alignment horizontal="center" vertical="center" wrapText="1"/>
    </xf>
    <xf numFmtId="0" fontId="62" fillId="2" borderId="0" xfId="0" applyFont="1" applyFill="1"/>
    <xf numFmtId="2" fontId="62" fillId="0" borderId="3" xfId="0" applyNumberFormat="1" applyFont="1" applyBorder="1" applyAlignment="1">
      <alignment horizontal="center"/>
    </xf>
    <xf numFmtId="0" fontId="62" fillId="2" borderId="27" xfId="0" applyFont="1" applyFill="1" applyBorder="1"/>
    <xf numFmtId="0" fontId="62" fillId="2" borderId="6" xfId="0" applyFont="1" applyFill="1" applyBorder="1"/>
    <xf numFmtId="0" fontId="75" fillId="2" borderId="14" xfId="0" applyFont="1" applyFill="1" applyBorder="1" applyAlignment="1">
      <alignment horizontal="centerContinuous" vertical="center" wrapText="1"/>
    </xf>
    <xf numFmtId="2" fontId="62" fillId="0" borderId="10" xfId="0" applyNumberFormat="1" applyFont="1" applyBorder="1" applyAlignment="1">
      <alignment horizontal="center"/>
    </xf>
    <xf numFmtId="0" fontId="62" fillId="2" borderId="26" xfId="0" applyFont="1" applyFill="1" applyBorder="1"/>
    <xf numFmtId="0" fontId="62" fillId="2" borderId="22" xfId="0" applyFont="1" applyFill="1" applyBorder="1"/>
    <xf numFmtId="0" fontId="62" fillId="2" borderId="7" xfId="0" applyFont="1" applyFill="1" applyBorder="1"/>
    <xf numFmtId="0" fontId="62" fillId="2" borderId="8" xfId="0" applyFont="1" applyFill="1" applyBorder="1"/>
    <xf numFmtId="1" fontId="95" fillId="3" borderId="22" xfId="9" applyNumberFormat="1" applyFont="1" applyFill="1" applyBorder="1" applyAlignment="1" applyProtection="1">
      <alignment horizontal="center" vertical="center" wrapText="1"/>
    </xf>
    <xf numFmtId="0" fontId="82" fillId="2" borderId="2" xfId="0" applyFont="1" applyFill="1" applyBorder="1" applyAlignment="1">
      <alignment horizontal="centerContinuous" vertical="center" wrapText="1"/>
    </xf>
    <xf numFmtId="0" fontId="82" fillId="2" borderId="0" xfId="0" applyFont="1" applyFill="1" applyAlignment="1">
      <alignment horizontal="centerContinuous" vertical="center" wrapText="1"/>
    </xf>
    <xf numFmtId="0" fontId="82" fillId="2" borderId="31" xfId="0" applyFont="1" applyFill="1" applyBorder="1" applyAlignment="1">
      <alignment horizontal="centerContinuous" vertical="center" wrapText="1"/>
    </xf>
    <xf numFmtId="0" fontId="74" fillId="3" borderId="7" xfId="0" quotePrefix="1" applyFont="1" applyFill="1" applyBorder="1" applyAlignment="1">
      <alignment horizontal="center" vertical="center" wrapText="1"/>
    </xf>
    <xf numFmtId="1" fontId="78" fillId="2" borderId="6" xfId="0" applyNumberFormat="1" applyFont="1" applyFill="1" applyBorder="1" applyAlignment="1">
      <alignment horizontal="center"/>
    </xf>
    <xf numFmtId="1" fontId="78" fillId="2" borderId="7" xfId="0" applyNumberFormat="1" applyFont="1" applyFill="1" applyBorder="1" applyAlignment="1">
      <alignment horizontal="center"/>
    </xf>
    <xf numFmtId="1" fontId="78" fillId="2" borderId="8" xfId="0" applyNumberFormat="1" applyFont="1" applyFill="1" applyBorder="1" applyAlignment="1">
      <alignment horizontal="center"/>
    </xf>
    <xf numFmtId="1" fontId="103" fillId="3" borderId="0" xfId="13" applyNumberFormat="1" applyFont="1" applyFill="1" applyAlignment="1">
      <alignment horizontal="center" vertical="center"/>
    </xf>
    <xf numFmtId="0" fontId="62" fillId="2" borderId="2" xfId="0" applyFont="1" applyFill="1" applyBorder="1" applyAlignment="1">
      <alignment vertical="center"/>
    </xf>
    <xf numFmtId="0" fontId="62" fillId="2" borderId="0" xfId="0" applyFont="1" applyFill="1" applyAlignment="1">
      <alignment vertical="center"/>
    </xf>
    <xf numFmtId="0" fontId="62" fillId="2" borderId="3" xfId="0" applyFont="1" applyFill="1" applyBorder="1" applyAlignment="1">
      <alignment vertical="center"/>
    </xf>
    <xf numFmtId="0" fontId="62" fillId="2" borderId="7" xfId="0" applyFont="1" applyFill="1" applyBorder="1" applyAlignment="1">
      <alignment horizontal="centerContinuous" vertical="center" wrapText="1"/>
    </xf>
    <xf numFmtId="0" fontId="62" fillId="2" borderId="8" xfId="0" applyFont="1" applyFill="1" applyBorder="1" applyAlignment="1">
      <alignment horizontal="centerContinuous" vertical="center" wrapText="1"/>
    </xf>
    <xf numFmtId="175" fontId="62" fillId="0" borderId="18" xfId="0" applyNumberFormat="1" applyFont="1" applyBorder="1"/>
    <xf numFmtId="0" fontId="62" fillId="2" borderId="20" xfId="0" applyFont="1" applyFill="1" applyBorder="1" applyAlignment="1">
      <alignment vertical="center"/>
    </xf>
    <xf numFmtId="0" fontId="62" fillId="2" borderId="7" xfId="0" applyFont="1" applyFill="1" applyBorder="1" applyAlignment="1">
      <alignment vertical="center"/>
    </xf>
    <xf numFmtId="0" fontId="62" fillId="2" borderId="8" xfId="0" applyFont="1" applyFill="1" applyBorder="1" applyAlignment="1">
      <alignment vertical="center"/>
    </xf>
    <xf numFmtId="0" fontId="89" fillId="2" borderId="0" xfId="0" applyFont="1" applyFill="1" applyAlignment="1">
      <alignment vertical="center"/>
    </xf>
    <xf numFmtId="0" fontId="104" fillId="2" borderId="0" xfId="0" applyFont="1" applyFill="1" applyAlignment="1">
      <alignment vertical="center"/>
    </xf>
    <xf numFmtId="0" fontId="93" fillId="2" borderId="0" xfId="0" applyFont="1" applyFill="1" applyAlignment="1">
      <alignment horizontal="center" vertical="center"/>
    </xf>
    <xf numFmtId="1" fontId="95" fillId="3" borderId="5" xfId="9" applyNumberFormat="1" applyFont="1" applyFill="1" applyBorder="1" applyAlignment="1" applyProtection="1">
      <alignment horizontal="center" vertical="center" wrapText="1"/>
    </xf>
    <xf numFmtId="1" fontId="95" fillId="3" borderId="27" xfId="9" applyNumberFormat="1" applyFont="1" applyFill="1" applyBorder="1" applyAlignment="1" applyProtection="1">
      <alignment horizontal="center" vertical="center" wrapText="1"/>
    </xf>
    <xf numFmtId="1" fontId="103" fillId="3" borderId="27" xfId="13" applyNumberFormat="1" applyFont="1" applyFill="1" applyBorder="1" applyAlignment="1">
      <alignment horizontal="center" vertical="center"/>
    </xf>
    <xf numFmtId="1" fontId="79" fillId="2" borderId="0" xfId="13" applyNumberFormat="1" applyFont="1" applyFill="1"/>
    <xf numFmtId="0" fontId="79" fillId="2" borderId="0" xfId="13" applyFont="1" applyFill="1"/>
    <xf numFmtId="0" fontId="87" fillId="2" borderId="0" xfId="0" applyFont="1" applyFill="1" applyAlignment="1">
      <alignment horizontal="center" vertical="center"/>
    </xf>
    <xf numFmtId="2" fontId="102" fillId="0" borderId="3" xfId="0" applyNumberFormat="1" applyFont="1" applyBorder="1" applyAlignment="1">
      <alignment horizontal="center"/>
    </xf>
    <xf numFmtId="1" fontId="95" fillId="3" borderId="27" xfId="13" applyNumberFormat="1" applyFont="1" applyFill="1" applyBorder="1" applyAlignment="1">
      <alignment horizontal="center" vertical="center"/>
    </xf>
    <xf numFmtId="0" fontId="74" fillId="2" borderId="25" xfId="0" applyFont="1" applyFill="1" applyBorder="1"/>
    <xf numFmtId="0" fontId="78" fillId="2" borderId="7" xfId="0" applyFont="1" applyFill="1" applyBorder="1" applyAlignment="1">
      <alignment horizontal="centerContinuous" vertical="center" wrapText="1"/>
    </xf>
    <xf numFmtId="0" fontId="79" fillId="2" borderId="0" xfId="12" applyFont="1" applyFill="1"/>
    <xf numFmtId="1" fontId="103" fillId="3" borderId="7" xfId="13" applyNumberFormat="1" applyFont="1" applyFill="1" applyBorder="1" applyAlignment="1">
      <alignment horizontal="center" vertical="center"/>
    </xf>
    <xf numFmtId="1" fontId="95" fillId="3" borderId="7" xfId="13" applyNumberFormat="1" applyFont="1" applyFill="1" applyBorder="1" applyAlignment="1">
      <alignment horizontal="center" vertical="center"/>
    </xf>
    <xf numFmtId="0" fontId="77" fillId="2" borderId="7" xfId="12" applyFont="1" applyFill="1" applyBorder="1" applyAlignment="1">
      <alignment horizontal="centerContinuous" vertical="center" wrapText="1"/>
    </xf>
    <xf numFmtId="1" fontId="82" fillId="2" borderId="6" xfId="12" quotePrefix="1" applyNumberFormat="1" applyFont="1" applyFill="1" applyBorder="1" applyAlignment="1">
      <alignment horizontal="center" vertical="center"/>
    </xf>
    <xf numFmtId="1" fontId="82" fillId="2" borderId="8" xfId="12" quotePrefix="1" applyNumberFormat="1" applyFont="1" applyFill="1" applyBorder="1" applyAlignment="1">
      <alignment horizontal="center" vertical="center"/>
    </xf>
    <xf numFmtId="170" fontId="102" fillId="0" borderId="19" xfId="0" applyNumberFormat="1" applyFont="1" applyBorder="1"/>
    <xf numFmtId="170" fontId="102" fillId="0" borderId="18" xfId="0" applyNumberFormat="1" applyFont="1" applyBorder="1"/>
    <xf numFmtId="0" fontId="82" fillId="2" borderId="2" xfId="0" applyFont="1" applyFill="1" applyBorder="1"/>
    <xf numFmtId="0" fontId="102" fillId="2" borderId="14" xfId="0" applyFont="1" applyFill="1" applyBorder="1" applyAlignment="1">
      <alignment horizontal="centerContinuous" vertical="center" wrapText="1"/>
    </xf>
    <xf numFmtId="0" fontId="80" fillId="2" borderId="16" xfId="0" quotePrefix="1" applyFont="1" applyFill="1" applyBorder="1" applyAlignment="1">
      <alignment horizontal="center" vertical="center" wrapText="1"/>
    </xf>
    <xf numFmtId="0" fontId="86" fillId="2" borderId="0" xfId="0" applyFont="1" applyFill="1"/>
    <xf numFmtId="170" fontId="102" fillId="5" borderId="3" xfId="0" applyNumberFormat="1" applyFont="1" applyFill="1" applyBorder="1"/>
    <xf numFmtId="0" fontId="100" fillId="2" borderId="6" xfId="0" applyFont="1" applyFill="1" applyBorder="1" applyAlignment="1">
      <alignment horizontal="centerContinuous" vertical="center" wrapText="1"/>
    </xf>
    <xf numFmtId="0" fontId="100" fillId="2" borderId="7" xfId="0" applyFont="1" applyFill="1" applyBorder="1" applyAlignment="1">
      <alignment horizontal="centerContinuous" vertical="center" wrapText="1"/>
    </xf>
    <xf numFmtId="0" fontId="78" fillId="2" borderId="2" xfId="0" applyFont="1" applyFill="1" applyBorder="1" applyAlignment="1">
      <alignment horizontal="centerContinuous" vertical="center"/>
    </xf>
    <xf numFmtId="0" fontId="81" fillId="2" borderId="0" xfId="0" applyFont="1" applyFill="1" applyAlignment="1">
      <alignment horizontal="centerContinuous" vertical="center" wrapText="1"/>
    </xf>
    <xf numFmtId="10" fontId="78" fillId="2" borderId="8" xfId="0" applyNumberFormat="1" applyFont="1" applyFill="1" applyBorder="1" applyAlignment="1">
      <alignment horizontal="center"/>
    </xf>
    <xf numFmtId="10" fontId="79" fillId="2" borderId="0" xfId="0" applyNumberFormat="1" applyFont="1" applyFill="1"/>
    <xf numFmtId="0" fontId="76" fillId="2" borderId="7" xfId="0" applyFont="1" applyFill="1" applyBorder="1" applyAlignment="1">
      <alignment horizontal="centerContinuous" vertical="center" wrapText="1"/>
    </xf>
    <xf numFmtId="0" fontId="76" fillId="2" borderId="8" xfId="0" applyFont="1" applyFill="1" applyBorder="1" applyAlignment="1">
      <alignment horizontal="centerContinuous" vertical="center" wrapText="1"/>
    </xf>
    <xf numFmtId="0" fontId="78" fillId="2" borderId="8" xfId="0" applyFont="1" applyFill="1" applyBorder="1" applyAlignment="1">
      <alignment horizontal="centerContinuous" vertical="center" wrapText="1"/>
    </xf>
    <xf numFmtId="0" fontId="78" fillId="2" borderId="20" xfId="0" applyFont="1" applyFill="1" applyBorder="1" applyAlignment="1">
      <alignment horizontal="centerContinuous" vertical="center" wrapText="1"/>
    </xf>
    <xf numFmtId="0" fontId="70" fillId="0" borderId="0" xfId="0" applyFont="1" applyAlignment="1">
      <alignment vertical="center"/>
    </xf>
    <xf numFmtId="0" fontId="71" fillId="2" borderId="0" xfId="0" applyFont="1" applyFill="1" applyAlignment="1">
      <alignment vertical="center"/>
    </xf>
    <xf numFmtId="170" fontId="82" fillId="5" borderId="0" xfId="0" applyNumberFormat="1" applyFont="1" applyFill="1"/>
    <xf numFmtId="0" fontId="87" fillId="2" borderId="7" xfId="0" applyFont="1" applyFill="1" applyBorder="1" applyAlignment="1">
      <alignment horizontal="centerContinuous" vertical="center" wrapText="1"/>
    </xf>
    <xf numFmtId="0" fontId="77" fillId="2" borderId="7" xfId="0" applyFont="1" applyFill="1" applyBorder="1" applyAlignment="1">
      <alignment vertical="center" wrapText="1"/>
    </xf>
    <xf numFmtId="0" fontId="77" fillId="2" borderId="8" xfId="0" applyFont="1" applyFill="1" applyBorder="1" applyAlignment="1">
      <alignment vertical="center" wrapText="1"/>
    </xf>
    <xf numFmtId="1" fontId="82" fillId="2" borderId="7" xfId="12" quotePrefix="1" applyNumberFormat="1" applyFont="1" applyFill="1" applyBorder="1" applyAlignment="1">
      <alignment horizontal="center" vertical="center"/>
    </xf>
    <xf numFmtId="0" fontId="77" fillId="2" borderId="8" xfId="12" applyFont="1" applyFill="1" applyBorder="1" applyAlignment="1">
      <alignment horizontal="centerContinuous" vertical="center" wrapText="1"/>
    </xf>
    <xf numFmtId="175" fontId="62" fillId="0" borderId="0" xfId="0" applyNumberFormat="1" applyFont="1"/>
    <xf numFmtId="3" fontId="101" fillId="0" borderId="2" xfId="14" applyNumberFormat="1" applyFont="1" applyBorder="1"/>
    <xf numFmtId="170" fontId="102" fillId="5" borderId="18" xfId="0" applyNumberFormat="1" applyFont="1" applyFill="1" applyBorder="1"/>
    <xf numFmtId="0" fontId="100" fillId="2" borderId="0" xfId="0" applyFont="1" applyFill="1" applyAlignment="1">
      <alignment horizontal="centerContinuous" vertical="center" wrapText="1"/>
    </xf>
    <xf numFmtId="170" fontId="101" fillId="0" borderId="0" xfId="0" applyNumberFormat="1" applyFont="1"/>
    <xf numFmtId="170" fontId="95" fillId="5" borderId="18" xfId="0" applyNumberFormat="1" applyFont="1" applyFill="1" applyBorder="1"/>
    <xf numFmtId="3" fontId="95" fillId="4" borderId="0" xfId="0" applyNumberFormat="1" applyFont="1" applyFill="1"/>
    <xf numFmtId="3" fontId="95" fillId="4" borderId="18" xfId="0" applyNumberFormat="1" applyFont="1" applyFill="1" applyBorder="1"/>
    <xf numFmtId="1" fontId="78" fillId="2" borderId="27" xfId="0" applyNumberFormat="1" applyFont="1" applyFill="1" applyBorder="1" applyAlignment="1">
      <alignment horizontal="center"/>
    </xf>
    <xf numFmtId="1" fontId="78" fillId="2" borderId="0" xfId="0" applyNumberFormat="1" applyFont="1" applyFill="1" applyAlignment="1">
      <alignment horizontal="center"/>
    </xf>
    <xf numFmtId="1" fontId="78" fillId="2" borderId="3" xfId="0" applyNumberFormat="1" applyFont="1" applyFill="1" applyBorder="1" applyAlignment="1">
      <alignment horizontal="center"/>
    </xf>
    <xf numFmtId="186" fontId="95" fillId="2" borderId="7" xfId="0" applyNumberFormat="1" applyFont="1" applyFill="1" applyBorder="1" applyAlignment="1">
      <alignment horizontal="center"/>
    </xf>
    <xf numFmtId="186" fontId="95" fillId="2" borderId="8" xfId="0" applyNumberFormat="1" applyFont="1" applyFill="1" applyBorder="1" applyAlignment="1">
      <alignment horizontal="center"/>
    </xf>
    <xf numFmtId="1" fontId="95" fillId="3" borderId="0" xfId="13" applyNumberFormat="1" applyFont="1" applyFill="1" applyAlignment="1">
      <alignment horizontal="center" vertical="center"/>
    </xf>
    <xf numFmtId="0" fontId="78" fillId="2" borderId="8" xfId="0" applyFont="1" applyFill="1" applyBorder="1" applyAlignment="1">
      <alignment horizontal="center" vertical="center"/>
    </xf>
    <xf numFmtId="0" fontId="78" fillId="2" borderId="27" xfId="0" applyFont="1" applyFill="1" applyBorder="1" applyAlignment="1">
      <alignment horizontal="center" vertical="center"/>
    </xf>
    <xf numFmtId="0" fontId="78" fillId="2" borderId="7" xfId="0" applyFont="1" applyFill="1" applyBorder="1" applyAlignment="1">
      <alignment horizontal="center" vertical="center"/>
    </xf>
    <xf numFmtId="170" fontId="95" fillId="4" borderId="3" xfId="0" applyNumberFormat="1" applyFont="1" applyFill="1" applyBorder="1"/>
    <xf numFmtId="179" fontId="82" fillId="2" borderId="6" xfId="12401" quotePrefix="1" applyNumberFormat="1" applyFont="1" applyFill="1" applyBorder="1" applyAlignment="1" applyProtection="1">
      <alignment horizontal="center" vertical="center"/>
    </xf>
    <xf numFmtId="179" fontId="82" fillId="2" borderId="7" xfId="12401" quotePrefix="1" applyNumberFormat="1" applyFont="1" applyFill="1" applyBorder="1" applyAlignment="1" applyProtection="1">
      <alignment horizontal="center" vertical="center"/>
    </xf>
    <xf numFmtId="179" fontId="82" fillId="2" borderId="8" xfId="12401" applyNumberFormat="1" applyFont="1" applyFill="1" applyBorder="1" applyAlignment="1">
      <alignment horizontal="center" vertical="center"/>
    </xf>
    <xf numFmtId="179" fontId="82" fillId="2" borderId="7" xfId="12401" applyNumberFormat="1" applyFont="1" applyFill="1" applyBorder="1" applyAlignment="1">
      <alignment horizontal="centerContinuous" vertical="center"/>
    </xf>
    <xf numFmtId="179" fontId="82" fillId="2" borderId="8" xfId="12401" applyNumberFormat="1" applyFont="1" applyFill="1" applyBorder="1" applyAlignment="1">
      <alignment horizontal="centerContinuous" vertical="center"/>
    </xf>
    <xf numFmtId="170" fontId="95" fillId="5" borderId="11" xfId="0" applyNumberFormat="1" applyFont="1" applyFill="1" applyBorder="1"/>
    <xf numFmtId="0" fontId="62" fillId="2" borderId="27" xfId="0" applyFont="1" applyFill="1" applyBorder="1" applyAlignment="1">
      <alignment horizontal="centerContinuous" vertical="center" wrapText="1"/>
    </xf>
    <xf numFmtId="0" fontId="85" fillId="2" borderId="8" xfId="13" applyFont="1" applyFill="1" applyBorder="1" applyAlignment="1">
      <alignment horizontal="center" vertical="center"/>
    </xf>
    <xf numFmtId="0" fontId="77" fillId="2" borderId="8" xfId="13" applyFont="1" applyFill="1" applyBorder="1" applyAlignment="1">
      <alignment horizontal="centerContinuous" vertical="center" wrapText="1"/>
    </xf>
    <xf numFmtId="171" fontId="101" fillId="5" borderId="3" xfId="0" applyNumberFormat="1" applyFont="1" applyFill="1" applyBorder="1"/>
    <xf numFmtId="0" fontId="112" fillId="2" borderId="0" xfId="0" applyFont="1" applyFill="1" applyAlignment="1">
      <alignment horizontal="left" vertical="center"/>
    </xf>
    <xf numFmtId="0" fontId="112" fillId="2" borderId="0" xfId="0" applyFont="1" applyFill="1" applyAlignment="1">
      <alignment vertical="center"/>
    </xf>
    <xf numFmtId="171" fontId="95" fillId="4" borderId="3" xfId="0" applyNumberFormat="1" applyFont="1" applyFill="1" applyBorder="1"/>
    <xf numFmtId="0" fontId="113" fillId="0" borderId="0" xfId="0" applyFont="1"/>
    <xf numFmtId="170" fontId="95" fillId="5" borderId="0" xfId="0" applyNumberFormat="1" applyFont="1" applyFill="1"/>
    <xf numFmtId="185" fontId="111" fillId="0" borderId="7" xfId="0" applyNumberFormat="1" applyFont="1" applyBorder="1"/>
    <xf numFmtId="10" fontId="78" fillId="2" borderId="7" xfId="0" applyNumberFormat="1" applyFont="1" applyFill="1" applyBorder="1" applyAlignment="1">
      <alignment horizontal="center"/>
    </xf>
    <xf numFmtId="170" fontId="62" fillId="0" borderId="0" xfId="0" applyNumberFormat="1" applyFont="1"/>
    <xf numFmtId="1" fontId="118" fillId="2" borderId="0" xfId="0" applyNumberFormat="1" applyFont="1" applyFill="1" applyAlignment="1">
      <alignment horizontal="center"/>
    </xf>
    <xf numFmtId="1" fontId="118" fillId="2" borderId="3" xfId="0" applyNumberFormat="1" applyFont="1" applyFill="1" applyBorder="1" applyAlignment="1">
      <alignment horizontal="center"/>
    </xf>
    <xf numFmtId="170" fontId="118" fillId="7" borderId="18" xfId="0" applyNumberFormat="1" applyFont="1" applyFill="1" applyBorder="1"/>
    <xf numFmtId="0" fontId="75" fillId="2" borderId="7" xfId="13" applyFont="1" applyFill="1" applyBorder="1" applyAlignment="1">
      <alignment horizontal="centerContinuous" vertical="center" wrapText="1"/>
    </xf>
    <xf numFmtId="0" fontId="75" fillId="0" borderId="0" xfId="0" applyFont="1" applyAlignment="1">
      <alignment horizontal="centerContinuous" vertical="center"/>
    </xf>
    <xf numFmtId="0" fontId="62" fillId="2" borderId="14" xfId="0" applyFont="1" applyFill="1" applyBorder="1" applyAlignment="1">
      <alignment horizontal="centerContinuous" vertical="center" wrapText="1"/>
    </xf>
    <xf numFmtId="0" fontId="62" fillId="2" borderId="6" xfId="0" applyFont="1" applyFill="1" applyBorder="1" applyAlignment="1">
      <alignment horizontal="centerContinuous" vertical="center" wrapText="1"/>
    </xf>
    <xf numFmtId="3" fontId="95" fillId="9" borderId="0" xfId="0" applyNumberFormat="1" applyFont="1" applyFill="1"/>
    <xf numFmtId="0" fontId="62" fillId="2" borderId="23" xfId="0" applyFont="1" applyFill="1" applyBorder="1"/>
    <xf numFmtId="3" fontId="95" fillId="4" borderId="40" xfId="0" applyNumberFormat="1" applyFont="1" applyFill="1" applyBorder="1"/>
    <xf numFmtId="3" fontId="62" fillId="0" borderId="0" xfId="0" applyNumberFormat="1" applyFont="1"/>
    <xf numFmtId="3" fontId="120" fillId="0" borderId="0" xfId="0" applyNumberFormat="1" applyFont="1"/>
    <xf numFmtId="3" fontId="95" fillId="4" borderId="45" xfId="0" applyNumberFormat="1" applyFont="1" applyFill="1" applyBorder="1"/>
    <xf numFmtId="0" fontId="89" fillId="10" borderId="7" xfId="0" applyFont="1" applyFill="1" applyBorder="1" applyAlignment="1">
      <alignment vertical="center"/>
    </xf>
    <xf numFmtId="0" fontId="124" fillId="2" borderId="0" xfId="0" applyFont="1" applyFill="1" applyAlignment="1">
      <alignment vertical="center"/>
    </xf>
    <xf numFmtId="0" fontId="125" fillId="2" borderId="0" xfId="0" applyFont="1" applyFill="1" applyAlignment="1">
      <alignment vertical="center"/>
    </xf>
    <xf numFmtId="0" fontId="125" fillId="2" borderId="0" xfId="0" applyFont="1" applyFill="1" applyAlignment="1">
      <alignment horizontal="left" vertical="center"/>
    </xf>
    <xf numFmtId="0" fontId="124" fillId="11" borderId="7" xfId="0" applyFont="1" applyFill="1" applyBorder="1" applyAlignment="1">
      <alignment vertical="center"/>
    </xf>
    <xf numFmtId="171" fontId="95" fillId="8" borderId="18" xfId="0" applyNumberFormat="1" applyFont="1" applyFill="1" applyBorder="1"/>
    <xf numFmtId="1" fontId="62" fillId="2" borderId="7" xfId="0" applyNumberFormat="1" applyFont="1" applyFill="1" applyBorder="1" applyAlignment="1">
      <alignment horizontal="center" vertical="center" wrapText="1"/>
    </xf>
    <xf numFmtId="171" fontId="118" fillId="7" borderId="51" xfId="0" applyNumberFormat="1" applyFont="1" applyFill="1" applyBorder="1"/>
    <xf numFmtId="170" fontId="95" fillId="4" borderId="44" xfId="0" applyNumberFormat="1" applyFont="1" applyFill="1" applyBorder="1"/>
    <xf numFmtId="3" fontId="95" fillId="4" borderId="41" xfId="14" applyNumberFormat="1" applyFont="1" applyFill="1" applyBorder="1"/>
    <xf numFmtId="170" fontId="95" fillId="4" borderId="36" xfId="0" applyNumberFormat="1" applyFont="1" applyFill="1" applyBorder="1"/>
    <xf numFmtId="170" fontId="120" fillId="0" borderId="0" xfId="0" applyNumberFormat="1" applyFont="1"/>
    <xf numFmtId="171" fontId="120" fillId="0" borderId="3" xfId="0" applyNumberFormat="1" applyFont="1" applyBorder="1"/>
    <xf numFmtId="170" fontId="120" fillId="0" borderId="18" xfId="0" applyNumberFormat="1" applyFont="1" applyBorder="1"/>
    <xf numFmtId="170" fontId="102" fillId="5" borderId="12" xfId="0" applyNumberFormat="1" applyFont="1" applyFill="1" applyBorder="1"/>
    <xf numFmtId="170" fontId="126" fillId="7" borderId="0" xfId="0" applyNumberFormat="1" applyFont="1" applyFill="1"/>
    <xf numFmtId="170" fontId="95" fillId="4" borderId="0" xfId="0" quotePrefix="1" applyNumberFormat="1" applyFont="1" applyFill="1" applyAlignment="1">
      <alignment vertical="center" wrapText="1"/>
    </xf>
    <xf numFmtId="170" fontId="95" fillId="4" borderId="3" xfId="0" quotePrefix="1" applyNumberFormat="1" applyFont="1" applyFill="1" applyBorder="1" applyAlignment="1">
      <alignment vertical="center" wrapText="1"/>
    </xf>
    <xf numFmtId="0" fontId="57" fillId="2" borderId="0" xfId="0" applyFont="1" applyFill="1"/>
    <xf numFmtId="2" fontId="62" fillId="0" borderId="3" xfId="0" quotePrefix="1" applyNumberFormat="1" applyFont="1" applyBorder="1" applyAlignment="1">
      <alignment horizontal="center"/>
    </xf>
    <xf numFmtId="171" fontId="120" fillId="0" borderId="0" xfId="0" applyNumberFormat="1" applyFont="1"/>
    <xf numFmtId="0" fontId="81" fillId="2" borderId="34" xfId="0" applyFont="1" applyFill="1" applyBorder="1" applyAlignment="1">
      <alignment horizontal="centerContinuous" vertical="center" wrapText="1"/>
    </xf>
    <xf numFmtId="170" fontId="95" fillId="4" borderId="17" xfId="0" applyNumberFormat="1" applyFont="1" applyFill="1" applyBorder="1"/>
    <xf numFmtId="170" fontId="120" fillId="0" borderId="3" xfId="0" applyNumberFormat="1" applyFont="1" applyBorder="1"/>
    <xf numFmtId="0" fontId="120" fillId="0" borderId="23" xfId="0" applyFont="1" applyBorder="1" applyAlignment="1">
      <alignment horizontal="center" vertical="center" wrapText="1"/>
    </xf>
    <xf numFmtId="173" fontId="95" fillId="4" borderId="36" xfId="14" applyNumberFormat="1" applyFont="1" applyFill="1" applyBorder="1"/>
    <xf numFmtId="171" fontId="95" fillId="4" borderId="45" xfId="0" applyNumberFormat="1" applyFont="1" applyFill="1" applyBorder="1"/>
    <xf numFmtId="2" fontId="95" fillId="4" borderId="13" xfId="0" applyNumberFormat="1" applyFont="1" applyFill="1" applyBorder="1"/>
    <xf numFmtId="0" fontId="57" fillId="2" borderId="0" xfId="13" applyFont="1" applyFill="1"/>
    <xf numFmtId="0" fontId="62" fillId="2" borderId="0" xfId="13" applyFont="1" applyFill="1"/>
    <xf numFmtId="1" fontId="62" fillId="2" borderId="0" xfId="13" applyNumberFormat="1" applyFont="1" applyFill="1"/>
    <xf numFmtId="0" fontId="57" fillId="2" borderId="0" xfId="13" applyFont="1" applyFill="1" applyAlignment="1">
      <alignment vertical="center" wrapText="1"/>
    </xf>
    <xf numFmtId="0" fontId="75" fillId="2" borderId="22" xfId="13" quotePrefix="1" applyFont="1" applyFill="1" applyBorder="1" applyAlignment="1">
      <alignment horizontal="center" vertical="center" wrapText="1"/>
    </xf>
    <xf numFmtId="0" fontId="57" fillId="2" borderId="0" xfId="13" applyFont="1" applyFill="1" applyAlignment="1">
      <alignment vertical="center"/>
    </xf>
    <xf numFmtId="0" fontId="75" fillId="2" borderId="0" xfId="13" quotePrefix="1" applyFont="1" applyFill="1" applyAlignment="1">
      <alignment horizontal="centerContinuous" vertical="center" wrapText="1"/>
    </xf>
    <xf numFmtId="0" fontId="75" fillId="2" borderId="25" xfId="13" quotePrefix="1" applyFont="1" applyFill="1" applyBorder="1" applyAlignment="1">
      <alignment horizontal="centerContinuous" vertical="center" wrapText="1"/>
    </xf>
    <xf numFmtId="0" fontId="75" fillId="2" borderId="3" xfId="13" quotePrefix="1" applyFont="1" applyFill="1" applyBorder="1" applyAlignment="1">
      <alignment horizontal="centerContinuous" vertical="center" wrapText="1"/>
    </xf>
    <xf numFmtId="170" fontId="95" fillId="4" borderId="52" xfId="0" applyNumberFormat="1" applyFont="1" applyFill="1" applyBorder="1"/>
    <xf numFmtId="3" fontId="118" fillId="7" borderId="63" xfId="0" applyNumberFormat="1" applyFont="1" applyFill="1" applyBorder="1"/>
    <xf numFmtId="170" fontId="101" fillId="0" borderId="62" xfId="0" applyNumberFormat="1" applyFont="1" applyBorder="1"/>
    <xf numFmtId="170" fontId="95" fillId="4" borderId="62" xfId="0" applyNumberFormat="1" applyFont="1" applyFill="1" applyBorder="1"/>
    <xf numFmtId="0" fontId="75" fillId="2" borderId="6" xfId="12" applyFont="1" applyFill="1" applyBorder="1" applyAlignment="1">
      <alignment horizontal="centerContinuous" vertical="center" wrapText="1"/>
    </xf>
    <xf numFmtId="170" fontId="62" fillId="0" borderId="18" xfId="0" applyNumberFormat="1" applyFont="1" applyBorder="1"/>
    <xf numFmtId="1" fontId="78" fillId="2" borderId="25" xfId="0" applyNumberFormat="1" applyFont="1" applyFill="1" applyBorder="1" applyAlignment="1">
      <alignment horizontal="center"/>
    </xf>
    <xf numFmtId="0" fontId="57" fillId="2" borderId="0" xfId="16" applyFill="1"/>
    <xf numFmtId="0" fontId="62" fillId="2" borderId="0" xfId="16" applyFont="1" applyFill="1"/>
    <xf numFmtId="3" fontId="62" fillId="0" borderId="62" xfId="16" applyNumberFormat="1" applyFont="1" applyBorder="1"/>
    <xf numFmtId="0" fontId="62" fillId="0" borderId="2" xfId="16" applyFont="1" applyBorder="1" applyAlignment="1">
      <alignment horizontal="center"/>
    </xf>
    <xf numFmtId="0" fontId="62" fillId="0" borderId="0" xfId="16" applyFont="1" applyAlignment="1">
      <alignment horizontal="center"/>
    </xf>
    <xf numFmtId="1" fontId="75" fillId="2" borderId="23" xfId="13" quotePrefix="1" applyNumberFormat="1" applyFont="1" applyFill="1" applyBorder="1" applyAlignment="1">
      <alignment horizontal="center" vertical="center" wrapText="1"/>
    </xf>
    <xf numFmtId="0" fontId="75" fillId="2" borderId="23" xfId="13" quotePrefix="1" applyFont="1" applyFill="1" applyBorder="1" applyAlignment="1">
      <alignment horizontal="center" vertical="center" wrapText="1"/>
    </xf>
    <xf numFmtId="0" fontId="75" fillId="2" borderId="23" xfId="13" applyFont="1" applyFill="1" applyBorder="1" applyAlignment="1">
      <alignment horizontal="center" vertical="center" wrapText="1"/>
    </xf>
    <xf numFmtId="0" fontId="62" fillId="2" borderId="0" xfId="13" applyFont="1" applyFill="1" applyAlignment="1">
      <alignment vertical="center"/>
    </xf>
    <xf numFmtId="0" fontId="62" fillId="11" borderId="27" xfId="13" applyFont="1" applyFill="1" applyBorder="1" applyAlignment="1">
      <alignment horizontal="center" vertical="center" wrapText="1"/>
    </xf>
    <xf numFmtId="180" fontId="62" fillId="0" borderId="7" xfId="12401" applyNumberFormat="1" applyFont="1" applyFill="1" applyBorder="1" applyAlignment="1">
      <alignment horizontal="center" vertical="center"/>
    </xf>
    <xf numFmtId="0" fontId="62" fillId="0" borderId="7" xfId="13" applyFont="1" applyBorder="1" applyAlignment="1">
      <alignment horizontal="center" vertical="center"/>
    </xf>
    <xf numFmtId="0" fontId="62" fillId="2" borderId="7" xfId="13" applyFont="1" applyFill="1" applyBorder="1" applyAlignment="1">
      <alignment vertical="center"/>
    </xf>
    <xf numFmtId="179" fontId="94" fillId="2" borderId="27" xfId="12401" applyNumberFormat="1" applyFont="1" applyFill="1" applyBorder="1" applyAlignment="1">
      <alignment horizontal="center" vertical="center"/>
    </xf>
    <xf numFmtId="0" fontId="62" fillId="0" borderId="7" xfId="13" quotePrefix="1" applyFont="1" applyBorder="1" applyAlignment="1">
      <alignment horizontal="center" vertical="center" wrapText="1"/>
    </xf>
    <xf numFmtId="0" fontId="62" fillId="0" borderId="27" xfId="13" applyFont="1" applyBorder="1" applyAlignment="1">
      <alignment horizontal="center" vertical="center" wrapText="1"/>
    </xf>
    <xf numFmtId="0" fontId="62" fillId="11" borderId="7" xfId="13" quotePrefix="1" applyFont="1" applyFill="1" applyBorder="1" applyAlignment="1">
      <alignment horizontal="centerContinuous" vertical="center" wrapText="1"/>
    </xf>
    <xf numFmtId="0" fontId="62" fillId="11" borderId="7" xfId="13" applyFont="1" applyFill="1" applyBorder="1" applyAlignment="1">
      <alignment horizontal="centerContinuous" vertical="center" wrapText="1"/>
    </xf>
    <xf numFmtId="0" fontId="62" fillId="11" borderId="27" xfId="13" applyFont="1" applyFill="1" applyBorder="1" applyAlignment="1">
      <alignment horizontal="centerContinuous" vertical="center" wrapText="1"/>
    </xf>
    <xf numFmtId="0" fontId="62" fillId="11" borderId="6" xfId="13" applyFont="1" applyFill="1" applyBorder="1" applyAlignment="1">
      <alignment horizontal="centerContinuous" vertical="center" wrapText="1"/>
    </xf>
    <xf numFmtId="0" fontId="125" fillId="11" borderId="0" xfId="0" applyFont="1" applyFill="1" applyAlignment="1">
      <alignment vertical="center"/>
    </xf>
    <xf numFmtId="0" fontId="70" fillId="11" borderId="0" xfId="0" applyFont="1" applyFill="1" applyAlignment="1">
      <alignment vertical="center"/>
    </xf>
    <xf numFmtId="0" fontId="130" fillId="2" borderId="0" xfId="0" applyFont="1" applyFill="1" applyAlignment="1">
      <alignment vertical="center"/>
    </xf>
    <xf numFmtId="175" fontId="62" fillId="0" borderId="2" xfId="0" applyNumberFormat="1" applyFont="1" applyBorder="1"/>
    <xf numFmtId="175" fontId="62" fillId="0" borderId="63" xfId="0" applyNumberFormat="1" applyFont="1" applyBorder="1"/>
    <xf numFmtId="170" fontId="62" fillId="0" borderId="2" xfId="0" applyNumberFormat="1" applyFont="1" applyBorder="1"/>
    <xf numFmtId="0" fontId="81" fillId="2" borderId="25" xfId="0" applyFont="1" applyFill="1" applyBorder="1" applyAlignment="1">
      <alignment horizontal="centerContinuous" vertical="center" wrapText="1"/>
    </xf>
    <xf numFmtId="171" fontId="62" fillId="0" borderId="64" xfId="0" applyNumberFormat="1" applyFont="1" applyBorder="1"/>
    <xf numFmtId="171" fontId="127" fillId="0" borderId="64" xfId="0" applyNumberFormat="1" applyFont="1" applyBorder="1"/>
    <xf numFmtId="0" fontId="57" fillId="0" borderId="0" xfId="0" applyFont="1"/>
    <xf numFmtId="1" fontId="82" fillId="2" borderId="62" xfId="12" quotePrefix="1" applyNumberFormat="1" applyFont="1" applyFill="1" applyBorder="1" applyAlignment="1">
      <alignment horizontal="center" vertical="center"/>
    </xf>
    <xf numFmtId="1" fontId="82" fillId="2" borderId="0" xfId="12" quotePrefix="1" applyNumberFormat="1" applyFont="1" applyFill="1" applyAlignment="1">
      <alignment horizontal="center" vertical="center"/>
    </xf>
    <xf numFmtId="1" fontId="82" fillId="2" borderId="3" xfId="12" quotePrefix="1" applyNumberFormat="1" applyFont="1" applyFill="1" applyBorder="1" applyAlignment="1">
      <alignment horizontal="center" vertical="center"/>
    </xf>
    <xf numFmtId="170" fontId="62" fillId="0" borderId="62" xfId="0" applyNumberFormat="1" applyFont="1" applyBorder="1"/>
    <xf numFmtId="1" fontId="78" fillId="11" borderId="7" xfId="0" applyNumberFormat="1" applyFont="1" applyFill="1" applyBorder="1" applyAlignment="1">
      <alignment horizontal="center"/>
    </xf>
    <xf numFmtId="1" fontId="78" fillId="11" borderId="8" xfId="0" applyNumberFormat="1" applyFont="1" applyFill="1" applyBorder="1" applyAlignment="1">
      <alignment horizontal="center"/>
    </xf>
    <xf numFmtId="170" fontId="120" fillId="0" borderId="63" xfId="0" applyNumberFormat="1" applyFont="1" applyBorder="1"/>
    <xf numFmtId="0" fontId="161" fillId="2" borderId="0" xfId="0" applyFont="1" applyFill="1" applyAlignment="1">
      <alignment vertical="center"/>
    </xf>
    <xf numFmtId="0" fontId="61" fillId="11" borderId="0" xfId="0" applyFont="1" applyFill="1"/>
    <xf numFmtId="170" fontId="164" fillId="11" borderId="0" xfId="0" applyNumberFormat="1" applyFont="1" applyFill="1"/>
    <xf numFmtId="196" fontId="62" fillId="0" borderId="0" xfId="89" applyNumberFormat="1" applyFont="1" applyFill="1" applyAlignment="1">
      <alignment horizontal="center"/>
    </xf>
    <xf numFmtId="10" fontId="118" fillId="7" borderId="3" xfId="0" applyNumberFormat="1" applyFont="1" applyFill="1" applyBorder="1"/>
    <xf numFmtId="196" fontId="118" fillId="7" borderId="66" xfId="89" applyNumberFormat="1" applyFont="1" applyFill="1" applyBorder="1" applyAlignment="1">
      <alignment horizontal="center"/>
    </xf>
    <xf numFmtId="173" fontId="101" fillId="0" borderId="2" xfId="14" applyNumberFormat="1" applyFont="1" applyBorder="1"/>
    <xf numFmtId="173" fontId="101" fillId="0" borderId="0" xfId="14" applyNumberFormat="1" applyFont="1"/>
    <xf numFmtId="173" fontId="95" fillId="4" borderId="40" xfId="14" applyNumberFormat="1" applyFont="1" applyFill="1" applyBorder="1"/>
    <xf numFmtId="173" fontId="101" fillId="0" borderId="12" xfId="14" applyNumberFormat="1" applyFont="1" applyBorder="1"/>
    <xf numFmtId="173" fontId="101" fillId="0" borderId="62" xfId="14" applyNumberFormat="1" applyFont="1" applyBorder="1"/>
    <xf numFmtId="171" fontId="163" fillId="7" borderId="64" xfId="0" applyNumberFormat="1" applyFont="1" applyFill="1" applyBorder="1"/>
    <xf numFmtId="0" fontId="57" fillId="2" borderId="62" xfId="10" applyFont="1" applyFill="1" applyBorder="1"/>
    <xf numFmtId="0" fontId="57" fillId="2" borderId="0" xfId="10" applyFont="1" applyFill="1"/>
    <xf numFmtId="0" fontId="57" fillId="2" borderId="7" xfId="10" applyFont="1" applyFill="1" applyBorder="1" applyAlignment="1">
      <alignment horizontal="centerContinuous" vertical="center"/>
    </xf>
    <xf numFmtId="2" fontId="62" fillId="0" borderId="3" xfId="10" applyNumberFormat="1" applyFont="1" applyBorder="1" applyAlignment="1">
      <alignment horizontal="center"/>
    </xf>
    <xf numFmtId="0" fontId="75" fillId="2" borderId="22" xfId="10" applyFont="1" applyFill="1" applyBorder="1" applyAlignment="1">
      <alignment horizontal="centerContinuous" vertical="center" wrapText="1"/>
    </xf>
    <xf numFmtId="0" fontId="75" fillId="2" borderId="23" xfId="10" applyFont="1" applyFill="1" applyBorder="1" applyAlignment="1">
      <alignment horizontal="centerContinuous" vertical="center" wrapText="1"/>
    </xf>
    <xf numFmtId="0" fontId="75" fillId="2" borderId="29" xfId="10" applyFont="1" applyFill="1" applyBorder="1" applyAlignment="1">
      <alignment horizontal="centerContinuous" vertical="center" wrapText="1"/>
    </xf>
    <xf numFmtId="0" fontId="57" fillId="2" borderId="3" xfId="10" applyFont="1" applyFill="1" applyBorder="1"/>
    <xf numFmtId="0" fontId="75" fillId="2" borderId="24" xfId="10" applyFont="1" applyFill="1" applyBorder="1" applyAlignment="1">
      <alignment horizontal="centerContinuous" vertical="center" wrapText="1"/>
    </xf>
    <xf numFmtId="0" fontId="62" fillId="2" borderId="7" xfId="12" applyFont="1" applyFill="1" applyBorder="1" applyAlignment="1">
      <alignment horizontal="centerContinuous" vertical="center" wrapText="1"/>
    </xf>
    <xf numFmtId="198" fontId="118" fillId="7" borderId="19" xfId="14" applyNumberFormat="1" applyFont="1" applyFill="1" applyBorder="1"/>
    <xf numFmtId="198" fontId="101" fillId="0" borderId="19" xfId="14" applyNumberFormat="1" applyFont="1" applyBorder="1"/>
    <xf numFmtId="171" fontId="129" fillId="0" borderId="0" xfId="0" applyNumberFormat="1" applyFont="1"/>
    <xf numFmtId="171" fontId="101" fillId="8" borderId="2" xfId="0" applyNumberFormat="1" applyFont="1" applyFill="1" applyBorder="1"/>
    <xf numFmtId="171" fontId="118" fillId="7" borderId="2" xfId="0" applyNumberFormat="1" applyFont="1" applyFill="1" applyBorder="1" applyAlignment="1">
      <alignment horizontal="right" vertical="center"/>
    </xf>
    <xf numFmtId="1" fontId="78" fillId="2" borderId="27" xfId="16" applyNumberFormat="1" applyFont="1" applyFill="1" applyBorder="1" applyAlignment="1">
      <alignment horizontal="center" vertical="center"/>
    </xf>
    <xf numFmtId="3" fontId="101" fillId="8" borderId="18" xfId="16" applyNumberFormat="1" applyFont="1" applyFill="1" applyBorder="1"/>
    <xf numFmtId="3" fontId="101" fillId="0" borderId="18" xfId="16" applyNumberFormat="1" applyFont="1" applyBorder="1"/>
    <xf numFmtId="3" fontId="118" fillId="4" borderId="43" xfId="16" applyNumberFormat="1" applyFont="1" applyFill="1" applyBorder="1"/>
    <xf numFmtId="3" fontId="62" fillId="0" borderId="18" xfId="16" applyNumberFormat="1" applyFont="1" applyBorder="1"/>
    <xf numFmtId="0" fontId="62" fillId="11" borderId="8" xfId="13" applyFont="1" applyFill="1" applyBorder="1" applyAlignment="1">
      <alignment horizontal="center" vertical="center" wrapText="1"/>
    </xf>
    <xf numFmtId="0" fontId="62" fillId="11" borderId="8" xfId="13" quotePrefix="1" applyFont="1" applyFill="1" applyBorder="1" applyAlignment="1">
      <alignment horizontal="centerContinuous" vertical="center" wrapText="1"/>
    </xf>
    <xf numFmtId="0" fontId="62" fillId="0" borderId="8" xfId="13" quotePrefix="1" applyFont="1" applyBorder="1" applyAlignment="1">
      <alignment horizontal="center" vertical="center" wrapText="1"/>
    </xf>
    <xf numFmtId="180" fontId="62" fillId="0" borderId="8" xfId="12401" applyNumberFormat="1" applyFont="1" applyFill="1" applyBorder="1" applyAlignment="1">
      <alignment horizontal="center" vertical="center"/>
    </xf>
    <xf numFmtId="1" fontId="75" fillId="2" borderId="24" xfId="13" quotePrefix="1" applyNumberFormat="1" applyFont="1" applyFill="1" applyBorder="1" applyAlignment="1">
      <alignment horizontal="center" vertical="center" wrapText="1"/>
    </xf>
    <xf numFmtId="0" fontId="61" fillId="0" borderId="0" xfId="0" applyFont="1"/>
    <xf numFmtId="170" fontId="120" fillId="8" borderId="0" xfId="0" applyNumberFormat="1" applyFont="1" applyFill="1"/>
    <xf numFmtId="171" fontId="167" fillId="8" borderId="0" xfId="0" applyNumberFormat="1" applyFont="1" applyFill="1"/>
    <xf numFmtId="1" fontId="78" fillId="2" borderId="62" xfId="0" applyNumberFormat="1" applyFont="1" applyFill="1" applyBorder="1" applyAlignment="1">
      <alignment horizontal="center"/>
    </xf>
    <xf numFmtId="1" fontId="118" fillId="2" borderId="62" xfId="0" applyNumberFormat="1" applyFont="1" applyFill="1" applyBorder="1" applyAlignment="1">
      <alignment horizontal="center"/>
    </xf>
    <xf numFmtId="0" fontId="105" fillId="5" borderId="64" xfId="0" applyFont="1" applyFill="1" applyBorder="1"/>
    <xf numFmtId="10" fontId="120" fillId="0" borderId="64" xfId="12401" applyNumberFormat="1" applyFont="1" applyBorder="1"/>
    <xf numFmtId="10" fontId="128" fillId="8" borderId="64" xfId="12401" applyNumberFormat="1" applyFont="1" applyFill="1" applyBorder="1"/>
    <xf numFmtId="0" fontId="57" fillId="5" borderId="62" xfId="12" applyFont="1" applyFill="1" applyBorder="1" applyAlignment="1">
      <alignment horizontal="center" vertical="center" wrapText="1"/>
    </xf>
    <xf numFmtId="0" fontId="57" fillId="5" borderId="62" xfId="12" applyFont="1" applyFill="1" applyBorder="1" applyAlignment="1">
      <alignment horizontal="center"/>
    </xf>
    <xf numFmtId="4" fontId="62" fillId="0" borderId="62" xfId="14" applyNumberFormat="1" applyFont="1" applyBorder="1" applyAlignment="1">
      <alignment horizontal="right"/>
    </xf>
    <xf numFmtId="0" fontId="61" fillId="11" borderId="0" xfId="12" applyFont="1" applyFill="1"/>
    <xf numFmtId="0" fontId="75" fillId="2" borderId="20" xfId="13" quotePrefix="1" applyFont="1" applyFill="1" applyBorder="1" applyAlignment="1">
      <alignment horizontal="centerContinuous" vertical="center" wrapText="1"/>
    </xf>
    <xf numFmtId="0" fontId="75" fillId="2" borderId="6" xfId="13" applyFont="1" applyFill="1" applyBorder="1" applyAlignment="1">
      <alignment horizontal="centerContinuous" vertical="center" wrapText="1"/>
    </xf>
    <xf numFmtId="0" fontId="62" fillId="2" borderId="7" xfId="13" applyFont="1" applyFill="1" applyBorder="1" applyAlignment="1">
      <alignment horizontal="centerContinuous" vertical="center" wrapText="1"/>
    </xf>
    <xf numFmtId="0" fontId="75" fillId="2" borderId="7" xfId="13" quotePrefix="1" applyFont="1" applyFill="1" applyBorder="1" applyAlignment="1">
      <alignment horizontal="centerContinuous" vertical="center" wrapText="1"/>
    </xf>
    <xf numFmtId="0" fontId="75" fillId="2" borderId="6" xfId="13" quotePrefix="1" applyFont="1" applyFill="1" applyBorder="1" applyAlignment="1">
      <alignment horizontal="centerContinuous" vertical="center" wrapText="1"/>
    </xf>
    <xf numFmtId="0" fontId="62" fillId="2" borderId="7" xfId="13" applyFont="1" applyFill="1" applyBorder="1" applyAlignment="1">
      <alignment horizontal="center" vertical="center" wrapText="1"/>
    </xf>
    <xf numFmtId="0" fontId="75" fillId="2" borderId="8" xfId="13" quotePrefix="1" applyFont="1" applyFill="1" applyBorder="1" applyAlignment="1">
      <alignment horizontal="centerContinuous" vertical="center" wrapText="1"/>
    </xf>
    <xf numFmtId="0" fontId="62" fillId="2" borderId="7" xfId="13" quotePrefix="1" applyFont="1" applyFill="1" applyBorder="1" applyAlignment="1">
      <alignment horizontal="centerContinuous" vertical="center" wrapText="1"/>
    </xf>
    <xf numFmtId="0" fontId="62" fillId="2" borderId="8" xfId="13" quotePrefix="1" applyFont="1" applyFill="1" applyBorder="1" applyAlignment="1">
      <alignment horizontal="centerContinuous" vertical="center" wrapText="1"/>
    </xf>
    <xf numFmtId="0" fontId="62" fillId="2" borderId="68" xfId="13" quotePrefix="1" applyFont="1" applyFill="1" applyBorder="1" applyAlignment="1">
      <alignment horizontal="centerContinuous" vertical="center" wrapText="1"/>
    </xf>
    <xf numFmtId="0" fontId="78" fillId="2" borderId="7" xfId="126" applyFont="1" applyFill="1" applyBorder="1" applyAlignment="1">
      <alignment horizontal="center" vertical="center"/>
    </xf>
    <xf numFmtId="2" fontId="62" fillId="0" borderId="3" xfId="13" applyNumberFormat="1" applyFont="1" applyBorder="1" applyAlignment="1">
      <alignment horizontal="center"/>
    </xf>
    <xf numFmtId="0" fontId="57" fillId="2" borderId="0" xfId="12401" applyNumberFormat="1" applyFont="1" applyFill="1"/>
    <xf numFmtId="0" fontId="62" fillId="0" borderId="7" xfId="13" applyFont="1" applyBorder="1" applyAlignment="1">
      <alignment horizontal="center" vertical="center" wrapText="1"/>
    </xf>
    <xf numFmtId="1" fontId="75" fillId="2" borderId="23" xfId="13" applyNumberFormat="1" applyFont="1" applyFill="1" applyBorder="1" applyAlignment="1">
      <alignment horizontal="center" vertical="center" wrapText="1"/>
    </xf>
    <xf numFmtId="1" fontId="75" fillId="2" borderId="22" xfId="13" quotePrefix="1" applyNumberFormat="1" applyFont="1" applyFill="1" applyBorder="1" applyAlignment="1">
      <alignment horizontal="center" vertical="center" wrapText="1"/>
    </xf>
    <xf numFmtId="1" fontId="62" fillId="2" borderId="20" xfId="13" applyNumberFormat="1" applyFont="1" applyFill="1" applyBorder="1" applyAlignment="1">
      <alignment horizontal="centerContinuous" vertical="center" wrapText="1"/>
    </xf>
    <xf numFmtId="0" fontId="75" fillId="2" borderId="8" xfId="13" applyFont="1" applyFill="1" applyBorder="1" applyAlignment="1">
      <alignment horizontal="centerContinuous" vertical="center" wrapText="1"/>
    </xf>
    <xf numFmtId="173" fontId="95" fillId="4" borderId="18" xfId="14" applyNumberFormat="1" applyFont="1" applyFill="1" applyBorder="1"/>
    <xf numFmtId="1" fontId="82" fillId="2" borderId="27" xfId="12" quotePrefix="1" applyNumberFormat="1" applyFont="1" applyFill="1" applyBorder="1" applyAlignment="1">
      <alignment horizontal="center" vertical="center"/>
    </xf>
    <xf numFmtId="0" fontId="77" fillId="2" borderId="27" xfId="12" applyFont="1" applyFill="1" applyBorder="1" applyAlignment="1">
      <alignment horizontal="centerContinuous" vertical="center" wrapText="1"/>
    </xf>
    <xf numFmtId="0" fontId="57" fillId="2" borderId="63" xfId="12" applyFont="1" applyFill="1" applyBorder="1" applyAlignment="1">
      <alignment horizontal="center" vertical="center"/>
    </xf>
    <xf numFmtId="0" fontId="62" fillId="2" borderId="63" xfId="12" applyFont="1" applyFill="1" applyBorder="1" applyAlignment="1">
      <alignment horizontal="center" vertical="center"/>
    </xf>
    <xf numFmtId="0" fontId="57" fillId="5" borderId="63" xfId="12" applyFont="1" applyFill="1" applyBorder="1" applyAlignment="1">
      <alignment horizontal="center" vertical="center" wrapText="1"/>
    </xf>
    <xf numFmtId="4" fontId="95" fillId="4" borderId="63" xfId="14" applyNumberFormat="1" applyFont="1" applyFill="1" applyBorder="1" applyAlignment="1">
      <alignment horizontal="right"/>
    </xf>
    <xf numFmtId="4" fontId="62" fillId="0" borderId="63" xfId="14" applyNumberFormat="1" applyFont="1" applyBorder="1" applyAlignment="1">
      <alignment horizontal="right"/>
    </xf>
    <xf numFmtId="0" fontId="57" fillId="2" borderId="0" xfId="12" applyFont="1" applyFill="1" applyAlignment="1">
      <alignment horizontal="center" vertical="center"/>
    </xf>
    <xf numFmtId="0" fontId="57" fillId="5" borderId="0" xfId="12" applyFont="1" applyFill="1" applyAlignment="1">
      <alignment horizontal="center" vertical="center" wrapText="1"/>
    </xf>
    <xf numFmtId="4" fontId="95" fillId="4" borderId="18" xfId="14" applyNumberFormat="1" applyFont="1" applyFill="1" applyBorder="1" applyAlignment="1">
      <alignment horizontal="right"/>
    </xf>
    <xf numFmtId="0" fontId="62" fillId="2" borderId="8" xfId="12" applyFont="1" applyFill="1" applyBorder="1" applyAlignment="1">
      <alignment horizontal="center" vertical="center"/>
    </xf>
    <xf numFmtId="0" fontId="75" fillId="2" borderId="8" xfId="12" applyFont="1" applyFill="1" applyBorder="1" applyAlignment="1">
      <alignment horizontal="centerContinuous" vertical="center" wrapText="1"/>
    </xf>
    <xf numFmtId="0" fontId="57" fillId="2" borderId="0" xfId="126" applyFill="1"/>
    <xf numFmtId="2" fontId="62" fillId="0" borderId="0" xfId="126" applyNumberFormat="1" applyFont="1" applyAlignment="1">
      <alignment horizontal="center"/>
    </xf>
    <xf numFmtId="0" fontId="62" fillId="2" borderId="0" xfId="126" applyFont="1" applyFill="1"/>
    <xf numFmtId="0" fontId="0" fillId="11" borderId="0" xfId="0" applyFill="1"/>
    <xf numFmtId="175" fontId="172" fillId="7" borderId="62" xfId="0" applyNumberFormat="1" applyFont="1" applyFill="1" applyBorder="1"/>
    <xf numFmtId="175" fontId="118" fillId="7" borderId="48" xfId="0" applyNumberFormat="1" applyFont="1" applyFill="1" applyBorder="1"/>
    <xf numFmtId="0" fontId="62" fillId="0" borderId="7" xfId="0" applyFont="1" applyBorder="1"/>
    <xf numFmtId="0" fontId="62" fillId="0" borderId="8" xfId="0" applyFont="1" applyBorder="1"/>
    <xf numFmtId="0" fontId="75" fillId="0" borderId="27" xfId="0" applyFont="1" applyBorder="1" applyAlignment="1">
      <alignment horizontal="centerContinuous" vertical="center"/>
    </xf>
    <xf numFmtId="0" fontId="62" fillId="0" borderId="27" xfId="0" applyFont="1" applyBorder="1" applyAlignment="1">
      <alignment horizontal="center" vertical="center" wrapText="1"/>
    </xf>
    <xf numFmtId="0" fontId="62" fillId="0" borderId="18" xfId="0" applyFont="1" applyBorder="1"/>
    <xf numFmtId="0" fontId="80" fillId="2" borderId="24" xfId="0" applyFont="1" applyFill="1" applyBorder="1" applyAlignment="1">
      <alignment horizontal="center" vertical="center" wrapText="1"/>
    </xf>
    <xf numFmtId="0" fontId="0" fillId="11" borderId="3" xfId="0" applyFill="1" applyBorder="1"/>
    <xf numFmtId="0" fontId="62" fillId="11" borderId="7" xfId="0" applyFont="1" applyFill="1" applyBorder="1" applyAlignment="1">
      <alignment wrapText="1"/>
    </xf>
    <xf numFmtId="0" fontId="62" fillId="11" borderId="7" xfId="0" applyFont="1" applyFill="1" applyBorder="1"/>
    <xf numFmtId="0" fontId="0" fillId="11" borderId="7" xfId="0" applyFill="1" applyBorder="1"/>
    <xf numFmtId="0" fontId="62" fillId="11" borderId="8" xfId="0" applyFont="1" applyFill="1" applyBorder="1"/>
    <xf numFmtId="0" fontId="0" fillId="11" borderId="18" xfId="0" applyFill="1" applyBorder="1"/>
    <xf numFmtId="0" fontId="62" fillId="11" borderId="27" xfId="0" applyFont="1" applyFill="1" applyBorder="1"/>
    <xf numFmtId="0" fontId="62" fillId="0" borderId="27" xfId="0" applyFont="1" applyBorder="1"/>
    <xf numFmtId="3" fontId="95" fillId="4" borderId="3" xfId="0" applyNumberFormat="1" applyFont="1" applyFill="1" applyBorder="1"/>
    <xf numFmtId="0" fontId="75" fillId="0" borderId="27" xfId="0" applyFont="1" applyBorder="1" applyAlignment="1">
      <alignment horizontal="centerContinuous" vertical="center" wrapText="1"/>
    </xf>
    <xf numFmtId="184" fontId="62" fillId="0" borderId="18" xfId="0" applyNumberFormat="1" applyFont="1" applyBorder="1"/>
    <xf numFmtId="0" fontId="75" fillId="2" borderId="25" xfId="215" applyFont="1" applyFill="1" applyBorder="1" applyAlignment="1">
      <alignment horizontal="centerContinuous" vertical="center" wrapText="1"/>
    </xf>
    <xf numFmtId="0" fontId="75" fillId="2" borderId="21" xfId="215" applyFont="1" applyFill="1" applyBorder="1" applyAlignment="1">
      <alignment horizontal="centerContinuous" vertical="center" wrapText="1"/>
    </xf>
    <xf numFmtId="1" fontId="75" fillId="2" borderId="8" xfId="215" applyNumberFormat="1" applyFont="1" applyFill="1" applyBorder="1" applyAlignment="1">
      <alignment horizontal="centerContinuous" vertical="center" wrapText="1"/>
    </xf>
    <xf numFmtId="0" fontId="75" fillId="2" borderId="8" xfId="215" applyFont="1" applyFill="1" applyBorder="1" applyAlignment="1">
      <alignment horizontal="centerContinuous" vertical="center" wrapText="1"/>
    </xf>
    <xf numFmtId="0" fontId="75" fillId="2" borderId="7" xfId="215" applyFont="1" applyFill="1" applyBorder="1" applyAlignment="1">
      <alignment horizontal="centerContinuous" vertical="center" wrapText="1"/>
    </xf>
    <xf numFmtId="0" fontId="75" fillId="2" borderId="8" xfId="215" applyFont="1" applyFill="1" applyBorder="1" applyAlignment="1">
      <alignment horizontal="center" vertical="center" wrapText="1"/>
    </xf>
    <xf numFmtId="2" fontId="62" fillId="0" borderId="3" xfId="215" applyNumberFormat="1" applyFont="1" applyBorder="1" applyAlignment="1">
      <alignment horizontal="center"/>
    </xf>
    <xf numFmtId="174" fontId="62" fillId="5" borderId="3" xfId="215" applyNumberFormat="1" applyFont="1" applyFill="1" applyBorder="1"/>
    <xf numFmtId="170" fontId="62" fillId="0" borderId="0" xfId="215" applyNumberFormat="1" applyFont="1"/>
    <xf numFmtId="170" fontId="62" fillId="0" borderId="3" xfId="215" applyNumberFormat="1" applyFont="1" applyBorder="1"/>
    <xf numFmtId="0" fontId="62" fillId="2" borderId="0" xfId="215" applyFont="1" applyFill="1"/>
    <xf numFmtId="0" fontId="75" fillId="2" borderId="8" xfId="0" applyFont="1" applyFill="1" applyBorder="1" applyAlignment="1">
      <alignment horizontal="centerContinuous" vertical="center" wrapText="1"/>
    </xf>
    <xf numFmtId="10" fontId="158" fillId="7" borderId="64" xfId="12401" applyNumberFormat="1" applyFont="1" applyFill="1" applyBorder="1"/>
    <xf numFmtId="170" fontId="62" fillId="0" borderId="3" xfId="0" applyNumberFormat="1" applyFont="1" applyBorder="1"/>
    <xf numFmtId="0" fontId="75" fillId="2" borderId="37" xfId="0" quotePrefix="1" applyFont="1" applyFill="1" applyBorder="1" applyAlignment="1">
      <alignment horizontal="center" vertical="center" wrapText="1"/>
    </xf>
    <xf numFmtId="0" fontId="75" fillId="2" borderId="7" xfId="0" applyFont="1" applyFill="1" applyBorder="1" applyAlignment="1">
      <alignment horizontal="centerContinuous" vertical="center" wrapText="1"/>
    </xf>
    <xf numFmtId="0" fontId="75" fillId="2" borderId="6" xfId="0" applyFont="1" applyFill="1" applyBorder="1" applyAlignment="1">
      <alignment horizontal="centerContinuous" vertical="center" wrapText="1"/>
    </xf>
    <xf numFmtId="2" fontId="0" fillId="11" borderId="0" xfId="0" applyNumberFormat="1" applyFill="1"/>
    <xf numFmtId="179" fontId="0" fillId="11" borderId="0" xfId="12401" applyNumberFormat="1" applyFont="1" applyFill="1"/>
    <xf numFmtId="0" fontId="75" fillId="2" borderId="20" xfId="215" applyFont="1" applyFill="1" applyBorder="1" applyAlignment="1">
      <alignment horizontal="centerContinuous" vertical="center" wrapText="1"/>
    </xf>
    <xf numFmtId="0" fontId="62" fillId="2" borderId="0" xfId="215" applyFont="1" applyFill="1" applyAlignment="1">
      <alignment horizontal="centerContinuous"/>
    </xf>
    <xf numFmtId="170" fontId="95" fillId="4" borderId="43" xfId="215" applyNumberFormat="1" applyFont="1" applyFill="1" applyBorder="1"/>
    <xf numFmtId="170" fontId="62" fillId="0" borderId="18" xfId="215" applyNumberFormat="1" applyFont="1" applyBorder="1"/>
    <xf numFmtId="173" fontId="62" fillId="0" borderId="2" xfId="14" applyNumberFormat="1" applyFont="1" applyBorder="1"/>
    <xf numFmtId="173" fontId="62" fillId="0" borderId="62" xfId="14" applyNumberFormat="1" applyFont="1" applyBorder="1"/>
    <xf numFmtId="173" fontId="62" fillId="0" borderId="0" xfId="14" applyNumberFormat="1" applyFont="1"/>
    <xf numFmtId="170" fontId="106" fillId="4" borderId="18" xfId="0" applyNumberFormat="1" applyFont="1" applyFill="1" applyBorder="1"/>
    <xf numFmtId="0" fontId="85" fillId="2" borderId="28" xfId="13" applyFont="1" applyFill="1" applyBorder="1" applyAlignment="1">
      <alignment horizontal="center" vertical="center"/>
    </xf>
    <xf numFmtId="1" fontId="75" fillId="11" borderId="27" xfId="13" applyNumberFormat="1" applyFont="1" applyFill="1" applyBorder="1" applyAlignment="1">
      <alignment horizontal="centerContinuous" vertical="center" wrapText="1"/>
    </xf>
    <xf numFmtId="1" fontId="78" fillId="2" borderId="7" xfId="16" applyNumberFormat="1" applyFont="1" applyFill="1" applyBorder="1" applyAlignment="1">
      <alignment horizontal="center" vertical="center"/>
    </xf>
    <xf numFmtId="0" fontId="41" fillId="11" borderId="0" xfId="215" applyFill="1"/>
    <xf numFmtId="0" fontId="75" fillId="2" borderId="28" xfId="215" applyFont="1" applyFill="1" applyBorder="1" applyAlignment="1">
      <alignment horizontal="centerContinuous" vertical="center" wrapText="1"/>
    </xf>
    <xf numFmtId="0" fontId="75" fillId="2" borderId="27" xfId="215" applyFont="1" applyFill="1" applyBorder="1" applyAlignment="1">
      <alignment horizontal="center" vertical="center" wrapText="1"/>
    </xf>
    <xf numFmtId="1" fontId="62" fillId="0" borderId="7" xfId="215" applyNumberFormat="1" applyFont="1" applyBorder="1" applyAlignment="1">
      <alignment horizontal="center" vertical="center" wrapText="1"/>
    </xf>
    <xf numFmtId="0" fontId="62" fillId="2" borderId="7" xfId="215" applyFont="1" applyFill="1" applyBorder="1" applyAlignment="1">
      <alignment horizontal="center" vertical="center" wrapText="1"/>
    </xf>
    <xf numFmtId="0" fontId="78" fillId="2" borderId="7" xfId="215" applyFont="1" applyFill="1" applyBorder="1" applyAlignment="1">
      <alignment horizontal="center" vertical="center"/>
    </xf>
    <xf numFmtId="1" fontId="62" fillId="0" borderId="8" xfId="215" applyNumberFormat="1" applyFont="1" applyBorder="1" applyAlignment="1">
      <alignment horizontal="center" vertical="center" wrapText="1"/>
    </xf>
    <xf numFmtId="0" fontId="62" fillId="2" borderId="8" xfId="215" applyFont="1" applyFill="1" applyBorder="1" applyAlignment="1">
      <alignment horizontal="center" vertical="center" wrapText="1"/>
    </xf>
    <xf numFmtId="0" fontId="78" fillId="2" borderId="8" xfId="215" applyFont="1" applyFill="1" applyBorder="1" applyAlignment="1">
      <alignment horizontal="center" vertical="center"/>
    </xf>
    <xf numFmtId="0" fontId="75" fillId="2" borderId="27" xfId="215" applyFont="1" applyFill="1" applyBorder="1" applyAlignment="1">
      <alignment horizontal="centerContinuous" vertical="center" wrapText="1"/>
    </xf>
    <xf numFmtId="195" fontId="86" fillId="11" borderId="0" xfId="89" applyNumberFormat="1" applyFont="1" applyFill="1" applyAlignment="1">
      <alignment horizontal="center"/>
    </xf>
    <xf numFmtId="0" fontId="102" fillId="2" borderId="8" xfId="0" applyFont="1" applyFill="1" applyBorder="1" applyAlignment="1">
      <alignment horizontal="centerContinuous" vertical="center" wrapText="1"/>
    </xf>
    <xf numFmtId="0" fontId="62" fillId="2" borderId="18" xfId="0" applyFont="1" applyFill="1" applyBorder="1" applyAlignment="1">
      <alignment vertical="center"/>
    </xf>
    <xf numFmtId="0" fontId="62" fillId="2" borderId="27" xfId="0" applyFont="1" applyFill="1" applyBorder="1" applyAlignment="1">
      <alignment vertical="center"/>
    </xf>
    <xf numFmtId="175" fontId="95" fillId="4" borderId="18" xfId="0" applyNumberFormat="1" applyFont="1" applyFill="1" applyBorder="1"/>
    <xf numFmtId="3" fontId="158" fillId="4" borderId="0" xfId="0" applyNumberFormat="1" applyFont="1" applyFill="1"/>
    <xf numFmtId="171" fontId="118" fillId="7" borderId="70" xfId="0" applyNumberFormat="1" applyFont="1" applyFill="1" applyBorder="1"/>
    <xf numFmtId="175" fontId="158" fillId="4" borderId="12" xfId="0" applyNumberFormat="1" applyFont="1" applyFill="1" applyBorder="1"/>
    <xf numFmtId="175" fontId="158" fillId="4" borderId="44" xfId="0" applyNumberFormat="1" applyFont="1" applyFill="1" applyBorder="1"/>
    <xf numFmtId="175" fontId="158" fillId="4" borderId="10" xfId="0" applyNumberFormat="1" applyFont="1" applyFill="1" applyBorder="1"/>
    <xf numFmtId="3" fontId="62" fillId="0" borderId="63" xfId="0" applyNumberFormat="1" applyFont="1" applyBorder="1"/>
    <xf numFmtId="3" fontId="158" fillId="4" borderId="45" xfId="0" applyNumberFormat="1" applyFont="1" applyFill="1" applyBorder="1"/>
    <xf numFmtId="0" fontId="78" fillId="2" borderId="8" xfId="126" applyFont="1" applyFill="1" applyBorder="1" applyAlignment="1">
      <alignment horizontal="center" vertical="center"/>
    </xf>
    <xf numFmtId="172" fontId="120" fillId="0" borderId="63" xfId="13" applyNumberFormat="1" applyFont="1" applyBorder="1"/>
    <xf numFmtId="172" fontId="126" fillId="4" borderId="63" xfId="13" applyNumberFormat="1" applyFont="1" applyFill="1" applyBorder="1"/>
    <xf numFmtId="172" fontId="101" fillId="0" borderId="63" xfId="13" applyNumberFormat="1" applyFont="1" applyBorder="1"/>
    <xf numFmtId="174" fontId="87" fillId="5" borderId="19" xfId="0" applyNumberFormat="1" applyFont="1" applyFill="1" applyBorder="1" applyAlignment="1">
      <alignment horizontal="center"/>
    </xf>
    <xf numFmtId="181" fontId="87" fillId="5" borderId="19" xfId="0" applyNumberFormat="1" applyFont="1" applyFill="1" applyBorder="1" applyAlignment="1">
      <alignment horizontal="center"/>
    </xf>
    <xf numFmtId="181" fontId="87" fillId="5" borderId="63" xfId="0" applyNumberFormat="1" applyFont="1" applyFill="1" applyBorder="1" applyAlignment="1">
      <alignment horizontal="center"/>
    </xf>
    <xf numFmtId="170" fontId="158" fillId="4" borderId="40" xfId="0" applyNumberFormat="1" applyFont="1" applyFill="1" applyBorder="1"/>
    <xf numFmtId="170" fontId="158" fillId="4" borderId="10" xfId="0" applyNumberFormat="1" applyFont="1" applyFill="1" applyBorder="1"/>
    <xf numFmtId="208" fontId="152" fillId="11" borderId="0" xfId="0" applyNumberFormat="1" applyFont="1" applyFill="1"/>
    <xf numFmtId="207" fontId="152" fillId="11" borderId="0" xfId="9841" applyFont="1" applyFill="1" applyBorder="1"/>
    <xf numFmtId="170" fontId="102" fillId="5" borderId="62" xfId="0" applyNumberFormat="1" applyFont="1" applyFill="1" applyBorder="1"/>
    <xf numFmtId="176" fontId="95" fillId="4" borderId="62" xfId="0" applyNumberFormat="1" applyFont="1" applyFill="1" applyBorder="1"/>
    <xf numFmtId="176" fontId="102" fillId="0" borderId="62" xfId="0" applyNumberFormat="1" applyFont="1" applyBorder="1"/>
    <xf numFmtId="170" fontId="102" fillId="5" borderId="10" xfId="0" applyNumberFormat="1" applyFont="1" applyFill="1" applyBorder="1"/>
    <xf numFmtId="3" fontId="102" fillId="0" borderId="3" xfId="0" applyNumberFormat="1" applyFont="1" applyBorder="1"/>
    <xf numFmtId="170" fontId="102" fillId="5" borderId="11" xfId="0" applyNumberFormat="1" applyFont="1" applyFill="1" applyBorder="1"/>
    <xf numFmtId="170" fontId="102" fillId="5" borderId="63" xfId="0" applyNumberFormat="1" applyFont="1" applyFill="1" applyBorder="1"/>
    <xf numFmtId="171" fontId="95" fillId="4" borderId="63" xfId="0" applyNumberFormat="1" applyFont="1" applyFill="1" applyBorder="1"/>
    <xf numFmtId="171" fontId="102" fillId="0" borderId="63" xfId="0" applyNumberFormat="1" applyFont="1" applyBorder="1"/>
    <xf numFmtId="171" fontId="62" fillId="0" borderId="18" xfId="0" applyNumberFormat="1" applyFont="1" applyBorder="1"/>
    <xf numFmtId="171" fontId="101" fillId="8" borderId="12" xfId="0" applyNumberFormat="1" applyFont="1" applyFill="1" applyBorder="1"/>
    <xf numFmtId="171" fontId="101" fillId="8" borderId="0" xfId="0" applyNumberFormat="1" applyFont="1" applyFill="1"/>
    <xf numFmtId="171" fontId="101" fillId="8" borderId="62" xfId="0" applyNumberFormat="1" applyFont="1" applyFill="1" applyBorder="1"/>
    <xf numFmtId="0" fontId="118" fillId="2" borderId="23" xfId="0" applyFont="1" applyFill="1" applyBorder="1" applyAlignment="1">
      <alignment horizontal="center" vertical="center" wrapText="1"/>
    </xf>
    <xf numFmtId="0" fontId="178" fillId="2" borderId="0" xfId="0" applyFont="1" applyFill="1" applyAlignment="1">
      <alignment vertical="center" wrapText="1"/>
    </xf>
    <xf numFmtId="0" fontId="60" fillId="0" borderId="39" xfId="0" applyFont="1" applyBorder="1" applyAlignment="1">
      <alignment horizontal="center" vertical="center"/>
    </xf>
    <xf numFmtId="1" fontId="84" fillId="3" borderId="18" xfId="13" applyNumberFormat="1" applyFont="1" applyFill="1" applyBorder="1" applyAlignment="1">
      <alignment horizontal="center" vertical="center"/>
    </xf>
    <xf numFmtId="1" fontId="95" fillId="3" borderId="18" xfId="13" applyNumberFormat="1" applyFont="1" applyFill="1" applyBorder="1" applyAlignment="1">
      <alignment horizontal="center" vertical="center"/>
    </xf>
    <xf numFmtId="1" fontId="95" fillId="3" borderId="16" xfId="9" applyNumberFormat="1" applyFont="1" applyFill="1" applyBorder="1" applyAlignment="1" applyProtection="1">
      <alignment horizontal="center" vertical="center" wrapText="1"/>
    </xf>
    <xf numFmtId="182" fontId="0" fillId="2" borderId="0" xfId="0" applyNumberFormat="1" applyFill="1" applyAlignment="1">
      <alignment horizontal="center" vertical="center"/>
    </xf>
    <xf numFmtId="182" fontId="0" fillId="11" borderId="0" xfId="0" applyNumberFormat="1" applyFill="1" applyAlignment="1">
      <alignment horizontal="center" vertical="center"/>
    </xf>
    <xf numFmtId="182" fontId="57" fillId="11" borderId="0" xfId="0" applyNumberFormat="1" applyFont="1" applyFill="1" applyAlignment="1">
      <alignment horizontal="center" vertical="center"/>
    </xf>
    <xf numFmtId="0" fontId="0" fillId="11" borderId="0" xfId="0" applyFill="1" applyAlignment="1">
      <alignment horizontal="center" vertical="center"/>
    </xf>
    <xf numFmtId="1" fontId="0" fillId="2" borderId="0" xfId="0" applyNumberFormat="1" applyFill="1"/>
    <xf numFmtId="3" fontId="0" fillId="2" borderId="0" xfId="0" applyNumberFormat="1" applyFill="1"/>
    <xf numFmtId="9" fontId="0" fillId="2" borderId="0" xfId="12401" applyFont="1" applyFill="1"/>
    <xf numFmtId="1" fontId="78" fillId="2" borderId="27" xfId="0" applyNumberFormat="1" applyFont="1" applyFill="1" applyBorder="1" applyAlignment="1">
      <alignment horizontal="center" vertical="center"/>
    </xf>
    <xf numFmtId="170" fontId="101" fillId="0" borderId="18" xfId="0" applyNumberFormat="1" applyFont="1" applyBorder="1"/>
    <xf numFmtId="1" fontId="84" fillId="3" borderId="3" xfId="13" applyNumberFormat="1" applyFont="1" applyFill="1" applyBorder="1" applyAlignment="1">
      <alignment horizontal="center" vertical="center"/>
    </xf>
    <xf numFmtId="1" fontId="95" fillId="3" borderId="3" xfId="13" applyNumberFormat="1" applyFont="1" applyFill="1" applyBorder="1" applyAlignment="1">
      <alignment horizontal="center" vertical="center"/>
    </xf>
    <xf numFmtId="1" fontId="95" fillId="3" borderId="30" xfId="9" applyNumberFormat="1" applyFont="1" applyFill="1" applyBorder="1" applyAlignment="1" applyProtection="1">
      <alignment horizontal="center" vertical="center" wrapText="1"/>
    </xf>
    <xf numFmtId="0" fontId="79" fillId="11" borderId="0" xfId="0" applyFont="1" applyFill="1"/>
    <xf numFmtId="170" fontId="158" fillId="4" borderId="44" xfId="0" applyNumberFormat="1" applyFont="1" applyFill="1" applyBorder="1"/>
    <xf numFmtId="0" fontId="81" fillId="2" borderId="20" xfId="0" applyFont="1" applyFill="1" applyBorder="1" applyAlignment="1">
      <alignment horizontal="centerContinuous" vertical="center" wrapText="1"/>
    </xf>
    <xf numFmtId="0" fontId="81" fillId="2" borderId="28" xfId="0" applyFont="1" applyFill="1" applyBorder="1" applyAlignment="1">
      <alignment horizontal="centerContinuous" vertical="center" wrapText="1"/>
    </xf>
    <xf numFmtId="4" fontId="118" fillId="7" borderId="2" xfId="14" applyNumberFormat="1" applyFont="1" applyFill="1" applyBorder="1"/>
    <xf numFmtId="4" fontId="118" fillId="7" borderId="18" xfId="14" applyNumberFormat="1" applyFont="1" applyFill="1" applyBorder="1"/>
    <xf numFmtId="0" fontId="62" fillId="2" borderId="6" xfId="12" applyFont="1" applyFill="1" applyBorder="1" applyAlignment="1">
      <alignment horizontal="centerContinuous" vertical="center" wrapText="1"/>
    </xf>
    <xf numFmtId="2" fontId="127" fillId="47" borderId="0" xfId="9842" applyNumberFormat="1" applyFont="1" applyFill="1" applyAlignment="1">
      <alignment horizontal="center"/>
    </xf>
    <xf numFmtId="0" fontId="127" fillId="11" borderId="0" xfId="9842" applyFont="1" applyFill="1"/>
    <xf numFmtId="0" fontId="127" fillId="11" borderId="3" xfId="9842" applyFont="1" applyFill="1" applyBorder="1"/>
    <xf numFmtId="0" fontId="127" fillId="11" borderId="0" xfId="9842" applyFont="1" applyFill="1" applyAlignment="1">
      <alignment vertical="center"/>
    </xf>
    <xf numFmtId="2" fontId="127" fillId="11" borderId="0" xfId="9842" applyNumberFormat="1" applyFont="1" applyFill="1" applyAlignment="1">
      <alignment horizontal="center"/>
    </xf>
    <xf numFmtId="0" fontId="127" fillId="11" borderId="0" xfId="9842" applyFont="1" applyFill="1" applyAlignment="1">
      <alignment horizontal="center" vertical="center" wrapText="1"/>
    </xf>
    <xf numFmtId="0" fontId="127" fillId="47" borderId="0" xfId="9842" applyFont="1" applyFill="1"/>
    <xf numFmtId="2" fontId="118" fillId="47" borderId="0" xfId="9842" applyNumberFormat="1" applyFont="1" applyFill="1" applyAlignment="1">
      <alignment horizontal="center" vertical="center"/>
    </xf>
    <xf numFmtId="2" fontId="127" fillId="0" borderId="63" xfId="9842" applyNumberFormat="1" applyFont="1" applyBorder="1" applyAlignment="1">
      <alignment horizontal="center"/>
    </xf>
    <xf numFmtId="171" fontId="118" fillId="7" borderId="66" xfId="9842" applyNumberFormat="1" applyFont="1" applyFill="1" applyBorder="1"/>
    <xf numFmtId="171" fontId="62" fillId="0" borderId="63" xfId="9842" applyNumberFormat="1" applyFont="1" applyBorder="1"/>
    <xf numFmtId="2" fontId="127" fillId="0" borderId="62" xfId="9842" applyNumberFormat="1" applyFont="1" applyBorder="1" applyAlignment="1">
      <alignment horizontal="center"/>
    </xf>
    <xf numFmtId="171" fontId="62" fillId="0" borderId="3" xfId="9842" applyNumberFormat="1" applyFont="1" applyBorder="1"/>
    <xf numFmtId="3" fontId="62" fillId="0" borderId="62" xfId="0" applyNumberFormat="1" applyFont="1" applyBorder="1"/>
    <xf numFmtId="10" fontId="152" fillId="11" borderId="0" xfId="12401" applyNumberFormat="1" applyFont="1" applyFill="1" applyBorder="1"/>
    <xf numFmtId="2" fontId="62" fillId="0" borderId="0" xfId="0" applyNumberFormat="1" applyFont="1" applyAlignment="1">
      <alignment horizontal="center"/>
    </xf>
    <xf numFmtId="10" fontId="62" fillId="5" borderId="3" xfId="0" applyNumberFormat="1" applyFont="1" applyFill="1" applyBorder="1"/>
    <xf numFmtId="179" fontId="62" fillId="0" borderId="18" xfId="12401" applyNumberFormat="1" applyFont="1" applyFill="1" applyBorder="1"/>
    <xf numFmtId="3" fontId="62" fillId="0" borderId="63" xfId="0" quotePrefix="1" applyNumberFormat="1" applyFont="1" applyBorder="1" applyAlignment="1">
      <alignment horizontal="center"/>
    </xf>
    <xf numFmtId="173" fontId="62" fillId="0" borderId="19" xfId="14" applyNumberFormat="1" applyFont="1" applyBorder="1"/>
    <xf numFmtId="0" fontId="36" fillId="11" borderId="0" xfId="9858" applyFill="1"/>
    <xf numFmtId="0" fontId="75" fillId="0" borderId="71" xfId="126" applyFont="1" applyBorder="1" applyAlignment="1">
      <alignment horizontal="centerContinuous" vertical="center" wrapText="1" readingOrder="1"/>
    </xf>
    <xf numFmtId="0" fontId="75" fillId="0" borderId="27" xfId="126" applyFont="1" applyBorder="1" applyAlignment="1">
      <alignment horizontal="centerContinuous" vertical="center" wrapText="1" readingOrder="1"/>
    </xf>
    <xf numFmtId="1" fontId="84" fillId="3" borderId="28" xfId="13" applyNumberFormat="1" applyFont="1" applyFill="1" applyBorder="1" applyAlignment="1">
      <alignment horizontal="center" vertical="center"/>
    </xf>
    <xf numFmtId="0" fontId="180" fillId="0" borderId="72" xfId="9858" applyFont="1" applyBorder="1" applyAlignment="1">
      <alignment horizontal="center" vertical="center"/>
    </xf>
    <xf numFmtId="0" fontId="180" fillId="0" borderId="71" xfId="9858" applyFont="1" applyBorder="1" applyAlignment="1">
      <alignment horizontal="center" vertical="center"/>
    </xf>
    <xf numFmtId="0" fontId="180" fillId="0" borderId="73" xfId="9858" applyFont="1" applyBorder="1" applyAlignment="1">
      <alignment horizontal="center" vertical="center"/>
    </xf>
    <xf numFmtId="0" fontId="36" fillId="0" borderId="71" xfId="9858" applyBorder="1"/>
    <xf numFmtId="0" fontId="36" fillId="0" borderId="27" xfId="9858" applyBorder="1"/>
    <xf numFmtId="185" fontId="127" fillId="0" borderId="0" xfId="9858" applyNumberFormat="1" applyFont="1" applyAlignment="1">
      <alignment horizontal="center"/>
    </xf>
    <xf numFmtId="184" fontId="118" fillId="7" borderId="0" xfId="9858" applyNumberFormat="1" applyFont="1" applyFill="1"/>
    <xf numFmtId="184" fontId="62" fillId="0" borderId="0" xfId="9858" applyNumberFormat="1" applyFont="1"/>
    <xf numFmtId="184" fontId="62" fillId="0" borderId="62" xfId="9858" applyNumberFormat="1" applyFont="1" applyBorder="1"/>
    <xf numFmtId="184" fontId="62" fillId="0" borderId="18" xfId="9858" applyNumberFormat="1" applyFont="1" applyBorder="1"/>
    <xf numFmtId="185" fontId="62" fillId="0" borderId="0" xfId="9858" applyNumberFormat="1" applyFont="1"/>
    <xf numFmtId="185" fontId="62" fillId="0" borderId="62" xfId="9858" applyNumberFormat="1" applyFont="1" applyBorder="1"/>
    <xf numFmtId="185" fontId="62" fillId="0" borderId="18" xfId="9858" applyNumberFormat="1" applyFont="1" applyBorder="1"/>
    <xf numFmtId="2" fontId="127" fillId="11" borderId="0" xfId="9858" applyNumberFormat="1" applyFont="1" applyFill="1" applyAlignment="1">
      <alignment horizontal="center"/>
    </xf>
    <xf numFmtId="2" fontId="36" fillId="11" borderId="0" xfId="9858" applyNumberFormat="1" applyFill="1"/>
    <xf numFmtId="210" fontId="62" fillId="0" borderId="7" xfId="126" quotePrefix="1" applyNumberFormat="1" applyFont="1" applyBorder="1" applyAlignment="1">
      <alignment horizontal="center" vertical="center" wrapText="1" readingOrder="1"/>
    </xf>
    <xf numFmtId="210" fontId="62" fillId="0" borderId="71" xfId="126" quotePrefix="1" applyNumberFormat="1" applyFont="1" applyBorder="1" applyAlignment="1">
      <alignment horizontal="center" vertical="center" wrapText="1" readingOrder="1"/>
    </xf>
    <xf numFmtId="210" fontId="62" fillId="0" borderId="27" xfId="126" quotePrefix="1" applyNumberFormat="1" applyFont="1" applyBorder="1" applyAlignment="1">
      <alignment horizontal="center" vertical="center" wrapText="1" readingOrder="1"/>
    </xf>
    <xf numFmtId="0" fontId="75" fillId="0" borderId="27" xfId="9858" applyFont="1" applyBorder="1" applyAlignment="1">
      <alignment horizontal="centerContinuous" vertical="center"/>
    </xf>
    <xf numFmtId="0" fontId="75" fillId="0" borderId="8" xfId="9858" applyFont="1" applyBorder="1" applyAlignment="1">
      <alignment horizontal="centerContinuous" vertical="center" wrapText="1"/>
    </xf>
    <xf numFmtId="210" fontId="62" fillId="11" borderId="7" xfId="126" quotePrefix="1" applyNumberFormat="1" applyFont="1" applyFill="1" applyBorder="1" applyAlignment="1">
      <alignment horizontal="center" vertical="center" wrapText="1" readingOrder="1"/>
    </xf>
    <xf numFmtId="210" fontId="62" fillId="11" borderId="8" xfId="126" quotePrefix="1" applyNumberFormat="1" applyFont="1" applyFill="1" applyBorder="1" applyAlignment="1">
      <alignment horizontal="center" vertical="center" wrapText="1" readingOrder="1"/>
    </xf>
    <xf numFmtId="0" fontId="181" fillId="11" borderId="7" xfId="9858" applyFont="1" applyFill="1" applyBorder="1" applyAlignment="1">
      <alignment horizontal="center" vertical="center" wrapText="1"/>
    </xf>
    <xf numFmtId="2" fontId="62" fillId="0" borderId="71" xfId="9858" applyNumberFormat="1" applyFont="1" applyBorder="1" applyAlignment="1">
      <alignment horizontal="center" vertical="center" wrapText="1"/>
    </xf>
    <xf numFmtId="2" fontId="62" fillId="0" borderId="27" xfId="9858" applyNumberFormat="1" applyFont="1" applyBorder="1" applyAlignment="1">
      <alignment horizontal="center" vertical="center" wrapText="1"/>
    </xf>
    <xf numFmtId="0" fontId="75" fillId="2" borderId="27" xfId="12" applyFont="1" applyFill="1" applyBorder="1" applyAlignment="1">
      <alignment horizontal="centerContinuous" vertical="center" wrapText="1"/>
    </xf>
    <xf numFmtId="0" fontId="62" fillId="2" borderId="27" xfId="12" applyFont="1" applyFill="1" applyBorder="1" applyAlignment="1">
      <alignment horizontal="center" vertical="center"/>
    </xf>
    <xf numFmtId="3" fontId="118" fillId="8" borderId="0" xfId="0" applyNumberFormat="1" applyFont="1" applyFill="1"/>
    <xf numFmtId="3" fontId="62" fillId="8" borderId="0" xfId="0" applyNumberFormat="1" applyFont="1" applyFill="1"/>
    <xf numFmtId="3" fontId="118" fillId="7" borderId="0" xfId="0" applyNumberFormat="1" applyFont="1" applyFill="1"/>
    <xf numFmtId="3" fontId="62" fillId="0" borderId="64" xfId="0" applyNumberFormat="1" applyFont="1" applyBorder="1"/>
    <xf numFmtId="0" fontId="62" fillId="11" borderId="7" xfId="9860" applyFont="1" applyFill="1" applyBorder="1" applyAlignment="1">
      <alignment horizontal="centerContinuous" vertical="center" wrapText="1"/>
    </xf>
    <xf numFmtId="0" fontId="62" fillId="11" borderId="20" xfId="9860" applyFont="1" applyFill="1" applyBorder="1" applyAlignment="1">
      <alignment horizontal="centerContinuous" vertical="center" wrapText="1"/>
    </xf>
    <xf numFmtId="0" fontId="62" fillId="11" borderId="21" xfId="9860" applyFont="1" applyFill="1" applyBorder="1" applyAlignment="1">
      <alignment horizontal="centerContinuous" vertical="center" wrapText="1"/>
    </xf>
    <xf numFmtId="0" fontId="35" fillId="11" borderId="0" xfId="9860" applyFill="1"/>
    <xf numFmtId="0" fontId="102" fillId="11" borderId="0" xfId="9860" applyFont="1" applyFill="1" applyAlignment="1">
      <alignment horizontal="center" vertical="center" wrapText="1"/>
    </xf>
    <xf numFmtId="0" fontId="62" fillId="11" borderId="27" xfId="9860" applyFont="1" applyFill="1" applyBorder="1" applyAlignment="1">
      <alignment horizontal="centerContinuous" vertical="center" wrapText="1"/>
    </xf>
    <xf numFmtId="0" fontId="62" fillId="11" borderId="31" xfId="9860" applyFont="1" applyFill="1" applyBorder="1" applyAlignment="1">
      <alignment horizontal="centerContinuous" vertical="center" wrapText="1"/>
    </xf>
    <xf numFmtId="0" fontId="182" fillId="11" borderId="0" xfId="9860" applyFont="1" applyFill="1"/>
    <xf numFmtId="0" fontId="102" fillId="11" borderId="0" xfId="9860" applyFont="1" applyFill="1" applyAlignment="1">
      <alignment horizontal="center"/>
    </xf>
    <xf numFmtId="0" fontId="75" fillId="0" borderId="20" xfId="126" applyFont="1" applyBorder="1" applyAlignment="1">
      <alignment horizontal="centerContinuous" vertical="center" wrapText="1" readingOrder="1"/>
    </xf>
    <xf numFmtId="0" fontId="62" fillId="2" borderId="31" xfId="9860" applyFont="1" applyFill="1" applyBorder="1" applyAlignment="1">
      <alignment horizontal="centerContinuous" vertical="center" wrapText="1"/>
    </xf>
    <xf numFmtId="0" fontId="62" fillId="0" borderId="31" xfId="9860" applyFont="1" applyBorder="1" applyAlignment="1">
      <alignment horizontal="centerContinuous" wrapText="1"/>
    </xf>
    <xf numFmtId="0" fontId="62" fillId="0" borderId="21" xfId="9860" applyFont="1" applyBorder="1" applyAlignment="1">
      <alignment horizontal="centerContinuous" wrapText="1"/>
    </xf>
    <xf numFmtId="0" fontId="81" fillId="11" borderId="0" xfId="9860" applyFont="1" applyFill="1"/>
    <xf numFmtId="2" fontId="81" fillId="11" borderId="0" xfId="9860" applyNumberFormat="1" applyFont="1" applyFill="1" applyAlignment="1">
      <alignment horizontal="center"/>
    </xf>
    <xf numFmtId="195" fontId="62" fillId="2" borderId="20" xfId="9859" applyNumberFormat="1" applyFont="1" applyFill="1" applyBorder="1" applyAlignment="1">
      <alignment horizontal="centerContinuous" vertical="center" wrapText="1"/>
    </xf>
    <xf numFmtId="0" fontId="62" fillId="0" borderId="20" xfId="9860" applyFont="1" applyBorder="1" applyAlignment="1">
      <alignment horizontal="centerContinuous" vertical="center" wrapText="1"/>
    </xf>
    <xf numFmtId="0" fontId="62" fillId="0" borderId="28" xfId="9860" applyFont="1" applyBorder="1" applyAlignment="1">
      <alignment horizontal="centerContinuous" vertical="center" wrapText="1"/>
    </xf>
    <xf numFmtId="0" fontId="62" fillId="2" borderId="27" xfId="9860" applyFont="1" applyFill="1" applyBorder="1" applyAlignment="1">
      <alignment horizontal="center" vertical="center" wrapText="1"/>
    </xf>
    <xf numFmtId="167" fontId="62" fillId="2" borderId="31" xfId="9859" applyFont="1" applyFill="1" applyBorder="1" applyAlignment="1">
      <alignment horizontal="center" vertical="center"/>
    </xf>
    <xf numFmtId="167" fontId="62" fillId="2" borderId="21" xfId="9859" applyFont="1" applyFill="1" applyBorder="1" applyAlignment="1">
      <alignment horizontal="center" vertical="center"/>
    </xf>
    <xf numFmtId="0" fontId="102" fillId="11" borderId="0" xfId="9860" applyFont="1" applyFill="1"/>
    <xf numFmtId="167" fontId="62" fillId="2" borderId="27" xfId="9859" applyFont="1" applyFill="1" applyBorder="1" applyAlignment="1">
      <alignment horizontal="center" vertical="center"/>
    </xf>
    <xf numFmtId="167" fontId="62" fillId="2" borderId="8" xfId="9859" applyFont="1" applyFill="1" applyBorder="1" applyAlignment="1">
      <alignment horizontal="center" vertical="center"/>
    </xf>
    <xf numFmtId="0" fontId="127" fillId="11" borderId="0" xfId="9860" applyFont="1" applyFill="1" applyAlignment="1">
      <alignment horizontal="center"/>
    </xf>
    <xf numFmtId="1" fontId="95" fillId="3" borderId="63" xfId="13" applyNumberFormat="1" applyFont="1" applyFill="1" applyBorder="1" applyAlignment="1">
      <alignment horizontal="center" vertical="center"/>
    </xf>
    <xf numFmtId="179" fontId="0" fillId="11" borderId="0" xfId="9861" applyNumberFormat="1" applyFont="1" applyFill="1"/>
    <xf numFmtId="167" fontId="180" fillId="2" borderId="28" xfId="9859" applyFont="1" applyFill="1" applyBorder="1" applyAlignment="1">
      <alignment horizontal="center" vertical="center"/>
    </xf>
    <xf numFmtId="0" fontId="185" fillId="2" borderId="0" xfId="0" applyFont="1" applyFill="1" applyAlignment="1">
      <alignment vertical="center"/>
    </xf>
    <xf numFmtId="0" fontId="57" fillId="2" borderId="31" xfId="12" applyFont="1" applyFill="1" applyBorder="1" applyAlignment="1">
      <alignment horizontal="center" vertical="center"/>
    </xf>
    <xf numFmtId="0" fontId="81" fillId="2" borderId="62" xfId="0" applyFont="1" applyFill="1" applyBorder="1" applyAlignment="1">
      <alignment horizontal="centerContinuous" vertical="center" wrapText="1"/>
    </xf>
    <xf numFmtId="171" fontId="167" fillId="8" borderId="64" xfId="0" applyNumberFormat="1" applyFont="1" applyFill="1" applyBorder="1"/>
    <xf numFmtId="184" fontId="95" fillId="4" borderId="11" xfId="0" applyNumberFormat="1" applyFont="1" applyFill="1" applyBorder="1"/>
    <xf numFmtId="3" fontId="118" fillId="7" borderId="13" xfId="0" applyNumberFormat="1" applyFont="1" applyFill="1" applyBorder="1"/>
    <xf numFmtId="3" fontId="118" fillId="7" borderId="62" xfId="0" applyNumberFormat="1" applyFont="1" applyFill="1" applyBorder="1"/>
    <xf numFmtId="3" fontId="118" fillId="7" borderId="49" xfId="0" applyNumberFormat="1" applyFont="1" applyFill="1" applyBorder="1"/>
    <xf numFmtId="3" fontId="62" fillId="0" borderId="74" xfId="0" applyNumberFormat="1" applyFont="1" applyBorder="1"/>
    <xf numFmtId="0" fontId="78" fillId="2" borderId="73" xfId="0" applyFont="1" applyFill="1" applyBorder="1" applyAlignment="1">
      <alignment horizontal="center" vertical="center"/>
    </xf>
    <xf numFmtId="0" fontId="62" fillId="2" borderId="6" xfId="13" quotePrefix="1" applyFont="1" applyFill="1" applyBorder="1" applyAlignment="1">
      <alignment horizontal="center" vertical="center" wrapText="1"/>
    </xf>
    <xf numFmtId="173" fontId="127" fillId="0" borderId="2" xfId="14" applyNumberFormat="1" applyFont="1" applyBorder="1"/>
    <xf numFmtId="173" fontId="127" fillId="0" borderId="62" xfId="14" applyNumberFormat="1" applyFont="1" applyBorder="1"/>
    <xf numFmtId="179" fontId="118" fillId="7" borderId="3" xfId="12401" applyNumberFormat="1" applyFont="1" applyFill="1" applyBorder="1"/>
    <xf numFmtId="171" fontId="62" fillId="11" borderId="2" xfId="9842" applyNumberFormat="1" applyFont="1" applyFill="1" applyBorder="1"/>
    <xf numFmtId="171" fontId="62" fillId="11" borderId="0" xfId="9842" applyNumberFormat="1" applyFont="1" applyFill="1"/>
    <xf numFmtId="184" fontId="62" fillId="0" borderId="0" xfId="0" applyNumberFormat="1" applyFont="1"/>
    <xf numFmtId="185" fontId="62" fillId="0" borderId="0" xfId="0" applyNumberFormat="1" applyFont="1"/>
    <xf numFmtId="184" fontId="62" fillId="0" borderId="62" xfId="0" applyNumberFormat="1" applyFont="1" applyBorder="1"/>
    <xf numFmtId="185" fontId="62" fillId="0" borderId="62" xfId="0" applyNumberFormat="1" applyFont="1" applyBorder="1"/>
    <xf numFmtId="185" fontId="62" fillId="0" borderId="18" xfId="0" applyNumberFormat="1" applyFont="1" applyBorder="1"/>
    <xf numFmtId="175" fontId="118" fillId="7" borderId="62" xfId="0" applyNumberFormat="1" applyFont="1" applyFill="1" applyBorder="1"/>
    <xf numFmtId="175" fontId="62" fillId="0" borderId="62" xfId="0" applyNumberFormat="1" applyFont="1" applyBorder="1"/>
    <xf numFmtId="0" fontId="62" fillId="2" borderId="20" xfId="0" applyFont="1" applyFill="1" applyBorder="1"/>
    <xf numFmtId="0" fontId="62" fillId="2" borderId="25" xfId="0" applyFont="1" applyFill="1" applyBorder="1"/>
    <xf numFmtId="0" fontId="62" fillId="2" borderId="21" xfId="0" applyFont="1" applyFill="1" applyBorder="1"/>
    <xf numFmtId="0" fontId="75" fillId="0" borderId="8" xfId="0" applyFont="1" applyBorder="1" applyAlignment="1">
      <alignment horizontal="centerContinuous" vertical="center" wrapText="1"/>
    </xf>
    <xf numFmtId="0" fontId="75" fillId="2" borderId="7" xfId="0" quotePrefix="1" applyFont="1" applyFill="1" applyBorder="1" applyAlignment="1">
      <alignment horizontal="center" vertical="center" wrapText="1"/>
    </xf>
    <xf numFmtId="0" fontId="75" fillId="2" borderId="8" xfId="0" quotePrefix="1" applyFont="1" applyFill="1" applyBorder="1" applyAlignment="1">
      <alignment horizontal="center" vertical="center" wrapText="1"/>
    </xf>
    <xf numFmtId="0" fontId="75" fillId="2" borderId="23" xfId="0" quotePrefix="1" applyFont="1" applyFill="1" applyBorder="1" applyAlignment="1">
      <alignment horizontal="center" vertical="center" wrapText="1"/>
    </xf>
    <xf numFmtId="175" fontId="62" fillId="12" borderId="62" xfId="0" applyNumberFormat="1" applyFont="1" applyFill="1" applyBorder="1"/>
    <xf numFmtId="0" fontId="75" fillId="12" borderId="63" xfId="0" quotePrefix="1" applyFont="1" applyFill="1" applyBorder="1" applyAlignment="1">
      <alignment horizontal="center" vertical="center" wrapText="1"/>
    </xf>
    <xf numFmtId="179" fontId="129" fillId="0" borderId="63" xfId="12401" applyNumberFormat="1" applyFont="1" applyBorder="1"/>
    <xf numFmtId="175" fontId="206" fillId="0" borderId="63" xfId="0" applyNumberFormat="1" applyFont="1" applyBorder="1"/>
    <xf numFmtId="177" fontId="62" fillId="0" borderId="18" xfId="0" applyNumberFormat="1" applyFont="1" applyBorder="1"/>
    <xf numFmtId="175" fontId="101" fillId="0" borderId="63" xfId="0" applyNumberFormat="1" applyFont="1" applyBorder="1"/>
    <xf numFmtId="167" fontId="62" fillId="0" borderId="3" xfId="12406" quotePrefix="1" applyNumberFormat="1" applyFont="1" applyFill="1" applyBorder="1" applyAlignment="1">
      <alignment horizontal="center" vertical="center" wrapText="1"/>
    </xf>
    <xf numFmtId="175" fontId="95" fillId="12" borderId="62" xfId="0" applyNumberFormat="1" applyFont="1" applyFill="1" applyBorder="1"/>
    <xf numFmtId="179" fontId="120" fillId="0" borderId="63" xfId="12401" applyNumberFormat="1" applyFont="1" applyBorder="1"/>
    <xf numFmtId="179" fontId="120" fillId="0" borderId="63" xfId="12401" applyNumberFormat="1" applyFont="1" applyFill="1" applyBorder="1"/>
    <xf numFmtId="175" fontId="207" fillId="0" borderId="62" xfId="0" applyNumberFormat="1" applyFont="1" applyBorder="1" applyAlignment="1">
      <alignment horizontal="right"/>
    </xf>
    <xf numFmtId="175" fontId="127" fillId="0" borderId="63" xfId="0" applyNumberFormat="1" applyFont="1" applyBorder="1"/>
    <xf numFmtId="167" fontId="62" fillId="0" borderId="63" xfId="12406" applyNumberFormat="1" applyFont="1" applyBorder="1"/>
    <xf numFmtId="167" fontId="118" fillId="7" borderId="52" xfId="12406" quotePrefix="1" applyNumberFormat="1" applyFont="1" applyFill="1" applyBorder="1" applyAlignment="1">
      <alignment horizontal="center" vertical="center" wrapText="1"/>
    </xf>
    <xf numFmtId="175" fontId="106" fillId="4" borderId="49" xfId="0" applyNumberFormat="1" applyFont="1" applyFill="1" applyBorder="1"/>
    <xf numFmtId="0" fontId="62" fillId="11" borderId="25" xfId="126" applyFont="1" applyFill="1" applyBorder="1"/>
    <xf numFmtId="0" fontId="62" fillId="11" borderId="20" xfId="126" applyFont="1" applyFill="1" applyBorder="1"/>
    <xf numFmtId="0" fontId="62" fillId="11" borderId="0" xfId="126" applyFont="1" applyFill="1"/>
    <xf numFmtId="0" fontId="209" fillId="11" borderId="0" xfId="126" applyFont="1" applyFill="1" applyAlignment="1">
      <alignment vertical="center"/>
    </xf>
    <xf numFmtId="0" fontId="110" fillId="11" borderId="0" xfId="9" applyFont="1" applyFill="1" applyAlignment="1" applyProtection="1">
      <alignment vertical="center"/>
    </xf>
    <xf numFmtId="0" fontId="209" fillId="11" borderId="0" xfId="126" applyFont="1" applyFill="1" applyAlignment="1">
      <alignment horizontal="left" vertical="top" wrapText="1"/>
    </xf>
    <xf numFmtId="3" fontId="62" fillId="11" borderId="0" xfId="126" applyNumberFormat="1" applyFont="1" applyFill="1"/>
    <xf numFmtId="0" fontId="62" fillId="11" borderId="7" xfId="126" applyFont="1" applyFill="1" applyBorder="1"/>
    <xf numFmtId="2" fontId="62" fillId="0" borderId="3" xfId="9931" applyNumberFormat="1" applyFont="1" applyBorder="1" applyAlignment="1">
      <alignment horizontal="center"/>
    </xf>
    <xf numFmtId="0" fontId="57" fillId="11" borderId="0" xfId="126" applyFill="1"/>
    <xf numFmtId="0" fontId="29" fillId="11" borderId="0" xfId="9931" applyFill="1"/>
    <xf numFmtId="0" fontId="209" fillId="11" borderId="0" xfId="126" applyFont="1" applyFill="1" applyAlignment="1">
      <alignment vertical="top"/>
    </xf>
    <xf numFmtId="17" fontId="209" fillId="11" borderId="0" xfId="126" applyNumberFormat="1" applyFont="1" applyFill="1"/>
    <xf numFmtId="0" fontId="62" fillId="11" borderId="21" xfId="126" applyFont="1" applyFill="1" applyBorder="1"/>
    <xf numFmtId="0" fontId="62" fillId="11" borderId="8" xfId="126" applyFont="1" applyFill="1" applyBorder="1"/>
    <xf numFmtId="170" fontId="118" fillId="7" borderId="62" xfId="9931" applyNumberFormat="1" applyFont="1" applyFill="1" applyBorder="1" applyAlignment="1">
      <alignment horizontal="right" vertical="center"/>
    </xf>
    <xf numFmtId="170" fontId="118" fillId="7" borderId="3" xfId="9931" applyNumberFormat="1" applyFont="1" applyFill="1" applyBorder="1" applyAlignment="1">
      <alignment horizontal="right" vertical="center"/>
    </xf>
    <xf numFmtId="1" fontId="75" fillId="11" borderId="7" xfId="9931" applyNumberFormat="1" applyFont="1" applyFill="1" applyBorder="1" applyAlignment="1">
      <alignment horizontal="centerContinuous" vertical="center" wrapText="1"/>
    </xf>
    <xf numFmtId="0" fontId="62" fillId="11" borderId="7" xfId="126" applyFont="1" applyFill="1" applyBorder="1" applyAlignment="1">
      <alignment horizontal="centerContinuous"/>
    </xf>
    <xf numFmtId="0" fontId="62" fillId="11" borderId="8" xfId="126" applyFont="1" applyFill="1" applyBorder="1" applyAlignment="1">
      <alignment horizontal="centerContinuous"/>
    </xf>
    <xf numFmtId="171" fontId="118" fillId="7" borderId="62" xfId="9931" applyNumberFormat="1" applyFont="1" applyFill="1" applyBorder="1" applyAlignment="1">
      <alignment horizontal="right" vertical="center"/>
    </xf>
    <xf numFmtId="171" fontId="118" fillId="7" borderId="3" xfId="9931" applyNumberFormat="1" applyFont="1" applyFill="1" applyBorder="1" applyAlignment="1">
      <alignment horizontal="right" vertical="center"/>
    </xf>
    <xf numFmtId="171" fontId="62" fillId="0" borderId="64" xfId="9931" applyNumberFormat="1" applyFont="1" applyBorder="1" applyAlignment="1">
      <alignment horizontal="right" vertical="center"/>
    </xf>
    <xf numFmtId="0" fontId="209" fillId="11" borderId="0" xfId="126" applyFont="1" applyFill="1" applyAlignment="1">
      <alignment wrapText="1"/>
    </xf>
    <xf numFmtId="167" fontId="180" fillId="2" borderId="21" xfId="9859" applyFont="1" applyFill="1" applyBorder="1" applyAlignment="1">
      <alignment horizontal="center" vertical="center"/>
    </xf>
    <xf numFmtId="0" fontId="75" fillId="2" borderId="7" xfId="9932" applyFont="1" applyFill="1" applyBorder="1" applyAlignment="1">
      <alignment horizontal="centerContinuous" vertical="center" wrapText="1"/>
    </xf>
    <xf numFmtId="0" fontId="75" fillId="2" borderId="8" xfId="9932" applyFont="1" applyFill="1" applyBorder="1" applyAlignment="1">
      <alignment horizontal="centerContinuous" vertical="center" wrapText="1"/>
    </xf>
    <xf numFmtId="0" fontId="182" fillId="11" borderId="0" xfId="9932" applyFont="1" applyFill="1"/>
    <xf numFmtId="0" fontId="110" fillId="0" borderId="0" xfId="9" applyFont="1" applyAlignment="1" applyProtection="1"/>
    <xf numFmtId="0" fontId="62" fillId="2" borderId="73" xfId="9932" applyFont="1" applyFill="1" applyBorder="1" applyAlignment="1">
      <alignment horizontal="center" vertical="center" wrapText="1"/>
    </xf>
    <xf numFmtId="0" fontId="62" fillId="2" borderId="85" xfId="9932" applyFont="1" applyFill="1" applyBorder="1" applyAlignment="1">
      <alignment horizontal="center" vertical="center" wrapText="1"/>
    </xf>
    <xf numFmtId="0" fontId="209" fillId="11" borderId="0" xfId="9932" applyFont="1" applyFill="1"/>
    <xf numFmtId="0" fontId="62" fillId="2" borderId="85" xfId="9932" applyFont="1" applyFill="1" applyBorder="1" applyAlignment="1">
      <alignment horizontal="centerContinuous" vertical="center" wrapText="1"/>
    </xf>
    <xf numFmtId="0" fontId="62" fillId="2" borderId="7" xfId="9932" applyFont="1" applyFill="1" applyBorder="1" applyAlignment="1">
      <alignment horizontal="center" vertical="center" wrapText="1"/>
    </xf>
    <xf numFmtId="0" fontId="62" fillId="2" borderId="86" xfId="9932" applyFont="1" applyFill="1" applyBorder="1" applyAlignment="1">
      <alignment horizontal="center" vertical="center" wrapText="1"/>
    </xf>
    <xf numFmtId="0" fontId="182" fillId="11" borderId="7" xfId="9932" applyFont="1" applyFill="1" applyBorder="1"/>
    <xf numFmtId="0" fontId="182" fillId="11" borderId="85" xfId="9932" applyFont="1" applyFill="1" applyBorder="1"/>
    <xf numFmtId="0" fontId="78" fillId="2" borderId="73" xfId="126" applyFont="1" applyFill="1" applyBorder="1" applyAlignment="1">
      <alignment horizontal="center" vertical="center"/>
    </xf>
    <xf numFmtId="0" fontId="78" fillId="2" borderId="85" xfId="126" applyFont="1" applyFill="1" applyBorder="1" applyAlignment="1">
      <alignment horizontal="center" vertical="center"/>
    </xf>
    <xf numFmtId="0" fontId="209" fillId="0" borderId="0" xfId="126" applyFont="1" applyAlignment="1">
      <alignment horizontal="centerContinuous"/>
    </xf>
    <xf numFmtId="2" fontId="62" fillId="0" borderId="3" xfId="9932" applyNumberFormat="1" applyFont="1" applyBorder="1" applyAlignment="1">
      <alignment horizontal="center"/>
    </xf>
    <xf numFmtId="0" fontId="28" fillId="11" borderId="0" xfId="9932" applyFill="1"/>
    <xf numFmtId="170" fontId="62" fillId="0" borderId="62" xfId="9932" applyNumberFormat="1" applyFont="1" applyBorder="1"/>
    <xf numFmtId="0" fontId="78" fillId="2" borderId="71" xfId="0" applyFont="1" applyFill="1" applyBorder="1" applyAlignment="1">
      <alignment horizontal="center" vertical="center"/>
    </xf>
    <xf numFmtId="175" fontId="62" fillId="8" borderId="62" xfId="0" applyNumberFormat="1" applyFont="1" applyFill="1" applyBorder="1"/>
    <xf numFmtId="175" fontId="120" fillId="0" borderId="62" xfId="0" applyNumberFormat="1" applyFont="1" applyBorder="1"/>
    <xf numFmtId="0" fontId="78" fillId="2" borderId="85" xfId="0" applyFont="1" applyFill="1" applyBorder="1" applyAlignment="1">
      <alignment horizontal="center" vertical="center"/>
    </xf>
    <xf numFmtId="171" fontId="62" fillId="0" borderId="2" xfId="0" applyNumberFormat="1" applyFont="1" applyBorder="1"/>
    <xf numFmtId="171" fontId="95" fillId="4" borderId="2" xfId="0" applyNumberFormat="1" applyFont="1" applyFill="1" applyBorder="1"/>
    <xf numFmtId="10" fontId="95" fillId="4" borderId="3" xfId="0" applyNumberFormat="1" applyFont="1" applyFill="1" applyBorder="1"/>
    <xf numFmtId="10" fontId="62" fillId="0" borderId="3" xfId="0" applyNumberFormat="1" applyFont="1" applyBorder="1"/>
    <xf numFmtId="49" fontId="78" fillId="2" borderId="8" xfId="0" applyNumberFormat="1" applyFont="1" applyFill="1" applyBorder="1" applyAlignment="1">
      <alignment horizontal="center" vertical="center"/>
    </xf>
    <xf numFmtId="10" fontId="74" fillId="5" borderId="3" xfId="0" applyNumberFormat="1" applyFont="1" applyFill="1" applyBorder="1"/>
    <xf numFmtId="1" fontId="78" fillId="2" borderId="71" xfId="0" applyNumberFormat="1" applyFont="1" applyFill="1" applyBorder="1" applyAlignment="1">
      <alignment horizontal="center" vertical="center"/>
    </xf>
    <xf numFmtId="171" fontId="158" fillId="4" borderId="10" xfId="0" applyNumberFormat="1" applyFont="1" applyFill="1" applyBorder="1"/>
    <xf numFmtId="171" fontId="62" fillId="0" borderId="2" xfId="0" applyNumberFormat="1" applyFont="1" applyBorder="1" applyAlignment="1">
      <alignment horizontal="right" vertical="center"/>
    </xf>
    <xf numFmtId="1" fontId="78" fillId="2" borderId="71" xfId="0" applyNumberFormat="1" applyFont="1" applyFill="1" applyBorder="1" applyAlignment="1">
      <alignment horizontal="center"/>
    </xf>
    <xf numFmtId="171" fontId="101" fillId="0" borderId="87" xfId="0" applyNumberFormat="1" applyFont="1" applyBorder="1"/>
    <xf numFmtId="171" fontId="95" fillId="4" borderId="87" xfId="0" applyNumberFormat="1" applyFont="1" applyFill="1" applyBorder="1"/>
    <xf numFmtId="179" fontId="94" fillId="2" borderId="6" xfId="12401" applyNumberFormat="1" applyFont="1" applyFill="1" applyBorder="1" applyAlignment="1">
      <alignment horizontal="center" vertical="center"/>
    </xf>
    <xf numFmtId="179" fontId="158" fillId="4" borderId="43" xfId="12401" applyNumberFormat="1" applyFont="1" applyFill="1" applyBorder="1" applyAlignment="1">
      <alignment horizontal="right"/>
    </xf>
    <xf numFmtId="179" fontId="120" fillId="0" borderId="18" xfId="12401" applyNumberFormat="1" applyFont="1" applyBorder="1"/>
    <xf numFmtId="170" fontId="96" fillId="5" borderId="40" xfId="0" applyNumberFormat="1" applyFont="1" applyFill="1" applyBorder="1"/>
    <xf numFmtId="170" fontId="96" fillId="5" borderId="0" xfId="0" applyNumberFormat="1" applyFont="1" applyFill="1"/>
    <xf numFmtId="170" fontId="106" fillId="4" borderId="48" xfId="0" applyNumberFormat="1" applyFont="1" applyFill="1" applyBorder="1"/>
    <xf numFmtId="170" fontId="106" fillId="4" borderId="43" xfId="0" applyNumberFormat="1" applyFont="1" applyFill="1" applyBorder="1"/>
    <xf numFmtId="170" fontId="96" fillId="5" borderId="87" xfId="0" applyNumberFormat="1" applyFont="1" applyFill="1" applyBorder="1"/>
    <xf numFmtId="170" fontId="106" fillId="4" borderId="0" xfId="0" applyNumberFormat="1" applyFont="1" applyFill="1"/>
    <xf numFmtId="170" fontId="96" fillId="5" borderId="62" xfId="0" applyNumberFormat="1" applyFont="1" applyFill="1" applyBorder="1"/>
    <xf numFmtId="170" fontId="96" fillId="5" borderId="10" xfId="0" applyNumberFormat="1" applyFont="1" applyFill="1" applyBorder="1"/>
    <xf numFmtId="170" fontId="96" fillId="5" borderId="3" xfId="0" applyNumberFormat="1" applyFont="1" applyFill="1" applyBorder="1"/>
    <xf numFmtId="0" fontId="62" fillId="0" borderId="93" xfId="13" applyFont="1" applyBorder="1" applyAlignment="1">
      <alignment horizontal="center" vertical="center" wrapText="1"/>
    </xf>
    <xf numFmtId="0" fontId="62" fillId="11" borderId="93" xfId="13" applyFont="1" applyFill="1" applyBorder="1" applyAlignment="1">
      <alignment horizontal="center" vertical="center" wrapText="1"/>
    </xf>
    <xf numFmtId="1" fontId="78" fillId="2" borderId="93" xfId="16" applyNumberFormat="1" applyFont="1" applyFill="1" applyBorder="1" applyAlignment="1">
      <alignment horizontal="center" vertical="center"/>
    </xf>
    <xf numFmtId="0" fontId="75" fillId="2" borderId="94" xfId="13" applyFont="1" applyFill="1" applyBorder="1" applyAlignment="1">
      <alignment horizontal="center" vertical="center" wrapText="1"/>
    </xf>
    <xf numFmtId="3" fontId="101" fillId="8" borderId="97" xfId="16" applyNumberFormat="1" applyFont="1" applyFill="1" applyBorder="1"/>
    <xf numFmtId="3" fontId="118" fillId="4" borderId="97" xfId="16" applyNumberFormat="1" applyFont="1" applyFill="1" applyBorder="1"/>
    <xf numFmtId="3" fontId="62" fillId="0" borderId="97" xfId="16" applyNumberFormat="1" applyFont="1" applyBorder="1"/>
    <xf numFmtId="0" fontId="62" fillId="0" borderId="72" xfId="13" applyFont="1" applyBorder="1" applyAlignment="1">
      <alignment horizontal="center" vertical="center" wrapText="1"/>
    </xf>
    <xf numFmtId="0" fontId="62" fillId="2" borderId="97" xfId="13" applyFont="1" applyFill="1" applyBorder="1" applyAlignment="1">
      <alignment vertical="center"/>
    </xf>
    <xf numFmtId="1" fontId="78" fillId="2" borderId="72" xfId="16" applyNumberFormat="1" applyFont="1" applyFill="1" applyBorder="1" applyAlignment="1">
      <alignment horizontal="center" vertical="center"/>
    </xf>
    <xf numFmtId="0" fontId="75" fillId="2" borderId="98" xfId="13" quotePrefix="1" applyFont="1" applyFill="1" applyBorder="1" applyAlignment="1">
      <alignment horizontal="center" vertical="center" wrapText="1"/>
    </xf>
    <xf numFmtId="3" fontId="101" fillId="8" borderId="95" xfId="16" applyNumberFormat="1" applyFont="1" applyFill="1" applyBorder="1"/>
    <xf numFmtId="3" fontId="118" fillId="4" borderId="96" xfId="16" applyNumberFormat="1" applyFont="1" applyFill="1" applyBorder="1"/>
    <xf numFmtId="3" fontId="62" fillId="0" borderId="95" xfId="16" applyNumberFormat="1" applyFont="1" applyBorder="1"/>
    <xf numFmtId="0" fontId="62" fillId="11" borderId="7" xfId="13" applyFont="1" applyFill="1" applyBorder="1" applyAlignment="1">
      <alignment horizontal="center" vertical="center" wrapText="1"/>
    </xf>
    <xf numFmtId="3" fontId="101" fillId="8" borderId="0" xfId="16" applyNumberFormat="1" applyFont="1" applyFill="1"/>
    <xf numFmtId="3" fontId="118" fillId="4" borderId="0" xfId="16" applyNumberFormat="1" applyFont="1" applyFill="1"/>
    <xf numFmtId="3" fontId="62" fillId="0" borderId="0" xfId="16" applyNumberFormat="1" applyFont="1"/>
    <xf numFmtId="0" fontId="62" fillId="11" borderId="71" xfId="13" quotePrefix="1" applyFont="1" applyFill="1" applyBorder="1" applyAlignment="1">
      <alignment horizontal="center" vertical="center" wrapText="1"/>
    </xf>
    <xf numFmtId="0" fontId="62" fillId="0" borderId="71" xfId="13" applyFont="1" applyBorder="1" applyAlignment="1">
      <alignment horizontal="center" vertical="center"/>
    </xf>
    <xf numFmtId="0" fontId="62" fillId="11" borderId="71" xfId="13" applyFont="1" applyFill="1" applyBorder="1" applyAlignment="1">
      <alignment horizontal="center" vertical="center" wrapText="1"/>
    </xf>
    <xf numFmtId="1" fontId="78" fillId="2" borderId="71" xfId="16" applyNumberFormat="1" applyFont="1" applyFill="1" applyBorder="1" applyAlignment="1">
      <alignment horizontal="center" vertical="center"/>
    </xf>
    <xf numFmtId="0" fontId="75" fillId="2" borderId="92" xfId="13" quotePrefix="1" applyFont="1" applyFill="1" applyBorder="1" applyAlignment="1">
      <alignment horizontal="center" vertical="center" wrapText="1"/>
    </xf>
    <xf numFmtId="1" fontId="78" fillId="2" borderId="8" xfId="16" applyNumberFormat="1" applyFont="1" applyFill="1" applyBorder="1" applyAlignment="1">
      <alignment horizontal="center" vertical="center"/>
    </xf>
    <xf numFmtId="3" fontId="62" fillId="8" borderId="3" xfId="16" applyNumberFormat="1" applyFont="1" applyFill="1" applyBorder="1"/>
    <xf numFmtId="3" fontId="101" fillId="8" borderId="3" xfId="16" applyNumberFormat="1" applyFont="1" applyFill="1" applyBorder="1"/>
    <xf numFmtId="3" fontId="158" fillId="4" borderId="3" xfId="16" applyNumberFormat="1" applyFont="1" applyFill="1" applyBorder="1"/>
    <xf numFmtId="3" fontId="120" fillId="0" borderId="3" xfId="16" applyNumberFormat="1" applyFont="1" applyBorder="1"/>
    <xf numFmtId="0" fontId="75" fillId="2" borderId="92" xfId="13" applyFont="1" applyFill="1" applyBorder="1" applyAlignment="1">
      <alignment horizontal="center" vertical="center" wrapText="1"/>
    </xf>
    <xf numFmtId="3" fontId="101" fillId="8" borderId="62" xfId="16" applyNumberFormat="1" applyFont="1" applyFill="1" applyBorder="1"/>
    <xf numFmtId="3" fontId="101" fillId="0" borderId="62" xfId="16" applyNumberFormat="1" applyFont="1" applyBorder="1"/>
    <xf numFmtId="3" fontId="118" fillId="4" borderId="48" xfId="16" applyNumberFormat="1" applyFont="1" applyFill="1" applyBorder="1"/>
    <xf numFmtId="0" fontId="62" fillId="0" borderId="71" xfId="13" applyFont="1" applyBorder="1" applyAlignment="1">
      <alignment horizontal="center" vertical="center" wrapText="1"/>
    </xf>
    <xf numFmtId="0" fontId="62" fillId="2" borderId="71" xfId="13" applyFont="1" applyFill="1" applyBorder="1" applyAlignment="1">
      <alignment vertical="center"/>
    </xf>
    <xf numFmtId="3" fontId="101" fillId="0" borderId="0" xfId="16" applyNumberFormat="1" applyFont="1"/>
    <xf numFmtId="3" fontId="62" fillId="8" borderId="0" xfId="16" applyNumberFormat="1" applyFont="1" applyFill="1"/>
    <xf numFmtId="3" fontId="118" fillId="4" borderId="18" xfId="16" applyNumberFormat="1" applyFont="1" applyFill="1" applyBorder="1"/>
    <xf numFmtId="0" fontId="62" fillId="0" borderId="27" xfId="13" applyFont="1" applyBorder="1" applyAlignment="1">
      <alignment horizontal="center" vertical="center"/>
    </xf>
    <xf numFmtId="0" fontId="75" fillId="2" borderId="29" xfId="13" quotePrefix="1" applyFont="1" applyFill="1" applyBorder="1" applyAlignment="1">
      <alignment horizontal="center" vertical="center" wrapText="1"/>
    </xf>
    <xf numFmtId="3" fontId="158" fillId="4" borderId="43" xfId="16" applyNumberFormat="1" applyFont="1" applyFill="1" applyBorder="1"/>
    <xf numFmtId="3" fontId="120" fillId="0" borderId="18" xfId="16" applyNumberFormat="1" applyFont="1" applyBorder="1"/>
    <xf numFmtId="3" fontId="118" fillId="4" borderId="99" xfId="16" applyNumberFormat="1" applyFont="1" applyFill="1" applyBorder="1"/>
    <xf numFmtId="3" fontId="101" fillId="0" borderId="97" xfId="16" applyNumberFormat="1" applyFont="1" applyBorder="1"/>
    <xf numFmtId="0" fontId="62" fillId="11" borderId="72" xfId="13" applyFont="1" applyFill="1" applyBorder="1" applyAlignment="1">
      <alignment horizontal="center" vertical="center" wrapText="1"/>
    </xf>
    <xf numFmtId="3" fontId="118" fillId="4" borderId="95" xfId="16" applyNumberFormat="1" applyFont="1" applyFill="1" applyBorder="1"/>
    <xf numFmtId="0" fontId="62" fillId="2" borderId="7" xfId="10" applyFont="1" applyFill="1" applyBorder="1" applyAlignment="1">
      <alignment horizontal="centerContinuous" vertical="center" wrapText="1"/>
    </xf>
    <xf numFmtId="172" fontId="62" fillId="8" borderId="12" xfId="11" applyNumberFormat="1" applyFont="1" applyFill="1" applyBorder="1"/>
    <xf numFmtId="172" fontId="62" fillId="8" borderId="62" xfId="11" applyNumberFormat="1" applyFont="1" applyFill="1" applyBorder="1"/>
    <xf numFmtId="172" fontId="62" fillId="8" borderId="17" xfId="11" applyNumberFormat="1" applyFont="1" applyFill="1" applyBorder="1"/>
    <xf numFmtId="172" fontId="62" fillId="8" borderId="18" xfId="11" applyNumberFormat="1" applyFont="1" applyFill="1" applyBorder="1"/>
    <xf numFmtId="0" fontId="75" fillId="2" borderId="92" xfId="10" applyFont="1" applyFill="1" applyBorder="1" applyAlignment="1">
      <alignment horizontal="centerContinuous" vertical="center" wrapText="1"/>
    </xf>
    <xf numFmtId="172" fontId="62" fillId="8" borderId="87" xfId="11" applyNumberFormat="1" applyFont="1" applyFill="1" applyBorder="1"/>
    <xf numFmtId="0" fontId="62" fillId="2" borderId="71" xfId="10" applyFont="1" applyFill="1" applyBorder="1" applyAlignment="1">
      <alignment horizontal="centerContinuous" vertical="center" wrapText="1"/>
    </xf>
    <xf numFmtId="0" fontId="62" fillId="2" borderId="8" xfId="10" applyFont="1" applyFill="1" applyBorder="1" applyAlignment="1">
      <alignment horizontal="centerContinuous" vertical="center" wrapText="1"/>
    </xf>
    <xf numFmtId="170" fontId="95" fillId="4" borderId="18" xfId="0" applyNumberFormat="1" applyFont="1" applyFill="1" applyBorder="1"/>
    <xf numFmtId="170" fontId="62" fillId="0" borderId="62" xfId="215" applyNumberFormat="1" applyFont="1" applyBorder="1"/>
    <xf numFmtId="1" fontId="62" fillId="0" borderId="71" xfId="215" applyNumberFormat="1" applyFont="1" applyBorder="1" applyAlignment="1">
      <alignment horizontal="center" vertical="center" wrapText="1"/>
    </xf>
    <xf numFmtId="0" fontId="75" fillId="2" borderId="71" xfId="215" applyFont="1" applyFill="1" applyBorder="1" applyAlignment="1">
      <alignment horizontal="centerContinuous" vertical="center" wrapText="1"/>
    </xf>
    <xf numFmtId="0" fontId="62" fillId="2" borderId="71" xfId="215" applyFont="1" applyFill="1" applyBorder="1" applyAlignment="1">
      <alignment horizontal="center" vertical="center" wrapText="1"/>
    </xf>
    <xf numFmtId="0" fontId="78" fillId="2" borderId="71" xfId="215" applyFont="1" applyFill="1" applyBorder="1" applyAlignment="1">
      <alignment horizontal="center" vertical="center"/>
    </xf>
    <xf numFmtId="210" fontId="62" fillId="0" borderId="85" xfId="126" quotePrefix="1" applyNumberFormat="1" applyFont="1" applyBorder="1" applyAlignment="1">
      <alignment horizontal="center" vertical="center" wrapText="1" readingOrder="1"/>
    </xf>
    <xf numFmtId="0" fontId="181" fillId="11" borderId="85" xfId="9858" applyFont="1" applyFill="1" applyBorder="1" applyAlignment="1">
      <alignment horizontal="center" vertical="center" wrapText="1"/>
    </xf>
    <xf numFmtId="2" fontId="62" fillId="0" borderId="85" xfId="9858" applyNumberFormat="1" applyFont="1" applyBorder="1" applyAlignment="1">
      <alignment horizontal="center" vertical="center" wrapText="1"/>
    </xf>
    <xf numFmtId="0" fontId="180" fillId="0" borderId="85" xfId="9858" applyFont="1" applyBorder="1" applyAlignment="1">
      <alignment horizontal="center" vertical="center"/>
    </xf>
    <xf numFmtId="0" fontId="36" fillId="0" borderId="85" xfId="9858" applyBorder="1"/>
    <xf numFmtId="0" fontId="146" fillId="11" borderId="0" xfId="9858" applyFont="1" applyFill="1" applyAlignment="1">
      <alignment horizontal="centerContinuous"/>
    </xf>
    <xf numFmtId="0" fontId="36" fillId="11" borderId="0" xfId="9858" applyFill="1" applyAlignment="1">
      <alignment horizontal="centerContinuous"/>
    </xf>
    <xf numFmtId="0" fontId="36" fillId="11" borderId="3" xfId="9858" applyFill="1" applyBorder="1"/>
    <xf numFmtId="0" fontId="78" fillId="2" borderId="86" xfId="0" applyFont="1" applyFill="1" applyBorder="1" applyAlignment="1">
      <alignment horizontal="center" vertical="center"/>
    </xf>
    <xf numFmtId="175" fontId="118" fillId="7" borderId="62" xfId="0" applyNumberFormat="1" applyFont="1" applyFill="1" applyBorder="1" applyAlignment="1">
      <alignment horizontal="right"/>
    </xf>
    <xf numFmtId="172" fontId="95" fillId="4" borderId="36" xfId="13" applyNumberFormat="1" applyFont="1" applyFill="1" applyBorder="1"/>
    <xf numFmtId="172" fontId="158" fillId="4" borderId="49" xfId="13" applyNumberFormat="1" applyFont="1" applyFill="1" applyBorder="1"/>
    <xf numFmtId="10" fontId="95" fillId="4" borderId="62" xfId="13" applyNumberFormat="1" applyFont="1" applyFill="1" applyBorder="1"/>
    <xf numFmtId="174" fontId="87" fillId="5" borderId="62" xfId="0" applyNumberFormat="1" applyFont="1" applyFill="1" applyBorder="1" applyAlignment="1">
      <alignment horizontal="center"/>
    </xf>
    <xf numFmtId="174" fontId="74" fillId="5" borderId="62" xfId="0" applyNumberFormat="1" applyFont="1" applyFill="1" applyBorder="1" applyAlignment="1">
      <alignment vertical="center" wrapText="1"/>
    </xf>
    <xf numFmtId="181" fontId="87" fillId="5" borderId="62" xfId="0" applyNumberFormat="1" applyFont="1" applyFill="1" applyBorder="1" applyAlignment="1">
      <alignment horizontal="center"/>
    </xf>
    <xf numFmtId="179" fontId="62" fillId="0" borderId="3" xfId="12401" applyNumberFormat="1" applyFont="1" applyFill="1" applyBorder="1"/>
    <xf numFmtId="179" fontId="94" fillId="2" borderId="86" xfId="12401" applyNumberFormat="1" applyFont="1" applyFill="1" applyBorder="1" applyAlignment="1">
      <alignment horizontal="center" vertical="center"/>
    </xf>
    <xf numFmtId="170" fontId="96" fillId="5" borderId="11" xfId="0" applyNumberFormat="1" applyFont="1" applyFill="1" applyBorder="1"/>
    <xf numFmtId="170" fontId="96" fillId="5" borderId="63" xfId="0" applyNumberFormat="1" applyFont="1" applyFill="1" applyBorder="1"/>
    <xf numFmtId="172" fontId="158" fillId="4" borderId="63" xfId="0" applyNumberFormat="1" applyFont="1" applyFill="1" applyBorder="1"/>
    <xf numFmtId="172" fontId="120" fillId="0" borderId="63" xfId="0" applyNumberFormat="1" applyFont="1" applyBorder="1"/>
    <xf numFmtId="0" fontId="75" fillId="2" borderId="72" xfId="215" applyFont="1" applyFill="1" applyBorder="1" applyAlignment="1">
      <alignment horizontal="center" vertical="center" wrapText="1"/>
    </xf>
    <xf numFmtId="0" fontId="75" fillId="2" borderId="71" xfId="215" applyFont="1" applyFill="1" applyBorder="1" applyAlignment="1">
      <alignment horizontal="center" vertical="center" wrapText="1"/>
    </xf>
    <xf numFmtId="0" fontId="75" fillId="2" borderId="73" xfId="215" applyFont="1" applyFill="1" applyBorder="1" applyAlignment="1">
      <alignment horizontal="center" vertical="center" wrapText="1"/>
    </xf>
    <xf numFmtId="170" fontId="95" fillId="4" borderId="3" xfId="215" applyNumberFormat="1" applyFont="1" applyFill="1" applyBorder="1"/>
    <xf numFmtId="1" fontId="62" fillId="0" borderId="72" xfId="215" applyNumberFormat="1" applyFont="1" applyBorder="1" applyAlignment="1">
      <alignment horizontal="center" vertical="center" wrapText="1"/>
    </xf>
    <xf numFmtId="0" fontId="75" fillId="2" borderId="72" xfId="215" applyFont="1" applyFill="1" applyBorder="1" applyAlignment="1">
      <alignment horizontal="centerContinuous" vertical="center" wrapText="1"/>
    </xf>
    <xf numFmtId="0" fontId="62" fillId="2" borderId="72" xfId="215" applyFont="1" applyFill="1" applyBorder="1" applyAlignment="1">
      <alignment horizontal="center" vertical="center" wrapText="1"/>
    </xf>
    <xf numFmtId="0" fontId="78" fillId="2" borderId="72" xfId="215" applyFont="1" applyFill="1" applyBorder="1" applyAlignment="1">
      <alignment horizontal="center" vertical="center"/>
    </xf>
    <xf numFmtId="174" fontId="62" fillId="5" borderId="95" xfId="215" applyNumberFormat="1" applyFont="1" applyFill="1" applyBorder="1"/>
    <xf numFmtId="170" fontId="95" fillId="4" borderId="95" xfId="215" applyNumberFormat="1" applyFont="1" applyFill="1" applyBorder="1"/>
    <xf numFmtId="170" fontId="62" fillId="0" borderId="95" xfId="215" applyNumberFormat="1" applyFont="1" applyBorder="1"/>
    <xf numFmtId="0" fontId="62" fillId="2" borderId="7" xfId="9860" applyFont="1" applyFill="1" applyBorder="1" applyAlignment="1">
      <alignment horizontal="center" vertical="center" wrapText="1"/>
    </xf>
    <xf numFmtId="167" fontId="62" fillId="2" borderId="7" xfId="9859" applyFont="1" applyFill="1" applyBorder="1" applyAlignment="1">
      <alignment horizontal="center" vertical="center"/>
    </xf>
    <xf numFmtId="167" fontId="180" fillId="2" borderId="20" xfId="9859" applyFont="1" applyFill="1" applyBorder="1" applyAlignment="1">
      <alignment horizontal="center" vertical="center"/>
    </xf>
    <xf numFmtId="0" fontId="62" fillId="2" borderId="71" xfId="9860" applyFont="1" applyFill="1" applyBorder="1" applyAlignment="1">
      <alignment horizontal="center" vertical="center" wrapText="1"/>
    </xf>
    <xf numFmtId="167" fontId="62" fillId="2" borderId="71" xfId="9859" applyFont="1" applyFill="1" applyBorder="1" applyAlignment="1">
      <alignment horizontal="center" vertical="center"/>
    </xf>
    <xf numFmtId="0" fontId="102" fillId="0" borderId="71" xfId="9860" applyFont="1" applyBorder="1" applyAlignment="1">
      <alignment horizontal="center" vertical="center"/>
    </xf>
    <xf numFmtId="167" fontId="180" fillId="2" borderId="100" xfId="9859" applyFont="1" applyFill="1" applyBorder="1" applyAlignment="1">
      <alignment horizontal="center" vertical="center"/>
    </xf>
    <xf numFmtId="170" fontId="95" fillId="4" borderId="87" xfId="0" applyNumberFormat="1" applyFont="1" applyFill="1" applyBorder="1"/>
    <xf numFmtId="170" fontId="95" fillId="4" borderId="40" xfId="0" applyNumberFormat="1" applyFont="1" applyFill="1" applyBorder="1"/>
    <xf numFmtId="170" fontId="120" fillId="0" borderId="62" xfId="0" applyNumberFormat="1" applyFont="1" applyBorder="1"/>
    <xf numFmtId="171" fontId="95" fillId="4" borderId="62" xfId="0" applyNumberFormat="1" applyFont="1" applyFill="1" applyBorder="1"/>
    <xf numFmtId="171" fontId="95" fillId="4" borderId="40" xfId="0" applyNumberFormat="1" applyFont="1" applyFill="1" applyBorder="1"/>
    <xf numFmtId="171" fontId="95" fillId="4" borderId="46" xfId="0" applyNumberFormat="1" applyFont="1" applyFill="1" applyBorder="1"/>
    <xf numFmtId="0" fontId="78" fillId="2" borderId="72" xfId="0" applyFont="1" applyFill="1" applyBorder="1" applyAlignment="1">
      <alignment horizontal="center" vertical="center"/>
    </xf>
    <xf numFmtId="171" fontId="95" fillId="4" borderId="97" xfId="0" applyNumberFormat="1" applyFont="1" applyFill="1" applyBorder="1"/>
    <xf numFmtId="171" fontId="95" fillId="4" borderId="106" xfId="0" applyNumberFormat="1" applyFont="1" applyFill="1" applyBorder="1"/>
    <xf numFmtId="170" fontId="95" fillId="4" borderId="45" xfId="0" applyNumberFormat="1" applyFont="1" applyFill="1" applyBorder="1"/>
    <xf numFmtId="0" fontId="62" fillId="2" borderId="73" xfId="0" applyFont="1" applyFill="1" applyBorder="1" applyAlignment="1">
      <alignment horizontal="centerContinuous" vertical="center" wrapText="1"/>
    </xf>
    <xf numFmtId="175" fontId="101" fillId="0" borderId="2" xfId="0" applyNumberFormat="1" applyFont="1" applyBorder="1"/>
    <xf numFmtId="175" fontId="118" fillId="7" borderId="2" xfId="0" applyNumberFormat="1" applyFont="1" applyFill="1" applyBorder="1"/>
    <xf numFmtId="0" fontId="62" fillId="2" borderId="72" xfId="0" applyFont="1" applyFill="1" applyBorder="1" applyAlignment="1">
      <alignment horizontal="centerContinuous" vertical="center" wrapText="1"/>
    </xf>
    <xf numFmtId="0" fontId="62" fillId="2" borderId="72" xfId="0" applyFont="1" applyFill="1" applyBorder="1"/>
    <xf numFmtId="175" fontId="62" fillId="12" borderId="95" xfId="0" applyNumberFormat="1" applyFont="1" applyFill="1" applyBorder="1"/>
    <xf numFmtId="175" fontId="95" fillId="12" borderId="95" xfId="0" applyNumberFormat="1" applyFont="1" applyFill="1" applyBorder="1"/>
    <xf numFmtId="175" fontId="118" fillId="7" borderId="95" xfId="0" applyNumberFormat="1" applyFont="1" applyFill="1" applyBorder="1"/>
    <xf numFmtId="175" fontId="62" fillId="0" borderId="95" xfId="0" applyNumberFormat="1" applyFont="1" applyBorder="1"/>
    <xf numFmtId="179" fontId="129" fillId="0" borderId="18" xfId="12401" applyNumberFormat="1" applyFont="1" applyBorder="1"/>
    <xf numFmtId="179" fontId="120" fillId="0" borderId="18" xfId="12401" applyNumberFormat="1" applyFont="1" applyFill="1" applyBorder="1"/>
    <xf numFmtId="179" fontId="205" fillId="7" borderId="18" xfId="12401" applyNumberFormat="1" applyFont="1" applyFill="1" applyBorder="1"/>
    <xf numFmtId="179" fontId="129" fillId="0" borderId="18" xfId="12401" applyNumberFormat="1" applyFont="1" applyFill="1" applyBorder="1"/>
    <xf numFmtId="179" fontId="208" fillId="7" borderId="43" xfId="12401" applyNumberFormat="1" applyFont="1" applyFill="1" applyBorder="1"/>
    <xf numFmtId="0" fontId="75" fillId="2" borderId="73" xfId="0" quotePrefix="1" applyFont="1" applyFill="1" applyBorder="1" applyAlignment="1">
      <alignment horizontal="center" vertical="center" wrapText="1"/>
    </xf>
    <xf numFmtId="0" fontId="75" fillId="2" borderId="22" xfId="0" quotePrefix="1" applyFont="1" applyFill="1" applyBorder="1" applyAlignment="1">
      <alignment horizontal="center" vertical="center" wrapText="1"/>
    </xf>
    <xf numFmtId="0" fontId="62" fillId="2" borderId="73" xfId="0" applyFont="1" applyFill="1" applyBorder="1"/>
    <xf numFmtId="0" fontId="62" fillId="2" borderId="73" xfId="0" applyFont="1" applyFill="1" applyBorder="1" applyAlignment="1">
      <alignment horizontal="center" vertical="center" wrapText="1"/>
    </xf>
    <xf numFmtId="175" fontId="95" fillId="4" borderId="95" xfId="0" applyNumberFormat="1" applyFont="1" applyFill="1" applyBorder="1"/>
    <xf numFmtId="175" fontId="87" fillId="5" borderId="62" xfId="0" applyNumberFormat="1" applyFont="1" applyFill="1" applyBorder="1" applyAlignment="1">
      <alignment horizontal="center"/>
    </xf>
    <xf numFmtId="175" fontId="87" fillId="5" borderId="62" xfId="0" applyNumberFormat="1" applyFont="1" applyFill="1" applyBorder="1"/>
    <xf numFmtId="175" fontId="95" fillId="4" borderId="62" xfId="0" applyNumberFormat="1" applyFont="1" applyFill="1" applyBorder="1"/>
    <xf numFmtId="175" fontId="118" fillId="4" borderId="62" xfId="0" applyNumberFormat="1" applyFont="1" applyFill="1" applyBorder="1"/>
    <xf numFmtId="175" fontId="127" fillId="0" borderId="62" xfId="0" applyNumberFormat="1" applyFont="1" applyBorder="1"/>
    <xf numFmtId="0" fontId="62" fillId="0" borderId="6" xfId="0" applyFont="1" applyBorder="1" applyAlignment="1">
      <alignment horizontal="centerContinuous" vertical="center" wrapText="1"/>
    </xf>
    <xf numFmtId="0" fontId="62" fillId="0" borderId="27" xfId="0" applyFont="1" applyBorder="1" applyAlignment="1">
      <alignment horizontal="centerContinuous" vertical="center" wrapText="1"/>
    </xf>
    <xf numFmtId="170" fontId="102" fillId="8" borderId="18" xfId="0" applyNumberFormat="1" applyFont="1" applyFill="1" applyBorder="1"/>
    <xf numFmtId="0" fontId="62" fillId="0" borderId="71" xfId="0" applyFont="1" applyBorder="1" applyAlignment="1">
      <alignment horizontal="centerContinuous" vertical="center" wrapText="1"/>
    </xf>
    <xf numFmtId="170" fontId="102" fillId="0" borderId="62" xfId="0" applyNumberFormat="1" applyFont="1" applyBorder="1"/>
    <xf numFmtId="0" fontId="75" fillId="2" borderId="37" xfId="0" applyFont="1" applyFill="1" applyBorder="1" applyAlignment="1">
      <alignment horizontal="center" vertical="center" wrapText="1"/>
    </xf>
    <xf numFmtId="170" fontId="95" fillId="8" borderId="17" xfId="0" applyNumberFormat="1" applyFont="1" applyFill="1" applyBorder="1"/>
    <xf numFmtId="170" fontId="62" fillId="8" borderId="18" xfId="0" applyNumberFormat="1" applyFont="1" applyFill="1" applyBorder="1"/>
    <xf numFmtId="170" fontId="95" fillId="8" borderId="87" xfId="0" applyNumberFormat="1" applyFont="1" applyFill="1" applyBorder="1"/>
    <xf numFmtId="170" fontId="62" fillId="8" borderId="0" xfId="0" applyNumberFormat="1" applyFont="1" applyFill="1"/>
    <xf numFmtId="0" fontId="62" fillId="0" borderId="7" xfId="0" applyFont="1" applyBorder="1" applyAlignment="1">
      <alignment horizontal="center" vertical="center" wrapText="1"/>
    </xf>
    <xf numFmtId="175" fontId="120" fillId="0" borderId="18" xfId="0" applyNumberFormat="1" applyFont="1" applyBorder="1" applyAlignment="1">
      <alignment horizontal="right"/>
    </xf>
    <xf numFmtId="175" fontId="62" fillId="0" borderId="18" xfId="0" applyNumberFormat="1" applyFont="1" applyBorder="1" applyAlignment="1">
      <alignment horizontal="right"/>
    </xf>
    <xf numFmtId="0" fontId="62" fillId="0" borderId="71" xfId="0" applyFont="1" applyBorder="1" applyAlignment="1">
      <alignment horizontal="center" vertical="center" wrapText="1"/>
    </xf>
    <xf numFmtId="0" fontId="62" fillId="0" borderId="71" xfId="0" applyFont="1" applyBorder="1"/>
    <xf numFmtId="0" fontId="62" fillId="0" borderId="0" xfId="0" applyFont="1"/>
    <xf numFmtId="181" fontId="62" fillId="0" borderId="18" xfId="0" applyNumberFormat="1" applyFont="1" applyBorder="1" applyAlignment="1">
      <alignment horizontal="right"/>
    </xf>
    <xf numFmtId="181" fontId="120" fillId="0" borderId="18" xfId="0" applyNumberFormat="1" applyFont="1" applyBorder="1" applyAlignment="1">
      <alignment horizontal="right"/>
    </xf>
    <xf numFmtId="0" fontId="62" fillId="0" borderId="7" xfId="0" applyFont="1" applyBorder="1" applyAlignment="1">
      <alignment horizontal="center" vertical="center"/>
    </xf>
    <xf numFmtId="175" fontId="62" fillId="5" borderId="0" xfId="0" applyNumberFormat="1" applyFont="1" applyFill="1"/>
    <xf numFmtId="3" fontId="62" fillId="0" borderId="0" xfId="13" applyNumberFormat="1" applyFont="1"/>
    <xf numFmtId="0" fontId="62" fillId="0" borderId="71" xfId="0" applyFont="1" applyBorder="1" applyAlignment="1">
      <alignment horizontal="center" vertical="center"/>
    </xf>
    <xf numFmtId="0" fontId="62" fillId="0" borderId="8" xfId="0" applyFont="1" applyBorder="1" applyAlignment="1">
      <alignment horizontal="center" vertical="center"/>
    </xf>
    <xf numFmtId="0" fontId="62" fillId="0" borderId="8" xfId="0" applyFont="1" applyBorder="1" applyAlignment="1">
      <alignment horizontal="center" vertical="center" wrapText="1"/>
    </xf>
    <xf numFmtId="175" fontId="62" fillId="5" borderId="3" xfId="0" applyNumberFormat="1" applyFont="1" applyFill="1" applyBorder="1"/>
    <xf numFmtId="3" fontId="62" fillId="0" borderId="3" xfId="13" applyNumberFormat="1" applyFont="1" applyBorder="1"/>
    <xf numFmtId="3" fontId="62" fillId="0" borderId="3" xfId="0" applyNumberFormat="1" applyFont="1" applyBorder="1"/>
    <xf numFmtId="1" fontId="78" fillId="2" borderId="110" xfId="0" applyNumberFormat="1" applyFont="1" applyFill="1" applyBorder="1" applyAlignment="1">
      <alignment horizontal="center"/>
    </xf>
    <xf numFmtId="171" fontId="95" fillId="4" borderId="89" xfId="0" applyNumberFormat="1" applyFont="1" applyFill="1" applyBorder="1"/>
    <xf numFmtId="171" fontId="95" fillId="12" borderId="12" xfId="0" applyNumberFormat="1" applyFont="1" applyFill="1" applyBorder="1"/>
    <xf numFmtId="171" fontId="95" fillId="12" borderId="87" xfId="0" applyNumberFormat="1" applyFont="1" applyFill="1" applyBorder="1"/>
    <xf numFmtId="171" fontId="106" fillId="5" borderId="12" xfId="0" applyNumberFormat="1" applyFont="1" applyFill="1" applyBorder="1"/>
    <xf numFmtId="171" fontId="101" fillId="5" borderId="62" xfId="0" applyNumberFormat="1" applyFont="1" applyFill="1" applyBorder="1"/>
    <xf numFmtId="171" fontId="106" fillId="5" borderId="87" xfId="0" applyNumberFormat="1" applyFont="1" applyFill="1" applyBorder="1"/>
    <xf numFmtId="171" fontId="106" fillId="5" borderId="40" xfId="0" applyNumberFormat="1" applyFont="1" applyFill="1" applyBorder="1"/>
    <xf numFmtId="171" fontId="101" fillId="5" borderId="0" xfId="0" applyNumberFormat="1" applyFont="1" applyFill="1"/>
    <xf numFmtId="171" fontId="101" fillId="0" borderId="0" xfId="0" applyNumberFormat="1" applyFont="1"/>
    <xf numFmtId="171" fontId="106" fillId="5" borderId="10" xfId="0" applyNumberFormat="1" applyFont="1" applyFill="1" applyBorder="1"/>
    <xf numFmtId="171" fontId="62" fillId="0" borderId="0" xfId="0" applyNumberFormat="1" applyFont="1"/>
    <xf numFmtId="171" fontId="101" fillId="8" borderId="40" xfId="0" applyNumberFormat="1" applyFont="1" applyFill="1" applyBorder="1"/>
    <xf numFmtId="171" fontId="106" fillId="8" borderId="0" xfId="0" applyNumberFormat="1" applyFont="1" applyFill="1"/>
    <xf numFmtId="0" fontId="118" fillId="2" borderId="92" xfId="0" applyFont="1" applyFill="1" applyBorder="1" applyAlignment="1">
      <alignment horizontal="center" vertical="center" wrapText="1"/>
    </xf>
    <xf numFmtId="0" fontId="127" fillId="0" borderId="7" xfId="0" applyFont="1" applyBorder="1" applyAlignment="1">
      <alignment horizontal="center" vertical="center" wrapText="1"/>
    </xf>
    <xf numFmtId="171" fontId="101" fillId="8" borderId="87" xfId="0" applyNumberFormat="1" applyFont="1" applyFill="1" applyBorder="1"/>
    <xf numFmtId="0" fontId="118" fillId="2" borderId="91" xfId="0" applyFont="1" applyFill="1" applyBorder="1" applyAlignment="1">
      <alignment horizontal="center" vertical="center" wrapText="1"/>
    </xf>
    <xf numFmtId="171" fontId="95" fillId="4" borderId="102" xfId="0" applyNumberFormat="1" applyFont="1" applyFill="1" applyBorder="1"/>
    <xf numFmtId="0" fontId="179" fillId="0" borderId="27" xfId="9842" applyFont="1" applyBorder="1" applyAlignment="1">
      <alignment horizontal="centerContinuous" vertical="center"/>
    </xf>
    <xf numFmtId="0" fontId="127" fillId="11" borderId="18" xfId="9842" applyFont="1" applyFill="1" applyBorder="1"/>
    <xf numFmtId="0" fontId="127" fillId="0" borderId="7" xfId="9842" applyFont="1" applyBorder="1" applyAlignment="1">
      <alignment horizontal="center" vertical="center" wrapText="1"/>
    </xf>
    <xf numFmtId="0" fontId="180" fillId="0" borderId="7" xfId="9842" applyFont="1" applyBorder="1" applyAlignment="1">
      <alignment horizontal="center" vertical="center" wrapText="1"/>
    </xf>
    <xf numFmtId="171" fontId="118" fillId="7" borderId="48" xfId="9842" applyNumberFormat="1" applyFont="1" applyFill="1" applyBorder="1"/>
    <xf numFmtId="171" fontId="62" fillId="0" borderId="62" xfId="9842" applyNumberFormat="1" applyFont="1" applyBorder="1"/>
    <xf numFmtId="0" fontId="127" fillId="0" borderId="71" xfId="9842" applyFont="1" applyBorder="1" applyAlignment="1">
      <alignment horizontal="center" vertical="center" wrapText="1"/>
    </xf>
    <xf numFmtId="0" fontId="180" fillId="0" borderId="71" xfId="9842" applyFont="1" applyBorder="1" applyAlignment="1">
      <alignment horizontal="center" vertical="center" wrapText="1"/>
    </xf>
    <xf numFmtId="9" fontId="62" fillId="11" borderId="71" xfId="9842" applyNumberFormat="1" applyFont="1" applyFill="1" applyBorder="1" applyAlignment="1">
      <alignment horizontal="center" vertical="center"/>
    </xf>
    <xf numFmtId="9" fontId="62" fillId="11" borderId="7" xfId="9842" applyNumberFormat="1" applyFont="1" applyFill="1" applyBorder="1" applyAlignment="1">
      <alignment horizontal="center" vertical="center"/>
    </xf>
    <xf numFmtId="171" fontId="118" fillId="7" borderId="0" xfId="9842" applyNumberFormat="1" applyFont="1" applyFill="1"/>
    <xf numFmtId="171" fontId="62" fillId="0" borderId="0" xfId="9842" applyNumberFormat="1" applyFont="1"/>
    <xf numFmtId="0" fontId="127" fillId="0" borderId="8" xfId="9842" applyFont="1" applyBorder="1" applyAlignment="1">
      <alignment horizontal="center" vertical="center" wrapText="1"/>
    </xf>
    <xf numFmtId="0" fontId="180" fillId="0" borderId="8" xfId="9842" applyFont="1" applyBorder="1" applyAlignment="1">
      <alignment horizontal="center" vertical="center" wrapText="1"/>
    </xf>
    <xf numFmtId="9" fontId="62" fillId="0" borderId="8" xfId="9843" applyFont="1" applyFill="1" applyBorder="1" applyAlignment="1">
      <alignment horizontal="center" vertical="center"/>
    </xf>
    <xf numFmtId="171" fontId="118" fillId="7" borderId="3" xfId="9842" applyNumberFormat="1" applyFont="1" applyFill="1" applyBorder="1"/>
    <xf numFmtId="3" fontId="120" fillId="0" borderId="62" xfId="0" applyNumberFormat="1" applyFont="1" applyBorder="1" applyAlignment="1">
      <alignment vertical="center" wrapText="1"/>
    </xf>
    <xf numFmtId="170" fontId="95" fillId="5" borderId="12" xfId="0" applyNumberFormat="1" applyFont="1" applyFill="1" applyBorder="1"/>
    <xf numFmtId="170" fontId="95" fillId="5" borderId="3" xfId="0" applyNumberFormat="1" applyFont="1" applyFill="1" applyBorder="1"/>
    <xf numFmtId="3" fontId="120" fillId="0" borderId="2" xfId="0" applyNumberFormat="1" applyFont="1" applyBorder="1"/>
    <xf numFmtId="0" fontId="62" fillId="2" borderId="103" xfId="0" applyFont="1" applyFill="1" applyBorder="1"/>
    <xf numFmtId="3" fontId="158" fillId="4" borderId="111" xfId="0" applyNumberFormat="1" applyFont="1" applyFill="1" applyBorder="1"/>
    <xf numFmtId="3" fontId="62" fillId="0" borderId="62" xfId="0" applyNumberFormat="1" applyFont="1" applyBorder="1" applyAlignment="1">
      <alignment horizontal="right"/>
    </xf>
    <xf numFmtId="0" fontId="62" fillId="2" borderId="71" xfId="0" applyFont="1" applyFill="1" applyBorder="1"/>
    <xf numFmtId="0" fontId="62" fillId="2" borderId="92" xfId="0" applyFont="1" applyFill="1" applyBorder="1"/>
    <xf numFmtId="3" fontId="95" fillId="9" borderId="87" xfId="0" applyNumberFormat="1" applyFont="1" applyFill="1" applyBorder="1"/>
    <xf numFmtId="3" fontId="62" fillId="0" borderId="0" xfId="0" applyNumberFormat="1" applyFont="1" applyAlignment="1">
      <alignment horizontal="right"/>
    </xf>
    <xf numFmtId="0" fontId="62" fillId="2" borderId="86" xfId="0" applyFont="1" applyFill="1" applyBorder="1"/>
    <xf numFmtId="3" fontId="95" fillId="9" borderId="111" xfId="0" applyNumberFormat="1" applyFont="1" applyFill="1" applyBorder="1"/>
    <xf numFmtId="3" fontId="95" fillId="4" borderId="112" xfId="0" applyNumberFormat="1" applyFont="1" applyFill="1" applyBorder="1"/>
    <xf numFmtId="3" fontId="62" fillId="0" borderId="95" xfId="0" applyNumberFormat="1" applyFont="1" applyBorder="1"/>
    <xf numFmtId="3" fontId="95" fillId="9" borderId="112" xfId="0" applyNumberFormat="1" applyFont="1" applyFill="1" applyBorder="1"/>
    <xf numFmtId="3" fontId="95" fillId="4" borderId="106" xfId="0" applyNumberFormat="1" applyFont="1" applyFill="1" applyBorder="1"/>
    <xf numFmtId="0" fontId="62" fillId="0" borderId="95" xfId="0" applyFont="1" applyBorder="1"/>
    <xf numFmtId="0" fontId="78" fillId="2" borderId="93" xfId="0" applyFont="1" applyFill="1" applyBorder="1" applyAlignment="1">
      <alignment horizontal="center" vertical="center"/>
    </xf>
    <xf numFmtId="3" fontId="62" fillId="9" borderId="97" xfId="0" applyNumberFormat="1" applyFont="1" applyFill="1" applyBorder="1"/>
    <xf numFmtId="3" fontId="121" fillId="7" borderId="97" xfId="0" applyNumberFormat="1" applyFont="1" applyFill="1" applyBorder="1"/>
    <xf numFmtId="3" fontId="62" fillId="0" borderId="97" xfId="0" applyNumberFormat="1" applyFont="1" applyBorder="1"/>
    <xf numFmtId="177" fontId="105" fillId="5" borderId="0" xfId="0" applyNumberFormat="1" applyFont="1" applyFill="1"/>
    <xf numFmtId="3" fontId="120" fillId="0" borderId="62" xfId="0" applyNumberFormat="1" applyFont="1" applyBorder="1"/>
    <xf numFmtId="3" fontId="101" fillId="0" borderId="0" xfId="0" applyNumberFormat="1" applyFont="1"/>
    <xf numFmtId="0" fontId="77" fillId="2" borderId="71" xfId="0" applyFont="1" applyFill="1" applyBorder="1" applyAlignment="1">
      <alignment horizontal="centerContinuous" vertical="center" wrapText="1"/>
    </xf>
    <xf numFmtId="3" fontId="95" fillId="4" borderId="87" xfId="0" applyNumberFormat="1" applyFont="1" applyFill="1" applyBorder="1"/>
    <xf numFmtId="0" fontId="77" fillId="2" borderId="86" xfId="0" applyFont="1" applyFill="1" applyBorder="1" applyAlignment="1">
      <alignment horizontal="centerContinuous" vertical="center" wrapText="1"/>
    </xf>
    <xf numFmtId="170" fontId="102" fillId="0" borderId="0" xfId="0" applyNumberFormat="1" applyFont="1"/>
    <xf numFmtId="0" fontId="102" fillId="11" borderId="72" xfId="0" applyFont="1" applyFill="1" applyBorder="1" applyAlignment="1">
      <alignment horizontal="center" vertical="center" wrapText="1"/>
    </xf>
    <xf numFmtId="0" fontId="77" fillId="2" borderId="72" xfId="0" applyFont="1" applyFill="1" applyBorder="1" applyAlignment="1">
      <alignment horizontal="centerContinuous" vertical="center" wrapText="1"/>
    </xf>
    <xf numFmtId="0" fontId="80" fillId="2" borderId="107" xfId="0" applyFont="1" applyFill="1" applyBorder="1" applyAlignment="1">
      <alignment horizontal="center" vertical="center" wrapText="1"/>
    </xf>
    <xf numFmtId="171" fontId="120" fillId="8" borderId="95" xfId="0" applyNumberFormat="1" applyFont="1" applyFill="1" applyBorder="1"/>
    <xf numFmtId="171" fontId="167" fillId="8" borderId="95" xfId="0" applyNumberFormat="1" applyFont="1" applyFill="1" applyBorder="1"/>
    <xf numFmtId="170" fontId="95" fillId="4" borderId="109" xfId="0" applyNumberFormat="1" applyFont="1" applyFill="1" applyBorder="1"/>
    <xf numFmtId="1" fontId="62" fillId="2" borderId="110" xfId="0" applyNumberFormat="1" applyFont="1" applyFill="1" applyBorder="1" applyAlignment="1">
      <alignment horizontal="center" vertical="center"/>
    </xf>
    <xf numFmtId="171" fontId="95" fillId="8" borderId="105" xfId="0" applyNumberFormat="1" applyFont="1" applyFill="1" applyBorder="1"/>
    <xf numFmtId="171" fontId="95" fillId="4" borderId="105" xfId="0" applyNumberFormat="1" applyFont="1" applyFill="1" applyBorder="1"/>
    <xf numFmtId="0" fontId="62" fillId="2" borderId="7" xfId="0" applyFont="1" applyFill="1" applyBorder="1" applyAlignment="1">
      <alignment horizontal="center" vertical="center"/>
    </xf>
    <xf numFmtId="171" fontId="95" fillId="8" borderId="0" xfId="0" applyNumberFormat="1" applyFont="1" applyFill="1"/>
    <xf numFmtId="171" fontId="118" fillId="7" borderId="0" xfId="0" applyNumberFormat="1" applyFont="1" applyFill="1"/>
    <xf numFmtId="1" fontId="62" fillId="2" borderId="86" xfId="0" applyNumberFormat="1" applyFont="1" applyFill="1" applyBorder="1" applyAlignment="1">
      <alignment horizontal="center" vertical="center"/>
    </xf>
    <xf numFmtId="171" fontId="118" fillId="7" borderId="113" xfId="0" applyNumberFormat="1" applyFont="1" applyFill="1" applyBorder="1"/>
    <xf numFmtId="0" fontId="62" fillId="2" borderId="71" xfId="0" applyFont="1" applyFill="1" applyBorder="1" applyAlignment="1">
      <alignment horizontal="center" vertical="center"/>
    </xf>
    <xf numFmtId="0" fontId="78" fillId="2" borderId="72" xfId="126" applyFont="1" applyFill="1" applyBorder="1" applyAlignment="1">
      <alignment horizontal="center" vertical="center"/>
    </xf>
    <xf numFmtId="179" fontId="82" fillId="2" borderId="71" xfId="12401" quotePrefix="1" applyNumberFormat="1" applyFont="1" applyFill="1" applyBorder="1" applyAlignment="1" applyProtection="1">
      <alignment horizontal="center" vertical="center"/>
    </xf>
    <xf numFmtId="179" fontId="82" fillId="2" borderId="72" xfId="12401" quotePrefix="1" applyNumberFormat="1" applyFont="1" applyFill="1" applyBorder="1" applyAlignment="1" applyProtection="1">
      <alignment horizontal="center" vertical="center"/>
    </xf>
    <xf numFmtId="179" fontId="74" fillId="2" borderId="73" xfId="12401" quotePrefix="1" applyNumberFormat="1" applyFont="1" applyFill="1" applyBorder="1" applyAlignment="1" applyProtection="1">
      <alignment horizontal="center" vertical="center"/>
    </xf>
    <xf numFmtId="179" fontId="82" fillId="2" borderId="71" xfId="12401" applyNumberFormat="1" applyFont="1" applyFill="1" applyBorder="1" applyAlignment="1">
      <alignment horizontal="center" vertical="center"/>
    </xf>
    <xf numFmtId="170" fontId="95" fillId="4" borderId="46" xfId="0" applyNumberFormat="1" applyFont="1" applyFill="1" applyBorder="1"/>
    <xf numFmtId="170" fontId="95" fillId="5" borderId="87" xfId="0" applyNumberFormat="1" applyFont="1" applyFill="1" applyBorder="1"/>
    <xf numFmtId="175" fontId="158" fillId="4" borderId="40" xfId="0" applyNumberFormat="1" applyFont="1" applyFill="1" applyBorder="1"/>
    <xf numFmtId="170" fontId="95" fillId="5" borderId="111" xfId="0" applyNumberFormat="1" applyFont="1" applyFill="1" applyBorder="1"/>
    <xf numFmtId="170" fontId="95" fillId="4" borderId="111" xfId="0" applyNumberFormat="1" applyFont="1" applyFill="1" applyBorder="1"/>
    <xf numFmtId="0" fontId="120" fillId="0" borderId="22" xfId="0" applyFont="1" applyBorder="1" applyAlignment="1">
      <alignment horizontal="center" vertical="center" wrapText="1"/>
    </xf>
    <xf numFmtId="170" fontId="95" fillId="4" borderId="106" xfId="0" applyNumberFormat="1" applyFont="1" applyFill="1" applyBorder="1"/>
    <xf numFmtId="170" fontId="95" fillId="5" borderId="17" xfId="0" applyNumberFormat="1" applyFont="1" applyFill="1" applyBorder="1"/>
    <xf numFmtId="170" fontId="95" fillId="5" borderId="109" xfId="0" applyNumberFormat="1" applyFont="1" applyFill="1" applyBorder="1"/>
    <xf numFmtId="170" fontId="95" fillId="5" borderId="95" xfId="0" applyNumberFormat="1" applyFont="1" applyFill="1" applyBorder="1"/>
    <xf numFmtId="3" fontId="62" fillId="9" borderId="0" xfId="0" applyNumberFormat="1" applyFont="1" applyFill="1"/>
    <xf numFmtId="3" fontId="121" fillId="4" borderId="0" xfId="0" applyNumberFormat="1" applyFont="1" applyFill="1"/>
    <xf numFmtId="3" fontId="121" fillId="7" borderId="0" xfId="0" applyNumberFormat="1" applyFont="1" applyFill="1"/>
    <xf numFmtId="179" fontId="94" fillId="2" borderId="7" xfId="12401" applyNumberFormat="1" applyFont="1" applyFill="1" applyBorder="1" applyAlignment="1">
      <alignment horizontal="center" vertical="center"/>
    </xf>
    <xf numFmtId="179" fontId="94" fillId="2" borderId="110" xfId="12401" applyNumberFormat="1" applyFont="1" applyFill="1" applyBorder="1" applyAlignment="1">
      <alignment horizontal="center" vertical="center"/>
    </xf>
    <xf numFmtId="179" fontId="94" fillId="2" borderId="8" xfId="12401" applyNumberFormat="1" applyFont="1" applyFill="1" applyBorder="1" applyAlignment="1">
      <alignment horizontal="center" vertical="center"/>
    </xf>
    <xf numFmtId="179" fontId="94" fillId="2" borderId="72" xfId="12401" applyNumberFormat="1" applyFont="1" applyFill="1" applyBorder="1" applyAlignment="1">
      <alignment horizontal="center" vertical="center"/>
    </xf>
    <xf numFmtId="173" fontId="95" fillId="4" borderId="45" xfId="14" applyNumberFormat="1" applyFont="1" applyFill="1" applyBorder="1"/>
    <xf numFmtId="0" fontId="62" fillId="2" borderId="71" xfId="12" applyFont="1" applyFill="1" applyBorder="1" applyAlignment="1">
      <alignment horizontal="centerContinuous" vertical="center" wrapText="1"/>
    </xf>
    <xf numFmtId="173" fontId="101" fillId="0" borderId="87" xfId="14" applyNumberFormat="1" applyFont="1" applyBorder="1"/>
    <xf numFmtId="173" fontId="95" fillId="4" borderId="87" xfId="14" applyNumberFormat="1" applyFont="1" applyFill="1" applyBorder="1"/>
    <xf numFmtId="0" fontId="62" fillId="2" borderId="27" xfId="12" applyFont="1" applyFill="1" applyBorder="1" applyAlignment="1">
      <alignment horizontal="centerContinuous" vertical="center" wrapText="1"/>
    </xf>
    <xf numFmtId="173" fontId="62" fillId="0" borderId="3" xfId="14" applyNumberFormat="1" applyFont="1" applyBorder="1"/>
    <xf numFmtId="173" fontId="127" fillId="0" borderId="3" xfId="14" applyNumberFormat="1" applyFont="1" applyBorder="1"/>
    <xf numFmtId="170" fontId="127" fillId="0" borderId="62" xfId="0" applyNumberFormat="1" applyFont="1" applyBorder="1"/>
    <xf numFmtId="170" fontId="127" fillId="0" borderId="2" xfId="0" applyNumberFormat="1" applyFont="1" applyBorder="1"/>
    <xf numFmtId="0" fontId="100" fillId="2" borderId="71" xfId="0" applyFont="1" applyFill="1" applyBorder="1" applyAlignment="1">
      <alignment horizontal="centerContinuous" vertical="center" wrapText="1"/>
    </xf>
    <xf numFmtId="170" fontId="127" fillId="0" borderId="0" xfId="0" applyNumberFormat="1" applyFont="1"/>
    <xf numFmtId="185" fontId="78" fillId="2" borderId="7" xfId="0" applyNumberFormat="1" applyFont="1" applyFill="1" applyBorder="1" applyAlignment="1">
      <alignment horizontal="center" vertical="center"/>
    </xf>
    <xf numFmtId="0" fontId="62" fillId="2" borderId="23" xfId="0" applyFont="1" applyFill="1" applyBorder="1" applyAlignment="1">
      <alignment horizontal="center" vertical="center" wrapText="1"/>
    </xf>
    <xf numFmtId="170" fontId="106" fillId="8" borderId="0" xfId="0" applyNumberFormat="1" applyFont="1" applyFill="1"/>
    <xf numFmtId="170" fontId="101" fillId="8" borderId="0" xfId="0" applyNumberFormat="1" applyFont="1" applyFill="1"/>
    <xf numFmtId="185" fontId="78" fillId="2" borderId="72" xfId="0" applyNumberFormat="1" applyFont="1" applyFill="1" applyBorder="1" applyAlignment="1">
      <alignment horizontal="center" vertical="center"/>
    </xf>
    <xf numFmtId="0" fontId="62" fillId="2" borderId="98" xfId="0" applyFont="1" applyFill="1" applyBorder="1" applyAlignment="1">
      <alignment horizontal="center" vertical="center" wrapText="1"/>
    </xf>
    <xf numFmtId="170" fontId="106" fillId="4" borderId="95" xfId="0" applyNumberFormat="1" applyFont="1" applyFill="1" applyBorder="1"/>
    <xf numFmtId="170" fontId="101" fillId="0" borderId="95" xfId="0" applyNumberFormat="1" applyFont="1" applyBorder="1"/>
    <xf numFmtId="170" fontId="120" fillId="0" borderId="95" xfId="0" applyNumberFormat="1" applyFont="1" applyBorder="1"/>
    <xf numFmtId="185" fontId="78" fillId="2" borderId="8" xfId="0" applyNumberFormat="1" applyFont="1" applyFill="1" applyBorder="1" applyAlignment="1">
      <alignment horizontal="center" vertical="center"/>
    </xf>
    <xf numFmtId="170" fontId="62" fillId="0" borderId="24" xfId="0" applyNumberFormat="1" applyFont="1" applyBorder="1" applyAlignment="1">
      <alignment horizontal="center" vertical="center"/>
    </xf>
    <xf numFmtId="170" fontId="106" fillId="5" borderId="3" xfId="0" applyNumberFormat="1" applyFont="1" applyFill="1" applyBorder="1"/>
    <xf numFmtId="170" fontId="101" fillId="5" borderId="3" xfId="0" applyNumberFormat="1" applyFont="1" applyFill="1" applyBorder="1"/>
    <xf numFmtId="170" fontId="106" fillId="8" borderId="95" xfId="0" applyNumberFormat="1" applyFont="1" applyFill="1" applyBorder="1"/>
    <xf numFmtId="170" fontId="101" fillId="8" borderId="95" xfId="0" applyNumberFormat="1" applyFont="1" applyFill="1" applyBorder="1"/>
    <xf numFmtId="170" fontId="158" fillId="4" borderId="96" xfId="0" applyNumberFormat="1" applyFont="1" applyFill="1" applyBorder="1"/>
    <xf numFmtId="177" fontId="105" fillId="5" borderId="97" xfId="0" applyNumberFormat="1" applyFont="1" applyFill="1" applyBorder="1"/>
    <xf numFmtId="0" fontId="169" fillId="0" borderId="97" xfId="0" applyFont="1" applyBorder="1" applyAlignment="1">
      <alignment horizontal="right" vertical="center" wrapText="1"/>
    </xf>
    <xf numFmtId="0" fontId="87" fillId="2" borderId="72" xfId="0" applyFont="1" applyFill="1" applyBorder="1" applyAlignment="1">
      <alignment horizontal="center" vertical="center"/>
    </xf>
    <xf numFmtId="0" fontId="62" fillId="2" borderId="72" xfId="0" quotePrefix="1" applyFont="1" applyFill="1" applyBorder="1" applyAlignment="1">
      <alignment horizontal="center" vertical="center" wrapText="1"/>
    </xf>
    <xf numFmtId="177" fontId="101" fillId="0" borderId="95" xfId="0" applyNumberFormat="1" applyFont="1" applyBorder="1"/>
    <xf numFmtId="177" fontId="118" fillId="7" borderId="95" xfId="0" applyNumberFormat="1" applyFont="1" applyFill="1" applyBorder="1" applyAlignment="1">
      <alignment horizontal="right"/>
    </xf>
    <xf numFmtId="0" fontId="169" fillId="0" borderId="105" xfId="0" applyFont="1" applyBorder="1" applyAlignment="1">
      <alignment horizontal="right" vertical="center" wrapText="1"/>
    </xf>
    <xf numFmtId="179" fontId="62" fillId="12" borderId="36" xfId="12401" applyNumberFormat="1" applyFont="1" applyFill="1" applyBorder="1"/>
    <xf numFmtId="179" fontId="62" fillId="12" borderId="2" xfId="12401" applyNumberFormat="1" applyFont="1" applyFill="1" applyBorder="1"/>
    <xf numFmtId="179" fontId="118" fillId="7" borderId="2" xfId="12401" applyNumberFormat="1" applyFont="1" applyFill="1" applyBorder="1" applyAlignment="1">
      <alignment vertical="center"/>
    </xf>
    <xf numFmtId="179" fontId="62" fillId="0" borderId="2" xfId="12401" applyNumberFormat="1" applyFont="1" applyFill="1" applyBorder="1"/>
    <xf numFmtId="179" fontId="62" fillId="12" borderId="17" xfId="12401" applyNumberFormat="1" applyFont="1" applyFill="1" applyBorder="1"/>
    <xf numFmtId="179" fontId="62" fillId="12" borderId="18" xfId="12401" applyNumberFormat="1" applyFont="1" applyFill="1" applyBorder="1"/>
    <xf numFmtId="179" fontId="118" fillId="7" borderId="0" xfId="12401" applyNumberFormat="1" applyFont="1" applyFill="1" applyBorder="1" applyAlignment="1">
      <alignment vertical="center"/>
    </xf>
    <xf numFmtId="0" fontId="62" fillId="2" borderId="71" xfId="13" applyFont="1" applyFill="1" applyBorder="1" applyAlignment="1">
      <alignment horizontal="centerContinuous" vertical="center" wrapText="1"/>
    </xf>
    <xf numFmtId="0" fontId="62" fillId="2" borderId="71" xfId="13" quotePrefix="1" applyFont="1" applyFill="1" applyBorder="1" applyAlignment="1">
      <alignment horizontal="centerContinuous" vertical="center" wrapText="1"/>
    </xf>
    <xf numFmtId="0" fontId="78" fillId="2" borderId="71" xfId="126" applyFont="1" applyFill="1" applyBorder="1" applyAlignment="1">
      <alignment horizontal="center" vertical="center"/>
    </xf>
    <xf numFmtId="179" fontId="62" fillId="12" borderId="87" xfId="12401" applyNumberFormat="1" applyFont="1" applyFill="1" applyBorder="1"/>
    <xf numFmtId="179" fontId="62" fillId="12" borderId="40" xfId="12401" applyNumberFormat="1" applyFont="1" applyFill="1" applyBorder="1"/>
    <xf numFmtId="179" fontId="62" fillId="12" borderId="0" xfId="12401" applyNumberFormat="1" applyFont="1" applyFill="1" applyBorder="1"/>
    <xf numFmtId="179" fontId="62" fillId="0" borderId="0" xfId="12401" applyNumberFormat="1" applyFont="1" applyFill="1" applyBorder="1"/>
    <xf numFmtId="179" fontId="118" fillId="7" borderId="43" xfId="12401" applyNumberFormat="1" applyFont="1" applyFill="1" applyBorder="1" applyAlignment="1">
      <alignment vertical="center"/>
    </xf>
    <xf numFmtId="179" fontId="62" fillId="12" borderId="12" xfId="12401" applyNumberFormat="1" applyFont="1" applyFill="1" applyBorder="1"/>
    <xf numFmtId="179" fontId="62" fillId="12" borderId="62" xfId="12401" applyNumberFormat="1" applyFont="1" applyFill="1" applyBorder="1"/>
    <xf numFmtId="179" fontId="118" fillId="7" borderId="48" xfId="12401" applyNumberFormat="1" applyFont="1" applyFill="1" applyBorder="1"/>
    <xf numFmtId="179" fontId="62" fillId="0" borderId="62" xfId="12401" applyNumberFormat="1" applyFont="1" applyFill="1" applyBorder="1"/>
    <xf numFmtId="179" fontId="118" fillId="7" borderId="0" xfId="12401" applyNumberFormat="1" applyFont="1" applyFill="1" applyBorder="1"/>
    <xf numFmtId="0" fontId="62" fillId="2" borderId="71" xfId="13" applyFont="1" applyFill="1" applyBorder="1" applyAlignment="1">
      <alignment horizontal="center" vertical="center" wrapText="1"/>
    </xf>
    <xf numFmtId="0" fontId="75" fillId="2" borderId="71" xfId="13" quotePrefix="1" applyFont="1" applyFill="1" applyBorder="1" applyAlignment="1">
      <alignment horizontal="centerContinuous" vertical="center" wrapText="1"/>
    </xf>
    <xf numFmtId="1" fontId="75" fillId="2" borderId="92" xfId="13" quotePrefix="1" applyNumberFormat="1" applyFont="1" applyFill="1" applyBorder="1" applyAlignment="1">
      <alignment horizontal="center" vertical="center" wrapText="1"/>
    </xf>
    <xf numFmtId="0" fontId="62" fillId="2" borderId="86" xfId="13" applyFont="1" applyFill="1" applyBorder="1" applyAlignment="1">
      <alignment horizontal="center" vertical="center" wrapText="1"/>
    </xf>
    <xf numFmtId="0" fontId="75" fillId="2" borderId="86" xfId="13" quotePrefix="1" applyFont="1" applyFill="1" applyBorder="1" applyAlignment="1">
      <alignment horizontal="centerContinuous" vertical="center" wrapText="1"/>
    </xf>
    <xf numFmtId="0" fontId="62" fillId="2" borderId="86" xfId="13" quotePrefix="1" applyFont="1" applyFill="1" applyBorder="1" applyAlignment="1">
      <alignment horizontal="centerContinuous" vertical="center" wrapText="1"/>
    </xf>
    <xf numFmtId="0" fontId="78" fillId="2" borderId="86" xfId="126" applyFont="1" applyFill="1" applyBorder="1" applyAlignment="1">
      <alignment horizontal="center" vertical="center"/>
    </xf>
    <xf numFmtId="1" fontId="75" fillId="2" borderId="101" xfId="13" quotePrefix="1" applyNumberFormat="1" applyFont="1" applyFill="1" applyBorder="1" applyAlignment="1">
      <alignment horizontal="center" vertical="center" wrapText="1"/>
    </xf>
    <xf numFmtId="179" fontId="62" fillId="12" borderId="111" xfId="12401" applyNumberFormat="1" applyFont="1" applyFill="1" applyBorder="1"/>
    <xf numFmtId="0" fontId="62" fillId="2" borderId="72" xfId="13" applyFont="1" applyFill="1" applyBorder="1" applyAlignment="1">
      <alignment horizontal="center" vertical="center" wrapText="1"/>
    </xf>
    <xf numFmtId="0" fontId="75" fillId="2" borderId="72" xfId="13" quotePrefix="1" applyFont="1" applyFill="1" applyBorder="1" applyAlignment="1">
      <alignment horizontal="centerContinuous" vertical="center" wrapText="1"/>
    </xf>
    <xf numFmtId="0" fontId="62" fillId="2" borderId="72" xfId="13" quotePrefix="1" applyFont="1" applyFill="1" applyBorder="1" applyAlignment="1">
      <alignment horizontal="centerContinuous" vertical="center" wrapText="1"/>
    </xf>
    <xf numFmtId="0" fontId="75" fillId="2" borderId="98" xfId="13" applyFont="1" applyFill="1" applyBorder="1" applyAlignment="1">
      <alignment horizontal="center" vertical="center" wrapText="1"/>
    </xf>
    <xf numFmtId="179" fontId="62" fillId="12" borderId="109" xfId="12401" applyNumberFormat="1" applyFont="1" applyFill="1" applyBorder="1"/>
    <xf numFmtId="179" fontId="62" fillId="12" borderId="95" xfId="12401" applyNumberFormat="1" applyFont="1" applyFill="1" applyBorder="1"/>
    <xf numFmtId="179" fontId="118" fillId="7" borderId="95" xfId="12401" applyNumberFormat="1" applyFont="1" applyFill="1" applyBorder="1"/>
    <xf numFmtId="179" fontId="62" fillId="0" borderId="95" xfId="12401" applyNumberFormat="1" applyFont="1" applyFill="1" applyBorder="1"/>
    <xf numFmtId="0" fontId="62" fillId="2" borderId="86" xfId="13" applyFont="1" applyFill="1" applyBorder="1" applyAlignment="1">
      <alignment horizontal="center" vertical="center"/>
    </xf>
    <xf numFmtId="9" fontId="80" fillId="2" borderId="86" xfId="12401" applyFont="1" applyFill="1" applyBorder="1" applyAlignment="1">
      <alignment horizontal="centerContinuous" vertical="center" wrapText="1"/>
    </xf>
    <xf numFmtId="0" fontId="75" fillId="2" borderId="101" xfId="13" applyFont="1" applyFill="1" applyBorder="1" applyAlignment="1">
      <alignment horizontal="center" vertical="center" wrapText="1"/>
    </xf>
    <xf numFmtId="179" fontId="118" fillId="7" borderId="62" xfId="12401" applyNumberFormat="1" applyFont="1" applyFill="1" applyBorder="1"/>
    <xf numFmtId="0" fontId="62" fillId="2" borderId="8" xfId="13" applyFont="1" applyFill="1" applyBorder="1" applyAlignment="1">
      <alignment horizontal="center" vertical="center" wrapText="1"/>
    </xf>
    <xf numFmtId="179" fontId="62" fillId="12" borderId="10" xfId="12401" applyNumberFormat="1" applyFont="1" applyFill="1" applyBorder="1"/>
    <xf numFmtId="179" fontId="62" fillId="12" borderId="3" xfId="12401" applyNumberFormat="1" applyFont="1" applyFill="1" applyBorder="1"/>
    <xf numFmtId="0" fontId="78" fillId="2" borderId="71" xfId="0" applyFont="1" applyFill="1" applyBorder="1" applyAlignment="1">
      <alignment horizontal="center"/>
    </xf>
    <xf numFmtId="0" fontId="78" fillId="2" borderId="7" xfId="0" applyFont="1" applyFill="1" applyBorder="1" applyAlignment="1">
      <alignment horizontal="center"/>
    </xf>
    <xf numFmtId="179" fontId="118" fillId="7" borderId="0" xfId="12401" applyNumberFormat="1" applyFont="1" applyFill="1" applyBorder="1" applyAlignment="1"/>
    <xf numFmtId="179" fontId="102" fillId="0" borderId="0" xfId="12" applyNumberFormat="1" applyFont="1"/>
    <xf numFmtId="0" fontId="78" fillId="2" borderId="73" xfId="0" applyFont="1" applyFill="1" applyBorder="1" applyAlignment="1">
      <alignment horizontal="center"/>
    </xf>
    <xf numFmtId="0" fontId="78" fillId="2" borderId="72" xfId="0" applyFont="1" applyFill="1" applyBorder="1" applyAlignment="1">
      <alignment horizontal="center"/>
    </xf>
    <xf numFmtId="179" fontId="62" fillId="0" borderId="97" xfId="12401" applyNumberFormat="1" applyFont="1" applyFill="1" applyBorder="1"/>
    <xf numFmtId="179" fontId="102" fillId="0" borderId="95" xfId="12" applyNumberFormat="1" applyFont="1" applyBorder="1"/>
    <xf numFmtId="0" fontId="78" fillId="2" borderId="85" xfId="0" applyFont="1" applyFill="1" applyBorder="1" applyAlignment="1">
      <alignment horizontal="center"/>
    </xf>
    <xf numFmtId="3" fontId="101" fillId="5" borderId="0" xfId="14" applyNumberFormat="1" applyFont="1" applyFill="1"/>
    <xf numFmtId="184" fontId="95" fillId="4" borderId="0" xfId="14" applyNumberFormat="1" applyFont="1" applyFill="1"/>
    <xf numFmtId="3" fontId="101" fillId="0" borderId="62" xfId="14" applyNumberFormat="1" applyFont="1" applyBorder="1"/>
    <xf numFmtId="3" fontId="101" fillId="5" borderId="18" xfId="14" applyNumberFormat="1" applyFont="1" applyFill="1" applyBorder="1"/>
    <xf numFmtId="0" fontId="57" fillId="5" borderId="18" xfId="12" applyFont="1" applyFill="1" applyBorder="1" applyAlignment="1">
      <alignment horizontal="center" vertical="center" wrapText="1"/>
    </xf>
    <xf numFmtId="4" fontId="118" fillId="7" borderId="43" xfId="14" applyNumberFormat="1" applyFont="1" applyFill="1" applyBorder="1"/>
    <xf numFmtId="4" fontId="118" fillId="7" borderId="48" xfId="14" applyNumberFormat="1" applyFont="1" applyFill="1" applyBorder="1"/>
    <xf numFmtId="0" fontId="62" fillId="2" borderId="0" xfId="12" applyFont="1" applyFill="1" applyAlignment="1">
      <alignment horizontal="centerContinuous" vertical="center" wrapText="1"/>
    </xf>
    <xf numFmtId="0" fontId="62" fillId="2" borderId="72" xfId="12" applyFont="1" applyFill="1" applyBorder="1" applyAlignment="1">
      <alignment horizontal="center" vertical="center" wrapText="1"/>
    </xf>
    <xf numFmtId="0" fontId="62" fillId="2" borderId="72" xfId="12" applyFont="1" applyFill="1" applyBorder="1" applyAlignment="1">
      <alignment horizontal="center" vertical="center"/>
    </xf>
    <xf numFmtId="4" fontId="62" fillId="0" borderId="18" xfId="14" applyNumberFormat="1" applyFont="1" applyBorder="1" applyAlignment="1">
      <alignment horizontal="right"/>
    </xf>
    <xf numFmtId="0" fontId="57" fillId="5" borderId="95" xfId="12" applyFont="1" applyFill="1" applyBorder="1" applyAlignment="1">
      <alignment horizontal="center" vertical="center" wrapText="1"/>
    </xf>
    <xf numFmtId="4" fontId="95" fillId="4" borderId="95" xfId="14" applyNumberFormat="1" applyFont="1" applyFill="1" applyBorder="1" applyAlignment="1">
      <alignment horizontal="right"/>
    </xf>
    <xf numFmtId="4" fontId="62" fillId="0" borderId="95" xfId="14" applyNumberFormat="1" applyFont="1" applyBorder="1" applyAlignment="1">
      <alignment horizontal="right"/>
    </xf>
    <xf numFmtId="1" fontId="82" fillId="2" borderId="72" xfId="12" quotePrefix="1" applyNumberFormat="1" applyFont="1" applyFill="1" applyBorder="1" applyAlignment="1">
      <alignment horizontal="center" vertical="center"/>
    </xf>
    <xf numFmtId="173" fontId="95" fillId="5" borderId="95" xfId="14" applyNumberFormat="1" applyFont="1" applyFill="1" applyBorder="1"/>
    <xf numFmtId="173" fontId="95" fillId="4" borderId="95" xfId="14" applyNumberFormat="1" applyFont="1" applyFill="1" applyBorder="1"/>
    <xf numFmtId="1" fontId="82" fillId="2" borderId="110" xfId="12" quotePrefix="1" applyNumberFormat="1" applyFont="1" applyFill="1" applyBorder="1" applyAlignment="1">
      <alignment horizontal="center" vertical="center"/>
    </xf>
    <xf numFmtId="1" fontId="82" fillId="2" borderId="93" xfId="12" quotePrefix="1" applyNumberFormat="1" applyFont="1" applyFill="1" applyBorder="1" applyAlignment="1">
      <alignment horizontal="center" vertical="center"/>
    </xf>
    <xf numFmtId="173" fontId="95" fillId="5" borderId="97" xfId="14" applyNumberFormat="1" applyFont="1" applyFill="1" applyBorder="1"/>
    <xf numFmtId="170" fontId="118" fillId="7" borderId="62" xfId="0" applyNumberFormat="1" applyFont="1" applyFill="1" applyBorder="1"/>
    <xf numFmtId="170" fontId="164" fillId="8" borderId="62" xfId="0" applyNumberFormat="1" applyFont="1" applyFill="1" applyBorder="1" applyAlignment="1">
      <alignment horizontal="center"/>
    </xf>
    <xf numFmtId="170" fontId="97" fillId="5" borderId="40" xfId="0" applyNumberFormat="1" applyFont="1" applyFill="1" applyBorder="1"/>
    <xf numFmtId="170" fontId="164" fillId="8" borderId="0" xfId="0" applyNumberFormat="1" applyFont="1" applyFill="1" applyAlignment="1">
      <alignment horizontal="center"/>
    </xf>
    <xf numFmtId="170" fontId="62" fillId="0" borderId="62" xfId="9931" applyNumberFormat="1" applyFont="1" applyBorder="1" applyAlignment="1">
      <alignment horizontal="right" vertical="center"/>
    </xf>
    <xf numFmtId="1" fontId="62" fillId="11" borderId="8" xfId="9931" applyNumberFormat="1" applyFont="1" applyFill="1" applyBorder="1" applyAlignment="1">
      <alignment horizontal="centerContinuous" vertical="center" wrapText="1"/>
    </xf>
    <xf numFmtId="0" fontId="62" fillId="2" borderId="8" xfId="9931" applyFont="1" applyFill="1" applyBorder="1" applyAlignment="1">
      <alignment horizontal="center" vertical="center" wrapText="1"/>
    </xf>
    <xf numFmtId="170" fontId="62" fillId="0" borderId="3" xfId="9931" applyNumberFormat="1" applyFont="1" applyBorder="1" applyAlignment="1">
      <alignment horizontal="right" vertical="center"/>
    </xf>
    <xf numFmtId="1" fontId="62" fillId="11" borderId="71" xfId="9931" applyNumberFormat="1" applyFont="1" applyFill="1" applyBorder="1" applyAlignment="1">
      <alignment horizontal="centerContinuous" vertical="center" wrapText="1"/>
    </xf>
    <xf numFmtId="0" fontId="62" fillId="2" borderId="71" xfId="9931" applyFont="1" applyFill="1" applyBorder="1" applyAlignment="1">
      <alignment horizontal="center" vertical="center" wrapText="1"/>
    </xf>
    <xf numFmtId="0" fontId="62" fillId="11" borderId="71" xfId="126" applyFont="1" applyFill="1" applyBorder="1"/>
    <xf numFmtId="171" fontId="62" fillId="0" borderId="62" xfId="9931" applyNumberFormat="1" applyFont="1" applyBorder="1" applyAlignment="1">
      <alignment horizontal="right" vertical="center"/>
    </xf>
    <xf numFmtId="0" fontId="62" fillId="2" borderId="7" xfId="9931" applyFont="1" applyFill="1" applyBorder="1" applyAlignment="1">
      <alignment horizontal="center" vertical="center" wrapText="1"/>
    </xf>
    <xf numFmtId="171" fontId="62" fillId="0" borderId="0" xfId="9931" applyNumberFormat="1" applyFont="1" applyAlignment="1">
      <alignment horizontal="right" vertical="center"/>
    </xf>
    <xf numFmtId="0" fontId="62" fillId="2" borderId="73" xfId="9931" applyFont="1" applyFill="1" applyBorder="1" applyAlignment="1">
      <alignment horizontal="center" vertical="center" wrapText="1"/>
    </xf>
    <xf numFmtId="0" fontId="62" fillId="11" borderId="73" xfId="126" applyFont="1" applyFill="1" applyBorder="1"/>
    <xf numFmtId="167" fontId="180" fillId="2" borderId="114" xfId="9859" applyFont="1" applyFill="1" applyBorder="1" applyAlignment="1">
      <alignment horizontal="center" vertical="center"/>
    </xf>
    <xf numFmtId="175" fontId="127" fillId="0" borderId="18" xfId="0" applyNumberFormat="1" applyFont="1" applyBorder="1"/>
    <xf numFmtId="175" fontId="127" fillId="0" borderId="95" xfId="0" applyNumberFormat="1" applyFont="1" applyBorder="1"/>
    <xf numFmtId="175" fontId="106" fillId="4" borderId="111" xfId="0" applyNumberFormat="1" applyFont="1" applyFill="1" applyBorder="1"/>
    <xf numFmtId="179" fontId="205" fillId="4" borderId="44" xfId="12401" applyNumberFormat="1" applyFont="1" applyFill="1" applyBorder="1"/>
    <xf numFmtId="171" fontId="127" fillId="0" borderId="62" xfId="0" applyNumberFormat="1" applyFont="1" applyBorder="1"/>
    <xf numFmtId="0" fontId="62" fillId="0" borderId="8" xfId="0" applyFont="1" applyBorder="1" applyAlignment="1">
      <alignment horizontal="centerContinuous" vertical="center" wrapText="1"/>
    </xf>
    <xf numFmtId="1" fontId="95" fillId="3" borderId="7" xfId="9" applyNumberFormat="1" applyFont="1" applyFill="1" applyBorder="1" applyAlignment="1" applyProtection="1">
      <alignment horizontal="centerContinuous" vertical="center" wrapText="1"/>
    </xf>
    <xf numFmtId="1" fontId="84" fillId="3" borderId="0" xfId="13" applyNumberFormat="1" applyFont="1" applyFill="1" applyAlignment="1">
      <alignment horizontal="centerContinuous" vertical="center"/>
    </xf>
    <xf numFmtId="1" fontId="95" fillId="3" borderId="0" xfId="13" applyNumberFormat="1" applyFont="1" applyFill="1" applyAlignment="1">
      <alignment horizontal="centerContinuous" vertical="center"/>
    </xf>
    <xf numFmtId="1" fontId="95" fillId="3" borderId="22" xfId="9" applyNumberFormat="1" applyFont="1" applyFill="1" applyBorder="1" applyAlignment="1" applyProtection="1">
      <alignment horizontal="centerContinuous" vertical="center" wrapText="1"/>
    </xf>
    <xf numFmtId="0" fontId="75" fillId="0" borderId="7" xfId="0" applyFont="1" applyBorder="1" applyAlignment="1">
      <alignment horizontal="centerContinuous" vertical="center" wrapText="1"/>
    </xf>
    <xf numFmtId="0" fontId="75" fillId="0" borderId="73" xfId="0" applyFont="1" applyBorder="1" applyAlignment="1">
      <alignment horizontal="centerContinuous" vertical="center" wrapText="1"/>
    </xf>
    <xf numFmtId="10" fontId="78" fillId="11" borderId="6" xfId="10594" applyNumberFormat="1" applyFont="1" applyFill="1" applyBorder="1" applyAlignment="1">
      <alignment horizontal="center"/>
    </xf>
    <xf numFmtId="10" fontId="78" fillId="11" borderId="8" xfId="10594" applyNumberFormat="1" applyFont="1" applyFill="1" applyBorder="1" applyAlignment="1">
      <alignment horizontal="center"/>
    </xf>
    <xf numFmtId="10" fontId="75" fillId="2" borderId="14" xfId="10594" applyNumberFormat="1" applyFont="1" applyFill="1" applyBorder="1" applyAlignment="1">
      <alignment horizontal="centerContinuous" vertical="center" wrapText="1"/>
    </xf>
    <xf numFmtId="0" fontId="19" fillId="11" borderId="6" xfId="10595" applyFill="1" applyBorder="1"/>
    <xf numFmtId="0" fontId="19" fillId="11" borderId="8" xfId="10595" applyFill="1" applyBorder="1"/>
    <xf numFmtId="10" fontId="62" fillId="2" borderId="14" xfId="10594" applyNumberFormat="1" applyFont="1" applyFill="1" applyBorder="1" applyAlignment="1">
      <alignment horizontal="center" vertical="center" wrapText="1"/>
    </xf>
    <xf numFmtId="0" fontId="78" fillId="2" borderId="14" xfId="10594" applyFont="1" applyFill="1" applyBorder="1" applyAlignment="1">
      <alignment horizontal="center" vertical="center"/>
    </xf>
    <xf numFmtId="10" fontId="75" fillId="2" borderId="6" xfId="10594" applyNumberFormat="1" applyFont="1" applyFill="1" applyBorder="1" applyAlignment="1">
      <alignment horizontal="center" vertical="center" wrapText="1"/>
    </xf>
    <xf numFmtId="10" fontId="75" fillId="2" borderId="8" xfId="10594" applyNumberFormat="1" applyFont="1" applyFill="1" applyBorder="1" applyAlignment="1">
      <alignment horizontal="center" vertical="center" wrapText="1"/>
    </xf>
    <xf numFmtId="2" fontId="62" fillId="0" borderId="3" xfId="10594" applyNumberFormat="1" applyFont="1" applyBorder="1" applyAlignment="1">
      <alignment horizontal="center"/>
    </xf>
    <xf numFmtId="170" fontId="213" fillId="4" borderId="46" xfId="0" applyNumberFormat="1" applyFont="1" applyFill="1" applyBorder="1"/>
    <xf numFmtId="170" fontId="214" fillId="0" borderId="18" xfId="0" applyNumberFormat="1" applyFont="1" applyBorder="1"/>
    <xf numFmtId="170" fontId="204" fillId="0" borderId="0" xfId="0" applyNumberFormat="1" applyFont="1"/>
    <xf numFmtId="0" fontId="62" fillId="2" borderId="0" xfId="0" applyFont="1" applyFill="1" applyAlignment="1">
      <alignment horizontal="center" vertical="center"/>
    </xf>
    <xf numFmtId="0" fontId="62" fillId="2" borderId="85" xfId="0" applyFont="1" applyFill="1" applyBorder="1" applyAlignment="1">
      <alignment horizontal="center" vertical="center"/>
    </xf>
    <xf numFmtId="0" fontId="19" fillId="11" borderId="0" xfId="10595" applyFill="1"/>
    <xf numFmtId="167" fontId="62" fillId="2" borderId="7" xfId="9859" applyFont="1" applyFill="1" applyBorder="1" applyAlignment="1">
      <alignment horizontal="center" vertical="center" wrapText="1"/>
    </xf>
    <xf numFmtId="167" fontId="62" fillId="2" borderId="71" xfId="9859" applyFont="1" applyFill="1" applyBorder="1" applyAlignment="1">
      <alignment horizontal="center" vertical="center" wrapText="1"/>
    </xf>
    <xf numFmtId="167" fontId="62" fillId="2" borderId="27" xfId="9859" applyFont="1" applyFill="1" applyBorder="1" applyAlignment="1">
      <alignment horizontal="center" vertical="center" wrapText="1"/>
    </xf>
    <xf numFmtId="167" fontId="62" fillId="2" borderId="8" xfId="9859" applyFont="1" applyFill="1" applyBorder="1" applyAlignment="1">
      <alignment horizontal="center" vertical="center" wrapText="1"/>
    </xf>
    <xf numFmtId="0" fontId="78" fillId="2" borderId="100" xfId="0" applyFont="1" applyFill="1" applyBorder="1" applyAlignment="1">
      <alignment horizontal="center" vertical="center"/>
    </xf>
    <xf numFmtId="0" fontId="78" fillId="2" borderId="28" xfId="0" applyFont="1" applyFill="1" applyBorder="1" applyAlignment="1">
      <alignment horizontal="center" vertical="center"/>
    </xf>
    <xf numFmtId="0" fontId="78" fillId="2" borderId="25" xfId="0" applyFont="1" applyFill="1" applyBorder="1" applyAlignment="1">
      <alignment horizontal="center" vertical="center"/>
    </xf>
    <xf numFmtId="0" fontId="78" fillId="2" borderId="21" xfId="0" applyFont="1" applyFill="1" applyBorder="1" applyAlignment="1">
      <alignment horizontal="center" vertical="center"/>
    </xf>
    <xf numFmtId="0" fontId="62" fillId="2" borderId="71" xfId="0" quotePrefix="1" applyFont="1" applyFill="1" applyBorder="1" applyAlignment="1">
      <alignment horizontal="center" vertical="center" wrapText="1"/>
    </xf>
    <xf numFmtId="0" fontId="62" fillId="2" borderId="7" xfId="0" quotePrefix="1" applyFont="1" applyFill="1" applyBorder="1" applyAlignment="1">
      <alignment horizontal="center" vertical="center" wrapText="1"/>
    </xf>
    <xf numFmtId="0" fontId="62" fillId="2" borderId="8" xfId="0" quotePrefix="1" applyFont="1" applyFill="1" applyBorder="1" applyAlignment="1">
      <alignment horizontal="center" vertical="center" wrapText="1"/>
    </xf>
    <xf numFmtId="0" fontId="78" fillId="2" borderId="20" xfId="0" applyFont="1" applyFill="1" applyBorder="1" applyAlignment="1">
      <alignment horizontal="center" vertical="center"/>
    </xf>
    <xf numFmtId="0" fontId="62" fillId="2" borderId="110" xfId="0" quotePrefix="1" applyFont="1" applyFill="1" applyBorder="1" applyAlignment="1">
      <alignment horizontal="center" vertical="center" wrapText="1"/>
    </xf>
    <xf numFmtId="0" fontId="62" fillId="2" borderId="7" xfId="10" applyFont="1" applyFill="1" applyBorder="1" applyAlignment="1">
      <alignment horizontal="center" vertical="center"/>
    </xf>
    <xf numFmtId="0" fontId="62" fillId="2" borderId="93" xfId="10" applyFont="1" applyFill="1" applyBorder="1" applyAlignment="1">
      <alignment horizontal="center" vertical="center"/>
    </xf>
    <xf numFmtId="0" fontId="62" fillId="2" borderId="72" xfId="10" applyFont="1" applyFill="1" applyBorder="1" applyAlignment="1">
      <alignment horizontal="centerContinuous" vertical="center" wrapText="1"/>
    </xf>
    <xf numFmtId="9" fontId="95" fillId="4" borderId="36" xfId="12401" applyFont="1" applyFill="1" applyBorder="1" applyAlignment="1"/>
    <xf numFmtId="9" fontId="95" fillId="4" borderId="87" xfId="12401" applyFont="1" applyFill="1" applyBorder="1" applyAlignment="1"/>
    <xf numFmtId="9" fontId="62" fillId="0" borderId="62" xfId="12401" applyFont="1" applyFill="1" applyBorder="1" applyAlignment="1"/>
    <xf numFmtId="9" fontId="158" fillId="4" borderId="40" xfId="12401" applyFont="1" applyFill="1" applyBorder="1" applyAlignment="1"/>
    <xf numFmtId="9" fontId="120" fillId="0" borderId="18" xfId="12401" applyFont="1" applyFill="1" applyBorder="1" applyAlignment="1"/>
    <xf numFmtId="9" fontId="62" fillId="0" borderId="62" xfId="12401" applyFont="1" applyFill="1" applyBorder="1"/>
    <xf numFmtId="0" fontId="57" fillId="11" borderId="0" xfId="10616" applyFill="1"/>
    <xf numFmtId="0" fontId="57" fillId="11" borderId="20" xfId="10" applyFont="1" applyFill="1" applyBorder="1"/>
    <xf numFmtId="0" fontId="57" fillId="11" borderId="18" xfId="10" applyFont="1" applyFill="1" applyBorder="1"/>
    <xf numFmtId="0" fontId="57" fillId="11" borderId="62" xfId="10" applyFont="1" applyFill="1" applyBorder="1"/>
    <xf numFmtId="0" fontId="57" fillId="2" borderId="115" xfId="10" applyFont="1" applyFill="1" applyBorder="1" applyAlignment="1">
      <alignment horizontal="centerContinuous" vertical="center"/>
    </xf>
    <xf numFmtId="0" fontId="75" fillId="2" borderId="27" xfId="10" applyFont="1" applyFill="1" applyBorder="1" applyAlignment="1">
      <alignment horizontal="centerContinuous" vertical="center" wrapText="1"/>
    </xf>
    <xf numFmtId="0" fontId="57" fillId="11" borderId="7" xfId="10" applyFont="1" applyFill="1" applyBorder="1" applyAlignment="1">
      <alignment horizontal="centerContinuous" vertical="center"/>
    </xf>
    <xf numFmtId="0" fontId="57" fillId="11" borderId="27" xfId="10" applyFont="1" applyFill="1" applyBorder="1" applyAlignment="1">
      <alignment horizontal="centerContinuous" vertical="center"/>
    </xf>
    <xf numFmtId="0" fontId="57" fillId="11" borderId="20" xfId="10616" applyFill="1" applyBorder="1"/>
    <xf numFmtId="0" fontId="57" fillId="11" borderId="7" xfId="10" applyFont="1" applyFill="1" applyBorder="1"/>
    <xf numFmtId="0" fontId="57" fillId="11" borderId="27" xfId="10" applyFont="1" applyFill="1" applyBorder="1"/>
    <xf numFmtId="0" fontId="62" fillId="2" borderId="115" xfId="10" applyFont="1" applyFill="1" applyBorder="1" applyAlignment="1">
      <alignment horizontal="centerContinuous" vertical="center" wrapText="1"/>
    </xf>
    <xf numFmtId="0" fontId="62" fillId="2" borderId="27" xfId="10" applyFont="1" applyFill="1" applyBorder="1" applyAlignment="1">
      <alignment horizontal="centerContinuous" vertical="center" wrapText="1"/>
    </xf>
    <xf numFmtId="0" fontId="57" fillId="0" borderId="0" xfId="10616"/>
    <xf numFmtId="0" fontId="57" fillId="2" borderId="116" xfId="10" applyFont="1" applyFill="1" applyBorder="1"/>
    <xf numFmtId="0" fontId="57" fillId="2" borderId="18" xfId="10" applyFont="1" applyFill="1" applyBorder="1"/>
    <xf numFmtId="0" fontId="62" fillId="2" borderId="115" xfId="10" applyFont="1" applyFill="1" applyBorder="1" applyAlignment="1">
      <alignment horizontal="centerContinuous" vertical="center"/>
    </xf>
    <xf numFmtId="0" fontId="75" fillId="2" borderId="117" xfId="10" applyFont="1" applyFill="1" applyBorder="1" applyAlignment="1">
      <alignment horizontal="centerContinuous" vertical="center" wrapText="1"/>
    </xf>
    <xf numFmtId="0" fontId="57" fillId="11" borderId="0" xfId="10" applyFont="1" applyFill="1"/>
    <xf numFmtId="0" fontId="75" fillId="2" borderId="7" xfId="10" applyFont="1" applyFill="1" applyBorder="1" applyAlignment="1">
      <alignment horizontal="centerContinuous" vertical="center" wrapText="1"/>
    </xf>
    <xf numFmtId="0" fontId="62" fillId="2" borderId="93" xfId="10" applyFont="1" applyFill="1" applyBorder="1" applyAlignment="1">
      <alignment horizontal="centerContinuous" vertical="center" wrapText="1"/>
    </xf>
    <xf numFmtId="0" fontId="57" fillId="2" borderId="28" xfId="10" applyFont="1" applyFill="1" applyBorder="1"/>
    <xf numFmtId="0" fontId="57" fillId="2" borderId="27" xfId="10" applyFont="1" applyFill="1" applyBorder="1" applyAlignment="1">
      <alignment horizontal="centerContinuous" vertical="center"/>
    </xf>
    <xf numFmtId="0" fontId="62" fillId="2" borderId="27" xfId="10" applyFont="1" applyFill="1" applyBorder="1" applyAlignment="1">
      <alignment horizontal="centerContinuous" vertical="center"/>
    </xf>
    <xf numFmtId="9" fontId="95" fillId="4" borderId="112" xfId="1471" applyFont="1" applyFill="1" applyBorder="1" applyAlignment="1"/>
    <xf numFmtId="9" fontId="95" fillId="4" borderId="87" xfId="1471" applyFont="1" applyFill="1" applyBorder="1" applyAlignment="1"/>
    <xf numFmtId="9" fontId="95" fillId="4" borderId="89" xfId="1471" applyFont="1" applyFill="1" applyBorder="1" applyAlignment="1"/>
    <xf numFmtId="172" fontId="62" fillId="8" borderId="0" xfId="11" applyNumberFormat="1" applyFont="1" applyFill="1"/>
    <xf numFmtId="9" fontId="62" fillId="0" borderId="97" xfId="1471" applyFont="1" applyFill="1" applyBorder="1" applyAlignment="1"/>
    <xf numFmtId="172" fontId="62" fillId="8" borderId="108" xfId="11" applyNumberFormat="1" applyFont="1" applyFill="1" applyBorder="1"/>
    <xf numFmtId="9" fontId="158" fillId="4" borderId="118" xfId="1471" applyFont="1" applyFill="1" applyBorder="1" applyAlignment="1"/>
    <xf numFmtId="9" fontId="120" fillId="0" borderId="119" xfId="1471" applyFont="1" applyFill="1" applyBorder="1" applyAlignment="1"/>
    <xf numFmtId="9" fontId="120" fillId="0" borderId="0" xfId="12401" applyFont="1" applyFill="1" applyBorder="1"/>
    <xf numFmtId="172" fontId="62" fillId="8" borderId="97" xfId="11" applyNumberFormat="1" applyFont="1" applyFill="1" applyBorder="1"/>
    <xf numFmtId="0" fontId="57" fillId="11" borderId="3" xfId="10" applyFont="1" applyFill="1" applyBorder="1"/>
    <xf numFmtId="0" fontId="75" fillId="2" borderId="8" xfId="10" applyFont="1" applyFill="1" applyBorder="1" applyAlignment="1">
      <alignment horizontal="centerContinuous" vertical="center" wrapText="1"/>
    </xf>
    <xf numFmtId="0" fontId="57" fillId="11" borderId="8" xfId="10" applyFont="1" applyFill="1" applyBorder="1" applyAlignment="1">
      <alignment horizontal="centerContinuous" vertical="center"/>
    </xf>
    <xf numFmtId="0" fontId="57" fillId="11" borderId="8" xfId="10" applyFont="1" applyFill="1" applyBorder="1"/>
    <xf numFmtId="9" fontId="95" fillId="4" borderId="102" xfId="1471" applyFont="1" applyFill="1" applyBorder="1" applyAlignment="1"/>
    <xf numFmtId="9" fontId="158" fillId="4" borderId="112" xfId="1471" applyFont="1" applyFill="1" applyBorder="1" applyAlignment="1"/>
    <xf numFmtId="0" fontId="78" fillId="2" borderId="120" xfId="0" applyFont="1" applyFill="1" applyBorder="1" applyAlignment="1">
      <alignment horizontal="center" vertical="center"/>
    </xf>
    <xf numFmtId="0" fontId="78" fillId="2" borderId="121" xfId="0" applyFont="1" applyFill="1" applyBorder="1" applyAlignment="1">
      <alignment horizontal="center" vertical="center"/>
    </xf>
    <xf numFmtId="0" fontId="78" fillId="2" borderId="122" xfId="0" applyFont="1" applyFill="1" applyBorder="1" applyAlignment="1">
      <alignment horizontal="center" vertical="center"/>
    </xf>
    <xf numFmtId="0" fontId="78" fillId="2" borderId="123" xfId="0" applyFont="1" applyFill="1" applyBorder="1" applyAlignment="1">
      <alignment horizontal="center" vertical="center"/>
    </xf>
    <xf numFmtId="179" fontId="57" fillId="2" borderId="0" xfId="12401" applyNumberFormat="1" applyFont="1" applyFill="1"/>
    <xf numFmtId="212" fontId="62" fillId="0" borderId="2" xfId="0" applyNumberFormat="1" applyFont="1" applyBorder="1"/>
    <xf numFmtId="181" fontId="101" fillId="0" borderId="2" xfId="0" applyNumberFormat="1" applyFont="1" applyBorder="1"/>
    <xf numFmtId="0" fontId="161" fillId="11" borderId="0" xfId="0" applyFont="1" applyFill="1"/>
    <xf numFmtId="173" fontId="127" fillId="0" borderId="0" xfId="14" applyNumberFormat="1" applyFont="1"/>
    <xf numFmtId="174" fontId="87" fillId="5" borderId="2" xfId="0" applyNumberFormat="1" applyFont="1" applyFill="1" applyBorder="1" applyAlignment="1">
      <alignment horizontal="center"/>
    </xf>
    <xf numFmtId="174" fontId="87" fillId="5" borderId="97" xfId="0" applyNumberFormat="1" applyFont="1" applyFill="1" applyBorder="1" applyAlignment="1">
      <alignment horizontal="center"/>
    </xf>
    <xf numFmtId="9" fontId="62" fillId="8" borderId="62" xfId="12401" applyFont="1" applyFill="1" applyBorder="1" applyAlignment="1"/>
    <xf numFmtId="9" fontId="120" fillId="8" borderId="18" xfId="12401" applyFont="1" applyFill="1" applyBorder="1" applyAlignment="1"/>
    <xf numFmtId="3" fontId="57" fillId="2" borderId="0" xfId="126" applyNumberFormat="1" applyFill="1"/>
    <xf numFmtId="171" fontId="62" fillId="0" borderId="63" xfId="9842" applyNumberFormat="1" applyFont="1" applyBorder="1" applyAlignment="1">
      <alignment horizontal="right"/>
    </xf>
    <xf numFmtId="0" fontId="57" fillId="2" borderId="3" xfId="16" applyFill="1" applyBorder="1"/>
    <xf numFmtId="0" fontId="75" fillId="2" borderId="14" xfId="16" applyFont="1" applyFill="1" applyBorder="1" applyAlignment="1">
      <alignment horizontal="centerContinuous" vertical="center" wrapText="1"/>
    </xf>
    <xf numFmtId="1" fontId="75" fillId="2" borderId="7" xfId="9" applyNumberFormat="1" applyFont="1" applyFill="1" applyBorder="1" applyAlignment="1" applyProtection="1">
      <alignment horizontal="centerContinuous" vertical="center" wrapText="1"/>
    </xf>
    <xf numFmtId="1" fontId="75" fillId="2" borderId="8" xfId="9" applyNumberFormat="1" applyFont="1" applyFill="1" applyBorder="1" applyAlignment="1" applyProtection="1">
      <alignment horizontal="centerContinuous" vertical="center" wrapText="1"/>
    </xf>
    <xf numFmtId="1" fontId="77" fillId="0" borderId="7" xfId="9" applyNumberFormat="1" applyFont="1" applyFill="1" applyBorder="1" applyAlignment="1" applyProtection="1">
      <alignment horizontal="centerContinuous" vertical="center" wrapText="1"/>
    </xf>
    <xf numFmtId="0" fontId="75" fillId="0" borderId="7" xfId="16" applyFont="1" applyBorder="1" applyAlignment="1">
      <alignment horizontal="centerContinuous" vertical="center" wrapText="1"/>
    </xf>
    <xf numFmtId="0" fontId="75" fillId="0" borderId="8" xfId="16" applyFont="1" applyBorder="1" applyAlignment="1">
      <alignment horizontal="centerContinuous" vertical="center" wrapText="1"/>
    </xf>
    <xf numFmtId="1" fontId="99" fillId="11" borderId="0" xfId="9" applyNumberFormat="1" applyFont="1" applyFill="1" applyBorder="1" applyAlignment="1" applyProtection="1">
      <alignment horizontal="center" vertical="center"/>
    </xf>
    <xf numFmtId="1" fontId="100" fillId="11" borderId="27" xfId="9" applyNumberFormat="1" applyFont="1" applyFill="1" applyBorder="1" applyAlignment="1" applyProtection="1">
      <alignment horizontal="center" vertical="center" wrapText="1"/>
    </xf>
    <xf numFmtId="1" fontId="99" fillId="11" borderId="3" xfId="9" applyNumberFormat="1" applyFont="1" applyFill="1" applyBorder="1" applyAlignment="1" applyProtection="1">
      <alignment horizontal="center" vertical="center"/>
    </xf>
    <xf numFmtId="0" fontId="62" fillId="0" borderId="72" xfId="16" applyFont="1" applyBorder="1" applyAlignment="1">
      <alignment horizontal="centerContinuous" vertical="center" wrapText="1"/>
    </xf>
    <xf numFmtId="0" fontId="62" fillId="0" borderId="72" xfId="16" applyFont="1" applyBorder="1" applyAlignment="1">
      <alignment horizontal="center" vertical="center" wrapText="1"/>
    </xf>
    <xf numFmtId="0" fontId="62" fillId="0" borderId="7" xfId="16" applyFont="1" applyBorder="1" applyAlignment="1">
      <alignment horizontal="center" vertical="center" wrapText="1"/>
    </xf>
    <xf numFmtId="0" fontId="62" fillId="0" borderId="86" xfId="16" applyFont="1" applyBorder="1" applyAlignment="1">
      <alignment horizontal="center" vertical="center" wrapText="1"/>
    </xf>
    <xf numFmtId="0" fontId="62" fillId="0" borderId="72" xfId="16" quotePrefix="1" applyFont="1" applyBorder="1" applyAlignment="1">
      <alignment horizontal="center" vertical="center" wrapText="1"/>
    </xf>
    <xf numFmtId="0" fontId="62" fillId="11" borderId="72" xfId="16" applyFont="1" applyFill="1" applyBorder="1" applyAlignment="1">
      <alignment horizontal="center" vertical="center" wrapText="1"/>
    </xf>
    <xf numFmtId="0" fontId="62" fillId="11" borderId="7" xfId="16" applyFont="1" applyFill="1" applyBorder="1" applyAlignment="1">
      <alignment horizontal="center" vertical="center" wrapText="1"/>
    </xf>
    <xf numFmtId="0" fontId="62" fillId="11" borderId="71" xfId="16" applyFont="1" applyFill="1" applyBorder="1" applyAlignment="1">
      <alignment horizontal="center" vertical="center" wrapText="1"/>
    </xf>
    <xf numFmtId="0" fontId="62" fillId="11" borderId="73" xfId="16" applyFont="1" applyFill="1" applyBorder="1" applyAlignment="1">
      <alignment horizontal="center" vertical="center" wrapText="1"/>
    </xf>
    <xf numFmtId="0" fontId="57" fillId="2" borderId="62" xfId="16" applyFill="1" applyBorder="1"/>
    <xf numFmtId="0" fontId="57" fillId="2" borderId="64" xfId="16" applyFill="1" applyBorder="1"/>
    <xf numFmtId="0" fontId="78" fillId="0" borderId="72" xfId="16" applyFont="1" applyBorder="1" applyAlignment="1">
      <alignment horizontal="center" vertical="center"/>
    </xf>
    <xf numFmtId="0" fontId="75" fillId="2" borderId="98" xfId="16" applyFont="1" applyFill="1" applyBorder="1" applyAlignment="1">
      <alignment horizontal="center" vertical="center" wrapText="1"/>
    </xf>
    <xf numFmtId="0" fontId="62" fillId="2" borderId="98" xfId="16" applyFont="1" applyFill="1" applyBorder="1"/>
    <xf numFmtId="0" fontId="62" fillId="2" borderId="23" xfId="16" applyFont="1" applyFill="1" applyBorder="1"/>
    <xf numFmtId="0" fontId="62" fillId="2" borderId="92" xfId="16" applyFont="1" applyFill="1" applyBorder="1"/>
    <xf numFmtId="0" fontId="62" fillId="2" borderId="103" xfId="16" applyFont="1" applyFill="1" applyBorder="1"/>
    <xf numFmtId="0" fontId="62" fillId="2" borderId="22" xfId="16" applyFont="1" applyFill="1" applyBorder="1"/>
    <xf numFmtId="0" fontId="62" fillId="2" borderId="101" xfId="16" applyFont="1" applyFill="1" applyBorder="1"/>
    <xf numFmtId="0" fontId="62" fillId="2" borderId="30" xfId="16" applyFont="1" applyFill="1" applyBorder="1"/>
    <xf numFmtId="2" fontId="62" fillId="0" borderId="3" xfId="16" applyNumberFormat="1" applyFont="1" applyBorder="1" applyAlignment="1">
      <alignment horizontal="center"/>
    </xf>
    <xf numFmtId="175" fontId="95" fillId="4" borderId="109" xfId="16" applyNumberFormat="1" applyFont="1" applyFill="1" applyBorder="1"/>
    <xf numFmtId="175" fontId="95" fillId="4" borderId="40" xfId="16" applyNumberFormat="1" applyFont="1" applyFill="1" applyBorder="1"/>
    <xf numFmtId="175" fontId="95" fillId="4" borderId="87" xfId="16" applyNumberFormat="1" applyFont="1" applyFill="1" applyBorder="1"/>
    <xf numFmtId="170" fontId="62" fillId="5" borderId="62" xfId="16" applyNumberFormat="1" applyFont="1" applyFill="1" applyBorder="1"/>
    <xf numFmtId="170" fontId="62" fillId="5" borderId="64" xfId="16" applyNumberFormat="1" applyFont="1" applyFill="1" applyBorder="1"/>
    <xf numFmtId="170" fontId="62" fillId="0" borderId="95" xfId="16" applyNumberFormat="1" applyFont="1" applyBorder="1" applyAlignment="1">
      <alignment horizontal="right" vertical="center"/>
    </xf>
    <xf numFmtId="175" fontId="62" fillId="0" borderId="95" xfId="16" applyNumberFormat="1" applyFont="1" applyBorder="1"/>
    <xf numFmtId="175" fontId="62" fillId="0" borderId="0" xfId="16" applyNumberFormat="1" applyFont="1"/>
    <xf numFmtId="175" fontId="120" fillId="0" borderId="62" xfId="16" applyNumberFormat="1" applyFont="1" applyBorder="1"/>
    <xf numFmtId="2" fontId="62" fillId="0" borderId="3" xfId="16" quotePrefix="1" applyNumberFormat="1" applyFont="1" applyBorder="1" applyAlignment="1">
      <alignment horizontal="center"/>
    </xf>
    <xf numFmtId="0" fontId="57" fillId="0" borderId="0" xfId="16"/>
    <xf numFmtId="171" fontId="62" fillId="0" borderId="3" xfId="9931" applyNumberFormat="1" applyFont="1" applyBorder="1" applyAlignment="1">
      <alignment horizontal="right" vertical="center"/>
    </xf>
    <xf numFmtId="175" fontId="62" fillId="0" borderId="124" xfId="0" applyNumberFormat="1" applyFont="1" applyBorder="1"/>
    <xf numFmtId="175" fontId="0" fillId="11" borderId="0" xfId="0" applyNumberFormat="1" applyFill="1"/>
    <xf numFmtId="1" fontId="78" fillId="2" borderId="72" xfId="0" applyNumberFormat="1" applyFont="1" applyFill="1" applyBorder="1" applyAlignment="1">
      <alignment horizontal="center" vertical="center"/>
    </xf>
    <xf numFmtId="1" fontId="78" fillId="2" borderId="85" xfId="0" applyNumberFormat="1" applyFont="1" applyFill="1" applyBorder="1" applyAlignment="1">
      <alignment horizontal="center" vertical="center"/>
    </xf>
    <xf numFmtId="1" fontId="78" fillId="2" borderId="93" xfId="0" applyNumberFormat="1" applyFont="1" applyFill="1" applyBorder="1" applyAlignment="1">
      <alignment horizontal="center" vertical="center"/>
    </xf>
    <xf numFmtId="1" fontId="78" fillId="2" borderId="73" xfId="0" applyNumberFormat="1" applyFont="1" applyFill="1" applyBorder="1" applyAlignment="1">
      <alignment horizontal="center" vertical="center"/>
    </xf>
    <xf numFmtId="0" fontId="60" fillId="2" borderId="0" xfId="0" applyFont="1" applyFill="1" applyAlignment="1">
      <alignment vertical="center"/>
    </xf>
    <xf numFmtId="0" fontId="62" fillId="11" borderId="7" xfId="0" applyFont="1" applyFill="1" applyBorder="1" applyAlignment="1">
      <alignment horizontal="centerContinuous" vertical="center" wrapText="1"/>
    </xf>
    <xf numFmtId="0" fontId="62" fillId="11" borderId="27" xfId="0" applyFont="1" applyFill="1" applyBorder="1" applyAlignment="1">
      <alignment horizontal="centerContinuous" vertical="center" wrapText="1"/>
    </xf>
    <xf numFmtId="0" fontId="62" fillId="11" borderId="8" xfId="0" applyFont="1" applyFill="1" applyBorder="1" applyAlignment="1">
      <alignment horizontal="centerContinuous" vertical="center" wrapText="1"/>
    </xf>
    <xf numFmtId="10" fontId="62" fillId="8" borderId="97" xfId="12401" applyNumberFormat="1" applyFont="1" applyFill="1" applyBorder="1" applyAlignment="1"/>
    <xf numFmtId="49" fontId="78" fillId="2" borderId="7" xfId="0" applyNumberFormat="1" applyFont="1" applyFill="1" applyBorder="1" applyAlignment="1">
      <alignment horizontal="center" vertical="center"/>
    </xf>
    <xf numFmtId="10" fontId="79" fillId="0" borderId="0" xfId="0" applyNumberFormat="1" applyFont="1"/>
    <xf numFmtId="0" fontId="62" fillId="2" borderId="62" xfId="0" applyFont="1" applyFill="1" applyBorder="1" applyAlignment="1">
      <alignment vertical="center"/>
    </xf>
    <xf numFmtId="10" fontId="62" fillId="8" borderId="95" xfId="12401" applyNumberFormat="1" applyFont="1" applyFill="1" applyBorder="1" applyAlignment="1"/>
    <xf numFmtId="10" fontId="62" fillId="0" borderId="95" xfId="12401" applyNumberFormat="1" applyFont="1" applyFill="1" applyBorder="1"/>
    <xf numFmtId="1" fontId="78" fillId="2" borderId="86" xfId="0" applyNumberFormat="1" applyFont="1" applyFill="1" applyBorder="1" applyAlignment="1">
      <alignment horizontal="center" vertical="center"/>
    </xf>
    <xf numFmtId="10" fontId="221" fillId="2" borderId="20" xfId="0" applyNumberFormat="1" applyFont="1" applyFill="1" applyBorder="1" applyAlignment="1">
      <alignment horizontal="center"/>
    </xf>
    <xf numFmtId="2" fontId="62" fillId="0" borderId="63" xfId="9860" applyNumberFormat="1" applyFont="1" applyBorder="1" applyAlignment="1">
      <alignment horizontal="center" vertical="center" wrapText="1"/>
    </xf>
    <xf numFmtId="0" fontId="75" fillId="0" borderId="85" xfId="0" applyFont="1" applyBorder="1" applyAlignment="1">
      <alignment horizontal="center" vertical="center" wrapText="1"/>
    </xf>
    <xf numFmtId="1" fontId="100" fillId="11" borderId="7" xfId="9" applyNumberFormat="1" applyFont="1" applyFill="1" applyBorder="1" applyAlignment="1" applyProtection="1">
      <alignment horizontal="centerContinuous" vertical="center" wrapText="1"/>
    </xf>
    <xf numFmtId="170" fontId="62" fillId="0" borderId="64" xfId="0" applyNumberFormat="1" applyFont="1" applyBorder="1"/>
    <xf numFmtId="2" fontId="221" fillId="2" borderId="20" xfId="0" applyNumberFormat="1" applyFont="1" applyFill="1" applyBorder="1" applyAlignment="1">
      <alignment horizontal="center"/>
    </xf>
    <xf numFmtId="2" fontId="78" fillId="2" borderId="7" xfId="0" applyNumberFormat="1" applyFont="1" applyFill="1" applyBorder="1" applyAlignment="1">
      <alignment horizontal="center"/>
    </xf>
    <xf numFmtId="2" fontId="78" fillId="2" borderId="71" xfId="0" applyNumberFormat="1" applyFont="1" applyFill="1" applyBorder="1" applyAlignment="1">
      <alignment horizontal="center" vertical="center"/>
    </xf>
    <xf numFmtId="2" fontId="78" fillId="2" borderId="6" xfId="0" applyNumberFormat="1" applyFont="1" applyFill="1" applyBorder="1" applyAlignment="1">
      <alignment horizontal="center"/>
    </xf>
    <xf numFmtId="2" fontId="95" fillId="5" borderId="125" xfId="0" applyNumberFormat="1" applyFont="1" applyFill="1" applyBorder="1"/>
    <xf numFmtId="2" fontId="95" fillId="5" borderId="105" xfId="0" applyNumberFormat="1" applyFont="1" applyFill="1" applyBorder="1"/>
    <xf numFmtId="2" fontId="95" fillId="4" borderId="2" xfId="0" applyNumberFormat="1" applyFont="1" applyFill="1" applyBorder="1"/>
    <xf numFmtId="2" fontId="62" fillId="0" borderId="2" xfId="0" applyNumberFormat="1" applyFont="1" applyBorder="1"/>
    <xf numFmtId="2" fontId="222" fillId="2" borderId="38" xfId="0" applyNumberFormat="1" applyFont="1" applyFill="1" applyBorder="1" applyAlignment="1">
      <alignment horizontal="center"/>
    </xf>
    <xf numFmtId="0" fontId="57" fillId="2" borderId="3" xfId="13" applyFont="1" applyFill="1" applyBorder="1" applyAlignment="1">
      <alignment vertical="center"/>
    </xf>
    <xf numFmtId="0" fontId="57" fillId="2" borderId="0" xfId="13" applyFont="1" applyFill="1" applyAlignment="1">
      <alignment horizontal="centerContinuous" vertical="center"/>
    </xf>
    <xf numFmtId="0" fontId="57" fillId="2" borderId="3" xfId="13" applyFont="1" applyFill="1" applyBorder="1" applyAlignment="1">
      <alignment horizontal="centerContinuous" vertical="center"/>
    </xf>
    <xf numFmtId="10" fontId="62" fillId="2" borderId="71" xfId="12393" applyNumberFormat="1" applyFont="1" applyFill="1" applyBorder="1" applyAlignment="1">
      <alignment horizontal="center" vertical="center"/>
    </xf>
    <xf numFmtId="10" fontId="62" fillId="2" borderId="7" xfId="12393" applyNumberFormat="1" applyFont="1" applyFill="1" applyBorder="1" applyAlignment="1">
      <alignment horizontal="center" vertical="center"/>
    </xf>
    <xf numFmtId="10" fontId="62" fillId="2" borderId="129" xfId="12393" applyNumberFormat="1" applyFont="1" applyFill="1" applyBorder="1" applyAlignment="1">
      <alignment horizontal="center" vertical="center"/>
    </xf>
    <xf numFmtId="10" fontId="62" fillId="2" borderId="128" xfId="12393" applyNumberFormat="1" applyFont="1" applyFill="1" applyBorder="1" applyAlignment="1">
      <alignment horizontal="center" vertical="center"/>
    </xf>
    <xf numFmtId="0" fontId="62" fillId="2" borderId="130" xfId="16" applyFont="1" applyFill="1" applyBorder="1" applyAlignment="1">
      <alignment horizontal="center" vertical="center" wrapText="1"/>
    </xf>
    <xf numFmtId="0" fontId="62" fillId="2" borderId="72" xfId="16" applyFont="1" applyFill="1" applyBorder="1" applyAlignment="1">
      <alignment horizontal="center" vertical="center" wrapText="1"/>
    </xf>
    <xf numFmtId="0" fontId="62" fillId="2" borderId="129" xfId="16" applyFont="1" applyFill="1" applyBorder="1" applyAlignment="1">
      <alignment horizontal="center" vertical="center" wrapText="1"/>
    </xf>
    <xf numFmtId="0" fontId="62" fillId="2" borderId="128" xfId="16" applyFont="1" applyFill="1" applyBorder="1" applyAlignment="1">
      <alignment horizontal="center" vertical="center" wrapText="1"/>
    </xf>
    <xf numFmtId="0" fontId="78" fillId="2" borderId="71" xfId="16" applyFont="1" applyFill="1" applyBorder="1" applyAlignment="1">
      <alignment horizontal="center" vertical="center"/>
    </xf>
    <xf numFmtId="0" fontId="78" fillId="2" borderId="7" xfId="16" applyFont="1" applyFill="1" applyBorder="1" applyAlignment="1">
      <alignment horizontal="center" vertical="center"/>
    </xf>
    <xf numFmtId="0" fontId="78" fillId="2" borderId="85" xfId="16" applyFont="1" applyFill="1" applyBorder="1" applyAlignment="1">
      <alignment horizontal="center" vertical="center"/>
    </xf>
    <xf numFmtId="0" fontId="75" fillId="2" borderId="131" xfId="13" quotePrefix="1" applyFont="1" applyFill="1" applyBorder="1" applyAlignment="1">
      <alignment horizontal="center" vertical="center" wrapText="1"/>
    </xf>
    <xf numFmtId="172" fontId="95" fillId="5" borderId="12" xfId="13" applyNumberFormat="1" applyFont="1" applyFill="1" applyBorder="1"/>
    <xf numFmtId="172" fontId="95" fillId="5" borderId="62" xfId="13" applyNumberFormat="1" applyFont="1" applyFill="1" applyBorder="1"/>
    <xf numFmtId="172" fontId="95" fillId="5" borderId="0" xfId="13" applyNumberFormat="1" applyFont="1" applyFill="1"/>
    <xf numFmtId="172" fontId="95" fillId="5" borderId="132" xfId="13" applyNumberFormat="1" applyFont="1" applyFill="1" applyBorder="1"/>
    <xf numFmtId="172" fontId="95" fillId="5" borderId="102" xfId="13" applyNumberFormat="1" applyFont="1" applyFill="1" applyBorder="1"/>
    <xf numFmtId="0" fontId="57" fillId="0" borderId="0" xfId="13" applyFont="1"/>
    <xf numFmtId="10" fontId="62" fillId="5" borderId="62" xfId="13" applyNumberFormat="1" applyFont="1" applyFill="1" applyBorder="1"/>
    <xf numFmtId="10" fontId="62" fillId="5" borderId="0" xfId="13" applyNumberFormat="1" applyFont="1" applyFill="1"/>
    <xf numFmtId="172" fontId="95" fillId="5" borderId="133" xfId="13" applyNumberFormat="1" applyFont="1" applyFill="1" applyBorder="1"/>
    <xf numFmtId="10" fontId="62" fillId="5" borderId="132" xfId="13" applyNumberFormat="1" applyFont="1" applyFill="1" applyBorder="1"/>
    <xf numFmtId="10" fontId="62" fillId="5" borderId="133" xfId="13" applyNumberFormat="1" applyFont="1" applyFill="1" applyBorder="1"/>
    <xf numFmtId="4" fontId="172" fillId="4" borderId="0" xfId="13" applyNumberFormat="1" applyFont="1" applyFill="1"/>
    <xf numFmtId="2" fontId="101" fillId="0" borderId="62" xfId="13" applyNumberFormat="1" applyFont="1" applyBorder="1"/>
    <xf numFmtId="4" fontId="118" fillId="4" borderId="0" xfId="13" applyNumberFormat="1" applyFont="1" applyFill="1"/>
    <xf numFmtId="4" fontId="118" fillId="4" borderId="134" xfId="13" applyNumberFormat="1" applyFont="1" applyFill="1" applyBorder="1"/>
    <xf numFmtId="2" fontId="62" fillId="0" borderId="62" xfId="13" applyNumberFormat="1" applyFont="1" applyBorder="1"/>
    <xf numFmtId="2" fontId="62" fillId="0" borderId="0" xfId="13" applyNumberFormat="1" applyFont="1"/>
    <xf numFmtId="2" fontId="62" fillId="0" borderId="3" xfId="13" applyNumberFormat="1" applyFont="1" applyBorder="1"/>
    <xf numFmtId="1" fontId="62" fillId="0" borderId="0" xfId="13" applyNumberFormat="1" applyFont="1"/>
    <xf numFmtId="0" fontId="62" fillId="0" borderId="0" xfId="13" applyFont="1"/>
    <xf numFmtId="0" fontId="57" fillId="11" borderId="0" xfId="13" applyFont="1" applyFill="1" applyAlignment="1">
      <alignment vertical="center"/>
    </xf>
    <xf numFmtId="0" fontId="57" fillId="11" borderId="0" xfId="13" applyFont="1" applyFill="1" applyAlignment="1">
      <alignment vertical="center" wrapText="1"/>
    </xf>
    <xf numFmtId="0" fontId="57" fillId="11" borderId="0" xfId="13" applyFont="1" applyFill="1"/>
    <xf numFmtId="4" fontId="118" fillId="4" borderId="3" xfId="13" applyNumberFormat="1" applyFont="1" applyFill="1" applyBorder="1"/>
    <xf numFmtId="0" fontId="62" fillId="0" borderId="128" xfId="13" applyFont="1" applyBorder="1" applyAlignment="1">
      <alignment horizontal="center" vertical="center" wrapText="1"/>
    </xf>
    <xf numFmtId="171" fontId="223" fillId="0" borderId="62" xfId="9931" applyNumberFormat="1" applyFont="1" applyBorder="1" applyAlignment="1">
      <alignment horizontal="right" vertical="center"/>
    </xf>
    <xf numFmtId="171" fontId="223" fillId="0" borderId="0" xfId="9931" applyNumberFormat="1" applyFont="1" applyAlignment="1">
      <alignment horizontal="right" vertical="center"/>
    </xf>
    <xf numFmtId="179" fontId="118" fillId="7" borderId="97" xfId="12401" applyNumberFormat="1" applyFont="1" applyFill="1" applyBorder="1"/>
    <xf numFmtId="179" fontId="95" fillId="4" borderId="2" xfId="12401" applyNumberFormat="1" applyFont="1" applyFill="1" applyBorder="1" applyAlignment="1"/>
    <xf numFmtId="179" fontId="62" fillId="0" borderId="0" xfId="12401" applyNumberFormat="1" applyFont="1" applyBorder="1" applyAlignment="1"/>
    <xf numFmtId="0" fontId="127" fillId="11" borderId="7" xfId="9842" applyFont="1" applyFill="1" applyBorder="1" applyAlignment="1">
      <alignment horizontal="center" vertical="center" wrapText="1"/>
    </xf>
    <xf numFmtId="0" fontId="127" fillId="11" borderId="71" xfId="9842" applyFont="1" applyFill="1" applyBorder="1" applyAlignment="1">
      <alignment horizontal="center" vertical="center" wrapText="1"/>
    </xf>
    <xf numFmtId="0" fontId="127" fillId="11" borderId="8" xfId="9842" applyFont="1" applyFill="1" applyBorder="1" applyAlignment="1">
      <alignment horizontal="center" vertical="center" wrapText="1"/>
    </xf>
    <xf numFmtId="0" fontId="75" fillId="2" borderId="14" xfId="12" applyFont="1" applyFill="1" applyBorder="1" applyAlignment="1">
      <alignment horizontal="centerContinuous" vertical="center" wrapText="1"/>
    </xf>
    <xf numFmtId="171" fontId="127" fillId="0" borderId="3" xfId="9931" applyNumberFormat="1" applyFont="1" applyBorder="1" applyAlignment="1">
      <alignment horizontal="right" vertical="center"/>
    </xf>
    <xf numFmtId="0" fontId="184" fillId="11" borderId="0" xfId="126" applyFont="1" applyFill="1"/>
    <xf numFmtId="171" fontId="101" fillId="0" borderId="64" xfId="0" applyNumberFormat="1" applyFont="1" applyBorder="1"/>
    <xf numFmtId="0" fontId="225" fillId="0" borderId="0" xfId="0" applyFont="1" applyAlignment="1">
      <alignment vertical="center"/>
    </xf>
    <xf numFmtId="174" fontId="87" fillId="5" borderId="0" xfId="0" applyNumberFormat="1" applyFont="1" applyFill="1" applyAlignment="1">
      <alignment horizontal="center"/>
    </xf>
    <xf numFmtId="174" fontId="87" fillId="5" borderId="95" xfId="0" applyNumberFormat="1" applyFont="1" applyFill="1" applyBorder="1" applyAlignment="1">
      <alignment horizontal="center"/>
    </xf>
    <xf numFmtId="1" fontId="227" fillId="3" borderId="7" xfId="13" applyNumberFormat="1" applyFont="1" applyFill="1" applyBorder="1" applyAlignment="1">
      <alignment horizontal="center" vertical="center"/>
    </xf>
    <xf numFmtId="0" fontId="161" fillId="2" borderId="0" xfId="0" applyFont="1" applyFill="1"/>
    <xf numFmtId="170" fontId="62" fillId="0" borderId="95" xfId="0" applyNumberFormat="1" applyFont="1" applyBorder="1" applyAlignment="1">
      <alignment horizontal="right" vertical="center"/>
    </xf>
    <xf numFmtId="170" fontId="62" fillId="0" borderId="97" xfId="0" applyNumberFormat="1" applyFont="1" applyBorder="1" applyAlignment="1">
      <alignment horizontal="right" vertical="center"/>
    </xf>
    <xf numFmtId="170" fontId="62" fillId="0" borderId="105" xfId="0" applyNumberFormat="1" applyFont="1" applyBorder="1" applyAlignment="1">
      <alignment horizontal="right" vertical="center"/>
    </xf>
    <xf numFmtId="170" fontId="62" fillId="0" borderId="62" xfId="0" applyNumberFormat="1" applyFont="1" applyBorder="1" applyAlignment="1">
      <alignment horizontal="right"/>
    </xf>
    <xf numFmtId="170" fontId="62" fillId="0" borderId="62" xfId="0" applyNumberFormat="1" applyFont="1" applyBorder="1" applyAlignment="1">
      <alignment horizontal="right" vertical="center"/>
    </xf>
    <xf numFmtId="170" fontId="62" fillId="0" borderId="0" xfId="0" applyNumberFormat="1" applyFont="1" applyAlignment="1">
      <alignment horizontal="right"/>
    </xf>
    <xf numFmtId="170" fontId="62" fillId="0" borderId="0" xfId="0" applyNumberFormat="1" applyFont="1" applyAlignment="1">
      <alignment horizontal="right" vertical="center"/>
    </xf>
    <xf numFmtId="1" fontId="99" fillId="11" borderId="27" xfId="9" applyNumberFormat="1" applyFont="1" applyFill="1" applyBorder="1" applyAlignment="1" applyProtection="1">
      <alignment horizontal="center" vertical="center"/>
    </xf>
    <xf numFmtId="0" fontId="62" fillId="0" borderId="7" xfId="16" applyFont="1" applyBorder="1" applyAlignment="1">
      <alignment horizontal="centerContinuous" vertical="center" wrapText="1"/>
    </xf>
    <xf numFmtId="0" fontId="62" fillId="0" borderId="7" xfId="16" quotePrefix="1" applyFont="1" applyBorder="1" applyAlignment="1">
      <alignment horizontal="center" vertical="center" wrapText="1"/>
    </xf>
    <xf numFmtId="0" fontId="78" fillId="0" borderId="7" xfId="16" applyFont="1" applyBorder="1" applyAlignment="1">
      <alignment horizontal="center" vertical="center"/>
    </xf>
    <xf numFmtId="0" fontId="75" fillId="2" borderId="23" xfId="16" applyFont="1" applyFill="1" applyBorder="1" applyAlignment="1">
      <alignment horizontal="center" vertical="center" wrapText="1"/>
    </xf>
    <xf numFmtId="170" fontId="62" fillId="8" borderId="40" xfId="16" applyNumberFormat="1" applyFont="1" applyFill="1" applyBorder="1" applyAlignment="1">
      <alignment horizontal="right" vertical="center"/>
    </xf>
    <xf numFmtId="170" fontId="62" fillId="8" borderId="0" xfId="16" applyNumberFormat="1" applyFont="1" applyFill="1" applyAlignment="1">
      <alignment horizontal="right" vertical="center"/>
    </xf>
    <xf numFmtId="171" fontId="223" fillId="0" borderId="64" xfId="9931" applyNumberFormat="1" applyFont="1" applyBorder="1" applyAlignment="1">
      <alignment horizontal="right" vertical="center"/>
    </xf>
    <xf numFmtId="0" fontId="127" fillId="11" borderId="25" xfId="9842" applyFont="1" applyFill="1" applyBorder="1"/>
    <xf numFmtId="10" fontId="57" fillId="11" borderId="0" xfId="12401" applyNumberFormat="1" applyFont="1" applyFill="1"/>
    <xf numFmtId="170" fontId="75" fillId="71" borderId="18" xfId="0" applyNumberFormat="1" applyFont="1" applyFill="1" applyBorder="1"/>
    <xf numFmtId="196" fontId="75" fillId="71" borderId="0" xfId="89" applyNumberFormat="1" applyFont="1" applyFill="1" applyAlignment="1">
      <alignment horizontal="center"/>
    </xf>
    <xf numFmtId="196" fontId="62" fillId="71" borderId="0" xfId="89" applyNumberFormat="1" applyFont="1" applyFill="1" applyAlignment="1">
      <alignment horizontal="center"/>
    </xf>
    <xf numFmtId="10" fontId="86" fillId="11" borderId="0" xfId="12401" applyNumberFormat="1" applyFont="1" applyFill="1" applyAlignment="1">
      <alignment horizontal="center"/>
    </xf>
    <xf numFmtId="211" fontId="86" fillId="11" borderId="0" xfId="12401" applyNumberFormat="1" applyFont="1" applyFill="1" applyAlignment="1">
      <alignment horizontal="center"/>
    </xf>
    <xf numFmtId="170" fontId="127" fillId="0" borderId="95" xfId="215" applyNumberFormat="1" applyFont="1" applyBorder="1"/>
    <xf numFmtId="170" fontId="127" fillId="0" borderId="3" xfId="215" applyNumberFormat="1" applyFont="1" applyBorder="1"/>
    <xf numFmtId="170" fontId="62" fillId="0" borderId="95" xfId="0" applyNumberFormat="1" applyFont="1" applyBorder="1"/>
    <xf numFmtId="0" fontId="75" fillId="2" borderId="20" xfId="0" applyFont="1" applyFill="1" applyBorder="1" applyAlignment="1">
      <alignment horizontal="centerContinuous" vertical="center" wrapText="1"/>
    </xf>
    <xf numFmtId="0" fontId="75" fillId="2" borderId="25" xfId="0" applyFont="1" applyFill="1" applyBorder="1" applyAlignment="1">
      <alignment horizontal="centerContinuous" vertical="center" wrapText="1"/>
    </xf>
    <xf numFmtId="1" fontId="62" fillId="0" borderId="71" xfId="0" applyNumberFormat="1" applyFont="1" applyBorder="1" applyAlignment="1">
      <alignment horizontal="center" vertical="center" wrapText="1"/>
    </xf>
    <xf numFmtId="1" fontId="62" fillId="0" borderId="27" xfId="0" applyNumberFormat="1" applyFont="1" applyBorder="1" applyAlignment="1">
      <alignment horizontal="center" vertical="center" wrapText="1"/>
    </xf>
    <xf numFmtId="0" fontId="62" fillId="2" borderId="71" xfId="0" applyFont="1" applyFill="1" applyBorder="1" applyAlignment="1">
      <alignment horizontal="center" vertical="center" wrapText="1"/>
    </xf>
    <xf numFmtId="0" fontId="75" fillId="2" borderId="71" xfId="0" applyFont="1" applyFill="1" applyBorder="1" applyAlignment="1">
      <alignment horizontal="center" vertical="center" wrapText="1"/>
    </xf>
    <xf numFmtId="0" fontId="75" fillId="2" borderId="27" xfId="0" applyFont="1" applyFill="1" applyBorder="1" applyAlignment="1">
      <alignment horizontal="center" vertical="center" wrapText="1"/>
    </xf>
    <xf numFmtId="170" fontId="57" fillId="2" borderId="0" xfId="0" applyNumberFormat="1" applyFont="1" applyFill="1"/>
    <xf numFmtId="170" fontId="229" fillId="73" borderId="11" xfId="0" applyNumberFormat="1" applyFont="1" applyFill="1" applyBorder="1"/>
    <xf numFmtId="170" fontId="230" fillId="73" borderId="63" xfId="0" applyNumberFormat="1" applyFont="1" applyFill="1" applyBorder="1"/>
    <xf numFmtId="170" fontId="230" fillId="0" borderId="63" xfId="0" applyNumberFormat="1" applyFont="1" applyBorder="1"/>
    <xf numFmtId="0" fontId="62" fillId="72" borderId="0" xfId="0" applyFont="1" applyFill="1"/>
    <xf numFmtId="0" fontId="75" fillId="2" borderId="29" xfId="126" quotePrefix="1" applyFont="1" applyFill="1" applyBorder="1" applyAlignment="1">
      <alignment horizontal="center" vertical="center" wrapText="1"/>
    </xf>
    <xf numFmtId="0" fontId="78" fillId="2" borderId="93" xfId="126" applyFont="1" applyFill="1" applyBorder="1" applyAlignment="1">
      <alignment horizontal="center" vertical="center"/>
    </xf>
    <xf numFmtId="0" fontId="75" fillId="2" borderId="27" xfId="126" applyFont="1" applyFill="1" applyBorder="1" applyAlignment="1">
      <alignment horizontal="centerContinuous" vertical="center" wrapText="1"/>
    </xf>
    <xf numFmtId="1" fontId="232" fillId="75" borderId="0" xfId="13" applyNumberFormat="1" applyFont="1" applyFill="1" applyAlignment="1">
      <alignment horizontal="center" vertical="center"/>
    </xf>
    <xf numFmtId="0" fontId="57" fillId="72" borderId="0" xfId="0" applyFont="1" applyFill="1"/>
    <xf numFmtId="1" fontId="231" fillId="75" borderId="7" xfId="9" applyNumberFormat="1" applyFont="1" applyFill="1" applyBorder="1" applyAlignment="1" applyProtection="1">
      <alignment horizontal="center" vertical="center" wrapText="1"/>
    </xf>
    <xf numFmtId="1" fontId="231" fillId="75" borderId="0" xfId="9" applyNumberFormat="1" applyFont="1" applyFill="1" applyBorder="1" applyAlignment="1" applyProtection="1">
      <alignment horizontal="center" vertical="center" wrapText="1"/>
    </xf>
    <xf numFmtId="1" fontId="232" fillId="75" borderId="8" xfId="13" applyNumberFormat="1" applyFont="1" applyFill="1" applyBorder="1" applyAlignment="1">
      <alignment horizontal="center" vertical="center"/>
    </xf>
    <xf numFmtId="0" fontId="62" fillId="0" borderId="7" xfId="0" applyFont="1" applyBorder="1" applyAlignment="1">
      <alignment horizontal="centerContinuous" vertical="center"/>
    </xf>
    <xf numFmtId="0" fontId="62" fillId="0" borderId="7" xfId="0" applyFont="1" applyBorder="1" applyAlignment="1">
      <alignment horizontal="centerContinuous" vertical="center" wrapText="1"/>
    </xf>
    <xf numFmtId="1" fontId="233" fillId="75" borderId="0" xfId="13" quotePrefix="1" applyNumberFormat="1" applyFont="1" applyFill="1" applyAlignment="1">
      <alignment horizontal="center" vertical="center"/>
    </xf>
    <xf numFmtId="1" fontId="231" fillId="75" borderId="0" xfId="13" applyNumberFormat="1" applyFont="1" applyFill="1" applyAlignment="1">
      <alignment horizontal="center" vertical="center"/>
    </xf>
    <xf numFmtId="173" fontId="62" fillId="0" borderId="10" xfId="0" applyNumberFormat="1" applyFont="1" applyBorder="1" applyAlignment="1">
      <alignment horizontal="center"/>
    </xf>
    <xf numFmtId="170" fontId="57" fillId="72" borderId="0" xfId="0" applyNumberFormat="1" applyFont="1" applyFill="1"/>
    <xf numFmtId="173" fontId="62" fillId="0" borderId="3" xfId="0" applyNumberFormat="1" applyFont="1" applyBorder="1" applyAlignment="1">
      <alignment horizontal="center"/>
    </xf>
    <xf numFmtId="179" fontId="57" fillId="72" borderId="0" xfId="12401" applyNumberFormat="1" applyFont="1" applyFill="1" applyBorder="1"/>
    <xf numFmtId="0" fontId="57" fillId="72" borderId="0" xfId="0" applyFont="1" applyFill="1" applyAlignment="1">
      <alignment vertical="center"/>
    </xf>
    <xf numFmtId="1" fontId="234" fillId="75" borderId="7" xfId="13" applyNumberFormat="1" applyFont="1" applyFill="1" applyBorder="1" applyAlignment="1">
      <alignment horizontal="center" vertical="center"/>
    </xf>
    <xf numFmtId="1" fontId="231" fillId="75" borderId="5" xfId="9" applyNumberFormat="1" applyFont="1" applyFill="1" applyBorder="1" applyAlignment="1" applyProtection="1">
      <alignment horizontal="center" vertical="center" wrapText="1"/>
    </xf>
    <xf numFmtId="0" fontId="57" fillId="72" borderId="0" xfId="0" applyFont="1" applyFill="1" applyAlignment="1">
      <alignment vertical="center" wrapText="1"/>
    </xf>
    <xf numFmtId="176" fontId="120" fillId="0" borderId="62" xfId="0" applyNumberFormat="1" applyFont="1" applyBorder="1"/>
    <xf numFmtId="176" fontId="158" fillId="4" borderId="62" xfId="0" applyNumberFormat="1" applyFont="1" applyFill="1" applyBorder="1"/>
    <xf numFmtId="3" fontId="164" fillId="12" borderId="18" xfId="126" applyNumberFormat="1" applyFont="1" applyFill="1" applyBorder="1" applyAlignment="1">
      <alignment horizontal="center"/>
    </xf>
    <xf numFmtId="170" fontId="95" fillId="8" borderId="40" xfId="0" applyNumberFormat="1" applyFont="1" applyFill="1" applyBorder="1"/>
    <xf numFmtId="170" fontId="102" fillId="8" borderId="0" xfId="0" applyNumberFormat="1" applyFont="1" applyFill="1"/>
    <xf numFmtId="170" fontId="118" fillId="7" borderId="0" xfId="0" applyNumberFormat="1" applyFont="1" applyFill="1"/>
    <xf numFmtId="0" fontId="82" fillId="2" borderId="62" xfId="0" applyFont="1" applyFill="1" applyBorder="1"/>
    <xf numFmtId="2" fontId="62" fillId="0" borderId="95" xfId="13" applyNumberFormat="1" applyFont="1" applyBorder="1"/>
    <xf numFmtId="0" fontId="35" fillId="11" borderId="0" xfId="9860" applyFill="1" applyAlignment="1">
      <alignment horizontal="center"/>
    </xf>
    <xf numFmtId="171" fontId="62" fillId="0" borderId="62" xfId="9931" applyNumberFormat="1" applyFont="1" applyBorder="1" applyAlignment="1">
      <alignment horizontal="center" vertical="center"/>
    </xf>
    <xf numFmtId="171" fontId="62" fillId="0" borderId="0" xfId="9931" applyNumberFormat="1" applyFont="1" applyAlignment="1">
      <alignment horizontal="center" vertical="center"/>
    </xf>
    <xf numFmtId="171" fontId="62" fillId="0" borderId="64" xfId="9931" applyNumberFormat="1" applyFont="1" applyBorder="1" applyAlignment="1">
      <alignment horizontal="center" vertical="center"/>
    </xf>
    <xf numFmtId="170" fontId="62" fillId="0" borderId="62" xfId="9931" applyNumberFormat="1" applyFont="1" applyBorder="1" applyAlignment="1">
      <alignment horizontal="center" vertical="center"/>
    </xf>
    <xf numFmtId="170" fontId="62" fillId="0" borderId="3" xfId="9931" applyNumberFormat="1" applyFont="1" applyBorder="1" applyAlignment="1">
      <alignment horizontal="center" vertical="center"/>
    </xf>
    <xf numFmtId="0" fontId="62" fillId="2" borderId="62" xfId="16" applyFont="1" applyFill="1" applyBorder="1"/>
    <xf numFmtId="0" fontId="62" fillId="2" borderId="25" xfId="16" applyFont="1" applyFill="1" applyBorder="1"/>
    <xf numFmtId="0" fontId="62" fillId="2" borderId="3" xfId="16" applyFont="1" applyFill="1" applyBorder="1"/>
    <xf numFmtId="1" fontId="75" fillId="2" borderId="71" xfId="16" applyNumberFormat="1" applyFont="1" applyFill="1" applyBorder="1" applyAlignment="1">
      <alignment horizontal="center" vertical="center" wrapText="1"/>
    </xf>
    <xf numFmtId="1" fontId="75" fillId="2" borderId="7" xfId="16" applyNumberFormat="1" applyFont="1" applyFill="1" applyBorder="1" applyAlignment="1">
      <alignment horizontal="centerContinuous" vertical="center" wrapText="1"/>
    </xf>
    <xf numFmtId="0" fontId="77" fillId="2" borderId="0" xfId="16" applyFont="1" applyFill="1" applyAlignment="1">
      <alignment horizontal="centerContinuous" vertical="center" wrapText="1"/>
    </xf>
    <xf numFmtId="0" fontId="77" fillId="2" borderId="18" xfId="16" applyFont="1" applyFill="1" applyBorder="1" applyAlignment="1">
      <alignment horizontal="centerContinuous" vertical="center" wrapText="1"/>
    </xf>
    <xf numFmtId="0" fontId="77" fillId="2" borderId="0" xfId="16" applyFont="1" applyFill="1" applyAlignment="1">
      <alignment horizontal="centerContinuous" vertical="center"/>
    </xf>
    <xf numFmtId="0" fontId="77" fillId="2" borderId="18" xfId="16" applyFont="1" applyFill="1" applyBorder="1" applyAlignment="1">
      <alignment horizontal="centerContinuous" vertical="center"/>
    </xf>
    <xf numFmtId="1" fontId="62" fillId="2" borderId="7" xfId="16" applyNumberFormat="1" applyFont="1" applyFill="1" applyBorder="1" applyAlignment="1">
      <alignment horizontal="centerContinuous" vertical="center" wrapText="1"/>
    </xf>
    <xf numFmtId="1" fontId="62" fillId="2" borderId="71" xfId="16" applyNumberFormat="1" applyFont="1" applyFill="1" applyBorder="1" applyAlignment="1">
      <alignment horizontal="centerContinuous" vertical="center" wrapText="1"/>
    </xf>
    <xf numFmtId="0" fontId="62" fillId="2" borderId="71" xfId="16" applyFont="1" applyFill="1" applyBorder="1" applyAlignment="1">
      <alignment horizontal="center"/>
    </xf>
    <xf numFmtId="0" fontId="62" fillId="2" borderId="3" xfId="16" applyFont="1" applyFill="1" applyBorder="1" applyAlignment="1">
      <alignment horizontal="center"/>
    </xf>
    <xf numFmtId="1" fontId="62" fillId="0" borderId="71" xfId="16" applyNumberFormat="1" applyFont="1" applyBorder="1" applyAlignment="1">
      <alignment horizontal="centerContinuous" vertical="center" wrapText="1"/>
    </xf>
    <xf numFmtId="1" fontId="62" fillId="0" borderId="73" xfId="16" applyNumberFormat="1" applyFont="1" applyBorder="1" applyAlignment="1">
      <alignment horizontal="centerContinuous" vertical="center" wrapText="1"/>
    </xf>
    <xf numFmtId="1" fontId="62" fillId="0" borderId="7" xfId="16" applyNumberFormat="1" applyFont="1" applyBorder="1" applyAlignment="1">
      <alignment horizontal="centerContinuous" vertical="center" wrapText="1"/>
    </xf>
    <xf numFmtId="1" fontId="62" fillId="11" borderId="71" xfId="16" applyNumberFormat="1" applyFont="1" applyFill="1" applyBorder="1" applyAlignment="1">
      <alignment horizontal="centerContinuous" vertical="center" wrapText="1"/>
    </xf>
    <xf numFmtId="1" fontId="62" fillId="0" borderId="85" xfId="16" applyNumberFormat="1" applyFont="1" applyBorder="1" applyAlignment="1">
      <alignment horizontal="centerContinuous" vertical="center" wrapText="1"/>
    </xf>
    <xf numFmtId="0" fontId="62" fillId="2" borderId="18" xfId="16" applyFont="1" applyFill="1" applyBorder="1"/>
    <xf numFmtId="0" fontId="62" fillId="2" borderId="71" xfId="16" applyFont="1" applyFill="1" applyBorder="1" applyAlignment="1">
      <alignment horizontal="center" vertical="center" wrapText="1"/>
    </xf>
    <xf numFmtId="0" fontId="62" fillId="2" borderId="73" xfId="16" applyFont="1" applyFill="1" applyBorder="1" applyAlignment="1">
      <alignment horizontal="center" vertical="center" wrapText="1"/>
    </xf>
    <xf numFmtId="0" fontId="62" fillId="2" borderId="93" xfId="16" applyFont="1" applyFill="1" applyBorder="1" applyAlignment="1">
      <alignment horizontal="center" vertical="center" wrapText="1"/>
    </xf>
    <xf numFmtId="0" fontId="62" fillId="2" borderId="7" xfId="16" applyFont="1" applyFill="1" applyBorder="1" applyAlignment="1">
      <alignment horizontal="centerContinuous" vertical="center" wrapText="1"/>
    </xf>
    <xf numFmtId="0" fontId="62" fillId="2" borderId="85" xfId="16" applyFont="1" applyFill="1" applyBorder="1" applyAlignment="1">
      <alignment horizontal="center" vertical="center" wrapText="1"/>
    </xf>
    <xf numFmtId="0" fontId="75" fillId="2" borderId="71" xfId="16" applyFont="1" applyFill="1" applyBorder="1" applyAlignment="1">
      <alignment horizontal="center" vertical="center" wrapText="1"/>
    </xf>
    <xf numFmtId="0" fontId="75" fillId="2" borderId="73" xfId="16" applyFont="1" applyFill="1" applyBorder="1" applyAlignment="1">
      <alignment horizontal="center" vertical="center" wrapText="1"/>
    </xf>
    <xf numFmtId="0" fontId="75" fillId="2" borderId="93" xfId="16" applyFont="1" applyFill="1" applyBorder="1" applyAlignment="1">
      <alignment horizontal="center" vertical="center" wrapText="1"/>
    </xf>
    <xf numFmtId="0" fontId="75" fillId="2" borderId="85" xfId="16" applyFont="1" applyFill="1" applyBorder="1" applyAlignment="1">
      <alignment horizontal="center" vertical="center" wrapText="1"/>
    </xf>
    <xf numFmtId="0" fontId="180" fillId="2" borderId="71" xfId="16" applyFont="1" applyFill="1" applyBorder="1" applyAlignment="1">
      <alignment horizontal="center" vertical="center" wrapText="1"/>
    </xf>
    <xf numFmtId="0" fontId="180" fillId="2" borderId="73" xfId="16" applyFont="1" applyFill="1" applyBorder="1" applyAlignment="1">
      <alignment horizontal="center" vertical="center" wrapText="1"/>
    </xf>
    <xf numFmtId="0" fontId="180" fillId="2" borderId="93" xfId="16" applyFont="1" applyFill="1" applyBorder="1" applyAlignment="1">
      <alignment horizontal="center" vertical="center" wrapText="1"/>
    </xf>
    <xf numFmtId="0" fontId="180" fillId="2" borderId="85" xfId="16" applyFont="1" applyFill="1" applyBorder="1" applyAlignment="1">
      <alignment horizontal="center" vertical="center" wrapText="1"/>
    </xf>
    <xf numFmtId="170" fontId="118" fillId="7" borderId="97" xfId="16" applyNumberFormat="1" applyFont="1" applyFill="1" applyBorder="1"/>
    <xf numFmtId="170" fontId="62" fillId="0" borderId="97" xfId="16" applyNumberFormat="1" applyFont="1" applyBorder="1"/>
    <xf numFmtId="170" fontId="172" fillId="7" borderId="62" xfId="16" applyNumberFormat="1" applyFont="1" applyFill="1" applyBorder="1"/>
    <xf numFmtId="170" fontId="172" fillId="7" borderId="96" xfId="16" applyNumberFormat="1" applyFont="1" applyFill="1" applyBorder="1"/>
    <xf numFmtId="170" fontId="172" fillId="7" borderId="97" xfId="16" applyNumberFormat="1" applyFont="1" applyFill="1" applyBorder="1"/>
    <xf numFmtId="170" fontId="101" fillId="0" borderId="62" xfId="16" applyNumberFormat="1" applyFont="1" applyBorder="1"/>
    <xf numFmtId="170" fontId="101" fillId="0" borderId="97" xfId="16" applyNumberFormat="1" applyFont="1" applyBorder="1"/>
    <xf numFmtId="170" fontId="206" fillId="0" borderId="62" xfId="16" applyNumberFormat="1" applyFont="1" applyBorder="1"/>
    <xf numFmtId="170" fontId="206" fillId="0" borderId="97" xfId="16" applyNumberFormat="1" applyFont="1" applyBorder="1"/>
    <xf numFmtId="170" fontId="95" fillId="8" borderId="0" xfId="0" applyNumberFormat="1" applyFont="1" applyFill="1"/>
    <xf numFmtId="0" fontId="75" fillId="8" borderId="97" xfId="16" applyFont="1" applyFill="1" applyBorder="1" applyAlignment="1">
      <alignment horizontal="center" vertical="center" wrapText="1"/>
    </xf>
    <xf numFmtId="0" fontId="75" fillId="8" borderId="62" xfId="16" applyFont="1" applyFill="1" applyBorder="1" applyAlignment="1">
      <alignment horizontal="center" vertical="center" wrapText="1"/>
    </xf>
    <xf numFmtId="0" fontId="62" fillId="0" borderId="120" xfId="0" applyFont="1" applyBorder="1" applyAlignment="1">
      <alignment horizontal="centerContinuous" vertical="center" wrapText="1"/>
    </xf>
    <xf numFmtId="0" fontId="62" fillId="0" borderId="121" xfId="0" applyFont="1" applyBorder="1" applyAlignment="1">
      <alignment horizontal="centerContinuous" vertical="center" wrapText="1"/>
    </xf>
    <xf numFmtId="0" fontId="62" fillId="0" borderId="122" xfId="0" applyFont="1" applyBorder="1" applyAlignment="1">
      <alignment horizontal="centerContinuous" vertical="center" wrapText="1"/>
    </xf>
    <xf numFmtId="170" fontId="95" fillId="8" borderId="109" xfId="0" applyNumberFormat="1" applyFont="1" applyFill="1" applyBorder="1"/>
    <xf numFmtId="170" fontId="102" fillId="8" borderId="95" xfId="0" applyNumberFormat="1" applyFont="1" applyFill="1" applyBorder="1"/>
    <xf numFmtId="170" fontId="62" fillId="8" borderId="95" xfId="0" applyNumberFormat="1" applyFont="1" applyFill="1" applyBorder="1"/>
    <xf numFmtId="3" fontId="57" fillId="2" borderId="0" xfId="0" applyNumberFormat="1" applyFont="1" applyFill="1"/>
    <xf numFmtId="170" fontId="102" fillId="0" borderId="97" xfId="0" applyNumberFormat="1" applyFont="1" applyBorder="1"/>
    <xf numFmtId="175" fontId="120" fillId="0" borderId="95" xfId="0" applyNumberFormat="1" applyFont="1" applyBorder="1" applyAlignment="1">
      <alignment horizontal="right"/>
    </xf>
    <xf numFmtId="175" fontId="120" fillId="0" borderId="95" xfId="0" applyNumberFormat="1" applyFont="1" applyBorder="1" applyAlignment="1">
      <alignment horizontal="center"/>
    </xf>
    <xf numFmtId="170" fontId="158" fillId="7" borderId="96" xfId="0" applyNumberFormat="1" applyFont="1" applyFill="1" applyBorder="1"/>
    <xf numFmtId="3" fontId="95" fillId="4" borderId="111" xfId="0" applyNumberFormat="1" applyFont="1" applyFill="1" applyBorder="1"/>
    <xf numFmtId="171" fontId="106" fillId="8" borderId="11" xfId="0" applyNumberFormat="1" applyFont="1" applyFill="1" applyBorder="1"/>
    <xf numFmtId="0" fontId="120" fillId="0" borderId="22" xfId="0" quotePrefix="1" applyFont="1" applyBorder="1" applyAlignment="1">
      <alignment horizontal="center" vertical="center" wrapText="1"/>
    </xf>
    <xf numFmtId="0" fontId="120" fillId="0" borderId="30" xfId="0" applyFont="1" applyBorder="1" applyAlignment="1">
      <alignment horizontal="center" vertical="center" wrapText="1"/>
    </xf>
    <xf numFmtId="170" fontId="239" fillId="0" borderId="0" xfId="0" applyNumberFormat="1" applyFont="1"/>
    <xf numFmtId="170" fontId="239" fillId="0" borderId="62" xfId="0" applyNumberFormat="1" applyFont="1" applyBorder="1"/>
    <xf numFmtId="171" fontId="240" fillId="0" borderId="62" xfId="0" applyNumberFormat="1" applyFont="1" applyBorder="1"/>
    <xf numFmtId="0" fontId="62" fillId="0" borderId="71" xfId="16" applyFont="1" applyBorder="1" applyAlignment="1">
      <alignment horizontal="center" vertical="center" wrapText="1"/>
    </xf>
    <xf numFmtId="0" fontId="62" fillId="0" borderId="73" xfId="16" applyFont="1" applyBorder="1" applyAlignment="1">
      <alignment horizontal="center" vertical="center" wrapText="1"/>
    </xf>
    <xf numFmtId="171" fontId="62" fillId="12" borderId="97" xfId="0" applyNumberFormat="1" applyFont="1" applyFill="1" applyBorder="1"/>
    <xf numFmtId="171" fontId="62" fillId="12" borderId="18" xfId="0" applyNumberFormat="1" applyFont="1" applyFill="1" applyBorder="1"/>
    <xf numFmtId="171" fontId="62" fillId="12" borderId="95" xfId="0" applyNumberFormat="1" applyFont="1" applyFill="1" applyBorder="1"/>
    <xf numFmtId="0" fontId="242" fillId="0" borderId="2" xfId="0" applyFont="1" applyBorder="1" applyAlignment="1">
      <alignment vertical="top"/>
    </xf>
    <xf numFmtId="0" fontId="241" fillId="2" borderId="2" xfId="0" applyFont="1" applyFill="1" applyBorder="1" applyAlignment="1">
      <alignment horizontal="left"/>
    </xf>
    <xf numFmtId="0" fontId="241" fillId="2" borderId="0" xfId="0" applyFont="1" applyFill="1" applyAlignment="1">
      <alignment horizontal="left"/>
    </xf>
    <xf numFmtId="0" fontId="57" fillId="2" borderId="0" xfId="12400" applyFont="1" applyFill="1"/>
    <xf numFmtId="0" fontId="75" fillId="2" borderId="6" xfId="12400" applyFont="1" applyFill="1" applyBorder="1" applyAlignment="1">
      <alignment horizontal="centerContinuous" vertical="center" wrapText="1"/>
    </xf>
    <xf numFmtId="0" fontId="75" fillId="2" borderId="7" xfId="12400" applyFont="1" applyFill="1" applyBorder="1" applyAlignment="1">
      <alignment horizontal="centerContinuous" vertical="center" wrapText="1"/>
    </xf>
    <xf numFmtId="0" fontId="75" fillId="2" borderId="27" xfId="12400" applyFont="1" applyFill="1" applyBorder="1" applyAlignment="1">
      <alignment horizontal="centerContinuous" vertical="center" wrapText="1"/>
    </xf>
    <xf numFmtId="0" fontId="77" fillId="2" borderId="6" xfId="12400" applyFont="1" applyFill="1" applyBorder="1" applyAlignment="1">
      <alignment horizontal="centerContinuous" vertical="center" wrapText="1"/>
    </xf>
    <xf numFmtId="0" fontId="77" fillId="2" borderId="7" xfId="12400" applyFont="1" applyFill="1" applyBorder="1" applyAlignment="1">
      <alignment horizontal="centerContinuous" vertical="center" wrapText="1"/>
    </xf>
    <xf numFmtId="0" fontId="77" fillId="2" borderId="8" xfId="12400" applyFont="1" applyFill="1" applyBorder="1" applyAlignment="1">
      <alignment horizontal="centerContinuous" vertical="center" wrapText="1"/>
    </xf>
    <xf numFmtId="170" fontId="75" fillId="2" borderId="6" xfId="12400" applyNumberFormat="1" applyFont="1" applyFill="1" applyBorder="1" applyAlignment="1">
      <alignment horizontal="center" vertical="center" wrapText="1"/>
    </xf>
    <xf numFmtId="170" fontId="75" fillId="2" borderId="7" xfId="12400" applyNumberFormat="1" applyFont="1" applyFill="1" applyBorder="1" applyAlignment="1">
      <alignment horizontal="center" vertical="center" wrapText="1"/>
    </xf>
    <xf numFmtId="0" fontId="75" fillId="2" borderId="8" xfId="12400" applyFont="1" applyFill="1" applyBorder="1" applyAlignment="1">
      <alignment horizontal="centerContinuous" vertical="center" wrapText="1"/>
    </xf>
    <xf numFmtId="0" fontId="62" fillId="2" borderId="6" xfId="12400" applyFont="1" applyFill="1" applyBorder="1" applyAlignment="1">
      <alignment horizontal="centerContinuous" vertical="center" wrapText="1"/>
    </xf>
    <xf numFmtId="0" fontId="78" fillId="2" borderId="7" xfId="12400" applyFont="1" applyFill="1" applyBorder="1" applyAlignment="1">
      <alignment horizontal="centerContinuous" vertical="center" wrapText="1"/>
    </xf>
    <xf numFmtId="0" fontId="78" fillId="2" borderId="27" xfId="12400" applyFont="1" applyFill="1" applyBorder="1" applyAlignment="1">
      <alignment horizontal="centerContinuous" vertical="center" wrapText="1"/>
    </xf>
    <xf numFmtId="0" fontId="78" fillId="2" borderId="8" xfId="12400" applyFont="1" applyFill="1" applyBorder="1" applyAlignment="1">
      <alignment horizontal="centerContinuous" vertical="center" wrapText="1"/>
    </xf>
    <xf numFmtId="0" fontId="78" fillId="2" borderId="71" xfId="12400" applyFont="1" applyFill="1" applyBorder="1" applyAlignment="1">
      <alignment horizontal="center" vertical="center"/>
    </xf>
    <xf numFmtId="0" fontId="78" fillId="2" borderId="7" xfId="12400" applyFont="1" applyFill="1" applyBorder="1" applyAlignment="1">
      <alignment horizontal="center" vertical="center"/>
    </xf>
    <xf numFmtId="0" fontId="78" fillId="2" borderId="27" xfId="12400" applyFont="1" applyFill="1" applyBorder="1" applyAlignment="1">
      <alignment horizontal="center" vertical="center"/>
    </xf>
    <xf numFmtId="0" fontId="78" fillId="2" borderId="8" xfId="12400" applyFont="1" applyFill="1" applyBorder="1" applyAlignment="1">
      <alignment horizontal="center" vertical="center"/>
    </xf>
    <xf numFmtId="170" fontId="95" fillId="4" borderId="36" xfId="12400" applyNumberFormat="1" applyFont="1" applyFill="1" applyBorder="1"/>
    <xf numFmtId="170" fontId="95" fillId="4" borderId="87" xfId="12400" applyNumberFormat="1" applyFont="1" applyFill="1" applyBorder="1"/>
    <xf numFmtId="170" fontId="95" fillId="4" borderId="40" xfId="12400" applyNumberFormat="1" applyFont="1" applyFill="1" applyBorder="1"/>
    <xf numFmtId="170" fontId="62" fillId="5" borderId="17" xfId="12400" applyNumberFormat="1" applyFont="1" applyFill="1" applyBorder="1"/>
    <xf numFmtId="170" fontId="95" fillId="4" borderId="12" xfId="12400" applyNumberFormat="1" applyFont="1" applyFill="1" applyBorder="1"/>
    <xf numFmtId="170" fontId="62" fillId="5" borderId="0" xfId="12400" applyNumberFormat="1" applyFont="1" applyFill="1"/>
    <xf numFmtId="170" fontId="82" fillId="5" borderId="0" xfId="12400" applyNumberFormat="1" applyFont="1" applyFill="1"/>
    <xf numFmtId="170" fontId="95" fillId="4" borderId="62" xfId="12400" applyNumberFormat="1" applyFont="1" applyFill="1" applyBorder="1"/>
    <xf numFmtId="170" fontId="82" fillId="5" borderId="10" xfId="12400" applyNumberFormat="1" applyFont="1" applyFill="1" applyBorder="1"/>
    <xf numFmtId="170" fontId="62" fillId="0" borderId="2" xfId="12400" applyNumberFormat="1" applyFont="1" applyBorder="1"/>
    <xf numFmtId="170" fontId="62" fillId="0" borderId="0" xfId="12400" applyNumberFormat="1" applyFont="1"/>
    <xf numFmtId="170" fontId="62" fillId="5" borderId="18" xfId="12400" applyNumberFormat="1" applyFont="1" applyFill="1" applyBorder="1"/>
    <xf numFmtId="170" fontId="62" fillId="0" borderId="62" xfId="12400" applyNumberFormat="1" applyFont="1" applyBorder="1"/>
    <xf numFmtId="170" fontId="120" fillId="0" borderId="62" xfId="12400" applyNumberFormat="1" applyFont="1" applyBorder="1"/>
    <xf numFmtId="170" fontId="120" fillId="0" borderId="0" xfId="12400" applyNumberFormat="1" applyFont="1"/>
    <xf numFmtId="170" fontId="82" fillId="5" borderId="3" xfId="12400" applyNumberFormat="1" applyFont="1" applyFill="1" applyBorder="1"/>
    <xf numFmtId="0" fontId="75" fillId="0" borderId="3" xfId="12400" applyFont="1" applyBorder="1" applyAlignment="1">
      <alignment horizontal="center"/>
    </xf>
    <xf numFmtId="170" fontId="95" fillId="4" borderId="18" xfId="12400" applyNumberFormat="1" applyFont="1" applyFill="1" applyBorder="1"/>
    <xf numFmtId="170" fontId="62" fillId="5" borderId="3" xfId="12400" applyNumberFormat="1" applyFont="1" applyFill="1" applyBorder="1"/>
    <xf numFmtId="0" fontId="62" fillId="0" borderId="3" xfId="12400" applyFont="1" applyBorder="1" applyAlignment="1">
      <alignment horizontal="center"/>
    </xf>
    <xf numFmtId="170" fontId="62" fillId="0" borderId="18" xfId="12400" applyNumberFormat="1" applyFont="1" applyBorder="1"/>
    <xf numFmtId="0" fontId="57" fillId="11" borderId="0" xfId="12400" applyFont="1" applyFill="1"/>
    <xf numFmtId="170" fontId="62" fillId="0" borderId="3" xfId="12400" applyNumberFormat="1" applyFont="1" applyBorder="1"/>
    <xf numFmtId="0" fontId="62" fillId="2" borderId="0" xfId="12400" applyFont="1" applyFill="1"/>
    <xf numFmtId="0" fontId="62" fillId="2" borderId="0" xfId="12400" applyFont="1" applyFill="1" applyAlignment="1">
      <alignment horizontal="centerContinuous" vertical="center" wrapText="1"/>
    </xf>
    <xf numFmtId="0" fontId="75" fillId="2" borderId="0" xfId="12400" applyFont="1" applyFill="1" applyAlignment="1">
      <alignment horizontal="centerContinuous" vertical="center" wrapText="1"/>
    </xf>
    <xf numFmtId="0" fontId="75" fillId="2" borderId="18" xfId="12400" applyFont="1" applyFill="1" applyBorder="1" applyAlignment="1">
      <alignment horizontal="centerContinuous" vertical="center" wrapText="1"/>
    </xf>
    <xf numFmtId="0" fontId="62" fillId="2" borderId="62" xfId="12400" applyFont="1" applyFill="1" applyBorder="1" applyAlignment="1">
      <alignment horizontal="centerContinuous" vertical="center" wrapText="1"/>
    </xf>
    <xf numFmtId="0" fontId="75" fillId="2" borderId="3" xfId="12400" applyFont="1" applyFill="1" applyBorder="1" applyAlignment="1">
      <alignment horizontal="centerContinuous" vertical="center" wrapText="1"/>
    </xf>
    <xf numFmtId="0" fontId="57" fillId="2" borderId="0" xfId="12400" applyFont="1" applyFill="1" applyAlignment="1">
      <alignment vertical="center" wrapText="1"/>
    </xf>
    <xf numFmtId="0" fontId="228" fillId="2" borderId="6" xfId="12400" applyFont="1" applyFill="1" applyBorder="1" applyAlignment="1">
      <alignment horizontal="centerContinuous" vertical="center" wrapText="1"/>
    </xf>
    <xf numFmtId="0" fontId="228" fillId="2" borderId="7" xfId="12400" quotePrefix="1" applyFont="1" applyFill="1" applyBorder="1" applyAlignment="1">
      <alignment horizontal="center" vertical="center" wrapText="1"/>
    </xf>
    <xf numFmtId="0" fontId="228" fillId="2" borderId="7" xfId="12400" applyFont="1" applyFill="1" applyBorder="1" applyAlignment="1">
      <alignment horizontal="center" vertical="center" textRotation="90" wrapText="1"/>
    </xf>
    <xf numFmtId="0" fontId="228" fillId="2" borderId="7" xfId="12400" applyFont="1" applyFill="1" applyBorder="1" applyAlignment="1">
      <alignment horizontal="centerContinuous" vertical="center" wrapText="1"/>
    </xf>
    <xf numFmtId="0" fontId="228" fillId="2" borderId="8" xfId="12400" quotePrefix="1" applyFont="1" applyFill="1" applyBorder="1" applyAlignment="1">
      <alignment horizontal="center" vertical="center" wrapText="1"/>
    </xf>
    <xf numFmtId="0" fontId="114" fillId="2" borderId="0" xfId="12400" applyFont="1" applyFill="1"/>
    <xf numFmtId="0" fontId="75" fillId="2" borderId="2" xfId="12400" applyFont="1" applyFill="1" applyBorder="1" applyAlignment="1">
      <alignment horizontal="centerContinuous" vertical="center" wrapText="1"/>
    </xf>
    <xf numFmtId="0" fontId="62" fillId="2" borderId="18" xfId="12400" applyFont="1" applyFill="1" applyBorder="1" applyAlignment="1">
      <alignment horizontal="centerContinuous" vertical="center" wrapText="1"/>
    </xf>
    <xf numFmtId="0" fontId="62" fillId="2" borderId="3" xfId="12400" applyFont="1" applyFill="1" applyBorder="1" applyAlignment="1">
      <alignment horizontal="centerContinuous" vertical="center" wrapText="1"/>
    </xf>
    <xf numFmtId="0" fontId="62" fillId="2" borderId="71" xfId="12400" applyFont="1" applyFill="1" applyBorder="1" applyAlignment="1">
      <alignment horizontal="center" vertical="center" wrapText="1"/>
    </xf>
    <xf numFmtId="0" fontId="62" fillId="2" borderId="7" xfId="12400" applyFont="1" applyFill="1" applyBorder="1" applyAlignment="1">
      <alignment horizontal="center" vertical="center" wrapText="1"/>
    </xf>
    <xf numFmtId="0" fontId="62" fillId="2" borderId="27" xfId="12400" applyFont="1" applyFill="1" applyBorder="1" applyAlignment="1">
      <alignment horizontal="center" vertical="center" wrapText="1"/>
    </xf>
    <xf numFmtId="0" fontId="120" fillId="2" borderId="71" xfId="12400" applyFont="1" applyFill="1" applyBorder="1" applyAlignment="1">
      <alignment horizontal="centerContinuous" vertical="center" wrapText="1"/>
    </xf>
    <xf numFmtId="0" fontId="120" fillId="2" borderId="7" xfId="12400" quotePrefix="1" applyFont="1" applyFill="1" applyBorder="1" applyAlignment="1">
      <alignment horizontal="centerContinuous" vertical="center" wrapText="1"/>
    </xf>
    <xf numFmtId="0" fontId="62" fillId="2" borderId="136" xfId="12400" applyFont="1" applyFill="1" applyBorder="1" applyAlignment="1">
      <alignment horizontal="centerContinuous" vertical="center" wrapText="1"/>
    </xf>
    <xf numFmtId="0" fontId="120" fillId="2" borderId="136" xfId="12400" applyFont="1" applyFill="1" applyBorder="1" applyAlignment="1">
      <alignment horizontal="centerContinuous" vertical="center" wrapText="1"/>
    </xf>
    <xf numFmtId="0" fontId="120" fillId="2" borderId="136" xfId="12400" quotePrefix="1" applyFont="1" applyFill="1" applyBorder="1" applyAlignment="1">
      <alignment horizontal="centerContinuous" vertical="center" wrapText="1"/>
    </xf>
    <xf numFmtId="0" fontId="120" fillId="2" borderId="135" xfId="12400" quotePrefix="1" applyFont="1" applyFill="1" applyBorder="1" applyAlignment="1">
      <alignment horizontal="centerContinuous" vertical="center" wrapText="1"/>
    </xf>
    <xf numFmtId="0" fontId="78" fillId="2" borderId="73" xfId="12400" applyFont="1" applyFill="1" applyBorder="1" applyAlignment="1">
      <alignment horizontal="center" vertical="center"/>
    </xf>
    <xf numFmtId="0" fontId="241" fillId="2" borderId="2" xfId="12400" applyFont="1" applyFill="1" applyBorder="1" applyAlignment="1">
      <alignment horizontal="left"/>
    </xf>
    <xf numFmtId="0" fontId="57" fillId="2" borderId="0" xfId="12400" applyFont="1" applyFill="1" applyAlignment="1">
      <alignment wrapText="1"/>
    </xf>
    <xf numFmtId="0" fontId="242" fillId="0" borderId="2" xfId="12400" applyFont="1" applyBorder="1" applyAlignment="1">
      <alignment vertical="top"/>
    </xf>
    <xf numFmtId="0" fontId="57" fillId="2" borderId="0" xfId="12400" applyFont="1" applyFill="1" applyAlignment="1">
      <alignment horizontal="center" vertical="center" wrapText="1"/>
    </xf>
    <xf numFmtId="171" fontId="95" fillId="4" borderId="62" xfId="12400" applyNumberFormat="1" applyFont="1" applyFill="1" applyBorder="1"/>
    <xf numFmtId="171" fontId="95" fillId="4" borderId="87" xfId="12400" applyNumberFormat="1" applyFont="1" applyFill="1" applyBorder="1"/>
    <xf numFmtId="171" fontId="95" fillId="4" borderId="40" xfId="12400" applyNumberFormat="1" applyFont="1" applyFill="1" applyBorder="1"/>
    <xf numFmtId="171" fontId="62" fillId="5" borderId="87" xfId="12400" applyNumberFormat="1" applyFont="1" applyFill="1" applyBorder="1"/>
    <xf numFmtId="171" fontId="82" fillId="5" borderId="87" xfId="12400" applyNumberFormat="1" applyFont="1" applyFill="1" applyBorder="1"/>
    <xf numFmtId="171" fontId="62" fillId="5" borderId="17" xfId="12400" applyNumberFormat="1" applyFont="1" applyFill="1" applyBorder="1"/>
    <xf numFmtId="171" fontId="95" fillId="4" borderId="12" xfId="12400" applyNumberFormat="1" applyFont="1" applyFill="1" applyBorder="1"/>
    <xf numFmtId="171" fontId="82" fillId="5" borderId="17" xfId="12400" applyNumberFormat="1" applyFont="1" applyFill="1" applyBorder="1"/>
    <xf numFmtId="171" fontId="62" fillId="5" borderId="40" xfId="12400" applyNumberFormat="1" applyFont="1" applyFill="1" applyBorder="1"/>
    <xf numFmtId="171" fontId="62" fillId="5" borderId="89" xfId="12400" applyNumberFormat="1" applyFont="1" applyFill="1" applyBorder="1"/>
    <xf numFmtId="171" fontId="107" fillId="5" borderId="87" xfId="12400" applyNumberFormat="1" applyFont="1" applyFill="1" applyBorder="1"/>
    <xf numFmtId="171" fontId="107" fillId="5" borderId="3" xfId="12400" applyNumberFormat="1" applyFont="1" applyFill="1" applyBorder="1"/>
    <xf numFmtId="171" fontId="62" fillId="0" borderId="62" xfId="12400" applyNumberFormat="1" applyFont="1" applyBorder="1"/>
    <xf numFmtId="171" fontId="62" fillId="0" borderId="0" xfId="12400" applyNumberFormat="1" applyFont="1"/>
    <xf numFmtId="171" fontId="62" fillId="5" borderId="18" xfId="12400" applyNumberFormat="1" applyFont="1" applyFill="1" applyBorder="1"/>
    <xf numFmtId="171" fontId="82" fillId="5" borderId="18" xfId="12400" applyNumberFormat="1" applyFont="1" applyFill="1" applyBorder="1"/>
    <xf numFmtId="171" fontId="62" fillId="5" borderId="0" xfId="12400" applyNumberFormat="1" applyFont="1" applyFill="1"/>
    <xf numFmtId="171" fontId="120" fillId="0" borderId="62" xfId="12400" applyNumberFormat="1" applyFont="1" applyBorder="1"/>
    <xf numFmtId="171" fontId="120" fillId="0" borderId="0" xfId="12400" applyNumberFormat="1" applyFont="1"/>
    <xf numFmtId="171" fontId="62" fillId="5" borderId="3" xfId="12400" applyNumberFormat="1" applyFont="1" applyFill="1" applyBorder="1"/>
    <xf numFmtId="171" fontId="62" fillId="0" borderId="2" xfId="12400" applyNumberFormat="1" applyFont="1" applyBorder="1"/>
    <xf numFmtId="171" fontId="96" fillId="5" borderId="18" xfId="12400" applyNumberFormat="1" applyFont="1" applyFill="1" applyBorder="1"/>
    <xf numFmtId="171" fontId="120" fillId="0" borderId="18" xfId="12400" applyNumberFormat="1" applyFont="1" applyBorder="1"/>
    <xf numFmtId="171" fontId="120" fillId="0" borderId="3" xfId="12400" applyNumberFormat="1" applyFont="1" applyBorder="1"/>
    <xf numFmtId="184" fontId="62" fillId="0" borderId="0" xfId="12400" applyNumberFormat="1" applyFont="1" applyAlignment="1">
      <alignment horizontal="right" vertical="top" wrapText="1"/>
    </xf>
    <xf numFmtId="0" fontId="242" fillId="0" borderId="0" xfId="12400" applyFont="1" applyAlignment="1">
      <alignment vertical="top"/>
    </xf>
    <xf numFmtId="171" fontId="158" fillId="7" borderId="18" xfId="12400" applyNumberFormat="1" applyFont="1" applyFill="1" applyBorder="1"/>
    <xf numFmtId="171" fontId="158" fillId="4" borderId="18" xfId="12400" applyNumberFormat="1" applyFont="1" applyFill="1" applyBorder="1"/>
    <xf numFmtId="171" fontId="158" fillId="4" borderId="3" xfId="12400" applyNumberFormat="1" applyFont="1" applyFill="1" applyBorder="1"/>
    <xf numFmtId="170" fontId="158" fillId="4" borderId="62" xfId="12400" applyNumberFormat="1" applyFont="1" applyFill="1" applyBorder="1"/>
    <xf numFmtId="170" fontId="158" fillId="4" borderId="87" xfId="12400" applyNumberFormat="1" applyFont="1" applyFill="1" applyBorder="1"/>
    <xf numFmtId="170" fontId="158" fillId="4" borderId="40" xfId="12400" applyNumberFormat="1" applyFont="1" applyFill="1" applyBorder="1"/>
    <xf numFmtId="170" fontId="158" fillId="7" borderId="0" xfId="12400" applyNumberFormat="1" applyFont="1" applyFill="1"/>
    <xf numFmtId="171" fontId="126" fillId="4" borderId="12" xfId="0" applyNumberFormat="1" applyFont="1" applyFill="1" applyBorder="1"/>
    <xf numFmtId="171" fontId="120" fillId="0" borderId="62" xfId="0" applyNumberFormat="1" applyFont="1" applyBorder="1"/>
    <xf numFmtId="171" fontId="126" fillId="4" borderId="87" xfId="0" applyNumberFormat="1" applyFont="1" applyFill="1" applyBorder="1"/>
    <xf numFmtId="171" fontId="126" fillId="4" borderId="40" xfId="0" applyNumberFormat="1" applyFont="1" applyFill="1" applyBorder="1"/>
    <xf numFmtId="0" fontId="62" fillId="2" borderId="136" xfId="0" applyFont="1" applyFill="1" applyBorder="1" applyAlignment="1">
      <alignment horizontal="centerContinuous" vertical="center"/>
    </xf>
    <xf numFmtId="0" fontId="114" fillId="11" borderId="137" xfId="16" applyFont="1" applyFill="1" applyBorder="1" applyAlignment="1">
      <alignment horizontal="center" vertical="center" wrapText="1"/>
    </xf>
    <xf numFmtId="1" fontId="78" fillId="2" borderId="138" xfId="0" applyNumberFormat="1" applyFont="1" applyFill="1" applyBorder="1" applyAlignment="1">
      <alignment horizontal="center" vertical="center"/>
    </xf>
    <xf numFmtId="0" fontId="62" fillId="2" borderId="135" xfId="0" applyFont="1" applyFill="1" applyBorder="1" applyAlignment="1">
      <alignment horizontal="centerContinuous" vertical="center"/>
    </xf>
    <xf numFmtId="2" fontId="62" fillId="0" borderId="95" xfId="12401" applyNumberFormat="1" applyFont="1" applyFill="1" applyBorder="1" applyAlignment="1"/>
    <xf numFmtId="2" fontId="62" fillId="0" borderId="0" xfId="12401" applyNumberFormat="1" applyFont="1" applyFill="1" applyBorder="1"/>
    <xf numFmtId="2" fontId="62" fillId="0" borderId="95" xfId="12401" applyNumberFormat="1" applyFont="1" applyFill="1" applyBorder="1"/>
    <xf numFmtId="2" fontId="62" fillId="0" borderId="62" xfId="12401" applyNumberFormat="1" applyFont="1" applyFill="1" applyBorder="1"/>
    <xf numFmtId="2" fontId="118" fillId="7" borderId="139" xfId="12401" applyNumberFormat="1" applyFont="1" applyFill="1" applyBorder="1" applyAlignment="1"/>
    <xf numFmtId="0" fontId="62" fillId="11" borderId="127" xfId="16" applyFont="1" applyFill="1" applyBorder="1" applyAlignment="1">
      <alignment horizontal="centerContinuous" vertical="center" wrapText="1"/>
    </xf>
    <xf numFmtId="0" fontId="62" fillId="11" borderId="100" xfId="16" applyFont="1" applyFill="1" applyBorder="1" applyAlignment="1">
      <alignment horizontal="center" vertical="center" wrapText="1"/>
    </xf>
    <xf numFmtId="0" fontId="62" fillId="11" borderId="126" xfId="16" applyFont="1" applyFill="1" applyBorder="1" applyAlignment="1">
      <alignment horizontal="center" vertical="center" wrapText="1"/>
    </xf>
    <xf numFmtId="0" fontId="62" fillId="2" borderId="21" xfId="0" applyFont="1" applyFill="1" applyBorder="1" applyAlignment="1">
      <alignment vertical="center"/>
    </xf>
    <xf numFmtId="0" fontId="127" fillId="12" borderId="0" xfId="9842" applyFont="1" applyFill="1" applyAlignment="1">
      <alignment horizontal="center"/>
    </xf>
    <xf numFmtId="0" fontId="127" fillId="12" borderId="3" xfId="9842" applyFont="1" applyFill="1" applyBorder="1" applyAlignment="1">
      <alignment horizontal="center"/>
    </xf>
    <xf numFmtId="0" fontId="164" fillId="12" borderId="0" xfId="9842" applyFont="1" applyFill="1" applyAlignment="1">
      <alignment horizontal="center"/>
    </xf>
    <xf numFmtId="0" fontId="164" fillId="12" borderId="3" xfId="9842" applyFont="1" applyFill="1" applyBorder="1" applyAlignment="1">
      <alignment horizontal="center"/>
    </xf>
    <xf numFmtId="2" fontId="127" fillId="12" borderId="63" xfId="9842" applyNumberFormat="1" applyFont="1" applyFill="1" applyBorder="1" applyAlignment="1">
      <alignment horizontal="center"/>
    </xf>
    <xf numFmtId="171" fontId="101" fillId="0" borderId="0" xfId="12400" applyNumberFormat="1" applyFont="1"/>
    <xf numFmtId="171" fontId="101" fillId="0" borderId="62" xfId="12400" applyNumberFormat="1" applyFont="1" applyBorder="1"/>
    <xf numFmtId="170" fontId="101" fillId="0" borderId="62" xfId="12400" applyNumberFormat="1" applyFont="1" applyBorder="1"/>
    <xf numFmtId="170" fontId="101" fillId="0" borderId="0" xfId="12400" applyNumberFormat="1" applyFont="1"/>
    <xf numFmtId="170" fontId="101" fillId="0" borderId="2" xfId="12400" applyNumberFormat="1" applyFont="1" applyBorder="1"/>
    <xf numFmtId="170" fontId="101" fillId="0" borderId="18" xfId="12400" applyNumberFormat="1" applyFont="1" applyBorder="1"/>
    <xf numFmtId="170" fontId="172" fillId="4" borderId="18" xfId="12400" applyNumberFormat="1" applyFont="1" applyFill="1" applyBorder="1"/>
    <xf numFmtId="170" fontId="101" fillId="0" borderId="95" xfId="12400" applyNumberFormat="1" applyFont="1" applyBorder="1"/>
    <xf numFmtId="0" fontId="244" fillId="2" borderId="0" xfId="12400" applyFont="1" applyFill="1" applyAlignment="1">
      <alignment horizontal="left"/>
    </xf>
    <xf numFmtId="0" fontId="57" fillId="2" borderId="0" xfId="12" applyFont="1" applyFill="1" applyAlignment="1">
      <alignment vertical="center" wrapText="1"/>
    </xf>
    <xf numFmtId="0" fontId="75" fillId="2" borderId="104" xfId="12" applyFont="1" applyFill="1" applyBorder="1" applyAlignment="1">
      <alignment horizontal="centerContinuous" vertical="center" wrapText="1"/>
    </xf>
    <xf numFmtId="0" fontId="75" fillId="2" borderId="23" xfId="12" applyFont="1" applyFill="1" applyBorder="1" applyAlignment="1">
      <alignment vertical="center" wrapText="1"/>
    </xf>
    <xf numFmtId="0" fontId="75" fillId="2" borderId="92" xfId="12" applyFont="1" applyFill="1" applyBorder="1" applyAlignment="1">
      <alignment vertical="center" wrapText="1"/>
    </xf>
    <xf numFmtId="0" fontId="75" fillId="2" borderId="23" xfId="12" applyFont="1" applyFill="1" applyBorder="1" applyAlignment="1">
      <alignment horizontal="centerContinuous" vertical="center" wrapText="1"/>
    </xf>
    <xf numFmtId="0" fontId="75" fillId="2" borderId="103" xfId="12" quotePrefix="1" applyFont="1" applyFill="1" applyBorder="1" applyAlignment="1">
      <alignment horizontal="center" vertical="center" wrapText="1"/>
    </xf>
    <xf numFmtId="0" fontId="75" fillId="2" borderId="98" xfId="12" applyFont="1" applyFill="1" applyBorder="1" applyAlignment="1">
      <alignment horizontal="center" vertical="center" wrapText="1"/>
    </xf>
    <xf numFmtId="0" fontId="75" fillId="2" borderId="23" xfId="12" applyFont="1" applyFill="1" applyBorder="1" applyAlignment="1">
      <alignment horizontal="center" vertical="center" wrapText="1"/>
    </xf>
    <xf numFmtId="0" fontId="75" fillId="2" borderId="92" xfId="12" applyFont="1" applyFill="1" applyBorder="1" applyAlignment="1">
      <alignment horizontal="center" vertical="center" wrapText="1"/>
    </xf>
    <xf numFmtId="0" fontId="75" fillId="2" borderId="23" xfId="12" quotePrefix="1" applyFont="1" applyFill="1" applyBorder="1" applyAlignment="1">
      <alignment horizontal="center" vertical="center" wrapText="1"/>
    </xf>
    <xf numFmtId="0" fontId="75" fillId="2" borderId="91" xfId="12" applyFont="1" applyFill="1" applyBorder="1" applyAlignment="1">
      <alignment horizontal="center" vertical="center" wrapText="1"/>
    </xf>
    <xf numFmtId="2" fontId="75" fillId="2" borderId="7" xfId="0" applyNumberFormat="1" applyFont="1" applyFill="1" applyBorder="1" applyAlignment="1">
      <alignment horizontal="center"/>
    </xf>
    <xf numFmtId="10" fontId="75" fillId="2" borderId="7" xfId="0" applyNumberFormat="1" applyFont="1" applyFill="1" applyBorder="1" applyAlignment="1">
      <alignment horizontal="center"/>
    </xf>
    <xf numFmtId="10" fontId="75" fillId="2" borderId="20" xfId="0" applyNumberFormat="1" applyFont="1" applyFill="1" applyBorder="1" applyAlignment="1">
      <alignment horizontal="center"/>
    </xf>
    <xf numFmtId="10" fontId="78" fillId="2" borderId="20" xfId="0" applyNumberFormat="1" applyFont="1" applyFill="1" applyBorder="1" applyAlignment="1">
      <alignment horizontal="center"/>
    </xf>
    <xf numFmtId="10" fontId="78" fillId="2" borderId="21" xfId="0" applyNumberFormat="1" applyFont="1" applyFill="1" applyBorder="1" applyAlignment="1">
      <alignment horizontal="center"/>
    </xf>
    <xf numFmtId="1" fontId="95" fillId="3" borderId="7" xfId="12392" applyNumberFormat="1" applyFont="1" applyFill="1" applyBorder="1" applyAlignment="1" applyProtection="1">
      <alignment horizontal="centerContinuous" vertical="center" wrapText="1"/>
    </xf>
    <xf numFmtId="2" fontId="75" fillId="2" borderId="140" xfId="0" applyNumberFormat="1" applyFont="1" applyFill="1" applyBorder="1" applyAlignment="1">
      <alignment horizontal="centerContinuous" vertical="center" wrapText="1"/>
    </xf>
    <xf numFmtId="2" fontId="75" fillId="2" borderId="122" xfId="0" applyNumberFormat="1" applyFont="1" applyFill="1" applyBorder="1" applyAlignment="1">
      <alignment horizontal="centerContinuous" vertical="center" wrapText="1"/>
    </xf>
    <xf numFmtId="2" fontId="75" fillId="2" borderId="120" xfId="0" applyNumberFormat="1" applyFont="1" applyFill="1" applyBorder="1" applyAlignment="1">
      <alignment horizontal="centerContinuous" vertical="center" wrapText="1"/>
    </xf>
    <xf numFmtId="2" fontId="75" fillId="2" borderId="68" xfId="0" applyNumberFormat="1" applyFont="1" applyFill="1" applyBorder="1" applyAlignment="1">
      <alignment horizontal="centerContinuous" vertical="center" wrapText="1"/>
    </xf>
    <xf numFmtId="0" fontId="75" fillId="2" borderId="121" xfId="0" applyFont="1" applyFill="1" applyBorder="1" applyAlignment="1">
      <alignment horizontal="centerContinuous" vertical="center" wrapText="1"/>
    </xf>
    <xf numFmtId="0" fontId="75" fillId="2" borderId="68" xfId="0" applyFont="1" applyFill="1" applyBorder="1" applyAlignment="1">
      <alignment horizontal="centerContinuous" vertical="center" wrapText="1"/>
    </xf>
    <xf numFmtId="0" fontId="75" fillId="2" borderId="120" xfId="0" applyFont="1" applyFill="1" applyBorder="1" applyAlignment="1">
      <alignment horizontal="centerContinuous" vertical="center" wrapText="1"/>
    </xf>
    <xf numFmtId="0" fontId="75" fillId="2" borderId="123" xfId="0" applyFont="1" applyFill="1" applyBorder="1" applyAlignment="1">
      <alignment horizontal="centerContinuous" vertical="center" wrapText="1"/>
    </xf>
    <xf numFmtId="1" fontId="95" fillId="3" borderId="7" xfId="12392" applyNumberFormat="1" applyFont="1" applyFill="1" applyBorder="1" applyAlignment="1" applyProtection="1">
      <alignment horizontal="center" vertical="center" wrapText="1"/>
    </xf>
    <xf numFmtId="2" fontId="75" fillId="2" borderId="140" xfId="0" applyNumberFormat="1" applyFont="1" applyFill="1" applyBorder="1" applyAlignment="1">
      <alignment horizontal="centerContinuous" vertical="center"/>
    </xf>
    <xf numFmtId="2" fontId="75" fillId="2" borderId="122" xfId="0" applyNumberFormat="1" applyFont="1" applyFill="1" applyBorder="1" applyAlignment="1">
      <alignment horizontal="centerContinuous" vertical="center"/>
    </xf>
    <xf numFmtId="2" fontId="75" fillId="2" borderId="115" xfId="0" applyNumberFormat="1" applyFont="1" applyFill="1" applyBorder="1" applyAlignment="1">
      <alignment horizontal="centerContinuous" vertical="center"/>
    </xf>
    <xf numFmtId="10" fontId="75" fillId="2" borderId="121" xfId="0" applyNumberFormat="1" applyFont="1" applyFill="1" applyBorder="1" applyAlignment="1">
      <alignment horizontal="centerContinuous" vertical="center"/>
    </xf>
    <xf numFmtId="10" fontId="75" fillId="2" borderId="122" xfId="0" applyNumberFormat="1" applyFont="1" applyFill="1" applyBorder="1" applyAlignment="1">
      <alignment horizontal="centerContinuous" vertical="center"/>
    </xf>
    <xf numFmtId="10" fontId="75" fillId="2" borderId="141" xfId="0" applyNumberFormat="1" applyFont="1" applyFill="1" applyBorder="1" applyAlignment="1">
      <alignment horizontal="centerContinuous" vertical="center"/>
    </xf>
    <xf numFmtId="10" fontId="75" fillId="2" borderId="142" xfId="0" applyNumberFormat="1" applyFont="1" applyFill="1" applyBorder="1" applyAlignment="1">
      <alignment horizontal="centerContinuous" vertical="center"/>
    </xf>
    <xf numFmtId="2" fontId="62" fillId="2" borderId="122" xfId="0" applyNumberFormat="1" applyFont="1" applyFill="1" applyBorder="1" applyAlignment="1">
      <alignment horizontal="centerContinuous" vertical="center" wrapText="1"/>
    </xf>
    <xf numFmtId="2" fontId="75" fillId="2" borderId="115" xfId="0" applyNumberFormat="1" applyFont="1" applyFill="1" applyBorder="1" applyAlignment="1">
      <alignment horizontal="centerContinuous" vertical="center" wrapText="1"/>
    </xf>
    <xf numFmtId="10" fontId="245" fillId="2" borderId="121" xfId="0" applyNumberFormat="1" applyFont="1" applyFill="1" applyBorder="1" applyAlignment="1">
      <alignment horizontal="centerContinuous"/>
    </xf>
    <xf numFmtId="10" fontId="245" fillId="2" borderId="68" xfId="0" applyNumberFormat="1" applyFont="1" applyFill="1" applyBorder="1" applyAlignment="1">
      <alignment horizontal="centerContinuous"/>
    </xf>
    <xf numFmtId="10" fontId="221" fillId="2" borderId="121" xfId="0" applyNumberFormat="1" applyFont="1" applyFill="1" applyBorder="1" applyAlignment="1">
      <alignment horizontal="centerContinuous"/>
    </xf>
    <xf numFmtId="10" fontId="221" fillId="2" borderId="123" xfId="0" applyNumberFormat="1" applyFont="1" applyFill="1" applyBorder="1" applyAlignment="1">
      <alignment horizontal="centerContinuous"/>
    </xf>
    <xf numFmtId="2" fontId="75" fillId="2" borderId="120" xfId="0" quotePrefix="1" applyNumberFormat="1" applyFont="1" applyFill="1" applyBorder="1" applyAlignment="1">
      <alignment horizontal="centerContinuous" vertical="center" wrapText="1"/>
    </xf>
    <xf numFmtId="2" fontId="62" fillId="2" borderId="122" xfId="0" quotePrefix="1" applyNumberFormat="1" applyFont="1" applyFill="1" applyBorder="1" applyAlignment="1">
      <alignment horizontal="centerContinuous" vertical="center" wrapText="1"/>
    </xf>
    <xf numFmtId="10" fontId="75" fillId="2" borderId="115" xfId="0" applyNumberFormat="1" applyFont="1" applyFill="1" applyBorder="1" applyAlignment="1">
      <alignment horizontal="centerContinuous" vertical="center" wrapText="1"/>
    </xf>
    <xf numFmtId="10" fontId="62" fillId="2" borderId="121" xfId="0" applyNumberFormat="1" applyFont="1" applyFill="1" applyBorder="1" applyAlignment="1">
      <alignment horizontal="centerContinuous" vertical="center" wrapText="1"/>
    </xf>
    <xf numFmtId="10" fontId="62" fillId="2" borderId="122" xfId="0" applyNumberFormat="1" applyFont="1" applyFill="1" applyBorder="1" applyAlignment="1">
      <alignment horizontal="centerContinuous" vertical="center" wrapText="1"/>
    </xf>
    <xf numFmtId="10" fontId="62" fillId="2" borderId="123" xfId="0" applyNumberFormat="1" applyFont="1" applyFill="1" applyBorder="1" applyAlignment="1">
      <alignment horizontal="centerContinuous" vertical="center" wrapText="1"/>
    </xf>
    <xf numFmtId="2" fontId="62" fillId="0" borderId="120" xfId="0" applyNumberFormat="1" applyFont="1" applyBorder="1" applyAlignment="1">
      <alignment horizontal="center" vertical="center"/>
    </xf>
    <xf numFmtId="2" fontId="62" fillId="0" borderId="122" xfId="0" applyNumberFormat="1" applyFont="1" applyBorder="1" applyAlignment="1">
      <alignment horizontal="center" vertical="center"/>
    </xf>
    <xf numFmtId="10" fontId="62" fillId="0" borderId="115" xfId="0" applyNumberFormat="1" applyFont="1" applyBorder="1" applyAlignment="1">
      <alignment horizontal="center" vertical="center" wrapText="1"/>
    </xf>
    <xf numFmtId="10" fontId="62" fillId="0" borderId="121" xfId="0" applyNumberFormat="1" applyFont="1" applyBorder="1" applyAlignment="1">
      <alignment horizontal="center" vertical="center" wrapText="1"/>
    </xf>
    <xf numFmtId="10" fontId="62" fillId="0" borderId="122" xfId="0" applyNumberFormat="1" applyFont="1" applyBorder="1" applyAlignment="1">
      <alignment horizontal="center" vertical="center" wrapText="1"/>
    </xf>
    <xf numFmtId="10" fontId="62" fillId="2" borderId="120" xfId="0" applyNumberFormat="1" applyFont="1" applyFill="1" applyBorder="1" applyAlignment="1">
      <alignment horizontal="center" vertical="center" wrapText="1"/>
    </xf>
    <xf numFmtId="10" fontId="62" fillId="2" borderId="121" xfId="0" applyNumberFormat="1" applyFont="1" applyFill="1" applyBorder="1" applyAlignment="1">
      <alignment horizontal="center" vertical="center" wrapText="1"/>
    </xf>
    <xf numFmtId="10" fontId="62" fillId="0" borderId="123" xfId="0" applyNumberFormat="1" applyFont="1" applyBorder="1" applyAlignment="1">
      <alignment horizontal="center" vertical="center" wrapText="1"/>
    </xf>
    <xf numFmtId="2" fontId="62" fillId="2" borderId="120" xfId="0" applyNumberFormat="1" applyFont="1" applyFill="1" applyBorder="1" applyAlignment="1">
      <alignment horizontal="center" vertical="center" wrapText="1"/>
    </xf>
    <xf numFmtId="2" fontId="62" fillId="2" borderId="122" xfId="0" applyNumberFormat="1" applyFont="1" applyFill="1" applyBorder="1" applyAlignment="1">
      <alignment horizontal="center" vertical="center" wrapText="1"/>
    </xf>
    <xf numFmtId="10" fontId="62" fillId="2" borderId="115" xfId="0" applyNumberFormat="1" applyFont="1" applyFill="1" applyBorder="1" applyAlignment="1">
      <alignment horizontal="center" vertical="center"/>
    </xf>
    <xf numFmtId="10" fontId="62" fillId="2" borderId="121" xfId="0" applyNumberFormat="1" applyFont="1" applyFill="1" applyBorder="1" applyAlignment="1">
      <alignment horizontal="center" vertical="center"/>
    </xf>
    <xf numFmtId="10" fontId="62" fillId="2" borderId="122" xfId="0" applyNumberFormat="1" applyFont="1" applyFill="1" applyBorder="1" applyAlignment="1">
      <alignment horizontal="center" vertical="center"/>
    </xf>
    <xf numFmtId="10" fontId="62" fillId="2" borderId="120" xfId="0" applyNumberFormat="1" applyFont="1" applyFill="1" applyBorder="1" applyAlignment="1">
      <alignment horizontal="center" vertical="center"/>
    </xf>
    <xf numFmtId="10" fontId="62" fillId="2" borderId="123" xfId="0" applyNumberFormat="1" applyFont="1" applyFill="1" applyBorder="1" applyAlignment="1">
      <alignment horizontal="center" vertical="center"/>
    </xf>
    <xf numFmtId="1" fontId="95" fillId="3" borderId="22" xfId="12392" applyNumberFormat="1" applyFont="1" applyFill="1" applyBorder="1" applyAlignment="1" applyProtection="1">
      <alignment horizontal="centerContinuous" vertical="center" wrapText="1"/>
    </xf>
    <xf numFmtId="2" fontId="75" fillId="2" borderId="120" xfId="0" quotePrefix="1" applyNumberFormat="1" applyFont="1" applyFill="1" applyBorder="1" applyAlignment="1">
      <alignment horizontal="center" vertical="center" wrapText="1"/>
    </xf>
    <xf numFmtId="2" fontId="75" fillId="2" borderId="122" xfId="0" quotePrefix="1" applyNumberFormat="1" applyFont="1" applyFill="1" applyBorder="1" applyAlignment="1">
      <alignment horizontal="center" vertical="center" wrapText="1"/>
    </xf>
    <xf numFmtId="10" fontId="62" fillId="2" borderId="115" xfId="0" applyNumberFormat="1" applyFont="1" applyFill="1" applyBorder="1" applyAlignment="1">
      <alignment horizontal="center" vertical="center" wrapText="1"/>
    </xf>
    <xf numFmtId="10" fontId="62" fillId="2" borderId="122" xfId="0" applyNumberFormat="1" applyFont="1" applyFill="1" applyBorder="1" applyAlignment="1">
      <alignment horizontal="center" vertical="center" wrapText="1"/>
    </xf>
    <xf numFmtId="10" fontId="62" fillId="2" borderId="123" xfId="0" applyNumberFormat="1" applyFont="1" applyFill="1" applyBorder="1" applyAlignment="1">
      <alignment horizontal="center" vertical="center" wrapText="1"/>
    </xf>
    <xf numFmtId="185" fontId="62" fillId="0" borderId="3" xfId="0" applyNumberFormat="1" applyFont="1" applyBorder="1" applyAlignment="1">
      <alignment horizontal="center"/>
    </xf>
    <xf numFmtId="216" fontId="118" fillId="7" borderId="0" xfId="12406" applyNumberFormat="1" applyFont="1" applyFill="1"/>
    <xf numFmtId="216" fontId="118" fillId="7" borderId="143" xfId="12406" applyNumberFormat="1" applyFont="1" applyFill="1" applyBorder="1" applyAlignment="1"/>
    <xf numFmtId="216" fontId="118" fillId="7" borderId="144" xfId="12406" applyNumberFormat="1" applyFont="1" applyFill="1" applyBorder="1"/>
    <xf numFmtId="216" fontId="118" fillId="7" borderId="144" xfId="12406" applyNumberFormat="1" applyFont="1" applyFill="1" applyBorder="1" applyAlignment="1"/>
    <xf numFmtId="216" fontId="118" fillId="7" borderId="141" xfId="12406" applyNumberFormat="1" applyFont="1" applyFill="1" applyBorder="1" applyAlignment="1"/>
    <xf numFmtId="216" fontId="118" fillId="7" borderId="142" xfId="12406" applyNumberFormat="1" applyFont="1" applyFill="1" applyBorder="1" applyAlignment="1"/>
    <xf numFmtId="216" fontId="62" fillId="0" borderId="0" xfId="12406" applyNumberFormat="1" applyFont="1"/>
    <xf numFmtId="216" fontId="62" fillId="0" borderId="74" xfId="12406" applyNumberFormat="1" applyFont="1" applyBorder="1" applyAlignment="1"/>
    <xf numFmtId="216" fontId="62" fillId="0" borderId="0" xfId="12406" applyNumberFormat="1" applyFont="1" applyBorder="1"/>
    <xf numFmtId="216" fontId="62" fillId="0" borderId="141" xfId="12406" applyNumberFormat="1" applyFont="1" applyBorder="1"/>
    <xf numFmtId="216" fontId="62" fillId="0" borderId="62" xfId="12406" applyNumberFormat="1" applyFont="1" applyBorder="1"/>
    <xf numFmtId="216" fontId="62" fillId="0" borderId="142" xfId="12406" applyNumberFormat="1" applyFont="1" applyBorder="1" applyAlignment="1"/>
    <xf numFmtId="216" fontId="62" fillId="0" borderId="141" xfId="12406" applyNumberFormat="1" applyFont="1" applyFill="1" applyBorder="1"/>
    <xf numFmtId="216" fontId="62" fillId="0" borderId="0" xfId="12406" applyNumberFormat="1" applyFont="1" applyFill="1"/>
    <xf numFmtId="216" fontId="62" fillId="0" borderId="74" xfId="12406" applyNumberFormat="1" applyFont="1" applyFill="1" applyBorder="1" applyAlignment="1"/>
    <xf numFmtId="216" fontId="62" fillId="0" borderId="0" xfId="12406" applyNumberFormat="1" applyFont="1" applyFill="1" applyBorder="1"/>
    <xf numFmtId="216" fontId="62" fillId="0" borderId="62" xfId="12406" applyNumberFormat="1" applyFont="1" applyFill="1" applyBorder="1"/>
    <xf numFmtId="216" fontId="62" fillId="0" borderId="142" xfId="12406" applyNumberFormat="1" applyFont="1" applyFill="1" applyBorder="1" applyAlignment="1"/>
    <xf numFmtId="0" fontId="146" fillId="11" borderId="0" xfId="0" applyFont="1" applyFill="1"/>
    <xf numFmtId="1" fontId="62" fillId="0" borderId="0" xfId="0" applyNumberFormat="1" applyFont="1"/>
    <xf numFmtId="1" fontId="62" fillId="0" borderId="74" xfId="12401" applyNumberFormat="1" applyFont="1" applyBorder="1" applyAlignment="1"/>
    <xf numFmtId="2" fontId="62" fillId="0" borderId="0" xfId="0" applyNumberFormat="1" applyFont="1"/>
    <xf numFmtId="2" fontId="62" fillId="0" borderId="116" xfId="0" applyNumberFormat="1" applyFont="1" applyBorder="1"/>
    <xf numFmtId="2" fontId="62" fillId="0" borderId="141" xfId="0" applyNumberFormat="1" applyFont="1" applyBorder="1"/>
    <xf numFmtId="2" fontId="62" fillId="0" borderId="74" xfId="0" applyNumberFormat="1" applyFont="1" applyBorder="1"/>
    <xf numFmtId="2" fontId="62" fillId="0" borderId="119" xfId="0" applyNumberFormat="1" applyFont="1" applyBorder="1"/>
    <xf numFmtId="2" fontId="62" fillId="0" borderId="142" xfId="0" applyNumberFormat="1" applyFont="1" applyBorder="1"/>
    <xf numFmtId="2" fontId="62" fillId="2" borderId="0" xfId="0" applyNumberFormat="1" applyFont="1" applyFill="1"/>
    <xf numFmtId="10" fontId="62" fillId="2" borderId="0" xfId="0" applyNumberFormat="1" applyFont="1" applyFill="1"/>
    <xf numFmtId="2" fontId="180" fillId="2" borderId="120" xfId="0" applyNumberFormat="1" applyFont="1" applyFill="1" applyBorder="1" applyAlignment="1">
      <alignment horizontal="center" vertical="center" wrapText="1"/>
    </xf>
    <xf numFmtId="2" fontId="180" fillId="2" borderId="122" xfId="0" applyNumberFormat="1" applyFont="1" applyFill="1" applyBorder="1" applyAlignment="1">
      <alignment horizontal="center" vertical="center" wrapText="1"/>
    </xf>
    <xf numFmtId="10" fontId="180" fillId="2" borderId="115" xfId="0" applyNumberFormat="1" applyFont="1" applyFill="1" applyBorder="1" applyAlignment="1">
      <alignment horizontal="center" vertical="center"/>
    </xf>
    <xf numFmtId="10" fontId="180" fillId="2" borderId="121" xfId="0" applyNumberFormat="1" applyFont="1" applyFill="1" applyBorder="1" applyAlignment="1">
      <alignment horizontal="center" vertical="center"/>
    </xf>
    <xf numFmtId="10" fontId="180" fillId="2" borderId="122" xfId="0" applyNumberFormat="1" applyFont="1" applyFill="1" applyBorder="1" applyAlignment="1">
      <alignment horizontal="center" vertical="center"/>
    </xf>
    <xf numFmtId="10" fontId="180" fillId="2" borderId="120" xfId="0" applyNumberFormat="1" applyFont="1" applyFill="1" applyBorder="1" applyAlignment="1">
      <alignment horizontal="center" vertical="center"/>
    </xf>
    <xf numFmtId="10" fontId="180" fillId="2" borderId="123" xfId="0" applyNumberFormat="1" applyFont="1" applyFill="1" applyBorder="1" applyAlignment="1">
      <alignment horizontal="center" vertical="center"/>
    </xf>
    <xf numFmtId="171" fontId="62" fillId="0" borderId="62" xfId="0" applyNumberFormat="1" applyFont="1" applyBorder="1"/>
    <xf numFmtId="0" fontId="180" fillId="2" borderId="6" xfId="0" applyFont="1" applyFill="1" applyBorder="1" applyAlignment="1">
      <alignment horizontal="center" vertical="center"/>
    </xf>
    <xf numFmtId="0" fontId="180" fillId="2" borderId="71" xfId="0" applyFont="1" applyFill="1" applyBorder="1" applyAlignment="1">
      <alignment horizontal="center" vertical="center"/>
    </xf>
    <xf numFmtId="0" fontId="180" fillId="2" borderId="7" xfId="0" applyFont="1" applyFill="1" applyBorder="1" applyAlignment="1">
      <alignment horizontal="center" vertical="center"/>
    </xf>
    <xf numFmtId="0" fontId="180" fillId="2" borderId="8" xfId="0" applyFont="1" applyFill="1" applyBorder="1" applyAlignment="1">
      <alignment horizontal="center" vertical="center"/>
    </xf>
    <xf numFmtId="0" fontId="71" fillId="2" borderId="0" xfId="0" applyFont="1" applyFill="1" applyAlignment="1">
      <alignment horizontal="left" vertical="center"/>
    </xf>
    <xf numFmtId="0" fontId="246" fillId="2" borderId="0" xfId="9" applyFont="1" applyFill="1" applyAlignment="1" applyProtection="1">
      <alignment horizontal="left" vertical="center"/>
    </xf>
    <xf numFmtId="2" fontId="75" fillId="2" borderId="6" xfId="0" applyNumberFormat="1" applyFont="1" applyFill="1" applyBorder="1" applyAlignment="1">
      <alignment horizontal="centerContinuous" vertical="center" wrapText="1"/>
    </xf>
    <xf numFmtId="2" fontId="75" fillId="2" borderId="7" xfId="0" applyNumberFormat="1" applyFont="1" applyFill="1" applyBorder="1" applyAlignment="1">
      <alignment horizontal="centerContinuous" vertical="center" wrapText="1"/>
    </xf>
    <xf numFmtId="2" fontId="75" fillId="2" borderId="14" xfId="0" applyNumberFormat="1" applyFont="1" applyFill="1" applyBorder="1" applyAlignment="1">
      <alignment horizontal="centerContinuous" vertical="center" wrapText="1"/>
    </xf>
    <xf numFmtId="2" fontId="75" fillId="2" borderId="136" xfId="0" applyNumberFormat="1" applyFont="1" applyFill="1" applyBorder="1" applyAlignment="1">
      <alignment horizontal="centerContinuous" vertical="center"/>
    </xf>
    <xf numFmtId="10" fontId="75" fillId="2" borderId="136" xfId="0" applyNumberFormat="1" applyFont="1" applyFill="1" applyBorder="1" applyAlignment="1">
      <alignment horizontal="centerContinuous" vertical="center"/>
    </xf>
    <xf numFmtId="0" fontId="114" fillId="11" borderId="7" xfId="16" applyFont="1" applyFill="1" applyBorder="1" applyAlignment="1">
      <alignment horizontal="center" vertical="center" wrapText="1"/>
    </xf>
    <xf numFmtId="0" fontId="114" fillId="11" borderId="7" xfId="16" applyFont="1" applyFill="1" applyBorder="1" applyAlignment="1">
      <alignment horizontal="centerContinuous" vertical="center" wrapText="1"/>
    </xf>
    <xf numFmtId="0" fontId="114" fillId="11" borderId="8" xfId="16" applyFont="1" applyFill="1" applyBorder="1" applyAlignment="1">
      <alignment horizontal="center" vertical="center" wrapText="1"/>
    </xf>
    <xf numFmtId="2" fontId="62" fillId="2" borderId="71" xfId="0" applyNumberFormat="1" applyFont="1" applyFill="1" applyBorder="1" applyAlignment="1">
      <alignment horizontal="center" vertical="center" wrapText="1"/>
    </xf>
    <xf numFmtId="10" fontId="62" fillId="2" borderId="7" xfId="0" applyNumberFormat="1" applyFont="1" applyFill="1" applyBorder="1" applyAlignment="1">
      <alignment horizontal="center" vertical="center" wrapText="1"/>
    </xf>
    <xf numFmtId="0" fontId="62" fillId="11" borderId="145" xfId="16" applyFont="1" applyFill="1" applyBorder="1" applyAlignment="1">
      <alignment horizontal="centerContinuous" vertical="center" wrapText="1"/>
    </xf>
    <xf numFmtId="0" fontId="62" fillId="0" borderId="100" xfId="16" applyFont="1" applyBorder="1" applyAlignment="1">
      <alignment horizontal="center" vertical="center" wrapText="1"/>
    </xf>
    <xf numFmtId="0" fontId="62" fillId="11" borderId="93" xfId="0" applyFont="1" applyFill="1" applyBorder="1"/>
    <xf numFmtId="2" fontId="62" fillId="2" borderId="6" xfId="0" applyNumberFormat="1" applyFont="1" applyFill="1" applyBorder="1" applyAlignment="1">
      <alignment horizontal="center" vertical="center" wrapText="1"/>
    </xf>
    <xf numFmtId="2" fontId="62" fillId="2" borderId="71" xfId="0" applyNumberFormat="1" applyFont="1" applyFill="1" applyBorder="1" applyAlignment="1">
      <alignment horizontal="center" vertical="center"/>
    </xf>
    <xf numFmtId="10" fontId="62" fillId="2" borderId="7" xfId="0" applyNumberFormat="1" applyFont="1" applyFill="1" applyBorder="1" applyAlignment="1">
      <alignment horizontal="center" vertical="center"/>
    </xf>
    <xf numFmtId="2" fontId="75" fillId="2" borderId="92" xfId="0" quotePrefix="1" applyNumberFormat="1" applyFont="1" applyFill="1" applyBorder="1" applyAlignment="1">
      <alignment horizontal="center" vertical="center" wrapText="1"/>
    </xf>
    <xf numFmtId="10" fontId="75" fillId="2" borderId="23" xfId="0" quotePrefix="1" applyNumberFormat="1" applyFont="1" applyFill="1" applyBorder="1" applyAlignment="1">
      <alignment horizontal="center" vertical="center" wrapText="1"/>
    </xf>
    <xf numFmtId="0" fontId="57" fillId="2" borderId="22" xfId="0" applyFont="1" applyFill="1" applyBorder="1" applyAlignment="1">
      <alignment vertical="center"/>
    </xf>
    <xf numFmtId="0" fontId="57" fillId="2" borderId="23" xfId="0" applyFont="1" applyFill="1" applyBorder="1" applyAlignment="1">
      <alignment vertical="center" wrapText="1"/>
    </xf>
    <xf numFmtId="0" fontId="57" fillId="2" borderId="94" xfId="0" applyFont="1" applyFill="1" applyBorder="1" applyAlignment="1">
      <alignment vertical="center" wrapText="1"/>
    </xf>
    <xf numFmtId="0" fontId="57" fillId="2" borderId="23" xfId="0" applyFont="1" applyFill="1" applyBorder="1" applyAlignment="1">
      <alignment vertical="center"/>
    </xf>
    <xf numFmtId="0" fontId="57" fillId="2" borderId="24" xfId="0" applyFont="1" applyFill="1" applyBorder="1" applyAlignment="1">
      <alignment vertical="center" wrapText="1"/>
    </xf>
    <xf numFmtId="217" fontId="118" fillId="7" borderId="105" xfId="26" applyNumberFormat="1" applyFont="1" applyFill="1" applyBorder="1" applyAlignment="1">
      <alignment horizontal="center"/>
    </xf>
    <xf numFmtId="217" fontId="118" fillId="7" borderId="95" xfId="26" applyNumberFormat="1" applyFont="1" applyFill="1" applyBorder="1" applyAlignment="1">
      <alignment horizontal="center"/>
    </xf>
    <xf numFmtId="217" fontId="62" fillId="0" borderId="95" xfId="26" applyNumberFormat="1" applyFont="1" applyFill="1" applyBorder="1" applyAlignment="1">
      <alignment horizontal="center"/>
    </xf>
    <xf numFmtId="217" fontId="62" fillId="0" borderId="62" xfId="26" applyNumberFormat="1" applyFont="1" applyFill="1" applyBorder="1" applyAlignment="1">
      <alignment horizontal="center"/>
    </xf>
    <xf numFmtId="217" fontId="62" fillId="0" borderId="97" xfId="26" applyNumberFormat="1" applyFont="1" applyFill="1" applyBorder="1" applyAlignment="1">
      <alignment horizontal="center"/>
    </xf>
    <xf numFmtId="10" fontId="62" fillId="0" borderId="0" xfId="0" applyNumberFormat="1" applyFont="1"/>
    <xf numFmtId="10" fontId="62" fillId="0" borderId="97" xfId="12401" applyNumberFormat="1" applyFont="1" applyFill="1" applyBorder="1"/>
    <xf numFmtId="2" fontId="62" fillId="8" borderId="95" xfId="12401" applyNumberFormat="1" applyFont="1" applyFill="1" applyBorder="1" applyAlignment="1"/>
    <xf numFmtId="2" fontId="75" fillId="2" borderId="27" xfId="0" applyNumberFormat="1" applyFont="1" applyFill="1" applyBorder="1" applyAlignment="1">
      <alignment horizontal="centerContinuous" vertical="center" wrapText="1"/>
    </xf>
    <xf numFmtId="217" fontId="62" fillId="0" borderId="105" xfId="26" applyNumberFormat="1" applyFont="1" applyFill="1" applyBorder="1" applyAlignment="1">
      <alignment horizontal="center"/>
    </xf>
    <xf numFmtId="170" fontId="101" fillId="0" borderId="97" xfId="0" applyNumberFormat="1" applyFont="1" applyBorder="1"/>
    <xf numFmtId="0" fontId="75" fillId="2" borderId="27" xfId="0" applyFont="1" applyFill="1" applyBorder="1" applyAlignment="1">
      <alignment horizontal="centerContinuous" vertical="center" wrapText="1"/>
    </xf>
    <xf numFmtId="10" fontId="221" fillId="2" borderId="28" xfId="0" applyNumberFormat="1" applyFont="1" applyFill="1" applyBorder="1" applyAlignment="1">
      <alignment horizontal="center"/>
    </xf>
    <xf numFmtId="10" fontId="62" fillId="2" borderId="27" xfId="0" applyNumberFormat="1" applyFont="1" applyFill="1" applyBorder="1" applyAlignment="1">
      <alignment horizontal="center" vertical="center" wrapText="1"/>
    </xf>
    <xf numFmtId="10" fontId="78" fillId="2" borderId="27" xfId="0" applyNumberFormat="1" applyFont="1" applyFill="1" applyBorder="1" applyAlignment="1">
      <alignment horizontal="center"/>
    </xf>
    <xf numFmtId="10" fontId="62" fillId="2" borderId="27" xfId="0" applyNumberFormat="1" applyFont="1" applyFill="1" applyBorder="1" applyAlignment="1">
      <alignment horizontal="center" vertical="center"/>
    </xf>
    <xf numFmtId="10" fontId="75" fillId="2" borderId="103" xfId="0" quotePrefix="1" applyNumberFormat="1" applyFont="1" applyFill="1" applyBorder="1" applyAlignment="1">
      <alignment horizontal="center" vertical="center" wrapText="1"/>
    </xf>
    <xf numFmtId="10" fontId="62" fillId="0" borderId="18" xfId="0" applyNumberFormat="1" applyFont="1" applyBorder="1"/>
    <xf numFmtId="2" fontId="222" fillId="2" borderId="20" xfId="0" applyNumberFormat="1" applyFont="1" applyFill="1" applyBorder="1" applyAlignment="1">
      <alignment horizontal="center"/>
    </xf>
    <xf numFmtId="2" fontId="62" fillId="2" borderId="7" xfId="0" applyNumberFormat="1" applyFont="1" applyFill="1" applyBorder="1" applyAlignment="1">
      <alignment horizontal="center" vertical="center" wrapText="1"/>
    </xf>
    <xf numFmtId="2" fontId="75" fillId="2" borderId="23" xfId="0" applyNumberFormat="1" applyFont="1" applyFill="1" applyBorder="1" applyAlignment="1">
      <alignment horizontal="center" vertical="center" wrapText="1"/>
    </xf>
    <xf numFmtId="2" fontId="95" fillId="5" borderId="112" xfId="0" applyNumberFormat="1" applyFont="1" applyFill="1" applyBorder="1"/>
    <xf numFmtId="2" fontId="62" fillId="8" borderId="97" xfId="12401" applyNumberFormat="1" applyFont="1" applyFill="1" applyBorder="1" applyAlignment="1"/>
    <xf numFmtId="217" fontId="118" fillId="7" borderId="97" xfId="26" applyNumberFormat="1" applyFont="1" applyFill="1" applyBorder="1" applyAlignment="1">
      <alignment horizontal="center"/>
    </xf>
    <xf numFmtId="2" fontId="78" fillId="0" borderId="110" xfId="0" applyNumberFormat="1" applyFont="1" applyBorder="1" applyAlignment="1">
      <alignment horizontal="center" vertical="center"/>
    </xf>
    <xf numFmtId="2" fontId="78" fillId="0" borderId="71" xfId="0" applyNumberFormat="1" applyFont="1" applyBorder="1" applyAlignment="1">
      <alignment horizontal="center" vertical="center"/>
    </xf>
    <xf numFmtId="2" fontId="78" fillId="0" borderId="73" xfId="0" applyNumberFormat="1" applyFont="1" applyBorder="1" applyAlignment="1">
      <alignment horizontal="center" vertical="center"/>
    </xf>
    <xf numFmtId="2" fontId="78" fillId="0" borderId="85" xfId="0" applyNumberFormat="1" applyFont="1" applyBorder="1" applyAlignment="1">
      <alignment horizontal="center" vertical="center"/>
    </xf>
    <xf numFmtId="2" fontId="78" fillId="0" borderId="14" xfId="0" applyNumberFormat="1" applyFont="1" applyBorder="1" applyAlignment="1">
      <alignment horizontal="center" vertical="center"/>
    </xf>
    <xf numFmtId="2" fontId="78" fillId="0" borderId="136" xfId="0" applyNumberFormat="1" applyFont="1" applyBorder="1" applyAlignment="1">
      <alignment horizontal="center" vertical="center"/>
    </xf>
    <xf numFmtId="2" fontId="78" fillId="0" borderId="135" xfId="0" applyNumberFormat="1" applyFont="1" applyBorder="1" applyAlignment="1">
      <alignment horizontal="center" vertical="center"/>
    </xf>
    <xf numFmtId="2" fontId="78" fillId="0" borderId="72" xfId="0" applyNumberFormat="1" applyFont="1" applyBorder="1" applyAlignment="1">
      <alignment horizontal="center" vertical="center"/>
    </xf>
    <xf numFmtId="3" fontId="95" fillId="4" borderId="65" xfId="14" applyNumberFormat="1" applyFont="1" applyFill="1" applyBorder="1"/>
    <xf numFmtId="3" fontId="164" fillId="8" borderId="64" xfId="14" applyNumberFormat="1" applyFont="1" applyFill="1" applyBorder="1" applyAlignment="1">
      <alignment horizontal="center"/>
    </xf>
    <xf numFmtId="170" fontId="62" fillId="0" borderId="97" xfId="0" applyNumberFormat="1" applyFont="1" applyBorder="1"/>
    <xf numFmtId="170" fontId="62" fillId="0" borderId="105" xfId="0" applyNumberFormat="1" applyFont="1" applyBorder="1"/>
    <xf numFmtId="0" fontId="79" fillId="0" borderId="0" xfId="0" applyFont="1"/>
    <xf numFmtId="0" fontId="62" fillId="0" borderId="73" xfId="0" applyFont="1" applyBorder="1" applyAlignment="1">
      <alignment horizontal="centerContinuous" vertical="center" wrapText="1"/>
    </xf>
    <xf numFmtId="0" fontId="62" fillId="0" borderId="136" xfId="0" applyFont="1" applyBorder="1" applyAlignment="1">
      <alignment horizontal="centerContinuous" vertical="center" wrapText="1"/>
    </xf>
    <xf numFmtId="181" fontId="87" fillId="5" borderId="95" xfId="0" applyNumberFormat="1" applyFont="1" applyFill="1" applyBorder="1" applyAlignment="1">
      <alignment horizontal="center"/>
    </xf>
    <xf numFmtId="171" fontId="62" fillId="0" borderId="63" xfId="0" applyNumberFormat="1" applyFont="1" applyBorder="1"/>
    <xf numFmtId="3" fontId="239" fillId="0" borderId="18" xfId="16" applyNumberFormat="1" applyFont="1" applyBorder="1"/>
    <xf numFmtId="3" fontId="239" fillId="0" borderId="62" xfId="16" applyNumberFormat="1" applyFont="1" applyBorder="1"/>
    <xf numFmtId="3" fontId="239" fillId="0" borderId="0" xfId="16" applyNumberFormat="1" applyFont="1"/>
    <xf numFmtId="3" fontId="239" fillId="0" borderId="95" xfId="16" applyNumberFormat="1" applyFont="1" applyBorder="1"/>
    <xf numFmtId="3" fontId="239" fillId="0" borderId="97" xfId="16" applyNumberFormat="1" applyFont="1" applyBorder="1"/>
    <xf numFmtId="173" fontId="62" fillId="0" borderId="105" xfId="14" applyNumberFormat="1" applyFont="1" applyBorder="1"/>
    <xf numFmtId="173" fontId="62" fillId="0" borderId="18" xfId="14" applyNumberFormat="1" applyFont="1" applyBorder="1"/>
    <xf numFmtId="173" fontId="62" fillId="0" borderId="95" xfId="14" applyNumberFormat="1" applyFont="1" applyBorder="1"/>
    <xf numFmtId="0" fontId="62" fillId="0" borderId="0" xfId="16" applyFont="1"/>
    <xf numFmtId="0" fontId="19" fillId="0" borderId="0" xfId="10595"/>
    <xf numFmtId="0" fontId="62" fillId="0" borderId="0" xfId="10" applyFont="1"/>
    <xf numFmtId="0" fontId="57" fillId="0" borderId="0" xfId="10" applyFont="1"/>
    <xf numFmtId="216" fontId="239" fillId="0" borderId="0" xfId="12406" applyNumberFormat="1" applyFont="1"/>
    <xf numFmtId="216" fontId="239" fillId="0" borderId="74" xfId="12406" applyNumberFormat="1" applyFont="1" applyBorder="1" applyAlignment="1"/>
    <xf numFmtId="216" fontId="239" fillId="0" borderId="0" xfId="12406" applyNumberFormat="1" applyFont="1" applyBorder="1"/>
    <xf numFmtId="216" fontId="239" fillId="0" borderId="141" xfId="12406" applyNumberFormat="1" applyFont="1" applyBorder="1"/>
    <xf numFmtId="216" fontId="239" fillId="0" borderId="62" xfId="12406" applyNumberFormat="1" applyFont="1" applyBorder="1"/>
    <xf numFmtId="216" fontId="239" fillId="0" borderId="142" xfId="12406" applyNumberFormat="1" applyFont="1" applyBorder="1" applyAlignment="1"/>
    <xf numFmtId="0" fontId="89" fillId="11" borderId="0" xfId="0" applyFont="1" applyFill="1" applyAlignment="1">
      <alignment vertical="center"/>
    </xf>
    <xf numFmtId="0" fontId="63" fillId="11" borderId="0" xfId="0" applyFont="1" applyFill="1"/>
    <xf numFmtId="10" fontId="78" fillId="2" borderId="135" xfId="0" applyNumberFormat="1" applyFont="1" applyFill="1" applyBorder="1" applyAlignment="1">
      <alignment horizontal="center"/>
    </xf>
    <xf numFmtId="1" fontId="78" fillId="2" borderId="135" xfId="0" applyNumberFormat="1" applyFont="1" applyFill="1" applyBorder="1" applyAlignment="1">
      <alignment horizontal="center" vertical="center"/>
    </xf>
    <xf numFmtId="171" fontId="120" fillId="8" borderId="64" xfId="0" applyNumberFormat="1" applyFont="1" applyFill="1" applyBorder="1"/>
    <xf numFmtId="171" fontId="95" fillId="4" borderId="13" xfId="0" applyNumberFormat="1" applyFont="1" applyFill="1" applyBorder="1"/>
    <xf numFmtId="0" fontId="62" fillId="0" borderId="136" xfId="0" applyFont="1" applyBorder="1" applyAlignment="1">
      <alignment horizontal="center" vertical="center" wrapText="1"/>
    </xf>
    <xf numFmtId="171" fontId="223" fillId="0" borderId="63" xfId="0" applyNumberFormat="1" applyFont="1" applyBorder="1"/>
    <xf numFmtId="0" fontId="61" fillId="11" borderId="0" xfId="0" applyFont="1" applyFill="1" applyAlignment="1">
      <alignment vertical="center"/>
    </xf>
    <xf numFmtId="0" fontId="61" fillId="11" borderId="0" xfId="0" applyFont="1" applyFill="1" applyAlignment="1">
      <alignment vertical="center" wrapText="1"/>
    </xf>
    <xf numFmtId="179" fontId="60" fillId="11" borderId="0" xfId="12401" applyNumberFormat="1" applyFont="1" applyFill="1"/>
    <xf numFmtId="10" fontId="226" fillId="11" borderId="0" xfId="12401" applyNumberFormat="1" applyFont="1" applyFill="1"/>
    <xf numFmtId="10" fontId="79" fillId="11" borderId="0" xfId="0" applyNumberFormat="1" applyFont="1" applyFill="1"/>
    <xf numFmtId="2" fontId="79" fillId="11" borderId="0" xfId="0" applyNumberFormat="1" applyFont="1" applyFill="1"/>
    <xf numFmtId="2" fontId="222" fillId="11" borderId="38" xfId="0" applyNumberFormat="1" applyFont="1" applyFill="1" applyBorder="1" applyAlignment="1">
      <alignment horizontal="center"/>
    </xf>
    <xf numFmtId="2" fontId="221" fillId="11" borderId="20" xfId="0" applyNumberFormat="1" applyFont="1" applyFill="1" applyBorder="1" applyAlignment="1">
      <alignment horizontal="center"/>
    </xf>
    <xf numFmtId="10" fontId="221" fillId="11" borderId="20" xfId="0" applyNumberFormat="1" applyFont="1" applyFill="1" applyBorder="1" applyAlignment="1">
      <alignment horizontal="center"/>
    </xf>
    <xf numFmtId="2" fontId="78" fillId="11" borderId="6" xfId="0" applyNumberFormat="1" applyFont="1" applyFill="1" applyBorder="1" applyAlignment="1">
      <alignment horizontal="center"/>
    </xf>
    <xf numFmtId="2" fontId="78" fillId="11" borderId="7" xfId="0" applyNumberFormat="1" applyFont="1" applyFill="1" applyBorder="1" applyAlignment="1">
      <alignment horizontal="center"/>
    </xf>
    <xf numFmtId="10" fontId="78" fillId="11" borderId="7" xfId="0" applyNumberFormat="1" applyFont="1" applyFill="1" applyBorder="1" applyAlignment="1">
      <alignment horizontal="center"/>
    </xf>
    <xf numFmtId="2" fontId="78" fillId="11" borderId="71" xfId="0" applyNumberFormat="1" applyFont="1" applyFill="1" applyBorder="1" applyAlignment="1">
      <alignment horizontal="center" vertical="center"/>
    </xf>
    <xf numFmtId="49" fontId="78" fillId="11" borderId="7" xfId="0" applyNumberFormat="1" applyFont="1" applyFill="1" applyBorder="1" applyAlignment="1">
      <alignment horizontal="center" vertical="center"/>
    </xf>
    <xf numFmtId="171" fontId="101" fillId="8" borderId="147" xfId="0" applyNumberFormat="1" applyFont="1" applyFill="1" applyBorder="1"/>
    <xf numFmtId="179" fontId="243" fillId="0" borderId="148" xfId="12401" applyNumberFormat="1" applyFont="1" applyFill="1" applyBorder="1" applyAlignment="1"/>
    <xf numFmtId="1" fontId="95" fillId="11" borderId="22" xfId="9" applyNumberFormat="1" applyFont="1" applyFill="1" applyBorder="1" applyAlignment="1" applyProtection="1">
      <alignment horizontal="centerContinuous" vertical="center" wrapText="1"/>
    </xf>
    <xf numFmtId="0" fontId="89" fillId="10" borderId="154" xfId="0" applyFont="1" applyFill="1" applyBorder="1" applyAlignment="1">
      <alignment horizontal="center" vertical="center"/>
    </xf>
    <xf numFmtId="0" fontId="57" fillId="2" borderId="0" xfId="0" applyFont="1" applyFill="1" applyAlignment="1">
      <alignment horizontal="center" vertical="center"/>
    </xf>
    <xf numFmtId="0" fontId="60" fillId="2" borderId="155" xfId="0" applyFont="1" applyFill="1" applyBorder="1" applyAlignment="1">
      <alignment vertical="center"/>
    </xf>
    <xf numFmtId="0" fontId="57" fillId="2" borderId="7" xfId="0" applyFont="1" applyFill="1" applyBorder="1" applyAlignment="1">
      <alignment horizontal="center" vertical="center"/>
    </xf>
    <xf numFmtId="173" fontId="62" fillId="0" borderId="0" xfId="0" applyNumberFormat="1" applyFont="1" applyAlignment="1">
      <alignment horizontal="center"/>
    </xf>
    <xf numFmtId="0" fontId="57" fillId="11" borderId="0" xfId="0" applyFont="1" applyFill="1" applyAlignment="1">
      <alignment vertical="center"/>
    </xf>
    <xf numFmtId="0" fontId="75" fillId="2" borderId="136" xfId="0" applyFont="1" applyFill="1" applyBorder="1" applyAlignment="1">
      <alignment horizontal="centerContinuous" vertical="center" wrapText="1"/>
    </xf>
    <xf numFmtId="10" fontId="75" fillId="2" borderId="135" xfId="0" applyNumberFormat="1" applyFont="1" applyFill="1" applyBorder="1" applyAlignment="1">
      <alignment horizontal="centerContinuous" vertical="center" wrapText="1"/>
    </xf>
    <xf numFmtId="10" fontId="62" fillId="2" borderId="8" xfId="0" applyNumberFormat="1" applyFont="1" applyFill="1" applyBorder="1" applyAlignment="1">
      <alignment horizontal="center" vertical="center" wrapText="1"/>
    </xf>
    <xf numFmtId="10" fontId="62" fillId="2" borderId="71" xfId="0" applyNumberFormat="1" applyFont="1" applyFill="1" applyBorder="1" applyAlignment="1">
      <alignment horizontal="center" vertical="center"/>
    </xf>
    <xf numFmtId="10" fontId="62" fillId="2" borderId="8" xfId="0" applyNumberFormat="1" applyFont="1" applyFill="1" applyBorder="1" applyAlignment="1">
      <alignment horizontal="center" vertical="center"/>
    </xf>
    <xf numFmtId="0" fontId="75" fillId="2" borderId="26" xfId="0" applyFont="1" applyFill="1" applyBorder="1" applyAlignment="1">
      <alignment horizontal="center" vertical="center" wrapText="1"/>
    </xf>
    <xf numFmtId="0" fontId="75" fillId="2" borderId="92" xfId="0" quotePrefix="1" applyFont="1" applyFill="1" applyBorder="1" applyAlignment="1">
      <alignment horizontal="center" vertical="center" wrapText="1"/>
    </xf>
    <xf numFmtId="10" fontId="75" fillId="2" borderId="24" xfId="0" quotePrefix="1" applyNumberFormat="1" applyFont="1" applyFill="1" applyBorder="1" applyAlignment="1">
      <alignment horizontal="center" vertical="center" wrapText="1"/>
    </xf>
    <xf numFmtId="0" fontId="57" fillId="11" borderId="0" xfId="0" applyFont="1" applyFill="1"/>
    <xf numFmtId="2" fontId="62" fillId="11" borderId="0" xfId="0" applyNumberFormat="1" applyFont="1" applyFill="1" applyAlignment="1">
      <alignment horizontal="center"/>
    </xf>
    <xf numFmtId="0" fontId="62" fillId="11" borderId="0" xfId="0" applyFont="1" applyFill="1"/>
    <xf numFmtId="10" fontId="62" fillId="11" borderId="0" xfId="0" applyNumberFormat="1" applyFont="1" applyFill="1"/>
    <xf numFmtId="2" fontId="75" fillId="2" borderId="14" xfId="0" applyNumberFormat="1" applyFont="1" applyFill="1" applyBorder="1" applyAlignment="1">
      <alignment horizontal="centerContinuous" vertical="center"/>
    </xf>
    <xf numFmtId="0" fontId="75" fillId="2" borderId="136" xfId="0" applyFont="1" applyFill="1" applyBorder="1" applyAlignment="1">
      <alignment horizontal="centerContinuous" vertical="center"/>
    </xf>
    <xf numFmtId="2" fontId="75" fillId="11" borderId="26" xfId="0" applyNumberFormat="1" applyFont="1" applyFill="1" applyBorder="1" applyAlignment="1">
      <alignment horizontal="center" vertical="center" wrapText="1"/>
    </xf>
    <xf numFmtId="2" fontId="75" fillId="11" borderId="92" xfId="0" quotePrefix="1" applyNumberFormat="1" applyFont="1" applyFill="1" applyBorder="1" applyAlignment="1">
      <alignment horizontal="center" vertical="center" wrapText="1"/>
    </xf>
    <xf numFmtId="10" fontId="75" fillId="11" borderId="23" xfId="0" quotePrefix="1" applyNumberFormat="1" applyFont="1" applyFill="1" applyBorder="1" applyAlignment="1">
      <alignment horizontal="center" vertical="center" wrapText="1"/>
    </xf>
    <xf numFmtId="0" fontId="57" fillId="11" borderId="22" xfId="0" applyFont="1" applyFill="1" applyBorder="1" applyAlignment="1">
      <alignment vertical="center"/>
    </xf>
    <xf numFmtId="0" fontId="57" fillId="11" borderId="23" xfId="0" applyFont="1" applyFill="1" applyBorder="1" applyAlignment="1">
      <alignment vertical="center" wrapText="1"/>
    </xf>
    <xf numFmtId="0" fontId="57" fillId="11" borderId="29" xfId="0" applyFont="1" applyFill="1" applyBorder="1" applyAlignment="1">
      <alignment vertical="center" wrapText="1"/>
    </xf>
    <xf numFmtId="0" fontId="57" fillId="11" borderId="24" xfId="0" applyFont="1" applyFill="1" applyBorder="1" applyAlignment="1">
      <alignment vertical="center" wrapText="1"/>
    </xf>
    <xf numFmtId="171" fontId="95" fillId="5" borderId="148" xfId="0" applyNumberFormat="1" applyFont="1" applyFill="1" applyBorder="1"/>
    <xf numFmtId="10" fontId="62" fillId="8" borderId="147" xfId="12401" applyNumberFormat="1" applyFont="1" applyFill="1" applyBorder="1" applyAlignment="1"/>
    <xf numFmtId="179" fontId="118" fillId="7" borderId="147" xfId="12401" applyNumberFormat="1" applyFont="1" applyFill="1" applyBorder="1"/>
    <xf numFmtId="179" fontId="62" fillId="0" borderId="147" xfId="12401" applyNumberFormat="1" applyFont="1" applyFill="1" applyBorder="1"/>
    <xf numFmtId="179" fontId="62" fillId="0" borderId="0" xfId="0" applyNumberFormat="1" applyFont="1"/>
    <xf numFmtId="179" fontId="62" fillId="0" borderId="148" xfId="12401" applyNumberFormat="1" applyFont="1" applyFill="1" applyBorder="1"/>
    <xf numFmtId="10" fontId="62" fillId="0" borderId="147" xfId="12401" applyNumberFormat="1" applyFont="1" applyFill="1" applyBorder="1"/>
    <xf numFmtId="2" fontId="75" fillId="11" borderId="6" xfId="0" applyNumberFormat="1" applyFont="1" applyFill="1" applyBorder="1" applyAlignment="1">
      <alignment horizontal="centerContinuous" vertical="center" wrapText="1"/>
    </xf>
    <xf numFmtId="2" fontId="75" fillId="11" borderId="7" xfId="0" applyNumberFormat="1" applyFont="1" applyFill="1" applyBorder="1" applyAlignment="1">
      <alignment horizontal="centerContinuous" vertical="center" wrapText="1"/>
    </xf>
    <xf numFmtId="0" fontId="75" fillId="11" borderId="7" xfId="0" applyFont="1" applyFill="1" applyBorder="1" applyAlignment="1">
      <alignment horizontal="centerContinuous" vertical="center" wrapText="1"/>
    </xf>
    <xf numFmtId="2" fontId="75" fillId="11" borderId="14" xfId="0" applyNumberFormat="1" applyFont="1" applyFill="1" applyBorder="1" applyAlignment="1">
      <alignment horizontal="centerContinuous" vertical="center"/>
    </xf>
    <xf numFmtId="2" fontId="75" fillId="11" borderId="136" xfId="0" applyNumberFormat="1" applyFont="1" applyFill="1" applyBorder="1" applyAlignment="1">
      <alignment horizontal="centerContinuous" vertical="center"/>
    </xf>
    <xf numFmtId="2" fontId="62" fillId="11" borderId="6" xfId="0" applyNumberFormat="1" applyFont="1" applyFill="1" applyBorder="1" applyAlignment="1">
      <alignment horizontal="center" vertical="center" wrapText="1"/>
    </xf>
    <xf numFmtId="2" fontId="62" fillId="11" borderId="71" xfId="0" applyNumberFormat="1" applyFont="1" applyFill="1" applyBorder="1" applyAlignment="1">
      <alignment horizontal="center" vertical="center" wrapText="1"/>
    </xf>
    <xf numFmtId="10" fontId="62" fillId="11" borderId="7" xfId="0" applyNumberFormat="1" applyFont="1" applyFill="1" applyBorder="1" applyAlignment="1">
      <alignment horizontal="center" vertical="center" wrapText="1"/>
    </xf>
    <xf numFmtId="2" fontId="62" fillId="11" borderId="71" xfId="0" applyNumberFormat="1" applyFont="1" applyFill="1" applyBorder="1" applyAlignment="1">
      <alignment horizontal="center" vertical="center"/>
    </xf>
    <xf numFmtId="10" fontId="62" fillId="11" borderId="7" xfId="0" applyNumberFormat="1" applyFont="1" applyFill="1" applyBorder="1" applyAlignment="1">
      <alignment horizontal="center" vertical="center"/>
    </xf>
    <xf numFmtId="2" fontId="62" fillId="0" borderId="148" xfId="12401" applyNumberFormat="1" applyFont="1" applyFill="1" applyBorder="1"/>
    <xf numFmtId="10" fontId="75" fillId="2" borderId="135" xfId="0" applyNumberFormat="1" applyFont="1" applyFill="1" applyBorder="1" applyAlignment="1">
      <alignment horizontal="center" vertical="center" wrapText="1"/>
    </xf>
    <xf numFmtId="10" fontId="62" fillId="2" borderId="135" xfId="0" applyNumberFormat="1" applyFont="1" applyFill="1" applyBorder="1" applyAlignment="1">
      <alignment horizontal="center" vertical="center" wrapText="1"/>
    </xf>
    <xf numFmtId="0" fontId="57" fillId="11" borderId="0" xfId="0" applyFont="1" applyFill="1" applyAlignment="1">
      <alignment vertical="center" wrapText="1"/>
    </xf>
    <xf numFmtId="185" fontId="57" fillId="11" borderId="0" xfId="0" applyNumberFormat="1" applyFont="1" applyFill="1" applyAlignment="1">
      <alignment vertical="center" wrapText="1"/>
    </xf>
    <xf numFmtId="185" fontId="57" fillId="11" borderId="0" xfId="0" applyNumberFormat="1" applyFont="1" applyFill="1"/>
    <xf numFmtId="185" fontId="57" fillId="11" borderId="0" xfId="12401" applyNumberFormat="1" applyFont="1" applyFill="1"/>
    <xf numFmtId="179" fontId="57" fillId="11" borderId="0" xfId="12401" applyNumberFormat="1" applyFont="1" applyFill="1"/>
    <xf numFmtId="171" fontId="62" fillId="0" borderId="95" xfId="0" applyNumberFormat="1" applyFont="1" applyBorder="1"/>
    <xf numFmtId="10" fontId="75" fillId="2" borderId="30" xfId="0" applyNumberFormat="1" applyFont="1" applyFill="1" applyBorder="1" applyAlignment="1">
      <alignment horizontal="center" vertical="center" wrapText="1"/>
    </xf>
    <xf numFmtId="2" fontId="62" fillId="0" borderId="64" xfId="0" applyNumberFormat="1" applyFont="1" applyBorder="1"/>
    <xf numFmtId="0" fontId="62" fillId="2" borderId="0" xfId="13" applyFont="1" applyFill="1" applyAlignment="1">
      <alignment vertical="center" wrapText="1"/>
    </xf>
    <xf numFmtId="0" fontId="75" fillId="2" borderId="6" xfId="13" applyFont="1" applyFill="1" applyBorder="1" applyAlignment="1">
      <alignment horizontal="centerContinuous" vertical="center" readingOrder="1"/>
    </xf>
    <xf numFmtId="0" fontId="75" fillId="2" borderId="7" xfId="13" applyFont="1" applyFill="1" applyBorder="1" applyAlignment="1">
      <alignment horizontal="centerContinuous" vertical="center" wrapText="1" readingOrder="1"/>
    </xf>
    <xf numFmtId="0" fontId="75" fillId="2" borderId="7" xfId="13" quotePrefix="1" applyFont="1" applyFill="1" applyBorder="1" applyAlignment="1">
      <alignment horizontal="centerContinuous" vertical="center" wrapText="1" readingOrder="1"/>
    </xf>
    <xf numFmtId="0" fontId="75" fillId="2" borderId="8" xfId="13" quotePrefix="1" applyFont="1" applyFill="1" applyBorder="1" applyAlignment="1">
      <alignment horizontal="centerContinuous" vertical="center" wrapText="1" readingOrder="1"/>
    </xf>
    <xf numFmtId="0" fontId="57" fillId="2" borderId="2" xfId="13" applyFont="1" applyFill="1" applyBorder="1" applyAlignment="1">
      <alignment vertical="center"/>
    </xf>
    <xf numFmtId="0" fontId="62" fillId="2" borderId="2" xfId="13" applyFont="1" applyFill="1" applyBorder="1" applyAlignment="1">
      <alignment horizontal="centerContinuous" vertical="center" wrapText="1"/>
    </xf>
    <xf numFmtId="0" fontId="62" fillId="2" borderId="0" xfId="13" applyFont="1" applyFill="1" applyAlignment="1">
      <alignment horizontal="centerContinuous" vertical="center" wrapText="1"/>
    </xf>
    <xf numFmtId="0" fontId="62" fillId="0" borderId="7" xfId="13" applyFont="1" applyBorder="1" applyAlignment="1">
      <alignment horizontal="centerContinuous" vertical="center" wrapText="1"/>
    </xf>
    <xf numFmtId="0" fontId="62" fillId="0" borderId="7" xfId="13" quotePrefix="1" applyFont="1" applyBorder="1" applyAlignment="1">
      <alignment horizontal="centerContinuous" vertical="center" wrapText="1"/>
    </xf>
    <xf numFmtId="0" fontId="62" fillId="0" borderId="8" xfId="13" quotePrefix="1" applyFont="1" applyBorder="1" applyAlignment="1">
      <alignment horizontal="centerContinuous" vertical="center" wrapText="1"/>
    </xf>
    <xf numFmtId="0" fontId="62" fillId="0" borderId="20" xfId="13" quotePrefix="1" applyFont="1" applyBorder="1" applyAlignment="1">
      <alignment horizontal="center" vertical="center" wrapText="1"/>
    </xf>
    <xf numFmtId="0" fontId="62" fillId="0" borderId="20" xfId="13" applyFont="1" applyBorder="1" applyAlignment="1">
      <alignment horizontal="center" vertical="center" wrapText="1"/>
    </xf>
    <xf numFmtId="0" fontId="62" fillId="0" borderId="25" xfId="13" quotePrefix="1" applyFont="1" applyBorder="1" applyAlignment="1">
      <alignment horizontal="center" vertical="center" wrapText="1"/>
    </xf>
    <xf numFmtId="0" fontId="62" fillId="0" borderId="71" xfId="13" quotePrefix="1" applyFont="1" applyBorder="1" applyAlignment="1">
      <alignment horizontal="center" vertical="center" wrapText="1"/>
    </xf>
    <xf numFmtId="0" fontId="62" fillId="0" borderId="21" xfId="13" quotePrefix="1" applyFont="1" applyBorder="1" applyAlignment="1">
      <alignment horizontal="center" vertical="center" wrapText="1"/>
    </xf>
    <xf numFmtId="0" fontId="62" fillId="2" borderId="2" xfId="13" applyFont="1" applyFill="1" applyBorder="1" applyAlignment="1">
      <alignment vertical="center"/>
    </xf>
    <xf numFmtId="179" fontId="94" fillId="2" borderId="136" xfId="12401" applyNumberFormat="1" applyFont="1" applyFill="1" applyBorder="1" applyAlignment="1">
      <alignment horizontal="center" vertical="center"/>
    </xf>
    <xf numFmtId="180" fontId="62" fillId="2" borderId="71" xfId="12401" applyNumberFormat="1" applyFont="1" applyFill="1" applyBorder="1" applyAlignment="1">
      <alignment horizontal="center" vertical="center"/>
    </xf>
    <xf numFmtId="180" fontId="62" fillId="2" borderId="7" xfId="12401" applyNumberFormat="1" applyFont="1" applyFill="1" applyBorder="1" applyAlignment="1">
      <alignment horizontal="center" vertical="center"/>
    </xf>
    <xf numFmtId="0" fontId="62" fillId="2" borderId="6" xfId="13" applyFont="1" applyFill="1" applyBorder="1" applyAlignment="1">
      <alignment horizontal="center" vertical="center" wrapText="1"/>
    </xf>
    <xf numFmtId="0" fontId="62" fillId="0" borderId="136" xfId="13" applyFont="1" applyBorder="1" applyAlignment="1">
      <alignment horizontal="center" vertical="center" wrapText="1"/>
    </xf>
    <xf numFmtId="0" fontId="62" fillId="2" borderId="27" xfId="13" applyFont="1" applyFill="1" applyBorder="1" applyAlignment="1">
      <alignment horizontal="center" vertical="center" wrapText="1"/>
    </xf>
    <xf numFmtId="1" fontId="78" fillId="2" borderId="136" xfId="0" applyNumberFormat="1" applyFont="1" applyFill="1" applyBorder="1" applyAlignment="1">
      <alignment horizontal="center" vertical="center"/>
    </xf>
    <xf numFmtId="0" fontId="75" fillId="2" borderId="26" xfId="13" applyFont="1" applyFill="1" applyBorder="1" applyAlignment="1">
      <alignment horizontal="center" vertical="center" wrapText="1"/>
    </xf>
    <xf numFmtId="0" fontId="75" fillId="2" borderId="16" xfId="13" applyFont="1" applyFill="1" applyBorder="1" applyAlignment="1">
      <alignment horizontal="center" vertical="center" wrapText="1"/>
    </xf>
    <xf numFmtId="0" fontId="75" fillId="2" borderId="29" xfId="13" applyFont="1" applyFill="1" applyBorder="1" applyAlignment="1">
      <alignment horizontal="center" vertical="center" wrapText="1"/>
    </xf>
    <xf numFmtId="1" fontId="75" fillId="2" borderId="103" xfId="13" quotePrefix="1" applyNumberFormat="1" applyFont="1" applyFill="1" applyBorder="1" applyAlignment="1">
      <alignment horizontal="center" vertical="center" wrapText="1"/>
    </xf>
    <xf numFmtId="0" fontId="57" fillId="2" borderId="2" xfId="13" applyFont="1" applyFill="1" applyBorder="1" applyAlignment="1">
      <alignment vertical="center" wrapText="1"/>
    </xf>
    <xf numFmtId="0" fontId="62" fillId="0" borderId="0" xfId="0" applyFont="1" applyAlignment="1">
      <alignment horizontal="center"/>
    </xf>
    <xf numFmtId="170" fontId="101" fillId="0" borderId="148" xfId="0" applyNumberFormat="1" applyFont="1" applyBorder="1"/>
    <xf numFmtId="0" fontId="62" fillId="0" borderId="2" xfId="0" applyFont="1" applyBorder="1" applyAlignment="1">
      <alignment horizontal="center"/>
    </xf>
    <xf numFmtId="170" fontId="106" fillId="4" borderId="148" xfId="0" applyNumberFormat="1" applyFont="1" applyFill="1" applyBorder="1"/>
    <xf numFmtId="170" fontId="62" fillId="0" borderId="148" xfId="0" applyNumberFormat="1" applyFont="1" applyBorder="1"/>
    <xf numFmtId="170" fontId="62" fillId="11" borderId="0" xfId="0" applyNumberFormat="1" applyFont="1" applyFill="1"/>
    <xf numFmtId="0" fontId="62" fillId="0" borderId="3" xfId="0" applyFont="1" applyBorder="1" applyAlignment="1">
      <alignment horizontal="center"/>
    </xf>
    <xf numFmtId="170" fontId="239" fillId="0" borderId="148" xfId="0" applyNumberFormat="1" applyFont="1" applyBorder="1"/>
    <xf numFmtId="170" fontId="239" fillId="0" borderId="147" xfId="0" applyNumberFormat="1" applyFont="1" applyBorder="1"/>
    <xf numFmtId="10" fontId="75" fillId="2" borderId="135" xfId="10594" applyNumberFormat="1" applyFont="1" applyFill="1" applyBorder="1" applyAlignment="1">
      <alignment horizontal="centerContinuous" vertical="center" wrapText="1"/>
    </xf>
    <xf numFmtId="10" fontId="62" fillId="2" borderId="135" xfId="10594" applyNumberFormat="1" applyFont="1" applyFill="1" applyBorder="1" applyAlignment="1">
      <alignment horizontal="center" vertical="center" wrapText="1"/>
    </xf>
    <xf numFmtId="0" fontId="78" fillId="2" borderId="135" xfId="10594" applyFont="1" applyFill="1" applyBorder="1" applyAlignment="1">
      <alignment horizontal="center" vertical="center"/>
    </xf>
    <xf numFmtId="9" fontId="62" fillId="0" borderId="147" xfId="1471" applyFont="1" applyFill="1" applyBorder="1" applyAlignment="1"/>
    <xf numFmtId="1" fontId="75" fillId="2" borderId="136" xfId="0" quotePrefix="1" applyNumberFormat="1" applyFont="1" applyFill="1" applyBorder="1" applyAlignment="1">
      <alignment horizontal="centerContinuous" vertical="center" wrapText="1"/>
    </xf>
    <xf numFmtId="1" fontId="75" fillId="2" borderId="136" xfId="16" applyNumberFormat="1" applyFont="1" applyFill="1" applyBorder="1" applyAlignment="1">
      <alignment horizontal="centerContinuous" vertical="center" wrapText="1"/>
    </xf>
    <xf numFmtId="1" fontId="75" fillId="2" borderId="135" xfId="16" applyNumberFormat="1" applyFont="1" applyFill="1" applyBorder="1" applyAlignment="1">
      <alignment horizontal="centerContinuous" vertical="center" wrapText="1"/>
    </xf>
    <xf numFmtId="0" fontId="75" fillId="2" borderId="135" xfId="0" applyFont="1" applyFill="1" applyBorder="1" applyAlignment="1">
      <alignment horizontal="centerContinuous" vertical="center" wrapText="1"/>
    </xf>
    <xf numFmtId="1" fontId="62" fillId="0" borderId="7" xfId="0" applyNumberFormat="1" applyFont="1" applyBorder="1" applyAlignment="1">
      <alignment horizontal="center" vertical="center" wrapText="1"/>
    </xf>
    <xf numFmtId="0" fontId="62" fillId="2" borderId="135" xfId="0" applyFont="1" applyFill="1" applyBorder="1" applyAlignment="1">
      <alignment horizontal="centerContinuous" vertical="center" wrapText="1"/>
    </xf>
    <xf numFmtId="0" fontId="75" fillId="2" borderId="71" xfId="0" applyFont="1" applyFill="1" applyBorder="1" applyAlignment="1">
      <alignment horizontal="centerContinuous" vertical="center" wrapText="1"/>
    </xf>
    <xf numFmtId="0" fontId="62" fillId="2" borderId="27" xfId="0" quotePrefix="1" applyFont="1" applyFill="1" applyBorder="1" applyAlignment="1">
      <alignment horizontal="center" vertical="center" wrapText="1"/>
    </xf>
    <xf numFmtId="0" fontId="75" fillId="8" borderId="147" xfId="16" applyFont="1" applyFill="1" applyBorder="1" applyAlignment="1">
      <alignment horizontal="center" vertical="center" wrapText="1"/>
    </xf>
    <xf numFmtId="170" fontId="237" fillId="7" borderId="148" xfId="16" applyNumberFormat="1" applyFont="1" applyFill="1" applyBorder="1"/>
    <xf numFmtId="170" fontId="172" fillId="7" borderId="147" xfId="16" applyNumberFormat="1" applyFont="1" applyFill="1" applyBorder="1"/>
    <xf numFmtId="170" fontId="238" fillId="0" borderId="147" xfId="16" applyNumberFormat="1" applyFont="1" applyBorder="1"/>
    <xf numFmtId="170" fontId="101" fillId="0" borderId="147" xfId="16" applyNumberFormat="1" applyFont="1" applyBorder="1"/>
    <xf numFmtId="170" fontId="206" fillId="0" borderId="147" xfId="16" applyNumberFormat="1" applyFont="1" applyBorder="1"/>
    <xf numFmtId="1" fontId="75" fillId="2" borderId="136" xfId="215" applyNumberFormat="1" applyFont="1" applyFill="1" applyBorder="1" applyAlignment="1">
      <alignment horizontal="center" vertical="center" wrapText="1"/>
    </xf>
    <xf numFmtId="1" fontId="75" fillId="2" borderId="136" xfId="215" applyNumberFormat="1" applyFont="1" applyFill="1" applyBorder="1" applyAlignment="1">
      <alignment horizontal="centerContinuous" vertical="center" wrapText="1"/>
    </xf>
    <xf numFmtId="1" fontId="62" fillId="0" borderId="136" xfId="215" applyNumberFormat="1" applyFont="1" applyBorder="1" applyAlignment="1">
      <alignment horizontal="center" vertical="center" wrapText="1"/>
    </xf>
    <xf numFmtId="0" fontId="62" fillId="2" borderId="136" xfId="215" applyFont="1" applyFill="1" applyBorder="1" applyAlignment="1">
      <alignment horizontal="center" vertical="center" wrapText="1"/>
    </xf>
    <xf numFmtId="0" fontId="78" fillId="2" borderId="136" xfId="215" applyFont="1" applyFill="1" applyBorder="1" applyAlignment="1">
      <alignment horizontal="center" vertical="center"/>
    </xf>
    <xf numFmtId="170" fontId="95" fillId="4" borderId="62" xfId="215" applyNumberFormat="1" applyFont="1" applyFill="1" applyBorder="1"/>
    <xf numFmtId="170" fontId="62" fillId="0" borderId="63" xfId="215" applyNumberFormat="1" applyFont="1" applyBorder="1"/>
    <xf numFmtId="1" fontId="95" fillId="3" borderId="136" xfId="9" applyNumberFormat="1" applyFont="1" applyFill="1" applyBorder="1" applyAlignment="1" applyProtection="1">
      <alignment horizontal="center" vertical="center" wrapText="1"/>
    </xf>
    <xf numFmtId="1" fontId="95" fillId="4" borderId="136" xfId="9" applyNumberFormat="1" applyFont="1" applyFill="1" applyBorder="1" applyAlignment="1" applyProtection="1">
      <alignment horizontal="center" vertical="center" wrapText="1"/>
    </xf>
    <xf numFmtId="167" fontId="62" fillId="2" borderId="136" xfId="9859" applyFont="1" applyFill="1" applyBorder="1" applyAlignment="1">
      <alignment horizontal="center" vertical="center" wrapText="1"/>
    </xf>
    <xf numFmtId="0" fontId="102" fillId="0" borderId="136" xfId="9860" applyFont="1" applyBorder="1" applyAlignment="1">
      <alignment horizontal="center" vertical="center"/>
    </xf>
    <xf numFmtId="0" fontId="102" fillId="0" borderId="135" xfId="9860" applyFont="1" applyBorder="1" applyAlignment="1">
      <alignment horizontal="center" vertical="center"/>
    </xf>
    <xf numFmtId="167" fontId="180" fillId="2" borderId="135" xfId="9859" applyFont="1" applyFill="1" applyBorder="1" applyAlignment="1">
      <alignment horizontal="center" vertical="center"/>
    </xf>
    <xf numFmtId="1" fontId="75" fillId="11" borderId="136" xfId="9931" applyNumberFormat="1" applyFont="1" applyFill="1" applyBorder="1" applyAlignment="1">
      <alignment horizontal="centerContinuous" vertical="center" wrapText="1"/>
    </xf>
    <xf numFmtId="1" fontId="75" fillId="11" borderId="135" xfId="9931" applyNumberFormat="1" applyFont="1" applyFill="1" applyBorder="1" applyAlignment="1">
      <alignment horizontal="centerContinuous" vertical="center" wrapText="1"/>
    </xf>
    <xf numFmtId="0" fontId="62" fillId="11" borderId="136" xfId="126" applyFont="1" applyFill="1" applyBorder="1" applyAlignment="1">
      <alignment horizontal="centerContinuous"/>
    </xf>
    <xf numFmtId="0" fontId="62" fillId="11" borderId="135" xfId="126" applyFont="1" applyFill="1" applyBorder="1" applyAlignment="1">
      <alignment horizontal="centerContinuous"/>
    </xf>
    <xf numFmtId="0" fontId="62" fillId="2" borderId="135" xfId="9931" applyFont="1" applyFill="1" applyBorder="1" applyAlignment="1">
      <alignment horizontal="center" vertical="center" wrapText="1"/>
    </xf>
    <xf numFmtId="0" fontId="62" fillId="11" borderId="135" xfId="126" applyFont="1" applyFill="1" applyBorder="1"/>
    <xf numFmtId="171" fontId="62" fillId="0" borderId="147" xfId="9931" applyNumberFormat="1" applyFont="1" applyBorder="1" applyAlignment="1">
      <alignment horizontal="right" vertical="center"/>
    </xf>
    <xf numFmtId="171" fontId="127" fillId="0" borderId="147" xfId="9931" applyNumberFormat="1" applyFont="1" applyBorder="1" applyAlignment="1">
      <alignment horizontal="right" vertical="center"/>
    </xf>
    <xf numFmtId="171" fontId="223" fillId="0" borderId="148" xfId="9931" applyNumberFormat="1" applyFont="1" applyBorder="1" applyAlignment="1">
      <alignment horizontal="right" vertical="center"/>
    </xf>
    <xf numFmtId="171" fontId="223" fillId="0" borderId="147" xfId="9931" applyNumberFormat="1" applyFont="1" applyBorder="1" applyAlignment="1">
      <alignment horizontal="right" vertical="center"/>
    </xf>
    <xf numFmtId="171" fontId="62" fillId="0" borderId="147" xfId="9931" applyNumberFormat="1" applyFont="1" applyBorder="1" applyAlignment="1">
      <alignment horizontal="center" vertical="center"/>
    </xf>
    <xf numFmtId="1" fontId="75" fillId="2" borderId="136" xfId="9932" applyNumberFormat="1" applyFont="1" applyFill="1" applyBorder="1" applyAlignment="1">
      <alignment horizontal="centerContinuous" vertical="center" wrapText="1"/>
    </xf>
    <xf numFmtId="1" fontId="75" fillId="2" borderId="135" xfId="9932" applyNumberFormat="1" applyFont="1" applyFill="1" applyBorder="1" applyAlignment="1">
      <alignment horizontal="centerContinuous" vertical="center" wrapText="1"/>
    </xf>
    <xf numFmtId="0" fontId="209" fillId="0" borderId="147" xfId="126" applyFont="1" applyBorder="1" applyAlignment="1">
      <alignment horizontal="centerContinuous" vertical="center" wrapText="1"/>
    </xf>
    <xf numFmtId="170" fontId="62" fillId="0" borderId="147" xfId="9932" applyNumberFormat="1" applyFont="1" applyBorder="1"/>
    <xf numFmtId="171" fontId="62" fillId="5" borderId="147" xfId="12400" applyNumberFormat="1" applyFont="1" applyFill="1" applyBorder="1"/>
    <xf numFmtId="171" fontId="158" fillId="4" borderId="147" xfId="12400" applyNumberFormat="1" applyFont="1" applyFill="1" applyBorder="1"/>
    <xf numFmtId="171" fontId="62" fillId="0" borderId="147" xfId="12400" applyNumberFormat="1" applyFont="1" applyBorder="1"/>
    <xf numFmtId="171" fontId="120" fillId="0" borderId="147" xfId="12400" applyNumberFormat="1" applyFont="1" applyBorder="1"/>
    <xf numFmtId="0" fontId="75" fillId="2" borderId="2" xfId="0" applyFont="1" applyFill="1" applyBorder="1" applyAlignment="1">
      <alignment horizontal="centerContinuous" vertical="center" wrapText="1"/>
    </xf>
    <xf numFmtId="0" fontId="75" fillId="2" borderId="0" xfId="0" applyFont="1" applyFill="1" applyAlignment="1">
      <alignment horizontal="centerContinuous" vertical="center" wrapText="1"/>
    </xf>
    <xf numFmtId="0" fontId="75" fillId="2" borderId="62" xfId="0" applyFont="1" applyFill="1" applyBorder="1" applyAlignment="1">
      <alignment horizontal="centerContinuous" vertical="center" wrapText="1"/>
    </xf>
    <xf numFmtId="0" fontId="75" fillId="2" borderId="6" xfId="0" applyFont="1" applyFill="1" applyBorder="1" applyAlignment="1">
      <alignment vertical="center" wrapText="1"/>
    </xf>
    <xf numFmtId="0" fontId="75" fillId="2" borderId="7" xfId="0" applyFont="1" applyFill="1" applyBorder="1" applyAlignment="1">
      <alignment vertical="center" wrapText="1"/>
    </xf>
    <xf numFmtId="0" fontId="62" fillId="0" borderId="104" xfId="0" applyFont="1" applyBorder="1" applyAlignment="1">
      <alignment horizontal="center" vertical="center" wrapText="1"/>
    </xf>
    <xf numFmtId="0" fontId="62" fillId="0" borderId="23" xfId="0" applyFont="1" applyBorder="1" applyAlignment="1">
      <alignment horizontal="center" vertical="center" wrapText="1"/>
    </xf>
    <xf numFmtId="0" fontId="62" fillId="0" borderId="98"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94"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24" xfId="0" applyFont="1" applyBorder="1" applyAlignment="1">
      <alignment horizontal="center" vertical="center" wrapText="1"/>
    </xf>
    <xf numFmtId="171" fontId="62" fillId="0" borderId="105" xfId="0" applyNumberFormat="1" applyFont="1" applyBorder="1"/>
    <xf numFmtId="171" fontId="62" fillId="0" borderId="97" xfId="0" applyNumberFormat="1" applyFont="1" applyBorder="1"/>
    <xf numFmtId="0" fontId="75" fillId="0" borderId="3" xfId="0" applyFont="1" applyBorder="1" applyAlignment="1">
      <alignment horizontal="center"/>
    </xf>
    <xf numFmtId="171" fontId="62" fillId="0" borderId="97" xfId="0" applyNumberFormat="1" applyFont="1" applyBorder="1" applyAlignment="1">
      <alignment horizontal="right"/>
    </xf>
    <xf numFmtId="0" fontId="62" fillId="2" borderId="136" xfId="0" applyFont="1" applyFill="1" applyBorder="1" applyAlignment="1">
      <alignment horizontal="center" vertical="center" wrapText="1"/>
    </xf>
    <xf numFmtId="172" fontId="82" fillId="3" borderId="135" xfId="0" applyNumberFormat="1" applyFont="1" applyFill="1" applyBorder="1"/>
    <xf numFmtId="1" fontId="95" fillId="3" borderId="135" xfId="9" applyNumberFormat="1" applyFont="1" applyFill="1" applyBorder="1" applyAlignment="1" applyProtection="1">
      <alignment horizontal="center" vertical="center" wrapText="1"/>
    </xf>
    <xf numFmtId="10" fontId="62" fillId="2" borderId="135" xfId="0" applyNumberFormat="1" applyFont="1" applyFill="1" applyBorder="1" applyAlignment="1">
      <alignment horizontal="center" vertical="center"/>
    </xf>
    <xf numFmtId="0" fontId="75" fillId="2" borderId="23" xfId="0" applyFont="1" applyFill="1" applyBorder="1" applyAlignment="1">
      <alignment horizontal="center" vertical="center" wrapText="1"/>
    </xf>
    <xf numFmtId="171" fontId="62" fillId="9" borderId="63" xfId="0" applyNumberFormat="1" applyFont="1" applyFill="1" applyBorder="1"/>
    <xf numFmtId="171" fontId="62" fillId="9" borderId="3" xfId="0" applyNumberFormat="1" applyFont="1" applyFill="1" applyBorder="1"/>
    <xf numFmtId="10" fontId="62" fillId="9" borderId="63" xfId="0" applyNumberFormat="1" applyFont="1" applyFill="1" applyBorder="1"/>
    <xf numFmtId="10" fontId="62" fillId="9" borderId="64" xfId="0" applyNumberFormat="1" applyFont="1" applyFill="1" applyBorder="1"/>
    <xf numFmtId="10" fontId="62" fillId="0" borderId="64" xfId="0" applyNumberFormat="1" applyFont="1" applyBorder="1"/>
    <xf numFmtId="170" fontId="62" fillId="71" borderId="18" xfId="0" applyNumberFormat="1" applyFont="1" applyFill="1" applyBorder="1"/>
    <xf numFmtId="10" fontId="62" fillId="71" borderId="64" xfId="0" applyNumberFormat="1" applyFont="1" applyFill="1" applyBorder="1"/>
    <xf numFmtId="10" fontId="75" fillId="71" borderId="64" xfId="0" applyNumberFormat="1" applyFont="1" applyFill="1" applyBorder="1"/>
    <xf numFmtId="0" fontId="62" fillId="2" borderId="38" xfId="0" applyFont="1" applyFill="1" applyBorder="1" applyAlignment="1">
      <alignment vertical="center"/>
    </xf>
    <xf numFmtId="0" fontId="62" fillId="2" borderId="28" xfId="0" applyFont="1" applyFill="1" applyBorder="1" applyAlignment="1">
      <alignment vertical="center"/>
    </xf>
    <xf numFmtId="0" fontId="62" fillId="2" borderId="31" xfId="0" applyFont="1" applyFill="1" applyBorder="1" applyAlignment="1">
      <alignment vertical="center"/>
    </xf>
    <xf numFmtId="0" fontId="75" fillId="0" borderId="136" xfId="0" applyFont="1" applyBorder="1" applyAlignment="1">
      <alignment horizontal="centerContinuous" vertical="center" wrapText="1"/>
    </xf>
    <xf numFmtId="0" fontId="75" fillId="2" borderId="136" xfId="0" applyFont="1" applyFill="1" applyBorder="1" applyAlignment="1">
      <alignment horizontal="center" vertical="center" wrapText="1"/>
    </xf>
    <xf numFmtId="0" fontId="62" fillId="2" borderId="6" xfId="0" applyFont="1" applyFill="1" applyBorder="1" applyAlignment="1">
      <alignment vertical="center"/>
    </xf>
    <xf numFmtId="0" fontId="62" fillId="2" borderId="136" xfId="0" applyFont="1" applyFill="1" applyBorder="1" applyAlignment="1">
      <alignment vertical="center"/>
    </xf>
    <xf numFmtId="0" fontId="62" fillId="2" borderId="14" xfId="0" applyFont="1" applyFill="1" applyBorder="1" applyAlignment="1">
      <alignment horizontal="center" vertical="center" wrapText="1"/>
    </xf>
    <xf numFmtId="0" fontId="62" fillId="2" borderId="136" xfId="0" applyFont="1" applyFill="1" applyBorder="1" applyAlignment="1">
      <alignment horizontal="centerContinuous" vertical="center" wrapText="1"/>
    </xf>
    <xf numFmtId="0" fontId="78" fillId="2" borderId="136" xfId="0" applyFont="1" applyFill="1" applyBorder="1" applyAlignment="1">
      <alignment horizontal="center" vertical="center"/>
    </xf>
    <xf numFmtId="0" fontId="75" fillId="2" borderId="15" xfId="0" applyFont="1" applyFill="1" applyBorder="1" applyAlignment="1">
      <alignment horizontal="center" vertical="center" wrapText="1"/>
    </xf>
    <xf numFmtId="0" fontId="75" fillId="2" borderId="16" xfId="0" applyFont="1" applyFill="1" applyBorder="1" applyAlignment="1">
      <alignment horizontal="center" vertical="center" wrapText="1"/>
    </xf>
    <xf numFmtId="0" fontId="75" fillId="2" borderId="24" xfId="0" applyFont="1" applyFill="1" applyBorder="1" applyAlignment="1">
      <alignment horizontal="center" vertical="center" wrapText="1"/>
    </xf>
    <xf numFmtId="170" fontId="62" fillId="5" borderId="62" xfId="0" applyNumberFormat="1" applyFont="1" applyFill="1" applyBorder="1"/>
    <xf numFmtId="170" fontId="62" fillId="5" borderId="63" xfId="0" applyNumberFormat="1" applyFont="1" applyFill="1" applyBorder="1"/>
    <xf numFmtId="0" fontId="62" fillId="2" borderId="6" xfId="0" applyFont="1" applyFill="1" applyBorder="1" applyAlignment="1">
      <alignment horizontal="center" vertical="center"/>
    </xf>
    <xf numFmtId="0" fontId="62" fillId="2" borderId="27" xfId="0" applyFont="1" applyFill="1" applyBorder="1" applyAlignment="1">
      <alignment horizontal="center" vertical="center"/>
    </xf>
    <xf numFmtId="0" fontId="75" fillId="2" borderId="26" xfId="0" applyFont="1" applyFill="1" applyBorder="1" applyAlignment="1">
      <alignment horizontal="center" vertical="center"/>
    </xf>
    <xf numFmtId="175" fontId="95" fillId="4" borderId="147" xfId="0" applyNumberFormat="1" applyFont="1" applyFill="1" applyBorder="1"/>
    <xf numFmtId="175" fontId="101" fillId="5" borderId="62" xfId="0" applyNumberFormat="1" applyFont="1" applyFill="1" applyBorder="1"/>
    <xf numFmtId="175" fontId="101" fillId="5" borderId="147" xfId="0" applyNumberFormat="1" applyFont="1" applyFill="1" applyBorder="1"/>
    <xf numFmtId="175" fontId="62" fillId="0" borderId="147" xfId="0" applyNumberFormat="1" applyFont="1" applyBorder="1"/>
    <xf numFmtId="175" fontId="62" fillId="8" borderId="147" xfId="0" applyNumberFormat="1" applyFont="1" applyFill="1" applyBorder="1"/>
    <xf numFmtId="0" fontId="62" fillId="2" borderId="136" xfId="0" applyFont="1" applyFill="1" applyBorder="1"/>
    <xf numFmtId="0" fontId="78" fillId="2" borderId="135" xfId="0" applyFont="1" applyFill="1" applyBorder="1" applyAlignment="1">
      <alignment horizontal="center" vertical="center"/>
    </xf>
    <xf numFmtId="175" fontId="62" fillId="12" borderId="147" xfId="0" applyNumberFormat="1" applyFont="1" applyFill="1" applyBorder="1"/>
    <xf numFmtId="175" fontId="101" fillId="0" borderId="147" xfId="0" applyNumberFormat="1" applyFont="1" applyBorder="1"/>
    <xf numFmtId="175" fontId="57" fillId="2" borderId="0" xfId="0" applyNumberFormat="1" applyFont="1" applyFill="1"/>
    <xf numFmtId="9" fontId="57" fillId="2" borderId="0" xfId="12401" applyFont="1" applyFill="1"/>
    <xf numFmtId="175" fontId="57" fillId="0" borderId="0" xfId="0" applyNumberFormat="1" applyFont="1"/>
    <xf numFmtId="175" fontId="62" fillId="0" borderId="148" xfId="0" applyNumberFormat="1" applyFont="1" applyBorder="1"/>
    <xf numFmtId="175" fontId="62" fillId="0" borderId="147" xfId="0" applyNumberFormat="1" applyFont="1" applyBorder="1" applyAlignment="1">
      <alignment horizontal="right"/>
    </xf>
    <xf numFmtId="0" fontId="62" fillId="2" borderId="62" xfId="0" applyFont="1" applyFill="1" applyBorder="1"/>
    <xf numFmtId="0" fontId="62" fillId="2" borderId="18" xfId="0" applyFont="1" applyFill="1" applyBorder="1"/>
    <xf numFmtId="0" fontId="62" fillId="2" borderId="3" xfId="0" applyFont="1" applyFill="1" applyBorder="1"/>
    <xf numFmtId="0" fontId="75" fillId="0" borderId="6" xfId="0" applyFont="1" applyBorder="1" applyAlignment="1">
      <alignment horizontal="centerContinuous" vertical="center" wrapText="1"/>
    </xf>
    <xf numFmtId="0" fontId="62" fillId="2" borderId="72" xfId="0" applyFont="1" applyFill="1" applyBorder="1" applyAlignment="1">
      <alignment horizontal="center" vertical="center" wrapText="1"/>
    </xf>
    <xf numFmtId="0" fontId="62" fillId="2" borderId="86" xfId="0" applyFont="1" applyFill="1" applyBorder="1" applyAlignment="1">
      <alignment horizontal="center" vertical="center" wrapText="1"/>
    </xf>
    <xf numFmtId="0" fontId="57" fillId="2" borderId="2" xfId="0" applyFont="1" applyFill="1" applyBorder="1"/>
    <xf numFmtId="0" fontId="75" fillId="2" borderId="22" xfId="0" applyFont="1" applyFill="1" applyBorder="1" applyAlignment="1">
      <alignment horizontal="center"/>
    </xf>
    <xf numFmtId="0" fontId="75" fillId="2" borderId="23" xfId="0" applyFont="1" applyFill="1" applyBorder="1" applyAlignment="1">
      <alignment horizontal="center"/>
    </xf>
    <xf numFmtId="0" fontId="75" fillId="5" borderId="2" xfId="0" applyFont="1" applyFill="1" applyBorder="1" applyAlignment="1">
      <alignment horizontal="center"/>
    </xf>
    <xf numFmtId="0" fontId="75" fillId="5" borderId="18" xfId="0" applyFont="1" applyFill="1" applyBorder="1" applyAlignment="1">
      <alignment horizontal="center"/>
    </xf>
    <xf numFmtId="175" fontId="62" fillId="5" borderId="95" xfId="0" applyNumberFormat="1" applyFont="1" applyFill="1" applyBorder="1"/>
    <xf numFmtId="175" fontId="62" fillId="5" borderId="18" xfId="0" applyNumberFormat="1" applyFont="1" applyFill="1" applyBorder="1"/>
    <xf numFmtId="175" fontId="62" fillId="5" borderId="62" xfId="0" applyNumberFormat="1" applyFont="1" applyFill="1" applyBorder="1"/>
    <xf numFmtId="175" fontId="62" fillId="5" borderId="147" xfId="0" applyNumberFormat="1" applyFont="1" applyFill="1" applyBorder="1"/>
    <xf numFmtId="170" fontId="62" fillId="5" borderId="18" xfId="0" applyNumberFormat="1" applyFont="1" applyFill="1" applyBorder="1"/>
    <xf numFmtId="175" fontId="118" fillId="4" borderId="147" xfId="0" applyNumberFormat="1" applyFont="1" applyFill="1" applyBorder="1"/>
    <xf numFmtId="175" fontId="87" fillId="5" borderId="147" xfId="0" applyNumberFormat="1" applyFont="1" applyFill="1" applyBorder="1" applyAlignment="1">
      <alignment horizontal="center"/>
    </xf>
    <xf numFmtId="175" fontId="87" fillId="5" borderId="147" xfId="0" applyNumberFormat="1" applyFont="1" applyFill="1" applyBorder="1"/>
    <xf numFmtId="0" fontId="75" fillId="2" borderId="136" xfId="16" applyFont="1" applyFill="1" applyBorder="1" applyAlignment="1">
      <alignment horizontal="centerContinuous" vertical="center" wrapText="1"/>
    </xf>
    <xf numFmtId="0" fontId="62" fillId="0" borderId="135" xfId="16" applyFont="1" applyBorder="1" applyAlignment="1">
      <alignment horizontal="center" vertical="center" wrapText="1"/>
    </xf>
    <xf numFmtId="0" fontId="57" fillId="2" borderId="148" xfId="16" applyFill="1" applyBorder="1"/>
    <xf numFmtId="170" fontId="62" fillId="5" borderId="148" xfId="16" applyNumberFormat="1" applyFont="1" applyFill="1" applyBorder="1"/>
    <xf numFmtId="175" fontId="62" fillId="0" borderId="148" xfId="16" applyNumberFormat="1" applyFont="1" applyBorder="1"/>
    <xf numFmtId="0" fontId="75" fillId="72" borderId="136" xfId="0" applyFont="1" applyFill="1" applyBorder="1" applyAlignment="1">
      <alignment horizontal="centerContinuous" vertical="center" wrapText="1"/>
    </xf>
    <xf numFmtId="0" fontId="62" fillId="72" borderId="136" xfId="0" applyFont="1" applyFill="1" applyBorder="1" applyAlignment="1">
      <alignment horizontal="center" vertical="center" wrapText="1"/>
    </xf>
    <xf numFmtId="0" fontId="62" fillId="72" borderId="136" xfId="0" applyFont="1" applyFill="1" applyBorder="1" applyAlignment="1">
      <alignment horizontal="centerContinuous" vertical="center" wrapText="1"/>
    </xf>
    <xf numFmtId="0" fontId="0" fillId="11" borderId="62" xfId="0" applyFill="1" applyBorder="1"/>
    <xf numFmtId="0" fontId="75" fillId="0" borderId="136" xfId="0" applyFont="1" applyBorder="1" applyAlignment="1">
      <alignment horizontal="centerContinuous"/>
    </xf>
    <xf numFmtId="0" fontId="62" fillId="0" borderId="136" xfId="0" applyFont="1" applyBorder="1" applyAlignment="1">
      <alignment horizontal="centerContinuous"/>
    </xf>
    <xf numFmtId="0" fontId="75" fillId="0" borderId="136" xfId="0" applyFont="1" applyBorder="1" applyAlignment="1">
      <alignment horizontal="centerContinuous" vertical="center"/>
    </xf>
    <xf numFmtId="0" fontId="75" fillId="0" borderId="135" xfId="0" applyFont="1" applyBorder="1" applyAlignment="1">
      <alignment horizontal="centerContinuous" vertical="center"/>
    </xf>
    <xf numFmtId="0" fontId="62" fillId="0" borderId="136" xfId="0" applyFont="1" applyBorder="1" applyAlignment="1">
      <alignment horizontal="centerContinuous" vertical="center"/>
    </xf>
    <xf numFmtId="0" fontId="62" fillId="0" borderId="135" xfId="0" applyFont="1" applyBorder="1" applyAlignment="1">
      <alignment horizontal="centerContinuous" vertical="center"/>
    </xf>
    <xf numFmtId="185" fontId="62" fillId="0" borderId="18" xfId="0" applyNumberFormat="1" applyFont="1" applyBorder="1" applyAlignment="1">
      <alignment horizontal="center"/>
    </xf>
    <xf numFmtId="0" fontId="62" fillId="2" borderId="110" xfId="0" applyFont="1" applyFill="1" applyBorder="1" applyAlignment="1">
      <alignment horizontal="center" vertical="center" wrapText="1"/>
    </xf>
    <xf numFmtId="1" fontId="118" fillId="2" borderId="147" xfId="0" applyNumberFormat="1" applyFont="1" applyFill="1" applyBorder="1" applyAlignment="1">
      <alignment horizontal="center"/>
    </xf>
    <xf numFmtId="0" fontId="75" fillId="2" borderId="104" xfId="0" applyFont="1" applyFill="1" applyBorder="1" applyAlignment="1">
      <alignment horizontal="center" vertical="center" wrapText="1"/>
    </xf>
    <xf numFmtId="0" fontId="75" fillId="2" borderId="22" xfId="0" applyFont="1" applyFill="1" applyBorder="1" applyAlignment="1">
      <alignment horizontal="center" vertical="center" wrapText="1"/>
    </xf>
    <xf numFmtId="0" fontId="75" fillId="2" borderId="92" xfId="0" applyFont="1" applyFill="1" applyBorder="1" applyAlignment="1">
      <alignment horizontal="center" vertical="center" wrapText="1"/>
    </xf>
    <xf numFmtId="0" fontId="75" fillId="2" borderId="103" xfId="0" applyFont="1" applyFill="1" applyBorder="1" applyAlignment="1">
      <alignment horizontal="center" vertical="center" wrapText="1"/>
    </xf>
    <xf numFmtId="0" fontId="75" fillId="2" borderId="24" xfId="0" quotePrefix="1" applyFont="1" applyFill="1" applyBorder="1" applyAlignment="1">
      <alignment horizontal="center" vertical="center" wrapText="1"/>
    </xf>
    <xf numFmtId="171" fontId="62" fillId="0" borderId="147" xfId="0" applyNumberFormat="1" applyFont="1" applyBorder="1"/>
    <xf numFmtId="171" fontId="62" fillId="12" borderId="62" xfId="0" applyNumberFormat="1" applyFont="1" applyFill="1" applyBorder="1"/>
    <xf numFmtId="171" fontId="62" fillId="12" borderId="3" xfId="0" applyNumberFormat="1" applyFont="1" applyFill="1" applyBorder="1"/>
    <xf numFmtId="171" fontId="62" fillId="0" borderId="3" xfId="0" applyNumberFormat="1" applyFont="1" applyBorder="1"/>
    <xf numFmtId="171" fontId="62" fillId="8" borderId="62" xfId="0" applyNumberFormat="1" applyFont="1" applyFill="1" applyBorder="1"/>
    <xf numFmtId="171" fontId="62" fillId="8" borderId="0" xfId="0" applyNumberFormat="1" applyFont="1" applyFill="1"/>
    <xf numFmtId="171" fontId="62" fillId="8" borderId="3" xfId="0" applyNumberFormat="1" applyFont="1" applyFill="1" applyBorder="1"/>
    <xf numFmtId="0" fontId="57" fillId="2" borderId="0" xfId="0" applyFont="1" applyFill="1" applyAlignment="1">
      <alignment vertical="center"/>
    </xf>
    <xf numFmtId="0" fontId="62" fillId="0" borderId="85" xfId="0" applyFont="1" applyBorder="1" applyAlignment="1">
      <alignment horizontal="center" vertical="center" wrapText="1"/>
    </xf>
    <xf numFmtId="0" fontId="62" fillId="2" borderId="85" xfId="0" applyFont="1" applyFill="1" applyBorder="1" applyAlignment="1">
      <alignment horizontal="center" vertical="center" wrapText="1"/>
    </xf>
    <xf numFmtId="2" fontId="62" fillId="2" borderId="7" xfId="0" applyNumberFormat="1" applyFont="1" applyFill="1" applyBorder="1" applyAlignment="1">
      <alignment horizontal="center" vertical="center"/>
    </xf>
    <xf numFmtId="2" fontId="62" fillId="2" borderId="85" xfId="0" applyNumberFormat="1" applyFont="1" applyFill="1" applyBorder="1" applyAlignment="1">
      <alignment horizontal="center" vertical="center"/>
    </xf>
    <xf numFmtId="0" fontId="75" fillId="2" borderId="29" xfId="0" applyFont="1" applyFill="1" applyBorder="1" applyAlignment="1">
      <alignment horizontal="center" vertical="center" wrapText="1"/>
    </xf>
    <xf numFmtId="0" fontId="57" fillId="2" borderId="0" xfId="0" applyFont="1" applyFill="1" applyAlignment="1">
      <alignment vertical="center" wrapText="1"/>
    </xf>
    <xf numFmtId="2" fontId="95" fillId="3" borderId="136" xfId="9" applyNumberFormat="1" applyFont="1" applyFill="1" applyBorder="1" applyAlignment="1" applyProtection="1">
      <alignment horizontal="center" vertical="center"/>
    </xf>
    <xf numFmtId="0" fontId="179" fillId="0" borderId="136" xfId="9842" applyFont="1" applyBorder="1" applyAlignment="1">
      <alignment horizontal="centerContinuous" vertical="center" wrapText="1"/>
    </xf>
    <xf numFmtId="0" fontId="179" fillId="0" borderId="136" xfId="9842" applyFont="1" applyBorder="1" applyAlignment="1">
      <alignment horizontal="centerContinuous"/>
    </xf>
    <xf numFmtId="0" fontId="179" fillId="0" borderId="135" xfId="9842" applyFont="1" applyBorder="1" applyAlignment="1">
      <alignment horizontal="centerContinuous"/>
    </xf>
    <xf numFmtId="0" fontId="179" fillId="0" borderId="136" xfId="9842" applyFont="1" applyBorder="1" applyAlignment="1">
      <alignment horizontal="centerContinuous" vertical="center"/>
    </xf>
    <xf numFmtId="0" fontId="127" fillId="0" borderId="136" xfId="9842" applyFont="1" applyBorder="1" applyAlignment="1">
      <alignment horizontal="center" vertical="center" wrapText="1"/>
    </xf>
    <xf numFmtId="2" fontId="95" fillId="3" borderId="136" xfId="9" applyNumberFormat="1" applyFont="1" applyFill="1" applyBorder="1" applyAlignment="1" applyProtection="1">
      <alignment horizontal="center" vertical="center" wrapText="1"/>
    </xf>
    <xf numFmtId="0" fontId="180" fillId="0" borderId="136" xfId="9842" applyFont="1" applyBorder="1" applyAlignment="1">
      <alignment horizontal="center" vertical="center" wrapText="1"/>
    </xf>
    <xf numFmtId="0" fontId="57" fillId="2" borderId="64" xfId="0" applyFont="1" applyFill="1" applyBorder="1"/>
    <xf numFmtId="0" fontId="57" fillId="2" borderId="135" xfId="0" applyFont="1" applyFill="1" applyBorder="1"/>
    <xf numFmtId="0" fontId="62" fillId="2" borderId="71" xfId="0" applyFont="1" applyFill="1" applyBorder="1" applyAlignment="1">
      <alignment horizontal="centerContinuous" vertical="center" wrapText="1"/>
    </xf>
    <xf numFmtId="0" fontId="62" fillId="2" borderId="135" xfId="0" applyFont="1" applyFill="1" applyBorder="1" applyAlignment="1">
      <alignment horizontal="center" vertical="center" wrapText="1"/>
    </xf>
    <xf numFmtId="3" fontId="62" fillId="5" borderId="0" xfId="0" applyNumberFormat="1" applyFont="1" applyFill="1"/>
    <xf numFmtId="3" fontId="62" fillId="5" borderId="18" xfId="0" applyNumberFormat="1" applyFont="1" applyFill="1" applyBorder="1"/>
    <xf numFmtId="183" fontId="62" fillId="0" borderId="3" xfId="0" applyNumberFormat="1" applyFont="1" applyBorder="1"/>
    <xf numFmtId="3" fontId="62" fillId="0" borderId="18" xfId="0" applyNumberFormat="1" applyFont="1" applyBorder="1"/>
    <xf numFmtId="0" fontId="62" fillId="2" borderId="7" xfId="0" applyFont="1" applyFill="1" applyBorder="1" applyAlignment="1">
      <alignment horizontal="center"/>
    </xf>
    <xf numFmtId="0" fontId="62" fillId="2" borderId="136" xfId="0" applyFont="1" applyFill="1" applyBorder="1" applyAlignment="1">
      <alignment horizontal="center"/>
    </xf>
    <xf numFmtId="0" fontId="62" fillId="2" borderId="135" xfId="0" applyFont="1" applyFill="1" applyBorder="1" applyAlignment="1">
      <alignment horizontal="center"/>
    </xf>
    <xf numFmtId="0" fontId="75" fillId="0" borderId="135" xfId="0" applyFont="1" applyBorder="1" applyAlignment="1">
      <alignment horizontal="centerContinuous" vertical="center" wrapText="1"/>
    </xf>
    <xf numFmtId="0" fontId="62" fillId="2" borderId="136" xfId="0" applyFont="1" applyFill="1" applyBorder="1" applyAlignment="1">
      <alignment horizontal="center" vertical="center"/>
    </xf>
    <xf numFmtId="0" fontId="62" fillId="2" borderId="135" xfId="0" applyFont="1" applyFill="1" applyBorder="1" applyAlignment="1">
      <alignment horizontal="center" vertical="center"/>
    </xf>
    <xf numFmtId="0" fontId="62" fillId="11" borderId="73" xfId="0" applyFont="1" applyFill="1" applyBorder="1" applyAlignment="1">
      <alignment horizontal="center" vertical="center" wrapText="1"/>
    </xf>
    <xf numFmtId="0" fontId="62" fillId="11" borderId="7" xfId="0" applyFont="1" applyFill="1" applyBorder="1" applyAlignment="1">
      <alignment horizontal="center" vertical="center" wrapText="1"/>
    </xf>
    <xf numFmtId="0" fontId="62" fillId="11" borderId="135" xfId="0" applyFont="1" applyFill="1" applyBorder="1" applyAlignment="1">
      <alignment horizontal="center" vertical="center" wrapText="1"/>
    </xf>
    <xf numFmtId="0" fontId="75" fillId="2" borderId="37" xfId="0" applyFont="1" applyFill="1" applyBorder="1" applyAlignment="1">
      <alignment horizontal="center"/>
    </xf>
    <xf numFmtId="0" fontId="75" fillId="2" borderId="4" xfId="0" applyFont="1" applyFill="1" applyBorder="1" applyAlignment="1">
      <alignment horizontal="center"/>
    </xf>
    <xf numFmtId="3" fontId="62" fillId="5" borderId="63" xfId="0" applyNumberFormat="1" applyFont="1" applyFill="1" applyBorder="1"/>
    <xf numFmtId="3" fontId="62" fillId="0" borderId="64" xfId="0" applyNumberFormat="1" applyFont="1" applyBorder="1" applyAlignment="1">
      <alignment horizontal="right"/>
    </xf>
    <xf numFmtId="3" fontId="62" fillId="0" borderId="74" xfId="0" applyNumberFormat="1" applyFont="1" applyBorder="1" applyAlignment="1">
      <alignment horizontal="right"/>
    </xf>
    <xf numFmtId="183" fontId="62" fillId="0" borderId="63" xfId="0" applyNumberFormat="1" applyFont="1" applyBorder="1"/>
    <xf numFmtId="0" fontId="75" fillId="2" borderId="7" xfId="0" quotePrefix="1" applyFont="1" applyFill="1" applyBorder="1" applyAlignment="1">
      <alignment horizontal="centerContinuous" vertical="center" wrapText="1"/>
    </xf>
    <xf numFmtId="0" fontId="75" fillId="2" borderId="27" xfId="0" applyFont="1" applyFill="1" applyBorder="1" applyAlignment="1">
      <alignment vertical="center"/>
    </xf>
    <xf numFmtId="0" fontId="75" fillId="2" borderId="7" xfId="0" applyFont="1" applyFill="1" applyBorder="1" applyAlignment="1">
      <alignment vertical="center"/>
    </xf>
    <xf numFmtId="0" fontId="75" fillId="2" borderId="135" xfId="0" applyFont="1" applyFill="1" applyBorder="1" applyAlignment="1">
      <alignment vertical="center"/>
    </xf>
    <xf numFmtId="0" fontId="62" fillId="2" borderId="136" xfId="0" quotePrefix="1" applyFont="1" applyFill="1" applyBorder="1" applyAlignment="1">
      <alignment horizontal="center" vertical="center" wrapText="1"/>
    </xf>
    <xf numFmtId="0" fontId="75" fillId="2" borderId="72" xfId="0" applyFont="1" applyFill="1" applyBorder="1" applyAlignment="1">
      <alignment vertical="center"/>
    </xf>
    <xf numFmtId="0" fontId="75" fillId="2" borderId="73" xfId="0" applyFont="1" applyFill="1" applyBorder="1" applyAlignment="1">
      <alignment vertical="center"/>
    </xf>
    <xf numFmtId="0" fontId="62" fillId="2" borderId="27" xfId="0" quotePrefix="1" applyFont="1" applyFill="1" applyBorder="1" applyAlignment="1">
      <alignment horizontal="centerContinuous" vertical="center" wrapText="1"/>
    </xf>
    <xf numFmtId="0" fontId="62" fillId="2" borderId="71" xfId="0" quotePrefix="1" applyFont="1" applyFill="1" applyBorder="1" applyAlignment="1">
      <alignment horizontal="centerContinuous" vertical="center" wrapText="1"/>
    </xf>
    <xf numFmtId="0" fontId="62" fillId="2" borderId="7" xfId="0" quotePrefix="1" applyFont="1" applyFill="1" applyBorder="1" applyAlignment="1">
      <alignment horizontal="centerContinuous" vertical="center" wrapText="1"/>
    </xf>
    <xf numFmtId="0" fontId="62" fillId="2" borderId="73" xfId="0" quotePrefix="1" applyFont="1" applyFill="1" applyBorder="1" applyAlignment="1">
      <alignment horizontal="centerContinuous" vertical="center" wrapText="1"/>
    </xf>
    <xf numFmtId="0" fontId="62" fillId="2" borderId="136" xfId="0" quotePrefix="1" applyFont="1" applyFill="1" applyBorder="1" applyAlignment="1">
      <alignment horizontal="centerContinuous" vertical="center" wrapText="1"/>
    </xf>
    <xf numFmtId="0" fontId="120" fillId="2" borderId="136" xfId="0" applyFont="1" applyFill="1" applyBorder="1" applyAlignment="1">
      <alignment horizontal="centerContinuous" vertical="center" wrapText="1"/>
    </xf>
    <xf numFmtId="0" fontId="62" fillId="2" borderId="135" xfId="0" quotePrefix="1" applyFont="1" applyFill="1" applyBorder="1" applyAlignment="1">
      <alignment horizontal="center" vertical="center" wrapText="1"/>
    </xf>
    <xf numFmtId="0" fontId="75" fillId="2" borderId="103" xfId="0" quotePrefix="1" applyFont="1" applyFill="1" applyBorder="1" applyAlignment="1">
      <alignment horizontal="center" vertical="center" wrapText="1"/>
    </xf>
    <xf numFmtId="0" fontId="75" fillId="2" borderId="16" xfId="0" quotePrefix="1" applyFont="1" applyFill="1" applyBorder="1" applyAlignment="1">
      <alignment horizontal="center" vertical="center" wrapText="1"/>
    </xf>
    <xf numFmtId="0" fontId="75" fillId="2" borderId="33" xfId="0" applyFont="1" applyFill="1" applyBorder="1" applyAlignment="1">
      <alignment horizontal="center" vertical="center" wrapText="1"/>
    </xf>
    <xf numFmtId="0" fontId="75" fillId="2" borderId="107" xfId="0" applyFont="1" applyFill="1" applyBorder="1" applyAlignment="1">
      <alignment horizontal="center" vertical="center" wrapText="1"/>
    </xf>
    <xf numFmtId="0" fontId="75" fillId="2" borderId="88" xfId="0" applyFont="1" applyFill="1" applyBorder="1" applyAlignment="1">
      <alignment horizontal="center" vertical="center" wrapText="1"/>
    </xf>
    <xf numFmtId="0" fontId="75" fillId="2" borderId="30" xfId="0" applyFont="1" applyFill="1" applyBorder="1" applyAlignment="1">
      <alignment horizontal="center" vertical="center" wrapText="1"/>
    </xf>
    <xf numFmtId="171" fontId="167" fillId="8" borderId="147" xfId="0" applyNumberFormat="1" applyFont="1" applyFill="1" applyBorder="1"/>
    <xf numFmtId="3" fontId="62" fillId="0" borderId="148" xfId="0" applyNumberFormat="1" applyFont="1" applyBorder="1"/>
    <xf numFmtId="171" fontId="101" fillId="8" borderId="63" xfId="0" applyNumberFormat="1" applyFont="1" applyFill="1" applyBorder="1"/>
    <xf numFmtId="170" fontId="62" fillId="0" borderId="63" xfId="0" applyNumberFormat="1" applyFont="1" applyBorder="1"/>
    <xf numFmtId="171" fontId="62" fillId="8" borderId="63" xfId="0" applyNumberFormat="1" applyFont="1" applyFill="1" applyBorder="1"/>
    <xf numFmtId="170" fontId="62" fillId="11" borderId="63" xfId="0" applyNumberFormat="1" applyFont="1" applyFill="1" applyBorder="1"/>
    <xf numFmtId="3" fontId="101" fillId="0" borderId="148" xfId="0" applyNumberFormat="1" applyFont="1" applyBorder="1"/>
    <xf numFmtId="171" fontId="167" fillId="8" borderId="63" xfId="0" applyNumberFormat="1" applyFont="1" applyFill="1" applyBorder="1"/>
    <xf numFmtId="3" fontId="101" fillId="0" borderId="62" xfId="0" applyNumberFormat="1" applyFont="1" applyBorder="1"/>
    <xf numFmtId="3" fontId="168" fillId="8" borderId="62" xfId="0" applyNumberFormat="1" applyFont="1" applyFill="1" applyBorder="1"/>
    <xf numFmtId="170" fontId="57" fillId="11" borderId="0" xfId="0" applyNumberFormat="1" applyFont="1" applyFill="1"/>
    <xf numFmtId="170" fontId="167" fillId="8" borderId="63" xfId="0" applyNumberFormat="1" applyFont="1" applyFill="1" applyBorder="1"/>
    <xf numFmtId="170" fontId="120" fillId="0" borderId="147" xfId="0" applyNumberFormat="1" applyFont="1" applyBorder="1"/>
    <xf numFmtId="184" fontId="62" fillId="0" borderId="63" xfId="0" applyNumberFormat="1" applyFont="1" applyBorder="1"/>
    <xf numFmtId="213" fontId="57" fillId="11" borderId="0" xfId="0" applyNumberFormat="1" applyFont="1" applyFill="1"/>
    <xf numFmtId="199" fontId="57" fillId="11" borderId="0" xfId="0" applyNumberFormat="1" applyFont="1" applyFill="1"/>
    <xf numFmtId="215" fontId="57" fillId="11" borderId="0" xfId="12401" applyNumberFormat="1" applyFont="1" applyFill="1"/>
    <xf numFmtId="214" fontId="57" fillId="11" borderId="0" xfId="0" applyNumberFormat="1" applyFont="1" applyFill="1"/>
    <xf numFmtId="0" fontId="62" fillId="2" borderId="110" xfId="0" applyFont="1" applyFill="1" applyBorder="1" applyAlignment="1">
      <alignment horizontal="center" vertical="center"/>
    </xf>
    <xf numFmtId="0" fontId="62" fillId="2" borderId="86" xfId="0" applyFont="1" applyFill="1" applyBorder="1" applyAlignment="1">
      <alignment horizontal="center" vertical="center"/>
    </xf>
    <xf numFmtId="0" fontId="75" fillId="2" borderId="104" xfId="0" quotePrefix="1" applyFont="1" applyFill="1" applyBorder="1" applyAlignment="1">
      <alignment horizontal="center" vertical="center" wrapText="1"/>
    </xf>
    <xf numFmtId="0" fontId="75" fillId="2" borderId="101" xfId="0" quotePrefix="1" applyFont="1" applyFill="1" applyBorder="1" applyAlignment="1">
      <alignment horizontal="center" vertical="center" wrapText="1"/>
    </xf>
    <xf numFmtId="0" fontId="75" fillId="2" borderId="30" xfId="0" quotePrefix="1" applyFont="1" applyFill="1" applyBorder="1" applyAlignment="1">
      <alignment horizontal="center" vertical="center" wrapText="1"/>
    </xf>
    <xf numFmtId="0" fontId="75" fillId="8" borderId="0" xfId="0" quotePrefix="1" applyFont="1" applyFill="1" applyAlignment="1">
      <alignment horizontal="center" vertical="center" wrapText="1"/>
    </xf>
    <xf numFmtId="0" fontId="75" fillId="8" borderId="148" xfId="0" quotePrefix="1" applyFont="1" applyFill="1" applyBorder="1" applyAlignment="1">
      <alignment horizontal="center" vertical="center" wrapText="1"/>
    </xf>
    <xf numFmtId="0" fontId="75" fillId="8" borderId="12" xfId="0" quotePrefix="1" applyFont="1" applyFill="1" applyBorder="1" applyAlignment="1">
      <alignment horizontal="center" vertical="center" wrapText="1"/>
    </xf>
    <xf numFmtId="0" fontId="75" fillId="8" borderId="64" xfId="0" quotePrefix="1" applyFont="1" applyFill="1" applyBorder="1" applyAlignment="1">
      <alignment horizontal="center" vertical="center" wrapText="1"/>
    </xf>
    <xf numFmtId="171" fontId="62" fillId="8" borderId="105" xfId="0" applyNumberFormat="1" applyFont="1" applyFill="1" applyBorder="1"/>
    <xf numFmtId="0" fontId="75" fillId="8" borderId="62" xfId="0" quotePrefix="1" applyFont="1" applyFill="1" applyBorder="1" applyAlignment="1">
      <alignment horizontal="center" vertical="center" wrapText="1"/>
    </xf>
    <xf numFmtId="171" fontId="95" fillId="8" borderId="147" xfId="0" applyNumberFormat="1" applyFont="1" applyFill="1" applyBorder="1"/>
    <xf numFmtId="171" fontId="95" fillId="8" borderId="64" xfId="0" applyNumberFormat="1" applyFont="1" applyFill="1" applyBorder="1"/>
    <xf numFmtId="171" fontId="62" fillId="8" borderId="147" xfId="0" applyNumberFormat="1" applyFont="1" applyFill="1" applyBorder="1"/>
    <xf numFmtId="171" fontId="62" fillId="8" borderId="18" xfId="0" applyNumberFormat="1" applyFont="1" applyFill="1" applyBorder="1"/>
    <xf numFmtId="171" fontId="62" fillId="8" borderId="64" xfId="0" applyNumberFormat="1" applyFont="1" applyFill="1" applyBorder="1"/>
    <xf numFmtId="0" fontId="62" fillId="2" borderId="135" xfId="0" quotePrefix="1" applyFont="1" applyFill="1" applyBorder="1" applyAlignment="1">
      <alignment horizontal="centerContinuous" vertical="center" wrapText="1"/>
    </xf>
    <xf numFmtId="0" fontId="75" fillId="2" borderId="26" xfId="0" quotePrefix="1" applyFont="1" applyFill="1" applyBorder="1" applyAlignment="1">
      <alignment horizontal="center" vertical="center" wrapText="1"/>
    </xf>
    <xf numFmtId="170" fontId="62" fillId="5" borderId="2" xfId="0" applyNumberFormat="1" applyFont="1" applyFill="1" applyBorder="1"/>
    <xf numFmtId="170" fontId="62" fillId="5" borderId="0" xfId="0" applyNumberFormat="1" applyFont="1" applyFill="1"/>
    <xf numFmtId="170" fontId="62" fillId="5" borderId="3" xfId="0" applyNumberFormat="1" applyFont="1" applyFill="1" applyBorder="1"/>
    <xf numFmtId="2" fontId="57" fillId="2" borderId="0" xfId="0" applyNumberFormat="1" applyFont="1" applyFill="1"/>
    <xf numFmtId="170" fontId="62" fillId="0" borderId="147" xfId="0" applyNumberFormat="1" applyFont="1" applyBorder="1" applyAlignment="1">
      <alignment horizontal="right" vertical="center"/>
    </xf>
    <xf numFmtId="0" fontId="62" fillId="2" borderId="0" xfId="0" applyFont="1" applyFill="1" applyAlignment="1">
      <alignment horizontal="centerContinuous" vertical="center" wrapText="1"/>
    </xf>
    <xf numFmtId="0" fontId="62" fillId="2" borderId="21" xfId="0" applyFont="1" applyFill="1" applyBorder="1" applyAlignment="1">
      <alignment horizontal="centerContinuous" vertical="center" wrapText="1"/>
    </xf>
    <xf numFmtId="0" fontId="109" fillId="2" borderId="136" xfId="0" quotePrefix="1" applyFont="1" applyFill="1" applyBorder="1" applyAlignment="1">
      <alignment horizontal="center"/>
    </xf>
    <xf numFmtId="0" fontId="62" fillId="0" borderId="72" xfId="0" applyFont="1" applyBorder="1" applyAlignment="1">
      <alignment horizontal="centerContinuous" vertical="center" wrapText="1"/>
    </xf>
    <xf numFmtId="170" fontId="62" fillId="0" borderId="95" xfId="0" quotePrefix="1" applyNumberFormat="1" applyFont="1" applyBorder="1" applyAlignment="1">
      <alignment vertical="center" wrapText="1"/>
    </xf>
    <xf numFmtId="170" fontId="62" fillId="0" borderId="0" xfId="0" quotePrefix="1" applyNumberFormat="1" applyFont="1" applyAlignment="1">
      <alignment vertical="center" wrapText="1"/>
    </xf>
    <xf numFmtId="170" fontId="62" fillId="0" borderId="147" xfId="0" quotePrefix="1" applyNumberFormat="1" applyFont="1" applyBorder="1" applyAlignment="1">
      <alignment vertical="center" wrapText="1"/>
    </xf>
    <xf numFmtId="170" fontId="62" fillId="0" borderId="62" xfId="0" quotePrefix="1" applyNumberFormat="1" applyFont="1" applyBorder="1" applyAlignment="1">
      <alignment vertical="center" wrapText="1"/>
    </xf>
    <xf numFmtId="170" fontId="62" fillId="0" borderId="3" xfId="0" quotePrefix="1" applyNumberFormat="1" applyFont="1" applyBorder="1" applyAlignment="1">
      <alignment vertical="center" wrapText="1"/>
    </xf>
    <xf numFmtId="170" fontId="62" fillId="0" borderId="147" xfId="0" applyNumberFormat="1" applyFont="1" applyBorder="1"/>
    <xf numFmtId="170" fontId="62" fillId="0" borderId="62" xfId="0" applyNumberFormat="1" applyFont="1" applyBorder="1" applyAlignment="1">
      <alignment wrapText="1"/>
    </xf>
    <xf numFmtId="170" fontId="62" fillId="0" borderId="3" xfId="0" applyNumberFormat="1" applyFont="1" applyBorder="1" applyAlignment="1">
      <alignment wrapText="1"/>
    </xf>
    <xf numFmtId="170" fontId="62" fillId="0" borderId="19" xfId="0" applyNumberFormat="1" applyFont="1" applyBorder="1"/>
    <xf numFmtId="0" fontId="75" fillId="2" borderId="6" xfId="0" applyFont="1" applyFill="1" applyBorder="1" applyAlignment="1">
      <alignment horizontal="centerContinuous" vertical="center"/>
    </xf>
    <xf numFmtId="0" fontId="82" fillId="0" borderId="136" xfId="0" applyFont="1" applyBorder="1" applyAlignment="1">
      <alignment horizontal="centerContinuous" vertical="center" wrapText="1"/>
    </xf>
    <xf numFmtId="0" fontId="62" fillId="2" borderId="86" xfId="0" applyFont="1" applyFill="1" applyBorder="1" applyAlignment="1">
      <alignment horizontal="centerContinuous" vertical="center" wrapText="1"/>
    </xf>
    <xf numFmtId="0" fontId="62" fillId="0" borderId="16" xfId="0" applyFont="1" applyBorder="1" applyAlignment="1">
      <alignment horizontal="center" vertical="center" wrapText="1"/>
    </xf>
    <xf numFmtId="0" fontId="62" fillId="0" borderId="92" xfId="0" quotePrefix="1" applyFont="1" applyBorder="1" applyAlignment="1">
      <alignment horizontal="center" vertical="center" wrapText="1"/>
    </xf>
    <xf numFmtId="0" fontId="62" fillId="0" borderId="101" xfId="0" quotePrefix="1" applyFont="1" applyBorder="1" applyAlignment="1">
      <alignment horizontal="center" vertical="center" wrapText="1"/>
    </xf>
    <xf numFmtId="0" fontId="62" fillId="0" borderId="23" xfId="0" quotePrefix="1" applyFont="1" applyBorder="1" applyAlignment="1">
      <alignment horizontal="center" vertical="center" wrapText="1"/>
    </xf>
    <xf numFmtId="0" fontId="62" fillId="0" borderId="22" xfId="0" quotePrefix="1" applyFont="1" applyBorder="1" applyAlignment="1">
      <alignment horizontal="center" vertical="center" wrapText="1"/>
    </xf>
    <xf numFmtId="170" fontId="62" fillId="8" borderId="63" xfId="0" applyNumberFormat="1" applyFont="1" applyFill="1" applyBorder="1"/>
    <xf numFmtId="170" fontId="62" fillId="5" borderId="148" xfId="0" applyNumberFormat="1" applyFont="1" applyFill="1" applyBorder="1"/>
    <xf numFmtId="175" fontId="120" fillId="0" borderId="63" xfId="0" applyNumberFormat="1" applyFont="1" applyBorder="1"/>
    <xf numFmtId="0" fontId="78" fillId="2" borderId="136" xfId="0" applyFont="1" applyFill="1" applyBorder="1" applyAlignment="1">
      <alignment horizontal="centerContinuous"/>
    </xf>
    <xf numFmtId="0" fontId="95" fillId="11" borderId="136" xfId="0" applyFont="1" applyFill="1" applyBorder="1" applyAlignment="1">
      <alignment horizontal="centerContinuous" vertical="center"/>
    </xf>
    <xf numFmtId="0" fontId="74" fillId="11" borderId="136" xfId="0" applyFont="1" applyFill="1" applyBorder="1" applyAlignment="1">
      <alignment horizontal="centerContinuous" vertical="center"/>
    </xf>
    <xf numFmtId="0" fontId="95" fillId="11" borderId="47" xfId="0" applyFont="1" applyFill="1" applyBorder="1" applyAlignment="1">
      <alignment horizontal="centerContinuous" vertical="center"/>
    </xf>
    <xf numFmtId="0" fontId="74" fillId="11" borderId="135" xfId="0" applyFont="1" applyFill="1" applyBorder="1" applyAlignment="1">
      <alignment horizontal="centerContinuous" vertical="center"/>
    </xf>
    <xf numFmtId="0" fontId="62" fillId="2" borderId="73" xfId="0" applyFont="1" applyFill="1" applyBorder="1" applyAlignment="1">
      <alignment horizontal="center" vertical="center"/>
    </xf>
    <xf numFmtId="3" fontId="120" fillId="0" borderId="148" xfId="0" applyNumberFormat="1" applyFont="1" applyBorder="1"/>
    <xf numFmtId="3" fontId="62" fillId="9" borderId="147" xfId="0" applyNumberFormat="1" applyFont="1" applyFill="1" applyBorder="1"/>
    <xf numFmtId="3" fontId="120" fillId="0" borderId="147" xfId="0" applyNumberFormat="1" applyFont="1" applyBorder="1"/>
    <xf numFmtId="3" fontId="121" fillId="7" borderId="147" xfId="0" applyNumberFormat="1" applyFont="1" applyFill="1" applyBorder="1"/>
    <xf numFmtId="3" fontId="62" fillId="0" borderId="147" xfId="0" applyNumberFormat="1" applyFont="1" applyBorder="1"/>
    <xf numFmtId="0" fontId="77" fillId="2" borderId="135" xfId="0" applyFont="1" applyFill="1" applyBorder="1" applyAlignment="1">
      <alignment horizontal="centerContinuous" vertical="center" wrapText="1"/>
    </xf>
    <xf numFmtId="0" fontId="75" fillId="2" borderId="135" xfId="0" quotePrefix="1" applyFont="1" applyFill="1" applyBorder="1" applyAlignment="1">
      <alignment horizontal="centerContinuous" vertical="center" wrapText="1"/>
    </xf>
    <xf numFmtId="0" fontId="75" fillId="2" borderId="9" xfId="0" quotePrefix="1" applyFont="1" applyFill="1" applyBorder="1" applyAlignment="1">
      <alignment horizontal="center" vertical="center" wrapText="1"/>
    </xf>
    <xf numFmtId="0" fontId="75" fillId="0" borderId="136" xfId="9858" applyFont="1" applyBorder="1" applyAlignment="1">
      <alignment horizontal="centerContinuous" vertical="center"/>
    </xf>
    <xf numFmtId="0" fontId="75" fillId="0" borderId="135" xfId="126" applyFont="1" applyBorder="1" applyAlignment="1">
      <alignment horizontal="centerContinuous" vertical="center" wrapText="1" readingOrder="1"/>
    </xf>
    <xf numFmtId="0" fontId="75" fillId="0" borderId="62" xfId="0" applyFont="1" applyBorder="1" applyAlignment="1">
      <alignment horizontal="centerContinuous" vertical="center"/>
    </xf>
    <xf numFmtId="0" fontId="75" fillId="2" borderId="6" xfId="13" applyFont="1" applyFill="1" applyBorder="1" applyAlignment="1">
      <alignment horizontal="centerContinuous" vertical="center"/>
    </xf>
    <xf numFmtId="0" fontId="75" fillId="0" borderId="110" xfId="13" applyFont="1" applyBorder="1" applyAlignment="1">
      <alignment horizontal="center" vertical="center" wrapText="1"/>
    </xf>
    <xf numFmtId="0" fontId="75" fillId="0" borderId="7" xfId="13" applyFont="1" applyBorder="1" applyAlignment="1">
      <alignment horizontal="center" vertical="center" wrapText="1"/>
    </xf>
    <xf numFmtId="0" fontId="75" fillId="0" borderId="72" xfId="13" applyFont="1" applyBorder="1" applyAlignment="1">
      <alignment horizontal="center" vertical="center" wrapText="1"/>
    </xf>
    <xf numFmtId="0" fontId="75" fillId="0" borderId="8" xfId="13" applyFont="1" applyBorder="1" applyAlignment="1">
      <alignment horizontal="center" vertical="center" wrapText="1"/>
    </xf>
    <xf numFmtId="0" fontId="62" fillId="2" borderId="110" xfId="13" applyFont="1" applyFill="1" applyBorder="1" applyAlignment="1">
      <alignment horizontal="center" vertical="center" wrapText="1"/>
    </xf>
    <xf numFmtId="0" fontId="75" fillId="2" borderId="104" xfId="13" applyFont="1" applyFill="1" applyBorder="1" applyAlignment="1">
      <alignment horizontal="center" vertical="center" wrapText="1"/>
    </xf>
    <xf numFmtId="0" fontId="75" fillId="2" borderId="24" xfId="13" applyFont="1" applyFill="1" applyBorder="1" applyAlignment="1">
      <alignment horizontal="center" vertical="center" wrapText="1"/>
    </xf>
    <xf numFmtId="179" fontId="62" fillId="2" borderId="0" xfId="12401" applyNumberFormat="1" applyFont="1" applyFill="1" applyAlignment="1">
      <alignment vertical="center"/>
    </xf>
    <xf numFmtId="0" fontId="75" fillId="2" borderId="2" xfId="12" applyFont="1" applyFill="1" applyBorder="1" applyAlignment="1">
      <alignment horizontal="centerContinuous" vertical="center"/>
    </xf>
    <xf numFmtId="0" fontId="75" fillId="2" borderId="62" xfId="12" applyFont="1" applyFill="1" applyBorder="1" applyAlignment="1">
      <alignment horizontal="centerContinuous" vertical="center"/>
    </xf>
    <xf numFmtId="0" fontId="75" fillId="2" borderId="0" xfId="12" applyFont="1" applyFill="1" applyAlignment="1">
      <alignment horizontal="centerContinuous" vertical="center"/>
    </xf>
    <xf numFmtId="0" fontId="75" fillId="2" borderId="3" xfId="12" applyFont="1" applyFill="1" applyBorder="1" applyAlignment="1">
      <alignment horizontal="centerContinuous" vertical="center"/>
    </xf>
    <xf numFmtId="0" fontId="57" fillId="2" borderId="2" xfId="12" applyFont="1" applyFill="1" applyBorder="1" applyAlignment="1">
      <alignment vertical="center"/>
    </xf>
    <xf numFmtId="0" fontId="57" fillId="2" borderId="0" xfId="12" applyFont="1" applyFill="1" applyAlignment="1">
      <alignment vertical="center"/>
    </xf>
    <xf numFmtId="0" fontId="75" fillId="2" borderId="136" xfId="12" applyFont="1" applyFill="1" applyBorder="1" applyAlignment="1">
      <alignment horizontal="centerContinuous" vertical="center" wrapText="1"/>
    </xf>
    <xf numFmtId="0" fontId="75" fillId="2" borderId="7" xfId="12" applyFont="1" applyFill="1" applyBorder="1" applyAlignment="1">
      <alignment horizontal="centerContinuous" vertical="center" wrapText="1"/>
    </xf>
    <xf numFmtId="0" fontId="62" fillId="2" borderId="136" xfId="12" applyFont="1" applyFill="1" applyBorder="1" applyAlignment="1">
      <alignment horizontal="centerContinuous" vertical="center" wrapText="1"/>
    </xf>
    <xf numFmtId="0" fontId="62" fillId="2" borderId="38" xfId="12" applyFont="1" applyFill="1" applyBorder="1" applyAlignment="1">
      <alignment horizontal="centerContinuous" vertical="center" wrapText="1"/>
    </xf>
    <xf numFmtId="0" fontId="62" fillId="2" borderId="62" xfId="12" applyFont="1" applyFill="1" applyBorder="1" applyAlignment="1">
      <alignment horizontal="centerContinuous" vertical="center" wrapText="1"/>
    </xf>
    <xf numFmtId="0" fontId="62" fillId="2" borderId="3" xfId="12" applyFont="1" applyFill="1" applyBorder="1" applyAlignment="1">
      <alignment horizontal="centerContinuous" vertical="center" wrapText="1"/>
    </xf>
    <xf numFmtId="0" fontId="75" fillId="2" borderId="26" xfId="12" applyFont="1" applyFill="1" applyBorder="1" applyAlignment="1">
      <alignment horizontal="centerContinuous" vertical="center" wrapText="1"/>
    </xf>
    <xf numFmtId="0" fontId="75" fillId="2" borderId="22" xfId="12" applyFont="1" applyFill="1" applyBorder="1" applyAlignment="1">
      <alignment horizontal="centerContinuous" vertical="center" wrapText="1"/>
    </xf>
    <xf numFmtId="0" fontId="75" fillId="2" borderId="92" xfId="12" applyFont="1" applyFill="1" applyBorder="1" applyAlignment="1">
      <alignment horizontal="centerContinuous" vertical="center" wrapText="1"/>
    </xf>
    <xf numFmtId="0" fontId="75" fillId="2" borderId="24" xfId="12" applyFont="1" applyFill="1" applyBorder="1" applyAlignment="1">
      <alignment horizontal="centerContinuous" vertical="center" wrapText="1"/>
    </xf>
    <xf numFmtId="0" fontId="57" fillId="2" borderId="2" xfId="12" applyFont="1" applyFill="1" applyBorder="1" applyAlignment="1">
      <alignment vertical="center" wrapText="1"/>
    </xf>
    <xf numFmtId="2" fontId="62" fillId="0" borderId="3" xfId="12" applyNumberFormat="1" applyFont="1" applyBorder="1" applyAlignment="1">
      <alignment horizontal="center"/>
    </xf>
    <xf numFmtId="10" fontId="57" fillId="2" borderId="2" xfId="12401" applyNumberFormat="1" applyFont="1" applyFill="1" applyBorder="1"/>
    <xf numFmtId="0" fontId="57" fillId="2" borderId="0" xfId="12" applyFont="1" applyFill="1"/>
    <xf numFmtId="2" fontId="57" fillId="2" borderId="0" xfId="12" applyNumberFormat="1" applyFont="1" applyFill="1"/>
    <xf numFmtId="209" fontId="57" fillId="2" borderId="0" xfId="12" applyNumberFormat="1" applyFont="1" applyFill="1"/>
    <xf numFmtId="176" fontId="62" fillId="2" borderId="8" xfId="0" applyNumberFormat="1" applyFont="1" applyFill="1" applyBorder="1" applyAlignment="1">
      <alignment horizontal="center" vertical="center" wrapText="1"/>
    </xf>
    <xf numFmtId="1" fontId="78" fillId="2" borderId="135" xfId="0" applyNumberFormat="1" applyFont="1" applyFill="1" applyBorder="1" applyAlignment="1">
      <alignment horizontal="center"/>
    </xf>
    <xf numFmtId="185" fontId="78" fillId="2" borderId="135" xfId="0" applyNumberFormat="1" applyFont="1" applyFill="1" applyBorder="1" applyAlignment="1">
      <alignment horizontal="center" vertical="center"/>
    </xf>
    <xf numFmtId="0" fontId="75" fillId="2" borderId="0" xfId="0" applyFont="1" applyFill="1" applyAlignment="1">
      <alignment horizontal="center"/>
    </xf>
    <xf numFmtId="0" fontId="75" fillId="2" borderId="0" xfId="0" applyFont="1" applyFill="1" applyAlignment="1">
      <alignment horizontal="center" vertical="center" wrapText="1"/>
    </xf>
    <xf numFmtId="170" fontId="101" fillId="0" borderId="64" xfId="0" applyNumberFormat="1" applyFont="1" applyBorder="1"/>
    <xf numFmtId="170" fontId="57" fillId="2" borderId="2" xfId="0" applyNumberFormat="1" applyFont="1" applyFill="1" applyBorder="1"/>
    <xf numFmtId="0" fontId="75" fillId="11" borderId="8" xfId="0" applyFont="1" applyFill="1" applyBorder="1" applyAlignment="1">
      <alignment horizontal="centerContinuous" vertical="center" wrapText="1"/>
    </xf>
    <xf numFmtId="0" fontId="62" fillId="2" borderId="2" xfId="0" applyFont="1" applyFill="1" applyBorder="1"/>
    <xf numFmtId="0" fontId="62" fillId="2" borderId="3" xfId="0" applyFont="1" applyFill="1" applyBorder="1" applyAlignment="1">
      <alignment horizontal="centerContinuous" vertical="center" wrapText="1"/>
    </xf>
    <xf numFmtId="0" fontId="75" fillId="2" borderId="32" xfId="0" applyFont="1" applyFill="1" applyBorder="1" applyAlignment="1">
      <alignment horizontal="centerContinuous" vertical="center" wrapText="1"/>
    </xf>
    <xf numFmtId="0" fontId="62" fillId="2" borderId="32" xfId="0" applyFont="1" applyFill="1" applyBorder="1" applyAlignment="1">
      <alignment horizontal="centerContinuous" vertical="center" wrapText="1"/>
    </xf>
    <xf numFmtId="170" fontId="101" fillId="5" borderId="64" xfId="0" applyNumberFormat="1" applyFont="1" applyFill="1" applyBorder="1"/>
    <xf numFmtId="170" fontId="95" fillId="4" borderId="64" xfId="0" applyNumberFormat="1" applyFont="1" applyFill="1" applyBorder="1"/>
    <xf numFmtId="0" fontId="75" fillId="2" borderId="136" xfId="0" quotePrefix="1" applyFont="1" applyFill="1" applyBorder="1" applyAlignment="1">
      <alignment horizontal="centerContinuous" vertical="center"/>
    </xf>
    <xf numFmtId="0" fontId="62" fillId="2" borderId="7" xfId="0" applyFont="1" applyFill="1" applyBorder="1" applyAlignment="1">
      <alignment horizontal="centerContinuous" vertical="center"/>
    </xf>
    <xf numFmtId="0" fontId="62" fillId="2" borderId="8" xfId="0" applyFont="1" applyFill="1" applyBorder="1" applyAlignment="1">
      <alignment horizontal="centerContinuous" vertical="center"/>
    </xf>
    <xf numFmtId="0" fontId="62" fillId="2" borderId="93" xfId="0" applyFont="1" applyFill="1" applyBorder="1"/>
    <xf numFmtId="0" fontId="62" fillId="2" borderId="135" xfId="0" applyFont="1" applyFill="1" applyBorder="1"/>
    <xf numFmtId="10" fontId="62" fillId="2" borderId="93" xfId="12401" applyNumberFormat="1" applyFont="1" applyFill="1" applyBorder="1" applyAlignment="1">
      <alignment horizontal="center" vertical="center"/>
    </xf>
    <xf numFmtId="10" fontId="62" fillId="2" borderId="7" xfId="12401" applyNumberFormat="1" applyFont="1" applyFill="1" applyBorder="1" applyAlignment="1">
      <alignment horizontal="center" vertical="center"/>
    </xf>
    <xf numFmtId="10" fontId="62" fillId="2" borderId="71" xfId="12401" applyNumberFormat="1" applyFont="1" applyFill="1" applyBorder="1" applyAlignment="1">
      <alignment horizontal="center" vertical="center"/>
    </xf>
    <xf numFmtId="10" fontId="62" fillId="2" borderId="86" xfId="12401" applyNumberFormat="1" applyFont="1" applyFill="1" applyBorder="1" applyAlignment="1">
      <alignment horizontal="center" vertical="center"/>
    </xf>
    <xf numFmtId="178" fontId="62" fillId="6" borderId="135" xfId="12401" applyNumberFormat="1" applyFont="1" applyFill="1" applyBorder="1" applyAlignment="1">
      <alignment horizontal="center" vertical="center"/>
    </xf>
    <xf numFmtId="0" fontId="62" fillId="2" borderId="93" xfId="0" quotePrefix="1" applyFont="1" applyFill="1" applyBorder="1" applyAlignment="1">
      <alignment horizontal="center" vertical="center" wrapText="1"/>
    </xf>
    <xf numFmtId="0" fontId="62" fillId="2" borderId="86" xfId="0" quotePrefix="1" applyFont="1" applyFill="1" applyBorder="1" applyAlignment="1">
      <alignment horizontal="center" vertical="center" wrapText="1"/>
    </xf>
    <xf numFmtId="0" fontId="75" fillId="2" borderId="98" xfId="0" quotePrefix="1" applyFont="1" applyFill="1" applyBorder="1" applyAlignment="1">
      <alignment horizontal="center" vertical="center"/>
    </xf>
    <xf numFmtId="0" fontId="75" fillId="2" borderId="94" xfId="0" applyFont="1" applyFill="1" applyBorder="1" applyAlignment="1">
      <alignment horizontal="center" vertical="center" wrapText="1"/>
    </xf>
    <xf numFmtId="0" fontId="62" fillId="2" borderId="101" xfId="0" applyFont="1" applyFill="1" applyBorder="1"/>
    <xf numFmtId="177" fontId="105" fillId="5" borderId="148" xfId="0" applyNumberFormat="1" applyFont="1" applyFill="1" applyBorder="1"/>
    <xf numFmtId="177" fontId="62" fillId="5" borderId="97" xfId="0" applyNumberFormat="1" applyFont="1" applyFill="1" applyBorder="1"/>
    <xf numFmtId="177" fontId="62" fillId="5" borderId="0" xfId="0" applyNumberFormat="1" applyFont="1" applyFill="1"/>
    <xf numFmtId="177" fontId="62" fillId="5" borderId="148" xfId="0" applyNumberFormat="1" applyFont="1" applyFill="1" applyBorder="1"/>
    <xf numFmtId="0" fontId="62" fillId="5" borderId="64" xfId="0" applyFont="1" applyFill="1" applyBorder="1"/>
    <xf numFmtId="177" fontId="62" fillId="8" borderId="97" xfId="0" applyNumberFormat="1" applyFont="1" applyFill="1" applyBorder="1"/>
    <xf numFmtId="177" fontId="62" fillId="8" borderId="0" xfId="0" applyNumberFormat="1" applyFont="1" applyFill="1"/>
    <xf numFmtId="177" fontId="62" fillId="8" borderId="148" xfId="0" applyNumberFormat="1" applyFont="1" applyFill="1" applyBorder="1"/>
    <xf numFmtId="0" fontId="75" fillId="2" borderId="135" xfId="13" applyFont="1" applyFill="1" applyBorder="1" applyAlignment="1">
      <alignment horizontal="centerContinuous" vertical="center" wrapText="1"/>
    </xf>
    <xf numFmtId="0" fontId="62" fillId="2" borderId="135" xfId="13" applyFont="1" applyFill="1" applyBorder="1" applyAlignment="1">
      <alignment horizontal="centerContinuous" vertical="center" wrapText="1"/>
    </xf>
    <xf numFmtId="10" fontId="62" fillId="5" borderId="148" xfId="13" applyNumberFormat="1" applyFont="1" applyFill="1" applyBorder="1"/>
    <xf numFmtId="4" fontId="118" fillId="4" borderId="148" xfId="13" applyNumberFormat="1" applyFont="1" applyFill="1" applyBorder="1"/>
    <xf numFmtId="179" fontId="62" fillId="12" borderId="148" xfId="12401" applyNumberFormat="1" applyFont="1" applyFill="1" applyBorder="1"/>
    <xf numFmtId="179" fontId="118" fillId="7" borderId="148" xfId="12401" applyNumberFormat="1" applyFont="1" applyFill="1" applyBorder="1"/>
    <xf numFmtId="0" fontId="75" fillId="2" borderId="2" xfId="13" quotePrefix="1" applyFont="1" applyFill="1" applyBorder="1" applyAlignment="1">
      <alignment horizontal="centerContinuous" vertical="center" wrapText="1"/>
    </xf>
    <xf numFmtId="0" fontId="75" fillId="2" borderId="31" xfId="13" quotePrefix="1" applyFont="1" applyFill="1" applyBorder="1" applyAlignment="1">
      <alignment horizontal="centerContinuous" vertical="center" wrapText="1"/>
    </xf>
    <xf numFmtId="0" fontId="75" fillId="2" borderId="6" xfId="13" applyFont="1" applyFill="1" applyBorder="1" applyAlignment="1">
      <alignment horizontal="center" vertical="center" wrapText="1"/>
    </xf>
    <xf numFmtId="0" fontId="75" fillId="2" borderId="136" xfId="13" applyFont="1" applyFill="1" applyBorder="1" applyAlignment="1">
      <alignment horizontal="center" vertical="center" wrapText="1"/>
    </xf>
    <xf numFmtId="0" fontId="62" fillId="2" borderId="6" xfId="13" applyFont="1" applyFill="1" applyBorder="1" applyAlignment="1">
      <alignment horizontal="centerContinuous" vertical="center" wrapText="1"/>
    </xf>
    <xf numFmtId="0" fontId="62" fillId="2" borderId="85" xfId="13" applyFont="1" applyFill="1" applyBorder="1" applyAlignment="1">
      <alignment horizontal="centerContinuous" vertical="center" wrapText="1"/>
    </xf>
    <xf numFmtId="0" fontId="62" fillId="0" borderId="6" xfId="13" applyFont="1" applyBorder="1" applyAlignment="1">
      <alignment horizontal="center" vertical="center" wrapText="1"/>
    </xf>
    <xf numFmtId="0" fontId="62" fillId="0" borderId="85" xfId="13" applyFont="1" applyBorder="1" applyAlignment="1">
      <alignment horizontal="center" vertical="center" wrapText="1"/>
    </xf>
    <xf numFmtId="0" fontId="75" fillId="2" borderId="16" xfId="13" quotePrefix="1" applyFont="1" applyFill="1" applyBorder="1" applyAlignment="1">
      <alignment horizontal="center" vertical="center" wrapText="1"/>
    </xf>
    <xf numFmtId="0" fontId="75" fillId="2" borderId="91" xfId="13" quotePrefix="1" applyFont="1" applyFill="1" applyBorder="1" applyAlignment="1">
      <alignment horizontal="center" vertical="center" wrapText="1"/>
    </xf>
    <xf numFmtId="2" fontId="62" fillId="0" borderId="0" xfId="13" applyNumberFormat="1" applyFont="1" applyAlignment="1">
      <alignment horizontal="center"/>
    </xf>
    <xf numFmtId="10" fontId="62" fillId="5" borderId="12" xfId="13" applyNumberFormat="1" applyFont="1" applyFill="1" applyBorder="1"/>
    <xf numFmtId="10" fontId="62" fillId="5" borderId="102" xfId="13" applyNumberFormat="1" applyFont="1" applyFill="1" applyBorder="1"/>
    <xf numFmtId="172" fontId="62" fillId="0" borderId="19" xfId="13" applyNumberFormat="1" applyFont="1" applyBorder="1"/>
    <xf numFmtId="10" fontId="62" fillId="0" borderId="62" xfId="13" applyNumberFormat="1" applyFont="1" applyBorder="1"/>
    <xf numFmtId="0" fontId="62" fillId="2" borderId="0" xfId="0" applyFont="1" applyFill="1" applyAlignment="1">
      <alignment horizontal="centerContinuous" vertical="center"/>
    </xf>
    <xf numFmtId="0" fontId="62" fillId="2" borderId="62" xfId="0" applyFont="1" applyFill="1" applyBorder="1" applyAlignment="1">
      <alignment horizontal="centerContinuous" vertical="center"/>
    </xf>
    <xf numFmtId="0" fontId="62" fillId="2" borderId="3" xfId="0" applyFont="1" applyFill="1" applyBorder="1" applyAlignment="1">
      <alignment horizontal="centerContinuous" vertical="center"/>
    </xf>
    <xf numFmtId="0" fontId="62" fillId="2" borderId="25" xfId="0" applyFont="1" applyFill="1" applyBorder="1" applyAlignment="1">
      <alignment vertical="center"/>
    </xf>
    <xf numFmtId="0" fontId="62" fillId="2" borderId="14" xfId="0" applyFont="1" applyFill="1" applyBorder="1" applyAlignment="1">
      <alignment horizontal="centerContinuous" vertical="center"/>
    </xf>
    <xf numFmtId="0" fontId="75" fillId="2" borderId="101" xfId="0" applyFont="1" applyFill="1" applyBorder="1" applyAlignment="1">
      <alignment horizontal="center" vertical="center"/>
    </xf>
    <xf numFmtId="0" fontId="75" fillId="2" borderId="22" xfId="0" applyFont="1" applyFill="1" applyBorder="1" applyAlignment="1">
      <alignment horizontal="center" vertical="center"/>
    </xf>
    <xf numFmtId="0" fontId="75" fillId="2" borderId="91" xfId="0" quotePrefix="1" applyFont="1" applyFill="1" applyBorder="1" applyAlignment="1">
      <alignment horizontal="center" vertical="center"/>
    </xf>
    <xf numFmtId="177" fontId="62" fillId="5" borderId="62" xfId="0" applyNumberFormat="1" applyFont="1" applyFill="1" applyBorder="1"/>
    <xf numFmtId="177" fontId="62" fillId="5" borderId="102" xfId="0" applyNumberFormat="1" applyFont="1" applyFill="1" applyBorder="1"/>
    <xf numFmtId="179" fontId="158" fillId="7" borderId="148" xfId="0" applyNumberFormat="1" applyFont="1" applyFill="1" applyBorder="1"/>
    <xf numFmtId="179" fontId="120" fillId="0" borderId="148" xfId="0" applyNumberFormat="1" applyFont="1" applyBorder="1"/>
    <xf numFmtId="175" fontId="62" fillId="0" borderId="62" xfId="0" applyNumberFormat="1" applyFont="1" applyBorder="1" applyAlignment="1">
      <alignment horizontal="right"/>
    </xf>
    <xf numFmtId="181" fontId="62" fillId="0" borderId="2" xfId="0" applyNumberFormat="1" applyFont="1" applyBorder="1"/>
    <xf numFmtId="175" fontId="62" fillId="0" borderId="62" xfId="0" applyNumberFormat="1" applyFont="1" applyBorder="1" applyAlignment="1">
      <alignment horizontal="center"/>
    </xf>
    <xf numFmtId="0" fontId="75" fillId="2" borderId="25" xfId="12" applyFont="1" applyFill="1" applyBorder="1" applyAlignment="1">
      <alignment horizontal="centerContinuous" vertical="center"/>
    </xf>
    <xf numFmtId="0" fontId="75" fillId="2" borderId="136" xfId="12" quotePrefix="1" applyFont="1" applyFill="1" applyBorder="1" applyAlignment="1">
      <alignment horizontal="centerContinuous" vertical="center" wrapText="1"/>
    </xf>
    <xf numFmtId="0" fontId="75" fillId="2" borderId="135" xfId="12" applyFont="1" applyFill="1" applyBorder="1" applyAlignment="1">
      <alignment horizontal="centerContinuous" vertical="center" wrapText="1"/>
    </xf>
    <xf numFmtId="0" fontId="77" fillId="2" borderId="136" xfId="12" applyFont="1" applyFill="1" applyBorder="1" applyAlignment="1">
      <alignment horizontal="centerContinuous" vertical="center" wrapText="1"/>
    </xf>
    <xf numFmtId="0" fontId="77" fillId="2" borderId="135" xfId="12" applyFont="1" applyFill="1" applyBorder="1" applyAlignment="1">
      <alignment horizontal="centerContinuous" vertical="center" wrapText="1"/>
    </xf>
    <xf numFmtId="0" fontId="75" fillId="2" borderId="2" xfId="12" quotePrefix="1" applyFont="1" applyFill="1" applyBorder="1" applyAlignment="1">
      <alignment horizontal="centerContinuous" vertical="center" wrapText="1"/>
    </xf>
    <xf numFmtId="0" fontId="75" fillId="2" borderId="0" xfId="12" quotePrefix="1" applyFont="1" applyFill="1" applyAlignment="1">
      <alignment horizontal="centerContinuous" vertical="center" wrapText="1"/>
    </xf>
    <xf numFmtId="0" fontId="75" fillId="2" borderId="0" xfId="12" applyFont="1" applyFill="1" applyAlignment="1">
      <alignment horizontal="centerContinuous" vertical="center" wrapText="1"/>
    </xf>
    <xf numFmtId="0" fontId="75" fillId="2" borderId="3" xfId="12" applyFont="1" applyFill="1" applyBorder="1" applyAlignment="1">
      <alignment horizontal="centerContinuous" vertical="center" wrapText="1"/>
    </xf>
    <xf numFmtId="0" fontId="62" fillId="2" borderId="136" xfId="12" quotePrefix="1" applyFont="1" applyFill="1" applyBorder="1" applyAlignment="1">
      <alignment horizontal="centerContinuous" vertical="center" wrapText="1"/>
    </xf>
    <xf numFmtId="0" fontId="62" fillId="2" borderId="73" xfId="12" quotePrefix="1" applyFont="1" applyFill="1" applyBorder="1" applyAlignment="1">
      <alignment horizontal="center" vertical="center" wrapText="1"/>
    </xf>
    <xf numFmtId="0" fontId="62" fillId="2" borderId="72" xfId="12" quotePrefix="1" applyFont="1" applyFill="1" applyBorder="1" applyAlignment="1">
      <alignment horizontal="center" vertical="center" wrapText="1"/>
    </xf>
    <xf numFmtId="0" fontId="62" fillId="0" borderId="135" xfId="12" applyFont="1" applyBorder="1" applyAlignment="1">
      <alignment horizontal="centerContinuous" vertical="center" wrapText="1"/>
    </xf>
    <xf numFmtId="0" fontId="62" fillId="2" borderId="7" xfId="12" quotePrefix="1" applyFont="1" applyFill="1" applyBorder="1" applyAlignment="1">
      <alignment horizontal="center" vertical="center" wrapText="1"/>
    </xf>
    <xf numFmtId="0" fontId="62" fillId="2" borderId="71" xfId="12" quotePrefix="1" applyFont="1" applyFill="1" applyBorder="1" applyAlignment="1">
      <alignment horizontal="center" vertical="center" wrapText="1"/>
    </xf>
    <xf numFmtId="0" fontId="62" fillId="2" borderId="7" xfId="12" applyFont="1" applyFill="1" applyBorder="1" applyAlignment="1">
      <alignment horizontal="center" vertical="center" wrapText="1"/>
    </xf>
    <xf numFmtId="0" fontId="62" fillId="2" borderId="85" xfId="12" applyFont="1" applyFill="1" applyBorder="1" applyAlignment="1">
      <alignment horizontal="center" vertical="center" wrapText="1"/>
    </xf>
    <xf numFmtId="179" fontId="102" fillId="0" borderId="147" xfId="12" applyNumberFormat="1" applyFont="1" applyBorder="1"/>
    <xf numFmtId="0" fontId="62" fillId="2" borderId="35" xfId="12" applyFont="1" applyFill="1" applyBorder="1" applyAlignment="1">
      <alignment horizontal="center" vertical="center" wrapText="1"/>
    </xf>
    <xf numFmtId="0" fontId="62" fillId="2" borderId="14" xfId="12" applyFont="1" applyFill="1" applyBorder="1" applyAlignment="1">
      <alignment horizontal="centerContinuous" vertical="center" wrapText="1"/>
    </xf>
    <xf numFmtId="0" fontId="57" fillId="2" borderId="2" xfId="12" applyFont="1" applyFill="1" applyBorder="1"/>
    <xf numFmtId="198" fontId="62" fillId="0" borderId="19" xfId="14" applyNumberFormat="1" applyFont="1" applyBorder="1"/>
    <xf numFmtId="198" fontId="62" fillId="0" borderId="67" xfId="14" applyNumberFormat="1" applyFont="1" applyBorder="1"/>
    <xf numFmtId="0" fontId="75" fillId="2" borderId="20" xfId="12" applyFont="1" applyFill="1" applyBorder="1" applyAlignment="1">
      <alignment horizontal="centerContinuous" vertical="center"/>
    </xf>
    <xf numFmtId="0" fontId="62" fillId="2" borderId="7" xfId="12" quotePrefix="1" applyFont="1" applyFill="1" applyBorder="1" applyAlignment="1">
      <alignment horizontal="centerContinuous" vertical="center" wrapText="1"/>
    </xf>
    <xf numFmtId="0" fontId="62" fillId="2" borderId="8" xfId="12" applyFont="1" applyFill="1" applyBorder="1" applyAlignment="1">
      <alignment horizontal="centerContinuous" vertical="center" wrapText="1"/>
    </xf>
    <xf numFmtId="0" fontId="62" fillId="2" borderId="86" xfId="12" applyFont="1" applyFill="1" applyBorder="1" applyAlignment="1">
      <alignment horizontal="centerContinuous" vertical="center" wrapText="1"/>
    </xf>
    <xf numFmtId="0" fontId="62" fillId="2" borderId="85" xfId="12" applyFont="1" applyFill="1" applyBorder="1" applyAlignment="1">
      <alignment horizontal="centerContinuous" vertical="center" wrapText="1"/>
    </xf>
    <xf numFmtId="2" fontId="62" fillId="0" borderId="0" xfId="12" applyNumberFormat="1" applyFont="1" applyAlignment="1">
      <alignment horizontal="center"/>
    </xf>
    <xf numFmtId="3" fontId="62" fillId="5" borderId="0" xfId="14" applyNumberFormat="1" applyFont="1" applyFill="1"/>
    <xf numFmtId="3" fontId="62" fillId="0" borderId="2" xfId="14" applyNumberFormat="1" applyFont="1" applyBorder="1"/>
    <xf numFmtId="3" fontId="62" fillId="0" borderId="62" xfId="14" applyNumberFormat="1" applyFont="1" applyBorder="1"/>
    <xf numFmtId="184" fontId="62" fillId="0" borderId="148" xfId="14" applyNumberFormat="1" applyFont="1" applyBorder="1"/>
    <xf numFmtId="184" fontId="101" fillId="0" borderId="147" xfId="14" applyNumberFormat="1" applyFont="1" applyBorder="1"/>
    <xf numFmtId="184" fontId="62" fillId="0" borderId="0" xfId="14" applyNumberFormat="1" applyFont="1"/>
    <xf numFmtId="0" fontId="57" fillId="2" borderId="62" xfId="12" applyFont="1" applyFill="1" applyBorder="1" applyAlignment="1">
      <alignment vertical="center"/>
    </xf>
    <xf numFmtId="0" fontId="57" fillId="2" borderId="34" xfId="12" applyFont="1" applyFill="1" applyBorder="1" applyAlignment="1">
      <alignment vertical="center"/>
    </xf>
    <xf numFmtId="0" fontId="75" fillId="2" borderId="136" xfId="12" applyFont="1" applyFill="1" applyBorder="1" applyAlignment="1">
      <alignment horizontal="center" vertical="center" wrapText="1"/>
    </xf>
    <xf numFmtId="0" fontId="62" fillId="2" borderId="136" xfId="12" applyFont="1" applyFill="1" applyBorder="1" applyAlignment="1">
      <alignment horizontal="center" vertical="center" wrapText="1"/>
    </xf>
    <xf numFmtId="0" fontId="62" fillId="2" borderId="62" xfId="12" applyFont="1" applyFill="1" applyBorder="1" applyAlignment="1">
      <alignment horizontal="center" vertical="center"/>
    </xf>
    <xf numFmtId="2" fontId="62" fillId="0" borderId="10" xfId="12" applyNumberFormat="1" applyFont="1" applyBorder="1" applyAlignment="1">
      <alignment horizontal="center"/>
    </xf>
    <xf numFmtId="0" fontId="57" fillId="5" borderId="62" xfId="12" applyFont="1" applyFill="1" applyBorder="1" applyAlignment="1">
      <alignment vertical="center" wrapText="1"/>
    </xf>
    <xf numFmtId="4" fontId="62" fillId="0" borderId="3" xfId="14" applyNumberFormat="1" applyFont="1" applyBorder="1"/>
    <xf numFmtId="0" fontId="57" fillId="5" borderId="0" xfId="12" applyFont="1" applyFill="1" applyAlignment="1">
      <alignment vertical="center" wrapText="1"/>
    </xf>
    <xf numFmtId="4" fontId="62" fillId="0" borderId="2" xfId="14" applyNumberFormat="1" applyFont="1" applyBorder="1"/>
    <xf numFmtId="4" fontId="62" fillId="0" borderId="18" xfId="14" applyNumberFormat="1" applyFont="1" applyBorder="1"/>
    <xf numFmtId="4" fontId="62" fillId="0" borderId="62" xfId="14" applyNumberFormat="1" applyFont="1" applyBorder="1"/>
    <xf numFmtId="0" fontId="57" fillId="5" borderId="62" xfId="12" applyFont="1" applyFill="1" applyBorder="1"/>
    <xf numFmtId="4" fontId="95" fillId="4" borderId="62" xfId="14" applyNumberFormat="1" applyFont="1" applyFill="1" applyBorder="1"/>
    <xf numFmtId="4" fontId="62" fillId="0" borderId="63" xfId="14" applyNumberFormat="1" applyFont="1" applyBorder="1"/>
    <xf numFmtId="4" fontId="62" fillId="0" borderId="3" xfId="14" applyNumberFormat="1" applyFont="1" applyBorder="1" applyAlignment="1">
      <alignment horizontal="right"/>
    </xf>
    <xf numFmtId="4" fontId="62" fillId="0" borderId="95" xfId="14" applyNumberFormat="1" applyFont="1" applyBorder="1" applyAlignment="1">
      <alignment horizontal="center"/>
    </xf>
    <xf numFmtId="4" fontId="62" fillId="0" borderId="3" xfId="14" applyNumberFormat="1" applyFont="1" applyBorder="1" applyAlignment="1">
      <alignment horizontal="center"/>
    </xf>
    <xf numFmtId="4" fontId="62" fillId="0" borderId="62" xfId="14" applyNumberFormat="1" applyFont="1" applyBorder="1" applyAlignment="1">
      <alignment horizontal="center"/>
    </xf>
    <xf numFmtId="4" fontId="62" fillId="0" borderId="63" xfId="14" applyNumberFormat="1" applyFont="1" applyBorder="1" applyAlignment="1">
      <alignment horizontal="center"/>
    </xf>
    <xf numFmtId="4" fontId="62" fillId="0" borderId="18" xfId="14" applyNumberFormat="1" applyFont="1" applyBorder="1" applyAlignment="1">
      <alignment horizontal="center"/>
    </xf>
    <xf numFmtId="0" fontId="75" fillId="2" borderId="38" xfId="12" applyFont="1" applyFill="1" applyBorder="1" applyAlignment="1">
      <alignment horizontal="centerContinuous" vertical="center"/>
    </xf>
    <xf numFmtId="0" fontId="75" fillId="2" borderId="21" xfId="12" applyFont="1" applyFill="1" applyBorder="1" applyAlignment="1">
      <alignment horizontal="centerContinuous" vertical="center"/>
    </xf>
    <xf numFmtId="0" fontId="62" fillId="2" borderId="110" xfId="13" applyFont="1" applyFill="1" applyBorder="1" applyAlignment="1">
      <alignment horizontal="centerContinuous" vertical="center" wrapText="1"/>
    </xf>
    <xf numFmtId="0" fontId="62" fillId="2" borderId="72" xfId="13" applyFont="1" applyFill="1" applyBorder="1" applyAlignment="1">
      <alignment horizontal="centerContinuous" vertical="center" wrapText="1"/>
    </xf>
    <xf numFmtId="0" fontId="62" fillId="2" borderId="110" xfId="12" applyFont="1" applyFill="1" applyBorder="1" applyAlignment="1">
      <alignment horizontal="centerContinuous" vertical="center" wrapText="1"/>
    </xf>
    <xf numFmtId="0" fontId="62" fillId="2" borderId="72" xfId="12" applyFont="1" applyFill="1" applyBorder="1" applyAlignment="1">
      <alignment horizontal="centerContinuous" vertical="center" wrapText="1"/>
    </xf>
    <xf numFmtId="0" fontId="75" fillId="2" borderId="104" xfId="12" applyFont="1" applyFill="1" applyBorder="1" applyAlignment="1">
      <alignment horizontal="center" vertical="center" wrapText="1"/>
    </xf>
    <xf numFmtId="0" fontId="75" fillId="2" borderId="29" xfId="12" applyFont="1" applyFill="1" applyBorder="1" applyAlignment="1">
      <alignment horizontal="center" vertical="center" wrapText="1"/>
    </xf>
    <xf numFmtId="0" fontId="75" fillId="2" borderId="24" xfId="12" applyFont="1" applyFill="1" applyBorder="1" applyAlignment="1">
      <alignment horizontal="center" vertical="center" wrapText="1"/>
    </xf>
    <xf numFmtId="0" fontId="75" fillId="5" borderId="105" xfId="12" applyFont="1" applyFill="1" applyBorder="1" applyAlignment="1">
      <alignment horizontal="center" vertical="center" wrapText="1"/>
    </xf>
    <xf numFmtId="0" fontId="75" fillId="5" borderId="0" xfId="12" applyFont="1" applyFill="1" applyAlignment="1">
      <alignment horizontal="centerContinuous" vertical="center" wrapText="1"/>
    </xf>
    <xf numFmtId="0" fontId="75" fillId="5" borderId="95" xfId="12" applyFont="1" applyFill="1" applyBorder="1" applyAlignment="1">
      <alignment horizontal="center" vertical="center" wrapText="1"/>
    </xf>
    <xf numFmtId="0" fontId="75" fillId="5" borderId="18" xfId="12" applyFont="1" applyFill="1" applyBorder="1" applyAlignment="1">
      <alignment horizontal="centerContinuous" vertical="center" wrapText="1"/>
    </xf>
    <xf numFmtId="0" fontId="75" fillId="5" borderId="3" xfId="12" applyFont="1" applyFill="1" applyBorder="1" applyAlignment="1">
      <alignment horizontal="centerContinuous" vertical="center" wrapText="1"/>
    </xf>
    <xf numFmtId="173" fontId="62" fillId="5" borderId="97" xfId="14" applyNumberFormat="1" applyFont="1" applyFill="1" applyBorder="1"/>
    <xf numFmtId="173" fontId="62" fillId="5" borderId="95" xfId="14" applyNumberFormat="1" applyFont="1" applyFill="1" applyBorder="1"/>
    <xf numFmtId="0" fontId="62" fillId="2" borderId="8" xfId="0" applyFont="1" applyFill="1" applyBorder="1" applyAlignment="1">
      <alignment horizontal="center" vertical="center"/>
    </xf>
    <xf numFmtId="170" fontId="62" fillId="8" borderId="62" xfId="0" applyNumberFormat="1" applyFont="1" applyFill="1" applyBorder="1"/>
    <xf numFmtId="2" fontId="62" fillId="0" borderId="0" xfId="0" quotePrefix="1" applyNumberFormat="1" applyFont="1" applyAlignment="1">
      <alignment horizontal="center"/>
    </xf>
    <xf numFmtId="0" fontId="75" fillId="11" borderId="7" xfId="12" applyFont="1" applyFill="1" applyBorder="1" applyAlignment="1">
      <alignment horizontal="centerContinuous" vertical="center" wrapText="1"/>
    </xf>
    <xf numFmtId="0" fontId="75" fillId="11" borderId="8" xfId="12" applyFont="1" applyFill="1" applyBorder="1" applyAlignment="1">
      <alignment horizontal="centerContinuous" vertical="center" wrapText="1"/>
    </xf>
    <xf numFmtId="0" fontId="62" fillId="2" borderId="135" xfId="12" applyFont="1" applyFill="1" applyBorder="1" applyAlignment="1">
      <alignment horizontal="centerContinuous" vertical="center" wrapText="1"/>
    </xf>
    <xf numFmtId="0" fontId="75" fillId="2" borderId="16" xfId="12" applyFont="1" applyFill="1" applyBorder="1" applyAlignment="1">
      <alignment horizontal="centerContinuous" vertical="center" wrapText="1"/>
    </xf>
    <xf numFmtId="171" fontId="95" fillId="5" borderId="147" xfId="0" applyNumberFormat="1" applyFont="1" applyFill="1" applyBorder="1"/>
    <xf numFmtId="173" fontId="62" fillId="5" borderId="40" xfId="14" applyNumberFormat="1" applyFont="1" applyFill="1" applyBorder="1"/>
    <xf numFmtId="173" fontId="62" fillId="5" borderId="62" xfId="14" applyNumberFormat="1" applyFont="1" applyFill="1" applyBorder="1"/>
    <xf numFmtId="173" fontId="62" fillId="5" borderId="13" xfId="14" applyNumberFormat="1" applyFont="1" applyFill="1" applyBorder="1"/>
    <xf numFmtId="173" fontId="62" fillId="5" borderId="0" xfId="14" applyNumberFormat="1" applyFont="1" applyFill="1"/>
    <xf numFmtId="173" fontId="62" fillId="5" borderId="64" xfId="14" applyNumberFormat="1" applyFont="1" applyFill="1" applyBorder="1"/>
    <xf numFmtId="217" fontId="118" fillId="7" borderId="147" xfId="26" applyNumberFormat="1" applyFont="1" applyFill="1" applyBorder="1" applyAlignment="1">
      <alignment horizontal="center"/>
    </xf>
    <xf numFmtId="217" fontId="62" fillId="0" borderId="147" xfId="26" applyNumberFormat="1" applyFont="1" applyFill="1" applyBorder="1" applyAlignment="1">
      <alignment horizontal="center"/>
    </xf>
    <xf numFmtId="171" fontId="101" fillId="5" borderId="148" xfId="0" applyNumberFormat="1" applyFont="1" applyFill="1" applyBorder="1"/>
    <xf numFmtId="3" fontId="62" fillId="0" borderId="64" xfId="14" applyNumberFormat="1" applyFont="1" applyBorder="1"/>
    <xf numFmtId="3" fontId="164" fillId="8" borderId="62" xfId="14" applyNumberFormat="1" applyFont="1" applyFill="1" applyBorder="1" applyAlignment="1">
      <alignment horizontal="center"/>
    </xf>
    <xf numFmtId="3" fontId="62" fillId="8" borderId="62" xfId="14" applyNumberFormat="1" applyFont="1" applyFill="1" applyBorder="1"/>
    <xf numFmtId="3" fontId="62" fillId="8" borderId="64" xfId="14" applyNumberFormat="1" applyFont="1" applyFill="1" applyBorder="1"/>
    <xf numFmtId="170" fontId="101" fillId="0" borderId="147" xfId="0" applyNumberFormat="1" applyFont="1" applyBorder="1"/>
    <xf numFmtId="1" fontId="95" fillId="3" borderId="155" xfId="9" applyNumberFormat="1" applyFont="1" applyFill="1" applyBorder="1" applyAlignment="1" applyProtection="1">
      <alignment horizontal="center" vertical="center" wrapText="1"/>
    </xf>
    <xf numFmtId="0" fontId="62" fillId="0" borderId="155" xfId="0" applyFont="1" applyBorder="1" applyAlignment="1">
      <alignment horizontal="centerContinuous" vertical="center" wrapText="1"/>
    </xf>
    <xf numFmtId="1" fontId="95" fillId="4" borderId="155" xfId="9" applyNumberFormat="1" applyFont="1" applyFill="1" applyBorder="1" applyAlignment="1" applyProtection="1">
      <alignment horizontal="centerContinuous" vertical="center" wrapText="1"/>
    </xf>
    <xf numFmtId="172" fontId="82" fillId="3" borderId="155" xfId="0" applyNumberFormat="1" applyFont="1" applyFill="1" applyBorder="1" applyAlignment="1">
      <alignment horizontal="centerContinuous"/>
    </xf>
    <xf numFmtId="1" fontId="95" fillId="3" borderId="155" xfId="9" applyNumberFormat="1" applyFont="1" applyFill="1" applyBorder="1" applyAlignment="1" applyProtection="1">
      <alignment horizontal="centerContinuous" vertical="center" wrapText="1"/>
    </xf>
    <xf numFmtId="1" fontId="78" fillId="2" borderId="155" xfId="0" applyNumberFormat="1" applyFont="1" applyFill="1" applyBorder="1" applyAlignment="1">
      <alignment horizontal="center" vertical="center"/>
    </xf>
    <xf numFmtId="0" fontId="75" fillId="2" borderId="155" xfId="0" applyFont="1" applyFill="1" applyBorder="1" applyAlignment="1">
      <alignment horizontal="centerContinuous" vertical="center" wrapText="1"/>
    </xf>
    <xf numFmtId="10" fontId="75" fillId="2" borderId="155" xfId="0" applyNumberFormat="1" applyFont="1" applyFill="1" applyBorder="1" applyAlignment="1">
      <alignment horizontal="centerContinuous" vertical="center"/>
    </xf>
    <xf numFmtId="0" fontId="62" fillId="11" borderId="155" xfId="0" applyFont="1" applyFill="1" applyBorder="1"/>
    <xf numFmtId="0" fontId="62" fillId="11" borderId="155" xfId="0" applyFont="1" applyFill="1" applyBorder="1" applyAlignment="1">
      <alignment horizontal="centerContinuous" vertical="center" wrapText="1"/>
    </xf>
    <xf numFmtId="2" fontId="78" fillId="2" borderId="155" xfId="0" applyNumberFormat="1" applyFont="1" applyFill="1" applyBorder="1" applyAlignment="1">
      <alignment horizontal="center" vertical="center"/>
    </xf>
    <xf numFmtId="49" fontId="78" fillId="2" borderId="155" xfId="0" applyNumberFormat="1" applyFont="1" applyFill="1" applyBorder="1" applyAlignment="1">
      <alignment horizontal="centerContinuous" vertical="center" wrapText="1"/>
    </xf>
    <xf numFmtId="10" fontId="75" fillId="11" borderId="155" xfId="0" applyNumberFormat="1" applyFont="1" applyFill="1" applyBorder="1" applyAlignment="1">
      <alignment horizontal="centerContinuous" vertical="center"/>
    </xf>
    <xf numFmtId="2" fontId="78" fillId="11" borderId="155" xfId="0" applyNumberFormat="1" applyFont="1" applyFill="1" applyBorder="1" applyAlignment="1">
      <alignment horizontal="center" vertical="center"/>
    </xf>
    <xf numFmtId="1" fontId="78" fillId="2" borderId="155" xfId="0" applyNumberFormat="1" applyFont="1" applyFill="1" applyBorder="1" applyAlignment="1">
      <alignment horizontal="center"/>
    </xf>
    <xf numFmtId="10" fontId="75" fillId="2" borderId="155" xfId="0" applyNumberFormat="1" applyFont="1" applyFill="1" applyBorder="1" applyAlignment="1">
      <alignment horizontal="centerContinuous" vertical="center" wrapText="1"/>
    </xf>
    <xf numFmtId="0" fontId="75" fillId="2" borderId="155" xfId="0" applyFont="1" applyFill="1" applyBorder="1" applyAlignment="1">
      <alignment horizontal="centerContinuous" vertical="center"/>
    </xf>
    <xf numFmtId="1" fontId="95" fillId="4" borderId="155" xfId="9" applyNumberFormat="1" applyFont="1" applyFill="1" applyBorder="1" applyAlignment="1" applyProtection="1">
      <alignment horizontal="center" vertical="center" wrapText="1"/>
    </xf>
    <xf numFmtId="180" fontId="62" fillId="2" borderId="155" xfId="12401" applyNumberFormat="1" applyFont="1" applyFill="1" applyBorder="1" applyAlignment="1">
      <alignment horizontal="center" vertical="center"/>
    </xf>
    <xf numFmtId="0" fontId="62" fillId="2" borderId="155" xfId="13" applyFont="1" applyFill="1" applyBorder="1" applyAlignment="1">
      <alignment horizontal="center" vertical="center" wrapText="1"/>
    </xf>
    <xf numFmtId="0" fontId="62" fillId="11" borderId="155" xfId="13" applyFont="1" applyFill="1" applyBorder="1" applyAlignment="1">
      <alignment horizontal="centerContinuous" vertical="center" wrapText="1"/>
    </xf>
    <xf numFmtId="0" fontId="62" fillId="0" borderId="155" xfId="13" applyFont="1" applyBorder="1" applyAlignment="1">
      <alignment horizontal="center" vertical="center" wrapText="1"/>
    </xf>
    <xf numFmtId="1" fontId="78" fillId="2" borderId="155" xfId="16" applyNumberFormat="1" applyFont="1" applyFill="1" applyBorder="1" applyAlignment="1">
      <alignment horizontal="center" vertical="center"/>
    </xf>
    <xf numFmtId="0" fontId="75" fillId="2" borderId="155" xfId="10" applyFont="1" applyFill="1" applyBorder="1" applyAlignment="1">
      <alignment horizontal="centerContinuous" vertical="center" wrapText="1"/>
    </xf>
    <xf numFmtId="0" fontId="57" fillId="11" borderId="155" xfId="10" applyFont="1" applyFill="1" applyBorder="1" applyAlignment="1">
      <alignment horizontal="centerContinuous" vertical="center"/>
    </xf>
    <xf numFmtId="0" fontId="57" fillId="11" borderId="155" xfId="10" applyFont="1" applyFill="1" applyBorder="1"/>
    <xf numFmtId="0" fontId="62" fillId="2" borderId="155" xfId="10" applyFont="1" applyFill="1" applyBorder="1" applyAlignment="1">
      <alignment horizontal="centerContinuous" vertical="center" wrapText="1"/>
    </xf>
    <xf numFmtId="0" fontId="78" fillId="2" borderId="155" xfId="0" applyFont="1" applyFill="1" applyBorder="1" applyAlignment="1">
      <alignment horizontal="center" vertical="center"/>
    </xf>
    <xf numFmtId="1" fontId="62" fillId="0" borderId="155" xfId="0" applyNumberFormat="1" applyFont="1" applyBorder="1" applyAlignment="1">
      <alignment horizontal="center" vertical="center" wrapText="1"/>
    </xf>
    <xf numFmtId="0" fontId="62" fillId="2" borderId="155" xfId="0" applyFont="1" applyFill="1" applyBorder="1" applyAlignment="1">
      <alignment horizontal="centerContinuous" vertical="center" wrapText="1"/>
    </xf>
    <xf numFmtId="0" fontId="62" fillId="2" borderId="155" xfId="0" quotePrefix="1" applyFont="1" applyFill="1" applyBorder="1" applyAlignment="1">
      <alignment horizontal="center" vertical="center" wrapText="1"/>
    </xf>
    <xf numFmtId="0" fontId="75" fillId="2" borderId="155" xfId="0" applyFont="1" applyFill="1" applyBorder="1" applyAlignment="1">
      <alignment horizontal="center" vertical="center" wrapText="1"/>
    </xf>
    <xf numFmtId="1" fontId="75" fillId="2" borderId="155" xfId="0" quotePrefix="1" applyNumberFormat="1" applyFont="1" applyFill="1" applyBorder="1" applyAlignment="1">
      <alignment horizontal="centerContinuous" vertical="center" wrapText="1"/>
    </xf>
    <xf numFmtId="1" fontId="75" fillId="0" borderId="155" xfId="0" applyNumberFormat="1" applyFont="1" applyBorder="1" applyAlignment="1">
      <alignment horizontal="center" vertical="center" wrapText="1"/>
    </xf>
    <xf numFmtId="1" fontId="75" fillId="2" borderId="155" xfId="16" applyNumberFormat="1" applyFont="1" applyFill="1" applyBorder="1" applyAlignment="1">
      <alignment horizontal="centerContinuous" vertical="center" wrapText="1"/>
    </xf>
    <xf numFmtId="1" fontId="75" fillId="2" borderId="155" xfId="215" applyNumberFormat="1" applyFont="1" applyFill="1" applyBorder="1" applyAlignment="1">
      <alignment horizontal="centerContinuous" vertical="center" wrapText="1"/>
    </xf>
    <xf numFmtId="0" fontId="75" fillId="2" borderId="155" xfId="215" applyFont="1" applyFill="1" applyBorder="1" applyAlignment="1">
      <alignment horizontal="centerContinuous" vertical="center" wrapText="1"/>
    </xf>
    <xf numFmtId="1" fontId="62" fillId="0" borderId="155" xfId="215" applyNumberFormat="1" applyFont="1" applyBorder="1" applyAlignment="1">
      <alignment horizontal="center" vertical="center" wrapText="1"/>
    </xf>
    <xf numFmtId="0" fontId="62" fillId="2" borderId="155" xfId="215" applyFont="1" applyFill="1" applyBorder="1" applyAlignment="1">
      <alignment horizontal="center" vertical="center" wrapText="1"/>
    </xf>
    <xf numFmtId="0" fontId="78" fillId="2" borderId="155" xfId="215" applyFont="1" applyFill="1" applyBorder="1" applyAlignment="1">
      <alignment horizontal="center" vertical="center"/>
    </xf>
    <xf numFmtId="0" fontId="75" fillId="2" borderId="155" xfId="215" applyFont="1" applyFill="1" applyBorder="1" applyAlignment="1">
      <alignment horizontal="center" vertical="center" wrapText="1"/>
    </xf>
    <xf numFmtId="195" fontId="75" fillId="11" borderId="155" xfId="9859" applyNumberFormat="1" applyFont="1" applyFill="1" applyBorder="1" applyAlignment="1">
      <alignment horizontal="centerContinuous" vertical="center" wrapText="1"/>
    </xf>
    <xf numFmtId="0" fontId="102" fillId="0" borderId="155" xfId="9860" applyFont="1" applyBorder="1" applyAlignment="1">
      <alignment horizontal="center" vertical="center"/>
    </xf>
    <xf numFmtId="1" fontId="62" fillId="11" borderId="155" xfId="9931" applyNumberFormat="1" applyFont="1" applyFill="1" applyBorder="1" applyAlignment="1">
      <alignment horizontal="centerContinuous" vertical="center" wrapText="1"/>
    </xf>
    <xf numFmtId="0" fontId="62" fillId="2" borderId="155" xfId="9931" applyFont="1" applyFill="1" applyBorder="1" applyAlignment="1">
      <alignment horizontal="center" vertical="center" wrapText="1"/>
    </xf>
    <xf numFmtId="0" fontId="62" fillId="11" borderId="155" xfId="126" applyFont="1" applyFill="1" applyBorder="1"/>
    <xf numFmtId="1" fontId="75" fillId="11" borderId="155" xfId="9931" applyNumberFormat="1" applyFont="1" applyFill="1" applyBorder="1" applyAlignment="1">
      <alignment horizontal="centerContinuous" vertical="center" wrapText="1"/>
    </xf>
    <xf numFmtId="0" fontId="62" fillId="11" borderId="155" xfId="126" applyFont="1" applyFill="1" applyBorder="1" applyAlignment="1">
      <alignment horizontal="centerContinuous"/>
    </xf>
    <xf numFmtId="0" fontId="75" fillId="2" borderId="155" xfId="9932" applyFont="1" applyFill="1" applyBorder="1" applyAlignment="1">
      <alignment horizontal="centerContinuous" vertical="center" wrapText="1"/>
    </xf>
    <xf numFmtId="0" fontId="62" fillId="2" borderId="155" xfId="9932" applyFont="1" applyFill="1" applyBorder="1" applyAlignment="1">
      <alignment horizontal="center" vertical="center" wrapText="1"/>
    </xf>
    <xf numFmtId="0" fontId="62" fillId="2" borderId="155" xfId="9932" applyFont="1" applyFill="1" applyBorder="1" applyAlignment="1">
      <alignment horizontal="centerContinuous" vertical="center" wrapText="1"/>
    </xf>
    <xf numFmtId="0" fontId="78" fillId="2" borderId="155" xfId="126" applyFont="1" applyFill="1" applyBorder="1" applyAlignment="1">
      <alignment horizontal="center" vertical="center"/>
    </xf>
    <xf numFmtId="1" fontId="95" fillId="3" borderId="155" xfId="12392" applyNumberFormat="1" applyFont="1" applyFill="1" applyBorder="1" applyAlignment="1" applyProtection="1">
      <alignment horizontal="center" vertical="center" wrapText="1"/>
    </xf>
    <xf numFmtId="1" fontId="95" fillId="4" borderId="155" xfId="12392" applyNumberFormat="1" applyFont="1" applyFill="1" applyBorder="1" applyAlignment="1" applyProtection="1">
      <alignment horizontal="center" vertical="center" wrapText="1"/>
    </xf>
    <xf numFmtId="0" fontId="75" fillId="2" borderId="155" xfId="12400" applyFont="1" applyFill="1" applyBorder="1" applyAlignment="1">
      <alignment horizontal="centerContinuous" vertical="center" wrapText="1"/>
    </xf>
    <xf numFmtId="0" fontId="62" fillId="2" borderId="155" xfId="12400" applyFont="1" applyFill="1" applyBorder="1" applyAlignment="1">
      <alignment horizontal="centerContinuous" vertical="center" wrapText="1"/>
    </xf>
    <xf numFmtId="0" fontId="78" fillId="2" borderId="155" xfId="12400" applyFont="1" applyFill="1" applyBorder="1" applyAlignment="1">
      <alignment horizontal="center" vertical="center"/>
    </xf>
    <xf numFmtId="0" fontId="62" fillId="2" borderId="155" xfId="12400" applyFont="1" applyFill="1" applyBorder="1" applyAlignment="1">
      <alignment horizontal="center" vertical="center" wrapText="1"/>
    </xf>
    <xf numFmtId="0" fontId="77" fillId="2" borderId="155" xfId="0" applyFont="1" applyFill="1" applyBorder="1" applyAlignment="1">
      <alignment vertical="center" wrapText="1"/>
    </xf>
    <xf numFmtId="0" fontId="102" fillId="2" borderId="155" xfId="0" applyFont="1" applyFill="1" applyBorder="1" applyAlignment="1">
      <alignment horizontal="centerContinuous" vertical="center" wrapText="1"/>
    </xf>
    <xf numFmtId="0" fontId="62" fillId="2" borderId="155" xfId="0" applyFont="1" applyFill="1" applyBorder="1" applyAlignment="1">
      <alignment vertical="center"/>
    </xf>
    <xf numFmtId="0" fontId="62" fillId="2" borderId="155" xfId="0" applyFont="1" applyFill="1" applyBorder="1" applyAlignment="1">
      <alignment horizontal="center" vertical="center"/>
    </xf>
    <xf numFmtId="0" fontId="75" fillId="0" borderId="155" xfId="0" applyFont="1" applyBorder="1" applyAlignment="1">
      <alignment horizontal="centerContinuous" vertical="center" wrapText="1"/>
    </xf>
    <xf numFmtId="0" fontId="75" fillId="2" borderId="155" xfId="0" quotePrefix="1" applyFont="1" applyFill="1" applyBorder="1" applyAlignment="1">
      <alignment horizontal="center" vertical="center" wrapText="1"/>
    </xf>
    <xf numFmtId="0" fontId="62" fillId="2" borderId="155" xfId="0" applyFont="1" applyFill="1" applyBorder="1"/>
    <xf numFmtId="0" fontId="62" fillId="0" borderId="155" xfId="16" applyFont="1" applyBorder="1" applyAlignment="1">
      <alignment horizontal="center" vertical="center" wrapText="1"/>
    </xf>
    <xf numFmtId="0" fontId="75" fillId="0" borderId="155" xfId="0" applyFont="1" applyBorder="1" applyAlignment="1">
      <alignment horizontal="centerContinuous"/>
    </xf>
    <xf numFmtId="0" fontId="62" fillId="0" borderId="155" xfId="0" applyFont="1" applyBorder="1" applyAlignment="1">
      <alignment horizontal="center" vertical="center" wrapText="1"/>
    </xf>
    <xf numFmtId="0" fontId="62" fillId="0" borderId="155" xfId="0" applyFont="1" applyBorder="1"/>
    <xf numFmtId="186" fontId="95" fillId="2" borderId="155" xfId="0" applyNumberFormat="1" applyFont="1" applyFill="1" applyBorder="1" applyAlignment="1">
      <alignment horizontal="center"/>
    </xf>
    <xf numFmtId="2" fontId="62" fillId="0" borderId="155" xfId="0" applyNumberFormat="1" applyFont="1" applyBorder="1" applyAlignment="1">
      <alignment horizontal="center" vertical="center"/>
    </xf>
    <xf numFmtId="9" fontId="62" fillId="11" borderId="155" xfId="9842" applyNumberFormat="1" applyFont="1" applyFill="1" applyBorder="1" applyAlignment="1">
      <alignment horizontal="center" vertical="center"/>
    </xf>
    <xf numFmtId="0" fontId="62" fillId="11" borderId="155" xfId="0" applyFont="1" applyFill="1" applyBorder="1" applyAlignment="1">
      <alignment horizontal="center" vertical="center" wrapText="1"/>
    </xf>
    <xf numFmtId="0" fontId="77" fillId="2" borderId="155" xfId="0" applyFont="1" applyFill="1" applyBorder="1" applyAlignment="1">
      <alignment horizontal="centerContinuous" vertical="center" wrapText="1"/>
    </xf>
    <xf numFmtId="0" fontId="75" fillId="2" borderId="155" xfId="0" applyFont="1" applyFill="1" applyBorder="1" applyAlignment="1">
      <alignment vertical="center"/>
    </xf>
    <xf numFmtId="0" fontId="62" fillId="2" borderId="155" xfId="0" quotePrefix="1" applyFont="1" applyFill="1" applyBorder="1" applyAlignment="1">
      <alignment horizontal="centerContinuous" vertical="center" wrapText="1"/>
    </xf>
    <xf numFmtId="1" fontId="62" fillId="2" borderId="155" xfId="0" applyNumberFormat="1" applyFont="1" applyFill="1" applyBorder="1" applyAlignment="1">
      <alignment horizontal="center" vertical="center"/>
    </xf>
    <xf numFmtId="0" fontId="75" fillId="2" borderId="155" xfId="126" applyFont="1" applyFill="1" applyBorder="1" applyAlignment="1">
      <alignment horizontal="centerContinuous" vertical="center" wrapText="1"/>
    </xf>
    <xf numFmtId="2" fontId="75" fillId="2" borderId="155" xfId="0" applyNumberFormat="1" applyFont="1" applyFill="1" applyBorder="1" applyAlignment="1">
      <alignment horizontal="center"/>
    </xf>
    <xf numFmtId="10" fontId="75" fillId="2" borderId="155" xfId="0" applyNumberFormat="1" applyFont="1" applyFill="1" applyBorder="1" applyAlignment="1">
      <alignment horizontal="center"/>
    </xf>
    <xf numFmtId="2" fontId="75" fillId="2" borderId="155" xfId="0" applyNumberFormat="1" applyFont="1" applyFill="1" applyBorder="1" applyAlignment="1">
      <alignment horizontal="centerContinuous" vertical="center"/>
    </xf>
    <xf numFmtId="2" fontId="62" fillId="2" borderId="155" xfId="0" applyNumberFormat="1" applyFont="1" applyFill="1" applyBorder="1" applyAlignment="1">
      <alignment horizontal="centerContinuous" vertical="center" wrapText="1"/>
    </xf>
    <xf numFmtId="1" fontId="95" fillId="4" borderId="155" xfId="12392" applyNumberFormat="1" applyFont="1" applyFill="1" applyBorder="1" applyAlignment="1" applyProtection="1">
      <alignment horizontal="centerContinuous" vertical="center" wrapText="1"/>
    </xf>
    <xf numFmtId="2" fontId="75" fillId="2" borderId="155" xfId="0" quotePrefix="1" applyNumberFormat="1" applyFont="1" applyFill="1" applyBorder="1" applyAlignment="1">
      <alignment horizontal="centerContinuous" vertical="center" wrapText="1"/>
    </xf>
    <xf numFmtId="1" fontId="95" fillId="3" borderId="155" xfId="12392" applyNumberFormat="1" applyFont="1" applyFill="1" applyBorder="1" applyAlignment="1" applyProtection="1">
      <alignment horizontal="centerContinuous" vertical="center" wrapText="1"/>
    </xf>
    <xf numFmtId="2" fontId="75" fillId="2" borderId="155" xfId="0" quotePrefix="1" applyNumberFormat="1" applyFont="1" applyFill="1" applyBorder="1" applyAlignment="1">
      <alignment horizontal="center" vertical="center" wrapText="1"/>
    </xf>
    <xf numFmtId="179" fontId="62" fillId="2" borderId="155" xfId="12401" applyNumberFormat="1" applyFont="1" applyFill="1" applyBorder="1" applyAlignment="1">
      <alignment horizontal="centerContinuous" vertical="center"/>
    </xf>
    <xf numFmtId="179" fontId="82" fillId="2" borderId="155" xfId="12401" applyNumberFormat="1" applyFont="1" applyFill="1" applyBorder="1" applyAlignment="1">
      <alignment horizontal="center" vertical="center"/>
    </xf>
    <xf numFmtId="1" fontId="231" fillId="74" borderId="155" xfId="9" applyNumberFormat="1" applyFont="1" applyFill="1" applyBorder="1" applyAlignment="1" applyProtection="1">
      <alignment horizontal="center" vertical="center" wrapText="1"/>
    </xf>
    <xf numFmtId="1" fontId="231" fillId="75" borderId="155" xfId="9" applyNumberFormat="1" applyFont="1" applyFill="1" applyBorder="1" applyAlignment="1" applyProtection="1">
      <alignment horizontal="center" vertical="center" wrapText="1"/>
    </xf>
    <xf numFmtId="0" fontId="74" fillId="11" borderId="155" xfId="0" applyFont="1" applyFill="1" applyBorder="1" applyAlignment="1">
      <alignment horizontal="centerContinuous" vertical="center"/>
    </xf>
    <xf numFmtId="0" fontId="62" fillId="2" borderId="155" xfId="0" applyFont="1" applyFill="1" applyBorder="1" applyAlignment="1">
      <alignment horizontal="centerContinuous" vertical="center"/>
    </xf>
    <xf numFmtId="0" fontId="75" fillId="0" borderId="155" xfId="9858" applyFont="1" applyBorder="1" applyAlignment="1">
      <alignment horizontal="centerContinuous" vertical="center" wrapText="1"/>
    </xf>
    <xf numFmtId="0" fontId="75" fillId="0" borderId="155" xfId="126" applyFont="1" applyBorder="1" applyAlignment="1">
      <alignment horizontal="centerContinuous" vertical="center" wrapText="1" readingOrder="1"/>
    </xf>
    <xf numFmtId="210" fontId="62" fillId="0" borderId="155" xfId="126" quotePrefix="1" applyNumberFormat="1" applyFont="1" applyBorder="1" applyAlignment="1">
      <alignment horizontal="center" vertical="center" wrapText="1" readingOrder="1"/>
    </xf>
    <xf numFmtId="0" fontId="181" fillId="11" borderId="155" xfId="9858" applyFont="1" applyFill="1" applyBorder="1" applyAlignment="1">
      <alignment horizontal="center" vertical="center" wrapText="1"/>
    </xf>
    <xf numFmtId="2" fontId="62" fillId="0" borderId="155" xfId="9858" applyNumberFormat="1" applyFont="1" applyBorder="1" applyAlignment="1">
      <alignment horizontal="center" vertical="center" wrapText="1"/>
    </xf>
    <xf numFmtId="0" fontId="180" fillId="0" borderId="155" xfId="9858" applyFont="1" applyBorder="1" applyAlignment="1">
      <alignment horizontal="center" vertical="center"/>
    </xf>
    <xf numFmtId="0" fontId="36" fillId="0" borderId="155" xfId="9858" applyBorder="1"/>
    <xf numFmtId="0" fontId="85" fillId="2" borderId="155" xfId="13" applyFont="1" applyFill="1" applyBorder="1" applyAlignment="1">
      <alignment horizontal="center" vertical="center"/>
    </xf>
    <xf numFmtId="0" fontId="75" fillId="2" borderId="155" xfId="13" applyFont="1" applyFill="1" applyBorder="1" applyAlignment="1">
      <alignment horizontal="centerContinuous" vertical="center"/>
    </xf>
    <xf numFmtId="0" fontId="75" fillId="11" borderId="155" xfId="0" applyFont="1" applyFill="1" applyBorder="1" applyAlignment="1">
      <alignment horizontal="centerContinuous" vertical="center" wrapText="1"/>
    </xf>
    <xf numFmtId="1" fontId="78" fillId="11" borderId="155" xfId="0" applyNumberFormat="1" applyFont="1" applyFill="1" applyBorder="1" applyAlignment="1">
      <alignment horizontal="center"/>
    </xf>
    <xf numFmtId="0" fontId="75" fillId="2" borderId="155" xfId="13" applyFont="1" applyFill="1" applyBorder="1" applyAlignment="1">
      <alignment horizontal="centerContinuous" vertical="center" wrapText="1"/>
    </xf>
    <xf numFmtId="0" fontId="62" fillId="0" borderId="155" xfId="16" applyFont="1" applyBorder="1" applyAlignment="1">
      <alignment horizontal="centerContinuous" vertical="center" wrapText="1"/>
    </xf>
    <xf numFmtId="0" fontId="62" fillId="2" borderId="155" xfId="13" applyFont="1" applyFill="1" applyBorder="1" applyAlignment="1">
      <alignment horizontal="centerContinuous" vertical="center" wrapText="1"/>
    </xf>
    <xf numFmtId="10" fontId="62" fillId="2" borderId="155" xfId="12393" applyNumberFormat="1" applyFont="1" applyFill="1" applyBorder="1" applyAlignment="1">
      <alignment horizontal="center" vertical="center"/>
    </xf>
    <xf numFmtId="0" fontId="78" fillId="2" borderId="155" xfId="16" applyFont="1" applyFill="1" applyBorder="1" applyAlignment="1">
      <alignment horizontal="center" vertical="center"/>
    </xf>
    <xf numFmtId="9" fontId="80" fillId="2" borderId="155" xfId="12401" applyFont="1" applyFill="1" applyBorder="1" applyAlignment="1">
      <alignment horizontal="centerContinuous" vertical="center" wrapText="1"/>
    </xf>
    <xf numFmtId="0" fontId="75" fillId="2" borderId="155" xfId="13" quotePrefix="1" applyFont="1" applyFill="1" applyBorder="1" applyAlignment="1">
      <alignment horizontal="centerContinuous" vertical="center" wrapText="1"/>
    </xf>
    <xf numFmtId="0" fontId="62" fillId="2" borderId="155" xfId="13" quotePrefix="1" applyFont="1" applyFill="1" applyBorder="1" applyAlignment="1">
      <alignment horizontal="centerContinuous" vertical="center" wrapText="1"/>
    </xf>
    <xf numFmtId="0" fontId="75" fillId="2" borderId="155" xfId="13" applyFont="1" applyFill="1" applyBorder="1" applyAlignment="1">
      <alignment horizontal="center" vertical="center" wrapText="1"/>
    </xf>
    <xf numFmtId="0" fontId="77" fillId="2" borderId="155" xfId="13" applyFont="1" applyFill="1" applyBorder="1" applyAlignment="1">
      <alignment horizontal="centerContinuous" vertical="center" wrapText="1"/>
    </xf>
    <xf numFmtId="0" fontId="62" fillId="2" borderId="155" xfId="13" quotePrefix="1" applyFont="1" applyFill="1" applyBorder="1" applyAlignment="1">
      <alignment horizontal="center" vertical="center" wrapText="1"/>
    </xf>
    <xf numFmtId="0" fontId="62" fillId="0" borderId="155" xfId="12" applyFont="1" applyBorder="1" applyAlignment="1">
      <alignment horizontal="centerContinuous" vertical="center" wrapText="1"/>
    </xf>
    <xf numFmtId="0" fontId="75" fillId="2" borderId="155" xfId="12" applyFont="1" applyFill="1" applyBorder="1" applyAlignment="1">
      <alignment horizontal="centerContinuous" vertical="center" wrapText="1"/>
    </xf>
    <xf numFmtId="0" fontId="62" fillId="2" borderId="155" xfId="12" applyFont="1" applyFill="1" applyBorder="1" applyAlignment="1">
      <alignment horizontal="centerContinuous" vertical="center" wrapText="1"/>
    </xf>
    <xf numFmtId="1" fontId="82" fillId="2" borderId="155" xfId="12" quotePrefix="1" applyNumberFormat="1" applyFont="1" applyFill="1" applyBorder="1" applyAlignment="1">
      <alignment horizontal="center" vertical="center"/>
    </xf>
    <xf numFmtId="0" fontId="75" fillId="0" borderId="155" xfId="12" applyFont="1" applyBorder="1" applyAlignment="1">
      <alignment horizontal="centerContinuous" vertical="center" wrapText="1"/>
    </xf>
    <xf numFmtId="0" fontId="180" fillId="2" borderId="155" xfId="0" applyFont="1" applyFill="1" applyBorder="1" applyAlignment="1">
      <alignment horizontal="center" vertical="center"/>
    </xf>
    <xf numFmtId="0" fontId="114" fillId="11" borderId="155" xfId="16" applyFont="1" applyFill="1" applyBorder="1" applyAlignment="1">
      <alignment horizontal="centerContinuous" vertical="center" wrapText="1"/>
    </xf>
    <xf numFmtId="2" fontId="62" fillId="2" borderId="155" xfId="0" applyNumberFormat="1" applyFont="1" applyFill="1" applyBorder="1" applyAlignment="1">
      <alignment horizontal="center" vertical="center" wrapText="1"/>
    </xf>
    <xf numFmtId="4" fontId="169" fillId="0" borderId="97" xfId="0" applyNumberFormat="1" applyFont="1" applyBorder="1" applyAlignment="1">
      <alignment horizontal="right" vertical="center" wrapText="1"/>
    </xf>
    <xf numFmtId="4" fontId="174" fillId="7" borderId="97" xfId="0" applyNumberFormat="1" applyFont="1" applyFill="1" applyBorder="1" applyAlignment="1">
      <alignment horizontal="right" vertical="center" wrapText="1"/>
    </xf>
    <xf numFmtId="4" fontId="174" fillId="7" borderId="0" xfId="0" applyNumberFormat="1" applyFont="1" applyFill="1" applyAlignment="1">
      <alignment horizontal="right" vertical="center" wrapText="1"/>
    </xf>
    <xf numFmtId="4" fontId="174" fillId="7" borderId="148" xfId="0" applyNumberFormat="1" applyFont="1" applyFill="1" applyBorder="1" applyAlignment="1">
      <alignment horizontal="right" vertical="center" wrapText="1"/>
    </xf>
    <xf numFmtId="4" fontId="170" fillId="0" borderId="97" xfId="0" applyNumberFormat="1" applyFont="1" applyBorder="1" applyAlignment="1">
      <alignment horizontal="right" vertical="center" wrapText="1"/>
    </xf>
    <xf numFmtId="4" fontId="170" fillId="0" borderId="0" xfId="0" applyNumberFormat="1" applyFont="1" applyAlignment="1">
      <alignment horizontal="right" vertical="center" wrapText="1"/>
    </xf>
    <xf numFmtId="4" fontId="170" fillId="0" borderId="148" xfId="0" applyNumberFormat="1" applyFont="1" applyBorder="1" applyAlignment="1">
      <alignment horizontal="right" vertical="center" wrapText="1"/>
    </xf>
    <xf numFmtId="4" fontId="169" fillId="0" borderId="105" xfId="0" applyNumberFormat="1" applyFont="1" applyBorder="1" applyAlignment="1">
      <alignment horizontal="right" vertical="center" wrapText="1"/>
    </xf>
    <xf numFmtId="4" fontId="169" fillId="0" borderId="0" xfId="0" applyNumberFormat="1" applyFont="1" applyAlignment="1">
      <alignment horizontal="right" vertical="center" wrapText="1"/>
    </xf>
    <xf numFmtId="4" fontId="169" fillId="0" borderId="148" xfId="0" applyNumberFormat="1" applyFont="1" applyBorder="1" applyAlignment="1">
      <alignment horizontal="right" vertical="center" wrapText="1"/>
    </xf>
    <xf numFmtId="4" fontId="62" fillId="0" borderId="0" xfId="0" applyNumberFormat="1" applyFont="1"/>
    <xf numFmtId="4" fontId="62" fillId="0" borderId="148" xfId="0" applyNumberFormat="1" applyFont="1" applyBorder="1"/>
    <xf numFmtId="4" fontId="169" fillId="0" borderId="95" xfId="0" applyNumberFormat="1" applyFont="1" applyBorder="1" applyAlignment="1">
      <alignment horizontal="right" vertical="center" wrapText="1"/>
    </xf>
    <xf numFmtId="4" fontId="62" fillId="0" borderId="95" xfId="0" applyNumberFormat="1" applyFont="1" applyBorder="1"/>
    <xf numFmtId="4" fontId="62" fillId="0" borderId="97" xfId="0" applyNumberFormat="1" applyFont="1" applyBorder="1"/>
    <xf numFmtId="172" fontId="57" fillId="2" borderId="0" xfId="0" applyNumberFormat="1" applyFont="1" applyFill="1"/>
    <xf numFmtId="0" fontId="82" fillId="2" borderId="18" xfId="0" applyFont="1" applyFill="1" applyBorder="1"/>
    <xf numFmtId="0" fontId="62" fillId="72" borderId="31" xfId="0" applyFont="1" applyFill="1" applyBorder="1" applyAlignment="1">
      <alignment horizontal="centerContinuous"/>
    </xf>
    <xf numFmtId="0" fontId="62" fillId="72" borderId="136" xfId="0" applyFont="1" applyFill="1" applyBorder="1"/>
    <xf numFmtId="170" fontId="231" fillId="74" borderId="63" xfId="0" applyNumberFormat="1" applyFont="1" applyFill="1" applyBorder="1"/>
    <xf numFmtId="170" fontId="62" fillId="0" borderId="0" xfId="0" applyNumberFormat="1" applyFont="1" applyAlignment="1">
      <alignment vertical="center" wrapText="1"/>
    </xf>
    <xf numFmtId="10" fontId="118" fillId="2" borderId="23" xfId="0" applyNumberFormat="1" applyFont="1" applyFill="1" applyBorder="1" applyAlignment="1">
      <alignment horizontal="center"/>
    </xf>
    <xf numFmtId="3" fontId="0" fillId="2" borderId="0" xfId="12401" applyNumberFormat="1" applyFont="1" applyFill="1"/>
    <xf numFmtId="170" fontId="95" fillId="4" borderId="125" xfId="0" applyNumberFormat="1" applyFont="1" applyFill="1" applyBorder="1"/>
    <xf numFmtId="170" fontId="239" fillId="0" borderId="3" xfId="0" applyNumberFormat="1" applyFont="1" applyBorder="1"/>
    <xf numFmtId="179" fontId="62" fillId="2" borderId="0" xfId="12401" applyNumberFormat="1" applyFont="1" applyFill="1"/>
    <xf numFmtId="9" fontId="62" fillId="2" borderId="0" xfId="12401" applyFont="1" applyFill="1"/>
    <xf numFmtId="4" fontId="57" fillId="2" borderId="0" xfId="12" applyNumberFormat="1" applyFont="1" applyFill="1"/>
    <xf numFmtId="2" fontId="101" fillId="0" borderId="3" xfId="0" applyNumberFormat="1" applyFont="1" applyBorder="1" applyAlignment="1">
      <alignment horizontal="center"/>
    </xf>
    <xf numFmtId="171" fontId="240" fillId="0" borderId="64" xfId="0" applyNumberFormat="1" applyFont="1" applyBorder="1"/>
    <xf numFmtId="0" fontId="248" fillId="10" borderId="7" xfId="0" applyFont="1" applyFill="1" applyBorder="1" applyAlignment="1">
      <alignment vertical="center"/>
    </xf>
    <xf numFmtId="3" fontId="86" fillId="11" borderId="0" xfId="12401" applyNumberFormat="1" applyFont="1" applyFill="1" applyAlignment="1">
      <alignment horizontal="center"/>
    </xf>
    <xf numFmtId="0" fontId="75" fillId="8" borderId="105" xfId="13" applyFont="1" applyFill="1" applyBorder="1" applyAlignment="1">
      <alignment horizontal="center" vertical="center" wrapText="1"/>
    </xf>
    <xf numFmtId="0" fontId="75" fillId="8" borderId="0" xfId="13" applyFont="1" applyFill="1" applyAlignment="1">
      <alignment horizontal="center" vertical="center" wrapText="1"/>
    </xf>
    <xf numFmtId="0" fontId="75" fillId="8" borderId="3" xfId="13" applyFont="1" applyFill="1" applyBorder="1" applyAlignment="1">
      <alignment horizontal="center" vertical="center" wrapText="1"/>
    </xf>
    <xf numFmtId="2" fontId="62" fillId="0" borderId="156" xfId="12401" applyNumberFormat="1" applyFont="1" applyFill="1" applyBorder="1" applyAlignment="1"/>
    <xf numFmtId="2" fontId="62" fillId="0" borderId="156" xfId="12401" applyNumberFormat="1" applyFont="1" applyFill="1" applyBorder="1"/>
    <xf numFmtId="9" fontId="57" fillId="11" borderId="0" xfId="12405" applyFont="1" applyFill="1"/>
    <xf numFmtId="10" fontId="4" fillId="11" borderId="0" xfId="12401" applyNumberFormat="1" applyFont="1" applyFill="1"/>
    <xf numFmtId="171" fontId="120" fillId="0" borderId="156" xfId="12400" applyNumberFormat="1" applyFont="1" applyBorder="1"/>
    <xf numFmtId="171" fontId="62" fillId="0" borderId="156" xfId="12400" applyNumberFormat="1" applyFont="1" applyBorder="1"/>
    <xf numFmtId="175" fontId="95" fillId="4" borderId="157" xfId="0" applyNumberFormat="1" applyFont="1" applyFill="1" applyBorder="1"/>
    <xf numFmtId="218" fontId="57" fillId="2" borderId="0" xfId="12" applyNumberFormat="1" applyFont="1" applyFill="1"/>
    <xf numFmtId="179" fontId="57" fillId="2" borderId="0" xfId="12405" applyNumberFormat="1" applyFont="1" applyFill="1"/>
    <xf numFmtId="171" fontId="158" fillId="8" borderId="112" xfId="0" applyNumberFormat="1" applyFont="1" applyFill="1" applyBorder="1"/>
    <xf numFmtId="171" fontId="158" fillId="4" borderId="158" xfId="0" applyNumberFormat="1" applyFont="1" applyFill="1" applyBorder="1"/>
    <xf numFmtId="170" fontId="158" fillId="4" borderId="89" xfId="0" applyNumberFormat="1" applyFont="1" applyFill="1" applyBorder="1"/>
    <xf numFmtId="170" fontId="128" fillId="0" borderId="95" xfId="0" applyNumberFormat="1" applyFont="1" applyBorder="1"/>
    <xf numFmtId="43" fontId="0" fillId="2" borderId="0" xfId="12406" applyFont="1" applyFill="1"/>
    <xf numFmtId="0" fontId="62" fillId="11" borderId="114" xfId="16" applyFont="1" applyFill="1" applyBorder="1" applyAlignment="1">
      <alignment horizontal="center" vertical="center" wrapText="1"/>
    </xf>
    <xf numFmtId="0" fontId="62" fillId="11" borderId="100" xfId="16" applyFont="1" applyFill="1" applyBorder="1" applyAlignment="1">
      <alignment horizontal="centerContinuous" vertical="center" wrapText="1"/>
    </xf>
    <xf numFmtId="1" fontId="75" fillId="3" borderId="22" xfId="9" applyNumberFormat="1" applyFont="1" applyFill="1" applyBorder="1" applyAlignment="1" applyProtection="1">
      <alignment horizontal="center" vertical="center" wrapText="1"/>
    </xf>
    <xf numFmtId="10" fontId="118" fillId="2" borderId="30" xfId="0" applyNumberFormat="1" applyFont="1" applyFill="1" applyBorder="1" applyAlignment="1">
      <alignment horizontal="center"/>
    </xf>
    <xf numFmtId="0" fontId="62" fillId="0" borderId="6" xfId="13" quotePrefix="1" applyFont="1" applyBorder="1" applyAlignment="1">
      <alignment horizontal="center" vertical="center" wrapText="1"/>
    </xf>
    <xf numFmtId="0" fontId="62" fillId="0" borderId="86" xfId="13" quotePrefix="1" applyFont="1" applyBorder="1" applyAlignment="1">
      <alignment horizontal="center" vertical="center" wrapText="1"/>
    </xf>
    <xf numFmtId="1" fontId="251" fillId="3" borderId="8" xfId="13" applyNumberFormat="1" applyFont="1" applyFill="1" applyBorder="1" applyAlignment="1">
      <alignment horizontal="center" vertical="center"/>
    </xf>
    <xf numFmtId="0" fontId="62" fillId="0" borderId="155" xfId="13" applyFont="1" applyBorder="1" applyAlignment="1">
      <alignment horizontal="centerContinuous" vertical="center" wrapText="1"/>
    </xf>
    <xf numFmtId="10" fontId="62" fillId="2" borderId="14" xfId="10594" applyNumberFormat="1" applyFont="1" applyFill="1" applyBorder="1" applyAlignment="1">
      <alignment horizontal="centerContinuous" vertical="center" wrapText="1"/>
    </xf>
    <xf numFmtId="10" fontId="62" fillId="2" borderId="135" xfId="10594" applyNumberFormat="1" applyFont="1" applyFill="1" applyBorder="1" applyAlignment="1">
      <alignment horizontal="centerContinuous" vertical="center" wrapText="1"/>
    </xf>
    <xf numFmtId="0" fontId="62" fillId="2" borderId="62" xfId="16" applyFont="1" applyFill="1" applyBorder="1" applyAlignment="1">
      <alignment horizontal="centerContinuous" vertical="center" wrapText="1"/>
    </xf>
    <xf numFmtId="0" fontId="62" fillId="2" borderId="0" xfId="16" applyFont="1" applyFill="1" applyAlignment="1">
      <alignment horizontal="centerContinuous" vertical="center"/>
    </xf>
    <xf numFmtId="1" fontId="62" fillId="11" borderId="155" xfId="9931" applyNumberFormat="1" applyFont="1" applyFill="1" applyBorder="1" applyAlignment="1">
      <alignment horizontal="center" vertical="center" wrapText="1"/>
    </xf>
    <xf numFmtId="1" fontId="62" fillId="11" borderId="71" xfId="9931" applyNumberFormat="1" applyFont="1" applyFill="1" applyBorder="1" applyAlignment="1">
      <alignment horizontal="center" vertical="center" wrapText="1"/>
    </xf>
    <xf numFmtId="1" fontId="62" fillId="11" borderId="7" xfId="9931" applyNumberFormat="1" applyFont="1" applyFill="1" applyBorder="1" applyAlignment="1">
      <alignment horizontal="center" vertical="center" wrapText="1"/>
    </xf>
    <xf numFmtId="1" fontId="62" fillId="11" borderId="73" xfId="9931" applyNumberFormat="1" applyFont="1" applyFill="1" applyBorder="1" applyAlignment="1">
      <alignment horizontal="center" vertical="center" wrapText="1"/>
    </xf>
    <xf numFmtId="1" fontId="108" fillId="3" borderId="7" xfId="13" applyNumberFormat="1" applyFont="1" applyFill="1" applyBorder="1" applyAlignment="1">
      <alignment horizontal="center" vertical="center"/>
    </xf>
    <xf numFmtId="0" fontId="252" fillId="2" borderId="7" xfId="12400" applyFont="1" applyFill="1" applyBorder="1" applyAlignment="1">
      <alignment horizontal="centerContinuous" vertical="center" wrapText="1"/>
    </xf>
    <xf numFmtId="0" fontId="252" fillId="2" borderId="27" xfId="12400" applyFont="1" applyFill="1" applyBorder="1" applyAlignment="1">
      <alignment horizontal="centerContinuous" vertical="center" wrapText="1"/>
    </xf>
    <xf numFmtId="0" fontId="252" fillId="2" borderId="8" xfId="12400" applyFont="1" applyFill="1" applyBorder="1" applyAlignment="1">
      <alignment horizontal="centerContinuous" vertical="center" wrapText="1"/>
    </xf>
    <xf numFmtId="0" fontId="62" fillId="2" borderId="26" xfId="12400" applyFont="1" applyFill="1" applyBorder="1" applyAlignment="1">
      <alignment horizontal="center" vertical="center" wrapText="1"/>
    </xf>
    <xf numFmtId="0" fontId="62" fillId="2" borderId="92" xfId="12400" applyFont="1" applyFill="1" applyBorder="1" applyAlignment="1">
      <alignment horizontal="center" vertical="center" wrapText="1"/>
    </xf>
    <xf numFmtId="0" fontId="62" fillId="2" borderId="23" xfId="12400" applyFont="1" applyFill="1" applyBorder="1" applyAlignment="1">
      <alignment horizontal="center" vertical="center" wrapText="1"/>
    </xf>
    <xf numFmtId="0" fontId="62" fillId="2" borderId="22" xfId="12400" applyFont="1" applyFill="1" applyBorder="1" applyAlignment="1">
      <alignment horizontal="center" vertical="center" wrapText="1"/>
    </xf>
    <xf numFmtId="0" fontId="62" fillId="2" borderId="24" xfId="12400" applyFont="1" applyFill="1" applyBorder="1" applyAlignment="1">
      <alignment horizontal="center" vertical="center" wrapText="1"/>
    </xf>
    <xf numFmtId="0" fontId="62" fillId="2" borderId="6" xfId="12400" applyFont="1" applyFill="1" applyBorder="1" applyAlignment="1">
      <alignment horizontal="centerContinuous" vertical="center"/>
    </xf>
    <xf numFmtId="0" fontId="62" fillId="2" borderId="155" xfId="12400" applyFont="1" applyFill="1" applyBorder="1" applyAlignment="1">
      <alignment horizontal="centerContinuous" vertical="center"/>
    </xf>
    <xf numFmtId="0" fontId="62" fillId="0" borderId="26" xfId="12400" quotePrefix="1" applyFont="1" applyBorder="1" applyAlignment="1">
      <alignment horizontal="center" vertical="center" wrapText="1"/>
    </xf>
    <xf numFmtId="0" fontId="62" fillId="0" borderId="92" xfId="12400" quotePrefix="1" applyFont="1" applyBorder="1" applyAlignment="1">
      <alignment horizontal="center" vertical="center" wrapText="1"/>
    </xf>
    <xf numFmtId="0" fontId="62" fillId="0" borderId="23" xfId="12400" quotePrefix="1" applyFont="1" applyBorder="1" applyAlignment="1">
      <alignment horizontal="center" vertical="center" wrapText="1"/>
    </xf>
    <xf numFmtId="0" fontId="62" fillId="0" borderId="29" xfId="12400" quotePrefix="1" applyFont="1" applyBorder="1" applyAlignment="1">
      <alignment horizontal="center" vertical="center" wrapText="1"/>
    </xf>
    <xf numFmtId="0" fontId="62" fillId="0" borderId="22" xfId="12400" quotePrefix="1" applyFont="1" applyBorder="1" applyAlignment="1">
      <alignment horizontal="center" vertical="center" wrapText="1"/>
    </xf>
    <xf numFmtId="0" fontId="62" fillId="0" borderId="103" xfId="12400" quotePrefix="1" applyFont="1" applyBorder="1" applyAlignment="1">
      <alignment horizontal="center" vertical="center" wrapText="1"/>
    </xf>
    <xf numFmtId="0" fontId="62" fillId="0" borderId="23" xfId="12400" applyFont="1" applyBorder="1" applyAlignment="1">
      <alignment horizontal="center" vertical="center" wrapText="1"/>
    </xf>
    <xf numFmtId="1" fontId="62" fillId="0" borderId="3" xfId="0" applyNumberFormat="1" applyFont="1" applyBorder="1" applyAlignment="1">
      <alignment horizontal="center"/>
    </xf>
    <xf numFmtId="1" fontId="62" fillId="71" borderId="3" xfId="0" applyNumberFormat="1" applyFont="1" applyFill="1" applyBorder="1" applyAlignment="1">
      <alignment horizontal="center"/>
    </xf>
    <xf numFmtId="0" fontId="62" fillId="0" borderId="155" xfId="0" applyFont="1" applyBorder="1" applyAlignment="1">
      <alignment horizontal="centerContinuous" vertical="center"/>
    </xf>
    <xf numFmtId="0" fontId="62" fillId="0" borderId="8" xfId="0" applyFont="1" applyBorder="1" applyAlignment="1">
      <alignment horizontal="centerContinuous" vertical="center"/>
    </xf>
    <xf numFmtId="0" fontId="60" fillId="2" borderId="0" xfId="0" applyFont="1" applyFill="1" applyAlignment="1">
      <alignment vertical="center" wrapText="1"/>
    </xf>
    <xf numFmtId="175" fontId="236" fillId="0" borderId="2" xfId="0" applyNumberFormat="1" applyFont="1" applyBorder="1"/>
    <xf numFmtId="0" fontId="62" fillId="0" borderId="73" xfId="0" applyFont="1" applyBorder="1" applyAlignment="1">
      <alignment horizontal="center" vertical="center" wrapText="1"/>
    </xf>
    <xf numFmtId="0" fontId="62" fillId="2" borderId="0" xfId="0" applyFont="1" applyFill="1" applyAlignment="1">
      <alignment horizontal="center" vertical="center" wrapText="1"/>
    </xf>
    <xf numFmtId="0" fontId="62" fillId="2" borderId="73" xfId="0" applyFont="1" applyFill="1" applyBorder="1" applyAlignment="1">
      <alignment horizontal="centerContinuous" vertical="center"/>
    </xf>
    <xf numFmtId="0" fontId="75" fillId="2" borderId="72" xfId="0" applyFont="1" applyFill="1" applyBorder="1" applyAlignment="1">
      <alignment horizontal="centerContinuous" vertical="center"/>
    </xf>
    <xf numFmtId="0" fontId="62" fillId="2" borderId="27" xfId="0" applyFont="1" applyFill="1" applyBorder="1" applyAlignment="1">
      <alignment horizontal="centerContinuous" vertical="center"/>
    </xf>
    <xf numFmtId="0" fontId="114" fillId="2" borderId="98" xfId="0" applyFont="1" applyFill="1" applyBorder="1" applyAlignment="1">
      <alignment horizontal="center" vertical="center" wrapText="1"/>
    </xf>
    <xf numFmtId="0" fontId="114" fillId="2" borderId="92" xfId="0" quotePrefix="1" applyFont="1" applyFill="1" applyBorder="1" applyAlignment="1">
      <alignment horizontal="center" vertical="center" wrapText="1"/>
    </xf>
    <xf numFmtId="0" fontId="114" fillId="2" borderId="94" xfId="0" applyFont="1" applyFill="1" applyBorder="1" applyAlignment="1">
      <alignment horizontal="center" vertical="center" wrapText="1"/>
    </xf>
    <xf numFmtId="0" fontId="114" fillId="2" borderId="23" xfId="0" quotePrefix="1" applyFont="1" applyFill="1" applyBorder="1" applyAlignment="1">
      <alignment horizontal="center" vertical="center" wrapText="1"/>
    </xf>
    <xf numFmtId="0" fontId="114" fillId="2" borderId="103" xfId="0" applyFont="1" applyFill="1" applyBorder="1" applyAlignment="1">
      <alignment horizontal="center" vertical="center" wrapText="1"/>
    </xf>
    <xf numFmtId="0" fontId="114" fillId="2" borderId="92" xfId="0" applyFont="1" applyFill="1" applyBorder="1" applyAlignment="1">
      <alignment horizontal="center" vertical="center" wrapText="1"/>
    </xf>
    <xf numFmtId="0" fontId="114" fillId="2" borderId="91" xfId="0" applyFont="1" applyFill="1" applyBorder="1" applyAlignment="1">
      <alignment horizontal="center" vertical="center" wrapText="1"/>
    </xf>
    <xf numFmtId="0" fontId="75" fillId="0" borderId="155" xfId="16" applyFont="1" applyBorder="1" applyAlignment="1">
      <alignment horizontal="centerContinuous" vertical="center" wrapText="1"/>
    </xf>
    <xf numFmtId="0" fontId="62" fillId="2" borderId="136" xfId="13" applyFont="1" applyFill="1" applyBorder="1" applyAlignment="1">
      <alignment horizontal="centerContinuous" vertical="center" wrapText="1"/>
    </xf>
    <xf numFmtId="170" fontId="96" fillId="5" borderId="146" xfId="0" applyNumberFormat="1" applyFont="1" applyFill="1" applyBorder="1"/>
    <xf numFmtId="170" fontId="96" fillId="5" borderId="105" xfId="0" applyNumberFormat="1" applyFont="1" applyFill="1" applyBorder="1"/>
    <xf numFmtId="170" fontId="96" fillId="5" borderId="159" xfId="0" applyNumberFormat="1" applyFont="1" applyFill="1" applyBorder="1"/>
    <xf numFmtId="171" fontId="239" fillId="0" borderId="2" xfId="0" applyNumberFormat="1" applyFont="1" applyBorder="1"/>
    <xf numFmtId="10" fontId="239" fillId="0" borderId="3" xfId="0" applyNumberFormat="1" applyFont="1" applyBorder="1"/>
    <xf numFmtId="0" fontId="127" fillId="0" borderId="3" xfId="12400" applyFont="1" applyBorder="1" applyAlignment="1">
      <alignment horizontal="center"/>
    </xf>
    <xf numFmtId="0" fontId="75" fillId="2" borderId="7" xfId="12400" applyFont="1" applyFill="1" applyBorder="1" applyAlignment="1">
      <alignment vertical="center" wrapText="1"/>
    </xf>
    <xf numFmtId="0" fontId="75" fillId="2" borderId="8" xfId="12400" applyFont="1" applyFill="1" applyBorder="1" applyAlignment="1">
      <alignment vertical="center" wrapText="1"/>
    </xf>
    <xf numFmtId="0" fontId="75" fillId="2" borderId="6" xfId="12400" applyFont="1" applyFill="1" applyBorder="1" applyAlignment="1">
      <alignment vertical="center" wrapText="1"/>
    </xf>
    <xf numFmtId="0" fontId="127" fillId="0" borderId="3" xfId="0" applyFont="1" applyBorder="1" applyAlignment="1">
      <alignment horizontal="center"/>
    </xf>
    <xf numFmtId="1" fontId="75" fillId="11" borderId="136" xfId="215" applyNumberFormat="1" applyFont="1" applyFill="1" applyBorder="1" applyAlignment="1">
      <alignment horizontal="centerContinuous" vertical="center" wrapText="1"/>
    </xf>
    <xf numFmtId="1" fontId="75" fillId="11" borderId="135" xfId="215" applyNumberFormat="1" applyFont="1" applyFill="1" applyBorder="1" applyAlignment="1">
      <alignment horizontal="centerContinuous" vertical="center" wrapText="1"/>
    </xf>
    <xf numFmtId="167" fontId="62" fillId="9" borderId="62" xfId="9859" applyFont="1" applyFill="1" applyBorder="1" applyAlignment="1"/>
    <xf numFmtId="167" fontId="183" fillId="9" borderId="18" xfId="9859" applyFont="1" applyFill="1" applyBorder="1" applyAlignment="1"/>
    <xf numFmtId="167" fontId="62" fillId="9" borderId="63" xfId="9859" applyFont="1" applyFill="1" applyBorder="1" applyAlignment="1">
      <alignment wrapText="1"/>
    </xf>
    <xf numFmtId="167" fontId="62" fillId="9" borderId="3" xfId="9859" applyFont="1" applyFill="1" applyBorder="1" applyAlignment="1"/>
    <xf numFmtId="1" fontId="127" fillId="11" borderId="135" xfId="9931" applyNumberFormat="1" applyFont="1" applyFill="1" applyBorder="1" applyAlignment="1">
      <alignment horizontal="center" vertical="center" wrapText="1"/>
    </xf>
    <xf numFmtId="0" fontId="228" fillId="2" borderId="27" xfId="12400" quotePrefix="1" applyFont="1" applyFill="1" applyBorder="1" applyAlignment="1">
      <alignment horizontal="center" vertical="center" wrapText="1"/>
    </xf>
    <xf numFmtId="0" fontId="62" fillId="2" borderId="85" xfId="12400" applyFont="1" applyFill="1" applyBorder="1" applyAlignment="1">
      <alignment horizontal="center" vertical="center" wrapText="1"/>
    </xf>
    <xf numFmtId="0" fontId="61" fillId="2" borderId="20" xfId="0" applyFont="1" applyFill="1" applyBorder="1"/>
    <xf numFmtId="0" fontId="75" fillId="0" borderId="155" xfId="0" quotePrefix="1" applyFont="1" applyBorder="1" applyAlignment="1">
      <alignment horizontal="center" vertical="center" wrapText="1"/>
    </xf>
    <xf numFmtId="0" fontId="75" fillId="0" borderId="71" xfId="0" quotePrefix="1" applyFont="1" applyBorder="1" applyAlignment="1">
      <alignment horizontal="center" vertical="center" wrapText="1"/>
    </xf>
    <xf numFmtId="0" fontId="75" fillId="0" borderId="7" xfId="0" quotePrefix="1" applyFont="1" applyBorder="1" applyAlignment="1">
      <alignment horizontal="center" vertical="center" wrapText="1"/>
    </xf>
    <xf numFmtId="0" fontId="75" fillId="0" borderId="7" xfId="0" applyFont="1" applyBorder="1" applyAlignment="1">
      <alignment horizontal="center" vertical="center" wrapText="1"/>
    </xf>
    <xf numFmtId="183" fontId="62" fillId="2" borderId="135" xfId="0" applyNumberFormat="1" applyFont="1" applyFill="1" applyBorder="1"/>
    <xf numFmtId="0" fontId="61" fillId="2" borderId="7" xfId="0" applyFont="1" applyFill="1" applyBorder="1"/>
    <xf numFmtId="0" fontId="62" fillId="0" borderId="160" xfId="0" applyFont="1" applyBorder="1" applyAlignment="1">
      <alignment horizontal="center"/>
    </xf>
    <xf numFmtId="3" fontId="158" fillId="4" borderId="161" xfId="0" applyNumberFormat="1" applyFont="1" applyFill="1" applyBorder="1"/>
    <xf numFmtId="3" fontId="95" fillId="4" borderId="161" xfId="0" applyNumberFormat="1" applyFont="1" applyFill="1" applyBorder="1" applyAlignment="1">
      <alignment vertical="center" wrapText="1"/>
    </xf>
    <xf numFmtId="3" fontId="62" fillId="5" borderId="161" xfId="0" applyNumberFormat="1" applyFont="1" applyFill="1" applyBorder="1" applyAlignment="1">
      <alignment vertical="center" wrapText="1"/>
    </xf>
    <xf numFmtId="3" fontId="158" fillId="4" borderId="162" xfId="0" applyNumberFormat="1" applyFont="1" applyFill="1" applyBorder="1" applyAlignment="1">
      <alignment vertical="center" wrapText="1"/>
    </xf>
    <xf numFmtId="3" fontId="102" fillId="5" borderId="161" xfId="0" applyNumberFormat="1" applyFont="1" applyFill="1" applyBorder="1" applyAlignment="1">
      <alignment vertical="center" wrapText="1"/>
    </xf>
    <xf numFmtId="183" fontId="95" fillId="4" borderId="160" xfId="0" applyNumberFormat="1" applyFont="1" applyFill="1" applyBorder="1"/>
    <xf numFmtId="0" fontId="61" fillId="2" borderId="161" xfId="0" applyFont="1" applyFill="1" applyBorder="1"/>
    <xf numFmtId="0" fontId="77" fillId="2" borderId="27" xfId="12400" applyFont="1" applyFill="1" applyBorder="1" applyAlignment="1">
      <alignment horizontal="centerContinuous" vertical="center" wrapText="1"/>
    </xf>
    <xf numFmtId="0" fontId="228" fillId="2" borderId="27" xfId="12400" applyFont="1" applyFill="1" applyBorder="1" applyAlignment="1">
      <alignment horizontal="center" vertical="center" textRotation="90" wrapText="1"/>
    </xf>
    <xf numFmtId="0" fontId="75" fillId="2" borderId="62" xfId="12400" applyFont="1" applyFill="1" applyBorder="1" applyAlignment="1">
      <alignment horizontal="centerContinuous" vertical="center" wrapText="1"/>
    </xf>
    <xf numFmtId="0" fontId="62" fillId="2" borderId="20" xfId="12400" applyFont="1" applyFill="1" applyBorder="1" applyAlignment="1">
      <alignment horizontal="centerContinuous" vertical="center" wrapText="1"/>
    </xf>
    <xf numFmtId="0" fontId="62" fillId="2" borderId="71" xfId="12400" applyFont="1" applyFill="1" applyBorder="1" applyAlignment="1">
      <alignment horizontal="centerContinuous" vertical="center" wrapText="1"/>
    </xf>
    <xf numFmtId="0" fontId="78" fillId="2" borderId="93" xfId="12400" applyFont="1" applyFill="1" applyBorder="1" applyAlignment="1">
      <alignment horizontal="center" vertical="center"/>
    </xf>
    <xf numFmtId="0" fontId="62" fillId="0" borderId="18" xfId="0" applyFont="1" applyBorder="1" applyAlignment="1">
      <alignment horizontal="center"/>
    </xf>
    <xf numFmtId="3" fontId="62" fillId="46" borderId="62" xfId="12400" applyNumberFormat="1" applyFont="1" applyFill="1" applyBorder="1" applyAlignment="1">
      <alignment horizontal="right" vertical="center" wrapText="1"/>
    </xf>
    <xf numFmtId="170" fontId="95" fillId="4" borderId="95" xfId="0" quotePrefix="1" applyNumberFormat="1" applyFont="1" applyFill="1" applyBorder="1" applyAlignment="1">
      <alignment vertical="center" wrapText="1"/>
    </xf>
    <xf numFmtId="170" fontId="95" fillId="4" borderId="147" xfId="0" quotePrefix="1" applyNumberFormat="1" applyFont="1" applyFill="1" applyBorder="1" applyAlignment="1">
      <alignment vertical="center" wrapText="1"/>
    </xf>
    <xf numFmtId="170" fontId="75" fillId="5" borderId="18" xfId="0" applyNumberFormat="1" applyFont="1" applyFill="1" applyBorder="1"/>
    <xf numFmtId="0" fontId="75" fillId="2" borderId="6" xfId="0" quotePrefix="1" applyFont="1" applyFill="1" applyBorder="1" applyAlignment="1">
      <alignment horizontal="center" vertical="center" wrapText="1"/>
    </xf>
    <xf numFmtId="0" fontId="75" fillId="2" borderId="72" xfId="0" applyFont="1" applyFill="1" applyBorder="1" applyAlignment="1">
      <alignment horizontal="center" vertical="center" wrapText="1"/>
    </xf>
    <xf numFmtId="0" fontId="75" fillId="2" borderId="7" xfId="0" applyFont="1" applyFill="1" applyBorder="1" applyAlignment="1">
      <alignment horizontal="center" vertical="center" wrapText="1"/>
    </xf>
    <xf numFmtId="0" fontId="75" fillId="2" borderId="71" xfId="0" quotePrefix="1" applyFont="1" applyFill="1" applyBorder="1" applyAlignment="1">
      <alignment horizontal="center" vertical="center" wrapText="1"/>
    </xf>
    <xf numFmtId="0" fontId="75" fillId="2" borderId="136" xfId="0" quotePrefix="1" applyFont="1" applyFill="1" applyBorder="1" applyAlignment="1">
      <alignment horizontal="center" vertical="center" wrapText="1"/>
    </xf>
    <xf numFmtId="0" fontId="75" fillId="2" borderId="8" xfId="0" applyFont="1" applyFill="1" applyBorder="1" applyAlignment="1">
      <alignment horizontal="center" vertical="center" wrapText="1"/>
    </xf>
    <xf numFmtId="0" fontId="62" fillId="2" borderId="94" xfId="0" applyFont="1" applyFill="1" applyBorder="1" applyAlignment="1">
      <alignment horizontal="center" vertical="center" wrapText="1"/>
    </xf>
    <xf numFmtId="170" fontId="62" fillId="5" borderId="11" xfId="0" applyNumberFormat="1" applyFont="1" applyFill="1" applyBorder="1"/>
    <xf numFmtId="0" fontId="62" fillId="0" borderId="40" xfId="0" applyFont="1" applyBorder="1" applyAlignment="1">
      <alignment horizontal="center"/>
    </xf>
    <xf numFmtId="0" fontId="75" fillId="8" borderId="125" xfId="13" applyFont="1" applyFill="1" applyBorder="1" applyAlignment="1">
      <alignment horizontal="center" vertical="center" wrapText="1"/>
    </xf>
    <xf numFmtId="0" fontId="75" fillId="8" borderId="40" xfId="13" applyFont="1" applyFill="1" applyBorder="1" applyAlignment="1">
      <alignment horizontal="center" vertical="center" wrapText="1"/>
    </xf>
    <xf numFmtId="0" fontId="75" fillId="8" borderId="10" xfId="13" applyFont="1" applyFill="1" applyBorder="1" applyAlignment="1">
      <alignment horizontal="center" vertical="center" wrapText="1"/>
    </xf>
    <xf numFmtId="173" fontId="101" fillId="0" borderId="36" xfId="14" applyNumberFormat="1" applyFont="1" applyBorder="1"/>
    <xf numFmtId="173" fontId="101" fillId="0" borderId="10" xfId="14" applyNumberFormat="1" applyFont="1" applyBorder="1"/>
    <xf numFmtId="170" fontId="253" fillId="0" borderId="2" xfId="0" applyNumberFormat="1" applyFont="1" applyBorder="1"/>
    <xf numFmtId="170" fontId="253" fillId="0" borderId="3" xfId="0" applyNumberFormat="1" applyFont="1" applyBorder="1"/>
    <xf numFmtId="170" fontId="106" fillId="4" borderId="13" xfId="0" applyNumberFormat="1" applyFont="1" applyFill="1" applyBorder="1"/>
    <xf numFmtId="170" fontId="106" fillId="4" borderId="12" xfId="0" applyNumberFormat="1" applyFont="1" applyFill="1" applyBorder="1"/>
    <xf numFmtId="170" fontId="106" fillId="5" borderId="13" xfId="0" applyNumberFormat="1" applyFont="1" applyFill="1" applyBorder="1"/>
    <xf numFmtId="2" fontId="102" fillId="0" borderId="10" xfId="0" applyNumberFormat="1" applyFont="1" applyBorder="1" applyAlignment="1">
      <alignment horizontal="center"/>
    </xf>
    <xf numFmtId="181" fontId="106" fillId="4" borderId="36" xfId="0" applyNumberFormat="1" applyFont="1" applyFill="1" applyBorder="1"/>
    <xf numFmtId="177" fontId="62" fillId="5" borderId="111" xfId="0" applyNumberFormat="1" applyFont="1" applyFill="1" applyBorder="1"/>
    <xf numFmtId="177" fontId="62" fillId="5" borderId="12" xfId="0" applyNumberFormat="1" applyFont="1" applyFill="1" applyBorder="1"/>
    <xf numFmtId="0" fontId="62" fillId="2" borderId="146" xfId="12" quotePrefix="1" applyFont="1" applyFill="1" applyBorder="1" applyAlignment="1">
      <alignment horizontal="center" vertical="center" wrapText="1"/>
    </xf>
    <xf numFmtId="0" fontId="62" fillId="2" borderId="163" xfId="12" quotePrefix="1" applyFont="1" applyFill="1" applyBorder="1" applyAlignment="1">
      <alignment horizontal="center" vertical="center" wrapText="1"/>
    </xf>
    <xf numFmtId="0" fontId="62" fillId="2" borderId="164" xfId="12" quotePrefix="1" applyFont="1" applyFill="1" applyBorder="1" applyAlignment="1">
      <alignment horizontal="center" vertical="center" wrapText="1"/>
    </xf>
    <xf numFmtId="0" fontId="62" fillId="2" borderId="31" xfId="12" quotePrefix="1" applyFont="1" applyFill="1" applyBorder="1" applyAlignment="1">
      <alignment horizontal="center" vertical="center" wrapText="1"/>
    </xf>
    <xf numFmtId="0" fontId="62" fillId="0" borderId="120" xfId="12" applyFont="1" applyBorder="1" applyAlignment="1">
      <alignment horizontal="centerContinuous" vertical="center"/>
    </xf>
    <xf numFmtId="0" fontId="62" fillId="2" borderId="150" xfId="12" quotePrefix="1" applyFont="1" applyFill="1" applyBorder="1" applyAlignment="1">
      <alignment horizontal="center" vertical="center" wrapText="1"/>
    </xf>
    <xf numFmtId="0" fontId="62" fillId="2" borderId="115" xfId="12" applyFont="1" applyFill="1" applyBorder="1" applyAlignment="1">
      <alignment horizontal="centerContinuous" vertical="center" wrapText="1"/>
    </xf>
    <xf numFmtId="0" fontId="62" fillId="2" borderId="149" xfId="12" applyFont="1" applyFill="1" applyBorder="1" applyAlignment="1">
      <alignment horizontal="center" vertical="center" wrapText="1"/>
    </xf>
    <xf numFmtId="0" fontId="62" fillId="2" borderId="127" xfId="12" applyFont="1" applyFill="1" applyBorder="1" applyAlignment="1">
      <alignment horizontal="center" vertical="center" wrapText="1"/>
    </xf>
    <xf numFmtId="0" fontId="62" fillId="11" borderId="114" xfId="12" applyFont="1" applyFill="1" applyBorder="1" applyAlignment="1">
      <alignment horizontal="center" vertical="center" wrapText="1"/>
    </xf>
    <xf numFmtId="2" fontId="62" fillId="0" borderId="40" xfId="0" applyNumberFormat="1" applyFont="1" applyBorder="1" applyAlignment="1">
      <alignment horizontal="center"/>
    </xf>
    <xf numFmtId="2" fontId="102" fillId="0" borderId="18" xfId="0" applyNumberFormat="1" applyFont="1" applyBorder="1" applyAlignment="1">
      <alignment horizontal="center"/>
    </xf>
    <xf numFmtId="173" fontId="62" fillId="0" borderId="18" xfId="0" applyNumberFormat="1" applyFont="1" applyBorder="1" applyAlignment="1">
      <alignment horizontal="center"/>
    </xf>
    <xf numFmtId="0" fontId="75" fillId="2" borderId="165" xfId="12" applyFont="1" applyFill="1" applyBorder="1" applyAlignment="1">
      <alignment horizontal="centerContinuous" vertical="center" wrapText="1"/>
    </xf>
    <xf numFmtId="198" fontId="101" fillId="0" borderId="166" xfId="14" applyNumberFormat="1" applyFont="1" applyBorder="1"/>
    <xf numFmtId="0" fontId="75" fillId="2" borderId="29" xfId="12" applyFont="1" applyFill="1" applyBorder="1" applyAlignment="1">
      <alignment horizontal="centerContinuous" vertical="center" wrapText="1"/>
    </xf>
    <xf numFmtId="0" fontId="75" fillId="2" borderId="101" xfId="12" applyFont="1" applyFill="1" applyBorder="1" applyAlignment="1">
      <alignment horizontal="centerContinuous" vertical="center" wrapText="1"/>
    </xf>
    <xf numFmtId="0" fontId="75" fillId="2" borderId="91" xfId="12" applyFont="1" applyFill="1" applyBorder="1" applyAlignment="1">
      <alignment horizontal="centerContinuous" vertical="center" wrapText="1"/>
    </xf>
    <xf numFmtId="2" fontId="62" fillId="0" borderId="40" xfId="12" applyNumberFormat="1" applyFont="1" applyBorder="1" applyAlignment="1">
      <alignment horizontal="center"/>
    </xf>
    <xf numFmtId="3" fontId="95" fillId="4" borderId="36" xfId="14" applyNumberFormat="1" applyFont="1" applyFill="1" applyBorder="1"/>
    <xf numFmtId="184" fontId="95" fillId="4" borderId="87" xfId="14" applyNumberFormat="1" applyFont="1" applyFill="1" applyBorder="1"/>
    <xf numFmtId="3" fontId="62" fillId="5" borderId="40" xfId="14" applyNumberFormat="1" applyFont="1" applyFill="1" applyBorder="1"/>
    <xf numFmtId="3" fontId="95" fillId="4" borderId="12" xfId="14" applyNumberFormat="1" applyFont="1" applyFill="1" applyBorder="1"/>
    <xf numFmtId="184" fontId="95" fillId="4" borderId="90" xfId="14" applyNumberFormat="1" applyFont="1" applyFill="1" applyBorder="1"/>
    <xf numFmtId="3" fontId="95" fillId="4" borderId="45" xfId="14" applyNumberFormat="1" applyFont="1" applyFill="1" applyBorder="1"/>
    <xf numFmtId="3" fontId="95" fillId="4" borderId="87" xfId="14" applyNumberFormat="1" applyFont="1" applyFill="1" applyBorder="1"/>
    <xf numFmtId="3" fontId="74" fillId="4" borderId="12" xfId="14" applyNumberFormat="1" applyFont="1" applyFill="1" applyBorder="1"/>
    <xf numFmtId="3" fontId="95" fillId="4" borderId="102" xfId="14" applyNumberFormat="1" applyFont="1" applyFill="1" applyBorder="1"/>
    <xf numFmtId="0" fontId="57" fillId="2" borderId="22" xfId="12" applyFont="1" applyFill="1" applyBorder="1" applyAlignment="1">
      <alignment vertical="center" wrapText="1"/>
    </xf>
    <xf numFmtId="0" fontId="57" fillId="2" borderId="16" xfId="12" applyFont="1" applyFill="1" applyBorder="1" applyAlignment="1">
      <alignment horizontal="center" vertical="center" wrapText="1"/>
    </xf>
    <xf numFmtId="0" fontId="57" fillId="2" borderId="22" xfId="12" applyFont="1" applyFill="1" applyBorder="1" applyAlignment="1">
      <alignment horizontal="center" vertical="center" wrapText="1"/>
    </xf>
    <xf numFmtId="0" fontId="57" fillId="2" borderId="98" xfId="12" applyFont="1" applyFill="1" applyBorder="1" applyAlignment="1">
      <alignment horizontal="center" vertical="center" wrapText="1"/>
    </xf>
    <xf numFmtId="0" fontId="57" fillId="2" borderId="29" xfId="12" applyFont="1" applyFill="1" applyBorder="1" applyAlignment="1">
      <alignment horizontal="center" vertical="center" wrapText="1"/>
    </xf>
    <xf numFmtId="0" fontId="57" fillId="2" borderId="24" xfId="12" applyFont="1" applyFill="1" applyBorder="1" applyAlignment="1">
      <alignment horizontal="center" vertical="center" wrapText="1"/>
    </xf>
    <xf numFmtId="0" fontId="57" fillId="5" borderId="12" xfId="12" applyFont="1" applyFill="1" applyBorder="1" applyAlignment="1">
      <alignment vertical="center" wrapText="1"/>
    </xf>
    <xf numFmtId="0" fontId="57" fillId="5" borderId="87" xfId="12" applyFont="1" applyFill="1" applyBorder="1" applyAlignment="1">
      <alignment horizontal="center" vertical="center" wrapText="1"/>
    </xf>
    <xf numFmtId="0" fontId="57" fillId="5" borderId="17" xfId="12" applyFont="1" applyFill="1" applyBorder="1" applyAlignment="1">
      <alignment horizontal="center" vertical="center" wrapText="1"/>
    </xf>
    <xf numFmtId="0" fontId="57" fillId="5" borderId="40" xfId="12" applyFont="1" applyFill="1" applyBorder="1" applyAlignment="1">
      <alignment horizontal="center" vertical="center" wrapText="1"/>
    </xf>
    <xf numFmtId="0" fontId="57" fillId="5" borderId="12" xfId="12" applyFont="1" applyFill="1" applyBorder="1" applyAlignment="1">
      <alignment horizontal="center" vertical="center" wrapText="1"/>
    </xf>
    <xf numFmtId="0" fontId="57" fillId="5" borderId="11" xfId="12" applyFont="1" applyFill="1" applyBorder="1" applyAlignment="1">
      <alignment horizontal="center" vertical="center" wrapText="1"/>
    </xf>
    <xf numFmtId="0" fontId="57" fillId="5" borderId="109" xfId="12" applyFont="1" applyFill="1" applyBorder="1" applyAlignment="1">
      <alignment horizontal="center" vertical="center" wrapText="1"/>
    </xf>
    <xf numFmtId="4" fontId="118" fillId="7" borderId="10" xfId="14" applyNumberFormat="1" applyFont="1" applyFill="1" applyBorder="1"/>
    <xf numFmtId="0" fontId="62" fillId="11" borderId="155" xfId="12" applyFont="1" applyFill="1" applyBorder="1" applyAlignment="1">
      <alignment horizontal="center" vertical="center" wrapText="1"/>
    </xf>
    <xf numFmtId="0" fontId="75" fillId="5" borderId="125" xfId="12" applyFont="1" applyFill="1" applyBorder="1" applyAlignment="1">
      <alignment horizontal="center" vertical="center" wrapText="1"/>
    </xf>
    <xf numFmtId="0" fontId="75" fillId="5" borderId="40" xfId="12" applyFont="1" applyFill="1" applyBorder="1" applyAlignment="1">
      <alignment horizontal="centerContinuous" vertical="center" wrapText="1"/>
    </xf>
    <xf numFmtId="0" fontId="75" fillId="5" borderId="109" xfId="12" applyFont="1" applyFill="1" applyBorder="1" applyAlignment="1">
      <alignment horizontal="center" vertical="center" wrapText="1"/>
    </xf>
    <xf numFmtId="0" fontId="75" fillId="5" borderId="17" xfId="12" applyFont="1" applyFill="1" applyBorder="1" applyAlignment="1">
      <alignment horizontal="centerContinuous" vertical="center" wrapText="1"/>
    </xf>
    <xf numFmtId="0" fontId="75" fillId="5" borderId="10" xfId="12" applyFont="1" applyFill="1" applyBorder="1" applyAlignment="1">
      <alignment horizontal="centerContinuous" vertical="center" wrapText="1"/>
    </xf>
    <xf numFmtId="0" fontId="62" fillId="2" borderId="34" xfId="0" quotePrefix="1" applyFont="1" applyFill="1" applyBorder="1" applyAlignment="1">
      <alignment horizontal="center" vertical="center" wrapText="1"/>
    </xf>
    <xf numFmtId="0" fontId="75" fillId="2" borderId="26" xfId="0" applyFont="1" applyFill="1" applyBorder="1" applyAlignment="1">
      <alignment horizontal="center"/>
    </xf>
    <xf numFmtId="0" fontId="75" fillId="2" borderId="92" xfId="0" applyFont="1" applyFill="1" applyBorder="1" applyAlignment="1">
      <alignment horizontal="center"/>
    </xf>
    <xf numFmtId="0" fontId="75" fillId="2" borderId="24" xfId="0" applyFont="1" applyFill="1" applyBorder="1" applyAlignment="1">
      <alignment horizontal="center"/>
    </xf>
    <xf numFmtId="2" fontId="75" fillId="2" borderId="104" xfId="0" applyNumberFormat="1" applyFont="1" applyFill="1" applyBorder="1" applyAlignment="1">
      <alignment horizontal="center" vertical="center" wrapText="1"/>
    </xf>
    <xf numFmtId="2" fontId="62" fillId="8" borderId="87" xfId="12401" applyNumberFormat="1" applyFont="1" applyFill="1" applyBorder="1" applyAlignment="1"/>
    <xf numFmtId="171" fontId="95" fillId="5" borderId="89" xfId="0" applyNumberFormat="1" applyFont="1" applyFill="1" applyBorder="1"/>
    <xf numFmtId="171" fontId="95" fillId="5" borderId="111" xfId="0" applyNumberFormat="1" applyFont="1" applyFill="1" applyBorder="1"/>
    <xf numFmtId="10" fontId="62" fillId="8" borderId="109" xfId="12401" applyNumberFormat="1" applyFont="1" applyFill="1" applyBorder="1" applyAlignment="1"/>
    <xf numFmtId="10" fontId="62" fillId="8" borderId="87" xfId="12401" applyNumberFormat="1" applyFont="1" applyFill="1" applyBorder="1" applyAlignment="1"/>
    <xf numFmtId="10" fontId="62" fillId="8" borderId="112" xfId="12401" applyNumberFormat="1" applyFont="1" applyFill="1" applyBorder="1" applyAlignment="1"/>
    <xf numFmtId="10" fontId="62" fillId="8" borderId="102" xfId="12401" applyNumberFormat="1" applyFont="1" applyFill="1" applyBorder="1" applyAlignment="1"/>
    <xf numFmtId="173" fontId="62" fillId="5" borderId="12" xfId="14" applyNumberFormat="1" applyFont="1" applyFill="1" applyBorder="1"/>
    <xf numFmtId="10" fontId="62" fillId="8" borderId="89" xfId="12401" applyNumberFormat="1" applyFont="1" applyFill="1" applyBorder="1" applyAlignment="1"/>
    <xf numFmtId="2" fontId="118" fillId="7" borderId="36" xfId="0" applyNumberFormat="1" applyFont="1" applyFill="1" applyBorder="1"/>
    <xf numFmtId="171" fontId="101" fillId="8" borderId="17" xfId="0" applyNumberFormat="1" applyFont="1" applyFill="1" applyBorder="1"/>
    <xf numFmtId="2" fontId="118" fillId="7" borderId="109" xfId="12401" applyNumberFormat="1" applyFont="1" applyFill="1" applyBorder="1" applyAlignment="1"/>
    <xf numFmtId="2" fontId="118" fillId="7" borderId="87" xfId="12401" applyNumberFormat="1" applyFont="1" applyFill="1" applyBorder="1" applyAlignment="1"/>
    <xf numFmtId="2" fontId="118" fillId="7" borderId="40" xfId="12401" applyNumberFormat="1" applyFont="1" applyFill="1" applyBorder="1"/>
    <xf numFmtId="2" fontId="118" fillId="7" borderId="111" xfId="12401" applyNumberFormat="1" applyFont="1" applyFill="1" applyBorder="1"/>
    <xf numFmtId="2" fontId="118" fillId="7" borderId="102" xfId="12401" applyNumberFormat="1" applyFont="1" applyFill="1" applyBorder="1"/>
    <xf numFmtId="0" fontId="114" fillId="11" borderId="127" xfId="16" applyFont="1" applyFill="1" applyBorder="1" applyAlignment="1">
      <alignment horizontal="centerContinuous" vertical="center" wrapText="1"/>
    </xf>
    <xf numFmtId="0" fontId="114" fillId="11" borderId="100" xfId="16" applyFont="1" applyFill="1" applyBorder="1" applyAlignment="1">
      <alignment horizontal="center" vertical="center" wrapText="1"/>
    </xf>
    <xf numFmtId="0" fontId="114" fillId="0" borderId="100" xfId="16" applyFont="1" applyBorder="1" applyAlignment="1">
      <alignment horizontal="center" vertical="center" wrapText="1"/>
    </xf>
    <xf numFmtId="0" fontId="114" fillId="11" borderId="126" xfId="16" applyFont="1" applyFill="1" applyBorder="1" applyAlignment="1">
      <alignment horizontal="center" vertical="center" wrapText="1"/>
    </xf>
    <xf numFmtId="0" fontId="62" fillId="0" borderId="40" xfId="16" applyFont="1" applyBorder="1" applyAlignment="1">
      <alignment horizontal="center"/>
    </xf>
    <xf numFmtId="3" fontId="101" fillId="0" borderId="87" xfId="16" applyNumberFormat="1" applyFont="1" applyBorder="1"/>
    <xf numFmtId="3" fontId="101" fillId="8" borderId="17" xfId="16" applyNumberFormat="1" applyFont="1" applyFill="1" applyBorder="1"/>
    <xf numFmtId="3" fontId="101" fillId="8" borderId="12" xfId="16" applyNumberFormat="1" applyFont="1" applyFill="1" applyBorder="1"/>
    <xf numFmtId="3" fontId="101" fillId="8" borderId="87" xfId="16" applyNumberFormat="1" applyFont="1" applyFill="1" applyBorder="1"/>
    <xf numFmtId="3" fontId="101" fillId="8" borderId="40" xfId="16" applyNumberFormat="1" applyFont="1" applyFill="1" applyBorder="1"/>
    <xf numFmtId="3" fontId="62" fillId="8" borderId="40" xfId="16" applyNumberFormat="1" applyFont="1" applyFill="1" applyBorder="1"/>
    <xf numFmtId="3" fontId="101" fillId="8" borderId="109" xfId="16" applyNumberFormat="1" applyFont="1" applyFill="1" applyBorder="1"/>
    <xf numFmtId="3" fontId="101" fillId="8" borderId="112" xfId="16" applyNumberFormat="1" applyFont="1" applyFill="1" applyBorder="1"/>
    <xf numFmtId="3" fontId="62" fillId="8" borderId="10" xfId="16" applyNumberFormat="1" applyFont="1" applyFill="1" applyBorder="1"/>
    <xf numFmtId="2" fontId="62" fillId="0" borderId="10" xfId="10" applyNumberFormat="1" applyFont="1" applyBorder="1" applyAlignment="1">
      <alignment horizontal="center"/>
    </xf>
    <xf numFmtId="172" fontId="62" fillId="8" borderId="112" xfId="11" applyNumberFormat="1" applyFont="1" applyFill="1" applyBorder="1"/>
    <xf numFmtId="172" fontId="62" fillId="8" borderId="102" xfId="11" applyNumberFormat="1" applyFont="1" applyFill="1" applyBorder="1"/>
    <xf numFmtId="0" fontId="57" fillId="0" borderId="63" xfId="0" applyFont="1" applyBorder="1"/>
    <xf numFmtId="0" fontId="75" fillId="0" borderId="164" xfId="0" applyFont="1" applyBorder="1" applyAlignment="1">
      <alignment horizontal="center" vertical="center" wrapText="1"/>
    </xf>
    <xf numFmtId="0" fontId="57" fillId="8" borderId="63" xfId="0" applyFont="1" applyFill="1" applyBorder="1"/>
    <xf numFmtId="0" fontId="75" fillId="8" borderId="162" xfId="16" applyFont="1" applyFill="1" applyBorder="1" applyAlignment="1">
      <alignment horizontal="center" vertical="center" wrapText="1"/>
    </xf>
    <xf numFmtId="0" fontId="57" fillId="11" borderId="0" xfId="12400" applyFont="1" applyFill="1" applyAlignment="1">
      <alignment vertical="center" wrapText="1"/>
    </xf>
    <xf numFmtId="0" fontId="114" fillId="11" borderId="0" xfId="12400" applyFont="1" applyFill="1"/>
    <xf numFmtId="0" fontId="62" fillId="11" borderId="0" xfId="12400" applyFont="1" applyFill="1"/>
    <xf numFmtId="0" fontId="0" fillId="11" borderId="0" xfId="12400" applyFont="1" applyFill="1"/>
    <xf numFmtId="0" fontId="62" fillId="2" borderId="28" xfId="12400" applyFont="1" applyFill="1" applyBorder="1" applyAlignment="1">
      <alignment horizontal="centerContinuous" vertical="center" wrapText="1"/>
    </xf>
    <xf numFmtId="0" fontId="62" fillId="2" borderId="86" xfId="12400" quotePrefix="1" applyFont="1" applyFill="1" applyBorder="1" applyAlignment="1">
      <alignment horizontal="centerContinuous" vertical="center" wrapText="1"/>
    </xf>
    <xf numFmtId="0" fontId="78" fillId="2" borderId="86" xfId="12400" applyFont="1" applyFill="1" applyBorder="1" applyAlignment="1">
      <alignment horizontal="center" vertical="center"/>
    </xf>
    <xf numFmtId="1" fontId="62" fillId="0" borderId="10" xfId="0" applyNumberFormat="1" applyFont="1" applyBorder="1" applyAlignment="1">
      <alignment horizontal="center"/>
    </xf>
    <xf numFmtId="171" fontId="62" fillId="9" borderId="11" xfId="0" applyNumberFormat="1" applyFont="1" applyFill="1" applyBorder="1"/>
    <xf numFmtId="171" fontId="95" fillId="9" borderId="10" xfId="0" applyNumberFormat="1" applyFont="1" applyFill="1" applyBorder="1"/>
    <xf numFmtId="1" fontId="95" fillId="3" borderId="20" xfId="13" applyNumberFormat="1" applyFont="1" applyFill="1" applyBorder="1" applyAlignment="1">
      <alignment horizontal="center" vertical="center"/>
    </xf>
    <xf numFmtId="0" fontId="60" fillId="2" borderId="20" xfId="0" applyFont="1" applyFill="1" applyBorder="1"/>
    <xf numFmtId="0" fontId="75" fillId="2" borderId="6" xfId="0" applyFont="1" applyFill="1" applyBorder="1" applyAlignment="1">
      <alignment horizontal="center" vertical="center"/>
    </xf>
    <xf numFmtId="0" fontId="75" fillId="2" borderId="7" xfId="0" applyFont="1" applyFill="1" applyBorder="1" applyAlignment="1">
      <alignment horizontal="center" vertical="center"/>
    </xf>
    <xf numFmtId="0" fontId="75" fillId="2" borderId="27" xfId="0" applyFont="1" applyFill="1" applyBorder="1" applyAlignment="1">
      <alignment horizontal="center" vertical="center"/>
    </xf>
    <xf numFmtId="0" fontId="62" fillId="0" borderId="73" xfId="0" applyFont="1" applyBorder="1" applyAlignment="1">
      <alignment horizontal="center" vertical="center"/>
    </xf>
    <xf numFmtId="2" fontId="95" fillId="4" borderId="160" xfId="0" applyNumberFormat="1" applyFont="1" applyFill="1" applyBorder="1" applyAlignment="1">
      <alignment horizontal="center"/>
    </xf>
    <xf numFmtId="175" fontId="95" fillId="4" borderId="168" xfId="0" applyNumberFormat="1" applyFont="1" applyFill="1" applyBorder="1"/>
    <xf numFmtId="175" fontId="95" fillId="4" borderId="169" xfId="0" applyNumberFormat="1" applyFont="1" applyFill="1" applyBorder="1"/>
    <xf numFmtId="175" fontId="95" fillId="4" borderId="170" xfId="0" applyNumberFormat="1" applyFont="1" applyFill="1" applyBorder="1"/>
    <xf numFmtId="175" fontId="95" fillId="4" borderId="171" xfId="0" applyNumberFormat="1" applyFont="1" applyFill="1" applyBorder="1"/>
    <xf numFmtId="175" fontId="95" fillId="4" borderId="161" xfId="0" applyNumberFormat="1" applyFont="1" applyFill="1" applyBorder="1"/>
    <xf numFmtId="175" fontId="95" fillId="8" borderId="162" xfId="0" applyNumberFormat="1" applyFont="1" applyFill="1" applyBorder="1"/>
    <xf numFmtId="175" fontId="122" fillId="4" borderId="162" xfId="0" applyNumberFormat="1" applyFont="1" applyFill="1" applyBorder="1"/>
    <xf numFmtId="175" fontId="101" fillId="5" borderId="162" xfId="0" applyNumberFormat="1" applyFont="1" applyFill="1" applyBorder="1"/>
    <xf numFmtId="0" fontId="0" fillId="2" borderId="161" xfId="0" applyFill="1" applyBorder="1"/>
    <xf numFmtId="175" fontId="172" fillId="7" borderId="50" xfId="0" applyNumberFormat="1" applyFont="1" applyFill="1" applyBorder="1"/>
    <xf numFmtId="0" fontId="75" fillId="2" borderId="98" xfId="0" quotePrefix="1" applyFont="1" applyFill="1" applyBorder="1" applyAlignment="1">
      <alignment horizontal="center" vertical="center" wrapText="1"/>
    </xf>
    <xf numFmtId="175" fontId="106" fillId="4" borderId="12" xfId="0" applyNumberFormat="1" applyFont="1" applyFill="1" applyBorder="1"/>
    <xf numFmtId="175" fontId="62" fillId="12" borderId="109" xfId="0" applyNumberFormat="1" applyFont="1" applyFill="1" applyBorder="1"/>
    <xf numFmtId="175" fontId="62" fillId="12" borderId="12" xfId="0" applyNumberFormat="1" applyFont="1" applyFill="1" applyBorder="1"/>
    <xf numFmtId="175" fontId="62" fillId="12" borderId="89" xfId="0" applyNumberFormat="1" applyFont="1" applyFill="1" applyBorder="1"/>
    <xf numFmtId="0" fontId="75" fillId="12" borderId="11" xfId="0" quotePrefix="1" applyFont="1" applyFill="1" applyBorder="1" applyAlignment="1">
      <alignment horizontal="center" vertical="center" wrapText="1"/>
    </xf>
    <xf numFmtId="177" fontId="118" fillId="7" borderId="44" xfId="0" applyNumberFormat="1" applyFont="1" applyFill="1" applyBorder="1"/>
    <xf numFmtId="175" fontId="172" fillId="7" borderId="44" xfId="0" applyNumberFormat="1" applyFont="1" applyFill="1" applyBorder="1"/>
    <xf numFmtId="179" fontId="208" fillId="7" borderId="42" xfId="12401" applyNumberFormat="1" applyFont="1" applyFill="1" applyBorder="1"/>
    <xf numFmtId="179" fontId="208" fillId="7" borderId="63" xfId="12401" applyNumberFormat="1" applyFont="1" applyFill="1" applyBorder="1"/>
    <xf numFmtId="175" fontId="118" fillId="7" borderId="42" xfId="0" applyNumberFormat="1" applyFont="1" applyFill="1" applyBorder="1"/>
    <xf numFmtId="0" fontId="75" fillId="2" borderId="6" xfId="0" quotePrefix="1" applyFont="1" applyFill="1" applyBorder="1" applyAlignment="1">
      <alignment horizontal="center"/>
    </xf>
    <xf numFmtId="0" fontId="75" fillId="2" borderId="71" xfId="0" quotePrefix="1" applyFont="1" applyFill="1" applyBorder="1" applyAlignment="1">
      <alignment horizontal="center"/>
    </xf>
    <xf numFmtId="0" fontId="75" fillId="2" borderId="7" xfId="0" quotePrefix="1" applyFont="1" applyFill="1" applyBorder="1" applyAlignment="1">
      <alignment horizontal="center"/>
    </xf>
    <xf numFmtId="0" fontId="75" fillId="2" borderId="72" xfId="0" applyFont="1" applyFill="1" applyBorder="1" applyAlignment="1">
      <alignment horizontal="center"/>
    </xf>
    <xf numFmtId="0" fontId="75" fillId="2" borderId="27" xfId="0" applyFont="1" applyFill="1" applyBorder="1" applyAlignment="1">
      <alignment horizontal="center"/>
    </xf>
    <xf numFmtId="0" fontId="75" fillId="2" borderId="7" xfId="0" applyFont="1" applyFill="1" applyBorder="1" applyAlignment="1">
      <alignment horizontal="center"/>
    </xf>
    <xf numFmtId="0" fontId="75" fillId="2" borderId="73" xfId="0" applyFont="1" applyFill="1" applyBorder="1" applyAlignment="1">
      <alignment horizontal="center"/>
    </xf>
    <xf numFmtId="0" fontId="75" fillId="2" borderId="85" xfId="0" applyFont="1" applyFill="1" applyBorder="1" applyAlignment="1">
      <alignment horizontal="center"/>
    </xf>
    <xf numFmtId="2" fontId="62" fillId="0" borderId="160" xfId="0" applyNumberFormat="1" applyFont="1" applyBorder="1" applyAlignment="1">
      <alignment horizontal="center"/>
    </xf>
    <xf numFmtId="0" fontId="75" fillId="5" borderId="168" xfId="0" applyFont="1" applyFill="1" applyBorder="1" applyAlignment="1">
      <alignment horizontal="center"/>
    </xf>
    <xf numFmtId="0" fontId="75" fillId="5" borderId="171" xfId="0" applyFont="1" applyFill="1" applyBorder="1" applyAlignment="1">
      <alignment horizontal="center"/>
    </xf>
    <xf numFmtId="175" fontId="95" fillId="4" borderId="162" xfId="0" applyNumberFormat="1" applyFont="1" applyFill="1" applyBorder="1"/>
    <xf numFmtId="175" fontId="95" fillId="5" borderId="172" xfId="0" applyNumberFormat="1" applyFont="1" applyFill="1" applyBorder="1"/>
    <xf numFmtId="175" fontId="95" fillId="5" borderId="171" xfId="0" applyNumberFormat="1" applyFont="1" applyFill="1" applyBorder="1"/>
    <xf numFmtId="175" fontId="95" fillId="5" borderId="162" xfId="0" applyNumberFormat="1" applyFont="1" applyFill="1" applyBorder="1"/>
    <xf numFmtId="2" fontId="62" fillId="0" borderId="10" xfId="16" applyNumberFormat="1" applyFont="1" applyBorder="1" applyAlignment="1">
      <alignment horizontal="center"/>
    </xf>
    <xf numFmtId="170" fontId="95" fillId="4" borderId="109" xfId="16" applyNumberFormat="1" applyFont="1" applyFill="1" applyBorder="1" applyAlignment="1">
      <alignment horizontal="right" vertical="center"/>
    </xf>
    <xf numFmtId="175" fontId="95" fillId="4" borderId="90" xfId="16" applyNumberFormat="1" applyFont="1" applyFill="1" applyBorder="1"/>
    <xf numFmtId="170" fontId="62" fillId="5" borderId="12" xfId="16" applyNumberFormat="1" applyFont="1" applyFill="1" applyBorder="1"/>
    <xf numFmtId="170" fontId="62" fillId="5" borderId="111" xfId="16" applyNumberFormat="1" applyFont="1" applyFill="1" applyBorder="1"/>
    <xf numFmtId="170" fontId="62" fillId="5" borderId="13" xfId="16" applyNumberFormat="1" applyFont="1" applyFill="1" applyBorder="1"/>
    <xf numFmtId="0" fontId="75" fillId="2" borderId="152" xfId="0" quotePrefix="1" applyFont="1" applyFill="1" applyBorder="1" applyAlignment="1">
      <alignment horizontal="center" vertical="center" wrapText="1"/>
    </xf>
    <xf numFmtId="0" fontId="75" fillId="2" borderId="151" xfId="0" applyFont="1" applyFill="1" applyBorder="1" applyAlignment="1">
      <alignment horizontal="center" vertical="center" wrapText="1"/>
    </xf>
    <xf numFmtId="0" fontId="75" fillId="2" borderId="153" xfId="0" applyFont="1" applyFill="1" applyBorder="1" applyAlignment="1">
      <alignment horizontal="center" vertical="center" wrapText="1"/>
    </xf>
    <xf numFmtId="0" fontId="75" fillId="72" borderId="16" xfId="0" applyFont="1" applyFill="1" applyBorder="1" applyAlignment="1">
      <alignment horizontal="center"/>
    </xf>
    <xf numFmtId="1" fontId="95" fillId="3" borderId="29" xfId="9" applyNumberFormat="1" applyFont="1" applyFill="1" applyBorder="1" applyAlignment="1" applyProtection="1">
      <alignment horizontal="center" vertical="center" wrapText="1"/>
    </xf>
    <xf numFmtId="0" fontId="0" fillId="0" borderId="23" xfId="0" applyBorder="1"/>
    <xf numFmtId="0" fontId="0" fillId="0" borderId="92" xfId="0" applyBorder="1"/>
    <xf numFmtId="0" fontId="0" fillId="0" borderId="22" xfId="0" applyBorder="1"/>
    <xf numFmtId="0" fontId="0" fillId="0" borderId="29" xfId="0" applyBorder="1"/>
    <xf numFmtId="0" fontId="0" fillId="0" borderId="24" xfId="0" applyBorder="1"/>
    <xf numFmtId="185" fontId="62" fillId="0" borderId="17" xfId="0" applyNumberFormat="1" applyFont="1" applyBorder="1" applyAlignment="1">
      <alignment horizontal="center"/>
    </xf>
    <xf numFmtId="175" fontId="158" fillId="4" borderId="46" xfId="0" applyNumberFormat="1" applyFont="1" applyFill="1" applyBorder="1"/>
    <xf numFmtId="199" fontId="95" fillId="4" borderId="45" xfId="0" applyNumberFormat="1" applyFont="1" applyFill="1" applyBorder="1"/>
    <xf numFmtId="199" fontId="95" fillId="4" borderId="87" xfId="0" applyNumberFormat="1" applyFont="1" applyFill="1" applyBorder="1"/>
    <xf numFmtId="199" fontId="95" fillId="4" borderId="40" xfId="0" applyNumberFormat="1" applyFont="1" applyFill="1" applyBorder="1"/>
    <xf numFmtId="181" fontId="118" fillId="4" borderId="10" xfId="0" applyNumberFormat="1" applyFont="1" applyFill="1" applyBorder="1"/>
    <xf numFmtId="175" fontId="62" fillId="5" borderId="40" xfId="0" applyNumberFormat="1" applyFont="1" applyFill="1" applyBorder="1"/>
    <xf numFmtId="175" fontId="62" fillId="5" borderId="87" xfId="0" applyNumberFormat="1" applyFont="1" applyFill="1" applyBorder="1"/>
    <xf numFmtId="175" fontId="62" fillId="5" borderId="10" xfId="0" applyNumberFormat="1" applyFont="1" applyFill="1" applyBorder="1"/>
    <xf numFmtId="0" fontId="78" fillId="2" borderId="172" xfId="0" applyFont="1" applyFill="1" applyBorder="1" applyAlignment="1">
      <alignment horizontal="center" vertical="center"/>
    </xf>
    <xf numFmtId="0" fontId="78" fillId="2" borderId="171" xfId="0" applyFont="1" applyFill="1" applyBorder="1" applyAlignment="1">
      <alignment horizontal="center" vertical="center"/>
    </xf>
    <xf numFmtId="0" fontId="78" fillId="2" borderId="162" xfId="0" applyFont="1" applyFill="1" applyBorder="1" applyAlignment="1">
      <alignment horizontal="center" vertical="center"/>
    </xf>
    <xf numFmtId="0" fontId="78" fillId="2" borderId="161" xfId="0" applyFont="1" applyFill="1" applyBorder="1" applyAlignment="1">
      <alignment horizontal="center" vertical="center"/>
    </xf>
    <xf numFmtId="0" fontId="78" fillId="2" borderId="160" xfId="0" applyFont="1" applyFill="1" applyBorder="1" applyAlignment="1">
      <alignment horizontal="center" vertical="center"/>
    </xf>
    <xf numFmtId="171" fontId="62" fillId="0" borderId="167" xfId="0" applyNumberFormat="1" applyFont="1" applyBorder="1"/>
    <xf numFmtId="171" fontId="62" fillId="12" borderId="167" xfId="0" applyNumberFormat="1" applyFont="1" applyFill="1" applyBorder="1"/>
    <xf numFmtId="171" fontId="95" fillId="4" borderId="109" xfId="0" applyNumberFormat="1" applyFont="1" applyFill="1" applyBorder="1"/>
    <xf numFmtId="171" fontId="95" fillId="12" borderId="10" xfId="0" applyNumberFormat="1" applyFont="1" applyFill="1" applyBorder="1"/>
    <xf numFmtId="171" fontId="101" fillId="0" borderId="167" xfId="0" applyNumberFormat="1" applyFont="1" applyBorder="1"/>
    <xf numFmtId="171" fontId="101" fillId="8" borderId="167" xfId="0" applyNumberFormat="1" applyFont="1" applyFill="1" applyBorder="1"/>
    <xf numFmtId="171" fontId="62" fillId="8" borderId="167" xfId="0" applyNumberFormat="1" applyFont="1" applyFill="1" applyBorder="1"/>
    <xf numFmtId="171" fontId="62" fillId="8" borderId="159" xfId="0" applyNumberFormat="1" applyFont="1" applyFill="1" applyBorder="1"/>
    <xf numFmtId="171" fontId="101" fillId="0" borderId="40" xfId="0" applyNumberFormat="1" applyFont="1" applyBorder="1"/>
    <xf numFmtId="171" fontId="62" fillId="8" borderId="40" xfId="0" applyNumberFormat="1" applyFont="1" applyFill="1" applyBorder="1"/>
    <xf numFmtId="171" fontId="62" fillId="8" borderId="87" xfId="0" applyNumberFormat="1" applyFont="1" applyFill="1" applyBorder="1"/>
    <xf numFmtId="171" fontId="62" fillId="8" borderId="102" xfId="0" applyNumberFormat="1" applyFont="1" applyFill="1" applyBorder="1"/>
    <xf numFmtId="0" fontId="62" fillId="2" borderId="162" xfId="0" applyFont="1" applyFill="1" applyBorder="1" applyAlignment="1">
      <alignment horizontal="center" vertical="center"/>
    </xf>
    <xf numFmtId="0" fontId="75" fillId="2" borderId="5" xfId="0" quotePrefix="1" applyFont="1" applyFill="1" applyBorder="1" applyAlignment="1">
      <alignment horizontal="center" vertical="center" wrapText="1"/>
    </xf>
    <xf numFmtId="170" fontId="62" fillId="5" borderId="36" xfId="0" applyNumberFormat="1" applyFont="1" applyFill="1" applyBorder="1"/>
    <xf numFmtId="170" fontId="62" fillId="5" borderId="87" xfId="0" applyNumberFormat="1" applyFont="1" applyFill="1" applyBorder="1"/>
    <xf numFmtId="170" fontId="62" fillId="5" borderId="40" xfId="0" applyNumberFormat="1" applyFont="1" applyFill="1" applyBorder="1"/>
    <xf numFmtId="170" fontId="95" fillId="5" borderId="40" xfId="0" applyNumberFormat="1" applyFont="1" applyFill="1" applyBorder="1"/>
    <xf numFmtId="170" fontId="95" fillId="5" borderId="10" xfId="0" applyNumberFormat="1" applyFont="1" applyFill="1" applyBorder="1"/>
    <xf numFmtId="0" fontId="62" fillId="2" borderId="164" xfId="12" applyFont="1" applyFill="1" applyBorder="1" applyAlignment="1">
      <alignment horizontal="centerContinuous" vertical="center" wrapText="1"/>
    </xf>
    <xf numFmtId="0" fontId="62" fillId="2" borderId="161" xfId="12" applyFont="1" applyFill="1" applyBorder="1" applyAlignment="1">
      <alignment horizontal="centerContinuous" vertical="center" wrapText="1"/>
    </xf>
    <xf numFmtId="0" fontId="100" fillId="0" borderId="6" xfId="12" applyFont="1" applyBorder="1" applyAlignment="1">
      <alignment horizontal="centerContinuous" vertical="center" wrapText="1"/>
    </xf>
    <xf numFmtId="0" fontId="100" fillId="0" borderId="71" xfId="12" applyFont="1" applyBorder="1" applyAlignment="1">
      <alignment horizontal="centerContinuous" vertical="center" wrapText="1"/>
    </xf>
    <xf numFmtId="0" fontId="100" fillId="0" borderId="7" xfId="12" applyFont="1" applyBorder="1" applyAlignment="1">
      <alignment horizontal="centerContinuous" vertical="center" wrapText="1"/>
    </xf>
    <xf numFmtId="0" fontId="100" fillId="2" borderId="155" xfId="12" applyFont="1" applyFill="1" applyBorder="1" applyAlignment="1">
      <alignment horizontal="centerContinuous" vertical="center" wrapText="1"/>
    </xf>
    <xf numFmtId="0" fontId="100" fillId="2" borderId="71" xfId="12" applyFont="1" applyFill="1" applyBorder="1" applyAlignment="1">
      <alignment horizontal="centerContinuous" vertical="center" wrapText="1"/>
    </xf>
    <xf numFmtId="0" fontId="100" fillId="2" borderId="7" xfId="12" applyFont="1" applyFill="1" applyBorder="1" applyAlignment="1">
      <alignment horizontal="centerContinuous" vertical="center" wrapText="1"/>
    </xf>
    <xf numFmtId="0" fontId="100" fillId="2" borderId="72" xfId="12" applyFont="1" applyFill="1" applyBorder="1" applyAlignment="1">
      <alignment horizontal="center" vertical="center" wrapText="1"/>
    </xf>
    <xf numFmtId="0" fontId="100" fillId="2" borderId="8" xfId="12" applyFont="1" applyFill="1" applyBorder="1" applyAlignment="1">
      <alignment horizontal="center" vertical="center" wrapText="1"/>
    </xf>
    <xf numFmtId="0" fontId="100" fillId="2" borderId="6" xfId="12" applyFont="1" applyFill="1" applyBorder="1" applyAlignment="1">
      <alignment horizontal="centerContinuous" vertical="center" wrapText="1"/>
    </xf>
    <xf numFmtId="0" fontId="62" fillId="0" borderId="71" xfId="12400" applyFont="1" applyBorder="1" applyAlignment="1">
      <alignment horizontal="center" vertical="center" wrapText="1"/>
    </xf>
    <xf numFmtId="0" fontId="62" fillId="0" borderId="7" xfId="12400" applyFont="1" applyBorder="1" applyAlignment="1">
      <alignment horizontal="center" vertical="center" wrapText="1"/>
    </xf>
    <xf numFmtId="0" fontId="62" fillId="0" borderId="86" xfId="12400" applyFont="1" applyBorder="1" applyAlignment="1">
      <alignment horizontal="center" vertical="center" wrapText="1"/>
    </xf>
    <xf numFmtId="0" fontId="75" fillId="0" borderId="31" xfId="12400" applyFont="1" applyBorder="1" applyAlignment="1">
      <alignment horizontal="center" vertical="center" wrapText="1"/>
    </xf>
    <xf numFmtId="0" fontId="62" fillId="0" borderId="93" xfId="12400" applyFont="1" applyBorder="1" applyAlignment="1">
      <alignment horizontal="center" vertical="center" wrapText="1"/>
    </xf>
    <xf numFmtId="0" fontId="62" fillId="2" borderId="71" xfId="12400" quotePrefix="1" applyFont="1" applyFill="1" applyBorder="1" applyAlignment="1">
      <alignment horizontal="centerContinuous" vertical="center" wrapText="1"/>
    </xf>
    <xf numFmtId="0" fontId="62" fillId="2" borderId="93" xfId="12400" applyFont="1" applyFill="1" applyBorder="1" applyAlignment="1">
      <alignment horizontal="centerContinuous" vertical="center" wrapText="1"/>
    </xf>
    <xf numFmtId="3" fontId="62" fillId="46" borderId="167" xfId="12400" applyNumberFormat="1" applyFont="1" applyFill="1" applyBorder="1" applyAlignment="1">
      <alignment horizontal="right" vertical="center" wrapText="1"/>
    </xf>
    <xf numFmtId="3" fontId="62" fillId="46" borderId="63" xfId="12400" applyNumberFormat="1" applyFont="1" applyFill="1" applyBorder="1" applyAlignment="1">
      <alignment horizontal="right" vertical="center" wrapText="1"/>
    </xf>
    <xf numFmtId="170" fontId="101" fillId="76" borderId="0" xfId="12400" applyNumberFormat="1" applyFont="1" applyFill="1"/>
    <xf numFmtId="3" fontId="62" fillId="46" borderId="147" xfId="12400" applyNumberFormat="1" applyFont="1" applyFill="1" applyBorder="1" applyAlignment="1">
      <alignment horizontal="right" vertical="center" wrapText="1"/>
    </xf>
    <xf numFmtId="3" fontId="62" fillId="46" borderId="95" xfId="12400" applyNumberFormat="1" applyFont="1" applyFill="1" applyBorder="1" applyAlignment="1">
      <alignment horizontal="right" vertical="center" wrapText="1"/>
    </xf>
    <xf numFmtId="3" fontId="172" fillId="7" borderId="62" xfId="12400" applyNumberFormat="1" applyFont="1" applyFill="1" applyBorder="1" applyAlignment="1">
      <alignment vertical="center" wrapText="1"/>
    </xf>
    <xf numFmtId="3" fontId="172" fillId="7" borderId="170" xfId="12400" quotePrefix="1" applyNumberFormat="1" applyFont="1" applyFill="1" applyBorder="1" applyAlignment="1">
      <alignment vertical="center" wrapText="1"/>
    </xf>
    <xf numFmtId="3" fontId="172" fillId="7" borderId="167" xfId="12400" quotePrefix="1" applyNumberFormat="1" applyFont="1" applyFill="1" applyBorder="1" applyAlignment="1">
      <alignment vertical="center" wrapText="1"/>
    </xf>
    <xf numFmtId="3" fontId="172" fillId="7" borderId="148" xfId="12400" quotePrefix="1" applyNumberFormat="1" applyFont="1" applyFill="1" applyBorder="1" applyAlignment="1">
      <alignment vertical="center" wrapText="1"/>
    </xf>
    <xf numFmtId="3" fontId="172" fillId="7" borderId="0" xfId="12400" quotePrefix="1" applyNumberFormat="1" applyFont="1" applyFill="1" applyAlignment="1">
      <alignment vertical="center" wrapText="1"/>
    </xf>
    <xf numFmtId="3" fontId="101" fillId="0" borderId="62" xfId="12400" applyNumberFormat="1" applyFont="1" applyBorder="1" applyAlignment="1">
      <alignment vertical="center" wrapText="1"/>
    </xf>
    <xf numFmtId="3" fontId="101" fillId="0" borderId="62" xfId="12400" quotePrefix="1" applyNumberFormat="1" applyFont="1" applyBorder="1" applyAlignment="1">
      <alignment vertical="center" wrapText="1"/>
    </xf>
    <xf numFmtId="3" fontId="101" fillId="0" borderId="167" xfId="12400" quotePrefix="1" applyNumberFormat="1" applyFont="1" applyBorder="1" applyAlignment="1">
      <alignment vertical="center" wrapText="1"/>
    </xf>
    <xf numFmtId="3" fontId="101" fillId="0" borderId="0" xfId="12400" quotePrefix="1" applyNumberFormat="1" applyFont="1" applyAlignment="1">
      <alignment vertical="center" wrapText="1"/>
    </xf>
    <xf numFmtId="3" fontId="101" fillId="0" borderId="147" xfId="12400" quotePrefix="1" applyNumberFormat="1" applyFont="1" applyBorder="1" applyAlignment="1">
      <alignment vertical="center" wrapText="1"/>
    </xf>
    <xf numFmtId="3" fontId="62" fillId="0" borderId="62" xfId="12400" quotePrefix="1" applyNumberFormat="1" applyFont="1" applyBorder="1" applyAlignment="1">
      <alignment vertical="center" wrapText="1"/>
    </xf>
    <xf numFmtId="3" fontId="62" fillId="0" borderId="167" xfId="12400" quotePrefix="1" applyNumberFormat="1" applyFont="1" applyBorder="1" applyAlignment="1">
      <alignment vertical="center" wrapText="1"/>
    </xf>
    <xf numFmtId="3" fontId="62" fillId="0" borderId="0" xfId="12400" quotePrefix="1" applyNumberFormat="1" applyFont="1" applyAlignment="1">
      <alignment vertical="center" wrapText="1"/>
    </xf>
    <xf numFmtId="3" fontId="62" fillId="0" borderId="147" xfId="12400" quotePrefix="1" applyNumberFormat="1" applyFont="1" applyBorder="1" applyAlignment="1">
      <alignment vertical="center" wrapText="1"/>
    </xf>
    <xf numFmtId="3" fontId="172" fillId="7" borderId="97" xfId="12400" quotePrefix="1" applyNumberFormat="1" applyFont="1" applyFill="1" applyBorder="1" applyAlignment="1">
      <alignment vertical="center" wrapText="1"/>
    </xf>
    <xf numFmtId="3" fontId="172" fillId="7" borderId="157" xfId="12400" quotePrefix="1" applyNumberFormat="1" applyFont="1" applyFill="1" applyBorder="1" applyAlignment="1">
      <alignment vertical="center" wrapText="1"/>
    </xf>
    <xf numFmtId="3" fontId="172" fillId="7" borderId="173" xfId="12400" quotePrefix="1" applyNumberFormat="1" applyFont="1" applyFill="1" applyBorder="1" applyAlignment="1">
      <alignment vertical="center" wrapText="1"/>
    </xf>
    <xf numFmtId="3" fontId="101" fillId="0" borderId="97" xfId="12400" quotePrefix="1" applyNumberFormat="1" applyFont="1" applyBorder="1" applyAlignment="1">
      <alignment vertical="center" wrapText="1"/>
    </xf>
    <xf numFmtId="3" fontId="101" fillId="0" borderId="148" xfId="12400" quotePrefix="1" applyNumberFormat="1" applyFont="1" applyBorder="1" applyAlignment="1">
      <alignment vertical="center" wrapText="1"/>
    </xf>
    <xf numFmtId="3" fontId="101" fillId="0" borderId="63" xfId="12400" quotePrefix="1" applyNumberFormat="1" applyFont="1" applyBorder="1" applyAlignment="1">
      <alignment vertical="center" wrapText="1"/>
    </xf>
    <xf numFmtId="3" fontId="62" fillId="0" borderId="97" xfId="12400" quotePrefix="1" applyNumberFormat="1" applyFont="1" applyBorder="1" applyAlignment="1">
      <alignment vertical="center" wrapText="1"/>
    </xf>
    <xf numFmtId="3" fontId="62" fillId="0" borderId="148" xfId="12400" quotePrefix="1" applyNumberFormat="1" applyFont="1" applyBorder="1" applyAlignment="1">
      <alignment vertical="center" wrapText="1"/>
    </xf>
    <xf numFmtId="3" fontId="62" fillId="0" borderId="63" xfId="12400" quotePrefix="1" applyNumberFormat="1" applyFont="1" applyBorder="1" applyAlignment="1">
      <alignment vertical="center" wrapText="1"/>
    </xf>
    <xf numFmtId="0" fontId="62" fillId="0" borderId="62" xfId="12400" quotePrefix="1" applyFont="1" applyBorder="1" applyAlignment="1">
      <alignment vertical="center" wrapText="1"/>
    </xf>
    <xf numFmtId="0" fontId="62" fillId="0" borderId="167" xfId="12400" quotePrefix="1" applyFont="1" applyBorder="1" applyAlignment="1">
      <alignment vertical="center" wrapText="1"/>
    </xf>
    <xf numFmtId="0" fontId="62" fillId="0" borderId="0" xfId="12400" quotePrefix="1" applyFont="1" applyAlignment="1">
      <alignment vertical="center" wrapText="1"/>
    </xf>
    <xf numFmtId="0" fontId="62" fillId="0" borderId="148" xfId="12400" quotePrefix="1" applyFont="1" applyBorder="1" applyAlignment="1">
      <alignment vertical="center" wrapText="1"/>
    </xf>
    <xf numFmtId="0" fontId="228" fillId="2" borderId="8" xfId="12400" applyFont="1" applyFill="1" applyBorder="1" applyAlignment="1">
      <alignment horizontal="center" vertical="center" textRotation="90" wrapText="1"/>
    </xf>
    <xf numFmtId="0" fontId="62" fillId="2" borderId="21" xfId="12400" applyFont="1" applyFill="1" applyBorder="1" applyAlignment="1">
      <alignment horizontal="centerContinuous" vertical="center" wrapText="1"/>
    </xf>
    <xf numFmtId="0" fontId="75" fillId="0" borderId="34" xfId="12400" applyFont="1" applyBorder="1" applyAlignment="1">
      <alignment horizontal="center" vertical="center" wrapText="1"/>
    </xf>
    <xf numFmtId="3" fontId="62" fillId="46" borderId="64" xfId="12400" applyNumberFormat="1" applyFont="1" applyFill="1" applyBorder="1" applyAlignment="1">
      <alignment horizontal="right" vertical="center" wrapText="1"/>
    </xf>
    <xf numFmtId="1" fontId="95" fillId="3" borderId="23" xfId="13" applyNumberFormat="1" applyFont="1" applyFill="1" applyBorder="1" applyAlignment="1">
      <alignment horizontal="center" vertical="center"/>
    </xf>
    <xf numFmtId="0" fontId="78" fillId="2" borderId="22" xfId="12400" applyFont="1" applyFill="1" applyBorder="1" applyAlignment="1">
      <alignment horizontal="center" vertical="center"/>
    </xf>
    <xf numFmtId="0" fontId="78" fillId="2" borderId="92" xfId="12400" applyFont="1" applyFill="1" applyBorder="1" applyAlignment="1">
      <alignment horizontal="center" vertical="center"/>
    </xf>
    <xf numFmtId="0" fontId="78" fillId="2" borderId="23" xfId="12400" applyFont="1" applyFill="1" applyBorder="1" applyAlignment="1">
      <alignment horizontal="center" vertical="center"/>
    </xf>
    <xf numFmtId="0" fontId="78" fillId="2" borderId="101" xfId="12400" applyFont="1" applyFill="1" applyBorder="1" applyAlignment="1">
      <alignment horizontal="center" vertical="center"/>
    </xf>
    <xf numFmtId="0" fontId="78" fillId="2" borderId="16" xfId="12400" applyFont="1" applyFill="1" applyBorder="1" applyAlignment="1">
      <alignment horizontal="center" vertical="center"/>
    </xf>
    <xf numFmtId="0" fontId="78" fillId="2" borderId="94" xfId="12400" applyFont="1" applyFill="1" applyBorder="1" applyAlignment="1">
      <alignment horizontal="center" vertical="center"/>
    </xf>
    <xf numFmtId="0" fontId="78" fillId="2" borderId="30" xfId="12400" applyFont="1" applyFill="1" applyBorder="1" applyAlignment="1">
      <alignment horizontal="center" vertical="center"/>
    </xf>
    <xf numFmtId="0" fontId="62" fillId="0" borderId="17" xfId="0" applyFont="1" applyBorder="1" applyAlignment="1">
      <alignment horizontal="center"/>
    </xf>
    <xf numFmtId="3" fontId="172" fillId="7" borderId="12" xfId="12400" applyNumberFormat="1" applyFont="1" applyFill="1" applyBorder="1" applyAlignment="1">
      <alignment vertical="center" wrapText="1"/>
    </xf>
    <xf numFmtId="3" fontId="172" fillId="7" borderId="45" xfId="12400" quotePrefix="1" applyNumberFormat="1" applyFont="1" applyFill="1" applyBorder="1" applyAlignment="1">
      <alignment vertical="center" wrapText="1"/>
    </xf>
    <xf numFmtId="3" fontId="172" fillId="7" borderId="87" xfId="12400" quotePrefix="1" applyNumberFormat="1" applyFont="1" applyFill="1" applyBorder="1" applyAlignment="1">
      <alignment vertical="center" wrapText="1"/>
    </xf>
    <xf numFmtId="3" fontId="172" fillId="7" borderId="111" xfId="12400" quotePrefix="1" applyNumberFormat="1" applyFont="1" applyFill="1" applyBorder="1" applyAlignment="1">
      <alignment vertical="center" wrapText="1"/>
    </xf>
    <xf numFmtId="3" fontId="172" fillId="7" borderId="40" xfId="12400" quotePrefix="1" applyNumberFormat="1" applyFont="1" applyFill="1" applyBorder="1" applyAlignment="1">
      <alignment vertical="center" wrapText="1"/>
    </xf>
    <xf numFmtId="3" fontId="172" fillId="7" borderId="44" xfId="12400" quotePrefix="1" applyNumberFormat="1" applyFont="1" applyFill="1" applyBorder="1" applyAlignment="1">
      <alignment vertical="center" wrapText="1"/>
    </xf>
    <xf numFmtId="3" fontId="62" fillId="46" borderId="109" xfId="12400" applyNumberFormat="1" applyFont="1" applyFill="1" applyBorder="1" applyAlignment="1">
      <alignment horizontal="right" vertical="center" wrapText="1"/>
    </xf>
    <xf numFmtId="3" fontId="62" fillId="46" borderId="87" xfId="12400" applyNumberFormat="1" applyFont="1" applyFill="1" applyBorder="1" applyAlignment="1">
      <alignment horizontal="right" vertical="center" wrapText="1"/>
    </xf>
    <xf numFmtId="3" fontId="62" fillId="46" borderId="89" xfId="12400" applyNumberFormat="1" applyFont="1" applyFill="1" applyBorder="1" applyAlignment="1">
      <alignment horizontal="right" vertical="center" wrapText="1"/>
    </xf>
    <xf numFmtId="3" fontId="62" fillId="46" borderId="12" xfId="12400" applyNumberFormat="1" applyFont="1" applyFill="1" applyBorder="1" applyAlignment="1">
      <alignment horizontal="right" vertical="center" wrapText="1"/>
    </xf>
    <xf numFmtId="3" fontId="62" fillId="46" borderId="11" xfId="12400" applyNumberFormat="1" applyFont="1" applyFill="1" applyBorder="1" applyAlignment="1">
      <alignment horizontal="right" vertical="center" wrapText="1"/>
    </xf>
    <xf numFmtId="3" fontId="62" fillId="46" borderId="13" xfId="12400" applyNumberFormat="1" applyFont="1" applyFill="1" applyBorder="1" applyAlignment="1">
      <alignment horizontal="right" vertical="center" wrapText="1"/>
    </xf>
    <xf numFmtId="170" fontId="158" fillId="4" borderId="87" xfId="0" applyNumberFormat="1" applyFont="1" applyFill="1" applyBorder="1"/>
    <xf numFmtId="170" fontId="158" fillId="4" borderId="46" xfId="0" applyNumberFormat="1" applyFont="1" applyFill="1" applyBorder="1"/>
    <xf numFmtId="170" fontId="158" fillId="4" borderId="45" xfId="0" applyNumberFormat="1" applyFont="1" applyFill="1" applyBorder="1"/>
    <xf numFmtId="3" fontId="101" fillId="0" borderId="167" xfId="12400" applyNumberFormat="1" applyFont="1" applyBorder="1" applyAlignment="1">
      <alignment vertical="center" wrapText="1"/>
    </xf>
    <xf numFmtId="3" fontId="101" fillId="0" borderId="97" xfId="12400" applyNumberFormat="1" applyFont="1" applyBorder="1" applyAlignment="1">
      <alignment vertical="center" wrapText="1"/>
    </xf>
    <xf numFmtId="3" fontId="101" fillId="0" borderId="0" xfId="12400" applyNumberFormat="1" applyFont="1" applyAlignment="1">
      <alignment vertical="center" wrapText="1"/>
    </xf>
    <xf numFmtId="3" fontId="101" fillId="0" borderId="148" xfId="12400" applyNumberFormat="1" applyFont="1" applyBorder="1" applyAlignment="1">
      <alignment vertical="center" wrapText="1"/>
    </xf>
    <xf numFmtId="3" fontId="101" fillId="0" borderId="63" xfId="12400" applyNumberFormat="1" applyFont="1" applyBorder="1" applyAlignment="1">
      <alignment vertical="center" wrapText="1"/>
    </xf>
    <xf numFmtId="3" fontId="101" fillId="0" borderId="147" xfId="12400" applyNumberFormat="1" applyFont="1" applyBorder="1" applyAlignment="1">
      <alignment vertical="center" wrapText="1"/>
    </xf>
    <xf numFmtId="0" fontId="127" fillId="2" borderId="155" xfId="0" applyFont="1" applyFill="1" applyBorder="1" applyAlignment="1">
      <alignment horizontal="center" vertical="center"/>
    </xf>
    <xf numFmtId="0" fontId="60" fillId="2" borderId="2" xfId="0" applyFont="1" applyFill="1" applyBorder="1"/>
    <xf numFmtId="0" fontId="60" fillId="2" borderId="38" xfId="0" applyFont="1" applyFill="1" applyBorder="1"/>
    <xf numFmtId="3" fontId="127" fillId="11" borderId="0" xfId="0" applyNumberFormat="1" applyFont="1" applyFill="1"/>
    <xf numFmtId="2" fontId="118" fillId="7" borderId="0" xfId="12401" applyNumberFormat="1" applyFont="1" applyFill="1" applyBorder="1" applyAlignment="1"/>
    <xf numFmtId="2" fontId="118" fillId="7" borderId="167" xfId="12401" applyNumberFormat="1" applyFont="1" applyFill="1" applyBorder="1" applyAlignment="1"/>
    <xf numFmtId="2" fontId="118" fillId="7" borderId="157" xfId="12401" applyNumberFormat="1" applyFont="1" applyFill="1" applyBorder="1" applyAlignment="1"/>
    <xf numFmtId="2" fontId="118" fillId="7" borderId="96" xfId="12401" applyNumberFormat="1" applyFont="1" applyFill="1" applyBorder="1" applyAlignment="1"/>
    <xf numFmtId="2" fontId="118" fillId="7" borderId="159" xfId="12401" applyNumberFormat="1" applyFont="1" applyFill="1" applyBorder="1" applyAlignment="1"/>
    <xf numFmtId="2" fontId="102" fillId="0" borderId="0" xfId="12401" applyNumberFormat="1" applyFont="1" applyBorder="1" applyAlignment="1"/>
    <xf numFmtId="2" fontId="102" fillId="0" borderId="167" xfId="12401" applyNumberFormat="1" applyFont="1" applyBorder="1" applyAlignment="1"/>
    <xf numFmtId="2" fontId="102" fillId="0" borderId="147" xfId="12401" applyNumberFormat="1" applyFont="1" applyBorder="1" applyAlignment="1"/>
    <xf numFmtId="2" fontId="102" fillId="0" borderId="95" xfId="12401" applyNumberFormat="1" applyFont="1" applyBorder="1" applyAlignment="1"/>
    <xf numFmtId="2" fontId="102" fillId="0" borderId="159" xfId="12401" applyNumberFormat="1" applyFont="1" applyBorder="1" applyAlignment="1"/>
    <xf numFmtId="2" fontId="102" fillId="0" borderId="147" xfId="12401" applyNumberFormat="1" applyFont="1" applyBorder="1" applyAlignment="1">
      <alignment horizontal="right"/>
    </xf>
    <xf numFmtId="2" fontId="102" fillId="0" borderId="148" xfId="12401" applyNumberFormat="1" applyFont="1" applyBorder="1" applyAlignment="1"/>
    <xf numFmtId="2" fontId="102" fillId="0" borderId="167" xfId="12" applyNumberFormat="1" applyFont="1" applyBorder="1"/>
    <xf numFmtId="2" fontId="102" fillId="0" borderId="147" xfId="12" applyNumberFormat="1" applyFont="1" applyBorder="1"/>
    <xf numFmtId="2" fontId="102" fillId="0" borderId="95" xfId="12" applyNumberFormat="1" applyFont="1" applyBorder="1"/>
    <xf numFmtId="2" fontId="102" fillId="0" borderId="159" xfId="12" applyNumberFormat="1" applyFont="1" applyBorder="1"/>
    <xf numFmtId="2" fontId="62" fillId="0" borderId="167" xfId="12" applyNumberFormat="1" applyFont="1" applyBorder="1"/>
    <xf numFmtId="2" fontId="62" fillId="0" borderId="147" xfId="12" applyNumberFormat="1" applyFont="1" applyBorder="1"/>
    <xf numFmtId="2" fontId="62" fillId="0" borderId="95" xfId="12" applyNumberFormat="1" applyFont="1" applyBorder="1"/>
    <xf numFmtId="2" fontId="62" fillId="0" borderId="159" xfId="12" applyNumberFormat="1" applyFont="1" applyBorder="1"/>
    <xf numFmtId="2" fontId="62" fillId="0" borderId="62" xfId="0" applyNumberFormat="1" applyFont="1" applyBorder="1" applyAlignment="1">
      <alignment horizontal="center"/>
    </xf>
    <xf numFmtId="2" fontId="102" fillId="0" borderId="0" xfId="0" applyNumberFormat="1" applyFont="1" applyAlignment="1">
      <alignment horizontal="center"/>
    </xf>
    <xf numFmtId="2" fontId="118" fillId="7" borderId="95" xfId="12401" applyNumberFormat="1" applyFont="1" applyFill="1" applyBorder="1" applyAlignment="1"/>
    <xf numFmtId="2" fontId="102" fillId="0" borderId="0" xfId="12" applyNumberFormat="1" applyFont="1"/>
    <xf numFmtId="2" fontId="62" fillId="0" borderId="0" xfId="12" applyNumberFormat="1" applyFont="1"/>
    <xf numFmtId="219" fontId="62" fillId="0" borderId="0" xfId="12406" applyNumberFormat="1" applyFont="1"/>
    <xf numFmtId="219" fontId="62" fillId="0" borderId="3" xfId="12406" applyNumberFormat="1" applyFont="1" applyBorder="1"/>
    <xf numFmtId="219" fontId="62" fillId="0" borderId="62" xfId="12406" applyNumberFormat="1" applyFont="1" applyBorder="1"/>
    <xf numFmtId="219" fontId="101" fillId="0" borderId="62" xfId="12406" applyNumberFormat="1" applyFont="1" applyBorder="1"/>
    <xf numFmtId="219" fontId="101" fillId="0" borderId="0" xfId="12406" applyNumberFormat="1" applyFont="1"/>
    <xf numFmtId="219" fontId="101" fillId="0" borderId="3" xfId="12406" applyNumberFormat="1" applyFont="1" applyBorder="1"/>
    <xf numFmtId="219" fontId="118" fillId="7" borderId="62" xfId="12406" applyNumberFormat="1" applyFont="1" applyFill="1" applyBorder="1"/>
    <xf numFmtId="219" fontId="118" fillId="7" borderId="0" xfId="12406" applyNumberFormat="1" applyFont="1" applyFill="1" applyAlignment="1">
      <alignment horizontal="right"/>
    </xf>
    <xf numFmtId="219" fontId="118" fillId="7" borderId="3" xfId="12406" applyNumberFormat="1" applyFont="1" applyFill="1" applyBorder="1" applyAlignment="1">
      <alignment horizontal="right"/>
    </xf>
    <xf numFmtId="219" fontId="62" fillId="0" borderId="0" xfId="12406" applyNumberFormat="1" applyFont="1" applyAlignment="1">
      <alignment horizontal="right"/>
    </xf>
    <xf numFmtId="219" fontId="62" fillId="0" borderId="3" xfId="12406" applyNumberFormat="1" applyFont="1" applyBorder="1" applyAlignment="1">
      <alignment horizontal="right"/>
    </xf>
    <xf numFmtId="3" fontId="213" fillId="7" borderId="49" xfId="12400" quotePrefix="1" applyNumberFormat="1" applyFont="1" applyFill="1" applyBorder="1" applyAlignment="1">
      <alignment vertical="center" wrapText="1"/>
    </xf>
    <xf numFmtId="3" fontId="214" fillId="0" borderId="147" xfId="12400" quotePrefix="1" applyNumberFormat="1" applyFont="1" applyBorder="1" applyAlignment="1">
      <alignment vertical="center" wrapText="1"/>
    </xf>
    <xf numFmtId="3" fontId="255" fillId="0" borderId="147" xfId="12400" applyNumberFormat="1" applyFont="1" applyBorder="1" applyAlignment="1">
      <alignment vertical="center" wrapText="1"/>
    </xf>
    <xf numFmtId="3" fontId="214" fillId="0" borderId="147" xfId="12400" applyNumberFormat="1" applyFont="1" applyBorder="1" applyAlignment="1">
      <alignment vertical="center" wrapText="1"/>
    </xf>
    <xf numFmtId="3" fontId="213" fillId="7" borderId="174" xfId="12400" quotePrefix="1" applyNumberFormat="1" applyFont="1" applyFill="1" applyBorder="1" applyAlignment="1">
      <alignment vertical="center" wrapText="1"/>
    </xf>
    <xf numFmtId="3" fontId="214" fillId="0" borderId="159" xfId="12400" quotePrefix="1" applyNumberFormat="1" applyFont="1" applyBorder="1" applyAlignment="1">
      <alignment vertical="center" wrapText="1"/>
    </xf>
    <xf numFmtId="3" fontId="214" fillId="0" borderId="159" xfId="12400" applyNumberFormat="1" applyFont="1" applyBorder="1" applyAlignment="1">
      <alignment vertical="center" wrapText="1"/>
    </xf>
    <xf numFmtId="0" fontId="71" fillId="2" borderId="161" xfId="0" applyFont="1" applyFill="1" applyBorder="1" applyAlignment="1">
      <alignment horizontal="left" vertical="center"/>
    </xf>
    <xf numFmtId="1" fontId="95" fillId="3" borderId="162" xfId="9" applyNumberFormat="1" applyFont="1" applyFill="1" applyBorder="1" applyAlignment="1" applyProtection="1">
      <alignment horizontal="center" vertical="center" wrapText="1"/>
    </xf>
    <xf numFmtId="171" fontId="95" fillId="5" borderId="167" xfId="0" applyNumberFormat="1" applyFont="1" applyFill="1" applyBorder="1"/>
    <xf numFmtId="10" fontId="95" fillId="4" borderId="167" xfId="0" applyNumberFormat="1" applyFont="1" applyFill="1" applyBorder="1"/>
    <xf numFmtId="10" fontId="62" fillId="0" borderId="167" xfId="0" applyNumberFormat="1" applyFont="1" applyBorder="1"/>
    <xf numFmtId="10" fontId="239" fillId="0" borderId="167" xfId="0" applyNumberFormat="1" applyFont="1" applyBorder="1"/>
    <xf numFmtId="2" fontId="78" fillId="2" borderId="168" xfId="0" applyNumberFormat="1" applyFont="1" applyFill="1" applyBorder="1" applyAlignment="1">
      <alignment horizontal="center"/>
    </xf>
    <xf numFmtId="2" fontId="78" fillId="2" borderId="161" xfId="0" applyNumberFormat="1" applyFont="1" applyFill="1" applyBorder="1" applyAlignment="1">
      <alignment horizontal="center"/>
    </xf>
    <xf numFmtId="10" fontId="78" fillId="2" borderId="161" xfId="0" applyNumberFormat="1" applyFont="1" applyFill="1" applyBorder="1" applyAlignment="1">
      <alignment horizontal="center"/>
    </xf>
    <xf numFmtId="10" fontId="62" fillId="11" borderId="162" xfId="12401" applyNumberFormat="1" applyFont="1" applyFill="1" applyBorder="1" applyAlignment="1">
      <alignment horizontal="centerContinuous" vertical="center" wrapText="1"/>
    </xf>
    <xf numFmtId="10" fontId="62" fillId="11" borderId="161" xfId="12401" applyNumberFormat="1" applyFont="1" applyFill="1" applyBorder="1" applyAlignment="1">
      <alignment horizontal="centerContinuous" vertical="center" wrapText="1"/>
    </xf>
    <xf numFmtId="10" fontId="62" fillId="11" borderId="171" xfId="12401" applyNumberFormat="1" applyFont="1" applyFill="1" applyBorder="1" applyAlignment="1">
      <alignment horizontal="centerContinuous" vertical="center" wrapText="1"/>
    </xf>
    <xf numFmtId="10" fontId="62" fillId="11" borderId="160" xfId="12401" applyNumberFormat="1" applyFont="1" applyFill="1" applyBorder="1" applyAlignment="1">
      <alignment horizontal="centerContinuous" vertical="center" wrapText="1"/>
    </xf>
    <xf numFmtId="2" fontId="62" fillId="8" borderId="167" xfId="12401" applyNumberFormat="1" applyFont="1" applyFill="1" applyBorder="1" applyAlignment="1"/>
    <xf numFmtId="10" fontId="62" fillId="8" borderId="167" xfId="12401" applyNumberFormat="1" applyFont="1" applyFill="1" applyBorder="1" applyAlignment="1"/>
    <xf numFmtId="10" fontId="62" fillId="8" borderId="159" xfId="12401" applyNumberFormat="1" applyFont="1" applyFill="1" applyBorder="1" applyAlignment="1"/>
    <xf numFmtId="179" fontId="62" fillId="0" borderId="167" xfId="12401" applyNumberFormat="1" applyFont="1" applyBorder="1" applyAlignment="1"/>
    <xf numFmtId="179" fontId="118" fillId="7" borderId="167" xfId="12401" applyNumberFormat="1" applyFont="1" applyFill="1" applyBorder="1"/>
    <xf numFmtId="179" fontId="118" fillId="7" borderId="159" xfId="12401" applyNumberFormat="1" applyFont="1" applyFill="1" applyBorder="1"/>
    <xf numFmtId="179" fontId="62" fillId="0" borderId="167" xfId="12401" applyNumberFormat="1" applyFont="1" applyFill="1" applyBorder="1"/>
    <xf numFmtId="179" fontId="62" fillId="0" borderId="159" xfId="12401" applyNumberFormat="1" applyFont="1" applyFill="1" applyBorder="1"/>
    <xf numFmtId="10" fontId="62" fillId="0" borderId="167" xfId="12401" applyNumberFormat="1" applyFont="1" applyBorder="1" applyAlignment="1"/>
    <xf numFmtId="10" fontId="62" fillId="0" borderId="167" xfId="12401" applyNumberFormat="1" applyFont="1" applyFill="1" applyBorder="1"/>
    <xf numFmtId="10" fontId="62" fillId="0" borderId="159" xfId="12401" applyNumberFormat="1" applyFont="1" applyFill="1" applyBorder="1"/>
    <xf numFmtId="2" fontId="78" fillId="11" borderId="168" xfId="0" applyNumberFormat="1" applyFont="1" applyFill="1" applyBorder="1" applyAlignment="1">
      <alignment horizontal="center"/>
    </xf>
    <xf numFmtId="2" fontId="78" fillId="11" borderId="161" xfId="0" applyNumberFormat="1" applyFont="1" applyFill="1" applyBorder="1" applyAlignment="1">
      <alignment horizontal="center"/>
    </xf>
    <xf numFmtId="10" fontId="78" fillId="11" borderId="161" xfId="0" applyNumberFormat="1" applyFont="1" applyFill="1" applyBorder="1" applyAlignment="1">
      <alignment horizontal="center"/>
    </xf>
    <xf numFmtId="179" fontId="158" fillId="7" borderId="167" xfId="12401" applyNumberFormat="1" applyFont="1" applyFill="1" applyBorder="1" applyAlignment="1"/>
    <xf numFmtId="2" fontId="62" fillId="0" borderId="167" xfId="12401" applyNumberFormat="1" applyFont="1" applyFill="1" applyBorder="1" applyAlignment="1"/>
    <xf numFmtId="2" fontId="62" fillId="0" borderId="159" xfId="12401" applyNumberFormat="1" applyFont="1" applyFill="1" applyBorder="1"/>
    <xf numFmtId="179" fontId="243" fillId="0" borderId="167" xfId="12401" applyNumberFormat="1" applyFont="1" applyFill="1" applyBorder="1" applyAlignment="1"/>
    <xf numFmtId="2" fontId="62" fillId="0" borderId="167" xfId="12401" applyNumberFormat="1" applyFont="1" applyFill="1" applyBorder="1"/>
    <xf numFmtId="2" fontId="62" fillId="0" borderId="167" xfId="12401" applyNumberFormat="1" applyFont="1" applyBorder="1"/>
    <xf numFmtId="171" fontId="118" fillId="7" borderId="167" xfId="0" applyNumberFormat="1" applyFont="1" applyFill="1" applyBorder="1" applyAlignment="1">
      <alignment horizontal="right" vertical="center"/>
    </xf>
    <xf numFmtId="171" fontId="62" fillId="0" borderId="167" xfId="0" applyNumberFormat="1" applyFont="1" applyBorder="1" applyAlignment="1">
      <alignment horizontal="right" vertical="center"/>
    </xf>
    <xf numFmtId="0" fontId="77" fillId="2" borderId="161" xfId="13" applyFont="1" applyFill="1" applyBorder="1" applyAlignment="1">
      <alignment horizontal="centerContinuous" vertical="center" wrapText="1"/>
    </xf>
    <xf numFmtId="1" fontId="75" fillId="2" borderId="161" xfId="13" applyNumberFormat="1" applyFont="1" applyFill="1" applyBorder="1" applyAlignment="1">
      <alignment horizontal="centerContinuous" vertical="center" wrapText="1"/>
    </xf>
    <xf numFmtId="1" fontId="75" fillId="2" borderId="160" xfId="13" applyNumberFormat="1" applyFont="1" applyFill="1" applyBorder="1" applyAlignment="1">
      <alignment horizontal="centerContinuous" vertical="center" wrapText="1"/>
    </xf>
    <xf numFmtId="179" fontId="94" fillId="2" borderId="171" xfId="12401" applyNumberFormat="1" applyFont="1" applyFill="1" applyBorder="1" applyAlignment="1">
      <alignment horizontal="center" vertical="center"/>
    </xf>
    <xf numFmtId="0" fontId="62" fillId="0" borderId="161" xfId="13" applyFont="1" applyBorder="1" applyAlignment="1">
      <alignment horizontal="center" vertical="center"/>
    </xf>
    <xf numFmtId="180" fontId="62" fillId="0" borderId="161" xfId="12401" applyNumberFormat="1" applyFont="1" applyFill="1" applyBorder="1" applyAlignment="1">
      <alignment horizontal="center" vertical="center"/>
    </xf>
    <xf numFmtId="180" fontId="62" fillId="2" borderId="161" xfId="12401" applyNumberFormat="1" applyFont="1" applyFill="1" applyBorder="1" applyAlignment="1">
      <alignment horizontal="center" vertical="center"/>
    </xf>
    <xf numFmtId="170" fontId="96" fillId="5" borderId="167" xfId="0" applyNumberFormat="1" applyFont="1" applyFill="1" applyBorder="1"/>
    <xf numFmtId="170" fontId="106" fillId="4" borderId="167" xfId="0" applyNumberFormat="1" applyFont="1" applyFill="1" applyBorder="1"/>
    <xf numFmtId="170" fontId="101" fillId="0" borderId="167" xfId="0" applyNumberFormat="1" applyFont="1" applyBorder="1"/>
    <xf numFmtId="170" fontId="62" fillId="0" borderId="167" xfId="0" applyNumberFormat="1" applyFont="1" applyBorder="1"/>
    <xf numFmtId="170" fontId="62" fillId="0" borderId="159" xfId="0" applyNumberFormat="1" applyFont="1" applyBorder="1"/>
    <xf numFmtId="0" fontId="75" fillId="0" borderId="161" xfId="13" applyFont="1" applyBorder="1" applyAlignment="1">
      <alignment horizontal="centerContinuous" vertical="center" wrapText="1"/>
    </xf>
    <xf numFmtId="0" fontId="75" fillId="0" borderId="161" xfId="13" quotePrefix="1" applyFont="1" applyBorder="1" applyAlignment="1">
      <alignment horizontal="centerContinuous" vertical="center" wrapText="1"/>
    </xf>
    <xf numFmtId="0" fontId="75" fillId="0" borderId="171" xfId="13" applyFont="1" applyBorder="1" applyAlignment="1">
      <alignment horizontal="centerContinuous" vertical="center" wrapText="1"/>
    </xf>
    <xf numFmtId="0" fontId="75" fillId="0" borderId="160" xfId="13" quotePrefix="1" applyFont="1" applyBorder="1" applyAlignment="1">
      <alignment horizontal="centerContinuous" vertical="center" wrapText="1"/>
    </xf>
    <xf numFmtId="0" fontId="75" fillId="11" borderId="161" xfId="13" applyFont="1" applyFill="1" applyBorder="1" applyAlignment="1">
      <alignment horizontal="centerContinuous" vertical="center" wrapText="1"/>
    </xf>
    <xf numFmtId="0" fontId="77" fillId="11" borderId="161" xfId="13" applyFont="1" applyFill="1" applyBorder="1" applyAlignment="1">
      <alignment horizontal="centerContinuous" vertical="center" wrapText="1"/>
    </xf>
    <xf numFmtId="1" fontId="75" fillId="11" borderId="161" xfId="13" applyNumberFormat="1" applyFont="1" applyFill="1" applyBorder="1" applyAlignment="1">
      <alignment horizontal="centerContinuous" vertical="center" wrapText="1"/>
    </xf>
    <xf numFmtId="1" fontId="75" fillId="11" borderId="160" xfId="13" applyNumberFormat="1" applyFont="1" applyFill="1" applyBorder="1" applyAlignment="1">
      <alignment horizontal="centerContinuous" vertical="center" wrapText="1"/>
    </xf>
    <xf numFmtId="0" fontId="62" fillId="0" borderId="172" xfId="13" applyFont="1" applyBorder="1" applyAlignment="1">
      <alignment horizontal="center" vertical="center"/>
    </xf>
    <xf numFmtId="3" fontId="101" fillId="0" borderId="167" xfId="16" applyNumberFormat="1" applyFont="1" applyBorder="1"/>
    <xf numFmtId="3" fontId="101" fillId="8" borderId="167" xfId="16" applyNumberFormat="1" applyFont="1" applyFill="1" applyBorder="1"/>
    <xf numFmtId="3" fontId="118" fillId="4" borderId="167" xfId="16" applyNumberFormat="1" applyFont="1" applyFill="1" applyBorder="1"/>
    <xf numFmtId="3" fontId="62" fillId="0" borderId="167" xfId="16" applyNumberFormat="1" applyFont="1" applyBorder="1"/>
    <xf numFmtId="3" fontId="239" fillId="0" borderId="167" xfId="16" applyNumberFormat="1" applyFont="1" applyBorder="1"/>
    <xf numFmtId="172" fontId="118" fillId="7" borderId="167" xfId="126" applyNumberFormat="1" applyFont="1" applyFill="1" applyBorder="1"/>
    <xf numFmtId="172" fontId="118" fillId="7" borderId="159" xfId="126" applyNumberFormat="1" applyFont="1" applyFill="1" applyBorder="1"/>
    <xf numFmtId="172" fontId="62" fillId="0" borderId="167" xfId="126" applyNumberFormat="1" applyFont="1" applyBorder="1"/>
    <xf numFmtId="172" fontId="62" fillId="0" borderId="159" xfId="126" applyNumberFormat="1" applyFont="1" applyBorder="1"/>
    <xf numFmtId="0" fontId="57" fillId="2" borderId="162" xfId="10" applyFont="1" applyFill="1" applyBorder="1"/>
    <xf numFmtId="0" fontId="57" fillId="2" borderId="171" xfId="10" applyFont="1" applyFill="1" applyBorder="1"/>
    <xf numFmtId="172" fontId="62" fillId="8" borderId="167" xfId="11" applyNumberFormat="1" applyFont="1" applyFill="1" applyBorder="1"/>
    <xf numFmtId="9" fontId="62" fillId="0" borderId="167" xfId="1471" applyFont="1" applyFill="1" applyBorder="1" applyAlignment="1"/>
    <xf numFmtId="172" fontId="62" fillId="8" borderId="159" xfId="11" applyNumberFormat="1" applyFont="1" applyFill="1" applyBorder="1"/>
    <xf numFmtId="9" fontId="62" fillId="0" borderId="167" xfId="12401" applyFont="1" applyFill="1" applyBorder="1" applyAlignment="1"/>
    <xf numFmtId="9" fontId="62" fillId="0" borderId="167" xfId="12401" applyFont="1" applyFill="1" applyBorder="1"/>
    <xf numFmtId="9" fontId="62" fillId="0" borderId="159" xfId="1471" applyFont="1" applyFill="1" applyBorder="1" applyAlignment="1"/>
    <xf numFmtId="174" fontId="87" fillId="8" borderId="167" xfId="0" applyNumberFormat="1" applyFont="1" applyFill="1" applyBorder="1" applyAlignment="1">
      <alignment horizontal="center"/>
    </xf>
    <xf numFmtId="9" fontId="62" fillId="8" borderId="167" xfId="12401" applyFont="1" applyFill="1" applyBorder="1" applyAlignment="1"/>
    <xf numFmtId="9" fontId="62" fillId="0" borderId="167" xfId="1471" applyFont="1" applyFill="1" applyBorder="1"/>
    <xf numFmtId="9" fontId="62" fillId="0" borderId="159" xfId="12401" applyFont="1" applyFill="1" applyBorder="1" applyAlignment="1"/>
    <xf numFmtId="170" fontId="95" fillId="4" borderId="167" xfId="0" applyNumberFormat="1" applyFont="1" applyFill="1" applyBorder="1"/>
    <xf numFmtId="0" fontId="75" fillId="8" borderId="167" xfId="16" applyFont="1" applyFill="1" applyBorder="1" applyAlignment="1">
      <alignment horizontal="center" vertical="center" wrapText="1"/>
    </xf>
    <xf numFmtId="0" fontId="75" fillId="8" borderId="159" xfId="16" applyFont="1" applyFill="1" applyBorder="1" applyAlignment="1">
      <alignment horizontal="center" vertical="center" wrapText="1"/>
    </xf>
    <xf numFmtId="170" fontId="118" fillId="7" borderId="167" xfId="16" applyNumberFormat="1" applyFont="1" applyFill="1" applyBorder="1"/>
    <xf numFmtId="170" fontId="118" fillId="7" borderId="159" xfId="16" applyNumberFormat="1" applyFont="1" applyFill="1" applyBorder="1"/>
    <xf numFmtId="170" fontId="62" fillId="0" borderId="167" xfId="16" applyNumberFormat="1" applyFont="1" applyBorder="1"/>
    <xf numFmtId="170" fontId="62" fillId="0" borderId="159" xfId="16" applyNumberFormat="1" applyFont="1" applyBorder="1"/>
    <xf numFmtId="0" fontId="75" fillId="2" borderId="164" xfId="0" applyFont="1" applyFill="1" applyBorder="1" applyAlignment="1">
      <alignment horizontal="centerContinuous" vertical="center" wrapText="1"/>
    </xf>
    <xf numFmtId="1" fontId="62" fillId="0" borderId="155" xfId="16" applyNumberFormat="1" applyFont="1" applyBorder="1" applyAlignment="1">
      <alignment horizontal="centerContinuous" vertical="center" wrapText="1"/>
    </xf>
    <xf numFmtId="0" fontId="62" fillId="2" borderId="155" xfId="16" applyFont="1" applyFill="1" applyBorder="1" applyAlignment="1">
      <alignment horizontal="centerContinuous" vertical="center" wrapText="1"/>
    </xf>
    <xf numFmtId="0" fontId="180" fillId="2" borderId="155" xfId="16" applyFont="1" applyFill="1" applyBorder="1" applyAlignment="1">
      <alignment horizontal="center" vertical="center" wrapText="1"/>
    </xf>
    <xf numFmtId="0" fontId="75" fillId="2" borderId="155" xfId="16" applyFont="1" applyFill="1" applyBorder="1" applyAlignment="1">
      <alignment horizontal="center" vertical="center" wrapText="1"/>
    </xf>
    <xf numFmtId="170" fontId="62" fillId="8" borderId="167" xfId="0" applyNumberFormat="1" applyFont="1" applyFill="1" applyBorder="1"/>
    <xf numFmtId="170" fontId="95" fillId="8" borderId="167" xfId="0" applyNumberFormat="1" applyFont="1" applyFill="1" applyBorder="1"/>
    <xf numFmtId="170" fontId="172" fillId="7" borderId="167" xfId="16" applyNumberFormat="1" applyFont="1" applyFill="1" applyBorder="1"/>
    <xf numFmtId="170" fontId="101" fillId="0" borderId="167" xfId="16" applyNumberFormat="1" applyFont="1" applyBorder="1"/>
    <xf numFmtId="170" fontId="206" fillId="0" borderId="167" xfId="16" applyNumberFormat="1" applyFont="1" applyBorder="1"/>
    <xf numFmtId="170" fontId="95" fillId="4" borderId="170" xfId="215" applyNumberFormat="1" applyFont="1" applyFill="1" applyBorder="1"/>
    <xf numFmtId="170" fontId="95" fillId="4" borderId="169" xfId="215" applyNumberFormat="1" applyFont="1" applyFill="1" applyBorder="1"/>
    <xf numFmtId="170" fontId="62" fillId="0" borderId="167" xfId="215" applyNumberFormat="1" applyFont="1" applyBorder="1"/>
    <xf numFmtId="0" fontId="62" fillId="2" borderId="164" xfId="9860" applyFont="1" applyFill="1" applyBorder="1" applyAlignment="1">
      <alignment horizontal="center" vertical="center" wrapText="1"/>
    </xf>
    <xf numFmtId="0" fontId="62" fillId="2" borderId="160" xfId="9860" applyFont="1" applyFill="1" applyBorder="1" applyAlignment="1">
      <alignment horizontal="center" vertical="center" wrapText="1"/>
    </xf>
    <xf numFmtId="1" fontId="95" fillId="3" borderId="164" xfId="9" applyNumberFormat="1" applyFont="1" applyFill="1" applyBorder="1" applyAlignment="1" applyProtection="1">
      <alignment horizontal="center" vertical="center" wrapText="1"/>
    </xf>
    <xf numFmtId="167" fontId="62" fillId="9" borderId="162" xfId="9859" applyFont="1" applyFill="1" applyBorder="1" applyAlignment="1"/>
    <xf numFmtId="167" fontId="183" fillId="9" borderId="171" xfId="9859" applyFont="1" applyFill="1" applyBorder="1" applyAlignment="1"/>
    <xf numFmtId="167" fontId="62" fillId="9" borderId="164" xfId="9859" applyFont="1" applyFill="1" applyBorder="1" applyAlignment="1">
      <alignment wrapText="1"/>
    </xf>
    <xf numFmtId="167" fontId="62" fillId="9" borderId="160" xfId="9859" applyFont="1" applyFill="1" applyBorder="1" applyAlignment="1"/>
    <xf numFmtId="167" fontId="62" fillId="9" borderId="167" xfId="9859" applyFont="1" applyFill="1" applyBorder="1" applyAlignment="1"/>
    <xf numFmtId="170" fontId="62" fillId="0" borderId="167" xfId="9931" applyNumberFormat="1" applyFont="1" applyBorder="1" applyAlignment="1">
      <alignment horizontal="right" vertical="center"/>
    </xf>
    <xf numFmtId="170" fontId="62" fillId="0" borderId="167" xfId="9931" applyNumberFormat="1" applyFont="1" applyBorder="1" applyAlignment="1">
      <alignment horizontal="center" vertical="center"/>
    </xf>
    <xf numFmtId="0" fontId="75" fillId="11" borderId="161" xfId="126" applyFont="1" applyFill="1" applyBorder="1" applyAlignment="1">
      <alignment horizontal="centerContinuous" vertical="center" wrapText="1"/>
    </xf>
    <xf numFmtId="171" fontId="118" fillId="7" borderId="161" xfId="9931" applyNumberFormat="1" applyFont="1" applyFill="1" applyBorder="1" applyAlignment="1">
      <alignment horizontal="right" vertical="center"/>
    </xf>
    <xf numFmtId="171" fontId="62" fillId="0" borderId="167" xfId="9931" applyNumberFormat="1" applyFont="1" applyBorder="1" applyAlignment="1">
      <alignment horizontal="right" vertical="center"/>
    </xf>
    <xf numFmtId="171" fontId="127" fillId="0" borderId="167" xfId="9931" applyNumberFormat="1" applyFont="1" applyBorder="1" applyAlignment="1">
      <alignment horizontal="right" vertical="center"/>
    </xf>
    <xf numFmtId="171" fontId="223" fillId="0" borderId="167" xfId="9931" applyNumberFormat="1" applyFont="1" applyBorder="1" applyAlignment="1">
      <alignment horizontal="right" vertical="center"/>
    </xf>
    <xf numFmtId="171" fontId="62" fillId="0" borderId="167" xfId="9931" applyNumberFormat="1" applyFont="1" applyBorder="1" applyAlignment="1">
      <alignment horizontal="center" vertical="center"/>
    </xf>
    <xf numFmtId="0" fontId="182" fillId="11" borderId="159" xfId="9932" applyFont="1" applyFill="1" applyBorder="1"/>
    <xf numFmtId="170" fontId="118" fillId="7" borderId="168" xfId="9932" applyNumberFormat="1" applyFont="1" applyFill="1" applyBorder="1"/>
    <xf numFmtId="170" fontId="118" fillId="7" borderId="170" xfId="9932" applyNumberFormat="1" applyFont="1" applyFill="1" applyBorder="1"/>
    <xf numFmtId="170" fontId="62" fillId="0" borderId="159" xfId="9932" applyNumberFormat="1" applyFont="1" applyBorder="1"/>
    <xf numFmtId="170" fontId="62" fillId="0" borderId="167" xfId="12400" applyNumberFormat="1" applyFont="1" applyBorder="1"/>
    <xf numFmtId="170" fontId="120" fillId="0" borderId="167" xfId="12400" applyNumberFormat="1" applyFont="1" applyBorder="1"/>
    <xf numFmtId="170" fontId="101" fillId="0" borderId="167" xfId="12400" applyNumberFormat="1" applyFont="1" applyBorder="1"/>
    <xf numFmtId="170" fontId="101" fillId="0" borderId="159" xfId="12400" applyNumberFormat="1" applyFont="1" applyBorder="1"/>
    <xf numFmtId="0" fontId="120" fillId="2" borderId="161" xfId="12400" quotePrefix="1" applyFont="1" applyFill="1" applyBorder="1" applyAlignment="1">
      <alignment horizontal="centerContinuous" vertical="center" wrapText="1"/>
    </xf>
    <xf numFmtId="171" fontId="62" fillId="0" borderId="167" xfId="12400" applyNumberFormat="1" applyFont="1" applyBorder="1"/>
    <xf numFmtId="171" fontId="62" fillId="5" borderId="167" xfId="12400" applyNumberFormat="1" applyFont="1" applyFill="1" applyBorder="1"/>
    <xf numFmtId="171" fontId="82" fillId="5" borderId="167" xfId="12400" applyNumberFormat="1" applyFont="1" applyFill="1" applyBorder="1"/>
    <xf numFmtId="171" fontId="120" fillId="0" borderId="167" xfId="0" applyNumberFormat="1" applyFont="1" applyBorder="1"/>
    <xf numFmtId="171" fontId="107" fillId="5" borderId="167" xfId="12400" applyNumberFormat="1" applyFont="1" applyFill="1" applyBorder="1"/>
    <xf numFmtId="171" fontId="118" fillId="4" borderId="167" xfId="12400" applyNumberFormat="1" applyFont="1" applyFill="1" applyBorder="1"/>
    <xf numFmtId="171" fontId="101" fillId="0" borderId="167" xfId="12400" applyNumberFormat="1" applyFont="1" applyBorder="1"/>
    <xf numFmtId="171" fontId="96" fillId="5" borderId="167" xfId="12400" applyNumberFormat="1" applyFont="1" applyFill="1" applyBorder="1"/>
    <xf numFmtId="171" fontId="158" fillId="4" borderId="167" xfId="12400" applyNumberFormat="1" applyFont="1" applyFill="1" applyBorder="1"/>
    <xf numFmtId="171" fontId="95" fillId="4" borderId="167" xfId="12400" applyNumberFormat="1" applyFont="1" applyFill="1" applyBorder="1"/>
    <xf numFmtId="171" fontId="172" fillId="7" borderId="167" xfId="12400" applyNumberFormat="1" applyFont="1" applyFill="1" applyBorder="1"/>
    <xf numFmtId="171" fontId="120" fillId="0" borderId="167" xfId="12400" applyNumberFormat="1" applyFont="1" applyBorder="1"/>
    <xf numFmtId="0" fontId="228" fillId="2" borderId="155" xfId="12400" applyFont="1" applyFill="1" applyBorder="1" applyAlignment="1">
      <alignment horizontal="centerContinuous" vertical="center" wrapText="1"/>
    </xf>
    <xf numFmtId="0" fontId="75" fillId="2" borderId="155" xfId="12400" applyFont="1" applyFill="1" applyBorder="1" applyAlignment="1">
      <alignment horizontal="center" vertical="center" wrapText="1"/>
    </xf>
    <xf numFmtId="0" fontId="75" fillId="0" borderId="155" xfId="12400" applyFont="1" applyBorder="1" applyAlignment="1">
      <alignment horizontal="center" vertical="center" wrapText="1"/>
    </xf>
    <xf numFmtId="0" fontId="75" fillId="0" borderId="136" xfId="12400" applyFont="1" applyBorder="1" applyAlignment="1">
      <alignment horizontal="center" vertical="center" wrapText="1"/>
    </xf>
    <xf numFmtId="0" fontId="62" fillId="2" borderId="135" xfId="12400" quotePrefix="1" applyFont="1" applyFill="1" applyBorder="1" applyAlignment="1">
      <alignment horizontal="centerContinuous" vertical="center" wrapText="1"/>
    </xf>
    <xf numFmtId="0" fontId="78" fillId="2" borderId="136" xfId="12400" applyFont="1" applyFill="1" applyBorder="1" applyAlignment="1">
      <alignment horizontal="center" vertical="center"/>
    </xf>
    <xf numFmtId="0" fontId="78" fillId="2" borderId="135" xfId="12400" applyFont="1" applyFill="1" applyBorder="1" applyAlignment="1">
      <alignment horizontal="center" vertical="center"/>
    </xf>
    <xf numFmtId="0" fontId="75" fillId="2" borderId="168" xfId="0" applyFont="1" applyFill="1" applyBorder="1" applyAlignment="1">
      <alignment horizontal="centerContinuous" vertical="center" wrapText="1"/>
    </xf>
    <xf numFmtId="0" fontId="75" fillId="2" borderId="161" xfId="0" applyFont="1" applyFill="1" applyBorder="1" applyAlignment="1">
      <alignment horizontal="centerContinuous" vertical="center" wrapText="1"/>
    </xf>
    <xf numFmtId="0" fontId="75" fillId="2" borderId="162" xfId="0" applyFont="1" applyFill="1" applyBorder="1" applyAlignment="1">
      <alignment horizontal="centerContinuous" vertical="center" wrapText="1"/>
    </xf>
    <xf numFmtId="0" fontId="75" fillId="2" borderId="160" xfId="0" applyFont="1" applyFill="1" applyBorder="1" applyAlignment="1">
      <alignment horizontal="centerContinuous" vertical="center" wrapText="1"/>
    </xf>
    <xf numFmtId="170" fontId="120" fillId="0" borderId="167" xfId="0" applyNumberFormat="1" applyFont="1" applyBorder="1"/>
    <xf numFmtId="170" fontId="120" fillId="77" borderId="167" xfId="0" applyNumberFormat="1" applyFont="1" applyFill="1" applyBorder="1"/>
    <xf numFmtId="171" fontId="62" fillId="12" borderId="159" xfId="0" applyNumberFormat="1" applyFont="1" applyFill="1" applyBorder="1"/>
    <xf numFmtId="170" fontId="120" fillId="0" borderId="159" xfId="0" applyNumberFormat="1" applyFont="1" applyBorder="1"/>
    <xf numFmtId="43" fontId="57" fillId="2" borderId="0" xfId="12406" applyFont="1" applyFill="1"/>
    <xf numFmtId="0" fontId="62" fillId="0" borderId="155" xfId="0" applyFont="1" applyBorder="1" applyAlignment="1">
      <alignment horizontal="center" vertical="center"/>
    </xf>
    <xf numFmtId="175" fontId="62" fillId="0" borderId="167" xfId="0" applyNumberFormat="1" applyFont="1" applyBorder="1"/>
    <xf numFmtId="175" fontId="62" fillId="0" borderId="159" xfId="0" applyNumberFormat="1" applyFont="1" applyBorder="1"/>
    <xf numFmtId="0" fontId="62" fillId="0" borderId="167" xfId="0" applyFont="1" applyBorder="1"/>
    <xf numFmtId="0" fontId="62" fillId="0" borderId="162" xfId="0" applyFont="1" applyBorder="1" applyAlignment="1">
      <alignment horizontal="center" vertical="center" wrapText="1"/>
    </xf>
    <xf numFmtId="0" fontId="62" fillId="2" borderId="162" xfId="0" applyFont="1" applyFill="1" applyBorder="1" applyAlignment="1">
      <alignment horizontal="center" vertical="center" wrapText="1"/>
    </xf>
    <xf numFmtId="0" fontId="62" fillId="2" borderId="172" xfId="0" applyFont="1" applyFill="1" applyBorder="1" applyAlignment="1">
      <alignment horizontal="center" vertical="center" wrapText="1"/>
    </xf>
    <xf numFmtId="0" fontId="62" fillId="2" borderId="161" xfId="0" applyFont="1" applyFill="1" applyBorder="1" applyAlignment="1">
      <alignment horizontal="center" vertical="center" wrapText="1"/>
    </xf>
    <xf numFmtId="0" fontId="62" fillId="2" borderId="164" xfId="0" applyFont="1" applyFill="1" applyBorder="1" applyAlignment="1">
      <alignment horizontal="center" vertical="center" wrapText="1"/>
    </xf>
    <xf numFmtId="0" fontId="62" fillId="2" borderId="171" xfId="0" applyFont="1" applyFill="1" applyBorder="1" applyAlignment="1">
      <alignment horizontal="center" vertical="center" wrapText="1"/>
    </xf>
    <xf numFmtId="0" fontId="75" fillId="2" borderId="155" xfId="0" applyFont="1" applyFill="1" applyBorder="1" applyAlignment="1">
      <alignment horizontal="center"/>
    </xf>
    <xf numFmtId="0" fontId="75" fillId="5" borderId="167" xfId="0" applyFont="1" applyFill="1" applyBorder="1" applyAlignment="1">
      <alignment horizontal="center"/>
    </xf>
    <xf numFmtId="175" fontId="62" fillId="5" borderId="159" xfId="0" applyNumberFormat="1" applyFont="1" applyFill="1" applyBorder="1"/>
    <xf numFmtId="170" fontId="95" fillId="5" borderId="167" xfId="0" applyNumberFormat="1" applyFont="1" applyFill="1" applyBorder="1"/>
    <xf numFmtId="170" fontId="62" fillId="5" borderId="167" xfId="0" applyNumberFormat="1" applyFont="1" applyFill="1" applyBorder="1"/>
    <xf numFmtId="170" fontId="62" fillId="0" borderId="167" xfId="0" applyNumberFormat="1" applyFont="1" applyBorder="1" applyAlignment="1">
      <alignment horizontal="right"/>
    </xf>
    <xf numFmtId="175" fontId="127" fillId="0" borderId="159" xfId="0" applyNumberFormat="1" applyFont="1" applyBorder="1"/>
    <xf numFmtId="175" fontId="62" fillId="0" borderId="167" xfId="16" applyNumberFormat="1" applyFont="1" applyBorder="1"/>
    <xf numFmtId="170" fontId="102" fillId="5" borderId="167" xfId="0" applyNumberFormat="1" applyFont="1" applyFill="1" applyBorder="1"/>
    <xf numFmtId="170" fontId="102" fillId="8" borderId="167" xfId="0" applyNumberFormat="1" applyFont="1" applyFill="1" applyBorder="1"/>
    <xf numFmtId="170" fontId="118" fillId="7" borderId="167" xfId="0" applyNumberFormat="1" applyFont="1" applyFill="1" applyBorder="1"/>
    <xf numFmtId="170" fontId="102" fillId="0" borderId="167" xfId="0" applyNumberFormat="1" applyFont="1" applyBorder="1"/>
    <xf numFmtId="1" fontId="95" fillId="3" borderId="171" xfId="9" applyNumberFormat="1" applyFont="1" applyFill="1" applyBorder="1" applyAlignment="1" applyProtection="1">
      <alignment horizontal="center" vertical="center" wrapText="1"/>
    </xf>
    <xf numFmtId="3" fontId="62" fillId="0" borderId="167" xfId="0" applyNumberFormat="1" applyFont="1" applyBorder="1"/>
    <xf numFmtId="184" fontId="62" fillId="0" borderId="167" xfId="0" applyNumberFormat="1" applyFont="1" applyBorder="1"/>
    <xf numFmtId="175" fontId="62" fillId="5" borderId="167" xfId="0" applyNumberFormat="1" applyFont="1" applyFill="1" applyBorder="1"/>
    <xf numFmtId="3" fontId="95" fillId="4" borderId="167" xfId="0" applyNumberFormat="1" applyFont="1" applyFill="1" applyBorder="1"/>
    <xf numFmtId="3" fontId="62" fillId="0" borderId="167" xfId="13" applyNumberFormat="1" applyFont="1" applyBorder="1"/>
    <xf numFmtId="1" fontId="118" fillId="2" borderId="167" xfId="0" applyNumberFormat="1" applyFont="1" applyFill="1" applyBorder="1" applyAlignment="1">
      <alignment horizontal="center"/>
    </xf>
    <xf numFmtId="1" fontId="78" fillId="2" borderId="167" xfId="0" applyNumberFormat="1" applyFont="1" applyFill="1" applyBorder="1" applyAlignment="1">
      <alignment horizontal="center"/>
    </xf>
    <xf numFmtId="171" fontId="95" fillId="4" borderId="167" xfId="0" applyNumberFormat="1" applyFont="1" applyFill="1" applyBorder="1"/>
    <xf numFmtId="171" fontId="101" fillId="5" borderId="167" xfId="0" applyNumberFormat="1" applyFont="1" applyFill="1" applyBorder="1"/>
    <xf numFmtId="219" fontId="62" fillId="0" borderId="167" xfId="12406" applyNumberFormat="1" applyFont="1" applyBorder="1"/>
    <xf numFmtId="219" fontId="101" fillId="0" borderId="167" xfId="12406" applyNumberFormat="1" applyFont="1" applyBorder="1"/>
    <xf numFmtId="219" fontId="118" fillId="7" borderId="167" xfId="12406" applyNumberFormat="1" applyFont="1" applyFill="1" applyBorder="1" applyAlignment="1">
      <alignment horizontal="right"/>
    </xf>
    <xf numFmtId="219" fontId="62" fillId="0" borderId="167" xfId="12406" applyNumberFormat="1" applyFont="1" applyBorder="1" applyAlignment="1">
      <alignment horizontal="right"/>
    </xf>
    <xf numFmtId="1" fontId="118" fillId="2" borderId="162" xfId="0" applyNumberFormat="1" applyFont="1" applyFill="1" applyBorder="1" applyAlignment="1">
      <alignment horizontal="center"/>
    </xf>
    <xf numFmtId="1" fontId="118" fillId="2" borderId="161" xfId="0" applyNumberFormat="1" applyFont="1" applyFill="1" applyBorder="1" applyAlignment="1">
      <alignment horizontal="center"/>
    </xf>
    <xf numFmtId="171" fontId="62" fillId="0" borderId="159" xfId="0" applyNumberFormat="1" applyFont="1" applyBorder="1"/>
    <xf numFmtId="0" fontId="127" fillId="11" borderId="167" xfId="9842" applyFont="1" applyFill="1" applyBorder="1"/>
    <xf numFmtId="171" fontId="118" fillId="7" borderId="167" xfId="9842" applyNumberFormat="1" applyFont="1" applyFill="1" applyBorder="1"/>
    <xf numFmtId="171" fontId="62" fillId="0" borderId="167" xfId="9842" applyNumberFormat="1" applyFont="1" applyBorder="1"/>
    <xf numFmtId="0" fontId="127" fillId="46" borderId="167" xfId="9842" applyFont="1" applyFill="1" applyBorder="1" applyAlignment="1">
      <alignment horizontal="center"/>
    </xf>
    <xf numFmtId="0" fontId="164" fillId="12" borderId="167" xfId="9842" applyFont="1" applyFill="1" applyBorder="1" applyAlignment="1">
      <alignment horizontal="center"/>
    </xf>
    <xf numFmtId="0" fontId="127" fillId="12" borderId="167" xfId="9842" applyFont="1" applyFill="1" applyBorder="1" applyAlignment="1">
      <alignment horizontal="center"/>
    </xf>
    <xf numFmtId="3" fontId="120" fillId="0" borderId="167" xfId="0" applyNumberFormat="1" applyFont="1" applyBorder="1" applyAlignment="1">
      <alignment vertical="center" wrapText="1"/>
    </xf>
    <xf numFmtId="3" fontId="62" fillId="2" borderId="167" xfId="0" applyNumberFormat="1" applyFont="1" applyFill="1" applyBorder="1"/>
    <xf numFmtId="0" fontId="75" fillId="0" borderId="164" xfId="0" applyFont="1" applyBorder="1" applyAlignment="1">
      <alignment horizontal="centerContinuous" vertical="center" wrapText="1"/>
    </xf>
    <xf numFmtId="3" fontId="62" fillId="11" borderId="167" xfId="0" applyNumberFormat="1" applyFont="1" applyFill="1" applyBorder="1"/>
    <xf numFmtId="3" fontId="101" fillId="0" borderId="167" xfId="0" applyNumberFormat="1" applyFont="1" applyBorder="1"/>
    <xf numFmtId="0" fontId="75" fillId="8" borderId="167" xfId="0" quotePrefix="1" applyFont="1" applyFill="1" applyBorder="1" applyAlignment="1">
      <alignment horizontal="center" vertical="center" wrapText="1"/>
    </xf>
    <xf numFmtId="171" fontId="95" fillId="8" borderId="167" xfId="0" applyNumberFormat="1" applyFont="1" applyFill="1" applyBorder="1"/>
    <xf numFmtId="171" fontId="118" fillId="7" borderId="167" xfId="0" applyNumberFormat="1" applyFont="1" applyFill="1" applyBorder="1"/>
    <xf numFmtId="170" fontId="62" fillId="0" borderId="167" xfId="0" applyNumberFormat="1" applyFont="1" applyBorder="1" applyAlignment="1">
      <alignment horizontal="right" vertical="center"/>
    </xf>
    <xf numFmtId="170" fontId="62" fillId="0" borderId="159" xfId="0" applyNumberFormat="1" applyFont="1" applyBorder="1" applyAlignment="1">
      <alignment horizontal="right"/>
    </xf>
    <xf numFmtId="170" fontId="127" fillId="0" borderId="167" xfId="0" applyNumberFormat="1" applyFont="1" applyBorder="1"/>
    <xf numFmtId="170" fontId="239" fillId="0" borderId="167" xfId="0" applyNumberFormat="1" applyFont="1" applyBorder="1"/>
    <xf numFmtId="170" fontId="95" fillId="4" borderId="167" xfId="0" quotePrefix="1" applyNumberFormat="1" applyFont="1" applyFill="1" applyBorder="1" applyAlignment="1">
      <alignment vertical="center" wrapText="1"/>
    </xf>
    <xf numFmtId="170" fontId="158" fillId="4" borderId="167" xfId="0" quotePrefix="1" applyNumberFormat="1" applyFont="1" applyFill="1" applyBorder="1" applyAlignment="1">
      <alignment vertical="center" wrapText="1"/>
    </xf>
    <xf numFmtId="170" fontId="62" fillId="0" borderId="167" xfId="0" quotePrefix="1" applyNumberFormat="1" applyFont="1" applyBorder="1" applyAlignment="1">
      <alignment vertical="center" wrapText="1"/>
    </xf>
    <xf numFmtId="170" fontId="120" fillId="0" borderId="167" xfId="0" quotePrefix="1" applyNumberFormat="1" applyFont="1" applyBorder="1" applyAlignment="1">
      <alignment vertical="center" wrapText="1"/>
    </xf>
    <xf numFmtId="1" fontId="231" fillId="75" borderId="162" xfId="9" applyNumberFormat="1" applyFont="1" applyFill="1" applyBorder="1" applyAlignment="1" applyProtection="1">
      <alignment horizontal="center" vertical="center" wrapText="1"/>
    </xf>
    <xf numFmtId="0" fontId="62" fillId="0" borderId="164" xfId="0" quotePrefix="1" applyFont="1" applyBorder="1" applyAlignment="1">
      <alignment horizontal="center" vertical="center" wrapText="1"/>
    </xf>
    <xf numFmtId="0" fontId="62" fillId="0" borderId="164" xfId="0" applyFont="1" applyBorder="1" applyAlignment="1">
      <alignment horizontal="center" vertical="center" wrapText="1"/>
    </xf>
    <xf numFmtId="0" fontId="120" fillId="0" borderId="171" xfId="0" applyFont="1" applyBorder="1" applyAlignment="1">
      <alignment horizontal="center" vertical="center" wrapText="1"/>
    </xf>
    <xf numFmtId="0" fontId="62" fillId="0" borderId="172" xfId="0" applyFont="1" applyBorder="1" applyAlignment="1">
      <alignment horizontal="center" vertical="center" wrapText="1"/>
    </xf>
    <xf numFmtId="0" fontId="62" fillId="0" borderId="171" xfId="0" quotePrefix="1" applyFont="1" applyBorder="1" applyAlignment="1">
      <alignment horizontal="center" vertical="center" wrapText="1"/>
    </xf>
    <xf numFmtId="0" fontId="62" fillId="0" borderId="161" xfId="0" quotePrefix="1" applyFont="1" applyBorder="1" applyAlignment="1">
      <alignment horizontal="center" vertical="center" wrapText="1"/>
    </xf>
    <xf numFmtId="0" fontId="62" fillId="2" borderId="164" xfId="0" applyFont="1" applyFill="1" applyBorder="1" applyAlignment="1">
      <alignment horizontal="centerContinuous" vertical="center" wrapText="1"/>
    </xf>
    <xf numFmtId="0" fontId="62" fillId="2" borderId="168" xfId="0" applyFont="1" applyFill="1" applyBorder="1" applyAlignment="1">
      <alignment horizontal="center" vertical="center"/>
    </xf>
    <xf numFmtId="3" fontId="158" fillId="7" borderId="159" xfId="0" applyNumberFormat="1" applyFont="1" applyFill="1" applyBorder="1"/>
    <xf numFmtId="3" fontId="62" fillId="9" borderId="167" xfId="0" applyNumberFormat="1" applyFont="1" applyFill="1" applyBorder="1"/>
    <xf numFmtId="3" fontId="120" fillId="0" borderId="159" xfId="0" applyNumberFormat="1" applyFont="1" applyBorder="1"/>
    <xf numFmtId="3" fontId="121" fillId="7" borderId="167" xfId="0" applyNumberFormat="1" applyFont="1" applyFill="1" applyBorder="1"/>
    <xf numFmtId="171" fontId="57" fillId="2" borderId="0" xfId="0" applyNumberFormat="1" applyFont="1" applyFill="1"/>
    <xf numFmtId="170" fontId="204" fillId="0" borderId="167" xfId="0" applyNumberFormat="1" applyFont="1" applyBorder="1"/>
    <xf numFmtId="0" fontId="36" fillId="0" borderId="162" xfId="9858" applyBorder="1"/>
    <xf numFmtId="184" fontId="118" fillId="7" borderId="161" xfId="9858" applyNumberFormat="1" applyFont="1" applyFill="1" applyBorder="1"/>
    <xf numFmtId="184" fontId="118" fillId="7" borderId="170" xfId="9858" applyNumberFormat="1" applyFont="1" applyFill="1" applyBorder="1"/>
    <xf numFmtId="184" fontId="62" fillId="0" borderId="167" xfId="9858" applyNumberFormat="1" applyFont="1" applyBorder="1"/>
    <xf numFmtId="184" fontId="120" fillId="0" borderId="159" xfId="9858" applyNumberFormat="1" applyFont="1" applyBorder="1"/>
    <xf numFmtId="185" fontId="62" fillId="0" borderId="167" xfId="0" applyNumberFormat="1" applyFont="1" applyBorder="1"/>
    <xf numFmtId="185" fontId="62" fillId="0" borderId="167" xfId="9858" applyNumberFormat="1" applyFont="1" applyBorder="1"/>
    <xf numFmtId="4" fontId="120" fillId="0" borderId="159" xfId="9858" applyNumberFormat="1" applyFont="1" applyBorder="1"/>
    <xf numFmtId="0" fontId="62" fillId="2" borderId="162" xfId="13" applyFont="1" applyFill="1" applyBorder="1" applyAlignment="1">
      <alignment horizontal="centerContinuous" vertical="center" wrapText="1"/>
    </xf>
    <xf numFmtId="0" fontId="62" fillId="2" borderId="160" xfId="13" applyFont="1" applyFill="1" applyBorder="1" applyAlignment="1">
      <alignment horizontal="centerContinuous" vertical="center" wrapText="1"/>
    </xf>
    <xf numFmtId="0" fontId="75" fillId="2" borderId="168" xfId="12" applyFont="1" applyFill="1" applyBorder="1" applyAlignment="1">
      <alignment horizontal="centerContinuous" vertical="center" wrapText="1"/>
    </xf>
    <xf numFmtId="0" fontId="75" fillId="2" borderId="162" xfId="12" applyFont="1" applyFill="1" applyBorder="1" applyAlignment="1">
      <alignment horizontal="centerContinuous" vertical="center" wrapText="1"/>
    </xf>
    <xf numFmtId="0" fontId="75" fillId="2" borderId="161" xfId="12" applyFont="1" applyFill="1" applyBorder="1" applyAlignment="1">
      <alignment horizontal="centerContinuous" vertical="center" wrapText="1"/>
    </xf>
    <xf numFmtId="0" fontId="75" fillId="2" borderId="160" xfId="12" applyFont="1" applyFill="1" applyBorder="1" applyAlignment="1">
      <alignment horizontal="centerContinuous" vertical="center" wrapText="1"/>
    </xf>
    <xf numFmtId="0" fontId="62" fillId="2" borderId="167" xfId="12" applyFont="1" applyFill="1" applyBorder="1" applyAlignment="1">
      <alignment horizontal="centerContinuous" vertical="center" wrapText="1"/>
    </xf>
    <xf numFmtId="173" fontId="101" fillId="0" borderId="167" xfId="14" applyNumberFormat="1" applyFont="1" applyBorder="1"/>
    <xf numFmtId="173" fontId="62" fillId="0" borderId="167" xfId="14" applyNumberFormat="1" applyFont="1" applyBorder="1"/>
    <xf numFmtId="173" fontId="127" fillId="0" borderId="167" xfId="14" applyNumberFormat="1" applyFont="1" applyBorder="1"/>
    <xf numFmtId="170" fontId="62" fillId="0" borderId="167" xfId="12401" applyNumberFormat="1" applyFont="1" applyBorder="1"/>
    <xf numFmtId="170" fontId="253" fillId="0" borderId="167" xfId="0" applyNumberFormat="1" applyFont="1" applyBorder="1"/>
    <xf numFmtId="177" fontId="105" fillId="5" borderId="167" xfId="0" applyNumberFormat="1" applyFont="1" applyFill="1" applyBorder="1"/>
    <xf numFmtId="177" fontId="62" fillId="5" borderId="167" xfId="0" applyNumberFormat="1" applyFont="1" applyFill="1" applyBorder="1"/>
    <xf numFmtId="177" fontId="62" fillId="8" borderId="167" xfId="0" applyNumberFormat="1" applyFont="1" applyFill="1" applyBorder="1"/>
    <xf numFmtId="4" fontId="174" fillId="7" borderId="167" xfId="0" applyNumberFormat="1" applyFont="1" applyFill="1" applyBorder="1" applyAlignment="1">
      <alignment horizontal="right" vertical="center" wrapText="1"/>
    </xf>
    <xf numFmtId="4" fontId="170" fillId="0" borderId="167" xfId="0" applyNumberFormat="1" applyFont="1" applyBorder="1" applyAlignment="1">
      <alignment horizontal="right" vertical="center" wrapText="1"/>
    </xf>
    <xf numFmtId="4" fontId="169" fillId="0" borderId="167" xfId="0" applyNumberFormat="1" applyFont="1" applyBorder="1" applyAlignment="1">
      <alignment horizontal="right" vertical="center" wrapText="1"/>
    </xf>
    <xf numFmtId="4" fontId="62" fillId="0" borderId="167" xfId="0" applyNumberFormat="1" applyFont="1" applyBorder="1"/>
    <xf numFmtId="172" fontId="95" fillId="5" borderId="167" xfId="13" applyNumberFormat="1" applyFont="1" applyFill="1" applyBorder="1"/>
    <xf numFmtId="10" fontId="62" fillId="5" borderId="167" xfId="13" applyNumberFormat="1" applyFont="1" applyFill="1" applyBorder="1"/>
    <xf numFmtId="10" fontId="62" fillId="5" borderId="159" xfId="13" applyNumberFormat="1" applyFont="1" applyFill="1" applyBorder="1"/>
    <xf numFmtId="4" fontId="172" fillId="4" borderId="167" xfId="13" applyNumberFormat="1" applyFont="1" applyFill="1" applyBorder="1"/>
    <xf numFmtId="2" fontId="101" fillId="0" borderId="167" xfId="13" applyNumberFormat="1" applyFont="1" applyBorder="1"/>
    <xf numFmtId="4" fontId="118" fillId="4" borderId="167" xfId="13" applyNumberFormat="1" applyFont="1" applyFill="1" applyBorder="1"/>
    <xf numFmtId="2" fontId="62" fillId="0" borderId="167" xfId="13" applyNumberFormat="1" applyFont="1" applyBorder="1"/>
    <xf numFmtId="179" fontId="62" fillId="12" borderId="167" xfId="12401" applyNumberFormat="1" applyFont="1" applyFill="1" applyBorder="1"/>
    <xf numFmtId="179" fontId="118" fillId="7" borderId="167" xfId="12401" applyNumberFormat="1" applyFont="1" applyFill="1" applyBorder="1" applyAlignment="1">
      <alignment vertical="center"/>
    </xf>
    <xf numFmtId="10" fontId="95" fillId="4" borderId="159" xfId="13" applyNumberFormat="1" applyFont="1" applyFill="1" applyBorder="1"/>
    <xf numFmtId="10" fontId="62" fillId="0" borderId="159" xfId="13" applyNumberFormat="1" applyFont="1" applyBorder="1"/>
    <xf numFmtId="181" fontId="87" fillId="5" borderId="159" xfId="0" applyNumberFormat="1" applyFont="1" applyFill="1" applyBorder="1" applyAlignment="1">
      <alignment horizontal="center"/>
    </xf>
    <xf numFmtId="177" fontId="62" fillId="5" borderId="159" xfId="0" applyNumberFormat="1" applyFont="1" applyFill="1" applyBorder="1"/>
    <xf numFmtId="179" fontId="122" fillId="7" borderId="159" xfId="0" applyNumberFormat="1" applyFont="1" applyFill="1" applyBorder="1"/>
    <xf numFmtId="179" fontId="120" fillId="0" borderId="159" xfId="0" applyNumberFormat="1" applyFont="1" applyBorder="1"/>
    <xf numFmtId="0" fontId="62" fillId="2" borderId="172" xfId="12" applyFont="1" applyFill="1" applyBorder="1" applyAlignment="1">
      <alignment horizontal="center" vertical="center" wrapText="1"/>
    </xf>
    <xf numFmtId="179" fontId="102" fillId="0" borderId="167" xfId="12" applyNumberFormat="1" applyFont="1" applyBorder="1"/>
    <xf numFmtId="179" fontId="102" fillId="0" borderId="159" xfId="12" applyNumberFormat="1" applyFont="1" applyBorder="1"/>
    <xf numFmtId="0" fontId="75" fillId="2" borderId="161" xfId="12" quotePrefix="1" applyFont="1" applyFill="1" applyBorder="1" applyAlignment="1">
      <alignment horizontal="centerContinuous" vertical="center" wrapText="1"/>
    </xf>
    <xf numFmtId="184" fontId="62" fillId="0" borderId="167" xfId="14" applyNumberFormat="1" applyFont="1" applyBorder="1"/>
    <xf numFmtId="3" fontId="62" fillId="0" borderId="167" xfId="14" applyNumberFormat="1" applyFont="1" applyBorder="1"/>
    <xf numFmtId="3" fontId="62" fillId="0" borderId="159" xfId="14" applyNumberFormat="1" applyFont="1" applyBorder="1"/>
    <xf numFmtId="184" fontId="101" fillId="0" borderId="167" xfId="14" applyNumberFormat="1" applyFont="1" applyBorder="1"/>
    <xf numFmtId="3" fontId="101" fillId="0" borderId="167" xfId="14" applyNumberFormat="1" applyFont="1" applyBorder="1"/>
    <xf numFmtId="3" fontId="101" fillId="0" borderId="159" xfId="14" applyNumberFormat="1" applyFont="1" applyBorder="1"/>
    <xf numFmtId="0" fontId="57" fillId="5" borderId="167" xfId="12" applyFont="1" applyFill="1" applyBorder="1" applyAlignment="1">
      <alignment horizontal="center" vertical="center" wrapText="1"/>
    </xf>
    <xf numFmtId="4" fontId="118" fillId="7" borderId="167" xfId="14" applyNumberFormat="1" applyFont="1" applyFill="1" applyBorder="1"/>
    <xf numFmtId="4" fontId="62" fillId="0" borderId="167" xfId="14" applyNumberFormat="1" applyFont="1" applyBorder="1"/>
    <xf numFmtId="0" fontId="75" fillId="2" borderId="160" xfId="12" quotePrefix="1" applyFont="1" applyFill="1" applyBorder="1" applyAlignment="1">
      <alignment horizontal="centerContinuous" vertical="center" wrapText="1"/>
    </xf>
    <xf numFmtId="170" fontId="164" fillId="8" borderId="167" xfId="0" applyNumberFormat="1" applyFont="1" applyFill="1" applyBorder="1" applyAlignment="1">
      <alignment horizontal="center"/>
    </xf>
    <xf numFmtId="10" fontId="78" fillId="2" borderId="171" xfId="0" applyNumberFormat="1" applyFont="1" applyFill="1" applyBorder="1" applyAlignment="1">
      <alignment horizontal="center"/>
    </xf>
    <xf numFmtId="0" fontId="75" fillId="11" borderId="161" xfId="12" applyFont="1" applyFill="1" applyBorder="1" applyAlignment="1">
      <alignment horizontal="centerContinuous" vertical="center" wrapText="1"/>
    </xf>
    <xf numFmtId="0" fontId="75" fillId="11" borderId="160" xfId="12" applyFont="1" applyFill="1" applyBorder="1" applyAlignment="1">
      <alignment horizontal="centerContinuous" vertical="center" wrapText="1"/>
    </xf>
    <xf numFmtId="2" fontId="62" fillId="8" borderId="159" xfId="12401" applyNumberFormat="1" applyFont="1" applyFill="1" applyBorder="1" applyAlignment="1"/>
    <xf numFmtId="217" fontId="118" fillId="7" borderId="167" xfId="26" applyNumberFormat="1" applyFont="1" applyFill="1" applyBorder="1" applyAlignment="1">
      <alignment horizontal="center"/>
    </xf>
    <xf numFmtId="217" fontId="118" fillId="7" borderId="159" xfId="26" applyNumberFormat="1" applyFont="1" applyFill="1" applyBorder="1" applyAlignment="1">
      <alignment horizontal="center"/>
    </xf>
    <xf numFmtId="217" fontId="62" fillId="0" borderId="167" xfId="26" applyNumberFormat="1" applyFont="1" applyFill="1" applyBorder="1" applyAlignment="1">
      <alignment horizontal="center"/>
    </xf>
    <xf numFmtId="217" fontId="62" fillId="0" borderId="159" xfId="26" applyNumberFormat="1" applyFont="1" applyFill="1" applyBorder="1" applyAlignment="1">
      <alignment horizontal="center"/>
    </xf>
    <xf numFmtId="170" fontId="101" fillId="0" borderId="159" xfId="0" applyNumberFormat="1" applyFont="1" applyBorder="1"/>
    <xf numFmtId="217" fontId="62" fillId="8" borderId="159" xfId="26" applyNumberFormat="1" applyFont="1" applyFill="1" applyBorder="1" applyAlignment="1">
      <alignment horizontal="center"/>
    </xf>
    <xf numFmtId="217" fontId="129" fillId="0" borderId="167" xfId="26" applyNumberFormat="1" applyFont="1" applyFill="1" applyBorder="1" applyAlignment="1">
      <alignment horizontal="center"/>
    </xf>
    <xf numFmtId="170" fontId="62" fillId="0" borderId="62" xfId="9931" applyNumberFormat="1" applyFont="1" applyBorder="1" applyAlignment="1">
      <alignment vertical="center"/>
    </xf>
    <xf numFmtId="170" fontId="62" fillId="0" borderId="167" xfId="9931" applyNumberFormat="1" applyFont="1" applyBorder="1" applyAlignment="1">
      <alignment vertical="center"/>
    </xf>
    <xf numFmtId="170" fontId="62" fillId="0" borderId="3" xfId="9931" applyNumberFormat="1" applyFont="1" applyBorder="1" applyAlignment="1">
      <alignment vertical="center"/>
    </xf>
    <xf numFmtId="0" fontId="75" fillId="2" borderId="9" xfId="0" applyFont="1" applyFill="1" applyBorder="1" applyAlignment="1">
      <alignment horizontal="center"/>
    </xf>
    <xf numFmtId="0" fontId="78" fillId="2" borderId="22" xfId="0" applyFont="1" applyFill="1" applyBorder="1" applyAlignment="1">
      <alignment horizontal="center" vertical="center"/>
    </xf>
    <xf numFmtId="0" fontId="78" fillId="2" borderId="103" xfId="0" applyFont="1" applyFill="1" applyBorder="1" applyAlignment="1">
      <alignment horizontal="center" vertical="center"/>
    </xf>
    <xf numFmtId="0" fontId="78" fillId="2" borderId="16" xfId="0" applyFont="1" applyFill="1" applyBorder="1" applyAlignment="1">
      <alignment horizontal="center" vertical="center"/>
    </xf>
    <xf numFmtId="0" fontId="78" fillId="2" borderId="23" xfId="0" applyFont="1" applyFill="1" applyBorder="1" applyAlignment="1">
      <alignment horizontal="center" vertical="center"/>
    </xf>
    <xf numFmtId="0" fontId="78" fillId="2" borderId="30" xfId="0" applyFont="1" applyFill="1" applyBorder="1" applyAlignment="1">
      <alignment horizontal="center" vertical="center"/>
    </xf>
    <xf numFmtId="0" fontId="57" fillId="11" borderId="175" xfId="0" applyFont="1" applyFill="1" applyBorder="1" applyAlignment="1">
      <alignment horizontal="center" vertical="center"/>
    </xf>
    <xf numFmtId="0" fontId="57" fillId="2" borderId="175" xfId="0" applyFont="1" applyFill="1" applyBorder="1" applyAlignment="1">
      <alignment horizontal="center" vertical="center"/>
    </xf>
    <xf numFmtId="2" fontId="57" fillId="2" borderId="175" xfId="0" applyNumberFormat="1" applyFont="1" applyFill="1" applyBorder="1" applyAlignment="1">
      <alignment horizontal="center" vertical="center"/>
    </xf>
    <xf numFmtId="0" fontId="57" fillId="0" borderId="175" xfId="0" applyFont="1" applyBorder="1" applyAlignment="1">
      <alignment horizontal="center" vertical="center"/>
    </xf>
    <xf numFmtId="0" fontId="161" fillId="2" borderId="175" xfId="0" applyFont="1" applyFill="1" applyBorder="1" applyAlignment="1">
      <alignment horizontal="center" vertical="center"/>
    </xf>
    <xf numFmtId="0" fontId="184" fillId="2" borderId="175" xfId="0" applyFont="1" applyFill="1" applyBorder="1" applyAlignment="1">
      <alignment horizontal="center" vertical="center"/>
    </xf>
    <xf numFmtId="0" fontId="184" fillId="2" borderId="176" xfId="0" applyFont="1" applyFill="1" applyBorder="1" applyAlignment="1">
      <alignment horizontal="left" vertical="center"/>
    </xf>
    <xf numFmtId="0" fontId="71" fillId="2" borderId="176" xfId="0" applyFont="1" applyFill="1" applyBorder="1" applyAlignment="1">
      <alignment horizontal="left" vertical="center"/>
    </xf>
    <xf numFmtId="0" fontId="71" fillId="2" borderId="175" xfId="0" applyFont="1" applyFill="1" applyBorder="1" applyAlignment="1">
      <alignment horizontal="center" vertical="center"/>
    </xf>
    <xf numFmtId="0" fontId="71" fillId="2" borderId="177" xfId="0" applyFont="1" applyFill="1" applyBorder="1" applyAlignment="1">
      <alignment horizontal="left" vertical="center"/>
    </xf>
    <xf numFmtId="0" fontId="71" fillId="2" borderId="178" xfId="0" applyFont="1" applyFill="1" applyBorder="1" applyAlignment="1">
      <alignment horizontal="center" vertical="center"/>
    </xf>
    <xf numFmtId="1" fontId="78" fillId="2" borderId="180" xfId="0" applyNumberFormat="1" applyFont="1" applyFill="1" applyBorder="1" applyAlignment="1">
      <alignment horizontal="center" vertical="center"/>
    </xf>
    <xf numFmtId="1" fontId="78" fillId="2" borderId="183" xfId="0" applyNumberFormat="1" applyFont="1" applyFill="1" applyBorder="1" applyAlignment="1">
      <alignment horizontal="center" vertical="center"/>
    </xf>
    <xf numFmtId="1" fontId="78" fillId="2" borderId="184" xfId="0" applyNumberFormat="1" applyFont="1" applyFill="1" applyBorder="1" applyAlignment="1">
      <alignment horizontal="center" vertical="center"/>
    </xf>
    <xf numFmtId="0" fontId="62" fillId="0" borderId="180" xfId="13" applyFont="1" applyBorder="1" applyAlignment="1">
      <alignment horizontal="center" vertical="center"/>
    </xf>
    <xf numFmtId="179" fontId="94" fillId="2" borderId="182" xfId="12401" applyNumberFormat="1" applyFont="1" applyFill="1" applyBorder="1" applyAlignment="1">
      <alignment horizontal="center" vertical="center"/>
    </xf>
    <xf numFmtId="170" fontId="96" fillId="5" borderId="184" xfId="0" applyNumberFormat="1" applyFont="1" applyFill="1" applyBorder="1"/>
    <xf numFmtId="0" fontId="75" fillId="8" borderId="179" xfId="16" applyFont="1" applyFill="1" applyBorder="1" applyAlignment="1">
      <alignment horizontal="center" vertical="center" wrapText="1"/>
    </xf>
    <xf numFmtId="0" fontId="75" fillId="8" borderId="182" xfId="16" applyFont="1" applyFill="1" applyBorder="1" applyAlignment="1">
      <alignment horizontal="center" vertical="center" wrapText="1"/>
    </xf>
    <xf numFmtId="0" fontId="75" fillId="8" borderId="180" xfId="16" applyFont="1" applyFill="1" applyBorder="1" applyAlignment="1">
      <alignment horizontal="center" vertical="center" wrapText="1"/>
    </xf>
    <xf numFmtId="0" fontId="75" fillId="8" borderId="184" xfId="16" applyFont="1" applyFill="1" applyBorder="1" applyAlignment="1">
      <alignment horizontal="center" vertical="center" wrapText="1"/>
    </xf>
    <xf numFmtId="170" fontId="95" fillId="4" borderId="180" xfId="215" applyNumberFormat="1" applyFont="1" applyFill="1" applyBorder="1"/>
    <xf numFmtId="167" fontId="62" fillId="9" borderId="180" xfId="9859" applyFont="1" applyFill="1" applyBorder="1" applyAlignment="1"/>
    <xf numFmtId="170" fontId="118" fillId="7" borderId="180" xfId="9931" applyNumberFormat="1" applyFont="1" applyFill="1" applyBorder="1" applyAlignment="1">
      <alignment horizontal="right" vertical="center"/>
    </xf>
    <xf numFmtId="171" fontId="118" fillId="7" borderId="180" xfId="9931" applyNumberFormat="1" applyFont="1" applyFill="1" applyBorder="1" applyAlignment="1">
      <alignment horizontal="right" vertical="center"/>
    </xf>
    <xf numFmtId="171" fontId="118" fillId="7" borderId="185" xfId="9931" applyNumberFormat="1" applyFont="1" applyFill="1" applyBorder="1" applyAlignment="1">
      <alignment horizontal="right" vertical="center"/>
    </xf>
    <xf numFmtId="170" fontId="118" fillId="7" borderId="185" xfId="9932" applyNumberFormat="1" applyFont="1" applyFill="1" applyBorder="1"/>
    <xf numFmtId="170" fontId="118" fillId="7" borderId="184" xfId="9932" applyNumberFormat="1" applyFont="1" applyFill="1" applyBorder="1"/>
    <xf numFmtId="175" fontId="95" fillId="4" borderId="180" xfId="0" applyNumberFormat="1" applyFont="1" applyFill="1" applyBorder="1"/>
    <xf numFmtId="175" fontId="95" fillId="4" borderId="179" xfId="0" applyNumberFormat="1" applyFont="1" applyFill="1" applyBorder="1"/>
    <xf numFmtId="175" fontId="95" fillId="8" borderId="179" xfId="0" applyNumberFormat="1" applyFont="1" applyFill="1" applyBorder="1"/>
    <xf numFmtId="175" fontId="95" fillId="4" borderId="185" xfId="0" applyNumberFormat="1" applyFont="1" applyFill="1" applyBorder="1"/>
    <xf numFmtId="175" fontId="101" fillId="5" borderId="179" xfId="0" applyNumberFormat="1" applyFont="1" applyFill="1" applyBorder="1"/>
    <xf numFmtId="175" fontId="95" fillId="4" borderId="184" xfId="0" applyNumberFormat="1" applyFont="1" applyFill="1" applyBorder="1"/>
    <xf numFmtId="0" fontId="62" fillId="2" borderId="179" xfId="0" applyFont="1" applyFill="1" applyBorder="1" applyAlignment="1">
      <alignment horizontal="center" vertical="center" wrapText="1"/>
    </xf>
    <xf numFmtId="0" fontId="75" fillId="5" borderId="180" xfId="0" applyFont="1" applyFill="1" applyBorder="1" applyAlignment="1">
      <alignment horizontal="center"/>
    </xf>
    <xf numFmtId="175" fontId="95" fillId="5" borderId="179" xfId="0" applyNumberFormat="1" applyFont="1" applyFill="1" applyBorder="1"/>
    <xf numFmtId="175" fontId="95" fillId="5" borderId="184" xfId="0" applyNumberFormat="1" applyFont="1" applyFill="1" applyBorder="1"/>
    <xf numFmtId="0" fontId="78" fillId="2" borderId="180" xfId="0" applyFont="1" applyFill="1" applyBorder="1" applyAlignment="1">
      <alignment horizontal="center" vertical="center"/>
    </xf>
    <xf numFmtId="0" fontId="78" fillId="2" borderId="179" xfId="0" applyFont="1" applyFill="1" applyBorder="1" applyAlignment="1">
      <alignment horizontal="center" vertical="center"/>
    </xf>
    <xf numFmtId="1" fontId="118" fillId="2" borderId="180" xfId="0" applyNumberFormat="1" applyFont="1" applyFill="1" applyBorder="1" applyAlignment="1">
      <alignment horizontal="center"/>
    </xf>
    <xf numFmtId="1" fontId="118" fillId="2" borderId="184" xfId="0" applyNumberFormat="1" applyFont="1" applyFill="1" applyBorder="1" applyAlignment="1">
      <alignment horizontal="center"/>
    </xf>
    <xf numFmtId="0" fontId="78" fillId="2" borderId="184" xfId="0" applyFont="1" applyFill="1" applyBorder="1" applyAlignment="1">
      <alignment horizontal="center" vertical="center"/>
    </xf>
    <xf numFmtId="3" fontId="95" fillId="4" borderId="180" xfId="0" applyNumberFormat="1" applyFont="1" applyFill="1" applyBorder="1" applyAlignment="1">
      <alignment vertical="center" wrapText="1"/>
    </xf>
    <xf numFmtId="3" fontId="158" fillId="4" borderId="180" xfId="0" applyNumberFormat="1" applyFont="1" applyFill="1" applyBorder="1" applyAlignment="1">
      <alignment vertical="center" wrapText="1"/>
    </xf>
    <xf numFmtId="0" fontId="62" fillId="2" borderId="186" xfId="0" quotePrefix="1" applyFont="1" applyFill="1" applyBorder="1" applyAlignment="1">
      <alignment horizontal="center" vertical="center" wrapText="1"/>
    </xf>
    <xf numFmtId="0" fontId="62" fillId="0" borderId="180" xfId="0" quotePrefix="1" applyFont="1" applyBorder="1" applyAlignment="1">
      <alignment horizontal="center" vertical="center" wrapText="1"/>
    </xf>
    <xf numFmtId="0" fontId="62" fillId="0" borderId="181" xfId="0" quotePrefix="1" applyFont="1" applyBorder="1" applyAlignment="1">
      <alignment horizontal="center" vertical="center" wrapText="1"/>
    </xf>
    <xf numFmtId="0" fontId="62" fillId="0" borderId="186" xfId="0" applyFont="1" applyBorder="1" applyAlignment="1">
      <alignment horizontal="center" vertical="center" wrapText="1"/>
    </xf>
    <xf numFmtId="0" fontId="62" fillId="2" borderId="179" xfId="0" applyFont="1" applyFill="1" applyBorder="1" applyAlignment="1">
      <alignment horizontal="center" vertical="center"/>
    </xf>
    <xf numFmtId="184" fontId="118" fillId="7" borderId="180" xfId="9858" applyNumberFormat="1" applyFont="1" applyFill="1" applyBorder="1"/>
    <xf numFmtId="184" fontId="118" fillId="7" borderId="187" xfId="9858" applyNumberFormat="1" applyFont="1" applyFill="1" applyBorder="1"/>
    <xf numFmtId="184" fontId="118" fillId="7" borderId="185" xfId="9858" applyNumberFormat="1" applyFont="1" applyFill="1" applyBorder="1"/>
    <xf numFmtId="184" fontId="158" fillId="7" borderId="184" xfId="9858" applyNumberFormat="1" applyFont="1" applyFill="1" applyBorder="1"/>
    <xf numFmtId="0" fontId="57" fillId="2" borderId="184" xfId="13" applyFont="1" applyFill="1" applyBorder="1" applyAlignment="1">
      <alignment vertical="center"/>
    </xf>
    <xf numFmtId="0" fontId="62" fillId="11" borderId="179" xfId="12" applyFont="1" applyFill="1" applyBorder="1" applyAlignment="1">
      <alignment horizontal="center" vertical="center" wrapText="1"/>
    </xf>
    <xf numFmtId="173" fontId="57" fillId="2" borderId="0" xfId="12" applyNumberFormat="1" applyFont="1" applyFill="1" applyAlignment="1">
      <alignment vertical="center" wrapText="1"/>
    </xf>
    <xf numFmtId="211" fontId="0" fillId="11" borderId="0" xfId="9861" applyNumberFormat="1" applyFont="1" applyFill="1"/>
    <xf numFmtId="198" fontId="101" fillId="0" borderId="67" xfId="14" applyNumberFormat="1" applyFont="1" applyBorder="1"/>
    <xf numFmtId="175" fontId="122" fillId="4" borderId="45" xfId="16" applyNumberFormat="1" applyFont="1" applyFill="1" applyBorder="1"/>
    <xf numFmtId="0" fontId="75" fillId="2" borderId="7" xfId="16" applyFont="1" applyFill="1" applyBorder="1" applyAlignment="1">
      <alignment horizontal="centerContinuous" vertical="center" wrapText="1"/>
    </xf>
    <xf numFmtId="0" fontId="62" fillId="0" borderId="71" xfId="16" applyFont="1" applyBorder="1" applyAlignment="1">
      <alignment horizontal="centerContinuous" vertical="center" wrapText="1"/>
    </xf>
    <xf numFmtId="0" fontId="62" fillId="0" borderId="71" xfId="16" quotePrefix="1" applyFont="1" applyBorder="1" applyAlignment="1">
      <alignment horizontal="center" vertical="center" wrapText="1"/>
    </xf>
    <xf numFmtId="0" fontId="78" fillId="0" borderId="71" xfId="16" applyFont="1" applyBorder="1" applyAlignment="1">
      <alignment horizontal="center" vertical="center"/>
    </xf>
    <xf numFmtId="0" fontId="75" fillId="2" borderId="92" xfId="16" applyFont="1" applyFill="1" applyBorder="1" applyAlignment="1">
      <alignment horizontal="center" vertical="center" wrapText="1"/>
    </xf>
    <xf numFmtId="170" fontId="62" fillId="8" borderId="87" xfId="16" applyNumberFormat="1" applyFont="1" applyFill="1" applyBorder="1" applyAlignment="1">
      <alignment horizontal="right" vertical="center"/>
    </xf>
    <xf numFmtId="170" fontId="62" fillId="8" borderId="167" xfId="16" applyNumberFormat="1" applyFont="1" applyFill="1" applyBorder="1" applyAlignment="1">
      <alignment horizontal="right" vertical="center"/>
    </xf>
    <xf numFmtId="1" fontId="75" fillId="0" borderId="155" xfId="9" applyNumberFormat="1" applyFont="1" applyFill="1" applyBorder="1" applyAlignment="1" applyProtection="1">
      <alignment horizontal="centerContinuous" vertical="center" wrapText="1"/>
    </xf>
    <xf numFmtId="1" fontId="99" fillId="2" borderId="62" xfId="9" applyNumberFormat="1" applyFont="1" applyFill="1" applyBorder="1" applyAlignment="1" applyProtection="1">
      <alignment horizontal="center" vertical="center"/>
    </xf>
    <xf numFmtId="1" fontId="75" fillId="2" borderId="155" xfId="9" applyNumberFormat="1" applyFont="1" applyFill="1" applyBorder="1" applyAlignment="1" applyProtection="1">
      <alignment horizontal="centerContinuous" vertical="center" wrapText="1"/>
    </xf>
    <xf numFmtId="4" fontId="118" fillId="7" borderId="109" xfId="14" applyNumberFormat="1" applyFont="1" applyFill="1" applyBorder="1"/>
    <xf numFmtId="4" fontId="62" fillId="0" borderId="95" xfId="14" applyNumberFormat="1" applyFont="1" applyBorder="1"/>
    <xf numFmtId="0" fontId="78" fillId="0" borderId="73" xfId="16" applyFont="1" applyBorder="1" applyAlignment="1">
      <alignment horizontal="center" vertical="center"/>
    </xf>
    <xf numFmtId="0" fontId="78" fillId="0" borderId="155" xfId="16" applyFont="1" applyBorder="1" applyAlignment="1">
      <alignment horizontal="center" vertical="center"/>
    </xf>
    <xf numFmtId="0" fontId="78" fillId="0" borderId="86" xfId="16" applyFont="1" applyBorder="1" applyAlignment="1">
      <alignment horizontal="center" vertical="center"/>
    </xf>
    <xf numFmtId="0" fontId="78" fillId="0" borderId="135" xfId="16" applyFont="1" applyBorder="1" applyAlignment="1">
      <alignment horizontal="center" vertical="center"/>
    </xf>
    <xf numFmtId="2" fontId="62" fillId="0" borderId="3" xfId="16" quotePrefix="1" applyNumberFormat="1" applyFont="1" applyBorder="1" applyAlignment="1">
      <alignment vertical="center"/>
    </xf>
    <xf numFmtId="170" fontId="62" fillId="0" borderId="95" xfId="16" applyNumberFormat="1" applyFont="1" applyBorder="1" applyAlignment="1">
      <alignment vertical="center"/>
    </xf>
    <xf numFmtId="170" fontId="62" fillId="8" borderId="0" xfId="16" applyNumberFormat="1" applyFont="1" applyFill="1" applyAlignment="1">
      <alignment vertical="center"/>
    </xf>
    <xf numFmtId="170" fontId="62" fillId="8" borderId="167" xfId="16" applyNumberFormat="1" applyFont="1" applyFill="1" applyBorder="1" applyAlignment="1">
      <alignment vertical="center"/>
    </xf>
    <xf numFmtId="175" fontId="62" fillId="0" borderId="95" xfId="16" applyNumberFormat="1" applyFont="1" applyBorder="1" applyAlignment="1">
      <alignment vertical="center"/>
    </xf>
    <xf numFmtId="175" fontId="62" fillId="0" borderId="0" xfId="16" applyNumberFormat="1" applyFont="1" applyAlignment="1">
      <alignment vertical="center"/>
    </xf>
    <xf numFmtId="175" fontId="62" fillId="0" borderId="167" xfId="16" applyNumberFormat="1" applyFont="1" applyBorder="1" applyAlignment="1">
      <alignment vertical="center"/>
    </xf>
    <xf numFmtId="175" fontId="62" fillId="0" borderId="148" xfId="16" applyNumberFormat="1" applyFont="1" applyBorder="1" applyAlignment="1">
      <alignment vertical="center"/>
    </xf>
    <xf numFmtId="175" fontId="120" fillId="0" borderId="62" xfId="16" applyNumberFormat="1" applyFont="1" applyBorder="1" applyAlignment="1">
      <alignment vertical="center"/>
    </xf>
    <xf numFmtId="170" fontId="95" fillId="4" borderId="62" xfId="16" applyNumberFormat="1" applyFont="1" applyFill="1" applyBorder="1" applyAlignment="1">
      <alignment vertical="center"/>
    </xf>
    <xf numFmtId="170" fontId="95" fillId="4" borderId="188" xfId="16" applyNumberFormat="1" applyFont="1" applyFill="1" applyBorder="1" applyAlignment="1">
      <alignment vertical="center"/>
    </xf>
    <xf numFmtId="175" fontId="118" fillId="7" borderId="3" xfId="16" applyNumberFormat="1" applyFont="1" applyFill="1" applyBorder="1" applyAlignment="1">
      <alignment vertical="center"/>
    </xf>
    <xf numFmtId="175" fontId="62" fillId="0" borderId="62" xfId="16" applyNumberFormat="1" applyFont="1" applyBorder="1" applyAlignment="1">
      <alignment vertical="center"/>
    </xf>
    <xf numFmtId="175" fontId="62" fillId="0" borderId="64" xfId="16" applyNumberFormat="1" applyFont="1" applyBorder="1" applyAlignment="1">
      <alignment vertical="center"/>
    </xf>
    <xf numFmtId="175" fontId="62" fillId="0" borderId="148" xfId="16" quotePrefix="1" applyNumberFormat="1" applyFont="1" applyBorder="1" applyAlignment="1">
      <alignment vertical="center"/>
    </xf>
    <xf numFmtId="175" fontId="101" fillId="0" borderId="0" xfId="16" applyNumberFormat="1" applyFont="1" applyAlignment="1">
      <alignment vertical="center"/>
    </xf>
    <xf numFmtId="175" fontId="101" fillId="0" borderId="95" xfId="16" applyNumberFormat="1" applyFont="1" applyBorder="1" applyAlignment="1">
      <alignment vertical="center"/>
    </xf>
    <xf numFmtId="170" fontId="95" fillId="4" borderId="0" xfId="16" applyNumberFormat="1" applyFont="1" applyFill="1" applyAlignment="1">
      <alignment vertical="center"/>
    </xf>
    <xf numFmtId="170" fontId="95" fillId="8" borderId="167" xfId="16" applyNumberFormat="1" applyFont="1" applyFill="1" applyBorder="1" applyAlignment="1">
      <alignment vertical="center"/>
    </xf>
    <xf numFmtId="170" fontId="95" fillId="8" borderId="0" xfId="16" applyNumberFormat="1" applyFont="1" applyFill="1" applyAlignment="1">
      <alignment vertical="center"/>
    </xf>
    <xf numFmtId="170" fontId="62" fillId="0" borderId="0" xfId="16" applyNumberFormat="1" applyFont="1" applyAlignment="1">
      <alignment vertical="center"/>
    </xf>
    <xf numFmtId="170" fontId="164" fillId="46" borderId="95" xfId="16" applyNumberFormat="1" applyFont="1" applyFill="1" applyBorder="1" applyAlignment="1">
      <alignment vertical="center"/>
    </xf>
    <xf numFmtId="170" fontId="62" fillId="46" borderId="105" xfId="16" applyNumberFormat="1" applyFont="1" applyFill="1" applyBorder="1" applyAlignment="1">
      <alignment vertical="center"/>
    </xf>
    <xf numFmtId="175" fontId="101" fillId="0" borderId="167" xfId="16" applyNumberFormat="1" applyFont="1" applyBorder="1" applyAlignment="1">
      <alignment vertical="center"/>
    </xf>
    <xf numFmtId="170" fontId="118" fillId="7" borderId="167" xfId="16" applyNumberFormat="1" applyFont="1" applyFill="1" applyBorder="1" applyAlignment="1">
      <alignment vertical="center"/>
    </xf>
    <xf numFmtId="170" fontId="62" fillId="0" borderId="167" xfId="16" applyNumberFormat="1" applyFont="1" applyBorder="1" applyAlignment="1">
      <alignment vertical="center"/>
    </xf>
    <xf numFmtId="3" fontId="62" fillId="0" borderId="0" xfId="0" applyNumberFormat="1" applyFont="1" applyAlignment="1">
      <alignment vertical="center"/>
    </xf>
    <xf numFmtId="175" fontId="204" fillId="0" borderId="0" xfId="16" applyNumberFormat="1" applyFont="1" applyAlignment="1">
      <alignment vertical="center"/>
    </xf>
    <xf numFmtId="175" fontId="204" fillId="0" borderId="167" xfId="16" applyNumberFormat="1" applyFont="1" applyBorder="1" applyAlignment="1">
      <alignment vertical="center"/>
    </xf>
    <xf numFmtId="170" fontId="62" fillId="46" borderId="2" xfId="16" applyNumberFormat="1" applyFont="1" applyFill="1" applyBorder="1" applyAlignment="1">
      <alignment vertical="center"/>
    </xf>
    <xf numFmtId="170" fontId="164" fillId="46" borderId="148" xfId="16" applyNumberFormat="1" applyFont="1" applyFill="1" applyBorder="1" applyAlignment="1">
      <alignment vertical="center"/>
    </xf>
    <xf numFmtId="170" fontId="62" fillId="46" borderId="0" xfId="16" applyNumberFormat="1" applyFont="1" applyFill="1" applyAlignment="1">
      <alignment vertical="center"/>
    </xf>
    <xf numFmtId="175" fontId="120" fillId="0" borderId="63" xfId="16" applyNumberFormat="1" applyFont="1" applyBorder="1" applyAlignment="1">
      <alignment vertical="center"/>
    </xf>
    <xf numFmtId="175" fontId="62" fillId="0" borderId="0" xfId="16" quotePrefix="1" applyNumberFormat="1" applyFont="1" applyAlignment="1">
      <alignment vertical="center"/>
    </xf>
    <xf numFmtId="175" fontId="62" fillId="0" borderId="167" xfId="16" quotePrefix="1" applyNumberFormat="1" applyFont="1" applyBorder="1" applyAlignment="1">
      <alignment vertical="center"/>
    </xf>
    <xf numFmtId="175" fontId="62" fillId="0" borderId="95" xfId="16" quotePrefix="1" applyNumberFormat="1" applyFont="1" applyBorder="1" applyAlignment="1">
      <alignment vertical="center"/>
    </xf>
    <xf numFmtId="170" fontId="164" fillId="46" borderId="167" xfId="16" applyNumberFormat="1" applyFont="1" applyFill="1" applyBorder="1" applyAlignment="1">
      <alignment vertical="center"/>
    </xf>
    <xf numFmtId="3" fontId="62" fillId="0" borderId="95" xfId="16" applyNumberFormat="1" applyFont="1" applyBorder="1" applyAlignment="1">
      <alignment vertical="center"/>
    </xf>
    <xf numFmtId="3" fontId="62" fillId="0" borderId="0" xfId="16" applyNumberFormat="1" applyFont="1" applyAlignment="1">
      <alignment vertical="center"/>
    </xf>
    <xf numFmtId="3" fontId="62" fillId="0" borderId="167" xfId="16" applyNumberFormat="1" applyFont="1" applyBorder="1" applyAlignment="1">
      <alignment vertical="center"/>
    </xf>
    <xf numFmtId="170" fontId="62" fillId="46" borderId="167" xfId="16" applyNumberFormat="1" applyFont="1" applyFill="1" applyBorder="1" applyAlignment="1">
      <alignment vertical="center"/>
    </xf>
    <xf numFmtId="3" fontId="62" fillId="0" borderId="147" xfId="0" applyNumberFormat="1" applyFont="1" applyBorder="1" applyAlignment="1">
      <alignment vertical="center"/>
    </xf>
    <xf numFmtId="170" fontId="62" fillId="0" borderId="147" xfId="16" applyNumberFormat="1" applyFont="1" applyBorder="1" applyAlignment="1">
      <alignment vertical="center"/>
    </xf>
    <xf numFmtId="175" fontId="127" fillId="0" borderId="62" xfId="16" applyNumberFormat="1" applyFont="1" applyBorder="1" applyAlignment="1">
      <alignment vertical="center"/>
    </xf>
    <xf numFmtId="171" fontId="118" fillId="7" borderId="188" xfId="0" applyNumberFormat="1" applyFont="1" applyFill="1" applyBorder="1"/>
    <xf numFmtId="43" fontId="102" fillId="0" borderId="95" xfId="12406" applyFont="1" applyBorder="1"/>
    <xf numFmtId="43" fontId="102" fillId="0" borderId="0" xfId="12406" applyFont="1"/>
    <xf numFmtId="43" fontId="102" fillId="0" borderId="167" xfId="12406" applyFont="1" applyBorder="1"/>
    <xf numFmtId="43" fontId="102" fillId="0" borderId="147" xfId="12406" applyFont="1" applyBorder="1"/>
    <xf numFmtId="43" fontId="102" fillId="0" borderId="159" xfId="12406" applyFont="1" applyBorder="1"/>
    <xf numFmtId="0" fontId="75" fillId="11" borderId="164" xfId="0" applyFont="1" applyFill="1" applyBorder="1" applyAlignment="1">
      <alignment horizontal="centerContinuous" vertical="center" wrapText="1"/>
    </xf>
    <xf numFmtId="0" fontId="74" fillId="2" borderId="25" xfId="126" applyFont="1" applyFill="1" applyBorder="1"/>
    <xf numFmtId="0" fontId="62" fillId="2" borderId="0" xfId="126" applyFont="1" applyFill="1" applyAlignment="1">
      <alignment vertical="center"/>
    </xf>
    <xf numFmtId="0" fontId="87" fillId="2" borderId="0" xfId="126" applyFont="1" applyFill="1" applyAlignment="1">
      <alignment horizontal="center" vertical="center"/>
    </xf>
    <xf numFmtId="0" fontId="87" fillId="2" borderId="3" xfId="126" applyFont="1" applyFill="1" applyBorder="1" applyAlignment="1">
      <alignment horizontal="center" vertical="center"/>
    </xf>
    <xf numFmtId="0" fontId="75" fillId="2" borderId="136" xfId="126" quotePrefix="1" applyFont="1" applyFill="1" applyBorder="1" applyAlignment="1">
      <alignment horizontal="centerContinuous" vertical="center"/>
    </xf>
    <xf numFmtId="0" fontId="75" fillId="2" borderId="136" xfId="126" applyFont="1" applyFill="1" applyBorder="1" applyAlignment="1">
      <alignment horizontal="centerContinuous" vertical="center" wrapText="1"/>
    </xf>
    <xf numFmtId="0" fontId="78" fillId="2" borderId="7" xfId="126" applyFont="1" applyFill="1" applyBorder="1" applyAlignment="1">
      <alignment horizontal="centerContinuous" vertical="center" wrapText="1"/>
    </xf>
    <xf numFmtId="0" fontId="78" fillId="2" borderId="8" xfId="126" applyFont="1" applyFill="1" applyBorder="1" applyAlignment="1">
      <alignment horizontal="centerContinuous" vertical="center" wrapText="1"/>
    </xf>
    <xf numFmtId="0" fontId="62" fillId="2" borderId="72" xfId="126" quotePrefix="1" applyFont="1" applyFill="1" applyBorder="1" applyAlignment="1">
      <alignment horizontal="center" vertical="center" wrapText="1"/>
    </xf>
    <xf numFmtId="0" fontId="62" fillId="2" borderId="189" xfId="13" applyFont="1" applyFill="1" applyBorder="1" applyAlignment="1">
      <alignment horizontal="center" vertical="center" wrapText="1"/>
    </xf>
    <xf numFmtId="0" fontId="62" fillId="0" borderId="189" xfId="13" applyFont="1" applyBorder="1" applyAlignment="1">
      <alignment horizontal="center" vertical="center" wrapText="1"/>
    </xf>
    <xf numFmtId="10" fontId="62" fillId="2" borderId="155" xfId="12407" applyNumberFormat="1" applyFont="1" applyFill="1" applyBorder="1" applyAlignment="1">
      <alignment horizontal="centerContinuous" vertical="center"/>
    </xf>
    <xf numFmtId="10" fontId="62" fillId="2" borderId="71" xfId="12407" applyNumberFormat="1" applyFont="1" applyFill="1" applyBorder="1" applyAlignment="1">
      <alignment horizontal="centerContinuous" vertical="center"/>
    </xf>
    <xf numFmtId="10" fontId="62" fillId="2" borderId="7" xfId="12407" applyNumberFormat="1" applyFont="1" applyFill="1" applyBorder="1" applyAlignment="1">
      <alignment horizontal="centerContinuous" vertical="center"/>
    </xf>
    <xf numFmtId="10" fontId="62" fillId="2" borderId="189" xfId="12407" applyNumberFormat="1" applyFont="1" applyFill="1" applyBorder="1" applyAlignment="1">
      <alignment horizontal="centerContinuous" vertical="center"/>
    </xf>
    <xf numFmtId="10" fontId="62" fillId="2" borderId="85" xfId="12407" applyNumberFormat="1" applyFont="1" applyFill="1" applyBorder="1" applyAlignment="1">
      <alignment horizontal="centerContinuous" vertical="center"/>
    </xf>
    <xf numFmtId="0" fontId="62" fillId="2" borderId="93" xfId="126" quotePrefix="1" applyFont="1" applyFill="1" applyBorder="1" applyAlignment="1">
      <alignment horizontal="center" vertical="center" wrapText="1"/>
    </xf>
    <xf numFmtId="0" fontId="62" fillId="2" borderId="7" xfId="126" quotePrefix="1" applyFont="1" applyFill="1" applyBorder="1" applyAlignment="1">
      <alignment horizontal="center" vertical="center" wrapText="1"/>
    </xf>
    <xf numFmtId="0" fontId="62" fillId="2" borderId="189" xfId="126" quotePrefix="1" applyFont="1" applyFill="1" applyBorder="1" applyAlignment="1">
      <alignment horizontal="center" vertical="center" wrapText="1"/>
    </xf>
    <xf numFmtId="0" fontId="62" fillId="2" borderId="71" xfId="126" quotePrefix="1" applyFont="1" applyFill="1" applyBorder="1" applyAlignment="1">
      <alignment horizontal="center" vertical="center" wrapText="1"/>
    </xf>
    <xf numFmtId="0" fontId="62" fillId="2" borderId="85" xfId="126" quotePrefix="1" applyFont="1" applyFill="1" applyBorder="1" applyAlignment="1">
      <alignment horizontal="center" vertical="center" wrapText="1"/>
    </xf>
    <xf numFmtId="0" fontId="78" fillId="2" borderId="189" xfId="126" applyFont="1" applyFill="1" applyBorder="1" applyAlignment="1">
      <alignment horizontal="center" vertical="center"/>
    </xf>
    <xf numFmtId="0" fontId="75" fillId="2" borderId="22" xfId="126" quotePrefix="1" applyFont="1" applyFill="1" applyBorder="1" applyAlignment="1">
      <alignment horizontal="center" vertical="center"/>
    </xf>
    <xf numFmtId="0" fontId="75" fillId="2" borderId="23" xfId="126" applyFont="1" applyFill="1" applyBorder="1" applyAlignment="1">
      <alignment horizontal="center" vertical="center" wrapText="1"/>
    </xf>
    <xf numFmtId="0" fontId="75" fillId="2" borderId="23" xfId="126" quotePrefix="1" applyFont="1" applyFill="1" applyBorder="1" applyAlignment="1">
      <alignment horizontal="center" vertical="center" wrapText="1"/>
    </xf>
    <xf numFmtId="0" fontId="75" fillId="2" borderId="22" xfId="126" quotePrefix="1" applyFont="1" applyFill="1" applyBorder="1" applyAlignment="1">
      <alignment horizontal="center" vertical="center" wrapText="1"/>
    </xf>
    <xf numFmtId="0" fontId="75" fillId="2" borderId="29" xfId="126" applyFont="1" applyFill="1" applyBorder="1" applyAlignment="1">
      <alignment horizontal="center" vertical="center" wrapText="1"/>
    </xf>
    <xf numFmtId="0" fontId="75" fillId="2" borderId="24" xfId="126" applyFont="1" applyFill="1" applyBorder="1" applyAlignment="1">
      <alignment horizontal="center" vertical="center" wrapText="1"/>
    </xf>
    <xf numFmtId="2" fontId="102" fillId="0" borderId="3" xfId="126" applyNumberFormat="1" applyFont="1" applyBorder="1" applyAlignment="1">
      <alignment horizontal="center"/>
    </xf>
    <xf numFmtId="177" fontId="62" fillId="12" borderId="62" xfId="126" applyNumberFormat="1" applyFont="1" applyFill="1" applyBorder="1"/>
    <xf numFmtId="177" fontId="62" fillId="12" borderId="167" xfId="126" applyNumberFormat="1" applyFont="1" applyFill="1" applyBorder="1"/>
    <xf numFmtId="177" fontId="62" fillId="12" borderId="0" xfId="126" applyNumberFormat="1" applyFont="1" applyFill="1"/>
    <xf numFmtId="177" fontId="62" fillId="12" borderId="147" xfId="126" applyNumberFormat="1" applyFont="1" applyFill="1" applyBorder="1"/>
    <xf numFmtId="177" fontId="62" fillId="12" borderId="159" xfId="126" applyNumberFormat="1" applyFont="1" applyFill="1" applyBorder="1"/>
    <xf numFmtId="3" fontId="206" fillId="0" borderId="62" xfId="126" applyNumberFormat="1" applyFont="1" applyBorder="1"/>
    <xf numFmtId="3" fontId="206" fillId="0" borderId="167" xfId="126" applyNumberFormat="1" applyFont="1" applyBorder="1"/>
    <xf numFmtId="3" fontId="206" fillId="0" borderId="0" xfId="126" applyNumberFormat="1" applyFont="1"/>
    <xf numFmtId="3" fontId="206" fillId="0" borderId="147" xfId="126" applyNumberFormat="1" applyFont="1" applyBorder="1"/>
    <xf numFmtId="4" fontId="62" fillId="0" borderId="95" xfId="126" applyNumberFormat="1" applyFont="1" applyBorder="1"/>
    <xf numFmtId="3" fontId="206" fillId="0" borderId="95" xfId="126" applyNumberFormat="1" applyFont="1" applyBorder="1"/>
    <xf numFmtId="3" fontId="206" fillId="0" borderId="97" xfId="126" applyNumberFormat="1" applyFont="1" applyBorder="1"/>
    <xf numFmtId="3" fontId="206" fillId="0" borderId="18" xfId="126" applyNumberFormat="1" applyFont="1" applyBorder="1"/>
    <xf numFmtId="4" fontId="62" fillId="0" borderId="97" xfId="126" applyNumberFormat="1" applyFont="1" applyBorder="1"/>
    <xf numFmtId="4" fontId="62" fillId="0" borderId="18" xfId="126" applyNumberFormat="1" applyFont="1" applyBorder="1"/>
    <xf numFmtId="3" fontId="62" fillId="0" borderId="95" xfId="126" applyNumberFormat="1" applyFont="1" applyBorder="1"/>
    <xf numFmtId="3" fontId="62" fillId="0" borderId="97" xfId="126" applyNumberFormat="1" applyFont="1" applyBorder="1"/>
    <xf numFmtId="3" fontId="62" fillId="0" borderId="18" xfId="126" applyNumberFormat="1" applyFont="1" applyBorder="1"/>
    <xf numFmtId="3" fontId="62" fillId="0" borderId="3" xfId="126" applyNumberFormat="1" applyFont="1" applyBorder="1"/>
    <xf numFmtId="4" fontId="62" fillId="0" borderId="3" xfId="126" applyNumberFormat="1" applyFont="1" applyBorder="1"/>
    <xf numFmtId="4" fontId="62" fillId="0" borderId="0" xfId="126" applyNumberFormat="1" applyFont="1"/>
    <xf numFmtId="4" fontId="62" fillId="0" borderId="147" xfId="126" applyNumberFormat="1" applyFont="1" applyBorder="1"/>
    <xf numFmtId="4" fontId="62" fillId="0" borderId="62" xfId="126" applyNumberFormat="1" applyFont="1" applyBorder="1"/>
    <xf numFmtId="4" fontId="62" fillId="0" borderId="167" xfId="126" applyNumberFormat="1" applyFont="1" applyBorder="1"/>
    <xf numFmtId="4" fontId="62" fillId="0" borderId="159" xfId="126" applyNumberFormat="1" applyFont="1" applyBorder="1"/>
    <xf numFmtId="3" fontId="118" fillId="7" borderId="62" xfId="126" applyNumberFormat="1" applyFont="1" applyFill="1" applyBorder="1" applyAlignment="1">
      <alignment horizontal="right" vertical="center" wrapText="1"/>
    </xf>
    <xf numFmtId="3" fontId="118" fillId="7" borderId="167" xfId="126" applyNumberFormat="1" applyFont="1" applyFill="1" applyBorder="1" applyAlignment="1">
      <alignment horizontal="right" vertical="center" wrapText="1"/>
    </xf>
    <xf numFmtId="3" fontId="118" fillId="7" borderId="0" xfId="126" applyNumberFormat="1" applyFont="1" applyFill="1" applyAlignment="1">
      <alignment horizontal="right" vertical="center" wrapText="1"/>
    </xf>
    <xf numFmtId="3" fontId="118" fillId="7" borderId="157" xfId="126" applyNumberFormat="1" applyFont="1" applyFill="1" applyBorder="1" applyAlignment="1">
      <alignment horizontal="right" vertical="center" wrapText="1"/>
    </xf>
    <xf numFmtId="3" fontId="118" fillId="7" borderId="96" xfId="126" applyNumberFormat="1" applyFont="1" applyFill="1" applyBorder="1" applyAlignment="1">
      <alignment horizontal="right" vertical="center" wrapText="1"/>
    </xf>
    <xf numFmtId="3" fontId="118" fillId="7" borderId="159" xfId="126" applyNumberFormat="1" applyFont="1" applyFill="1" applyBorder="1" applyAlignment="1">
      <alignment horizontal="right" vertical="center" wrapText="1"/>
    </xf>
    <xf numFmtId="3" fontId="206" fillId="0" borderId="62" xfId="126" applyNumberFormat="1" applyFont="1" applyBorder="1" applyAlignment="1">
      <alignment horizontal="right" vertical="center" wrapText="1"/>
    </xf>
    <xf numFmtId="3" fontId="206" fillId="0" borderId="167" xfId="126" applyNumberFormat="1" applyFont="1" applyBorder="1" applyAlignment="1">
      <alignment horizontal="right" vertical="center" wrapText="1"/>
    </xf>
    <xf numFmtId="3" fontId="206" fillId="0" borderId="0" xfId="126" applyNumberFormat="1" applyFont="1" applyAlignment="1">
      <alignment horizontal="right" vertical="center" wrapText="1"/>
    </xf>
    <xf numFmtId="3" fontId="206" fillId="0" borderId="147" xfId="126" applyNumberFormat="1" applyFont="1" applyBorder="1" applyAlignment="1">
      <alignment horizontal="right" vertical="center" wrapText="1"/>
    </xf>
    <xf numFmtId="175" fontId="172" fillId="7" borderId="63" xfId="0" applyNumberFormat="1" applyFont="1" applyFill="1" applyBorder="1"/>
    <xf numFmtId="184" fontId="118" fillId="7" borderId="97" xfId="126" applyNumberFormat="1" applyFont="1" applyFill="1" applyBorder="1" applyAlignment="1">
      <alignment vertical="center" wrapText="1"/>
    </xf>
    <xf numFmtId="184" fontId="118" fillId="7" borderId="0" xfId="126" applyNumberFormat="1" applyFont="1" applyFill="1" applyAlignment="1">
      <alignment vertical="center" wrapText="1"/>
    </xf>
    <xf numFmtId="184" fontId="118" fillId="7" borderId="147" xfId="126" applyNumberFormat="1" applyFont="1" applyFill="1" applyBorder="1" applyAlignment="1">
      <alignment vertical="center" wrapText="1"/>
    </xf>
    <xf numFmtId="184" fontId="62" fillId="0" borderId="97" xfId="126" applyNumberFormat="1" applyFont="1" applyBorder="1" applyAlignment="1">
      <alignment vertical="center" wrapText="1"/>
    </xf>
    <xf numFmtId="184" fontId="62" fillId="0" borderId="0" xfId="126" applyNumberFormat="1" applyFont="1" applyAlignment="1">
      <alignment vertical="center" wrapText="1"/>
    </xf>
    <xf numFmtId="184" fontId="62" fillId="0" borderId="147" xfId="126" applyNumberFormat="1" applyFont="1" applyBorder="1" applyAlignment="1">
      <alignment vertical="center" wrapText="1"/>
    </xf>
    <xf numFmtId="184" fontId="62" fillId="0" borderId="97" xfId="126" applyNumberFormat="1" applyFont="1" applyBorder="1" applyAlignment="1">
      <alignment vertical="center"/>
    </xf>
    <xf numFmtId="184" fontId="62" fillId="0" borderId="18" xfId="126" applyNumberFormat="1" applyFont="1" applyBorder="1" applyAlignment="1">
      <alignment vertical="center"/>
    </xf>
    <xf numFmtId="184" fontId="62" fillId="0" borderId="0" xfId="126" applyNumberFormat="1" applyFont="1" applyAlignment="1">
      <alignment vertical="center"/>
    </xf>
    <xf numFmtId="184" fontId="62" fillId="0" borderId="147" xfId="126" applyNumberFormat="1" applyFont="1" applyBorder="1" applyAlignment="1">
      <alignment vertical="center"/>
    </xf>
    <xf numFmtId="171" fontId="292" fillId="0" borderId="64" xfId="0" applyNumberFormat="1" applyFont="1" applyBorder="1"/>
    <xf numFmtId="179" fontId="291" fillId="11" borderId="0" xfId="12401" applyNumberFormat="1" applyFont="1" applyFill="1"/>
    <xf numFmtId="179" fontId="62" fillId="2" borderId="0" xfId="12405" applyNumberFormat="1" applyFont="1" applyFill="1" applyAlignment="1">
      <alignment vertical="center"/>
    </xf>
    <xf numFmtId="179" fontId="0" fillId="2" borderId="0" xfId="12405" applyNumberFormat="1" applyFont="1" applyFill="1"/>
    <xf numFmtId="0" fontId="291" fillId="2" borderId="0" xfId="0" applyFont="1" applyFill="1"/>
    <xf numFmtId="184" fontId="95" fillId="4" borderId="64" xfId="14" applyNumberFormat="1" applyFont="1" applyFill="1" applyBorder="1" applyAlignment="1">
      <alignment horizontal="right"/>
    </xf>
    <xf numFmtId="184" fontId="62" fillId="0" borderId="62" xfId="14" applyNumberFormat="1" applyFont="1" applyBorder="1" applyAlignment="1">
      <alignment horizontal="right"/>
    </xf>
    <xf numFmtId="184" fontId="62" fillId="0" borderId="63" xfId="14" applyNumberFormat="1" applyFont="1" applyBorder="1" applyAlignment="1">
      <alignment horizontal="right"/>
    </xf>
    <xf numFmtId="184" fontId="62" fillId="0" borderId="62" xfId="14" applyNumberFormat="1" applyFont="1" applyBorder="1"/>
    <xf numFmtId="4" fontId="95" fillId="4" borderId="63" xfId="14" applyNumberFormat="1" applyFont="1" applyFill="1" applyBorder="1"/>
    <xf numFmtId="179" fontId="127" fillId="0" borderId="0" xfId="0" applyNumberFormat="1" applyFont="1" applyAlignment="1">
      <alignment horizontal="right"/>
    </xf>
    <xf numFmtId="179" fontId="62" fillId="0" borderId="0" xfId="12401" applyNumberFormat="1" applyFont="1" applyFill="1" applyBorder="1" applyAlignment="1">
      <alignment horizontal="right"/>
    </xf>
    <xf numFmtId="179" fontId="62" fillId="0" borderId="0" xfId="0" applyNumberFormat="1" applyFont="1" applyAlignment="1">
      <alignment horizontal="right"/>
    </xf>
    <xf numFmtId="179" fontId="118" fillId="7" borderId="0" xfId="0" applyNumberFormat="1" applyFont="1" applyFill="1" applyAlignment="1">
      <alignment horizontal="right"/>
    </xf>
    <xf numFmtId="3" fontId="302" fillId="78" borderId="0" xfId="18289" applyNumberFormat="1" applyFont="1" applyFill="1" applyAlignment="1">
      <alignment horizontal="right"/>
    </xf>
    <xf numFmtId="3" fontId="57" fillId="2" borderId="0" xfId="16" applyNumberFormat="1" applyFill="1"/>
    <xf numFmtId="0" fontId="75" fillId="0" borderId="136" xfId="0" applyFont="1" applyBorder="1" applyAlignment="1">
      <alignment horizontal="center" vertical="center" wrapText="1"/>
    </xf>
    <xf numFmtId="170" fontId="223" fillId="0" borderId="95" xfId="215" applyNumberFormat="1" applyFont="1" applyBorder="1"/>
    <xf numFmtId="170" fontId="223" fillId="0" borderId="3" xfId="215" applyNumberFormat="1" applyFont="1" applyBorder="1"/>
    <xf numFmtId="184" fontId="118" fillId="7" borderId="62" xfId="9859" applyNumberFormat="1" applyFont="1" applyFill="1" applyBorder="1" applyAlignment="1"/>
    <xf numFmtId="184" fontId="118" fillId="7" borderId="167" xfId="9859" applyNumberFormat="1" applyFont="1" applyFill="1" applyBorder="1" applyAlignment="1"/>
    <xf numFmtId="184" fontId="101" fillId="0" borderId="18" xfId="9859" applyNumberFormat="1" applyFont="1" applyFill="1" applyBorder="1" applyAlignment="1"/>
    <xf numFmtId="184" fontId="101" fillId="0" borderId="63" xfId="9859" applyNumberFormat="1" applyFont="1" applyFill="1" applyBorder="1" applyAlignment="1"/>
    <xf numFmtId="184" fontId="101" fillId="0" borderId="3" xfId="9859" applyNumberFormat="1" applyFont="1" applyFill="1" applyBorder="1" applyAlignment="1"/>
    <xf numFmtId="184" fontId="62" fillId="0" borderId="62" xfId="9859" applyNumberFormat="1" applyFont="1" applyFill="1" applyBorder="1" applyAlignment="1"/>
    <xf numFmtId="184" fontId="62" fillId="0" borderId="167" xfId="9859" applyNumberFormat="1" applyFont="1" applyFill="1" applyBorder="1" applyAlignment="1"/>
    <xf numFmtId="184" fontId="118" fillId="7" borderId="43" xfId="9859" applyNumberFormat="1" applyFont="1" applyFill="1" applyBorder="1" applyAlignment="1"/>
    <xf numFmtId="184" fontId="62" fillId="0" borderId="18" xfId="9859" applyNumberFormat="1" applyFont="1" applyFill="1" applyBorder="1" applyAlignment="1"/>
    <xf numFmtId="184" fontId="118" fillId="7" borderId="65" xfId="9859" applyNumberFormat="1" applyFont="1" applyFill="1" applyBorder="1" applyAlignment="1"/>
    <xf numFmtId="184" fontId="62" fillId="0" borderId="63" xfId="9859" applyNumberFormat="1" applyFont="1" applyFill="1" applyBorder="1" applyAlignment="1"/>
    <xf numFmtId="184" fontId="62" fillId="0" borderId="3" xfId="9859" applyNumberFormat="1" applyFont="1" applyFill="1" applyBorder="1" applyAlignment="1"/>
    <xf numFmtId="184" fontId="62" fillId="0" borderId="63" xfId="5120" applyNumberFormat="1" applyFont="1" applyFill="1" applyBorder="1" applyAlignment="1"/>
    <xf numFmtId="1" fontId="75" fillId="76" borderId="72" xfId="16" quotePrefix="1" applyNumberFormat="1" applyFont="1" applyFill="1" applyBorder="1" applyAlignment="1">
      <alignment horizontal="center" vertical="center" wrapText="1"/>
    </xf>
    <xf numFmtId="1" fontId="75" fillId="76" borderId="71" xfId="16" applyNumberFormat="1" applyFont="1" applyFill="1" applyBorder="1" applyAlignment="1">
      <alignment horizontal="center" vertical="center" wrapText="1"/>
    </xf>
    <xf numFmtId="1" fontId="75" fillId="76" borderId="73" xfId="16" applyNumberFormat="1" applyFont="1" applyFill="1" applyBorder="1" applyAlignment="1">
      <alignment horizontal="center" vertical="center" wrapText="1"/>
    </xf>
    <xf numFmtId="1" fontId="75" fillId="0" borderId="73" xfId="16" applyNumberFormat="1" applyFont="1" applyBorder="1" applyAlignment="1">
      <alignment horizontal="center" vertical="center" wrapText="1"/>
    </xf>
    <xf numFmtId="1" fontId="75" fillId="0" borderId="93" xfId="16" applyNumberFormat="1" applyFont="1" applyBorder="1" applyAlignment="1">
      <alignment horizontal="center" vertical="center" wrapText="1"/>
    </xf>
    <xf numFmtId="1" fontId="75" fillId="76" borderId="7" xfId="16" applyNumberFormat="1" applyFont="1" applyFill="1" applyBorder="1" applyAlignment="1">
      <alignment horizontal="centerContinuous" vertical="center" wrapText="1"/>
    </xf>
    <xf numFmtId="1" fontId="75" fillId="76" borderId="71" xfId="16" applyNumberFormat="1" applyFont="1" applyFill="1" applyBorder="1" applyAlignment="1">
      <alignment horizontal="centerContinuous" vertical="center" wrapText="1"/>
    </xf>
    <xf numFmtId="1" fontId="75" fillId="76" borderId="85" xfId="16" applyNumberFormat="1" applyFont="1" applyFill="1" applyBorder="1" applyAlignment="1">
      <alignment horizontal="centerContinuous" vertical="center" wrapText="1"/>
    </xf>
    <xf numFmtId="185" fontId="61" fillId="11" borderId="0" xfId="0" applyNumberFormat="1" applyFont="1" applyFill="1"/>
    <xf numFmtId="0" fontId="62" fillId="11" borderId="0" xfId="126" applyFont="1" applyFill="1" applyAlignment="1">
      <alignment horizontal="left" vertical="top"/>
    </xf>
    <xf numFmtId="0" fontId="62" fillId="2" borderId="155" xfId="0" applyFont="1" applyFill="1" applyBorder="1" applyAlignment="1">
      <alignment horizontal="center" vertical="center" wrapText="1"/>
    </xf>
    <xf numFmtId="0" fontId="62" fillId="2" borderId="27"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2" fillId="2" borderId="8" xfId="0" applyFont="1" applyFill="1" applyBorder="1" applyAlignment="1">
      <alignment horizontal="center" vertical="center" wrapText="1"/>
    </xf>
    <xf numFmtId="0" fontId="75" fillId="0" borderId="62" xfId="0" applyFont="1" applyBorder="1" applyAlignment="1">
      <alignment horizontal="center" vertical="center" wrapText="1"/>
    </xf>
    <xf numFmtId="0" fontId="75" fillId="0" borderId="0" xfId="0" applyFont="1" applyAlignment="1">
      <alignment horizontal="center" vertical="center" wrapText="1"/>
    </xf>
    <xf numFmtId="0" fontId="75" fillId="0" borderId="3" xfId="0" applyFont="1" applyBorder="1" applyAlignment="1">
      <alignment horizontal="center" vertical="center" wrapText="1"/>
    </xf>
    <xf numFmtId="0" fontId="62" fillId="2" borderId="6" xfId="0" applyFont="1" applyFill="1" applyBorder="1" applyAlignment="1">
      <alignment horizontal="center" vertical="center" wrapText="1"/>
    </xf>
    <xf numFmtId="1" fontId="99" fillId="11" borderId="155" xfId="9" applyNumberFormat="1" applyFont="1" applyFill="1" applyBorder="1" applyAlignment="1" applyProtection="1">
      <alignment horizontal="center" vertical="center"/>
    </xf>
    <xf numFmtId="1" fontId="99" fillId="11" borderId="7" xfId="9" applyNumberFormat="1" applyFont="1" applyFill="1" applyBorder="1" applyAlignment="1" applyProtection="1">
      <alignment horizontal="center" vertical="center"/>
    </xf>
    <xf numFmtId="0" fontId="75" fillId="2" borderId="155" xfId="12" applyFont="1" applyFill="1" applyBorder="1" applyAlignment="1">
      <alignment horizontal="center" vertical="center" wrapText="1"/>
    </xf>
    <xf numFmtId="0" fontId="75" fillId="2" borderId="8" xfId="12" applyFont="1" applyFill="1" applyBorder="1" applyAlignment="1">
      <alignment horizontal="center" vertical="center" wrapText="1"/>
    </xf>
    <xf numFmtId="0" fontId="62" fillId="2" borderId="155" xfId="12" applyFont="1" applyFill="1" applyBorder="1" applyAlignment="1">
      <alignment horizontal="center" vertical="center" wrapText="1"/>
    </xf>
    <xf numFmtId="0" fontId="62" fillId="2" borderId="27" xfId="12" applyFont="1" applyFill="1" applyBorder="1" applyAlignment="1">
      <alignment horizontal="center" vertical="center" wrapText="1"/>
    </xf>
  </cellXfs>
  <cellStyles count="18292">
    <cellStyle name="20% - Accent1" xfId="39" xr:uid="{69222916-145C-45ED-8888-143A4DB2CD35}"/>
    <cellStyle name="20% - Accent1 2" xfId="12410" xr:uid="{E5D6008F-2F25-4D84-82F5-8F89EB59AE6C}"/>
    <cellStyle name="20% - Accent1 3" xfId="12411" xr:uid="{A6091900-4F4C-43BB-9E19-9C94C95BF2C4}"/>
    <cellStyle name="20% - Accent2" xfId="43" xr:uid="{BC9490FA-5FF1-4086-AA83-97B387D3D6CA}"/>
    <cellStyle name="20% - Accent2 2" xfId="12412" xr:uid="{F2FAD2DD-5AC4-4CF7-8047-ADBED616C4F9}"/>
    <cellStyle name="20% - Accent2 3" xfId="12413" xr:uid="{A8A8DD76-9228-4FE3-8FD6-4CFAAC386D64}"/>
    <cellStyle name="20% - Accent3" xfId="47" xr:uid="{F2EFCF08-1397-45F2-8C5D-FAD1EB3DC331}"/>
    <cellStyle name="20% - Accent3 2" xfId="12414" xr:uid="{A144516D-3CFE-4AF4-88C3-207E4D235B00}"/>
    <cellStyle name="20% - Accent3 3" xfId="12415" xr:uid="{795983A7-E2AC-461D-A515-EEC29C3667DD}"/>
    <cellStyle name="20% - Accent4" xfId="51" xr:uid="{C03C09AA-6D17-4AF1-8669-2F51BF72EFE8}"/>
    <cellStyle name="20% - Accent4 2" xfId="12416" xr:uid="{0602932C-8AF2-4819-80E8-C6FE474B10D7}"/>
    <cellStyle name="20% - Accent4 3" xfId="12417" xr:uid="{D9AE5D68-CDA6-4B15-A342-4A6019BAC90D}"/>
    <cellStyle name="20% - Accent5" xfId="55" xr:uid="{A88195FE-A7DD-47A8-816D-F0E819ED5365}"/>
    <cellStyle name="20% - Accent5 2" xfId="12418" xr:uid="{6FF7E92C-8D05-4F70-8EE2-E06E4DD78D11}"/>
    <cellStyle name="20% - Accent5 3" xfId="12419" xr:uid="{F2AD1E07-8173-4AD0-AE62-503C02E116FC}"/>
    <cellStyle name="20% - Accent6" xfId="59" xr:uid="{123BB277-91EB-413B-B437-79D9EFA12DFE}"/>
    <cellStyle name="20% - Accent6 2" xfId="12420" xr:uid="{82ADCE17-883A-43DE-8619-42C0AB6B9D8E}"/>
    <cellStyle name="20% - Accent6 3" xfId="12421" xr:uid="{E20F0295-9155-46F8-B484-BFF9810B119D}"/>
    <cellStyle name="20% - Énfasis1 10" xfId="9916" xr:uid="{00000000-0005-0000-0000-000001000000}"/>
    <cellStyle name="20% - Énfasis1 10 2" xfId="11653" xr:uid="{00000000-0005-0000-0000-000002000000}"/>
    <cellStyle name="20% - Énfasis1 10 3" xfId="12422" xr:uid="{94A8F54A-84E3-494F-8FCE-63CF97C86DB3}"/>
    <cellStyle name="20% - Énfasis1 10_1.2.b" xfId="14785" xr:uid="{73E878CC-D5BD-4254-BF8E-B955F0F08B75}"/>
    <cellStyle name="20% - Énfasis1 11" xfId="10247" xr:uid="{00000000-0005-0000-0000-000003000000}"/>
    <cellStyle name="20% - Énfasis1 11 2" xfId="11982" xr:uid="{00000000-0005-0000-0000-000004000000}"/>
    <cellStyle name="20% - Énfasis1 11 3" xfId="12423" xr:uid="{EC7A70F2-837A-4F55-B4BA-BF1D164F30EC}"/>
    <cellStyle name="20% - Énfasis1 11 4" xfId="16512" xr:uid="{20064112-178F-431F-B42A-1058B77FA6B5}"/>
    <cellStyle name="20% - Énfasis1 11_1.2.b" xfId="14786" xr:uid="{B17EFEDC-DCBB-48C8-9058-9A108A487595}"/>
    <cellStyle name="20% - Énfasis1 12" xfId="10531" xr:uid="{00000000-0005-0000-0000-000005000000}"/>
    <cellStyle name="20% - Énfasis1 12 2" xfId="12266" xr:uid="{00000000-0005-0000-0000-000006000000}"/>
    <cellStyle name="20% - Énfasis1 12 3" xfId="12424" xr:uid="{8851BC2D-A514-4227-ACF3-52F67C3E589E}"/>
    <cellStyle name="20% - Énfasis1 12 4" xfId="16513" xr:uid="{01CF607E-1B1E-4480-A87B-A222CB5536AD}"/>
    <cellStyle name="20% - Énfasis1 12_1.2.b" xfId="14787" xr:uid="{1D75B247-92E1-4CA0-ACBB-A7445F19B471}"/>
    <cellStyle name="20% - Énfasis1 13" xfId="10578" xr:uid="{00000000-0005-0000-0000-000007000000}"/>
    <cellStyle name="20% - Énfasis1 13 2" xfId="12311" xr:uid="{00000000-0005-0000-0000-000008000000}"/>
    <cellStyle name="20% - Énfasis1 13 3" xfId="12425" xr:uid="{2C24B7F1-8F73-442D-97BD-D3736C4C6ACD}"/>
    <cellStyle name="20% - Énfasis1 13 4" xfId="16514" xr:uid="{F2AB8A12-7DD3-4097-ADF3-64EA946256FB}"/>
    <cellStyle name="20% - Énfasis1 13_1.2.b" xfId="14788" xr:uid="{3372A582-324C-4FCF-9AD5-0B8ACED40A31}"/>
    <cellStyle name="20% - Énfasis1 14" xfId="10598" xr:uid="{00000000-0005-0000-0000-000009000000}"/>
    <cellStyle name="20% - Énfasis1 14 2" xfId="12327" xr:uid="{00000000-0005-0000-0000-00000A000000}"/>
    <cellStyle name="20% - Énfasis1 14 3" xfId="12426" xr:uid="{D5633AAF-D55D-4758-B61C-26BC65C7AE3A}"/>
    <cellStyle name="20% - Énfasis1 14 4" xfId="16515" xr:uid="{528784F5-85EA-4C86-BF6A-D30E5BDEE1ED}"/>
    <cellStyle name="20% - Énfasis1 14_1.2.b" xfId="14789" xr:uid="{8AA0556D-01FE-4D32-B76E-536E0D65445D}"/>
    <cellStyle name="20% - Énfasis1 15" xfId="10619" xr:uid="{00000000-0005-0000-0000-00000B000000}"/>
    <cellStyle name="20% - Énfasis1 15 2" xfId="12427" xr:uid="{38290413-7239-430B-B47E-F403DEB219DB}"/>
    <cellStyle name="20% - Énfasis1 15 3" xfId="16516" xr:uid="{1C0DEF55-A216-4AEE-822A-563378AAD96A}"/>
    <cellStyle name="20% - Énfasis1 15_1.2.b" xfId="14790" xr:uid="{4987CBB7-F87A-4713-B380-6484F7696740}"/>
    <cellStyle name="20% - Énfasis1 16" xfId="12360" xr:uid="{00000000-0005-0000-0000-00000C000000}"/>
    <cellStyle name="20% - Énfasis1 16 2" xfId="12428" xr:uid="{7BC8F893-A87F-4A8F-89FD-C5C7BD97B3B6}"/>
    <cellStyle name="20% - Énfasis1 16 3" xfId="16517" xr:uid="{62C92051-C490-4324-B982-D920172E4CC2}"/>
    <cellStyle name="20% - Énfasis1 16_1.2.b" xfId="14791" xr:uid="{C75683DB-F0B1-4313-A4C7-310E29E1B1EC}"/>
    <cellStyle name="20% - Énfasis1 17" xfId="12375" xr:uid="{00000000-0005-0000-0000-00000D000000}"/>
    <cellStyle name="20% - Énfasis1 17 2" xfId="12429" xr:uid="{81D453AD-3ED5-44AF-9871-996BAA6A978D}"/>
    <cellStyle name="20% - Énfasis1 17 3" xfId="16518" xr:uid="{58198238-05F0-4C23-A2C1-7728458B3FBF}"/>
    <cellStyle name="20% - Énfasis1 17_1.2.b" xfId="14792" xr:uid="{D6CD4437-B065-4762-8848-ABD262A1D42C}"/>
    <cellStyle name="20% - Énfasis1 18" xfId="12430" xr:uid="{28113596-04FF-4641-82D2-314CA7D4D20C}"/>
    <cellStyle name="20% - Énfasis1 18 2" xfId="16519" xr:uid="{05401436-9CB4-47A5-85CD-843EEDD44316}"/>
    <cellStyle name="20% - Énfasis1 18_1.2.b" xfId="14793" xr:uid="{A6A2D8F8-3229-44AC-AAE0-559138A700A0}"/>
    <cellStyle name="20% - Énfasis1 19" xfId="12431" xr:uid="{36E4D35C-5C8A-4552-92C5-ECD657DF6FD7}"/>
    <cellStyle name="20% - Énfasis1 19 2" xfId="16520" xr:uid="{2D2A8709-CCB4-4E07-9D71-C569D9FF6D2E}"/>
    <cellStyle name="20% - Énfasis1 19_1.2.b" xfId="14794" xr:uid="{0AEACD94-EBB4-4289-B4B7-AAB3EAD5B379}"/>
    <cellStyle name="20% - Énfasis1 2" xfId="146" xr:uid="{00000000-0005-0000-0000-00000E000000}"/>
    <cellStyle name="20% - Énfasis1 2 10" xfId="12433" xr:uid="{3EC70498-4334-41CF-8C1D-2512EB6C83EB}"/>
    <cellStyle name="20% - Énfasis1 2 10 2" xfId="16522" xr:uid="{DCD21D65-87AE-4428-A64D-61B4683A0468}"/>
    <cellStyle name="20% - Énfasis1 2 10_1.2.b" xfId="14796" xr:uid="{AFD3349D-2EE3-4ECF-8EC9-572D709AE332}"/>
    <cellStyle name="20% - Énfasis1 2 11" xfId="12432" xr:uid="{CD9F7887-A5F2-4854-A302-293B39A92965}"/>
    <cellStyle name="20% - Énfasis1 2 12" xfId="16521" xr:uid="{5BC40296-F0E6-4A3A-B6A5-6CCB995E3623}"/>
    <cellStyle name="20% - Énfasis1 2 13" xfId="18120" xr:uid="{1973C997-5473-4B32-A2FD-0761F86EEABE}"/>
    <cellStyle name="20% - Énfasis1 2 14" xfId="18273" xr:uid="{AB8950A7-E934-43DD-9A2E-8A46C445703E}"/>
    <cellStyle name="20% - Énfasis1 2 15" xfId="18111" xr:uid="{080B2832-874D-42F6-9793-D1D98FF74D4F}"/>
    <cellStyle name="20% - Énfasis1 2 16" xfId="18267" xr:uid="{FCBB0382-0E9F-446F-90AB-884750FD5D6F}"/>
    <cellStyle name="20% - Énfasis1 2 2" xfId="10666" xr:uid="{00000000-0005-0000-0000-00000F000000}"/>
    <cellStyle name="20% - Énfasis1 2 2 2" xfId="12435" xr:uid="{7B6E756F-21D2-4E48-A8F2-E10B01D0AA94}"/>
    <cellStyle name="20% - Énfasis1 2 2 3" xfId="12436" xr:uid="{3B3AD109-5E23-4A6C-8286-D1C70AC208A2}"/>
    <cellStyle name="20% - Énfasis1 2 2 4" xfId="12437" xr:uid="{5E516224-ADE6-4254-A4BB-6D23700D6F49}"/>
    <cellStyle name="20% - Énfasis1 2 2 5" xfId="12438" xr:uid="{5D92D319-506B-4024-A815-E3F6BBF724F0}"/>
    <cellStyle name="20% - Énfasis1 2 2 6" xfId="12434" xr:uid="{4D4E0C7F-4D34-45F7-8FD3-AA65978351D9}"/>
    <cellStyle name="20% - Énfasis1 2 2 7" xfId="16523" xr:uid="{5582201E-85FF-4365-90F9-135C8B4FF3EB}"/>
    <cellStyle name="20% - Énfasis1 2 2_1.2.b" xfId="14797" xr:uid="{86C47ADD-62AC-4DEA-A957-CBBC690F61A9}"/>
    <cellStyle name="20% - Énfasis1 2 3" xfId="12439" xr:uid="{CA1BEC63-2592-4C14-9F53-89568BD2F392}"/>
    <cellStyle name="20% - Énfasis1 2 4" xfId="12440" xr:uid="{DF4CBDF9-B858-4C6C-A893-F8706D4806C3}"/>
    <cellStyle name="20% - Énfasis1 2 5" xfId="12441" xr:uid="{C3E4002E-DCBF-4917-8502-91B4764465F8}"/>
    <cellStyle name="20% - Énfasis1 2 6" xfId="12442" xr:uid="{EBBE9EA7-CEA8-4EA0-A20C-103A861341F8}"/>
    <cellStyle name="20% - Énfasis1 2 7" xfId="12443" xr:uid="{C452E146-309E-4562-948F-658DE3B308AF}"/>
    <cellStyle name="20% - Énfasis1 2 8" xfId="12444" xr:uid="{59824BA4-337B-42F9-85F4-149571E944F9}"/>
    <cellStyle name="20% - Énfasis1 2 9" xfId="12445" xr:uid="{61EDD49D-8071-4B0F-B864-D5FB0EEFF0F6}"/>
    <cellStyle name="20% - Énfasis1 2 9 2" xfId="16525" xr:uid="{D2D4EB23-D0CB-41C8-9576-1A5997AEF3B6}"/>
    <cellStyle name="20% - Énfasis1 2 9_1.2.b" xfId="14798" xr:uid="{D9D14747-0A5D-4C7B-985D-DAB62CDB3114}"/>
    <cellStyle name="20% - Énfasis1 2_1.2.b" xfId="14795" xr:uid="{94141105-9BC2-405E-AB26-B7658820D51F}"/>
    <cellStyle name="20% - Énfasis1 20" xfId="12446" xr:uid="{D89BAC68-8401-4F8F-9A5F-C90FB849E00B}"/>
    <cellStyle name="20% - Énfasis1 20 2" xfId="16526" xr:uid="{05F7178E-9E32-4F00-B3FA-F3B3F5F134B5}"/>
    <cellStyle name="20% - Énfasis1 20_1.2.b" xfId="14799" xr:uid="{801AA87E-ADCC-4FBB-9A56-2679A56BFEA7}"/>
    <cellStyle name="20% - Énfasis1 21" xfId="12447" xr:uid="{B0ECB3E3-6040-4CDB-B455-D6E95B7457DB}"/>
    <cellStyle name="20% - Énfasis1 21 2" xfId="16527" xr:uid="{F3DCE3CA-A7A4-4542-AC04-6F42346F498C}"/>
    <cellStyle name="20% - Énfasis1 21_1.2.b" xfId="14800" xr:uid="{2BB7CD94-2702-4454-8A2E-B09C1DC72742}"/>
    <cellStyle name="20% - Énfasis1 22" xfId="12448" xr:uid="{B5DDADB5-0763-4CFF-9996-626EB462F1F6}"/>
    <cellStyle name="20% - Énfasis1 22 2" xfId="16528" xr:uid="{FD9848C5-9B29-4B92-A705-A83C01DFDB02}"/>
    <cellStyle name="20% - Énfasis1 22_1.2.b" xfId="14801" xr:uid="{B85ECF34-78E9-4082-A5A6-DEC154BE5DCE}"/>
    <cellStyle name="20% - Énfasis1 23" xfId="12449" xr:uid="{43919581-BC9D-4F0A-BD2D-BA7974496F3B}"/>
    <cellStyle name="20% - Énfasis1 23 2" xfId="16529" xr:uid="{DA759414-4DA4-473D-82B1-CF8E7DFD738C}"/>
    <cellStyle name="20% - Énfasis1 23_1.2.b" xfId="14802" xr:uid="{0FEE5568-A247-48F4-846E-68034522C837}"/>
    <cellStyle name="20% - Énfasis1 24" xfId="12450" xr:uid="{E153537D-0D7A-4B73-8E34-1D257F08BFFB}"/>
    <cellStyle name="20% - Énfasis1 24 2" xfId="16530" xr:uid="{C690165C-2D0D-4A45-A83F-C1AD98EDBE11}"/>
    <cellStyle name="20% - Énfasis1 24_1.2.b" xfId="14803" xr:uid="{A777A2F0-D43C-428C-A42A-89575B58581C}"/>
    <cellStyle name="20% - Énfasis1 25" xfId="12451" xr:uid="{3D1FCDBF-34A9-4726-9FDD-70987FE5AA34}"/>
    <cellStyle name="20% - Énfasis1 25 2" xfId="16531" xr:uid="{664E77D0-ACCB-4AA6-86B3-5CA0E8F54C3D}"/>
    <cellStyle name="20% - Énfasis1 25_1.2.b" xfId="14804" xr:uid="{29B051B4-A9A0-4903-9EB6-F6CBD978AED5}"/>
    <cellStyle name="20% - Énfasis1 26" xfId="12452" xr:uid="{B44BDC74-4481-4144-82AE-B0E3FBC5C3F5}"/>
    <cellStyle name="20% - Énfasis1 26 2" xfId="16532" xr:uid="{19DF1445-516A-4883-B791-2613E598F327}"/>
    <cellStyle name="20% - Énfasis1 26_1.2.b" xfId="14805" xr:uid="{BC3824EB-B025-43E1-AF2F-EA4C2BC895A3}"/>
    <cellStyle name="20% - Énfasis1 27" xfId="12453" xr:uid="{BC52861C-CF06-4380-8BD5-B38AF92F9A5C}"/>
    <cellStyle name="20% - Énfasis1 27 2" xfId="16533" xr:uid="{7DAF7043-D8A7-4D57-A7B0-015223A1030C}"/>
    <cellStyle name="20% - Énfasis1 27_1.2.b" xfId="14806" xr:uid="{0B2E412B-E721-46DC-B223-0A316DC2FB58}"/>
    <cellStyle name="20% - Énfasis1 28" xfId="12454" xr:uid="{E794C1F2-8D74-477C-9B0D-27B136E35CBA}"/>
    <cellStyle name="20% - Énfasis1 28 2" xfId="16534" xr:uid="{B06819AA-23EA-4D83-A056-9AD4BC4EE7B6}"/>
    <cellStyle name="20% - Énfasis1 28_1.2.b" xfId="14807" xr:uid="{0F5E4544-E98B-4285-BAF6-4EFD43D812AD}"/>
    <cellStyle name="20% - Énfasis1 29" xfId="12455" xr:uid="{BAADD0A4-7042-4AB1-AF45-F13CE558808A}"/>
    <cellStyle name="20% - Énfasis1 29 2" xfId="16535" xr:uid="{BE8F7F47-03C4-493A-ACED-C09ED9F2557D}"/>
    <cellStyle name="20% - Énfasis1 29_1.2.b" xfId="14808" xr:uid="{2E04C578-0EDE-4D71-8F4D-F0C62917DE7A}"/>
    <cellStyle name="20% - Énfasis1 3" xfId="160" xr:uid="{00000000-0005-0000-0000-000010000000}"/>
    <cellStyle name="20% - Énfasis1 3 2" xfId="10680" xr:uid="{00000000-0005-0000-0000-000011000000}"/>
    <cellStyle name="20% - Énfasis1 3 2 2" xfId="12457" xr:uid="{84FCF528-7119-4EF1-BCF1-FD083D2507F5}"/>
    <cellStyle name="20% - Énfasis1 3 2 3" xfId="16537" xr:uid="{611970FD-BB95-413A-A33A-7DADEDCC7F13}"/>
    <cellStyle name="20% - Énfasis1 3 2_1.2.b" xfId="14810" xr:uid="{A80F0E24-4B31-48CC-9439-FCA213F1CAE1}"/>
    <cellStyle name="20% - Énfasis1 3 3" xfId="12458" xr:uid="{448D87CA-A4D3-4B06-BB49-46B154C93F51}"/>
    <cellStyle name="20% - Énfasis1 3 4" xfId="12459" xr:uid="{E4F7F583-72E3-469F-A339-466CD0595D86}"/>
    <cellStyle name="20% - Énfasis1 3 5" xfId="12460" xr:uid="{4977B72B-5EB9-40DB-96FA-F830E7C05023}"/>
    <cellStyle name="20% - Énfasis1 3 5 2" xfId="16538" xr:uid="{4E75701C-4021-4418-B06D-DA88BEDDB6DE}"/>
    <cellStyle name="20% - Énfasis1 3 5_1.2.b" xfId="14811" xr:uid="{929C309C-F132-45F9-9C08-64A224DC8457}"/>
    <cellStyle name="20% - Énfasis1 3 6" xfId="12461" xr:uid="{626277C2-C01B-4C3E-A78B-0A7DC767EE6B}"/>
    <cellStyle name="20% - Énfasis1 3 6 2" xfId="16539" xr:uid="{CE278538-9CD5-46EB-B2A9-DB845C162C62}"/>
    <cellStyle name="20% - Énfasis1 3 6_1.2.b" xfId="14812" xr:uid="{F4A3982E-80A8-4B7C-94A3-6EA5B4661224}"/>
    <cellStyle name="20% - Énfasis1 3 7" xfId="12462" xr:uid="{350FA651-A218-401A-854D-5F27251361E6}"/>
    <cellStyle name="20% - Énfasis1 3 7 2" xfId="16540" xr:uid="{AC4F262E-2362-4058-A948-575DE66E1F19}"/>
    <cellStyle name="20% - Énfasis1 3 7_1.2.b" xfId="14813" xr:uid="{3B712708-1D18-482A-8024-E1211474777E}"/>
    <cellStyle name="20% - Énfasis1 3 8" xfId="12456" xr:uid="{A149A45A-1EB1-4AD1-B70D-21089756F693}"/>
    <cellStyle name="20% - Énfasis1 3 9" xfId="16536" xr:uid="{19AF4672-9C9B-48AE-B88F-000C47F09D69}"/>
    <cellStyle name="20% - Énfasis1 3_1.2.b" xfId="14809" xr:uid="{A566DDEC-4D0F-4584-9EFF-233B53BECAF6}"/>
    <cellStyle name="20% - Énfasis1 30" xfId="12463" xr:uid="{7E4E72A0-003C-46BD-B23A-99E376BE2BB3}"/>
    <cellStyle name="20% - Énfasis1 30 2" xfId="16541" xr:uid="{9D78C1D6-5A77-4CCA-91EB-7A3BFCA4B4D2}"/>
    <cellStyle name="20% - Énfasis1 30_1.2.b" xfId="14814" xr:uid="{7E901759-1EB9-4587-85DB-10BBBC45775B}"/>
    <cellStyle name="20% - Énfasis1 31" xfId="12464" xr:uid="{62AD3032-DDF5-464C-B665-1284CC2403EB}"/>
    <cellStyle name="20% - Énfasis1 31 2" xfId="16542" xr:uid="{4D49B2DD-663B-4E98-B481-950DDD85223C}"/>
    <cellStyle name="20% - Énfasis1 31_1.2.b" xfId="14815" xr:uid="{F7117166-FC9F-4771-97DA-EDB969A60671}"/>
    <cellStyle name="20% - Énfasis1 32" xfId="12465" xr:uid="{A781CF04-4B32-4B5D-9D18-559672ADB4C7}"/>
    <cellStyle name="20% - Énfasis1 32 2" xfId="16543" xr:uid="{4F669DB6-E710-4F51-AECC-F757E321720B}"/>
    <cellStyle name="20% - Énfasis1 32_1.2.b" xfId="14816" xr:uid="{8E36BC47-D075-43E7-9038-524EF632CEDA}"/>
    <cellStyle name="20% - Énfasis1 33" xfId="12466" xr:uid="{00927129-D600-4064-A5D9-D6256A69298D}"/>
    <cellStyle name="20% - Énfasis1 33 2" xfId="16544" xr:uid="{FD2A8FB7-26C9-474F-9F65-43F30C021AB3}"/>
    <cellStyle name="20% - Énfasis1 33_1.2.b" xfId="14817" xr:uid="{F393F0B4-A1FE-49FE-BF8A-6F442AC79C1D}"/>
    <cellStyle name="20% - Énfasis1 34" xfId="12467" xr:uid="{14F7BCEC-309F-4043-AC7B-A9CF6BBFA705}"/>
    <cellStyle name="20% - Énfasis1 34 2" xfId="16545" xr:uid="{EF553A26-70E6-4386-8493-F05A74601B61}"/>
    <cellStyle name="20% - Énfasis1 34_1.2.b" xfId="14818" xr:uid="{F4BB1668-8D48-4FD4-B50A-04748E6A3854}"/>
    <cellStyle name="20% - Énfasis1 35" xfId="12468" xr:uid="{381857AC-D0A8-4004-9CED-E683BFF36842}"/>
    <cellStyle name="20% - Énfasis1 35 2" xfId="16546" xr:uid="{2B659597-0126-4FC9-883D-9995B831ED79}"/>
    <cellStyle name="20% - Énfasis1 35_1.2.b" xfId="14819" xr:uid="{25AB763F-DC0D-4311-8777-9B5ED1B34E34}"/>
    <cellStyle name="20% - Énfasis1 36" xfId="12469" xr:uid="{0FB174B0-73EA-4165-BD0E-5F04DB759227}"/>
    <cellStyle name="20% - Énfasis1 36 2" xfId="16547" xr:uid="{98CB01AE-6D1D-4E65-9F40-C20A53AEF210}"/>
    <cellStyle name="20% - Énfasis1 36_1.2.b" xfId="14820" xr:uid="{4677782E-6787-4758-8A0F-7577ECFE7797}"/>
    <cellStyle name="20% - Énfasis1 37" xfId="12470" xr:uid="{0E3FC961-9DC4-4E46-93A5-CBC3D3DC3FF3}"/>
    <cellStyle name="20% - Énfasis1 37 2" xfId="16548" xr:uid="{A3D55A78-3B0E-4088-A95F-FB1C3370C35B}"/>
    <cellStyle name="20% - Énfasis1 37_1.2.b" xfId="14821" xr:uid="{50946E2E-A2DE-46A9-BA69-58D297AFC3C8}"/>
    <cellStyle name="20% - Énfasis1 38" xfId="12471" xr:uid="{C1B24105-9C98-4227-AB1B-53ADF4DAA5F4}"/>
    <cellStyle name="20% - Énfasis1 38 2" xfId="16549" xr:uid="{AD143074-D861-478E-9DA0-DD33717C11A2}"/>
    <cellStyle name="20% - Énfasis1 38_1.2.b" xfId="14822" xr:uid="{F38B10D8-0E0F-449D-9824-EF37B979B1CB}"/>
    <cellStyle name="20% - Énfasis1 39" xfId="12472" xr:uid="{2A639936-6EBD-4BA3-94CC-D9AB3E90B122}"/>
    <cellStyle name="20% - Énfasis1 39 2" xfId="16550" xr:uid="{0809EF29-1E69-4BF3-BB57-7249915710B4}"/>
    <cellStyle name="20% - Énfasis1 39_1.2.b" xfId="14823" xr:uid="{54A7F579-6106-4CAC-8423-CC486767EE26}"/>
    <cellStyle name="20% - Énfasis1 4" xfId="174" xr:uid="{00000000-0005-0000-0000-000012000000}"/>
    <cellStyle name="20% - Énfasis1 4 2" xfId="10694" xr:uid="{00000000-0005-0000-0000-000013000000}"/>
    <cellStyle name="20% - Énfasis1 4 2 2" xfId="12475" xr:uid="{6B13FA58-573E-4A3D-9C3B-B7382AA7F076}"/>
    <cellStyle name="20% - Énfasis1 4 2 2 2" xfId="16553" xr:uid="{B2D08750-6A13-45F8-8929-9B41528CB527}"/>
    <cellStyle name="20% - Énfasis1 4 2 2_1.2.b" xfId="14826" xr:uid="{EE5315DC-FE65-49E7-B7E8-286155A9BD0A}"/>
    <cellStyle name="20% - Énfasis1 4 2 3" xfId="12474" xr:uid="{6D1F5E74-B5BA-4DE9-9D2B-D7CECC8D7845}"/>
    <cellStyle name="20% - Énfasis1 4 2 4" xfId="16552" xr:uid="{91A85964-DF36-43AE-A3F1-443F6A9F5899}"/>
    <cellStyle name="20% - Énfasis1 4 2 5" xfId="18112" xr:uid="{2F4989E2-F493-4B13-AF87-38044C5276A3}"/>
    <cellStyle name="20% - Énfasis1 4 2 6" xfId="18268" xr:uid="{E0849738-D9E6-4D8D-A50F-369112105B22}"/>
    <cellStyle name="20% - Énfasis1 4 2 7" xfId="18143" xr:uid="{A4CB70AF-F44D-4F16-BEB5-19087B26F1FE}"/>
    <cellStyle name="20% - Énfasis1 4 2 8" xfId="18281" xr:uid="{1E9BEB7A-9756-4780-9DC5-D9E456F27A10}"/>
    <cellStyle name="20% - Énfasis1 4 2_1.2.b" xfId="14825" xr:uid="{573BC9EF-E8F4-44CC-9650-423B655F5B1E}"/>
    <cellStyle name="20% - Énfasis1 4 3" xfId="12476" xr:uid="{18AF64B5-EBF9-4432-ACF5-1976CC78FFEA}"/>
    <cellStyle name="20% - Énfasis1 4 3 2" xfId="16554" xr:uid="{9ECA14B0-8888-4764-ADF1-279CA999DADA}"/>
    <cellStyle name="20% - Énfasis1 4 3_1.2.b" xfId="14827" xr:uid="{0800F830-5B63-4B41-AB64-9CD351C91925}"/>
    <cellStyle name="20% - Énfasis1 4 4" xfId="12477" xr:uid="{4C750ABB-92F1-4EE6-BB81-9FF7800078D5}"/>
    <cellStyle name="20% - Énfasis1 4 4 2" xfId="16555" xr:uid="{BB7BAC7B-FF93-4644-8CA2-3E4005B1720E}"/>
    <cellStyle name="20% - Énfasis1 4 4_1.2.b" xfId="14828" xr:uid="{9E831DCE-52ED-43C3-B61B-CF5B1219A3DA}"/>
    <cellStyle name="20% - Énfasis1 4 5" xfId="12478" xr:uid="{3DAE89DC-0883-4CEC-917F-9BB1CFE1E9F2}"/>
    <cellStyle name="20% - Énfasis1 4 5 2" xfId="16556" xr:uid="{BC97C8F2-036E-4387-9BCF-B54F6468B0B6}"/>
    <cellStyle name="20% - Énfasis1 4 5_1.2.b" xfId="14829" xr:uid="{629540E7-7846-40B8-BF8A-11595B9CC0E8}"/>
    <cellStyle name="20% - Énfasis1 4 6" xfId="12479" xr:uid="{710CD777-3EBA-4D3C-8B1A-7705DBB14AB8}"/>
    <cellStyle name="20% - Énfasis1 4 6 2" xfId="16557" xr:uid="{F71B0C60-CFD9-4A0D-BAC5-1128B3D1D221}"/>
    <cellStyle name="20% - Énfasis1 4 6_1.2.b" xfId="14830" xr:uid="{CE2D1D71-CD23-4C41-A975-A3114ECA5E7C}"/>
    <cellStyle name="20% - Énfasis1 4 7" xfId="12473" xr:uid="{EFDABC86-AB21-4142-AAA1-A6DDB9AD6B36}"/>
    <cellStyle name="20% - Énfasis1 4 8" xfId="16551" xr:uid="{91157963-F18F-4542-89E3-636B4D15068C}"/>
    <cellStyle name="20% - Énfasis1 4_1.2.b" xfId="14824" xr:uid="{EFAABD4E-88D7-42CB-B548-6DDAFFEB378E}"/>
    <cellStyle name="20% - Énfasis1 40" xfId="12480" xr:uid="{4A80DFA9-CDDC-48CB-A813-883DDF0BF7D4}"/>
    <cellStyle name="20% - Énfasis1 40 2" xfId="16558" xr:uid="{FC7AD74B-9BE9-403D-B200-FB1A449F022E}"/>
    <cellStyle name="20% - Énfasis1 40_1.2.b" xfId="14831" xr:uid="{C2EB83B0-6236-473A-AF3D-E7A940060AF6}"/>
    <cellStyle name="20% - Énfasis1 41" xfId="12481" xr:uid="{E5025A50-9D38-4A2A-B016-BDDD940846D2}"/>
    <cellStyle name="20% - Énfasis1 41 2" xfId="16559" xr:uid="{21D52CB6-C1CE-4562-BD6E-A3EC9DC9C123}"/>
    <cellStyle name="20% - Énfasis1 41_1.2.b" xfId="14832" xr:uid="{52C71A1C-1768-4AC0-B0F7-8A265C2C0168}"/>
    <cellStyle name="20% - Énfasis1 42" xfId="12482" xr:uid="{16EF7778-62B1-4441-A8BB-6643927F1ECD}"/>
    <cellStyle name="20% - Énfasis1 42 2" xfId="16560" xr:uid="{DD0C25DF-B144-43E2-B45E-0C53A59081B4}"/>
    <cellStyle name="20% - Énfasis1 42_1.2.b" xfId="14833" xr:uid="{2AE0E06D-EA27-4C75-AF76-842903E41FF4}"/>
    <cellStyle name="20% - Énfasis1 43" xfId="12483" xr:uid="{ECD69C49-711D-40F7-8F02-46133D4622E2}"/>
    <cellStyle name="20% - Énfasis1 43 2" xfId="16561" xr:uid="{508EA71B-C9D2-46D5-B916-0D32855E209B}"/>
    <cellStyle name="20% - Énfasis1 43_1.2.b" xfId="14834" xr:uid="{B0EDACDF-2CE4-41CD-9D4C-5178CBCDA913}"/>
    <cellStyle name="20% - Énfasis1 44" xfId="12484" xr:uid="{CCF8B539-1088-4C0A-810B-AA5241B033B7}"/>
    <cellStyle name="20% - Énfasis1 44 2" xfId="16562" xr:uid="{083EBBCF-9FB2-453A-9EF6-2BE9AC0E7C05}"/>
    <cellStyle name="20% - Énfasis1 44_1.2.b" xfId="14835" xr:uid="{BFE14108-1F7D-4A09-9F6E-8F6578BDE589}"/>
    <cellStyle name="20% - Énfasis1 45" xfId="12485" xr:uid="{0EC99B90-593A-4EC1-AA0D-117DE8D592C3}"/>
    <cellStyle name="20% - Énfasis1 45 2" xfId="16563" xr:uid="{F4A12883-93CB-4DDD-A622-AF2D4C0E456A}"/>
    <cellStyle name="20% - Énfasis1 45_1.2.b" xfId="14836" xr:uid="{DE9ACC1B-AC57-4669-8B59-90B8861721B2}"/>
    <cellStyle name="20% - Énfasis1 46" xfId="12486" xr:uid="{E86369AB-D5C9-4650-8BF6-CDE691DDFE7B}"/>
    <cellStyle name="20% - Énfasis1 46 2" xfId="16564" xr:uid="{EE0A2359-8730-43BB-8FE4-88664865EBA0}"/>
    <cellStyle name="20% - Énfasis1 46_1.2.b" xfId="14837" xr:uid="{4BC6FC0B-AC57-424E-BD68-0664B4E95161}"/>
    <cellStyle name="20% - Énfasis1 47" xfId="12487" xr:uid="{F55EBD10-4E63-4151-A919-590A501A6530}"/>
    <cellStyle name="20% - Énfasis1 47 2" xfId="16565" xr:uid="{63F890A1-ADF0-4BED-B00C-AF57C55F2DD7}"/>
    <cellStyle name="20% - Énfasis1 47_1.2.b" xfId="14838" xr:uid="{B99ABA05-7296-44A2-8960-CFE4327D80C4}"/>
    <cellStyle name="20% - Énfasis1 48" xfId="12488" xr:uid="{744F8301-E0A0-4FB6-9C0E-A14FFA9073E0}"/>
    <cellStyle name="20% - Énfasis1 48 2" xfId="16566" xr:uid="{9733A5BE-3575-4FC3-AF49-D63B2D66B296}"/>
    <cellStyle name="20% - Énfasis1 48_1.2.b" xfId="14839" xr:uid="{7E67B13E-EEB2-416E-ADDB-A3566D87B192}"/>
    <cellStyle name="20% - Énfasis1 49" xfId="12489" xr:uid="{E4C07547-8CAE-453C-B1D2-D580973BD08C}"/>
    <cellStyle name="20% - Énfasis1 49 2" xfId="16567" xr:uid="{D56F78A9-47FD-4414-A072-FB30264D0F9B}"/>
    <cellStyle name="20% - Énfasis1 49_1.2.b" xfId="14840" xr:uid="{D1FA3131-730D-4804-B6BD-8BA5DEC75C42}"/>
    <cellStyle name="20% - Énfasis1 5" xfId="189" xr:uid="{00000000-0005-0000-0000-000014000000}"/>
    <cellStyle name="20% - Énfasis1 5 2" xfId="10709" xr:uid="{00000000-0005-0000-0000-000015000000}"/>
    <cellStyle name="20% - Énfasis1 5 2 2" xfId="12491" xr:uid="{E39B1E4E-51A9-40AB-8A26-78592AA6441C}"/>
    <cellStyle name="20% - Énfasis1 5 2 3" xfId="16569" xr:uid="{EAA7AFBA-E818-49B5-A433-6DB6A2833FBE}"/>
    <cellStyle name="20% - Énfasis1 5 2_1.2.b" xfId="14842" xr:uid="{DE133259-1BE9-4CA1-8AE3-9B49DBD18745}"/>
    <cellStyle name="20% - Énfasis1 5 3" xfId="12492" xr:uid="{EDE42DD8-C6AA-4BA5-A412-706B4676E686}"/>
    <cellStyle name="20% - Énfasis1 5 3 2" xfId="16570" xr:uid="{7E0AE50A-EA78-4D6A-8549-7B0869F28F99}"/>
    <cellStyle name="20% - Énfasis1 5 3_1.2.b" xfId="14843" xr:uid="{C39D4B9A-AF8B-43C6-A2C1-C417A284E325}"/>
    <cellStyle name="20% - Énfasis1 5 4" xfId="12490" xr:uid="{6B9BC48A-7054-4467-8372-C67C934C4E9F}"/>
    <cellStyle name="20% - Énfasis1 5 5" xfId="16568" xr:uid="{F398AA52-21AE-45C8-A30D-6A791780F429}"/>
    <cellStyle name="20% - Énfasis1 5_1.2.b" xfId="14841" xr:uid="{C98754BE-CFC7-4607-ADCB-52A7E607305E}"/>
    <cellStyle name="20% - Énfasis1 50" xfId="12493" xr:uid="{9361A56D-AA73-47C7-A43E-771AE1DB3D3E}"/>
    <cellStyle name="20% - Énfasis1 50 2" xfId="16571" xr:uid="{A88414C2-357E-48A4-9E2C-DF0690332FD9}"/>
    <cellStyle name="20% - Énfasis1 50_1.2.b" xfId="14844" xr:uid="{5EABD753-C80F-46BD-85C7-E97FB0C77670}"/>
    <cellStyle name="20% - Énfasis1 51" xfId="12494" xr:uid="{13348A0C-0A7C-4E81-A036-F7B307917C57}"/>
    <cellStyle name="20% - Énfasis1 51 2" xfId="16572" xr:uid="{C4D2FC24-D1E9-4F15-BFF3-3329B723C4B4}"/>
    <cellStyle name="20% - Énfasis1 51_1.2.b" xfId="14845" xr:uid="{BDD1FE05-9634-42B3-B89D-E0E8C9132E7E}"/>
    <cellStyle name="20% - Énfasis1 52" xfId="12495" xr:uid="{ACEA6CDF-7903-4DA1-80D4-AB30E38B8565}"/>
    <cellStyle name="20% - Énfasis1 52 2" xfId="16573" xr:uid="{71E37A69-5372-47E2-8057-FA7938718148}"/>
    <cellStyle name="20% - Énfasis1 52_1.2.b" xfId="14846" xr:uid="{E17E626A-8F73-4BC9-8B1D-10FE95DA4DFD}"/>
    <cellStyle name="20% - Énfasis1 53" xfId="12496" xr:uid="{64C870DD-2FDF-4797-B6FE-544961B80761}"/>
    <cellStyle name="20% - Énfasis1 53 2" xfId="16574" xr:uid="{73A344D4-95FA-427F-87A0-005C412CF88B}"/>
    <cellStyle name="20% - Énfasis1 53_1.2.b" xfId="14847" xr:uid="{75578B19-80F7-4389-BDC0-2D465C522517}"/>
    <cellStyle name="20% - Énfasis1 54" xfId="12497" xr:uid="{2954CEBA-12BA-4ED4-BEFE-CE7DA5F07E51}"/>
    <cellStyle name="20% - Énfasis1 54 2" xfId="16575" xr:uid="{2F61BE50-8AE6-4210-AF56-3A9F4D6E06C8}"/>
    <cellStyle name="20% - Énfasis1 54_1.2.b" xfId="14848" xr:uid="{643D35E6-4099-4B75-BF65-E86C12B6F80E}"/>
    <cellStyle name="20% - Énfasis1 55" xfId="12498" xr:uid="{E320D6F7-40EC-4169-AA3B-DCADA23AF7CD}"/>
    <cellStyle name="20% - Énfasis1 55 2" xfId="16576" xr:uid="{F1BFEFCA-9510-41CF-B5C9-9AF02758FD68}"/>
    <cellStyle name="20% - Énfasis1 55_1.2.b" xfId="14849" xr:uid="{DD0814D9-8058-4586-A814-6A867BEF14FB}"/>
    <cellStyle name="20% - Énfasis1 56" xfId="12499" xr:uid="{C3AE5C31-92E4-43EA-B925-5254EF7A2D28}"/>
    <cellStyle name="20% - Énfasis1 56 2" xfId="16577" xr:uid="{217FBABF-FAF5-4E7E-96AC-06117658B37F}"/>
    <cellStyle name="20% - Énfasis1 56_1.2.b" xfId="14850" xr:uid="{C06AA589-10EC-4B26-A9AF-067366E10873}"/>
    <cellStyle name="20% - Énfasis1 57" xfId="12500" xr:uid="{D9C234AA-2DC8-4F08-8320-C3F59AFF0DF2}"/>
    <cellStyle name="20% - Énfasis1 57 2" xfId="16578" xr:uid="{6E98969B-0C24-4001-BA68-3B35A18A52EA}"/>
    <cellStyle name="20% - Énfasis1 57_1.2.b" xfId="14851" xr:uid="{C81B766E-A834-4543-A00E-02708B58003D}"/>
    <cellStyle name="20% - Énfasis1 58" xfId="12501" xr:uid="{9E9F74BE-E2E5-4BDC-A884-6CE35707B4F4}"/>
    <cellStyle name="20% - Énfasis1 58 2" xfId="16579" xr:uid="{68438075-F817-4159-BB7A-13E7255CDA1F}"/>
    <cellStyle name="20% - Énfasis1 58_1.2.b" xfId="14852" xr:uid="{E92E1DCD-0A93-4124-BE03-9D0B19E925A2}"/>
    <cellStyle name="20% - Énfasis1 59" xfId="12502" xr:uid="{8C14F3D2-CFC4-4431-B869-73213E73A79C}"/>
    <cellStyle name="20% - Énfasis1 59 2" xfId="16580" xr:uid="{5FD14D7B-1715-45AC-84EC-EA27DE4A3F01}"/>
    <cellStyle name="20% - Énfasis1 59_1.2.b" xfId="14853" xr:uid="{47C6F707-AA59-4D90-A0BA-3A4EE7EB8FAE}"/>
    <cellStyle name="20% - Énfasis1 6" xfId="203" xr:uid="{00000000-0005-0000-0000-000016000000}"/>
    <cellStyle name="20% - Énfasis1 6 2" xfId="10723" xr:uid="{00000000-0005-0000-0000-000017000000}"/>
    <cellStyle name="20% - Énfasis1 6 2 2" xfId="12504" xr:uid="{2D8F16FC-2D8D-4365-8CA9-191F111778DA}"/>
    <cellStyle name="20% - Énfasis1 6 2 3" xfId="16582" xr:uid="{38098BEC-746F-4523-9B29-C12B5CAF6AA4}"/>
    <cellStyle name="20% - Énfasis1 6 2_1.2.b" xfId="14855" xr:uid="{A6DF8C00-FB7B-4B97-92CA-13AAA49B2E21}"/>
    <cellStyle name="20% - Énfasis1 6 3" xfId="12503" xr:uid="{44B0F6D6-612F-4A4B-9E5C-C8D8F2F10BB0}"/>
    <cellStyle name="20% - Énfasis1 6 4" xfId="16581" xr:uid="{AA9E5669-25E7-4829-8B08-3EF7064D81E4}"/>
    <cellStyle name="20% - Énfasis1 6_1.2.b" xfId="14854" xr:uid="{792491FA-531F-423C-9C8B-DE03B7F234DB}"/>
    <cellStyle name="20% - Énfasis1 60" xfId="12505" xr:uid="{1AC0EB8F-022A-4D03-841E-07D40AF3D0CD}"/>
    <cellStyle name="20% - Énfasis1 60 2" xfId="16583" xr:uid="{D6F5AC51-6B13-4DDD-A021-46D7EDD8207A}"/>
    <cellStyle name="20% - Énfasis1 60_1.2.b" xfId="14856" xr:uid="{CE29E116-60DB-486A-8662-4912DEA8B5ED}"/>
    <cellStyle name="20% - Énfasis1 61" xfId="12506" xr:uid="{5AA45871-AD03-4462-8C45-C338E9674559}"/>
    <cellStyle name="20% - Énfasis1 61 2" xfId="16584" xr:uid="{BDC6243B-DA42-4968-A8A4-534B66A2F9C4}"/>
    <cellStyle name="20% - Énfasis1 61_1.2.b" xfId="14857" xr:uid="{823D67C9-F19B-419A-BE25-40644B73E222}"/>
    <cellStyle name="20% - Énfasis1 62" xfId="12507" xr:uid="{B53B3933-63F4-45EE-A2C8-C9EE13E25C25}"/>
    <cellStyle name="20% - Énfasis1 62 2" xfId="16585" xr:uid="{91F675A0-BCDE-4BC8-91F3-BEB31B7F90AE}"/>
    <cellStyle name="20% - Énfasis1 62_1.2.b" xfId="14858" xr:uid="{E8107EE4-96F4-46C6-AE47-D2CB44C960C3}"/>
    <cellStyle name="20% - Énfasis1 63" xfId="12508" xr:uid="{45CF8446-F6CA-483B-9535-038B96E23E34}"/>
    <cellStyle name="20% - Énfasis1 63 2" xfId="16586" xr:uid="{91E81527-762D-4BEA-848C-B6E3D7D56AC5}"/>
    <cellStyle name="20% - Énfasis1 63_1.2.b" xfId="14859" xr:uid="{4520487A-4156-440C-95CB-9FDEFB5B4116}"/>
    <cellStyle name="20% - Énfasis1 64" xfId="12509" xr:uid="{514FA450-7453-4678-A11A-11B8681E5E60}"/>
    <cellStyle name="20% - Énfasis1 64 2" xfId="16587" xr:uid="{3580A51A-5AAB-46CA-A152-C64C11DBF211}"/>
    <cellStyle name="20% - Énfasis1 64_1.2.b" xfId="14860" xr:uid="{2320365D-C581-4BE6-8ED8-93B87B28EDCE}"/>
    <cellStyle name="20% - Énfasis1 65" xfId="12510" xr:uid="{84EB05D9-0F39-4FFD-8B40-D84246E8B0FF}"/>
    <cellStyle name="20% - Énfasis1 65 2" xfId="16588" xr:uid="{56B03604-07D3-4169-8DE1-ADB14ACDACE2}"/>
    <cellStyle name="20% - Énfasis1 65_1.2.b" xfId="14861" xr:uid="{4B644AF9-C342-4698-8EE4-CCCAD20C8006}"/>
    <cellStyle name="20% - Énfasis1 66" xfId="12511" xr:uid="{F04A2809-80F1-460A-BCA4-5FEC6E4CFB48}"/>
    <cellStyle name="20% - Énfasis1 66 2" xfId="16589" xr:uid="{AA0F4F52-F38F-49B2-9B29-60D23DE9561C}"/>
    <cellStyle name="20% - Énfasis1 66_1.2.b" xfId="14862" xr:uid="{BA165673-86E0-4BF4-BA3E-05A2A38EAF1A}"/>
    <cellStyle name="20% - Énfasis1 67" xfId="12512" xr:uid="{9FA02F87-0621-468D-84F7-A95103B1810A}"/>
    <cellStyle name="20% - Énfasis1 67 2" xfId="16590" xr:uid="{47E41F05-CD29-4945-8E12-72902A79FAB3}"/>
    <cellStyle name="20% - Énfasis1 67_1.2.b" xfId="14863" xr:uid="{7ECC4984-166D-412D-8D80-DD29FEF51162}"/>
    <cellStyle name="20% - Énfasis1 68" xfId="12513" xr:uid="{41BFA88D-208A-42C6-A320-E820ACA16F54}"/>
    <cellStyle name="20% - Énfasis1 68 2" xfId="16591" xr:uid="{D6078D3F-5460-493A-9290-D5D6C30FA08A}"/>
    <cellStyle name="20% - Énfasis1 68_1.2.b" xfId="14864" xr:uid="{410AC220-75BC-42B1-A82D-984F4AC3D17D}"/>
    <cellStyle name="20% - Énfasis1 69" xfId="12514" xr:uid="{C85B7D84-F1F6-4582-B59E-3320F6513E3D}"/>
    <cellStyle name="20% - Énfasis1 69 2" xfId="16592" xr:uid="{5B16D9F8-D9DE-4A51-B6A5-2155C5546DDD}"/>
    <cellStyle name="20% - Énfasis1 69_1.2.b" xfId="14865" xr:uid="{29B81254-4BE1-4B52-A120-41C9A41D97F4}"/>
    <cellStyle name="20% - Énfasis1 7" xfId="9827" xr:uid="{00000000-0005-0000-0000-000018000000}"/>
    <cellStyle name="20% - Énfasis1 7 2" xfId="11613" xr:uid="{00000000-0005-0000-0000-000019000000}"/>
    <cellStyle name="20% - Énfasis1 7 2 2" xfId="12516" xr:uid="{F69624E9-E369-4A8D-ACBD-7686B9C0AA5E}"/>
    <cellStyle name="20% - Énfasis1 7 2 3" xfId="16594" xr:uid="{63D52C4F-1C6E-4726-92CB-CB2B9F55E1F7}"/>
    <cellStyle name="20% - Énfasis1 7 2_1.2.b" xfId="14867" xr:uid="{C6CB5B53-6991-4EF1-B1B1-47BF02C24765}"/>
    <cellStyle name="20% - Énfasis1 7 3" xfId="12515" xr:uid="{7134C1D4-AC60-41FA-BFD9-8AC47808023C}"/>
    <cellStyle name="20% - Énfasis1 7 4" xfId="16593" xr:uid="{6A341C9E-67DB-4C08-ABAD-C0C4B8E618E5}"/>
    <cellStyle name="20% - Énfasis1 7_1.2.b" xfId="14866" xr:uid="{75DD33BA-E2D7-40ED-B3B5-42C1C0C0E953}"/>
    <cellStyle name="20% - Énfasis1 70" xfId="12517" xr:uid="{993DC290-8D0C-440B-959B-41EAA3F00CBB}"/>
    <cellStyle name="20% - Énfasis1 70 2" xfId="16595" xr:uid="{7393DB28-693E-4D1D-BB9F-17C6668BCDBF}"/>
    <cellStyle name="20% - Énfasis1 70_1.2.b" xfId="14868" xr:uid="{A759807D-89B6-4433-A3C6-005811B4FA63}"/>
    <cellStyle name="20% - Énfasis1 71" xfId="12518" xr:uid="{6ABB4734-14BF-4774-8AF6-C08A38F905EA}"/>
    <cellStyle name="20% - Énfasis1 71 2" xfId="16596" xr:uid="{A97B65CC-F962-4957-9ADB-BBD71BBA9C90}"/>
    <cellStyle name="20% - Énfasis1 71_1.2.b" xfId="14869" xr:uid="{C74E75EF-66EE-404F-AB64-3E54812E7682}"/>
    <cellStyle name="20% - Énfasis1 72" xfId="12519" xr:uid="{49664BB6-3285-4229-9C99-01B7E4B6706D}"/>
    <cellStyle name="20% - Énfasis1 72 2" xfId="16597" xr:uid="{97F41C1E-D8E6-42C6-A849-389478A94B75}"/>
    <cellStyle name="20% - Énfasis1 72_1.2.b" xfId="14870" xr:uid="{FB3D9260-ED54-4E53-85E4-3006BDBE4247}"/>
    <cellStyle name="20% - Énfasis1 73" xfId="12520" xr:uid="{DEBD5E84-67A4-47A7-86A3-B14AD438FBEF}"/>
    <cellStyle name="20% - Énfasis1 73 2" xfId="16598" xr:uid="{02784069-8448-48EB-B5CF-E3B87BC6317A}"/>
    <cellStyle name="20% - Énfasis1 73_1.2.b" xfId="14871" xr:uid="{60954488-B45D-423E-AA3B-0A58E87C1835}"/>
    <cellStyle name="20% - Énfasis1 74" xfId="12521" xr:uid="{3474962D-0565-4AFD-B1DC-FBDA7FE229A9}"/>
    <cellStyle name="20% - Énfasis1 74 2" xfId="16599" xr:uid="{27D19CA1-A1E3-4051-AF9C-A5643870DA00}"/>
    <cellStyle name="20% - Énfasis1 74_1.2.b" xfId="14872" xr:uid="{1CF3853E-F8B1-47EE-BB0D-11017BDC35D4}"/>
    <cellStyle name="20% - Énfasis1 75" xfId="12522" xr:uid="{1EFB879F-E002-4896-88AC-5B44DF3BA8F9}"/>
    <cellStyle name="20% - Énfasis1 75 2" xfId="16600" xr:uid="{FE18911F-ACA9-4545-B229-77F7663747B8}"/>
    <cellStyle name="20% - Énfasis1 75_1.2.b" xfId="14873" xr:uid="{3051EA75-B6F2-4F56-BF6A-D12073A43EF8}"/>
    <cellStyle name="20% - Énfasis1 76" xfId="12523" xr:uid="{AAE32DEE-C0D9-4B70-B24A-DC991484B8C2}"/>
    <cellStyle name="20% - Énfasis1 76 2" xfId="16601" xr:uid="{04352BCE-E685-4097-84AC-4F4C9074E63B}"/>
    <cellStyle name="20% - Énfasis1 76_1.2.b" xfId="14874" xr:uid="{24C9791A-3226-4B81-94BF-FEFDFE2BF0EE}"/>
    <cellStyle name="20% - Énfasis1 77" xfId="12524" xr:uid="{F08AA9FE-439B-4848-B59F-1523EF5933EA}"/>
    <cellStyle name="20% - Énfasis1 77 2" xfId="16602" xr:uid="{7484BCB7-BD82-49D4-9415-7DBB9818223E}"/>
    <cellStyle name="20% - Énfasis1 77_1.2.b" xfId="14875" xr:uid="{1405C76D-BA91-4C01-9208-CDAEF0F474E9}"/>
    <cellStyle name="20% - Énfasis1 78" xfId="12525" xr:uid="{503B1FAF-5688-40B0-A742-508D8A12E229}"/>
    <cellStyle name="20% - Énfasis1 78 2" xfId="16603" xr:uid="{05D4B704-1BAB-49BB-9991-2C16DE089525}"/>
    <cellStyle name="20% - Énfasis1 78_1.2.b" xfId="14876" xr:uid="{2BAF8E19-243A-4662-A248-2FFFE68E7CC5}"/>
    <cellStyle name="20% - Énfasis1 79" xfId="12526" xr:uid="{0E97E047-49F4-4FC3-8178-8ECC62AC3395}"/>
    <cellStyle name="20% - Énfasis1 79 2" xfId="16604" xr:uid="{94D8AD35-0387-41FA-90AC-5A6BD510AE44}"/>
    <cellStyle name="20% - Énfasis1 79_1.2.b" xfId="14877" xr:uid="{9AEF2310-AEA6-49A2-A58F-FF62021C82EA}"/>
    <cellStyle name="20% - Énfasis1 8" xfId="9846" xr:uid="{00000000-0005-0000-0000-00001A000000}"/>
    <cellStyle name="20% - Énfasis1 8 2" xfId="11631" xr:uid="{00000000-0005-0000-0000-00001B000000}"/>
    <cellStyle name="20% - Énfasis1 8 2 2" xfId="12528" xr:uid="{4956E666-D0E4-44F9-9974-7094088C6349}"/>
    <cellStyle name="20% - Énfasis1 8 2 3" xfId="16606" xr:uid="{C160DAFE-81C2-4AF3-B7BD-2B964E8B0360}"/>
    <cellStyle name="20% - Énfasis1 8 2_1.2.b" xfId="14879" xr:uid="{BE124A93-ED7C-4150-8428-75ADDD3E3EA3}"/>
    <cellStyle name="20% - Énfasis1 8 3" xfId="12527" xr:uid="{41DFAA93-29BC-47AF-95C5-7B14C79F71F8}"/>
    <cellStyle name="20% - Énfasis1 8 4" xfId="16605" xr:uid="{FED4A1DB-A870-44C5-9A3D-B3C4F680EA5C}"/>
    <cellStyle name="20% - Énfasis1 8_1.2.b" xfId="14878" xr:uid="{84FECD3F-0A5C-4D0A-80BB-E8DDC591488F}"/>
    <cellStyle name="20% - Énfasis1 80" xfId="12529" xr:uid="{5FA860B5-7DD4-46C1-BA40-D734EE683DD0}"/>
    <cellStyle name="20% - Énfasis1 80 2" xfId="16607" xr:uid="{79D08D59-EDE0-42A4-91B6-DD8EBF9B6974}"/>
    <cellStyle name="20% - Énfasis1 80_1.2.b" xfId="14880" xr:uid="{D0662EE0-7612-407E-BFD2-256E3374059D}"/>
    <cellStyle name="20% - Énfasis1 81" xfId="12530" xr:uid="{BABD3396-CFE8-40D9-8195-8EABBF9A2D39}"/>
    <cellStyle name="20% - Énfasis1 81 2" xfId="16608" xr:uid="{78AE63FD-82CF-4363-B95D-944868EB2C9C}"/>
    <cellStyle name="20% - Énfasis1 81_1.2.b" xfId="14881" xr:uid="{A75A8CDF-9477-4AB2-A957-7B7455165154}"/>
    <cellStyle name="20% - Énfasis1 82" xfId="12531" xr:uid="{D55CD329-DB5B-400C-A762-89EEABB89C2B}"/>
    <cellStyle name="20% - Énfasis1 82 2" xfId="16609" xr:uid="{8C8BAB76-02E1-4456-986A-63F3652C7B49}"/>
    <cellStyle name="20% - Énfasis1 82_1.2.b" xfId="14882" xr:uid="{1A0D1FDD-1BB4-4CB6-B06D-88E79C544A55}"/>
    <cellStyle name="20% - Énfasis1 83" xfId="12532" xr:uid="{BBB1D14D-04B6-4473-80E5-9A564C3B6983}"/>
    <cellStyle name="20% - Énfasis1 83 2" xfId="16610" xr:uid="{8B1FB2F7-1EF8-401D-A9B0-7AA7CB19F399}"/>
    <cellStyle name="20% - Énfasis1 83_1.2.b" xfId="14883" xr:uid="{368E2A66-0BCD-4E6E-829E-81A251A7EDE7}"/>
    <cellStyle name="20% - Énfasis1 84" xfId="12533" xr:uid="{C9CDD5D9-10CA-4150-8B56-883C87D4DAC3}"/>
    <cellStyle name="20% - Énfasis1 84 2" xfId="16611" xr:uid="{CAC28D05-3CEB-451C-B165-F490CE243BF1}"/>
    <cellStyle name="20% - Énfasis1 84_1.2.b" xfId="14884" xr:uid="{BB5386DD-F919-48BA-B827-5E1CFD1DA460}"/>
    <cellStyle name="20% - Énfasis1 85" xfId="12534" xr:uid="{340AC7D9-AEC2-406A-9946-1556F08EA289}"/>
    <cellStyle name="20% - Énfasis1 85 2" xfId="16612" xr:uid="{9DDA9108-60F8-455E-BE2E-F37D82485615}"/>
    <cellStyle name="20% - Énfasis1 85_1.2.b" xfId="14885" xr:uid="{A09E1418-D011-47EA-8597-83E8D6DD0081}"/>
    <cellStyle name="20% - Énfasis1 86" xfId="12535" xr:uid="{27D803E9-189E-414C-BDEE-F7FFB514420A}"/>
    <cellStyle name="20% - Énfasis1 86 2" xfId="16613" xr:uid="{030C72A5-E06D-4E4F-B2CB-7D7D95C404E3}"/>
    <cellStyle name="20% - Énfasis1 86_1.2.b" xfId="14886" xr:uid="{FB35E668-90B4-4448-9D79-32B0BD4E374F}"/>
    <cellStyle name="20% - Énfasis1 87" xfId="12536" xr:uid="{B3FD5FB0-1061-4593-9E21-A7F2B0A01A69}"/>
    <cellStyle name="20% - Énfasis1 87 2" xfId="16614" xr:uid="{C6983632-1E72-4C38-B59F-C1ABA713A27A}"/>
    <cellStyle name="20% - Énfasis1 87_1.2.b" xfId="14887" xr:uid="{7CDFBFA2-6837-46ED-9E5F-63857F76767A}"/>
    <cellStyle name="20% - Énfasis1 88" xfId="12537" xr:uid="{90E5E8AE-6432-4797-B28F-91AD8BB7061A}"/>
    <cellStyle name="20% - Énfasis1 88 2" xfId="16615" xr:uid="{C813A5FF-BEC6-41DB-B547-75A037B025EA}"/>
    <cellStyle name="20% - Énfasis1 88_1.2.b" xfId="14888" xr:uid="{BA32BE68-BC07-4286-B2B6-862B1F937151}"/>
    <cellStyle name="20% - Énfasis1 89" xfId="12538" xr:uid="{85594A1A-3725-4F14-9CD0-FD5F3EE1BFD5}"/>
    <cellStyle name="20% - Énfasis1 89 2" xfId="16616" xr:uid="{F0D8230E-C73C-4F32-A753-75E1BBC5C33D}"/>
    <cellStyle name="20% - Énfasis1 89_1.2.b" xfId="14889" xr:uid="{AE460BBA-461A-48AF-BE37-561E499024D4}"/>
    <cellStyle name="20% - Énfasis1 9" xfId="9865" xr:uid="{00000000-0005-0000-0000-00001C000000}"/>
    <cellStyle name="20% - Énfasis1 9 2" xfId="12540" xr:uid="{6BA0ED07-ECB3-4839-955C-D2D2F95FD13F}"/>
    <cellStyle name="20% - Énfasis1 9 2 2" xfId="16618" xr:uid="{B0D656A1-3796-4FFB-B9F1-CFCB7A8000EA}"/>
    <cellStyle name="20% - Énfasis1 9 2_1.2.b" xfId="14890" xr:uid="{C2A07203-40E8-46E7-B8D9-7C9F3E84A692}"/>
    <cellStyle name="20% - Énfasis1 9 3" xfId="12539" xr:uid="{28ACD4FF-3F09-48F3-8E99-4681753EE2AE}"/>
    <cellStyle name="20% - Énfasis1 9 4" xfId="16617" xr:uid="{13C24310-B58E-4970-960A-C9F22D2E63FE}"/>
    <cellStyle name="20% - Énfasis1 90" xfId="12541" xr:uid="{55373E35-4DDA-4A8C-95FC-70EFCD9FE6F2}"/>
    <cellStyle name="20% - Énfasis1 90 2" xfId="16619" xr:uid="{57C65D8D-AFFF-481C-A318-683B1EDABC48}"/>
    <cellStyle name="20% - Énfasis1 90_1.2.b" xfId="14891" xr:uid="{5FBE00A0-444F-4BEA-8397-829BEB6C6D93}"/>
    <cellStyle name="20% - Énfasis1 91" xfId="12542" xr:uid="{74E85040-5A93-4E4F-8010-462BCF47AB6E}"/>
    <cellStyle name="20% - Énfasis1 91 2" xfId="16620" xr:uid="{8825C428-6A96-43A0-9DFA-04F212A95EA7}"/>
    <cellStyle name="20% - Énfasis1 91_1.2.b" xfId="14892" xr:uid="{39C3EBE3-7664-4750-B78C-E38C91236A55}"/>
    <cellStyle name="20% - Énfasis1 92" xfId="12543" xr:uid="{6D03CAB5-6A1B-49BF-A4B7-40DDE0B4AEF6}"/>
    <cellStyle name="20% - Énfasis1 92 2" xfId="16621" xr:uid="{10858BD3-298F-4F47-A5E7-0DD621F09694}"/>
    <cellStyle name="20% - Énfasis1 92_1.2.b" xfId="14893" xr:uid="{56BB0C96-B571-4A14-905D-CACEEEF7CF98}"/>
    <cellStyle name="20% - Énfasis1 93" xfId="12544" xr:uid="{D525577E-64FF-45A0-A90B-86D2DDCDE4B3}"/>
    <cellStyle name="20% - Énfasis1 93 2" xfId="16622" xr:uid="{F952483B-71E3-4C38-A3FA-97D0C93EE8C7}"/>
    <cellStyle name="20% - Énfasis1 93_1.2.b" xfId="14894" xr:uid="{92D3A71E-7C0A-4485-9855-2F2F7C388CD3}"/>
    <cellStyle name="20% - Énfasis1 94" xfId="12545" xr:uid="{24E5303F-A299-4378-A430-DD58AB2CD1E3}"/>
    <cellStyle name="20% - Énfasis1 94 2" xfId="16623" xr:uid="{A0D6A125-A83D-4664-9935-D06975BF4385}"/>
    <cellStyle name="20% - Énfasis1 94_1.2.b" xfId="14895" xr:uid="{8D8F3066-767C-4196-BD8E-22D0F91CDC77}"/>
    <cellStyle name="20% - Énfasis1 95" xfId="12546" xr:uid="{CA83B373-0D81-4137-8D9E-A9C7AB3A354D}"/>
    <cellStyle name="20% - Énfasis1 95 2" xfId="16624" xr:uid="{6C1C2CBD-0C0D-42DC-83B0-F204551A7485}"/>
    <cellStyle name="20% - Énfasis1 95_1.2.b" xfId="14896" xr:uid="{EBB3AA70-5EDF-461E-86C3-90F0DA3D09A8}"/>
    <cellStyle name="20% - Énfasis2 10" xfId="9918" xr:uid="{00000000-0005-0000-0000-00001E000000}"/>
    <cellStyle name="20% - Énfasis2 10 2" xfId="11655" xr:uid="{00000000-0005-0000-0000-00001F000000}"/>
    <cellStyle name="20% - Énfasis2 10 3" xfId="12547" xr:uid="{5CD3577F-7C57-4C73-99EC-CF1D9EAA67A6}"/>
    <cellStyle name="20% - Énfasis2 10_1.2.b" xfId="14897" xr:uid="{CFCCF31D-431F-426E-8328-F9019CB63F2C}"/>
    <cellStyle name="20% - Énfasis2 11" xfId="10185" xr:uid="{00000000-0005-0000-0000-000020000000}"/>
    <cellStyle name="20% - Énfasis2 11 2" xfId="11921" xr:uid="{00000000-0005-0000-0000-000021000000}"/>
    <cellStyle name="20% - Énfasis2 11 3" xfId="12548" xr:uid="{497C6613-6B37-478F-A3C9-B3BFB6B452AC}"/>
    <cellStyle name="20% - Énfasis2 11 4" xfId="16625" xr:uid="{D9280D0D-9BE8-40B5-B692-B79798FD7D7E}"/>
    <cellStyle name="20% - Énfasis2 11_1.2.b" xfId="14898" xr:uid="{5B2EDDCF-2172-42B6-B28F-FBB20A09507F}"/>
    <cellStyle name="20% - Énfasis2 12" xfId="10533" xr:uid="{00000000-0005-0000-0000-000022000000}"/>
    <cellStyle name="20% - Énfasis2 12 2" xfId="12268" xr:uid="{00000000-0005-0000-0000-000023000000}"/>
    <cellStyle name="20% - Énfasis2 12 3" xfId="12549" xr:uid="{D6EB02D5-216D-4B8D-810E-FE0BBA63C420}"/>
    <cellStyle name="20% - Énfasis2 12 4" xfId="16626" xr:uid="{D68C32D6-1163-4771-B566-B0726A6C89D0}"/>
    <cellStyle name="20% - Énfasis2 12_1.2.b" xfId="14899" xr:uid="{1C4C3115-68FF-4B31-AC9F-922DAB626523}"/>
    <cellStyle name="20% - Énfasis2 13" xfId="10580" xr:uid="{00000000-0005-0000-0000-000024000000}"/>
    <cellStyle name="20% - Énfasis2 13 2" xfId="12313" xr:uid="{00000000-0005-0000-0000-000025000000}"/>
    <cellStyle name="20% - Énfasis2 13 3" xfId="12550" xr:uid="{1E929200-F9D2-47DA-A104-2856CE635602}"/>
    <cellStyle name="20% - Énfasis2 13 4" xfId="16627" xr:uid="{22D25435-E940-4EB0-BB7B-A9602EC7DA99}"/>
    <cellStyle name="20% - Énfasis2 13_1.2.b" xfId="14900" xr:uid="{42C2310E-2C87-47F3-A737-99C7125DD05D}"/>
    <cellStyle name="20% - Énfasis2 14" xfId="10600" xr:uid="{00000000-0005-0000-0000-000026000000}"/>
    <cellStyle name="20% - Énfasis2 14 2" xfId="12329" xr:uid="{00000000-0005-0000-0000-000027000000}"/>
    <cellStyle name="20% - Énfasis2 14 3" xfId="12551" xr:uid="{A81FF69D-27CE-46DE-9253-71C65CD72CFB}"/>
    <cellStyle name="20% - Énfasis2 14 4" xfId="16628" xr:uid="{8D404B75-FAE9-488C-B411-91A063435723}"/>
    <cellStyle name="20% - Énfasis2 14_1.2.b" xfId="14901" xr:uid="{357746A5-BA27-446E-AE3E-6240DEC63E71}"/>
    <cellStyle name="20% - Énfasis2 15" xfId="10621" xr:uid="{00000000-0005-0000-0000-000028000000}"/>
    <cellStyle name="20% - Énfasis2 15 2" xfId="12552" xr:uid="{17150AEB-C3CC-444C-BE2E-4156BEBBD15C}"/>
    <cellStyle name="20% - Énfasis2 15 3" xfId="16629" xr:uid="{D3B68FAB-B69F-4F00-BFF9-E8DA35E54DBF}"/>
    <cellStyle name="20% - Énfasis2 15_1.2.b" xfId="14902" xr:uid="{0D903598-36DB-444A-AD6D-D785EDC9E40B}"/>
    <cellStyle name="20% - Énfasis2 16" xfId="12362" xr:uid="{00000000-0005-0000-0000-000029000000}"/>
    <cellStyle name="20% - Énfasis2 16 2" xfId="12553" xr:uid="{72EA3AAE-1AAE-473B-8EE8-3D6ABE1E72FB}"/>
    <cellStyle name="20% - Énfasis2 16 3" xfId="16630" xr:uid="{ACDA078F-166B-4684-92C6-6DF111ED4C53}"/>
    <cellStyle name="20% - Énfasis2 16_1.2.b" xfId="14903" xr:uid="{30F216B0-44C0-4034-873E-5A8DB174434E}"/>
    <cellStyle name="20% - Énfasis2 17" xfId="12377" xr:uid="{00000000-0005-0000-0000-00002A000000}"/>
    <cellStyle name="20% - Énfasis2 17 2" xfId="12554" xr:uid="{A80A1666-6D55-4DEF-87ED-6975F3FE2A7E}"/>
    <cellStyle name="20% - Énfasis2 17 3" xfId="16631" xr:uid="{B5035E56-1550-4A6C-9449-14EC452B89DA}"/>
    <cellStyle name="20% - Énfasis2 17_1.2.b" xfId="14904" xr:uid="{1D62A895-DCCF-4A47-8080-3AA6DB2A95A1}"/>
    <cellStyle name="20% - Énfasis2 18" xfId="12555" xr:uid="{28729650-B31B-48B9-A228-B7AD89685B63}"/>
    <cellStyle name="20% - Énfasis2 18 2" xfId="16632" xr:uid="{156036C7-2866-45EB-93EA-2DD788A79254}"/>
    <cellStyle name="20% - Énfasis2 18_1.2.b" xfId="14905" xr:uid="{65C0E868-D32C-4CB4-8204-44790DD5DE45}"/>
    <cellStyle name="20% - Énfasis2 19" xfId="12556" xr:uid="{DBA9A3A0-D338-43A9-862C-303AC92CB680}"/>
    <cellStyle name="20% - Énfasis2 19 2" xfId="16633" xr:uid="{9D3F5997-2422-4060-B8CE-AC53EA7D8E43}"/>
    <cellStyle name="20% - Énfasis2 19_1.2.b" xfId="14906" xr:uid="{E5CC4A4E-451C-4D29-A291-837CA820E131}"/>
    <cellStyle name="20% - Énfasis2 2" xfId="148" xr:uid="{00000000-0005-0000-0000-00002B000000}"/>
    <cellStyle name="20% - Énfasis2 2 10" xfId="12558" xr:uid="{69D690E5-4447-4AB9-8050-EFEA1C18190E}"/>
    <cellStyle name="20% - Énfasis2 2 10 2" xfId="16635" xr:uid="{402812E2-A279-4164-97BA-8BE22C9F7DAC}"/>
    <cellStyle name="20% - Énfasis2 2 10_1.2.b" xfId="14908" xr:uid="{9FCC473F-4DCF-4974-BDAE-40326FF222AF}"/>
    <cellStyle name="20% - Énfasis2 2 11" xfId="12557" xr:uid="{A84EC656-E1D6-401F-9995-FFFEC43CC234}"/>
    <cellStyle name="20% - Énfasis2 2 12" xfId="16634" xr:uid="{172A9E6E-70FC-4664-BC68-9F4D886F6DEA}"/>
    <cellStyle name="20% - Énfasis2 2 13" xfId="18063" xr:uid="{EA06A220-08B5-4362-B6BC-94AB64EC0DD6}"/>
    <cellStyle name="20% - Énfasis2 2 14" xfId="18280" xr:uid="{088D7C58-412C-4637-83F7-6C1A821EB9B1}"/>
    <cellStyle name="20% - Énfasis2 2 15" xfId="17996" xr:uid="{F8F00F9F-0124-4BCA-AFA7-4DA8129A67F8}"/>
    <cellStyle name="20% - Énfasis2 2 16" xfId="18266" xr:uid="{41C45EC1-FAA1-4468-A1D9-BBEDEED2AF11}"/>
    <cellStyle name="20% - Énfasis2 2 2" xfId="10668" xr:uid="{00000000-0005-0000-0000-00002C000000}"/>
    <cellStyle name="20% - Énfasis2 2 2 2" xfId="12560" xr:uid="{EF5908BB-8559-4553-A102-1F6DCEA66B45}"/>
    <cellStyle name="20% - Énfasis2 2 2 3" xfId="12561" xr:uid="{12E2B22E-E538-4671-8648-C607851C21A7}"/>
    <cellStyle name="20% - Énfasis2 2 2 4" xfId="12562" xr:uid="{52BD4C38-D009-4C3E-A70A-1A8F29AC7F71}"/>
    <cellStyle name="20% - Énfasis2 2 2 5" xfId="12563" xr:uid="{371F45EB-557E-41B3-B48B-24848003F9BF}"/>
    <cellStyle name="20% - Énfasis2 2 2 6" xfId="12559" xr:uid="{29F64488-61F5-4BBA-B89A-4CDA401DA3AA}"/>
    <cellStyle name="20% - Énfasis2 2 2 7" xfId="16636" xr:uid="{C27FA859-7AA4-4BA3-A266-A3B8AEA917D8}"/>
    <cellStyle name="20% - Énfasis2 2 2_1.2.b" xfId="14909" xr:uid="{A3710F7A-3E62-49A5-9C4D-8FBE509E2E0C}"/>
    <cellStyle name="20% - Énfasis2 2 3" xfId="12564" xr:uid="{65FF6ADF-C018-4232-8960-AFDF99672967}"/>
    <cellStyle name="20% - Énfasis2 2 4" xfId="12565" xr:uid="{F3EA0A76-986F-4A94-819A-D395B6BC56BD}"/>
    <cellStyle name="20% - Énfasis2 2 5" xfId="12566" xr:uid="{4AA0A164-B3F6-47DA-9CE0-3B054D8F685A}"/>
    <cellStyle name="20% - Énfasis2 2 6" xfId="12567" xr:uid="{9C9F1F51-0380-4C7E-8F52-573F931B2623}"/>
    <cellStyle name="20% - Énfasis2 2 7" xfId="12568" xr:uid="{ED3DC646-3A32-4794-A3DF-3E1C474164F0}"/>
    <cellStyle name="20% - Énfasis2 2 8" xfId="12569" xr:uid="{1EF615B4-3A6C-4E59-95FD-E161628BC7E2}"/>
    <cellStyle name="20% - Énfasis2 2 9" xfId="12570" xr:uid="{0B4A295C-DAD3-4A68-9E7E-18D5422047CA}"/>
    <cellStyle name="20% - Énfasis2 2 9 2" xfId="16638" xr:uid="{5B7ADEC6-E00C-451A-A769-92FD5061A021}"/>
    <cellStyle name="20% - Énfasis2 2 9_1.2.b" xfId="14910" xr:uid="{8F5D37AF-4C16-45E7-9A48-E30A4F157BA6}"/>
    <cellStyle name="20% - Énfasis2 2_1.2.b" xfId="14907" xr:uid="{5D898D27-AC7D-4FF3-9883-0DD1BF43155E}"/>
    <cellStyle name="20% - Énfasis2 20" xfId="12571" xr:uid="{0AA95534-B1F7-4035-822E-C76EACF32127}"/>
    <cellStyle name="20% - Énfasis2 20 2" xfId="16639" xr:uid="{70F31CA9-3BC8-4979-82A3-D4C411E51A3A}"/>
    <cellStyle name="20% - Énfasis2 20_1.2.b" xfId="14911" xr:uid="{F816F965-753E-4ADF-A0C8-6A9D1A72C71F}"/>
    <cellStyle name="20% - Énfasis2 21" xfId="12572" xr:uid="{04258993-5004-4FF7-9F86-4FF818BDFEB7}"/>
    <cellStyle name="20% - Énfasis2 21 2" xfId="16640" xr:uid="{4995B4B4-B60E-4B0C-8B0B-37A12581F90B}"/>
    <cellStyle name="20% - Énfasis2 21_1.2.b" xfId="14912" xr:uid="{C5B42E59-5B30-470F-B3A5-FFAD311EF2B6}"/>
    <cellStyle name="20% - Énfasis2 22" xfId="12573" xr:uid="{45C871F3-B55A-45BB-8583-1300D6C0ED4F}"/>
    <cellStyle name="20% - Énfasis2 22 2" xfId="16641" xr:uid="{E6042E8C-C9CC-4EF1-B5CD-7CDB38D7F975}"/>
    <cellStyle name="20% - Énfasis2 22_1.2.b" xfId="14913" xr:uid="{5147A91A-56C0-46A1-998E-D9320D42BD9F}"/>
    <cellStyle name="20% - Énfasis2 23" xfId="12574" xr:uid="{AB9333F8-6BFC-449D-BC86-429A9BC7757D}"/>
    <cellStyle name="20% - Énfasis2 23 2" xfId="16642" xr:uid="{1C3EC0E8-FF2A-4E55-BED4-2BCC0A79C1B3}"/>
    <cellStyle name="20% - Énfasis2 23_1.2.b" xfId="14914" xr:uid="{A7B30627-7812-4E4E-80BE-46B8E5C312FB}"/>
    <cellStyle name="20% - Énfasis2 24" xfId="12575" xr:uid="{118F27FA-9B6F-4242-8BFA-C2FB164CBB65}"/>
    <cellStyle name="20% - Énfasis2 24 2" xfId="16643" xr:uid="{7002A8C2-4C8F-4020-B3C7-5EB976A2793B}"/>
    <cellStyle name="20% - Énfasis2 24_1.2.b" xfId="14915" xr:uid="{733C2420-2738-4488-9B29-29E2D9D1776A}"/>
    <cellStyle name="20% - Énfasis2 25" xfId="12576" xr:uid="{9B71D659-7479-4E64-B037-A1C9DB3B22C8}"/>
    <cellStyle name="20% - Énfasis2 25 2" xfId="16644" xr:uid="{F792A16E-9A39-4198-9345-2EB1DE389933}"/>
    <cellStyle name="20% - Énfasis2 25_1.2.b" xfId="14916" xr:uid="{F99A4727-2487-4526-983B-06CB6B28E2D2}"/>
    <cellStyle name="20% - Énfasis2 26" xfId="12577" xr:uid="{88372B8B-801F-4B3D-9319-3D4424F2FC31}"/>
    <cellStyle name="20% - Énfasis2 26 2" xfId="16645" xr:uid="{F17EC3C3-7724-4AB2-AA64-E793F08EFC66}"/>
    <cellStyle name="20% - Énfasis2 26_1.2.b" xfId="14917" xr:uid="{9C5E88A7-9318-45BF-B39F-D8D13BB43B70}"/>
    <cellStyle name="20% - Énfasis2 27" xfId="12578" xr:uid="{99E49204-BA34-49B8-B08D-3F38E39ABCA5}"/>
    <cellStyle name="20% - Énfasis2 27 2" xfId="16646" xr:uid="{A3111449-5AC3-47F7-A1B4-A1B3176D7EC8}"/>
    <cellStyle name="20% - Énfasis2 27_1.2.b" xfId="14918" xr:uid="{6BECF409-26E4-452C-8297-25BE01580E5C}"/>
    <cellStyle name="20% - Énfasis2 28" xfId="12579" xr:uid="{F681272B-BBBC-4941-8B25-E69AF8273AAA}"/>
    <cellStyle name="20% - Énfasis2 28 2" xfId="16647" xr:uid="{FF970917-E36C-4733-84A9-543E6516076A}"/>
    <cellStyle name="20% - Énfasis2 28_1.2.b" xfId="14919" xr:uid="{5E0C9CDA-9B05-4A93-9FC7-62BEE11D0358}"/>
    <cellStyle name="20% - Énfasis2 29" xfId="12580" xr:uid="{57E53CAA-B5C3-40DB-8A2F-35979F7A9F15}"/>
    <cellStyle name="20% - Énfasis2 29 2" xfId="16648" xr:uid="{AF29DF87-FC70-469D-9D76-115E939B51D7}"/>
    <cellStyle name="20% - Énfasis2 29_1.2.b" xfId="14920" xr:uid="{5C2667DB-AD24-48CC-9A0F-2B14916ADF30}"/>
    <cellStyle name="20% - Énfasis2 3" xfId="162" xr:uid="{00000000-0005-0000-0000-00002D000000}"/>
    <cellStyle name="20% - Énfasis2 3 2" xfId="10682" xr:uid="{00000000-0005-0000-0000-00002E000000}"/>
    <cellStyle name="20% - Énfasis2 3 2 2" xfId="12582" xr:uid="{9869A811-525D-4DE4-AFC6-2B7C4227684F}"/>
    <cellStyle name="20% - Énfasis2 3 2 3" xfId="16650" xr:uid="{9A45D5E6-EB65-4554-A29D-76D095E277C1}"/>
    <cellStyle name="20% - Énfasis2 3 2_1.2.b" xfId="14922" xr:uid="{B73A4BE9-5165-4FBE-86BC-8FF808C46239}"/>
    <cellStyle name="20% - Énfasis2 3 3" xfId="12583" xr:uid="{9C99A6BF-8007-40D6-A70D-BF51629E0843}"/>
    <cellStyle name="20% - Énfasis2 3 4" xfId="12584" xr:uid="{B358B97F-377F-4257-A1EC-DA6BBEA9BADB}"/>
    <cellStyle name="20% - Énfasis2 3 5" xfId="12585" xr:uid="{CAFA3776-5BE1-47F1-A7D5-23F5FADBD04A}"/>
    <cellStyle name="20% - Énfasis2 3 5 2" xfId="16651" xr:uid="{93E9704B-D004-4819-B825-DCFEA1DB4204}"/>
    <cellStyle name="20% - Énfasis2 3 5_1.2.b" xfId="14923" xr:uid="{8AFE2F5B-FC0B-48A1-B1FF-E19A7FE376D5}"/>
    <cellStyle name="20% - Énfasis2 3 6" xfId="12586" xr:uid="{1CE49A89-15CE-472E-A7E3-211503A6F100}"/>
    <cellStyle name="20% - Énfasis2 3 6 2" xfId="16652" xr:uid="{C4F04FEC-1462-4656-B2F5-ADA0CBEFCBF2}"/>
    <cellStyle name="20% - Énfasis2 3 6_1.2.b" xfId="14924" xr:uid="{E4F09290-D74C-4F7B-B19D-FE2E22F4996A}"/>
    <cellStyle name="20% - Énfasis2 3 7" xfId="12587" xr:uid="{7FC3B157-3EE0-47E7-A7E1-C4EA4CEA3615}"/>
    <cellStyle name="20% - Énfasis2 3 7 2" xfId="16653" xr:uid="{350E670F-AF3B-4392-9880-6931687A9F88}"/>
    <cellStyle name="20% - Énfasis2 3 7_1.2.b" xfId="14925" xr:uid="{E92EB542-4785-4FAD-A8FC-071A38BEA4E6}"/>
    <cellStyle name="20% - Énfasis2 3 8" xfId="12581" xr:uid="{8443EF8E-8862-437E-8B9A-E8EFA6BB57D5}"/>
    <cellStyle name="20% - Énfasis2 3 9" xfId="16649" xr:uid="{3B1FC7AF-241D-4120-9E9D-DD6C89B74B25}"/>
    <cellStyle name="20% - Énfasis2 3_1.2.b" xfId="14921" xr:uid="{233B446E-9568-4518-92E2-9C007B61CB3A}"/>
    <cellStyle name="20% - Énfasis2 30" xfId="12588" xr:uid="{653E691A-865A-4132-A77E-E6F9FDE65410}"/>
    <cellStyle name="20% - Énfasis2 30 2" xfId="16654" xr:uid="{20EAA188-62C3-408E-A6B2-096CBD375448}"/>
    <cellStyle name="20% - Énfasis2 30_1.2.b" xfId="14926" xr:uid="{94B42C81-B86A-45D8-B4BF-7AE285BE1B20}"/>
    <cellStyle name="20% - Énfasis2 31" xfId="12589" xr:uid="{94F5AAB0-5E36-4CAC-A67F-CDDDDFEAA290}"/>
    <cellStyle name="20% - Énfasis2 31 2" xfId="16655" xr:uid="{0A873203-AFB4-4C7A-9AAD-D433F92ECA10}"/>
    <cellStyle name="20% - Énfasis2 31_1.2.b" xfId="14927" xr:uid="{3CAB8B67-8D53-4EB2-9AAE-78478C85C6B0}"/>
    <cellStyle name="20% - Énfasis2 32" xfId="12590" xr:uid="{308C2B6C-2D50-4170-A246-9D6450D79897}"/>
    <cellStyle name="20% - Énfasis2 32 2" xfId="16656" xr:uid="{8B7A38F8-8132-4F35-A63B-AB213C3324BA}"/>
    <cellStyle name="20% - Énfasis2 32_1.2.b" xfId="14928" xr:uid="{7C11FBA9-5576-4495-939A-D15EDE622A2D}"/>
    <cellStyle name="20% - Énfasis2 33" xfId="12591" xr:uid="{DCF8AE9E-244A-451B-8D07-4A247DC084D2}"/>
    <cellStyle name="20% - Énfasis2 33 2" xfId="16657" xr:uid="{B3997D08-B639-466A-8855-D6A702D8754D}"/>
    <cellStyle name="20% - Énfasis2 33_1.2.b" xfId="14929" xr:uid="{F0DFAF49-A92F-4F8D-B1A0-064581EB67B7}"/>
    <cellStyle name="20% - Énfasis2 34" xfId="12592" xr:uid="{E10D0031-4EDA-4514-A4EC-C407346A3726}"/>
    <cellStyle name="20% - Énfasis2 34 2" xfId="16658" xr:uid="{9E205500-A18D-488F-9DE2-B5430BB78CC4}"/>
    <cellStyle name="20% - Énfasis2 34_1.2.b" xfId="14930" xr:uid="{FA6B91F8-D40D-4D2B-A130-25BAD81A47BC}"/>
    <cellStyle name="20% - Énfasis2 35" xfId="12593" xr:uid="{21CE0708-0D32-4598-81E6-71237DABE32B}"/>
    <cellStyle name="20% - Énfasis2 35 2" xfId="16659" xr:uid="{7ED4BEC4-83A7-4194-A096-66EA7F85599E}"/>
    <cellStyle name="20% - Énfasis2 35_1.2.b" xfId="14931" xr:uid="{0150585E-DE01-447D-ABE8-856B86C52983}"/>
    <cellStyle name="20% - Énfasis2 36" xfId="12594" xr:uid="{D9E8A856-4E18-4818-9D93-6E7E078C84BC}"/>
    <cellStyle name="20% - Énfasis2 36 2" xfId="16660" xr:uid="{0D487BF7-BB2D-470D-B1D6-A18F5634F628}"/>
    <cellStyle name="20% - Énfasis2 36_1.2.b" xfId="14932" xr:uid="{935B3A58-65C8-4ECE-91A1-345C9615ED02}"/>
    <cellStyle name="20% - Énfasis2 37" xfId="12595" xr:uid="{10E13207-C215-405C-BA38-3C5FD7049C51}"/>
    <cellStyle name="20% - Énfasis2 37 2" xfId="16661" xr:uid="{4C4F1686-4B47-4B4F-8025-6E27CEF85C11}"/>
    <cellStyle name="20% - Énfasis2 37_1.2.b" xfId="14933" xr:uid="{65D2997E-A4E9-44A5-A3A7-CABE0CC7130D}"/>
    <cellStyle name="20% - Énfasis2 38" xfId="12596" xr:uid="{6FAC2D01-3298-4969-98E4-5245E5AD3F86}"/>
    <cellStyle name="20% - Énfasis2 38 2" xfId="16662" xr:uid="{69F90C1D-73E9-4D72-A63C-A9B52559AB79}"/>
    <cellStyle name="20% - Énfasis2 38_1.2.b" xfId="14934" xr:uid="{78F4B277-1F3D-4D01-A524-A5DFA6F3457F}"/>
    <cellStyle name="20% - Énfasis2 39" xfId="12597" xr:uid="{3BF6D68E-FD3A-4D5F-9668-63ACED6795F1}"/>
    <cellStyle name="20% - Énfasis2 39 2" xfId="16663" xr:uid="{4CDFE2B6-6CAB-41A2-B1FF-1AC49A55AFE5}"/>
    <cellStyle name="20% - Énfasis2 39_1.2.b" xfId="14935" xr:uid="{AF97A0AE-399E-4ACB-9787-351BE3719CF8}"/>
    <cellStyle name="20% - Énfasis2 4" xfId="176" xr:uid="{00000000-0005-0000-0000-00002F000000}"/>
    <cellStyle name="20% - Énfasis2 4 2" xfId="10696" xr:uid="{00000000-0005-0000-0000-000030000000}"/>
    <cellStyle name="20% - Énfasis2 4 2 2" xfId="12600" xr:uid="{1F9D70E7-1E77-4A74-B1C1-C463FAB70D0A}"/>
    <cellStyle name="20% - Énfasis2 4 2 2 2" xfId="16666" xr:uid="{7D97F03D-CFE2-4395-A959-7A1433DA5772}"/>
    <cellStyle name="20% - Énfasis2 4 2 2_1.2.b" xfId="14938" xr:uid="{6472C8B7-CA52-42E6-AFD3-97A74D049A08}"/>
    <cellStyle name="20% - Énfasis2 4 2 3" xfId="12599" xr:uid="{39D5E25A-851E-47A1-BD0A-7E532634A858}"/>
    <cellStyle name="20% - Énfasis2 4 2 4" xfId="16665" xr:uid="{33284E0A-B89A-4B3B-B616-19D5634CA040}"/>
    <cellStyle name="20% - Énfasis2 4 2 5" xfId="18128" xr:uid="{A2753E63-B5E3-4AAE-AB2F-D63D28037028}"/>
    <cellStyle name="20% - Énfasis2 4 2 6" xfId="18265" xr:uid="{01472229-CEE5-4998-BF3A-3A76E2211A2A}"/>
    <cellStyle name="20% - Énfasis2 4 2 7" xfId="17880" xr:uid="{1BC4AFBA-3B0A-4305-99CD-12C136335591}"/>
    <cellStyle name="20% - Énfasis2 4 2 8" xfId="18261" xr:uid="{0DC6218E-0ECF-425E-830D-29CE6B799569}"/>
    <cellStyle name="20% - Énfasis2 4 2_1.2.b" xfId="14937" xr:uid="{E4B52027-4ED7-46BA-B34E-671EF0ED3361}"/>
    <cellStyle name="20% - Énfasis2 4 3" xfId="12601" xr:uid="{F0B62A96-C5A3-415F-A9C8-CD0A78B8922C}"/>
    <cellStyle name="20% - Énfasis2 4 3 2" xfId="16667" xr:uid="{E0BCC230-B691-4152-BFA8-D64525646FF5}"/>
    <cellStyle name="20% - Énfasis2 4 3_1.2.b" xfId="14939" xr:uid="{EFBA1A56-AC8C-4C41-A753-D9205A619A89}"/>
    <cellStyle name="20% - Énfasis2 4 4" xfId="12602" xr:uid="{CC660AAF-2850-4665-9A16-8CE00B0FAC9B}"/>
    <cellStyle name="20% - Énfasis2 4 4 2" xfId="16668" xr:uid="{A770D1BD-A19E-4170-9EB1-ED3C97B92721}"/>
    <cellStyle name="20% - Énfasis2 4 4_1.2.b" xfId="14940" xr:uid="{D3B7AE86-8D07-4B17-B177-CE604D502DDD}"/>
    <cellStyle name="20% - Énfasis2 4 5" xfId="12603" xr:uid="{E312612C-77E9-4E28-A82C-FAEFDA5E75BA}"/>
    <cellStyle name="20% - Énfasis2 4 5 2" xfId="16669" xr:uid="{03400F24-4852-481D-874D-7DB0B706F4F9}"/>
    <cellStyle name="20% - Énfasis2 4 5_1.2.b" xfId="14941" xr:uid="{005F1D60-D902-4C28-858B-A009840E7734}"/>
    <cellStyle name="20% - Énfasis2 4 6" xfId="12604" xr:uid="{2705876B-2B9A-4024-A87D-E2D6EDF55E37}"/>
    <cellStyle name="20% - Énfasis2 4 6 2" xfId="16670" xr:uid="{EF53C8B9-4B18-41D0-AF89-E49FD1F5880E}"/>
    <cellStyle name="20% - Énfasis2 4 6_1.2.b" xfId="14942" xr:uid="{0873F266-60E4-464F-B070-96209D13E607}"/>
    <cellStyle name="20% - Énfasis2 4 7" xfId="12598" xr:uid="{90C89DD4-A8A2-47BD-9420-60BD4CEB5C3F}"/>
    <cellStyle name="20% - Énfasis2 4 8" xfId="16664" xr:uid="{B0094F26-C1A4-42A7-9F4C-BFB4BFCD5036}"/>
    <cellStyle name="20% - Énfasis2 4_1.2.b" xfId="14936" xr:uid="{347E78AE-B2E8-4E4B-B1B0-76A8BDD5D95A}"/>
    <cellStyle name="20% - Énfasis2 40" xfId="12605" xr:uid="{A2CEEBA1-A559-4077-9C0B-5023FDDDE07A}"/>
    <cellStyle name="20% - Énfasis2 40 2" xfId="16671" xr:uid="{F29E8A4B-B01C-450B-BB36-51B6D3FC30A1}"/>
    <cellStyle name="20% - Énfasis2 40_1.2.b" xfId="14943" xr:uid="{1749CE4D-C993-40DD-AF43-0CA43B33A076}"/>
    <cellStyle name="20% - Énfasis2 41" xfId="12606" xr:uid="{65DE9B66-A0CA-4241-8BA0-EDE40230D058}"/>
    <cellStyle name="20% - Énfasis2 41 2" xfId="16672" xr:uid="{0005BBB5-0815-41F5-8BBD-D87B39F6021C}"/>
    <cellStyle name="20% - Énfasis2 41_1.2.b" xfId="14944" xr:uid="{0F77F8C9-8143-46DA-A1A3-0F3EFB7A7371}"/>
    <cellStyle name="20% - Énfasis2 42" xfId="12607" xr:uid="{9C03134E-BC21-4592-8857-B2190C087FE2}"/>
    <cellStyle name="20% - Énfasis2 42 2" xfId="16673" xr:uid="{27835AA6-BE9F-459A-A2DA-58EB80750A15}"/>
    <cellStyle name="20% - Énfasis2 42_1.2.b" xfId="14945" xr:uid="{C9A21810-2706-478D-B496-09EFDCEE6EFD}"/>
    <cellStyle name="20% - Énfasis2 43" xfId="12608" xr:uid="{9348514F-E3D9-4DB7-87DE-22580B155C1C}"/>
    <cellStyle name="20% - Énfasis2 43 2" xfId="16674" xr:uid="{DE360A47-BBBE-4EC3-A9F7-CD773E673ED9}"/>
    <cellStyle name="20% - Énfasis2 43_1.2.b" xfId="14946" xr:uid="{D9A67942-F23B-480B-A0E0-90E4525F821C}"/>
    <cellStyle name="20% - Énfasis2 44" xfId="12609" xr:uid="{0F1F8220-3166-4F29-92D1-9B0F1FE81129}"/>
    <cellStyle name="20% - Énfasis2 44 2" xfId="16675" xr:uid="{54296825-22DF-4197-8511-DB26E6086B3F}"/>
    <cellStyle name="20% - Énfasis2 44_1.2.b" xfId="14947" xr:uid="{0B0B35E3-01D2-47CE-8B68-ADB64BFEFACB}"/>
    <cellStyle name="20% - Énfasis2 45" xfId="12610" xr:uid="{B51BAEDE-FF61-49E1-ADB3-5E68E915DBD1}"/>
    <cellStyle name="20% - Énfasis2 45 2" xfId="16676" xr:uid="{71699495-C7EB-4890-AD7F-D12F39C6B2A0}"/>
    <cellStyle name="20% - Énfasis2 45_1.2.b" xfId="14948" xr:uid="{DE538F2A-C854-4C8B-B9D5-DE057FAF25F1}"/>
    <cellStyle name="20% - Énfasis2 46" xfId="12611" xr:uid="{2B0CE693-A03D-4CCF-A8D8-74A977EC3121}"/>
    <cellStyle name="20% - Énfasis2 46 2" xfId="16677" xr:uid="{6C5031B1-19B5-487B-8730-58DDF5BF8C99}"/>
    <cellStyle name="20% - Énfasis2 46_1.2.b" xfId="14949" xr:uid="{6406CF46-1DB6-4F94-B0E1-6943C557A829}"/>
    <cellStyle name="20% - Énfasis2 47" xfId="12612" xr:uid="{0C6C4E55-0B51-4E8C-9D9B-9BE52533AD1D}"/>
    <cellStyle name="20% - Énfasis2 47 2" xfId="16678" xr:uid="{B569F427-95E5-4EA2-8E61-FCB6F61970AB}"/>
    <cellStyle name="20% - Énfasis2 47_1.2.b" xfId="14950" xr:uid="{1DE46A7F-CCEE-44C2-B2A0-499EACB96F96}"/>
    <cellStyle name="20% - Énfasis2 48" xfId="12613" xr:uid="{68C29728-D897-4987-9986-39B230D01E3B}"/>
    <cellStyle name="20% - Énfasis2 48 2" xfId="16679" xr:uid="{26486588-8235-43BF-B6DC-05E6F3912F39}"/>
    <cellStyle name="20% - Énfasis2 48_1.2.b" xfId="14951" xr:uid="{357F465A-C7F1-4FD6-AF8C-0FDEE5F4114C}"/>
    <cellStyle name="20% - Énfasis2 49" xfId="12614" xr:uid="{CCADE797-C58B-4700-9FD5-A59DA251843D}"/>
    <cellStyle name="20% - Énfasis2 49 2" xfId="16680" xr:uid="{C1918C10-0DE6-464A-9CA8-838E3271A7D4}"/>
    <cellStyle name="20% - Énfasis2 49_1.2.b" xfId="14952" xr:uid="{94346273-43A9-4D0B-B5E1-3DEA7635039D}"/>
    <cellStyle name="20% - Énfasis2 5" xfId="191" xr:uid="{00000000-0005-0000-0000-000031000000}"/>
    <cellStyle name="20% - Énfasis2 5 2" xfId="10711" xr:uid="{00000000-0005-0000-0000-000032000000}"/>
    <cellStyle name="20% - Énfasis2 5 2 2" xfId="12616" xr:uid="{6274F7B0-D067-47F6-9E82-9459F1260F07}"/>
    <cellStyle name="20% - Énfasis2 5 2 3" xfId="16682" xr:uid="{8522EBCF-125F-40E3-8928-8454260F662E}"/>
    <cellStyle name="20% - Énfasis2 5 2_1.2.b" xfId="14954" xr:uid="{1FBE47C7-6D79-4417-BA9D-6DB71F491BC9}"/>
    <cellStyle name="20% - Énfasis2 5 3" xfId="12617" xr:uid="{68042893-EB47-4578-9E5C-77AC68288D75}"/>
    <cellStyle name="20% - Énfasis2 5 3 2" xfId="16683" xr:uid="{F208BC35-AB1A-439C-93DF-EF986F2CA1CD}"/>
    <cellStyle name="20% - Énfasis2 5 3_1.2.b" xfId="14955" xr:uid="{A7068617-B763-495C-9FD5-D5FFE31B61C9}"/>
    <cellStyle name="20% - Énfasis2 5 4" xfId="12615" xr:uid="{04026588-04B4-4867-8EE8-B9D0CB1467C4}"/>
    <cellStyle name="20% - Énfasis2 5 5" xfId="16681" xr:uid="{B8589DD8-9A66-4675-B6D7-0ADBB3F92A6B}"/>
    <cellStyle name="20% - Énfasis2 5_1.2.b" xfId="14953" xr:uid="{BBDD6A1D-066E-41BA-BB44-06533C919CE3}"/>
    <cellStyle name="20% - Énfasis2 50" xfId="12618" xr:uid="{3EC11FBF-868B-4F09-9374-CCFD95D27AA7}"/>
    <cellStyle name="20% - Énfasis2 50 2" xfId="16684" xr:uid="{A6E2646E-455A-40E3-B7CE-0577BA1F6D0E}"/>
    <cellStyle name="20% - Énfasis2 50_1.2.b" xfId="14956" xr:uid="{7B731E61-E97B-4FE1-9999-95AE560ECBF5}"/>
    <cellStyle name="20% - Énfasis2 51" xfId="12619" xr:uid="{902766C4-E07D-4C9B-AE2B-12158DD56664}"/>
    <cellStyle name="20% - Énfasis2 51 2" xfId="16685" xr:uid="{3FE342E7-01B0-4C9C-94DB-906B2EDB1B0B}"/>
    <cellStyle name="20% - Énfasis2 51_1.2.b" xfId="14957" xr:uid="{CC6E8C8E-925C-48C5-8332-08918A0CA355}"/>
    <cellStyle name="20% - Énfasis2 52" xfId="12620" xr:uid="{D2BA7A24-42B3-4AB3-BA11-C2040382C54F}"/>
    <cellStyle name="20% - Énfasis2 52 2" xfId="16686" xr:uid="{AF239801-9855-410C-9C04-939F8BFFA630}"/>
    <cellStyle name="20% - Énfasis2 52_1.2.b" xfId="14958" xr:uid="{EE1F1201-20F2-4F60-BAA1-983E450E5AD2}"/>
    <cellStyle name="20% - Énfasis2 53" xfId="12621" xr:uid="{44704087-2F4F-42E0-9E2B-B3D01436303E}"/>
    <cellStyle name="20% - Énfasis2 53 2" xfId="16687" xr:uid="{EE8D1751-0063-4BCD-8557-D69FDED12EF9}"/>
    <cellStyle name="20% - Énfasis2 53_1.2.b" xfId="14959" xr:uid="{1D5EA7A1-01F3-4BE1-A203-D54F48D21DAD}"/>
    <cellStyle name="20% - Énfasis2 54" xfId="12622" xr:uid="{2D7C08C3-0D9B-4660-BD05-6FAA91509826}"/>
    <cellStyle name="20% - Énfasis2 54 2" xfId="16688" xr:uid="{9DDFCE56-FD96-4E18-A1A2-FEBF71BCBDE2}"/>
    <cellStyle name="20% - Énfasis2 54_1.2.b" xfId="14960" xr:uid="{DCA072A6-7E23-496C-8411-8E7FD876079B}"/>
    <cellStyle name="20% - Énfasis2 55" xfId="12623" xr:uid="{C2CF3317-5774-49E9-B0FE-94C01926A678}"/>
    <cellStyle name="20% - Énfasis2 55 2" xfId="16689" xr:uid="{5A0F7D2F-9846-4F77-8393-6DA23033E069}"/>
    <cellStyle name="20% - Énfasis2 55_1.2.b" xfId="14961" xr:uid="{75CB2450-AD9A-41CB-86A6-0AF22BD0ED0A}"/>
    <cellStyle name="20% - Énfasis2 56" xfId="12624" xr:uid="{8578DD91-0029-49E1-B35A-7DB34B28E12E}"/>
    <cellStyle name="20% - Énfasis2 56 2" xfId="16690" xr:uid="{45B2F143-8FDA-4556-B24D-4BB1297A1C17}"/>
    <cellStyle name="20% - Énfasis2 56_1.2.b" xfId="14962" xr:uid="{25DA2AFC-50A1-49BD-B552-31FED0643348}"/>
    <cellStyle name="20% - Énfasis2 57" xfId="12625" xr:uid="{F742E3FF-C099-4AEE-B657-F932373FC502}"/>
    <cellStyle name="20% - Énfasis2 57 2" xfId="16691" xr:uid="{A2D586A5-2F76-46AA-98E0-BA68E32EBB24}"/>
    <cellStyle name="20% - Énfasis2 57_1.2.b" xfId="14963" xr:uid="{24EB5EEF-7FC9-4D33-A80E-284F9C3A26E9}"/>
    <cellStyle name="20% - Énfasis2 58" xfId="12626" xr:uid="{6E07483E-12DB-489D-A4CE-0204FF38EBBC}"/>
    <cellStyle name="20% - Énfasis2 58 2" xfId="16692" xr:uid="{C4BE092F-9626-40D3-800E-407BBFB3EC80}"/>
    <cellStyle name="20% - Énfasis2 58_1.2.b" xfId="14964" xr:uid="{ED6B03F1-6B07-4770-911C-51591C10C584}"/>
    <cellStyle name="20% - Énfasis2 59" xfId="12627" xr:uid="{31AF01F7-4CC9-44EE-BA77-C43C0DCF7376}"/>
    <cellStyle name="20% - Énfasis2 59 2" xfId="16693" xr:uid="{DF277A83-0AB1-411D-A5FB-AEBE8089A549}"/>
    <cellStyle name="20% - Énfasis2 59_1.2.b" xfId="14965" xr:uid="{2117F05D-A95D-405F-ACC8-D656D77EEC23}"/>
    <cellStyle name="20% - Énfasis2 6" xfId="205" xr:uid="{00000000-0005-0000-0000-000033000000}"/>
    <cellStyle name="20% - Énfasis2 6 2" xfId="10725" xr:uid="{00000000-0005-0000-0000-000034000000}"/>
    <cellStyle name="20% - Énfasis2 6 2 2" xfId="12629" xr:uid="{CD519161-A7EB-40D2-8197-DC4C365E1765}"/>
    <cellStyle name="20% - Énfasis2 6 2 3" xfId="16695" xr:uid="{3D06F052-70A4-4C8C-BF9E-7E15FB7A3374}"/>
    <cellStyle name="20% - Énfasis2 6 2_1.2.b" xfId="14967" xr:uid="{22DECF20-82D1-4A36-B535-1480F2A4D7C7}"/>
    <cellStyle name="20% - Énfasis2 6 3" xfId="12628" xr:uid="{B740EE9E-E85F-452F-BF73-1E7C7D438F31}"/>
    <cellStyle name="20% - Énfasis2 6 4" xfId="16694" xr:uid="{424A02BE-5DEF-4226-B6D1-0658E3FBB21B}"/>
    <cellStyle name="20% - Énfasis2 6_1.2.b" xfId="14966" xr:uid="{3C1D0C90-524F-4930-9985-B5A9A8E4B085}"/>
    <cellStyle name="20% - Énfasis2 60" xfId="12630" xr:uid="{87BF5EB5-13A4-4E4C-81E4-36BC2D977AD9}"/>
    <cellStyle name="20% - Énfasis2 60 2" xfId="16696" xr:uid="{411F97AE-E2B9-4403-821C-F38A0A8B7030}"/>
    <cellStyle name="20% - Énfasis2 60_1.2.b" xfId="14968" xr:uid="{E2C265F9-7B39-404D-A342-7BA750EAC29A}"/>
    <cellStyle name="20% - Énfasis2 61" xfId="12631" xr:uid="{3D5B8499-24FB-43ED-96FB-4CC523F86C1A}"/>
    <cellStyle name="20% - Énfasis2 61 2" xfId="16697" xr:uid="{BCA781BB-03DC-47C9-AD2D-EFE809E10ECB}"/>
    <cellStyle name="20% - Énfasis2 61_1.2.b" xfId="14969" xr:uid="{DFA9080A-AF2C-46A9-B454-648058E444CB}"/>
    <cellStyle name="20% - Énfasis2 62" xfId="12632" xr:uid="{EBC71A24-A3EC-4CCA-9BC8-D2C2011A4F23}"/>
    <cellStyle name="20% - Énfasis2 62 2" xfId="16698" xr:uid="{392FE937-7195-43FF-98BF-D0E116CD75AA}"/>
    <cellStyle name="20% - Énfasis2 62_1.2.b" xfId="14970" xr:uid="{C608F826-F6FB-47B6-9C43-E25442C16364}"/>
    <cellStyle name="20% - Énfasis2 63" xfId="12633" xr:uid="{448A502E-D81C-4828-ABBB-7C2C2E6F014A}"/>
    <cellStyle name="20% - Énfasis2 63 2" xfId="16699" xr:uid="{66C518F1-FAE4-40EA-AC03-958345A847AE}"/>
    <cellStyle name="20% - Énfasis2 63_1.2.b" xfId="14971" xr:uid="{5E0900F5-0BDF-4BEC-AFA3-52BA8658ED2C}"/>
    <cellStyle name="20% - Énfasis2 64" xfId="12634" xr:uid="{EAF5486C-5F10-4F78-BD4A-64977286EACF}"/>
    <cellStyle name="20% - Énfasis2 64 2" xfId="16700" xr:uid="{219E98D9-BDA3-4E5E-BE28-9F33ECF75056}"/>
    <cellStyle name="20% - Énfasis2 64_1.2.b" xfId="14972" xr:uid="{6633FB92-3052-4E81-BEBD-51E755698069}"/>
    <cellStyle name="20% - Énfasis2 65" xfId="12635" xr:uid="{AB0EABC3-0F75-4C57-84BB-799A15202036}"/>
    <cellStyle name="20% - Énfasis2 65 2" xfId="16701" xr:uid="{A75EDBCF-4959-4603-85DA-E6DA165E6A74}"/>
    <cellStyle name="20% - Énfasis2 65_1.2.b" xfId="14973" xr:uid="{D856803A-91D0-454C-A2A7-A66B0CA890F7}"/>
    <cellStyle name="20% - Énfasis2 66" xfId="12636" xr:uid="{219D80C7-3724-4552-AE07-AB0300866045}"/>
    <cellStyle name="20% - Énfasis2 66 2" xfId="16702" xr:uid="{4B9DBF1A-50EB-45CD-BEC2-EA54C02A4B06}"/>
    <cellStyle name="20% - Énfasis2 66_1.2.b" xfId="14974" xr:uid="{D3D5076E-C25B-4A9F-A8C1-E2060236773A}"/>
    <cellStyle name="20% - Énfasis2 67" xfId="12637" xr:uid="{4F6959FF-D662-48D3-B770-1145EFF5B5C5}"/>
    <cellStyle name="20% - Énfasis2 67 2" xfId="16703" xr:uid="{F65D39F4-3DFA-41FD-ADFA-9F30BF3E447F}"/>
    <cellStyle name="20% - Énfasis2 67_1.2.b" xfId="14975" xr:uid="{065C529A-3EA9-4CE9-9145-DCEE66688391}"/>
    <cellStyle name="20% - Énfasis2 68" xfId="12638" xr:uid="{A542F10C-B67C-4514-9F33-DFF0FD495CE2}"/>
    <cellStyle name="20% - Énfasis2 68 2" xfId="16704" xr:uid="{4F0270FF-6BD3-488B-A0F8-9F036032AF56}"/>
    <cellStyle name="20% - Énfasis2 68_1.2.b" xfId="14976" xr:uid="{1E93F720-B8C3-419C-BA15-D021E7E84D9D}"/>
    <cellStyle name="20% - Énfasis2 69" xfId="12639" xr:uid="{D3F0280C-0D3C-426B-A55D-1B60E61435B3}"/>
    <cellStyle name="20% - Énfasis2 69 2" xfId="16705" xr:uid="{F06D3763-0DCA-4519-9F34-E4018ADED8EB}"/>
    <cellStyle name="20% - Énfasis2 69_1.2.b" xfId="14977" xr:uid="{C015B1E2-A53E-4C35-8F30-743521E29492}"/>
    <cellStyle name="20% - Énfasis2 7" xfId="9829" xr:uid="{00000000-0005-0000-0000-000035000000}"/>
    <cellStyle name="20% - Énfasis2 7 2" xfId="11615" xr:uid="{00000000-0005-0000-0000-000036000000}"/>
    <cellStyle name="20% - Énfasis2 7 2 2" xfId="12641" xr:uid="{449CFD96-E0ED-4EB5-9D7A-153AB343A44B}"/>
    <cellStyle name="20% - Énfasis2 7 2 3" xfId="16707" xr:uid="{9723165D-3558-4F06-B10D-0E762A23BD24}"/>
    <cellStyle name="20% - Énfasis2 7 2_1.2.b" xfId="14979" xr:uid="{A3544CCA-0D61-4CF3-8B9A-5C91A6EB019B}"/>
    <cellStyle name="20% - Énfasis2 7 3" xfId="12640" xr:uid="{F121C429-F119-4DA2-B9DC-0AFBBAE5991A}"/>
    <cellStyle name="20% - Énfasis2 7 4" xfId="16706" xr:uid="{66D01D89-6DC1-4645-A3C9-43E3D291D9C0}"/>
    <cellStyle name="20% - Énfasis2 7_1.2.b" xfId="14978" xr:uid="{1037C16A-B5B5-499E-8233-4696A4842D96}"/>
    <cellStyle name="20% - Énfasis2 70" xfId="12642" xr:uid="{EC7176BD-0A14-4FCD-AA59-67C9F9969291}"/>
    <cellStyle name="20% - Énfasis2 70 2" xfId="16708" xr:uid="{786ED67A-D767-4F3E-AC01-19671CB6EE26}"/>
    <cellStyle name="20% - Énfasis2 70_1.2.b" xfId="14980" xr:uid="{E44E703F-C772-4724-95E2-BA1415BDBE1A}"/>
    <cellStyle name="20% - Énfasis2 71" xfId="12643" xr:uid="{2656C8CF-7248-47E4-9EC8-B0FAF2949F35}"/>
    <cellStyle name="20% - Énfasis2 71 2" xfId="16709" xr:uid="{B2984585-9ECF-4BA7-A08E-0A2A4C626EC5}"/>
    <cellStyle name="20% - Énfasis2 71_1.2.b" xfId="14981" xr:uid="{AC754150-0624-4285-A1EC-C64207036CB8}"/>
    <cellStyle name="20% - Énfasis2 72" xfId="12644" xr:uid="{CCEF94BC-C58B-40E1-A8E8-7E1D3EA58110}"/>
    <cellStyle name="20% - Énfasis2 72 2" xfId="16710" xr:uid="{07739EB7-1C7D-4ACF-9051-3512653D7AE5}"/>
    <cellStyle name="20% - Énfasis2 72_1.2.b" xfId="14982" xr:uid="{5FCE6A1B-9B3A-4111-A589-D35B2FF257CD}"/>
    <cellStyle name="20% - Énfasis2 73" xfId="12645" xr:uid="{188BF279-ACA1-4251-B389-0CDF5E041F04}"/>
    <cellStyle name="20% - Énfasis2 73 2" xfId="16711" xr:uid="{D0CF392D-18B2-45C6-82CA-4DCB0AB6F32B}"/>
    <cellStyle name="20% - Énfasis2 73_1.2.b" xfId="14983" xr:uid="{3AE0A250-FFF4-4964-AB1A-1868E552B8BF}"/>
    <cellStyle name="20% - Énfasis2 74" xfId="12646" xr:uid="{86B5C80E-3F9C-46B2-A516-A15501AD0C7C}"/>
    <cellStyle name="20% - Énfasis2 74 2" xfId="16712" xr:uid="{72540DAD-9BDC-4D68-AEB6-FA0F285B6F4C}"/>
    <cellStyle name="20% - Énfasis2 74_1.2.b" xfId="14984" xr:uid="{E5EBE7F5-4851-458E-9962-3FEDDBA87279}"/>
    <cellStyle name="20% - Énfasis2 75" xfId="12647" xr:uid="{61DD0E51-FBC1-457C-A93F-0E46567BAB9D}"/>
    <cellStyle name="20% - Énfasis2 75 2" xfId="16713" xr:uid="{DE6760B7-5427-4E4B-B356-81962B395B06}"/>
    <cellStyle name="20% - Énfasis2 75_1.2.b" xfId="14985" xr:uid="{0C1A8BCD-2FDF-433B-9A85-F70A62B235FC}"/>
    <cellStyle name="20% - Énfasis2 76" xfId="12648" xr:uid="{59D2CFD4-EB45-4CA7-A8AA-FA25F95EC77A}"/>
    <cellStyle name="20% - Énfasis2 76 2" xfId="16714" xr:uid="{5A186447-001C-413E-AC3E-DB610C0C00BB}"/>
    <cellStyle name="20% - Énfasis2 76_1.2.b" xfId="14986" xr:uid="{EE5578B5-5545-4D2F-BC61-4E48CBFF6BD3}"/>
    <cellStyle name="20% - Énfasis2 77" xfId="12649" xr:uid="{966BAA21-3FD8-4507-AC46-8639E093EE73}"/>
    <cellStyle name="20% - Énfasis2 77 2" xfId="16715" xr:uid="{5BA5DA2C-EC71-4228-BF71-F7DD3F20E964}"/>
    <cellStyle name="20% - Énfasis2 77_1.2.b" xfId="14987" xr:uid="{57639E0E-4545-43CC-9C30-C206CA49E7E5}"/>
    <cellStyle name="20% - Énfasis2 78" xfId="12650" xr:uid="{850920D7-CC00-4E82-84DF-86418CBD1AFC}"/>
    <cellStyle name="20% - Énfasis2 78 2" xfId="16716" xr:uid="{21DC60D5-CE58-451E-9CFE-6C01E5A15AE7}"/>
    <cellStyle name="20% - Énfasis2 78_1.2.b" xfId="14988" xr:uid="{3169A60F-598A-4C1C-865A-3A2518B23CAC}"/>
    <cellStyle name="20% - Énfasis2 79" xfId="12651" xr:uid="{A8F73A6D-F7BD-4AF2-AF45-A367384A184B}"/>
    <cellStyle name="20% - Énfasis2 79 2" xfId="16717" xr:uid="{312849D9-23F2-4307-8DF5-9EFD648362D1}"/>
    <cellStyle name="20% - Énfasis2 79_1.2.b" xfId="14989" xr:uid="{A35348A1-6BB0-4A85-8C7B-EE4CDFAD08DE}"/>
    <cellStyle name="20% - Énfasis2 8" xfId="9848" xr:uid="{00000000-0005-0000-0000-000037000000}"/>
    <cellStyle name="20% - Énfasis2 8 2" xfId="11633" xr:uid="{00000000-0005-0000-0000-000038000000}"/>
    <cellStyle name="20% - Énfasis2 8 2 2" xfId="12653" xr:uid="{4E7B4469-FA08-4A96-8727-41B68F765CF0}"/>
    <cellStyle name="20% - Énfasis2 8 2 3" xfId="16719" xr:uid="{FAD6B32D-AD02-42FE-8CEA-593C4E9A98D3}"/>
    <cellStyle name="20% - Énfasis2 8 2_1.2.b" xfId="14991" xr:uid="{D49EA435-BA52-4E00-8061-3CCAFCFDC4AC}"/>
    <cellStyle name="20% - Énfasis2 8 3" xfId="12652" xr:uid="{0CE073AD-1469-4C9B-B71A-0E14B0C31AD3}"/>
    <cellStyle name="20% - Énfasis2 8 4" xfId="16718" xr:uid="{2D18DD2B-E0A0-4528-AE40-F5F4D822DE59}"/>
    <cellStyle name="20% - Énfasis2 8_1.2.b" xfId="14990" xr:uid="{4E18F6F8-839A-4D48-AE9F-7E793386C4E1}"/>
    <cellStyle name="20% - Énfasis2 80" xfId="12654" xr:uid="{48436052-3C8A-4CEC-AD8A-9781C5F24B5F}"/>
    <cellStyle name="20% - Énfasis2 80 2" xfId="16720" xr:uid="{2BD10B83-091E-46B6-B929-EF37FCF4387B}"/>
    <cellStyle name="20% - Énfasis2 80_1.2.b" xfId="14992" xr:uid="{55F7FFCD-CEBD-48D9-8C3B-E5B150772792}"/>
    <cellStyle name="20% - Énfasis2 81" xfId="12655" xr:uid="{B654F4FB-6B94-42C4-BED8-E62501E3C1D1}"/>
    <cellStyle name="20% - Énfasis2 81 2" xfId="16721" xr:uid="{4CAC18EC-57E0-4DDA-A82F-F69F30500B94}"/>
    <cellStyle name="20% - Énfasis2 81_1.2.b" xfId="14993" xr:uid="{AFBBF5F6-53ED-4B84-87F6-23250E907237}"/>
    <cellStyle name="20% - Énfasis2 82" xfId="12656" xr:uid="{B58B37C4-37C1-4DB8-B4C6-68C291A5C1CD}"/>
    <cellStyle name="20% - Énfasis2 82 2" xfId="16722" xr:uid="{722F114D-C007-4145-BC0F-5D6F3C40C424}"/>
    <cellStyle name="20% - Énfasis2 82_1.2.b" xfId="14994" xr:uid="{E856D33B-D152-4139-B4C1-4F4DD795C0A2}"/>
    <cellStyle name="20% - Énfasis2 83" xfId="12657" xr:uid="{4AD48AAC-342B-4904-9B36-7E12314D5F7B}"/>
    <cellStyle name="20% - Énfasis2 83 2" xfId="16723" xr:uid="{58C9F437-7C8C-4EE4-8653-BC97AA799227}"/>
    <cellStyle name="20% - Énfasis2 83_1.2.b" xfId="14995" xr:uid="{AB21E66E-0C1E-4402-A332-6AB3558AE990}"/>
    <cellStyle name="20% - Énfasis2 84" xfId="12658" xr:uid="{245A2721-C2C8-43E8-8A26-F325E7ABF3CC}"/>
    <cellStyle name="20% - Énfasis2 84 2" xfId="16724" xr:uid="{DB45C222-9E4C-4734-BF89-F65CBDEADC11}"/>
    <cellStyle name="20% - Énfasis2 84_1.2.b" xfId="14996" xr:uid="{1158377E-676E-4E30-B02E-93BBC31FD388}"/>
    <cellStyle name="20% - Énfasis2 85" xfId="12659" xr:uid="{19EBCAEA-9541-4505-BA70-D6F0AC5F33EE}"/>
    <cellStyle name="20% - Énfasis2 85 2" xfId="16725" xr:uid="{7083DF25-7778-41BB-A839-7E32CD65866F}"/>
    <cellStyle name="20% - Énfasis2 85_1.2.b" xfId="14997" xr:uid="{E72C804C-3295-4D74-8EFE-626BC8EDBE05}"/>
    <cellStyle name="20% - Énfasis2 86" xfId="12660" xr:uid="{5FBA7E61-2DEC-4BA2-8A06-67E289912040}"/>
    <cellStyle name="20% - Énfasis2 86 2" xfId="16726" xr:uid="{0A62AC54-48F4-4612-93E3-5ABEA77DEDBE}"/>
    <cellStyle name="20% - Énfasis2 86_1.2.b" xfId="14998" xr:uid="{CD20C15D-9A37-4357-9762-08450E734F8B}"/>
    <cellStyle name="20% - Énfasis2 87" xfId="12661" xr:uid="{9189B69F-85F3-4B96-B690-85731FB39E8B}"/>
    <cellStyle name="20% - Énfasis2 87 2" xfId="16727" xr:uid="{2F5E958D-7098-4E5E-BFFE-29AF1D6BCA17}"/>
    <cellStyle name="20% - Énfasis2 87_1.2.b" xfId="14999" xr:uid="{0AE14EF3-392E-4EE3-91E9-B05ABFD970BD}"/>
    <cellStyle name="20% - Énfasis2 88" xfId="12662" xr:uid="{6BF25692-FAE9-4223-91AC-88275C9C9E26}"/>
    <cellStyle name="20% - Énfasis2 88 2" xfId="16728" xr:uid="{05AE7C8A-E957-4485-BE47-EA0DA27AF0C5}"/>
    <cellStyle name="20% - Énfasis2 88_1.2.b" xfId="15000" xr:uid="{6FE2B9B7-9B05-4976-9DCF-901C688E3661}"/>
    <cellStyle name="20% - Énfasis2 89" xfId="12663" xr:uid="{679A441A-A845-45E0-BDC9-3AEFD19A8270}"/>
    <cellStyle name="20% - Énfasis2 89 2" xfId="16729" xr:uid="{4A2AED23-0D75-459C-BF0E-76F561FCE180}"/>
    <cellStyle name="20% - Énfasis2 89_1.2.b" xfId="15001" xr:uid="{B0AC83EE-DB90-4615-A3DF-44792D1A0E96}"/>
    <cellStyle name="20% - Énfasis2 9" xfId="9866" xr:uid="{00000000-0005-0000-0000-000039000000}"/>
    <cellStyle name="20% - Énfasis2 9 2" xfId="12665" xr:uid="{59CC51DD-C909-4378-903C-E4EB39514C46}"/>
    <cellStyle name="20% - Énfasis2 9 2 2" xfId="16731" xr:uid="{5E12E525-9D38-409B-8D49-CD869D3E7BC3}"/>
    <cellStyle name="20% - Énfasis2 9 2_1.2.b" xfId="15003" xr:uid="{3D4C0C84-2097-4EEF-8D3F-4C2B4AB07479}"/>
    <cellStyle name="20% - Énfasis2 9 3" xfId="12664" xr:uid="{9101CD05-F233-4A21-B4A6-C59D1D17FF8F}"/>
    <cellStyle name="20% - Énfasis2 9 4" xfId="16730" xr:uid="{22152C1E-2943-4C22-BC57-DC89F816C68E}"/>
    <cellStyle name="20% - Énfasis2 9_1.2.b" xfId="15002" xr:uid="{4376DAAC-C25E-4DF4-9882-875E422A3E0B}"/>
    <cellStyle name="20% - Énfasis2 90" xfId="12666" xr:uid="{63AEC0BF-D9D5-4BB0-90FB-3F715CACADBA}"/>
    <cellStyle name="20% - Énfasis2 90 2" xfId="16732" xr:uid="{9B8A038B-313E-4138-BE11-22DB324B5684}"/>
    <cellStyle name="20% - Énfasis2 90_1.2.b" xfId="15004" xr:uid="{D6F4ECBE-5DB9-4F82-8CFB-E600A8A6265D}"/>
    <cellStyle name="20% - Énfasis2 91" xfId="12667" xr:uid="{91D3619F-132C-40BC-9C24-4F51060E4D41}"/>
    <cellStyle name="20% - Énfasis2 91 2" xfId="16733" xr:uid="{CDF788D0-A59E-4FF6-A5AF-C53CE30270DF}"/>
    <cellStyle name="20% - Énfasis2 91_1.2.b" xfId="15005" xr:uid="{26684631-68AA-473F-92FE-19B4107A41EE}"/>
    <cellStyle name="20% - Énfasis2 92" xfId="12668" xr:uid="{0BD41727-FA6E-46B4-ADA3-AEC9A331A4A3}"/>
    <cellStyle name="20% - Énfasis2 92 2" xfId="16734" xr:uid="{55E76F15-BF05-4483-B01E-FC4CD5D33160}"/>
    <cellStyle name="20% - Énfasis2 92_1.2.b" xfId="15006" xr:uid="{162C9850-2046-4192-A0CF-B90501F4B039}"/>
    <cellStyle name="20% - Énfasis2 93" xfId="12669" xr:uid="{FDD61233-5A13-4C8B-B007-82E70E329951}"/>
    <cellStyle name="20% - Énfasis2 93 2" xfId="16735" xr:uid="{12029A1C-B983-4CAB-84FD-73B11447ABF2}"/>
    <cellStyle name="20% - Énfasis2 93_1.2.b" xfId="15007" xr:uid="{399733F1-39D0-4AD2-8DF0-8997F0361A11}"/>
    <cellStyle name="20% - Énfasis2 94" xfId="12670" xr:uid="{01F2360D-6A08-4954-A52D-B0DC32890048}"/>
    <cellStyle name="20% - Énfasis2 94 2" xfId="16736" xr:uid="{1A8DA7BF-924B-4761-BFD5-A22CD3F8EF12}"/>
    <cellStyle name="20% - Énfasis2 94_1.2.b" xfId="15008" xr:uid="{7DA2A40E-4EF3-4230-BE30-E9BD1A87E981}"/>
    <cellStyle name="20% - Énfasis2 95" xfId="12671" xr:uid="{DBC8F6FE-770E-4D7D-86F0-60BD2E6E4C93}"/>
    <cellStyle name="20% - Énfasis2 95 2" xfId="16737" xr:uid="{03F370BC-8A06-4163-82A5-0C4C516BAFAD}"/>
    <cellStyle name="20% - Énfasis2 95_1.2.b" xfId="15009" xr:uid="{C3449ED7-C93D-4D96-AA7C-61F7E8E01F56}"/>
    <cellStyle name="20% - Énfasis3 10" xfId="9920" xr:uid="{00000000-0005-0000-0000-00003B000000}"/>
    <cellStyle name="20% - Énfasis3 10 2" xfId="11657" xr:uid="{00000000-0005-0000-0000-00003C000000}"/>
    <cellStyle name="20% - Énfasis3 10 3" xfId="12672" xr:uid="{10FC85FC-084B-4FBB-B980-E17EE7BFC570}"/>
    <cellStyle name="20% - Énfasis3 10_1.2.b" xfId="15010" xr:uid="{81E7D59D-B1E6-434E-9265-44CB0084F3C9}"/>
    <cellStyle name="20% - Énfasis3 11" xfId="9933" xr:uid="{00000000-0005-0000-0000-00003D000000}"/>
    <cellStyle name="20% - Énfasis3 11 2" xfId="11670" xr:uid="{00000000-0005-0000-0000-00003E000000}"/>
    <cellStyle name="20% - Énfasis3 11 3" xfId="12673" xr:uid="{0821E57A-9C9C-4A56-A4C2-6390C52EDF2A}"/>
    <cellStyle name="20% - Énfasis3 11 4" xfId="16738" xr:uid="{DFBFD1F2-B973-45C3-B27F-0CFDD881138E}"/>
    <cellStyle name="20% - Énfasis3 11_1.2.b" xfId="15011" xr:uid="{15BEE7EF-C69F-4ED5-80B6-FC8B2B39098F}"/>
    <cellStyle name="20% - Énfasis3 12" xfId="10535" xr:uid="{00000000-0005-0000-0000-00003F000000}"/>
    <cellStyle name="20% - Énfasis3 12 2" xfId="12270" xr:uid="{00000000-0005-0000-0000-000040000000}"/>
    <cellStyle name="20% - Énfasis3 12 3" xfId="12674" xr:uid="{EA184DEA-0CD1-4662-AF24-681ED22CD59B}"/>
    <cellStyle name="20% - Énfasis3 12 4" xfId="16739" xr:uid="{D35A8569-AC5A-44B6-9C0F-D647AB6B4B97}"/>
    <cellStyle name="20% - Énfasis3 12_1.2.b" xfId="15012" xr:uid="{6BAA5E58-36E2-40C5-8187-9504FA22A05B}"/>
    <cellStyle name="20% - Énfasis3 13" xfId="10582" xr:uid="{00000000-0005-0000-0000-000041000000}"/>
    <cellStyle name="20% - Énfasis3 13 2" xfId="12315" xr:uid="{00000000-0005-0000-0000-000042000000}"/>
    <cellStyle name="20% - Énfasis3 13 3" xfId="12675" xr:uid="{BD7B0F0D-BAD0-49DA-98A5-8A97860372EB}"/>
    <cellStyle name="20% - Énfasis3 13 4" xfId="16740" xr:uid="{10A275C0-8ADE-4FFD-AD58-0EAD57AA2B59}"/>
    <cellStyle name="20% - Énfasis3 13_1.2.b" xfId="15013" xr:uid="{E6D84AD4-89A7-466D-9E5D-464DD8B497EB}"/>
    <cellStyle name="20% - Énfasis3 14" xfId="10602" xr:uid="{00000000-0005-0000-0000-000043000000}"/>
    <cellStyle name="20% - Énfasis3 14 2" xfId="12331" xr:uid="{00000000-0005-0000-0000-000044000000}"/>
    <cellStyle name="20% - Énfasis3 14 3" xfId="12676" xr:uid="{189E905C-98C4-4EE9-92DD-9B7F6E12DE2B}"/>
    <cellStyle name="20% - Énfasis3 14 4" xfId="16741" xr:uid="{F423F99B-14FA-4F01-9FDD-488E69ECE53B}"/>
    <cellStyle name="20% - Énfasis3 14_1.2.b" xfId="15014" xr:uid="{063680A8-2028-4DFB-992D-4250195E2FE8}"/>
    <cellStyle name="20% - Énfasis3 15" xfId="10623" xr:uid="{00000000-0005-0000-0000-000045000000}"/>
    <cellStyle name="20% - Énfasis3 15 2" xfId="12677" xr:uid="{A9CB0CB7-EF71-40F6-B0BB-04EC1099B1F9}"/>
    <cellStyle name="20% - Énfasis3 15 3" xfId="16742" xr:uid="{7B4876C3-22E2-4DFA-BE52-E1212C8AD917}"/>
    <cellStyle name="20% - Énfasis3 15_1.2.b" xfId="15015" xr:uid="{7DD6F8C0-8187-45E5-9D97-E4373CD78DE8}"/>
    <cellStyle name="20% - Énfasis3 16" xfId="12364" xr:uid="{00000000-0005-0000-0000-000046000000}"/>
    <cellStyle name="20% - Énfasis3 16 2" xfId="12678" xr:uid="{BCC2062C-51F1-4A93-8502-217E1D991BB3}"/>
    <cellStyle name="20% - Énfasis3 16 3" xfId="16743" xr:uid="{A0F39967-8EA6-4751-86D3-1F881D2DF2DC}"/>
    <cellStyle name="20% - Énfasis3 16_1.2.b" xfId="15016" xr:uid="{4DBE25BB-A032-4905-8C03-5A291F22BA88}"/>
    <cellStyle name="20% - Énfasis3 17" xfId="12379" xr:uid="{00000000-0005-0000-0000-000047000000}"/>
    <cellStyle name="20% - Énfasis3 17 2" xfId="12679" xr:uid="{E118D98F-7F59-498D-A59F-BE56EC82906E}"/>
    <cellStyle name="20% - Énfasis3 17 3" xfId="16744" xr:uid="{B86A3F82-9A46-4D65-A166-63927D7F7D65}"/>
    <cellStyle name="20% - Énfasis3 17_1.2.b" xfId="15017" xr:uid="{D7A6DEDB-0000-4E83-B4CA-1416799D0811}"/>
    <cellStyle name="20% - Énfasis3 18" xfId="12680" xr:uid="{4B0E6C91-D6C4-440C-BDEB-7893099FBEBF}"/>
    <cellStyle name="20% - Énfasis3 18 2" xfId="16745" xr:uid="{207F7797-752F-433B-A3C3-8FAAB385AB04}"/>
    <cellStyle name="20% - Énfasis3 18_1.2.b" xfId="15018" xr:uid="{CBE0F454-BA22-46B7-BFD1-C22F6DE30D54}"/>
    <cellStyle name="20% - Énfasis3 19" xfId="12681" xr:uid="{0953E859-D193-43B5-8FD2-47A5759A213A}"/>
    <cellStyle name="20% - Énfasis3 19 2" xfId="16746" xr:uid="{4D8D5FD0-8C1C-475B-A632-8A9661A99F84}"/>
    <cellStyle name="20% - Énfasis3 19_1.2.b" xfId="15019" xr:uid="{21B9A301-D59B-4140-B558-43A5E6D649D7}"/>
    <cellStyle name="20% - Énfasis3 2" xfId="150" xr:uid="{00000000-0005-0000-0000-000048000000}"/>
    <cellStyle name="20% - Énfasis3 2 10" xfId="12683" xr:uid="{5563030A-DF82-4795-9BC0-519C031BAE8D}"/>
    <cellStyle name="20% - Énfasis3 2 10 2" xfId="16748" xr:uid="{0E77C697-F51D-4F25-8702-518C72D38629}"/>
    <cellStyle name="20% - Énfasis3 2 10_1.2.b" xfId="15021" xr:uid="{B49144A7-B59B-406C-9DA0-ACFA9CA2E881}"/>
    <cellStyle name="20% - Énfasis3 2 11" xfId="12682" xr:uid="{048C2118-B06E-4CB1-A73D-843E34AC33F5}"/>
    <cellStyle name="20% - Énfasis3 2 12" xfId="16747" xr:uid="{FDA09983-6E3A-43E4-8E67-2D60A1796621}"/>
    <cellStyle name="20% - Énfasis3 2 13" xfId="18140" xr:uid="{DFF90A60-474A-4A8E-A5E6-F2E32E6117C1}"/>
    <cellStyle name="20% - Énfasis3 2 14" xfId="18256" xr:uid="{2ADA12AF-4F02-4145-BFDA-1C0AF69F7646}"/>
    <cellStyle name="20% - Énfasis3 2 15" xfId="17829" xr:uid="{C0979E2E-CC58-4EC7-9C19-7C40961F99CB}"/>
    <cellStyle name="20% - Énfasis3 2 16" xfId="18254" xr:uid="{485A7C41-90A7-4A1B-AB19-52D47C20BA8F}"/>
    <cellStyle name="20% - Énfasis3 2 2" xfId="10670" xr:uid="{00000000-0005-0000-0000-000049000000}"/>
    <cellStyle name="20% - Énfasis3 2 2 2" xfId="12685" xr:uid="{9EA70856-477A-4D99-BA34-0C5408254D88}"/>
    <cellStyle name="20% - Énfasis3 2 2 3" xfId="12686" xr:uid="{C3AF2A3F-56C1-4E55-BAF2-6B6988405EEC}"/>
    <cellStyle name="20% - Énfasis3 2 2 4" xfId="12687" xr:uid="{266617DD-314F-45A9-A16E-FC19F03200F4}"/>
    <cellStyle name="20% - Énfasis3 2 2 5" xfId="12688" xr:uid="{FC3089AE-A730-4387-B3A1-2D354F2A28F0}"/>
    <cellStyle name="20% - Énfasis3 2 2 6" xfId="12684" xr:uid="{6E0DC598-9B34-4FDD-A428-7A142D9E7A8E}"/>
    <cellStyle name="20% - Énfasis3 2 2 7" xfId="16749" xr:uid="{12466D0E-522C-4A54-B29E-3238406132E9}"/>
    <cellStyle name="20% - Énfasis3 2 2_1.2.b" xfId="15022" xr:uid="{B20DEC2E-990F-43F7-B551-296B38CB872C}"/>
    <cellStyle name="20% - Énfasis3 2 3" xfId="12689" xr:uid="{1C431663-2A47-4F0A-AB8C-9A8FC64A7AE1}"/>
    <cellStyle name="20% - Énfasis3 2 4" xfId="12690" xr:uid="{E92342DC-88CB-40FB-A0B6-9040F5C2EFC3}"/>
    <cellStyle name="20% - Énfasis3 2 5" xfId="12691" xr:uid="{A5BC5963-60E1-4FBE-9208-67A6EB106860}"/>
    <cellStyle name="20% - Énfasis3 2 6" xfId="12692" xr:uid="{526BA6DC-4E4C-4D90-9130-243463589BB1}"/>
    <cellStyle name="20% - Énfasis3 2 7" xfId="12693" xr:uid="{57D8CB3D-6712-4D87-A815-39ECFF2F40BC}"/>
    <cellStyle name="20% - Énfasis3 2 8" xfId="12694" xr:uid="{DA589E95-2B78-49BF-A595-94D622BCD7BA}"/>
    <cellStyle name="20% - Énfasis3 2 9" xfId="12695" xr:uid="{B9387B0D-BA1F-402C-8E5D-B200DEBED36B}"/>
    <cellStyle name="20% - Énfasis3 2 9 2" xfId="16753" xr:uid="{E165C27F-2349-495C-AE79-31672067F844}"/>
    <cellStyle name="20% - Énfasis3 2 9_1.2.b" xfId="15023" xr:uid="{6BA01B8E-6949-41A1-8929-9B261888F3AF}"/>
    <cellStyle name="20% - Énfasis3 2_1.2.b" xfId="15020" xr:uid="{FBC491C8-01EE-465E-8FFB-E369F3B01B5E}"/>
    <cellStyle name="20% - Énfasis3 20" xfId="12696" xr:uid="{FB71C246-6B06-4470-8CEB-41F9EA31CCEA}"/>
    <cellStyle name="20% - Énfasis3 20 2" xfId="16754" xr:uid="{3396EC15-E596-42B6-9495-03058D2C1745}"/>
    <cellStyle name="20% - Énfasis3 20_1.2.b" xfId="15024" xr:uid="{A1FEBF52-9D5C-475E-8AF2-7FE0762A9AA2}"/>
    <cellStyle name="20% - Énfasis3 21" xfId="12697" xr:uid="{32C7E00F-F298-416B-B460-615976D0D318}"/>
    <cellStyle name="20% - Énfasis3 21 2" xfId="16755" xr:uid="{EDC34F6C-3A3D-4A1E-A22B-B1486C4FD6C0}"/>
    <cellStyle name="20% - Énfasis3 21_1.2.b" xfId="15025" xr:uid="{E11A1C55-7688-447A-8E9C-3D71A729C8A7}"/>
    <cellStyle name="20% - Énfasis3 22" xfId="12698" xr:uid="{F0D01E3E-DBA6-422F-BB55-F7E7AB865C44}"/>
    <cellStyle name="20% - Énfasis3 22 2" xfId="16756" xr:uid="{7AAA9760-F21D-482C-88EC-62348B2C2659}"/>
    <cellStyle name="20% - Énfasis3 22_1.2.b" xfId="15026" xr:uid="{F0E141FA-CC6E-465C-B36D-5C2FBA991BDA}"/>
    <cellStyle name="20% - Énfasis3 23" xfId="12699" xr:uid="{46E8601E-CFE5-4799-A45B-A96AFB8C4F33}"/>
    <cellStyle name="20% - Énfasis3 23 2" xfId="16757" xr:uid="{9B13673C-9025-4218-A5A8-D80686BB5882}"/>
    <cellStyle name="20% - Énfasis3 23_1.2.b" xfId="15027" xr:uid="{BA2D0F63-BD09-4E06-9931-6DCB8701A195}"/>
    <cellStyle name="20% - Énfasis3 24" xfId="12700" xr:uid="{B7B1485C-1ACD-48A0-B09A-681B6E09141D}"/>
    <cellStyle name="20% - Énfasis3 24 2" xfId="16758" xr:uid="{28E3BE79-4D90-495A-982D-5D3A4DAD38DE}"/>
    <cellStyle name="20% - Énfasis3 24_1.2.b" xfId="15028" xr:uid="{77DD86E4-1BF7-40C8-AFAE-A4169D12BCC1}"/>
    <cellStyle name="20% - Énfasis3 25" xfId="12701" xr:uid="{A7804111-4479-47C1-91C2-A5A66190AF85}"/>
    <cellStyle name="20% - Énfasis3 25 2" xfId="16759" xr:uid="{37F0D5AF-2508-4C47-B212-6EA86E49200F}"/>
    <cellStyle name="20% - Énfasis3 25_1.2.b" xfId="15029" xr:uid="{BFDE65B7-BE97-481F-BEAE-4C61E8EB048F}"/>
    <cellStyle name="20% - Énfasis3 26" xfId="12702" xr:uid="{43AE81D9-19E3-40FA-B69A-1A368096390F}"/>
    <cellStyle name="20% - Énfasis3 26 2" xfId="16760" xr:uid="{BFF984CE-80F3-4216-B8B0-964A6659F740}"/>
    <cellStyle name="20% - Énfasis3 26_1.2.b" xfId="15030" xr:uid="{6D67328A-151D-4CEB-A050-EC7321D2A097}"/>
    <cellStyle name="20% - Énfasis3 27" xfId="12703" xr:uid="{C2995BC3-F1C2-46E1-AC88-9A97F7F847A6}"/>
    <cellStyle name="20% - Énfasis3 27 2" xfId="16761" xr:uid="{4CED3B7F-87E8-4AC9-BB5B-B43CEF1C73B8}"/>
    <cellStyle name="20% - Énfasis3 27_1.2.b" xfId="15031" xr:uid="{56DB9F37-09DA-4F7C-AFFD-7CEABC0074C7}"/>
    <cellStyle name="20% - Énfasis3 28" xfId="12704" xr:uid="{5A7911F7-E078-4476-BA88-52F5093E8175}"/>
    <cellStyle name="20% - Énfasis3 28 2" xfId="16762" xr:uid="{191E4616-E607-4043-94A5-7834D11FC125}"/>
    <cellStyle name="20% - Énfasis3 28_1.2.b" xfId="15032" xr:uid="{EDD42652-3548-46E7-9B94-C465AE8CDB02}"/>
    <cellStyle name="20% - Énfasis3 29" xfId="12705" xr:uid="{31BFBB81-C2EE-4E3E-B405-E14063B35BB1}"/>
    <cellStyle name="20% - Énfasis3 29 2" xfId="16763" xr:uid="{03DFEE99-4E5C-44AF-A028-4364509FD3F5}"/>
    <cellStyle name="20% - Énfasis3 29_1.2.b" xfId="15033" xr:uid="{575B2C40-05AB-4554-9AE1-05A8F6EDD2FB}"/>
    <cellStyle name="20% - Énfasis3 3" xfId="164" xr:uid="{00000000-0005-0000-0000-00004A000000}"/>
    <cellStyle name="20% - Énfasis3 3 2" xfId="10684" xr:uid="{00000000-0005-0000-0000-00004B000000}"/>
    <cellStyle name="20% - Énfasis3 3 2 2" xfId="12707" xr:uid="{3594CD83-5A7A-405C-9C31-54F66561B139}"/>
    <cellStyle name="20% - Énfasis3 3 2 3" xfId="16765" xr:uid="{A693AFD6-9C49-435F-963E-62D0C6379D53}"/>
    <cellStyle name="20% - Énfasis3 3 2_1.2.b" xfId="15035" xr:uid="{B1EBEAF1-532D-42A1-B592-CE6753611E11}"/>
    <cellStyle name="20% - Énfasis3 3 3" xfId="12708" xr:uid="{2A5C3284-C81F-4970-8714-D3DB6400B435}"/>
    <cellStyle name="20% - Énfasis3 3 4" xfId="12709" xr:uid="{D78540BF-A077-42E1-B077-CB5F1C74D96D}"/>
    <cellStyle name="20% - Énfasis3 3 5" xfId="12710" xr:uid="{03858751-7EB2-431A-A4C8-6358AB1A5D4A}"/>
    <cellStyle name="20% - Énfasis3 3 5 2" xfId="16766" xr:uid="{8BEF6932-2079-4036-AA76-C115A9F85915}"/>
    <cellStyle name="20% - Énfasis3 3 5_1.2.b" xfId="15036" xr:uid="{EBE0569A-D7B1-4283-8BE8-5494039A9985}"/>
    <cellStyle name="20% - Énfasis3 3 6" xfId="12711" xr:uid="{B558231F-DDAA-4E82-8E51-5EC665DCA716}"/>
    <cellStyle name="20% - Énfasis3 3 6 2" xfId="16767" xr:uid="{1552BAE2-3C43-4C7E-9EAB-15A3F4565AD1}"/>
    <cellStyle name="20% - Énfasis3 3 6_1.2.b" xfId="15037" xr:uid="{4389E333-8814-4793-A060-083621B1C471}"/>
    <cellStyle name="20% - Énfasis3 3 7" xfId="12712" xr:uid="{D56E3A80-B563-4E93-BAFD-87E1CB420891}"/>
    <cellStyle name="20% - Énfasis3 3 7 2" xfId="16768" xr:uid="{E63A3D91-9EF9-4918-AF09-B58169A0808B}"/>
    <cellStyle name="20% - Énfasis3 3 7_1.2.b" xfId="15038" xr:uid="{21929B69-0870-4839-A317-B24C30D48388}"/>
    <cellStyle name="20% - Énfasis3 3 8" xfId="12706" xr:uid="{7950294E-68B8-42CB-B167-32179726A673}"/>
    <cellStyle name="20% - Énfasis3 3 9" xfId="16764" xr:uid="{CCC5BB4A-F807-4C91-9E3C-EF6A82A14418}"/>
    <cellStyle name="20% - Énfasis3 3_1.2.b" xfId="15034" xr:uid="{514A9229-6037-4888-B764-8C882A47CEAF}"/>
    <cellStyle name="20% - Énfasis3 30" xfId="12713" xr:uid="{355FCC87-AAA8-40FE-BC85-F36A24606529}"/>
    <cellStyle name="20% - Énfasis3 30 2" xfId="16769" xr:uid="{1D0878D4-1DD7-4FD4-9061-D76AAC1979DA}"/>
    <cellStyle name="20% - Énfasis3 30_1.2.b" xfId="15039" xr:uid="{D81C7EBC-4BA6-4D5E-93E2-A7FE4790860D}"/>
    <cellStyle name="20% - Énfasis3 31" xfId="12714" xr:uid="{B0539B1C-4D3B-4EAD-A87E-752CC6ADD668}"/>
    <cellStyle name="20% - Énfasis3 31 2" xfId="16770" xr:uid="{1758C7C8-08D7-40FB-B949-5843D65EA797}"/>
    <cellStyle name="20% - Énfasis3 31_1.2.b" xfId="15040" xr:uid="{95440FC7-225B-482A-AAD2-E7F6679BA905}"/>
    <cellStyle name="20% - Énfasis3 32" xfId="12715" xr:uid="{3F3A6FAD-F2B8-4F23-A967-779486AD70E9}"/>
    <cellStyle name="20% - Énfasis3 32 2" xfId="16771" xr:uid="{9E53950C-56C1-4B20-8936-290B1FFB0DD7}"/>
    <cellStyle name="20% - Énfasis3 32_1.2.b" xfId="15041" xr:uid="{FF17A54C-46F8-48BE-9852-6F8396F51428}"/>
    <cellStyle name="20% - Énfasis3 33" xfId="12716" xr:uid="{07F8FF1E-1D0B-4E99-94F0-BCE4CBFD2C94}"/>
    <cellStyle name="20% - Énfasis3 33 2" xfId="16772" xr:uid="{E07E220D-6149-4736-9176-F28411BD442C}"/>
    <cellStyle name="20% - Énfasis3 33_1.2.b" xfId="15042" xr:uid="{AEA0C84A-2A92-409A-9B5E-6A9A0D9C0620}"/>
    <cellStyle name="20% - Énfasis3 34" xfId="12717" xr:uid="{66E6D928-C5F6-4B66-B075-55C0996C1EF7}"/>
    <cellStyle name="20% - Énfasis3 34 2" xfId="16773" xr:uid="{1AA24A6E-5C4C-4CB7-A200-357BF945117F}"/>
    <cellStyle name="20% - Énfasis3 34_1.2.b" xfId="15043" xr:uid="{81B29B78-E389-4A73-8EBA-AE35AA0E572A}"/>
    <cellStyle name="20% - Énfasis3 35" xfId="12718" xr:uid="{1721FCF1-398D-4773-98F7-25B0DCCFA07C}"/>
    <cellStyle name="20% - Énfasis3 35 2" xfId="16774" xr:uid="{75321D4B-59C8-4104-904F-628A8C2227AF}"/>
    <cellStyle name="20% - Énfasis3 35_1.2.b" xfId="15044" xr:uid="{947A4529-0751-4E94-965E-01B3251F57D9}"/>
    <cellStyle name="20% - Énfasis3 36" xfId="12719" xr:uid="{B0E20812-0172-46B7-B7FE-61192E79FB40}"/>
    <cellStyle name="20% - Énfasis3 36 2" xfId="16775" xr:uid="{D8C33EE9-ACBB-4764-BC3C-0A4285407F1E}"/>
    <cellStyle name="20% - Énfasis3 36_1.2.b" xfId="15045" xr:uid="{49037327-2792-4FE8-8A8E-666F20ABE120}"/>
    <cellStyle name="20% - Énfasis3 37" xfId="12720" xr:uid="{D560F5D2-4CB4-446B-91AE-F90DCC608F5F}"/>
    <cellStyle name="20% - Énfasis3 37 2" xfId="16776" xr:uid="{2846471E-1814-4C45-A317-57330BA5D7BA}"/>
    <cellStyle name="20% - Énfasis3 37_1.2.b" xfId="15046" xr:uid="{2F3B5795-BCC2-4A07-A8B5-1967C34DB021}"/>
    <cellStyle name="20% - Énfasis3 38" xfId="12721" xr:uid="{36B96C86-5A8D-4B89-A420-3EC7814C8682}"/>
    <cellStyle name="20% - Énfasis3 38 2" xfId="16777" xr:uid="{CFD9A179-F6C1-4B1A-B61C-BEA214E8CF40}"/>
    <cellStyle name="20% - Énfasis3 38_1.2.b" xfId="15047" xr:uid="{A26DF5F6-5488-461D-AAE4-25311A134CAC}"/>
    <cellStyle name="20% - Énfasis3 39" xfId="12722" xr:uid="{04526107-8C9D-4A20-8495-91E515BF9B9B}"/>
    <cellStyle name="20% - Énfasis3 39 2" xfId="16778" xr:uid="{61941664-E4C9-4D14-BBD1-801F92F24A82}"/>
    <cellStyle name="20% - Énfasis3 39_1.2.b" xfId="15048" xr:uid="{2930BACB-2996-4A44-B6A0-81505B7FEF09}"/>
    <cellStyle name="20% - Énfasis3 4" xfId="178" xr:uid="{00000000-0005-0000-0000-00004C000000}"/>
    <cellStyle name="20% - Énfasis3 4 2" xfId="10698" xr:uid="{00000000-0005-0000-0000-00004D000000}"/>
    <cellStyle name="20% - Énfasis3 4 2 2" xfId="12725" xr:uid="{590CFFA0-9064-403C-9301-109175C181F9}"/>
    <cellStyle name="20% - Énfasis3 4 2 2 2" xfId="16781" xr:uid="{F3CC87FC-D61D-4B6F-AA8F-3CB3C7EE9356}"/>
    <cellStyle name="20% - Énfasis3 4 2 2_1.2.b" xfId="15051" xr:uid="{AC44A39C-CC5D-426C-B977-BC596C9DD600}"/>
    <cellStyle name="20% - Énfasis3 4 2 3" xfId="12724" xr:uid="{26C69635-3557-4A79-AF8F-16BAD36549C6}"/>
    <cellStyle name="20% - Énfasis3 4 2 4" xfId="16780" xr:uid="{BB7DAAD1-650E-4BCB-9579-26DF0C0BD214}"/>
    <cellStyle name="20% - Énfasis3 4 2 5" xfId="17828" xr:uid="{CD10A4FF-0B9C-4767-B2FF-59293A29C297}"/>
    <cellStyle name="20% - Énfasis3 4 2 6" xfId="18283" xr:uid="{6FAEB532-EF69-48A6-ADA4-9959B2C42E85}"/>
    <cellStyle name="20% - Énfasis3 4 2 7" xfId="17814" xr:uid="{1309D1A8-16E9-4022-A243-F7A45B265465}"/>
    <cellStyle name="20% - Énfasis3 4 2 8" xfId="18274" xr:uid="{E4057091-7D13-4BAB-A07A-E06B453A0E02}"/>
    <cellStyle name="20% - Énfasis3 4 2_1.2.b" xfId="15050" xr:uid="{DDE10839-7A55-486C-BAB0-172BC014C295}"/>
    <cellStyle name="20% - Énfasis3 4 3" xfId="12726" xr:uid="{065ECB20-B8E1-4069-B18C-669C813C202F}"/>
    <cellStyle name="20% - Énfasis3 4 3 2" xfId="16782" xr:uid="{47D7F814-7F2C-47A1-8A3E-9B2A750EE73C}"/>
    <cellStyle name="20% - Énfasis3 4 3_1.2.b" xfId="15052" xr:uid="{FC447D01-801A-4907-9F51-922ED5491148}"/>
    <cellStyle name="20% - Énfasis3 4 4" xfId="12727" xr:uid="{E09C9F7D-0877-4FEF-898A-E8EED1B03DC7}"/>
    <cellStyle name="20% - Énfasis3 4 4 2" xfId="16783" xr:uid="{B0FABF75-603E-4030-9F24-4F3FF2E9BE16}"/>
    <cellStyle name="20% - Énfasis3 4 4_1.2.b" xfId="15053" xr:uid="{166C317B-705D-49E7-8507-C0AFB8E916FE}"/>
    <cellStyle name="20% - Énfasis3 4 5" xfId="12728" xr:uid="{25659873-9EDB-4A76-9435-30A1CDE6B023}"/>
    <cellStyle name="20% - Énfasis3 4 5 2" xfId="16784" xr:uid="{369150D7-D9A9-4BB5-89ED-6B0BA0350604}"/>
    <cellStyle name="20% - Énfasis3 4 5_1.2.b" xfId="15054" xr:uid="{D280E581-71E0-4FBC-925E-B88B34264E21}"/>
    <cellStyle name="20% - Énfasis3 4 6" xfId="12729" xr:uid="{F3891C4B-7DB7-4D91-8146-FF80F0AF6B6D}"/>
    <cellStyle name="20% - Énfasis3 4 6 2" xfId="16785" xr:uid="{11F6EEEB-F534-4FF0-B038-871AF3DD54F1}"/>
    <cellStyle name="20% - Énfasis3 4 6_1.2.b" xfId="15055" xr:uid="{47541185-85A8-4887-99BA-D009F259683A}"/>
    <cellStyle name="20% - Énfasis3 4 7" xfId="12723" xr:uid="{1976F6F8-7E82-4299-802B-A1C0D612D72E}"/>
    <cellStyle name="20% - Énfasis3 4 8" xfId="16779" xr:uid="{D8DF5754-A027-4C8F-B48A-64365E1985DC}"/>
    <cellStyle name="20% - Énfasis3 4_1.2.b" xfId="15049" xr:uid="{647E0738-3AB7-4B28-9112-77CD63888E7B}"/>
    <cellStyle name="20% - Énfasis3 40" xfId="12730" xr:uid="{1E6E8731-4FD9-4DE2-BBDA-64661301EA38}"/>
    <cellStyle name="20% - Énfasis3 40 2" xfId="16786" xr:uid="{A82970A0-E1F2-414F-BB0E-ED0DB393394F}"/>
    <cellStyle name="20% - Énfasis3 40_1.2.b" xfId="15056" xr:uid="{CF581E7E-8B03-4EC3-90EE-5EE0F8CB9048}"/>
    <cellStyle name="20% - Énfasis3 41" xfId="12731" xr:uid="{752E10FC-B0B3-457D-B8E2-2BEAA8809FDD}"/>
    <cellStyle name="20% - Énfasis3 41 2" xfId="16787" xr:uid="{D53AC0BB-8D51-4407-B670-6B35B76B5E66}"/>
    <cellStyle name="20% - Énfasis3 41_1.2.b" xfId="15057" xr:uid="{2F0FB6D2-7BCA-4780-B7F8-B5E6D36F3A68}"/>
    <cellStyle name="20% - Énfasis3 42" xfId="12732" xr:uid="{6B91E645-09D3-4766-AFA5-D85E27FCFA3F}"/>
    <cellStyle name="20% - Énfasis3 42 2" xfId="16788" xr:uid="{831FD4B9-B714-4320-8288-5BA8DCCECE84}"/>
    <cellStyle name="20% - Énfasis3 42_1.2.b" xfId="15058" xr:uid="{B65A79BC-2CBE-46D1-92B4-9E72ABAA3294}"/>
    <cellStyle name="20% - Énfasis3 43" xfId="12733" xr:uid="{5727BF10-CD0F-4666-B8FB-EA40D07A0405}"/>
    <cellStyle name="20% - Énfasis3 43 2" xfId="16789" xr:uid="{4658C0D9-6B6C-4319-A4B2-C99ABDE66BB3}"/>
    <cellStyle name="20% - Énfasis3 43_1.2.b" xfId="15059" xr:uid="{11037461-8C28-483C-BC84-B6D3C82E807F}"/>
    <cellStyle name="20% - Énfasis3 44" xfId="12734" xr:uid="{B8B60812-078F-4B6B-80E6-088368D222C2}"/>
    <cellStyle name="20% - Énfasis3 44 2" xfId="16790" xr:uid="{C7A3D54E-826C-4A62-B44C-EB717904DDC5}"/>
    <cellStyle name="20% - Énfasis3 44_1.2.b" xfId="15060" xr:uid="{48BECE6D-A721-479F-9C55-5E8692711AC8}"/>
    <cellStyle name="20% - Énfasis3 45" xfId="12735" xr:uid="{4269854A-05F7-4C4C-8F3C-C40EF44321E6}"/>
    <cellStyle name="20% - Énfasis3 45 2" xfId="16791" xr:uid="{106857E5-FB02-40EA-A576-E2730872FDC8}"/>
    <cellStyle name="20% - Énfasis3 45_1.2.b" xfId="15061" xr:uid="{7190C69C-2AC2-4FC1-BF9C-242B9A8383E4}"/>
    <cellStyle name="20% - Énfasis3 46" xfId="12736" xr:uid="{FC7CD93F-AC20-4A51-925B-6234C00BDA9C}"/>
    <cellStyle name="20% - Énfasis3 46 2" xfId="16792" xr:uid="{219A2EC2-C923-487B-8A37-200F3DD6CC14}"/>
    <cellStyle name="20% - Énfasis3 46_1.2.b" xfId="15062" xr:uid="{698DF1CA-C3FE-4AA0-A54C-5864F4BC87ED}"/>
    <cellStyle name="20% - Énfasis3 47" xfId="12737" xr:uid="{11E03D4F-B51E-469D-8638-2201ACFEE7CB}"/>
    <cellStyle name="20% - Énfasis3 47 2" xfId="16793" xr:uid="{97187940-92B0-4BFB-BE81-7276E808C1B1}"/>
    <cellStyle name="20% - Énfasis3 47_1.2.b" xfId="15063" xr:uid="{76E98666-49D6-4794-B40B-D95F348EC396}"/>
    <cellStyle name="20% - Énfasis3 48" xfId="12738" xr:uid="{6C8A7095-7C86-427D-A865-915991B6CAB9}"/>
    <cellStyle name="20% - Énfasis3 48 2" xfId="16794" xr:uid="{3ABD5381-3C56-4733-B42D-3162798D6640}"/>
    <cellStyle name="20% - Énfasis3 48_1.2.b" xfId="15064" xr:uid="{DC8387B1-07CF-412F-B020-39CA6FCDFE63}"/>
    <cellStyle name="20% - Énfasis3 49" xfId="12739" xr:uid="{6CC96EDB-8539-4C31-BAC6-DCA49EA1CC7B}"/>
    <cellStyle name="20% - Énfasis3 49 2" xfId="16795" xr:uid="{CE7A46B9-7632-4741-94DE-97183D6F4D12}"/>
    <cellStyle name="20% - Énfasis3 49_1.2.b" xfId="15065" xr:uid="{ED995E7F-B59B-4ED6-B6DB-D3E1DCA47CBA}"/>
    <cellStyle name="20% - Énfasis3 5" xfId="193" xr:uid="{00000000-0005-0000-0000-00004E000000}"/>
    <cellStyle name="20% - Énfasis3 5 2" xfId="10713" xr:uid="{00000000-0005-0000-0000-00004F000000}"/>
    <cellStyle name="20% - Énfasis3 5 2 2" xfId="12741" xr:uid="{CA33E85B-3A5D-410E-812B-0D436021C0FD}"/>
    <cellStyle name="20% - Énfasis3 5 2 3" xfId="16797" xr:uid="{C4FB15EC-AA34-4417-8945-D43D85C7FBEA}"/>
    <cellStyle name="20% - Énfasis3 5 2_1.2.b" xfId="15067" xr:uid="{EA818F65-BAB9-4B7A-BBB1-D621B1ABE6ED}"/>
    <cellStyle name="20% - Énfasis3 5 3" xfId="12742" xr:uid="{62FB87B9-D00F-4D2C-90ED-76157E12C579}"/>
    <cellStyle name="20% - Énfasis3 5 3 2" xfId="16798" xr:uid="{C1576471-F05F-488F-AB03-A003CE65A28C}"/>
    <cellStyle name="20% - Énfasis3 5 3_1.2.b" xfId="15068" xr:uid="{9E3E0FD8-D970-48FA-BB63-FAC87B43AFF4}"/>
    <cellStyle name="20% - Énfasis3 5 4" xfId="12740" xr:uid="{E1511F4E-7C6C-4142-BDD7-873043C5C0C1}"/>
    <cellStyle name="20% - Énfasis3 5 5" xfId="16796" xr:uid="{2F853DB5-DC83-4030-B25E-B735E523CD69}"/>
    <cellStyle name="20% - Énfasis3 5_1.2.b" xfId="15066" xr:uid="{4D427437-56EC-4014-A3AF-3DBC3F45A0FC}"/>
    <cellStyle name="20% - Énfasis3 50" xfId="12743" xr:uid="{4721C982-AA5C-4BDE-94D8-BD8077BABDFC}"/>
    <cellStyle name="20% - Énfasis3 50 2" xfId="16799" xr:uid="{DC72E797-30DC-4417-B912-D9C3169B5A29}"/>
    <cellStyle name="20% - Énfasis3 50_1.2.b" xfId="15069" xr:uid="{77C9E16D-A630-421F-9FBB-D01C145037C1}"/>
    <cellStyle name="20% - Énfasis3 51" xfId="12744" xr:uid="{A6476EC5-F7EC-46BA-AE72-87AFA5E28760}"/>
    <cellStyle name="20% - Énfasis3 51 2" xfId="16800" xr:uid="{5919D5C4-BDE0-4523-B86F-36FE40744301}"/>
    <cellStyle name="20% - Énfasis3 51_1.2.b" xfId="15070" xr:uid="{D02804FB-2D7D-457C-9B02-6B3D5426C30F}"/>
    <cellStyle name="20% - Énfasis3 52" xfId="12745" xr:uid="{7A042A8F-C2E7-4458-8606-23B15C4F436A}"/>
    <cellStyle name="20% - Énfasis3 52 2" xfId="16801" xr:uid="{C84CC783-9DDF-4018-AC89-5D539D321AB6}"/>
    <cellStyle name="20% - Énfasis3 52_1.2.b" xfId="15071" xr:uid="{84F1A883-F66E-4DBA-84F6-A18661CFD139}"/>
    <cellStyle name="20% - Énfasis3 53" xfId="12746" xr:uid="{0EAA4E94-8ABC-4C92-B23C-2631BFD1238C}"/>
    <cellStyle name="20% - Énfasis3 53 2" xfId="16802" xr:uid="{8C9F0BB8-82E8-4A46-A34E-916D0E3F286E}"/>
    <cellStyle name="20% - Énfasis3 53_1.2.b" xfId="15072" xr:uid="{F5F8C5C5-CEBB-43BB-A9DA-37DF4DDDAD31}"/>
    <cellStyle name="20% - Énfasis3 54" xfId="12747" xr:uid="{FD5E6E19-B5B4-492A-B473-7878780E3704}"/>
    <cellStyle name="20% - Énfasis3 54 2" xfId="16803" xr:uid="{1D039D5F-FF1F-4309-8E44-1EF674C451FA}"/>
    <cellStyle name="20% - Énfasis3 54_1.2.b" xfId="15073" xr:uid="{D836471A-8AB6-4124-BCE1-2BCAB03D668D}"/>
    <cellStyle name="20% - Énfasis3 55" xfId="12748" xr:uid="{C3358787-FA63-4F0A-96B8-3E626E413404}"/>
    <cellStyle name="20% - Énfasis3 55 2" xfId="16804" xr:uid="{45D069D6-C7AE-4D2C-B232-D5FDF2BF0D41}"/>
    <cellStyle name="20% - Énfasis3 55_1.2.b" xfId="15074" xr:uid="{87CE3AFB-2A1A-4B5B-B05F-9F9C259AB2C9}"/>
    <cellStyle name="20% - Énfasis3 56" xfId="12749" xr:uid="{BF02522A-E353-442A-ACB3-8EF7F1287A50}"/>
    <cellStyle name="20% - Énfasis3 56 2" xfId="16805" xr:uid="{33E98FF8-95C3-45E7-AA98-56001C9FD22B}"/>
    <cellStyle name="20% - Énfasis3 56_1.2.b" xfId="15075" xr:uid="{5F4D8786-A40A-4FB9-9832-8D4870E39B5C}"/>
    <cellStyle name="20% - Énfasis3 57" xfId="12750" xr:uid="{B1A5788F-859E-458D-B358-48875D80A53D}"/>
    <cellStyle name="20% - Énfasis3 57 2" xfId="16806" xr:uid="{4A4FFBD5-525E-48CE-8E75-4D49F4F8CBED}"/>
    <cellStyle name="20% - Énfasis3 57_1.2.b" xfId="15076" xr:uid="{295EF943-7F5D-4728-8B00-D6CDC5DF95D9}"/>
    <cellStyle name="20% - Énfasis3 58" xfId="12751" xr:uid="{E2A3FADF-7584-4145-B07D-53B21880CE7A}"/>
    <cellStyle name="20% - Énfasis3 58 2" xfId="16807" xr:uid="{45640D2D-6A09-49A1-BB20-D793FC990F11}"/>
    <cellStyle name="20% - Énfasis3 58_1.2.b" xfId="15077" xr:uid="{1A56952A-1BCB-4C97-A9F7-1D1BF42D3796}"/>
    <cellStyle name="20% - Énfasis3 59" xfId="12752" xr:uid="{B3D11617-4748-4D6D-BF29-265B7ED30BAC}"/>
    <cellStyle name="20% - Énfasis3 59 2" xfId="16808" xr:uid="{40B02093-3C58-40BB-936F-6F479D04E53E}"/>
    <cellStyle name="20% - Énfasis3 59_1.2.b" xfId="15078" xr:uid="{C536D52B-FCF5-4272-A95C-351A33D91BA6}"/>
    <cellStyle name="20% - Énfasis3 6" xfId="207" xr:uid="{00000000-0005-0000-0000-000050000000}"/>
    <cellStyle name="20% - Énfasis3 6 2" xfId="10727" xr:uid="{00000000-0005-0000-0000-000051000000}"/>
    <cellStyle name="20% - Énfasis3 6 2 2" xfId="12754" xr:uid="{06BA5D32-07D7-43F7-8471-0B940EAEDA8C}"/>
    <cellStyle name="20% - Énfasis3 6 2 3" xfId="16810" xr:uid="{BACDEAC2-5EA5-4156-A03A-E560D106F0AF}"/>
    <cellStyle name="20% - Énfasis3 6 2_1.2.b" xfId="15080" xr:uid="{03E1B0CD-44A4-439C-9834-E50497585A89}"/>
    <cellStyle name="20% - Énfasis3 6 3" xfId="12753" xr:uid="{40400D31-D4D4-48A6-9A49-AA8FBAD5CD18}"/>
    <cellStyle name="20% - Énfasis3 6 4" xfId="16809" xr:uid="{775220A8-9FC3-49D6-9624-96B37006E50A}"/>
    <cellStyle name="20% - Énfasis3 6_1.2.b" xfId="15079" xr:uid="{D66238D0-0F00-44EA-B33B-3E2844DE9BE4}"/>
    <cellStyle name="20% - Énfasis3 60" xfId="12755" xr:uid="{16FFD0A9-4C73-4850-93A8-8ED48EA7FDD6}"/>
    <cellStyle name="20% - Énfasis3 60 2" xfId="16811" xr:uid="{D79A0D5E-2D7E-4044-B134-6C84492D70F2}"/>
    <cellStyle name="20% - Énfasis3 60_1.2.b" xfId="15081" xr:uid="{2FCB5D88-DF93-484A-8286-3699DFA95966}"/>
    <cellStyle name="20% - Énfasis3 61" xfId="12756" xr:uid="{9A5D07FB-8926-49A3-BAAB-E2B93596AD9C}"/>
    <cellStyle name="20% - Énfasis3 61 2" xfId="16812" xr:uid="{74B83A6F-67F3-4178-AC53-8C5DCB7B0A8C}"/>
    <cellStyle name="20% - Énfasis3 61_1.2.b" xfId="15082" xr:uid="{7E1C5540-C7A3-46B0-91C2-0E7242BFD0EC}"/>
    <cellStyle name="20% - Énfasis3 62" xfId="12757" xr:uid="{F822321A-E5D2-4F0E-8EDC-746AD8D4C011}"/>
    <cellStyle name="20% - Énfasis3 62 2" xfId="16813" xr:uid="{324E3E7F-0519-4820-B7FD-9D8A331C0E5F}"/>
    <cellStyle name="20% - Énfasis3 62_1.2.b" xfId="15083" xr:uid="{FAF21ECF-2CC5-4DF8-B772-4E75BB4A70D2}"/>
    <cellStyle name="20% - Énfasis3 63" xfId="12758" xr:uid="{8A71DF2E-0318-4901-978F-5B715397FE7C}"/>
    <cellStyle name="20% - Énfasis3 63 2" xfId="16814" xr:uid="{82EB396C-9B58-4CFA-8D83-4E58E3937AE2}"/>
    <cellStyle name="20% - Énfasis3 63_1.2.b" xfId="15084" xr:uid="{98C00D6B-BABD-49F3-A3B4-E8E0EF91405F}"/>
    <cellStyle name="20% - Énfasis3 64" xfId="12759" xr:uid="{0DC34D69-1520-4B57-B2B9-EAE69491A145}"/>
    <cellStyle name="20% - Énfasis3 64 2" xfId="16815" xr:uid="{03EBFD73-3CE8-4ABC-8CFD-6A2E84819B5C}"/>
    <cellStyle name="20% - Énfasis3 64_1.2.b" xfId="15085" xr:uid="{DBE11C07-385E-4DB7-93DF-C40514ED1DA6}"/>
    <cellStyle name="20% - Énfasis3 65" xfId="12760" xr:uid="{06F81BDE-B23B-4DBA-A66D-CE2F6BC389D0}"/>
    <cellStyle name="20% - Énfasis3 65 2" xfId="16816" xr:uid="{469B7C6C-CD16-4D76-9D8C-2F55316E6BCE}"/>
    <cellStyle name="20% - Énfasis3 65_1.2.b" xfId="15086" xr:uid="{15CF2037-1C60-4326-B603-C8C4A1904BD2}"/>
    <cellStyle name="20% - Énfasis3 66" xfId="12761" xr:uid="{28903162-A5C5-4766-B896-0868D6E2639D}"/>
    <cellStyle name="20% - Énfasis3 66 2" xfId="16817" xr:uid="{FEA6E9CF-4E9A-4B36-9531-C82DE77F06C7}"/>
    <cellStyle name="20% - Énfasis3 66_1.2.b" xfId="15087" xr:uid="{E36A31A2-51E9-488E-873A-050297D18AB0}"/>
    <cellStyle name="20% - Énfasis3 67" xfId="12762" xr:uid="{0F55BCD2-C56F-4192-9385-AB389972B28F}"/>
    <cellStyle name="20% - Énfasis3 67 2" xfId="16818" xr:uid="{CB12E926-8933-482B-A3D1-3C42A75281F8}"/>
    <cellStyle name="20% - Énfasis3 67_1.2.b" xfId="15088" xr:uid="{BC2830AA-E5F7-4D44-B3E8-698816D93C96}"/>
    <cellStyle name="20% - Énfasis3 68" xfId="12763" xr:uid="{00FBAD8F-EAD6-4669-85DF-13FD041C85B8}"/>
    <cellStyle name="20% - Énfasis3 68 2" xfId="16819" xr:uid="{7FF76011-A87D-444F-95B6-1602780BD944}"/>
    <cellStyle name="20% - Énfasis3 68_1.2.b" xfId="15089" xr:uid="{F6500480-5CFD-43EF-BB5A-55CA5750B010}"/>
    <cellStyle name="20% - Énfasis3 69" xfId="12764" xr:uid="{D3A6A3A2-11A9-4D73-98C3-54BEB220CAB5}"/>
    <cellStyle name="20% - Énfasis3 69 2" xfId="16820" xr:uid="{25AD2E07-AC82-490D-91A3-F6EDB7018E9B}"/>
    <cellStyle name="20% - Énfasis3 69_1.2.b" xfId="15090" xr:uid="{140363E9-FE08-40EB-9721-79B33F6CE876}"/>
    <cellStyle name="20% - Énfasis3 7" xfId="9831" xr:uid="{00000000-0005-0000-0000-000052000000}"/>
    <cellStyle name="20% - Énfasis3 7 2" xfId="11617" xr:uid="{00000000-0005-0000-0000-000053000000}"/>
    <cellStyle name="20% - Énfasis3 7 2 2" xfId="12766" xr:uid="{F64232CE-923E-45E4-8D9F-5E0512879D5F}"/>
    <cellStyle name="20% - Énfasis3 7 2 3" xfId="16822" xr:uid="{45CE86FB-C029-43E1-B1E3-1564BBFC938E}"/>
    <cellStyle name="20% - Énfasis3 7 2_1.2.b" xfId="15092" xr:uid="{A5BE343A-36B7-456A-8840-E1204BD4F42C}"/>
    <cellStyle name="20% - Énfasis3 7 3" xfId="12765" xr:uid="{65C20DB6-C094-4D54-9162-B2B992A73925}"/>
    <cellStyle name="20% - Énfasis3 7 4" xfId="16821" xr:uid="{F83AA525-7689-48F8-9800-427588ADA053}"/>
    <cellStyle name="20% - Énfasis3 7_1.2.b" xfId="15091" xr:uid="{0418AE3A-616E-4AA0-AB0E-9B36C987F5D6}"/>
    <cellStyle name="20% - Énfasis3 70" xfId="12767" xr:uid="{0E8C5902-0970-42D9-B6B0-7C3A9B4504B4}"/>
    <cellStyle name="20% - Énfasis3 70 2" xfId="16823" xr:uid="{0FAA1A4A-8184-4D94-930C-09A1BD9B70A2}"/>
    <cellStyle name="20% - Énfasis3 70_1.2.b" xfId="15093" xr:uid="{3F8A4EDF-C674-4A8C-9C7D-2A3CAF438F03}"/>
    <cellStyle name="20% - Énfasis3 71" xfId="12768" xr:uid="{A026F47F-AAB7-45B7-8EF0-5EC6356A3018}"/>
    <cellStyle name="20% - Énfasis3 71 2" xfId="16824" xr:uid="{A7A5071C-A8CC-4438-A3FD-C9695FF6AE1F}"/>
    <cellStyle name="20% - Énfasis3 71_1.2.b" xfId="15094" xr:uid="{EAF711E2-4631-427F-8C01-A8ECCD842FA3}"/>
    <cellStyle name="20% - Énfasis3 72" xfId="12769" xr:uid="{7797912D-AA5E-4D54-A45D-302A91356C0C}"/>
    <cellStyle name="20% - Énfasis3 72 2" xfId="16825" xr:uid="{4158356F-75CC-4A1A-A3EC-61DBE25C33BD}"/>
    <cellStyle name="20% - Énfasis3 72_1.2.b" xfId="15095" xr:uid="{8E58ECF0-1369-4355-9E53-E3F8226D33B2}"/>
    <cellStyle name="20% - Énfasis3 73" xfId="12770" xr:uid="{85ACC6E5-52F3-4E6E-9602-5090E944979D}"/>
    <cellStyle name="20% - Énfasis3 73 2" xfId="16826" xr:uid="{DC354C11-F356-4B5A-88D1-8E844481D3EA}"/>
    <cellStyle name="20% - Énfasis3 73_1.2.b" xfId="15096" xr:uid="{5BAD1884-611E-41A3-A799-6635C4A420E8}"/>
    <cellStyle name="20% - Énfasis3 74" xfId="12771" xr:uid="{C7635B0F-1CE6-4B36-B2AB-6C2EC2A3B3A2}"/>
    <cellStyle name="20% - Énfasis3 74 2" xfId="16827" xr:uid="{8BF72C7D-7B9E-425D-B855-4E3B6E4996DC}"/>
    <cellStyle name="20% - Énfasis3 74_1.2.b" xfId="15097" xr:uid="{032D4D51-6BD3-4640-A9FC-7311DF823D7E}"/>
    <cellStyle name="20% - Énfasis3 75" xfId="12772" xr:uid="{5C17041E-9693-4035-A0EE-821A905F7E2F}"/>
    <cellStyle name="20% - Énfasis3 75 2" xfId="16828" xr:uid="{F8304F6E-86DF-4925-8B15-83E55C739B48}"/>
    <cellStyle name="20% - Énfasis3 75_1.2.b" xfId="15098" xr:uid="{F61081C6-3045-4C56-B0BB-021DB583D135}"/>
    <cellStyle name="20% - Énfasis3 76" xfId="12773" xr:uid="{F641C5E2-65CD-421C-BDCF-E22818B5606C}"/>
    <cellStyle name="20% - Énfasis3 76 2" xfId="16829" xr:uid="{B472C40E-8D11-4782-8FB4-401BCDCC3191}"/>
    <cellStyle name="20% - Énfasis3 76_1.2.b" xfId="15099" xr:uid="{BB3ADC73-631F-4913-BF8F-56DC94684802}"/>
    <cellStyle name="20% - Énfasis3 77" xfId="12774" xr:uid="{AD9E62B9-EBE5-4B55-BB3E-62437F81A1CC}"/>
    <cellStyle name="20% - Énfasis3 77 2" xfId="16830" xr:uid="{CA3CB33B-611C-4EF0-A8B7-9088EA8EAB2F}"/>
    <cellStyle name="20% - Énfasis3 77_1.2.b" xfId="15100" xr:uid="{754CB6F8-F6E1-4909-8DE5-5917929D6649}"/>
    <cellStyle name="20% - Énfasis3 78" xfId="12775" xr:uid="{43AAC76D-E197-47B6-B14F-31EA14E390A2}"/>
    <cellStyle name="20% - Énfasis3 78 2" xfId="16831" xr:uid="{852BF0D4-7EF2-4044-91B3-B6BE7E34610A}"/>
    <cellStyle name="20% - Énfasis3 78_1.2.b" xfId="15101" xr:uid="{F291FBBD-248F-452C-AE94-AAE78DF5D055}"/>
    <cellStyle name="20% - Énfasis3 79" xfId="12776" xr:uid="{077B221E-E9D6-4FB1-BCE9-4108D302F0CB}"/>
    <cellStyle name="20% - Énfasis3 79 2" xfId="16832" xr:uid="{3E1B5F95-CA25-40D9-B4EA-95710373CA02}"/>
    <cellStyle name="20% - Énfasis3 79_1.2.b" xfId="15102" xr:uid="{DFAAF94C-23A0-48F9-B1D6-509F9C46295C}"/>
    <cellStyle name="20% - Énfasis3 8" xfId="9850" xr:uid="{00000000-0005-0000-0000-000054000000}"/>
    <cellStyle name="20% - Énfasis3 8 2" xfId="11635" xr:uid="{00000000-0005-0000-0000-000055000000}"/>
    <cellStyle name="20% - Énfasis3 8 2 2" xfId="12778" xr:uid="{40E10EBD-1D1B-4781-B0E0-00C6B2CC4239}"/>
    <cellStyle name="20% - Énfasis3 8 2 3" xfId="16834" xr:uid="{59387178-0CA3-47F1-8524-CE211749A5EF}"/>
    <cellStyle name="20% - Énfasis3 8 2_1.2.b" xfId="15104" xr:uid="{8779C48A-0CDF-48C7-9DAC-3C7610424C00}"/>
    <cellStyle name="20% - Énfasis3 8 3" xfId="12777" xr:uid="{1E719CA9-A18F-4FFF-B2C4-7A33E3B3E2DA}"/>
    <cellStyle name="20% - Énfasis3 8 4" xfId="16833" xr:uid="{2E8A2609-75C4-4689-B9F0-BC2F21C861F9}"/>
    <cellStyle name="20% - Énfasis3 8_1.2.b" xfId="15103" xr:uid="{2F121C22-A627-45FE-A629-ACAD333D9A62}"/>
    <cellStyle name="20% - Énfasis3 80" xfId="12779" xr:uid="{FA583A4E-DD6F-4F09-8584-E62A877E8219}"/>
    <cellStyle name="20% - Énfasis3 80 2" xfId="16835" xr:uid="{7993D28B-FE15-409D-BF45-CD237EA5CADA}"/>
    <cellStyle name="20% - Énfasis3 80_1.2.b" xfId="15105" xr:uid="{AD089682-640E-4486-9F00-3BBDEC063526}"/>
    <cellStyle name="20% - Énfasis3 81" xfId="12780" xr:uid="{A803F970-E889-40C0-BC1C-546EE6671739}"/>
    <cellStyle name="20% - Énfasis3 81 2" xfId="16836" xr:uid="{2243A950-AB5A-42ED-AF95-8DD41AAE57AB}"/>
    <cellStyle name="20% - Énfasis3 81_1.2.b" xfId="15106" xr:uid="{526697A6-C675-452C-ADCB-115905349F1C}"/>
    <cellStyle name="20% - Énfasis3 82" xfId="12781" xr:uid="{6B96397D-8118-4F4A-839B-8DA0A323D55E}"/>
    <cellStyle name="20% - Énfasis3 82 2" xfId="16837" xr:uid="{67C28BC2-6D99-4C2D-9B7B-EB754A2854F1}"/>
    <cellStyle name="20% - Énfasis3 82_1.2.b" xfId="15107" xr:uid="{03907952-634F-4014-AA5D-A5AEF65731A4}"/>
    <cellStyle name="20% - Énfasis3 83" xfId="12782" xr:uid="{0FD9D724-06E7-44DF-B429-6B577B92089D}"/>
    <cellStyle name="20% - Énfasis3 83 2" xfId="16838" xr:uid="{06D97BE2-1DF2-45BC-B771-CFAF3F2EA51E}"/>
    <cellStyle name="20% - Énfasis3 83_1.2.b" xfId="15108" xr:uid="{889C7104-7686-454A-962E-EB01EC1CEBE2}"/>
    <cellStyle name="20% - Énfasis3 84" xfId="12783" xr:uid="{89163AAC-8D47-48E4-B885-BB7ABC207423}"/>
    <cellStyle name="20% - Énfasis3 84 2" xfId="16839" xr:uid="{107FCCBE-B116-4A0C-926D-EA0B8A63C629}"/>
    <cellStyle name="20% - Énfasis3 84_1.2.b" xfId="15109" xr:uid="{6C0AEC27-7936-4009-8465-D39EF9C6BED6}"/>
    <cellStyle name="20% - Énfasis3 85" xfId="12784" xr:uid="{852797CA-43CF-42D0-B341-46F6FB219DEA}"/>
    <cellStyle name="20% - Énfasis3 85 2" xfId="16840" xr:uid="{5727C55F-6765-495E-8EA7-78B799044AE3}"/>
    <cellStyle name="20% - Énfasis3 85_1.2.b" xfId="15110" xr:uid="{AF3BFC85-A0D0-42C0-AB87-7BF82579F38A}"/>
    <cellStyle name="20% - Énfasis3 86" xfId="12785" xr:uid="{5DF51BC0-2DF2-43EA-BA5B-63FF7554E1C7}"/>
    <cellStyle name="20% - Énfasis3 86 2" xfId="16841" xr:uid="{9C7D2E38-2307-4FAB-BD17-F339124ABEB4}"/>
    <cellStyle name="20% - Énfasis3 86_1.2.b" xfId="15111" xr:uid="{CC7EB73F-16F9-4E1E-8A85-7E23BF72C14E}"/>
    <cellStyle name="20% - Énfasis3 87" xfId="12786" xr:uid="{E1FE0774-56B0-465B-905E-5D85615E604F}"/>
    <cellStyle name="20% - Énfasis3 87 2" xfId="16842" xr:uid="{B0E40F1B-952F-4A39-8868-D744E31B3170}"/>
    <cellStyle name="20% - Énfasis3 87_1.2.b" xfId="15112" xr:uid="{E99702C6-5D20-4737-ABD5-2B31790CA225}"/>
    <cellStyle name="20% - Énfasis3 88" xfId="12787" xr:uid="{D619980E-D574-44B9-B170-45BD4CC980C5}"/>
    <cellStyle name="20% - Énfasis3 88 2" xfId="16843" xr:uid="{B5D3F5A6-59E2-449D-A998-7C58534E0869}"/>
    <cellStyle name="20% - Énfasis3 88_1.2.b" xfId="15113" xr:uid="{B6570454-6AA0-4204-93E0-0726E9552440}"/>
    <cellStyle name="20% - Énfasis3 89" xfId="12788" xr:uid="{9AD04499-126D-49F4-B473-C54524DD2712}"/>
    <cellStyle name="20% - Énfasis3 89 2" xfId="16844" xr:uid="{4EA15FCD-3249-4AED-9893-ADA5FB03A818}"/>
    <cellStyle name="20% - Énfasis3 89_1.2.b" xfId="15114" xr:uid="{42E21436-5013-45EB-8FC7-F2EA1F77D15E}"/>
    <cellStyle name="20% - Énfasis3 9" xfId="9867" xr:uid="{00000000-0005-0000-0000-000056000000}"/>
    <cellStyle name="20% - Énfasis3 9 2" xfId="12790" xr:uid="{4B23B3E1-E7CD-4E9D-8FEC-07E61E206E67}"/>
    <cellStyle name="20% - Énfasis3 9 2 2" xfId="16846" xr:uid="{DF57CCD7-8C2E-4BE9-BF8B-61C9D5FC6C3E}"/>
    <cellStyle name="20% - Énfasis3 9 2_1.2.b" xfId="15116" xr:uid="{F95AC4D0-98A9-4054-AB1A-BBAF1F2F666F}"/>
    <cellStyle name="20% - Énfasis3 9 3" xfId="12789" xr:uid="{ABE0FCBD-49B8-4AE7-BFAC-0BE328829B1A}"/>
    <cellStyle name="20% - Énfasis3 9 4" xfId="16845" xr:uid="{6D3ABC9C-A24A-41B6-A343-D01056BE3EE9}"/>
    <cellStyle name="20% - Énfasis3 9_1.2.b" xfId="15115" xr:uid="{B4FF2BB2-192A-4455-A356-9D8FEE53E744}"/>
    <cellStyle name="20% - Énfasis3 90" xfId="12791" xr:uid="{EC8B5717-F552-4A68-8FA6-3FBB57E13F6B}"/>
    <cellStyle name="20% - Énfasis3 90 2" xfId="16847" xr:uid="{D57F2507-FEF7-465D-8396-5E5F88CEFA47}"/>
    <cellStyle name="20% - Énfasis3 90_1.2.b" xfId="15117" xr:uid="{C0666C1A-9F42-4938-8676-D0E3033764F0}"/>
    <cellStyle name="20% - Énfasis3 91" xfId="12792" xr:uid="{5B7B78EC-FE87-40A0-9B4C-FCED958D2DE3}"/>
    <cellStyle name="20% - Énfasis3 91 2" xfId="16848" xr:uid="{19171FD4-E094-42E1-BF6A-BBDCD5410BE3}"/>
    <cellStyle name="20% - Énfasis3 91_1.2.b" xfId="15118" xr:uid="{674EEAFE-4538-4CD2-9E33-32B29D1786C0}"/>
    <cellStyle name="20% - Énfasis3 92" xfId="12793" xr:uid="{3434ECDC-20FC-4201-9472-0201831D1316}"/>
    <cellStyle name="20% - Énfasis3 92 2" xfId="16849" xr:uid="{14AFD005-092E-4130-AC37-5BE8A05A85F2}"/>
    <cellStyle name="20% - Énfasis3 92_1.2.b" xfId="15119" xr:uid="{2D8FAA31-7009-4A3C-A390-8A473E311133}"/>
    <cellStyle name="20% - Énfasis3 93" xfId="12794" xr:uid="{2B590595-CFC0-441A-B79A-CA7B55F0151E}"/>
    <cellStyle name="20% - Énfasis3 93 2" xfId="16850" xr:uid="{D46ABF48-293C-461A-874B-B042DAFB72F9}"/>
    <cellStyle name="20% - Énfasis3 93_1.2.b" xfId="15120" xr:uid="{8FA55DF7-5BF4-49D2-9817-BCBDD9383884}"/>
    <cellStyle name="20% - Énfasis3 94" xfId="12795" xr:uid="{05F98985-982B-43A8-98DC-AA0135DE8A23}"/>
    <cellStyle name="20% - Énfasis3 94 2" xfId="16851" xr:uid="{4B74CA7E-A9B8-453E-9B2D-968AD253DFE4}"/>
    <cellStyle name="20% - Énfasis3 94_1.2.b" xfId="15121" xr:uid="{FEB07D20-0AFB-44FF-837D-03FEA878568C}"/>
    <cellStyle name="20% - Énfasis3 95" xfId="12796" xr:uid="{DD706B6A-EABA-4DBC-8F01-54B36E9543A4}"/>
    <cellStyle name="20% - Énfasis3 95 2" xfId="16852" xr:uid="{3BF1F89C-5B4E-4D5F-9D92-21F9A1E82DE6}"/>
    <cellStyle name="20% - Énfasis3 95_1.2.b" xfId="15122" xr:uid="{EB453EF7-CF83-4152-8978-022B4D25925A}"/>
    <cellStyle name="20% - Énfasis4 10" xfId="9922" xr:uid="{00000000-0005-0000-0000-000058000000}"/>
    <cellStyle name="20% - Énfasis4 10 2" xfId="11659" xr:uid="{00000000-0005-0000-0000-000059000000}"/>
    <cellStyle name="20% - Énfasis4 10 3" xfId="12797" xr:uid="{CA5417D6-874A-41BD-8565-19B4E8D13F2C}"/>
    <cellStyle name="20% - Énfasis4 10_1.2.b" xfId="15123" xr:uid="{B99426C6-248C-4145-9DF4-69B12E8097E2}"/>
    <cellStyle name="20% - Énfasis4 11" xfId="10524" xr:uid="{00000000-0005-0000-0000-00005A000000}"/>
    <cellStyle name="20% - Énfasis4 11 2" xfId="12259" xr:uid="{00000000-0005-0000-0000-00005B000000}"/>
    <cellStyle name="20% - Énfasis4 11 3" xfId="12798" xr:uid="{8F0D7569-B8D7-465F-B25C-AD3823349A4A}"/>
    <cellStyle name="20% - Énfasis4 11 4" xfId="16853" xr:uid="{DEE6F87E-F62A-4CA7-9505-26F9562269CB}"/>
    <cellStyle name="20% - Énfasis4 11_1.2.b" xfId="15124" xr:uid="{E11789C7-7CE3-49DA-8006-DB886F0D2067}"/>
    <cellStyle name="20% - Énfasis4 12" xfId="10537" xr:uid="{00000000-0005-0000-0000-00005C000000}"/>
    <cellStyle name="20% - Énfasis4 12 2" xfId="12272" xr:uid="{00000000-0005-0000-0000-00005D000000}"/>
    <cellStyle name="20% - Énfasis4 12 3" xfId="12799" xr:uid="{8A82DBB8-5DD8-4397-881D-719A75893CC8}"/>
    <cellStyle name="20% - Énfasis4 12 4" xfId="16854" xr:uid="{11B067A9-640F-42D8-9EA1-816A10ACDD1E}"/>
    <cellStyle name="20% - Énfasis4 12_1.2.b" xfId="15125" xr:uid="{0ED91C5B-2791-4149-9BB3-73867102FD33}"/>
    <cellStyle name="20% - Énfasis4 13" xfId="10584" xr:uid="{00000000-0005-0000-0000-00005E000000}"/>
    <cellStyle name="20% - Énfasis4 13 2" xfId="12317" xr:uid="{00000000-0005-0000-0000-00005F000000}"/>
    <cellStyle name="20% - Énfasis4 13 3" xfId="12800" xr:uid="{5E83385A-8CB2-4790-B004-3B2ACB7799E5}"/>
    <cellStyle name="20% - Énfasis4 13 4" xfId="16855" xr:uid="{32DFE3B8-C24C-4DB7-B85A-BDD70EB39C1F}"/>
    <cellStyle name="20% - Énfasis4 13_1.2.b" xfId="15126" xr:uid="{1E701EE8-26DA-4E89-996A-C92CE47A81AF}"/>
    <cellStyle name="20% - Énfasis4 14" xfId="10604" xr:uid="{00000000-0005-0000-0000-000060000000}"/>
    <cellStyle name="20% - Énfasis4 14 2" xfId="12333" xr:uid="{00000000-0005-0000-0000-000061000000}"/>
    <cellStyle name="20% - Énfasis4 14 3" xfId="12801" xr:uid="{349AE5AA-4F0E-4099-AB39-71402E5C2119}"/>
    <cellStyle name="20% - Énfasis4 14 4" xfId="16856" xr:uid="{FD388E5B-2E51-430A-8B55-3DCF813DFAAF}"/>
    <cellStyle name="20% - Énfasis4 14_1.2.b" xfId="15127" xr:uid="{41BBDDE4-8863-4BB4-AA90-6306D4E6BC6D}"/>
    <cellStyle name="20% - Énfasis4 15" xfId="10625" xr:uid="{00000000-0005-0000-0000-000062000000}"/>
    <cellStyle name="20% - Énfasis4 15 2" xfId="12802" xr:uid="{1FC09AC1-F184-4E4C-9A11-1BF623C5BFEF}"/>
    <cellStyle name="20% - Énfasis4 15 3" xfId="16857" xr:uid="{C90A3BC8-7167-4DB9-8C1A-5A195A757F67}"/>
    <cellStyle name="20% - Énfasis4 15_1.2.b" xfId="15128" xr:uid="{7739A908-7C1A-4742-A7CE-0E5708957961}"/>
    <cellStyle name="20% - Énfasis4 16" xfId="12366" xr:uid="{00000000-0005-0000-0000-000063000000}"/>
    <cellStyle name="20% - Énfasis4 16 2" xfId="12803" xr:uid="{E5CD4638-08AB-4598-B4FE-7D4C496BEF2F}"/>
    <cellStyle name="20% - Énfasis4 16 3" xfId="16858" xr:uid="{D0B3D50C-5499-4C0A-AFF7-6883B2C7E7B5}"/>
    <cellStyle name="20% - Énfasis4 16_1.2.b" xfId="15129" xr:uid="{B80C6A16-C4E2-4E5D-A17E-26A13E62D6A3}"/>
    <cellStyle name="20% - Énfasis4 17" xfId="12381" xr:uid="{00000000-0005-0000-0000-000064000000}"/>
    <cellStyle name="20% - Énfasis4 17 2" xfId="12804" xr:uid="{E971EA27-38AF-4BB5-A9B5-28F3763F20C1}"/>
    <cellStyle name="20% - Énfasis4 17 3" xfId="16859" xr:uid="{CD220579-ED63-41F0-9F20-0FA725AEF45B}"/>
    <cellStyle name="20% - Énfasis4 17_1.2.b" xfId="15130" xr:uid="{ACF800B7-1623-4653-9753-BA9F6E246E9A}"/>
    <cellStyle name="20% - Énfasis4 18" xfId="12805" xr:uid="{85E00AE7-251C-48DD-89C6-0551B84F0753}"/>
    <cellStyle name="20% - Énfasis4 18 2" xfId="16860" xr:uid="{0C6C291A-2845-4311-BFBF-C134E89610E1}"/>
    <cellStyle name="20% - Énfasis4 18_1.2.b" xfId="15131" xr:uid="{717F1906-08B2-4551-818F-6424D5040591}"/>
    <cellStyle name="20% - Énfasis4 19" xfId="12806" xr:uid="{B1EA05D0-E57C-4EBE-8A3B-C90F37A3BFC1}"/>
    <cellStyle name="20% - Énfasis4 19 2" xfId="16861" xr:uid="{2FAB9EEA-DA50-4B1B-BE62-5446F0EA7574}"/>
    <cellStyle name="20% - Énfasis4 19_1.2.b" xfId="15132" xr:uid="{167C9376-B392-45BF-810A-4485D026AB2F}"/>
    <cellStyle name="20% - Énfasis4 2" xfId="152" xr:uid="{00000000-0005-0000-0000-000065000000}"/>
    <cellStyle name="20% - Énfasis4 2 10" xfId="12808" xr:uid="{DCDBA9BD-0E56-4271-AEF5-263CC58B0B19}"/>
    <cellStyle name="20% - Énfasis4 2 10 2" xfId="16863" xr:uid="{82F41BCD-612C-4C17-AD7C-2210652747F3}"/>
    <cellStyle name="20% - Énfasis4 2 10_1.2.b" xfId="15134" xr:uid="{1D3D9E7D-4AC8-4624-91F4-B725BECBB43A}"/>
    <cellStyle name="20% - Énfasis4 2 11" xfId="12807" xr:uid="{8C67D396-56C2-47BF-B772-110A0949CF1A}"/>
    <cellStyle name="20% - Énfasis4 2 12" xfId="16862" xr:uid="{FAC7F2CD-521C-475F-94EF-B312937A32AE}"/>
    <cellStyle name="20% - Énfasis4 2 13" xfId="17811" xr:uid="{D8103030-DD18-4466-89DA-5113B0487A2F}"/>
    <cellStyle name="20% - Énfasis4 2 14" xfId="18250" xr:uid="{17302D90-A0A4-414D-9391-D8E63BE1CA5C}"/>
    <cellStyle name="20% - Énfasis4 2 15" xfId="17810" xr:uid="{5EFF758E-4EC1-451A-8C99-48A23F5C5F08}"/>
    <cellStyle name="20% - Énfasis4 2 16" xfId="18249" xr:uid="{B5F6A0CF-633D-4C29-AC7F-1995722A56FB}"/>
    <cellStyle name="20% - Énfasis4 2 2" xfId="10672" xr:uid="{00000000-0005-0000-0000-000066000000}"/>
    <cellStyle name="20% - Énfasis4 2 2 2" xfId="12810" xr:uid="{FDFB4381-AEA6-476F-9A38-0152460B7739}"/>
    <cellStyle name="20% - Énfasis4 2 2 3" xfId="12811" xr:uid="{34F934B3-8F72-4FBB-8387-332E5E325D0A}"/>
    <cellStyle name="20% - Énfasis4 2 2 4" xfId="12812" xr:uid="{67B06D95-0489-40DA-8BE9-E024F472F829}"/>
    <cellStyle name="20% - Énfasis4 2 2 5" xfId="12813" xr:uid="{26749181-0970-4972-8AEA-7EF2A8F23317}"/>
    <cellStyle name="20% - Énfasis4 2 2 6" xfId="12809" xr:uid="{93265233-BF9E-469D-9F70-BCA8ECDA8239}"/>
    <cellStyle name="20% - Énfasis4 2 2 7" xfId="16864" xr:uid="{E600272D-744B-49F2-90FB-7DEBA3F4F617}"/>
    <cellStyle name="20% - Énfasis4 2 2_1.2.b" xfId="15135" xr:uid="{A18BBAD7-A158-4C8A-B6BE-874BE0E3E07C}"/>
    <cellStyle name="20% - Énfasis4 2 3" xfId="12814" xr:uid="{F62DEF29-7745-445A-A1BB-01AEDEB211CA}"/>
    <cellStyle name="20% - Énfasis4 2 4" xfId="12815" xr:uid="{1A24EEA0-5854-4E91-A5F7-BA9F8CC27EF2}"/>
    <cellStyle name="20% - Énfasis4 2 5" xfId="12816" xr:uid="{6157B84B-F6A3-46E8-BBDB-2EB596F1761A}"/>
    <cellStyle name="20% - Énfasis4 2 6" xfId="12817" xr:uid="{FC3F4E5D-5C51-405C-B578-C80C862D6228}"/>
    <cellStyle name="20% - Énfasis4 2 7" xfId="12818" xr:uid="{EB102234-C2DE-4635-A519-470F0B396207}"/>
    <cellStyle name="20% - Énfasis4 2 8" xfId="12819" xr:uid="{1D9972CA-2882-4C6A-9643-CFD42DF87E89}"/>
    <cellStyle name="20% - Énfasis4 2 9" xfId="12820" xr:uid="{09D99F4A-4AF6-42B1-BE01-3C91C4DE751C}"/>
    <cellStyle name="20% - Énfasis4 2 9 2" xfId="16865" xr:uid="{F2CD9A9D-F73C-4AF3-8D80-09965894622B}"/>
    <cellStyle name="20% - Énfasis4 2 9_1.2.b" xfId="15136" xr:uid="{00043F7B-FDFB-4CCD-AB13-FDB30FFEDA9F}"/>
    <cellStyle name="20% - Énfasis4 2_1.2.b" xfId="15133" xr:uid="{156B7EC0-6D0C-473F-8FDC-5D2D80038316}"/>
    <cellStyle name="20% - Énfasis4 20" xfId="12821" xr:uid="{E7D662A0-6669-4D4F-9051-73E44C903BE5}"/>
    <cellStyle name="20% - Énfasis4 20 2" xfId="16866" xr:uid="{5D00671C-16C9-49C0-B32B-2AACBC6070DB}"/>
    <cellStyle name="20% - Énfasis4 20_1.2.b" xfId="15137" xr:uid="{5CB4A6E1-5B23-4D87-A543-4761C3C48335}"/>
    <cellStyle name="20% - Énfasis4 21" xfId="12822" xr:uid="{D3B4AB34-FEF8-4608-98E9-DC42AF88ED26}"/>
    <cellStyle name="20% - Énfasis4 21 2" xfId="16867" xr:uid="{83FB5530-0F3E-4702-A8D1-FF590EA14506}"/>
    <cellStyle name="20% - Énfasis4 21_1.2.b" xfId="15138" xr:uid="{08C8DA55-7343-479B-B1E7-66E6B0FCAE45}"/>
    <cellStyle name="20% - Énfasis4 22" xfId="12823" xr:uid="{90F0AD8B-572E-4DE5-B6FD-465B903DBA64}"/>
    <cellStyle name="20% - Énfasis4 22 2" xfId="16868" xr:uid="{07B085A8-F9EB-4FF8-B19B-E0EEC9B068B5}"/>
    <cellStyle name="20% - Énfasis4 22_1.2.b" xfId="15139" xr:uid="{8F4E4937-F2F3-42F5-9788-902CFB83D84D}"/>
    <cellStyle name="20% - Énfasis4 23" xfId="12824" xr:uid="{51151983-5006-4D7E-9061-A14342AB3126}"/>
    <cellStyle name="20% - Énfasis4 23 2" xfId="16869" xr:uid="{AB6C97E5-C50E-4B0A-A9AE-BD95F342F2C0}"/>
    <cellStyle name="20% - Énfasis4 23_1.2.b" xfId="15140" xr:uid="{F993463F-89C8-4EAA-BE09-17DB7C97EDFC}"/>
    <cellStyle name="20% - Énfasis4 24" xfId="12825" xr:uid="{B9310297-F225-45EE-BE6E-3C2D861F0464}"/>
    <cellStyle name="20% - Énfasis4 24 2" xfId="16870" xr:uid="{E589BAC4-0D59-4595-B68C-925008DEE23F}"/>
    <cellStyle name="20% - Énfasis4 24_1.2.b" xfId="15141" xr:uid="{18AD408C-8DF2-426F-9DF1-5B13E9166AC7}"/>
    <cellStyle name="20% - Énfasis4 25" xfId="12826" xr:uid="{F02F71A8-2FE9-4703-9D02-590641C26712}"/>
    <cellStyle name="20% - Énfasis4 25 2" xfId="16871" xr:uid="{2C19BCB1-5C4A-49DB-B4CA-2024095371F0}"/>
    <cellStyle name="20% - Énfasis4 25_1.2.b" xfId="15142" xr:uid="{761010BD-2A56-44AA-BE2A-736C9A58A06B}"/>
    <cellStyle name="20% - Énfasis4 26" xfId="12827" xr:uid="{988BCD1B-D77B-4E04-8ED8-4C83487A2E81}"/>
    <cellStyle name="20% - Énfasis4 26 2" xfId="16872" xr:uid="{1DC99BC6-678C-4ACF-9D3B-1679C6EF41EA}"/>
    <cellStyle name="20% - Énfasis4 26_1.2.b" xfId="15143" xr:uid="{B3628A7D-8BEB-4749-B127-890C1EE4A516}"/>
    <cellStyle name="20% - Énfasis4 27" xfId="12828" xr:uid="{1036C433-2255-4285-8C96-B7EE1443E36A}"/>
    <cellStyle name="20% - Énfasis4 27 2" xfId="16873" xr:uid="{10DC0723-38BC-4BD3-829D-8B1973C61725}"/>
    <cellStyle name="20% - Énfasis4 27_1.2.b" xfId="15144" xr:uid="{984184C8-3CA4-43B7-AF21-6A394F1E5627}"/>
    <cellStyle name="20% - Énfasis4 28" xfId="12829" xr:uid="{80EC5622-E969-4ABB-995F-060B249E506C}"/>
    <cellStyle name="20% - Énfasis4 28 2" xfId="16874" xr:uid="{327634A8-E540-402B-BBB7-2343BC1985C5}"/>
    <cellStyle name="20% - Énfasis4 28_1.2.b" xfId="15145" xr:uid="{26E6082A-BCF9-40FE-8AAA-D53B170E622E}"/>
    <cellStyle name="20% - Énfasis4 29" xfId="12830" xr:uid="{AD909AD4-3E9C-4106-81E6-8CF511688B47}"/>
    <cellStyle name="20% - Énfasis4 29 2" xfId="16875" xr:uid="{5ED564D4-F807-4483-8114-75EB1E3BA91D}"/>
    <cellStyle name="20% - Énfasis4 29_1.2.b" xfId="15146" xr:uid="{2E04759E-F7D3-4456-8CEC-C9BF8231F033}"/>
    <cellStyle name="20% - Énfasis4 3" xfId="166" xr:uid="{00000000-0005-0000-0000-000067000000}"/>
    <cellStyle name="20% - Énfasis4 3 2" xfId="10686" xr:uid="{00000000-0005-0000-0000-000068000000}"/>
    <cellStyle name="20% - Énfasis4 3 2 2" xfId="12832" xr:uid="{8335EEF0-E3FF-499E-A923-AB3B6BB0BD28}"/>
    <cellStyle name="20% - Énfasis4 3 2 3" xfId="16877" xr:uid="{BAE70FB9-8898-4B94-A862-386CEAED971F}"/>
    <cellStyle name="20% - Énfasis4 3 2_1.2.b" xfId="15148" xr:uid="{DA0293E1-33C0-41AD-80C5-9987A1E56FE3}"/>
    <cellStyle name="20% - Énfasis4 3 3" xfId="12833" xr:uid="{32C6D9F8-2413-4871-A110-B3104FFC5AE6}"/>
    <cellStyle name="20% - Énfasis4 3 4" xfId="12834" xr:uid="{7A415420-4B85-4A7D-B56C-977D146EFEA0}"/>
    <cellStyle name="20% - Énfasis4 3 5" xfId="12835" xr:uid="{74895CF8-308B-4326-9280-7EA2D0F8BD31}"/>
    <cellStyle name="20% - Énfasis4 3 5 2" xfId="16878" xr:uid="{058A48C3-E96E-4A5A-A33C-FECA4356D7A0}"/>
    <cellStyle name="20% - Énfasis4 3 5_1.2.b" xfId="15149" xr:uid="{16C31A8F-A61B-46F4-802E-E33A26650AA5}"/>
    <cellStyle name="20% - Énfasis4 3 6" xfId="12836" xr:uid="{BF0F5D81-E0EE-47A2-B9EA-A4472A205F00}"/>
    <cellStyle name="20% - Énfasis4 3 6 2" xfId="16879" xr:uid="{12801C80-E5DD-4602-B46E-FB4AFB1F5225}"/>
    <cellStyle name="20% - Énfasis4 3 6_1.2.b" xfId="15150" xr:uid="{D299542A-EB5D-44D7-A410-00C079B411E4}"/>
    <cellStyle name="20% - Énfasis4 3 7" xfId="12837" xr:uid="{010DF47B-AAB5-4DF5-846B-6654B799B5F2}"/>
    <cellStyle name="20% - Énfasis4 3 7 2" xfId="16880" xr:uid="{52C93688-F456-4BB0-ADFD-546DC07A524A}"/>
    <cellStyle name="20% - Énfasis4 3 7_1.2.b" xfId="15151" xr:uid="{8AB258D4-ED6E-4964-970D-096A6676A6B5}"/>
    <cellStyle name="20% - Énfasis4 3 8" xfId="12831" xr:uid="{F32F33B2-DA28-475D-8C6F-5FA523D91527}"/>
    <cellStyle name="20% - Énfasis4 3 9" xfId="16876" xr:uid="{143FE072-3F39-4D5C-A6CB-BA279516E38E}"/>
    <cellStyle name="20% - Énfasis4 3_1.2.b" xfId="15147" xr:uid="{2E9D09DF-B8D0-49E0-B40F-44B29225211B}"/>
    <cellStyle name="20% - Énfasis4 30" xfId="12838" xr:uid="{FD55156D-6833-4845-9CC3-9B33A17AE856}"/>
    <cellStyle name="20% - Énfasis4 30 2" xfId="16881" xr:uid="{BC03AD0F-ABAA-44DC-A083-08D448ACDC72}"/>
    <cellStyle name="20% - Énfasis4 30_1.2.b" xfId="15152" xr:uid="{ADF94BF8-2FC9-450F-8B9A-AB892FEBADF7}"/>
    <cellStyle name="20% - Énfasis4 31" xfId="12839" xr:uid="{449583C1-061C-493C-AB6A-E04E981517B7}"/>
    <cellStyle name="20% - Énfasis4 31 2" xfId="16882" xr:uid="{06B1DE05-23F5-4A9A-9ED9-DD247E96D372}"/>
    <cellStyle name="20% - Énfasis4 31_1.2.b" xfId="15153" xr:uid="{C8F89D7A-F06E-4D96-9A40-FE3A74DCE244}"/>
    <cellStyle name="20% - Énfasis4 32" xfId="12840" xr:uid="{88C89530-7E86-4AB9-A8F2-B31885DAE06E}"/>
    <cellStyle name="20% - Énfasis4 32 2" xfId="16883" xr:uid="{DDC50F64-5124-4766-B6E7-A1BEA15EA39D}"/>
    <cellStyle name="20% - Énfasis4 32_1.2.b" xfId="15154" xr:uid="{60FD07EC-5BD5-4ADB-91C1-415E68018CF3}"/>
    <cellStyle name="20% - Énfasis4 33" xfId="12841" xr:uid="{81B15965-18C4-4D17-9407-474EC133F549}"/>
    <cellStyle name="20% - Énfasis4 33 2" xfId="16884" xr:uid="{0179447F-90B1-4489-9646-719EB6105DD2}"/>
    <cellStyle name="20% - Énfasis4 33_1.2.b" xfId="15155" xr:uid="{3FFF4389-1E83-4DB5-9FBA-598FF77CF213}"/>
    <cellStyle name="20% - Énfasis4 34" xfId="12842" xr:uid="{A39E73B7-66A0-4724-8767-5F31525BA831}"/>
    <cellStyle name="20% - Énfasis4 34 2" xfId="16885" xr:uid="{40604FC6-85F6-42A1-B476-8DB71E5A7088}"/>
    <cellStyle name="20% - Énfasis4 34_1.2.b" xfId="15156" xr:uid="{8676E632-F4D3-4C80-825D-6D78841A4CE8}"/>
    <cellStyle name="20% - Énfasis4 35" xfId="12843" xr:uid="{07C58A6A-BF47-4287-B4D1-B70D882A7165}"/>
    <cellStyle name="20% - Énfasis4 35 2" xfId="16886" xr:uid="{1273379F-AF70-46B2-8143-15227EED365F}"/>
    <cellStyle name="20% - Énfasis4 35_1.2.b" xfId="15157" xr:uid="{4F6C5F5F-2054-4423-8AA3-73764C2F4C0B}"/>
    <cellStyle name="20% - Énfasis4 36" xfId="12844" xr:uid="{41CD1FB0-14E1-47A2-9EEA-B28E4D3E34CB}"/>
    <cellStyle name="20% - Énfasis4 36 2" xfId="16887" xr:uid="{5A989B46-0623-4625-957A-48E8416E9502}"/>
    <cellStyle name="20% - Énfasis4 36_1.2.b" xfId="15158" xr:uid="{939FAAF9-591F-403E-9923-4BE21CC206D7}"/>
    <cellStyle name="20% - Énfasis4 37" xfId="12845" xr:uid="{E947030C-A60A-4F68-A275-0E25B286DD0B}"/>
    <cellStyle name="20% - Énfasis4 37 2" xfId="16888" xr:uid="{02151566-0BAE-4FEF-88F3-DB667919A8FB}"/>
    <cellStyle name="20% - Énfasis4 37_1.2.b" xfId="15159" xr:uid="{EBC5C271-DFCA-41BC-AEFC-6EA3F4B4A966}"/>
    <cellStyle name="20% - Énfasis4 38" xfId="12846" xr:uid="{E015B8E1-6808-4B88-889C-CA7705E47805}"/>
    <cellStyle name="20% - Énfasis4 38 2" xfId="16889" xr:uid="{AED7436F-E02B-4F96-8D9D-D89F9B47DB7D}"/>
    <cellStyle name="20% - Énfasis4 38_1.2.b" xfId="15160" xr:uid="{35619C35-D6E0-4692-B889-D10DCB72227D}"/>
    <cellStyle name="20% - Énfasis4 39" xfId="12847" xr:uid="{83738E68-7025-4AA0-A344-064DFF7CFB67}"/>
    <cellStyle name="20% - Énfasis4 39 2" xfId="16890" xr:uid="{9C764E5F-654A-433F-9073-EC8462FD83B5}"/>
    <cellStyle name="20% - Énfasis4 39_1.2.b" xfId="15161" xr:uid="{AA16135A-6405-4086-9141-66431A6EA88E}"/>
    <cellStyle name="20% - Énfasis4 4" xfId="180" xr:uid="{00000000-0005-0000-0000-000069000000}"/>
    <cellStyle name="20% - Énfasis4 4 2" xfId="10700" xr:uid="{00000000-0005-0000-0000-00006A000000}"/>
    <cellStyle name="20% - Énfasis4 4 2 2" xfId="12850" xr:uid="{8ECBCB03-9A64-47E7-AB9F-AB9E5BA327A2}"/>
    <cellStyle name="20% - Énfasis4 4 2 2 2" xfId="16893" xr:uid="{58ECD701-5386-4682-865B-9D455CDBC2C8}"/>
    <cellStyle name="20% - Énfasis4 4 2 2_1.2.b" xfId="15164" xr:uid="{67E1DEED-7AF6-426D-B70A-5F621F02EA74}"/>
    <cellStyle name="20% - Énfasis4 4 2 3" xfId="12849" xr:uid="{086F8D1E-AB94-452A-BC54-DFB964066360}"/>
    <cellStyle name="20% - Énfasis4 4 2 4" xfId="16892" xr:uid="{EE049622-5481-45A7-8F2B-3A7CCADE8414}"/>
    <cellStyle name="20% - Énfasis4 4 2 5" xfId="17809" xr:uid="{AE7F81B1-7420-4344-A06F-C66F80E09F89}"/>
    <cellStyle name="20% - Énfasis4 4 2 6" xfId="18246" xr:uid="{696C1726-0BE8-485F-9380-966DE06745B9}"/>
    <cellStyle name="20% - Énfasis4 4 2 7" xfId="18287" xr:uid="{D31E7CD6-BF51-4855-BA7E-5B716D7DFF63}"/>
    <cellStyle name="20% - Énfasis4 4 2 8" xfId="18245" xr:uid="{112E0A4E-41F5-4ABC-872B-D588955CFBF2}"/>
    <cellStyle name="20% - Énfasis4 4 2_1.2.b" xfId="15163" xr:uid="{A8F1B6D8-8C25-4372-87C3-DD3F47FBF2C9}"/>
    <cellStyle name="20% - Énfasis4 4 3" xfId="12851" xr:uid="{CBEB8185-A1A9-426E-ABC3-02885392EF8D}"/>
    <cellStyle name="20% - Énfasis4 4 3 2" xfId="16894" xr:uid="{CB468BCA-937C-4008-A224-5FFBBC80CAEE}"/>
    <cellStyle name="20% - Énfasis4 4 3_1.2.b" xfId="15165" xr:uid="{E4E76770-E558-4A6B-800E-7714DE7551E6}"/>
    <cellStyle name="20% - Énfasis4 4 4" xfId="12852" xr:uid="{6C39A182-3A4B-45F8-8A2E-4208D968A8A0}"/>
    <cellStyle name="20% - Énfasis4 4 4 2" xfId="16895" xr:uid="{B7E3B9DF-0A77-4456-A7A7-A16402CB1050}"/>
    <cellStyle name="20% - Énfasis4 4 4_1.2.b" xfId="15166" xr:uid="{EFE7E960-47E6-445D-8BC8-DEA740C47E03}"/>
    <cellStyle name="20% - Énfasis4 4 5" xfId="12853" xr:uid="{BC5E9A1A-3500-412C-866F-EE698B09307D}"/>
    <cellStyle name="20% - Énfasis4 4 5 2" xfId="16896" xr:uid="{1E9C785E-D234-4AF6-BA4A-68B6EF4BB2BA}"/>
    <cellStyle name="20% - Énfasis4 4 5_1.2.b" xfId="15167" xr:uid="{80890DFF-28DD-41F5-84D6-BB014CAB8335}"/>
    <cellStyle name="20% - Énfasis4 4 6" xfId="12854" xr:uid="{6DC81AAC-9F15-4413-BF3C-567CB5DC0F6F}"/>
    <cellStyle name="20% - Énfasis4 4 6 2" xfId="16897" xr:uid="{89D77409-65BF-46C8-AC44-76BEFF86874E}"/>
    <cellStyle name="20% - Énfasis4 4 6_1.2.b" xfId="15168" xr:uid="{4CC07F69-46A1-4D42-80AD-C925F8EF59C8}"/>
    <cellStyle name="20% - Énfasis4 4 7" xfId="12848" xr:uid="{A6F7C6CB-72AD-41BF-8016-69E6FC3B3B26}"/>
    <cellStyle name="20% - Énfasis4 4 8" xfId="16891" xr:uid="{6FE50684-2539-46A4-8F9C-A183432A2FF8}"/>
    <cellStyle name="20% - Énfasis4 4_1.2.b" xfId="15162" xr:uid="{88D47218-CFD5-4159-9783-804222625CF9}"/>
    <cellStyle name="20% - Énfasis4 40" xfId="12855" xr:uid="{438ACF59-CA65-4950-A738-2F2C58692D84}"/>
    <cellStyle name="20% - Énfasis4 40 2" xfId="16898" xr:uid="{0771FFB9-0239-4137-9D55-021833D9BEEE}"/>
    <cellStyle name="20% - Énfasis4 40_1.2.b" xfId="15169" xr:uid="{FE068934-9188-43F7-B6CA-3E5E56975240}"/>
    <cellStyle name="20% - Énfasis4 41" xfId="12856" xr:uid="{3C7E734D-7A82-4A72-815B-E9F0B4AC8E9D}"/>
    <cellStyle name="20% - Énfasis4 41 2" xfId="16899" xr:uid="{C720232F-C6A7-483E-ADBA-2B82AB543049}"/>
    <cellStyle name="20% - Énfasis4 41_1.2.b" xfId="15170" xr:uid="{26C86C09-50AC-4AF0-8AC0-7C35BA9A96CF}"/>
    <cellStyle name="20% - Énfasis4 42" xfId="12857" xr:uid="{070BFF65-2FEA-4C9D-9888-5CDE13A5A1D4}"/>
    <cellStyle name="20% - Énfasis4 42 2" xfId="16900" xr:uid="{7B1AD244-428D-4BE6-B58F-9C5D066AD66F}"/>
    <cellStyle name="20% - Énfasis4 42_1.2.b" xfId="15171" xr:uid="{250AA576-B348-44A4-92FD-25528D091E06}"/>
    <cellStyle name="20% - Énfasis4 43" xfId="12858" xr:uid="{8AC9B810-4181-4C0E-BB15-1B9E0112809C}"/>
    <cellStyle name="20% - Énfasis4 43 2" xfId="16901" xr:uid="{9CF02E30-8B50-43D9-8CA5-FA8307CB09E6}"/>
    <cellStyle name="20% - Énfasis4 43_1.2.b" xfId="15172" xr:uid="{7A1C3F03-1850-43B1-B894-E5F07997BC8B}"/>
    <cellStyle name="20% - Énfasis4 44" xfId="12859" xr:uid="{9295C51E-B7C6-42D1-92F7-2830A419D223}"/>
    <cellStyle name="20% - Énfasis4 44 2" xfId="16902" xr:uid="{6C1E107E-8414-4719-91FA-8D70FFD4611C}"/>
    <cellStyle name="20% - Énfasis4 44_1.2.b" xfId="15173" xr:uid="{B0DD7030-B59B-4742-8DEF-D2113BDB8E9D}"/>
    <cellStyle name="20% - Énfasis4 45" xfId="12860" xr:uid="{C03CD2EE-93EA-4DFB-88DB-02C10F30795B}"/>
    <cellStyle name="20% - Énfasis4 45 2" xfId="16903" xr:uid="{EF4E23C3-F595-4E7E-9B58-B34D5605B158}"/>
    <cellStyle name="20% - Énfasis4 45_1.2.b" xfId="15174" xr:uid="{5AFEA4CE-EFA6-4DCA-8A28-F428CC3C7567}"/>
    <cellStyle name="20% - Énfasis4 46" xfId="12861" xr:uid="{C9C175A3-170E-4DC9-B2E3-E3EA211B6864}"/>
    <cellStyle name="20% - Énfasis4 46 2" xfId="16904" xr:uid="{534BD500-4290-49F1-B1CB-3A458B957F40}"/>
    <cellStyle name="20% - Énfasis4 46_1.2.b" xfId="15175" xr:uid="{7923A350-C9F2-4792-95F4-6AAAB2A03F60}"/>
    <cellStyle name="20% - Énfasis4 47" xfId="12862" xr:uid="{42E15400-C646-417E-A32A-5F4F65884203}"/>
    <cellStyle name="20% - Énfasis4 47 2" xfId="16905" xr:uid="{4F663116-B936-4178-8395-A71E5A104F8F}"/>
    <cellStyle name="20% - Énfasis4 47_1.2.b" xfId="15176" xr:uid="{CB4617FC-F096-4D4E-86F6-DB5D018AEC16}"/>
    <cellStyle name="20% - Énfasis4 48" xfId="12863" xr:uid="{159940FF-6D7C-4BC7-8A4B-8D430438C0F0}"/>
    <cellStyle name="20% - Énfasis4 48 2" xfId="16906" xr:uid="{DD164F0F-85CD-4BBC-A7EF-756F1FE84D2D}"/>
    <cellStyle name="20% - Énfasis4 48_1.2.b" xfId="15177" xr:uid="{2082E349-56A7-4296-893E-3B384CD50CB8}"/>
    <cellStyle name="20% - Énfasis4 49" xfId="12864" xr:uid="{257CD702-D16E-4B1E-A66D-6141FF429E1A}"/>
    <cellStyle name="20% - Énfasis4 49 2" xfId="16907" xr:uid="{AC47399A-2873-4070-AD9D-E9E4E775C566}"/>
    <cellStyle name="20% - Énfasis4 49_1.2.b" xfId="15178" xr:uid="{0AA1BB40-92CF-4DE2-85E6-78D8D424C267}"/>
    <cellStyle name="20% - Énfasis4 5" xfId="195" xr:uid="{00000000-0005-0000-0000-00006B000000}"/>
    <cellStyle name="20% - Énfasis4 5 2" xfId="10715" xr:uid="{00000000-0005-0000-0000-00006C000000}"/>
    <cellStyle name="20% - Énfasis4 5 2 2" xfId="12866" xr:uid="{08D522E5-E5B9-4F1E-88DA-CD71FD8F0366}"/>
    <cellStyle name="20% - Énfasis4 5 2 3" xfId="16909" xr:uid="{5B9E01A9-DBD3-488C-99BB-6B89A3B796A9}"/>
    <cellStyle name="20% - Énfasis4 5 2_1.2.b" xfId="15180" xr:uid="{CCAE7B8E-AFA3-4DFC-9379-39D0DB06D5F4}"/>
    <cellStyle name="20% - Énfasis4 5 3" xfId="12867" xr:uid="{5457B1DF-E1F3-4405-A6DE-A2AB290B2844}"/>
    <cellStyle name="20% - Énfasis4 5 3 2" xfId="16910" xr:uid="{B328600F-4120-4B56-B8B3-C212092FB482}"/>
    <cellStyle name="20% - Énfasis4 5 3_1.2.b" xfId="15181" xr:uid="{DAE57875-2D7D-47A5-8BE0-588B57439C9F}"/>
    <cellStyle name="20% - Énfasis4 5 4" xfId="12865" xr:uid="{C164C544-AB1C-4C62-AA5A-4D21EFF200A2}"/>
    <cellStyle name="20% - Énfasis4 5 5" xfId="16908" xr:uid="{37E5B249-8C11-4451-A004-A1368258E95C}"/>
    <cellStyle name="20% - Énfasis4 5_1.2.b" xfId="15179" xr:uid="{A3F2260E-C5D7-41D0-B4F6-0C68763AD1A6}"/>
    <cellStyle name="20% - Énfasis4 50" xfId="12868" xr:uid="{D604DD19-21B8-463B-BAFC-D90AB474BC4F}"/>
    <cellStyle name="20% - Énfasis4 50 2" xfId="16911" xr:uid="{988CDAEC-293F-40BA-815D-1F9EA562BC67}"/>
    <cellStyle name="20% - Énfasis4 50_1.2.b" xfId="15182" xr:uid="{D01671C4-495F-4F54-A05F-807E534539CF}"/>
    <cellStyle name="20% - Énfasis4 51" xfId="12869" xr:uid="{B65F322F-23B7-473A-96D0-3BA15914B142}"/>
    <cellStyle name="20% - Énfasis4 51 2" xfId="16912" xr:uid="{3D023940-D0B4-418D-8581-800EE9D07775}"/>
    <cellStyle name="20% - Énfasis4 51_1.2.b" xfId="15183" xr:uid="{42145D6E-A2C6-4BD3-B232-2B02D68D8EB9}"/>
    <cellStyle name="20% - Énfasis4 52" xfId="12870" xr:uid="{F77F57CA-5512-4CE3-9CEB-4D7A6A2B5DAC}"/>
    <cellStyle name="20% - Énfasis4 52 2" xfId="16913" xr:uid="{06669565-BEA7-4316-9500-6A9F24DEE328}"/>
    <cellStyle name="20% - Énfasis4 52_1.2.b" xfId="15184" xr:uid="{571457FC-90FB-47C4-A464-6820BA2A81CD}"/>
    <cellStyle name="20% - Énfasis4 53" xfId="12871" xr:uid="{EFAC3985-B9A6-4BAC-BE34-25C493472D36}"/>
    <cellStyle name="20% - Énfasis4 53 2" xfId="16914" xr:uid="{2AE63B5B-149F-4AF6-829A-22F05DC1AC3F}"/>
    <cellStyle name="20% - Énfasis4 53_1.2.b" xfId="15185" xr:uid="{9ECA3026-2D00-4729-A834-AA0AF6AFEF56}"/>
    <cellStyle name="20% - Énfasis4 54" xfId="12872" xr:uid="{4944D069-3889-41B9-B352-05D45D9E74F4}"/>
    <cellStyle name="20% - Énfasis4 54 2" xfId="16915" xr:uid="{EE6A4D51-AC69-4A4F-8EDA-D4C96B41D540}"/>
    <cellStyle name="20% - Énfasis4 54_1.2.b" xfId="15186" xr:uid="{CB93BC88-05D7-4474-B9B8-56AD88890F0F}"/>
    <cellStyle name="20% - Énfasis4 55" xfId="12873" xr:uid="{457AE534-CE24-42FF-887C-B1C17F3C90FD}"/>
    <cellStyle name="20% - Énfasis4 55 2" xfId="16916" xr:uid="{D8E1E8DD-0850-487D-8642-2B77EC240E8A}"/>
    <cellStyle name="20% - Énfasis4 55_1.2.b" xfId="15187" xr:uid="{E308149D-C88F-4056-B39C-6E6FCAD75E0C}"/>
    <cellStyle name="20% - Énfasis4 56" xfId="12874" xr:uid="{CD0378DF-A9C5-4163-830C-034CFB61402E}"/>
    <cellStyle name="20% - Énfasis4 56 2" xfId="16917" xr:uid="{B4C76B76-851F-4670-9D70-19B93F454F21}"/>
    <cellStyle name="20% - Énfasis4 56_1.2.b" xfId="15188" xr:uid="{D10C770A-2E7B-4CC7-9D15-602D745036B6}"/>
    <cellStyle name="20% - Énfasis4 57" xfId="12875" xr:uid="{A5DE9194-6205-448B-BFAB-04625B5B9AA3}"/>
    <cellStyle name="20% - Énfasis4 57 2" xfId="16918" xr:uid="{75763314-43F9-40B6-A53A-3C1CAEAEC17F}"/>
    <cellStyle name="20% - Énfasis4 57_1.2.b" xfId="15189" xr:uid="{01750D67-534E-4044-AF02-11EB8E887005}"/>
    <cellStyle name="20% - Énfasis4 58" xfId="12876" xr:uid="{E3B7AE7D-ABE4-4D7F-8407-764C470C2E5C}"/>
    <cellStyle name="20% - Énfasis4 58 2" xfId="16919" xr:uid="{33471063-7FF7-4B3C-AB9B-008694190CEC}"/>
    <cellStyle name="20% - Énfasis4 58_1.2.b" xfId="15190" xr:uid="{48A85021-6A66-490A-B5EA-785E1C891306}"/>
    <cellStyle name="20% - Énfasis4 59" xfId="12877" xr:uid="{1DFD8C1C-6315-4749-AD1B-183476ECF9ED}"/>
    <cellStyle name="20% - Énfasis4 59 2" xfId="16920" xr:uid="{36601A6A-957F-4FAE-B162-93C1CA4A1094}"/>
    <cellStyle name="20% - Énfasis4 59_1.2.b" xfId="15191" xr:uid="{F27EDC37-1B03-47E1-A1BC-8CF7C67A8707}"/>
    <cellStyle name="20% - Énfasis4 6" xfId="209" xr:uid="{00000000-0005-0000-0000-00006D000000}"/>
    <cellStyle name="20% - Énfasis4 6 2" xfId="10729" xr:uid="{00000000-0005-0000-0000-00006E000000}"/>
    <cellStyle name="20% - Énfasis4 6 2 2" xfId="12879" xr:uid="{73564FCF-F9ED-4454-A361-E6F661A6D2B5}"/>
    <cellStyle name="20% - Énfasis4 6 2 3" xfId="16922" xr:uid="{0B0310D2-72AE-475B-88A3-0AF700B4E8EF}"/>
    <cellStyle name="20% - Énfasis4 6 2_1.2.b" xfId="15193" xr:uid="{E89EA8E1-4ED7-4E2D-AC59-694A4863A709}"/>
    <cellStyle name="20% - Énfasis4 6 3" xfId="12878" xr:uid="{5D7D14EB-8161-4769-83ED-F0632005B55F}"/>
    <cellStyle name="20% - Énfasis4 6 4" xfId="16921" xr:uid="{778838D1-6918-4A3F-AB8F-0544E1447A5D}"/>
    <cellStyle name="20% - Énfasis4 6_1.2.b" xfId="15192" xr:uid="{D7C5C17C-E2DD-4E10-8C12-5A157756744D}"/>
    <cellStyle name="20% - Énfasis4 60" xfId="12880" xr:uid="{5E38D51B-1070-4FBD-8A19-9D35F66E673A}"/>
    <cellStyle name="20% - Énfasis4 60 2" xfId="16923" xr:uid="{FFC2A6D9-CC6A-4AA4-B56C-78825192EB52}"/>
    <cellStyle name="20% - Énfasis4 60_1.2.b" xfId="15194" xr:uid="{6B5FDB11-F8AB-49FF-90C7-C65F22AA2788}"/>
    <cellStyle name="20% - Énfasis4 61" xfId="12881" xr:uid="{E0143BF5-BFB4-47AF-872A-8222765E15A0}"/>
    <cellStyle name="20% - Énfasis4 61 2" xfId="16924" xr:uid="{F919DA7A-1A8F-413B-B69A-DEEDBFEF75DE}"/>
    <cellStyle name="20% - Énfasis4 61_1.2.b" xfId="15195" xr:uid="{427002B0-7BA1-4E46-9AD1-508ECBB1B488}"/>
    <cellStyle name="20% - Énfasis4 62" xfId="12882" xr:uid="{B9EED439-6759-41A8-979D-DA271894635E}"/>
    <cellStyle name="20% - Énfasis4 62 2" xfId="16925" xr:uid="{C4808410-3F09-496F-8140-22B08BF781B7}"/>
    <cellStyle name="20% - Énfasis4 62_1.2.b" xfId="15196" xr:uid="{A3D9782B-0C07-47EB-A376-7BDD768B04FB}"/>
    <cellStyle name="20% - Énfasis4 63" xfId="12883" xr:uid="{532252AD-61F0-4389-BC87-1AA181827530}"/>
    <cellStyle name="20% - Énfasis4 63 2" xfId="16926" xr:uid="{169D9829-9105-4D6E-A170-5405F0734F53}"/>
    <cellStyle name="20% - Énfasis4 63_1.2.b" xfId="15197" xr:uid="{FC98E036-5B9C-4A62-95B2-17F31C091C96}"/>
    <cellStyle name="20% - Énfasis4 64" xfId="12884" xr:uid="{FA1CACCB-D7C9-44BE-B404-B973DEACCBD3}"/>
    <cellStyle name="20% - Énfasis4 64 2" xfId="16927" xr:uid="{C36C2C58-FEA4-455C-8BE1-B7661C279FCE}"/>
    <cellStyle name="20% - Énfasis4 64_1.2.b" xfId="15198" xr:uid="{48547C40-B89C-4F71-A551-8210198948D5}"/>
    <cellStyle name="20% - Énfasis4 65" xfId="12885" xr:uid="{0329DEE7-65DA-43E8-B258-C749C90FD876}"/>
    <cellStyle name="20% - Énfasis4 65 2" xfId="16928" xr:uid="{7E58D8FA-0D97-4E8D-AD00-EF341401CC28}"/>
    <cellStyle name="20% - Énfasis4 65_1.2.b" xfId="15199" xr:uid="{64FB890A-3E24-4513-8AB0-3B8FB9358F83}"/>
    <cellStyle name="20% - Énfasis4 66" xfId="12886" xr:uid="{CF97EDBE-E9DF-47BF-93A4-776644E8CF23}"/>
    <cellStyle name="20% - Énfasis4 66 2" xfId="16929" xr:uid="{2919D4DB-F24D-454B-8796-DDEE5655F419}"/>
    <cellStyle name="20% - Énfasis4 66_1.2.b" xfId="15200" xr:uid="{8137BE6C-122F-47FB-92A0-9683D7F71C3D}"/>
    <cellStyle name="20% - Énfasis4 67" xfId="12887" xr:uid="{452B7669-69E0-4E2E-9B0D-3B9D669CCC01}"/>
    <cellStyle name="20% - Énfasis4 67 2" xfId="16930" xr:uid="{486ABDB3-00C9-43FA-9ED2-AD2695172E2A}"/>
    <cellStyle name="20% - Énfasis4 67_1.2.b" xfId="15201" xr:uid="{E469A203-B092-40C5-9F8F-E27EC2CFC243}"/>
    <cellStyle name="20% - Énfasis4 68" xfId="12888" xr:uid="{D18E4ED7-8C95-4FB8-BF4B-516B367F05E0}"/>
    <cellStyle name="20% - Énfasis4 68 2" xfId="16931" xr:uid="{BA0F92B8-F393-4FF6-8F20-885CDE9DEE23}"/>
    <cellStyle name="20% - Énfasis4 68_1.2.b" xfId="15202" xr:uid="{886422A3-3E90-43CA-9F51-16A9189D2E66}"/>
    <cellStyle name="20% - Énfasis4 69" xfId="12889" xr:uid="{1B8F8DF2-E558-4426-A6EF-B3A180AB6085}"/>
    <cellStyle name="20% - Énfasis4 69 2" xfId="16932" xr:uid="{DBEE65FB-6E90-44F7-B5A8-369363830198}"/>
    <cellStyle name="20% - Énfasis4 69_1.2.b" xfId="15203" xr:uid="{E0D923B0-DF89-40CD-8115-F8B886E58A7E}"/>
    <cellStyle name="20% - Énfasis4 7" xfId="9833" xr:uid="{00000000-0005-0000-0000-00006F000000}"/>
    <cellStyle name="20% - Énfasis4 7 2" xfId="11619" xr:uid="{00000000-0005-0000-0000-000070000000}"/>
    <cellStyle name="20% - Énfasis4 7 2 2" xfId="12891" xr:uid="{5CC73D91-7064-4356-ACA5-7267E9BDBF1F}"/>
    <cellStyle name="20% - Énfasis4 7 2 3" xfId="16934" xr:uid="{29C4EA7A-D9FE-4195-9865-5E2C2CD85763}"/>
    <cellStyle name="20% - Énfasis4 7 2_1.2.b" xfId="15205" xr:uid="{2324979E-78B4-4E1C-9332-E835FC014403}"/>
    <cellStyle name="20% - Énfasis4 7 3" xfId="12890" xr:uid="{6CC989C4-C920-4689-90B1-05D97C51940B}"/>
    <cellStyle name="20% - Énfasis4 7 4" xfId="16933" xr:uid="{78E77F69-FFC5-4B9E-A2EC-2F35286A2E69}"/>
    <cellStyle name="20% - Énfasis4 7_1.2.b" xfId="15204" xr:uid="{C0B0EA78-5C42-48B3-B3BF-307D66F46519}"/>
    <cellStyle name="20% - Énfasis4 70" xfId="12892" xr:uid="{D6BB6462-756A-4692-B5EB-72F495B82EFE}"/>
    <cellStyle name="20% - Énfasis4 70 2" xfId="16935" xr:uid="{68FC0BCE-0D1B-4B60-B092-8CD941F72003}"/>
    <cellStyle name="20% - Énfasis4 70_1.2.b" xfId="15206" xr:uid="{FCD73AB6-5336-4C2C-95CC-A0EBE11614BC}"/>
    <cellStyle name="20% - Énfasis4 71" xfId="12893" xr:uid="{C7CDD9CF-D241-41F0-AA47-E07F71DADB3D}"/>
    <cellStyle name="20% - Énfasis4 71 2" xfId="16936" xr:uid="{B2DC4A99-8620-459B-8245-6DAE55585E77}"/>
    <cellStyle name="20% - Énfasis4 71_1.2.b" xfId="15207" xr:uid="{7DCF9F32-7B5A-46F3-8D68-AD1223D295D2}"/>
    <cellStyle name="20% - Énfasis4 72" xfId="12894" xr:uid="{DAFA554D-AB05-4C46-AA6F-895AA7FAC339}"/>
    <cellStyle name="20% - Énfasis4 72 2" xfId="16937" xr:uid="{6828EED2-2441-40FA-BB2E-1408095DABA7}"/>
    <cellStyle name="20% - Énfasis4 72_1.2.b" xfId="15208" xr:uid="{67BC97B8-8698-4C41-AAFF-C037D88E1427}"/>
    <cellStyle name="20% - Énfasis4 73" xfId="12895" xr:uid="{BDCF0A4F-C59E-4D7F-8638-0C3F7E2AED04}"/>
    <cellStyle name="20% - Énfasis4 73 2" xfId="16938" xr:uid="{245349AE-92E3-4CDF-95B3-6C855328B88D}"/>
    <cellStyle name="20% - Énfasis4 73_1.2.b" xfId="15209" xr:uid="{9E2F20C1-D3BF-4E79-A1EA-D8F653C360FB}"/>
    <cellStyle name="20% - Énfasis4 74" xfId="12896" xr:uid="{6691B0A8-9E62-455E-A68E-CA41789F412E}"/>
    <cellStyle name="20% - Énfasis4 74 2" xfId="16939" xr:uid="{9E7BD82A-1ADB-4F71-8885-D80DE7876798}"/>
    <cellStyle name="20% - Énfasis4 74_1.2.b" xfId="15210" xr:uid="{C4F57D1A-4CAA-419C-AF91-C30798C5C1C7}"/>
    <cellStyle name="20% - Énfasis4 75" xfId="12897" xr:uid="{83725BD7-504E-4128-9BD9-CA46271F3E3E}"/>
    <cellStyle name="20% - Énfasis4 75 2" xfId="16940" xr:uid="{293DB3CF-44D4-4A80-B654-6E4FBA2E7377}"/>
    <cellStyle name="20% - Énfasis4 75_1.2.b" xfId="15211" xr:uid="{22F3E4CA-97A0-4A62-892F-CDAA60AF1728}"/>
    <cellStyle name="20% - Énfasis4 76" xfId="12898" xr:uid="{D7404594-EC4C-4A9D-B3F2-94ED7FACB0C7}"/>
    <cellStyle name="20% - Énfasis4 76 2" xfId="16941" xr:uid="{35E0BB96-CBB6-4ED0-AA1E-17BAF7010FD4}"/>
    <cellStyle name="20% - Énfasis4 76_1.2.b" xfId="15212" xr:uid="{99646A5D-5A6F-4B89-9D4B-7179723E04BA}"/>
    <cellStyle name="20% - Énfasis4 77" xfId="12899" xr:uid="{9F01EED5-1593-4087-8935-2B1B9CE09B28}"/>
    <cellStyle name="20% - Énfasis4 77 2" xfId="16942" xr:uid="{F4EC85FA-AE8D-466F-BAB5-97DAE6196C2E}"/>
    <cellStyle name="20% - Énfasis4 77_1.2.b" xfId="15213" xr:uid="{E45952C2-8EA4-4335-862D-372DF46237C6}"/>
    <cellStyle name="20% - Énfasis4 78" xfId="12900" xr:uid="{C56A4039-C22E-4690-ADF6-739445147E71}"/>
    <cellStyle name="20% - Énfasis4 78 2" xfId="16943" xr:uid="{863030C3-5518-4710-AD22-EB5201EEA5BE}"/>
    <cellStyle name="20% - Énfasis4 78_1.2.b" xfId="15214" xr:uid="{8CC91598-A7E2-4C03-BFCF-6AD464DE8B3C}"/>
    <cellStyle name="20% - Énfasis4 79" xfId="12901" xr:uid="{B6A7FF6E-EF48-4FCE-9379-73BCFA5164C2}"/>
    <cellStyle name="20% - Énfasis4 79 2" xfId="16944" xr:uid="{E47D0FD8-C11F-476F-A583-84B7B596E758}"/>
    <cellStyle name="20% - Énfasis4 79_1.2.b" xfId="15215" xr:uid="{642B1117-253E-40EC-8A84-4BFB32BA3899}"/>
    <cellStyle name="20% - Énfasis4 8" xfId="9852" xr:uid="{00000000-0005-0000-0000-000071000000}"/>
    <cellStyle name="20% - Énfasis4 8 2" xfId="11637" xr:uid="{00000000-0005-0000-0000-000072000000}"/>
    <cellStyle name="20% - Énfasis4 8 2 2" xfId="12903" xr:uid="{0EE4236C-F8B9-4C74-8BA7-967F0A3D277F}"/>
    <cellStyle name="20% - Énfasis4 8 2 3" xfId="16946" xr:uid="{6BFA1324-E290-412B-ADC9-24E6CA93165F}"/>
    <cellStyle name="20% - Énfasis4 8 2_1.2.b" xfId="15217" xr:uid="{3566D37B-8BFC-4A46-89F9-A67358D25AD7}"/>
    <cellStyle name="20% - Énfasis4 8 3" xfId="12902" xr:uid="{D5D675C9-048E-42B7-AEF6-5F8B8261273C}"/>
    <cellStyle name="20% - Énfasis4 8 4" xfId="16945" xr:uid="{3AE52F45-3B52-49B8-A09A-85D58376F90F}"/>
    <cellStyle name="20% - Énfasis4 8_1.2.b" xfId="15216" xr:uid="{6DE5CC48-CA6C-41A2-8D1D-3D7913FAB1D2}"/>
    <cellStyle name="20% - Énfasis4 80" xfId="12904" xr:uid="{AF1BD665-59DA-472F-A2EC-8151A9B55137}"/>
    <cellStyle name="20% - Énfasis4 80 2" xfId="16947" xr:uid="{6E042E5D-5450-43BF-B5FF-BAFA9E4B31C2}"/>
    <cellStyle name="20% - Énfasis4 80_1.2.b" xfId="15218" xr:uid="{79427797-4226-446F-90E7-5F19DE8CFFF6}"/>
    <cellStyle name="20% - Énfasis4 81" xfId="12905" xr:uid="{7E4A6FF1-5820-4F86-8B08-FBE495149C41}"/>
    <cellStyle name="20% - Énfasis4 81 2" xfId="16948" xr:uid="{BD4CBF40-539E-45C2-B8E4-58D76831B868}"/>
    <cellStyle name="20% - Énfasis4 81_1.2.b" xfId="15219" xr:uid="{96A3BFAB-7243-4D8B-AF06-B106368A7665}"/>
    <cellStyle name="20% - Énfasis4 82" xfId="12906" xr:uid="{4D31FA36-394C-4104-B605-9EAECA89D097}"/>
    <cellStyle name="20% - Énfasis4 82 2" xfId="16949" xr:uid="{653C11F4-2FD9-460A-A0B9-33796D77DEF0}"/>
    <cellStyle name="20% - Énfasis4 82_1.2.b" xfId="15220" xr:uid="{F504A003-E934-4F6F-996D-997C595F6673}"/>
    <cellStyle name="20% - Énfasis4 83" xfId="12907" xr:uid="{8DDCE7D3-D986-443F-AC36-BDC17A485C66}"/>
    <cellStyle name="20% - Énfasis4 83 2" xfId="16950" xr:uid="{BA0DB9FE-D272-49DD-ACEB-88484109C027}"/>
    <cellStyle name="20% - Énfasis4 83_1.2.b" xfId="15221" xr:uid="{CBBDBDE5-48D2-4D22-9838-73E3F75837C9}"/>
    <cellStyle name="20% - Énfasis4 84" xfId="12908" xr:uid="{32441276-1092-44C5-A6C9-2206F68DC6DE}"/>
    <cellStyle name="20% - Énfasis4 84 2" xfId="16951" xr:uid="{6A94546D-D3F9-4ACC-885F-22F05AF5B478}"/>
    <cellStyle name="20% - Énfasis4 84_1.2.b" xfId="15222" xr:uid="{0D8F81DF-99A3-4623-9DF7-3579D06A4C86}"/>
    <cellStyle name="20% - Énfasis4 85" xfId="12909" xr:uid="{55B5CD7B-69AF-466E-A269-B886E79E11B0}"/>
    <cellStyle name="20% - Énfasis4 85 2" xfId="16952" xr:uid="{0D8D8998-3C36-4CB5-A0B9-26BAD45924EC}"/>
    <cellStyle name="20% - Énfasis4 85_1.2.b" xfId="15223" xr:uid="{6A02FD96-BD05-45E7-91A3-DA4899E51258}"/>
    <cellStyle name="20% - Énfasis4 86" xfId="12910" xr:uid="{634E9CDD-0918-4D8D-951D-98302B6973DD}"/>
    <cellStyle name="20% - Énfasis4 86 2" xfId="16953" xr:uid="{DD416CC0-DE3B-454C-97B4-033FD68904A8}"/>
    <cellStyle name="20% - Énfasis4 86_1.2.b" xfId="15224" xr:uid="{C2BDC27C-92A1-48ED-89A3-F8AB0C04954B}"/>
    <cellStyle name="20% - Énfasis4 87" xfId="12911" xr:uid="{DD669105-5C97-48F5-9446-D9FB88840FCA}"/>
    <cellStyle name="20% - Énfasis4 87 2" xfId="16954" xr:uid="{56998108-448E-4C52-B0FE-DEEBF48FA9BB}"/>
    <cellStyle name="20% - Énfasis4 87_1.2.b" xfId="15225" xr:uid="{E3C6D02F-9817-40A3-ABF7-2154555D1FDE}"/>
    <cellStyle name="20% - Énfasis4 88" xfId="12912" xr:uid="{D085872C-9BBB-4F05-89DB-99B0251CE790}"/>
    <cellStyle name="20% - Énfasis4 88 2" xfId="16955" xr:uid="{0C6C16DB-C389-424D-85DC-A547B7A32F60}"/>
    <cellStyle name="20% - Énfasis4 88_1.2.b" xfId="15226" xr:uid="{37E7DA61-96C7-40A3-9CEC-8A753021DA11}"/>
    <cellStyle name="20% - Énfasis4 89" xfId="12913" xr:uid="{98D158B6-F4E5-4B4C-BE42-4352DDE3A0AC}"/>
    <cellStyle name="20% - Énfasis4 89 2" xfId="16956" xr:uid="{471E181F-06D1-4CD8-AFE4-601CF262AD04}"/>
    <cellStyle name="20% - Énfasis4 89_1.2.b" xfId="15227" xr:uid="{44CA53F1-DFDE-4C3C-B97A-B8FCD85F3992}"/>
    <cellStyle name="20% - Énfasis4 9" xfId="9868" xr:uid="{00000000-0005-0000-0000-000073000000}"/>
    <cellStyle name="20% - Énfasis4 9 2" xfId="12915" xr:uid="{2DFBACE9-78E3-4FFE-81F1-512AE039F7CF}"/>
    <cellStyle name="20% - Énfasis4 9 2 2" xfId="16958" xr:uid="{6871A76E-3D76-4BD7-801D-F3FCC31F144A}"/>
    <cellStyle name="20% - Énfasis4 9 2_1.2.b" xfId="15229" xr:uid="{89249463-27B2-4416-9717-F9CB6883019D}"/>
    <cellStyle name="20% - Énfasis4 9 3" xfId="12914" xr:uid="{50699541-418F-464E-A6A2-89F0101FAA2E}"/>
    <cellStyle name="20% - Énfasis4 9 4" xfId="16957" xr:uid="{983659D0-C75B-45C3-BA3E-31C93DA9C848}"/>
    <cellStyle name="20% - Énfasis4 9_1.2.b" xfId="15228" xr:uid="{2E21CDF4-BB96-4A05-846C-944B9A7A147A}"/>
    <cellStyle name="20% - Énfasis4 90" xfId="12916" xr:uid="{FCE57743-F4D0-4BB5-9BD7-56D960462C90}"/>
    <cellStyle name="20% - Énfasis4 90 2" xfId="16959" xr:uid="{3798B438-E569-4BF9-8ECE-484CB735CFCB}"/>
    <cellStyle name="20% - Énfasis4 90_1.2.b" xfId="15230" xr:uid="{F89D4937-C17D-4E7A-B93A-E77849CF8EC6}"/>
    <cellStyle name="20% - Énfasis4 91" xfId="12917" xr:uid="{F9F5A62F-8956-4F38-8535-EE3D915282DC}"/>
    <cellStyle name="20% - Énfasis4 91 2" xfId="16960" xr:uid="{AC93B5DC-6062-4DFB-87B0-3928E0A3C9E3}"/>
    <cellStyle name="20% - Énfasis4 91_1.2.b" xfId="15231" xr:uid="{77C5B604-A4B4-4196-852E-0A8015A776A5}"/>
    <cellStyle name="20% - Énfasis4 92" xfId="12918" xr:uid="{C5F74A52-A0B9-46BC-94F1-5419861D0B3E}"/>
    <cellStyle name="20% - Énfasis4 92 2" xfId="16961" xr:uid="{FEDC65A2-0EF8-473B-889C-DB5FBDAFE0A4}"/>
    <cellStyle name="20% - Énfasis4 92_1.2.b" xfId="15232" xr:uid="{8616791A-C6A1-4CB4-97ED-3D322C2E4568}"/>
    <cellStyle name="20% - Énfasis4 93" xfId="12919" xr:uid="{2C874E25-01ED-4A5D-822F-051581B91756}"/>
    <cellStyle name="20% - Énfasis4 93 2" xfId="16962" xr:uid="{8039E65B-1A1A-484F-A4B5-13340A295D5B}"/>
    <cellStyle name="20% - Énfasis4 93_1.2.b" xfId="15233" xr:uid="{9A9489A6-1470-4EE8-BDE6-211BE5FD8CA4}"/>
    <cellStyle name="20% - Énfasis4 94" xfId="12920" xr:uid="{3874DC7D-CB1D-4A6C-860C-140A285EA6E2}"/>
    <cellStyle name="20% - Énfasis4 94 2" xfId="16963" xr:uid="{2DDD2063-6F68-4B4B-BDA5-8A8966C7F0E2}"/>
    <cellStyle name="20% - Énfasis4 94_1.2.b" xfId="15234" xr:uid="{5B2C35C7-1E44-43B9-B455-02B7CF9BB1E5}"/>
    <cellStyle name="20% - Énfasis4 95" xfId="12921" xr:uid="{81BF9674-EAE0-4E5C-9652-3BB47A3A1A83}"/>
    <cellStyle name="20% - Énfasis4 95 2" xfId="16964" xr:uid="{6CF1FEFC-F69C-487E-A479-820AEFB8BED1}"/>
    <cellStyle name="20% - Énfasis4 95_1.2.b" xfId="15235" xr:uid="{EEAC63C3-785D-494F-8B0E-F66198444F29}"/>
    <cellStyle name="20% - Énfasis5 10" xfId="9924" xr:uid="{00000000-0005-0000-0000-000075000000}"/>
    <cellStyle name="20% - Énfasis5 10 2" xfId="11661" xr:uid="{00000000-0005-0000-0000-000076000000}"/>
    <cellStyle name="20% - Énfasis5 10 3" xfId="12922" xr:uid="{BAD1B1E0-FB90-4BAD-9A07-8EDD6DC1F383}"/>
    <cellStyle name="20% - Énfasis5 10 4" xfId="16965" xr:uid="{E4B81E8A-56F4-4AF0-89CB-CF9241612D56}"/>
    <cellStyle name="20% - Énfasis5 10_1.2.b" xfId="15236" xr:uid="{28323129-98E7-4DD3-B2DB-27A6E3BC770E}"/>
    <cellStyle name="20% - Énfasis5 11" xfId="9946" xr:uid="{00000000-0005-0000-0000-000077000000}"/>
    <cellStyle name="20% - Énfasis5 11 2" xfId="11682" xr:uid="{00000000-0005-0000-0000-000078000000}"/>
    <cellStyle name="20% - Énfasis5 11 3" xfId="12923" xr:uid="{3905D84D-B4C0-4D95-8E62-DAAB7873AD79}"/>
    <cellStyle name="20% - Énfasis5 11 4" xfId="16966" xr:uid="{2C978DE9-7203-4C31-A8CA-1E58F2FF1F35}"/>
    <cellStyle name="20% - Énfasis5 11_1.2.b" xfId="15237" xr:uid="{F641C7F8-2569-4CEC-B500-0EE8AFA2A270}"/>
    <cellStyle name="20% - Énfasis5 12" xfId="10539" xr:uid="{00000000-0005-0000-0000-000079000000}"/>
    <cellStyle name="20% - Énfasis5 12 2" xfId="12274" xr:uid="{00000000-0005-0000-0000-00007A000000}"/>
    <cellStyle name="20% - Énfasis5 12 3" xfId="12924" xr:uid="{7600674D-778A-4C4C-A076-417E5B24E19F}"/>
    <cellStyle name="20% - Énfasis5 12 4" xfId="16967" xr:uid="{2C8E427B-12B6-43A0-841E-95D5F7331521}"/>
    <cellStyle name="20% - Énfasis5 12_1.2.b" xfId="15238" xr:uid="{90EE613A-0A86-4399-8F39-052945FEBBFC}"/>
    <cellStyle name="20% - Énfasis5 13" xfId="10586" xr:uid="{00000000-0005-0000-0000-00007B000000}"/>
    <cellStyle name="20% - Énfasis5 13 2" xfId="12319" xr:uid="{00000000-0005-0000-0000-00007C000000}"/>
    <cellStyle name="20% - Énfasis5 13 3" xfId="12925" xr:uid="{BFCD0FF5-ADA1-4183-8C91-43A96061DFEC}"/>
    <cellStyle name="20% - Énfasis5 13 4" xfId="16968" xr:uid="{5D69E51D-E0B6-4FA2-8AAA-907EE56B3D95}"/>
    <cellStyle name="20% - Énfasis5 13_1.2.b" xfId="15239" xr:uid="{FFA545AC-AFF8-4089-80A6-2B9E960FF760}"/>
    <cellStyle name="20% - Énfasis5 14" xfId="10606" xr:uid="{00000000-0005-0000-0000-00007D000000}"/>
    <cellStyle name="20% - Énfasis5 14 2" xfId="12335" xr:uid="{00000000-0005-0000-0000-00007E000000}"/>
    <cellStyle name="20% - Énfasis5 14 3" xfId="12926" xr:uid="{97251767-84C2-4A29-9F28-BD62E3291799}"/>
    <cellStyle name="20% - Énfasis5 14 4" xfId="16969" xr:uid="{FA05C935-DE89-4D3A-83FE-39F0ECE03ADF}"/>
    <cellStyle name="20% - Énfasis5 14_1.2.b" xfId="15240" xr:uid="{4A31B95D-3EED-4829-A640-701AC5FEEDA2}"/>
    <cellStyle name="20% - Énfasis5 15" xfId="10627" xr:uid="{00000000-0005-0000-0000-00007F000000}"/>
    <cellStyle name="20% - Énfasis5 15 2" xfId="12927" xr:uid="{60A4C2B8-1700-44BD-8561-3862F9B3AC51}"/>
    <cellStyle name="20% - Énfasis5 15 3" xfId="16970" xr:uid="{29A6B5D9-EE32-4FBD-9394-1F2DD6BC9615}"/>
    <cellStyle name="20% - Énfasis5 15_1.2.b" xfId="15241" xr:uid="{0B7C3FA6-B068-4B5A-A11F-C73CFE4B3B05}"/>
    <cellStyle name="20% - Énfasis5 16" xfId="12368" xr:uid="{00000000-0005-0000-0000-000080000000}"/>
    <cellStyle name="20% - Énfasis5 16 2" xfId="12928" xr:uid="{F34CBAE4-44E6-43A5-86F4-382E1B0F0541}"/>
    <cellStyle name="20% - Énfasis5 16 3" xfId="16971" xr:uid="{5E709D76-F218-4BDE-9C20-8B0EDABECD4A}"/>
    <cellStyle name="20% - Énfasis5 16_1.2.b" xfId="15242" xr:uid="{9452FB9E-FA02-4730-A304-843BE6D4D55B}"/>
    <cellStyle name="20% - Énfasis5 17" xfId="12383" xr:uid="{00000000-0005-0000-0000-000081000000}"/>
    <cellStyle name="20% - Énfasis5 17 2" xfId="12929" xr:uid="{B87163A3-9ECE-4EAA-84EB-99FAC195BA43}"/>
    <cellStyle name="20% - Énfasis5 17 3" xfId="16972" xr:uid="{51314AD2-0D18-4FF3-8B74-6500009DE9C7}"/>
    <cellStyle name="20% - Énfasis5 17_1.2.b" xfId="15243" xr:uid="{A4A6659F-4333-4573-BFF9-4F5E6B0B5E59}"/>
    <cellStyle name="20% - Énfasis5 18" xfId="12930" xr:uid="{617BDFFE-1865-4195-B747-074B799C6703}"/>
    <cellStyle name="20% - Énfasis5 18 2" xfId="16973" xr:uid="{4607300C-5C95-420B-AE87-228D02C3741F}"/>
    <cellStyle name="20% - Énfasis5 18_1.2.b" xfId="15244" xr:uid="{A273505D-C7F9-41B2-82F3-CC4024F40E20}"/>
    <cellStyle name="20% - Énfasis5 19" xfId="12931" xr:uid="{475C0E3A-505A-4FE1-9BB9-C30686C141E5}"/>
    <cellStyle name="20% - Énfasis5 19 2" xfId="16974" xr:uid="{F425C948-F287-43C3-A9A4-E64308D69D9F}"/>
    <cellStyle name="20% - Énfasis5 19_1.2.b" xfId="15245" xr:uid="{8B6EFE61-B2FC-46BC-BE42-D42FD78372F7}"/>
    <cellStyle name="20% - Énfasis5 2" xfId="154" xr:uid="{00000000-0005-0000-0000-000082000000}"/>
    <cellStyle name="20% - Énfasis5 2 10" xfId="12933" xr:uid="{24901503-B0CF-4631-A66C-5221AB6B330D}"/>
    <cellStyle name="20% - Énfasis5 2 10 2" xfId="16976" xr:uid="{7CBB895D-C4B3-4E2F-A4D0-77F5E4282A18}"/>
    <cellStyle name="20% - Énfasis5 2 10_1.2.b" xfId="15247" xr:uid="{426922E8-CF44-40BA-8C86-6B257C485F01}"/>
    <cellStyle name="20% - Énfasis5 2 11" xfId="12932" xr:uid="{0D0FC8D0-8CA0-43A6-BAB8-6DB6B41A9494}"/>
    <cellStyle name="20% - Énfasis5 2 12" xfId="16975" xr:uid="{C8802937-855B-456A-ABB2-01E49C8D8FE8}"/>
    <cellStyle name="20% - Énfasis5 2 13" xfId="17799" xr:uid="{816CAE8A-91C6-4060-A087-337AB77A9F17}"/>
    <cellStyle name="20% - Énfasis5 2 14" xfId="18233" xr:uid="{0661292C-7BB2-4C99-8DBE-CA3E67CC1BBC}"/>
    <cellStyle name="20% - Énfasis5 2 15" xfId="17796" xr:uid="{F5C30D6B-A77F-401F-B4E7-401435C385A5}"/>
    <cellStyle name="20% - Énfasis5 2 16" xfId="18231" xr:uid="{45758B20-860E-4A5A-B13A-252F7E252ABD}"/>
    <cellStyle name="20% - Énfasis5 2 2" xfId="10674" xr:uid="{00000000-0005-0000-0000-000083000000}"/>
    <cellStyle name="20% - Énfasis5 2 2 2" xfId="12935" xr:uid="{A09B3AE5-DBBC-4B32-9A0A-1D33BCBDF98A}"/>
    <cellStyle name="20% - Énfasis5 2 2 3" xfId="12936" xr:uid="{C4FCAC14-6562-4444-9AA9-CAB11F6A1F62}"/>
    <cellStyle name="20% - Énfasis5 2 2 4" xfId="12937" xr:uid="{C054FAA5-41D1-4694-A7F8-44FF538EED47}"/>
    <cellStyle name="20% - Énfasis5 2 2 5" xfId="12938" xr:uid="{42C95B61-6191-4BC0-B436-79E2F9B74130}"/>
    <cellStyle name="20% - Énfasis5 2 2 6" xfId="12934" xr:uid="{A238E752-05F7-47B1-8961-9FCEB5052BC4}"/>
    <cellStyle name="20% - Énfasis5 2 2 7" xfId="16977" xr:uid="{E7BCFDD2-13BD-4B60-81F5-8994F0002F74}"/>
    <cellStyle name="20% - Énfasis5 2 2_1.2.b" xfId="15248" xr:uid="{874A4955-331E-4E32-B2FC-D8403D68FDCE}"/>
    <cellStyle name="20% - Énfasis5 2 3" xfId="12939" xr:uid="{FD57C5F8-4207-4ED6-A9FB-383E7D95A225}"/>
    <cellStyle name="20% - Énfasis5 2 4" xfId="12940" xr:uid="{E0BB8854-E558-4DC6-B19C-A2877CC5C068}"/>
    <cellStyle name="20% - Énfasis5 2 5" xfId="12941" xr:uid="{CCF4C257-E282-44C8-A15B-205CCEDD737F}"/>
    <cellStyle name="20% - Énfasis5 2 6" xfId="12942" xr:uid="{B40C64C3-1CAA-45B1-935F-9DA6FFEBB225}"/>
    <cellStyle name="20% - Énfasis5 2 7" xfId="12943" xr:uid="{C6D4978F-0D26-43DE-A345-B360AE318537}"/>
    <cellStyle name="20% - Énfasis5 2 8" xfId="12944" xr:uid="{2756FA8A-3150-4A1E-870B-D59597F6360E}"/>
    <cellStyle name="20% - Énfasis5 2 9" xfId="12945" xr:uid="{2037432F-3009-4DE1-B060-B7DDF7A572A5}"/>
    <cellStyle name="20% - Énfasis5 2 9 2" xfId="16978" xr:uid="{82590703-BD3B-43F3-8A60-89BFB05320D1}"/>
    <cellStyle name="20% - Énfasis5 2 9_1.2.b" xfId="15249" xr:uid="{0754C661-72FD-4218-AA57-B1726C2978D3}"/>
    <cellStyle name="20% - Énfasis5 2_1.2.b" xfId="15246" xr:uid="{1F752B89-04A5-4D2A-89A3-A141C68D2AEE}"/>
    <cellStyle name="20% - Énfasis5 20" xfId="12946" xr:uid="{654D0D34-A17A-4481-BCD2-6A2B4AF4F118}"/>
    <cellStyle name="20% - Énfasis5 20 2" xfId="16979" xr:uid="{789BF109-6173-4CAE-9AE4-3AEB83CD4AB3}"/>
    <cellStyle name="20% - Énfasis5 20_1.2.b" xfId="15250" xr:uid="{03B172FA-51E3-42AF-BDE5-1C50B5F23F9A}"/>
    <cellStyle name="20% - Énfasis5 21" xfId="12947" xr:uid="{5A4457F6-681F-44D6-92CA-4551CABDB4B1}"/>
    <cellStyle name="20% - Énfasis5 21 2" xfId="16980" xr:uid="{04EA22DE-6B56-4FAF-A817-4291B8231E9B}"/>
    <cellStyle name="20% - Énfasis5 21_1.2.b" xfId="15251" xr:uid="{E957E84F-C793-4E3C-A48D-23F610672187}"/>
    <cellStyle name="20% - Énfasis5 22" xfId="12948" xr:uid="{11A01147-97A4-422A-BDEA-5C455C4CD59F}"/>
    <cellStyle name="20% - Énfasis5 22 2" xfId="16981" xr:uid="{54CC43D2-BD8D-44F5-B058-E056BDEF87B8}"/>
    <cellStyle name="20% - Énfasis5 22_1.2.b" xfId="15252" xr:uid="{E5784DF2-20CA-4E87-9A91-055BF179789A}"/>
    <cellStyle name="20% - Énfasis5 23" xfId="12949" xr:uid="{100A2187-364D-42C4-AB64-E98568A19831}"/>
    <cellStyle name="20% - Énfasis5 23 2" xfId="16982" xr:uid="{EC208E1B-6DBD-4D3B-B328-4DDDE794BDE5}"/>
    <cellStyle name="20% - Énfasis5 23_1.2.b" xfId="15253" xr:uid="{AD853A9B-E25C-458E-86ED-D75D279103CA}"/>
    <cellStyle name="20% - Énfasis5 24" xfId="12950" xr:uid="{86419910-D2D3-4862-802B-B973249694F8}"/>
    <cellStyle name="20% - Énfasis5 24 2" xfId="16983" xr:uid="{D2769443-4F6E-4A02-A57D-8BD295B40762}"/>
    <cellStyle name="20% - Énfasis5 24_1.2.b" xfId="15254" xr:uid="{F6BD1E4F-3951-4C37-92D4-E09899B0F171}"/>
    <cellStyle name="20% - Énfasis5 25" xfId="12951" xr:uid="{D0747BEC-5FBD-440C-95D5-457DD76FF4DB}"/>
    <cellStyle name="20% - Énfasis5 25 2" xfId="16984" xr:uid="{C5822742-B2C0-4C22-9E9B-DBD3646AFF41}"/>
    <cellStyle name="20% - Énfasis5 25_1.2.b" xfId="15255" xr:uid="{6D6B396B-83AF-482C-91A8-F4E4BAB29D46}"/>
    <cellStyle name="20% - Énfasis5 26" xfId="12952" xr:uid="{DEEFD8FE-6564-453B-925C-07B09D4692BE}"/>
    <cellStyle name="20% - Énfasis5 26 2" xfId="16985" xr:uid="{911B7F70-2934-4588-89DE-39342EAD4796}"/>
    <cellStyle name="20% - Énfasis5 26_1.2.b" xfId="15256" xr:uid="{A00A6429-AE7B-43A4-A54D-F11A15A9E0EE}"/>
    <cellStyle name="20% - Énfasis5 27" xfId="12953" xr:uid="{26235372-093B-4193-9541-795503ACF13B}"/>
    <cellStyle name="20% - Énfasis5 27 2" xfId="16986" xr:uid="{5918F3D2-4BE5-4F97-9F79-4DF3FDF415AC}"/>
    <cellStyle name="20% - Énfasis5 27_1.2.b" xfId="15257" xr:uid="{AB900A06-CDEB-468F-90A3-7F3C4A1BEF5E}"/>
    <cellStyle name="20% - Énfasis5 28" xfId="12954" xr:uid="{F2D34FEF-4774-4E1D-8970-ABEB8759D02A}"/>
    <cellStyle name="20% - Énfasis5 28 2" xfId="16987" xr:uid="{7FE9A7B4-4206-48E7-80FD-1BD318E2683E}"/>
    <cellStyle name="20% - Énfasis5 28_1.2.b" xfId="15258" xr:uid="{ADE6EE44-B1FF-4648-A3E0-8E07173CBCEE}"/>
    <cellStyle name="20% - Énfasis5 29" xfId="12955" xr:uid="{1E87716D-C15F-481E-A0B8-4C7D3D6AFDCE}"/>
    <cellStyle name="20% - Énfasis5 29 2" xfId="16988" xr:uid="{9637845C-7F94-425C-861C-0434B817A1B7}"/>
    <cellStyle name="20% - Énfasis5 29_1.2.b" xfId="15259" xr:uid="{7F7CA2B4-5EC4-48B5-BC70-558423D4472E}"/>
    <cellStyle name="20% - Énfasis5 3" xfId="168" xr:uid="{00000000-0005-0000-0000-000084000000}"/>
    <cellStyle name="20% - Énfasis5 3 2" xfId="10688" xr:uid="{00000000-0005-0000-0000-000085000000}"/>
    <cellStyle name="20% - Énfasis5 3 2 2" xfId="12957" xr:uid="{8C5DFEA0-4137-4D80-848A-D44D72FE09C2}"/>
    <cellStyle name="20% - Énfasis5 3 2 3" xfId="16990" xr:uid="{56C41109-49D0-424C-878F-658AC5DB47CD}"/>
    <cellStyle name="20% - Énfasis5 3 2_1.2.b" xfId="15261" xr:uid="{781ED6E0-9E11-4E12-B5FC-1E4FCB7F0B7F}"/>
    <cellStyle name="20% - Énfasis5 3 3" xfId="12958" xr:uid="{2C3D0D7A-196B-41CB-AC84-4B658A3AC889}"/>
    <cellStyle name="20% - Énfasis5 3 4" xfId="12956" xr:uid="{5B3C3798-506B-4DFF-9DA4-798A1DEECC3B}"/>
    <cellStyle name="20% - Énfasis5 3 5" xfId="16989" xr:uid="{F0A268CF-90CC-4818-92D7-9940EE08525A}"/>
    <cellStyle name="20% - Énfasis5 3_1.2.b" xfId="15260" xr:uid="{66E3B690-C5A2-4F10-8BD1-36EB293C5935}"/>
    <cellStyle name="20% - Énfasis5 30" xfId="12959" xr:uid="{04E46879-59C5-4551-B37D-FBA0FA8BD557}"/>
    <cellStyle name="20% - Énfasis5 30 2" xfId="16991" xr:uid="{14F45BD0-9492-4BE5-9D54-00C0E938BAAC}"/>
    <cellStyle name="20% - Énfasis5 30_1.2.b" xfId="15262" xr:uid="{5D572F6A-A961-407D-88B3-2775DDB8FF65}"/>
    <cellStyle name="20% - Énfasis5 31" xfId="12960" xr:uid="{A6DCE07E-F25D-4B8A-BFE2-5E31DEB9EBDD}"/>
    <cellStyle name="20% - Énfasis5 31 2" xfId="16992" xr:uid="{8ED24620-FA8C-40AF-977E-D5F97DCCA05B}"/>
    <cellStyle name="20% - Énfasis5 31_1.2.b" xfId="15263" xr:uid="{852868AC-B55A-42F1-AB0B-F45534BF01D2}"/>
    <cellStyle name="20% - Énfasis5 32" xfId="12961" xr:uid="{17E9D2E7-2D46-4980-BCC9-F88249FB7ADE}"/>
    <cellStyle name="20% - Énfasis5 32 2" xfId="16993" xr:uid="{B9CF0075-AC2A-42E5-B888-6A694308CE36}"/>
    <cellStyle name="20% - Énfasis5 32_1.2.b" xfId="15264" xr:uid="{1F1CBE4E-0042-43B8-BBF4-06D6EDDFF364}"/>
    <cellStyle name="20% - Énfasis5 33" xfId="12962" xr:uid="{F68D78E4-2A38-462D-8603-BEFA3BA023A6}"/>
    <cellStyle name="20% - Énfasis5 33 2" xfId="16994" xr:uid="{C34C4821-C224-46A8-8959-CD2626555571}"/>
    <cellStyle name="20% - Énfasis5 33_1.2.b" xfId="15265" xr:uid="{4A3EDF22-9BEF-4D81-A635-4599346ACEB4}"/>
    <cellStyle name="20% - Énfasis5 34" xfId="12963" xr:uid="{F410861A-D8D3-4F2B-B99A-8A099718B0E7}"/>
    <cellStyle name="20% - Énfasis5 34 2" xfId="16995" xr:uid="{3E70C3C4-BFC9-4B44-9ABF-27C13E670F6A}"/>
    <cellStyle name="20% - Énfasis5 34_1.2.b" xfId="15266" xr:uid="{8122D3C2-4D46-430F-8791-1FBC69A58089}"/>
    <cellStyle name="20% - Énfasis5 35" xfId="12964" xr:uid="{1025ABD5-B416-421B-92D3-25D04A483F20}"/>
    <cellStyle name="20% - Énfasis5 35 2" xfId="16996" xr:uid="{79D0D050-0721-4A90-AC76-92DB2F785917}"/>
    <cellStyle name="20% - Énfasis5 35_1.2.b" xfId="15267" xr:uid="{FFD3D1D1-24C3-4F7D-AFDB-DDC948304564}"/>
    <cellStyle name="20% - Énfasis5 36" xfId="12965" xr:uid="{30C6EDFF-024A-49C3-943B-E1A2B4B18D13}"/>
    <cellStyle name="20% - Énfasis5 36 2" xfId="16997" xr:uid="{52666925-D647-4EAB-B54D-6F69CE9D114C}"/>
    <cellStyle name="20% - Énfasis5 36_1.2.b" xfId="15268" xr:uid="{C3392EC3-E36E-4C5B-8E6C-E7E87010FCE0}"/>
    <cellStyle name="20% - Énfasis5 37" xfId="12966" xr:uid="{FACAE860-8B7A-4FB1-A3BA-2FF28CA4786D}"/>
    <cellStyle name="20% - Énfasis5 37 2" xfId="16998" xr:uid="{51C9E16E-924C-41A7-A899-706A3C754C59}"/>
    <cellStyle name="20% - Énfasis5 37_1.2.b" xfId="15269" xr:uid="{A60FA2EE-7309-4C67-AAB6-5088690BB794}"/>
    <cellStyle name="20% - Énfasis5 38" xfId="12967" xr:uid="{253CDFCE-55BB-4587-9823-26497994BE13}"/>
    <cellStyle name="20% - Énfasis5 38 2" xfId="16999" xr:uid="{42BFE4A1-4E38-43FD-A080-D119731CEBFD}"/>
    <cellStyle name="20% - Énfasis5 38_1.2.b" xfId="15270" xr:uid="{C4216297-829F-4476-AA4C-E5D58ED2F258}"/>
    <cellStyle name="20% - Énfasis5 39" xfId="12968" xr:uid="{30D7C91D-E25B-497E-9609-A8BABD00C50C}"/>
    <cellStyle name="20% - Énfasis5 39 2" xfId="17000" xr:uid="{72E1FF37-3789-4D62-B024-4EE374D1607F}"/>
    <cellStyle name="20% - Énfasis5 39_1.2.b" xfId="15271" xr:uid="{0DD9F01D-E5E9-454A-876C-07D0738D2B49}"/>
    <cellStyle name="20% - Énfasis5 4" xfId="182" xr:uid="{00000000-0005-0000-0000-000086000000}"/>
    <cellStyle name="20% - Énfasis5 4 2" xfId="10702" xr:uid="{00000000-0005-0000-0000-000087000000}"/>
    <cellStyle name="20% - Énfasis5 4 2 2" xfId="12970" xr:uid="{D17F02AE-B82C-45D1-80B5-8E869462C5F3}"/>
    <cellStyle name="20% - Énfasis5 4 2_1.2.b" xfId="15273" xr:uid="{FC832529-279D-45B2-9ADA-0B4BA2B1052D}"/>
    <cellStyle name="20% - Énfasis5 4 3" xfId="12969" xr:uid="{AF365021-1120-43F6-B729-5297A0740847}"/>
    <cellStyle name="20% - Énfasis5 4 4" xfId="17001" xr:uid="{9EEC3DF8-488D-4CC6-B4C0-E8E7FD43FAAF}"/>
    <cellStyle name="20% - Énfasis5 4 5" xfId="17790" xr:uid="{F024F95D-7AF0-4B33-A570-45E24470B143}"/>
    <cellStyle name="20% - Énfasis5 4 6" xfId="18224" xr:uid="{9BCC2E08-6C85-443D-9E24-3257C4D81255}"/>
    <cellStyle name="20% - Énfasis5 4 7" xfId="17789" xr:uid="{CB2C42CA-07C7-4772-BF20-33B0B5D74B4F}"/>
    <cellStyle name="20% - Énfasis5 4 8" xfId="18225" xr:uid="{84CE4189-E06F-4BC3-AD34-F8A4EAE49347}"/>
    <cellStyle name="20% - Énfasis5 4_1.2.b" xfId="15272" xr:uid="{339C556C-5565-432B-88F1-43AF55CB0C2F}"/>
    <cellStyle name="20% - Énfasis5 40" xfId="12971" xr:uid="{07A1A74F-721C-45C1-AEA7-325297960C48}"/>
    <cellStyle name="20% - Énfasis5 40 2" xfId="17002" xr:uid="{85425ECF-33A4-44D7-975C-01F556985E58}"/>
    <cellStyle name="20% - Énfasis5 40_1.2.b" xfId="15274" xr:uid="{B5046B5B-3632-4A26-8BE5-A2ACC4E04E19}"/>
    <cellStyle name="20% - Énfasis5 41" xfId="12972" xr:uid="{5503A224-18C6-4F86-A7AF-2FA9E408985D}"/>
    <cellStyle name="20% - Énfasis5 41 2" xfId="17003" xr:uid="{948FD682-0073-4D35-AE23-3D3C78F26E9A}"/>
    <cellStyle name="20% - Énfasis5 41_1.2.b" xfId="15275" xr:uid="{A0428079-6EA6-45C9-9FC8-CFE962E6E707}"/>
    <cellStyle name="20% - Énfasis5 42" xfId="12973" xr:uid="{E60F45B7-0C76-4046-9505-64C6D60C3F55}"/>
    <cellStyle name="20% - Énfasis5 42 2" xfId="17004" xr:uid="{1AFA3C98-91C6-4713-8A00-E2A6559E33AC}"/>
    <cellStyle name="20% - Énfasis5 42_1.2.b" xfId="15276" xr:uid="{DEF5F3B5-F887-4990-90C4-0E6D59E013ED}"/>
    <cellStyle name="20% - Énfasis5 43" xfId="12974" xr:uid="{0D855ADF-927B-4910-82B9-FF8942038017}"/>
    <cellStyle name="20% - Énfasis5 43 2" xfId="17005" xr:uid="{54153BFD-3882-42D6-8846-30E4448CA1D1}"/>
    <cellStyle name="20% - Énfasis5 43_1.2.b" xfId="15277" xr:uid="{8C7EBC38-D6C2-4E71-8E84-FF637EE4CA21}"/>
    <cellStyle name="20% - Énfasis5 44" xfId="12975" xr:uid="{B6C4F16F-1DB9-4DB5-B634-73B3B04A327F}"/>
    <cellStyle name="20% - Énfasis5 44 2" xfId="17006" xr:uid="{8BC8EE03-DEA4-4B9A-9201-DC3ABEE70546}"/>
    <cellStyle name="20% - Énfasis5 44_1.2.b" xfId="15278" xr:uid="{94481F07-27FA-4302-82B2-F357C977B4CA}"/>
    <cellStyle name="20% - Énfasis5 45" xfId="12976" xr:uid="{0851F2DA-CEFB-4DA0-95F8-BF2F46B8DEBF}"/>
    <cellStyle name="20% - Énfasis5 45 2" xfId="17007" xr:uid="{7D9D674B-946C-4523-ABFE-6A0632985C6F}"/>
    <cellStyle name="20% - Énfasis5 45_1.2.b" xfId="15279" xr:uid="{0123D323-1593-467B-9783-8967669BFF68}"/>
    <cellStyle name="20% - Énfasis5 46" xfId="12977" xr:uid="{A9EF8A5A-E4EA-43CF-8832-BFE1768D426E}"/>
    <cellStyle name="20% - Énfasis5 46 2" xfId="17008" xr:uid="{5703AA1D-ACC5-4E7C-9096-3BC5804CBC56}"/>
    <cellStyle name="20% - Énfasis5 46_1.2.b" xfId="15280" xr:uid="{687FB488-10A2-4083-929F-CF9187E5A7DC}"/>
    <cellStyle name="20% - Énfasis5 47" xfId="12978" xr:uid="{2BAE7B09-9711-436F-BC24-E6C1B86F299E}"/>
    <cellStyle name="20% - Énfasis5 47 2" xfId="17009" xr:uid="{63FD04B5-AD99-42B5-BDE7-94CE122EC0D5}"/>
    <cellStyle name="20% - Énfasis5 47_1.2.b" xfId="15281" xr:uid="{F6A1D5A6-D5B9-4734-BF95-CD9895AE368B}"/>
    <cellStyle name="20% - Énfasis5 48" xfId="12979" xr:uid="{E45C294E-8DC7-47DE-8592-126FBCFDEAC9}"/>
    <cellStyle name="20% - Énfasis5 48 2" xfId="17010" xr:uid="{22CDEA54-53F2-4F30-B4D0-327729D15045}"/>
    <cellStyle name="20% - Énfasis5 48_1.2.b" xfId="15282" xr:uid="{7B0C81DF-7791-4719-AEBA-68D04A69DCA5}"/>
    <cellStyle name="20% - Énfasis5 49" xfId="12980" xr:uid="{E5E8335C-AE6A-42DA-9CBC-CE75A90C059F}"/>
    <cellStyle name="20% - Énfasis5 49 2" xfId="17011" xr:uid="{E8FB9CD7-FAF2-460F-BA2D-9BBB156E8793}"/>
    <cellStyle name="20% - Énfasis5 49_1.2.b" xfId="15283" xr:uid="{70E8CF04-B2C3-40C4-9009-2E9B1B1AB78C}"/>
    <cellStyle name="20% - Énfasis5 5" xfId="197" xr:uid="{00000000-0005-0000-0000-000088000000}"/>
    <cellStyle name="20% - Énfasis5 5 2" xfId="10717" xr:uid="{00000000-0005-0000-0000-000089000000}"/>
    <cellStyle name="20% - Énfasis5 5 3" xfId="12981" xr:uid="{0AAD877B-F8AC-4DD8-BB04-03A4A6E39F80}"/>
    <cellStyle name="20% - Énfasis5 5 4" xfId="17012" xr:uid="{A6A90EB1-A1D2-4BBA-BE86-BF331D7E30C3}"/>
    <cellStyle name="20% - Énfasis5 5_1.2.b" xfId="15284" xr:uid="{09860B11-6FF7-47A5-9C90-11A951E484D6}"/>
    <cellStyle name="20% - Énfasis5 50" xfId="12982" xr:uid="{A668B7E4-3A03-4F61-BB42-057A8022398F}"/>
    <cellStyle name="20% - Énfasis5 50 2" xfId="17013" xr:uid="{59767C09-AA3B-4870-8C83-014A9AD81D90}"/>
    <cellStyle name="20% - Énfasis5 50_1.2.b" xfId="15285" xr:uid="{81D52730-2C3C-4612-B335-3B828875A0D0}"/>
    <cellStyle name="20% - Énfasis5 51" xfId="12983" xr:uid="{D4709A1F-85E4-4079-B159-D8F78435DC4C}"/>
    <cellStyle name="20% - Énfasis5 51 2" xfId="17014" xr:uid="{153EBA0C-ED45-4FBF-9F02-994CD084B0BF}"/>
    <cellStyle name="20% - Énfasis5 51_1.2.b" xfId="15286" xr:uid="{B6311655-A777-4D18-8AEF-1B3D52A68E2B}"/>
    <cellStyle name="20% - Énfasis5 52" xfId="12984" xr:uid="{ACD5DED8-D290-4E53-A748-B4177A65832F}"/>
    <cellStyle name="20% - Énfasis5 52 2" xfId="17015" xr:uid="{02C42048-B731-4964-AC26-25A1DF71A49A}"/>
    <cellStyle name="20% - Énfasis5 52_1.2.b" xfId="15287" xr:uid="{8BE3410E-3C99-4415-81D2-BDD13F734F4D}"/>
    <cellStyle name="20% - Énfasis5 53" xfId="12985" xr:uid="{A9833F52-2D1F-4748-9BC3-DC0440F4BFD7}"/>
    <cellStyle name="20% - Énfasis5 53 2" xfId="17016" xr:uid="{09A15C63-95FA-41DE-93F1-5EF3A2EEE7BC}"/>
    <cellStyle name="20% - Énfasis5 53_1.2.b" xfId="15288" xr:uid="{C8771CD6-97B8-473C-9FB1-78E375A1D3AE}"/>
    <cellStyle name="20% - Énfasis5 54" xfId="12986" xr:uid="{87D516CA-B134-4EB1-BBCE-1948BB9A2A10}"/>
    <cellStyle name="20% - Énfasis5 54 2" xfId="17017" xr:uid="{DF968AB1-6880-4505-B250-9DF789499D5E}"/>
    <cellStyle name="20% - Énfasis5 54_1.2.b" xfId="15289" xr:uid="{1D69E6C3-CB82-4F85-BE6E-9CDF60EB45D9}"/>
    <cellStyle name="20% - Énfasis5 55" xfId="12987" xr:uid="{3FA8A201-7044-4FEA-B5D8-60347EADAB6A}"/>
    <cellStyle name="20% - Énfasis5 55 2" xfId="17018" xr:uid="{0EEBA632-E042-4D47-995B-0977B74A6381}"/>
    <cellStyle name="20% - Énfasis5 55_1.2.b" xfId="15290" xr:uid="{13957D48-4B08-4BCD-8EA5-7A02B01C61A3}"/>
    <cellStyle name="20% - Énfasis5 56" xfId="12988" xr:uid="{1EAB73AC-C0CB-4BB2-ADDA-8C5179A7EDC8}"/>
    <cellStyle name="20% - Énfasis5 56 2" xfId="17019" xr:uid="{27E46541-E313-45FF-989C-5FFEE9189AF8}"/>
    <cellStyle name="20% - Énfasis5 56_1.2.b" xfId="15291" xr:uid="{3DE35A12-0FD4-485E-BA34-92CD8F444BF0}"/>
    <cellStyle name="20% - Énfasis5 57" xfId="12989" xr:uid="{4A940D5C-1974-4769-A209-B41BC1D28D0F}"/>
    <cellStyle name="20% - Énfasis5 57 2" xfId="17020" xr:uid="{D6E975DC-594C-4121-8B22-4477E2F2CC60}"/>
    <cellStyle name="20% - Énfasis5 57_1.2.b" xfId="15292" xr:uid="{B315F41B-CCEB-4B1A-9984-480F56C785C9}"/>
    <cellStyle name="20% - Énfasis5 58" xfId="12990" xr:uid="{B4EB20FA-2383-49E7-B1D9-E4D6C144680C}"/>
    <cellStyle name="20% - Énfasis5 58 2" xfId="17021" xr:uid="{909B7DDE-7E54-4448-8AA7-2207020EE166}"/>
    <cellStyle name="20% - Énfasis5 58_1.2.b" xfId="15293" xr:uid="{8D313526-6DC4-4E02-9129-4237D799DA24}"/>
    <cellStyle name="20% - Énfasis5 59" xfId="12991" xr:uid="{43B7C907-A685-4725-826D-3935F8A2FFE6}"/>
    <cellStyle name="20% - Énfasis5 59 2" xfId="17022" xr:uid="{675D8F78-2F71-495E-B626-E1B5A85FE7B5}"/>
    <cellStyle name="20% - Énfasis5 59_1.2.b" xfId="15294" xr:uid="{0260EF50-4671-4E96-A8B8-4E336B07AC29}"/>
    <cellStyle name="20% - Énfasis5 6" xfId="211" xr:uid="{00000000-0005-0000-0000-00008A000000}"/>
    <cellStyle name="20% - Énfasis5 6 2" xfId="10731" xr:uid="{00000000-0005-0000-0000-00008B000000}"/>
    <cellStyle name="20% - Énfasis5 6 3" xfId="12992" xr:uid="{FAE1D9F7-9242-41F6-B9C8-AF32CD5F91E8}"/>
    <cellStyle name="20% - Énfasis5 6 4" xfId="17023" xr:uid="{E7A8A72F-A435-444A-B89F-81EDE9AB4E6C}"/>
    <cellStyle name="20% - Énfasis5 6_1.2.b" xfId="15295" xr:uid="{89B2D185-3E48-4408-A168-724B3E7FA39E}"/>
    <cellStyle name="20% - Énfasis5 60" xfId="12993" xr:uid="{291669DD-A7E1-45C3-AC02-2A7E10EAA154}"/>
    <cellStyle name="20% - Énfasis5 60 2" xfId="17024" xr:uid="{FEE40030-935A-430D-8508-CF3279E34459}"/>
    <cellStyle name="20% - Énfasis5 60_1.2.b" xfId="15296" xr:uid="{01DEE104-685B-42D4-BB16-536EFBA903B8}"/>
    <cellStyle name="20% - Énfasis5 61" xfId="12994" xr:uid="{4D78166B-A8DF-4371-9892-C86D711F30FF}"/>
    <cellStyle name="20% - Énfasis5 61 2" xfId="17025" xr:uid="{90F3B37A-4907-49F6-8D09-E8D6255CC4E4}"/>
    <cellStyle name="20% - Énfasis5 61_1.2.b" xfId="15297" xr:uid="{5C1456DF-439A-448E-9961-69F64C0C60AC}"/>
    <cellStyle name="20% - Énfasis5 62" xfId="12995" xr:uid="{1C5E4870-653D-4D52-877B-B43D72973EAB}"/>
    <cellStyle name="20% - Énfasis5 62 2" xfId="17026" xr:uid="{D061956C-5D26-4056-B056-C14FE32A6FD7}"/>
    <cellStyle name="20% - Énfasis5 62_1.2.b" xfId="15298" xr:uid="{063CF967-CF17-41B2-B1D0-4A2F0E4C27AA}"/>
    <cellStyle name="20% - Énfasis5 63" xfId="12996" xr:uid="{EEE6D983-B382-4D78-AEE6-884CDD11408E}"/>
    <cellStyle name="20% - Énfasis5 63 2" xfId="17027" xr:uid="{9A9C24E3-6A23-46D9-B95B-94F032C5DFF5}"/>
    <cellStyle name="20% - Énfasis5 63_1.2.b" xfId="15299" xr:uid="{0E2235E0-D5EC-44DC-9135-6CC0062DBC0D}"/>
    <cellStyle name="20% - Énfasis5 64" xfId="12997" xr:uid="{56ED3323-CBBC-47F4-B0E8-0642EE148ECD}"/>
    <cellStyle name="20% - Énfasis5 64 2" xfId="17028" xr:uid="{DF082623-1264-452F-93ED-D6A3F6C8943E}"/>
    <cellStyle name="20% - Énfasis5 64_1.2.b" xfId="15300" xr:uid="{A73CD611-5AC7-4086-B4A2-B5FB57860D40}"/>
    <cellStyle name="20% - Énfasis5 65" xfId="12998" xr:uid="{43D1CC6B-E168-4D59-98EE-45DD06F4865E}"/>
    <cellStyle name="20% - Énfasis5 65 2" xfId="17029" xr:uid="{CE4DF043-C9F0-4552-9DD1-56E6A22B871D}"/>
    <cellStyle name="20% - Énfasis5 65_1.2.b" xfId="15301" xr:uid="{87741035-B55D-49BC-87CC-D0C78A1DE793}"/>
    <cellStyle name="20% - Énfasis5 66" xfId="12999" xr:uid="{ED69FD53-856F-4635-9AC9-35D45147A51D}"/>
    <cellStyle name="20% - Énfasis5 66 2" xfId="17030" xr:uid="{1C828B9F-5A05-45C3-9EDB-4A9E5E36CDBD}"/>
    <cellStyle name="20% - Énfasis5 66_1.2.b" xfId="15302" xr:uid="{4C87155D-3E00-4DF1-BD39-BF391937F5F9}"/>
    <cellStyle name="20% - Énfasis5 67" xfId="13000" xr:uid="{13B17CBF-A3CE-4543-B221-DFA66470E956}"/>
    <cellStyle name="20% - Énfasis5 67 2" xfId="17031" xr:uid="{4ED416FF-F365-4785-B855-0B3E9D503C56}"/>
    <cellStyle name="20% - Énfasis5 67_1.2.b" xfId="15303" xr:uid="{C25AAA14-F5DB-4489-BE4D-7264089D4FE7}"/>
    <cellStyle name="20% - Énfasis5 68" xfId="13001" xr:uid="{60E6C0FC-3476-4712-BCCC-5735EB49CDCA}"/>
    <cellStyle name="20% - Énfasis5 68 2" xfId="17032" xr:uid="{9962F226-C13F-41D1-B0D9-8EDD01D2B8CC}"/>
    <cellStyle name="20% - Énfasis5 68_1.2.b" xfId="15304" xr:uid="{59B514EB-9E50-45F8-AD33-B6D689CFA9DC}"/>
    <cellStyle name="20% - Énfasis5 69" xfId="13002" xr:uid="{CD02C97C-EFA3-4D21-9987-75F19CA53E86}"/>
    <cellStyle name="20% - Énfasis5 69 2" xfId="17033" xr:uid="{86ABFD41-7228-4FB4-84A4-90043AD78D04}"/>
    <cellStyle name="20% - Énfasis5 69_1.2.b" xfId="15305" xr:uid="{9F84FB6F-AB6B-4503-B0E5-CC0F8C379603}"/>
    <cellStyle name="20% - Énfasis5 7" xfId="9835" xr:uid="{00000000-0005-0000-0000-00008C000000}"/>
    <cellStyle name="20% - Énfasis5 7 2" xfId="11621" xr:uid="{00000000-0005-0000-0000-00008D000000}"/>
    <cellStyle name="20% - Énfasis5 7 3" xfId="13003" xr:uid="{10B2D115-764C-475F-82CE-73754675695C}"/>
    <cellStyle name="20% - Énfasis5 7 4" xfId="17034" xr:uid="{91BF4DAF-F75B-42BD-9DA7-9BDF1A30C5A6}"/>
    <cellStyle name="20% - Énfasis5 7_1.2.b" xfId="15306" xr:uid="{EF0D12EE-C123-4140-BE8F-D1F609330140}"/>
    <cellStyle name="20% - Énfasis5 70" xfId="13004" xr:uid="{7D38F8CC-65AF-44AD-BE85-356C7DCCFBFC}"/>
    <cellStyle name="20% - Énfasis5 70 2" xfId="17035" xr:uid="{E329BEB4-48CF-4369-B4C1-0C63CD51E13B}"/>
    <cellStyle name="20% - Énfasis5 70_1.2.b" xfId="15307" xr:uid="{59DABCAC-806B-4EE6-98A7-4C99DBEE93E5}"/>
    <cellStyle name="20% - Énfasis5 71" xfId="13005" xr:uid="{6D077DCF-C08E-4EC3-8C85-331B2246672A}"/>
    <cellStyle name="20% - Énfasis5 71 2" xfId="17036" xr:uid="{AB14C2E8-24A4-4CFE-90F9-895E9F9CB025}"/>
    <cellStyle name="20% - Énfasis5 71_1.2.b" xfId="15308" xr:uid="{1F112EFF-EC36-41FE-A3E9-F97910A6158D}"/>
    <cellStyle name="20% - Énfasis5 72" xfId="13006" xr:uid="{2E2C3DEA-2E93-4018-ABD8-06A6AC662BA0}"/>
    <cellStyle name="20% - Énfasis5 72 2" xfId="17037" xr:uid="{DFDF0FAD-81EC-4E0D-9E9B-F8278830DD92}"/>
    <cellStyle name="20% - Énfasis5 72_1.2.b" xfId="15309" xr:uid="{5C30C867-AD0A-48D2-B38D-436DEA822704}"/>
    <cellStyle name="20% - Énfasis5 73" xfId="13007" xr:uid="{F4ED2DE4-5DB0-45DF-8929-AA8894204B4C}"/>
    <cellStyle name="20% - Énfasis5 73 2" xfId="17038" xr:uid="{2F6D9C62-4BC1-47C1-953C-FE2E053567A6}"/>
    <cellStyle name="20% - Énfasis5 73_1.2.b" xfId="15310" xr:uid="{0115A28D-10CF-4F07-93B1-BB0937123A1F}"/>
    <cellStyle name="20% - Énfasis5 74" xfId="13008" xr:uid="{29793789-4034-4CA1-913A-12D5909CAD75}"/>
    <cellStyle name="20% - Énfasis5 74 2" xfId="17039" xr:uid="{B0CA5FC0-9D59-47A2-BC4B-EC96FF68732A}"/>
    <cellStyle name="20% - Énfasis5 74_1.2.b" xfId="15311" xr:uid="{BE5E0782-E9C5-416F-91E7-7853F1ADAFED}"/>
    <cellStyle name="20% - Énfasis5 75" xfId="13009" xr:uid="{D58135C9-C3BE-4236-842B-83BE96FB75E3}"/>
    <cellStyle name="20% - Énfasis5 75 2" xfId="17040" xr:uid="{5B7A6466-7816-45BD-84C0-0121BE3E786D}"/>
    <cellStyle name="20% - Énfasis5 75_1.2.b" xfId="15312" xr:uid="{7CA04C5A-D246-4A2E-ADDA-9DFA1C93D60A}"/>
    <cellStyle name="20% - Énfasis5 76" xfId="13010" xr:uid="{C603055B-EBBB-488E-B710-185278E79956}"/>
    <cellStyle name="20% - Énfasis5 76 2" xfId="17041" xr:uid="{78077A0A-F5DF-4B5B-B3F7-F2E6C6B163A8}"/>
    <cellStyle name="20% - Énfasis5 76_1.2.b" xfId="15313" xr:uid="{B911572A-1B4C-4C14-91CC-D1673040C294}"/>
    <cellStyle name="20% - Énfasis5 77" xfId="13011" xr:uid="{4E90B946-5834-45D2-A10C-02528D05A8AC}"/>
    <cellStyle name="20% - Énfasis5 77 2" xfId="17042" xr:uid="{73130AC7-AD85-49C8-B76A-8EBCEE9FC317}"/>
    <cellStyle name="20% - Énfasis5 77_1.2.b" xfId="15314" xr:uid="{10DB0F5C-1382-48F3-ABDC-8EE2AD87BD3A}"/>
    <cellStyle name="20% - Énfasis5 78" xfId="13012" xr:uid="{A68DAE34-FA6D-477C-9750-D4315225DA0C}"/>
    <cellStyle name="20% - Énfasis5 78 2" xfId="17043" xr:uid="{6BFC59AE-DA0E-4DA1-9289-EE73DCE26FE1}"/>
    <cellStyle name="20% - Énfasis5 78_1.2.b" xfId="15315" xr:uid="{118AF068-88E3-4E2E-88B6-039FCF39471E}"/>
    <cellStyle name="20% - Énfasis5 79" xfId="13013" xr:uid="{1FEBD7C3-3B77-4301-B2C2-6AF3BEFBB690}"/>
    <cellStyle name="20% - Énfasis5 79 2" xfId="17044" xr:uid="{5017BCBB-46AA-480D-B516-81E37F112102}"/>
    <cellStyle name="20% - Énfasis5 79_1.2.b" xfId="15316" xr:uid="{0286210C-B00A-4FCB-8904-7A11E70B92BA}"/>
    <cellStyle name="20% - Énfasis5 8" xfId="9854" xr:uid="{00000000-0005-0000-0000-00008E000000}"/>
    <cellStyle name="20% - Énfasis5 8 2" xfId="11639" xr:uid="{00000000-0005-0000-0000-00008F000000}"/>
    <cellStyle name="20% - Énfasis5 8 3" xfId="13014" xr:uid="{1049A447-FB2C-42BF-BB04-37ED5622EAD6}"/>
    <cellStyle name="20% - Énfasis5 8 4" xfId="17045" xr:uid="{F9B8575B-FDEC-4E82-B713-90510722060D}"/>
    <cellStyle name="20% - Énfasis5 8_1.2.b" xfId="15317" xr:uid="{F2743331-CBBD-4DF3-B220-57F1F4A5D416}"/>
    <cellStyle name="20% - Énfasis5 80" xfId="13015" xr:uid="{7D90950C-44FF-4FDE-95BC-96334D1D0949}"/>
    <cellStyle name="20% - Énfasis5 80 2" xfId="17046" xr:uid="{7EB6D03C-FDE8-4015-82D9-64C6F66F56F4}"/>
    <cellStyle name="20% - Énfasis5 80_1.2.b" xfId="15318" xr:uid="{40EAAEDE-D1C7-4F92-8515-274CE2905BCE}"/>
    <cellStyle name="20% - Énfasis5 81" xfId="13016" xr:uid="{30BF7240-DF12-4D77-8958-B798F34958D2}"/>
    <cellStyle name="20% - Énfasis5 81 2" xfId="17047" xr:uid="{02FBD1FC-CAFE-46FB-B775-BD73C8F76850}"/>
    <cellStyle name="20% - Énfasis5 81_1.2.b" xfId="15319" xr:uid="{95BABB56-3C5C-467E-9C2F-7B0FF6A5F1E3}"/>
    <cellStyle name="20% - Énfasis5 82" xfId="13017" xr:uid="{39E411BE-86A8-4D99-AFC5-9F10C3545B00}"/>
    <cellStyle name="20% - Énfasis5 82 2" xfId="17048" xr:uid="{33400836-54CD-4ED6-98AE-0187A27409FD}"/>
    <cellStyle name="20% - Énfasis5 82_1.2.b" xfId="15320" xr:uid="{A401A976-DC78-4D46-AAAC-9A807AA38A42}"/>
    <cellStyle name="20% - Énfasis5 83" xfId="13018" xr:uid="{96356714-6BA4-464C-970F-0CAEF4AF3D02}"/>
    <cellStyle name="20% - Énfasis5 83 2" xfId="17049" xr:uid="{6F258568-80F2-47D3-86CD-4C8964229BFA}"/>
    <cellStyle name="20% - Énfasis5 83_1.2.b" xfId="15321" xr:uid="{30D7D2F4-361B-4C7A-B4CA-178FA5532FB4}"/>
    <cellStyle name="20% - Énfasis5 84" xfId="13019" xr:uid="{938F6348-F573-4240-9958-2C7E3C6EBAEB}"/>
    <cellStyle name="20% - Énfasis5 84 2" xfId="17050" xr:uid="{9DCA500A-6E89-4DE5-9B06-2E41B977C209}"/>
    <cellStyle name="20% - Énfasis5 84_1.2.b" xfId="15322" xr:uid="{30A6011D-A8C5-43F0-97D9-E254131F9D0B}"/>
    <cellStyle name="20% - Énfasis5 85" xfId="13020" xr:uid="{833BE632-ADA9-4A82-812C-0509B096865E}"/>
    <cellStyle name="20% - Énfasis5 85 2" xfId="17051" xr:uid="{8BFA5684-4ABF-4C70-A66B-B865DB21692A}"/>
    <cellStyle name="20% - Énfasis5 85_1.2.b" xfId="15323" xr:uid="{2555709B-C4DB-4A40-B483-D3EFFC3A0275}"/>
    <cellStyle name="20% - Énfasis5 86" xfId="13021" xr:uid="{05CA064C-2605-4E54-9495-5735EBAB246A}"/>
    <cellStyle name="20% - Énfasis5 86 2" xfId="17052" xr:uid="{C104ADB9-394C-4DE7-84A9-F69FC257B956}"/>
    <cellStyle name="20% - Énfasis5 86_1.2.b" xfId="15324" xr:uid="{390EFE69-CC10-41A9-8798-2ECED9735C54}"/>
    <cellStyle name="20% - Énfasis5 87" xfId="13022" xr:uid="{549A295E-8EFE-43C3-A889-E7E4D63AEB45}"/>
    <cellStyle name="20% - Énfasis5 87 2" xfId="17053" xr:uid="{E300B9A8-4437-43DB-939B-E3B6B4C68BA0}"/>
    <cellStyle name="20% - Énfasis5 87_1.2.b" xfId="15325" xr:uid="{9A545EC2-0C5E-423E-B347-F03701A7497D}"/>
    <cellStyle name="20% - Énfasis5 88" xfId="13023" xr:uid="{5C9AB574-95C0-4F19-AE8D-6BF4037FE8D0}"/>
    <cellStyle name="20% - Énfasis5 88 2" xfId="17054" xr:uid="{56FB14F1-9486-431C-99F8-9D9C15E245D6}"/>
    <cellStyle name="20% - Énfasis5 88_1.2.b" xfId="15326" xr:uid="{F488A69C-2C97-47CD-96C3-9801EDB02404}"/>
    <cellStyle name="20% - Énfasis5 89" xfId="13024" xr:uid="{39162B3A-F23C-4EB4-95E9-C5DE1E5468EE}"/>
    <cellStyle name="20% - Énfasis5 89 2" xfId="17055" xr:uid="{50E5576A-D9F5-4DB4-935B-98FECF050CFB}"/>
    <cellStyle name="20% - Énfasis5 89_1.2.b" xfId="15327" xr:uid="{734A8F2C-C745-4A3E-9E95-61A9BE56530E}"/>
    <cellStyle name="20% - Énfasis5 9" xfId="9869" xr:uid="{00000000-0005-0000-0000-000090000000}"/>
    <cellStyle name="20% - Énfasis5 9 2" xfId="13025" xr:uid="{FB6BE35E-F344-420C-9CE6-3E4DB54B6602}"/>
    <cellStyle name="20% - Énfasis5 9 3" xfId="17056" xr:uid="{A6328F47-096E-47AB-BA50-59343E045FE1}"/>
    <cellStyle name="20% - Énfasis5 90" xfId="13026" xr:uid="{B1E2CB2F-51DD-4EFC-96C5-D602F951C3C8}"/>
    <cellStyle name="20% - Énfasis5 90 2" xfId="17057" xr:uid="{A260A717-2DBE-4FBB-8DEC-02C597E24B3D}"/>
    <cellStyle name="20% - Énfasis5 90_1.2.b" xfId="15328" xr:uid="{CE44FDF3-50FD-4AEF-8238-B08740731D87}"/>
    <cellStyle name="20% - Énfasis5 91" xfId="13027" xr:uid="{8C14880D-E3E9-4505-960A-748ECAE9665C}"/>
    <cellStyle name="20% - Énfasis5 91 2" xfId="17058" xr:uid="{70B4EE9B-7C87-4828-B396-AA554B187BFB}"/>
    <cellStyle name="20% - Énfasis5 91_1.2.b" xfId="15329" xr:uid="{31FCE0AF-8137-49B6-9EBE-AB1513A226ED}"/>
    <cellStyle name="20% - Énfasis5 92" xfId="13028" xr:uid="{E0F02D15-0D8F-48D8-B6D3-5D0AB72B6B7E}"/>
    <cellStyle name="20% - Énfasis5 92 2" xfId="17059" xr:uid="{5E5ECCAD-4ECE-4BC1-B7EB-13F148BED979}"/>
    <cellStyle name="20% - Énfasis5 92_1.2.b" xfId="15330" xr:uid="{C0E945BF-5183-47D0-9412-461A8509EF75}"/>
    <cellStyle name="20% - Énfasis5 93" xfId="13029" xr:uid="{B64D8325-AB7E-4795-A879-4C816F80644A}"/>
    <cellStyle name="20% - Énfasis5 93 2" xfId="17060" xr:uid="{DABE959C-2D38-4279-93C7-7EFC4F096EBD}"/>
    <cellStyle name="20% - Énfasis5 93_1.2.b" xfId="15331" xr:uid="{64D89DEF-80CA-4C5A-B95D-5D106AADB839}"/>
    <cellStyle name="20% - Énfasis5 94" xfId="13030" xr:uid="{E53E4DED-F450-4135-B9F9-7DF1DF72AB43}"/>
    <cellStyle name="20% - Énfasis5 94 2" xfId="17061" xr:uid="{AA3E4E9D-9E9D-4EB2-8B40-C9AAAE8BA18D}"/>
    <cellStyle name="20% - Énfasis5 94_1.2.b" xfId="15332" xr:uid="{645D15F5-6733-4CE8-BD6B-BBEFF8628A8E}"/>
    <cellStyle name="20% - Énfasis5 95" xfId="13031" xr:uid="{4313BF94-FD30-40F9-9569-0273ECA03261}"/>
    <cellStyle name="20% - Énfasis5 95 2" xfId="17062" xr:uid="{DAB8831C-AF2F-4DB8-AE7C-7A28C750A6EF}"/>
    <cellStyle name="20% - Énfasis5 95_1.2.b" xfId="15333" xr:uid="{1C2D3A38-FA24-404C-9A09-AA5CCD91655B}"/>
    <cellStyle name="20% - Énfasis5 96" xfId="13032" xr:uid="{9BFC3F79-B95E-42AB-B8CE-61619EB1E2E3}"/>
    <cellStyle name="20% - Énfasis5 96 2" xfId="17063" xr:uid="{8F3E96D5-8F98-4A57-A02A-0A12F51E2FA9}"/>
    <cellStyle name="20% - Énfasis5 96_1.2.b" xfId="15334" xr:uid="{A43BC663-67B8-4A07-A62C-F2D3B6B1938B}"/>
    <cellStyle name="20% - Énfasis6 10" xfId="9926" xr:uid="{00000000-0005-0000-0000-000092000000}"/>
    <cellStyle name="20% - Énfasis6 10 2" xfId="11663" xr:uid="{00000000-0005-0000-0000-000093000000}"/>
    <cellStyle name="20% - Énfasis6 10 3" xfId="13033" xr:uid="{46C1E15A-4FCD-4755-8445-CB329E061A6D}"/>
    <cellStyle name="20% - Énfasis6 10 4" xfId="17064" xr:uid="{3BABBE71-C28B-438B-840B-57A073331F48}"/>
    <cellStyle name="20% - Énfasis6 10_1.2.b" xfId="15335" xr:uid="{183C8796-1252-470B-8ED0-872AE475D50A}"/>
    <cellStyle name="20% - Énfasis6 11" xfId="10526" xr:uid="{00000000-0005-0000-0000-000094000000}"/>
    <cellStyle name="20% - Énfasis6 11 2" xfId="12261" xr:uid="{00000000-0005-0000-0000-000095000000}"/>
    <cellStyle name="20% - Énfasis6 11 3" xfId="13034" xr:uid="{7B892E59-F4E6-4315-9C9E-2550F0FF0F6E}"/>
    <cellStyle name="20% - Énfasis6 11 4" xfId="17065" xr:uid="{A90BBADC-7F3B-4DD0-AF26-407DBA7E254C}"/>
    <cellStyle name="20% - Énfasis6 11_1.2.b" xfId="15336" xr:uid="{EA48CA75-F551-46CA-A05C-B9ACAB6FAA16}"/>
    <cellStyle name="20% - Énfasis6 12" xfId="10541" xr:uid="{00000000-0005-0000-0000-000096000000}"/>
    <cellStyle name="20% - Énfasis6 12 2" xfId="12276" xr:uid="{00000000-0005-0000-0000-000097000000}"/>
    <cellStyle name="20% - Énfasis6 12 3" xfId="13035" xr:uid="{C0950F78-EC36-4E48-9529-4EDBA1FC1F90}"/>
    <cellStyle name="20% - Énfasis6 12 4" xfId="17066" xr:uid="{F32B7EFC-E519-49C5-A414-1C65AA308B30}"/>
    <cellStyle name="20% - Énfasis6 12_1.2.b" xfId="15337" xr:uid="{99FDB0AC-55EA-43FD-8141-B94E8A671228}"/>
    <cellStyle name="20% - Énfasis6 13" xfId="10588" xr:uid="{00000000-0005-0000-0000-000098000000}"/>
    <cellStyle name="20% - Énfasis6 13 2" xfId="12321" xr:uid="{00000000-0005-0000-0000-000099000000}"/>
    <cellStyle name="20% - Énfasis6 13 3" xfId="13036" xr:uid="{8EF17C4B-E151-4FAA-9374-97DE4EF5891E}"/>
    <cellStyle name="20% - Énfasis6 13 4" xfId="17067" xr:uid="{E3BC2F82-D32F-4A3C-AA0D-A91CA40DCF3E}"/>
    <cellStyle name="20% - Énfasis6 13_1.2.b" xfId="15338" xr:uid="{B349004D-7794-41FE-A0C7-1EA089A14F3F}"/>
    <cellStyle name="20% - Énfasis6 14" xfId="10608" xr:uid="{00000000-0005-0000-0000-00009A000000}"/>
    <cellStyle name="20% - Énfasis6 14 2" xfId="12337" xr:uid="{00000000-0005-0000-0000-00009B000000}"/>
    <cellStyle name="20% - Énfasis6 14 3" xfId="13037" xr:uid="{E9DD7D03-A87A-4900-986E-8AA6D2D9DF9B}"/>
    <cellStyle name="20% - Énfasis6 14 4" xfId="17068" xr:uid="{43A099C1-24A2-4A90-A85F-8ECC4FDC9BED}"/>
    <cellStyle name="20% - Énfasis6 14_1.2.b" xfId="15339" xr:uid="{BE8C6DC5-45DF-4445-83C6-76AFEFA12E87}"/>
    <cellStyle name="20% - Énfasis6 15" xfId="10629" xr:uid="{00000000-0005-0000-0000-00009C000000}"/>
    <cellStyle name="20% - Énfasis6 15 2" xfId="13038" xr:uid="{150F8B77-7AE5-4A74-A4B1-E2DFE0FB7D75}"/>
    <cellStyle name="20% - Énfasis6 15 3" xfId="17069" xr:uid="{900C380E-2B3E-400D-8B5D-6871066736ED}"/>
    <cellStyle name="20% - Énfasis6 15_1.2.b" xfId="15340" xr:uid="{64A486F2-F838-4CD3-8758-601510E8657E}"/>
    <cellStyle name="20% - Énfasis6 16" xfId="12370" xr:uid="{00000000-0005-0000-0000-00009D000000}"/>
    <cellStyle name="20% - Énfasis6 16 2" xfId="13039" xr:uid="{A962015A-D112-4A9D-AEC4-9787164539A1}"/>
    <cellStyle name="20% - Énfasis6 16 3" xfId="17070" xr:uid="{F4EDE696-3327-4081-A1E3-4ECAB3FDB6E1}"/>
    <cellStyle name="20% - Énfasis6 16_1.2.b" xfId="15341" xr:uid="{818EC736-A066-4EEC-BD2C-3E49D9E08F8D}"/>
    <cellStyle name="20% - Énfasis6 17" xfId="12385" xr:uid="{00000000-0005-0000-0000-00009E000000}"/>
    <cellStyle name="20% - Énfasis6 17 2" xfId="13040" xr:uid="{136EC13F-4B02-4A13-B8EF-497A0EF8AE0C}"/>
    <cellStyle name="20% - Énfasis6 17 3" xfId="17071" xr:uid="{479B9AEA-4FA2-44C3-B48C-022AFDE86A86}"/>
    <cellStyle name="20% - Énfasis6 17_1.2.b" xfId="15342" xr:uid="{3E344FB5-9EC2-46A4-A6B8-CEC769B1501F}"/>
    <cellStyle name="20% - Énfasis6 18" xfId="13041" xr:uid="{6889638D-80C5-4B78-8868-6357CD49855D}"/>
    <cellStyle name="20% - Énfasis6 18 2" xfId="17072" xr:uid="{DAB22BB8-E6A3-4EBA-8871-4E71D5B63897}"/>
    <cellStyle name="20% - Énfasis6 18_1.2.b" xfId="15343" xr:uid="{8F74B890-6C77-49C3-B914-D6E661FD7E95}"/>
    <cellStyle name="20% - Énfasis6 19" xfId="13042" xr:uid="{B178EA73-1D1B-49A1-B273-593DB8ACAE94}"/>
    <cellStyle name="20% - Énfasis6 19 2" xfId="17073" xr:uid="{4F136993-315B-43C6-88DF-FDBF411F688D}"/>
    <cellStyle name="20% - Énfasis6 19_1.2.b" xfId="15344" xr:uid="{6838F46D-DCCA-4C28-AC38-4A362C9EC30C}"/>
    <cellStyle name="20% - Énfasis6 2" xfId="156" xr:uid="{00000000-0005-0000-0000-00009F000000}"/>
    <cellStyle name="20% - Énfasis6 2 10" xfId="13044" xr:uid="{26E192B4-1139-43C3-AC12-D3FACE5E69BE}"/>
    <cellStyle name="20% - Énfasis6 2 10 2" xfId="17075" xr:uid="{4B6778C3-0760-4302-9B93-057EF223DF4C}"/>
    <cellStyle name="20% - Énfasis6 2 10_1.2.b" xfId="15346" xr:uid="{7C4FCB9C-1595-46B9-A1F6-18A6C5131145}"/>
    <cellStyle name="20% - Énfasis6 2 11" xfId="13043" xr:uid="{01D90E4E-4A8D-4C2E-B3C5-91658ED5241D}"/>
    <cellStyle name="20% - Énfasis6 2 12" xfId="17074" xr:uid="{4306DFCE-EC9C-433A-9E79-2092170754C7}"/>
    <cellStyle name="20% - Énfasis6 2 13" xfId="17784" xr:uid="{FA069ADC-E1F4-4ECD-909D-63AABD70FBD5}"/>
    <cellStyle name="20% - Énfasis6 2 14" xfId="18221" xr:uid="{E3E582AB-8867-46FB-8014-C54B995D7569}"/>
    <cellStyle name="20% - Énfasis6 2 15" xfId="17785" xr:uid="{5EEBCFD9-9423-4C1D-AACB-EC2D5A674115}"/>
    <cellStyle name="20% - Énfasis6 2 16" xfId="18223" xr:uid="{1F5D372E-779A-452D-8BFE-325A43950611}"/>
    <cellStyle name="20% - Énfasis6 2 2" xfId="10676" xr:uid="{00000000-0005-0000-0000-0000A0000000}"/>
    <cellStyle name="20% - Énfasis6 2 2 2" xfId="13046" xr:uid="{D32DA38B-9750-4FB5-A193-5F02D8622463}"/>
    <cellStyle name="20% - Énfasis6 2 2 3" xfId="13047" xr:uid="{DF2D9BEA-321F-46A4-B0CF-AF5BB19F9978}"/>
    <cellStyle name="20% - Énfasis6 2 2 4" xfId="13048" xr:uid="{C8A6DABD-9B89-4659-81ED-78795D11D175}"/>
    <cellStyle name="20% - Énfasis6 2 2 5" xfId="13049" xr:uid="{7412A05B-E33F-4269-BBE8-A3B8FF01CE46}"/>
    <cellStyle name="20% - Énfasis6 2 2 6" xfId="13045" xr:uid="{D3D2AF14-A5CA-4C28-B38B-461A2006B914}"/>
    <cellStyle name="20% - Énfasis6 2 2 7" xfId="17076" xr:uid="{4F38AD6A-93A7-4DED-9DB4-6506F6B219F0}"/>
    <cellStyle name="20% - Énfasis6 2 2_1.2.b" xfId="15347" xr:uid="{B9FDB65D-F331-4CB1-B175-62DA488F9DC0}"/>
    <cellStyle name="20% - Énfasis6 2 3" xfId="13050" xr:uid="{D3FCE88D-0E63-4815-93BD-F6127F2D0E65}"/>
    <cellStyle name="20% - Énfasis6 2 4" xfId="13051" xr:uid="{3E35CBCA-4BFF-4FCA-BBD2-F16E02E5B50D}"/>
    <cellStyle name="20% - Énfasis6 2 5" xfId="13052" xr:uid="{A3211F1A-047E-4B93-88C7-92BDD1F39F9A}"/>
    <cellStyle name="20% - Énfasis6 2 6" xfId="13053" xr:uid="{CF8E4A51-5CF8-4254-B1CF-83CDD0AA9CC5}"/>
    <cellStyle name="20% - Énfasis6 2 7" xfId="13054" xr:uid="{E506FF1C-90DA-45EF-A535-4706BEFE2028}"/>
    <cellStyle name="20% - Énfasis6 2 8" xfId="13055" xr:uid="{7D3342C0-FF8E-41CA-A3E8-C26E889E22E6}"/>
    <cellStyle name="20% - Énfasis6 2 9" xfId="13056" xr:uid="{54CFB02B-D26D-49A4-8236-676A6130306D}"/>
    <cellStyle name="20% - Énfasis6 2 9 2" xfId="17077" xr:uid="{9FF46D5C-44D4-40FA-A32B-10AA1E64C5C3}"/>
    <cellStyle name="20% - Énfasis6 2 9_1.2.b" xfId="15348" xr:uid="{51EC2CD6-9CC2-40DE-94A0-0407D5DA09FF}"/>
    <cellStyle name="20% - Énfasis6 2_1.2.b" xfId="15345" xr:uid="{1E2B408C-3134-4D86-A844-A58A1818DFFA}"/>
    <cellStyle name="20% - Énfasis6 20" xfId="13057" xr:uid="{9DB8A797-44C8-4D2B-8EA8-9B445B6FE9AC}"/>
    <cellStyle name="20% - Énfasis6 20 2" xfId="17078" xr:uid="{6A932E7D-96F6-49AC-A689-97A6039AE3A4}"/>
    <cellStyle name="20% - Énfasis6 20_1.2.b" xfId="15349" xr:uid="{39250B4A-2737-47D1-A8D9-031D1DFDF2A0}"/>
    <cellStyle name="20% - Énfasis6 21" xfId="13058" xr:uid="{EE1A0F6B-618C-476C-BB46-847241BBF6D7}"/>
    <cellStyle name="20% - Énfasis6 21 2" xfId="17079" xr:uid="{450A9AF5-CEFC-4E99-94CF-213A8E4A6DCA}"/>
    <cellStyle name="20% - Énfasis6 21_1.2.b" xfId="15350" xr:uid="{BB1C45EC-0578-47F2-8CAB-C0357523769E}"/>
    <cellStyle name="20% - Énfasis6 22" xfId="13059" xr:uid="{CA738D9F-58FC-45A3-A02A-9002C5E6045D}"/>
    <cellStyle name="20% - Énfasis6 22 2" xfId="17080" xr:uid="{CCB00DE3-AA5B-4FCC-8333-48C1258530A7}"/>
    <cellStyle name="20% - Énfasis6 22_1.2.b" xfId="15351" xr:uid="{4ECDE3FC-184D-45A0-8796-45EE3B213C00}"/>
    <cellStyle name="20% - Énfasis6 23" xfId="13060" xr:uid="{527FA7BE-0608-4B36-ADBF-8C15B3E5AE4D}"/>
    <cellStyle name="20% - Énfasis6 23 2" xfId="17081" xr:uid="{FF684351-3F71-4967-AA22-FFF6AB0A47DA}"/>
    <cellStyle name="20% - Énfasis6 23_1.2.b" xfId="15352" xr:uid="{302B95AD-D557-45D5-8511-EF03BCAC0322}"/>
    <cellStyle name="20% - Énfasis6 24" xfId="13061" xr:uid="{40CC0512-5F73-43CC-A92B-A413199E0795}"/>
    <cellStyle name="20% - Énfasis6 24 2" xfId="17082" xr:uid="{81F76ED5-424E-4AC8-B423-1F5713C810C0}"/>
    <cellStyle name="20% - Énfasis6 24_1.2.b" xfId="15353" xr:uid="{D2656B62-61AE-4608-951C-AE3BA9DBDEA0}"/>
    <cellStyle name="20% - Énfasis6 25" xfId="13062" xr:uid="{84F54C67-2B97-4D4E-9BE3-47E8D295A979}"/>
    <cellStyle name="20% - Énfasis6 25 2" xfId="17083" xr:uid="{9FB64B42-4458-4E82-8E13-7D25753222EB}"/>
    <cellStyle name="20% - Énfasis6 25_1.2.b" xfId="15354" xr:uid="{5B7CDE9A-7945-4B3F-A000-1E166DBF2B2B}"/>
    <cellStyle name="20% - Énfasis6 26" xfId="13063" xr:uid="{EA047940-4EB7-4F1F-AA4C-98F92B52B73C}"/>
    <cellStyle name="20% - Énfasis6 26 2" xfId="17084" xr:uid="{15011BE4-2014-451E-9C34-17799F9DA06F}"/>
    <cellStyle name="20% - Énfasis6 26_1.2.b" xfId="15355" xr:uid="{50054DC6-F4BE-430D-9D68-1BDDD4611032}"/>
    <cellStyle name="20% - Énfasis6 27" xfId="13064" xr:uid="{7DE745A5-1D5B-46F5-BBC4-FC1564EBF6E9}"/>
    <cellStyle name="20% - Énfasis6 27 2" xfId="17085" xr:uid="{D362DE40-DB08-4EA1-A54D-B82BD934BCD9}"/>
    <cellStyle name="20% - Énfasis6 27_1.2.b" xfId="15356" xr:uid="{6E52F5B6-D38D-4D4B-89D0-CFE218804971}"/>
    <cellStyle name="20% - Énfasis6 28" xfId="13065" xr:uid="{07664506-16DC-4AC8-8525-6B5466132DBC}"/>
    <cellStyle name="20% - Énfasis6 28 2" xfId="17086" xr:uid="{89D2A36E-CEF4-4B3C-8AEA-28142DC31F62}"/>
    <cellStyle name="20% - Énfasis6 28_1.2.b" xfId="15357" xr:uid="{D318C8C1-F101-46CE-BFFC-38D7096962CC}"/>
    <cellStyle name="20% - Énfasis6 29" xfId="13066" xr:uid="{ACE8169A-D09A-414B-914D-FC0DD885A245}"/>
    <cellStyle name="20% - Énfasis6 29 2" xfId="17087" xr:uid="{9FA09EE5-AF74-4449-B26D-E66C03848319}"/>
    <cellStyle name="20% - Énfasis6 29_1.2.b" xfId="15358" xr:uid="{87107674-053C-4ADE-A7B5-9A04F0137225}"/>
    <cellStyle name="20% - Énfasis6 3" xfId="170" xr:uid="{00000000-0005-0000-0000-0000A1000000}"/>
    <cellStyle name="20% - Énfasis6 3 2" xfId="10690" xr:uid="{00000000-0005-0000-0000-0000A2000000}"/>
    <cellStyle name="20% - Énfasis6 3 2 2" xfId="13068" xr:uid="{C22EA201-DC03-41BE-9C57-B575C4B91CFD}"/>
    <cellStyle name="20% - Énfasis6 3 2 3" xfId="17089" xr:uid="{609387DC-48C0-47EB-BCBE-4F766B49648A}"/>
    <cellStyle name="20% - Énfasis6 3 2_1.2.b" xfId="15360" xr:uid="{C6D10A86-513D-4DAD-9946-B0A58B43B5CF}"/>
    <cellStyle name="20% - Énfasis6 3 3" xfId="13069" xr:uid="{0ECAB772-EECE-4F9D-95CE-2190A958C0F0}"/>
    <cellStyle name="20% - Énfasis6 3 4" xfId="13070" xr:uid="{4EA85FFE-3C15-4B64-92D9-CF187A86D738}"/>
    <cellStyle name="20% - Énfasis6 3 5" xfId="13071" xr:uid="{4AB487FD-5C1D-40A3-BE9C-7E4C70C991BC}"/>
    <cellStyle name="20% - Énfasis6 3 6" xfId="13067" xr:uid="{FD380C3B-C7D7-4049-839D-1F1339F4AC13}"/>
    <cellStyle name="20% - Énfasis6 3 7" xfId="17088" xr:uid="{B72E60BB-71AE-474C-917C-A5C76D440E93}"/>
    <cellStyle name="20% - Énfasis6 3_1.2.b" xfId="15359" xr:uid="{699F0B0A-4145-455C-9AC2-22803F76FD5F}"/>
    <cellStyle name="20% - Énfasis6 30" xfId="13072" xr:uid="{6E91BBCF-0EB4-4972-879E-BBBABA70F30F}"/>
    <cellStyle name="20% - Énfasis6 30 2" xfId="17090" xr:uid="{1375D56B-2128-41CA-B744-E3D9C6FF900A}"/>
    <cellStyle name="20% - Énfasis6 30_1.2.b" xfId="15361" xr:uid="{9955C1A2-AC1A-4F54-9EDC-757DAF2CA681}"/>
    <cellStyle name="20% - Énfasis6 31" xfId="13073" xr:uid="{22FD3C8F-F9F7-42A9-8CA5-50A154785200}"/>
    <cellStyle name="20% - Énfasis6 31 2" xfId="17091" xr:uid="{B1192886-B921-4B2C-B5D7-1659B839296F}"/>
    <cellStyle name="20% - Énfasis6 31_1.2.b" xfId="15362" xr:uid="{D783DDD6-02B9-4875-921E-DA397A990C49}"/>
    <cellStyle name="20% - Énfasis6 32" xfId="13074" xr:uid="{FAC4A8E5-0C62-40A1-80C8-3F64B9DCDD1C}"/>
    <cellStyle name="20% - Énfasis6 32 2" xfId="17092" xr:uid="{9E8DB8FE-EC8D-41CE-9C45-44BBAC1BB4C9}"/>
    <cellStyle name="20% - Énfasis6 32_1.2.b" xfId="15363" xr:uid="{C57F7B98-E1CE-49CA-9468-78B28267BCD4}"/>
    <cellStyle name="20% - Énfasis6 33" xfId="13075" xr:uid="{180A22B5-D4B5-4F39-940A-2DF8E1F7C4B0}"/>
    <cellStyle name="20% - Énfasis6 33 2" xfId="17093" xr:uid="{213C1CAF-E746-49EB-A428-30B517651D3D}"/>
    <cellStyle name="20% - Énfasis6 33_1.2.b" xfId="15364" xr:uid="{A08DCABD-81FD-47D2-B3E0-039AF3471C74}"/>
    <cellStyle name="20% - Énfasis6 34" xfId="13076" xr:uid="{70C61627-6649-4358-9BA2-E5A347E990BC}"/>
    <cellStyle name="20% - Énfasis6 34 2" xfId="17094" xr:uid="{A7058D0E-69D7-4DEA-B42D-02F3E7245E4B}"/>
    <cellStyle name="20% - Énfasis6 34_1.2.b" xfId="15365" xr:uid="{04D3BED6-B293-4F9D-81E1-771B7AC06B86}"/>
    <cellStyle name="20% - Énfasis6 35" xfId="13077" xr:uid="{2DC3FE83-59F8-4ABE-9108-17427C547AC0}"/>
    <cellStyle name="20% - Énfasis6 35 2" xfId="17095" xr:uid="{21C3E367-D749-4DAA-9DFF-57526A0E71D0}"/>
    <cellStyle name="20% - Énfasis6 35_1.2.b" xfId="15366" xr:uid="{9C187AB9-7B38-4221-864E-F846783AF628}"/>
    <cellStyle name="20% - Énfasis6 36" xfId="13078" xr:uid="{73D8B2CF-144A-46EB-AAD2-B36159A97F58}"/>
    <cellStyle name="20% - Énfasis6 36 2" xfId="17096" xr:uid="{E80C1E1C-0D9A-4456-90D4-A595E6D80317}"/>
    <cellStyle name="20% - Énfasis6 36_1.2.b" xfId="15367" xr:uid="{3DE05F2A-781A-46D7-9DDE-3952DC4022B1}"/>
    <cellStyle name="20% - Énfasis6 37" xfId="13079" xr:uid="{6EDCBE3A-5DA3-4CD5-A22F-3D587425479D}"/>
    <cellStyle name="20% - Énfasis6 37 2" xfId="17097" xr:uid="{227126E9-99C8-46A8-BC85-CBD493886406}"/>
    <cellStyle name="20% - Énfasis6 37_1.2.b" xfId="15368" xr:uid="{1C8BE595-95BF-496B-AEF2-59C6AB86ED51}"/>
    <cellStyle name="20% - Énfasis6 38" xfId="13080" xr:uid="{2629423D-ABF6-4EFC-BDFC-18534784BAE8}"/>
    <cellStyle name="20% - Énfasis6 38 2" xfId="17098" xr:uid="{BF3D6861-FAD0-479A-9755-3F7DCD0142F2}"/>
    <cellStyle name="20% - Énfasis6 38_1.2.b" xfId="15369" xr:uid="{5B4D6964-92BF-4E9A-83FE-0F8B3ACAD804}"/>
    <cellStyle name="20% - Énfasis6 39" xfId="13081" xr:uid="{92D5EC49-CFFF-40AC-8872-0EF883FCB2BF}"/>
    <cellStyle name="20% - Énfasis6 39 2" xfId="17099" xr:uid="{76162566-5197-44DD-8F90-B5379FC61AAA}"/>
    <cellStyle name="20% - Énfasis6 39_1.2.b" xfId="15370" xr:uid="{D84F7A23-514D-4AEC-9D54-11F47F3596A1}"/>
    <cellStyle name="20% - Énfasis6 4" xfId="184" xr:uid="{00000000-0005-0000-0000-0000A3000000}"/>
    <cellStyle name="20% - Énfasis6 4 2" xfId="10704" xr:uid="{00000000-0005-0000-0000-0000A4000000}"/>
    <cellStyle name="20% - Énfasis6 4 2 2" xfId="13083" xr:uid="{5326F04C-B7CE-40BC-AEDC-849037A7038B}"/>
    <cellStyle name="20% - Énfasis6 4 2_1.2.b" xfId="15372" xr:uid="{B30CDA8B-33FC-4D49-8B08-86F42D80D6A8}"/>
    <cellStyle name="20% - Énfasis6 4 3" xfId="13082" xr:uid="{83879F0B-5BE5-49B3-A72F-B13D21E4852C}"/>
    <cellStyle name="20% - Énfasis6 4 4" xfId="17100" xr:uid="{5CD618FA-4739-4208-8A4B-EFB2874070DD}"/>
    <cellStyle name="20% - Énfasis6 4 5" xfId="17780" xr:uid="{0FF1772D-77FC-40B5-B79C-44167CEAA043}"/>
    <cellStyle name="20% - Énfasis6 4 6" xfId="18219" xr:uid="{0D0BFAAB-0118-48A9-91D4-75C32494293A}"/>
    <cellStyle name="20% - Énfasis6 4 7" xfId="17782" xr:uid="{935CC57C-73FA-4C21-8EB5-951ADF2E2961}"/>
    <cellStyle name="20% - Énfasis6 4 8" xfId="18220" xr:uid="{023D28D3-4AED-4193-A910-37F7012FC2A7}"/>
    <cellStyle name="20% - Énfasis6 4_1.2.b" xfId="15371" xr:uid="{56033473-67F6-42B1-9D55-1C826D80E666}"/>
    <cellStyle name="20% - Énfasis6 40" xfId="13084" xr:uid="{2D71A80B-BBAC-4734-B094-13F51F440F93}"/>
    <cellStyle name="20% - Énfasis6 40 2" xfId="17101" xr:uid="{8FAA9C29-690B-4D49-84D9-D31512E9044D}"/>
    <cellStyle name="20% - Énfasis6 40_1.2.b" xfId="15373" xr:uid="{C2BBBBE5-BB9F-46DC-A795-CC3A20ED7A96}"/>
    <cellStyle name="20% - Énfasis6 41" xfId="13085" xr:uid="{05FAF120-843A-4136-BD6D-8A91736B5861}"/>
    <cellStyle name="20% - Énfasis6 41 2" xfId="17102" xr:uid="{1F9E8D37-895A-45D4-9D6E-5580DF7CAAB1}"/>
    <cellStyle name="20% - Énfasis6 41_1.2.b" xfId="15374" xr:uid="{9D5A14EC-1D5B-4061-B933-6E78C8EC7A1A}"/>
    <cellStyle name="20% - Énfasis6 42" xfId="13086" xr:uid="{36983A0D-D697-4B0A-B664-3559E286BA60}"/>
    <cellStyle name="20% - Énfasis6 42 2" xfId="17103" xr:uid="{1499248E-AD88-4B6D-98E0-350A23442D0B}"/>
    <cellStyle name="20% - Énfasis6 42_1.2.b" xfId="15375" xr:uid="{726B3683-C144-469A-98C9-269E6E500CAC}"/>
    <cellStyle name="20% - Énfasis6 43" xfId="13087" xr:uid="{DB54754F-65F8-483B-BF45-7AD2802CA81E}"/>
    <cellStyle name="20% - Énfasis6 43 2" xfId="17104" xr:uid="{526F7BFE-6D62-4AF0-9ECC-40431CCEAAA0}"/>
    <cellStyle name="20% - Énfasis6 43_1.2.b" xfId="15376" xr:uid="{0F495BCA-506F-4E22-8DD2-1545E6832295}"/>
    <cellStyle name="20% - Énfasis6 44" xfId="13088" xr:uid="{CA547426-9572-48AB-A2C3-F0A2B2D34F81}"/>
    <cellStyle name="20% - Énfasis6 44 2" xfId="17105" xr:uid="{7621E724-F200-422C-BF29-245A0D5158DB}"/>
    <cellStyle name="20% - Énfasis6 44_1.2.b" xfId="15377" xr:uid="{85C383C2-224D-4213-95F1-4F133122AFE8}"/>
    <cellStyle name="20% - Énfasis6 45" xfId="13089" xr:uid="{473DD2ED-BEA0-43A9-9429-77C8B5919A74}"/>
    <cellStyle name="20% - Énfasis6 45 2" xfId="17106" xr:uid="{C5F1D4F0-B67E-40D8-94D6-AC95CC0F17E3}"/>
    <cellStyle name="20% - Énfasis6 45_1.2.b" xfId="15378" xr:uid="{7CD51566-CD87-4D40-84A4-FEF3BE170C62}"/>
    <cellStyle name="20% - Énfasis6 46" xfId="13090" xr:uid="{6A0E86A9-E703-4409-85D2-EF8FBBF8CF1A}"/>
    <cellStyle name="20% - Énfasis6 46 2" xfId="17107" xr:uid="{A12B248E-27FF-46BD-98C9-430632C052C4}"/>
    <cellStyle name="20% - Énfasis6 46_1.2.b" xfId="15379" xr:uid="{1FEF44E1-56B3-4CF5-8E26-8BA26BCF735C}"/>
    <cellStyle name="20% - Énfasis6 47" xfId="13091" xr:uid="{25E161CB-A0EF-497C-95E9-F6AD57596B6A}"/>
    <cellStyle name="20% - Énfasis6 47 2" xfId="17108" xr:uid="{41F0AB45-E15E-4374-83B3-8F8D5CF054B5}"/>
    <cellStyle name="20% - Énfasis6 47_1.2.b" xfId="15380" xr:uid="{99B290C6-562F-4A93-BC9F-47C54FE7EBD1}"/>
    <cellStyle name="20% - Énfasis6 48" xfId="13092" xr:uid="{B5CD7405-6A56-471D-B5C2-DA22916DB71A}"/>
    <cellStyle name="20% - Énfasis6 48 2" xfId="17109" xr:uid="{F32749E5-C300-4DA7-8E31-20EDD63069BD}"/>
    <cellStyle name="20% - Énfasis6 48_1.2.b" xfId="15381" xr:uid="{9D370EE5-6E8B-46FC-B70E-1B28AF683146}"/>
    <cellStyle name="20% - Énfasis6 49" xfId="13093" xr:uid="{2F8491A6-6C7B-49A2-BFD1-15A94F939D3F}"/>
    <cellStyle name="20% - Énfasis6 49 2" xfId="17110" xr:uid="{11DA586C-6777-4A15-AC3F-937C2C6BB364}"/>
    <cellStyle name="20% - Énfasis6 49_1.2.b" xfId="15382" xr:uid="{8CF3D293-8722-479C-9B30-808EBE111706}"/>
    <cellStyle name="20% - Énfasis6 5" xfId="199" xr:uid="{00000000-0005-0000-0000-0000A5000000}"/>
    <cellStyle name="20% - Énfasis6 5 2" xfId="10719" xr:uid="{00000000-0005-0000-0000-0000A6000000}"/>
    <cellStyle name="20% - Énfasis6 5 3" xfId="13094" xr:uid="{94570253-9862-4D4F-A45D-002FD9FAF3D4}"/>
    <cellStyle name="20% - Énfasis6 5 4" xfId="17111" xr:uid="{9307E9AD-551F-4423-B9AB-3DEE309FBB1E}"/>
    <cellStyle name="20% - Énfasis6 5_1.2.b" xfId="15383" xr:uid="{A6676E98-A39E-4B22-8246-FF78097BFAA4}"/>
    <cellStyle name="20% - Énfasis6 50" xfId="13095" xr:uid="{3DCAC4E4-5706-498B-BE67-0E13B2441B9E}"/>
    <cellStyle name="20% - Énfasis6 50 2" xfId="17112" xr:uid="{04B03948-155C-455D-B447-54B5EC0133FF}"/>
    <cellStyle name="20% - Énfasis6 50_1.2.b" xfId="15384" xr:uid="{E1ACBE12-3BA5-49E7-B8EF-56C95262D6A0}"/>
    <cellStyle name="20% - Énfasis6 51" xfId="13096" xr:uid="{1300E533-E13E-455B-AA1E-812993E7651D}"/>
    <cellStyle name="20% - Énfasis6 51 2" xfId="17113" xr:uid="{CE7B7117-FD46-4F1C-A14B-23FCC5359C54}"/>
    <cellStyle name="20% - Énfasis6 51_1.2.b" xfId="15385" xr:uid="{110179CF-9AF8-4BC3-8B3C-BDCE39AC2856}"/>
    <cellStyle name="20% - Énfasis6 52" xfId="13097" xr:uid="{6718BCB4-0F73-4EFF-855D-94503F7F83E7}"/>
    <cellStyle name="20% - Énfasis6 52 2" xfId="17114" xr:uid="{C36978CE-CF0B-455E-87DB-EE1EC9732FE0}"/>
    <cellStyle name="20% - Énfasis6 52_1.2.b" xfId="15386" xr:uid="{A9A569FE-0839-4ADB-A043-7137EFF16399}"/>
    <cellStyle name="20% - Énfasis6 53" xfId="13098" xr:uid="{E6840AC5-80A3-4B1D-A508-5F146413FEED}"/>
    <cellStyle name="20% - Énfasis6 53 2" xfId="17115" xr:uid="{2BDEDC88-FEAB-478F-8B87-CFFA987BDD2F}"/>
    <cellStyle name="20% - Énfasis6 53_1.2.b" xfId="15387" xr:uid="{E53E3C2A-40EB-402E-8C0F-45C865DB664B}"/>
    <cellStyle name="20% - Énfasis6 54" xfId="13099" xr:uid="{4F910500-ACB3-4BAA-9105-CBA6789B8584}"/>
    <cellStyle name="20% - Énfasis6 54 2" xfId="17116" xr:uid="{3F7F1AA3-887C-4DF9-AC1A-07EC5CE58931}"/>
    <cellStyle name="20% - Énfasis6 54_1.2.b" xfId="15388" xr:uid="{F3BC2BC3-DCC5-4455-88A2-F1205EA17538}"/>
    <cellStyle name="20% - Énfasis6 55" xfId="13100" xr:uid="{C947852A-B8AD-48EE-ADAA-ECDA541E4A38}"/>
    <cellStyle name="20% - Énfasis6 55 2" xfId="17117" xr:uid="{FFE1089E-C852-48A8-98F1-C1CA5BC815A7}"/>
    <cellStyle name="20% - Énfasis6 55_1.2.b" xfId="15389" xr:uid="{9B23D7B1-7448-434B-9858-843E0507C5E9}"/>
    <cellStyle name="20% - Énfasis6 56" xfId="13101" xr:uid="{21DD7785-35F8-412D-8B34-F004FEFFF8AA}"/>
    <cellStyle name="20% - Énfasis6 56 2" xfId="17118" xr:uid="{ADAF9632-5E3D-4195-889A-71730D318D20}"/>
    <cellStyle name="20% - Énfasis6 56_1.2.b" xfId="15390" xr:uid="{A0A7F495-EB7E-45E3-9D70-B64274AFF889}"/>
    <cellStyle name="20% - Énfasis6 57" xfId="13102" xr:uid="{6F84CF39-E7A6-498F-AE66-573494237EA6}"/>
    <cellStyle name="20% - Énfasis6 57 2" xfId="17119" xr:uid="{121CBC97-F6A4-4729-BCBC-D91E9D22B45E}"/>
    <cellStyle name="20% - Énfasis6 57_1.2.b" xfId="15391" xr:uid="{E904CE15-AF15-4C96-A084-898B3693D312}"/>
    <cellStyle name="20% - Énfasis6 58" xfId="13103" xr:uid="{00099F4D-C602-4A6C-A591-EE4A8FA2665A}"/>
    <cellStyle name="20% - Énfasis6 58 2" xfId="17120" xr:uid="{063A82E8-A86E-4510-B1E1-009A4423E6E3}"/>
    <cellStyle name="20% - Énfasis6 58_1.2.b" xfId="15392" xr:uid="{7D6ABA41-9C5B-4F96-B667-79FB99FAA8D7}"/>
    <cellStyle name="20% - Énfasis6 59" xfId="13104" xr:uid="{F78F569E-33EC-4D37-BEF1-2530B9D68818}"/>
    <cellStyle name="20% - Énfasis6 59 2" xfId="17121" xr:uid="{185FCA6A-70C4-4776-AF06-3AAF13F580A7}"/>
    <cellStyle name="20% - Énfasis6 59_1.2.b" xfId="15393" xr:uid="{8699DD51-A2A1-461A-98F1-6EC5E02D4598}"/>
    <cellStyle name="20% - Énfasis6 6" xfId="213" xr:uid="{00000000-0005-0000-0000-0000A7000000}"/>
    <cellStyle name="20% - Énfasis6 6 2" xfId="10733" xr:uid="{00000000-0005-0000-0000-0000A8000000}"/>
    <cellStyle name="20% - Énfasis6 6 3" xfId="13105" xr:uid="{C49E8D7B-DA1C-4B56-BEE0-FCC1D3E03852}"/>
    <cellStyle name="20% - Énfasis6 6 4" xfId="17122" xr:uid="{02298907-5DB1-44A7-AC31-12D85E14E6D9}"/>
    <cellStyle name="20% - Énfasis6 6_1.2.b" xfId="15394" xr:uid="{AF0594AC-AB97-4F51-AC2E-C80F37BA5415}"/>
    <cellStyle name="20% - Énfasis6 60" xfId="13106" xr:uid="{542815D6-F6ED-4A5F-9AC7-9A633B58C2DF}"/>
    <cellStyle name="20% - Énfasis6 60 2" xfId="17123" xr:uid="{4427562A-0CA7-46D9-91FC-AA2C155FBFD2}"/>
    <cellStyle name="20% - Énfasis6 60_1.2.b" xfId="15395" xr:uid="{1ED12263-0E33-45C7-9DC1-275393F54D85}"/>
    <cellStyle name="20% - Énfasis6 61" xfId="13107" xr:uid="{779FD73E-A245-4965-9C82-CD21E239D686}"/>
    <cellStyle name="20% - Énfasis6 61 2" xfId="17124" xr:uid="{E77E549C-1F70-410B-AF65-AEA0B7631053}"/>
    <cellStyle name="20% - Énfasis6 61_1.2.b" xfId="15396" xr:uid="{C87B826F-5736-4E67-9A3D-D24C6DF65AD9}"/>
    <cellStyle name="20% - Énfasis6 62" xfId="13108" xr:uid="{FD00F011-5D4B-4BBC-8687-65E4B33FC7B1}"/>
    <cellStyle name="20% - Énfasis6 62 2" xfId="17125" xr:uid="{D9FC27D0-C6C0-4D33-B32B-00C09743B0CE}"/>
    <cellStyle name="20% - Énfasis6 62_1.2.b" xfId="15397" xr:uid="{EE0F9D44-DD9C-4D9C-B53E-EA25C1E4DAB9}"/>
    <cellStyle name="20% - Énfasis6 63" xfId="13109" xr:uid="{59D6381F-0EF5-44BD-BF9D-4C93CD22F9FB}"/>
    <cellStyle name="20% - Énfasis6 63 2" xfId="17126" xr:uid="{4C142EB8-B7AA-4E70-A611-B61B28C58B36}"/>
    <cellStyle name="20% - Énfasis6 63_1.2.b" xfId="15398" xr:uid="{1776C978-0DC9-467B-A763-B3822615B12A}"/>
    <cellStyle name="20% - Énfasis6 64" xfId="13110" xr:uid="{5C32773E-1A3D-4618-8ACB-C7497459EF8B}"/>
    <cellStyle name="20% - Énfasis6 64 2" xfId="17127" xr:uid="{FA7DE7A8-F814-4950-970D-916FEA174EAF}"/>
    <cellStyle name="20% - Énfasis6 64_1.2.b" xfId="15399" xr:uid="{7E7F7282-B79B-4F74-9A31-4C03AF4FD422}"/>
    <cellStyle name="20% - Énfasis6 65" xfId="13111" xr:uid="{39E4CB22-4A8D-4F93-95F5-BABE74959999}"/>
    <cellStyle name="20% - Énfasis6 65 2" xfId="17128" xr:uid="{5D927A44-7B14-4815-BC1E-591334A8DDBE}"/>
    <cellStyle name="20% - Énfasis6 65_1.2.b" xfId="15400" xr:uid="{3AADE528-CDA5-46B6-990B-6D7E57730769}"/>
    <cellStyle name="20% - Énfasis6 66" xfId="13112" xr:uid="{28EEB1F2-B0B8-4286-BD25-99AB733AC52A}"/>
    <cellStyle name="20% - Énfasis6 66 2" xfId="17129" xr:uid="{0FF5D15B-A741-4E9E-B5D7-F1EF2817BE79}"/>
    <cellStyle name="20% - Énfasis6 66_1.2.b" xfId="15401" xr:uid="{8F18520C-8A30-4A6C-8CF4-1E6433C654D0}"/>
    <cellStyle name="20% - Énfasis6 67" xfId="13113" xr:uid="{DC0CDF3C-547A-441F-AF3E-1EDC3CE4CDAB}"/>
    <cellStyle name="20% - Énfasis6 67 2" xfId="17130" xr:uid="{2691E7FC-FF7F-45EA-B780-43EC4DA95F7B}"/>
    <cellStyle name="20% - Énfasis6 67_1.2.b" xfId="15402" xr:uid="{60B81A8C-5624-49F7-BA1E-1CA68AEF63EA}"/>
    <cellStyle name="20% - Énfasis6 68" xfId="13114" xr:uid="{DB11147B-B453-4AFF-8D6A-74C3896ED6C3}"/>
    <cellStyle name="20% - Énfasis6 68 2" xfId="17131" xr:uid="{A170010A-6BF2-4B88-9D48-9C126BFBA554}"/>
    <cellStyle name="20% - Énfasis6 68_1.2.b" xfId="15403" xr:uid="{BCD34E8D-3FE4-43F6-8D08-DD71BD493F78}"/>
    <cellStyle name="20% - Énfasis6 69" xfId="13115" xr:uid="{C4226C28-B0BB-468E-A716-AB0DBCF95997}"/>
    <cellStyle name="20% - Énfasis6 69 2" xfId="17132" xr:uid="{188FC8FB-8C14-4F1C-8ECF-76E28F8E6FC7}"/>
    <cellStyle name="20% - Énfasis6 69_1.2.b" xfId="15404" xr:uid="{2A7ECAF9-08FF-4958-B90D-640B7E5E6DF4}"/>
    <cellStyle name="20% - Énfasis6 7" xfId="9837" xr:uid="{00000000-0005-0000-0000-0000A9000000}"/>
    <cellStyle name="20% - Énfasis6 7 2" xfId="11623" xr:uid="{00000000-0005-0000-0000-0000AA000000}"/>
    <cellStyle name="20% - Énfasis6 7 3" xfId="13116" xr:uid="{D8958FFD-019D-41CF-9C9A-4394D3728EA0}"/>
    <cellStyle name="20% - Énfasis6 7 4" xfId="17133" xr:uid="{64A3BD51-300E-4005-9CE6-8CD5090FAB61}"/>
    <cellStyle name="20% - Énfasis6 7_1.2.b" xfId="15405" xr:uid="{3380E1CC-FB28-4D57-A26F-E1B7AF363D5F}"/>
    <cellStyle name="20% - Énfasis6 70" xfId="13117" xr:uid="{F8D8046F-0BC6-4BE3-A93C-ECD887CEA40C}"/>
    <cellStyle name="20% - Énfasis6 70 2" xfId="17134" xr:uid="{E2269D75-B9B3-41DE-A497-81418E21CDD0}"/>
    <cellStyle name="20% - Énfasis6 70_1.2.b" xfId="15406" xr:uid="{53CDCC37-0F4B-4B9E-AE4E-CF3FD46D0D25}"/>
    <cellStyle name="20% - Énfasis6 71" xfId="13118" xr:uid="{71EE2B15-8F6F-475F-9240-2C8454C49101}"/>
    <cellStyle name="20% - Énfasis6 71 2" xfId="17135" xr:uid="{74C59E46-E90B-4BEF-8CBD-CB220B148B9A}"/>
    <cellStyle name="20% - Énfasis6 71_1.2.b" xfId="15407" xr:uid="{C3E1DEB3-79C6-4533-83AF-48E085458FA5}"/>
    <cellStyle name="20% - Énfasis6 72" xfId="13119" xr:uid="{23D70130-D979-4A55-946E-53D759BCFD0F}"/>
    <cellStyle name="20% - Énfasis6 72 2" xfId="17136" xr:uid="{41EE7194-5144-4E00-A7C3-6A74C44EA68A}"/>
    <cellStyle name="20% - Énfasis6 72_1.2.b" xfId="15408" xr:uid="{E29FC573-D1D3-43B0-AC26-4BDC555DC810}"/>
    <cellStyle name="20% - Énfasis6 73" xfId="13120" xr:uid="{AFF7DFF7-31E4-4185-BD9D-EFA68094AEB9}"/>
    <cellStyle name="20% - Énfasis6 73 2" xfId="17137" xr:uid="{C03ECF4B-3850-44AF-A7F4-A603E3549541}"/>
    <cellStyle name="20% - Énfasis6 73_1.2.b" xfId="15409" xr:uid="{D0429771-6925-4CEB-922A-CDDBA6B5BAEE}"/>
    <cellStyle name="20% - Énfasis6 74" xfId="13121" xr:uid="{8DF2E70F-250C-47D1-B157-B437E7D1BBF5}"/>
    <cellStyle name="20% - Énfasis6 74 2" xfId="17138" xr:uid="{B2D463D8-FE15-464A-8CBB-AFE6BC955C8A}"/>
    <cellStyle name="20% - Énfasis6 74_1.2.b" xfId="15410" xr:uid="{51D0793F-2730-454A-BB34-FE3CFC681521}"/>
    <cellStyle name="20% - Énfasis6 75" xfId="13122" xr:uid="{FE175694-9835-428A-ABA4-9D47EE862C58}"/>
    <cellStyle name="20% - Énfasis6 75 2" xfId="17139" xr:uid="{0ADB47DB-6E74-4F44-A403-06E3A0F81205}"/>
    <cellStyle name="20% - Énfasis6 75_1.2.b" xfId="15411" xr:uid="{5DEDF6BD-0F29-4DF7-A262-4B8241D105EA}"/>
    <cellStyle name="20% - Énfasis6 76" xfId="13123" xr:uid="{D2B71989-EE6F-4852-ADDF-9E80F8803E2F}"/>
    <cellStyle name="20% - Énfasis6 76 2" xfId="17140" xr:uid="{AC2078C8-08F3-4C9F-9E63-8485AF0D6746}"/>
    <cellStyle name="20% - Énfasis6 76_1.2.b" xfId="15412" xr:uid="{83F25782-C7A6-47A6-ACFE-908D373F1BD5}"/>
    <cellStyle name="20% - Énfasis6 77" xfId="13124" xr:uid="{8B9ECCB6-094A-45E6-93A9-09C4A40459D5}"/>
    <cellStyle name="20% - Énfasis6 77 2" xfId="17141" xr:uid="{3247149F-5233-480D-9636-B3DEBF217A8A}"/>
    <cellStyle name="20% - Énfasis6 77_1.2.b" xfId="15413" xr:uid="{97C53C51-796F-4091-80E6-97F8DDF3FBD4}"/>
    <cellStyle name="20% - Énfasis6 78" xfId="13125" xr:uid="{B16D92C8-97C0-4E79-8821-077A99B6D856}"/>
    <cellStyle name="20% - Énfasis6 78 2" xfId="17142" xr:uid="{54B1ECC5-7712-4DEE-866D-2D985BDE1D19}"/>
    <cellStyle name="20% - Énfasis6 78_1.2.b" xfId="15414" xr:uid="{CD497AC1-0724-468C-95B7-B76D65442146}"/>
    <cellStyle name="20% - Énfasis6 79" xfId="13126" xr:uid="{1E855366-16CE-47A0-907C-EB67DC1B3095}"/>
    <cellStyle name="20% - Énfasis6 79 2" xfId="17143" xr:uid="{8F55FFF3-8AAC-4E28-9A98-44DA349ACE81}"/>
    <cellStyle name="20% - Énfasis6 79_1.2.b" xfId="15415" xr:uid="{9FAF8472-C668-4CDF-8159-2F4C44198495}"/>
    <cellStyle name="20% - Énfasis6 8" xfId="9856" xr:uid="{00000000-0005-0000-0000-0000AB000000}"/>
    <cellStyle name="20% - Énfasis6 8 2" xfId="11641" xr:uid="{00000000-0005-0000-0000-0000AC000000}"/>
    <cellStyle name="20% - Énfasis6 8 3" xfId="13127" xr:uid="{CAF90FB7-6AE3-40AA-81FE-2E64BEEFC8B4}"/>
    <cellStyle name="20% - Énfasis6 8 4" xfId="17144" xr:uid="{DF62E22C-E12C-45A6-9109-B7D5880E35E9}"/>
    <cellStyle name="20% - Énfasis6 8_1.2.b" xfId="15416" xr:uid="{DF7E0E31-4039-4794-A8C2-8B2A9859FD38}"/>
    <cellStyle name="20% - Énfasis6 80" xfId="13128" xr:uid="{66BCA5E7-CE94-48D7-A8C8-7566635DE348}"/>
    <cellStyle name="20% - Énfasis6 80 2" xfId="17145" xr:uid="{DA6C7B49-469B-4436-BE6D-DEA51452AD63}"/>
    <cellStyle name="20% - Énfasis6 80_1.2.b" xfId="15417" xr:uid="{BBAF465E-3316-433F-B225-9F5B7BE4BF37}"/>
    <cellStyle name="20% - Énfasis6 81" xfId="13129" xr:uid="{BE0A092A-3742-4ADB-9328-F344B0C2F540}"/>
    <cellStyle name="20% - Énfasis6 81 2" xfId="17146" xr:uid="{0B717CD6-E752-435B-8184-0BAEEB8BB55D}"/>
    <cellStyle name="20% - Énfasis6 81_1.2.b" xfId="15418" xr:uid="{343027E7-2CEB-4A34-8F08-629B1A4BFBB4}"/>
    <cellStyle name="20% - Énfasis6 82" xfId="13130" xr:uid="{30129D6C-4D5F-404A-9ED9-B14FF23027B4}"/>
    <cellStyle name="20% - Énfasis6 82 2" xfId="17147" xr:uid="{CF328596-8741-4B2F-A8D7-52607F9BA6C3}"/>
    <cellStyle name="20% - Énfasis6 82_1.2.b" xfId="15419" xr:uid="{5F75A95A-5E48-476A-9B7F-C8F451F152D7}"/>
    <cellStyle name="20% - Énfasis6 83" xfId="13131" xr:uid="{2405F2FB-F5CA-421B-875B-962E36F16DFB}"/>
    <cellStyle name="20% - Énfasis6 83 2" xfId="17148" xr:uid="{C82604A1-FC19-4B21-955C-49C556C01BCA}"/>
    <cellStyle name="20% - Énfasis6 83_1.2.b" xfId="15420" xr:uid="{312794C5-C269-45D9-AEF5-E2426C69E9AB}"/>
    <cellStyle name="20% - Énfasis6 84" xfId="13132" xr:uid="{861DC23F-F8A6-4DB9-8880-2E24D6FF092D}"/>
    <cellStyle name="20% - Énfasis6 84 2" xfId="17149" xr:uid="{AFED7AFD-A164-484C-89E5-92C5D26E7C0E}"/>
    <cellStyle name="20% - Énfasis6 84_1.2.b" xfId="15421" xr:uid="{6A1F7164-C627-4650-80A8-8FD780762C17}"/>
    <cellStyle name="20% - Énfasis6 85" xfId="13133" xr:uid="{CD0797B2-80C5-4E5F-8B3E-36E97C9E797B}"/>
    <cellStyle name="20% - Énfasis6 85 2" xfId="17150" xr:uid="{DBAB21CE-2485-4BBE-A7F5-B9BD9F6A608B}"/>
    <cellStyle name="20% - Énfasis6 85_1.2.b" xfId="15422" xr:uid="{9BBB4E01-58B3-49EF-AA76-BD97ABAD4542}"/>
    <cellStyle name="20% - Énfasis6 86" xfId="13134" xr:uid="{07AE94D2-3E5D-4FC1-AC56-2A9E14A0D12F}"/>
    <cellStyle name="20% - Énfasis6 86 2" xfId="17151" xr:uid="{B548D095-D42F-4AD6-B6FD-4F0CB94A476D}"/>
    <cellStyle name="20% - Énfasis6 86_1.2.b" xfId="15423" xr:uid="{57618827-E5AB-4B8B-BCD6-9B815D9EC27E}"/>
    <cellStyle name="20% - Énfasis6 87" xfId="13135" xr:uid="{5B0E92D8-B132-4FD9-9E14-E3CC4BF150F3}"/>
    <cellStyle name="20% - Énfasis6 87 2" xfId="17152" xr:uid="{00624E35-EF57-443F-9ACB-C9959590F7AC}"/>
    <cellStyle name="20% - Énfasis6 87_1.2.b" xfId="15424" xr:uid="{B5CFA971-475A-468D-B077-E8D926BEAFB2}"/>
    <cellStyle name="20% - Énfasis6 88" xfId="13136" xr:uid="{F282D00C-22FF-465E-BEF8-65BBF707B5BC}"/>
    <cellStyle name="20% - Énfasis6 88 2" xfId="17153" xr:uid="{893E4B79-4411-44CE-89D2-AAFED4850B34}"/>
    <cellStyle name="20% - Énfasis6 88_1.2.b" xfId="15425" xr:uid="{1107A53C-60A4-4882-B2B7-C5429382E392}"/>
    <cellStyle name="20% - Énfasis6 89" xfId="13137" xr:uid="{7972099B-B18A-48CC-972D-B28A7DA02C7E}"/>
    <cellStyle name="20% - Énfasis6 89 2" xfId="17154" xr:uid="{51584409-DA51-4F5E-86CE-4095320B01BD}"/>
    <cellStyle name="20% - Énfasis6 89_1.2.b" xfId="15426" xr:uid="{FE0E3994-5EC8-4479-A604-4A2A38EB20D9}"/>
    <cellStyle name="20% - Énfasis6 9" xfId="9870" xr:uid="{00000000-0005-0000-0000-0000AD000000}"/>
    <cellStyle name="20% - Énfasis6 9 2" xfId="13138" xr:uid="{3D55D80C-6795-41DB-B932-C88D254F91CE}"/>
    <cellStyle name="20% - Énfasis6 9 3" xfId="17155" xr:uid="{C8FBEC7E-D2EE-4A12-8DE7-88194AB1CC22}"/>
    <cellStyle name="20% - Énfasis6 9_1.2.b" xfId="15427" xr:uid="{167D041F-72EC-4669-BD0F-4D5582E7B3AF}"/>
    <cellStyle name="20% - Énfasis6 90" xfId="13139" xr:uid="{75101567-9861-49DC-922C-EB0F3774C786}"/>
    <cellStyle name="20% - Énfasis6 90 2" xfId="17156" xr:uid="{29534041-C9DD-461F-887A-B6676A9DBCA8}"/>
    <cellStyle name="20% - Énfasis6 90_1.2.b" xfId="15428" xr:uid="{2826569E-88AE-48FC-9921-DEEAD0EC470C}"/>
    <cellStyle name="20% - Énfasis6 91" xfId="13140" xr:uid="{3C155BCF-7263-4DD7-AE1B-1E1EAB76D639}"/>
    <cellStyle name="20% - Énfasis6 91 2" xfId="17157" xr:uid="{75417CBC-4682-4E1E-8E21-9DDE248CCE00}"/>
    <cellStyle name="20% - Énfasis6 91_1.2.b" xfId="15429" xr:uid="{13F91F4C-8E67-4A1C-AE90-E3CDEDB4E0FD}"/>
    <cellStyle name="20% - Énfasis6 92" xfId="13141" xr:uid="{8D0F5226-D44F-4836-AF6D-612D5AC169DE}"/>
    <cellStyle name="20% - Énfasis6 92 2" xfId="17158" xr:uid="{931D0D53-FEB2-4BD5-8F73-B8ED4C4EE0FB}"/>
    <cellStyle name="20% - Énfasis6 92_1.2.b" xfId="15430" xr:uid="{E6727662-40DD-4FDA-9BFD-A40BD5D44866}"/>
    <cellStyle name="20% - Énfasis6 93" xfId="13142" xr:uid="{6817211A-F563-4708-A57F-AA5A891BE9EC}"/>
    <cellStyle name="20% - Énfasis6 93 2" xfId="17159" xr:uid="{4657AE32-4D73-4829-8FAA-D7DF89DA950C}"/>
    <cellStyle name="20% - Énfasis6 93_1.2.b" xfId="15431" xr:uid="{1A7465CE-8776-4BC6-A71E-5CFB77D96970}"/>
    <cellStyle name="20% - Énfasis6 94" xfId="13143" xr:uid="{19209A4C-08CF-401D-ADAA-32F7C2E65454}"/>
    <cellStyle name="20% - Énfasis6 94 2" xfId="17160" xr:uid="{0B0C9818-5759-4293-B166-966346B57885}"/>
    <cellStyle name="20% - Énfasis6 94_1.2.b" xfId="15432" xr:uid="{04FDAF7B-DC7B-46CD-BA30-650AAC4005B9}"/>
    <cellStyle name="20% - Énfasis6 95" xfId="13144" xr:uid="{E7E56A07-F1C5-485C-AE97-8B39CB8A596F}"/>
    <cellStyle name="20% - Énfasis6 95 2" xfId="17161" xr:uid="{2ED337A6-B83F-429C-83F3-66A7743BF405}"/>
    <cellStyle name="20% - Énfasis6 95_1.2.b" xfId="15433" xr:uid="{0D705B7B-7283-4400-B6B2-631565FB2C85}"/>
    <cellStyle name="20% - Énfasis6 96" xfId="13145" xr:uid="{32148E02-7EC6-4F56-953F-6A0BF25EFF20}"/>
    <cellStyle name="20% - Énfasis6 96 2" xfId="17162" xr:uid="{CAFC22C6-9E4B-4C86-9A84-A8BA72AF61D6}"/>
    <cellStyle name="20% - Énfasis6 96_1.2.b" xfId="15434" xr:uid="{E5C73AD1-2ACA-4B74-B9BC-12DC34A45ED8}"/>
    <cellStyle name="40% - Accent1" xfId="40" xr:uid="{5F1E1600-CA74-4780-BA6A-663CD27158E9}"/>
    <cellStyle name="40% - Accent1 2" xfId="13146" xr:uid="{8A49910D-55D8-4AE7-A127-764F4B4A0811}"/>
    <cellStyle name="40% - Accent1 3" xfId="13147" xr:uid="{5A80DE59-B76C-4911-8AA3-F3307B911F06}"/>
    <cellStyle name="40% - Accent2" xfId="44" xr:uid="{D0E9226F-9395-443A-990F-6DFCA79BF3B4}"/>
    <cellStyle name="40% - Accent2 2" xfId="13148" xr:uid="{8CBE3B69-2FB5-4040-AEEB-CAE7C7CFF6E5}"/>
    <cellStyle name="40% - Accent2 3" xfId="13149" xr:uid="{8BE0D69F-6356-45DF-AACC-DEE01DD9E8D6}"/>
    <cellStyle name="40% - Accent3" xfId="48" xr:uid="{18B67094-4F12-472E-87BC-31AF69672BD9}"/>
    <cellStyle name="40% - Accent3 2" xfId="13150" xr:uid="{BD13201D-53BC-4DAD-95E9-CCE29C81B1E0}"/>
    <cellStyle name="40% - Accent3 3" xfId="13151" xr:uid="{25557C19-C67C-4D09-9308-BD5DD6FDEEE2}"/>
    <cellStyle name="40% - Accent4" xfId="52" xr:uid="{E9231B2A-27FC-4652-BA7E-130A70BAC5DC}"/>
    <cellStyle name="40% - Accent4 2" xfId="13152" xr:uid="{4C9ECDA5-25A8-43E5-9A86-F9EB12121F95}"/>
    <cellStyle name="40% - Accent4 3" xfId="13153" xr:uid="{069BD945-E8BF-43EA-9FD7-DFA6428C783D}"/>
    <cellStyle name="40% - Accent5" xfId="56" xr:uid="{829C79C1-82CD-47D9-9D9A-27ACB35F8E68}"/>
    <cellStyle name="40% - Accent5 2" xfId="13154" xr:uid="{F594EC80-9B1F-41D0-94B3-68BE6834C611}"/>
    <cellStyle name="40% - Accent5 3" xfId="13155" xr:uid="{0A1E4CB4-FB23-4DDB-A5AA-22F0D0E17314}"/>
    <cellStyle name="40% - Accent6" xfId="60" xr:uid="{CE437085-EB22-49CD-8EF7-CBF0477551A6}"/>
    <cellStyle name="40% - Accent6 2" xfId="13156" xr:uid="{4402B628-F09C-43EF-9F68-A74D51B04D1B}"/>
    <cellStyle name="40% - Accent6 3" xfId="13157" xr:uid="{BB33559B-178D-4FAC-855D-B038276904BB}"/>
    <cellStyle name="40% - Énfasis1 10" xfId="9917" xr:uid="{00000000-0005-0000-0000-0000AF000000}"/>
    <cellStyle name="40% - Énfasis1 10 2" xfId="11654" xr:uid="{00000000-0005-0000-0000-0000B0000000}"/>
    <cellStyle name="40% - Énfasis1 10 3" xfId="13158" xr:uid="{4A8FB4BF-2A8B-4342-B8EB-B5F0C3C6FA43}"/>
    <cellStyle name="40% - Énfasis1 10 4" xfId="17164" xr:uid="{E4F764B0-8C00-40F2-9155-188B67719195}"/>
    <cellStyle name="40% - Énfasis1 10_1.2.b" xfId="15435" xr:uid="{AC23CF80-3362-4A2F-A113-7C9471823488}"/>
    <cellStyle name="40% - Énfasis1 11" xfId="10186" xr:uid="{00000000-0005-0000-0000-0000B1000000}"/>
    <cellStyle name="40% - Énfasis1 11 2" xfId="11922" xr:uid="{00000000-0005-0000-0000-0000B2000000}"/>
    <cellStyle name="40% - Énfasis1 11 3" xfId="13159" xr:uid="{FB8AB61E-D032-4CEF-8076-1CFACA20E68F}"/>
    <cellStyle name="40% - Énfasis1 11 4" xfId="17165" xr:uid="{BD4AC167-E32C-4BD9-93B1-17114CA5C5C7}"/>
    <cellStyle name="40% - Énfasis1 11_1.2.b" xfId="15436" xr:uid="{21F96969-9B7C-4664-9D7C-B9486C9ECAB8}"/>
    <cellStyle name="40% - Énfasis1 12" xfId="10532" xr:uid="{00000000-0005-0000-0000-0000B3000000}"/>
    <cellStyle name="40% - Énfasis1 12 2" xfId="12267" xr:uid="{00000000-0005-0000-0000-0000B4000000}"/>
    <cellStyle name="40% - Énfasis1 12 3" xfId="13160" xr:uid="{0D491501-1659-45C2-8C97-9E841DC153BA}"/>
    <cellStyle name="40% - Énfasis1 12 4" xfId="17166" xr:uid="{8D0D1631-A77F-4771-832A-5E9A8153D0AD}"/>
    <cellStyle name="40% - Énfasis1 12_1.2.b" xfId="15437" xr:uid="{938A6F17-4EB2-4329-9115-6BC72A0CFCF4}"/>
    <cellStyle name="40% - Énfasis1 13" xfId="10579" xr:uid="{00000000-0005-0000-0000-0000B5000000}"/>
    <cellStyle name="40% - Énfasis1 13 2" xfId="12312" xr:uid="{00000000-0005-0000-0000-0000B6000000}"/>
    <cellStyle name="40% - Énfasis1 13 3" xfId="13161" xr:uid="{003501BC-F386-4B9A-B445-1322C18E1E9A}"/>
    <cellStyle name="40% - Énfasis1 13 4" xfId="17167" xr:uid="{1115CC1A-6B98-4BA7-BE99-92EA996BF979}"/>
    <cellStyle name="40% - Énfasis1 13_1.2.b" xfId="15438" xr:uid="{983F88D7-6D15-4DBC-B5AE-4879DD22D86B}"/>
    <cellStyle name="40% - Énfasis1 14" xfId="10599" xr:uid="{00000000-0005-0000-0000-0000B7000000}"/>
    <cellStyle name="40% - Énfasis1 14 2" xfId="12328" xr:uid="{00000000-0005-0000-0000-0000B8000000}"/>
    <cellStyle name="40% - Énfasis1 14 3" xfId="13162" xr:uid="{9096B343-44AF-4514-AEA3-3717D24CE5F9}"/>
    <cellStyle name="40% - Énfasis1 14 4" xfId="17168" xr:uid="{F63E4283-B918-45CF-8ACF-80FF3B339DAE}"/>
    <cellStyle name="40% - Énfasis1 14_1.2.b" xfId="15439" xr:uid="{3A950D24-71BD-48A8-8C7A-1C140B1A5341}"/>
    <cellStyle name="40% - Énfasis1 15" xfId="10620" xr:uid="{00000000-0005-0000-0000-0000B9000000}"/>
    <cellStyle name="40% - Énfasis1 15 2" xfId="13163" xr:uid="{3F0A52F0-5EE3-4DDB-8030-0D5A401A333A}"/>
    <cellStyle name="40% - Énfasis1 15 3" xfId="17169" xr:uid="{406C3AD0-1D3D-430E-9605-B8C0284160A0}"/>
    <cellStyle name="40% - Énfasis1 15_1.2.b" xfId="15440" xr:uid="{3E3250CC-F74A-49F1-9D01-F6DB9074EC4F}"/>
    <cellStyle name="40% - Énfasis1 16" xfId="12361" xr:uid="{00000000-0005-0000-0000-0000BA000000}"/>
    <cellStyle name="40% - Énfasis1 16 2" xfId="13164" xr:uid="{F2ED4B02-B76A-48AD-B324-D67466DF9B28}"/>
    <cellStyle name="40% - Énfasis1 16 3" xfId="17170" xr:uid="{CA2C43E8-4CDE-4311-B753-1C150A26E42A}"/>
    <cellStyle name="40% - Énfasis1 16_1.2.b" xfId="15441" xr:uid="{F14C4607-4CF6-41E4-9CA9-4B089EB11D24}"/>
    <cellStyle name="40% - Énfasis1 17" xfId="12376" xr:uid="{00000000-0005-0000-0000-0000BB000000}"/>
    <cellStyle name="40% - Énfasis1 17 2" xfId="13165" xr:uid="{F9C05271-EF95-4846-BB01-3C5E8D3D0C31}"/>
    <cellStyle name="40% - Énfasis1 17 3" xfId="17171" xr:uid="{838DA37F-52F9-4E69-9895-78207D47F4F3}"/>
    <cellStyle name="40% - Énfasis1 17_1.2.b" xfId="15442" xr:uid="{D139E93F-55F5-49E5-9DE1-C9370EF79E49}"/>
    <cellStyle name="40% - Énfasis1 18" xfId="13166" xr:uid="{8AC40D81-8CB2-49BF-9F23-1982048AD077}"/>
    <cellStyle name="40% - Énfasis1 18 2" xfId="17172" xr:uid="{F2050864-6648-4934-A0A9-72410CD5DEDB}"/>
    <cellStyle name="40% - Énfasis1 18_1.2.b" xfId="15443" xr:uid="{64BB0AAD-E797-4BAA-B315-B96CE6C56AD6}"/>
    <cellStyle name="40% - Énfasis1 19" xfId="13167" xr:uid="{150150C2-BA1D-47F7-82C7-650ED42275E4}"/>
    <cellStyle name="40% - Énfasis1 19 2" xfId="17173" xr:uid="{8140AEEF-E273-4B3F-9DE8-7EC1F2FE1772}"/>
    <cellStyle name="40% - Énfasis1 19_1.2.b" xfId="15444" xr:uid="{56AD2B06-5960-4AD6-83E1-6361AB9FD1ED}"/>
    <cellStyle name="40% - Énfasis1 2" xfId="147" xr:uid="{00000000-0005-0000-0000-0000BC000000}"/>
    <cellStyle name="40% - Énfasis1 2 10" xfId="13169" xr:uid="{F9D280A5-6FFE-4B6C-94D2-6209A2C74715}"/>
    <cellStyle name="40% - Énfasis1 2 10 2" xfId="17175" xr:uid="{2F297D1E-9971-457E-B406-792689AAA4D5}"/>
    <cellStyle name="40% - Énfasis1 2 10_1.2.b" xfId="15446" xr:uid="{E101C1B1-5912-4D4E-892F-4C29789B4194}"/>
    <cellStyle name="40% - Énfasis1 2 11" xfId="13168" xr:uid="{3028B91B-4491-4CD6-9D73-FFBC115F443E}"/>
    <cellStyle name="40% - Énfasis1 2 12" xfId="17174" xr:uid="{EA43E26B-E582-448D-9528-65EC807A9099}"/>
    <cellStyle name="40% - Énfasis1 2 13" xfId="17379" xr:uid="{EF3DDB7A-6742-4B14-99C0-CAB49D25ECBE}"/>
    <cellStyle name="40% - Énfasis1 2 14" xfId="18217" xr:uid="{6A56EB32-4D7B-4DDD-B5DD-593BAE250CBF}"/>
    <cellStyle name="40% - Énfasis1 2 15" xfId="17493" xr:uid="{FE28A2A9-1641-4527-A0FC-C165C5D0A236}"/>
    <cellStyle name="40% - Énfasis1 2 16" xfId="18218" xr:uid="{7F0E7575-0287-4A8F-8BDB-BC9A74603EFB}"/>
    <cellStyle name="40% - Énfasis1 2 2" xfId="10667" xr:uid="{00000000-0005-0000-0000-0000BD000000}"/>
    <cellStyle name="40% - Énfasis1 2 2 2" xfId="13171" xr:uid="{93BCE8EC-132E-4C9F-A265-7F7181B468EF}"/>
    <cellStyle name="40% - Énfasis1 2 2 3" xfId="13172" xr:uid="{F0D41359-891E-4CCD-88A3-5BBD2F76C814}"/>
    <cellStyle name="40% - Énfasis1 2 2 4" xfId="13173" xr:uid="{84BC6E4A-C536-4A5F-A567-9BBE59F58C9B}"/>
    <cellStyle name="40% - Énfasis1 2 2 5" xfId="13174" xr:uid="{082121B1-0216-4DD8-A246-4893EAB0BF35}"/>
    <cellStyle name="40% - Énfasis1 2 2 6" xfId="13170" xr:uid="{E3AD2B3E-3364-4B6E-8F20-8F8476A3CC1D}"/>
    <cellStyle name="40% - Énfasis1 2 2 7" xfId="17176" xr:uid="{8EEE55A7-FC2D-4F93-8B1D-0E777BAF5712}"/>
    <cellStyle name="40% - Énfasis1 2 2_1.2.b" xfId="15447" xr:uid="{E9D29045-87FA-46A3-A2AB-EE978914203C}"/>
    <cellStyle name="40% - Énfasis1 2 3" xfId="13175" xr:uid="{D6FDF3E6-9372-4AF2-AF3B-FA517559AF18}"/>
    <cellStyle name="40% - Énfasis1 2 4" xfId="13176" xr:uid="{4522EBBB-A385-4A92-8724-91F70CEC838C}"/>
    <cellStyle name="40% - Énfasis1 2 5" xfId="13177" xr:uid="{D6217DAD-9F34-4120-A403-41474FA6090E}"/>
    <cellStyle name="40% - Énfasis1 2 6" xfId="13178" xr:uid="{73B02EF9-D295-4DB7-90EA-7A436E2E25C7}"/>
    <cellStyle name="40% - Énfasis1 2 7" xfId="13179" xr:uid="{6545361C-50CA-4A1F-AF09-9372F20F6A7A}"/>
    <cellStyle name="40% - Énfasis1 2 8" xfId="13180" xr:uid="{40D52F03-8E3E-4677-ABE9-B88DD444557F}"/>
    <cellStyle name="40% - Énfasis1 2 9" xfId="13181" xr:uid="{E7C3F884-6659-4E3B-A3C8-29C7627D7CC3}"/>
    <cellStyle name="40% - Énfasis1 2 9 2" xfId="17178" xr:uid="{5A2847C6-DB0E-410C-9EC5-1D72FBB22F8F}"/>
    <cellStyle name="40% - Énfasis1 2 9_1.2.b" xfId="15448" xr:uid="{2C383A2B-B4AD-468B-B5DE-86403D40C6A5}"/>
    <cellStyle name="40% - Énfasis1 2_1.2.b" xfId="15445" xr:uid="{30FC9CF4-C9D8-4303-8A74-EDA830EF8582}"/>
    <cellStyle name="40% - Énfasis1 20" xfId="13182" xr:uid="{ECBD13E5-7A78-4535-9433-6F21D066D8F5}"/>
    <cellStyle name="40% - Énfasis1 20 2" xfId="17179" xr:uid="{055790ED-140B-4338-A9AB-6A3FF3D63F61}"/>
    <cellStyle name="40% - Énfasis1 20_1.2.b" xfId="15449" xr:uid="{30437D90-931E-4481-B06F-855F0400E1B3}"/>
    <cellStyle name="40% - Énfasis1 21" xfId="13183" xr:uid="{D4F183EA-C9D8-430B-9228-9E28139B7F5C}"/>
    <cellStyle name="40% - Énfasis1 21 2" xfId="17180" xr:uid="{52DC0C86-8EC3-4AFA-86A7-883131FC2DF6}"/>
    <cellStyle name="40% - Énfasis1 21_1.2.b" xfId="15450" xr:uid="{74BFAEC4-2FAF-4DFD-8B59-2FC283841F94}"/>
    <cellStyle name="40% - Énfasis1 22" xfId="13184" xr:uid="{4D53139B-D724-4415-96DF-7E7B9DD56F4D}"/>
    <cellStyle name="40% - Énfasis1 22 2" xfId="17181" xr:uid="{6A7E8903-22BF-4407-BF07-BCEA50790B26}"/>
    <cellStyle name="40% - Énfasis1 22_1.2.b" xfId="15451" xr:uid="{1D9FADC4-212A-44E8-BCDF-5F98D409D314}"/>
    <cellStyle name="40% - Énfasis1 23" xfId="13185" xr:uid="{A1482F67-C5D1-4E28-AA14-F82FE9C7D916}"/>
    <cellStyle name="40% - Énfasis1 23 2" xfId="17182" xr:uid="{80F7A51D-C353-4407-8101-D0170E65C26E}"/>
    <cellStyle name="40% - Énfasis1 23_1.2.b" xfId="15452" xr:uid="{902A9559-8561-4950-AC81-4432CBA6B267}"/>
    <cellStyle name="40% - Énfasis1 24" xfId="13186" xr:uid="{676B8545-5DEB-495F-A606-34454EED88BB}"/>
    <cellStyle name="40% - Énfasis1 24 2" xfId="17183" xr:uid="{742DE450-18DF-4B54-BFA1-07BADCD822A6}"/>
    <cellStyle name="40% - Énfasis1 24_1.2.b" xfId="15453" xr:uid="{0024A334-A4CE-4C23-98C5-58CC45DE69C5}"/>
    <cellStyle name="40% - Énfasis1 25" xfId="13187" xr:uid="{3C7B3631-135F-432E-82B9-0A2105A8D455}"/>
    <cellStyle name="40% - Énfasis1 25 2" xfId="17184" xr:uid="{D739E1A7-BE8C-4014-9BB1-B3C061A618CD}"/>
    <cellStyle name="40% - Énfasis1 25_1.2.b" xfId="15454" xr:uid="{FC5541B0-5F7D-498B-B225-CD05644B293C}"/>
    <cellStyle name="40% - Énfasis1 26" xfId="13188" xr:uid="{3E47C433-2725-46BF-AB2E-D38003F4F155}"/>
    <cellStyle name="40% - Énfasis1 26 2" xfId="17185" xr:uid="{D5F5460A-686B-4C02-A04A-8AA03280B45C}"/>
    <cellStyle name="40% - Énfasis1 26_1.2.b" xfId="15455" xr:uid="{4ACCCD42-B0E4-4BB6-B956-CC4BC2551B57}"/>
    <cellStyle name="40% - Énfasis1 27" xfId="13189" xr:uid="{3471E70C-4373-4D15-B988-B763C1825F6B}"/>
    <cellStyle name="40% - Énfasis1 27 2" xfId="17186" xr:uid="{E0AC30DE-F1A1-4175-910B-860D30DE14E3}"/>
    <cellStyle name="40% - Énfasis1 27_1.2.b" xfId="15456" xr:uid="{89AE01B0-23FA-4191-A132-5FB316BB8727}"/>
    <cellStyle name="40% - Énfasis1 28" xfId="13190" xr:uid="{A204BD24-80C6-4EF9-8EE5-5425EA5FA4FB}"/>
    <cellStyle name="40% - Énfasis1 28 2" xfId="17187" xr:uid="{0BF503B8-BDD0-4AC2-AB29-B6FBFC93D090}"/>
    <cellStyle name="40% - Énfasis1 28_1.2.b" xfId="15457" xr:uid="{D19F8445-82E1-45C7-B15A-CBCB8A917236}"/>
    <cellStyle name="40% - Énfasis1 29" xfId="13191" xr:uid="{D3D82A04-5738-4E19-9BDB-6201A11A6EA3}"/>
    <cellStyle name="40% - Énfasis1 29 2" xfId="17188" xr:uid="{C58A2D32-7992-4DE9-9F1F-9C060711E53C}"/>
    <cellStyle name="40% - Énfasis1 29_1.2.b" xfId="15458" xr:uid="{471BFD25-3B5E-41E0-839B-55171D0C08F2}"/>
    <cellStyle name="40% - Énfasis1 3" xfId="161" xr:uid="{00000000-0005-0000-0000-0000BE000000}"/>
    <cellStyle name="40% - Énfasis1 3 2" xfId="10681" xr:uid="{00000000-0005-0000-0000-0000BF000000}"/>
    <cellStyle name="40% - Énfasis1 3 2 2" xfId="13193" xr:uid="{250746E8-A502-44D3-8646-6AE899B964C5}"/>
    <cellStyle name="40% - Énfasis1 3 2 3" xfId="17190" xr:uid="{C0FDD0DD-4E09-41F1-8341-33EB93E339A4}"/>
    <cellStyle name="40% - Énfasis1 3 2_1.2.b" xfId="15460" xr:uid="{7EBF79FB-B0AD-49F4-A908-5082F4091586}"/>
    <cellStyle name="40% - Énfasis1 3 3" xfId="13194" xr:uid="{8B83226F-4B1C-4A3E-8F85-638C3E3030EC}"/>
    <cellStyle name="40% - Énfasis1 3 4" xfId="13192" xr:uid="{DBA0FF16-559F-4F60-8DE9-024CBCC38E9A}"/>
    <cellStyle name="40% - Énfasis1 3 5" xfId="17189" xr:uid="{68B1DA95-7418-41D1-A5BE-91E755DC595E}"/>
    <cellStyle name="40% - Énfasis1 3_1.2.b" xfId="15459" xr:uid="{0CB6D765-B7B2-4689-A25B-9980C7E82F9F}"/>
    <cellStyle name="40% - Énfasis1 30" xfId="13195" xr:uid="{6EE795B4-DB25-4165-8253-C65BCA53398C}"/>
    <cellStyle name="40% - Énfasis1 30 2" xfId="17191" xr:uid="{1DC17D21-C830-431F-BC86-263ED1290DAB}"/>
    <cellStyle name="40% - Énfasis1 30_1.2.b" xfId="15461" xr:uid="{8D8F9750-4D5F-4C03-8DC2-05397BB87FE3}"/>
    <cellStyle name="40% - Énfasis1 31" xfId="13196" xr:uid="{E9ACC01F-CB0C-43B7-B168-28BF01FE48C1}"/>
    <cellStyle name="40% - Énfasis1 31 2" xfId="17192" xr:uid="{BDC7EA5D-671B-4ADA-B314-38A071362B2B}"/>
    <cellStyle name="40% - Énfasis1 31_1.2.b" xfId="15462" xr:uid="{3D20CD63-D568-42AE-8FDB-F6F3E3243C58}"/>
    <cellStyle name="40% - Énfasis1 32" xfId="13197" xr:uid="{5685BE60-F68C-40D4-A80B-A16F257DE7C0}"/>
    <cellStyle name="40% - Énfasis1 32 2" xfId="17193" xr:uid="{E47F4F2B-7838-4E70-AA4A-B8B3ABBE58A8}"/>
    <cellStyle name="40% - Énfasis1 32_1.2.b" xfId="15463" xr:uid="{83E84A79-16D5-431E-9B65-FF754D1ECEAC}"/>
    <cellStyle name="40% - Énfasis1 33" xfId="13198" xr:uid="{4460B2E5-16FC-412E-91DD-D81DF6966040}"/>
    <cellStyle name="40% - Énfasis1 33 2" xfId="17194" xr:uid="{39E4BD9F-3B4B-4D92-8483-D9D53A611083}"/>
    <cellStyle name="40% - Énfasis1 33_1.2.b" xfId="15464" xr:uid="{CADBDE2E-944C-4B37-B836-945422A64D33}"/>
    <cellStyle name="40% - Énfasis1 34" xfId="13199" xr:uid="{7F72298D-6557-46BE-AB23-520295C9AEFF}"/>
    <cellStyle name="40% - Énfasis1 34 2" xfId="17195" xr:uid="{5D1F5FAA-0C38-4F0F-9955-639C4AC072EA}"/>
    <cellStyle name="40% - Énfasis1 34_1.2.b" xfId="15465" xr:uid="{CC52E55A-030F-4D86-A22B-98A08AD7FEE1}"/>
    <cellStyle name="40% - Énfasis1 35" xfId="13200" xr:uid="{AFBD7D6F-634D-491E-A43C-4D319D722CCC}"/>
    <cellStyle name="40% - Énfasis1 35 2" xfId="17196" xr:uid="{ACAE52C4-347B-42E4-BA0D-55077A3C8272}"/>
    <cellStyle name="40% - Énfasis1 35_1.2.b" xfId="15466" xr:uid="{A6432065-FC30-4FFB-8699-C00130FF2B14}"/>
    <cellStyle name="40% - Énfasis1 36" xfId="13201" xr:uid="{C6D22A75-D5BD-433F-80E7-2F31C16032E0}"/>
    <cellStyle name="40% - Énfasis1 36 2" xfId="17197" xr:uid="{1D5D7379-1F7B-4573-B9A0-74DE2099BB76}"/>
    <cellStyle name="40% - Énfasis1 36_1.2.b" xfId="15467" xr:uid="{48BE03A8-F9AB-4177-8911-828DCB367284}"/>
    <cellStyle name="40% - Énfasis1 37" xfId="13202" xr:uid="{24767670-F24D-49E2-94CC-13C52EAD43F8}"/>
    <cellStyle name="40% - Énfasis1 37 2" xfId="17198" xr:uid="{14A7CA2E-9810-4EB9-8301-36C04DF504BB}"/>
    <cellStyle name="40% - Énfasis1 37_1.2.b" xfId="15468" xr:uid="{9E22EC53-07E0-4BED-BCB9-0672A0487923}"/>
    <cellStyle name="40% - Énfasis1 38" xfId="13203" xr:uid="{260DEF13-D741-4F3B-ADC0-C10AEEC90BE0}"/>
    <cellStyle name="40% - Énfasis1 38 2" xfId="17199" xr:uid="{B219D3D4-8CC5-4E50-AEEF-E795D15003C8}"/>
    <cellStyle name="40% - Énfasis1 38_1.2.b" xfId="15469" xr:uid="{1BD71DDF-9B03-4008-8B40-2E39D815EB6F}"/>
    <cellStyle name="40% - Énfasis1 39" xfId="13204" xr:uid="{AA302473-60A9-45AE-B460-385ABB4470FC}"/>
    <cellStyle name="40% - Énfasis1 39 2" xfId="17200" xr:uid="{34ED49B7-DE45-42BA-8DEA-B663852C894A}"/>
    <cellStyle name="40% - Énfasis1 39_1.2.b" xfId="15470" xr:uid="{277D5F57-7CA9-40D8-88EE-DE5E28E4BCCE}"/>
    <cellStyle name="40% - Énfasis1 4" xfId="175" xr:uid="{00000000-0005-0000-0000-0000C0000000}"/>
    <cellStyle name="40% - Énfasis1 4 2" xfId="10695" xr:uid="{00000000-0005-0000-0000-0000C1000000}"/>
    <cellStyle name="40% - Énfasis1 4 2 2" xfId="13206" xr:uid="{DB5829DD-B1F4-40E4-B029-4A379A76BC23}"/>
    <cellStyle name="40% - Énfasis1 4 2_1.2.b" xfId="15472" xr:uid="{008DC890-7805-48EC-8460-B4D30A6CF3CD}"/>
    <cellStyle name="40% - Énfasis1 4 3" xfId="13205" xr:uid="{6DB7EE12-5959-45DC-A6B5-1004388D36BC}"/>
    <cellStyle name="40% - Énfasis1 4 4" xfId="17201" xr:uid="{D5CE1AB1-8D59-463E-B8BA-F81D9C7B83D6}"/>
    <cellStyle name="40% - Énfasis1 4 5" xfId="17163" xr:uid="{BE51A7F2-7E4C-488C-9DEA-95A160F29FBE}"/>
    <cellStyle name="40% - Énfasis1 4 6" xfId="18211" xr:uid="{EC6C2A8D-EEC0-4AAE-9949-12AB031392CF}"/>
    <cellStyle name="40% - Énfasis1 4 7" xfId="17177" xr:uid="{69292D68-3763-4C4D-8B62-98A6CB2CEB76}"/>
    <cellStyle name="40% - Énfasis1 4 8" xfId="18216" xr:uid="{B756CC12-1A3C-4109-8F34-4468D5933018}"/>
    <cellStyle name="40% - Énfasis1 4_1.2.b" xfId="15471" xr:uid="{63EFB181-1D8C-4056-81A0-3F9105469799}"/>
    <cellStyle name="40% - Énfasis1 40" xfId="13207" xr:uid="{9C909B52-86C4-4E99-A40B-C63275CC1656}"/>
    <cellStyle name="40% - Énfasis1 40 2" xfId="17202" xr:uid="{8216871B-5522-48A8-916D-C8A1607369CB}"/>
    <cellStyle name="40% - Énfasis1 40_1.2.b" xfId="15473" xr:uid="{58C9C982-CE65-4902-8923-B64F16C27CF5}"/>
    <cellStyle name="40% - Énfasis1 41" xfId="13208" xr:uid="{55D2BD3F-5C3A-401A-A1BC-23E3634B825F}"/>
    <cellStyle name="40% - Énfasis1 41 2" xfId="17203" xr:uid="{2F2197D0-FE13-4A30-BBBD-D5B370B640D4}"/>
    <cellStyle name="40% - Énfasis1 41_1.2.b" xfId="15474" xr:uid="{ABE825E6-E3B4-48B4-86A3-5C1EC87F5B14}"/>
    <cellStyle name="40% - Énfasis1 42" xfId="13209" xr:uid="{FE3DF684-EF83-4FEC-B292-C6ABB30A6D50}"/>
    <cellStyle name="40% - Énfasis1 42 2" xfId="17204" xr:uid="{33B7779A-2A03-42D6-A87D-473EF1561428}"/>
    <cellStyle name="40% - Énfasis1 42_1.2.b" xfId="15475" xr:uid="{A37AC41B-FC89-4558-BBC4-2ABDF9A22AD1}"/>
    <cellStyle name="40% - Énfasis1 43" xfId="13210" xr:uid="{09F3C2D6-6132-4E92-B5AC-D7643957E42F}"/>
    <cellStyle name="40% - Énfasis1 43 2" xfId="17205" xr:uid="{B86AAA95-401A-479F-82D5-94738810A184}"/>
    <cellStyle name="40% - Énfasis1 43_1.2.b" xfId="15476" xr:uid="{264CB480-6E9E-4A77-893D-58F496B9EA0C}"/>
    <cellStyle name="40% - Énfasis1 44" xfId="13211" xr:uid="{EB1DFEE5-C1C4-4225-A1AE-21BAEDF2F14B}"/>
    <cellStyle name="40% - Énfasis1 44 2" xfId="17206" xr:uid="{B260B0FC-5590-4F5A-AB10-DD246F4787AD}"/>
    <cellStyle name="40% - Énfasis1 44_1.2.b" xfId="15477" xr:uid="{AD9775DB-66A2-4544-8783-36C64794CF78}"/>
    <cellStyle name="40% - Énfasis1 45" xfId="13212" xr:uid="{95F6D215-F350-4119-846C-ADF89573F874}"/>
    <cellStyle name="40% - Énfasis1 45 2" xfId="17207" xr:uid="{302D72C5-E9D6-40C2-9539-E744BCD712C8}"/>
    <cellStyle name="40% - Énfasis1 45_1.2.b" xfId="15478" xr:uid="{B2AB5E7F-70F1-4370-B9F9-ADDC25DFDBFF}"/>
    <cellStyle name="40% - Énfasis1 46" xfId="13213" xr:uid="{0893C817-9F7D-4FB7-826E-B28DFC5BA206}"/>
    <cellStyle name="40% - Énfasis1 46 2" xfId="17208" xr:uid="{B58A68F0-7B7B-4720-A1B7-8FA47FED3E4F}"/>
    <cellStyle name="40% - Énfasis1 46_1.2.b" xfId="15479" xr:uid="{D4B916DF-4334-4FAE-BE19-E44727EFC003}"/>
    <cellStyle name="40% - Énfasis1 47" xfId="13214" xr:uid="{3FB0A001-674D-4479-B5C4-BCE08F001910}"/>
    <cellStyle name="40% - Énfasis1 47 2" xfId="17209" xr:uid="{46CD0812-1592-4692-8D4E-B455A8E0FA7E}"/>
    <cellStyle name="40% - Énfasis1 47_1.2.b" xfId="15480" xr:uid="{22844D11-DFCE-4396-81B5-334FC0F02C93}"/>
    <cellStyle name="40% - Énfasis1 48" xfId="13215" xr:uid="{1C5643F6-45D1-486A-B6DE-688F1DD4C623}"/>
    <cellStyle name="40% - Énfasis1 48 2" xfId="17210" xr:uid="{D8118DAB-6763-4C8E-A929-A84348C9202D}"/>
    <cellStyle name="40% - Énfasis1 48_1.2.b" xfId="15481" xr:uid="{3ECDE5A3-0C50-4B96-8664-67F5EEC7221F}"/>
    <cellStyle name="40% - Énfasis1 49" xfId="13216" xr:uid="{C16E3C18-A4CF-4B33-8306-58400B753829}"/>
    <cellStyle name="40% - Énfasis1 49 2" xfId="17211" xr:uid="{A0AC3015-B1CE-4746-863A-7824A5428C27}"/>
    <cellStyle name="40% - Énfasis1 49_1.2.b" xfId="15482" xr:uid="{680FCC91-5418-4590-81A3-689317B83A0F}"/>
    <cellStyle name="40% - Énfasis1 5" xfId="190" xr:uid="{00000000-0005-0000-0000-0000C2000000}"/>
    <cellStyle name="40% - Énfasis1 5 2" xfId="10710" xr:uid="{00000000-0005-0000-0000-0000C3000000}"/>
    <cellStyle name="40% - Énfasis1 5 3" xfId="13217" xr:uid="{74ABA1D7-5166-4ADE-8FE4-33E718F857D2}"/>
    <cellStyle name="40% - Énfasis1 5 4" xfId="17212" xr:uid="{57880C0C-AB3B-48B6-B091-3D96AA289FAF}"/>
    <cellStyle name="40% - Énfasis1 5_1.2.b" xfId="15483" xr:uid="{7B7AD8CD-9D87-4726-AF85-DCF9E0C0885E}"/>
    <cellStyle name="40% - Énfasis1 50" xfId="13218" xr:uid="{3927451A-151C-4C00-B783-D819E6889C24}"/>
    <cellStyle name="40% - Énfasis1 50 2" xfId="17213" xr:uid="{16BC1FD0-478B-4105-BDAA-DB19C4A94846}"/>
    <cellStyle name="40% - Énfasis1 50_1.2.b" xfId="15484" xr:uid="{38112C11-B641-4E71-9254-2264F83BE2B8}"/>
    <cellStyle name="40% - Énfasis1 51" xfId="13219" xr:uid="{166F7EB6-A49A-4DDF-8506-03FE23A2FB37}"/>
    <cellStyle name="40% - Énfasis1 51 2" xfId="17214" xr:uid="{937C2867-C31A-4B72-AD72-1B5BA88677C0}"/>
    <cellStyle name="40% - Énfasis1 51_1.2.b" xfId="15485" xr:uid="{02792E62-1188-4ACB-8FE9-84FA21D24C73}"/>
    <cellStyle name="40% - Énfasis1 52" xfId="13220" xr:uid="{F7F96292-711B-45BA-94FE-0BC1A7C4688F}"/>
    <cellStyle name="40% - Énfasis1 52 2" xfId="17215" xr:uid="{1797B863-139B-486A-A622-2535A29431ED}"/>
    <cellStyle name="40% - Énfasis1 52_1.2.b" xfId="15486" xr:uid="{2228BDD9-267B-431A-89E5-2ED3F2354F57}"/>
    <cellStyle name="40% - Énfasis1 53" xfId="13221" xr:uid="{55EFE4DE-955D-4D65-9FFE-FF4DEB04147E}"/>
    <cellStyle name="40% - Énfasis1 53 2" xfId="17216" xr:uid="{C90E500B-C5C5-4996-A005-051341A83AA9}"/>
    <cellStyle name="40% - Énfasis1 53_1.2.b" xfId="15487" xr:uid="{63E86480-EC4C-40BC-B7EB-2820EB4620E0}"/>
    <cellStyle name="40% - Énfasis1 54" xfId="13222" xr:uid="{AEFF8FC2-BF01-4A8F-BEC0-92295C87E423}"/>
    <cellStyle name="40% - Énfasis1 54 2" xfId="17217" xr:uid="{43875544-6DF3-45D7-B19C-86005AB7BFAE}"/>
    <cellStyle name="40% - Énfasis1 54_1.2.b" xfId="15488" xr:uid="{80BE31CA-6908-491B-8DC9-50231714E712}"/>
    <cellStyle name="40% - Énfasis1 55" xfId="13223" xr:uid="{6D453AD8-9162-4FFF-A66A-ACD95D841CA6}"/>
    <cellStyle name="40% - Énfasis1 55 2" xfId="17218" xr:uid="{07929BFE-8603-46E9-B4ED-9EA3FCE2F795}"/>
    <cellStyle name="40% - Énfasis1 55_1.2.b" xfId="15489" xr:uid="{0AB98067-8A4D-4F46-8B75-88023836622B}"/>
    <cellStyle name="40% - Énfasis1 56" xfId="13224" xr:uid="{2718158A-A456-4C9D-834D-E69737B085CC}"/>
    <cellStyle name="40% - Énfasis1 56 2" xfId="17219" xr:uid="{DF60C552-A8E2-4033-8177-E2757D91D507}"/>
    <cellStyle name="40% - Énfasis1 56_1.2.b" xfId="15490" xr:uid="{AE36970F-4615-4EC0-B7E6-6D72F5948D5C}"/>
    <cellStyle name="40% - Énfasis1 57" xfId="13225" xr:uid="{7C760757-82D8-4E48-84D4-C2E1C2B9591E}"/>
    <cellStyle name="40% - Énfasis1 57 2" xfId="17220" xr:uid="{9BD8FEC6-5FBB-479F-94D0-AC93D3B96FAB}"/>
    <cellStyle name="40% - Énfasis1 57_1.2.b" xfId="15491" xr:uid="{2E92C68C-EF10-4316-A3F9-3C34FF70EEE1}"/>
    <cellStyle name="40% - Énfasis1 58" xfId="13226" xr:uid="{1D40B0A0-FF06-4FFD-8EE3-61ED1CE56224}"/>
    <cellStyle name="40% - Énfasis1 58 2" xfId="17221" xr:uid="{7B133DDD-2AE2-4C4E-A814-13CA55C635AD}"/>
    <cellStyle name="40% - Énfasis1 58_1.2.b" xfId="15492" xr:uid="{7A6ECD17-67B1-4431-96C0-97FF911BAA55}"/>
    <cellStyle name="40% - Énfasis1 59" xfId="13227" xr:uid="{F7707465-CFA8-49C8-9900-62C76D25033D}"/>
    <cellStyle name="40% - Énfasis1 59 2" xfId="17222" xr:uid="{63F061E4-AA08-4EF9-85B6-4F5EA4C1AE2E}"/>
    <cellStyle name="40% - Énfasis1 59_1.2.b" xfId="15493" xr:uid="{BEE5B956-34A0-425E-8B72-B832AE645B5B}"/>
    <cellStyle name="40% - Énfasis1 6" xfId="204" xr:uid="{00000000-0005-0000-0000-0000C4000000}"/>
    <cellStyle name="40% - Énfasis1 6 2" xfId="10724" xr:uid="{00000000-0005-0000-0000-0000C5000000}"/>
    <cellStyle name="40% - Énfasis1 6 3" xfId="13228" xr:uid="{FFFAD154-3559-44CD-8869-A5346CF28389}"/>
    <cellStyle name="40% - Énfasis1 6 4" xfId="17223" xr:uid="{C0057B57-862F-4568-AB55-54A3E44E60E5}"/>
    <cellStyle name="40% - Énfasis1 6_1.2.b" xfId="15494" xr:uid="{635B5794-8F88-49DA-AEAA-425B794B796A}"/>
    <cellStyle name="40% - Énfasis1 60" xfId="13229" xr:uid="{60B541A4-9058-4834-93D7-65A9B7596B59}"/>
    <cellStyle name="40% - Énfasis1 60 2" xfId="17224" xr:uid="{26A2E231-1EF7-42D7-9DBB-5108672E7318}"/>
    <cellStyle name="40% - Énfasis1 60_1.2.b" xfId="15495" xr:uid="{93489DE9-70FE-4C55-9BD0-9E7389EB15C2}"/>
    <cellStyle name="40% - Énfasis1 61" xfId="13230" xr:uid="{40DE6079-AE3A-41A1-897A-A1CE921E5D5F}"/>
    <cellStyle name="40% - Énfasis1 61 2" xfId="17225" xr:uid="{9BC19086-FF1C-410D-A2D9-C9081632EDCE}"/>
    <cellStyle name="40% - Énfasis1 61_1.2.b" xfId="15496" xr:uid="{46708F22-4BCA-46A9-9960-3EBEBBB1FFC8}"/>
    <cellStyle name="40% - Énfasis1 62" xfId="13231" xr:uid="{26D520E7-0998-48EA-A26F-BEDE818BE031}"/>
    <cellStyle name="40% - Énfasis1 62 2" xfId="17226" xr:uid="{E6FCEC46-DF04-4038-A00D-63096345E57E}"/>
    <cellStyle name="40% - Énfasis1 62_1.2.b" xfId="15497" xr:uid="{FD969192-A0E1-44B2-BCC3-1DBE168984F2}"/>
    <cellStyle name="40% - Énfasis1 63" xfId="13232" xr:uid="{7DEE679D-1F86-41D8-B1C5-C8A19E1D4155}"/>
    <cellStyle name="40% - Énfasis1 63 2" xfId="17227" xr:uid="{68E262F6-93FE-4FCC-A594-CAC78E1A3C88}"/>
    <cellStyle name="40% - Énfasis1 63_1.2.b" xfId="15498" xr:uid="{50220FF4-0D8D-4961-9A7F-42F203924290}"/>
    <cellStyle name="40% - Énfasis1 64" xfId="13233" xr:uid="{032483EB-1E55-4F42-9C90-0F1517709233}"/>
    <cellStyle name="40% - Énfasis1 64 2" xfId="17228" xr:uid="{E6B37C69-771F-4DB1-8776-813AEF68C578}"/>
    <cellStyle name="40% - Énfasis1 64_1.2.b" xfId="15499" xr:uid="{48691B2E-7412-4E8C-AFA9-A3944AF81910}"/>
    <cellStyle name="40% - Énfasis1 65" xfId="13234" xr:uid="{C9DAEB96-2D90-4A27-9EB8-7524BEB96982}"/>
    <cellStyle name="40% - Énfasis1 65 2" xfId="17229" xr:uid="{88779CB5-D398-49E1-96F0-D69F7135775A}"/>
    <cellStyle name="40% - Énfasis1 65_1.2.b" xfId="15500" xr:uid="{6667BE29-ABA0-4D4E-BBDF-B4D3DA707796}"/>
    <cellStyle name="40% - Énfasis1 66" xfId="13235" xr:uid="{B01BCA75-242F-448A-AE8C-9F0CDB79176E}"/>
    <cellStyle name="40% - Énfasis1 66 2" xfId="17230" xr:uid="{A721550E-3B87-47EC-BB36-4CA403EC44D4}"/>
    <cellStyle name="40% - Énfasis1 66_1.2.b" xfId="15501" xr:uid="{15A646BF-7A1D-4165-8057-185EBE87C923}"/>
    <cellStyle name="40% - Énfasis1 67" xfId="13236" xr:uid="{DDEBA366-14F2-4687-A418-F87B6B29E611}"/>
    <cellStyle name="40% - Énfasis1 67 2" xfId="17231" xr:uid="{FDD74E32-6707-44C1-95FB-C4B5F9308E87}"/>
    <cellStyle name="40% - Énfasis1 67_1.2.b" xfId="15502" xr:uid="{6C86FBDC-AB48-4214-B93B-389E8A856C72}"/>
    <cellStyle name="40% - Énfasis1 68" xfId="13237" xr:uid="{09EC16AC-5FAD-4933-9750-90B4883E8AA7}"/>
    <cellStyle name="40% - Énfasis1 68 2" xfId="17232" xr:uid="{7969451C-BDFE-4E66-86C9-9B6AA9593A00}"/>
    <cellStyle name="40% - Énfasis1 68_1.2.b" xfId="15503" xr:uid="{6CAB5037-DF20-47AA-BE47-A21FF50675F9}"/>
    <cellStyle name="40% - Énfasis1 69" xfId="13238" xr:uid="{D1C51EE7-F611-4524-B3C1-64F5E461FDB9}"/>
    <cellStyle name="40% - Énfasis1 69 2" xfId="17233" xr:uid="{DFEA2E36-5BE8-45FB-BF3D-F74E3BA13946}"/>
    <cellStyle name="40% - Énfasis1 69_1.2.b" xfId="15504" xr:uid="{0757B165-0F49-4917-8372-7AA0B169970A}"/>
    <cellStyle name="40% - Énfasis1 7" xfId="9828" xr:uid="{00000000-0005-0000-0000-0000C6000000}"/>
    <cellStyle name="40% - Énfasis1 7 2" xfId="11614" xr:uid="{00000000-0005-0000-0000-0000C7000000}"/>
    <cellStyle name="40% - Énfasis1 7 3" xfId="13239" xr:uid="{19F9B20F-110C-4F89-A7AE-F97EC0C66590}"/>
    <cellStyle name="40% - Énfasis1 7 4" xfId="17234" xr:uid="{5484DA60-9D76-4FC4-8D0D-57A818D9E550}"/>
    <cellStyle name="40% - Énfasis1 7_1.2.b" xfId="15505" xr:uid="{6348D5B8-0914-4C3C-96E8-C23C44BCDFFF}"/>
    <cellStyle name="40% - Énfasis1 70" xfId="13240" xr:uid="{08D4CE89-BA3A-422F-B293-5A493486F206}"/>
    <cellStyle name="40% - Énfasis1 70 2" xfId="17235" xr:uid="{F31943B3-5378-4F2E-8271-23DC452AAEE3}"/>
    <cellStyle name="40% - Énfasis1 70_1.2.b" xfId="15506" xr:uid="{807425FB-02AC-44A5-B066-D4927D343CAF}"/>
    <cellStyle name="40% - Énfasis1 71" xfId="13241" xr:uid="{2540EA05-0803-4E19-9EF2-2EFB611D7939}"/>
    <cellStyle name="40% - Énfasis1 71 2" xfId="17236" xr:uid="{82613642-F861-4F80-ADF0-689D35769947}"/>
    <cellStyle name="40% - Énfasis1 71_1.2.b" xfId="15507" xr:uid="{C563397B-2F0B-45D1-85FC-C464283A55DC}"/>
    <cellStyle name="40% - Énfasis1 72" xfId="13242" xr:uid="{A851904D-F59A-4745-84F4-70E0DC27DE46}"/>
    <cellStyle name="40% - Énfasis1 72 2" xfId="17237" xr:uid="{E9315C2D-067A-4794-9259-C32F753F8862}"/>
    <cellStyle name="40% - Énfasis1 72_1.2.b" xfId="15508" xr:uid="{8B0B2E75-5B81-4ACB-AC80-BC6C5E882CDC}"/>
    <cellStyle name="40% - Énfasis1 73" xfId="13243" xr:uid="{A8867631-184A-4641-9C5A-4A55112ED12C}"/>
    <cellStyle name="40% - Énfasis1 73 2" xfId="17238" xr:uid="{E5391EEA-5164-42A3-B006-8F7424A24DD7}"/>
    <cellStyle name="40% - Énfasis1 73_1.2.b" xfId="15509" xr:uid="{D5CD6EFB-9EE7-4564-8E03-5A4D9A14B93B}"/>
    <cellStyle name="40% - Énfasis1 74" xfId="13244" xr:uid="{D09B6D43-5319-4A69-91A7-AE41A8A621A2}"/>
    <cellStyle name="40% - Énfasis1 74 2" xfId="17239" xr:uid="{2562C02D-CB98-4541-A2C3-3BADFCC691A5}"/>
    <cellStyle name="40% - Énfasis1 74_1.2.b" xfId="15510" xr:uid="{4D38BDC1-A38F-420D-8DAF-EF644C54818E}"/>
    <cellStyle name="40% - Énfasis1 75" xfId="13245" xr:uid="{BBA5D6B2-F68A-4E74-AE97-8AA3A8B3B573}"/>
    <cellStyle name="40% - Énfasis1 75 2" xfId="17240" xr:uid="{651AD697-AF4F-45BC-A2BF-967E797F33CB}"/>
    <cellStyle name="40% - Énfasis1 75_1.2.b" xfId="15511" xr:uid="{23ED1ECB-8A40-41B9-AEAB-010085A9D16F}"/>
    <cellStyle name="40% - Énfasis1 76" xfId="13246" xr:uid="{A23CC54C-0A6E-436E-AA6E-5FB7E78FF930}"/>
    <cellStyle name="40% - Énfasis1 76 2" xfId="17241" xr:uid="{AE7937AE-E82C-4E82-8D0F-B3E2B71DD84E}"/>
    <cellStyle name="40% - Énfasis1 76_1.2.b" xfId="15512" xr:uid="{5E354092-B014-4E90-9E9A-E4898602F211}"/>
    <cellStyle name="40% - Énfasis1 77" xfId="13247" xr:uid="{5C085EF5-826A-41A6-B394-80F768774CF7}"/>
    <cellStyle name="40% - Énfasis1 77 2" xfId="17242" xr:uid="{51A7F838-705E-4043-A606-29AB50FD7F41}"/>
    <cellStyle name="40% - Énfasis1 77_1.2.b" xfId="15513" xr:uid="{E37C3F71-008F-4806-BF14-3425641F2CE5}"/>
    <cellStyle name="40% - Énfasis1 78" xfId="13248" xr:uid="{DF565A1E-B2C4-4F5C-AC15-E2B0D47BEA7F}"/>
    <cellStyle name="40% - Énfasis1 78 2" xfId="17243" xr:uid="{E656877C-1E05-47B6-A8CE-C0CD75DDEAD5}"/>
    <cellStyle name="40% - Énfasis1 78_1.2.b" xfId="15514" xr:uid="{9DBE1CE3-3694-49FB-8B80-33B3C876DC61}"/>
    <cellStyle name="40% - Énfasis1 79" xfId="13249" xr:uid="{1517E9B3-D1CB-40FE-AB8F-C740DFDE83BB}"/>
    <cellStyle name="40% - Énfasis1 79 2" xfId="17244" xr:uid="{33DB5398-5873-43F1-A156-52767E52C7D3}"/>
    <cellStyle name="40% - Énfasis1 79_1.2.b" xfId="15515" xr:uid="{C23DD919-035E-4704-BF96-BB75713960FB}"/>
    <cellStyle name="40% - Énfasis1 8" xfId="9847" xr:uid="{00000000-0005-0000-0000-0000C8000000}"/>
    <cellStyle name="40% - Énfasis1 8 2" xfId="11632" xr:uid="{00000000-0005-0000-0000-0000C9000000}"/>
    <cellStyle name="40% - Énfasis1 8 3" xfId="13250" xr:uid="{A9BCAB65-C255-49B9-A361-748EB8192D4E}"/>
    <cellStyle name="40% - Énfasis1 8 4" xfId="17245" xr:uid="{5238E30F-5190-4699-A6C9-EC68149369AC}"/>
    <cellStyle name="40% - Énfasis1 8_1.2.b" xfId="15516" xr:uid="{6C1B0FEA-A627-439A-A706-303A0D0E2A60}"/>
    <cellStyle name="40% - Énfasis1 80" xfId="13251" xr:uid="{2C355BAA-E411-49D6-BA19-6F8EAAD2E16C}"/>
    <cellStyle name="40% - Énfasis1 80 2" xfId="17246" xr:uid="{74872A6A-D13C-4711-993C-B73AECE7F2B5}"/>
    <cellStyle name="40% - Énfasis1 80_1.2.b" xfId="15517" xr:uid="{92AF059C-2E08-4A7C-8D1A-BF8592E77CB2}"/>
    <cellStyle name="40% - Énfasis1 81" xfId="13252" xr:uid="{373AA07A-800C-4E54-923A-5550E23CDC01}"/>
    <cellStyle name="40% - Énfasis1 81 2" xfId="17247" xr:uid="{4E20DFB2-EB4F-436A-99FC-FD6E6021AD67}"/>
    <cellStyle name="40% - Énfasis1 81_1.2.b" xfId="15518" xr:uid="{0F85EAB6-E5F6-43C1-8A37-F88E972BE991}"/>
    <cellStyle name="40% - Énfasis1 82" xfId="13253" xr:uid="{6EED40A7-E0B2-409B-A8AD-AA488D96E679}"/>
    <cellStyle name="40% - Énfasis1 82 2" xfId="17248" xr:uid="{199759BE-39E3-4F33-803A-B1665BA04979}"/>
    <cellStyle name="40% - Énfasis1 82_1.2.b" xfId="15519" xr:uid="{66493F14-3726-4EB2-A7C6-ABA504B8B53E}"/>
    <cellStyle name="40% - Énfasis1 83" xfId="13254" xr:uid="{A2C643C9-9906-4D21-B623-CC9458EA9014}"/>
    <cellStyle name="40% - Énfasis1 83 2" xfId="17249" xr:uid="{71DF78CA-4A9F-48EC-82F7-882426601BA5}"/>
    <cellStyle name="40% - Énfasis1 83_1.2.b" xfId="15520" xr:uid="{1152E6EB-A279-4DBC-A822-10EF0720FA5B}"/>
    <cellStyle name="40% - Énfasis1 84" xfId="13255" xr:uid="{19CA64CA-E040-4213-87C0-39FFE1204E93}"/>
    <cellStyle name="40% - Énfasis1 84 2" xfId="17250" xr:uid="{E12212B4-949C-4E97-8968-9F5EAD6CA4F2}"/>
    <cellStyle name="40% - Énfasis1 84_1.2.b" xfId="15521" xr:uid="{77EB5B83-B161-48FE-A25D-B78023BBE731}"/>
    <cellStyle name="40% - Énfasis1 85" xfId="13256" xr:uid="{DE853CB6-E249-4850-BD83-8A9D5DD7BF03}"/>
    <cellStyle name="40% - Énfasis1 85 2" xfId="17251" xr:uid="{E89874EE-D974-4ABC-8C52-01BAEFE51D83}"/>
    <cellStyle name="40% - Énfasis1 85_1.2.b" xfId="15522" xr:uid="{4C4899C7-E257-4DCC-A851-6E8D58DAD1A1}"/>
    <cellStyle name="40% - Énfasis1 86" xfId="13257" xr:uid="{FF167E39-6A4A-4543-AE0C-E60EED4B0EE0}"/>
    <cellStyle name="40% - Énfasis1 86 2" xfId="17252" xr:uid="{4A911960-0E0A-428E-A4E4-55FFF194360F}"/>
    <cellStyle name="40% - Énfasis1 86_1.2.b" xfId="15523" xr:uid="{1536E6C7-0C32-43F9-B89C-9BF113DC0BC2}"/>
    <cellStyle name="40% - Énfasis1 87" xfId="13258" xr:uid="{16375521-DE94-4C39-A10C-8974CAA943EF}"/>
    <cellStyle name="40% - Énfasis1 87 2" xfId="17253" xr:uid="{15A76E18-7891-4E08-8C82-855B4C168154}"/>
    <cellStyle name="40% - Énfasis1 87_1.2.b" xfId="15524" xr:uid="{A291C3CD-9569-4EAE-BE06-1D3D52D9BA1B}"/>
    <cellStyle name="40% - Énfasis1 88" xfId="13259" xr:uid="{CCA38367-629B-49BD-8CEF-270F1C9C9B74}"/>
    <cellStyle name="40% - Énfasis1 88 2" xfId="17254" xr:uid="{827F0116-9281-4D3D-AB77-F8C1B061B366}"/>
    <cellStyle name="40% - Énfasis1 88_1.2.b" xfId="15525" xr:uid="{E3452338-591B-4BAB-B682-D899627419AA}"/>
    <cellStyle name="40% - Énfasis1 89" xfId="13260" xr:uid="{3E1E8C23-7BBC-4099-BE94-662B60BEC6A8}"/>
    <cellStyle name="40% - Énfasis1 89 2" xfId="17255" xr:uid="{F6820E10-B0D3-4ACE-B017-AE179B021F53}"/>
    <cellStyle name="40% - Énfasis1 89_1.2.b" xfId="15526" xr:uid="{6C45FE22-EA2B-4A4E-97BD-4D2472F9B503}"/>
    <cellStyle name="40% - Énfasis1 9" xfId="9871" xr:uid="{00000000-0005-0000-0000-0000CA000000}"/>
    <cellStyle name="40% - Énfasis1 9 2" xfId="13261" xr:uid="{576381C8-2AB6-4786-9F64-9A82101FA02F}"/>
    <cellStyle name="40% - Énfasis1 9 3" xfId="17256" xr:uid="{69C90641-348A-4B1F-B0E5-A79F1CE07626}"/>
    <cellStyle name="40% - Énfasis1 90" xfId="13262" xr:uid="{AF99499C-ACEB-4DB1-BC13-5C93E5513C0C}"/>
    <cellStyle name="40% - Énfasis1 90 2" xfId="17257" xr:uid="{FD4129E5-1F07-494F-BB6B-90B92C82A8CB}"/>
    <cellStyle name="40% - Énfasis1 90_1.2.b" xfId="15527" xr:uid="{90ED436C-79A8-4729-9E34-9486F1DBBCB1}"/>
    <cellStyle name="40% - Énfasis1 91" xfId="13263" xr:uid="{953AD8E6-BAD3-4CE8-A884-2E1B4B874ABC}"/>
    <cellStyle name="40% - Énfasis1 91 2" xfId="17258" xr:uid="{5320C238-E2A9-4248-BE0F-B23941CCB62C}"/>
    <cellStyle name="40% - Énfasis1 91_1.2.b" xfId="15528" xr:uid="{9C395A97-490B-45E5-902F-0046CE9B307B}"/>
    <cellStyle name="40% - Énfasis1 92" xfId="13264" xr:uid="{07039C13-658B-454A-8FCB-8CF82208A6CC}"/>
    <cellStyle name="40% - Énfasis1 92 2" xfId="17259" xr:uid="{20071209-1785-4B95-B2C4-2376AEA9BB46}"/>
    <cellStyle name="40% - Énfasis1 92_1.2.b" xfId="15529" xr:uid="{0FA243E0-89C3-467B-BD6E-73AE772EACAF}"/>
    <cellStyle name="40% - Énfasis1 93" xfId="13265" xr:uid="{E6C0A0D7-28F7-4F95-9F01-8BC74E314D3A}"/>
    <cellStyle name="40% - Énfasis1 93 2" xfId="17260" xr:uid="{6697CB59-081B-43FC-B0A1-428233386427}"/>
    <cellStyle name="40% - Énfasis1 93_1.2.b" xfId="15530" xr:uid="{D79DB67C-4D0D-4F41-B941-A942F350A321}"/>
    <cellStyle name="40% - Énfasis1 94" xfId="13266" xr:uid="{DA8821EF-1950-4C7E-A076-2D590D03ABE3}"/>
    <cellStyle name="40% - Énfasis1 94 2" xfId="17261" xr:uid="{A3452D5B-7187-44FD-94F5-29D0301641F8}"/>
    <cellStyle name="40% - Énfasis1 94_1.2.b" xfId="15531" xr:uid="{1EB88BF8-AC91-4AA8-8D31-2DDBCA717690}"/>
    <cellStyle name="40% - Énfasis1 95" xfId="13267" xr:uid="{F7ABB7FF-8F65-4F6D-A38E-42AB7073DD9C}"/>
    <cellStyle name="40% - Énfasis1 95 2" xfId="17262" xr:uid="{21F2DF71-7DAC-44A0-853D-55E365C6F446}"/>
    <cellStyle name="40% - Énfasis1 95_1.2.b" xfId="15532" xr:uid="{7B784C26-3C2A-40E6-8C64-E8BA9477B973}"/>
    <cellStyle name="40% - Énfasis1 96" xfId="13268" xr:uid="{F7C6299E-ADA7-4E03-B295-42D4183EE2D3}"/>
    <cellStyle name="40% - Énfasis1 96 2" xfId="17263" xr:uid="{48BE3AA2-43CC-4204-AF6D-0F0A8AC31321}"/>
    <cellStyle name="40% - Énfasis1 96_1.2.b" xfId="15533" xr:uid="{763FA8EE-87B8-4D3A-8DFC-9F1D6C886DEF}"/>
    <cellStyle name="40% - Énfasis2 10" xfId="9919" xr:uid="{00000000-0005-0000-0000-0000CC000000}"/>
    <cellStyle name="40% - Énfasis2 10 2" xfId="11656" xr:uid="{00000000-0005-0000-0000-0000CD000000}"/>
    <cellStyle name="40% - Énfasis2 10 3" xfId="13269" xr:uid="{201CD6EC-C940-494B-B1A3-82C2721AB05D}"/>
    <cellStyle name="40% - Énfasis2 10 4" xfId="17264" xr:uid="{47D42E9F-FC68-434F-A355-000BF837196D}"/>
    <cellStyle name="40% - Énfasis2 10_1.2.b" xfId="15534" xr:uid="{AFDB6281-0081-487E-B581-00FDE67BFFCE}"/>
    <cellStyle name="40% - Énfasis2 11" xfId="9949" xr:uid="{00000000-0005-0000-0000-0000CE000000}"/>
    <cellStyle name="40% - Énfasis2 11 2" xfId="11685" xr:uid="{00000000-0005-0000-0000-0000CF000000}"/>
    <cellStyle name="40% - Énfasis2 11 3" xfId="13270" xr:uid="{9C98E01C-E73F-4A63-B5B9-2545BEE1395C}"/>
    <cellStyle name="40% - Énfasis2 11 4" xfId="17265" xr:uid="{5A3FC03B-1FCB-4D96-AA8D-40A7E3CACAC4}"/>
    <cellStyle name="40% - Énfasis2 11_1.2.b" xfId="15535" xr:uid="{C3E00ED0-4F9F-4898-A910-47AA91051247}"/>
    <cellStyle name="40% - Énfasis2 12" xfId="10534" xr:uid="{00000000-0005-0000-0000-0000D0000000}"/>
    <cellStyle name="40% - Énfasis2 12 2" xfId="12269" xr:uid="{00000000-0005-0000-0000-0000D1000000}"/>
    <cellStyle name="40% - Énfasis2 12 3" xfId="13271" xr:uid="{50515E25-F0B2-44D6-B0D4-8C6BEFC3784A}"/>
    <cellStyle name="40% - Énfasis2 12 4" xfId="17266" xr:uid="{972FBABA-A57E-4D35-92C3-B884D8A1BABC}"/>
    <cellStyle name="40% - Énfasis2 12_1.2.b" xfId="15536" xr:uid="{96361F80-A897-47EB-9807-DC465FFBA91A}"/>
    <cellStyle name="40% - Énfasis2 13" xfId="10581" xr:uid="{00000000-0005-0000-0000-0000D2000000}"/>
    <cellStyle name="40% - Énfasis2 13 2" xfId="12314" xr:uid="{00000000-0005-0000-0000-0000D3000000}"/>
    <cellStyle name="40% - Énfasis2 13 3" xfId="13272" xr:uid="{D18022AD-7D8D-4C2A-8515-E1A43136AED6}"/>
    <cellStyle name="40% - Énfasis2 13 4" xfId="17267" xr:uid="{FF4F17C5-6A89-4476-8D46-7804374B6EE8}"/>
    <cellStyle name="40% - Énfasis2 13_1.2.b" xfId="15537" xr:uid="{ADC145DE-DE2C-4124-9EE1-AD294FF10B4F}"/>
    <cellStyle name="40% - Énfasis2 14" xfId="10601" xr:uid="{00000000-0005-0000-0000-0000D4000000}"/>
    <cellStyle name="40% - Énfasis2 14 2" xfId="12330" xr:uid="{00000000-0005-0000-0000-0000D5000000}"/>
    <cellStyle name="40% - Énfasis2 14 3" xfId="13273" xr:uid="{057B22AB-16D1-4BB5-9D94-1640B52A2C85}"/>
    <cellStyle name="40% - Énfasis2 14 4" xfId="17268" xr:uid="{395D355E-EB65-40D3-9183-2F746C263D9E}"/>
    <cellStyle name="40% - Énfasis2 14_1.2.b" xfId="15538" xr:uid="{BC369909-D340-4D6C-ADCE-FF1FF2F70AFF}"/>
    <cellStyle name="40% - Énfasis2 15" xfId="10622" xr:uid="{00000000-0005-0000-0000-0000D6000000}"/>
    <cellStyle name="40% - Énfasis2 15 2" xfId="13274" xr:uid="{A928F660-2FD4-437E-9012-B0BF2CF4FFC9}"/>
    <cellStyle name="40% - Énfasis2 15 3" xfId="17269" xr:uid="{99A4CDED-D339-4664-B126-87851479FE36}"/>
    <cellStyle name="40% - Énfasis2 15_1.2.b" xfId="15539" xr:uid="{DA29ED17-3501-4137-8AD3-9FA4315442DD}"/>
    <cellStyle name="40% - Énfasis2 16" xfId="12363" xr:uid="{00000000-0005-0000-0000-0000D7000000}"/>
    <cellStyle name="40% - Énfasis2 16 2" xfId="13275" xr:uid="{ED874757-9067-449E-B0F4-0DED8C0BF4A7}"/>
    <cellStyle name="40% - Énfasis2 16 3" xfId="17270" xr:uid="{882AD6F7-F0B7-4856-822F-43B8B09691A5}"/>
    <cellStyle name="40% - Énfasis2 16_1.2.b" xfId="15540" xr:uid="{8E11973C-0F57-40C9-9C16-B27C18572D40}"/>
    <cellStyle name="40% - Énfasis2 17" xfId="12378" xr:uid="{00000000-0005-0000-0000-0000D8000000}"/>
    <cellStyle name="40% - Énfasis2 17 2" xfId="13276" xr:uid="{4469125D-A7A4-4D75-8C9C-206E60932081}"/>
    <cellStyle name="40% - Énfasis2 17 3" xfId="17271" xr:uid="{996268A6-1553-45DC-AF4D-03DFA574C26A}"/>
    <cellStyle name="40% - Énfasis2 17_1.2.b" xfId="15541" xr:uid="{C597BE77-8717-4525-86F1-C2018FEB9393}"/>
    <cellStyle name="40% - Énfasis2 18" xfId="13277" xr:uid="{84BDB3AA-095B-4651-8E32-A4F6DB5F5EC0}"/>
    <cellStyle name="40% - Énfasis2 18 2" xfId="17272" xr:uid="{FAF294E5-E8E6-4C76-830F-79291C0EC192}"/>
    <cellStyle name="40% - Énfasis2 18_1.2.b" xfId="15542" xr:uid="{2B0A4CE4-3CE0-4656-8D69-DF1632883A47}"/>
    <cellStyle name="40% - Énfasis2 19" xfId="13278" xr:uid="{72F1FAF6-B9E5-4537-BEAA-A38811ADA0A6}"/>
    <cellStyle name="40% - Énfasis2 19 2" xfId="17273" xr:uid="{D18ED2DC-C7FA-44EE-A8C9-03CA8CE56916}"/>
    <cellStyle name="40% - Énfasis2 19_1.2.b" xfId="15543" xr:uid="{0CEF8782-BCF0-46C7-AF1E-F42439C0A9E3}"/>
    <cellStyle name="40% - Énfasis2 2" xfId="149" xr:uid="{00000000-0005-0000-0000-0000D9000000}"/>
    <cellStyle name="40% - Énfasis2 2 10" xfId="13280" xr:uid="{CD4C3E94-1B1E-4984-AA16-FD620DA57A83}"/>
    <cellStyle name="40% - Énfasis2 2 10 2" xfId="17275" xr:uid="{1F73985F-C060-48A7-A44A-CF909048619E}"/>
    <cellStyle name="40% - Énfasis2 2 10_1.2.b" xfId="15545" xr:uid="{906D881C-6A39-4C0E-85AA-1C75CE1A6A27}"/>
    <cellStyle name="40% - Énfasis2 2 11" xfId="13279" xr:uid="{A93D53A3-8CB7-4C62-BFA9-65D6C685A13C}"/>
    <cellStyle name="40% - Énfasis2 2 12" xfId="17274" xr:uid="{832F2FB1-9BC5-4ED6-BDF5-B4B7AEFE2484}"/>
    <cellStyle name="40% - Énfasis2 2 13" xfId="16637" xr:uid="{9E231348-5928-4DBB-9C00-013BA9A3A46E}"/>
    <cellStyle name="40% - Énfasis2 2 14" xfId="18208" xr:uid="{C2B02F3E-A735-415A-ABFB-6D6D94B547B5}"/>
    <cellStyle name="40% - Énfasis2 2 15" xfId="16751" xr:uid="{0A05B867-8E18-4D5F-AF80-8B33E1870805}"/>
    <cellStyle name="40% - Énfasis2 2 16" xfId="18210" xr:uid="{5153547B-95AB-4F2C-A5B3-2DC585923413}"/>
    <cellStyle name="40% - Énfasis2 2 2" xfId="10669" xr:uid="{00000000-0005-0000-0000-0000DA000000}"/>
    <cellStyle name="40% - Énfasis2 2 2 2" xfId="13282" xr:uid="{48AB7C36-E49A-4BF0-8AC6-95969CA425AB}"/>
    <cellStyle name="40% - Énfasis2 2 2 3" xfId="13283" xr:uid="{C221D2C3-96F2-4666-80B2-7FDAD6A60263}"/>
    <cellStyle name="40% - Énfasis2 2 2 4" xfId="13284" xr:uid="{114F1DFC-956C-4413-9A7A-F6BF570889D2}"/>
    <cellStyle name="40% - Énfasis2 2 2 5" xfId="13285" xr:uid="{8D8363D0-41B0-4FCB-AC09-99FA781AEE3C}"/>
    <cellStyle name="40% - Énfasis2 2 2 6" xfId="13281" xr:uid="{C01BD5F5-D05B-4737-815A-744B8733387E}"/>
    <cellStyle name="40% - Énfasis2 2 2 7" xfId="17276" xr:uid="{A9F8B559-D45C-4629-B266-CDE66D508642}"/>
    <cellStyle name="40% - Énfasis2 2 2_1.2.b" xfId="15546" xr:uid="{4A788C52-DACA-49FA-8A3C-2BAB9B12F00D}"/>
    <cellStyle name="40% - Énfasis2 2 3" xfId="13286" xr:uid="{FD5FE55E-3B26-4E51-B441-DA2683DB6E10}"/>
    <cellStyle name="40% - Énfasis2 2 4" xfId="13287" xr:uid="{A12603DE-502E-4CDA-B968-4191B139FC41}"/>
    <cellStyle name="40% - Énfasis2 2 5" xfId="13288" xr:uid="{A1E3C0B5-98EF-4CCF-B8E5-769E4FA32D7D}"/>
    <cellStyle name="40% - Énfasis2 2 6" xfId="13289" xr:uid="{1A051963-1F28-4539-8288-0BAE82630F02}"/>
    <cellStyle name="40% - Énfasis2 2 7" xfId="13290" xr:uid="{8F97D0F8-C2AF-4735-BE3D-73C69C783365}"/>
    <cellStyle name="40% - Énfasis2 2 8" xfId="13291" xr:uid="{73B62B7C-2092-4C79-A933-8A94656AF7A9}"/>
    <cellStyle name="40% - Énfasis2 2 9" xfId="13292" xr:uid="{8D82776F-0A53-4232-BB9E-F811D6514BFD}"/>
    <cellStyle name="40% - Énfasis2 2 9 2" xfId="17281" xr:uid="{FFE67EE6-3E8C-4435-9E90-0C7773E84742}"/>
    <cellStyle name="40% - Énfasis2 2 9_1.2.b" xfId="15547" xr:uid="{DD3C4FCC-3597-4532-8E6A-4924E16A6698}"/>
    <cellStyle name="40% - Énfasis2 2_1.2.b" xfId="15544" xr:uid="{4BFBA9D1-B56F-4426-8577-D66EA63E43F1}"/>
    <cellStyle name="40% - Énfasis2 20" xfId="13293" xr:uid="{812C7E15-8E50-4EA1-ADA2-4D5A0BEDFD8A}"/>
    <cellStyle name="40% - Énfasis2 20 2" xfId="17282" xr:uid="{8233CB59-64E1-4441-89E3-68EAA498A73D}"/>
    <cellStyle name="40% - Énfasis2 20_1.2.b" xfId="15548" xr:uid="{EC163D37-1705-4796-A152-33CAAD36A699}"/>
    <cellStyle name="40% - Énfasis2 21" xfId="13294" xr:uid="{B7CC23D8-FEDF-471D-9C3B-17B5C902C102}"/>
    <cellStyle name="40% - Énfasis2 21 2" xfId="17283" xr:uid="{7CCCBD8B-6D08-45F1-AAD1-84C97E7F3C36}"/>
    <cellStyle name="40% - Énfasis2 21_1.2.b" xfId="15549" xr:uid="{55B4EE3A-395C-4CBD-8C95-AFE5B7C23298}"/>
    <cellStyle name="40% - Énfasis2 22" xfId="13295" xr:uid="{9E07C05B-9975-4CFF-82DC-FBBE2ED3AE01}"/>
    <cellStyle name="40% - Énfasis2 22 2" xfId="17284" xr:uid="{937BD8F3-6C90-4155-8BE2-AD235DBBA765}"/>
    <cellStyle name="40% - Énfasis2 22_1.2.b" xfId="15550" xr:uid="{548F55B8-92AE-4175-8AF7-4813F191DDA5}"/>
    <cellStyle name="40% - Énfasis2 23" xfId="13296" xr:uid="{85D84452-A68D-4E34-A49A-87E08284197D}"/>
    <cellStyle name="40% - Énfasis2 23 2" xfId="17285" xr:uid="{F1C50348-5DFD-4D78-B17F-8958A315FECB}"/>
    <cellStyle name="40% - Énfasis2 23_1.2.b" xfId="15551" xr:uid="{02B0A358-BF22-4276-ADEB-B4D7BDC1B259}"/>
    <cellStyle name="40% - Énfasis2 24" xfId="13297" xr:uid="{B7D467C3-84F6-4971-9A5D-DD770F0C154F}"/>
    <cellStyle name="40% - Énfasis2 24 2" xfId="17286" xr:uid="{163AD813-975C-4FA1-8732-1024D9387EA5}"/>
    <cellStyle name="40% - Énfasis2 24_1.2.b" xfId="15552" xr:uid="{BC5FD8AC-631E-4053-8355-AA55CD6D95B8}"/>
    <cellStyle name="40% - Énfasis2 25" xfId="13298" xr:uid="{F73CB6B5-DECA-443B-8316-1862B0CFF4B0}"/>
    <cellStyle name="40% - Énfasis2 25 2" xfId="17287" xr:uid="{CC00834C-1B72-4155-B03D-12425F2E0CFD}"/>
    <cellStyle name="40% - Énfasis2 25_1.2.b" xfId="15553" xr:uid="{50BE249A-6819-45E4-BB43-AD4DE0067C70}"/>
    <cellStyle name="40% - Énfasis2 26" xfId="13299" xr:uid="{E05EF030-52DE-472E-BF48-65E41257CECC}"/>
    <cellStyle name="40% - Énfasis2 26 2" xfId="17288" xr:uid="{269B1C94-5E4C-400D-8F49-D85FF8EB9384}"/>
    <cellStyle name="40% - Énfasis2 26_1.2.b" xfId="15554" xr:uid="{FCB7487E-DD2C-497B-B2FA-23911A82BFAB}"/>
    <cellStyle name="40% - Énfasis2 27" xfId="13300" xr:uid="{354E300C-A2B4-4A30-BB59-8617B73086F2}"/>
    <cellStyle name="40% - Énfasis2 27 2" xfId="17289" xr:uid="{830C45D4-6461-4D29-90AE-D0746B195F1C}"/>
    <cellStyle name="40% - Énfasis2 27_1.2.b" xfId="15555" xr:uid="{CC66A763-8AB3-4044-BAFC-399C27B4BCDB}"/>
    <cellStyle name="40% - Énfasis2 28" xfId="13301" xr:uid="{DAD1261A-3750-4D85-8CCF-528618EC6FE9}"/>
    <cellStyle name="40% - Énfasis2 28 2" xfId="17290" xr:uid="{C5177EEC-F7DA-4B5D-9445-2CD76613F841}"/>
    <cellStyle name="40% - Énfasis2 28_1.2.b" xfId="15556" xr:uid="{D4DC6BC2-ED7B-4ACE-BAB7-46E3DE32D94F}"/>
    <cellStyle name="40% - Énfasis2 29" xfId="13302" xr:uid="{19DD4331-5912-4959-AE15-9BC3A165222F}"/>
    <cellStyle name="40% - Énfasis2 29 2" xfId="17291" xr:uid="{5393015A-515A-458A-9B9A-00D7DD493DBB}"/>
    <cellStyle name="40% - Énfasis2 29_1.2.b" xfId="15557" xr:uid="{874327BE-5635-4B01-BCFE-4B5792D29760}"/>
    <cellStyle name="40% - Énfasis2 3" xfId="163" xr:uid="{00000000-0005-0000-0000-0000DB000000}"/>
    <cellStyle name="40% - Énfasis2 3 2" xfId="10683" xr:uid="{00000000-0005-0000-0000-0000DC000000}"/>
    <cellStyle name="40% - Énfasis2 3 2 2" xfId="13304" xr:uid="{64A69C35-4111-47A6-81C6-69BBFCE62D5D}"/>
    <cellStyle name="40% - Énfasis2 3 2 3" xfId="17293" xr:uid="{963AFE2F-385C-4DFC-BF04-629109E7E934}"/>
    <cellStyle name="40% - Énfasis2 3 2_1.2.b" xfId="15559" xr:uid="{8E072306-8A63-4AF7-A8E3-2115872991FB}"/>
    <cellStyle name="40% - Énfasis2 3 3" xfId="13305" xr:uid="{6B8D20DA-404C-4CCF-A5B0-A6DAD6DD18E8}"/>
    <cellStyle name="40% - Énfasis2 3 4" xfId="13303" xr:uid="{D638F2DF-2012-4C30-9844-1DB770CA8582}"/>
    <cellStyle name="40% - Énfasis2 3 5" xfId="17292" xr:uid="{87013C78-2B4C-4513-9EC9-AE6F51F8340B}"/>
    <cellStyle name="40% - Énfasis2 3_1.2.b" xfId="15558" xr:uid="{41D901E5-3D45-42AD-8C47-0263440D777F}"/>
    <cellStyle name="40% - Énfasis2 30" xfId="13306" xr:uid="{6C79F409-B8B9-47C8-9065-32ECF97DD486}"/>
    <cellStyle name="40% - Énfasis2 30 2" xfId="17294" xr:uid="{1225097A-2A51-485B-A53A-1A75FC5E2B84}"/>
    <cellStyle name="40% - Énfasis2 30_1.2.b" xfId="15560" xr:uid="{410A3B58-6F0A-4E1C-9F0A-70A09E71071C}"/>
    <cellStyle name="40% - Énfasis2 31" xfId="13307" xr:uid="{6AD39C7A-CE39-4221-8392-96888DFBF46D}"/>
    <cellStyle name="40% - Énfasis2 31 2" xfId="17295" xr:uid="{B0138C5D-04F2-4847-8C9B-12761E4431D0}"/>
    <cellStyle name="40% - Énfasis2 31_1.2.b" xfId="15561" xr:uid="{12519ECD-ABF9-4E32-8849-F40E99402025}"/>
    <cellStyle name="40% - Énfasis2 32" xfId="13308" xr:uid="{9FF5CCF9-3662-4518-A614-74E026C45682}"/>
    <cellStyle name="40% - Énfasis2 32 2" xfId="17296" xr:uid="{94A05EC0-D792-4BAC-8180-3892E656A367}"/>
    <cellStyle name="40% - Énfasis2 32_1.2.b" xfId="15562" xr:uid="{2C82AE42-CDF7-4D41-AC2B-C335D66E999D}"/>
    <cellStyle name="40% - Énfasis2 33" xfId="13309" xr:uid="{1785FECF-9612-4EC2-86FB-2842868BC1C5}"/>
    <cellStyle name="40% - Énfasis2 33 2" xfId="17297" xr:uid="{F703DCA5-0A60-47F7-90A3-A736E8569399}"/>
    <cellStyle name="40% - Énfasis2 33_1.2.b" xfId="15563" xr:uid="{04C238D6-F1B8-4A7A-8BD7-4D51CA78F005}"/>
    <cellStyle name="40% - Énfasis2 34" xfId="13310" xr:uid="{C832796B-04F6-4F53-A999-1E6C2CFACDC3}"/>
    <cellStyle name="40% - Énfasis2 34 2" xfId="17298" xr:uid="{D9A49ACD-EE28-40D9-8CDD-ED8E2EAC8E8E}"/>
    <cellStyle name="40% - Énfasis2 34_1.2.b" xfId="15564" xr:uid="{E54510F5-22EF-4D3A-A5AE-6CD677006F95}"/>
    <cellStyle name="40% - Énfasis2 35" xfId="13311" xr:uid="{D45267D1-5B39-4C6A-BDE5-A89C146C2580}"/>
    <cellStyle name="40% - Énfasis2 35 2" xfId="17299" xr:uid="{139C28DE-ACF2-40DF-BCB5-84867E572119}"/>
    <cellStyle name="40% - Énfasis2 35_1.2.b" xfId="15565" xr:uid="{3CE2DA29-8F9B-4023-B13F-0CAEDE83109E}"/>
    <cellStyle name="40% - Énfasis2 36" xfId="13312" xr:uid="{27D10C8B-47FA-4F00-A44C-94D0461221E2}"/>
    <cellStyle name="40% - Énfasis2 36 2" xfId="17300" xr:uid="{06D8DA57-8AB7-4859-A53D-DBC4873DC01F}"/>
    <cellStyle name="40% - Énfasis2 36_1.2.b" xfId="15566" xr:uid="{A6677405-FD2C-40B5-9B98-66B1467B56C5}"/>
    <cellStyle name="40% - Énfasis2 37" xfId="13313" xr:uid="{DB9A690F-7F50-4471-B1CB-8B86A4E72D55}"/>
    <cellStyle name="40% - Énfasis2 37 2" xfId="17301" xr:uid="{56D181EC-A487-4915-A2F0-C4B9FD012734}"/>
    <cellStyle name="40% - Énfasis2 37_1.2.b" xfId="15567" xr:uid="{7B74527A-8531-409C-A9D4-E12E32EEF68A}"/>
    <cellStyle name="40% - Énfasis2 38" xfId="13314" xr:uid="{C474891C-AFCB-4AA5-BB3F-1E3F1A6FE159}"/>
    <cellStyle name="40% - Énfasis2 38 2" xfId="17302" xr:uid="{C9908426-5983-4027-AC37-75037C2E7143}"/>
    <cellStyle name="40% - Énfasis2 38_1.2.b" xfId="15568" xr:uid="{FF051889-0025-4F34-B640-319CF61F0558}"/>
    <cellStyle name="40% - Énfasis2 39" xfId="13315" xr:uid="{BEE2AE14-21FB-4956-90BF-0AD92654EBBB}"/>
    <cellStyle name="40% - Énfasis2 39 2" xfId="17303" xr:uid="{5AC34870-A6D1-4001-86B8-2371D4ED84D6}"/>
    <cellStyle name="40% - Énfasis2 39_1.2.b" xfId="15569" xr:uid="{34A1624C-C68E-4D48-A8C9-6A8F23D85174}"/>
    <cellStyle name="40% - Énfasis2 4" xfId="177" xr:uid="{00000000-0005-0000-0000-0000DD000000}"/>
    <cellStyle name="40% - Énfasis2 4 2" xfId="10697" xr:uid="{00000000-0005-0000-0000-0000DE000000}"/>
    <cellStyle name="40% - Énfasis2 4 2 2" xfId="13317" xr:uid="{30F9FA2C-E333-4099-927C-457B57782D1C}"/>
    <cellStyle name="40% - Énfasis2 4 2_1.2.b" xfId="15571" xr:uid="{08CBC7F5-A9CA-4C2F-8B17-6A71C6A085AD}"/>
    <cellStyle name="40% - Énfasis2 4 3" xfId="13316" xr:uid="{DADBCB49-28B3-4150-A4F7-EA25F2683E93}"/>
    <cellStyle name="40% - Énfasis2 4 4" xfId="17304" xr:uid="{E3B9CAF7-0907-4BE0-9212-C032FB78BC0F}"/>
    <cellStyle name="40% - Énfasis2 4 5" xfId="18156" xr:uid="{E3FE85A7-E8FA-4014-9C48-2D377D97D810}"/>
    <cellStyle name="40% - Énfasis2 4 6" xfId="18202" xr:uid="{27C6AC89-22F9-4F04-9222-DD62B15E715E}"/>
    <cellStyle name="40% - Énfasis2 4 7" xfId="16510" xr:uid="{CEA6326F-771C-4218-9B1E-6CAFEB7FF315}"/>
    <cellStyle name="40% - Énfasis2 4 8" xfId="18206" xr:uid="{84140789-ACD6-48EF-8CDA-DEA7B02CC2B5}"/>
    <cellStyle name="40% - Énfasis2 4_1.2.b" xfId="15570" xr:uid="{268586E7-6E3C-46A5-A720-0678118AB852}"/>
    <cellStyle name="40% - Énfasis2 40" xfId="13318" xr:uid="{9C1CF528-E427-42FA-915C-A2FD7770729C}"/>
    <cellStyle name="40% - Énfasis2 40 2" xfId="17305" xr:uid="{BCA9B35F-D3E8-492E-92A1-4EE99A3CB8EF}"/>
    <cellStyle name="40% - Énfasis2 40_1.2.b" xfId="15572" xr:uid="{50E35ACD-7337-40DC-A56A-7566A849C8A1}"/>
    <cellStyle name="40% - Énfasis2 41" xfId="13319" xr:uid="{D60A5257-59BE-4DC9-AC53-9FD84ED90307}"/>
    <cellStyle name="40% - Énfasis2 41 2" xfId="17306" xr:uid="{F5B2B609-5689-443F-8180-62807A4B8805}"/>
    <cellStyle name="40% - Énfasis2 41_1.2.b" xfId="15573" xr:uid="{630F3F10-D65A-45D2-B901-3DA87A09B53E}"/>
    <cellStyle name="40% - Énfasis2 42" xfId="13320" xr:uid="{3138B50C-F756-4523-8235-728EF6C934B8}"/>
    <cellStyle name="40% - Énfasis2 42 2" xfId="17307" xr:uid="{E369CF8F-76A8-453E-8CCF-BD3B77A644EB}"/>
    <cellStyle name="40% - Énfasis2 42_1.2.b" xfId="15574" xr:uid="{7CE2F550-257B-4556-831B-5E61F9F04CEB}"/>
    <cellStyle name="40% - Énfasis2 43" xfId="13321" xr:uid="{6A0CA30B-04D5-4AC3-9FD7-5BEBCD5F7E05}"/>
    <cellStyle name="40% - Énfasis2 43 2" xfId="17308" xr:uid="{B14D7B19-726E-4E07-B6F1-7D86DE5B1FF4}"/>
    <cellStyle name="40% - Énfasis2 43_1.2.b" xfId="15575" xr:uid="{8D98E91D-1FDE-42F7-8403-9D62E1DA4156}"/>
    <cellStyle name="40% - Énfasis2 44" xfId="13322" xr:uid="{2C6A5D5D-702C-4DEC-823F-1815969C53A9}"/>
    <cellStyle name="40% - Énfasis2 44 2" xfId="17309" xr:uid="{CAB5EE62-33C1-4673-858A-953851525EEB}"/>
    <cellStyle name="40% - Énfasis2 44_1.2.b" xfId="15576" xr:uid="{4D80FD0F-159E-4183-9D37-B6C98984C3D7}"/>
    <cellStyle name="40% - Énfasis2 45" xfId="13323" xr:uid="{FC9C12BC-F9A0-40E0-85F4-7F942DEF8122}"/>
    <cellStyle name="40% - Énfasis2 45 2" xfId="17310" xr:uid="{BE39F142-6C3F-4B4C-940C-0B4F4FA7BA47}"/>
    <cellStyle name="40% - Énfasis2 45_1.2.b" xfId="15577" xr:uid="{A46A87EB-7F15-4A18-BAD3-70C4E7BA4E4D}"/>
    <cellStyle name="40% - Énfasis2 46" xfId="13324" xr:uid="{852ACC7E-3022-4DFE-8A01-CCE2FAC3848A}"/>
    <cellStyle name="40% - Énfasis2 46 2" xfId="17311" xr:uid="{24636087-074F-4AFB-960F-438BE0F8FB0B}"/>
    <cellStyle name="40% - Énfasis2 46_1.2.b" xfId="15578" xr:uid="{33EE9CF2-1010-4AC8-A5A1-D090DBB0149C}"/>
    <cellStyle name="40% - Énfasis2 47" xfId="13325" xr:uid="{40190501-2565-4633-ADDB-56FA4961C404}"/>
    <cellStyle name="40% - Énfasis2 47 2" xfId="17312" xr:uid="{E5B59FAD-35C8-4F5A-A662-49E8AD6B8CD4}"/>
    <cellStyle name="40% - Énfasis2 47_1.2.b" xfId="15579" xr:uid="{B26B2BC8-6166-44F1-892F-88CB630A166B}"/>
    <cellStyle name="40% - Énfasis2 48" xfId="13326" xr:uid="{41E17E5D-F1B8-43A2-AF1B-5D2E3707A4C5}"/>
    <cellStyle name="40% - Énfasis2 48 2" xfId="17313" xr:uid="{5DF0F39F-05E8-4391-99AE-F16A74A718CA}"/>
    <cellStyle name="40% - Énfasis2 48_1.2.b" xfId="15580" xr:uid="{F268926C-B26F-4273-8433-57FC0C5D3783}"/>
    <cellStyle name="40% - Énfasis2 49" xfId="13327" xr:uid="{BFAB2C59-8FD1-476A-B88C-B5834F7186F7}"/>
    <cellStyle name="40% - Énfasis2 49 2" xfId="17314" xr:uid="{4B907A06-F378-4EB5-B7FA-7338C6763FAD}"/>
    <cellStyle name="40% - Énfasis2 49_1.2.b" xfId="15581" xr:uid="{34DB182F-1C6D-45E2-93ED-F2D357557ADA}"/>
    <cellStyle name="40% - Énfasis2 5" xfId="192" xr:uid="{00000000-0005-0000-0000-0000DF000000}"/>
    <cellStyle name="40% - Énfasis2 5 2" xfId="10712" xr:uid="{00000000-0005-0000-0000-0000E0000000}"/>
    <cellStyle name="40% - Énfasis2 5 3" xfId="13328" xr:uid="{B75C5DE1-70CC-4257-B3D2-6B28C8E2296E}"/>
    <cellStyle name="40% - Énfasis2 5 4" xfId="17315" xr:uid="{0BD2D483-A6D9-4074-86C8-56D3C8522560}"/>
    <cellStyle name="40% - Énfasis2 5_1.2.b" xfId="15582" xr:uid="{46ED58F1-6917-4668-86F5-4267AA09CEF7}"/>
    <cellStyle name="40% - Énfasis2 50" xfId="13329" xr:uid="{7AF2190A-B737-40EB-ABA8-60FBE141C837}"/>
    <cellStyle name="40% - Énfasis2 50 2" xfId="17316" xr:uid="{7538F184-8B25-4B72-8292-354D09FBFC99}"/>
    <cellStyle name="40% - Énfasis2 50_1.2.b" xfId="15583" xr:uid="{EFF67F90-0381-40FE-85DD-30850904FCB8}"/>
    <cellStyle name="40% - Énfasis2 51" xfId="13330" xr:uid="{2A097462-8B19-4E5C-AA15-A3D2506988B6}"/>
    <cellStyle name="40% - Énfasis2 51 2" xfId="17317" xr:uid="{549BB046-4614-4D65-A7B3-0D1A6DD14C2E}"/>
    <cellStyle name="40% - Énfasis2 51_1.2.b" xfId="15584" xr:uid="{FB268091-4AAB-46CD-B671-A3EB40EBE023}"/>
    <cellStyle name="40% - Énfasis2 52" xfId="13331" xr:uid="{BCF94107-60A2-4CD9-B8D7-6008C9240B43}"/>
    <cellStyle name="40% - Énfasis2 52 2" xfId="17318" xr:uid="{F12750CE-B039-4A44-BC99-136FF02D4EDA}"/>
    <cellStyle name="40% - Énfasis2 52_1.2.b" xfId="15585" xr:uid="{38EA5877-F9E7-40A6-8E4B-A7F86FE8ACD0}"/>
    <cellStyle name="40% - Énfasis2 53" xfId="13332" xr:uid="{5E4CB1B0-6211-4EA5-B5D4-ADF8F787218A}"/>
    <cellStyle name="40% - Énfasis2 53 2" xfId="17319" xr:uid="{0A62CE45-202A-4CEA-AC17-87058B7C7F44}"/>
    <cellStyle name="40% - Énfasis2 53_1.2.b" xfId="15586" xr:uid="{9E4A890E-DED2-432C-961D-251D3EE73771}"/>
    <cellStyle name="40% - Énfasis2 54" xfId="13333" xr:uid="{D4288DB3-C246-4999-AA6F-A2150B343C7D}"/>
    <cellStyle name="40% - Énfasis2 54 2" xfId="17320" xr:uid="{E53D3451-A1AE-4E7A-B9D4-6D4DB3FE028A}"/>
    <cellStyle name="40% - Énfasis2 54_1.2.b" xfId="15587" xr:uid="{66166461-E255-43F2-8458-73399E084EF8}"/>
    <cellStyle name="40% - Énfasis2 55" xfId="13334" xr:uid="{A7AF668A-EB72-431F-9DB8-E67AF8120277}"/>
    <cellStyle name="40% - Énfasis2 55 2" xfId="17321" xr:uid="{6CA1E7AC-CE68-4855-B890-A3AA2A3A76C1}"/>
    <cellStyle name="40% - Énfasis2 55_1.2.b" xfId="15588" xr:uid="{6C868C4D-523D-4DEE-B97A-14B741A77D54}"/>
    <cellStyle name="40% - Énfasis2 56" xfId="13335" xr:uid="{CD0C66F2-F488-4FD5-9F2A-B0A53ED28227}"/>
    <cellStyle name="40% - Énfasis2 56 2" xfId="17322" xr:uid="{A6F31375-A016-4B9E-B2BD-10F43B66D73B}"/>
    <cellStyle name="40% - Énfasis2 56_1.2.b" xfId="15589" xr:uid="{663242BE-D652-4F84-83D2-8AB43D158086}"/>
    <cellStyle name="40% - Énfasis2 57" xfId="13336" xr:uid="{F04CE570-1550-4605-8E73-E91879BA6D7B}"/>
    <cellStyle name="40% - Énfasis2 57 2" xfId="17323" xr:uid="{7C78F107-BBA7-41BA-B251-2AD804232282}"/>
    <cellStyle name="40% - Énfasis2 57_1.2.b" xfId="15590" xr:uid="{44620A0A-EF20-485C-85ED-96FF900EA196}"/>
    <cellStyle name="40% - Énfasis2 58" xfId="13337" xr:uid="{01374CFB-2074-40AB-AD47-F72D9C5CA863}"/>
    <cellStyle name="40% - Énfasis2 58 2" xfId="17324" xr:uid="{922167F1-9ACE-436A-8EB9-B66378E0CC78}"/>
    <cellStyle name="40% - Énfasis2 58_1.2.b" xfId="15591" xr:uid="{C244CCE6-0180-4E35-9FF4-52379FAD85B6}"/>
    <cellStyle name="40% - Énfasis2 59" xfId="13338" xr:uid="{C9BD8D34-E9D1-4691-A956-AD0C5FC32E94}"/>
    <cellStyle name="40% - Énfasis2 59 2" xfId="17325" xr:uid="{DCD16FAF-5CD8-40FE-A472-9C9E5B516AB4}"/>
    <cellStyle name="40% - Énfasis2 59_1.2.b" xfId="15592" xr:uid="{77FD5E06-AA46-4A3B-8956-DAC6165D8034}"/>
    <cellStyle name="40% - Énfasis2 6" xfId="206" xr:uid="{00000000-0005-0000-0000-0000E1000000}"/>
    <cellStyle name="40% - Énfasis2 6 2" xfId="10726" xr:uid="{00000000-0005-0000-0000-0000E2000000}"/>
    <cellStyle name="40% - Énfasis2 6 3" xfId="13339" xr:uid="{752B91C6-69B4-4C41-9F9D-956DB2A382AD}"/>
    <cellStyle name="40% - Énfasis2 6 4" xfId="17326" xr:uid="{9A8C80A6-2D08-409A-9D4D-435BCFC756FA}"/>
    <cellStyle name="40% - Énfasis2 6_1.2.b" xfId="15593" xr:uid="{178022F6-0D04-4AB9-814D-589EA701A22E}"/>
    <cellStyle name="40% - Énfasis2 60" xfId="13340" xr:uid="{6E616A64-DDD8-45E5-BB36-75F68EC46259}"/>
    <cellStyle name="40% - Énfasis2 60 2" xfId="17327" xr:uid="{570F3CD1-4CFB-4B9F-BB32-9BC7480F4338}"/>
    <cellStyle name="40% - Énfasis2 60_1.2.b" xfId="15594" xr:uid="{D691D184-C9A8-4CEC-97F5-771B70932CB2}"/>
    <cellStyle name="40% - Énfasis2 61" xfId="13341" xr:uid="{CA09C3E8-8C51-4892-8BF9-1B720838A43B}"/>
    <cellStyle name="40% - Énfasis2 61 2" xfId="17328" xr:uid="{D79A0DAB-1E4A-479F-AB31-EB55CEEEA1B6}"/>
    <cellStyle name="40% - Énfasis2 61_1.2.b" xfId="15595" xr:uid="{6382214F-BEC5-41C7-93FA-219C0AC2A623}"/>
    <cellStyle name="40% - Énfasis2 62" xfId="13342" xr:uid="{3EFCD17E-D8A0-4921-9D1F-EE52F51206C6}"/>
    <cellStyle name="40% - Énfasis2 62 2" xfId="17329" xr:uid="{569388AD-9376-419B-87B6-B9FB897D2E03}"/>
    <cellStyle name="40% - Énfasis2 62_1.2.b" xfId="15596" xr:uid="{B9F846F9-9B8E-4EE2-B033-51C26D6BB929}"/>
    <cellStyle name="40% - Énfasis2 63" xfId="13343" xr:uid="{3A9B84DD-6837-4183-A536-9D1ECCAA5F0C}"/>
    <cellStyle name="40% - Énfasis2 63 2" xfId="17330" xr:uid="{E9A90B21-2145-4755-8F4A-D9F19DF77DBD}"/>
    <cellStyle name="40% - Énfasis2 63_1.2.b" xfId="15597" xr:uid="{3C91B7E4-7900-434B-935B-A37E8B786C18}"/>
    <cellStyle name="40% - Énfasis2 64" xfId="13344" xr:uid="{BFEAD3FE-51EF-467C-B2A9-98B0921A1E40}"/>
    <cellStyle name="40% - Énfasis2 64 2" xfId="17331" xr:uid="{3A77026D-F46A-4650-B761-830CBD743855}"/>
    <cellStyle name="40% - Énfasis2 64_1.2.b" xfId="15598" xr:uid="{CD43A18B-EE7C-45DA-B096-0532FF8CDDBF}"/>
    <cellStyle name="40% - Énfasis2 65" xfId="13345" xr:uid="{67F3BDDE-460F-49A6-8568-6C4A0D646A5C}"/>
    <cellStyle name="40% - Énfasis2 65 2" xfId="17332" xr:uid="{8AE0ECD6-38B6-4788-BA55-1054F4EC5B1A}"/>
    <cellStyle name="40% - Énfasis2 65_1.2.b" xfId="15599" xr:uid="{1D8BB3E5-6041-4986-B623-D0056ADE933A}"/>
    <cellStyle name="40% - Énfasis2 66" xfId="13346" xr:uid="{7BD950AA-5D0A-4EAA-902A-CB5922B0594E}"/>
    <cellStyle name="40% - Énfasis2 66 2" xfId="17333" xr:uid="{97AAD0BC-325E-4BFA-9D28-E57D484CFF8A}"/>
    <cellStyle name="40% - Énfasis2 66_1.2.b" xfId="15600" xr:uid="{F02080D9-B7CF-4F1B-B885-AA214C7A3D42}"/>
    <cellStyle name="40% - Énfasis2 67" xfId="13347" xr:uid="{7E9D6DCB-82C9-41FF-90B1-B54CFABC0F92}"/>
    <cellStyle name="40% - Énfasis2 67 2" xfId="17334" xr:uid="{0D1B6DAB-04E1-4832-B545-68479520F997}"/>
    <cellStyle name="40% - Énfasis2 67_1.2.b" xfId="15601" xr:uid="{1B859A09-AB69-43B3-BA7F-C0FF4BD2CEB0}"/>
    <cellStyle name="40% - Énfasis2 68" xfId="13348" xr:uid="{42902FB6-52FA-4D94-85EE-0DB0D990A873}"/>
    <cellStyle name="40% - Énfasis2 68 2" xfId="17335" xr:uid="{FC1DB33A-DA45-41C7-92EB-B7C4E730D788}"/>
    <cellStyle name="40% - Énfasis2 68_1.2.b" xfId="15602" xr:uid="{3F872079-68B6-4848-8520-71E1FCB26BEE}"/>
    <cellStyle name="40% - Énfasis2 69" xfId="13349" xr:uid="{9149F823-DB65-486D-B99F-0FCE20F6FC44}"/>
    <cellStyle name="40% - Énfasis2 69 2" xfId="17336" xr:uid="{FC458114-A7E6-4048-A736-6D9B0C696057}"/>
    <cellStyle name="40% - Énfasis2 69_1.2.b" xfId="15603" xr:uid="{3541C0C8-A563-45B0-B08D-438B5112356C}"/>
    <cellStyle name="40% - Énfasis2 7" xfId="9830" xr:uid="{00000000-0005-0000-0000-0000E3000000}"/>
    <cellStyle name="40% - Énfasis2 7 2" xfId="11616" xr:uid="{00000000-0005-0000-0000-0000E4000000}"/>
    <cellStyle name="40% - Énfasis2 7 3" xfId="13350" xr:uid="{F7C10DE7-543C-450C-8465-57121212A1EE}"/>
    <cellStyle name="40% - Énfasis2 7 4" xfId="17337" xr:uid="{93EB1CF1-7BA4-4E2A-B068-0CB40F627454}"/>
    <cellStyle name="40% - Énfasis2 7_1.2.b" xfId="15604" xr:uid="{BA375CBD-232F-4717-A2A9-218ECD5D3A42}"/>
    <cellStyle name="40% - Énfasis2 70" xfId="13351" xr:uid="{00643421-0036-4ED4-9B66-DF431AB0474C}"/>
    <cellStyle name="40% - Énfasis2 70 2" xfId="17338" xr:uid="{FF4DB01F-40AA-433A-827C-478FB9DB45C0}"/>
    <cellStyle name="40% - Énfasis2 70_1.2.b" xfId="15605" xr:uid="{46F971FE-3613-4F20-A6E1-84685F0EFF6B}"/>
    <cellStyle name="40% - Énfasis2 71" xfId="13352" xr:uid="{D84C05ED-407C-40A6-A795-5AC0FFE91807}"/>
    <cellStyle name="40% - Énfasis2 71 2" xfId="17339" xr:uid="{06A4E549-2E4B-432E-B255-830C3C6A0753}"/>
    <cellStyle name="40% - Énfasis2 71_1.2.b" xfId="15606" xr:uid="{C694E0F2-3967-4699-A2DE-E6D4B56859FF}"/>
    <cellStyle name="40% - Énfasis2 72" xfId="13353" xr:uid="{B1DCB9DB-AF2A-4D2D-A079-E379E928A013}"/>
    <cellStyle name="40% - Énfasis2 72 2" xfId="17340" xr:uid="{76E32627-0D2F-4723-BCB4-CB4E37C2A3CF}"/>
    <cellStyle name="40% - Énfasis2 72_1.2.b" xfId="15607" xr:uid="{69B72999-CC35-4330-A814-5A782588B269}"/>
    <cellStyle name="40% - Énfasis2 73" xfId="13354" xr:uid="{27FB1C3C-5D59-474B-93E7-A26890A62173}"/>
    <cellStyle name="40% - Énfasis2 73 2" xfId="17341" xr:uid="{1117F871-F352-4AD1-A947-6C469296356C}"/>
    <cellStyle name="40% - Énfasis2 73_1.2.b" xfId="15608" xr:uid="{75C3619E-527A-489B-9905-72DC03089D83}"/>
    <cellStyle name="40% - Énfasis2 74" xfId="13355" xr:uid="{76840621-C63C-472B-B947-EB79586522C6}"/>
    <cellStyle name="40% - Énfasis2 74 2" xfId="17342" xr:uid="{8BD9C6E3-A909-42D3-BCEF-542FB871A314}"/>
    <cellStyle name="40% - Énfasis2 74_1.2.b" xfId="15609" xr:uid="{E5607723-6E9F-4DEE-B688-B9094528DE76}"/>
    <cellStyle name="40% - Énfasis2 75" xfId="13356" xr:uid="{391FA76D-5A1F-450A-8509-6EBF0C674A58}"/>
    <cellStyle name="40% - Énfasis2 75 2" xfId="17343" xr:uid="{0D80AEC6-6F62-4605-91C6-053015029828}"/>
    <cellStyle name="40% - Énfasis2 75_1.2.b" xfId="15610" xr:uid="{E892F39A-9F03-47B7-8D28-EAE01981BB6A}"/>
    <cellStyle name="40% - Énfasis2 76" xfId="13357" xr:uid="{713D5F6F-F410-4DCE-B2DA-F3BDD8BE0934}"/>
    <cellStyle name="40% - Énfasis2 76 2" xfId="17344" xr:uid="{A70288F9-AA7A-492B-9AD2-C72CD7172281}"/>
    <cellStyle name="40% - Énfasis2 76_1.2.b" xfId="15611" xr:uid="{5A28ACA6-781F-4D24-8C1E-27632E67E4E5}"/>
    <cellStyle name="40% - Énfasis2 77" xfId="13358" xr:uid="{5E3279F7-4069-4D8B-A8A3-6AB548CD3126}"/>
    <cellStyle name="40% - Énfasis2 77 2" xfId="17345" xr:uid="{67E8DC8F-F858-413C-BEB5-4D6CC6C90C8A}"/>
    <cellStyle name="40% - Énfasis2 77_1.2.b" xfId="15612" xr:uid="{E116A949-622F-4966-8B38-A97EA18825CB}"/>
    <cellStyle name="40% - Énfasis2 78" xfId="13359" xr:uid="{653C0B26-E03F-4166-BA2B-2903C01ECF20}"/>
    <cellStyle name="40% - Énfasis2 78 2" xfId="17346" xr:uid="{127D7519-B6EC-4F19-B1E6-A4637C8996FA}"/>
    <cellStyle name="40% - Énfasis2 78_1.2.b" xfId="15613" xr:uid="{3D691D1F-964E-40B3-A503-C76AADF60E02}"/>
    <cellStyle name="40% - Énfasis2 79" xfId="13360" xr:uid="{A88C9129-7E85-4CCE-B098-FA480C4F408B}"/>
    <cellStyle name="40% - Énfasis2 79 2" xfId="17347" xr:uid="{D7C7E069-36F1-40B7-B43A-1C1EE0BB3D89}"/>
    <cellStyle name="40% - Énfasis2 79_1.2.b" xfId="15614" xr:uid="{F5E1858F-9E2D-4BB4-8CDF-0DFEA468070F}"/>
    <cellStyle name="40% - Énfasis2 8" xfId="9849" xr:uid="{00000000-0005-0000-0000-0000E5000000}"/>
    <cellStyle name="40% - Énfasis2 8 2" xfId="11634" xr:uid="{00000000-0005-0000-0000-0000E6000000}"/>
    <cellStyle name="40% - Énfasis2 8 3" xfId="13361" xr:uid="{4CD47393-56A4-438C-9A5C-D2E8C11510FB}"/>
    <cellStyle name="40% - Énfasis2 8 4" xfId="17348" xr:uid="{C2C0F2BC-B00E-408D-A482-EF2F55EC488C}"/>
    <cellStyle name="40% - Énfasis2 8_1.2.b" xfId="15615" xr:uid="{544D943F-E167-4A7F-926B-4B05C21ED9D6}"/>
    <cellStyle name="40% - Énfasis2 80" xfId="13362" xr:uid="{941522D2-0898-40A5-B51C-4BD1EAF886D8}"/>
    <cellStyle name="40% - Énfasis2 80 2" xfId="17349" xr:uid="{362792E9-93E8-4EF0-88D5-9E62BE07452E}"/>
    <cellStyle name="40% - Énfasis2 80_1.2.b" xfId="15616" xr:uid="{DC4FBBBA-3BB9-4D84-9E60-36E2F5E001E8}"/>
    <cellStyle name="40% - Énfasis2 81" xfId="13363" xr:uid="{885B7022-8E28-4D39-9E2A-581686CC423C}"/>
    <cellStyle name="40% - Énfasis2 81 2" xfId="17350" xr:uid="{9DEA129B-C144-4A52-960C-680B58E0526B}"/>
    <cellStyle name="40% - Énfasis2 81_1.2.b" xfId="15617" xr:uid="{E4869078-69A5-43F1-8B5C-4D318553E61A}"/>
    <cellStyle name="40% - Énfasis2 82" xfId="13364" xr:uid="{043604BE-36A2-43B9-B274-8E59649A9568}"/>
    <cellStyle name="40% - Énfasis2 82 2" xfId="17351" xr:uid="{20EF3473-630A-45E0-BD53-58FD03D89770}"/>
    <cellStyle name="40% - Énfasis2 82_1.2.b" xfId="15618" xr:uid="{8AC06AF3-670B-499D-900C-7CD78BCC4B54}"/>
    <cellStyle name="40% - Énfasis2 83" xfId="13365" xr:uid="{9EF8A25B-9BC8-416C-ADD0-A8E5337884B2}"/>
    <cellStyle name="40% - Énfasis2 83 2" xfId="17352" xr:uid="{E2058507-9812-4661-B58D-FABCF0A26570}"/>
    <cellStyle name="40% - Énfasis2 83_1.2.b" xfId="15619" xr:uid="{BFD83F6C-0C83-4038-94E0-025AFD923B51}"/>
    <cellStyle name="40% - Énfasis2 84" xfId="13366" xr:uid="{45C2457B-FF1C-4803-8D6C-62021341343B}"/>
    <cellStyle name="40% - Énfasis2 84 2" xfId="17353" xr:uid="{80A6FBBB-CAD4-4D47-AE9E-909EFCEABDDE}"/>
    <cellStyle name="40% - Énfasis2 84_1.2.b" xfId="15620" xr:uid="{9DCECF71-4D46-4228-94DB-90DC83DF3EDB}"/>
    <cellStyle name="40% - Énfasis2 85" xfId="13367" xr:uid="{CCFF593D-AAB1-41D2-A5BD-582EA2E2FE66}"/>
    <cellStyle name="40% - Énfasis2 85 2" xfId="17354" xr:uid="{173BF558-21EA-4B99-BBEA-C99FB8193B27}"/>
    <cellStyle name="40% - Énfasis2 85_1.2.b" xfId="15621" xr:uid="{9C3D536A-525D-40B2-845A-B6B71F5CA4E2}"/>
    <cellStyle name="40% - Énfasis2 86" xfId="13368" xr:uid="{47A1548A-95EB-4706-91F6-5A04261169B7}"/>
    <cellStyle name="40% - Énfasis2 86 2" xfId="17355" xr:uid="{EBDEDF78-43FE-4862-B33A-36AB56C2E52F}"/>
    <cellStyle name="40% - Énfasis2 86_1.2.b" xfId="15622" xr:uid="{E0EFFEC4-0E15-48F2-8E4A-33081B10655C}"/>
    <cellStyle name="40% - Énfasis2 87" xfId="13369" xr:uid="{18818A18-28EB-4641-B40D-72EA066052A1}"/>
    <cellStyle name="40% - Énfasis2 87 2" xfId="17356" xr:uid="{CF2DBD0C-AC2E-41EC-B171-3763CEE9C52F}"/>
    <cellStyle name="40% - Énfasis2 87_1.2.b" xfId="15623" xr:uid="{0A6CC843-8A9F-4E91-8051-92599AC2977D}"/>
    <cellStyle name="40% - Énfasis2 88" xfId="13370" xr:uid="{E7A15D92-BE9C-4678-8C76-D4D6838CEAA5}"/>
    <cellStyle name="40% - Énfasis2 88 2" xfId="17357" xr:uid="{6171F5F0-B412-4DF7-A42C-85543558F74A}"/>
    <cellStyle name="40% - Énfasis2 88_1.2.b" xfId="15624" xr:uid="{CA80F5AE-975E-4152-95EA-01C8C68E3EE8}"/>
    <cellStyle name="40% - Énfasis2 89" xfId="13371" xr:uid="{D7F297D3-01BC-4252-BF06-8B3B4C5F4ABE}"/>
    <cellStyle name="40% - Énfasis2 89 2" xfId="17358" xr:uid="{0683FD85-743D-4867-9C07-54B62CBC2163}"/>
    <cellStyle name="40% - Énfasis2 89_1.2.b" xfId="15625" xr:uid="{78FD5500-D5F9-4A92-A0C9-67A00234910B}"/>
    <cellStyle name="40% - Énfasis2 9" xfId="9872" xr:uid="{00000000-0005-0000-0000-0000E7000000}"/>
    <cellStyle name="40% - Énfasis2 9 2" xfId="13372" xr:uid="{E2AB18A5-D7F8-40D2-AD15-2FEBE3E39F7C}"/>
    <cellStyle name="40% - Énfasis2 9 3" xfId="17359" xr:uid="{119A81D0-19F4-4765-B674-8823033E78F0}"/>
    <cellStyle name="40% - Énfasis2 9_1.2.b" xfId="15626" xr:uid="{8B11B707-FF39-43B3-979D-CF64F3B20258}"/>
    <cellStyle name="40% - Énfasis2 90" xfId="13373" xr:uid="{927C7BDA-1AF3-4045-B9D1-1B59E1657312}"/>
    <cellStyle name="40% - Énfasis2 90 2" xfId="17360" xr:uid="{8854C884-C5AC-48D7-9470-F4409D6C0625}"/>
    <cellStyle name="40% - Énfasis2 90_1.2.b" xfId="15627" xr:uid="{EE899389-DA02-41D9-97E8-D1AF3D53ADB4}"/>
    <cellStyle name="40% - Énfasis2 91" xfId="13374" xr:uid="{9FBFD844-A7FB-4197-A8F0-09C24B9454F2}"/>
    <cellStyle name="40% - Énfasis2 91 2" xfId="17361" xr:uid="{709E634E-28DA-4321-A632-9B3AA28B0038}"/>
    <cellStyle name="40% - Énfasis2 91_1.2.b" xfId="15628" xr:uid="{C426B8F0-C2BA-4194-8884-F398F6BB1209}"/>
    <cellStyle name="40% - Énfasis2 92" xfId="13375" xr:uid="{AA785051-A752-4424-81E6-ED04586F4B0B}"/>
    <cellStyle name="40% - Énfasis2 92 2" xfId="17362" xr:uid="{BB54DDA0-2DDA-4B38-A9E4-55A8AA6B59F8}"/>
    <cellStyle name="40% - Énfasis2 92_1.2.b" xfId="15629" xr:uid="{23A46BFD-EA9F-4F30-995A-A645EF516D46}"/>
    <cellStyle name="40% - Énfasis2 93" xfId="13376" xr:uid="{4CA83331-2A2D-49EB-8777-526882DC5656}"/>
    <cellStyle name="40% - Énfasis2 93 2" xfId="17363" xr:uid="{82565FA6-01DA-4A24-8759-FD26363DB96E}"/>
    <cellStyle name="40% - Énfasis2 93_1.2.b" xfId="15630" xr:uid="{E106B9BE-DE48-48D4-ADAF-91626F493B0C}"/>
    <cellStyle name="40% - Énfasis2 94" xfId="13377" xr:uid="{F9BAF089-6A5A-4638-AB80-EACF63EA3157}"/>
    <cellStyle name="40% - Énfasis2 94 2" xfId="17364" xr:uid="{529B0A86-81DD-4CF0-87DE-1E95EABFA721}"/>
    <cellStyle name="40% - Énfasis2 94_1.2.b" xfId="15631" xr:uid="{F10C81B2-4071-428E-83FD-7598DCB6ACE5}"/>
    <cellStyle name="40% - Énfasis2 95" xfId="13378" xr:uid="{FCACA72D-BF3F-4CB8-961B-2277E07B1E93}"/>
    <cellStyle name="40% - Énfasis2 95 2" xfId="17365" xr:uid="{58A8C9E5-CC6E-4344-9B52-45AF6BE66F33}"/>
    <cellStyle name="40% - Énfasis2 95_1.2.b" xfId="15632" xr:uid="{F511A288-4406-4147-BDF6-AF6DC4F3FAE9}"/>
    <cellStyle name="40% - Énfasis2 96" xfId="13379" xr:uid="{A24288B8-218B-4184-8223-98C2A01943EF}"/>
    <cellStyle name="40% - Énfasis2 96 2" xfId="17366" xr:uid="{073DA3A6-FF73-4359-B0CE-FCB1A2223700}"/>
    <cellStyle name="40% - Énfasis2 96_1.2.b" xfId="15633" xr:uid="{4827F71B-8A6C-4559-A60E-F658B8194E26}"/>
    <cellStyle name="40% - Énfasis3 10" xfId="9921" xr:uid="{00000000-0005-0000-0000-0000E9000000}"/>
    <cellStyle name="40% - Énfasis3 10 2" xfId="11658" xr:uid="{00000000-0005-0000-0000-0000EA000000}"/>
    <cellStyle name="40% - Énfasis3 10 3" xfId="13380" xr:uid="{971D8EC7-02C0-4F7B-B54E-B621D5830DCE}"/>
    <cellStyle name="40% - Énfasis3 10_1.2.b" xfId="15634" xr:uid="{B3060C35-5E24-412C-AADA-58777F36FB18}"/>
    <cellStyle name="40% - Énfasis3 11" xfId="9945" xr:uid="{00000000-0005-0000-0000-0000EB000000}"/>
    <cellStyle name="40% - Énfasis3 11 2" xfId="11681" xr:uid="{00000000-0005-0000-0000-0000EC000000}"/>
    <cellStyle name="40% - Énfasis3 11 3" xfId="13381" xr:uid="{46A09CB8-E4A4-4E58-A89C-81FE02957E58}"/>
    <cellStyle name="40% - Énfasis3 11 4" xfId="17367" xr:uid="{A35D4461-0984-4A2F-BA9E-534C8FA90CF1}"/>
    <cellStyle name="40% - Énfasis3 11_1.2.b" xfId="15635" xr:uid="{6469537D-69F7-4F37-92EC-58AFDE35DBC9}"/>
    <cellStyle name="40% - Énfasis3 12" xfId="10536" xr:uid="{00000000-0005-0000-0000-0000ED000000}"/>
    <cellStyle name="40% - Énfasis3 12 2" xfId="12271" xr:uid="{00000000-0005-0000-0000-0000EE000000}"/>
    <cellStyle name="40% - Énfasis3 12 3" xfId="13382" xr:uid="{416E19E4-1DDB-4521-A3C5-126684CA0641}"/>
    <cellStyle name="40% - Énfasis3 12 4" xfId="17368" xr:uid="{6D433764-56FF-40B5-846E-77EF86B6DE8D}"/>
    <cellStyle name="40% - Énfasis3 12_1.2.b" xfId="15636" xr:uid="{81A378EF-C0AF-4043-87B3-5C0BBF6CBAD5}"/>
    <cellStyle name="40% - Énfasis3 13" xfId="10583" xr:uid="{00000000-0005-0000-0000-0000EF000000}"/>
    <cellStyle name="40% - Énfasis3 13 2" xfId="12316" xr:uid="{00000000-0005-0000-0000-0000F0000000}"/>
    <cellStyle name="40% - Énfasis3 13 3" xfId="13383" xr:uid="{CABA0B5C-FE6A-4B0F-8DBD-9AB13269F24E}"/>
    <cellStyle name="40% - Énfasis3 13 4" xfId="17369" xr:uid="{D981F1F9-33B6-499E-A5D7-E930E1E56C58}"/>
    <cellStyle name="40% - Énfasis3 13_1.2.b" xfId="15637" xr:uid="{8B0761DE-1ACC-4AA4-983F-5A31F72A6A75}"/>
    <cellStyle name="40% - Énfasis3 14" xfId="10603" xr:uid="{00000000-0005-0000-0000-0000F1000000}"/>
    <cellStyle name="40% - Énfasis3 14 2" xfId="12332" xr:uid="{00000000-0005-0000-0000-0000F2000000}"/>
    <cellStyle name="40% - Énfasis3 14 3" xfId="13384" xr:uid="{F4B5128C-8F14-4B5B-B3E4-235A0A7CA865}"/>
    <cellStyle name="40% - Énfasis3 14 4" xfId="17370" xr:uid="{80CBF41C-0CAE-4934-8393-6B04DD45C1E9}"/>
    <cellStyle name="40% - Énfasis3 14_1.2.b" xfId="15638" xr:uid="{97E111D0-D6AD-460C-8B93-187E1198C982}"/>
    <cellStyle name="40% - Énfasis3 15" xfId="10624" xr:uid="{00000000-0005-0000-0000-0000F3000000}"/>
    <cellStyle name="40% - Énfasis3 15 2" xfId="13385" xr:uid="{87F89392-7B26-4AB4-842B-7367D16C19D0}"/>
    <cellStyle name="40% - Énfasis3 15 3" xfId="17371" xr:uid="{5091E868-B311-4BED-BD64-2EC8DEA38875}"/>
    <cellStyle name="40% - Énfasis3 15_1.2.b" xfId="15639" xr:uid="{A1817A6B-01F4-4003-878B-9A7FBFAF0601}"/>
    <cellStyle name="40% - Énfasis3 16" xfId="12365" xr:uid="{00000000-0005-0000-0000-0000F4000000}"/>
    <cellStyle name="40% - Énfasis3 16 2" xfId="13386" xr:uid="{980FC845-2B6E-44DA-91A1-05705DA3163C}"/>
    <cellStyle name="40% - Énfasis3 16 3" xfId="17372" xr:uid="{3E375BC5-9AF1-4576-A253-3C4A1F8F5B0E}"/>
    <cellStyle name="40% - Énfasis3 16_1.2.b" xfId="15640" xr:uid="{63C2F3FA-A9CA-41F1-9518-D3902E401C1D}"/>
    <cellStyle name="40% - Énfasis3 17" xfId="12380" xr:uid="{00000000-0005-0000-0000-0000F5000000}"/>
    <cellStyle name="40% - Énfasis3 17 2" xfId="13387" xr:uid="{2DE8E594-C31F-48CB-BA1A-94FD3D1CE72D}"/>
    <cellStyle name="40% - Énfasis3 17 3" xfId="17373" xr:uid="{1CF09087-2EBA-45A5-8E07-61FEFB3D5568}"/>
    <cellStyle name="40% - Énfasis3 17_1.2.b" xfId="15641" xr:uid="{82138D27-1331-4529-ABB5-6308CBE1ED02}"/>
    <cellStyle name="40% - Énfasis3 18" xfId="13388" xr:uid="{37C983D4-C38E-4999-959A-657904CAB53C}"/>
    <cellStyle name="40% - Énfasis3 18 2" xfId="17374" xr:uid="{D90426A8-D629-4B92-B1A4-06954948FBBF}"/>
    <cellStyle name="40% - Énfasis3 18_1.2.b" xfId="15642" xr:uid="{2D2FE5E0-BA74-45A4-BF69-DA18E0F937D3}"/>
    <cellStyle name="40% - Énfasis3 19" xfId="13389" xr:uid="{425CF33D-80C6-48B2-B807-7BB634CE0F9E}"/>
    <cellStyle name="40% - Énfasis3 19 2" xfId="17375" xr:uid="{42F24300-99A2-40DA-90A9-D090383470F2}"/>
    <cellStyle name="40% - Énfasis3 19_1.2.b" xfId="15643" xr:uid="{737A16C0-275E-4B83-B05D-F826ACFB2C9B}"/>
    <cellStyle name="40% - Énfasis3 2" xfId="151" xr:uid="{00000000-0005-0000-0000-0000F6000000}"/>
    <cellStyle name="40% - Énfasis3 2 10" xfId="13391" xr:uid="{9518C17C-E938-417B-8C49-7DE4D1766612}"/>
    <cellStyle name="40% - Énfasis3 2 10 2" xfId="17377" xr:uid="{B689F87F-B66B-4D1F-9542-E9AF9AA99075}"/>
    <cellStyle name="40% - Énfasis3 2 10_1.2.b" xfId="15645" xr:uid="{8ACCE6CD-A3EA-4BD9-8F4C-12B15ACF0425}"/>
    <cellStyle name="40% - Énfasis3 2 11" xfId="13390" xr:uid="{159637F5-06CE-4D0A-985D-135DC5927F58}"/>
    <cellStyle name="40% - Énfasis3 2 12" xfId="17376" xr:uid="{4E5615FE-B454-4179-8ACC-15420F5F3C2C}"/>
    <cellStyle name="40% - Énfasis3 2 13" xfId="18164" xr:uid="{AD3C068E-EF38-41A7-9337-18DED91C5825}"/>
    <cellStyle name="40% - Énfasis3 2 14" xfId="18193" xr:uid="{F96E4D46-E92A-4CF5-A39B-84ADD44B2DB7}"/>
    <cellStyle name="40% - Énfasis3 2 15" xfId="18162" xr:uid="{638180CA-7819-42EB-A4DB-F1FFBBD5FDAC}"/>
    <cellStyle name="40% - Énfasis3 2 16" xfId="18197" xr:uid="{807AE3A7-8F3C-4A5F-8AD1-B799DB02B166}"/>
    <cellStyle name="40% - Énfasis3 2 2" xfId="10671" xr:uid="{00000000-0005-0000-0000-0000F7000000}"/>
    <cellStyle name="40% - Énfasis3 2 2 2" xfId="13393" xr:uid="{DE003AB0-5BA7-47E9-A87A-5D2275A65BBF}"/>
    <cellStyle name="40% - Énfasis3 2 2 3" xfId="13394" xr:uid="{16342B8C-3801-4F01-B775-C715DA757DC5}"/>
    <cellStyle name="40% - Énfasis3 2 2 4" xfId="13395" xr:uid="{B830627D-9D08-4A42-BA22-FB111EE3F07B}"/>
    <cellStyle name="40% - Énfasis3 2 2 5" xfId="13396" xr:uid="{248BB905-BCF1-4DDC-9503-76845C27727A}"/>
    <cellStyle name="40% - Énfasis3 2 2 6" xfId="13392" xr:uid="{AD48EB63-6B5E-4CB1-A3AD-E22EB0C6392A}"/>
    <cellStyle name="40% - Énfasis3 2 2 7" xfId="17378" xr:uid="{E280F58B-5810-4A33-B204-0979F2F39DCB}"/>
    <cellStyle name="40% - Énfasis3 2 2_1.2.b" xfId="15646" xr:uid="{D4AFA554-E16E-4B54-A4F0-0A784AA49534}"/>
    <cellStyle name="40% - Énfasis3 2 3" xfId="13397" xr:uid="{A62CC381-C804-496E-B8AA-6FE98261FBC7}"/>
    <cellStyle name="40% - Énfasis3 2 4" xfId="13398" xr:uid="{4BF51322-0CF4-4641-AD73-88B711D7CA66}"/>
    <cellStyle name="40% - Énfasis3 2 5" xfId="13399" xr:uid="{43385846-CD75-426F-86EB-2D3E9FD3B3BD}"/>
    <cellStyle name="40% - Énfasis3 2 6" xfId="13400" xr:uid="{C2818496-9154-466A-8F8C-8EDD36800C7D}"/>
    <cellStyle name="40% - Énfasis3 2 7" xfId="13401" xr:uid="{9EA2B662-93CA-4C47-A2D3-D24E8B93554E}"/>
    <cellStyle name="40% - Énfasis3 2 8" xfId="13402" xr:uid="{433D54FA-5392-46D4-8B7B-8D5A704E9273}"/>
    <cellStyle name="40% - Énfasis3 2 9" xfId="13403" xr:uid="{ADCE79F4-F6F6-4B33-811F-3FA526CE0CC5}"/>
    <cellStyle name="40% - Énfasis3 2 9 2" xfId="17380" xr:uid="{FA2F84BD-0081-4D21-9DEA-C79BA25DE34C}"/>
    <cellStyle name="40% - Énfasis3 2 9_1.2.b" xfId="15647" xr:uid="{DF40C520-E26D-4397-AD34-36C9CB1A5942}"/>
    <cellStyle name="40% - Énfasis3 2_1.2.b" xfId="15644" xr:uid="{98236B15-AFEE-4B32-80A6-F398276EFEB5}"/>
    <cellStyle name="40% - Énfasis3 20" xfId="13404" xr:uid="{21333C3C-BA06-46FC-8D86-E199B017AD11}"/>
    <cellStyle name="40% - Énfasis3 20 2" xfId="17381" xr:uid="{960DA07E-15A3-48E2-A712-247D6F490839}"/>
    <cellStyle name="40% - Énfasis3 20_1.2.b" xfId="15648" xr:uid="{75A7D69C-4640-4295-8B6F-78C4ECE423A3}"/>
    <cellStyle name="40% - Énfasis3 21" xfId="13405" xr:uid="{01DA6294-2E75-42A8-B103-42A65EDEBD72}"/>
    <cellStyle name="40% - Énfasis3 21 2" xfId="17382" xr:uid="{6DC1FB7C-C04A-43CF-B5D8-19D15BA6EDD6}"/>
    <cellStyle name="40% - Énfasis3 21_1.2.b" xfId="15649" xr:uid="{F130950F-AF5F-457E-A67C-4E045EBC8F7F}"/>
    <cellStyle name="40% - Énfasis3 22" xfId="13406" xr:uid="{4F284AAB-4AA5-4958-8DA2-832470698AAA}"/>
    <cellStyle name="40% - Énfasis3 22 2" xfId="17383" xr:uid="{E01E0D05-5441-41AB-8470-AB0A89E0850F}"/>
    <cellStyle name="40% - Énfasis3 22_1.2.b" xfId="15650" xr:uid="{C15A6EF6-A3F5-4703-835E-ABEE8DB33859}"/>
    <cellStyle name="40% - Énfasis3 23" xfId="13407" xr:uid="{BC280400-7245-4D32-9841-0569AA44C298}"/>
    <cellStyle name="40% - Énfasis3 23 2" xfId="17384" xr:uid="{EFC8849A-AB57-4990-88A2-881E66F1B876}"/>
    <cellStyle name="40% - Énfasis3 23_1.2.b" xfId="15651" xr:uid="{4363E999-1A9D-4BAA-A983-388F81E82142}"/>
    <cellStyle name="40% - Énfasis3 24" xfId="13408" xr:uid="{FF905344-AFE2-4E51-A911-B6162B267100}"/>
    <cellStyle name="40% - Énfasis3 24 2" xfId="17385" xr:uid="{72F9F394-2AA4-49DD-8DB5-E747F979381C}"/>
    <cellStyle name="40% - Énfasis3 24_1.2.b" xfId="15652" xr:uid="{8738B080-63D5-46DC-BB95-F6FA6B9B6DCA}"/>
    <cellStyle name="40% - Énfasis3 25" xfId="13409" xr:uid="{DA641566-55AE-41DE-85E9-894BD079CD41}"/>
    <cellStyle name="40% - Énfasis3 25 2" xfId="17386" xr:uid="{F6422B99-2D90-4570-B7F8-FD22635B1017}"/>
    <cellStyle name="40% - Énfasis3 25_1.2.b" xfId="15653" xr:uid="{DD2D567E-D246-420D-8EFD-B25284C5D030}"/>
    <cellStyle name="40% - Énfasis3 26" xfId="13410" xr:uid="{431E8243-60C9-43D8-807B-30AA31629DCF}"/>
    <cellStyle name="40% - Énfasis3 26 2" xfId="17387" xr:uid="{09D886C5-C3DB-4FF9-822F-E91F084535C6}"/>
    <cellStyle name="40% - Énfasis3 26_1.2.b" xfId="15654" xr:uid="{71CC825A-86DD-4AC1-A715-D2DC8DDABC1D}"/>
    <cellStyle name="40% - Énfasis3 27" xfId="13411" xr:uid="{5C3D07A6-F961-4BF8-8F59-F10AD1417DD5}"/>
    <cellStyle name="40% - Énfasis3 27 2" xfId="17388" xr:uid="{4E9FD93C-1649-474F-B5C5-987EA4D2841A}"/>
    <cellStyle name="40% - Énfasis3 27_1.2.b" xfId="15655" xr:uid="{245B0EF7-14EA-4EAE-965D-9CC6A0EF7451}"/>
    <cellStyle name="40% - Énfasis3 28" xfId="13412" xr:uid="{1DEC6A26-D355-463F-92CB-4E9843EC7485}"/>
    <cellStyle name="40% - Énfasis3 28 2" xfId="17389" xr:uid="{58CADEDE-59E4-48B3-81EF-CAC68E696C63}"/>
    <cellStyle name="40% - Énfasis3 28_1.2.b" xfId="15656" xr:uid="{903D52E9-4261-402C-9C10-EBC509FEC3C4}"/>
    <cellStyle name="40% - Énfasis3 29" xfId="13413" xr:uid="{4C42F839-D1E3-4770-9CC7-9710D4020F77}"/>
    <cellStyle name="40% - Énfasis3 29 2" xfId="17390" xr:uid="{D17B2D30-B62A-4DA5-81DE-E1D8F5F9CAE3}"/>
    <cellStyle name="40% - Énfasis3 29_1.2.b" xfId="15657" xr:uid="{095D5033-F367-47F9-8CFF-63983A05803B}"/>
    <cellStyle name="40% - Énfasis3 3" xfId="165" xr:uid="{00000000-0005-0000-0000-0000F8000000}"/>
    <cellStyle name="40% - Énfasis3 3 2" xfId="10685" xr:uid="{00000000-0005-0000-0000-0000F9000000}"/>
    <cellStyle name="40% - Énfasis3 3 2 2" xfId="13415" xr:uid="{1D3409C8-837F-43E0-AD56-704AAF878D15}"/>
    <cellStyle name="40% - Énfasis3 3 2 3" xfId="17392" xr:uid="{8A7A95B2-1688-4F24-9531-6F5A3D0D068F}"/>
    <cellStyle name="40% - Énfasis3 3 2_1.2.b" xfId="15659" xr:uid="{9084BFBF-F004-4D6B-A80B-4B568F05F54E}"/>
    <cellStyle name="40% - Énfasis3 3 3" xfId="13416" xr:uid="{0712C100-7774-4057-960D-2A94A3C596DB}"/>
    <cellStyle name="40% - Énfasis3 3 4" xfId="13417" xr:uid="{4A34CC78-C844-492F-A26E-3978BC9BC993}"/>
    <cellStyle name="40% - Énfasis3 3 5" xfId="13418" xr:uid="{612F4825-6810-483F-8D06-2DC0321A1BE4}"/>
    <cellStyle name="40% - Énfasis3 3 5 2" xfId="17393" xr:uid="{54A14A50-42F0-43CB-81B9-EE3F732BC8C0}"/>
    <cellStyle name="40% - Énfasis3 3 5_1.2.b" xfId="15660" xr:uid="{FB0971FB-7E35-4959-91F8-A780C83EED0A}"/>
    <cellStyle name="40% - Énfasis3 3 6" xfId="13419" xr:uid="{8DA53B7D-B5FB-4ADE-AEA7-1342C253BBA3}"/>
    <cellStyle name="40% - Énfasis3 3 6 2" xfId="17394" xr:uid="{AD104E55-666E-44EC-87ED-3F397D80836E}"/>
    <cellStyle name="40% - Énfasis3 3 6_1.2.b" xfId="15661" xr:uid="{0401D0BF-CF85-4CE9-908A-0510FCAFDC2B}"/>
    <cellStyle name="40% - Énfasis3 3 7" xfId="13420" xr:uid="{A1D035C7-15D3-4D54-AAB2-486320A2A4FE}"/>
    <cellStyle name="40% - Énfasis3 3 7 2" xfId="17395" xr:uid="{5FE352DC-F71F-46B0-8B80-7DB85595AF40}"/>
    <cellStyle name="40% - Énfasis3 3 7_1.2.b" xfId="15662" xr:uid="{3789CDB6-86B3-4169-A4D8-38F9FEF5B0C3}"/>
    <cellStyle name="40% - Énfasis3 3 8" xfId="13414" xr:uid="{3CB2C45D-4715-45BE-A860-B133FD96952A}"/>
    <cellStyle name="40% - Énfasis3 3 9" xfId="17391" xr:uid="{ACACEEAC-4408-4CE6-9635-848454E7FFA4}"/>
    <cellStyle name="40% - Énfasis3 3_1.2.b" xfId="15658" xr:uid="{69B20825-A342-4B8C-97DB-A311223D9C0A}"/>
    <cellStyle name="40% - Énfasis3 30" xfId="13421" xr:uid="{89E3FAF2-292A-457B-8171-0C702EE1291C}"/>
    <cellStyle name="40% - Énfasis3 30 2" xfId="17396" xr:uid="{903E7446-8890-4492-8A27-35A84D8E20EC}"/>
    <cellStyle name="40% - Énfasis3 30_1.2.b" xfId="15663" xr:uid="{1E1323C6-ABBD-44AD-A949-A5FC2AC6C7D1}"/>
    <cellStyle name="40% - Énfasis3 31" xfId="13422" xr:uid="{8ED5A3BD-AC91-47B6-AE27-28E2655B0341}"/>
    <cellStyle name="40% - Énfasis3 31 2" xfId="17397" xr:uid="{243F586D-8287-4256-8452-238457DEE60F}"/>
    <cellStyle name="40% - Énfasis3 31_1.2.b" xfId="15664" xr:uid="{F32284E8-E702-4CAC-8A31-0FED85BE8E46}"/>
    <cellStyle name="40% - Énfasis3 32" xfId="13423" xr:uid="{764FB42F-5A3B-4D67-A746-967D59E49717}"/>
    <cellStyle name="40% - Énfasis3 32 2" xfId="17398" xr:uid="{EB4CDCA8-E128-40C3-9A4B-09EB401E938B}"/>
    <cellStyle name="40% - Énfasis3 32_1.2.b" xfId="15665" xr:uid="{030C7DB3-A0BF-4772-9E9F-A908827B22A3}"/>
    <cellStyle name="40% - Énfasis3 33" xfId="13424" xr:uid="{F515FADE-46E4-4850-9391-8373D79BACCB}"/>
    <cellStyle name="40% - Énfasis3 33 2" xfId="17399" xr:uid="{FE9BCEDF-345C-4BF4-AB9E-BD5E3A8FA689}"/>
    <cellStyle name="40% - Énfasis3 33_1.2.b" xfId="15666" xr:uid="{4DB5C303-50C1-434E-9F76-EFC6E4BFFB84}"/>
    <cellStyle name="40% - Énfasis3 34" xfId="13425" xr:uid="{F2A3808C-7D90-42C8-B875-C6F20CF844B2}"/>
    <cellStyle name="40% - Énfasis3 34 2" xfId="17400" xr:uid="{E7D81244-780E-4D56-8000-3CA21C7182BF}"/>
    <cellStyle name="40% - Énfasis3 34_1.2.b" xfId="15667" xr:uid="{ECCD8D6E-1404-4197-8589-8F19ACE45B8C}"/>
    <cellStyle name="40% - Énfasis3 35" xfId="13426" xr:uid="{227A005D-1496-49D6-83A6-7AD025AD4396}"/>
    <cellStyle name="40% - Énfasis3 35 2" xfId="17401" xr:uid="{E757C83C-DA53-430B-8FB7-0267C188C4F3}"/>
    <cellStyle name="40% - Énfasis3 35_1.2.b" xfId="15668" xr:uid="{E7024E09-F49F-4D32-B553-4AD31E7ECB51}"/>
    <cellStyle name="40% - Énfasis3 36" xfId="13427" xr:uid="{EB727C55-FC0B-4BB1-A8D9-95C4DC1C92A9}"/>
    <cellStyle name="40% - Énfasis3 36 2" xfId="17402" xr:uid="{228FC188-F3E3-422B-BFE4-D968C3835599}"/>
    <cellStyle name="40% - Énfasis3 36_1.2.b" xfId="15669" xr:uid="{D6B079E0-8706-4AFA-901C-B52E6A06316A}"/>
    <cellStyle name="40% - Énfasis3 37" xfId="13428" xr:uid="{089430C2-1886-437E-BF01-2D38F9A11949}"/>
    <cellStyle name="40% - Énfasis3 37 2" xfId="17403" xr:uid="{B225A138-9AD9-4A73-8AD2-163BA4BBC57E}"/>
    <cellStyle name="40% - Énfasis3 37_1.2.b" xfId="15670" xr:uid="{633EF987-A780-4DFD-A790-AC060D541594}"/>
    <cellStyle name="40% - Énfasis3 38" xfId="13429" xr:uid="{9034D5FB-308E-4960-B844-2869F138DBBA}"/>
    <cellStyle name="40% - Énfasis3 38 2" xfId="17404" xr:uid="{71DBECF4-E3A6-4F5F-83A3-7044C123A6F7}"/>
    <cellStyle name="40% - Énfasis3 38_1.2.b" xfId="15671" xr:uid="{CC7B852E-61D9-48EA-A685-946A511AE2BE}"/>
    <cellStyle name="40% - Énfasis3 39" xfId="13430" xr:uid="{33F767A9-F033-476F-8536-7E94650131F2}"/>
    <cellStyle name="40% - Énfasis3 39 2" xfId="17405" xr:uid="{A6EC46F4-7EEF-4375-8ED0-19E20B24ADA6}"/>
    <cellStyle name="40% - Énfasis3 39_1.2.b" xfId="15672" xr:uid="{5315B0EF-0B75-4769-81D1-E6552D2E1549}"/>
    <cellStyle name="40% - Énfasis3 4" xfId="179" xr:uid="{00000000-0005-0000-0000-0000FA000000}"/>
    <cellStyle name="40% - Énfasis3 4 2" xfId="10699" xr:uid="{00000000-0005-0000-0000-0000FB000000}"/>
    <cellStyle name="40% - Énfasis3 4 2 2" xfId="13433" xr:uid="{102B91E8-6ED1-45BF-812D-C41D572CA388}"/>
    <cellStyle name="40% - Énfasis3 4 2 2 2" xfId="17408" xr:uid="{EB34160F-908F-4445-9D25-6C97051BFB0E}"/>
    <cellStyle name="40% - Énfasis3 4 2 2_1.2.b" xfId="15675" xr:uid="{86E89CEE-7F92-4CF9-B1DA-0B6B1890A9FE}"/>
    <cellStyle name="40% - Énfasis3 4 2 3" xfId="13432" xr:uid="{524CB1C3-37AB-4F68-A489-AFAF56A2569F}"/>
    <cellStyle name="40% - Énfasis3 4 2 4" xfId="17407" xr:uid="{B900E81C-107A-4B59-B08A-B03C510AECA9}"/>
    <cellStyle name="40% - Énfasis3 4 2 5" xfId="18166" xr:uid="{3611F94A-6007-4387-9A2A-E5FA43E30EAB}"/>
    <cellStyle name="40% - Énfasis3 4 2 6" xfId="18191" xr:uid="{30F6B815-DBAE-42BC-8073-49832069B003}"/>
    <cellStyle name="40% - Énfasis3 4 2 7" xfId="18165" xr:uid="{3331AAC8-7035-448E-91FF-06BD60B1DF00}"/>
    <cellStyle name="40% - Énfasis3 4 2 8" xfId="18192" xr:uid="{8857BB17-7037-4E95-B3FA-1CE83A9EF9F5}"/>
    <cellStyle name="40% - Énfasis3 4 2_1.2.b" xfId="15674" xr:uid="{548BD082-B06E-471B-BA2E-9A9367E0EA52}"/>
    <cellStyle name="40% - Énfasis3 4 3" xfId="13434" xr:uid="{0D74A442-A223-4A00-9FE0-21C5DE75C381}"/>
    <cellStyle name="40% - Énfasis3 4 3 2" xfId="17409" xr:uid="{4209A792-6BF1-40D4-8608-E3041A4F6DF4}"/>
    <cellStyle name="40% - Énfasis3 4 3_1.2.b" xfId="15676" xr:uid="{FA7CC122-1D6A-47A5-9069-687AA61A08D8}"/>
    <cellStyle name="40% - Énfasis3 4 4" xfId="13435" xr:uid="{CF9E4322-5CD6-46BE-9FE4-D27E78B4EF41}"/>
    <cellStyle name="40% - Énfasis3 4 4 2" xfId="17410" xr:uid="{56C69154-4DA3-4957-9C93-5BC5C4499DE6}"/>
    <cellStyle name="40% - Énfasis3 4 4_1.2.b" xfId="15677" xr:uid="{239B3506-6BE4-4E5F-B038-F7D33E22F66C}"/>
    <cellStyle name="40% - Énfasis3 4 5" xfId="13436" xr:uid="{24E9835B-B2A6-4DE2-BF6F-D5FD51EC2F45}"/>
    <cellStyle name="40% - Énfasis3 4 5 2" xfId="17411" xr:uid="{E63CA18D-9C6E-4D7F-8264-80F80E1BBB72}"/>
    <cellStyle name="40% - Énfasis3 4 5_1.2.b" xfId="15678" xr:uid="{4C3AC763-8558-4B7D-8533-B8C852ED7B9E}"/>
    <cellStyle name="40% - Énfasis3 4 6" xfId="13437" xr:uid="{FB3CBCE6-4313-4011-9A90-C466B26E2EF1}"/>
    <cellStyle name="40% - Énfasis3 4 6 2" xfId="17412" xr:uid="{1ECB9D11-B2A6-492E-A21E-90185BE07B7C}"/>
    <cellStyle name="40% - Énfasis3 4 6_1.2.b" xfId="15679" xr:uid="{A89BC3EF-0B50-4753-9440-F864D607DCFA}"/>
    <cellStyle name="40% - Énfasis3 4 7" xfId="13431" xr:uid="{46126CD9-7E95-446B-9EDE-4414ED947B3C}"/>
    <cellStyle name="40% - Énfasis3 4 8" xfId="17406" xr:uid="{50143E64-30AA-4CEF-9983-F04CC7547880}"/>
    <cellStyle name="40% - Énfasis3 4_1.2.b" xfId="15673" xr:uid="{58B9F822-E2D5-41A2-9DA3-3B938274A2DD}"/>
    <cellStyle name="40% - Énfasis3 40" xfId="13438" xr:uid="{B3B4947A-5F2A-4868-A4E1-5BA32D20D75B}"/>
    <cellStyle name="40% - Énfasis3 40 2" xfId="17413" xr:uid="{03AE311F-BB05-4534-817F-7F5017B499A8}"/>
    <cellStyle name="40% - Énfasis3 40_1.2.b" xfId="15680" xr:uid="{857483A2-F420-4D2E-9111-F3C1C25B847A}"/>
    <cellStyle name="40% - Énfasis3 41" xfId="13439" xr:uid="{D04A5FE1-F1A9-407F-A3CB-B562FC0FD970}"/>
    <cellStyle name="40% - Énfasis3 41 2" xfId="17414" xr:uid="{37470E60-7F7F-4E2B-BEF6-DB227FA1C08E}"/>
    <cellStyle name="40% - Énfasis3 41_1.2.b" xfId="15681" xr:uid="{A3ACEB04-A3DC-495F-A19A-636B9D9D7F95}"/>
    <cellStyle name="40% - Énfasis3 42" xfId="13440" xr:uid="{731525D9-B27E-4548-809B-6C7F303BB7A9}"/>
    <cellStyle name="40% - Énfasis3 42 2" xfId="17415" xr:uid="{66C5107F-59C0-4EE3-9E70-C37AC56FA56A}"/>
    <cellStyle name="40% - Énfasis3 42_1.2.b" xfId="15682" xr:uid="{48272C99-84B5-4027-A9D9-3D49622FD4A4}"/>
    <cellStyle name="40% - Énfasis3 43" xfId="13441" xr:uid="{1C74B5F3-DF03-4F47-8569-BB8EA01A5297}"/>
    <cellStyle name="40% - Énfasis3 43 2" xfId="17416" xr:uid="{6FB382F0-6AFD-4A2C-9F44-C7117596887D}"/>
    <cellStyle name="40% - Énfasis3 43_1.2.b" xfId="15683" xr:uid="{81F0D7CD-93C5-4DC4-AA76-3175F17B5175}"/>
    <cellStyle name="40% - Énfasis3 44" xfId="13442" xr:uid="{DB6DA9B2-00A9-49C1-9907-6201EBF38F2B}"/>
    <cellStyle name="40% - Énfasis3 44 2" xfId="17417" xr:uid="{8E8EF0A9-62B5-4C9E-9F0D-7414F2482796}"/>
    <cellStyle name="40% - Énfasis3 44_1.2.b" xfId="15684" xr:uid="{7EAF218E-14EC-4D43-91D7-2249E02DF375}"/>
    <cellStyle name="40% - Énfasis3 45" xfId="13443" xr:uid="{166F36D3-D4F2-4B27-A6E2-73EF8D2283C2}"/>
    <cellStyle name="40% - Énfasis3 45 2" xfId="17418" xr:uid="{72FBC927-8728-4781-B2AE-3B30644B4074}"/>
    <cellStyle name="40% - Énfasis3 45_1.2.b" xfId="15685" xr:uid="{2E5CAF63-43AB-4ADD-B809-962D038348A2}"/>
    <cellStyle name="40% - Énfasis3 46" xfId="13444" xr:uid="{11BD1779-3B50-4EE7-BBCF-B2D617D62ABF}"/>
    <cellStyle name="40% - Énfasis3 46 2" xfId="17419" xr:uid="{7C63BCA0-61A0-4168-9A39-35BE70AE65DA}"/>
    <cellStyle name="40% - Énfasis3 46_1.2.b" xfId="15686" xr:uid="{E3B2DF16-23A1-4565-AD78-644E6F7D5AF2}"/>
    <cellStyle name="40% - Énfasis3 47" xfId="13445" xr:uid="{9BCA9520-1D96-4D83-BF36-D6344B5FFF9A}"/>
    <cellStyle name="40% - Énfasis3 47 2" xfId="17420" xr:uid="{064E2281-1E38-402C-8B30-A8D671F477C6}"/>
    <cellStyle name="40% - Énfasis3 47_1.2.b" xfId="15687" xr:uid="{8D463845-B1B3-4660-8A32-F57CB2D4F7FB}"/>
    <cellStyle name="40% - Énfasis3 48" xfId="13446" xr:uid="{2AB8C6D2-5C06-4CD3-8536-CC7BFC1AA8D9}"/>
    <cellStyle name="40% - Énfasis3 48 2" xfId="17421" xr:uid="{6AE08F2A-4A58-4D08-8967-24D25E3C8B71}"/>
    <cellStyle name="40% - Énfasis3 48_1.2.b" xfId="15688" xr:uid="{5B5C53D5-B133-40A5-AE1E-F70C93372124}"/>
    <cellStyle name="40% - Énfasis3 49" xfId="13447" xr:uid="{8BB0A3D2-D152-498F-9237-BDFEA77AA19F}"/>
    <cellStyle name="40% - Énfasis3 49 2" xfId="17422" xr:uid="{CBA82CA6-8D1C-44EE-BCEF-F4D67558E55C}"/>
    <cellStyle name="40% - Énfasis3 49_1.2.b" xfId="15689" xr:uid="{E98BA128-3232-45AC-805A-DFE762038DE4}"/>
    <cellStyle name="40% - Énfasis3 5" xfId="194" xr:uid="{00000000-0005-0000-0000-0000FC000000}"/>
    <cellStyle name="40% - Énfasis3 5 2" xfId="10714" xr:uid="{00000000-0005-0000-0000-0000FD000000}"/>
    <cellStyle name="40% - Énfasis3 5 2 2" xfId="13449" xr:uid="{104D3A13-CCAF-4C00-A58D-28011A5E12E2}"/>
    <cellStyle name="40% - Énfasis3 5 2 3" xfId="17424" xr:uid="{6ED81AC1-9A6D-414E-A852-C6FA375DD4E6}"/>
    <cellStyle name="40% - Énfasis3 5 2_1.2.b" xfId="15691" xr:uid="{C5726134-BA50-42E5-806F-FE711A042179}"/>
    <cellStyle name="40% - Énfasis3 5 3" xfId="13450" xr:uid="{108077A0-529E-4DEC-9335-0DAC381F2750}"/>
    <cellStyle name="40% - Énfasis3 5 3 2" xfId="17425" xr:uid="{89F47FCC-A7F5-4DE7-B612-6F3789C3421A}"/>
    <cellStyle name="40% - Énfasis3 5 3_1.2.b" xfId="15692" xr:uid="{148605EC-181F-45CF-A98D-D5120F385349}"/>
    <cellStyle name="40% - Énfasis3 5 4" xfId="13448" xr:uid="{92128E4B-06CD-414D-9642-B7806756FE4D}"/>
    <cellStyle name="40% - Énfasis3 5 5" xfId="17423" xr:uid="{FD5391B3-A21A-4CA2-845B-5DB4DC765BF8}"/>
    <cellStyle name="40% - Énfasis3 5_1.2.b" xfId="15690" xr:uid="{58C3B897-F3A9-49F8-85FB-5C03F7FEFD03}"/>
    <cellStyle name="40% - Énfasis3 50" xfId="13451" xr:uid="{4A87D0AF-32EF-46AF-A02C-702447BB153F}"/>
    <cellStyle name="40% - Énfasis3 50 2" xfId="17426" xr:uid="{AC5B9F64-94B0-492E-B9EA-612856195C57}"/>
    <cellStyle name="40% - Énfasis3 50_1.2.b" xfId="15693" xr:uid="{9259F288-3D03-4A34-8B82-93584EAE3858}"/>
    <cellStyle name="40% - Énfasis3 51" xfId="13452" xr:uid="{86A69111-DFD9-4D3A-9A99-043A911CD444}"/>
    <cellStyle name="40% - Énfasis3 51 2" xfId="17427" xr:uid="{8BC2F31F-A76C-4592-BE7C-857EE3DFBC1B}"/>
    <cellStyle name="40% - Énfasis3 51_1.2.b" xfId="15694" xr:uid="{37F1CA76-C294-432D-A925-328398078C6E}"/>
    <cellStyle name="40% - Énfasis3 52" xfId="13453" xr:uid="{201098FB-8109-42E0-AC51-60DC36D4E813}"/>
    <cellStyle name="40% - Énfasis3 52 2" xfId="17428" xr:uid="{F522043E-9953-4136-9C0B-09FBC23FAA9D}"/>
    <cellStyle name="40% - Énfasis3 52_1.2.b" xfId="15695" xr:uid="{A8138EA7-D13F-4DE3-9A81-FF0656A3D737}"/>
    <cellStyle name="40% - Énfasis3 53" xfId="13454" xr:uid="{37E98997-FF06-4FA9-A5C4-5F3EA6D2B692}"/>
    <cellStyle name="40% - Énfasis3 53 2" xfId="17429" xr:uid="{C2B36035-5D36-46F6-8790-13338E6DF245}"/>
    <cellStyle name="40% - Énfasis3 53_1.2.b" xfId="15696" xr:uid="{78649820-6FEC-4742-A9B4-E28A341D5CD2}"/>
    <cellStyle name="40% - Énfasis3 54" xfId="13455" xr:uid="{C75F8197-262F-442D-B723-9FBE627DC040}"/>
    <cellStyle name="40% - Énfasis3 54 2" xfId="17430" xr:uid="{A2575FD6-70E6-42AA-8B87-A0A6D8074EC6}"/>
    <cellStyle name="40% - Énfasis3 54_1.2.b" xfId="15697" xr:uid="{E517A94F-B847-4F0F-94C9-84ED2B92C14A}"/>
    <cellStyle name="40% - Énfasis3 55" xfId="13456" xr:uid="{D21F7DD2-A0F3-40FB-AC8A-09E221E6986F}"/>
    <cellStyle name="40% - Énfasis3 55 2" xfId="17431" xr:uid="{E6EC0264-1A67-498C-8036-02EBC2382F84}"/>
    <cellStyle name="40% - Énfasis3 55_1.2.b" xfId="15698" xr:uid="{177D3551-5BBF-4F33-8636-5E8E5346E2A4}"/>
    <cellStyle name="40% - Énfasis3 56" xfId="13457" xr:uid="{DAA43074-9962-4632-9BBE-91DD4C6ECC45}"/>
    <cellStyle name="40% - Énfasis3 56 2" xfId="17432" xr:uid="{2FD868F8-6446-4D3A-BE39-D96B56192011}"/>
    <cellStyle name="40% - Énfasis3 56_1.2.b" xfId="15699" xr:uid="{823DD2FD-9B7C-441D-B368-5F0922FCDE34}"/>
    <cellStyle name="40% - Énfasis3 57" xfId="13458" xr:uid="{F5D649F4-C51E-456E-B368-A117533A4356}"/>
    <cellStyle name="40% - Énfasis3 57 2" xfId="17433" xr:uid="{2D47707A-2AE9-4989-914F-1B6C64E8FEED}"/>
    <cellStyle name="40% - Énfasis3 57_1.2.b" xfId="15700" xr:uid="{7AA3730E-81A3-4583-B99C-DD51F8D612E5}"/>
    <cellStyle name="40% - Énfasis3 58" xfId="13459" xr:uid="{1806356E-7712-4181-A2B5-70955C5D6921}"/>
    <cellStyle name="40% - Énfasis3 58 2" xfId="17434" xr:uid="{38DE876E-5C1F-4810-B85C-20DA4FB1129B}"/>
    <cellStyle name="40% - Énfasis3 58_1.2.b" xfId="15701" xr:uid="{F06CC285-703D-455F-B6C1-CE663E9E7101}"/>
    <cellStyle name="40% - Énfasis3 59" xfId="13460" xr:uid="{43D62530-937A-40F8-B3A3-050412F90AD8}"/>
    <cellStyle name="40% - Énfasis3 59 2" xfId="17435" xr:uid="{79B1A9A4-5D8B-461D-9A08-888B0CA3661D}"/>
    <cellStyle name="40% - Énfasis3 59_1.2.b" xfId="15702" xr:uid="{A3966C77-DD06-4B68-BFA9-DAF5ECAE34FD}"/>
    <cellStyle name="40% - Énfasis3 6" xfId="208" xr:uid="{00000000-0005-0000-0000-0000FE000000}"/>
    <cellStyle name="40% - Énfasis3 6 2" xfId="10728" xr:uid="{00000000-0005-0000-0000-0000FF000000}"/>
    <cellStyle name="40% - Énfasis3 6 2 2" xfId="13462" xr:uid="{2606700E-6A1F-4B28-8088-00929471C18F}"/>
    <cellStyle name="40% - Énfasis3 6 2 3" xfId="17437" xr:uid="{C5CBFCC2-3B13-43F6-B7E2-BE05AC8FCB0D}"/>
    <cellStyle name="40% - Énfasis3 6 2_1.2.b" xfId="15704" xr:uid="{8E835337-1936-4DD1-B7E8-AC16CF0A90C4}"/>
    <cellStyle name="40% - Énfasis3 6 3" xfId="13461" xr:uid="{F602638A-8C1B-4FC4-AE90-772BBF506C32}"/>
    <cellStyle name="40% - Énfasis3 6 4" xfId="17436" xr:uid="{7ADBE75E-DD9D-449F-BB35-62C8D2FB706E}"/>
    <cellStyle name="40% - Énfasis3 6_1.2.b" xfId="15703" xr:uid="{BBDB3294-DC50-4171-BB41-171CE5C6F41B}"/>
    <cellStyle name="40% - Énfasis3 60" xfId="13463" xr:uid="{9E72E0FB-0B9E-4E87-96D6-3719BEA214F8}"/>
    <cellStyle name="40% - Énfasis3 60 2" xfId="17438" xr:uid="{C3C9E6D9-5712-4585-8976-6C3E25ED4B0E}"/>
    <cellStyle name="40% - Énfasis3 60_1.2.b" xfId="15705" xr:uid="{39D527CB-4060-4CEA-A187-B3A750E0FEFF}"/>
    <cellStyle name="40% - Énfasis3 61" xfId="13464" xr:uid="{477571DE-3957-4744-93BF-8D19AAEC6D84}"/>
    <cellStyle name="40% - Énfasis3 61 2" xfId="17439" xr:uid="{A24FBACB-E1AF-413A-A404-85DFF3DC7665}"/>
    <cellStyle name="40% - Énfasis3 61_1.2.b" xfId="15706" xr:uid="{039C8FC7-B5DD-44A3-9AC4-D077076E3EE5}"/>
    <cellStyle name="40% - Énfasis3 62" xfId="13465" xr:uid="{05A8A31C-557D-464A-9FEC-C2560E516C09}"/>
    <cellStyle name="40% - Énfasis3 62 2" xfId="17440" xr:uid="{3945E97A-0FBC-4572-BAF2-DB1398743463}"/>
    <cellStyle name="40% - Énfasis3 62_1.2.b" xfId="15707" xr:uid="{7CAE96FA-4E28-4BF1-9158-453255DF4E6E}"/>
    <cellStyle name="40% - Énfasis3 63" xfId="13466" xr:uid="{B3FDE7B5-D5AE-4C8D-AD97-A135FD2CDE05}"/>
    <cellStyle name="40% - Énfasis3 63 2" xfId="17441" xr:uid="{04248DC1-6446-49E9-835F-82EA30D2CD47}"/>
    <cellStyle name="40% - Énfasis3 63_1.2.b" xfId="15708" xr:uid="{C3E2E67A-97DC-40E3-92BD-75FFA3E4F1F7}"/>
    <cellStyle name="40% - Énfasis3 64" xfId="13467" xr:uid="{2FAE0120-FA8B-4376-BFFC-AA8A2BA70854}"/>
    <cellStyle name="40% - Énfasis3 64 2" xfId="17442" xr:uid="{963F319E-E152-4A08-877E-1A6AB2DC4097}"/>
    <cellStyle name="40% - Énfasis3 64_1.2.b" xfId="15709" xr:uid="{2BFFD00D-11E0-4286-9B3E-4ADA22D1AC22}"/>
    <cellStyle name="40% - Énfasis3 65" xfId="13468" xr:uid="{F4545120-49B3-40C2-983E-61F103137254}"/>
    <cellStyle name="40% - Énfasis3 65 2" xfId="17443" xr:uid="{0ECECD44-EBEA-478D-A453-96D2897E4FF4}"/>
    <cellStyle name="40% - Énfasis3 65_1.2.b" xfId="15710" xr:uid="{AE075B07-96FA-406A-A57C-4052AE201BCD}"/>
    <cellStyle name="40% - Énfasis3 66" xfId="13469" xr:uid="{8C4417DA-232E-4522-8C47-B261B321D61D}"/>
    <cellStyle name="40% - Énfasis3 66 2" xfId="17444" xr:uid="{0A6145E6-33A8-4ABD-BF3C-6727B8972601}"/>
    <cellStyle name="40% - Énfasis3 66_1.2.b" xfId="15711" xr:uid="{0BE9DD00-2E95-4C94-B524-8DC8CA6F6976}"/>
    <cellStyle name="40% - Énfasis3 67" xfId="13470" xr:uid="{F0E19EDE-CBF6-4E70-A2B6-7FB6F8BDB48A}"/>
    <cellStyle name="40% - Énfasis3 67 2" xfId="17445" xr:uid="{53BA5B54-34F6-434C-9F9E-552636447668}"/>
    <cellStyle name="40% - Énfasis3 67_1.2.b" xfId="15712" xr:uid="{2096F723-45D5-43F3-987A-5563B6B30288}"/>
    <cellStyle name="40% - Énfasis3 68" xfId="13471" xr:uid="{8CFF3CFE-D4D7-494C-AE97-F509D548394C}"/>
    <cellStyle name="40% - Énfasis3 68 2" xfId="17446" xr:uid="{A2151CF7-420E-4DB9-836F-FF0925E0F2D1}"/>
    <cellStyle name="40% - Énfasis3 68_1.2.b" xfId="15713" xr:uid="{FB7E9E1E-4473-4815-B286-4DCD03CACA40}"/>
    <cellStyle name="40% - Énfasis3 69" xfId="13472" xr:uid="{A50D3699-E94A-439A-9391-01BFC95428AB}"/>
    <cellStyle name="40% - Énfasis3 69 2" xfId="17447" xr:uid="{67C1CFA7-B2FF-4D48-98C1-44F0A9566BD6}"/>
    <cellStyle name="40% - Énfasis3 69_1.2.b" xfId="15714" xr:uid="{A6191BEF-F9D6-4F38-9DAC-70B65CDC6E7C}"/>
    <cellStyle name="40% - Énfasis3 7" xfId="9832" xr:uid="{00000000-0005-0000-0000-000000010000}"/>
    <cellStyle name="40% - Énfasis3 7 2" xfId="11618" xr:uid="{00000000-0005-0000-0000-000001010000}"/>
    <cellStyle name="40% - Énfasis3 7 2 2" xfId="13474" xr:uid="{0ED9061E-AA47-4BE4-AE88-1850BBE40D23}"/>
    <cellStyle name="40% - Énfasis3 7 2 3" xfId="17449" xr:uid="{B27FA2DC-25D7-4D99-9F6F-F03C51EF398B}"/>
    <cellStyle name="40% - Énfasis3 7 2_1.2.b" xfId="15716" xr:uid="{68AAC3EB-B35B-463F-A93F-6E3CBDE461F2}"/>
    <cellStyle name="40% - Énfasis3 7 3" xfId="13473" xr:uid="{3B54DF5F-574C-4351-A7ED-0F3657DA238A}"/>
    <cellStyle name="40% - Énfasis3 7 4" xfId="17448" xr:uid="{A3BFB808-814F-499D-94BD-C487BB1EB1A8}"/>
    <cellStyle name="40% - Énfasis3 7_1.2.b" xfId="15715" xr:uid="{04DA5B37-B357-46D2-97FE-F43E7C3082CF}"/>
    <cellStyle name="40% - Énfasis3 70" xfId="13475" xr:uid="{A9A449FD-0B72-48FE-B898-8BF54F6B452C}"/>
    <cellStyle name="40% - Énfasis3 70 2" xfId="17450" xr:uid="{9EC97594-EC83-4BEC-BA8D-9E2B01A1A273}"/>
    <cellStyle name="40% - Énfasis3 70_1.2.b" xfId="15717" xr:uid="{DD996158-AB09-4DF8-A5AC-C5901954B648}"/>
    <cellStyle name="40% - Énfasis3 71" xfId="13476" xr:uid="{CAABC585-F16E-4B2F-A486-29D4E85AD060}"/>
    <cellStyle name="40% - Énfasis3 71 2" xfId="17451" xr:uid="{681E8BB6-A314-441B-A5C7-C299D6DB26F0}"/>
    <cellStyle name="40% - Énfasis3 71_1.2.b" xfId="15718" xr:uid="{CF60167F-3BBF-4293-A48E-9390E999018D}"/>
    <cellStyle name="40% - Énfasis3 72" xfId="13477" xr:uid="{668FA4F5-6A7E-44A1-B00D-C1BFC19816B7}"/>
    <cellStyle name="40% - Énfasis3 72 2" xfId="17452" xr:uid="{D83CFAF7-5FCD-4445-B8D0-D208D59AD6A8}"/>
    <cellStyle name="40% - Énfasis3 72_1.2.b" xfId="15719" xr:uid="{14DAFC4D-70D9-4E44-A944-21A363DF5243}"/>
    <cellStyle name="40% - Énfasis3 73" xfId="13478" xr:uid="{A792182B-859E-48CD-864B-F8459CF1647A}"/>
    <cellStyle name="40% - Énfasis3 73 2" xfId="17453" xr:uid="{3AD9E41F-61CE-454A-B9B6-91A603AD64E5}"/>
    <cellStyle name="40% - Énfasis3 73_1.2.b" xfId="15720" xr:uid="{1693DA2F-4ABD-4D8C-88DE-1E389CA0B328}"/>
    <cellStyle name="40% - Énfasis3 74" xfId="13479" xr:uid="{D12A5C09-924B-49AB-AEEF-98B4F2629766}"/>
    <cellStyle name="40% - Énfasis3 74 2" xfId="17454" xr:uid="{0977129C-BA91-4F09-8E3E-9CA94526EBEE}"/>
    <cellStyle name="40% - Énfasis3 74_1.2.b" xfId="15721" xr:uid="{34F488B4-0A90-4B85-A90C-F347D72CF519}"/>
    <cellStyle name="40% - Énfasis3 75" xfId="13480" xr:uid="{EF36E301-DE6E-4B67-A542-3719DCCF38F7}"/>
    <cellStyle name="40% - Énfasis3 75 2" xfId="17455" xr:uid="{6E5894D5-8A29-4D4C-A1D7-B6F361883D1E}"/>
    <cellStyle name="40% - Énfasis3 75_1.2.b" xfId="15722" xr:uid="{9F13C717-9567-446B-B971-4D283CB92DDB}"/>
    <cellStyle name="40% - Énfasis3 76" xfId="13481" xr:uid="{7E65D7FF-2CC4-45CE-B73A-87CD7B4831BC}"/>
    <cellStyle name="40% - Énfasis3 76 2" xfId="17456" xr:uid="{859E5018-7DAD-4F9A-8556-DCEF4702DF8C}"/>
    <cellStyle name="40% - Énfasis3 76_1.2.b" xfId="15723" xr:uid="{F1951A29-A20D-42F5-9B63-01539B4F63C3}"/>
    <cellStyle name="40% - Énfasis3 77" xfId="13482" xr:uid="{558DF391-9AE0-451A-8827-64B24CDB313E}"/>
    <cellStyle name="40% - Énfasis3 77 2" xfId="17457" xr:uid="{3CED8D55-2062-4811-84EE-7618AEC8709E}"/>
    <cellStyle name="40% - Énfasis3 77_1.2.b" xfId="15724" xr:uid="{DCB36DA4-D277-41AC-B927-73678C3338F6}"/>
    <cellStyle name="40% - Énfasis3 78" xfId="13483" xr:uid="{BF122DD1-B8E2-4B7E-A8D5-F9FE63F4F2A7}"/>
    <cellStyle name="40% - Énfasis3 78 2" xfId="17458" xr:uid="{45C4B39F-2C03-4578-983D-9CBB0E04AB99}"/>
    <cellStyle name="40% - Énfasis3 78_1.2.b" xfId="15725" xr:uid="{3FDAD0F9-50B1-4945-B7DB-E94DA443DA10}"/>
    <cellStyle name="40% - Énfasis3 79" xfId="13484" xr:uid="{11BFA29F-75B0-4708-B30A-872253727978}"/>
    <cellStyle name="40% - Énfasis3 79 2" xfId="17459" xr:uid="{566D4CDE-397F-4A8F-A862-2382CD475FF4}"/>
    <cellStyle name="40% - Énfasis3 79_1.2.b" xfId="15726" xr:uid="{4D73B136-8DC8-49FD-9E83-BB4D9855E096}"/>
    <cellStyle name="40% - Énfasis3 8" xfId="9851" xr:uid="{00000000-0005-0000-0000-000002010000}"/>
    <cellStyle name="40% - Énfasis3 8 2" xfId="11636" xr:uid="{00000000-0005-0000-0000-000003010000}"/>
    <cellStyle name="40% - Énfasis3 8 2 2" xfId="13486" xr:uid="{18E3E11C-45D2-46F7-A716-3AC20E9162B4}"/>
    <cellStyle name="40% - Énfasis3 8 2 3" xfId="17461" xr:uid="{0F015F58-8B15-47C1-A11F-374DF363A853}"/>
    <cellStyle name="40% - Énfasis3 8 2_1.2.b" xfId="15728" xr:uid="{6785E027-77E4-44DA-A14C-E96E64711E51}"/>
    <cellStyle name="40% - Énfasis3 8 3" xfId="13485" xr:uid="{5BE95CD3-AACE-4D20-A83A-98070DEA5EB3}"/>
    <cellStyle name="40% - Énfasis3 8 4" xfId="17460" xr:uid="{86D163E9-6377-4CD2-88DF-7F5491238206}"/>
    <cellStyle name="40% - Énfasis3 8_1.2.b" xfId="15727" xr:uid="{B2CDAD1A-BA05-4D02-B1BF-78CEF7E3AD94}"/>
    <cellStyle name="40% - Énfasis3 80" xfId="13487" xr:uid="{9CBD6531-6563-43CD-A9E1-4FDF0C51CA8C}"/>
    <cellStyle name="40% - Énfasis3 80 2" xfId="17462" xr:uid="{18950F25-E8EB-4687-A8D6-416A2B885696}"/>
    <cellStyle name="40% - Énfasis3 80_1.2.b" xfId="15729" xr:uid="{790DDF1B-FA94-4123-9C85-56BBFA620BEE}"/>
    <cellStyle name="40% - Énfasis3 81" xfId="13488" xr:uid="{41115518-0B0D-4BAB-8408-E51AED054FCC}"/>
    <cellStyle name="40% - Énfasis3 81 2" xfId="17463" xr:uid="{AC1CF4E2-CA80-4E53-B14C-5FDA837B82A6}"/>
    <cellStyle name="40% - Énfasis3 81_1.2.b" xfId="15730" xr:uid="{DB072E35-0CD3-4C7D-BE50-0A159A37D144}"/>
    <cellStyle name="40% - Énfasis3 82" xfId="13489" xr:uid="{82CD79BE-567D-49C9-9680-C0190DA02931}"/>
    <cellStyle name="40% - Énfasis3 82 2" xfId="17464" xr:uid="{E9C6B000-85A9-4976-9DBF-D1E99150E050}"/>
    <cellStyle name="40% - Énfasis3 82_1.2.b" xfId="15731" xr:uid="{C866DFC7-04BF-47CA-96F9-2B8BE5BD6788}"/>
    <cellStyle name="40% - Énfasis3 83" xfId="13490" xr:uid="{FD6F998C-CAA4-48A7-B486-E8F3613030FE}"/>
    <cellStyle name="40% - Énfasis3 83 2" xfId="17465" xr:uid="{711814CD-954B-4DED-BE7F-4BB12BB22ABA}"/>
    <cellStyle name="40% - Énfasis3 83_1.2.b" xfId="15732" xr:uid="{2EE48FB2-6962-429A-B097-C63B5AED87C3}"/>
    <cellStyle name="40% - Énfasis3 84" xfId="13491" xr:uid="{F78632A1-7E8A-45DA-887A-07A795A0BAD6}"/>
    <cellStyle name="40% - Énfasis3 84 2" xfId="17466" xr:uid="{F6BC6BB4-88B1-4949-98D2-AB3A00FE32AF}"/>
    <cellStyle name="40% - Énfasis3 84_1.2.b" xfId="15733" xr:uid="{646734B8-FDB6-4632-A956-5950AE769173}"/>
    <cellStyle name="40% - Énfasis3 85" xfId="13492" xr:uid="{3B89B3F6-5E2C-46BC-87A5-7B9F8FA9B8D8}"/>
    <cellStyle name="40% - Énfasis3 85 2" xfId="17467" xr:uid="{8D0F4C4F-7973-4B7D-997C-941623D9219D}"/>
    <cellStyle name="40% - Énfasis3 85_1.2.b" xfId="15734" xr:uid="{C964099D-E9F9-4E4B-A3C9-32D6799FFFC0}"/>
    <cellStyle name="40% - Énfasis3 86" xfId="13493" xr:uid="{3F94391F-C1DD-4AB2-B1D6-310E159CE2FE}"/>
    <cellStyle name="40% - Énfasis3 86 2" xfId="17468" xr:uid="{A6DB7A45-6693-43B6-94A0-F2E7EE19E589}"/>
    <cellStyle name="40% - Énfasis3 86_1.2.b" xfId="15735" xr:uid="{531C7366-3901-4D67-9A62-6C2868C9FB05}"/>
    <cellStyle name="40% - Énfasis3 87" xfId="13494" xr:uid="{0548A4A5-5BC2-4E41-8D22-1BC70EEDCC40}"/>
    <cellStyle name="40% - Énfasis3 87 2" xfId="17469" xr:uid="{344E6E19-8936-4D3E-83D4-3142156AE0D9}"/>
    <cellStyle name="40% - Énfasis3 87_1.2.b" xfId="15736" xr:uid="{A91E7B1C-3F9D-4173-93F1-5DBD3088C16B}"/>
    <cellStyle name="40% - Énfasis3 88" xfId="13495" xr:uid="{77C6D5DF-5867-4810-96F9-36B601EE5FF2}"/>
    <cellStyle name="40% - Énfasis3 88 2" xfId="17470" xr:uid="{FE2B77D5-E6B9-41EC-93E7-9B3CE40F3AB8}"/>
    <cellStyle name="40% - Énfasis3 88_1.2.b" xfId="15737" xr:uid="{1217C23B-F703-48F8-85C5-E3EE7855183D}"/>
    <cellStyle name="40% - Énfasis3 89" xfId="13496" xr:uid="{0131AFFD-BDFE-49D1-BAFE-C1E68A02C977}"/>
    <cellStyle name="40% - Énfasis3 89 2" xfId="17471" xr:uid="{36952C95-DBB2-4C1F-A28F-65E8C5AC9F62}"/>
    <cellStyle name="40% - Énfasis3 89_1.2.b" xfId="15738" xr:uid="{AEF858C3-A418-44EB-B9B0-6E2B6EA2386B}"/>
    <cellStyle name="40% - Énfasis3 9" xfId="9873" xr:uid="{00000000-0005-0000-0000-000004010000}"/>
    <cellStyle name="40% - Énfasis3 9 2" xfId="13498" xr:uid="{CB02D26C-1C43-484B-9BE0-1B76E7E84B3D}"/>
    <cellStyle name="40% - Énfasis3 9 2 2" xfId="17473" xr:uid="{9B792AEA-DE14-4821-847A-F7D3551C383D}"/>
    <cellStyle name="40% - Énfasis3 9 2_1.2.b" xfId="15740" xr:uid="{77197E46-33BB-4DFB-A00A-B9B3B656B132}"/>
    <cellStyle name="40% - Énfasis3 9 3" xfId="13497" xr:uid="{C2911833-F2C5-4881-800D-3286C163058F}"/>
    <cellStyle name="40% - Énfasis3 9 4" xfId="17472" xr:uid="{12942CD7-4120-4F06-BB4E-1E0CF212478E}"/>
    <cellStyle name="40% - Énfasis3 9_1.2.b" xfId="15739" xr:uid="{317F91E3-DC53-4962-B3D9-D79DB6F47DA8}"/>
    <cellStyle name="40% - Énfasis3 90" xfId="13499" xr:uid="{2A4FCCFE-890C-4E52-9B27-9B0195165C34}"/>
    <cellStyle name="40% - Énfasis3 90 2" xfId="17474" xr:uid="{6E8BCA97-9A9E-4B60-86A7-6B26F2CE23EB}"/>
    <cellStyle name="40% - Énfasis3 90_1.2.b" xfId="15741" xr:uid="{59737910-1057-4EE4-9EB8-FB627EF6DF4A}"/>
    <cellStyle name="40% - Énfasis3 91" xfId="13500" xr:uid="{B46218AE-6D7D-41D4-BA2A-B5B2EE6EA8E6}"/>
    <cellStyle name="40% - Énfasis3 91 2" xfId="17475" xr:uid="{204D6265-7C81-4A03-9829-CF52A5301629}"/>
    <cellStyle name="40% - Énfasis3 91_1.2.b" xfId="15742" xr:uid="{B0C3B9E7-F7B9-4ECC-9EF3-33DF5BF92A71}"/>
    <cellStyle name="40% - Énfasis3 92" xfId="13501" xr:uid="{32BFBD58-9E1A-402C-B2F8-9A693A04B9F5}"/>
    <cellStyle name="40% - Énfasis3 92 2" xfId="17476" xr:uid="{6E9B36CB-23FC-43E1-8795-4BFE0792C0BA}"/>
    <cellStyle name="40% - Énfasis3 92_1.2.b" xfId="15743" xr:uid="{9D1D4FB1-0D4F-490E-A396-0AD0A1653EF0}"/>
    <cellStyle name="40% - Énfasis3 93" xfId="13502" xr:uid="{E8DB8497-37A3-4778-8150-10F467B0B78C}"/>
    <cellStyle name="40% - Énfasis3 93 2" xfId="17477" xr:uid="{7BE672DB-71F4-496D-922E-0AFD7B385F79}"/>
    <cellStyle name="40% - Énfasis3 93_1.2.b" xfId="15744" xr:uid="{7C6251AD-DF2D-47AD-9FBD-F6A1D3386135}"/>
    <cellStyle name="40% - Énfasis3 94" xfId="13503" xr:uid="{3B86FAAF-A899-4AD3-85E5-A09247854C0F}"/>
    <cellStyle name="40% - Énfasis3 94 2" xfId="17478" xr:uid="{AE6E727A-EF6B-438D-92A1-9E5DC065DE9B}"/>
    <cellStyle name="40% - Énfasis3 94_1.2.b" xfId="15745" xr:uid="{5DFEA653-BFF2-403D-B6D0-4188386C8800}"/>
    <cellStyle name="40% - Énfasis3 95" xfId="13504" xr:uid="{51082003-E363-4EAB-9C7B-2CFFEA6E457D}"/>
    <cellStyle name="40% - Énfasis3 95 2" xfId="17479" xr:uid="{C7846F95-C75C-4ABD-A48D-E1542638BCE9}"/>
    <cellStyle name="40% - Énfasis3 95_1.2.b" xfId="15746" xr:uid="{F8F2A147-A421-4A36-8125-4BC1DACDAC52}"/>
    <cellStyle name="40% - Énfasis4 10" xfId="9923" xr:uid="{00000000-0005-0000-0000-000006010000}"/>
    <cellStyle name="40% - Énfasis4 10 2" xfId="11660" xr:uid="{00000000-0005-0000-0000-000007010000}"/>
    <cellStyle name="40% - Énfasis4 10 3" xfId="13505" xr:uid="{FAC8BB77-A716-47FC-AB25-E4E97140B0C2}"/>
    <cellStyle name="40% - Énfasis4 10 4" xfId="17480" xr:uid="{BC545726-50F3-4A37-8B08-D891568E046A}"/>
    <cellStyle name="40% - Énfasis4 10_1.2.b" xfId="15747" xr:uid="{90FB62C0-9DEC-46B2-99D7-E060E73829F0}"/>
    <cellStyle name="40% - Énfasis4 11" xfId="10525" xr:uid="{00000000-0005-0000-0000-000008010000}"/>
    <cellStyle name="40% - Énfasis4 11 2" xfId="12260" xr:uid="{00000000-0005-0000-0000-000009010000}"/>
    <cellStyle name="40% - Énfasis4 11 3" xfId="13506" xr:uid="{6E68FE77-D57A-4210-AD45-36D75FFDA0F4}"/>
    <cellStyle name="40% - Énfasis4 11 4" xfId="17481" xr:uid="{547FAAC6-79DB-477B-A0A2-5C5344E8828A}"/>
    <cellStyle name="40% - Énfasis4 11_1.2.b" xfId="15748" xr:uid="{62A8226F-AFAE-40C9-A71B-496A8BFF0000}"/>
    <cellStyle name="40% - Énfasis4 12" xfId="10538" xr:uid="{00000000-0005-0000-0000-00000A010000}"/>
    <cellStyle name="40% - Énfasis4 12 2" xfId="12273" xr:uid="{00000000-0005-0000-0000-00000B010000}"/>
    <cellStyle name="40% - Énfasis4 12 3" xfId="13507" xr:uid="{C031296C-389E-4982-8CE8-D3A99EF6CD70}"/>
    <cellStyle name="40% - Énfasis4 12 4" xfId="17482" xr:uid="{72278C6C-5EE9-4FD1-9CA5-8860ED6FD26D}"/>
    <cellStyle name="40% - Énfasis4 12_1.2.b" xfId="15749" xr:uid="{366B8D11-3B7E-49C7-A929-7A59FA10A5B9}"/>
    <cellStyle name="40% - Énfasis4 13" xfId="10585" xr:uid="{00000000-0005-0000-0000-00000C010000}"/>
    <cellStyle name="40% - Énfasis4 13 2" xfId="12318" xr:uid="{00000000-0005-0000-0000-00000D010000}"/>
    <cellStyle name="40% - Énfasis4 13 3" xfId="13508" xr:uid="{F1B8B59F-0C21-4ACD-8AE7-F398DB4B70D2}"/>
    <cellStyle name="40% - Énfasis4 13 4" xfId="17483" xr:uid="{EFFBF4AD-3357-4734-8C1B-DD97FAE5006D}"/>
    <cellStyle name="40% - Énfasis4 13_1.2.b" xfId="15750" xr:uid="{9CB041BE-9E57-465D-BC7C-FD46C7DF32D2}"/>
    <cellStyle name="40% - Énfasis4 14" xfId="10605" xr:uid="{00000000-0005-0000-0000-00000E010000}"/>
    <cellStyle name="40% - Énfasis4 14 2" xfId="12334" xr:uid="{00000000-0005-0000-0000-00000F010000}"/>
    <cellStyle name="40% - Énfasis4 14 3" xfId="13509" xr:uid="{CE4B2C2E-4D77-4C30-9FD7-8B1034A2A67A}"/>
    <cellStyle name="40% - Énfasis4 14 4" xfId="17484" xr:uid="{EB5A72BD-9E8F-49EC-8AB3-965C3270D668}"/>
    <cellStyle name="40% - Énfasis4 14_1.2.b" xfId="15751" xr:uid="{B5567C8B-BFB8-49D6-A66E-DDAE3EAB7CC1}"/>
    <cellStyle name="40% - Énfasis4 15" xfId="10626" xr:uid="{00000000-0005-0000-0000-000010010000}"/>
    <cellStyle name="40% - Énfasis4 15 2" xfId="13510" xr:uid="{409A62B5-9A45-495B-920C-A6E798A6F6A1}"/>
    <cellStyle name="40% - Énfasis4 15 3" xfId="17485" xr:uid="{EDEF4D48-AB84-430E-935D-ABCBFDBE7E5D}"/>
    <cellStyle name="40% - Énfasis4 15_1.2.b" xfId="15752" xr:uid="{1B6E0EFF-492C-4D3A-BC16-BA30CBD17B50}"/>
    <cellStyle name="40% - Énfasis4 16" xfId="12367" xr:uid="{00000000-0005-0000-0000-000011010000}"/>
    <cellStyle name="40% - Énfasis4 16 2" xfId="13511" xr:uid="{82D76322-C015-41B2-9552-81DB8A30F735}"/>
    <cellStyle name="40% - Énfasis4 16 3" xfId="17486" xr:uid="{D943B4F2-E9B7-4E18-9FE6-52400E3ADAD1}"/>
    <cellStyle name="40% - Énfasis4 16_1.2.b" xfId="15753" xr:uid="{A160C6F4-1FDA-476E-9C3E-DA7EEF78AC33}"/>
    <cellStyle name="40% - Énfasis4 17" xfId="12382" xr:uid="{00000000-0005-0000-0000-000012010000}"/>
    <cellStyle name="40% - Énfasis4 17 2" xfId="13512" xr:uid="{A5A6AC28-FF33-4046-9CE6-F435B97F8B38}"/>
    <cellStyle name="40% - Énfasis4 17 3" xfId="17487" xr:uid="{D21B064D-B0A5-47FF-83C5-353AA400A6CD}"/>
    <cellStyle name="40% - Énfasis4 17_1.2.b" xfId="15754" xr:uid="{686CA169-BF07-4BFF-8F1F-EFCB042446B8}"/>
    <cellStyle name="40% - Énfasis4 18" xfId="13513" xr:uid="{9970C10A-328E-40C0-A637-FA55EFC96820}"/>
    <cellStyle name="40% - Énfasis4 18 2" xfId="17488" xr:uid="{D594C3DE-ED53-44BA-8EAD-82E008B2EC26}"/>
    <cellStyle name="40% - Énfasis4 18_1.2.b" xfId="15755" xr:uid="{35BFDBF8-60C9-4AA2-87AF-F826C09B1957}"/>
    <cellStyle name="40% - Énfasis4 19" xfId="13514" xr:uid="{F9C02E77-BCA9-4C56-B266-56FD3ACBFF9E}"/>
    <cellStyle name="40% - Énfasis4 19 2" xfId="17489" xr:uid="{6A9074A1-F584-4187-8106-834BB1E93D01}"/>
    <cellStyle name="40% - Énfasis4 19_1.2.b" xfId="15756" xr:uid="{65926C6E-60EB-463C-9B74-FF65EE36DD8F}"/>
    <cellStyle name="40% - Énfasis4 2" xfId="153" xr:uid="{00000000-0005-0000-0000-000013010000}"/>
    <cellStyle name="40% - Énfasis4 2 10" xfId="13516" xr:uid="{50E5500A-D926-42DC-87E8-76AFDD29A7B1}"/>
    <cellStyle name="40% - Énfasis4 2 10 2" xfId="17491" xr:uid="{81BA6C27-7386-4EC6-B493-E77208FABF92}"/>
    <cellStyle name="40% - Énfasis4 2 10_1.2.b" xfId="15758" xr:uid="{0F5192F4-71E5-4388-841D-0A88A464050F}"/>
    <cellStyle name="40% - Énfasis4 2 11" xfId="13515" xr:uid="{0D48CB5D-BD17-416C-8301-C6FE807A82AB}"/>
    <cellStyle name="40% - Énfasis4 2 12" xfId="17490" xr:uid="{14FF8AAD-0AD2-4B0C-B500-0A75BE001AD1}"/>
    <cellStyle name="40% - Énfasis4 2 13" xfId="18171" xr:uid="{97B155CB-F477-461A-9402-89B04CAAAA14}"/>
    <cellStyle name="40% - Énfasis4 2 14" xfId="18185" xr:uid="{554F1FAA-FBC9-42D6-AF4C-77AF00393DF3}"/>
    <cellStyle name="40% - Énfasis4 2 15" xfId="18170" xr:uid="{B6F5F11B-722A-4EEB-BC28-B31F720F32FE}"/>
    <cellStyle name="40% - Énfasis4 2 16" xfId="18188" xr:uid="{1A008E36-A1D4-4D9B-84B3-0C06B842F464}"/>
    <cellStyle name="40% - Énfasis4 2 2" xfId="10673" xr:uid="{00000000-0005-0000-0000-000014010000}"/>
    <cellStyle name="40% - Énfasis4 2 2 2" xfId="13518" xr:uid="{4EB890A6-23E8-468C-BCC7-7F69E31A6F64}"/>
    <cellStyle name="40% - Énfasis4 2 2 3" xfId="13519" xr:uid="{EA9FA343-5EFD-4A4C-BBA3-DCE64C0BA7E4}"/>
    <cellStyle name="40% - Énfasis4 2 2 4" xfId="13520" xr:uid="{7190F379-B2ED-461A-AAC0-D3B6B36D0DAC}"/>
    <cellStyle name="40% - Énfasis4 2 2 5" xfId="13521" xr:uid="{1463C6BA-C120-4370-B8EF-169DA00A49C5}"/>
    <cellStyle name="40% - Énfasis4 2 2 6" xfId="13517" xr:uid="{64EEB7C3-5C7F-4412-A986-87044059E44D}"/>
    <cellStyle name="40% - Énfasis4 2 2 7" xfId="17492" xr:uid="{B1403A45-1EE4-44D7-9776-CF5F0F25E46D}"/>
    <cellStyle name="40% - Énfasis4 2 2_1.2.b" xfId="15759" xr:uid="{9C695F04-ADA5-475E-9B17-3D93919E0FF1}"/>
    <cellStyle name="40% - Énfasis4 2 3" xfId="13522" xr:uid="{8AC350F8-D15B-4B8D-B733-B5296EE52FA5}"/>
    <cellStyle name="40% - Énfasis4 2 4" xfId="13523" xr:uid="{0B2F8C19-6A87-4128-8A94-9F40F8A958B9}"/>
    <cellStyle name="40% - Énfasis4 2 5" xfId="13524" xr:uid="{F1C5242A-93E5-44A9-AE1C-39800B95E987}"/>
    <cellStyle name="40% - Énfasis4 2 6" xfId="13525" xr:uid="{354BFC02-78BE-4997-A50C-49234407FC2E}"/>
    <cellStyle name="40% - Énfasis4 2 7" xfId="13526" xr:uid="{EB162D56-32CC-43FA-A090-EC49FA8F2B38}"/>
    <cellStyle name="40% - Énfasis4 2 8" xfId="13527" xr:uid="{A8673A88-8290-4A13-AF4F-933558230F53}"/>
    <cellStyle name="40% - Énfasis4 2 9" xfId="13528" xr:uid="{DB001BF6-C28E-47EB-9FE7-581CC02766C3}"/>
    <cellStyle name="40% - Énfasis4 2 9 2" xfId="17494" xr:uid="{5B57D04C-8B9E-4A5E-AE1B-126AF5CA5676}"/>
    <cellStyle name="40% - Énfasis4 2 9_1.2.b" xfId="15760" xr:uid="{0110DD66-DF91-49F0-ACA2-795E136006C9}"/>
    <cellStyle name="40% - Énfasis4 2_1.2.b" xfId="15757" xr:uid="{0CAAE55B-E335-48F3-A0E7-2ECAF080F1BC}"/>
    <cellStyle name="40% - Énfasis4 20" xfId="13529" xr:uid="{AE23D71D-54FB-421C-A465-531BF34009AB}"/>
    <cellStyle name="40% - Énfasis4 20 2" xfId="17495" xr:uid="{B72FF1A6-BB91-47B4-BA88-2FD7184FC78F}"/>
    <cellStyle name="40% - Énfasis4 20_1.2.b" xfId="15761" xr:uid="{1433176C-A0F0-4E9F-B9DE-F7FD9C23F57A}"/>
    <cellStyle name="40% - Énfasis4 21" xfId="13530" xr:uid="{653AE31C-0686-40AC-9AF7-EE0300C1C856}"/>
    <cellStyle name="40% - Énfasis4 21 2" xfId="17496" xr:uid="{58C678A3-BB55-4D39-9A39-4487351F9BEB}"/>
    <cellStyle name="40% - Énfasis4 21_1.2.b" xfId="15762" xr:uid="{30F5824D-1DE0-4F63-ADCD-B77A75B0EB29}"/>
    <cellStyle name="40% - Énfasis4 22" xfId="13531" xr:uid="{043DD913-E8B0-4213-9A07-679629AA0C0C}"/>
    <cellStyle name="40% - Énfasis4 22 2" xfId="17497" xr:uid="{BFA3D507-4310-4B57-8AD9-716F33F4BF20}"/>
    <cellStyle name="40% - Énfasis4 22_1.2.b" xfId="15763" xr:uid="{01BC22B3-BCBD-4DD5-89AD-27713A778031}"/>
    <cellStyle name="40% - Énfasis4 23" xfId="13532" xr:uid="{96A3BA91-9B37-4DC3-A5F9-646F78F375EA}"/>
    <cellStyle name="40% - Énfasis4 23 2" xfId="17498" xr:uid="{959483E6-8D7D-49F6-95E8-068A4C0107C0}"/>
    <cellStyle name="40% - Énfasis4 23_1.2.b" xfId="15764" xr:uid="{2E95FF1B-D376-48BD-A1A0-1ECBF2D9AA4A}"/>
    <cellStyle name="40% - Énfasis4 24" xfId="13533" xr:uid="{11936E0E-3805-47EC-A32C-EAFD1B9934FD}"/>
    <cellStyle name="40% - Énfasis4 24 2" xfId="17499" xr:uid="{67ECD961-3162-4618-8469-598BB530A7C3}"/>
    <cellStyle name="40% - Énfasis4 24_1.2.b" xfId="15765" xr:uid="{EFDA8C17-B10E-41D8-8B56-F5F8F41B4EB6}"/>
    <cellStyle name="40% - Énfasis4 25" xfId="13534" xr:uid="{70BEDED1-0DE8-4B8D-A96A-6C4C8B828FAB}"/>
    <cellStyle name="40% - Énfasis4 25 2" xfId="17500" xr:uid="{7427867C-3DF1-4C51-BE27-7C0B800F3AF2}"/>
    <cellStyle name="40% - Énfasis4 25_1.2.b" xfId="15766" xr:uid="{E25A5FE6-26A8-4E07-B814-CA8D2F1F5C3D}"/>
    <cellStyle name="40% - Énfasis4 26" xfId="13535" xr:uid="{06E865E8-7141-47DD-B821-C505FB713FE1}"/>
    <cellStyle name="40% - Énfasis4 26 2" xfId="17501" xr:uid="{9D4162D2-6713-40A5-998F-31D87E1C4202}"/>
    <cellStyle name="40% - Énfasis4 26_1.2.b" xfId="15767" xr:uid="{91998AF5-55E7-49C2-8FD2-23E8D4A346B1}"/>
    <cellStyle name="40% - Énfasis4 27" xfId="13536" xr:uid="{701CF862-8D65-42E8-AEA6-CC3CE106DE0E}"/>
    <cellStyle name="40% - Énfasis4 27 2" xfId="17502" xr:uid="{57142E25-50D7-4998-9AFC-F0BFE0CEA423}"/>
    <cellStyle name="40% - Énfasis4 27_1.2.b" xfId="15768" xr:uid="{DF10EFF4-8A16-4572-ACB1-211E039770E6}"/>
    <cellStyle name="40% - Énfasis4 28" xfId="13537" xr:uid="{93014305-6CCE-429F-9213-A84723931D51}"/>
    <cellStyle name="40% - Énfasis4 28 2" xfId="17503" xr:uid="{260FD596-49C0-450D-8C35-2FCF65BA97B4}"/>
    <cellStyle name="40% - Énfasis4 28_1.2.b" xfId="15769" xr:uid="{97BEF62F-1288-4704-ABB0-023846AC6C1C}"/>
    <cellStyle name="40% - Énfasis4 29" xfId="13538" xr:uid="{223DBE7F-35B3-459D-94B4-04031CDE9139}"/>
    <cellStyle name="40% - Énfasis4 29 2" xfId="17504" xr:uid="{A27920ED-D2D0-475C-BD10-3D60D7213F16}"/>
    <cellStyle name="40% - Énfasis4 29_1.2.b" xfId="15770" xr:uid="{F70E184B-975B-416C-A5EC-3DF0CA422BB6}"/>
    <cellStyle name="40% - Énfasis4 3" xfId="167" xr:uid="{00000000-0005-0000-0000-000015010000}"/>
    <cellStyle name="40% - Énfasis4 3 2" xfId="10687" xr:uid="{00000000-0005-0000-0000-000016010000}"/>
    <cellStyle name="40% - Énfasis4 3 2 2" xfId="13540" xr:uid="{80312FA5-6B02-40AB-8206-B179206660E6}"/>
    <cellStyle name="40% - Énfasis4 3 2 3" xfId="17506" xr:uid="{757A10DF-EEA8-48E6-B0DD-9581B86B1536}"/>
    <cellStyle name="40% - Énfasis4 3 2_1.2.b" xfId="15772" xr:uid="{B0A10FD3-FB8A-43A4-B5DA-D1E2FC1BB760}"/>
    <cellStyle name="40% - Énfasis4 3 3" xfId="13541" xr:uid="{0DCCA6ED-C352-417E-A45F-2D68A27CECB7}"/>
    <cellStyle name="40% - Énfasis4 3 4" xfId="13539" xr:uid="{61EE2B5F-26EB-426B-98E5-4BAC21E09459}"/>
    <cellStyle name="40% - Énfasis4 3 5" xfId="17505" xr:uid="{AF858854-D237-4091-90C3-2A2ED7066037}"/>
    <cellStyle name="40% - Énfasis4 3_1.2.b" xfId="15771" xr:uid="{0854FDC3-4DC9-46D4-BE95-7E3F6588C86C}"/>
    <cellStyle name="40% - Énfasis4 30" xfId="13542" xr:uid="{43E9130A-0805-40BC-8C70-AF7C236A5E3E}"/>
    <cellStyle name="40% - Énfasis4 30 2" xfId="17507" xr:uid="{B0B3BF14-07E3-4354-B4C0-9CB7A695891F}"/>
    <cellStyle name="40% - Énfasis4 30_1.2.b" xfId="15773" xr:uid="{156DD58A-7309-447E-BC82-FEB082D45EBA}"/>
    <cellStyle name="40% - Énfasis4 31" xfId="13543" xr:uid="{A8AAAB7A-A271-47FD-89AC-0EA8B6F19B02}"/>
    <cellStyle name="40% - Énfasis4 31 2" xfId="17508" xr:uid="{90130C8C-2EBC-46B6-B404-8F76D587E6D8}"/>
    <cellStyle name="40% - Énfasis4 31_1.2.b" xfId="15774" xr:uid="{3DCC1CBB-DF96-4BF2-B527-6567692B174A}"/>
    <cellStyle name="40% - Énfasis4 32" xfId="13544" xr:uid="{F2718665-E604-4D94-9F1E-0B848182CD44}"/>
    <cellStyle name="40% - Énfasis4 32 2" xfId="17509" xr:uid="{5207B4F5-EB9B-447D-B9BA-DBFE286928E5}"/>
    <cellStyle name="40% - Énfasis4 32_1.2.b" xfId="15775" xr:uid="{72E5C55C-F203-414F-AD03-996292D15E4D}"/>
    <cellStyle name="40% - Énfasis4 33" xfId="13545" xr:uid="{2B17E376-C1C1-46B9-9AA5-2C69EF8E7750}"/>
    <cellStyle name="40% - Énfasis4 33 2" xfId="17510" xr:uid="{858B32BE-F4FC-49C9-9A1B-DB122BFCC9B0}"/>
    <cellStyle name="40% - Énfasis4 33_1.2.b" xfId="15776" xr:uid="{F00BD8C6-6097-4D26-9B3A-0A901CC9A443}"/>
    <cellStyle name="40% - Énfasis4 34" xfId="13546" xr:uid="{B41592C4-7F4F-4CF3-83C1-669F4E85AD6E}"/>
    <cellStyle name="40% - Énfasis4 34 2" xfId="17511" xr:uid="{93E38B69-1FF0-4377-9333-2AEAFF354035}"/>
    <cellStyle name="40% - Énfasis4 34_1.2.b" xfId="15777" xr:uid="{62E4F2CF-66F4-4BAC-A93E-DDAE7312D5D0}"/>
    <cellStyle name="40% - Énfasis4 35" xfId="13547" xr:uid="{E7833FB4-D5E4-437C-95D9-A33AB453A10D}"/>
    <cellStyle name="40% - Énfasis4 35 2" xfId="17512" xr:uid="{2D407D1C-0884-4715-B977-465A781AE75B}"/>
    <cellStyle name="40% - Énfasis4 35_1.2.b" xfId="15778" xr:uid="{7446AED8-527E-4354-83B6-EEE32F01C14D}"/>
    <cellStyle name="40% - Énfasis4 36" xfId="13548" xr:uid="{328399A1-20DF-461D-BE4F-9296C3B1F232}"/>
    <cellStyle name="40% - Énfasis4 36 2" xfId="17513" xr:uid="{5414DB51-E05B-4316-AA23-FFB3C44133D7}"/>
    <cellStyle name="40% - Énfasis4 36_1.2.b" xfId="15779" xr:uid="{B86F9253-ED52-4834-B0D7-A1C581FD6009}"/>
    <cellStyle name="40% - Énfasis4 37" xfId="13549" xr:uid="{A61B93F0-7801-43F6-B7C9-FD4DBC40041C}"/>
    <cellStyle name="40% - Énfasis4 37 2" xfId="17514" xr:uid="{C7CCC95D-972E-4B27-AAFE-E758F3DCF7C2}"/>
    <cellStyle name="40% - Énfasis4 37_1.2.b" xfId="15780" xr:uid="{00633239-18E0-4F9E-AFD3-DFFE52DA4AEB}"/>
    <cellStyle name="40% - Énfasis4 38" xfId="13550" xr:uid="{049BA81C-3F9A-4370-916C-C5F534A9B267}"/>
    <cellStyle name="40% - Énfasis4 38 2" xfId="17515" xr:uid="{72CFDAC1-F502-4CD9-8EB5-37044D44C132}"/>
    <cellStyle name="40% - Énfasis4 38_1.2.b" xfId="15781" xr:uid="{E468B636-7132-43E6-9B8A-E254AFB1FC44}"/>
    <cellStyle name="40% - Énfasis4 39" xfId="13551" xr:uid="{8AA706EF-5E85-4DEE-8DC7-8364A8904BF5}"/>
    <cellStyle name="40% - Énfasis4 39 2" xfId="17516" xr:uid="{D51DD2E7-719D-4037-B2F0-97DE6C6100C3}"/>
    <cellStyle name="40% - Énfasis4 39_1.2.b" xfId="15782" xr:uid="{3EE365FB-3672-46C8-8D63-4FBF78B6C1F6}"/>
    <cellStyle name="40% - Énfasis4 4" xfId="181" xr:uid="{00000000-0005-0000-0000-000017010000}"/>
    <cellStyle name="40% - Énfasis4 4 2" xfId="10701" xr:uid="{00000000-0005-0000-0000-000018010000}"/>
    <cellStyle name="40% - Énfasis4 4 2 2" xfId="13553" xr:uid="{875CBD84-7FE7-4CCE-B28F-C1055CBAC578}"/>
    <cellStyle name="40% - Énfasis4 4 2_1.2.b" xfId="15784" xr:uid="{77266066-9055-408F-8622-D2CAFA6B79BD}"/>
    <cellStyle name="40% - Énfasis4 4 3" xfId="13552" xr:uid="{13B1F956-5B30-4EED-9CEA-1C0F02264320}"/>
    <cellStyle name="40% - Énfasis4 4 4" xfId="17517" xr:uid="{C68AF539-03B7-499E-89EC-DA9086519577}"/>
    <cellStyle name="40% - Énfasis4 4 5" xfId="18174" xr:uid="{978C94BD-8B41-43E1-B351-B417F3298865}"/>
    <cellStyle name="40% - Énfasis4 4 6" xfId="18183" xr:uid="{5F6ACDC3-CA29-4F11-85C5-718D3DCD724F}"/>
    <cellStyle name="40% - Énfasis4 4 7" xfId="18173" xr:uid="{E3F55042-9CFE-4223-A901-694732A341A8}"/>
    <cellStyle name="40% - Énfasis4 4 8" xfId="18184" xr:uid="{97C792CF-7EFB-46FE-8B11-B3A8568F4DB6}"/>
    <cellStyle name="40% - Énfasis4 4_1.2.b" xfId="15783" xr:uid="{6BAB56F7-595F-4774-A38E-610FCF1B81D9}"/>
    <cellStyle name="40% - Énfasis4 40" xfId="13554" xr:uid="{1108FA6F-DFEB-4BBD-AA31-08B876DA9600}"/>
    <cellStyle name="40% - Énfasis4 40 2" xfId="17518" xr:uid="{D1898F0B-D690-4B65-9EE2-AF3F8DE14D6D}"/>
    <cellStyle name="40% - Énfasis4 40_1.2.b" xfId="15785" xr:uid="{2BF2924C-592B-44DF-904A-8178A57CCDE5}"/>
    <cellStyle name="40% - Énfasis4 41" xfId="13555" xr:uid="{456E3478-D6C9-417D-BAB2-B7ADE72D9902}"/>
    <cellStyle name="40% - Énfasis4 41 2" xfId="17519" xr:uid="{C38B333F-C309-440A-8DAE-4BB3FFCAE317}"/>
    <cellStyle name="40% - Énfasis4 41_1.2.b" xfId="15786" xr:uid="{3068A471-0ED1-4469-9470-7D1078538F03}"/>
    <cellStyle name="40% - Énfasis4 42" xfId="13556" xr:uid="{BF64F91F-CE7B-4BA5-B698-7B0D73F843C7}"/>
    <cellStyle name="40% - Énfasis4 42 2" xfId="17520" xr:uid="{556F30D0-95B7-426A-80A3-97AC4512A860}"/>
    <cellStyle name="40% - Énfasis4 42_1.2.b" xfId="15787" xr:uid="{9C96497A-0A5F-4B45-B227-FA888FA8384A}"/>
    <cellStyle name="40% - Énfasis4 43" xfId="13557" xr:uid="{C5FDAFAB-6777-43E3-B4D8-B1F99DFF72CD}"/>
    <cellStyle name="40% - Énfasis4 43 2" xfId="17521" xr:uid="{A9E7515F-59FF-4166-9F34-68802B42846E}"/>
    <cellStyle name="40% - Énfasis4 43_1.2.b" xfId="15788" xr:uid="{0602636F-E00E-4028-AE74-2458F079E796}"/>
    <cellStyle name="40% - Énfasis4 44" xfId="13558" xr:uid="{06625A91-6E47-4D84-91F8-7A556C473193}"/>
    <cellStyle name="40% - Énfasis4 44 2" xfId="17522" xr:uid="{6E4284FE-F54F-40EE-A5AE-E69B0D6F365D}"/>
    <cellStyle name="40% - Énfasis4 44_1.2.b" xfId="15789" xr:uid="{E99F039C-D684-4834-8956-F1F423A2CCF7}"/>
    <cellStyle name="40% - Énfasis4 45" xfId="13559" xr:uid="{5DCC23CA-6682-4C5B-9CEF-F0E8DCDFE748}"/>
    <cellStyle name="40% - Énfasis4 45 2" xfId="17523" xr:uid="{D13F1350-2B69-42F8-A0CA-0DB5279A01D7}"/>
    <cellStyle name="40% - Énfasis4 45_1.2.b" xfId="15790" xr:uid="{6E2A8C43-AD66-4A16-8A0E-5DA848CBFB1E}"/>
    <cellStyle name="40% - Énfasis4 46" xfId="13560" xr:uid="{CEE59321-663B-4551-8041-51FCFA8F85F4}"/>
    <cellStyle name="40% - Énfasis4 46 2" xfId="17524" xr:uid="{496917C6-F1CC-439C-9647-864B409D3833}"/>
    <cellStyle name="40% - Énfasis4 46_1.2.b" xfId="15791" xr:uid="{A2C5ADF0-06A7-4C5C-AD6E-CD74826EB24F}"/>
    <cellStyle name="40% - Énfasis4 47" xfId="13561" xr:uid="{EAB32EB8-CD40-484A-9825-F4B6B88F492B}"/>
    <cellStyle name="40% - Énfasis4 47 2" xfId="17525" xr:uid="{E9B6F0AB-3527-48AB-A6B3-5BCBF97E01F5}"/>
    <cellStyle name="40% - Énfasis4 47_1.2.b" xfId="15792" xr:uid="{05C1DFA1-9976-4A78-8407-0BE0371DF09A}"/>
    <cellStyle name="40% - Énfasis4 48" xfId="13562" xr:uid="{76F62541-D029-436E-97F8-9828DCB146AF}"/>
    <cellStyle name="40% - Énfasis4 48 2" xfId="17526" xr:uid="{A5C33F80-6ED0-439B-8665-B998515C6FB2}"/>
    <cellStyle name="40% - Énfasis4 48_1.2.b" xfId="15793" xr:uid="{94F7612D-A14E-45D0-B0AD-51A1F8842B5C}"/>
    <cellStyle name="40% - Énfasis4 49" xfId="13563" xr:uid="{5FA0677C-693C-4656-9F5C-E877300EAF3F}"/>
    <cellStyle name="40% - Énfasis4 49 2" xfId="17527" xr:uid="{95421B49-69F8-4796-88FC-C1D9424D6390}"/>
    <cellStyle name="40% - Énfasis4 49_1.2.b" xfId="15794" xr:uid="{5412729A-F891-4E02-B5C0-A8BE8A87802B}"/>
    <cellStyle name="40% - Énfasis4 5" xfId="196" xr:uid="{00000000-0005-0000-0000-000019010000}"/>
    <cellStyle name="40% - Énfasis4 5 2" xfId="10716" xr:uid="{00000000-0005-0000-0000-00001A010000}"/>
    <cellStyle name="40% - Énfasis4 5 3" xfId="13564" xr:uid="{475A3FDC-D9BB-440F-ACCC-8887C1F3E90E}"/>
    <cellStyle name="40% - Énfasis4 5 4" xfId="17528" xr:uid="{BF178544-C826-459E-97B8-689A32C9CA9F}"/>
    <cellStyle name="40% - Énfasis4 5_1.2.b" xfId="15795" xr:uid="{68DEC187-63D7-439B-9E32-1FDB8E4B08FA}"/>
    <cellStyle name="40% - Énfasis4 50" xfId="13565" xr:uid="{59A31BA2-9754-4BD4-8429-EDE8ED6B5339}"/>
    <cellStyle name="40% - Énfasis4 50 2" xfId="17529" xr:uid="{E53F497E-FD2B-4C8C-9577-2DC5AC54FDE7}"/>
    <cellStyle name="40% - Énfasis4 50_1.2.b" xfId="15796" xr:uid="{A52DA9C5-47D2-476A-A290-B1DED895DD4F}"/>
    <cellStyle name="40% - Énfasis4 51" xfId="13566" xr:uid="{0EE3FB7A-884D-42A4-AA57-AED96E35BFD7}"/>
    <cellStyle name="40% - Énfasis4 51 2" xfId="17530" xr:uid="{FAE708D5-F2A7-4BCD-9CFD-63DDA3C315E7}"/>
    <cellStyle name="40% - Énfasis4 51_1.2.b" xfId="15797" xr:uid="{56A5B40A-409A-44E9-9B1E-636DF77369E9}"/>
    <cellStyle name="40% - Énfasis4 52" xfId="13567" xr:uid="{32143B6F-3C8C-41F9-909A-C62BED82781D}"/>
    <cellStyle name="40% - Énfasis4 52 2" xfId="17531" xr:uid="{6F600AAE-FF06-4812-9648-483093202BDF}"/>
    <cellStyle name="40% - Énfasis4 52_1.2.b" xfId="15798" xr:uid="{5A362D1F-F70A-492A-90E1-6B10F40D9AF9}"/>
    <cellStyle name="40% - Énfasis4 53" xfId="13568" xr:uid="{AD60CAF9-6CCA-4365-879A-2EE59E3BE22E}"/>
    <cellStyle name="40% - Énfasis4 53 2" xfId="17532" xr:uid="{6B35EB0A-D890-4BB2-BC75-C0C03D90BC79}"/>
    <cellStyle name="40% - Énfasis4 53_1.2.b" xfId="15799" xr:uid="{8815885F-EE7F-4883-976B-084B85A46156}"/>
    <cellStyle name="40% - Énfasis4 54" xfId="13569" xr:uid="{CDFA8651-E44F-4BF6-84A6-9578B5D96C74}"/>
    <cellStyle name="40% - Énfasis4 54 2" xfId="17533" xr:uid="{CB84982C-69D8-4010-8A87-EF8AC77A8156}"/>
    <cellStyle name="40% - Énfasis4 54_1.2.b" xfId="15800" xr:uid="{C0349D5A-FF54-4A61-B9D7-CD52DD0CADDE}"/>
    <cellStyle name="40% - Énfasis4 55" xfId="13570" xr:uid="{2A4A7555-17A0-4B2A-A0EB-D5A85D3E532B}"/>
    <cellStyle name="40% - Énfasis4 55 2" xfId="17534" xr:uid="{0BA6C644-06FD-4260-8773-4B3D06434E9B}"/>
    <cellStyle name="40% - Énfasis4 55_1.2.b" xfId="15801" xr:uid="{7060D302-F24C-484C-8A15-023F28F6C07C}"/>
    <cellStyle name="40% - Énfasis4 56" xfId="13571" xr:uid="{3354EE73-CC68-4770-A6D6-A3DA1F8C3747}"/>
    <cellStyle name="40% - Énfasis4 56 2" xfId="17535" xr:uid="{F51C3C83-1828-4768-A953-83D8C4449919}"/>
    <cellStyle name="40% - Énfasis4 56_1.2.b" xfId="15802" xr:uid="{DAFA7A5D-8E0C-42DB-AA72-9F46D1C27893}"/>
    <cellStyle name="40% - Énfasis4 57" xfId="13572" xr:uid="{EDA94175-0B51-4358-8BC4-887C4FA81310}"/>
    <cellStyle name="40% - Énfasis4 57 2" xfId="17536" xr:uid="{6A86406D-DEA4-4A8C-9333-6A8FB00B1323}"/>
    <cellStyle name="40% - Énfasis4 57_1.2.b" xfId="15803" xr:uid="{1F00BA2D-BCEE-4167-9EF2-125F947F69A4}"/>
    <cellStyle name="40% - Énfasis4 58" xfId="13573" xr:uid="{F62107E5-8DB4-4570-A079-50AE56EE20DF}"/>
    <cellStyle name="40% - Énfasis4 58 2" xfId="17537" xr:uid="{EC707ECE-B9CE-41D1-95BF-1D7B72E9E22B}"/>
    <cellStyle name="40% - Énfasis4 58_1.2.b" xfId="15804" xr:uid="{AE602192-B9A2-4D97-AE17-3E05EE22C8D3}"/>
    <cellStyle name="40% - Énfasis4 59" xfId="13574" xr:uid="{78A6FC1E-4BDD-4382-AB2B-ACFF3A6D7E8F}"/>
    <cellStyle name="40% - Énfasis4 59 2" xfId="17538" xr:uid="{DDC27655-719A-4702-A2D4-2A70F80E6D7A}"/>
    <cellStyle name="40% - Énfasis4 59_1.2.b" xfId="15805" xr:uid="{45D7746F-9095-42B7-A69A-341E2A87DFBD}"/>
    <cellStyle name="40% - Énfasis4 6" xfId="210" xr:uid="{00000000-0005-0000-0000-00001B010000}"/>
    <cellStyle name="40% - Énfasis4 6 2" xfId="10730" xr:uid="{00000000-0005-0000-0000-00001C010000}"/>
    <cellStyle name="40% - Énfasis4 6 3" xfId="13575" xr:uid="{2AC969A2-FB7B-4D12-BB98-AB4AC7169395}"/>
    <cellStyle name="40% - Énfasis4 6 4" xfId="17539" xr:uid="{4979B90F-52B9-4D0A-BAC5-E256269F7E0C}"/>
    <cellStyle name="40% - Énfasis4 6_1.2.b" xfId="15806" xr:uid="{D67BE1C6-CF45-445B-ADF9-250F4C9909A1}"/>
    <cellStyle name="40% - Énfasis4 60" xfId="13576" xr:uid="{A9B1BFCE-2EE6-48A8-BB6D-63E307D88DD1}"/>
    <cellStyle name="40% - Énfasis4 60 2" xfId="17540" xr:uid="{C8809141-FBE4-4C94-8424-81EFE4B41A79}"/>
    <cellStyle name="40% - Énfasis4 60_1.2.b" xfId="15807" xr:uid="{1AA8FD9E-9E01-4A23-847F-2609C8EF45F6}"/>
    <cellStyle name="40% - Énfasis4 61" xfId="13577" xr:uid="{DEBD722C-FDC9-4BBC-A33E-0FE8A45115C4}"/>
    <cellStyle name="40% - Énfasis4 61 2" xfId="17541" xr:uid="{D9EA5F3A-757A-4B63-A4F1-B82EB5A3116F}"/>
    <cellStyle name="40% - Énfasis4 61_1.2.b" xfId="15808" xr:uid="{AB12680D-A847-4910-8180-740016FE26FD}"/>
    <cellStyle name="40% - Énfasis4 62" xfId="13578" xr:uid="{82D3ACC4-B49B-45CC-A864-1F94E3536272}"/>
    <cellStyle name="40% - Énfasis4 62 2" xfId="17542" xr:uid="{325CEB5C-7E74-4FBB-B4AA-C2CEE1A9B954}"/>
    <cellStyle name="40% - Énfasis4 62_1.2.b" xfId="15809" xr:uid="{E5329861-CA57-4CB6-B5F8-3599BFCE91C8}"/>
    <cellStyle name="40% - Énfasis4 63" xfId="13579" xr:uid="{4DDF9879-615F-489E-A9EA-F92A96CED483}"/>
    <cellStyle name="40% - Énfasis4 63 2" xfId="17543" xr:uid="{EAB285CC-FA02-48A4-8316-9AAF3C4DC42F}"/>
    <cellStyle name="40% - Énfasis4 63_1.2.b" xfId="15810" xr:uid="{57802C7E-1325-47B6-8D93-7C650D6FAF62}"/>
    <cellStyle name="40% - Énfasis4 64" xfId="13580" xr:uid="{343E0483-9913-4E01-A90C-3EB4907E846A}"/>
    <cellStyle name="40% - Énfasis4 64 2" xfId="17544" xr:uid="{071BCFD5-628C-44E4-822D-16D01677575D}"/>
    <cellStyle name="40% - Énfasis4 64_1.2.b" xfId="15811" xr:uid="{1DC04D54-2787-4AD0-86B4-8A7EC25F633E}"/>
    <cellStyle name="40% - Énfasis4 65" xfId="13581" xr:uid="{47DBBEC7-6EEC-46E8-B047-9ABF1C8B36D4}"/>
    <cellStyle name="40% - Énfasis4 65 2" xfId="17545" xr:uid="{049BFB35-5880-4AFF-90AF-235521E56DC6}"/>
    <cellStyle name="40% - Énfasis4 65_1.2.b" xfId="15812" xr:uid="{7839E0C8-76A9-4D98-AEAD-6BA9CF9F1995}"/>
    <cellStyle name="40% - Énfasis4 66" xfId="13582" xr:uid="{46AD371C-1724-44EC-BA22-C504D822333B}"/>
    <cellStyle name="40% - Énfasis4 66 2" xfId="17546" xr:uid="{34A23CD5-E36A-4ED8-95CD-65310B158108}"/>
    <cellStyle name="40% - Énfasis4 66_1.2.b" xfId="15813" xr:uid="{FAFF1B6A-1EC5-48D9-848A-9C283E841F69}"/>
    <cellStyle name="40% - Énfasis4 67" xfId="13583" xr:uid="{94C86BAA-E690-4C03-80CD-89828F11A569}"/>
    <cellStyle name="40% - Énfasis4 67 2" xfId="17547" xr:uid="{B32D7A34-7D43-4847-9F0D-5486414FA3A6}"/>
    <cellStyle name="40% - Énfasis4 67_1.2.b" xfId="15814" xr:uid="{FC80F68F-BC85-4DEE-9E04-92128B7AAA43}"/>
    <cellStyle name="40% - Énfasis4 68" xfId="13584" xr:uid="{B70CDC5A-A9E5-4651-9352-5C6AC21BBBAA}"/>
    <cellStyle name="40% - Énfasis4 68 2" xfId="17548" xr:uid="{EBA523C2-2C49-4645-B1EC-960020A718A8}"/>
    <cellStyle name="40% - Énfasis4 68_1.2.b" xfId="15815" xr:uid="{06FA6119-0E74-4030-8C93-D07A1C19E3F0}"/>
    <cellStyle name="40% - Énfasis4 69" xfId="13585" xr:uid="{20E92134-EEAE-46B7-9168-5DD28761E3BE}"/>
    <cellStyle name="40% - Énfasis4 69 2" xfId="17549" xr:uid="{CB0CD9C8-391D-4451-BE4C-AC44437A48C0}"/>
    <cellStyle name="40% - Énfasis4 69_1.2.b" xfId="15816" xr:uid="{6338E348-E755-4BF7-BB67-5F6329DF415D}"/>
    <cellStyle name="40% - Énfasis4 7" xfId="9834" xr:uid="{00000000-0005-0000-0000-00001D010000}"/>
    <cellStyle name="40% - Énfasis4 7 2" xfId="11620" xr:uid="{00000000-0005-0000-0000-00001E010000}"/>
    <cellStyle name="40% - Énfasis4 7 3" xfId="13586" xr:uid="{95A66A78-DE40-44E2-BECE-66054C4C536E}"/>
    <cellStyle name="40% - Énfasis4 7 4" xfId="17550" xr:uid="{4144A0DA-F264-4E19-A978-BC40959F6E1C}"/>
    <cellStyle name="40% - Énfasis4 7_1.2.b" xfId="15817" xr:uid="{A744DEB0-7BD9-4AC4-A2F8-83A787F83E0B}"/>
    <cellStyle name="40% - Énfasis4 70" xfId="13587" xr:uid="{F1F0B1B5-36D8-46D2-93BD-E733F8CBC07E}"/>
    <cellStyle name="40% - Énfasis4 70 2" xfId="17551" xr:uid="{3E8C7809-639E-495C-AB13-37664FF7C39A}"/>
    <cellStyle name="40% - Énfasis4 70_1.2.b" xfId="15818" xr:uid="{7E0CAE0A-8691-407D-BF12-295939C9E736}"/>
    <cellStyle name="40% - Énfasis4 71" xfId="13588" xr:uid="{AA8FED46-6EAA-4279-8CD4-B4FB8CB51A6E}"/>
    <cellStyle name="40% - Énfasis4 71 2" xfId="17552" xr:uid="{92CB4B6E-BD86-4FC6-8A4E-5CAEA52F68F7}"/>
    <cellStyle name="40% - Énfasis4 71_1.2.b" xfId="15819" xr:uid="{5256C793-B371-4D81-8946-B2F200941908}"/>
    <cellStyle name="40% - Énfasis4 72" xfId="13589" xr:uid="{3A1A3482-2FD1-4AC0-A487-D21A5EFC138F}"/>
    <cellStyle name="40% - Énfasis4 72 2" xfId="17553" xr:uid="{82C41BC2-F7F6-4870-B49E-4469E38B3050}"/>
    <cellStyle name="40% - Énfasis4 72_1.2.b" xfId="15820" xr:uid="{DAE1ABD7-8B90-4A58-B5A1-F360E38AD10F}"/>
    <cellStyle name="40% - Énfasis4 73" xfId="13590" xr:uid="{7A8BB8FD-A5FD-4BCB-93AA-5392E158C764}"/>
    <cellStyle name="40% - Énfasis4 73 2" xfId="17554" xr:uid="{C53191DA-CCD4-49AE-8E0D-659A51F137D6}"/>
    <cellStyle name="40% - Énfasis4 73_1.2.b" xfId="15821" xr:uid="{D37B48EF-0325-4243-BE6D-861F71379D71}"/>
    <cellStyle name="40% - Énfasis4 74" xfId="13591" xr:uid="{7B072E7C-0465-4B62-9F5E-A0294AB216DB}"/>
    <cellStyle name="40% - Énfasis4 74 2" xfId="17555" xr:uid="{1F019A52-077D-4B69-8A21-05ABCEAE6EC8}"/>
    <cellStyle name="40% - Énfasis4 74_1.2.b" xfId="15822" xr:uid="{3A6F2937-D17D-4F76-B4C5-12C1CBA3850B}"/>
    <cellStyle name="40% - Énfasis4 75" xfId="13592" xr:uid="{70191E52-2EE7-48D4-BE55-10A2F04A6DD0}"/>
    <cellStyle name="40% - Énfasis4 75 2" xfId="17556" xr:uid="{AA4C32A9-F0C1-45C4-89AF-67D889C0DBF7}"/>
    <cellStyle name="40% - Énfasis4 75_1.2.b" xfId="15823" xr:uid="{0810AF7F-DA88-4F3C-9E53-85D44DCBFA27}"/>
    <cellStyle name="40% - Énfasis4 76" xfId="13593" xr:uid="{6061F7ED-C608-495E-876A-45F29263F57A}"/>
    <cellStyle name="40% - Énfasis4 76 2" xfId="17557" xr:uid="{3CCC95F3-11F9-4E24-8FA7-6A00E5840A54}"/>
    <cellStyle name="40% - Énfasis4 76_1.2.b" xfId="15824" xr:uid="{E73338A9-1839-4E02-85CA-082D400A5CAD}"/>
    <cellStyle name="40% - Énfasis4 77" xfId="13594" xr:uid="{79691C66-F002-44B1-80B1-96C03E67EE02}"/>
    <cellStyle name="40% - Énfasis4 77 2" xfId="17558" xr:uid="{8210B495-8409-436B-BBD3-576314270C1F}"/>
    <cellStyle name="40% - Énfasis4 77_1.2.b" xfId="15825" xr:uid="{EC9FF33C-B4DC-474F-906D-2E7EFCF6AA73}"/>
    <cellStyle name="40% - Énfasis4 78" xfId="13595" xr:uid="{3C74ACFA-B441-4D06-B987-DAAF20A6C9C8}"/>
    <cellStyle name="40% - Énfasis4 78 2" xfId="17559" xr:uid="{04A8C6B1-E434-41D5-BD3E-BBC76B80E238}"/>
    <cellStyle name="40% - Énfasis4 78_1.2.b" xfId="15826" xr:uid="{33D73E24-1A59-43EB-8592-598FACA48A70}"/>
    <cellStyle name="40% - Énfasis4 79" xfId="13596" xr:uid="{7C0D34F6-E71B-46F7-818C-42015E6B85B8}"/>
    <cellStyle name="40% - Énfasis4 79 2" xfId="17560" xr:uid="{B78A6D19-41E9-4B8D-A2A9-AD44EE2C82FF}"/>
    <cellStyle name="40% - Énfasis4 79_1.2.b" xfId="15827" xr:uid="{1D14D73A-BB09-4935-918C-341106349B95}"/>
    <cellStyle name="40% - Énfasis4 8" xfId="9853" xr:uid="{00000000-0005-0000-0000-00001F010000}"/>
    <cellStyle name="40% - Énfasis4 8 2" xfId="11638" xr:uid="{00000000-0005-0000-0000-000020010000}"/>
    <cellStyle name="40% - Énfasis4 8 3" xfId="13597" xr:uid="{4F3DDBBD-3136-4DA7-800B-4DD47516D877}"/>
    <cellStyle name="40% - Énfasis4 8 4" xfId="17561" xr:uid="{456AFD87-81C0-4F45-A249-37177E098E33}"/>
    <cellStyle name="40% - Énfasis4 8_1.2.b" xfId="15828" xr:uid="{49C3CDAE-A17E-46D0-BBCD-308E345411C4}"/>
    <cellStyle name="40% - Énfasis4 80" xfId="13598" xr:uid="{10A9ACD7-BB09-449A-9A0A-F506B71F12E3}"/>
    <cellStyle name="40% - Énfasis4 80 2" xfId="17562" xr:uid="{98F8C095-BE06-4E3F-92A7-79B0119C7BE5}"/>
    <cellStyle name="40% - Énfasis4 80_1.2.b" xfId="15829" xr:uid="{79D481D1-62DA-4487-98FC-2EE15F30151E}"/>
    <cellStyle name="40% - Énfasis4 81" xfId="13599" xr:uid="{3D036C98-3A09-4B7B-AA54-76D0F8764565}"/>
    <cellStyle name="40% - Énfasis4 81 2" xfId="17563" xr:uid="{3A88C4A0-B150-40CE-8D71-97C484A2254F}"/>
    <cellStyle name="40% - Énfasis4 81_1.2.b" xfId="15830" xr:uid="{B677B792-8C45-4FF1-A99D-342D72CF32E6}"/>
    <cellStyle name="40% - Énfasis4 82" xfId="13600" xr:uid="{68E8BB49-A10D-4464-91D8-4FA4CD9E0C5E}"/>
    <cellStyle name="40% - Énfasis4 82 2" xfId="17564" xr:uid="{F6DD13DF-C224-42CF-902A-CB077D5B46BB}"/>
    <cellStyle name="40% - Énfasis4 82_1.2.b" xfId="15831" xr:uid="{D749FBB8-27FB-42EF-82D5-8B6DC78A3E07}"/>
    <cellStyle name="40% - Énfasis4 83" xfId="13601" xr:uid="{BEACE934-5E89-4417-A135-A464BD8616F8}"/>
    <cellStyle name="40% - Énfasis4 83 2" xfId="17565" xr:uid="{60B682C6-FA89-49AE-8A5C-AAA161DB52EF}"/>
    <cellStyle name="40% - Énfasis4 83_1.2.b" xfId="15832" xr:uid="{3EA09954-AD8E-49CE-8234-EEAF0DE0949F}"/>
    <cellStyle name="40% - Énfasis4 84" xfId="13602" xr:uid="{75A67F60-CD6B-4269-AB97-E71F1EA8AF27}"/>
    <cellStyle name="40% - Énfasis4 84 2" xfId="17566" xr:uid="{727272C0-A197-4FF6-9D5D-C7C04BA985CA}"/>
    <cellStyle name="40% - Énfasis4 84_1.2.b" xfId="15833" xr:uid="{9DE3AF39-C4BD-4187-998F-917AA96BBEAE}"/>
    <cellStyle name="40% - Énfasis4 85" xfId="13603" xr:uid="{25C31591-B5AD-4DCF-88C8-CBA8BD0B7DEB}"/>
    <cellStyle name="40% - Énfasis4 85 2" xfId="17567" xr:uid="{074AD8E5-C1D7-4BF0-B525-8E58C1747456}"/>
    <cellStyle name="40% - Énfasis4 85_1.2.b" xfId="15834" xr:uid="{46FBBE03-684D-40CD-BEDB-835C4BDEDC8F}"/>
    <cellStyle name="40% - Énfasis4 86" xfId="13604" xr:uid="{266574C3-6270-4EBC-807F-7A5E286F3F0E}"/>
    <cellStyle name="40% - Énfasis4 86 2" xfId="17568" xr:uid="{D9A96F07-0CAB-4480-8444-4B40F74671B6}"/>
    <cellStyle name="40% - Énfasis4 86_1.2.b" xfId="15835" xr:uid="{0D006F6F-CD36-4D90-8FF5-9A1DAB188CCF}"/>
    <cellStyle name="40% - Énfasis4 87" xfId="13605" xr:uid="{9E202C39-1A59-4EEE-9877-287CF2FC8C8D}"/>
    <cellStyle name="40% - Énfasis4 87 2" xfId="17569" xr:uid="{9790315E-01D1-463F-B376-40319D1649C0}"/>
    <cellStyle name="40% - Énfasis4 87_1.2.b" xfId="15836" xr:uid="{29691D6A-75B8-4C3A-863A-941D4104DDAC}"/>
    <cellStyle name="40% - Énfasis4 88" xfId="13606" xr:uid="{27040D5B-F3C4-4AD3-BA65-DF2252F13BCF}"/>
    <cellStyle name="40% - Énfasis4 88 2" xfId="17570" xr:uid="{D3B300F9-698E-4BBC-808D-E083FBB1FA5B}"/>
    <cellStyle name="40% - Énfasis4 88_1.2.b" xfId="15837" xr:uid="{797DDDA2-E999-4FFA-B557-7F9365B2FBE5}"/>
    <cellStyle name="40% - Énfasis4 89" xfId="13607" xr:uid="{E5605C74-5418-49BC-9CEB-80825B22CCE2}"/>
    <cellStyle name="40% - Énfasis4 89 2" xfId="17571" xr:uid="{AC61D9F0-61F6-4B08-88A6-8AA65056DE17}"/>
    <cellStyle name="40% - Énfasis4 89_1.2.b" xfId="15838" xr:uid="{8F84C56A-5E1F-4222-9E7D-F5E0FB134430}"/>
    <cellStyle name="40% - Énfasis4 9" xfId="9874" xr:uid="{00000000-0005-0000-0000-000021010000}"/>
    <cellStyle name="40% - Énfasis4 9 2" xfId="13608" xr:uid="{179F47F7-9552-4195-8909-77A03209EFFB}"/>
    <cellStyle name="40% - Énfasis4 9 3" xfId="17572" xr:uid="{6376CBB4-1597-485B-AA89-592070A0D4A4}"/>
    <cellStyle name="40% - Énfasis4 9_1.2.b" xfId="15839" xr:uid="{F1B132E0-E472-448E-B1DF-E40E07E0BF67}"/>
    <cellStyle name="40% - Énfasis4 90" xfId="13609" xr:uid="{0B7D8723-EDE7-4DF6-8DEB-3AD5AD6E33C7}"/>
    <cellStyle name="40% - Énfasis4 90 2" xfId="17573" xr:uid="{42504938-B0FA-4C9E-A9EC-8C8A51C6BF06}"/>
    <cellStyle name="40% - Énfasis4 90_1.2.b" xfId="15840" xr:uid="{863953B8-333D-459B-85DE-E6FE41E005A3}"/>
    <cellStyle name="40% - Énfasis4 91" xfId="13610" xr:uid="{1B94D644-28B5-446C-87D5-863F40A7CA96}"/>
    <cellStyle name="40% - Énfasis4 91 2" xfId="17574" xr:uid="{F88F2F97-3A5D-433C-9879-98A38775BD8B}"/>
    <cellStyle name="40% - Énfasis4 91_1.2.b" xfId="15841" xr:uid="{874156A3-A178-4030-BA9C-119624EE42AA}"/>
    <cellStyle name="40% - Énfasis4 92" xfId="13611" xr:uid="{F15D817C-D9F8-4290-8DAA-DAF95284BB07}"/>
    <cellStyle name="40% - Énfasis4 92 2" xfId="17575" xr:uid="{BBCDAAA7-D015-4387-9CEA-ACD5A1C81E7A}"/>
    <cellStyle name="40% - Énfasis4 92_1.2.b" xfId="15842" xr:uid="{59E17B5A-DD91-4CE0-8102-7AF8F8844556}"/>
    <cellStyle name="40% - Énfasis4 93" xfId="13612" xr:uid="{00EAD07F-E1E4-4391-B462-AB17277D425D}"/>
    <cellStyle name="40% - Énfasis4 93 2" xfId="17576" xr:uid="{3846BA73-D24E-4F78-88F6-55BA0AF8CEB6}"/>
    <cellStyle name="40% - Énfasis4 93_1.2.b" xfId="15843" xr:uid="{EAC69FDB-5565-4588-8A33-BECD6C5C5719}"/>
    <cellStyle name="40% - Énfasis4 94" xfId="13613" xr:uid="{F5C7AD4E-8C38-4385-9962-E678EA3AD780}"/>
    <cellStyle name="40% - Énfasis4 94 2" xfId="17577" xr:uid="{B2EE8E17-6747-4107-8449-3039599F2549}"/>
    <cellStyle name="40% - Énfasis4 94_1.2.b" xfId="15844" xr:uid="{42578645-838D-4BC4-91FB-69CAE133BEE0}"/>
    <cellStyle name="40% - Énfasis4 95" xfId="13614" xr:uid="{57A90E80-54E7-4EC7-A199-C69D40AAA269}"/>
    <cellStyle name="40% - Énfasis4 95 2" xfId="17578" xr:uid="{C6E1AE01-6FC3-4239-B810-270DF072574F}"/>
    <cellStyle name="40% - Énfasis4 95_1.2.b" xfId="15845" xr:uid="{E3332C4A-C243-4591-83B8-C963AA7C4CB9}"/>
    <cellStyle name="40% - Énfasis4 96" xfId="13615" xr:uid="{8DA4633C-8351-42EB-A0C5-E076682938A5}"/>
    <cellStyle name="40% - Énfasis4 96 2" xfId="17579" xr:uid="{CFC538CC-1067-4142-B446-0460C09D2848}"/>
    <cellStyle name="40% - Énfasis4 96_1.2.b" xfId="15846" xr:uid="{DC28F762-25A7-4958-B681-CF924BA2A84F}"/>
    <cellStyle name="40% - Énfasis5 10" xfId="9925" xr:uid="{00000000-0005-0000-0000-000023010000}"/>
    <cellStyle name="40% - Énfasis5 10 2" xfId="11662" xr:uid="{00000000-0005-0000-0000-000024010000}"/>
    <cellStyle name="40% - Énfasis5 10 3" xfId="13616" xr:uid="{FD15F5D8-E92C-4EF7-852D-BA39275597EA}"/>
    <cellStyle name="40% - Énfasis5 10 4" xfId="17580" xr:uid="{6ED1E30E-35AB-451E-9EE0-830DDF20C301}"/>
    <cellStyle name="40% - Énfasis5 10_1.2.b" xfId="15847" xr:uid="{0E02C873-A235-4BD6-A9E1-3AA37D5D8FBF}"/>
    <cellStyle name="40% - Énfasis5 11" xfId="10246" xr:uid="{00000000-0005-0000-0000-000025010000}"/>
    <cellStyle name="40% - Énfasis5 11 2" xfId="11981" xr:uid="{00000000-0005-0000-0000-000026010000}"/>
    <cellStyle name="40% - Énfasis5 11 3" xfId="13617" xr:uid="{B7ED569C-BD76-4E7E-9DFA-4B02D573EECF}"/>
    <cellStyle name="40% - Énfasis5 11 4" xfId="17581" xr:uid="{A3E1362F-8061-4E90-A693-154166562C67}"/>
    <cellStyle name="40% - Énfasis5 11_1.2.b" xfId="15848" xr:uid="{17C89597-1862-4626-8A69-C963FB2B02C9}"/>
    <cellStyle name="40% - Énfasis5 12" xfId="10540" xr:uid="{00000000-0005-0000-0000-000027010000}"/>
    <cellStyle name="40% - Énfasis5 12 2" xfId="12275" xr:uid="{00000000-0005-0000-0000-000028010000}"/>
    <cellStyle name="40% - Énfasis5 12 3" xfId="13618" xr:uid="{0D2B7AC6-2B42-4E23-BF56-AD963280C760}"/>
    <cellStyle name="40% - Énfasis5 12 4" xfId="17582" xr:uid="{19E07443-5FA7-44A0-BC81-3BBE86E51F85}"/>
    <cellStyle name="40% - Énfasis5 12_1.2.b" xfId="15849" xr:uid="{080F2F15-1263-437F-B342-A847403CC744}"/>
    <cellStyle name="40% - Énfasis5 13" xfId="10587" xr:uid="{00000000-0005-0000-0000-000029010000}"/>
    <cellStyle name="40% - Énfasis5 13 2" xfId="12320" xr:uid="{00000000-0005-0000-0000-00002A010000}"/>
    <cellStyle name="40% - Énfasis5 13 3" xfId="13619" xr:uid="{2019462F-6FE9-4E1D-94B1-4FA9E9F58BF4}"/>
    <cellStyle name="40% - Énfasis5 13 4" xfId="17583" xr:uid="{FB483ECE-650E-4AE4-AC5E-0143031C2068}"/>
    <cellStyle name="40% - Énfasis5 13_1.2.b" xfId="15850" xr:uid="{D49BFEFE-FD4F-49E8-B334-8D0B388D65D6}"/>
    <cellStyle name="40% - Énfasis5 14" xfId="10607" xr:uid="{00000000-0005-0000-0000-00002B010000}"/>
    <cellStyle name="40% - Énfasis5 14 2" xfId="12336" xr:uid="{00000000-0005-0000-0000-00002C010000}"/>
    <cellStyle name="40% - Énfasis5 14 3" xfId="13620" xr:uid="{C1C013F2-80CE-43DB-9098-00796B94D0E4}"/>
    <cellStyle name="40% - Énfasis5 14 4" xfId="17584" xr:uid="{37D6C8C2-F1E4-4E9D-A96C-73320AB677D5}"/>
    <cellStyle name="40% - Énfasis5 14_1.2.b" xfId="15851" xr:uid="{9E32FD3D-98B9-4ACC-A675-C66D1AD26F8B}"/>
    <cellStyle name="40% - Énfasis5 15" xfId="10628" xr:uid="{00000000-0005-0000-0000-00002D010000}"/>
    <cellStyle name="40% - Énfasis5 15 2" xfId="13621" xr:uid="{6E3F25A9-F579-4025-A8FD-DDF487C04674}"/>
    <cellStyle name="40% - Énfasis5 15 3" xfId="17585" xr:uid="{A78429A9-3E3C-42DF-9CF2-AD5FBC096463}"/>
    <cellStyle name="40% - Énfasis5 15_1.2.b" xfId="15852" xr:uid="{713AE0C5-73FA-4475-96ED-F874449F8F47}"/>
    <cellStyle name="40% - Énfasis5 16" xfId="12369" xr:uid="{00000000-0005-0000-0000-00002E010000}"/>
    <cellStyle name="40% - Énfasis5 16 2" xfId="13622" xr:uid="{25D926CA-0933-47E5-BB5E-A294F45F2727}"/>
    <cellStyle name="40% - Énfasis5 16 3" xfId="17586" xr:uid="{0215103E-E6BA-4430-A82E-67DC3D9F4AD6}"/>
    <cellStyle name="40% - Énfasis5 16_1.2.b" xfId="15853" xr:uid="{7F2E4FDB-E493-4EBF-A64D-D152E62C9894}"/>
    <cellStyle name="40% - Énfasis5 17" xfId="12384" xr:uid="{00000000-0005-0000-0000-00002F010000}"/>
    <cellStyle name="40% - Énfasis5 17 2" xfId="13623" xr:uid="{24953D1A-C6CF-420A-9081-D8774876232D}"/>
    <cellStyle name="40% - Énfasis5 17 3" xfId="17587" xr:uid="{06788B6D-9E1D-480B-97BD-5294F7AA31CB}"/>
    <cellStyle name="40% - Énfasis5 17_1.2.b" xfId="15854" xr:uid="{A872C6BA-B4A1-4826-96B0-826C1BC05FB5}"/>
    <cellStyle name="40% - Énfasis5 18" xfId="13624" xr:uid="{E75E42C5-1DB2-49CB-82EC-DA53F42F2E21}"/>
    <cellStyle name="40% - Énfasis5 18 2" xfId="17588" xr:uid="{2D0BE8E8-5D09-44FA-BF54-8F2C8F794D48}"/>
    <cellStyle name="40% - Énfasis5 18_1.2.b" xfId="15855" xr:uid="{1E2059A2-3CA8-46A3-AFB6-BCE8C7EEAE33}"/>
    <cellStyle name="40% - Énfasis5 19" xfId="13625" xr:uid="{AF2832BB-3968-4CC1-8633-6FBC1679C04F}"/>
    <cellStyle name="40% - Énfasis5 19 2" xfId="17589" xr:uid="{88880F3B-FFE6-4328-92AA-BA2F631472EA}"/>
    <cellStyle name="40% - Énfasis5 19_1.2.b" xfId="15856" xr:uid="{F2682615-4CFE-46C0-825E-86B43A38AC56}"/>
    <cellStyle name="40% - Énfasis5 2" xfId="155" xr:uid="{00000000-0005-0000-0000-000030010000}"/>
    <cellStyle name="40% - Énfasis5 2 10" xfId="13627" xr:uid="{44C568ED-FD27-4BD8-80B2-47597FAE8478}"/>
    <cellStyle name="40% - Énfasis5 2 10 2" xfId="17591" xr:uid="{D8D72D97-86BB-4C9F-8A3F-85FA91A57281}"/>
    <cellStyle name="40% - Énfasis5 2 10_1.2.b" xfId="15858" xr:uid="{52410723-1521-47EA-BE8C-D1406605B877}"/>
    <cellStyle name="40% - Énfasis5 2 11" xfId="13626" xr:uid="{6F0D4B11-50E6-47B9-8217-DEF8DB30561D}"/>
    <cellStyle name="40% - Énfasis5 2 12" xfId="17590" xr:uid="{ABB09BD4-7F16-49AF-8991-1487353BADC4}"/>
    <cellStyle name="40% - Énfasis5 2 13" xfId="18178" xr:uid="{52B7EA24-50AA-48BC-860F-10F7870521C9}"/>
    <cellStyle name="40% - Énfasis5 2 14" xfId="18177" xr:uid="{54A26C4E-CD63-478E-B7C3-C7EE4BE9E957}"/>
    <cellStyle name="40% - Énfasis5 2 15" xfId="18179" xr:uid="{82FCF511-7DA6-46CA-8425-246891660586}"/>
    <cellStyle name="40% - Énfasis5 2 16" xfId="18180" xr:uid="{45140CD1-1671-4DEE-9713-CFD6E6A6EEAD}"/>
    <cellStyle name="40% - Énfasis5 2 2" xfId="10675" xr:uid="{00000000-0005-0000-0000-000031010000}"/>
    <cellStyle name="40% - Énfasis5 2 2 2" xfId="13629" xr:uid="{338D66C9-8A9C-458E-A79F-CC6B108221C9}"/>
    <cellStyle name="40% - Énfasis5 2 2 3" xfId="13630" xr:uid="{12E76505-2886-4A8C-AC26-342CD3C79E31}"/>
    <cellStyle name="40% - Énfasis5 2 2 4" xfId="13631" xr:uid="{292657F8-326C-494B-A159-791CFF74D039}"/>
    <cellStyle name="40% - Énfasis5 2 2 5" xfId="13632" xr:uid="{DB64A366-F616-43EB-B2D2-23AB5B5B97C1}"/>
    <cellStyle name="40% - Énfasis5 2 2 6" xfId="13628" xr:uid="{221F3997-FB2E-400E-9320-D8023A5E1C1E}"/>
    <cellStyle name="40% - Énfasis5 2 2 7" xfId="17592" xr:uid="{17E4210B-18D7-4629-8E36-FF70D736AFD7}"/>
    <cellStyle name="40% - Énfasis5 2 2_1.2.b" xfId="15859" xr:uid="{47762586-99FA-4337-A0C9-B6EF80E086B6}"/>
    <cellStyle name="40% - Énfasis5 2 3" xfId="13633" xr:uid="{DAC049DB-4D9F-4B0B-AD54-E43203FBEE98}"/>
    <cellStyle name="40% - Énfasis5 2 4" xfId="13634" xr:uid="{3CCEAD3A-D278-4780-B0ED-109BF8377748}"/>
    <cellStyle name="40% - Énfasis5 2 5" xfId="13635" xr:uid="{F2A4AF5E-C243-46B1-8017-312974156915}"/>
    <cellStyle name="40% - Énfasis5 2 6" xfId="13636" xr:uid="{DAA887EA-0225-4D07-973F-9AFEBAD7C0EF}"/>
    <cellStyle name="40% - Énfasis5 2 7" xfId="13637" xr:uid="{AF9347BB-CED3-428B-AFEB-D17CEC0CF8BB}"/>
    <cellStyle name="40% - Énfasis5 2 8" xfId="13638" xr:uid="{06DE6924-AF32-4C3B-B81B-EECA13253968}"/>
    <cellStyle name="40% - Énfasis5 2 9" xfId="13639" xr:uid="{93409A3E-1A5A-4C65-A4D8-01D52FC50A46}"/>
    <cellStyle name="40% - Énfasis5 2 9 2" xfId="17593" xr:uid="{EA86E25C-782A-46DD-A97C-F773C320C490}"/>
    <cellStyle name="40% - Énfasis5 2 9_1.2.b" xfId="15860" xr:uid="{78808DEF-A2EC-453C-B863-CA3FE605F6F0}"/>
    <cellStyle name="40% - Énfasis5 2_1.2.b" xfId="15857" xr:uid="{C1A47C2E-DA40-4265-974F-AFF7D3FC73A2}"/>
    <cellStyle name="40% - Énfasis5 20" xfId="13640" xr:uid="{540E28D9-8C1F-4A29-AA82-58F501B2EDBD}"/>
    <cellStyle name="40% - Énfasis5 20 2" xfId="17594" xr:uid="{27BC4C22-3339-420F-B97C-C083FFD5CCE5}"/>
    <cellStyle name="40% - Énfasis5 20_1.2.b" xfId="15861" xr:uid="{05E66FBB-8545-41A8-BBE8-DCF1B7C5F6BF}"/>
    <cellStyle name="40% - Énfasis5 21" xfId="13641" xr:uid="{C54D5ED9-724F-4DAC-ABF0-CBB2A9EDE845}"/>
    <cellStyle name="40% - Énfasis5 21 2" xfId="17595" xr:uid="{76838CD5-111A-4E20-AFCF-D47FEE87A214}"/>
    <cellStyle name="40% - Énfasis5 21_1.2.b" xfId="15862" xr:uid="{74CF540C-0DFC-456A-8641-F9A9D4146EA0}"/>
    <cellStyle name="40% - Énfasis5 22" xfId="13642" xr:uid="{0311EEA9-03C0-4225-A1CD-73DB319936D3}"/>
    <cellStyle name="40% - Énfasis5 22 2" xfId="17596" xr:uid="{1B37F043-E41F-4AEB-823B-4100C512CDC3}"/>
    <cellStyle name="40% - Énfasis5 22_1.2.b" xfId="15863" xr:uid="{72ECC663-3C09-4B0A-9E8E-07809352983C}"/>
    <cellStyle name="40% - Énfasis5 23" xfId="13643" xr:uid="{16E9C710-1C68-4BCB-A46D-CBF5D47D9348}"/>
    <cellStyle name="40% - Énfasis5 23 2" xfId="17597" xr:uid="{8ACE80B8-FEAD-4C29-9C46-375788A319BA}"/>
    <cellStyle name="40% - Énfasis5 23_1.2.b" xfId="15864" xr:uid="{6599E37C-143C-4EF5-B8EC-852195140C3F}"/>
    <cellStyle name="40% - Énfasis5 24" xfId="13644" xr:uid="{177794E6-ECA5-4CDE-920D-D6CC11D5780C}"/>
    <cellStyle name="40% - Énfasis5 24 2" xfId="17598" xr:uid="{B61A9FD2-1237-4CE5-9B0D-890C2E369EBB}"/>
    <cellStyle name="40% - Énfasis5 24_1.2.b" xfId="15865" xr:uid="{E9EFAB85-0737-45A5-B418-6D2633F6E35D}"/>
    <cellStyle name="40% - Énfasis5 25" xfId="13645" xr:uid="{471DD817-E687-44CA-982A-4C62C9868E09}"/>
    <cellStyle name="40% - Énfasis5 25 2" xfId="17599" xr:uid="{9B234F19-A6C6-43BF-A809-B9E4EDACA484}"/>
    <cellStyle name="40% - Énfasis5 25_1.2.b" xfId="15866" xr:uid="{61913A5F-D1E9-45E2-9011-9E98BD6EB023}"/>
    <cellStyle name="40% - Énfasis5 26" xfId="13646" xr:uid="{6FBB42BB-A01B-487B-AE3B-281889EA5E07}"/>
    <cellStyle name="40% - Énfasis5 26 2" xfId="17600" xr:uid="{D282E030-F4F4-42AF-AB79-30A70AC4347A}"/>
    <cellStyle name="40% - Énfasis5 26_1.2.b" xfId="15867" xr:uid="{EF190F56-00B7-42F9-A4A6-F8500E067345}"/>
    <cellStyle name="40% - Énfasis5 27" xfId="13647" xr:uid="{18571C96-9FDB-40F8-810E-45CA370FCB86}"/>
    <cellStyle name="40% - Énfasis5 27 2" xfId="17601" xr:uid="{22247618-C785-46CC-9A2E-390734741008}"/>
    <cellStyle name="40% - Énfasis5 27_1.2.b" xfId="15868" xr:uid="{86575FD2-30CA-435B-BCAE-E2B33F0471A2}"/>
    <cellStyle name="40% - Énfasis5 28" xfId="13648" xr:uid="{232CC7BB-9C7D-45F6-8342-A58661B896A1}"/>
    <cellStyle name="40% - Énfasis5 28 2" xfId="17602" xr:uid="{510EAD64-3203-4E17-BE8F-FF97E40BC620}"/>
    <cellStyle name="40% - Énfasis5 28_1.2.b" xfId="15869" xr:uid="{972CAF7E-A544-4B29-B729-DE0135D3A321}"/>
    <cellStyle name="40% - Énfasis5 29" xfId="13649" xr:uid="{9DC29E82-D182-4974-8577-6646C95D9C52}"/>
    <cellStyle name="40% - Énfasis5 29 2" xfId="17603" xr:uid="{AD354214-8E0D-40AC-B3FD-D10DBB7BADAF}"/>
    <cellStyle name="40% - Énfasis5 29_1.2.b" xfId="15870" xr:uid="{EA43521D-83B6-4444-AEEB-5415FE08ED7E}"/>
    <cellStyle name="40% - Énfasis5 3" xfId="169" xr:uid="{00000000-0005-0000-0000-000032010000}"/>
    <cellStyle name="40% - Énfasis5 3 2" xfId="10689" xr:uid="{00000000-0005-0000-0000-000033010000}"/>
    <cellStyle name="40% - Énfasis5 3 2 2" xfId="13651" xr:uid="{E08EBE51-6A24-4FAC-A4DD-CFDECB151F5E}"/>
    <cellStyle name="40% - Énfasis5 3 2 3" xfId="17605" xr:uid="{73ABA8CE-F4EE-45B3-8A15-CEE12848501A}"/>
    <cellStyle name="40% - Énfasis5 3 2_1.2.b" xfId="15872" xr:uid="{6231F7F1-ECFA-4006-8A85-ABD91D981DC3}"/>
    <cellStyle name="40% - Énfasis5 3 3" xfId="13652" xr:uid="{3F45555F-6D4A-4385-9245-9AAA155C7085}"/>
    <cellStyle name="40% - Énfasis5 3 4" xfId="13650" xr:uid="{E93F460E-F7CD-4DA0-90FB-D58C46B943EA}"/>
    <cellStyle name="40% - Énfasis5 3 5" xfId="17604" xr:uid="{07CF3CD6-E0A3-4207-AB59-AAE0B7A3FAD6}"/>
    <cellStyle name="40% - Énfasis5 3_1.2.b" xfId="15871" xr:uid="{38960B52-B83F-4169-844D-5B56860664C7}"/>
    <cellStyle name="40% - Énfasis5 30" xfId="13653" xr:uid="{A78754E9-553C-422B-A679-970CE42E2C19}"/>
    <cellStyle name="40% - Énfasis5 30 2" xfId="17606" xr:uid="{5780A318-E193-49CF-8EF9-529BA84362D3}"/>
    <cellStyle name="40% - Énfasis5 30_1.2.b" xfId="15873" xr:uid="{377DC363-15AD-407D-88F7-063FFC2ED334}"/>
    <cellStyle name="40% - Énfasis5 31" xfId="13654" xr:uid="{ECB47733-0C46-4BB4-844F-F4F5B39A15F9}"/>
    <cellStyle name="40% - Énfasis5 31 2" xfId="17607" xr:uid="{59E8A243-590C-480A-9DDE-D0F40242DE02}"/>
    <cellStyle name="40% - Énfasis5 31_1.2.b" xfId="15874" xr:uid="{317D6989-A208-407E-A80B-B173DFA840AD}"/>
    <cellStyle name="40% - Énfasis5 32" xfId="13655" xr:uid="{4FC44EC7-0F95-47F5-8D33-5E976BE87D6D}"/>
    <cellStyle name="40% - Énfasis5 32 2" xfId="17608" xr:uid="{5ABAD9B8-C065-4D8C-A5B4-2EC9A1BC4355}"/>
    <cellStyle name="40% - Énfasis5 32_1.2.b" xfId="15875" xr:uid="{BB592C46-5F90-44DF-B8D6-04CCC2EF8625}"/>
    <cellStyle name="40% - Énfasis5 33" xfId="13656" xr:uid="{0197947D-B340-483B-AF1A-D5C16CBB360D}"/>
    <cellStyle name="40% - Énfasis5 33 2" xfId="17609" xr:uid="{F4CF01B6-A67F-4602-8B7A-ED901BA7F3FD}"/>
    <cellStyle name="40% - Énfasis5 33_1.2.b" xfId="15876" xr:uid="{E7DB9070-413D-4716-938A-F6E1481DEB3F}"/>
    <cellStyle name="40% - Énfasis5 34" xfId="13657" xr:uid="{28A44224-041E-4AB4-AFE4-4BC31C26A7D4}"/>
    <cellStyle name="40% - Énfasis5 34 2" xfId="17610" xr:uid="{A7CF59E2-1D5F-477A-983A-D4E343BA55D5}"/>
    <cellStyle name="40% - Énfasis5 34_1.2.b" xfId="15877" xr:uid="{37524203-881C-4A46-B2DF-91214B5B6970}"/>
    <cellStyle name="40% - Énfasis5 35" xfId="13658" xr:uid="{C5EAE0B9-9EB7-4FDB-AEFC-FC3777574ECF}"/>
    <cellStyle name="40% - Énfasis5 35 2" xfId="17611" xr:uid="{E7409C19-20AB-479A-8FAD-ECF650B71909}"/>
    <cellStyle name="40% - Énfasis5 35_1.2.b" xfId="15878" xr:uid="{81844FFD-E3C8-4CDC-94CE-816C4745D828}"/>
    <cellStyle name="40% - Énfasis5 36" xfId="13659" xr:uid="{1BB06EBF-770A-40C6-932E-2CD4917A2734}"/>
    <cellStyle name="40% - Énfasis5 36 2" xfId="17612" xr:uid="{1A1C3569-B755-45FB-B1F2-F2237373B7BD}"/>
    <cellStyle name="40% - Énfasis5 36_1.2.b" xfId="15879" xr:uid="{597FD1A3-6D1D-42ED-BDB8-43EAC94D4754}"/>
    <cellStyle name="40% - Énfasis5 37" xfId="13660" xr:uid="{033A48A2-1B4D-4B62-973C-9A466154057B}"/>
    <cellStyle name="40% - Énfasis5 37 2" xfId="17613" xr:uid="{65689587-1FF6-4693-8D09-76A95BC10AD8}"/>
    <cellStyle name="40% - Énfasis5 37_1.2.b" xfId="15880" xr:uid="{8C8EC55C-3979-4B69-BF24-BACD204FBD3B}"/>
    <cellStyle name="40% - Énfasis5 38" xfId="13661" xr:uid="{346B6205-1619-46C6-A9E2-3916B9578681}"/>
    <cellStyle name="40% - Énfasis5 38 2" xfId="17614" xr:uid="{E4B933A9-087E-4BB5-835B-AEE53B4B9838}"/>
    <cellStyle name="40% - Énfasis5 38_1.2.b" xfId="15881" xr:uid="{B7D72202-A3F5-46EC-A39E-B63CF22DAA15}"/>
    <cellStyle name="40% - Énfasis5 39" xfId="13662" xr:uid="{F8B4EEBC-495E-4DAC-AF39-CA7457F479BB}"/>
    <cellStyle name="40% - Énfasis5 39 2" xfId="17615" xr:uid="{13358FBB-BD70-4336-93C3-A1860429EC9B}"/>
    <cellStyle name="40% - Énfasis5 39_1.2.b" xfId="15882" xr:uid="{B334728C-0210-4453-B37C-89D08F38DEAC}"/>
    <cellStyle name="40% - Énfasis5 4" xfId="183" xr:uid="{00000000-0005-0000-0000-000034010000}"/>
    <cellStyle name="40% - Énfasis5 4 2" xfId="10703" xr:uid="{00000000-0005-0000-0000-000035010000}"/>
    <cellStyle name="40% - Énfasis5 4 2 2" xfId="13664" xr:uid="{CE03CEDE-AE90-4F14-A472-27FF33ACD7EB}"/>
    <cellStyle name="40% - Énfasis5 4 2_1.2.b" xfId="15884" xr:uid="{BFD3077F-D870-4972-A525-F1B2EB751021}"/>
    <cellStyle name="40% - Énfasis5 4 3" xfId="13663" xr:uid="{F0E06CD4-7FD8-4C3B-BCBE-1B2DAB84C495}"/>
    <cellStyle name="40% - Énfasis5 4 4" xfId="17616" xr:uid="{72ADB37E-3B4E-4EBD-B645-339A4D2C1A60}"/>
    <cellStyle name="40% - Énfasis5 4 5" xfId="18181" xr:uid="{9EEDD78D-3A85-400D-94EA-2B2AD6D5EB58}"/>
    <cellStyle name="40% - Énfasis5 4 6" xfId="18175" xr:uid="{EB50E436-D75A-42AD-B470-CECBD2F679C0}"/>
    <cellStyle name="40% - Énfasis5 4 7" xfId="18182" xr:uid="{CDDC817F-5990-455F-AE9B-7AD44D01C420}"/>
    <cellStyle name="40% - Énfasis5 4 8" xfId="18176" xr:uid="{206AC14D-A3E3-4CF2-9151-847C5013B0C6}"/>
    <cellStyle name="40% - Énfasis5 4_1.2.b" xfId="15883" xr:uid="{B0871A4D-CEDB-4734-8B21-2E060AD635B4}"/>
    <cellStyle name="40% - Énfasis5 40" xfId="13665" xr:uid="{7200439C-A615-409B-B42D-40C5DEB01157}"/>
    <cellStyle name="40% - Énfasis5 40 2" xfId="17617" xr:uid="{9C2276F3-C7E2-4CA5-944E-1E7913689031}"/>
    <cellStyle name="40% - Énfasis5 40_1.2.b" xfId="15885" xr:uid="{86ACC729-236C-446F-85D5-CCCDDFB39657}"/>
    <cellStyle name="40% - Énfasis5 41" xfId="13666" xr:uid="{59BDCF2C-32B0-4FF9-9231-807742CAC7B6}"/>
    <cellStyle name="40% - Énfasis5 41 2" xfId="17618" xr:uid="{DB411249-1344-4401-8CA9-1D006B781CC8}"/>
    <cellStyle name="40% - Énfasis5 41_1.2.b" xfId="15886" xr:uid="{205F1A82-2BB1-4495-BBEF-503F787FAD0B}"/>
    <cellStyle name="40% - Énfasis5 42" xfId="13667" xr:uid="{C459825F-7E4A-4C13-9C5F-B5560996508C}"/>
    <cellStyle name="40% - Énfasis5 42 2" xfId="17619" xr:uid="{83F0262A-4D9C-4F08-97FE-0E2197998FFB}"/>
    <cellStyle name="40% - Énfasis5 42_1.2.b" xfId="15887" xr:uid="{11220367-5241-457E-A1EE-5CD0A0B7A2E4}"/>
    <cellStyle name="40% - Énfasis5 43" xfId="13668" xr:uid="{6C8FA2DB-25E1-49C0-9348-B5488CE83179}"/>
    <cellStyle name="40% - Énfasis5 43 2" xfId="17620" xr:uid="{911A7B6E-2C93-409D-9E43-8C8FBABCF845}"/>
    <cellStyle name="40% - Énfasis5 43_1.2.b" xfId="15888" xr:uid="{EC032EFF-05E5-455F-9005-2EAE87A4DBA2}"/>
    <cellStyle name="40% - Énfasis5 44" xfId="13669" xr:uid="{4E6471FB-49DD-4A68-81DB-89957C9B7474}"/>
    <cellStyle name="40% - Énfasis5 44 2" xfId="17621" xr:uid="{435396D7-BB1A-4FD5-A068-471E305DBDC4}"/>
    <cellStyle name="40% - Énfasis5 44_1.2.b" xfId="15889" xr:uid="{AC440736-5164-4105-B9C2-22B0969F91EA}"/>
    <cellStyle name="40% - Énfasis5 45" xfId="13670" xr:uid="{BC179597-98A8-4277-8E97-D83962BDDB7D}"/>
    <cellStyle name="40% - Énfasis5 45 2" xfId="17622" xr:uid="{ABC218C3-89BA-4D27-8512-4999A6BEC3DC}"/>
    <cellStyle name="40% - Énfasis5 45_1.2.b" xfId="15890" xr:uid="{5914DE7A-650D-4E41-9113-E70B57827299}"/>
    <cellStyle name="40% - Énfasis5 46" xfId="13671" xr:uid="{C6DA1392-357B-4F4C-917E-52C8D507743C}"/>
    <cellStyle name="40% - Énfasis5 46 2" xfId="17623" xr:uid="{97D03A7F-051A-45F5-9E22-C73C8921DE80}"/>
    <cellStyle name="40% - Énfasis5 46_1.2.b" xfId="15891" xr:uid="{E567B20C-8355-49A5-8368-0EDF33657F17}"/>
    <cellStyle name="40% - Énfasis5 47" xfId="13672" xr:uid="{9C38DA0F-1D77-44B1-A363-7FAC499D1ED6}"/>
    <cellStyle name="40% - Énfasis5 47 2" xfId="17624" xr:uid="{30EF15B6-BF28-403B-8FDC-8776363B0E15}"/>
    <cellStyle name="40% - Énfasis5 47_1.2.b" xfId="15892" xr:uid="{B63D793F-3E75-4612-AA68-6FC49FFEB1DF}"/>
    <cellStyle name="40% - Énfasis5 48" xfId="13673" xr:uid="{1FAB829F-0780-4700-8FDD-F17BD704954D}"/>
    <cellStyle name="40% - Énfasis5 48 2" xfId="17625" xr:uid="{0402FC40-C635-4C05-B164-5D95C686C5EA}"/>
    <cellStyle name="40% - Énfasis5 48_1.2.b" xfId="15893" xr:uid="{6F688136-C904-4FD1-9E29-F91A886344F4}"/>
    <cellStyle name="40% - Énfasis5 49" xfId="13674" xr:uid="{5E03E0E7-D794-4B93-BD30-39B8FBAF208F}"/>
    <cellStyle name="40% - Énfasis5 49 2" xfId="17626" xr:uid="{292E3646-FF0A-4D1C-AFB5-44564A7984AE}"/>
    <cellStyle name="40% - Énfasis5 49_1.2.b" xfId="15894" xr:uid="{D55E5E42-A851-4415-953E-4B976D198871}"/>
    <cellStyle name="40% - Énfasis5 5" xfId="198" xr:uid="{00000000-0005-0000-0000-000036010000}"/>
    <cellStyle name="40% - Énfasis5 5 2" xfId="10718" xr:uid="{00000000-0005-0000-0000-000037010000}"/>
    <cellStyle name="40% - Énfasis5 5 3" xfId="13675" xr:uid="{E942E597-0987-42FE-93E6-AD958A1E85CD}"/>
    <cellStyle name="40% - Énfasis5 5 4" xfId="17627" xr:uid="{6347A7CC-E4C6-4507-B39D-26B013E4CFD0}"/>
    <cellStyle name="40% - Énfasis5 5_1.2.b" xfId="15895" xr:uid="{D4A3117E-C460-4339-9AD9-717DDC785DF4}"/>
    <cellStyle name="40% - Énfasis5 50" xfId="13676" xr:uid="{BA3A7163-1DDB-4C1F-B744-86BA151942B1}"/>
    <cellStyle name="40% - Énfasis5 50 2" xfId="17628" xr:uid="{E0AB482B-5187-48F1-AE83-37180E935F28}"/>
    <cellStyle name="40% - Énfasis5 50_1.2.b" xfId="15896" xr:uid="{C935E54A-70FC-4E66-8097-0989DC43018A}"/>
    <cellStyle name="40% - Énfasis5 51" xfId="13677" xr:uid="{D1E5C6EF-4F7E-49FA-9C41-042EEBFBCDDD}"/>
    <cellStyle name="40% - Énfasis5 51 2" xfId="17629" xr:uid="{8A43BB8A-163E-4FC8-8F5D-00037D6695AA}"/>
    <cellStyle name="40% - Énfasis5 51_1.2.b" xfId="15897" xr:uid="{01E8EC33-2E9A-448B-BA0C-F900849481D5}"/>
    <cellStyle name="40% - Énfasis5 52" xfId="13678" xr:uid="{AA2E37B2-F353-4455-B02A-D3E8CBF1CE4E}"/>
    <cellStyle name="40% - Énfasis5 52 2" xfId="17630" xr:uid="{B826B3B6-F1A3-40A7-B96F-33A1BD26666E}"/>
    <cellStyle name="40% - Énfasis5 52_1.2.b" xfId="15898" xr:uid="{AA813CBB-02F9-432A-ABCD-AAF4240C455E}"/>
    <cellStyle name="40% - Énfasis5 53" xfId="13679" xr:uid="{3A2A7484-CC94-42CF-9C5D-80FFA00B6087}"/>
    <cellStyle name="40% - Énfasis5 53 2" xfId="17631" xr:uid="{EBCC6EBD-996A-4627-B65F-B3A2C95382A6}"/>
    <cellStyle name="40% - Énfasis5 53_1.2.b" xfId="15899" xr:uid="{6EB16B67-342C-4CCC-B303-572F6325B1C1}"/>
    <cellStyle name="40% - Énfasis5 54" xfId="13680" xr:uid="{354B577A-0A61-4933-AAC6-53FFF6B37647}"/>
    <cellStyle name="40% - Énfasis5 54 2" xfId="17632" xr:uid="{4166F1F3-B360-4F31-8A03-BF2D18FF9AC6}"/>
    <cellStyle name="40% - Énfasis5 54_1.2.b" xfId="15900" xr:uid="{6902D939-DD9C-4A03-A58C-FFA57576324B}"/>
    <cellStyle name="40% - Énfasis5 55" xfId="13681" xr:uid="{2AECCF27-2759-41C6-BF6A-CEC235FA8D5D}"/>
    <cellStyle name="40% - Énfasis5 55 2" xfId="17633" xr:uid="{DB072914-7D29-43D0-B18F-71D6EFF943EB}"/>
    <cellStyle name="40% - Énfasis5 55_1.2.b" xfId="15901" xr:uid="{6C5FA4A8-1EF8-4824-8D15-4B0E824EA158}"/>
    <cellStyle name="40% - Énfasis5 56" xfId="13682" xr:uid="{E1B3DFE3-0528-4ADA-AE75-4654CC647CCD}"/>
    <cellStyle name="40% - Énfasis5 56 2" xfId="17634" xr:uid="{B0B05916-18E2-491F-AB1C-0F20CCB0D7D5}"/>
    <cellStyle name="40% - Énfasis5 56_1.2.b" xfId="15902" xr:uid="{35C98D91-5F2B-426E-A4E4-DB9D95E401B2}"/>
    <cellStyle name="40% - Énfasis5 57" xfId="13683" xr:uid="{57A4E3D2-7DD8-40BC-83E9-1A67EBBEF417}"/>
    <cellStyle name="40% - Énfasis5 57 2" xfId="17635" xr:uid="{9B9FEB2C-73DB-4351-A0DB-DB4A6B2E845B}"/>
    <cellStyle name="40% - Énfasis5 57_1.2.b" xfId="15903" xr:uid="{36BA103B-FB74-428A-9711-F43F1ADF8753}"/>
    <cellStyle name="40% - Énfasis5 58" xfId="13684" xr:uid="{7ECCADD3-2A48-4B9C-B2BE-CE2CBA1E7192}"/>
    <cellStyle name="40% - Énfasis5 58 2" xfId="17636" xr:uid="{E77AAFB8-545E-4B17-9718-87AD01CFEEA7}"/>
    <cellStyle name="40% - Énfasis5 58_1.2.b" xfId="15904" xr:uid="{EE1318F4-D0F9-4AE7-B5AB-72EB60547699}"/>
    <cellStyle name="40% - Énfasis5 59" xfId="13685" xr:uid="{7608C0C1-999B-40C3-AA98-A59C71F89243}"/>
    <cellStyle name="40% - Énfasis5 59 2" xfId="17637" xr:uid="{FF91CD0B-44D9-4B51-83B2-66156B005FB5}"/>
    <cellStyle name="40% - Énfasis5 59_1.2.b" xfId="15905" xr:uid="{0A86035B-A408-40B7-9AE3-83AD9DBADF6A}"/>
    <cellStyle name="40% - Énfasis5 6" xfId="212" xr:uid="{00000000-0005-0000-0000-000038010000}"/>
    <cellStyle name="40% - Énfasis5 6 2" xfId="10732" xr:uid="{00000000-0005-0000-0000-000039010000}"/>
    <cellStyle name="40% - Énfasis5 6 3" xfId="13686" xr:uid="{91EC2B5A-EF42-4CCA-8A41-DE03A6C8375D}"/>
    <cellStyle name="40% - Énfasis5 6 4" xfId="17638" xr:uid="{BC8DC566-2304-4304-AA58-B8A6F1AD1F5A}"/>
    <cellStyle name="40% - Énfasis5 6_1.2.b" xfId="15906" xr:uid="{33033EC5-924C-42B3-8E4F-D06170C391FB}"/>
    <cellStyle name="40% - Énfasis5 60" xfId="13687" xr:uid="{BE7AC1E2-A117-43E3-B038-DE7FA0C4E27C}"/>
    <cellStyle name="40% - Énfasis5 60 2" xfId="17639" xr:uid="{760CA2AE-A100-4E98-8BA1-1711F937CB5E}"/>
    <cellStyle name="40% - Énfasis5 60_1.2.b" xfId="15907" xr:uid="{4DAC6AE3-36CC-400C-81BF-59B4FF52A74E}"/>
    <cellStyle name="40% - Énfasis5 61" xfId="13688" xr:uid="{3F4E4F6B-9A97-42FB-9C36-9EF74B2953E4}"/>
    <cellStyle name="40% - Énfasis5 61 2" xfId="17640" xr:uid="{7CB0EB82-DB00-42C3-9038-1BB2C7D6B1EF}"/>
    <cellStyle name="40% - Énfasis5 61_1.2.b" xfId="15908" xr:uid="{B556370F-18C0-4EEA-ACC7-9BB819CF02A1}"/>
    <cellStyle name="40% - Énfasis5 62" xfId="13689" xr:uid="{BFD54177-8250-4742-8959-64BD9C6CE734}"/>
    <cellStyle name="40% - Énfasis5 62 2" xfId="17641" xr:uid="{0CC1B287-DBCC-425A-9A4E-925CFD2BF5F9}"/>
    <cellStyle name="40% - Énfasis5 62_1.2.b" xfId="15909" xr:uid="{A7400E97-429D-4E43-970C-B7166F5B2084}"/>
    <cellStyle name="40% - Énfasis5 63" xfId="13690" xr:uid="{D24DA325-EED8-4FDE-9298-57C6F5C4302F}"/>
    <cellStyle name="40% - Énfasis5 63 2" xfId="17642" xr:uid="{73BC981F-2365-4702-B9F3-3EA5EBCADBDF}"/>
    <cellStyle name="40% - Énfasis5 63_1.2.b" xfId="15910" xr:uid="{604F5433-6C21-473F-BB5E-89EBF4F8D4C6}"/>
    <cellStyle name="40% - Énfasis5 64" xfId="13691" xr:uid="{721C7D0C-DFC6-445E-9DAE-1C634A34A7E5}"/>
    <cellStyle name="40% - Énfasis5 64 2" xfId="17643" xr:uid="{4958166E-4B37-46F7-B82D-77819A242C02}"/>
    <cellStyle name="40% - Énfasis5 64_1.2.b" xfId="15911" xr:uid="{E55C2D96-5599-4B07-92B0-9E4C0E271BE7}"/>
    <cellStyle name="40% - Énfasis5 65" xfId="13692" xr:uid="{CB677AD5-3BFC-46C0-96A1-C70FADC810E5}"/>
    <cellStyle name="40% - Énfasis5 65 2" xfId="17644" xr:uid="{58C89CF2-D5D5-470B-8BA2-7941A66F3622}"/>
    <cellStyle name="40% - Énfasis5 65_1.2.b" xfId="15912" xr:uid="{077735BF-1B12-4AB4-9B3D-C48679A7C630}"/>
    <cellStyle name="40% - Énfasis5 66" xfId="13693" xr:uid="{D69A5A54-2C85-455B-AB71-9160E2251345}"/>
    <cellStyle name="40% - Énfasis5 66 2" xfId="17645" xr:uid="{73C23984-DBC2-4292-9C10-A0609724F3BC}"/>
    <cellStyle name="40% - Énfasis5 66_1.2.b" xfId="15913" xr:uid="{FD95C680-C09D-4F26-95F7-D99D29ECB6E9}"/>
    <cellStyle name="40% - Énfasis5 67" xfId="13694" xr:uid="{CB1690EF-FEE5-48CC-8867-0BD57A60CF12}"/>
    <cellStyle name="40% - Énfasis5 67 2" xfId="17646" xr:uid="{881CA5D6-0D2A-41C8-BDA9-DB6B91381C80}"/>
    <cellStyle name="40% - Énfasis5 67_1.2.b" xfId="15914" xr:uid="{E5EF172E-68D5-44C7-9E05-88D301848158}"/>
    <cellStyle name="40% - Énfasis5 68" xfId="13695" xr:uid="{EE5C5B7D-9DDC-4980-805C-9972D5A48F2F}"/>
    <cellStyle name="40% - Énfasis5 68 2" xfId="17647" xr:uid="{E3C7E83C-CBE7-44C1-87A3-6099A88E27B5}"/>
    <cellStyle name="40% - Énfasis5 68_1.2.b" xfId="15915" xr:uid="{49A43C90-982D-448E-945F-D4BFA4FEEE96}"/>
    <cellStyle name="40% - Énfasis5 69" xfId="13696" xr:uid="{9CE38F14-7D25-4FE7-842D-37BB3FC6C8DD}"/>
    <cellStyle name="40% - Énfasis5 69 2" xfId="17648" xr:uid="{9F3F7D9E-A19D-411B-950A-487DEEE19A21}"/>
    <cellStyle name="40% - Énfasis5 69_1.2.b" xfId="15916" xr:uid="{422EC98E-22CA-410D-B3E5-7E6D128BCBDD}"/>
    <cellStyle name="40% - Énfasis5 7" xfId="9836" xr:uid="{00000000-0005-0000-0000-00003A010000}"/>
    <cellStyle name="40% - Énfasis5 7 2" xfId="11622" xr:uid="{00000000-0005-0000-0000-00003B010000}"/>
    <cellStyle name="40% - Énfasis5 7 3" xfId="13697" xr:uid="{E98CF241-6C13-41E6-9797-A58A7589D735}"/>
    <cellStyle name="40% - Énfasis5 7 4" xfId="17649" xr:uid="{BD933830-51F1-4C18-B0C6-6A386FC92E60}"/>
    <cellStyle name="40% - Énfasis5 7_1.2.b" xfId="15917" xr:uid="{1868A1EC-46E0-4BFC-A0B2-CC8D6E63A361}"/>
    <cellStyle name="40% - Énfasis5 70" xfId="13698" xr:uid="{CF73274D-6A13-4B4B-A3C5-EAF1731859D1}"/>
    <cellStyle name="40% - Énfasis5 70 2" xfId="17650" xr:uid="{507788D8-867E-49DA-8E62-350CDFA83D20}"/>
    <cellStyle name="40% - Énfasis5 70_1.2.b" xfId="15918" xr:uid="{A6326CCD-9566-4357-A491-9AB1724351DB}"/>
    <cellStyle name="40% - Énfasis5 71" xfId="13699" xr:uid="{774507FB-7D50-4341-B96B-53D3E83A871A}"/>
    <cellStyle name="40% - Énfasis5 71 2" xfId="17651" xr:uid="{7F1E5F94-EAF3-4B7D-AA1F-9AAE5AF12ADB}"/>
    <cellStyle name="40% - Énfasis5 71_1.2.b" xfId="15919" xr:uid="{ECEFC73C-436A-4F58-AC6C-70A437807B62}"/>
    <cellStyle name="40% - Énfasis5 72" xfId="13700" xr:uid="{6EDE72D8-C9AC-4FFC-9095-D72480BDFAE3}"/>
    <cellStyle name="40% - Énfasis5 72 2" xfId="17652" xr:uid="{DFB841F5-E97F-46AF-B1EE-E15F9DD47B39}"/>
    <cellStyle name="40% - Énfasis5 72_1.2.b" xfId="15920" xr:uid="{B90F446A-E017-4B3C-AE68-80A8E94EE747}"/>
    <cellStyle name="40% - Énfasis5 73" xfId="13701" xr:uid="{CB493D1C-33D5-4353-B0AE-0968F5E1FA27}"/>
    <cellStyle name="40% - Énfasis5 73 2" xfId="17653" xr:uid="{7DACF430-9EB2-49F6-8FF1-9831CE14A827}"/>
    <cellStyle name="40% - Énfasis5 73_1.2.b" xfId="15921" xr:uid="{4DD4D470-2AAB-4E36-9E4A-FB5E59C7BBC3}"/>
    <cellStyle name="40% - Énfasis5 74" xfId="13702" xr:uid="{B4BE6554-9740-4B77-A3DD-9546547DE19F}"/>
    <cellStyle name="40% - Énfasis5 74 2" xfId="17654" xr:uid="{18ECF314-60C6-41DA-BFAC-B2A96B051417}"/>
    <cellStyle name="40% - Énfasis5 74_1.2.b" xfId="15922" xr:uid="{37EF0192-93EB-4B01-8C4A-1B68DC785E3C}"/>
    <cellStyle name="40% - Énfasis5 75" xfId="13703" xr:uid="{276B2F54-BCCA-42B3-83B0-0587ABB10114}"/>
    <cellStyle name="40% - Énfasis5 75 2" xfId="17655" xr:uid="{CFA5D77A-BF41-4890-9653-16ACCFE56202}"/>
    <cellStyle name="40% - Énfasis5 75_1.2.b" xfId="15923" xr:uid="{98B53E08-0FD8-4A23-A451-52D0CA4ED8C1}"/>
    <cellStyle name="40% - Énfasis5 76" xfId="13704" xr:uid="{BD5579BB-DE52-44D2-9ADC-7D468603F418}"/>
    <cellStyle name="40% - Énfasis5 76 2" xfId="17656" xr:uid="{DFC34BD8-821B-499F-A2B6-CF1B6C18FFD9}"/>
    <cellStyle name="40% - Énfasis5 76_1.2.b" xfId="15924" xr:uid="{0AC5707B-AE80-4ACA-B099-9D7629A26B65}"/>
    <cellStyle name="40% - Énfasis5 77" xfId="13705" xr:uid="{0619A0F6-C317-498B-B64A-194F2ED8F06E}"/>
    <cellStyle name="40% - Énfasis5 77 2" xfId="17657" xr:uid="{A243C434-208F-4679-A8D5-1EBEC6B280C9}"/>
    <cellStyle name="40% - Énfasis5 77_1.2.b" xfId="15925" xr:uid="{A0EF2BA6-9E6A-4ABA-A8A2-50D5DC28C09B}"/>
    <cellStyle name="40% - Énfasis5 78" xfId="13706" xr:uid="{234F4B65-DA54-48FB-BE90-A26C5A789B97}"/>
    <cellStyle name="40% - Énfasis5 78 2" xfId="17658" xr:uid="{100A20F8-8060-4D93-A5C6-D399E30AB883}"/>
    <cellStyle name="40% - Énfasis5 78_1.2.b" xfId="15926" xr:uid="{627B12B1-401F-41BD-BC07-61EF6EA46D0E}"/>
    <cellStyle name="40% - Énfasis5 79" xfId="13707" xr:uid="{985B23D0-4951-4C7F-9162-E5E555E27F63}"/>
    <cellStyle name="40% - Énfasis5 79 2" xfId="17659" xr:uid="{521075E7-A8A2-46AF-9E69-B8104DE77472}"/>
    <cellStyle name="40% - Énfasis5 79_1.2.b" xfId="15927" xr:uid="{36174F15-6937-42B4-944D-485B29293F39}"/>
    <cellStyle name="40% - Énfasis5 8" xfId="9855" xr:uid="{00000000-0005-0000-0000-00003C010000}"/>
    <cellStyle name="40% - Énfasis5 8 2" xfId="11640" xr:uid="{00000000-0005-0000-0000-00003D010000}"/>
    <cellStyle name="40% - Énfasis5 8 3" xfId="13708" xr:uid="{68744C3D-AFC9-4D5C-B5FF-0B561A6213D3}"/>
    <cellStyle name="40% - Énfasis5 8 4" xfId="17660" xr:uid="{1B84D585-59D0-487A-9B01-EC3040D4B73B}"/>
    <cellStyle name="40% - Énfasis5 8_1.2.b" xfId="15928" xr:uid="{679001C7-C482-43F9-B1ED-BBE18B830C5D}"/>
    <cellStyle name="40% - Énfasis5 80" xfId="13709" xr:uid="{DCBDF751-3B3A-440B-AA0A-39F310238950}"/>
    <cellStyle name="40% - Énfasis5 80 2" xfId="17661" xr:uid="{E3A53D76-25DE-406C-8761-7C76DDB2FE83}"/>
    <cellStyle name="40% - Énfasis5 80_1.2.b" xfId="15929" xr:uid="{A23A8A77-3927-4817-91E4-663D11E26122}"/>
    <cellStyle name="40% - Énfasis5 81" xfId="13710" xr:uid="{0A2B4E09-7966-440A-8DB7-624D6112F830}"/>
    <cellStyle name="40% - Énfasis5 81 2" xfId="17662" xr:uid="{DD2DDCCB-42FC-4FC1-B8B2-88B012DCD1E5}"/>
    <cellStyle name="40% - Énfasis5 81_1.2.b" xfId="15930" xr:uid="{DCB12871-3625-4630-94A3-2734F6A5F156}"/>
    <cellStyle name="40% - Énfasis5 82" xfId="13711" xr:uid="{6828A923-AC19-4258-9535-5A22997686E8}"/>
    <cellStyle name="40% - Énfasis5 82 2" xfId="17663" xr:uid="{ABB4E226-6C18-4483-BF3F-F82B3C0F5781}"/>
    <cellStyle name="40% - Énfasis5 82_1.2.b" xfId="15931" xr:uid="{38D75E99-0D81-4883-9D54-8B88871787CF}"/>
    <cellStyle name="40% - Énfasis5 83" xfId="13712" xr:uid="{55D8A4C0-B7D0-4E30-8362-3313D6D66C51}"/>
    <cellStyle name="40% - Énfasis5 83 2" xfId="17664" xr:uid="{7BB87670-C5C5-479C-8EC5-026828CB3873}"/>
    <cellStyle name="40% - Énfasis5 83_1.2.b" xfId="15932" xr:uid="{7D5303A0-1500-4BD2-AFB8-397F8C8494BE}"/>
    <cellStyle name="40% - Énfasis5 84" xfId="13713" xr:uid="{D5ADE73D-DC13-4447-A6F7-00472FB5C6C1}"/>
    <cellStyle name="40% - Énfasis5 84 2" xfId="17665" xr:uid="{188EE70D-1984-4ED1-AAAC-4FC47BAE0355}"/>
    <cellStyle name="40% - Énfasis5 84_1.2.b" xfId="15933" xr:uid="{ABFCE9D9-87B5-4E67-AD85-9BB97A050E5C}"/>
    <cellStyle name="40% - Énfasis5 85" xfId="13714" xr:uid="{57AE8EB1-8C41-4555-853C-1F8DABF9BE65}"/>
    <cellStyle name="40% - Énfasis5 85 2" xfId="17666" xr:uid="{EA1F41BE-2CF4-4233-A3C8-AC4B62AD337E}"/>
    <cellStyle name="40% - Énfasis5 85_1.2.b" xfId="15934" xr:uid="{7E0AB540-B3F3-467D-AC73-D0DF2679F3A7}"/>
    <cellStyle name="40% - Énfasis5 86" xfId="13715" xr:uid="{083AF828-3AE0-4AED-9015-DA7286F47896}"/>
    <cellStyle name="40% - Énfasis5 86 2" xfId="17667" xr:uid="{2F552EC2-ED41-47A0-975C-4BC975F44233}"/>
    <cellStyle name="40% - Énfasis5 86_1.2.b" xfId="15935" xr:uid="{058FF80E-64F4-4D55-878E-232ABF72516C}"/>
    <cellStyle name="40% - Énfasis5 87" xfId="13716" xr:uid="{175C5B8E-FDDC-4FE6-B0F8-4366E443D683}"/>
    <cellStyle name="40% - Énfasis5 87 2" xfId="17668" xr:uid="{C85EB99D-4210-4C4B-907F-422CA0A3AAD1}"/>
    <cellStyle name="40% - Énfasis5 87_1.2.b" xfId="15936" xr:uid="{21B22DA7-80ED-4784-9B5E-64612B80C3BC}"/>
    <cellStyle name="40% - Énfasis5 88" xfId="13717" xr:uid="{F95FD4BA-D44B-4762-B155-844177DEA5D2}"/>
    <cellStyle name="40% - Énfasis5 88 2" xfId="17669" xr:uid="{204C902F-88BE-462C-830A-735AEE59410B}"/>
    <cellStyle name="40% - Énfasis5 88_1.2.b" xfId="15937" xr:uid="{315FD220-A694-4003-9B66-D4541B9BA4C1}"/>
    <cellStyle name="40% - Énfasis5 89" xfId="13718" xr:uid="{FDBBB389-63B5-45E8-AB3D-6CB02920AC84}"/>
    <cellStyle name="40% - Énfasis5 89 2" xfId="17670" xr:uid="{33D24FEC-5E5E-44F8-9F2F-34A0F92CC16F}"/>
    <cellStyle name="40% - Énfasis5 89_1.2.b" xfId="15938" xr:uid="{E6528690-E2B9-4996-A672-F1E114AE2340}"/>
    <cellStyle name="40% - Énfasis5 9" xfId="9875" xr:uid="{00000000-0005-0000-0000-00003E010000}"/>
    <cellStyle name="40% - Énfasis5 9 2" xfId="13719" xr:uid="{D74C5CB9-2FF2-45A4-B5EA-724AE4E603B8}"/>
    <cellStyle name="40% - Énfasis5 9 3" xfId="17671" xr:uid="{F7C531CC-2811-4BBB-B0C4-A0BEF26DCED7}"/>
    <cellStyle name="40% - Énfasis5 90" xfId="13720" xr:uid="{99CC7CB8-DEE2-4F9E-A8D4-B30CAC14D7A3}"/>
    <cellStyle name="40% - Énfasis5 90 2" xfId="17672" xr:uid="{61CD952E-E1E7-44C0-99F1-1D835DDF4E05}"/>
    <cellStyle name="40% - Énfasis5 90_1.2.b" xfId="15939" xr:uid="{D97AA82A-1991-4D2E-BC0C-633E06995B03}"/>
    <cellStyle name="40% - Énfasis5 91" xfId="13721" xr:uid="{29C12852-A24B-423A-8F8F-94DD1BF053A3}"/>
    <cellStyle name="40% - Énfasis5 91 2" xfId="17673" xr:uid="{C9474CC3-9633-43DA-904C-96A5B08419BF}"/>
    <cellStyle name="40% - Énfasis5 91_1.2.b" xfId="15940" xr:uid="{CEB96C0C-9067-4C60-94EE-62AB9CE227EE}"/>
    <cellStyle name="40% - Énfasis5 92" xfId="13722" xr:uid="{425D20E9-54FF-435B-B433-6C68E91F709B}"/>
    <cellStyle name="40% - Énfasis5 92 2" xfId="17674" xr:uid="{8D8828D2-5A41-4A9B-969F-38E42AC7149A}"/>
    <cellStyle name="40% - Énfasis5 92_1.2.b" xfId="15941" xr:uid="{ABFD4FC5-45A0-42EA-BECA-61CDA622ED5A}"/>
    <cellStyle name="40% - Énfasis5 93" xfId="13723" xr:uid="{63C4672A-CE72-41B4-8534-606AE4AF1899}"/>
    <cellStyle name="40% - Énfasis5 93 2" xfId="17675" xr:uid="{A60448B4-75D5-48B4-8CCC-72C35A16F6C0}"/>
    <cellStyle name="40% - Énfasis5 93_1.2.b" xfId="15942" xr:uid="{2A747E36-31EE-4FCD-937B-01310A52B404}"/>
    <cellStyle name="40% - Énfasis5 94" xfId="13724" xr:uid="{67BC2953-1C23-4E62-B12C-157D3A403220}"/>
    <cellStyle name="40% - Énfasis5 94 2" xfId="17676" xr:uid="{F84FE544-2EE6-4D3D-88FC-4EA5217A31F3}"/>
    <cellStyle name="40% - Énfasis5 94_1.2.b" xfId="15943" xr:uid="{A2810BE6-A493-4EDC-86CB-B6CC4E394429}"/>
    <cellStyle name="40% - Énfasis5 95" xfId="13725" xr:uid="{96281437-67FE-4C9E-9D06-FEA82A28C468}"/>
    <cellStyle name="40% - Énfasis5 95 2" xfId="17677" xr:uid="{921E4067-31EC-43D5-8A4C-2FB6C13C1E6C}"/>
    <cellStyle name="40% - Énfasis5 95_1.2.b" xfId="15944" xr:uid="{49BD513A-10E2-49F9-A4C7-0521B7D5BCC8}"/>
    <cellStyle name="40% - Énfasis5 96" xfId="13726" xr:uid="{408BBC81-F762-41CB-B386-6141720DC5EF}"/>
    <cellStyle name="40% - Énfasis5 96 2" xfId="17678" xr:uid="{FAD05FA3-16D4-49E5-8148-893C48036865}"/>
    <cellStyle name="40% - Énfasis5 96_1.2.b" xfId="15945" xr:uid="{DE058A98-6A78-4486-8499-C07E8B19E5D1}"/>
    <cellStyle name="40% - Énfasis6 10" xfId="9927" xr:uid="{00000000-0005-0000-0000-000040010000}"/>
    <cellStyle name="40% - Énfasis6 10 2" xfId="11664" xr:uid="{00000000-0005-0000-0000-000041010000}"/>
    <cellStyle name="40% - Énfasis6 10 3" xfId="13727" xr:uid="{3570A2D9-0851-4B8E-A480-39BDDC43BA5E}"/>
    <cellStyle name="40% - Énfasis6 10 4" xfId="17679" xr:uid="{FF15F575-C90A-40DE-9C4D-BDD87A87272B}"/>
    <cellStyle name="40% - Énfasis6 10_1.2.b" xfId="15946" xr:uid="{4C124BE0-159A-4803-8CDC-ECEACD60874E}"/>
    <cellStyle name="40% - Énfasis6 11" xfId="10527" xr:uid="{00000000-0005-0000-0000-000042010000}"/>
    <cellStyle name="40% - Énfasis6 11 2" xfId="12262" xr:uid="{00000000-0005-0000-0000-000043010000}"/>
    <cellStyle name="40% - Énfasis6 11 3" xfId="13728" xr:uid="{D61EC75F-CDFB-4DD4-9F1F-D5B490E345E2}"/>
    <cellStyle name="40% - Énfasis6 11 4" xfId="17680" xr:uid="{1AC335AF-68E9-4F15-A0A0-C4E1A42E0CB0}"/>
    <cellStyle name="40% - Énfasis6 11_1.2.b" xfId="15947" xr:uid="{381F93F9-A33E-4DE4-8DAA-7EA21967B3BA}"/>
    <cellStyle name="40% - Énfasis6 12" xfId="10542" xr:uid="{00000000-0005-0000-0000-000044010000}"/>
    <cellStyle name="40% - Énfasis6 12 2" xfId="12277" xr:uid="{00000000-0005-0000-0000-000045010000}"/>
    <cellStyle name="40% - Énfasis6 12 3" xfId="13729" xr:uid="{AB3595C2-20E6-4ED9-B88D-01FA6CB853C1}"/>
    <cellStyle name="40% - Énfasis6 12 4" xfId="17681" xr:uid="{576995AA-EF78-429B-B065-992EB900D89D}"/>
    <cellStyle name="40% - Énfasis6 12_1.2.b" xfId="15948" xr:uid="{BF259D5F-C352-4E0B-A6EF-FC001251F053}"/>
    <cellStyle name="40% - Énfasis6 13" xfId="10589" xr:uid="{00000000-0005-0000-0000-000046010000}"/>
    <cellStyle name="40% - Énfasis6 13 2" xfId="12322" xr:uid="{00000000-0005-0000-0000-000047010000}"/>
    <cellStyle name="40% - Énfasis6 13 3" xfId="13730" xr:uid="{D1EB3981-3A85-4DDD-BF82-02DFB9397BB9}"/>
    <cellStyle name="40% - Énfasis6 13 4" xfId="17682" xr:uid="{99D2256B-A219-4739-8474-1F1D201A5BDE}"/>
    <cellStyle name="40% - Énfasis6 13_1.2.b" xfId="15949" xr:uid="{72F162B9-1760-410D-A549-36B4C125B3FE}"/>
    <cellStyle name="40% - Énfasis6 14" xfId="10609" xr:uid="{00000000-0005-0000-0000-000048010000}"/>
    <cellStyle name="40% - Énfasis6 14 2" xfId="12338" xr:uid="{00000000-0005-0000-0000-000049010000}"/>
    <cellStyle name="40% - Énfasis6 14 3" xfId="13731" xr:uid="{F3ACF4AF-9930-4D6E-B43B-C063862D32D4}"/>
    <cellStyle name="40% - Énfasis6 14 4" xfId="17683" xr:uid="{E572B39A-0DFF-443B-B6D9-2FE8A726A8E6}"/>
    <cellStyle name="40% - Énfasis6 14_1.2.b" xfId="15950" xr:uid="{673CFDCF-7B34-42DB-8C96-BF5E7CEDEE3E}"/>
    <cellStyle name="40% - Énfasis6 15" xfId="10630" xr:uid="{00000000-0005-0000-0000-00004A010000}"/>
    <cellStyle name="40% - Énfasis6 15 2" xfId="13732" xr:uid="{8730BEF0-595C-4DF0-9B4B-4751CEB8A052}"/>
    <cellStyle name="40% - Énfasis6 15 3" xfId="17684" xr:uid="{A479B6C2-D3BA-4A1B-B061-FA3D7DC590B5}"/>
    <cellStyle name="40% - Énfasis6 15_1.2.b" xfId="15951" xr:uid="{379CD7EE-5957-4861-BF02-94BD1CC1336E}"/>
    <cellStyle name="40% - Énfasis6 16" xfId="12371" xr:uid="{00000000-0005-0000-0000-00004B010000}"/>
    <cellStyle name="40% - Énfasis6 16 2" xfId="13733" xr:uid="{894787FB-8ADC-454A-A2EF-EA33742B4F18}"/>
    <cellStyle name="40% - Énfasis6 16 3" xfId="17685" xr:uid="{0EA62194-A607-4B7E-959D-8A5CA40B3318}"/>
    <cellStyle name="40% - Énfasis6 16_1.2.b" xfId="15952" xr:uid="{25292230-5B43-4E97-8E17-C4D65FE6C668}"/>
    <cellStyle name="40% - Énfasis6 17" xfId="12386" xr:uid="{00000000-0005-0000-0000-00004C010000}"/>
    <cellStyle name="40% - Énfasis6 17 2" xfId="13734" xr:uid="{A32A66F7-233D-4895-949D-3156EF910875}"/>
    <cellStyle name="40% - Énfasis6 17 3" xfId="17686" xr:uid="{A64F84C6-46AB-4D61-86BA-8D4FAF2F7E4D}"/>
    <cellStyle name="40% - Énfasis6 17_1.2.b" xfId="15953" xr:uid="{D20FD8BB-DC6F-4204-9E72-5F323FF901C9}"/>
    <cellStyle name="40% - Énfasis6 18" xfId="13735" xr:uid="{E140D75E-634B-41A9-B933-0CE8EA3EF837}"/>
    <cellStyle name="40% - Énfasis6 18 2" xfId="17687" xr:uid="{68B41574-8DB1-45FC-B9FF-459262359AFE}"/>
    <cellStyle name="40% - Énfasis6 18_1.2.b" xfId="15954" xr:uid="{2B4003F8-1BEA-4EEF-A9D0-FE6E96E8E0DD}"/>
    <cellStyle name="40% - Énfasis6 19" xfId="13736" xr:uid="{54449E45-6B12-4977-B312-3BD7F307C5A1}"/>
    <cellStyle name="40% - Énfasis6 19 2" xfId="17688" xr:uid="{A2192B4F-5BB8-4DFA-8D6F-C187A074CBD8}"/>
    <cellStyle name="40% - Énfasis6 19_1.2.b" xfId="15955" xr:uid="{668D8C02-5D30-4899-A26F-7CBDFF5B8920}"/>
    <cellStyle name="40% - Énfasis6 2" xfId="157" xr:uid="{00000000-0005-0000-0000-00004D010000}"/>
    <cellStyle name="40% - Énfasis6 2 10" xfId="13738" xr:uid="{08F33C7B-302A-4249-B922-E7ED51633427}"/>
    <cellStyle name="40% - Énfasis6 2 10 2" xfId="17690" xr:uid="{33D480B7-83A3-44E3-884A-5BA7965314D1}"/>
    <cellStyle name="40% - Énfasis6 2 10_1.2.b" xfId="15957" xr:uid="{C614A6EC-17A7-4347-B1D8-D97E76110028}"/>
    <cellStyle name="40% - Énfasis6 2 11" xfId="13737" xr:uid="{3FBC9472-5DCB-4609-91F2-49660A815189}"/>
    <cellStyle name="40% - Énfasis6 2 12" xfId="17689" xr:uid="{A4E44B5F-7C9C-467A-A3FF-A06542E7C11F}"/>
    <cellStyle name="40% - Énfasis6 2 13" xfId="18186" xr:uid="{F9F94DA6-3EE8-4269-917D-F43E2EE26EFF}"/>
    <cellStyle name="40% - Énfasis6 2 14" xfId="18169" xr:uid="{22AB3630-7783-4257-876C-DDE5DEE9ECAD}"/>
    <cellStyle name="40% - Énfasis6 2 15" xfId="18187" xr:uid="{C56FB165-34B3-42C1-AC8E-E0D05718A7C3}"/>
    <cellStyle name="40% - Énfasis6 2 16" xfId="18172" xr:uid="{1E7E095B-EFD5-40CE-B9A3-0C3EF8EE6990}"/>
    <cellStyle name="40% - Énfasis6 2 2" xfId="10677" xr:uid="{00000000-0005-0000-0000-00004E010000}"/>
    <cellStyle name="40% - Énfasis6 2 2 2" xfId="13740" xr:uid="{CB5C37A7-F0C3-4984-BA8E-5D4B6AD7A275}"/>
    <cellStyle name="40% - Énfasis6 2 2 3" xfId="13741" xr:uid="{11B0239E-DC33-422B-A89D-3EB94DCC55D2}"/>
    <cellStyle name="40% - Énfasis6 2 2 4" xfId="13742" xr:uid="{D1C30AE7-5219-4453-AB20-A26075BFFCF4}"/>
    <cellStyle name="40% - Énfasis6 2 2 5" xfId="13743" xr:uid="{37583546-D1B8-48B5-BDCB-088158EE64C1}"/>
    <cellStyle name="40% - Énfasis6 2 2 6" xfId="13739" xr:uid="{81102EF5-50D0-4768-B3A9-2CDEC458EF7C}"/>
    <cellStyle name="40% - Énfasis6 2 2 7" xfId="17691" xr:uid="{5F11ED46-8E01-4D25-B2F0-F750F488C1DF}"/>
    <cellStyle name="40% - Énfasis6 2 2_1.2.b" xfId="15958" xr:uid="{5C2E85D0-C9D7-4DE7-B9F9-283836652CD2}"/>
    <cellStyle name="40% - Énfasis6 2 3" xfId="13744" xr:uid="{D1505511-192C-44A0-9141-0F38B5DAEEF3}"/>
    <cellStyle name="40% - Énfasis6 2 4" xfId="13745" xr:uid="{7AA7D5B0-F278-43A3-BE16-D5C7EC00E225}"/>
    <cellStyle name="40% - Énfasis6 2 5" xfId="13746" xr:uid="{6629603A-6F74-4225-8F44-3035172DD6BF}"/>
    <cellStyle name="40% - Énfasis6 2 6" xfId="13747" xr:uid="{6656E9FB-9ECF-47F6-BB23-78EFC7B6DB69}"/>
    <cellStyle name="40% - Énfasis6 2 7" xfId="13748" xr:uid="{42E9168D-D76C-4EA5-BECC-E146C9C2CF6C}"/>
    <cellStyle name="40% - Énfasis6 2 8" xfId="13749" xr:uid="{D5B149E3-DA7A-43A2-8794-36153593E78F}"/>
    <cellStyle name="40% - Énfasis6 2 9" xfId="13750" xr:uid="{22B2E6D8-DF91-44DE-A953-97D1A09AF489}"/>
    <cellStyle name="40% - Énfasis6 2 9 2" xfId="17692" xr:uid="{74B31406-3318-48AB-8F09-DDC7A6AD5C09}"/>
    <cellStyle name="40% - Énfasis6 2 9_1.2.b" xfId="15959" xr:uid="{FF9573E3-8F43-4660-BEED-170A31E3D8AC}"/>
    <cellStyle name="40% - Énfasis6 2_1.2.b" xfId="15956" xr:uid="{66783984-CEB8-473A-BE48-DFB9F2E5FE07}"/>
    <cellStyle name="40% - Énfasis6 20" xfId="13751" xr:uid="{25801DD4-CEA1-4A59-944C-B0E2E3FB904E}"/>
    <cellStyle name="40% - Énfasis6 20 2" xfId="17693" xr:uid="{1727E2EB-6B00-4812-9759-CAAE0DA475C5}"/>
    <cellStyle name="40% - Énfasis6 20_1.2.b" xfId="15960" xr:uid="{572E8DF7-94C0-4208-8A02-781156CF4F37}"/>
    <cellStyle name="40% - Énfasis6 21" xfId="13752" xr:uid="{FB15DD00-D4AF-415C-A1F3-896AF845E57C}"/>
    <cellStyle name="40% - Énfasis6 21 2" xfId="17694" xr:uid="{BF314439-6100-4A7F-8113-BEA60978EFA9}"/>
    <cellStyle name="40% - Énfasis6 21_1.2.b" xfId="15961" xr:uid="{FAA8EEDF-124A-400E-8236-1C964E138E28}"/>
    <cellStyle name="40% - Énfasis6 22" xfId="13753" xr:uid="{45195E9E-A7DB-410E-BA9B-55F66B9502B7}"/>
    <cellStyle name="40% - Énfasis6 22 2" xfId="17695" xr:uid="{A057D648-6702-4E3B-8B15-53CCEA2FDDB3}"/>
    <cellStyle name="40% - Énfasis6 22_1.2.b" xfId="15962" xr:uid="{A2495FE8-78ED-431E-AE6B-3F10FC6F3BD2}"/>
    <cellStyle name="40% - Énfasis6 23" xfId="13754" xr:uid="{E9D08857-7C0F-4B84-8FAF-B0788EAF6556}"/>
    <cellStyle name="40% - Énfasis6 23 2" xfId="17696" xr:uid="{200EA798-285B-4C0B-9E6D-1749AAF6B1DC}"/>
    <cellStyle name="40% - Énfasis6 23_1.2.b" xfId="15963" xr:uid="{19B45214-5534-4F31-A022-CB73988C4EAD}"/>
    <cellStyle name="40% - Énfasis6 24" xfId="13755" xr:uid="{D106AB9C-48F6-423D-9A43-3CF323BF57CD}"/>
    <cellStyle name="40% - Énfasis6 24 2" xfId="17697" xr:uid="{6462F48E-BFA3-410A-B565-CF2C0D820514}"/>
    <cellStyle name="40% - Énfasis6 24_1.2.b" xfId="15964" xr:uid="{E00609B4-5CD3-49A6-A312-802A665B8100}"/>
    <cellStyle name="40% - Énfasis6 25" xfId="13756" xr:uid="{F64CAF3C-C13C-4BF0-8936-1712EEB2AD08}"/>
    <cellStyle name="40% - Énfasis6 25 2" xfId="17698" xr:uid="{71B079BE-BA5B-403D-BA2C-6E756A3A1571}"/>
    <cellStyle name="40% - Énfasis6 25_1.2.b" xfId="15965" xr:uid="{51451A17-7466-4E5D-82CC-9C2730EAF100}"/>
    <cellStyle name="40% - Énfasis6 26" xfId="13757" xr:uid="{BB838E98-5AE8-4143-B707-39C4E342CF19}"/>
    <cellStyle name="40% - Énfasis6 26 2" xfId="17699" xr:uid="{D0750F68-875A-4B97-A29C-0ECDD0CEFB3D}"/>
    <cellStyle name="40% - Énfasis6 26_1.2.b" xfId="15966" xr:uid="{2AD04894-9364-4C48-8DF6-7F5EC9CAEEB6}"/>
    <cellStyle name="40% - Énfasis6 27" xfId="13758" xr:uid="{E1C25DFC-D7F2-4887-8E57-F309A56B85DA}"/>
    <cellStyle name="40% - Énfasis6 27 2" xfId="17700" xr:uid="{0A72BFF8-D2F4-4382-AEAE-9527DBFAA2E0}"/>
    <cellStyle name="40% - Énfasis6 27_1.2.b" xfId="15967" xr:uid="{04406E1D-AEE7-4779-B50D-69E93B05751D}"/>
    <cellStyle name="40% - Énfasis6 28" xfId="13759" xr:uid="{385B66B3-7BF0-4645-AA08-37435D34245E}"/>
    <cellStyle name="40% - Énfasis6 28 2" xfId="17701" xr:uid="{1D937165-375B-4E1D-B8D9-D6170976FA97}"/>
    <cellStyle name="40% - Énfasis6 28_1.2.b" xfId="15968" xr:uid="{659EBA90-1B6F-47B4-8AEB-EAC857869A99}"/>
    <cellStyle name="40% - Énfasis6 29" xfId="13760" xr:uid="{DDD7A5CE-B349-4C60-BF36-2C9451524454}"/>
    <cellStyle name="40% - Énfasis6 29 2" xfId="17702" xr:uid="{2227D1E8-25A7-4556-844A-AC87AF54067A}"/>
    <cellStyle name="40% - Énfasis6 29_1.2.b" xfId="15969" xr:uid="{F0B96657-3E1D-4406-8269-1D99294BFB55}"/>
    <cellStyle name="40% - Énfasis6 3" xfId="171" xr:uid="{00000000-0005-0000-0000-00004F010000}"/>
    <cellStyle name="40% - Énfasis6 3 2" xfId="10691" xr:uid="{00000000-0005-0000-0000-000050010000}"/>
    <cellStyle name="40% - Énfasis6 3 2 2" xfId="13762" xr:uid="{1877A659-3ED4-4B54-A18A-FE0CAD7F4EB1}"/>
    <cellStyle name="40% - Énfasis6 3 2 3" xfId="17704" xr:uid="{0074D867-64A2-49EE-8694-8ACEB5B41BD4}"/>
    <cellStyle name="40% - Énfasis6 3 2_1.2.b" xfId="15971" xr:uid="{8A440E8E-2A1D-4A20-BE54-7522AF9A3953}"/>
    <cellStyle name="40% - Énfasis6 3 3" xfId="13763" xr:uid="{6C2494C5-BE13-448C-8A4B-4413DD3ECD2C}"/>
    <cellStyle name="40% - Énfasis6 3 4" xfId="13761" xr:uid="{4375F7A7-7876-4E45-B563-1ABEAC93B222}"/>
    <cellStyle name="40% - Énfasis6 3 5" xfId="17703" xr:uid="{A8B6F5F0-CCCC-4F32-BCD1-F90ABE19E6AB}"/>
    <cellStyle name="40% - Énfasis6 3_1.2.b" xfId="15970" xr:uid="{91A27CCD-42BB-4C3F-855F-7EB5BE94FA71}"/>
    <cellStyle name="40% - Énfasis6 30" xfId="13764" xr:uid="{1A3BA315-BE37-4212-BA7D-D93BD34D2EFA}"/>
    <cellStyle name="40% - Énfasis6 30 2" xfId="17705" xr:uid="{5CB89DDA-215E-47BF-AF16-11D0EBC6DD09}"/>
    <cellStyle name="40% - Énfasis6 30_1.2.b" xfId="15972" xr:uid="{179DE0B4-5B62-416B-89A9-5F37CE139BE7}"/>
    <cellStyle name="40% - Énfasis6 31" xfId="13765" xr:uid="{E3B8490C-4E61-42E5-9A0F-102F0C78EA76}"/>
    <cellStyle name="40% - Énfasis6 31 2" xfId="17706" xr:uid="{0E6F18D7-1107-4C16-B491-94D97072F4C0}"/>
    <cellStyle name="40% - Énfasis6 31_1.2.b" xfId="15973" xr:uid="{0BF04E6B-B670-4126-A64A-77BDD683E54A}"/>
    <cellStyle name="40% - Énfasis6 32" xfId="13766" xr:uid="{2B807FC0-C59F-49AE-84BD-620A7E3A8CA8}"/>
    <cellStyle name="40% - Énfasis6 32 2" xfId="17707" xr:uid="{9822A4AC-0921-4961-906C-2F4D1E038F3D}"/>
    <cellStyle name="40% - Énfasis6 32_1.2.b" xfId="15974" xr:uid="{02C14C66-FD89-41CA-BDAD-639B3EE44FF3}"/>
    <cellStyle name="40% - Énfasis6 33" xfId="13767" xr:uid="{0CF24031-8FCD-4B80-84CC-7399A4F1729B}"/>
    <cellStyle name="40% - Énfasis6 33 2" xfId="17708" xr:uid="{F37640DE-BB76-44C4-88B8-B085C3A61763}"/>
    <cellStyle name="40% - Énfasis6 33_1.2.b" xfId="15975" xr:uid="{9D202CDF-7E06-4530-9B9C-4DFF22F1BD24}"/>
    <cellStyle name="40% - Énfasis6 34" xfId="13768" xr:uid="{AED9E213-2E52-4609-BE20-ACABB9927B80}"/>
    <cellStyle name="40% - Énfasis6 34 2" xfId="17709" xr:uid="{BCCD17E8-6D42-4536-8005-BE6B194155CC}"/>
    <cellStyle name="40% - Énfasis6 34_1.2.b" xfId="15976" xr:uid="{AE0D6A1C-8F1C-4869-BDEC-60E7D76D77FE}"/>
    <cellStyle name="40% - Énfasis6 35" xfId="13769" xr:uid="{F897931B-AF22-4E5E-88A4-8DE90F5D4815}"/>
    <cellStyle name="40% - Énfasis6 35 2" xfId="17710" xr:uid="{05665329-BB8B-4BE2-9565-078978A1365C}"/>
    <cellStyle name="40% - Énfasis6 35_1.2.b" xfId="15977" xr:uid="{50F93B46-3D67-461D-AF7A-F97211EC355A}"/>
    <cellStyle name="40% - Énfasis6 36" xfId="13770" xr:uid="{C6655AD7-B5AA-4786-BDB1-59FDBF7FF9E2}"/>
    <cellStyle name="40% - Énfasis6 36 2" xfId="17711" xr:uid="{95E885EB-019E-4964-9477-9A373E2EF142}"/>
    <cellStyle name="40% - Énfasis6 36_1.2.b" xfId="15978" xr:uid="{313EAD58-4F0C-4731-874C-314F4CC0D0CA}"/>
    <cellStyle name="40% - Énfasis6 37" xfId="13771" xr:uid="{6EB128E7-C982-45CA-B51E-03E8C7AE2796}"/>
    <cellStyle name="40% - Énfasis6 37 2" xfId="17712" xr:uid="{2742C1A3-D162-4EEC-922C-548B98960FAE}"/>
    <cellStyle name="40% - Énfasis6 37_1.2.b" xfId="15979" xr:uid="{320002BA-A637-49E3-8980-E5B31D795FA1}"/>
    <cellStyle name="40% - Énfasis6 38" xfId="13772" xr:uid="{B0E27478-F041-4808-BE0B-3553EA53E3DA}"/>
    <cellStyle name="40% - Énfasis6 38 2" xfId="17713" xr:uid="{054DB4A9-8C18-4EB3-878A-3A855F57CF71}"/>
    <cellStyle name="40% - Énfasis6 38_1.2.b" xfId="15980" xr:uid="{0F131D8F-1229-4DB5-A4F5-0E46E5B42B00}"/>
    <cellStyle name="40% - Énfasis6 39" xfId="13773" xr:uid="{F61B2C0F-4B47-458C-BFB5-C755C1F461AF}"/>
    <cellStyle name="40% - Énfasis6 39 2" xfId="17714" xr:uid="{E8E236AF-D8F8-41A6-9507-311D30AA996C}"/>
    <cellStyle name="40% - Énfasis6 39_1.2.b" xfId="15981" xr:uid="{7153A870-7BFC-4DCA-9A02-F4C904B9856B}"/>
    <cellStyle name="40% - Énfasis6 4" xfId="185" xr:uid="{00000000-0005-0000-0000-000051010000}"/>
    <cellStyle name="40% - Énfasis6 4 2" xfId="10705" xr:uid="{00000000-0005-0000-0000-000052010000}"/>
    <cellStyle name="40% - Énfasis6 4 2 2" xfId="13775" xr:uid="{2433825E-7AB1-49C4-8EAA-B21B72C5A304}"/>
    <cellStyle name="40% - Énfasis6 4 2_1.2.b" xfId="15983" xr:uid="{20C42004-FFFD-47B6-B096-25D6E0A18B96}"/>
    <cellStyle name="40% - Énfasis6 4 3" xfId="13774" xr:uid="{CF7FDCB6-EFB7-43FB-ACF2-02A7FDB25BE6}"/>
    <cellStyle name="40% - Énfasis6 4 4" xfId="17715" xr:uid="{9E5EE22E-6B20-4748-A31F-9EBC0DCDA54A}"/>
    <cellStyle name="40% - Énfasis6 4 5" xfId="18189" xr:uid="{4B462A82-6F3C-4DE2-9B81-82FA10989A40}"/>
    <cellStyle name="40% - Énfasis6 4 6" xfId="18167" xr:uid="{F6A944C9-7DC8-4AC7-8882-4D363EC0C6AF}"/>
    <cellStyle name="40% - Énfasis6 4 7" xfId="18190" xr:uid="{AD1A4EF0-1788-4427-9862-E6F40975F0CB}"/>
    <cellStyle name="40% - Énfasis6 4 8" xfId="18168" xr:uid="{A9AAFCDB-66E4-4424-A444-158944D5F68E}"/>
    <cellStyle name="40% - Énfasis6 4_1.2.b" xfId="15982" xr:uid="{376001E8-C88B-4AB5-B7F9-D79B77062DFE}"/>
    <cellStyle name="40% - Énfasis6 40" xfId="13776" xr:uid="{87BD2181-7671-450E-95E1-103DBD33A70C}"/>
    <cellStyle name="40% - Énfasis6 40 2" xfId="17716" xr:uid="{50DAE123-6D5A-462D-B0E9-C92C96F7A40F}"/>
    <cellStyle name="40% - Énfasis6 40_1.2.b" xfId="15984" xr:uid="{C1498D6D-6918-4F28-AA7A-D600C5FF5A34}"/>
    <cellStyle name="40% - Énfasis6 41" xfId="13777" xr:uid="{53C0260B-6DAF-409D-B6BA-70CA9238F254}"/>
    <cellStyle name="40% - Énfasis6 41 2" xfId="17717" xr:uid="{C4A896A4-0821-4A43-BB0E-D142E305E316}"/>
    <cellStyle name="40% - Énfasis6 41_1.2.b" xfId="15985" xr:uid="{1ED7BCF2-06D8-48DD-9324-96F83DD86E1D}"/>
    <cellStyle name="40% - Énfasis6 42" xfId="13778" xr:uid="{548C2B1B-95F0-4AED-850D-FCA506AE3055}"/>
    <cellStyle name="40% - Énfasis6 42 2" xfId="17718" xr:uid="{FC894766-77FF-4D92-BE48-FA9D18777D2E}"/>
    <cellStyle name="40% - Énfasis6 42_1.2.b" xfId="15986" xr:uid="{2E946296-2A57-4790-9372-1B1993DC4EDD}"/>
    <cellStyle name="40% - Énfasis6 43" xfId="13779" xr:uid="{E58DE467-76CC-4BF1-B2CE-07204EAD3769}"/>
    <cellStyle name="40% - Énfasis6 43 2" xfId="17719" xr:uid="{92DDF873-585E-4FA3-9728-DB12B0AD2DCF}"/>
    <cellStyle name="40% - Énfasis6 43_1.2.b" xfId="15987" xr:uid="{144FADF5-DDF6-450D-84D9-AC422A9FC3F6}"/>
    <cellStyle name="40% - Énfasis6 44" xfId="13780" xr:uid="{2117C541-6DE2-478F-B014-A0E7D77EA2B7}"/>
    <cellStyle name="40% - Énfasis6 44 2" xfId="17720" xr:uid="{62AC3B9C-412D-448B-8E35-C884163C644B}"/>
    <cellStyle name="40% - Énfasis6 44_1.2.b" xfId="15988" xr:uid="{F90163E1-30A4-47E6-B1D9-259B2BB5669D}"/>
    <cellStyle name="40% - Énfasis6 45" xfId="13781" xr:uid="{B9234BAE-E00E-4887-BB3F-BE78913E3E04}"/>
    <cellStyle name="40% - Énfasis6 45 2" xfId="17721" xr:uid="{BAA2ADEC-5D43-4F33-85EE-8247E18EB3EA}"/>
    <cellStyle name="40% - Énfasis6 45_1.2.b" xfId="15989" xr:uid="{97ECB515-6574-48B8-9F63-64209CEEDC11}"/>
    <cellStyle name="40% - Énfasis6 46" xfId="13782" xr:uid="{46E99934-76BB-4182-B38A-CE737AA0E313}"/>
    <cellStyle name="40% - Énfasis6 46 2" xfId="17722" xr:uid="{EE4DDEA2-0BC0-4156-B392-33884FBF6696}"/>
    <cellStyle name="40% - Énfasis6 46_1.2.b" xfId="15990" xr:uid="{69F61857-2E5F-4D38-AAED-AD8703B30627}"/>
    <cellStyle name="40% - Énfasis6 47" xfId="13783" xr:uid="{0587ACF7-0A0E-4C23-ADF3-9E61812A2200}"/>
    <cellStyle name="40% - Énfasis6 47 2" xfId="17723" xr:uid="{4F9EACAB-20FD-4B44-AEC0-25C8FD844776}"/>
    <cellStyle name="40% - Énfasis6 47_1.2.b" xfId="15991" xr:uid="{5D3EDFE2-41F7-43C8-85C3-CD2305AD5725}"/>
    <cellStyle name="40% - Énfasis6 48" xfId="13784" xr:uid="{5B78BC31-DC98-4C4A-AC81-B2829585DCEA}"/>
    <cellStyle name="40% - Énfasis6 48 2" xfId="17724" xr:uid="{A4242FEA-2065-47E9-88A7-52996243AB3F}"/>
    <cellStyle name="40% - Énfasis6 48_1.2.b" xfId="15992" xr:uid="{B5335BF6-31A1-46F6-AB72-F1566BFC03CD}"/>
    <cellStyle name="40% - Énfasis6 49" xfId="13785" xr:uid="{8E9198FB-EC3D-49B8-ADE3-81E05334F482}"/>
    <cellStyle name="40% - Énfasis6 49 2" xfId="17725" xr:uid="{18914317-1181-4BBB-9511-91DC2F344341}"/>
    <cellStyle name="40% - Énfasis6 49_1.2.b" xfId="15993" xr:uid="{781FA713-4469-49FE-A59B-ED888B3DE51A}"/>
    <cellStyle name="40% - Énfasis6 5" xfId="200" xr:uid="{00000000-0005-0000-0000-000053010000}"/>
    <cellStyle name="40% - Énfasis6 5 2" xfId="10720" xr:uid="{00000000-0005-0000-0000-000054010000}"/>
    <cellStyle name="40% - Énfasis6 5 3" xfId="13786" xr:uid="{56E4650B-A0C6-49A1-B699-0230406745A6}"/>
    <cellStyle name="40% - Énfasis6 5 4" xfId="17726" xr:uid="{A5C6A9DF-2801-479C-A41C-76F322292C9B}"/>
    <cellStyle name="40% - Énfasis6 5_1.2.b" xfId="15994" xr:uid="{D4109349-CE51-45E5-BA85-D29223023F10}"/>
    <cellStyle name="40% - Énfasis6 50" xfId="13787" xr:uid="{6C317FB9-998D-4170-8AF5-03BF7C00A20F}"/>
    <cellStyle name="40% - Énfasis6 50 2" xfId="17727" xr:uid="{1E5C8CA6-7E91-4A63-93E1-D47CB740C2EE}"/>
    <cellStyle name="40% - Énfasis6 50_1.2.b" xfId="15995" xr:uid="{DD40E19E-2E09-41FB-AC79-09AFF5A472A7}"/>
    <cellStyle name="40% - Énfasis6 51" xfId="13788" xr:uid="{315A4B2A-CDE4-40D6-B9C4-09BB2CDA1746}"/>
    <cellStyle name="40% - Énfasis6 51 2" xfId="17728" xr:uid="{87F2240A-50DD-49D0-BB03-6758E0D9B9F0}"/>
    <cellStyle name="40% - Énfasis6 51_1.2.b" xfId="15996" xr:uid="{C5777691-5DDB-4593-A592-04AA51699197}"/>
    <cellStyle name="40% - Énfasis6 52" xfId="13789" xr:uid="{BD655C4C-DF65-4297-8106-69B82DAF8A51}"/>
    <cellStyle name="40% - Énfasis6 52 2" xfId="17729" xr:uid="{097044DF-0CAF-4A62-A534-149B9AB0A66F}"/>
    <cellStyle name="40% - Énfasis6 52_1.2.b" xfId="15997" xr:uid="{CF242E68-9248-46C3-8625-9421E8185759}"/>
    <cellStyle name="40% - Énfasis6 53" xfId="13790" xr:uid="{95AB047C-AE43-4D3D-873C-0B5AFD29EF77}"/>
    <cellStyle name="40% - Énfasis6 53 2" xfId="17730" xr:uid="{2D7FF7E5-C686-4895-A7E6-B9B331BA701A}"/>
    <cellStyle name="40% - Énfasis6 53_1.2.b" xfId="15998" xr:uid="{02333A92-7E69-4E8E-BFBA-D19756E3DAA7}"/>
    <cellStyle name="40% - Énfasis6 54" xfId="13791" xr:uid="{569E6CF8-93A0-44D3-AC73-B413C9890827}"/>
    <cellStyle name="40% - Énfasis6 54 2" xfId="17731" xr:uid="{0139169D-0258-4F1D-A689-451E788AA4AF}"/>
    <cellStyle name="40% - Énfasis6 54_1.2.b" xfId="15999" xr:uid="{B52C19CE-B3ED-438A-86AE-926554F94D09}"/>
    <cellStyle name="40% - Énfasis6 55" xfId="13792" xr:uid="{FE2EA5ED-83EE-4F89-A065-AB67A27A1970}"/>
    <cellStyle name="40% - Énfasis6 55 2" xfId="17732" xr:uid="{D8F57B03-A474-4A6B-9F1F-EF66B38A88C7}"/>
    <cellStyle name="40% - Énfasis6 55_1.2.b" xfId="16000" xr:uid="{A59B492E-FF94-4BA4-99B8-53CEF64FBD04}"/>
    <cellStyle name="40% - Énfasis6 56" xfId="13793" xr:uid="{9350B260-E711-4BD9-85A7-DEF491BA6C11}"/>
    <cellStyle name="40% - Énfasis6 56 2" xfId="17733" xr:uid="{34973512-01A1-486E-9AF7-B2A239BFD216}"/>
    <cellStyle name="40% - Énfasis6 56_1.2.b" xfId="16001" xr:uid="{86C22186-EBDC-4EE2-A400-792CD5653454}"/>
    <cellStyle name="40% - Énfasis6 57" xfId="13794" xr:uid="{ECD5BC99-5BEB-47FB-B835-28CA7D75AAB2}"/>
    <cellStyle name="40% - Énfasis6 57 2" xfId="17734" xr:uid="{C1B8A88C-5139-4DDA-9210-4E4D20F0FF44}"/>
    <cellStyle name="40% - Énfasis6 57_1.2.b" xfId="16002" xr:uid="{98306B9B-E26C-4C17-B54C-4448401215EF}"/>
    <cellStyle name="40% - Énfasis6 58" xfId="13795" xr:uid="{9497749B-BA16-46B9-BAC4-BBEFBCCF79C0}"/>
    <cellStyle name="40% - Énfasis6 58 2" xfId="17735" xr:uid="{6AC17213-7141-4210-967C-BC0121EC73DA}"/>
    <cellStyle name="40% - Énfasis6 58_1.2.b" xfId="16003" xr:uid="{6976BFBC-8F39-4A9D-9269-E29DF1035666}"/>
    <cellStyle name="40% - Énfasis6 59" xfId="13796" xr:uid="{3A5A95AB-124B-4D70-8851-43CCA5F2A2DC}"/>
    <cellStyle name="40% - Énfasis6 59 2" xfId="17736" xr:uid="{809A7859-4058-4325-9769-A1675A988D83}"/>
    <cellStyle name="40% - Énfasis6 59_1.2.b" xfId="16004" xr:uid="{76C151E8-F926-4FF2-B883-7C730E475460}"/>
    <cellStyle name="40% - Énfasis6 6" xfId="214" xr:uid="{00000000-0005-0000-0000-000055010000}"/>
    <cellStyle name="40% - Énfasis6 6 2" xfId="10734" xr:uid="{00000000-0005-0000-0000-000056010000}"/>
    <cellStyle name="40% - Énfasis6 6 3" xfId="13797" xr:uid="{1765F305-CADD-4C92-8B6E-B80DB9C93195}"/>
    <cellStyle name="40% - Énfasis6 6 4" xfId="17737" xr:uid="{9552EBEC-C143-4070-A704-386EB870CE84}"/>
    <cellStyle name="40% - Énfasis6 6_1.2.b" xfId="16005" xr:uid="{06345F90-FB18-44EF-8A06-5912341C735E}"/>
    <cellStyle name="40% - Énfasis6 60" xfId="13798" xr:uid="{3E388A59-9ABB-4683-A3E3-9926B9445050}"/>
    <cellStyle name="40% - Énfasis6 60 2" xfId="17738" xr:uid="{1EBD0CA6-56B7-4646-8442-8D780026798D}"/>
    <cellStyle name="40% - Énfasis6 60_1.2.b" xfId="16006" xr:uid="{BA91CB37-310A-40C4-A4D6-1A5FE2F6CDDB}"/>
    <cellStyle name="40% - Énfasis6 61" xfId="13799" xr:uid="{4F57CFFA-1A47-45A1-935C-C43D232EC7B5}"/>
    <cellStyle name="40% - Énfasis6 61 2" xfId="17739" xr:uid="{448AAF2C-461B-467F-A4C9-E6C2E2F63703}"/>
    <cellStyle name="40% - Énfasis6 61_1.2.b" xfId="16007" xr:uid="{75CAE6BD-D3BC-44ED-AA23-2F539CE9FD26}"/>
    <cellStyle name="40% - Énfasis6 62" xfId="13800" xr:uid="{8B692A01-278E-4C8E-916E-98A16DC7EB15}"/>
    <cellStyle name="40% - Énfasis6 62 2" xfId="17740" xr:uid="{3EF6B53D-0763-4D99-BC3C-E71477B5645C}"/>
    <cellStyle name="40% - Énfasis6 62_1.2.b" xfId="16008" xr:uid="{BF2D3EE0-B8D1-44BF-8981-C45CCD95C164}"/>
    <cellStyle name="40% - Énfasis6 63" xfId="13801" xr:uid="{3355EB20-CA29-44A0-A9D6-2902EB611664}"/>
    <cellStyle name="40% - Énfasis6 63 2" xfId="17741" xr:uid="{366D1C91-F31B-4169-855C-B8134D73FE5B}"/>
    <cellStyle name="40% - Énfasis6 63_1.2.b" xfId="16009" xr:uid="{9B127018-D866-481D-BDD8-30711CC922E9}"/>
    <cellStyle name="40% - Énfasis6 64" xfId="13802" xr:uid="{28C15956-1510-46A3-A83E-58E9863DC1B8}"/>
    <cellStyle name="40% - Énfasis6 64 2" xfId="17742" xr:uid="{31066DFC-BE67-4FAC-B11F-B9BC0575AB39}"/>
    <cellStyle name="40% - Énfasis6 64_1.2.b" xfId="16010" xr:uid="{417A858A-0292-4665-BA06-6BB1E6A8B2F7}"/>
    <cellStyle name="40% - Énfasis6 65" xfId="13803" xr:uid="{E6010AE6-3D8D-432E-A735-A4FB83ECCDD3}"/>
    <cellStyle name="40% - Énfasis6 65 2" xfId="17743" xr:uid="{5A57AE64-08BD-4367-8B81-E512634CC3AD}"/>
    <cellStyle name="40% - Énfasis6 65_1.2.b" xfId="16011" xr:uid="{2F721A99-979D-4D82-9FF7-1A58AF1B0F53}"/>
    <cellStyle name="40% - Énfasis6 66" xfId="13804" xr:uid="{571B902E-861B-4680-B6DD-E981B3219D0C}"/>
    <cellStyle name="40% - Énfasis6 66 2" xfId="17744" xr:uid="{D2F14707-0FCE-4CFF-9965-6700AD3875E7}"/>
    <cellStyle name="40% - Énfasis6 66_1.2.b" xfId="16012" xr:uid="{07A2B35C-3DC8-48AB-96A3-8A0A0B3D94F3}"/>
    <cellStyle name="40% - Énfasis6 67" xfId="13805" xr:uid="{383F49F2-9224-46C9-B708-B0CBA1D94382}"/>
    <cellStyle name="40% - Énfasis6 67 2" xfId="17745" xr:uid="{97405802-8E2C-4E20-B3D9-83AB9CBDF6A8}"/>
    <cellStyle name="40% - Énfasis6 67_1.2.b" xfId="16013" xr:uid="{2049CA2A-1098-44C1-B1F3-2A0E9E010B0E}"/>
    <cellStyle name="40% - Énfasis6 68" xfId="13806" xr:uid="{2797174B-0D15-4777-AB1F-F91E0B56FC2A}"/>
    <cellStyle name="40% - Énfasis6 68 2" xfId="17746" xr:uid="{F3AD077E-B069-415E-8A71-9E774E41CF6B}"/>
    <cellStyle name="40% - Énfasis6 68_1.2.b" xfId="16014" xr:uid="{ACA1E65F-DAE1-4225-B4E1-BE94D22AC4C8}"/>
    <cellStyle name="40% - Énfasis6 69" xfId="13807" xr:uid="{04B37568-7668-4055-A3E0-A0F8324171F3}"/>
    <cellStyle name="40% - Énfasis6 69 2" xfId="17747" xr:uid="{CCFEDDDF-1B9D-464D-80E2-47B0196DF055}"/>
    <cellStyle name="40% - Énfasis6 69_1.2.b" xfId="16015" xr:uid="{A07F2129-7419-482F-9767-EDAEDAB270B5}"/>
    <cellStyle name="40% - Énfasis6 7" xfId="9838" xr:uid="{00000000-0005-0000-0000-000057010000}"/>
    <cellStyle name="40% - Énfasis6 7 2" xfId="11624" xr:uid="{00000000-0005-0000-0000-000058010000}"/>
    <cellStyle name="40% - Énfasis6 7 3" xfId="13808" xr:uid="{AF9C55CB-4C51-4B23-B7F4-89FC1C5BDAB1}"/>
    <cellStyle name="40% - Énfasis6 7 4" xfId="17748" xr:uid="{7A2C5551-016F-4F53-B037-8CB707DE30FC}"/>
    <cellStyle name="40% - Énfasis6 7_1.2.b" xfId="16016" xr:uid="{0DFD5085-0A49-430C-9501-F84194E2276B}"/>
    <cellStyle name="40% - Énfasis6 70" xfId="13809" xr:uid="{A9308B8E-A221-405B-8B10-29F6EE8BC3E1}"/>
    <cellStyle name="40% - Énfasis6 70 2" xfId="17749" xr:uid="{CBE3A9B7-4051-4E39-8EBD-2EB89CB579BB}"/>
    <cellStyle name="40% - Énfasis6 70_1.2.b" xfId="16017" xr:uid="{6858FC0D-7C9B-41FE-9E06-8BF9147CDA02}"/>
    <cellStyle name="40% - Énfasis6 71" xfId="13810" xr:uid="{901BDA14-FA51-406A-BF11-FCCAEE6F3D15}"/>
    <cellStyle name="40% - Énfasis6 71 2" xfId="17750" xr:uid="{367AA472-F09A-4BC3-9E8D-E162C401D0A6}"/>
    <cellStyle name="40% - Énfasis6 71_1.2.b" xfId="16018" xr:uid="{15474DA3-5BD3-4FCA-A027-3F28BA141CA4}"/>
    <cellStyle name="40% - Énfasis6 72" xfId="13811" xr:uid="{E24FBAE8-D8B5-4153-9426-83DC3F4254CD}"/>
    <cellStyle name="40% - Énfasis6 72 2" xfId="17751" xr:uid="{083EED48-5BBF-41DE-A2B2-3B5E8918FBF1}"/>
    <cellStyle name="40% - Énfasis6 72_1.2.b" xfId="16019" xr:uid="{BD9C64AA-4269-4B45-BCBE-B01841D9D34B}"/>
    <cellStyle name="40% - Énfasis6 73" xfId="13812" xr:uid="{3242C71D-8C1C-4560-838B-25C27183C8FE}"/>
    <cellStyle name="40% - Énfasis6 73 2" xfId="17752" xr:uid="{0A80451E-0EBF-45C1-B0A1-F0396FD046DC}"/>
    <cellStyle name="40% - Énfasis6 73_1.2.b" xfId="16020" xr:uid="{4378C6A5-B6C9-4416-8B49-E5970CB4C6F6}"/>
    <cellStyle name="40% - Énfasis6 74" xfId="13813" xr:uid="{208280B5-453A-4C1B-AAB2-6FFBFAD549A6}"/>
    <cellStyle name="40% - Énfasis6 74 2" xfId="17753" xr:uid="{A1729D2C-9A66-4C92-93C5-F0C3DC0EE6BF}"/>
    <cellStyle name="40% - Énfasis6 74_1.2.b" xfId="16021" xr:uid="{39670288-BAE8-41B8-8FCE-3A5E6B78A4DA}"/>
    <cellStyle name="40% - Énfasis6 75" xfId="13814" xr:uid="{E8403739-6DAA-4494-B235-7AE783889BA5}"/>
    <cellStyle name="40% - Énfasis6 75 2" xfId="17754" xr:uid="{C588577F-B1E2-42FB-A2E5-C44BA4DDA2F0}"/>
    <cellStyle name="40% - Énfasis6 75_1.2.b" xfId="16022" xr:uid="{9604F990-8170-4547-B2AA-FA7C23A59FFB}"/>
    <cellStyle name="40% - Énfasis6 76" xfId="13815" xr:uid="{7FEDD5F6-5346-4392-AFEB-4600DB83A41A}"/>
    <cellStyle name="40% - Énfasis6 76 2" xfId="17755" xr:uid="{9F5175D1-030E-4234-A03E-DD26EB93220F}"/>
    <cellStyle name="40% - Énfasis6 76_1.2.b" xfId="16023" xr:uid="{CBBB1AE4-653D-4D98-82C0-2F1C2208778C}"/>
    <cellStyle name="40% - Énfasis6 77" xfId="13816" xr:uid="{CD2BC3BD-45A8-47A8-9597-2335BDA4774C}"/>
    <cellStyle name="40% - Énfasis6 77 2" xfId="17756" xr:uid="{A2AF0FF0-0FA8-4AFC-BBEE-3DBDBA23DC56}"/>
    <cellStyle name="40% - Énfasis6 77_1.2.b" xfId="16024" xr:uid="{B8F10A63-CF09-4B45-8223-C66F1D9C57AB}"/>
    <cellStyle name="40% - Énfasis6 78" xfId="13817" xr:uid="{40AD6584-5CCC-46AB-88E7-4BDE5A7F5C4E}"/>
    <cellStyle name="40% - Énfasis6 78 2" xfId="17757" xr:uid="{AE09E641-7552-4977-A188-6514C043CDB8}"/>
    <cellStyle name="40% - Énfasis6 78_1.2.b" xfId="16025" xr:uid="{54036044-E44F-449D-B197-AC3F74EEFE5C}"/>
    <cellStyle name="40% - Énfasis6 79" xfId="13818" xr:uid="{98D9B6D0-1DA3-4CF5-919E-BF3D2CB429EF}"/>
    <cellStyle name="40% - Énfasis6 79 2" xfId="17758" xr:uid="{22D8C580-EF86-4E9B-8D8A-B87B5A75D312}"/>
    <cellStyle name="40% - Énfasis6 79_1.2.b" xfId="16026" xr:uid="{279B90DD-5CBE-4538-87E0-94056E31A44B}"/>
    <cellStyle name="40% - Énfasis6 8" xfId="9857" xr:uid="{00000000-0005-0000-0000-000059010000}"/>
    <cellStyle name="40% - Énfasis6 8 2" xfId="11642" xr:uid="{00000000-0005-0000-0000-00005A010000}"/>
    <cellStyle name="40% - Énfasis6 8 3" xfId="13819" xr:uid="{F8158DCF-0D26-4F3D-AF8C-086C5FA8EDEE}"/>
    <cellStyle name="40% - Énfasis6 8 4" xfId="17759" xr:uid="{4CE13114-E5C0-4496-8E67-78FF6FA236F8}"/>
    <cellStyle name="40% - Énfasis6 8_1.2.b" xfId="16027" xr:uid="{3D4A0B47-9C8F-482B-97B7-0514614EE98C}"/>
    <cellStyle name="40% - Énfasis6 80" xfId="13820" xr:uid="{55A4579F-CA4D-438C-A91A-E29690A8D808}"/>
    <cellStyle name="40% - Énfasis6 80 2" xfId="17760" xr:uid="{4808ADA5-B279-4F3E-8289-4A164898E346}"/>
    <cellStyle name="40% - Énfasis6 80_1.2.b" xfId="16028" xr:uid="{0A75C448-8580-497A-9598-9932F283DEFD}"/>
    <cellStyle name="40% - Énfasis6 81" xfId="13821" xr:uid="{8199E7F7-3E30-440B-8E1E-3ADE4383FA38}"/>
    <cellStyle name="40% - Énfasis6 81 2" xfId="17761" xr:uid="{F3641778-0A52-476F-8BA2-8A259CBA8E74}"/>
    <cellStyle name="40% - Énfasis6 81_1.2.b" xfId="16029" xr:uid="{F2B38751-C9C6-45E5-BB7C-C362B7AE5A37}"/>
    <cellStyle name="40% - Énfasis6 82" xfId="13822" xr:uid="{210FF6A4-F221-4907-B456-E6D07012B108}"/>
    <cellStyle name="40% - Énfasis6 82 2" xfId="17762" xr:uid="{EAFBD9BB-7DE8-4C0A-BFB4-2A7FC3872707}"/>
    <cellStyle name="40% - Énfasis6 82_1.2.b" xfId="16030" xr:uid="{CD82E77E-198B-4986-93C6-A5C76604CEA2}"/>
    <cellStyle name="40% - Énfasis6 83" xfId="13823" xr:uid="{7B02C5FF-55F2-46E3-B47A-C649273DA52D}"/>
    <cellStyle name="40% - Énfasis6 83 2" xfId="17763" xr:uid="{CF37D575-A0A8-4F7B-B0F8-554152DA1BB3}"/>
    <cellStyle name="40% - Énfasis6 83_1.2.b" xfId="16031" xr:uid="{CD3BCE1B-5613-4124-97AD-9C212FA17B56}"/>
    <cellStyle name="40% - Énfasis6 84" xfId="13824" xr:uid="{6F8CA7D7-EC18-4687-A838-DB7FFB451815}"/>
    <cellStyle name="40% - Énfasis6 84 2" xfId="17764" xr:uid="{92D55AFD-B734-4357-A319-1FF0CF76E454}"/>
    <cellStyle name="40% - Énfasis6 84_1.2.b" xfId="16032" xr:uid="{B01C77F2-E9D2-46C2-BBA3-1B95D47AE25B}"/>
    <cellStyle name="40% - Énfasis6 85" xfId="13825" xr:uid="{519BE526-121B-4634-A2BD-25AC174712A1}"/>
    <cellStyle name="40% - Énfasis6 85 2" xfId="17765" xr:uid="{63375DCE-820A-46D4-8462-89DE2DA7B2E6}"/>
    <cellStyle name="40% - Énfasis6 85_1.2.b" xfId="16033" xr:uid="{8DB1EC4D-258C-4D29-B1F6-8643AD64B116}"/>
    <cellStyle name="40% - Énfasis6 86" xfId="13826" xr:uid="{70952CD0-B86A-404C-9A99-7FB185A21B6B}"/>
    <cellStyle name="40% - Énfasis6 86 2" xfId="17766" xr:uid="{58A408D9-AA52-43FB-B816-28D94F4548C3}"/>
    <cellStyle name="40% - Énfasis6 86_1.2.b" xfId="16034" xr:uid="{E473F093-9E9A-4CBD-94C5-1D81F0E2A54E}"/>
    <cellStyle name="40% - Énfasis6 87" xfId="13827" xr:uid="{A4473E34-D8E3-415D-92B0-24BF9E694B16}"/>
    <cellStyle name="40% - Énfasis6 87 2" xfId="17767" xr:uid="{DCD788BA-0407-4D1F-BB55-D795B2A0EC47}"/>
    <cellStyle name="40% - Énfasis6 87_1.2.b" xfId="16035" xr:uid="{97BA7105-C89C-4BD7-811C-65B3AF993B9E}"/>
    <cellStyle name="40% - Énfasis6 88" xfId="13828" xr:uid="{29DE92CC-5197-4D45-8B77-A1E20BD9A063}"/>
    <cellStyle name="40% - Énfasis6 88 2" xfId="17768" xr:uid="{EA2C2A49-55EB-421F-9411-24A7AB2935B2}"/>
    <cellStyle name="40% - Énfasis6 88_1.2.b" xfId="16036" xr:uid="{3B575243-0D5D-415E-AF4B-573A3669FC91}"/>
    <cellStyle name="40% - Énfasis6 89" xfId="13829" xr:uid="{1B83E0EB-EC79-4E70-B975-DA19F9B98FF2}"/>
    <cellStyle name="40% - Énfasis6 89 2" xfId="17769" xr:uid="{BEFA788D-4E13-4D1C-9ADA-11BBE8423B81}"/>
    <cellStyle name="40% - Énfasis6 89_1.2.b" xfId="16037" xr:uid="{61E08426-CE5F-4312-B707-19C36863CE78}"/>
    <cellStyle name="40% - Énfasis6 9" xfId="9876" xr:uid="{00000000-0005-0000-0000-00005B010000}"/>
    <cellStyle name="40% - Énfasis6 9 2" xfId="13830" xr:uid="{784B19B9-5842-4C21-8257-C1776C2AF32A}"/>
    <cellStyle name="40% - Énfasis6 9 3" xfId="17770" xr:uid="{FA13BABC-B472-4B10-8AF7-0AC9A25C5E58}"/>
    <cellStyle name="40% - Énfasis6 9_1.2.b" xfId="16038" xr:uid="{64BB4852-7580-42A3-BD08-B0AE778A533E}"/>
    <cellStyle name="40% - Énfasis6 90" xfId="13831" xr:uid="{4A7B722D-FFA9-4BF4-AB3D-D023C887FD78}"/>
    <cellStyle name="40% - Énfasis6 90 2" xfId="17771" xr:uid="{B5E426E0-9F6E-4CEB-9C7E-CFA71C27EDDC}"/>
    <cellStyle name="40% - Énfasis6 90_1.2.b" xfId="16039" xr:uid="{0B91829B-5133-4F92-A61C-2AA8622031FC}"/>
    <cellStyle name="40% - Énfasis6 91" xfId="13832" xr:uid="{FA8ACD4E-2394-4AAC-9152-91176D9951A3}"/>
    <cellStyle name="40% - Énfasis6 91 2" xfId="17772" xr:uid="{F1E43245-A955-4EB3-A112-5CF6A6CCCB55}"/>
    <cellStyle name="40% - Énfasis6 91_1.2.b" xfId="16040" xr:uid="{89F63801-1069-4315-9955-DEC79547551C}"/>
    <cellStyle name="40% - Énfasis6 92" xfId="13833" xr:uid="{A740963A-A660-4F18-A2C0-1CEE8E394285}"/>
    <cellStyle name="40% - Énfasis6 92 2" xfId="17773" xr:uid="{D2C22DEF-DF1F-466F-9350-C66E6AFE5F33}"/>
    <cellStyle name="40% - Énfasis6 92_1.2.b" xfId="16041" xr:uid="{41CCE05D-6205-472D-847D-C01D1C09A455}"/>
    <cellStyle name="40% - Énfasis6 93" xfId="13834" xr:uid="{C9505A07-AA51-44C2-BB37-0FADE508FBFE}"/>
    <cellStyle name="40% - Énfasis6 93 2" xfId="17774" xr:uid="{A6344069-DC8F-4CB1-BCAC-EA7E4EEB1AE0}"/>
    <cellStyle name="40% - Énfasis6 93_1.2.b" xfId="16042" xr:uid="{FA9D0012-1F90-4D0C-8B3C-0F4EE6310F17}"/>
    <cellStyle name="40% - Énfasis6 94" xfId="13835" xr:uid="{4AFE5998-E078-462A-98CB-40664F0BD744}"/>
    <cellStyle name="40% - Énfasis6 94 2" xfId="17775" xr:uid="{521CEB66-A9B5-4891-9F82-0013C5423A99}"/>
    <cellStyle name="40% - Énfasis6 94_1.2.b" xfId="16043" xr:uid="{E287F228-A543-4AC0-89F5-66C15C81B6F1}"/>
    <cellStyle name="40% - Énfasis6 95" xfId="13836" xr:uid="{D74FC1F8-4FB1-406B-857A-6175B269DAF1}"/>
    <cellStyle name="40% - Énfasis6 95 2" xfId="17776" xr:uid="{57A14D2B-5C3C-45BD-80CC-1A0AE2EAD692}"/>
    <cellStyle name="40% - Énfasis6 95_1.2.b" xfId="16044" xr:uid="{7BB7D3EF-E958-4951-8752-3F906B7F497D}"/>
    <cellStyle name="40% - Énfasis6 96" xfId="13837" xr:uid="{E1D7A8E2-8E04-4ED2-9E30-52BA73BEBAE6}"/>
    <cellStyle name="40% - Énfasis6 96 2" xfId="17777" xr:uid="{8FAD0843-DFA4-42D4-90C6-2502D9E89808}"/>
    <cellStyle name="40% - Énfasis6 96_1.2.b" xfId="16045" xr:uid="{C3DE3137-2FC5-4E59-8AE8-754F2B59CFBD}"/>
    <cellStyle name="60% - Accent1" xfId="41" xr:uid="{23FD7807-D3D0-4E6C-AB3D-D6035AA45B03}"/>
    <cellStyle name="60% - Accent2" xfId="45" xr:uid="{93EC51E8-4F48-4411-B1D9-D07EF95D6124}"/>
    <cellStyle name="60% - Accent3" xfId="49" xr:uid="{DC3391A3-FDA3-4EC5-822A-5C80F65D8817}"/>
    <cellStyle name="60% - Accent4" xfId="53" xr:uid="{5C7F3D00-A700-40A8-A9C3-D202CE6BE51D}"/>
    <cellStyle name="60% - Accent5" xfId="57" xr:uid="{2679593B-A18B-41BF-9877-6745CCFC705E}"/>
    <cellStyle name="60% - Accent6" xfId="61" xr:uid="{9A329A58-99C7-449D-A50E-814010C7559C}"/>
    <cellStyle name="60% - Énfasis1 2" xfId="9877" xr:uid="{00000000-0005-0000-0000-00005D010000}"/>
    <cellStyle name="60% - Énfasis1 2 2" xfId="13838" xr:uid="{F3C0EE71-286C-41AE-84D1-1AB377205023}"/>
    <cellStyle name="60% - Énfasis1 2 2 2" xfId="13839" xr:uid="{1B6E6C68-C41B-41C6-B09C-50D628BBCEEE}"/>
    <cellStyle name="60% - Énfasis1 2 2 3" xfId="13840" xr:uid="{9017044F-F3BA-4B14-9931-88F1956320FB}"/>
    <cellStyle name="60% - Énfasis1 2 2 4" xfId="13841" xr:uid="{D9421696-99A4-47FA-98FD-299BB2AE90B6}"/>
    <cellStyle name="60% - Énfasis1 2 3" xfId="13842" xr:uid="{A645C82E-5949-4213-8AD8-933CC7B6ABF5}"/>
    <cellStyle name="60% - Énfasis1 2 4" xfId="13843" xr:uid="{004293A6-A2C7-4F68-BEE5-E3BE5E15CF31}"/>
    <cellStyle name="60% - Énfasis1 2 5" xfId="13844" xr:uid="{CEF3D93D-34EF-478A-94AE-4D02904E3849}"/>
    <cellStyle name="60% - Énfasis1 2 6" xfId="13845" xr:uid="{1C26D88B-8F44-4F16-A6EB-E8FA6ECB6B21}"/>
    <cellStyle name="60% - Énfasis1 2 7" xfId="13846" xr:uid="{245699FA-20E3-4226-B59C-C0C7499E2928}"/>
    <cellStyle name="60% - Énfasis1 2 8" xfId="13847" xr:uid="{09B87397-8323-4F5D-8682-F57BDFD13BB0}"/>
    <cellStyle name="60% - Énfasis1 3" xfId="10637" xr:uid="{00000000-0005-0000-0000-00005E010000}"/>
    <cellStyle name="60% - Énfasis1 3 2" xfId="13848" xr:uid="{D99344D8-DF5D-4016-AE6E-315E32A8BD8B}"/>
    <cellStyle name="60% - Énfasis1 3 3" xfId="13849" xr:uid="{A8F16188-8E01-41B3-91E9-BA94831281AD}"/>
    <cellStyle name="60% - Énfasis1 3_1.2.b" xfId="16046" xr:uid="{2CFE726E-6906-4816-839F-8F2494BBA8ED}"/>
    <cellStyle name="60% - Énfasis1 4" xfId="13850" xr:uid="{CFC2D90F-BC22-4678-80FA-1C0F3341A56A}"/>
    <cellStyle name="60% - Énfasis1 4 2" xfId="13851" xr:uid="{047A925D-041F-4C16-8247-3D65AC685532}"/>
    <cellStyle name="60% - Énfasis1 4 3" xfId="17778" xr:uid="{DE196A4A-ABDB-4FB8-BD1F-82B170090F1B}"/>
    <cellStyle name="60% - Énfasis1 4 4" xfId="18194" xr:uid="{9D8B5B30-2849-4F8F-B288-AC19171EEE02}"/>
    <cellStyle name="60% - Énfasis1 4 5" xfId="18161" xr:uid="{5F81A026-5232-4757-9519-B0B920B89124}"/>
    <cellStyle name="60% - Énfasis1 4 6" xfId="18195" xr:uid="{9435BEA1-04BC-4526-B10F-373D5907E8DC}"/>
    <cellStyle name="60% - Énfasis1 4 7" xfId="18163" xr:uid="{89C67B5C-6C72-410D-9168-A8BD9663B46B}"/>
    <cellStyle name="60% - Énfasis1 4_1.2.b" xfId="16047" xr:uid="{CF2AB810-AAFF-482F-904F-51D9BB8B2B34}"/>
    <cellStyle name="60% - Énfasis1 5" xfId="13852" xr:uid="{DB556841-F019-417E-8240-1B19CA1667B8}"/>
    <cellStyle name="60% - Énfasis1 6" xfId="13853" xr:uid="{D3520BF0-23FB-47A8-B97E-3D566EFA6DF3}"/>
    <cellStyle name="60% - Énfasis2 2" xfId="9878" xr:uid="{00000000-0005-0000-0000-000060010000}"/>
    <cellStyle name="60% - Énfasis2 2 2" xfId="13854" xr:uid="{9CC362FD-53E6-46F2-AF45-1487525E9A20}"/>
    <cellStyle name="60% - Énfasis2 2 2 2" xfId="13855" xr:uid="{6E377575-449F-4F7A-9822-CB28A2EEB738}"/>
    <cellStyle name="60% - Énfasis2 2 2 3" xfId="13856" xr:uid="{FF05C1D3-C40C-495A-B03C-F64A165C5905}"/>
    <cellStyle name="60% - Énfasis2 2 2 4" xfId="13857" xr:uid="{59953E16-D13B-4902-9044-0479BF133821}"/>
    <cellStyle name="60% - Énfasis2 2 3" xfId="13858" xr:uid="{729A5034-578F-4AE7-A845-6977AB17440C}"/>
    <cellStyle name="60% - Énfasis2 2 4" xfId="13859" xr:uid="{98A333FF-AC16-4870-BE81-C1A2C0891DDA}"/>
    <cellStyle name="60% - Énfasis2 2 5" xfId="13860" xr:uid="{FF663058-0DF8-4455-B1F9-91524333E5AB}"/>
    <cellStyle name="60% - Énfasis2 2 6" xfId="13861" xr:uid="{DB3AC5E2-BABF-4661-81C5-EC2D3949EEC5}"/>
    <cellStyle name="60% - Énfasis2 2 7" xfId="13862" xr:uid="{78B54320-30D5-4D3D-9AF8-84F1CEC523C6}"/>
    <cellStyle name="60% - Énfasis2 2 8" xfId="13863" xr:uid="{5A6700E1-315E-433B-A49C-C4455DE3C2C1}"/>
    <cellStyle name="60% - Énfasis2 3" xfId="10638" xr:uid="{00000000-0005-0000-0000-000061010000}"/>
    <cellStyle name="60% - Énfasis2 3 2" xfId="13864" xr:uid="{2A9DA750-29F0-4410-9EE3-9B8931874B4C}"/>
    <cellStyle name="60% - Énfasis2 3 3" xfId="13865" xr:uid="{B45E21B1-609D-4C02-8809-60F1CF44A2E3}"/>
    <cellStyle name="60% - Énfasis2 3_1.2.b" xfId="16048" xr:uid="{03F8CD97-FCA7-4C0D-AAD7-A9EFB23824F0}"/>
    <cellStyle name="60% - Énfasis2 4" xfId="13866" xr:uid="{222ED6DB-1F9D-4FAB-9855-E5C610BF96D9}"/>
    <cellStyle name="60% - Énfasis2 4 2" xfId="13867" xr:uid="{BF3B51F9-3D85-4186-9498-1E42C508F260}"/>
    <cellStyle name="60% - Énfasis2 4 3" xfId="17779" xr:uid="{5CC7611D-C98A-4A5F-BB80-9F1F67C91F3C}"/>
    <cellStyle name="60% - Énfasis2 4 4" xfId="18196" xr:uid="{3FEDFB30-A7F5-488E-B306-055C5B22B91F}"/>
    <cellStyle name="60% - Énfasis2 4 5" xfId="18159" xr:uid="{0A333110-4EE8-428A-8703-6BBD6E7D0D63}"/>
    <cellStyle name="60% - Énfasis2 4 6" xfId="18198" xr:uid="{F66DFAA1-CAC8-44C4-8996-8B063C338645}"/>
    <cellStyle name="60% - Énfasis2 4 7" xfId="18160" xr:uid="{49659003-94CA-4D86-8437-73BD4DAB619A}"/>
    <cellStyle name="60% - Énfasis2 4_1.2.b" xfId="16049" xr:uid="{63C35463-B999-49F3-A914-D393B9CCCC20}"/>
    <cellStyle name="60% - Énfasis2 5" xfId="13868" xr:uid="{7FC7B505-58DD-47AF-861A-D3B9C96A6456}"/>
    <cellStyle name="60% - Énfasis2 6" xfId="13869" xr:uid="{6AFF3B8C-C06F-4150-81DF-E13CE629E938}"/>
    <cellStyle name="60% - Énfasis3 10" xfId="13870" xr:uid="{13A82A54-627D-4B06-A127-978637BE0969}"/>
    <cellStyle name="60% - Énfasis3 2" xfId="9879" xr:uid="{00000000-0005-0000-0000-000063010000}"/>
    <cellStyle name="60% - Énfasis3 2 2" xfId="13871" xr:uid="{F5E9E46B-CAD1-4B40-B8D0-94EC0AEB2286}"/>
    <cellStyle name="60% - Énfasis3 2 2 2" xfId="13872" xr:uid="{2C74DD3D-2707-41F5-895D-55E7DB8500A8}"/>
    <cellStyle name="60% - Énfasis3 2 2 3" xfId="13873" xr:uid="{8D4EADC6-F1F1-4718-876A-A159B942FF44}"/>
    <cellStyle name="60% - Énfasis3 2 2 4" xfId="13874" xr:uid="{C413C0CB-2591-4434-AFF9-9AEF90318676}"/>
    <cellStyle name="60% - Énfasis3 2 2 5" xfId="13875" xr:uid="{0F2935E6-B60C-4438-8F9F-CF2925E81117}"/>
    <cellStyle name="60% - Énfasis3 2 2_1.2.b" xfId="16050" xr:uid="{658EE476-D40B-4555-868C-6172D744D7FC}"/>
    <cellStyle name="60% - Énfasis3 2 3" xfId="13876" xr:uid="{2B843F49-7AFF-46E6-8F06-6164A2C13241}"/>
    <cellStyle name="60% - Énfasis3 2 4" xfId="13877" xr:uid="{53009352-033F-42DC-9508-E253F1CAFD09}"/>
    <cellStyle name="60% - Énfasis3 2 5" xfId="13878" xr:uid="{B54AEBFE-FA07-4CC4-97BD-3D249CEB8E47}"/>
    <cellStyle name="60% - Énfasis3 2 6" xfId="13879" xr:uid="{7A754C0B-CB5B-49DF-B603-0E68E0C00F8D}"/>
    <cellStyle name="60% - Énfasis3 2 7" xfId="13880" xr:uid="{498937E5-3BB8-479C-93CC-89F0C609C85A}"/>
    <cellStyle name="60% - Énfasis3 2 8" xfId="13881" xr:uid="{BEA0CB87-E5B1-4D06-B3D9-DF943BFD3A4D}"/>
    <cellStyle name="60% - Énfasis3 3" xfId="10639" xr:uid="{00000000-0005-0000-0000-000064010000}"/>
    <cellStyle name="60% - Énfasis3 3 2" xfId="13882" xr:uid="{FBDB88BE-96A6-41FE-B6C5-508F173E3ECB}"/>
    <cellStyle name="60% - Énfasis3 3 3" xfId="13883" xr:uid="{431C30F6-14D2-45C1-A7FD-1D3ED265CA16}"/>
    <cellStyle name="60% - Énfasis3 3_1.2.b" xfId="16051" xr:uid="{D1D91477-8F1D-42FC-8D93-AE70DC8BD4F9}"/>
    <cellStyle name="60% - Énfasis3 4" xfId="13884" xr:uid="{2B98885B-9178-47EA-AAE2-E66D514AB983}"/>
    <cellStyle name="60% - Énfasis3 4 2" xfId="13885" xr:uid="{726F7CFE-DCE2-4029-81F3-7BE87FD4D89D}"/>
    <cellStyle name="60% - Énfasis3 4 2 2" xfId="13886" xr:uid="{26E5ED89-E69E-4180-9D30-6D4CF69686E5}"/>
    <cellStyle name="60% - Énfasis3 4 2_1.2.b" xfId="16053" xr:uid="{D4BF0C43-1045-4D25-AB21-D256BE1C51B0}"/>
    <cellStyle name="60% - Énfasis3 4 3" xfId="13887" xr:uid="{C3F02004-92F0-4B9D-8595-753D0A6FE548}"/>
    <cellStyle name="60% - Énfasis3 4_1.2.b" xfId="16052" xr:uid="{9B6454B6-1BDD-40E8-9C7F-D350E14F1116}"/>
    <cellStyle name="60% - Énfasis3 5" xfId="13888" xr:uid="{4F9921A9-CF60-4D58-B526-BF18B0B6A7D1}"/>
    <cellStyle name="60% - Énfasis3 6" xfId="13889" xr:uid="{A5AF5845-6271-4838-8949-D6AE505D62B4}"/>
    <cellStyle name="60% - Énfasis3 6 2" xfId="13890" xr:uid="{BA1C2F19-7776-4B6D-A66B-EEA0D097EEE3}"/>
    <cellStyle name="60% - Énfasis3 6 3" xfId="17781" xr:uid="{4C6F17C6-6374-4D71-89BE-16804D08985A}"/>
    <cellStyle name="60% - Énfasis3 6 4" xfId="18199" xr:uid="{91299096-9136-46E9-B454-7CA6E84ECB3A}"/>
    <cellStyle name="60% - Énfasis3 6 5" xfId="18157" xr:uid="{37ED11E5-0B48-40C8-9082-B250C871E569}"/>
    <cellStyle name="60% - Énfasis3 6 6" xfId="18200" xr:uid="{5A7365E3-0FA8-4499-8090-2B5BFB10B1F9}"/>
    <cellStyle name="60% - Énfasis3 6 7" xfId="18158" xr:uid="{CE9B96DA-C09E-435A-A60B-2FDAB425F7AE}"/>
    <cellStyle name="60% - Énfasis3 6_1.2.b" xfId="16054" xr:uid="{8120BE57-164F-40A5-A60E-45388E06D870}"/>
    <cellStyle name="60% - Énfasis3 7" xfId="13891" xr:uid="{1293EAFD-E62B-466B-82C6-8A9AB92BF645}"/>
    <cellStyle name="60% - Énfasis3 8" xfId="13892" xr:uid="{86E03DFC-4FB4-4BDB-9395-45883AE7BA8E}"/>
    <cellStyle name="60% - Énfasis3 9" xfId="13893" xr:uid="{2166BEEB-73AF-430E-A389-E9B0E4FE4B44}"/>
    <cellStyle name="60% - Énfasis4 10" xfId="13894" xr:uid="{6B941456-3E00-4211-8B83-A089FF48BCC0}"/>
    <cellStyle name="60% - Énfasis4 2" xfId="9880" xr:uid="{00000000-0005-0000-0000-000066010000}"/>
    <cellStyle name="60% - Énfasis4 2 2" xfId="13895" xr:uid="{B8B23E2D-6DDC-4A72-B549-5256281BB187}"/>
    <cellStyle name="60% - Énfasis4 2 2 2" xfId="13896" xr:uid="{6A5BC623-A38A-4CB6-92D1-07DE3154DBA4}"/>
    <cellStyle name="60% - Énfasis4 2 2 3" xfId="13897" xr:uid="{CEA5C397-5DED-465F-ABBE-C6944C96FC8D}"/>
    <cellStyle name="60% - Énfasis4 2 2 4" xfId="13898" xr:uid="{A226CDC5-AE48-4D50-BBF9-FFC534FF37BD}"/>
    <cellStyle name="60% - Énfasis4 2 2 5" xfId="13899" xr:uid="{6793815B-5C56-44F4-B729-14D3B025A86A}"/>
    <cellStyle name="60% - Énfasis4 2 2_1.2.b" xfId="16055" xr:uid="{A4D4BB4C-1CA5-44C1-9EBF-3F1432DEA4CC}"/>
    <cellStyle name="60% - Énfasis4 2 3" xfId="13900" xr:uid="{0F107D6D-AA9A-4749-823B-4109AD39769B}"/>
    <cellStyle name="60% - Énfasis4 2 4" xfId="13901" xr:uid="{4FEF9F9B-C920-484E-85C5-87AFF00CF901}"/>
    <cellStyle name="60% - Énfasis4 2 5" xfId="13902" xr:uid="{EE799C67-96DF-4AAF-907C-3924539E08C1}"/>
    <cellStyle name="60% - Énfasis4 2 6" xfId="13903" xr:uid="{D8130E8B-4514-4D6F-A5CB-289C1B4C500C}"/>
    <cellStyle name="60% - Énfasis4 2 7" xfId="13904" xr:uid="{02D5AB2A-E035-4787-8819-C76EDFAEEFB6}"/>
    <cellStyle name="60% - Énfasis4 2 8" xfId="13905" xr:uid="{796DF018-BD24-4B49-82E1-9A1012C07D8A}"/>
    <cellStyle name="60% - Énfasis4 3" xfId="10640" xr:uid="{00000000-0005-0000-0000-000067010000}"/>
    <cellStyle name="60% - Énfasis4 3 2" xfId="13906" xr:uid="{77B9EC3E-268F-42CC-9013-E2459BE6767A}"/>
    <cellStyle name="60% - Énfasis4 3 3" xfId="13907" xr:uid="{6FF92267-CCF2-41E6-A624-599F20D747C4}"/>
    <cellStyle name="60% - Énfasis4 3_1.2.b" xfId="16056" xr:uid="{010220ED-40C7-445A-8478-A076A779ED2B}"/>
    <cellStyle name="60% - Énfasis4 4" xfId="13908" xr:uid="{3DC55A06-A6C9-45E2-8A09-972999C7EE15}"/>
    <cellStyle name="60% - Énfasis4 4 2" xfId="13909" xr:uid="{BA42DD6C-BF0C-4047-8B94-807FA660511F}"/>
    <cellStyle name="60% - Énfasis4 4 2 2" xfId="13910" xr:uid="{D1711DBF-A104-4257-B622-A051E66F9335}"/>
    <cellStyle name="60% - Énfasis4 4 2_1.2.b" xfId="16058" xr:uid="{1A7619AD-0BD8-4874-9EF8-4B3EF9E7DE37}"/>
    <cellStyle name="60% - Énfasis4 4 3" xfId="13911" xr:uid="{2CD05F55-127D-4B46-9B23-347B9080A319}"/>
    <cellStyle name="60% - Énfasis4 4_1.2.b" xfId="16057" xr:uid="{6E66B19C-4508-4245-A155-217ECFBCEA41}"/>
    <cellStyle name="60% - Énfasis4 5" xfId="13912" xr:uid="{83BF781A-98B0-47A1-80A2-57A374C26316}"/>
    <cellStyle name="60% - Énfasis4 6" xfId="13913" xr:uid="{F97412A4-1F09-4FE3-820C-8AC39C1538D9}"/>
    <cellStyle name="60% - Énfasis4 6 2" xfId="13914" xr:uid="{B8D13BB7-F26D-4BE2-B817-BA16CBA19DBC}"/>
    <cellStyle name="60% - Énfasis4 6 3" xfId="17783" xr:uid="{3845467E-E823-4B73-897F-12FDF19FC318}"/>
    <cellStyle name="60% - Énfasis4 6 4" xfId="18201" xr:uid="{EB0BBC0A-D538-4929-9E86-A03B2A6C6D51}"/>
    <cellStyle name="60% - Énfasis4 6 5" xfId="16509" xr:uid="{35A8DBDD-17E3-4524-BEB3-211804664C8F}"/>
    <cellStyle name="60% - Énfasis4 6 6" xfId="18203" xr:uid="{B12C866E-C180-4D8B-8AC9-86445D4E6F96}"/>
    <cellStyle name="60% - Énfasis4 6 7" xfId="18155" xr:uid="{738A606A-4384-4C6C-939E-F01B7A960D27}"/>
    <cellStyle name="60% - Énfasis4 6_1.2.b" xfId="16059" xr:uid="{0898EA02-C88E-4E29-9D3F-63C3830B6C86}"/>
    <cellStyle name="60% - Énfasis4 7" xfId="13915" xr:uid="{BD0BF49D-E855-474D-A784-BD317A1D26ED}"/>
    <cellStyle name="60% - Énfasis4 8" xfId="13916" xr:uid="{7D9075C0-2A28-4197-9C7D-97F6613AB246}"/>
    <cellStyle name="60% - Énfasis4 9" xfId="13917" xr:uid="{52763D94-B739-407F-9172-45F04ADBDA51}"/>
    <cellStyle name="60% - Énfasis5 2" xfId="9881" xr:uid="{00000000-0005-0000-0000-000069010000}"/>
    <cellStyle name="60% - Énfasis5 2 2" xfId="13918" xr:uid="{04DCE050-7EA8-44C7-B6DF-44276E7608F1}"/>
    <cellStyle name="60% - Énfasis5 2 2 2" xfId="13919" xr:uid="{D0C4D547-F16D-4CF8-890A-2B77E11468CD}"/>
    <cellStyle name="60% - Énfasis5 2 2 3" xfId="13920" xr:uid="{3F776FD7-456F-40E6-AE86-032EDCDEDDC2}"/>
    <cellStyle name="60% - Énfasis5 2 2 4" xfId="13921" xr:uid="{300D5954-7573-4F4C-B45B-8AA100E690DE}"/>
    <cellStyle name="60% - Énfasis5 2 3" xfId="13922" xr:uid="{5A380FC4-4E67-40C9-A928-3CD5A7607DCD}"/>
    <cellStyle name="60% - Énfasis5 2 4" xfId="13923" xr:uid="{9E6179DB-D43C-4534-8345-0DDE30D0302A}"/>
    <cellStyle name="60% - Énfasis5 2 5" xfId="13924" xr:uid="{C3619B4F-DAD1-4D96-AF6A-AC08C78D07B5}"/>
    <cellStyle name="60% - Énfasis5 2 6" xfId="13925" xr:uid="{C338B967-739F-4E2F-9FAA-688747F47A7D}"/>
    <cellStyle name="60% - Énfasis5 2 7" xfId="13926" xr:uid="{FE517AA0-D6AC-4936-910E-2B41A540FF21}"/>
    <cellStyle name="60% - Énfasis5 2 8" xfId="13927" xr:uid="{E135AB9F-6F5A-451F-9C6E-2BE4D518DD61}"/>
    <cellStyle name="60% - Énfasis5 3" xfId="10641" xr:uid="{00000000-0005-0000-0000-00006A010000}"/>
    <cellStyle name="60% - Énfasis5 3 2" xfId="13928" xr:uid="{617D1571-979F-4303-BB6A-0B4488D6EFB4}"/>
    <cellStyle name="60% - Énfasis5 3 3" xfId="13929" xr:uid="{647DBB96-1F2A-4E9E-AF36-CA0F7C117B48}"/>
    <cellStyle name="60% - Énfasis5 3_1.2.b" xfId="16060" xr:uid="{E303143E-0650-4BE9-9319-EE172E7A9152}"/>
    <cellStyle name="60% - Énfasis5 4" xfId="13930" xr:uid="{2AC608F5-CDF6-44B7-B1BA-9085A20A4954}"/>
    <cellStyle name="60% - Énfasis5 4 2" xfId="13931" xr:uid="{33011BD8-425C-462B-89B1-0EB292950906}"/>
    <cellStyle name="60% - Énfasis5 4 3" xfId="17786" xr:uid="{EE8AD605-E342-410A-B7E1-3F8198D9C716}"/>
    <cellStyle name="60% - Énfasis5 4 4" xfId="18204" xr:uid="{5B793DFB-743D-4B14-AEFD-7A9B8A4ECD98}"/>
    <cellStyle name="60% - Énfasis5 4 5" xfId="16524" xr:uid="{3F6D0EF5-DD22-4A54-84EB-0E5DB38E2B6D}"/>
    <cellStyle name="60% - Énfasis5 4 6" xfId="18205" xr:uid="{A2BCDFB8-3166-4DA3-8EEB-50D80E187489}"/>
    <cellStyle name="60% - Énfasis5 4 7" xfId="16511" xr:uid="{85FECD6B-1512-4704-AB2E-AC0A49E66F51}"/>
    <cellStyle name="60% - Énfasis5 4_1.2.b" xfId="16061" xr:uid="{52F73E18-986E-485B-B751-D1BAB0F6D82E}"/>
    <cellStyle name="60% - Énfasis5 5" xfId="13932" xr:uid="{EE6E736B-8495-4AE4-A47C-2B0E3002D61C}"/>
    <cellStyle name="60% - Énfasis5 6" xfId="13933" xr:uid="{C131BBA1-48FB-47EC-8545-DB2946C59CD6}"/>
    <cellStyle name="60% - Énfasis6 10" xfId="13934" xr:uid="{8FBB5FA7-B2B8-427F-8DDA-7342153E3E1C}"/>
    <cellStyle name="60% - Énfasis6 2" xfId="9882" xr:uid="{00000000-0005-0000-0000-00006C010000}"/>
    <cellStyle name="60% - Énfasis6 2 2" xfId="13935" xr:uid="{4AF7437F-C1E4-4313-9C3F-33500221D087}"/>
    <cellStyle name="60% - Énfasis6 2 2 2" xfId="13936" xr:uid="{7046F7BB-7981-4E22-B204-86BA7B5A59D5}"/>
    <cellStyle name="60% - Énfasis6 2 2 3" xfId="13937" xr:uid="{2EA7ECE1-D2B4-4EFE-BC96-CEEBF90CF95C}"/>
    <cellStyle name="60% - Énfasis6 2 2 4" xfId="13938" xr:uid="{DB8C46D9-9518-4B24-AB57-94A3B0B34566}"/>
    <cellStyle name="60% - Énfasis6 2 2 5" xfId="13939" xr:uid="{8275DF50-3BA0-4288-BE24-F3EC40615DEC}"/>
    <cellStyle name="60% - Énfasis6 2 2_1.2.b" xfId="16062" xr:uid="{AC04FE53-0F89-4C83-BE89-D493B65B0282}"/>
    <cellStyle name="60% - Énfasis6 2 3" xfId="13940" xr:uid="{9775AF9B-AB06-4B75-9A12-AEF9C4E1E9B5}"/>
    <cellStyle name="60% - Énfasis6 2 4" xfId="13941" xr:uid="{3DAA6AB4-8EC3-4A64-ADC3-2E5ED0D86C8A}"/>
    <cellStyle name="60% - Énfasis6 2 5" xfId="13942" xr:uid="{95BFBA89-AA02-4B21-929A-6ECB02630A81}"/>
    <cellStyle name="60% - Énfasis6 2 6" xfId="13943" xr:uid="{DB7CB675-1359-4183-90FE-FCAEE9C2169C}"/>
    <cellStyle name="60% - Énfasis6 2 7" xfId="13944" xr:uid="{D81777BD-AC7E-4096-9318-3735B8616998}"/>
    <cellStyle name="60% - Énfasis6 2 8" xfId="13945" xr:uid="{2A8E1C32-CA08-4F2E-94F5-1ED7C875DDB8}"/>
    <cellStyle name="60% - Énfasis6 3" xfId="10642" xr:uid="{00000000-0005-0000-0000-00006D010000}"/>
    <cellStyle name="60% - Énfasis6 3 2" xfId="13946" xr:uid="{1C2BC8CD-459A-4B08-8292-ED49866A8FC8}"/>
    <cellStyle name="60% - Énfasis6 3 3" xfId="13947" xr:uid="{6CA7A2BE-E8F4-462E-852F-8A639244F253}"/>
    <cellStyle name="60% - Énfasis6 3_1.2.b" xfId="16063" xr:uid="{BEB4C475-E6B0-4969-96BC-5E1478C84CCF}"/>
    <cellStyle name="60% - Énfasis6 4" xfId="13948" xr:uid="{E5557043-13F5-4B7C-BF88-E5BEAABF8D44}"/>
    <cellStyle name="60% - Énfasis6 4 2" xfId="13949" xr:uid="{2E50DD9F-06F6-4A0B-81AE-207DAC016689}"/>
    <cellStyle name="60% - Énfasis6 4 2 2" xfId="13950" xr:uid="{86AA7C57-57AE-4ADD-8528-A681F6F8FEBA}"/>
    <cellStyle name="60% - Énfasis6 4 2_1.2.b" xfId="16065" xr:uid="{A0267A06-6DD0-47B7-955A-6617CDCE106C}"/>
    <cellStyle name="60% - Énfasis6 4 3" xfId="13951" xr:uid="{121AB7CA-14CE-4093-93A4-4F862725F9AD}"/>
    <cellStyle name="60% - Énfasis6 4_1.2.b" xfId="16064" xr:uid="{603108F8-EBA4-4199-897B-F2FDB051BDD4}"/>
    <cellStyle name="60% - Énfasis6 5" xfId="13952" xr:uid="{77A2E878-E1B5-43B7-92AE-E1341E609EDD}"/>
    <cellStyle name="60% - Énfasis6 6" xfId="13953" xr:uid="{005F4725-4027-49D9-BD13-B6A5AC7B268D}"/>
    <cellStyle name="60% - Énfasis6 6 2" xfId="13954" xr:uid="{302BCA2A-A202-4B46-A0CB-EC26E6617F19}"/>
    <cellStyle name="60% - Énfasis6 6 3" xfId="17788" xr:uid="{C0BF7895-96BA-45D1-9C0A-98F3722CC7FA}"/>
    <cellStyle name="60% - Énfasis6 6 4" xfId="18207" xr:uid="{B08AE001-ABF3-48D0-826F-B881E6ECA13C}"/>
    <cellStyle name="60% - Énfasis6 6 5" xfId="16750" xr:uid="{0AA7AD4D-BC02-47C3-B104-5770E834934A}"/>
    <cellStyle name="60% - Énfasis6 6 6" xfId="18209" xr:uid="{696D7904-1A97-4E16-84A1-F71141E48639}"/>
    <cellStyle name="60% - Énfasis6 6 7" xfId="16752" xr:uid="{21A32F5D-BB7E-4CDC-972D-E3DF7C09550A}"/>
    <cellStyle name="60% - Énfasis6 6_1.2.b" xfId="16066" xr:uid="{0E8CD0E7-416C-4484-B102-48658F9974CB}"/>
    <cellStyle name="60% - Énfasis6 7" xfId="13955" xr:uid="{C7E028E9-52FE-413C-B3F0-D3127AE61318}"/>
    <cellStyle name="60% - Énfasis6 8" xfId="13956" xr:uid="{2FBE8B2A-A35B-43C7-9609-4D31590249C5}"/>
    <cellStyle name="60% - Énfasis6 9" xfId="13957" xr:uid="{D54AF1D1-5612-4E18-998B-7BB3A007114F}"/>
    <cellStyle name="AAAAAA" xfId="14783" xr:uid="{64F7EBD3-0EDB-4119-986C-C534ACC670EB}"/>
    <cellStyle name="Accent1" xfId="38" xr:uid="{9420B75F-BACF-4BA3-845C-4DD032B4E90B}"/>
    <cellStyle name="Accent2" xfId="42" xr:uid="{231C9AFB-2410-40A3-8B47-D3C0BAAD9365}"/>
    <cellStyle name="Accent3" xfId="46" xr:uid="{2217B51E-B3A2-4D43-B426-EC9998DC5351}"/>
    <cellStyle name="Accent4" xfId="50" xr:uid="{70E1D1E4-3AAD-4FB7-8CAB-0BCC4D89879F}"/>
    <cellStyle name="Accent5" xfId="54" xr:uid="{211D38CA-39D9-4A7C-93D8-E56A37FD4424}"/>
    <cellStyle name="Accent6" xfId="58" xr:uid="{6E55D11D-458C-46D3-A2EB-8D8F1836532F}"/>
    <cellStyle name="ANCLAS,REZONES Y SUS PARTES,DE FUNDICION,DE HIERRO O DE ACERO" xfId="129" xr:uid="{00000000-0005-0000-0000-00006E010000}"/>
    <cellStyle name="ANCLAS,REZONES Y SUS PARTES,DE FUNDICION,DE HIERRO O DE ACERO 2" xfId="13958" xr:uid="{A8475367-B6D0-4D76-98F5-1533242D377B}"/>
    <cellStyle name="ANCLAS,REZONES Y SUS PARTES,DE FUNDICION,DE HIERRO O DE ACERO 2 2" xfId="14699" xr:uid="{1700FF68-9062-417C-9D5C-EF0DB1E44410}"/>
    <cellStyle name="ANCLAS,REZONES Y SUS PARTES,DE FUNDICION,DE HIERRO O DE ACERO 3" xfId="14698" xr:uid="{F62C6295-E62C-4EC1-B87E-97EFF50D352A}"/>
    <cellStyle name="Bad" xfId="33" xr:uid="{F25AD35C-F6F8-4D9D-A7E8-8E8FA64DB340}"/>
    <cellStyle name="Buena 2" xfId="13959" xr:uid="{071F3F7E-919F-4475-8033-176799F802D1}"/>
    <cellStyle name="Buena 2 2" xfId="13960" xr:uid="{C9B357DA-DD45-48D4-BC70-18333AD2A002}"/>
    <cellStyle name="Buena 2 2 2" xfId="13961" xr:uid="{A9A678DC-5C2D-48F9-93C0-F3D97143856D}"/>
    <cellStyle name="Buena 2 2 3" xfId="13962" xr:uid="{CBAD56BB-06D1-40A0-9469-A75256406F24}"/>
    <cellStyle name="Buena 2 2 4" xfId="13963" xr:uid="{7D82F660-CA8B-4216-A7FA-6B9173DA7BF0}"/>
    <cellStyle name="Buena 2 3" xfId="13964" xr:uid="{DA6A8D50-68D8-4B50-99B7-168B565AD19C}"/>
    <cellStyle name="Buena 2 4" xfId="13965" xr:uid="{E6E95E16-6942-4517-9042-9C6FFEAF3224}"/>
    <cellStyle name="Buena 2 5" xfId="13966" xr:uid="{D312777F-929B-4C57-8E40-5E48139F1083}"/>
    <cellStyle name="Buena 2 6" xfId="13967" xr:uid="{C280DDCA-EBFE-47D5-8BE9-E5F4B9D8731A}"/>
    <cellStyle name="Buena 2 7" xfId="13968" xr:uid="{FF9DFF84-8860-4C16-BFFA-97D504001017}"/>
    <cellStyle name="Buena 2 8" xfId="13969" xr:uid="{4DA0152C-B28E-4EF2-AFE8-9A44DA3264E4}"/>
    <cellStyle name="Buena 3" xfId="13970" xr:uid="{22ADF950-90B5-40FE-B9E6-EFD4C68B1272}"/>
    <cellStyle name="Buena 3 2" xfId="13971" xr:uid="{FD5C8465-EBA6-4E91-9946-94622B41DC72}"/>
    <cellStyle name="Buena 4" xfId="13972" xr:uid="{7883191B-B149-41E7-9A4B-BB1464B654AC}"/>
    <cellStyle name="Buena 5" xfId="13973" xr:uid="{71778877-94BE-4450-A2D8-CD28E9C9DB86}"/>
    <cellStyle name="Buena 6" xfId="13974" xr:uid="{BA79D30F-C92D-4408-B910-445350309617}"/>
    <cellStyle name="Bueno" xfId="14163" builtinId="26" customBuiltin="1"/>
    <cellStyle name="Bueno 2" xfId="13975" xr:uid="{7299F16A-AE12-4351-9D88-9C7FD05957BB}"/>
    <cellStyle name="Bueno 3" xfId="14700" xr:uid="{D3AD6D2E-EDC3-4B5A-AEE1-537FD182D8C0}"/>
    <cellStyle name="Cabecera 1" xfId="216" xr:uid="{00000000-0005-0000-0000-000070010000}"/>
    <cellStyle name="Cabecera 2" xfId="217" xr:uid="{00000000-0005-0000-0000-000071010000}"/>
    <cellStyle name="Calculation" xfId="36" xr:uid="{3067DEED-1400-4386-AD90-DCD71FACD7B6}"/>
    <cellStyle name="Cálculo 2" xfId="9883" xr:uid="{00000000-0005-0000-0000-000073010000}"/>
    <cellStyle name="Cálculo 2 2" xfId="12348" xr:uid="{00000000-0005-0000-0000-000074010000}"/>
    <cellStyle name="Cálculo 2 2 2" xfId="13978" xr:uid="{FD85A110-58AF-4CBE-9CB5-0E95F044AB41}"/>
    <cellStyle name="Cálculo 2 2 3" xfId="13979" xr:uid="{BE0349C6-B886-474C-A560-51B6CDB3BDA3}"/>
    <cellStyle name="Cálculo 2 2 4" xfId="13980" xr:uid="{1134A614-163F-455F-AC1F-0A9BA6A14692}"/>
    <cellStyle name="Cálculo 2 2 5" xfId="13977" xr:uid="{584C5831-EFB4-40D5-9E93-48B059686D0E}"/>
    <cellStyle name="Cálculo 2 2_1.2.b" xfId="16068" xr:uid="{108108D5-ACFA-43E4-A34C-BF1F01E5A719}"/>
    <cellStyle name="Cálculo 2 3" xfId="12344" xr:uid="{00000000-0005-0000-0000-000075010000}"/>
    <cellStyle name="Cálculo 2 3 2" xfId="13981" xr:uid="{197C8CA5-32D8-4D85-8964-E3B01CB234B3}"/>
    <cellStyle name="Cálculo 2 3_1.2.b" xfId="16069" xr:uid="{34E3CF40-F086-46DF-8515-7573320CF636}"/>
    <cellStyle name="Cálculo 2 4" xfId="13982" xr:uid="{2404B6A3-3AB2-4BFD-A703-2FDA5AC74A1F}"/>
    <cellStyle name="Cálculo 2 5" xfId="13983" xr:uid="{2FB29435-0551-47EF-85D6-9DF982BDD3EA}"/>
    <cellStyle name="Cálculo 2 6" xfId="13984" xr:uid="{8A7778B0-96A7-4A1E-BDD2-B9A7BFC65384}"/>
    <cellStyle name="Cálculo 2 7" xfId="13985" xr:uid="{7ADA5D46-81A0-42C5-9464-14F043CBA01E}"/>
    <cellStyle name="Cálculo 2 8" xfId="13986" xr:uid="{8B4CA469-CD6A-4D17-AC7D-E3F65528EABF}"/>
    <cellStyle name="Cálculo 2 9" xfId="13976" xr:uid="{E1757109-C9B4-49CC-993D-78CA8D12E5AD}"/>
    <cellStyle name="Cálculo 2_1.2.b" xfId="16067" xr:uid="{091A406F-C7AB-4515-9D6B-0F5990A4CD09}"/>
    <cellStyle name="Cálculo 3" xfId="13987" xr:uid="{F9C168FF-E544-4833-B4CE-564129D4636C}"/>
    <cellStyle name="Cálculo 3 2" xfId="13988" xr:uid="{1B94853C-5603-4CEF-8038-C20065ABA30B}"/>
    <cellStyle name="Cálculo 3 3" xfId="13989" xr:uid="{E793E10B-0C4E-4F31-852A-46DCE5AB7DD8}"/>
    <cellStyle name="Cálculo 3_1.2.b" xfId="16070" xr:uid="{5BB519E4-6F95-42A6-980B-77C994FA3427}"/>
    <cellStyle name="Cálculo 4" xfId="13990" xr:uid="{12ACEF80-B3F6-4B6B-90DC-9531714ABB42}"/>
    <cellStyle name="Cálculo 5" xfId="13991" xr:uid="{68356E34-50F8-45A5-92A5-E563E6AA42B2}"/>
    <cellStyle name="Cálculo 6" xfId="13992" xr:uid="{8F753888-83B1-4047-9923-B87ED1300F59}"/>
    <cellStyle name="Cambiar to&amp;do" xfId="10592" xr:uid="{00000000-0005-0000-0000-000076010000}"/>
    <cellStyle name="Celda de comprobación" xfId="14025" builtinId="23" customBuiltin="1"/>
    <cellStyle name="Celda de comprobación 2" xfId="9884" xr:uid="{00000000-0005-0000-0000-000078010000}"/>
    <cellStyle name="Celda de comprobación 2 2" xfId="13993" xr:uid="{1828DB41-3C0F-400F-9536-98D3654C439A}"/>
    <cellStyle name="Celda de comprobación 2 2 2" xfId="13994" xr:uid="{695B359F-2F5D-4CBC-9AE0-F13315D634DE}"/>
    <cellStyle name="Celda de comprobación 2 2 3" xfId="13995" xr:uid="{0F17D636-D327-4EE5-B6EC-A0E26CDD9149}"/>
    <cellStyle name="Celda de comprobación 2 2 4" xfId="13996" xr:uid="{2C734115-8BD8-4F4B-818A-498DA21AAE63}"/>
    <cellStyle name="Celda de comprobación 2 3" xfId="13997" xr:uid="{59137A98-384F-4F0A-91FE-BE83E8073E09}"/>
    <cellStyle name="Celda de comprobación 2 4" xfId="13998" xr:uid="{26C3646B-7BC9-4213-867D-2A9CAB2DB603}"/>
    <cellStyle name="Celda de comprobación 2 5" xfId="13999" xr:uid="{B45FB4DA-8352-485A-BAAE-F97039E3F12F}"/>
    <cellStyle name="Celda de comprobación 2 6" xfId="14000" xr:uid="{104F6E7B-ABE3-499A-871A-D76A4A0E41D1}"/>
    <cellStyle name="Celda de comprobación 2 7" xfId="14001" xr:uid="{2BAEB6ED-0E3B-458E-8C6E-165AFE09F12C}"/>
    <cellStyle name="Celda de comprobación 2 8" xfId="14002" xr:uid="{A37043F3-0C7E-4FA0-8611-EA9E3EB2D5F0}"/>
    <cellStyle name="Celda de comprobación 3" xfId="14003" xr:uid="{E320EC86-52BF-44A7-9347-A81F85C2049A}"/>
    <cellStyle name="Celda de comprobación 3 2" xfId="14004" xr:uid="{A7535957-881F-4F42-8654-0E1459120C1E}"/>
    <cellStyle name="Celda de comprobación 3 3" xfId="14005" xr:uid="{547BDCFB-C2CA-4BB6-B0AD-CDB1D4ADCC9E}"/>
    <cellStyle name="Celda de comprobación 3_1.2.b" xfId="16071" xr:uid="{072DB579-8D99-4271-AB8D-4623DE39FF98}"/>
    <cellStyle name="Celda de comprobación 4" xfId="14006" xr:uid="{839A5B29-CDDE-47A1-B33B-7A5A800C7B28}"/>
    <cellStyle name="Celda de comprobación 5" xfId="14007" xr:uid="{29C0C3B9-B0EC-4D6D-89B0-51C507C11739}"/>
    <cellStyle name="Celda de comprobación 6" xfId="14008" xr:uid="{B8294B87-D2C0-49E9-93AE-43A4F814460B}"/>
    <cellStyle name="Celda vinculada" xfId="14188" builtinId="24" customBuiltin="1"/>
    <cellStyle name="Celda vinculada 2" xfId="9885" xr:uid="{00000000-0005-0000-0000-00007A010000}"/>
    <cellStyle name="Celda vinculada 2 2" xfId="14009" xr:uid="{2842FA12-13C9-437A-8CE2-522790FA8EBF}"/>
    <cellStyle name="Celda vinculada 2 2 2" xfId="14010" xr:uid="{4197B8F7-878F-4BFC-BFC7-3CCA399FFA1B}"/>
    <cellStyle name="Celda vinculada 2 2 3" xfId="14011" xr:uid="{F625A15E-211D-4AD9-823D-DBB97E1AB6F8}"/>
    <cellStyle name="Celda vinculada 2 2 4" xfId="14012" xr:uid="{62B86FAC-8133-4B1A-880E-569CA1CC76BB}"/>
    <cellStyle name="Celda vinculada 2 3" xfId="14013" xr:uid="{242FB5ED-D58B-4EEF-ABBC-5A163BB5C8AC}"/>
    <cellStyle name="Celda vinculada 2 4" xfId="14014" xr:uid="{F9A989AA-F258-432A-BB54-6EE077E754ED}"/>
    <cellStyle name="Celda vinculada 2 5" xfId="14015" xr:uid="{8AF6656D-A1D3-4786-B357-B2E469CECC45}"/>
    <cellStyle name="Celda vinculada 2 6" xfId="14016" xr:uid="{FE71B868-107C-4B7D-85AA-742820FF1624}"/>
    <cellStyle name="Celda vinculada 2 7" xfId="14017" xr:uid="{EF089691-ACD6-4CDE-9A96-719CD006D933}"/>
    <cellStyle name="Celda vinculada 2 8" xfId="14018" xr:uid="{2BAAA425-B9E5-4381-83DB-AB50C0867D23}"/>
    <cellStyle name="Celda vinculada 3" xfId="14019" xr:uid="{C76AE075-308A-4C41-8A12-E7F0444CD992}"/>
    <cellStyle name="Celda vinculada 3 2" xfId="14020" xr:uid="{1C893792-322E-4F05-883B-86215DFF0B5C}"/>
    <cellStyle name="Celda vinculada 3 3" xfId="14021" xr:uid="{CC107180-214B-4DEC-ADEE-FA29CB683EF1}"/>
    <cellStyle name="Celda vinculada 3_1.2.b" xfId="16072" xr:uid="{8BD5337F-0F0F-41BF-B3CB-7D01918C4AFD}"/>
    <cellStyle name="Celda vinculada 4" xfId="14022" xr:uid="{6B351709-2081-4EC3-95DD-08C91B870A2B}"/>
    <cellStyle name="Celda vinculada 5" xfId="14023" xr:uid="{D37D1264-31A0-42A6-9C15-BFC2519C5843}"/>
    <cellStyle name="Celda vinculada 6" xfId="14024" xr:uid="{473E533B-AB57-47C6-BCCB-7BD72C61F552}"/>
    <cellStyle name="Comienzo de Serie" xfId="14784" xr:uid="{CA16B16C-1557-4089-BA9E-B714AAAD3E74}"/>
    <cellStyle name="Comma" xfId="12406" xr:uid="{00000000-0005-0000-0000-00007B010000}"/>
    <cellStyle name="Comma [0]" xfId="1" xr:uid="{00000000-0005-0000-0000-00007C010000}"/>
    <cellStyle name="Comma [0] 2" xfId="14027" xr:uid="{738E4D5B-B6B8-4BAB-859A-E96A6B2FD4B8}"/>
    <cellStyle name="Comma [0]_1.2.b" xfId="16074" xr:uid="{2C647252-6B83-4D59-8204-3F9ACBDCF7A6}"/>
    <cellStyle name="Comma 10" xfId="17278" xr:uid="{779D25C0-65D0-478B-9D2C-D20D9E7CBA63}"/>
    <cellStyle name="Comma 2" xfId="14026" xr:uid="{2358EAA7-403A-4F13-8A92-A20147356D16}"/>
    <cellStyle name="Comma 3" xfId="14780" xr:uid="{0DC575F9-8BB7-4445-85D0-416D69AD51BC}"/>
    <cellStyle name="Comma 4" xfId="14778" xr:uid="{ACF99253-38F8-44FB-A5D1-EB68F855AE50}"/>
    <cellStyle name="Comma 5" xfId="14779" xr:uid="{0170A2CB-7D1F-4EF7-AD94-57CB2FFE47FC}"/>
    <cellStyle name="Comma 6" xfId="17803" xr:uid="{0F58C186-EE51-4638-94BE-62296A56F642}"/>
    <cellStyle name="Comma 7" xfId="18212" xr:uid="{6455BC8D-47EA-4106-B5CE-ED1B71E34ECB}"/>
    <cellStyle name="Comma 8" xfId="17277" xr:uid="{A3764DA5-7E3E-433B-AC8C-4B0A47619ED9}"/>
    <cellStyle name="Comma 9" xfId="18214" xr:uid="{3DC6C827-6CB7-4D13-97C7-3CB2589E0ADC}"/>
    <cellStyle name="Comma_1.2.b" xfId="16073" xr:uid="{7493AC3F-9091-4AB1-AD77-FCD81F8C6690}"/>
    <cellStyle name="Currency" xfId="2" xr:uid="{00000000-0005-0000-0000-00007E010000}"/>
    <cellStyle name="Currency [0]" xfId="3" xr:uid="{00000000-0005-0000-0000-00007F010000}"/>
    <cellStyle name="Currency [0] 2" xfId="14029" xr:uid="{C97D8D83-B6FE-432D-9C5E-A439B998D5DB}"/>
    <cellStyle name="Currency [0]_1.2.b" xfId="16076" xr:uid="{EF6EEDA6-EBA1-46AD-88B8-FAFEDBA96DDB}"/>
    <cellStyle name="Currency 10" xfId="17280" xr:uid="{AD8D8409-5D6F-4003-9E44-8829BD572602}"/>
    <cellStyle name="Currency 2" xfId="14028" xr:uid="{3AF75AC7-0493-4085-AEC0-62A41AF43FAB}"/>
    <cellStyle name="Currency 3" xfId="14782" xr:uid="{CBA1E459-5DCC-47F7-9AB9-2B7FDA53E487}"/>
    <cellStyle name="Currency 4" xfId="14777" xr:uid="{AA432A33-E63D-45B2-AA00-A9895823188F}"/>
    <cellStyle name="Currency 5" xfId="14781" xr:uid="{79225EF0-0447-40D1-9379-A2A35C1805D9}"/>
    <cellStyle name="Currency 6" xfId="17804" xr:uid="{542F5795-CDE8-4916-A569-21A9C4E74539}"/>
    <cellStyle name="Currency 7" xfId="18213" xr:uid="{ACA33507-4905-4A76-B246-3DD2D01D61D0}"/>
    <cellStyle name="Currency 8" xfId="17279" xr:uid="{16646F44-C8B6-4A0E-B0A2-28B81C5541B4}"/>
    <cellStyle name="Currency 9" xfId="18215" xr:uid="{CF00F2C3-D51C-4CBF-9F4B-24544E5DEFAE}"/>
    <cellStyle name="Currency_1.2.b" xfId="16075" xr:uid="{BA8DF000-F820-4ED4-A074-261A06FFE0C1}"/>
    <cellStyle name="Date" xfId="4" xr:uid="{00000000-0005-0000-0000-000081010000}"/>
    <cellStyle name="Date 2" xfId="14030" xr:uid="{75C7D95D-4299-4BEE-939D-81F7FAAE0275}"/>
    <cellStyle name="Date_1.2.b" xfId="16077" xr:uid="{A025158A-D840-4445-B1D4-CC6917031BAB}"/>
    <cellStyle name="Dia" xfId="65" xr:uid="{00000000-0005-0000-0000-000082010000}"/>
    <cellStyle name="Dia 2" xfId="76" xr:uid="{00000000-0005-0000-0000-000083010000}"/>
    <cellStyle name="Encabez1" xfId="66" xr:uid="{00000000-0005-0000-0000-000084010000}"/>
    <cellStyle name="Encabez1 2" xfId="77" xr:uid="{00000000-0005-0000-0000-000085010000}"/>
    <cellStyle name="Encabez1 3" xfId="14031" xr:uid="{74BDA19B-20CB-4788-981D-CC2FB07FCA0C}"/>
    <cellStyle name="Encabez1_1.2.b" xfId="16078" xr:uid="{019ACB7F-0B81-4CA9-97E4-505ED97A7DE6}"/>
    <cellStyle name="Encabez2" xfId="67" xr:uid="{00000000-0005-0000-0000-000086010000}"/>
    <cellStyle name="Encabez2 2" xfId="78" xr:uid="{00000000-0005-0000-0000-000087010000}"/>
    <cellStyle name="Encabez2 3" xfId="14032" xr:uid="{30EE3FD2-B51C-459D-9F93-97667898F6C0}"/>
    <cellStyle name="Encabez2_1.2.b" xfId="16079" xr:uid="{DEDAAC60-A1A7-4764-9547-AA03131EABB4}"/>
    <cellStyle name="Encabezado 1" xfId="14164" builtinId="16" customBuiltin="1"/>
    <cellStyle name="Encabezado 1 2" xfId="9886" xr:uid="{00000000-0005-0000-0000-000089010000}"/>
    <cellStyle name="Encabezado 1 2 2" xfId="14033" xr:uid="{C46DD5B1-B68A-4268-AD24-5925FCA244AE}"/>
    <cellStyle name="Encabezado 1 2_1.2.b" xfId="16080" xr:uid="{F025FE56-10D0-4EBC-88DE-715CD19145B9}"/>
    <cellStyle name="Encabezado 1 3" xfId="14710" xr:uid="{35004068-FFE7-48C5-879C-06B1F4ACD2A7}"/>
    <cellStyle name="Encabezado 4" xfId="14165" builtinId="19" customBuiltin="1"/>
    <cellStyle name="Encabezado 4 2" xfId="9887" xr:uid="{00000000-0005-0000-0000-00008B010000}"/>
    <cellStyle name="Encabezado 4 2 2" xfId="14034" xr:uid="{650D93D6-C054-45D4-8F07-67996007775C}"/>
    <cellStyle name="Encabezado 4 2 3" xfId="14035" xr:uid="{E787562E-203F-48A0-8616-43C534E495D6}"/>
    <cellStyle name="Encabezado 4 2 4" xfId="14036" xr:uid="{BCC62B80-48AE-4DA2-B383-65B1FC4817FF}"/>
    <cellStyle name="Encabezado 4 3" xfId="14037" xr:uid="{5C095029-5924-4DE8-92A3-BA12CE53F27D}"/>
    <cellStyle name="Encabezado 4 3 2" xfId="14038" xr:uid="{4698E8D4-EB24-490B-AF93-84A0BA8A2B30}"/>
    <cellStyle name="Encabezado 4 3 3" xfId="14039" xr:uid="{68D3BBEA-94FF-4BF0-B30B-127FB11168C1}"/>
    <cellStyle name="Encabezado 4 3_1.2.b" xfId="16081" xr:uid="{91C92604-B172-4A57-8ED4-841D6B94E085}"/>
    <cellStyle name="Encabezado 4 4" xfId="14040" xr:uid="{7639FA8E-9D76-4253-AAC4-AB20B157ABE0}"/>
    <cellStyle name="Encabezado 4 5" xfId="14041" xr:uid="{6B6FD6E1-2520-4F5F-9FB7-42AFD1D6260B}"/>
    <cellStyle name="Encabezado 4 6" xfId="14042" xr:uid="{E1126E9B-7C2B-4FD3-A660-FE7276018EDE}"/>
    <cellStyle name="Énfasis1 2" xfId="9888" xr:uid="{00000000-0005-0000-0000-00008D010000}"/>
    <cellStyle name="Énfasis1 2 2" xfId="14043" xr:uid="{D36382A2-87A7-420D-9FC6-2E523720DB44}"/>
    <cellStyle name="Énfasis1 2 2 2" xfId="14044" xr:uid="{1580509C-6001-4BFD-80AF-5FFB46C10F81}"/>
    <cellStyle name="Énfasis1 2 2 3" xfId="14045" xr:uid="{ABC98A69-F71E-44D9-9205-BA5510705AEC}"/>
    <cellStyle name="Énfasis1 2 2 4" xfId="14046" xr:uid="{FF3981D5-1BC6-4935-82C0-771B1B2141A9}"/>
    <cellStyle name="Énfasis1 2 3" xfId="14047" xr:uid="{B440509C-8189-4554-B135-23F31B5DCC9E}"/>
    <cellStyle name="Énfasis1 2 4" xfId="14048" xr:uid="{C6D6925A-3AA3-45D1-A4DD-7938D5E4C8E1}"/>
    <cellStyle name="Énfasis1 2 5" xfId="14049" xr:uid="{8EFA75A5-CEEA-4F0C-AA0B-FCB3FCF4A758}"/>
    <cellStyle name="Énfasis1 2 6" xfId="14050" xr:uid="{625F5CE6-EC8A-402E-A16A-8A16E00D2EC4}"/>
    <cellStyle name="Énfasis1 2 7" xfId="14051" xr:uid="{9362B056-A067-4BF3-A899-16771B961DEF}"/>
    <cellStyle name="Énfasis1 2 8" xfId="14052" xr:uid="{B0F6C6C2-0102-4A6D-91FE-13545AF9463F}"/>
    <cellStyle name="Énfasis1 3" xfId="14053" xr:uid="{33E4B92C-42A2-4C17-804C-317C5BEE2C74}"/>
    <cellStyle name="Énfasis1 3 2" xfId="14054" xr:uid="{5CA57088-957F-4C67-A413-4844F23488FC}"/>
    <cellStyle name="Énfasis1 3 3" xfId="14055" xr:uid="{BC7777CD-5D74-42EF-88D2-2614F85CF3F1}"/>
    <cellStyle name="Énfasis1 3_1.2.b" xfId="16082" xr:uid="{56D2A7E7-5C26-485F-B1F8-DF414AAD2983}"/>
    <cellStyle name="Énfasis1 4" xfId="14056" xr:uid="{BA116F2F-F7D4-4A1A-A9C8-12B2596FBF9B}"/>
    <cellStyle name="Énfasis1 5" xfId="14057" xr:uid="{6D3DF6BF-B263-4108-AB94-7CD47B5AEC40}"/>
    <cellStyle name="Énfasis1 6" xfId="14058" xr:uid="{23D8C140-4D46-4D80-ACD6-82BF2E21A1BF}"/>
    <cellStyle name="Énfasis2 2" xfId="9889" xr:uid="{00000000-0005-0000-0000-00008F010000}"/>
    <cellStyle name="Énfasis2 2 2" xfId="14059" xr:uid="{63082F3F-9683-4C81-ACCD-2A8039361381}"/>
    <cellStyle name="Énfasis2 2 2 2" xfId="14060" xr:uid="{8AB865F7-919D-4DF4-AB7D-E3267E157F74}"/>
    <cellStyle name="Énfasis2 2 2 3" xfId="14061" xr:uid="{41F12D0D-552C-4777-924D-E20FAE869DA1}"/>
    <cellStyle name="Énfasis2 2 2 4" xfId="14062" xr:uid="{AF61E8FA-8ED7-4686-9479-69C672921284}"/>
    <cellStyle name="Énfasis2 2 3" xfId="14063" xr:uid="{7CEE063B-6022-49D2-A9FE-7D1D6D3E2E5C}"/>
    <cellStyle name="Énfasis2 2 4" xfId="14064" xr:uid="{8D290D66-100B-41B8-BC11-085429D1BA42}"/>
    <cellStyle name="Énfasis2 2 5" xfId="14065" xr:uid="{E7690AD7-0EF1-4720-8550-11290E6CFFDB}"/>
    <cellStyle name="Énfasis2 2 6" xfId="14066" xr:uid="{D2309BE4-63EE-4A6C-932A-2CC3927E63FA}"/>
    <cellStyle name="Énfasis2 2 7" xfId="14067" xr:uid="{F4335F40-039E-47A7-BC18-8D29828C9785}"/>
    <cellStyle name="Énfasis2 2 8" xfId="14068" xr:uid="{157366E4-D9ED-409D-86FA-77EAB412D23D}"/>
    <cellStyle name="Énfasis2 3" xfId="14069" xr:uid="{131A336B-506A-46CB-A9B1-7B8346D2D374}"/>
    <cellStyle name="Énfasis2 3 2" xfId="14070" xr:uid="{850B9ECD-08F1-4150-9D15-7756448E58BE}"/>
    <cellStyle name="Énfasis2 3 3" xfId="14071" xr:uid="{2C3B6C05-9ED0-450C-8F42-213D5F80BB24}"/>
    <cellStyle name="Énfasis2 3_1.2.b" xfId="16083" xr:uid="{F8D46271-290E-4E52-9514-2EAA902BDEF7}"/>
    <cellStyle name="Énfasis2 4" xfId="14072" xr:uid="{1DEA74A3-A56F-4892-9934-B598D2B879E9}"/>
    <cellStyle name="Énfasis2 5" xfId="14073" xr:uid="{C13F44DA-072E-40C0-81EB-FC3E4B18B499}"/>
    <cellStyle name="Énfasis2 6" xfId="14074" xr:uid="{81B77A47-F3DE-4399-B6AE-B09478374B35}"/>
    <cellStyle name="Énfasis3 2" xfId="9890" xr:uid="{00000000-0005-0000-0000-000091010000}"/>
    <cellStyle name="Énfasis3 2 2" xfId="14075" xr:uid="{13F4B151-84C0-4CDE-8CBC-1B56956B4160}"/>
    <cellStyle name="Énfasis3 2 2 2" xfId="14076" xr:uid="{C1590209-8988-4D53-A0BB-9D0FC626EBE6}"/>
    <cellStyle name="Énfasis3 2 2 3" xfId="14077" xr:uid="{CEC6AC3B-C3E2-4D61-A462-8517BA4EC1E4}"/>
    <cellStyle name="Énfasis3 2 2 4" xfId="14078" xr:uid="{C76D067A-A559-419A-AE62-D0B4FA0D8F69}"/>
    <cellStyle name="Énfasis3 2 3" xfId="14079" xr:uid="{FB4F1361-2FC9-41C3-9E69-20B04397F7A9}"/>
    <cellStyle name="Énfasis3 2 4" xfId="14080" xr:uid="{E0884195-EB7A-4E2E-A1D2-761C4C48B5EB}"/>
    <cellStyle name="Énfasis3 2 5" xfId="14081" xr:uid="{C2A1B885-62F3-4C6C-A03E-6FF3B7756163}"/>
    <cellStyle name="Énfasis3 2 6" xfId="14082" xr:uid="{F889B194-0250-4845-9E50-C7F27C132D47}"/>
    <cellStyle name="Énfasis3 2 7" xfId="14083" xr:uid="{0A70E832-65A9-468A-914A-D5577D416DDF}"/>
    <cellStyle name="Énfasis3 2 8" xfId="14084" xr:uid="{B7ADF038-C0BE-4A5E-A899-B8F5A2A1C4DF}"/>
    <cellStyle name="Énfasis3 3" xfId="14085" xr:uid="{5C3FF8DE-00BD-460B-855D-38E2925F6EAE}"/>
    <cellStyle name="Énfasis3 3 2" xfId="14086" xr:uid="{D2132364-2A7B-4802-8418-A6B5F71BF177}"/>
    <cellStyle name="Énfasis3 3 3" xfId="14087" xr:uid="{DB057FA0-0674-462F-B627-6D34FFA3A709}"/>
    <cellStyle name="Énfasis3 3_1.2.b" xfId="16084" xr:uid="{E5E5A6D8-4EE0-4FCF-AC9C-CE54B477DAF9}"/>
    <cellStyle name="Énfasis3 4" xfId="14088" xr:uid="{813F3DE1-0AB4-49B3-8CF8-F20151B7C368}"/>
    <cellStyle name="Énfasis3 5" xfId="14089" xr:uid="{B235F75D-6DF5-4E8B-9EF0-62DDC91F5505}"/>
    <cellStyle name="Énfasis3 6" xfId="14090" xr:uid="{007F01DA-421A-4224-B6E9-68B5BEC8760C}"/>
    <cellStyle name="Énfasis4 2" xfId="9891" xr:uid="{00000000-0005-0000-0000-000093010000}"/>
    <cellStyle name="Énfasis4 2 2" xfId="14091" xr:uid="{02670BD7-6430-4577-AC5D-C069B34391A2}"/>
    <cellStyle name="Énfasis4 2 2 2" xfId="14092" xr:uid="{713F8B44-E503-47FB-B43D-D8F5F866718D}"/>
    <cellStyle name="Énfasis4 2 2 3" xfId="14093" xr:uid="{77061B94-61E3-4FA5-A2A3-F024FB1425A7}"/>
    <cellStyle name="Énfasis4 2 2 4" xfId="14094" xr:uid="{CECB3616-D784-42BC-BF0F-1FD837C6CC2D}"/>
    <cellStyle name="Énfasis4 2 3" xfId="14095" xr:uid="{39BF7543-FA86-4831-A76C-A62D6FD5994E}"/>
    <cellStyle name="Énfasis4 2 4" xfId="14096" xr:uid="{DB080D67-3DAE-44A6-8BD2-5D4A6BBDAD6A}"/>
    <cellStyle name="Énfasis4 2 5" xfId="14097" xr:uid="{AB9600C8-2528-4C2A-8C0F-1FCBB12756FD}"/>
    <cellStyle name="Énfasis4 2 6" xfId="14098" xr:uid="{B2DF9D82-9F1B-4EAF-94C7-52E938437E7E}"/>
    <cellStyle name="Énfasis4 2 7" xfId="14099" xr:uid="{C75BF8FC-ECF0-43C2-A57C-9028797553DC}"/>
    <cellStyle name="Énfasis4 2 8" xfId="14100" xr:uid="{E71FC1E9-6446-45AD-AB66-0B82FA6ED29B}"/>
    <cellStyle name="Énfasis4 3" xfId="14101" xr:uid="{0E9CDA68-15AA-4703-9FAD-752B535D14FA}"/>
    <cellStyle name="Énfasis4 3 2" xfId="14102" xr:uid="{65EBABF3-5968-474F-8DD6-EB272A88C4E0}"/>
    <cellStyle name="Énfasis4 3 3" xfId="14103" xr:uid="{F0FBB623-748F-438A-86BE-C3539AF05B63}"/>
    <cellStyle name="Énfasis4 3_1.2.b" xfId="16085" xr:uid="{E1859E60-B419-4AA7-A9D0-D068BA7478E9}"/>
    <cellStyle name="Énfasis4 4" xfId="14104" xr:uid="{5E21B415-B910-4E6B-B8C8-BE6C0B263B77}"/>
    <cellStyle name="Énfasis4 5" xfId="14105" xr:uid="{3527FFF7-FAA8-448C-A0F7-99B53D3F5917}"/>
    <cellStyle name="Énfasis4 6" xfId="14106" xr:uid="{A570F083-2F5D-43DA-97F7-441D416E67C8}"/>
    <cellStyle name="Énfasis5 2" xfId="9892" xr:uid="{00000000-0005-0000-0000-000095010000}"/>
    <cellStyle name="Énfasis5 2 2" xfId="14107" xr:uid="{15714558-A0F4-44E9-9ED4-D2DC48EDF2E3}"/>
    <cellStyle name="Énfasis5 2 2 2" xfId="14108" xr:uid="{7188CEBD-A314-4120-AEE4-379BB32A377B}"/>
    <cellStyle name="Énfasis5 2 2 3" xfId="14109" xr:uid="{21D73453-BFF0-44C1-9F59-ABC662944E80}"/>
    <cellStyle name="Énfasis5 2 2 4" xfId="14110" xr:uid="{AF501080-C60B-4088-AFEE-4B2F0CCE62CF}"/>
    <cellStyle name="Énfasis5 2 3" xfId="14111" xr:uid="{C2D03DB2-A92E-4016-9714-C321FF168054}"/>
    <cellStyle name="Énfasis5 2 4" xfId="14112" xr:uid="{B3B6F676-BA57-41DD-B62C-227082442B54}"/>
    <cellStyle name="Énfasis5 2 5" xfId="14113" xr:uid="{788D039F-8092-4BD6-A15E-A1F105EF38AE}"/>
    <cellStyle name="Énfasis5 2 6" xfId="14114" xr:uid="{F0D6FA55-F68E-485D-9CE0-FB286FCEBC6E}"/>
    <cellStyle name="Énfasis5 2 7" xfId="14115" xr:uid="{A715AB22-361E-4483-92D1-A0B4CF94F27F}"/>
    <cellStyle name="Énfasis5 2 8" xfId="14116" xr:uid="{7F895D4F-CBAE-4FEF-B5D5-58EDA8A05C37}"/>
    <cellStyle name="Énfasis5 3" xfId="14117" xr:uid="{54DE67BA-A552-428D-BFF6-82D8805B0CC4}"/>
    <cellStyle name="Énfasis5 3 2" xfId="14118" xr:uid="{04CDCF41-02C3-46F3-9AFF-F810E6DD26B8}"/>
    <cellStyle name="Énfasis5 3 3" xfId="14119" xr:uid="{F511F7FD-477D-42B1-A6E6-E211DD4058B3}"/>
    <cellStyle name="Énfasis5 3_1.2.b" xfId="16086" xr:uid="{15874BC3-E30E-4CC9-8BD0-FE1A25BA762C}"/>
    <cellStyle name="Énfasis5 4" xfId="14120" xr:uid="{2B084B48-E656-40DF-B68E-1790A7FE86DD}"/>
    <cellStyle name="Énfasis5 5" xfId="14121" xr:uid="{01E64C3F-BF8F-41D4-920E-1F5522AEAAB4}"/>
    <cellStyle name="Énfasis5 6" xfId="14122" xr:uid="{0DE308EC-EF22-454D-A983-F6528C71F66D}"/>
    <cellStyle name="Énfasis6 2" xfId="9893" xr:uid="{00000000-0005-0000-0000-000097010000}"/>
    <cellStyle name="Énfasis6 2 2" xfId="14123" xr:uid="{7094C044-0D24-42E9-9CAF-3323995C37BE}"/>
    <cellStyle name="Énfasis6 2 2 2" xfId="14124" xr:uid="{62305B36-5DF9-4777-89A2-7D5291B49C99}"/>
    <cellStyle name="Énfasis6 2 2 3" xfId="14125" xr:uid="{15AB306A-FCA4-4200-86D6-925856FF6FAB}"/>
    <cellStyle name="Énfasis6 2 2 4" xfId="14126" xr:uid="{D11AC7F5-068A-46FA-926C-46B79C304543}"/>
    <cellStyle name="Énfasis6 2 3" xfId="14127" xr:uid="{0F2207AD-4CDA-48EE-94BA-41D15CE83220}"/>
    <cellStyle name="Énfasis6 2 4" xfId="14128" xr:uid="{491E7A72-84BE-4295-A89B-5804A25474C0}"/>
    <cellStyle name="Énfasis6 2 5" xfId="14129" xr:uid="{80752F6C-7956-4E7B-9866-DBE2AD0C00CC}"/>
    <cellStyle name="Énfasis6 2 6" xfId="14130" xr:uid="{F1512B1A-B106-4E3C-A98B-10F985BD6D59}"/>
    <cellStyle name="Énfasis6 2 7" xfId="14131" xr:uid="{F9DD2F91-D1D6-4CEC-AF7A-7DFC8E915EC3}"/>
    <cellStyle name="Énfasis6 2 8" xfId="14132" xr:uid="{5AD61C09-79A9-4921-8AFD-3627CEC9FCA8}"/>
    <cellStyle name="Énfasis6 3" xfId="14133" xr:uid="{A8DCFF06-8578-48EA-BA38-7DE9240BC7B6}"/>
    <cellStyle name="Énfasis6 3 2" xfId="14134" xr:uid="{69A540C6-FDE5-4830-A399-D42D498308D3}"/>
    <cellStyle name="Énfasis6 3 3" xfId="14135" xr:uid="{CE025075-72F0-4B89-93C2-7ADBCB4D3F3A}"/>
    <cellStyle name="Énfasis6 3_1.2.b" xfId="16087" xr:uid="{8450912A-D0DC-4BC2-B098-BA26692BBA76}"/>
    <cellStyle name="Énfasis6 4" xfId="14136" xr:uid="{CE04A956-78C9-432B-80D1-E21EDFDCEDF6}"/>
    <cellStyle name="Énfasis6 5" xfId="14137" xr:uid="{1BB6837C-5747-4A9E-8DFA-75462B8DDB87}"/>
    <cellStyle name="Énfasis6 6" xfId="14138" xr:uid="{AD58B7B9-AAC3-4B97-8F53-01E2D4BEAC50}"/>
    <cellStyle name="Entrada" xfId="14187" builtinId="20" customBuiltin="1"/>
    <cellStyle name="Entrada 2" xfId="9894" xr:uid="{00000000-0005-0000-0000-000099010000}"/>
    <cellStyle name="Entrada 2 2" xfId="12349" xr:uid="{00000000-0005-0000-0000-00009A010000}"/>
    <cellStyle name="Entrada 2 2 2" xfId="14141" xr:uid="{978F697C-A4E9-47C9-8EEE-C685E094494B}"/>
    <cellStyle name="Entrada 2 2 3" xfId="14142" xr:uid="{3D353E18-A148-4021-915A-867EDC795AB0}"/>
    <cellStyle name="Entrada 2 2 4" xfId="14143" xr:uid="{9F84D095-F644-4FF3-87F4-759819AF2109}"/>
    <cellStyle name="Entrada 2 2 5" xfId="14140" xr:uid="{0E6B3A73-5C20-43F4-8A1C-2F8F45650F9B}"/>
    <cellStyle name="Entrada 2 2_1.2.b" xfId="16089" xr:uid="{1914034D-716E-4408-816B-2A7A1CA52F80}"/>
    <cellStyle name="Entrada 2 3" xfId="12345" xr:uid="{00000000-0005-0000-0000-00009B010000}"/>
    <cellStyle name="Entrada 2 3 2" xfId="14144" xr:uid="{4A08F415-A38F-4F46-A76C-B0115E7DE3F3}"/>
    <cellStyle name="Entrada 2 3_1.2.b" xfId="16090" xr:uid="{B1B6EA83-081B-4C41-AA26-970C87B0B699}"/>
    <cellStyle name="Entrada 2 4" xfId="14145" xr:uid="{65C925C1-E467-43A2-A92B-8DA331FA9C62}"/>
    <cellStyle name="Entrada 2 5" xfId="14146" xr:uid="{0B38037F-2123-4CBE-9116-279F66E0E44D}"/>
    <cellStyle name="Entrada 2 6" xfId="14147" xr:uid="{EDCE40FA-422E-4A7D-9F4C-BB900709E899}"/>
    <cellStyle name="Entrada 2 7" xfId="14148" xr:uid="{98B2929E-1502-4D7D-88FA-A85D0B267A21}"/>
    <cellStyle name="Entrada 2 8" xfId="14149" xr:uid="{C8E984C5-5EDF-4AA8-BBB9-0A7481808713}"/>
    <cellStyle name="Entrada 2 9" xfId="14139" xr:uid="{168E12C8-5C29-4C53-8900-4898BD3A479C}"/>
    <cellStyle name="Entrada 2_1.2.b" xfId="16088" xr:uid="{56C9F3F1-D4A8-4F2A-ADA4-4A9549C86909}"/>
    <cellStyle name="Entrada 3" xfId="14150" xr:uid="{7CC2F35F-AC18-4530-ACD7-BB39D37A9C0C}"/>
    <cellStyle name="Entrada 3 2" xfId="14151" xr:uid="{1B19D617-2F58-4D66-9B2F-73E3F84E7BF9}"/>
    <cellStyle name="Entrada 3 3" xfId="14152" xr:uid="{94019C0D-91D3-46C3-A2BF-10D21565422F}"/>
    <cellStyle name="Entrada 3 4" xfId="14153" xr:uid="{1655ECE2-462A-4B86-9CC2-F6ED97D7C809}"/>
    <cellStyle name="Entrada 3 5" xfId="14154" xr:uid="{AD12DD50-9EF5-4631-B38F-4CEFA764E66A}"/>
    <cellStyle name="Entrada 3_1.2.b" xfId="16091" xr:uid="{7E497C19-8476-4D5B-BB5B-FC7FC7A60D4E}"/>
    <cellStyle name="Entrada 4" xfId="14155" xr:uid="{4EABAC39-8907-458A-A351-2712B8245FC3}"/>
    <cellStyle name="Entrada 5" xfId="14156" xr:uid="{C1C5932F-4641-44E7-9B87-5DC092F73291}"/>
    <cellStyle name="Entrada 6" xfId="14157" xr:uid="{7BF1B6FC-98E2-4C58-B665-054B2548C3AE}"/>
    <cellStyle name="Euro" xfId="5" xr:uid="{00000000-0005-0000-0000-00009C010000}"/>
    <cellStyle name="Euro 10" xfId="218" xr:uid="{00000000-0005-0000-0000-00009D010000}"/>
    <cellStyle name="Euro 10 10" xfId="219" xr:uid="{00000000-0005-0000-0000-00009E010000}"/>
    <cellStyle name="Euro 10 10 2" xfId="4360" xr:uid="{00000000-0005-0000-0000-00009F010000}"/>
    <cellStyle name="Euro 10 11" xfId="220" xr:uid="{00000000-0005-0000-0000-0000A0010000}"/>
    <cellStyle name="Euro 10 11 2" xfId="4361" xr:uid="{00000000-0005-0000-0000-0000A1010000}"/>
    <cellStyle name="Euro 10 12" xfId="221" xr:uid="{00000000-0005-0000-0000-0000A2010000}"/>
    <cellStyle name="Euro 10 12 2" xfId="4362" xr:uid="{00000000-0005-0000-0000-0000A3010000}"/>
    <cellStyle name="Euro 10 13" xfId="222" xr:uid="{00000000-0005-0000-0000-0000A4010000}"/>
    <cellStyle name="Euro 10 13 2" xfId="4363" xr:uid="{00000000-0005-0000-0000-0000A5010000}"/>
    <cellStyle name="Euro 10 14" xfId="223" xr:uid="{00000000-0005-0000-0000-0000A6010000}"/>
    <cellStyle name="Euro 10 14 2" xfId="4364" xr:uid="{00000000-0005-0000-0000-0000A7010000}"/>
    <cellStyle name="Euro 10 15" xfId="224" xr:uid="{00000000-0005-0000-0000-0000A8010000}"/>
    <cellStyle name="Euro 10 15 2" xfId="4365" xr:uid="{00000000-0005-0000-0000-0000A9010000}"/>
    <cellStyle name="Euro 10 16" xfId="225" xr:uid="{00000000-0005-0000-0000-0000AA010000}"/>
    <cellStyle name="Euro 10 16 2" xfId="4366" xr:uid="{00000000-0005-0000-0000-0000AB010000}"/>
    <cellStyle name="Euro 10 17" xfId="226" xr:uid="{00000000-0005-0000-0000-0000AC010000}"/>
    <cellStyle name="Euro 10 17 2" xfId="4367" xr:uid="{00000000-0005-0000-0000-0000AD010000}"/>
    <cellStyle name="Euro 10 18" xfId="227" xr:uid="{00000000-0005-0000-0000-0000AE010000}"/>
    <cellStyle name="Euro 10 18 2" xfId="4368" xr:uid="{00000000-0005-0000-0000-0000AF010000}"/>
    <cellStyle name="Euro 10 19" xfId="228" xr:uid="{00000000-0005-0000-0000-0000B0010000}"/>
    <cellStyle name="Euro 10 19 2" xfId="4369" xr:uid="{00000000-0005-0000-0000-0000B1010000}"/>
    <cellStyle name="Euro 10 2" xfId="229" xr:uid="{00000000-0005-0000-0000-0000B2010000}"/>
    <cellStyle name="Euro 10 2 2" xfId="4370" xr:uid="{00000000-0005-0000-0000-0000B3010000}"/>
    <cellStyle name="Euro 10 20" xfId="230" xr:uid="{00000000-0005-0000-0000-0000B4010000}"/>
    <cellStyle name="Euro 10 20 2" xfId="4371" xr:uid="{00000000-0005-0000-0000-0000B5010000}"/>
    <cellStyle name="Euro 10 21" xfId="231" xr:uid="{00000000-0005-0000-0000-0000B6010000}"/>
    <cellStyle name="Euro 10 21 2" xfId="4372" xr:uid="{00000000-0005-0000-0000-0000B7010000}"/>
    <cellStyle name="Euro 10 22" xfId="232" xr:uid="{00000000-0005-0000-0000-0000B8010000}"/>
    <cellStyle name="Euro 10 22 2" xfId="4373" xr:uid="{00000000-0005-0000-0000-0000B9010000}"/>
    <cellStyle name="Euro 10 23" xfId="233" xr:uid="{00000000-0005-0000-0000-0000BA010000}"/>
    <cellStyle name="Euro 10 23 2" xfId="4374" xr:uid="{00000000-0005-0000-0000-0000BB010000}"/>
    <cellStyle name="Euro 10 24" xfId="234" xr:uid="{00000000-0005-0000-0000-0000BC010000}"/>
    <cellStyle name="Euro 10 24 2" xfId="4375" xr:uid="{00000000-0005-0000-0000-0000BD010000}"/>
    <cellStyle name="Euro 10 25" xfId="235" xr:uid="{00000000-0005-0000-0000-0000BE010000}"/>
    <cellStyle name="Euro 10 25 2" xfId="4376" xr:uid="{00000000-0005-0000-0000-0000BF010000}"/>
    <cellStyle name="Euro 10 26" xfId="236" xr:uid="{00000000-0005-0000-0000-0000C0010000}"/>
    <cellStyle name="Euro 10 26 2" xfId="4377" xr:uid="{00000000-0005-0000-0000-0000C1010000}"/>
    <cellStyle name="Euro 10 27" xfId="237" xr:uid="{00000000-0005-0000-0000-0000C2010000}"/>
    <cellStyle name="Euro 10 27 2" xfId="4378" xr:uid="{00000000-0005-0000-0000-0000C3010000}"/>
    <cellStyle name="Euro 10 28" xfId="238" xr:uid="{00000000-0005-0000-0000-0000C4010000}"/>
    <cellStyle name="Euro 10 28 2" xfId="4379" xr:uid="{00000000-0005-0000-0000-0000C5010000}"/>
    <cellStyle name="Euro 10 29" xfId="4380" xr:uid="{00000000-0005-0000-0000-0000C6010000}"/>
    <cellStyle name="Euro 10 3" xfId="239" xr:uid="{00000000-0005-0000-0000-0000C7010000}"/>
    <cellStyle name="Euro 10 3 2" xfId="4381" xr:uid="{00000000-0005-0000-0000-0000C8010000}"/>
    <cellStyle name="Euro 10 4" xfId="240" xr:uid="{00000000-0005-0000-0000-0000C9010000}"/>
    <cellStyle name="Euro 10 4 2" xfId="4382" xr:uid="{00000000-0005-0000-0000-0000CA010000}"/>
    <cellStyle name="Euro 10 5" xfId="241" xr:uid="{00000000-0005-0000-0000-0000CB010000}"/>
    <cellStyle name="Euro 10 5 2" xfId="4383" xr:uid="{00000000-0005-0000-0000-0000CC010000}"/>
    <cellStyle name="Euro 10 6" xfId="242" xr:uid="{00000000-0005-0000-0000-0000CD010000}"/>
    <cellStyle name="Euro 10 6 2" xfId="4384" xr:uid="{00000000-0005-0000-0000-0000CE010000}"/>
    <cellStyle name="Euro 10 7" xfId="243" xr:uid="{00000000-0005-0000-0000-0000CF010000}"/>
    <cellStyle name="Euro 10 7 2" xfId="4385" xr:uid="{00000000-0005-0000-0000-0000D0010000}"/>
    <cellStyle name="Euro 10 8" xfId="244" xr:uid="{00000000-0005-0000-0000-0000D1010000}"/>
    <cellStyle name="Euro 10 8 2" xfId="4386" xr:uid="{00000000-0005-0000-0000-0000D2010000}"/>
    <cellStyle name="Euro 10 9" xfId="245" xr:uid="{00000000-0005-0000-0000-0000D3010000}"/>
    <cellStyle name="Euro 10 9 2" xfId="4387" xr:uid="{00000000-0005-0000-0000-0000D4010000}"/>
    <cellStyle name="Euro 11" xfId="246" xr:uid="{00000000-0005-0000-0000-0000D5010000}"/>
    <cellStyle name="Euro 11 10" xfId="247" xr:uid="{00000000-0005-0000-0000-0000D6010000}"/>
    <cellStyle name="Euro 11 10 2" xfId="4388" xr:uid="{00000000-0005-0000-0000-0000D7010000}"/>
    <cellStyle name="Euro 11 11" xfId="248" xr:uid="{00000000-0005-0000-0000-0000D8010000}"/>
    <cellStyle name="Euro 11 11 2" xfId="4389" xr:uid="{00000000-0005-0000-0000-0000D9010000}"/>
    <cellStyle name="Euro 11 12" xfId="249" xr:uid="{00000000-0005-0000-0000-0000DA010000}"/>
    <cellStyle name="Euro 11 12 2" xfId="4390" xr:uid="{00000000-0005-0000-0000-0000DB010000}"/>
    <cellStyle name="Euro 11 13" xfId="250" xr:uid="{00000000-0005-0000-0000-0000DC010000}"/>
    <cellStyle name="Euro 11 13 2" xfId="4391" xr:uid="{00000000-0005-0000-0000-0000DD010000}"/>
    <cellStyle name="Euro 11 14" xfId="251" xr:uid="{00000000-0005-0000-0000-0000DE010000}"/>
    <cellStyle name="Euro 11 14 2" xfId="4392" xr:uid="{00000000-0005-0000-0000-0000DF010000}"/>
    <cellStyle name="Euro 11 15" xfId="252" xr:uid="{00000000-0005-0000-0000-0000E0010000}"/>
    <cellStyle name="Euro 11 15 2" xfId="4393" xr:uid="{00000000-0005-0000-0000-0000E1010000}"/>
    <cellStyle name="Euro 11 16" xfId="253" xr:uid="{00000000-0005-0000-0000-0000E2010000}"/>
    <cellStyle name="Euro 11 16 2" xfId="4394" xr:uid="{00000000-0005-0000-0000-0000E3010000}"/>
    <cellStyle name="Euro 11 17" xfId="254" xr:uid="{00000000-0005-0000-0000-0000E4010000}"/>
    <cellStyle name="Euro 11 17 2" xfId="4395" xr:uid="{00000000-0005-0000-0000-0000E5010000}"/>
    <cellStyle name="Euro 11 18" xfId="255" xr:uid="{00000000-0005-0000-0000-0000E6010000}"/>
    <cellStyle name="Euro 11 18 2" xfId="4396" xr:uid="{00000000-0005-0000-0000-0000E7010000}"/>
    <cellStyle name="Euro 11 19" xfId="256" xr:uid="{00000000-0005-0000-0000-0000E8010000}"/>
    <cellStyle name="Euro 11 19 2" xfId="4397" xr:uid="{00000000-0005-0000-0000-0000E9010000}"/>
    <cellStyle name="Euro 11 2" xfId="257" xr:uid="{00000000-0005-0000-0000-0000EA010000}"/>
    <cellStyle name="Euro 11 2 2" xfId="4398" xr:uid="{00000000-0005-0000-0000-0000EB010000}"/>
    <cellStyle name="Euro 11 20" xfId="258" xr:uid="{00000000-0005-0000-0000-0000EC010000}"/>
    <cellStyle name="Euro 11 20 2" xfId="4399" xr:uid="{00000000-0005-0000-0000-0000ED010000}"/>
    <cellStyle name="Euro 11 21" xfId="259" xr:uid="{00000000-0005-0000-0000-0000EE010000}"/>
    <cellStyle name="Euro 11 21 2" xfId="4400" xr:uid="{00000000-0005-0000-0000-0000EF010000}"/>
    <cellStyle name="Euro 11 22" xfId="260" xr:uid="{00000000-0005-0000-0000-0000F0010000}"/>
    <cellStyle name="Euro 11 22 2" xfId="4401" xr:uid="{00000000-0005-0000-0000-0000F1010000}"/>
    <cellStyle name="Euro 11 23" xfId="261" xr:uid="{00000000-0005-0000-0000-0000F2010000}"/>
    <cellStyle name="Euro 11 23 2" xfId="4402" xr:uid="{00000000-0005-0000-0000-0000F3010000}"/>
    <cellStyle name="Euro 11 24" xfId="262" xr:uid="{00000000-0005-0000-0000-0000F4010000}"/>
    <cellStyle name="Euro 11 24 2" xfId="4403" xr:uid="{00000000-0005-0000-0000-0000F5010000}"/>
    <cellStyle name="Euro 11 25" xfId="263" xr:uid="{00000000-0005-0000-0000-0000F6010000}"/>
    <cellStyle name="Euro 11 25 2" xfId="4404" xr:uid="{00000000-0005-0000-0000-0000F7010000}"/>
    <cellStyle name="Euro 11 26" xfId="264" xr:uid="{00000000-0005-0000-0000-0000F8010000}"/>
    <cellStyle name="Euro 11 26 2" xfId="4405" xr:uid="{00000000-0005-0000-0000-0000F9010000}"/>
    <cellStyle name="Euro 11 27" xfId="265" xr:uid="{00000000-0005-0000-0000-0000FA010000}"/>
    <cellStyle name="Euro 11 27 2" xfId="4406" xr:uid="{00000000-0005-0000-0000-0000FB010000}"/>
    <cellStyle name="Euro 11 28" xfId="266" xr:uid="{00000000-0005-0000-0000-0000FC010000}"/>
    <cellStyle name="Euro 11 28 2" xfId="4407" xr:uid="{00000000-0005-0000-0000-0000FD010000}"/>
    <cellStyle name="Euro 11 29" xfId="4408" xr:uid="{00000000-0005-0000-0000-0000FE010000}"/>
    <cellStyle name="Euro 11 3" xfId="267" xr:uid="{00000000-0005-0000-0000-0000FF010000}"/>
    <cellStyle name="Euro 11 3 2" xfId="4409" xr:uid="{00000000-0005-0000-0000-000000020000}"/>
    <cellStyle name="Euro 11 4" xfId="268" xr:uid="{00000000-0005-0000-0000-000001020000}"/>
    <cellStyle name="Euro 11 4 2" xfId="4410" xr:uid="{00000000-0005-0000-0000-000002020000}"/>
    <cellStyle name="Euro 11 5" xfId="269" xr:uid="{00000000-0005-0000-0000-000003020000}"/>
    <cellStyle name="Euro 11 5 2" xfId="4411" xr:uid="{00000000-0005-0000-0000-000004020000}"/>
    <cellStyle name="Euro 11 6" xfId="270" xr:uid="{00000000-0005-0000-0000-000005020000}"/>
    <cellStyle name="Euro 11 6 2" xfId="4412" xr:uid="{00000000-0005-0000-0000-000006020000}"/>
    <cellStyle name="Euro 11 7" xfId="271" xr:uid="{00000000-0005-0000-0000-000007020000}"/>
    <cellStyle name="Euro 11 7 2" xfId="4413" xr:uid="{00000000-0005-0000-0000-000008020000}"/>
    <cellStyle name="Euro 11 8" xfId="272" xr:uid="{00000000-0005-0000-0000-000009020000}"/>
    <cellStyle name="Euro 11 8 2" xfId="4414" xr:uid="{00000000-0005-0000-0000-00000A020000}"/>
    <cellStyle name="Euro 11 9" xfId="273" xr:uid="{00000000-0005-0000-0000-00000B020000}"/>
    <cellStyle name="Euro 11 9 2" xfId="4415" xr:uid="{00000000-0005-0000-0000-00000C020000}"/>
    <cellStyle name="Euro 12" xfId="274" xr:uid="{00000000-0005-0000-0000-00000D020000}"/>
    <cellStyle name="Euro 12 10" xfId="275" xr:uid="{00000000-0005-0000-0000-00000E020000}"/>
    <cellStyle name="Euro 12 10 2" xfId="4416" xr:uid="{00000000-0005-0000-0000-00000F020000}"/>
    <cellStyle name="Euro 12 11" xfId="276" xr:uid="{00000000-0005-0000-0000-000010020000}"/>
    <cellStyle name="Euro 12 11 2" xfId="4417" xr:uid="{00000000-0005-0000-0000-000011020000}"/>
    <cellStyle name="Euro 12 12" xfId="277" xr:uid="{00000000-0005-0000-0000-000012020000}"/>
    <cellStyle name="Euro 12 12 2" xfId="4418" xr:uid="{00000000-0005-0000-0000-000013020000}"/>
    <cellStyle name="Euro 12 13" xfId="278" xr:uid="{00000000-0005-0000-0000-000014020000}"/>
    <cellStyle name="Euro 12 13 2" xfId="4419" xr:uid="{00000000-0005-0000-0000-000015020000}"/>
    <cellStyle name="Euro 12 14" xfId="279" xr:uid="{00000000-0005-0000-0000-000016020000}"/>
    <cellStyle name="Euro 12 14 2" xfId="4420" xr:uid="{00000000-0005-0000-0000-000017020000}"/>
    <cellStyle name="Euro 12 15" xfId="280" xr:uid="{00000000-0005-0000-0000-000018020000}"/>
    <cellStyle name="Euro 12 15 2" xfId="4421" xr:uid="{00000000-0005-0000-0000-000019020000}"/>
    <cellStyle name="Euro 12 16" xfId="281" xr:uid="{00000000-0005-0000-0000-00001A020000}"/>
    <cellStyle name="Euro 12 16 2" xfId="4422" xr:uid="{00000000-0005-0000-0000-00001B020000}"/>
    <cellStyle name="Euro 12 17" xfId="282" xr:uid="{00000000-0005-0000-0000-00001C020000}"/>
    <cellStyle name="Euro 12 17 2" xfId="4423" xr:uid="{00000000-0005-0000-0000-00001D020000}"/>
    <cellStyle name="Euro 12 18" xfId="283" xr:uid="{00000000-0005-0000-0000-00001E020000}"/>
    <cellStyle name="Euro 12 18 2" xfId="4424" xr:uid="{00000000-0005-0000-0000-00001F020000}"/>
    <cellStyle name="Euro 12 19" xfId="284" xr:uid="{00000000-0005-0000-0000-000020020000}"/>
    <cellStyle name="Euro 12 19 2" xfId="4425" xr:uid="{00000000-0005-0000-0000-000021020000}"/>
    <cellStyle name="Euro 12 2" xfId="285" xr:uid="{00000000-0005-0000-0000-000022020000}"/>
    <cellStyle name="Euro 12 2 2" xfId="4426" xr:uid="{00000000-0005-0000-0000-000023020000}"/>
    <cellStyle name="Euro 12 20" xfId="286" xr:uid="{00000000-0005-0000-0000-000024020000}"/>
    <cellStyle name="Euro 12 20 2" xfId="4427" xr:uid="{00000000-0005-0000-0000-000025020000}"/>
    <cellStyle name="Euro 12 21" xfId="287" xr:uid="{00000000-0005-0000-0000-000026020000}"/>
    <cellStyle name="Euro 12 21 2" xfId="4428" xr:uid="{00000000-0005-0000-0000-000027020000}"/>
    <cellStyle name="Euro 12 22" xfId="288" xr:uid="{00000000-0005-0000-0000-000028020000}"/>
    <cellStyle name="Euro 12 22 2" xfId="4429" xr:uid="{00000000-0005-0000-0000-000029020000}"/>
    <cellStyle name="Euro 12 23" xfId="289" xr:uid="{00000000-0005-0000-0000-00002A020000}"/>
    <cellStyle name="Euro 12 23 2" xfId="4430" xr:uid="{00000000-0005-0000-0000-00002B020000}"/>
    <cellStyle name="Euro 12 24" xfId="290" xr:uid="{00000000-0005-0000-0000-00002C020000}"/>
    <cellStyle name="Euro 12 24 2" xfId="4431" xr:uid="{00000000-0005-0000-0000-00002D020000}"/>
    <cellStyle name="Euro 12 25" xfId="291" xr:uid="{00000000-0005-0000-0000-00002E020000}"/>
    <cellStyle name="Euro 12 25 2" xfId="4432" xr:uid="{00000000-0005-0000-0000-00002F020000}"/>
    <cellStyle name="Euro 12 26" xfId="292" xr:uid="{00000000-0005-0000-0000-000030020000}"/>
    <cellStyle name="Euro 12 26 2" xfId="4433" xr:uid="{00000000-0005-0000-0000-000031020000}"/>
    <cellStyle name="Euro 12 27" xfId="293" xr:uid="{00000000-0005-0000-0000-000032020000}"/>
    <cellStyle name="Euro 12 27 2" xfId="4434" xr:uid="{00000000-0005-0000-0000-000033020000}"/>
    <cellStyle name="Euro 12 28" xfId="294" xr:uid="{00000000-0005-0000-0000-000034020000}"/>
    <cellStyle name="Euro 12 28 2" xfId="4435" xr:uid="{00000000-0005-0000-0000-000035020000}"/>
    <cellStyle name="Euro 12 29" xfId="4436" xr:uid="{00000000-0005-0000-0000-000036020000}"/>
    <cellStyle name="Euro 12 3" xfId="295" xr:uid="{00000000-0005-0000-0000-000037020000}"/>
    <cellStyle name="Euro 12 3 2" xfId="4437" xr:uid="{00000000-0005-0000-0000-000038020000}"/>
    <cellStyle name="Euro 12 4" xfId="296" xr:uid="{00000000-0005-0000-0000-000039020000}"/>
    <cellStyle name="Euro 12 4 2" xfId="4438" xr:uid="{00000000-0005-0000-0000-00003A020000}"/>
    <cellStyle name="Euro 12 5" xfId="297" xr:uid="{00000000-0005-0000-0000-00003B020000}"/>
    <cellStyle name="Euro 12 5 2" xfId="4439" xr:uid="{00000000-0005-0000-0000-00003C020000}"/>
    <cellStyle name="Euro 12 6" xfId="298" xr:uid="{00000000-0005-0000-0000-00003D020000}"/>
    <cellStyle name="Euro 12 6 2" xfId="4440" xr:uid="{00000000-0005-0000-0000-00003E020000}"/>
    <cellStyle name="Euro 12 7" xfId="299" xr:uid="{00000000-0005-0000-0000-00003F020000}"/>
    <cellStyle name="Euro 12 7 2" xfId="4441" xr:uid="{00000000-0005-0000-0000-000040020000}"/>
    <cellStyle name="Euro 12 8" xfId="300" xr:uid="{00000000-0005-0000-0000-000041020000}"/>
    <cellStyle name="Euro 12 8 2" xfId="4442" xr:uid="{00000000-0005-0000-0000-000042020000}"/>
    <cellStyle name="Euro 12 9" xfId="301" xr:uid="{00000000-0005-0000-0000-000043020000}"/>
    <cellStyle name="Euro 12 9 2" xfId="4443" xr:uid="{00000000-0005-0000-0000-000044020000}"/>
    <cellStyle name="Euro 13" xfId="302" xr:uid="{00000000-0005-0000-0000-000045020000}"/>
    <cellStyle name="Euro 13 10" xfId="303" xr:uid="{00000000-0005-0000-0000-000046020000}"/>
    <cellStyle name="Euro 13 10 2" xfId="4444" xr:uid="{00000000-0005-0000-0000-000047020000}"/>
    <cellStyle name="Euro 13 11" xfId="304" xr:uid="{00000000-0005-0000-0000-000048020000}"/>
    <cellStyle name="Euro 13 11 2" xfId="4445" xr:uid="{00000000-0005-0000-0000-000049020000}"/>
    <cellStyle name="Euro 13 12" xfId="305" xr:uid="{00000000-0005-0000-0000-00004A020000}"/>
    <cellStyle name="Euro 13 12 2" xfId="4446" xr:uid="{00000000-0005-0000-0000-00004B020000}"/>
    <cellStyle name="Euro 13 13" xfId="306" xr:uid="{00000000-0005-0000-0000-00004C020000}"/>
    <cellStyle name="Euro 13 13 2" xfId="4447" xr:uid="{00000000-0005-0000-0000-00004D020000}"/>
    <cellStyle name="Euro 13 14" xfId="307" xr:uid="{00000000-0005-0000-0000-00004E020000}"/>
    <cellStyle name="Euro 13 14 2" xfId="4448" xr:uid="{00000000-0005-0000-0000-00004F020000}"/>
    <cellStyle name="Euro 13 15" xfId="308" xr:uid="{00000000-0005-0000-0000-000050020000}"/>
    <cellStyle name="Euro 13 15 2" xfId="4449" xr:uid="{00000000-0005-0000-0000-000051020000}"/>
    <cellStyle name="Euro 13 16" xfId="309" xr:uid="{00000000-0005-0000-0000-000052020000}"/>
    <cellStyle name="Euro 13 16 2" xfId="4450" xr:uid="{00000000-0005-0000-0000-000053020000}"/>
    <cellStyle name="Euro 13 17" xfId="310" xr:uid="{00000000-0005-0000-0000-000054020000}"/>
    <cellStyle name="Euro 13 17 2" xfId="4451" xr:uid="{00000000-0005-0000-0000-000055020000}"/>
    <cellStyle name="Euro 13 18" xfId="311" xr:uid="{00000000-0005-0000-0000-000056020000}"/>
    <cellStyle name="Euro 13 18 2" xfId="4452" xr:uid="{00000000-0005-0000-0000-000057020000}"/>
    <cellStyle name="Euro 13 19" xfId="312" xr:uid="{00000000-0005-0000-0000-000058020000}"/>
    <cellStyle name="Euro 13 19 2" xfId="4453" xr:uid="{00000000-0005-0000-0000-000059020000}"/>
    <cellStyle name="Euro 13 2" xfId="313" xr:uid="{00000000-0005-0000-0000-00005A020000}"/>
    <cellStyle name="Euro 13 2 2" xfId="4454" xr:uid="{00000000-0005-0000-0000-00005B020000}"/>
    <cellStyle name="Euro 13 20" xfId="314" xr:uid="{00000000-0005-0000-0000-00005C020000}"/>
    <cellStyle name="Euro 13 20 2" xfId="4455" xr:uid="{00000000-0005-0000-0000-00005D020000}"/>
    <cellStyle name="Euro 13 21" xfId="315" xr:uid="{00000000-0005-0000-0000-00005E020000}"/>
    <cellStyle name="Euro 13 21 2" xfId="4456" xr:uid="{00000000-0005-0000-0000-00005F020000}"/>
    <cellStyle name="Euro 13 22" xfId="316" xr:uid="{00000000-0005-0000-0000-000060020000}"/>
    <cellStyle name="Euro 13 22 2" xfId="4457" xr:uid="{00000000-0005-0000-0000-000061020000}"/>
    <cellStyle name="Euro 13 23" xfId="317" xr:uid="{00000000-0005-0000-0000-000062020000}"/>
    <cellStyle name="Euro 13 23 2" xfId="4458" xr:uid="{00000000-0005-0000-0000-000063020000}"/>
    <cellStyle name="Euro 13 24" xfId="318" xr:uid="{00000000-0005-0000-0000-000064020000}"/>
    <cellStyle name="Euro 13 24 2" xfId="4459" xr:uid="{00000000-0005-0000-0000-000065020000}"/>
    <cellStyle name="Euro 13 25" xfId="319" xr:uid="{00000000-0005-0000-0000-000066020000}"/>
    <cellStyle name="Euro 13 25 2" xfId="4460" xr:uid="{00000000-0005-0000-0000-000067020000}"/>
    <cellStyle name="Euro 13 26" xfId="320" xr:uid="{00000000-0005-0000-0000-000068020000}"/>
    <cellStyle name="Euro 13 26 2" xfId="4461" xr:uid="{00000000-0005-0000-0000-000069020000}"/>
    <cellStyle name="Euro 13 27" xfId="321" xr:uid="{00000000-0005-0000-0000-00006A020000}"/>
    <cellStyle name="Euro 13 27 2" xfId="4462" xr:uid="{00000000-0005-0000-0000-00006B020000}"/>
    <cellStyle name="Euro 13 28" xfId="322" xr:uid="{00000000-0005-0000-0000-00006C020000}"/>
    <cellStyle name="Euro 13 28 2" xfId="4463" xr:uid="{00000000-0005-0000-0000-00006D020000}"/>
    <cellStyle name="Euro 13 29" xfId="4464" xr:uid="{00000000-0005-0000-0000-00006E020000}"/>
    <cellStyle name="Euro 13 3" xfId="323" xr:uid="{00000000-0005-0000-0000-00006F020000}"/>
    <cellStyle name="Euro 13 3 2" xfId="4465" xr:uid="{00000000-0005-0000-0000-000070020000}"/>
    <cellStyle name="Euro 13 4" xfId="324" xr:uid="{00000000-0005-0000-0000-000071020000}"/>
    <cellStyle name="Euro 13 4 2" xfId="4466" xr:uid="{00000000-0005-0000-0000-000072020000}"/>
    <cellStyle name="Euro 13 5" xfId="325" xr:uid="{00000000-0005-0000-0000-000073020000}"/>
    <cellStyle name="Euro 13 5 2" xfId="4467" xr:uid="{00000000-0005-0000-0000-000074020000}"/>
    <cellStyle name="Euro 13 6" xfId="326" xr:uid="{00000000-0005-0000-0000-000075020000}"/>
    <cellStyle name="Euro 13 6 2" xfId="4468" xr:uid="{00000000-0005-0000-0000-000076020000}"/>
    <cellStyle name="Euro 13 7" xfId="327" xr:uid="{00000000-0005-0000-0000-000077020000}"/>
    <cellStyle name="Euro 13 7 2" xfId="4469" xr:uid="{00000000-0005-0000-0000-000078020000}"/>
    <cellStyle name="Euro 13 8" xfId="328" xr:uid="{00000000-0005-0000-0000-000079020000}"/>
    <cellStyle name="Euro 13 8 2" xfId="4470" xr:uid="{00000000-0005-0000-0000-00007A020000}"/>
    <cellStyle name="Euro 13 9" xfId="329" xr:uid="{00000000-0005-0000-0000-00007B020000}"/>
    <cellStyle name="Euro 13 9 2" xfId="4471" xr:uid="{00000000-0005-0000-0000-00007C020000}"/>
    <cellStyle name="Euro 14" xfId="330" xr:uid="{00000000-0005-0000-0000-00007D020000}"/>
    <cellStyle name="Euro 14 10" xfId="331" xr:uid="{00000000-0005-0000-0000-00007E020000}"/>
    <cellStyle name="Euro 14 10 2" xfId="4472" xr:uid="{00000000-0005-0000-0000-00007F020000}"/>
    <cellStyle name="Euro 14 11" xfId="332" xr:uid="{00000000-0005-0000-0000-000080020000}"/>
    <cellStyle name="Euro 14 11 2" xfId="4473" xr:uid="{00000000-0005-0000-0000-000081020000}"/>
    <cellStyle name="Euro 14 12" xfId="333" xr:uid="{00000000-0005-0000-0000-000082020000}"/>
    <cellStyle name="Euro 14 12 2" xfId="4474" xr:uid="{00000000-0005-0000-0000-000083020000}"/>
    <cellStyle name="Euro 14 13" xfId="334" xr:uid="{00000000-0005-0000-0000-000084020000}"/>
    <cellStyle name="Euro 14 13 2" xfId="4475" xr:uid="{00000000-0005-0000-0000-000085020000}"/>
    <cellStyle name="Euro 14 14" xfId="335" xr:uid="{00000000-0005-0000-0000-000086020000}"/>
    <cellStyle name="Euro 14 14 2" xfId="4476" xr:uid="{00000000-0005-0000-0000-000087020000}"/>
    <cellStyle name="Euro 14 15" xfId="336" xr:uid="{00000000-0005-0000-0000-000088020000}"/>
    <cellStyle name="Euro 14 15 2" xfId="4477" xr:uid="{00000000-0005-0000-0000-000089020000}"/>
    <cellStyle name="Euro 14 16" xfId="337" xr:uid="{00000000-0005-0000-0000-00008A020000}"/>
    <cellStyle name="Euro 14 16 2" xfId="4478" xr:uid="{00000000-0005-0000-0000-00008B020000}"/>
    <cellStyle name="Euro 14 17" xfId="338" xr:uid="{00000000-0005-0000-0000-00008C020000}"/>
    <cellStyle name="Euro 14 17 2" xfId="4479" xr:uid="{00000000-0005-0000-0000-00008D020000}"/>
    <cellStyle name="Euro 14 18" xfId="339" xr:uid="{00000000-0005-0000-0000-00008E020000}"/>
    <cellStyle name="Euro 14 18 2" xfId="4480" xr:uid="{00000000-0005-0000-0000-00008F020000}"/>
    <cellStyle name="Euro 14 19" xfId="340" xr:uid="{00000000-0005-0000-0000-000090020000}"/>
    <cellStyle name="Euro 14 19 2" xfId="4481" xr:uid="{00000000-0005-0000-0000-000091020000}"/>
    <cellStyle name="Euro 14 2" xfId="341" xr:uid="{00000000-0005-0000-0000-000092020000}"/>
    <cellStyle name="Euro 14 2 2" xfId="4482" xr:uid="{00000000-0005-0000-0000-000093020000}"/>
    <cellStyle name="Euro 14 20" xfId="342" xr:uid="{00000000-0005-0000-0000-000094020000}"/>
    <cellStyle name="Euro 14 20 2" xfId="4483" xr:uid="{00000000-0005-0000-0000-000095020000}"/>
    <cellStyle name="Euro 14 21" xfId="343" xr:uid="{00000000-0005-0000-0000-000096020000}"/>
    <cellStyle name="Euro 14 21 2" xfId="4484" xr:uid="{00000000-0005-0000-0000-000097020000}"/>
    <cellStyle name="Euro 14 22" xfId="344" xr:uid="{00000000-0005-0000-0000-000098020000}"/>
    <cellStyle name="Euro 14 22 2" xfId="4485" xr:uid="{00000000-0005-0000-0000-000099020000}"/>
    <cellStyle name="Euro 14 23" xfId="345" xr:uid="{00000000-0005-0000-0000-00009A020000}"/>
    <cellStyle name="Euro 14 23 2" xfId="4486" xr:uid="{00000000-0005-0000-0000-00009B020000}"/>
    <cellStyle name="Euro 14 24" xfId="346" xr:uid="{00000000-0005-0000-0000-00009C020000}"/>
    <cellStyle name="Euro 14 24 2" xfId="4487" xr:uid="{00000000-0005-0000-0000-00009D020000}"/>
    <cellStyle name="Euro 14 25" xfId="347" xr:uid="{00000000-0005-0000-0000-00009E020000}"/>
    <cellStyle name="Euro 14 25 2" xfId="4488" xr:uid="{00000000-0005-0000-0000-00009F020000}"/>
    <cellStyle name="Euro 14 26" xfId="348" xr:uid="{00000000-0005-0000-0000-0000A0020000}"/>
    <cellStyle name="Euro 14 26 2" xfId="4489" xr:uid="{00000000-0005-0000-0000-0000A1020000}"/>
    <cellStyle name="Euro 14 27" xfId="349" xr:uid="{00000000-0005-0000-0000-0000A2020000}"/>
    <cellStyle name="Euro 14 27 2" xfId="4490" xr:uid="{00000000-0005-0000-0000-0000A3020000}"/>
    <cellStyle name="Euro 14 28" xfId="350" xr:uid="{00000000-0005-0000-0000-0000A4020000}"/>
    <cellStyle name="Euro 14 28 2" xfId="4491" xr:uid="{00000000-0005-0000-0000-0000A5020000}"/>
    <cellStyle name="Euro 14 29" xfId="4492" xr:uid="{00000000-0005-0000-0000-0000A6020000}"/>
    <cellStyle name="Euro 14 3" xfId="351" xr:uid="{00000000-0005-0000-0000-0000A7020000}"/>
    <cellStyle name="Euro 14 3 2" xfId="4493" xr:uid="{00000000-0005-0000-0000-0000A8020000}"/>
    <cellStyle name="Euro 14 4" xfId="352" xr:uid="{00000000-0005-0000-0000-0000A9020000}"/>
    <cellStyle name="Euro 14 4 2" xfId="4494" xr:uid="{00000000-0005-0000-0000-0000AA020000}"/>
    <cellStyle name="Euro 14 5" xfId="353" xr:uid="{00000000-0005-0000-0000-0000AB020000}"/>
    <cellStyle name="Euro 14 5 2" xfId="4495" xr:uid="{00000000-0005-0000-0000-0000AC020000}"/>
    <cellStyle name="Euro 14 6" xfId="354" xr:uid="{00000000-0005-0000-0000-0000AD020000}"/>
    <cellStyle name="Euro 14 6 2" xfId="4496" xr:uid="{00000000-0005-0000-0000-0000AE020000}"/>
    <cellStyle name="Euro 14 7" xfId="355" xr:uid="{00000000-0005-0000-0000-0000AF020000}"/>
    <cellStyle name="Euro 14 7 2" xfId="4497" xr:uid="{00000000-0005-0000-0000-0000B0020000}"/>
    <cellStyle name="Euro 14 8" xfId="356" xr:uid="{00000000-0005-0000-0000-0000B1020000}"/>
    <cellStyle name="Euro 14 8 2" xfId="4498" xr:uid="{00000000-0005-0000-0000-0000B2020000}"/>
    <cellStyle name="Euro 14 9" xfId="357" xr:uid="{00000000-0005-0000-0000-0000B3020000}"/>
    <cellStyle name="Euro 14 9 2" xfId="4499" xr:uid="{00000000-0005-0000-0000-0000B4020000}"/>
    <cellStyle name="Euro 15" xfId="358" xr:uid="{00000000-0005-0000-0000-0000B5020000}"/>
    <cellStyle name="Euro 15 10" xfId="359" xr:uid="{00000000-0005-0000-0000-0000B6020000}"/>
    <cellStyle name="Euro 15 10 2" xfId="4500" xr:uid="{00000000-0005-0000-0000-0000B7020000}"/>
    <cellStyle name="Euro 15 11" xfId="360" xr:uid="{00000000-0005-0000-0000-0000B8020000}"/>
    <cellStyle name="Euro 15 11 2" xfId="4501" xr:uid="{00000000-0005-0000-0000-0000B9020000}"/>
    <cellStyle name="Euro 15 12" xfId="361" xr:uid="{00000000-0005-0000-0000-0000BA020000}"/>
    <cellStyle name="Euro 15 12 2" xfId="4502" xr:uid="{00000000-0005-0000-0000-0000BB020000}"/>
    <cellStyle name="Euro 15 13" xfId="362" xr:uid="{00000000-0005-0000-0000-0000BC020000}"/>
    <cellStyle name="Euro 15 13 2" xfId="4503" xr:uid="{00000000-0005-0000-0000-0000BD020000}"/>
    <cellStyle name="Euro 15 14" xfId="363" xr:uid="{00000000-0005-0000-0000-0000BE020000}"/>
    <cellStyle name="Euro 15 14 2" xfId="4504" xr:uid="{00000000-0005-0000-0000-0000BF020000}"/>
    <cellStyle name="Euro 15 15" xfId="364" xr:uid="{00000000-0005-0000-0000-0000C0020000}"/>
    <cellStyle name="Euro 15 15 2" xfId="4505" xr:uid="{00000000-0005-0000-0000-0000C1020000}"/>
    <cellStyle name="Euro 15 16" xfId="365" xr:uid="{00000000-0005-0000-0000-0000C2020000}"/>
    <cellStyle name="Euro 15 16 2" xfId="4506" xr:uid="{00000000-0005-0000-0000-0000C3020000}"/>
    <cellStyle name="Euro 15 17" xfId="366" xr:uid="{00000000-0005-0000-0000-0000C4020000}"/>
    <cellStyle name="Euro 15 17 2" xfId="4507" xr:uid="{00000000-0005-0000-0000-0000C5020000}"/>
    <cellStyle name="Euro 15 18" xfId="367" xr:uid="{00000000-0005-0000-0000-0000C6020000}"/>
    <cellStyle name="Euro 15 18 2" xfId="4508" xr:uid="{00000000-0005-0000-0000-0000C7020000}"/>
    <cellStyle name="Euro 15 19" xfId="368" xr:uid="{00000000-0005-0000-0000-0000C8020000}"/>
    <cellStyle name="Euro 15 19 2" xfId="4509" xr:uid="{00000000-0005-0000-0000-0000C9020000}"/>
    <cellStyle name="Euro 15 2" xfId="369" xr:uid="{00000000-0005-0000-0000-0000CA020000}"/>
    <cellStyle name="Euro 15 2 2" xfId="4510" xr:uid="{00000000-0005-0000-0000-0000CB020000}"/>
    <cellStyle name="Euro 15 20" xfId="370" xr:uid="{00000000-0005-0000-0000-0000CC020000}"/>
    <cellStyle name="Euro 15 20 2" xfId="4511" xr:uid="{00000000-0005-0000-0000-0000CD020000}"/>
    <cellStyle name="Euro 15 21" xfId="371" xr:uid="{00000000-0005-0000-0000-0000CE020000}"/>
    <cellStyle name="Euro 15 21 2" xfId="4512" xr:uid="{00000000-0005-0000-0000-0000CF020000}"/>
    <cellStyle name="Euro 15 22" xfId="372" xr:uid="{00000000-0005-0000-0000-0000D0020000}"/>
    <cellStyle name="Euro 15 22 2" xfId="4513" xr:uid="{00000000-0005-0000-0000-0000D1020000}"/>
    <cellStyle name="Euro 15 23" xfId="373" xr:uid="{00000000-0005-0000-0000-0000D2020000}"/>
    <cellStyle name="Euro 15 23 2" xfId="4514" xr:uid="{00000000-0005-0000-0000-0000D3020000}"/>
    <cellStyle name="Euro 15 24" xfId="374" xr:uid="{00000000-0005-0000-0000-0000D4020000}"/>
    <cellStyle name="Euro 15 24 2" xfId="4515" xr:uid="{00000000-0005-0000-0000-0000D5020000}"/>
    <cellStyle name="Euro 15 25" xfId="375" xr:uid="{00000000-0005-0000-0000-0000D6020000}"/>
    <cellStyle name="Euro 15 25 2" xfId="4516" xr:uid="{00000000-0005-0000-0000-0000D7020000}"/>
    <cellStyle name="Euro 15 26" xfId="376" xr:uid="{00000000-0005-0000-0000-0000D8020000}"/>
    <cellStyle name="Euro 15 26 2" xfId="4517" xr:uid="{00000000-0005-0000-0000-0000D9020000}"/>
    <cellStyle name="Euro 15 27" xfId="377" xr:uid="{00000000-0005-0000-0000-0000DA020000}"/>
    <cellStyle name="Euro 15 27 2" xfId="4518" xr:uid="{00000000-0005-0000-0000-0000DB020000}"/>
    <cellStyle name="Euro 15 28" xfId="378" xr:uid="{00000000-0005-0000-0000-0000DC020000}"/>
    <cellStyle name="Euro 15 28 2" xfId="4519" xr:uid="{00000000-0005-0000-0000-0000DD020000}"/>
    <cellStyle name="Euro 15 29" xfId="4520" xr:uid="{00000000-0005-0000-0000-0000DE020000}"/>
    <cellStyle name="Euro 15 3" xfId="379" xr:uid="{00000000-0005-0000-0000-0000DF020000}"/>
    <cellStyle name="Euro 15 3 2" xfId="4521" xr:uid="{00000000-0005-0000-0000-0000E0020000}"/>
    <cellStyle name="Euro 15 4" xfId="380" xr:uid="{00000000-0005-0000-0000-0000E1020000}"/>
    <cellStyle name="Euro 15 4 2" xfId="4522" xr:uid="{00000000-0005-0000-0000-0000E2020000}"/>
    <cellStyle name="Euro 15 5" xfId="381" xr:uid="{00000000-0005-0000-0000-0000E3020000}"/>
    <cellStyle name="Euro 15 5 2" xfId="4523" xr:uid="{00000000-0005-0000-0000-0000E4020000}"/>
    <cellStyle name="Euro 15 6" xfId="382" xr:uid="{00000000-0005-0000-0000-0000E5020000}"/>
    <cellStyle name="Euro 15 6 2" xfId="4524" xr:uid="{00000000-0005-0000-0000-0000E6020000}"/>
    <cellStyle name="Euro 15 7" xfId="383" xr:uid="{00000000-0005-0000-0000-0000E7020000}"/>
    <cellStyle name="Euro 15 7 2" xfId="4525" xr:uid="{00000000-0005-0000-0000-0000E8020000}"/>
    <cellStyle name="Euro 15 8" xfId="384" xr:uid="{00000000-0005-0000-0000-0000E9020000}"/>
    <cellStyle name="Euro 15 8 2" xfId="4526" xr:uid="{00000000-0005-0000-0000-0000EA020000}"/>
    <cellStyle name="Euro 15 9" xfId="385" xr:uid="{00000000-0005-0000-0000-0000EB020000}"/>
    <cellStyle name="Euro 15 9 2" xfId="4527" xr:uid="{00000000-0005-0000-0000-0000EC020000}"/>
    <cellStyle name="Euro 16" xfId="386" xr:uid="{00000000-0005-0000-0000-0000ED020000}"/>
    <cellStyle name="Euro 16 10" xfId="387" xr:uid="{00000000-0005-0000-0000-0000EE020000}"/>
    <cellStyle name="Euro 16 10 2" xfId="4528" xr:uid="{00000000-0005-0000-0000-0000EF020000}"/>
    <cellStyle name="Euro 16 11" xfId="388" xr:uid="{00000000-0005-0000-0000-0000F0020000}"/>
    <cellStyle name="Euro 16 11 2" xfId="4529" xr:uid="{00000000-0005-0000-0000-0000F1020000}"/>
    <cellStyle name="Euro 16 12" xfId="389" xr:uid="{00000000-0005-0000-0000-0000F2020000}"/>
    <cellStyle name="Euro 16 12 2" xfId="4530" xr:uid="{00000000-0005-0000-0000-0000F3020000}"/>
    <cellStyle name="Euro 16 13" xfId="390" xr:uid="{00000000-0005-0000-0000-0000F4020000}"/>
    <cellStyle name="Euro 16 13 2" xfId="4531" xr:uid="{00000000-0005-0000-0000-0000F5020000}"/>
    <cellStyle name="Euro 16 14" xfId="391" xr:uid="{00000000-0005-0000-0000-0000F6020000}"/>
    <cellStyle name="Euro 16 14 2" xfId="4532" xr:uid="{00000000-0005-0000-0000-0000F7020000}"/>
    <cellStyle name="Euro 16 15" xfId="392" xr:uid="{00000000-0005-0000-0000-0000F8020000}"/>
    <cellStyle name="Euro 16 15 2" xfId="4533" xr:uid="{00000000-0005-0000-0000-0000F9020000}"/>
    <cellStyle name="Euro 16 16" xfId="393" xr:uid="{00000000-0005-0000-0000-0000FA020000}"/>
    <cellStyle name="Euro 16 16 2" xfId="4534" xr:uid="{00000000-0005-0000-0000-0000FB020000}"/>
    <cellStyle name="Euro 16 17" xfId="394" xr:uid="{00000000-0005-0000-0000-0000FC020000}"/>
    <cellStyle name="Euro 16 17 2" xfId="4535" xr:uid="{00000000-0005-0000-0000-0000FD020000}"/>
    <cellStyle name="Euro 16 18" xfId="395" xr:uid="{00000000-0005-0000-0000-0000FE020000}"/>
    <cellStyle name="Euro 16 18 2" xfId="4536" xr:uid="{00000000-0005-0000-0000-0000FF020000}"/>
    <cellStyle name="Euro 16 19" xfId="396" xr:uid="{00000000-0005-0000-0000-000000030000}"/>
    <cellStyle name="Euro 16 19 2" xfId="4537" xr:uid="{00000000-0005-0000-0000-000001030000}"/>
    <cellStyle name="Euro 16 2" xfId="397" xr:uid="{00000000-0005-0000-0000-000002030000}"/>
    <cellStyle name="Euro 16 2 2" xfId="4538" xr:uid="{00000000-0005-0000-0000-000003030000}"/>
    <cellStyle name="Euro 16 20" xfId="398" xr:uid="{00000000-0005-0000-0000-000004030000}"/>
    <cellStyle name="Euro 16 20 2" xfId="4539" xr:uid="{00000000-0005-0000-0000-000005030000}"/>
    <cellStyle name="Euro 16 21" xfId="399" xr:uid="{00000000-0005-0000-0000-000006030000}"/>
    <cellStyle name="Euro 16 21 2" xfId="4540" xr:uid="{00000000-0005-0000-0000-000007030000}"/>
    <cellStyle name="Euro 16 22" xfId="400" xr:uid="{00000000-0005-0000-0000-000008030000}"/>
    <cellStyle name="Euro 16 22 2" xfId="4541" xr:uid="{00000000-0005-0000-0000-000009030000}"/>
    <cellStyle name="Euro 16 23" xfId="401" xr:uid="{00000000-0005-0000-0000-00000A030000}"/>
    <cellStyle name="Euro 16 23 2" xfId="4542" xr:uid="{00000000-0005-0000-0000-00000B030000}"/>
    <cellStyle name="Euro 16 24" xfId="402" xr:uid="{00000000-0005-0000-0000-00000C030000}"/>
    <cellStyle name="Euro 16 24 2" xfId="4543" xr:uid="{00000000-0005-0000-0000-00000D030000}"/>
    <cellStyle name="Euro 16 25" xfId="403" xr:uid="{00000000-0005-0000-0000-00000E030000}"/>
    <cellStyle name="Euro 16 25 2" xfId="4544" xr:uid="{00000000-0005-0000-0000-00000F030000}"/>
    <cellStyle name="Euro 16 26" xfId="404" xr:uid="{00000000-0005-0000-0000-000010030000}"/>
    <cellStyle name="Euro 16 26 2" xfId="4545" xr:uid="{00000000-0005-0000-0000-000011030000}"/>
    <cellStyle name="Euro 16 27" xfId="405" xr:uid="{00000000-0005-0000-0000-000012030000}"/>
    <cellStyle name="Euro 16 27 2" xfId="4546" xr:uid="{00000000-0005-0000-0000-000013030000}"/>
    <cellStyle name="Euro 16 28" xfId="406" xr:uid="{00000000-0005-0000-0000-000014030000}"/>
    <cellStyle name="Euro 16 28 2" xfId="4547" xr:uid="{00000000-0005-0000-0000-000015030000}"/>
    <cellStyle name="Euro 16 29" xfId="4548" xr:uid="{00000000-0005-0000-0000-000016030000}"/>
    <cellStyle name="Euro 16 3" xfId="407" xr:uid="{00000000-0005-0000-0000-000017030000}"/>
    <cellStyle name="Euro 16 3 2" xfId="4549" xr:uid="{00000000-0005-0000-0000-000018030000}"/>
    <cellStyle name="Euro 16 4" xfId="408" xr:uid="{00000000-0005-0000-0000-000019030000}"/>
    <cellStyle name="Euro 16 4 2" xfId="4550" xr:uid="{00000000-0005-0000-0000-00001A030000}"/>
    <cellStyle name="Euro 16 5" xfId="409" xr:uid="{00000000-0005-0000-0000-00001B030000}"/>
    <cellStyle name="Euro 16 5 2" xfId="4551" xr:uid="{00000000-0005-0000-0000-00001C030000}"/>
    <cellStyle name="Euro 16 6" xfId="410" xr:uid="{00000000-0005-0000-0000-00001D030000}"/>
    <cellStyle name="Euro 16 6 2" xfId="4552" xr:uid="{00000000-0005-0000-0000-00001E030000}"/>
    <cellStyle name="Euro 16 7" xfId="411" xr:uid="{00000000-0005-0000-0000-00001F030000}"/>
    <cellStyle name="Euro 16 7 2" xfId="4553" xr:uid="{00000000-0005-0000-0000-000020030000}"/>
    <cellStyle name="Euro 16 8" xfId="412" xr:uid="{00000000-0005-0000-0000-000021030000}"/>
    <cellStyle name="Euro 16 8 2" xfId="4554" xr:uid="{00000000-0005-0000-0000-000022030000}"/>
    <cellStyle name="Euro 16 9" xfId="413" xr:uid="{00000000-0005-0000-0000-000023030000}"/>
    <cellStyle name="Euro 16 9 2" xfId="4555" xr:uid="{00000000-0005-0000-0000-000024030000}"/>
    <cellStyle name="Euro 17" xfId="414" xr:uid="{00000000-0005-0000-0000-000025030000}"/>
    <cellStyle name="Euro 17 10" xfId="415" xr:uid="{00000000-0005-0000-0000-000026030000}"/>
    <cellStyle name="Euro 17 10 2" xfId="4556" xr:uid="{00000000-0005-0000-0000-000027030000}"/>
    <cellStyle name="Euro 17 11" xfId="416" xr:uid="{00000000-0005-0000-0000-000028030000}"/>
    <cellStyle name="Euro 17 11 2" xfId="4557" xr:uid="{00000000-0005-0000-0000-000029030000}"/>
    <cellStyle name="Euro 17 12" xfId="417" xr:uid="{00000000-0005-0000-0000-00002A030000}"/>
    <cellStyle name="Euro 17 12 2" xfId="4558" xr:uid="{00000000-0005-0000-0000-00002B030000}"/>
    <cellStyle name="Euro 17 13" xfId="418" xr:uid="{00000000-0005-0000-0000-00002C030000}"/>
    <cellStyle name="Euro 17 13 2" xfId="4559" xr:uid="{00000000-0005-0000-0000-00002D030000}"/>
    <cellStyle name="Euro 17 14" xfId="419" xr:uid="{00000000-0005-0000-0000-00002E030000}"/>
    <cellStyle name="Euro 17 14 2" xfId="4560" xr:uid="{00000000-0005-0000-0000-00002F030000}"/>
    <cellStyle name="Euro 17 15" xfId="420" xr:uid="{00000000-0005-0000-0000-000030030000}"/>
    <cellStyle name="Euro 17 15 2" xfId="4561" xr:uid="{00000000-0005-0000-0000-000031030000}"/>
    <cellStyle name="Euro 17 16" xfId="421" xr:uid="{00000000-0005-0000-0000-000032030000}"/>
    <cellStyle name="Euro 17 16 2" xfId="4562" xr:uid="{00000000-0005-0000-0000-000033030000}"/>
    <cellStyle name="Euro 17 17" xfId="422" xr:uid="{00000000-0005-0000-0000-000034030000}"/>
    <cellStyle name="Euro 17 17 2" xfId="4563" xr:uid="{00000000-0005-0000-0000-000035030000}"/>
    <cellStyle name="Euro 17 18" xfId="423" xr:uid="{00000000-0005-0000-0000-000036030000}"/>
    <cellStyle name="Euro 17 18 2" xfId="4564" xr:uid="{00000000-0005-0000-0000-000037030000}"/>
    <cellStyle name="Euro 17 19" xfId="424" xr:uid="{00000000-0005-0000-0000-000038030000}"/>
    <cellStyle name="Euro 17 19 2" xfId="4565" xr:uid="{00000000-0005-0000-0000-000039030000}"/>
    <cellStyle name="Euro 17 2" xfId="425" xr:uid="{00000000-0005-0000-0000-00003A030000}"/>
    <cellStyle name="Euro 17 2 2" xfId="4566" xr:uid="{00000000-0005-0000-0000-00003B030000}"/>
    <cellStyle name="Euro 17 20" xfId="426" xr:uid="{00000000-0005-0000-0000-00003C030000}"/>
    <cellStyle name="Euro 17 20 2" xfId="4567" xr:uid="{00000000-0005-0000-0000-00003D030000}"/>
    <cellStyle name="Euro 17 21" xfId="427" xr:uid="{00000000-0005-0000-0000-00003E030000}"/>
    <cellStyle name="Euro 17 21 2" xfId="4568" xr:uid="{00000000-0005-0000-0000-00003F030000}"/>
    <cellStyle name="Euro 17 22" xfId="428" xr:uid="{00000000-0005-0000-0000-000040030000}"/>
    <cellStyle name="Euro 17 22 2" xfId="4569" xr:uid="{00000000-0005-0000-0000-000041030000}"/>
    <cellStyle name="Euro 17 23" xfId="429" xr:uid="{00000000-0005-0000-0000-000042030000}"/>
    <cellStyle name="Euro 17 23 2" xfId="4570" xr:uid="{00000000-0005-0000-0000-000043030000}"/>
    <cellStyle name="Euro 17 24" xfId="430" xr:uid="{00000000-0005-0000-0000-000044030000}"/>
    <cellStyle name="Euro 17 24 2" xfId="4571" xr:uid="{00000000-0005-0000-0000-000045030000}"/>
    <cellStyle name="Euro 17 25" xfId="431" xr:uid="{00000000-0005-0000-0000-000046030000}"/>
    <cellStyle name="Euro 17 25 2" xfId="4572" xr:uid="{00000000-0005-0000-0000-000047030000}"/>
    <cellStyle name="Euro 17 26" xfId="432" xr:uid="{00000000-0005-0000-0000-000048030000}"/>
    <cellStyle name="Euro 17 26 2" xfId="4573" xr:uid="{00000000-0005-0000-0000-000049030000}"/>
    <cellStyle name="Euro 17 27" xfId="433" xr:uid="{00000000-0005-0000-0000-00004A030000}"/>
    <cellStyle name="Euro 17 27 2" xfId="4574" xr:uid="{00000000-0005-0000-0000-00004B030000}"/>
    <cellStyle name="Euro 17 28" xfId="434" xr:uid="{00000000-0005-0000-0000-00004C030000}"/>
    <cellStyle name="Euro 17 28 2" xfId="4575" xr:uid="{00000000-0005-0000-0000-00004D030000}"/>
    <cellStyle name="Euro 17 29" xfId="4576" xr:uid="{00000000-0005-0000-0000-00004E030000}"/>
    <cellStyle name="Euro 17 3" xfId="435" xr:uid="{00000000-0005-0000-0000-00004F030000}"/>
    <cellStyle name="Euro 17 3 2" xfId="4577" xr:uid="{00000000-0005-0000-0000-000050030000}"/>
    <cellStyle name="Euro 17 4" xfId="436" xr:uid="{00000000-0005-0000-0000-000051030000}"/>
    <cellStyle name="Euro 17 4 2" xfId="4578" xr:uid="{00000000-0005-0000-0000-000052030000}"/>
    <cellStyle name="Euro 17 5" xfId="437" xr:uid="{00000000-0005-0000-0000-000053030000}"/>
    <cellStyle name="Euro 17 5 2" xfId="4579" xr:uid="{00000000-0005-0000-0000-000054030000}"/>
    <cellStyle name="Euro 17 6" xfId="438" xr:uid="{00000000-0005-0000-0000-000055030000}"/>
    <cellStyle name="Euro 17 6 2" xfId="4580" xr:uid="{00000000-0005-0000-0000-000056030000}"/>
    <cellStyle name="Euro 17 7" xfId="439" xr:uid="{00000000-0005-0000-0000-000057030000}"/>
    <cellStyle name="Euro 17 7 2" xfId="4581" xr:uid="{00000000-0005-0000-0000-000058030000}"/>
    <cellStyle name="Euro 17 8" xfId="440" xr:uid="{00000000-0005-0000-0000-000059030000}"/>
    <cellStyle name="Euro 17 8 2" xfId="4582" xr:uid="{00000000-0005-0000-0000-00005A030000}"/>
    <cellStyle name="Euro 17 9" xfId="441" xr:uid="{00000000-0005-0000-0000-00005B030000}"/>
    <cellStyle name="Euro 17 9 2" xfId="4583" xr:uid="{00000000-0005-0000-0000-00005C030000}"/>
    <cellStyle name="Euro 18" xfId="442" xr:uid="{00000000-0005-0000-0000-00005D030000}"/>
    <cellStyle name="Euro 18 10" xfId="443" xr:uid="{00000000-0005-0000-0000-00005E030000}"/>
    <cellStyle name="Euro 18 10 2" xfId="4584" xr:uid="{00000000-0005-0000-0000-00005F030000}"/>
    <cellStyle name="Euro 18 11" xfId="444" xr:uid="{00000000-0005-0000-0000-000060030000}"/>
    <cellStyle name="Euro 18 11 2" xfId="4585" xr:uid="{00000000-0005-0000-0000-000061030000}"/>
    <cellStyle name="Euro 18 12" xfId="445" xr:uid="{00000000-0005-0000-0000-000062030000}"/>
    <cellStyle name="Euro 18 12 2" xfId="4586" xr:uid="{00000000-0005-0000-0000-000063030000}"/>
    <cellStyle name="Euro 18 13" xfId="446" xr:uid="{00000000-0005-0000-0000-000064030000}"/>
    <cellStyle name="Euro 18 13 2" xfId="4587" xr:uid="{00000000-0005-0000-0000-000065030000}"/>
    <cellStyle name="Euro 18 14" xfId="447" xr:uid="{00000000-0005-0000-0000-000066030000}"/>
    <cellStyle name="Euro 18 14 2" xfId="4588" xr:uid="{00000000-0005-0000-0000-000067030000}"/>
    <cellStyle name="Euro 18 15" xfId="448" xr:uid="{00000000-0005-0000-0000-000068030000}"/>
    <cellStyle name="Euro 18 15 2" xfId="4589" xr:uid="{00000000-0005-0000-0000-000069030000}"/>
    <cellStyle name="Euro 18 16" xfId="449" xr:uid="{00000000-0005-0000-0000-00006A030000}"/>
    <cellStyle name="Euro 18 16 2" xfId="4590" xr:uid="{00000000-0005-0000-0000-00006B030000}"/>
    <cellStyle name="Euro 18 17" xfId="450" xr:uid="{00000000-0005-0000-0000-00006C030000}"/>
    <cellStyle name="Euro 18 17 2" xfId="4591" xr:uid="{00000000-0005-0000-0000-00006D030000}"/>
    <cellStyle name="Euro 18 18" xfId="451" xr:uid="{00000000-0005-0000-0000-00006E030000}"/>
    <cellStyle name="Euro 18 18 2" xfId="4592" xr:uid="{00000000-0005-0000-0000-00006F030000}"/>
    <cellStyle name="Euro 18 19" xfId="452" xr:uid="{00000000-0005-0000-0000-000070030000}"/>
    <cellStyle name="Euro 18 19 2" xfId="4593" xr:uid="{00000000-0005-0000-0000-000071030000}"/>
    <cellStyle name="Euro 18 2" xfId="453" xr:uid="{00000000-0005-0000-0000-000072030000}"/>
    <cellStyle name="Euro 18 2 2" xfId="4594" xr:uid="{00000000-0005-0000-0000-000073030000}"/>
    <cellStyle name="Euro 18 20" xfId="454" xr:uid="{00000000-0005-0000-0000-000074030000}"/>
    <cellStyle name="Euro 18 20 2" xfId="4595" xr:uid="{00000000-0005-0000-0000-000075030000}"/>
    <cellStyle name="Euro 18 21" xfId="455" xr:uid="{00000000-0005-0000-0000-000076030000}"/>
    <cellStyle name="Euro 18 21 2" xfId="4596" xr:uid="{00000000-0005-0000-0000-000077030000}"/>
    <cellStyle name="Euro 18 22" xfId="456" xr:uid="{00000000-0005-0000-0000-000078030000}"/>
    <cellStyle name="Euro 18 22 2" xfId="4597" xr:uid="{00000000-0005-0000-0000-000079030000}"/>
    <cellStyle name="Euro 18 23" xfId="457" xr:uid="{00000000-0005-0000-0000-00007A030000}"/>
    <cellStyle name="Euro 18 23 2" xfId="4598" xr:uid="{00000000-0005-0000-0000-00007B030000}"/>
    <cellStyle name="Euro 18 24" xfId="458" xr:uid="{00000000-0005-0000-0000-00007C030000}"/>
    <cellStyle name="Euro 18 24 2" xfId="4599" xr:uid="{00000000-0005-0000-0000-00007D030000}"/>
    <cellStyle name="Euro 18 25" xfId="459" xr:uid="{00000000-0005-0000-0000-00007E030000}"/>
    <cellStyle name="Euro 18 25 2" xfId="4600" xr:uid="{00000000-0005-0000-0000-00007F030000}"/>
    <cellStyle name="Euro 18 26" xfId="460" xr:uid="{00000000-0005-0000-0000-000080030000}"/>
    <cellStyle name="Euro 18 26 2" xfId="4601" xr:uid="{00000000-0005-0000-0000-000081030000}"/>
    <cellStyle name="Euro 18 27" xfId="461" xr:uid="{00000000-0005-0000-0000-000082030000}"/>
    <cellStyle name="Euro 18 27 2" xfId="4602" xr:uid="{00000000-0005-0000-0000-000083030000}"/>
    <cellStyle name="Euro 18 28" xfId="462" xr:uid="{00000000-0005-0000-0000-000084030000}"/>
    <cellStyle name="Euro 18 28 2" xfId="4603" xr:uid="{00000000-0005-0000-0000-000085030000}"/>
    <cellStyle name="Euro 18 29" xfId="4604" xr:uid="{00000000-0005-0000-0000-000086030000}"/>
    <cellStyle name="Euro 18 3" xfId="463" xr:uid="{00000000-0005-0000-0000-000087030000}"/>
    <cellStyle name="Euro 18 3 2" xfId="4605" xr:uid="{00000000-0005-0000-0000-000088030000}"/>
    <cellStyle name="Euro 18 4" xfId="464" xr:uid="{00000000-0005-0000-0000-000089030000}"/>
    <cellStyle name="Euro 18 4 2" xfId="4606" xr:uid="{00000000-0005-0000-0000-00008A030000}"/>
    <cellStyle name="Euro 18 5" xfId="465" xr:uid="{00000000-0005-0000-0000-00008B030000}"/>
    <cellStyle name="Euro 18 5 2" xfId="4607" xr:uid="{00000000-0005-0000-0000-00008C030000}"/>
    <cellStyle name="Euro 18 6" xfId="466" xr:uid="{00000000-0005-0000-0000-00008D030000}"/>
    <cellStyle name="Euro 18 6 2" xfId="4608" xr:uid="{00000000-0005-0000-0000-00008E030000}"/>
    <cellStyle name="Euro 18 7" xfId="467" xr:uid="{00000000-0005-0000-0000-00008F030000}"/>
    <cellStyle name="Euro 18 7 2" xfId="4609" xr:uid="{00000000-0005-0000-0000-000090030000}"/>
    <cellStyle name="Euro 18 8" xfId="468" xr:uid="{00000000-0005-0000-0000-000091030000}"/>
    <cellStyle name="Euro 18 8 2" xfId="4610" xr:uid="{00000000-0005-0000-0000-000092030000}"/>
    <cellStyle name="Euro 18 9" xfId="469" xr:uid="{00000000-0005-0000-0000-000093030000}"/>
    <cellStyle name="Euro 18 9 2" xfId="4611" xr:uid="{00000000-0005-0000-0000-000094030000}"/>
    <cellStyle name="Euro 19" xfId="470" xr:uid="{00000000-0005-0000-0000-000095030000}"/>
    <cellStyle name="Euro 19 10" xfId="471" xr:uid="{00000000-0005-0000-0000-000096030000}"/>
    <cellStyle name="Euro 19 10 2" xfId="4612" xr:uid="{00000000-0005-0000-0000-000097030000}"/>
    <cellStyle name="Euro 19 11" xfId="472" xr:uid="{00000000-0005-0000-0000-000098030000}"/>
    <cellStyle name="Euro 19 11 2" xfId="4613" xr:uid="{00000000-0005-0000-0000-000099030000}"/>
    <cellStyle name="Euro 19 12" xfId="473" xr:uid="{00000000-0005-0000-0000-00009A030000}"/>
    <cellStyle name="Euro 19 12 2" xfId="4614" xr:uid="{00000000-0005-0000-0000-00009B030000}"/>
    <cellStyle name="Euro 19 13" xfId="474" xr:uid="{00000000-0005-0000-0000-00009C030000}"/>
    <cellStyle name="Euro 19 13 2" xfId="4615" xr:uid="{00000000-0005-0000-0000-00009D030000}"/>
    <cellStyle name="Euro 19 14" xfId="475" xr:uid="{00000000-0005-0000-0000-00009E030000}"/>
    <cellStyle name="Euro 19 14 2" xfId="4616" xr:uid="{00000000-0005-0000-0000-00009F030000}"/>
    <cellStyle name="Euro 19 15" xfId="476" xr:uid="{00000000-0005-0000-0000-0000A0030000}"/>
    <cellStyle name="Euro 19 15 2" xfId="4617" xr:uid="{00000000-0005-0000-0000-0000A1030000}"/>
    <cellStyle name="Euro 19 16" xfId="477" xr:uid="{00000000-0005-0000-0000-0000A2030000}"/>
    <cellStyle name="Euro 19 16 2" xfId="4618" xr:uid="{00000000-0005-0000-0000-0000A3030000}"/>
    <cellStyle name="Euro 19 17" xfId="478" xr:uid="{00000000-0005-0000-0000-0000A4030000}"/>
    <cellStyle name="Euro 19 17 2" xfId="4619" xr:uid="{00000000-0005-0000-0000-0000A5030000}"/>
    <cellStyle name="Euro 19 18" xfId="479" xr:uid="{00000000-0005-0000-0000-0000A6030000}"/>
    <cellStyle name="Euro 19 18 2" xfId="4620" xr:uid="{00000000-0005-0000-0000-0000A7030000}"/>
    <cellStyle name="Euro 19 19" xfId="480" xr:uid="{00000000-0005-0000-0000-0000A8030000}"/>
    <cellStyle name="Euro 19 19 2" xfId="4621" xr:uid="{00000000-0005-0000-0000-0000A9030000}"/>
    <cellStyle name="Euro 19 2" xfId="481" xr:uid="{00000000-0005-0000-0000-0000AA030000}"/>
    <cellStyle name="Euro 19 2 2" xfId="4622" xr:uid="{00000000-0005-0000-0000-0000AB030000}"/>
    <cellStyle name="Euro 19 20" xfId="482" xr:uid="{00000000-0005-0000-0000-0000AC030000}"/>
    <cellStyle name="Euro 19 20 2" xfId="4623" xr:uid="{00000000-0005-0000-0000-0000AD030000}"/>
    <cellStyle name="Euro 19 21" xfId="483" xr:uid="{00000000-0005-0000-0000-0000AE030000}"/>
    <cellStyle name="Euro 19 21 2" xfId="4624" xr:uid="{00000000-0005-0000-0000-0000AF030000}"/>
    <cellStyle name="Euro 19 22" xfId="484" xr:uid="{00000000-0005-0000-0000-0000B0030000}"/>
    <cellStyle name="Euro 19 22 2" xfId="4625" xr:uid="{00000000-0005-0000-0000-0000B1030000}"/>
    <cellStyle name="Euro 19 23" xfId="485" xr:uid="{00000000-0005-0000-0000-0000B2030000}"/>
    <cellStyle name="Euro 19 23 2" xfId="4626" xr:uid="{00000000-0005-0000-0000-0000B3030000}"/>
    <cellStyle name="Euro 19 24" xfId="486" xr:uid="{00000000-0005-0000-0000-0000B4030000}"/>
    <cellStyle name="Euro 19 24 2" xfId="4627" xr:uid="{00000000-0005-0000-0000-0000B5030000}"/>
    <cellStyle name="Euro 19 25" xfId="487" xr:uid="{00000000-0005-0000-0000-0000B6030000}"/>
    <cellStyle name="Euro 19 25 2" xfId="4628" xr:uid="{00000000-0005-0000-0000-0000B7030000}"/>
    <cellStyle name="Euro 19 26" xfId="488" xr:uid="{00000000-0005-0000-0000-0000B8030000}"/>
    <cellStyle name="Euro 19 26 2" xfId="4629" xr:uid="{00000000-0005-0000-0000-0000B9030000}"/>
    <cellStyle name="Euro 19 27" xfId="489" xr:uid="{00000000-0005-0000-0000-0000BA030000}"/>
    <cellStyle name="Euro 19 27 2" xfId="4630" xr:uid="{00000000-0005-0000-0000-0000BB030000}"/>
    <cellStyle name="Euro 19 28" xfId="490" xr:uid="{00000000-0005-0000-0000-0000BC030000}"/>
    <cellStyle name="Euro 19 28 2" xfId="4631" xr:uid="{00000000-0005-0000-0000-0000BD030000}"/>
    <cellStyle name="Euro 19 29" xfId="4632" xr:uid="{00000000-0005-0000-0000-0000BE030000}"/>
    <cellStyle name="Euro 19 3" xfId="491" xr:uid="{00000000-0005-0000-0000-0000BF030000}"/>
    <cellStyle name="Euro 19 3 2" xfId="4633" xr:uid="{00000000-0005-0000-0000-0000C0030000}"/>
    <cellStyle name="Euro 19 4" xfId="492" xr:uid="{00000000-0005-0000-0000-0000C1030000}"/>
    <cellStyle name="Euro 19 4 2" xfId="4634" xr:uid="{00000000-0005-0000-0000-0000C2030000}"/>
    <cellStyle name="Euro 19 5" xfId="493" xr:uid="{00000000-0005-0000-0000-0000C3030000}"/>
    <cellStyle name="Euro 19 5 2" xfId="4635" xr:uid="{00000000-0005-0000-0000-0000C4030000}"/>
    <cellStyle name="Euro 19 6" xfId="494" xr:uid="{00000000-0005-0000-0000-0000C5030000}"/>
    <cellStyle name="Euro 19 6 2" xfId="4636" xr:uid="{00000000-0005-0000-0000-0000C6030000}"/>
    <cellStyle name="Euro 19 7" xfId="495" xr:uid="{00000000-0005-0000-0000-0000C7030000}"/>
    <cellStyle name="Euro 19 7 2" xfId="4637" xr:uid="{00000000-0005-0000-0000-0000C8030000}"/>
    <cellStyle name="Euro 19 8" xfId="496" xr:uid="{00000000-0005-0000-0000-0000C9030000}"/>
    <cellStyle name="Euro 19 8 2" xfId="4638" xr:uid="{00000000-0005-0000-0000-0000CA030000}"/>
    <cellStyle name="Euro 19 9" xfId="497" xr:uid="{00000000-0005-0000-0000-0000CB030000}"/>
    <cellStyle name="Euro 19 9 2" xfId="4639" xr:uid="{00000000-0005-0000-0000-0000CC030000}"/>
    <cellStyle name="Euro 2" xfId="18" xr:uid="{00000000-0005-0000-0000-0000CD030000}"/>
    <cellStyle name="Euro 2 10" xfId="499" xr:uid="{00000000-0005-0000-0000-0000CE030000}"/>
    <cellStyle name="Euro 2 10 2" xfId="4640" xr:uid="{00000000-0005-0000-0000-0000CF030000}"/>
    <cellStyle name="Euro 2 11" xfId="500" xr:uid="{00000000-0005-0000-0000-0000D0030000}"/>
    <cellStyle name="Euro 2 11 2" xfId="4641" xr:uid="{00000000-0005-0000-0000-0000D1030000}"/>
    <cellStyle name="Euro 2 12" xfId="501" xr:uid="{00000000-0005-0000-0000-0000D2030000}"/>
    <cellStyle name="Euro 2 12 2" xfId="4642" xr:uid="{00000000-0005-0000-0000-0000D3030000}"/>
    <cellStyle name="Euro 2 13" xfId="502" xr:uid="{00000000-0005-0000-0000-0000D4030000}"/>
    <cellStyle name="Euro 2 13 2" xfId="4643" xr:uid="{00000000-0005-0000-0000-0000D5030000}"/>
    <cellStyle name="Euro 2 14" xfId="503" xr:uid="{00000000-0005-0000-0000-0000D6030000}"/>
    <cellStyle name="Euro 2 14 2" xfId="4644" xr:uid="{00000000-0005-0000-0000-0000D7030000}"/>
    <cellStyle name="Euro 2 15" xfId="504" xr:uid="{00000000-0005-0000-0000-0000D8030000}"/>
    <cellStyle name="Euro 2 15 2" xfId="4645" xr:uid="{00000000-0005-0000-0000-0000D9030000}"/>
    <cellStyle name="Euro 2 16" xfId="505" xr:uid="{00000000-0005-0000-0000-0000DA030000}"/>
    <cellStyle name="Euro 2 16 2" xfId="4646" xr:uid="{00000000-0005-0000-0000-0000DB030000}"/>
    <cellStyle name="Euro 2 17" xfId="506" xr:uid="{00000000-0005-0000-0000-0000DC030000}"/>
    <cellStyle name="Euro 2 17 2" xfId="4647" xr:uid="{00000000-0005-0000-0000-0000DD030000}"/>
    <cellStyle name="Euro 2 18" xfId="507" xr:uid="{00000000-0005-0000-0000-0000DE030000}"/>
    <cellStyle name="Euro 2 18 2" xfId="4648" xr:uid="{00000000-0005-0000-0000-0000DF030000}"/>
    <cellStyle name="Euro 2 19" xfId="508" xr:uid="{00000000-0005-0000-0000-0000E0030000}"/>
    <cellStyle name="Euro 2 19 2" xfId="4649" xr:uid="{00000000-0005-0000-0000-0000E1030000}"/>
    <cellStyle name="Euro 2 2" xfId="509" xr:uid="{00000000-0005-0000-0000-0000E2030000}"/>
    <cellStyle name="Euro 2 2 2" xfId="4131" xr:uid="{00000000-0005-0000-0000-0000E3030000}"/>
    <cellStyle name="Euro 2 2 2 2" xfId="14714" xr:uid="{26F80287-D687-4722-9B99-8FD882681F3C}"/>
    <cellStyle name="Euro 2 2 2_1.2.b" xfId="16094" xr:uid="{BB4FAFE2-A57E-410C-A938-7338F5068861}"/>
    <cellStyle name="Euro 2 2 3" xfId="14158" xr:uid="{9AEA883B-842A-4E3F-AD69-754C94777085}"/>
    <cellStyle name="Euro 2 2_1.2.b" xfId="16093" xr:uid="{B4E72FF8-A95B-4128-89BE-4971527709BA}"/>
    <cellStyle name="Euro 2 20" xfId="510" xr:uid="{00000000-0005-0000-0000-0000E4030000}"/>
    <cellStyle name="Euro 2 20 2" xfId="4650" xr:uid="{00000000-0005-0000-0000-0000E5030000}"/>
    <cellStyle name="Euro 2 21" xfId="511" xr:uid="{00000000-0005-0000-0000-0000E6030000}"/>
    <cellStyle name="Euro 2 21 2" xfId="4651" xr:uid="{00000000-0005-0000-0000-0000E7030000}"/>
    <cellStyle name="Euro 2 22" xfId="512" xr:uid="{00000000-0005-0000-0000-0000E8030000}"/>
    <cellStyle name="Euro 2 22 2" xfId="4652" xr:uid="{00000000-0005-0000-0000-0000E9030000}"/>
    <cellStyle name="Euro 2 23" xfId="513" xr:uid="{00000000-0005-0000-0000-0000EA030000}"/>
    <cellStyle name="Euro 2 23 2" xfId="4653" xr:uid="{00000000-0005-0000-0000-0000EB030000}"/>
    <cellStyle name="Euro 2 24" xfId="514" xr:uid="{00000000-0005-0000-0000-0000EC030000}"/>
    <cellStyle name="Euro 2 24 2" xfId="4654" xr:uid="{00000000-0005-0000-0000-0000ED030000}"/>
    <cellStyle name="Euro 2 25" xfId="515" xr:uid="{00000000-0005-0000-0000-0000EE030000}"/>
    <cellStyle name="Euro 2 25 2" xfId="4655" xr:uid="{00000000-0005-0000-0000-0000EF030000}"/>
    <cellStyle name="Euro 2 26" xfId="516" xr:uid="{00000000-0005-0000-0000-0000F0030000}"/>
    <cellStyle name="Euro 2 26 2" xfId="4656" xr:uid="{00000000-0005-0000-0000-0000F1030000}"/>
    <cellStyle name="Euro 2 27" xfId="517" xr:uid="{00000000-0005-0000-0000-0000F2030000}"/>
    <cellStyle name="Euro 2 27 2" xfId="4657" xr:uid="{00000000-0005-0000-0000-0000F3030000}"/>
    <cellStyle name="Euro 2 28" xfId="518" xr:uid="{00000000-0005-0000-0000-0000F4030000}"/>
    <cellStyle name="Euro 2 28 2" xfId="4658" xr:uid="{00000000-0005-0000-0000-0000F5030000}"/>
    <cellStyle name="Euro 2 29" xfId="4057" xr:uid="{00000000-0005-0000-0000-0000F6030000}"/>
    <cellStyle name="Euro 2 3" xfId="519" xr:uid="{00000000-0005-0000-0000-0000F7030000}"/>
    <cellStyle name="Euro 2 3 2" xfId="4091" xr:uid="{00000000-0005-0000-0000-0000F8030000}"/>
    <cellStyle name="Euro 2 3_1.2.b" xfId="16095" xr:uid="{94B722D7-6824-4A85-8CE0-2E0F5F953655}"/>
    <cellStyle name="Euro 2 30" xfId="498" xr:uid="{00000000-0005-0000-0000-0000F9030000}"/>
    <cellStyle name="Euro 2 4" xfId="520" xr:uid="{00000000-0005-0000-0000-0000FA030000}"/>
    <cellStyle name="Euro 2 4 2" xfId="4659" xr:uid="{00000000-0005-0000-0000-0000FB030000}"/>
    <cellStyle name="Euro 2 5" xfId="521" xr:uid="{00000000-0005-0000-0000-0000FC030000}"/>
    <cellStyle name="Euro 2 5 2" xfId="4660" xr:uid="{00000000-0005-0000-0000-0000FD030000}"/>
    <cellStyle name="Euro 2 6" xfId="522" xr:uid="{00000000-0005-0000-0000-0000FE030000}"/>
    <cellStyle name="Euro 2 6 2" xfId="4661" xr:uid="{00000000-0005-0000-0000-0000FF030000}"/>
    <cellStyle name="Euro 2 7" xfId="523" xr:uid="{00000000-0005-0000-0000-000000040000}"/>
    <cellStyle name="Euro 2 7 2" xfId="4662" xr:uid="{00000000-0005-0000-0000-000001040000}"/>
    <cellStyle name="Euro 2 8" xfId="524" xr:uid="{00000000-0005-0000-0000-000002040000}"/>
    <cellStyle name="Euro 2 8 2" xfId="4663" xr:uid="{00000000-0005-0000-0000-000003040000}"/>
    <cellStyle name="Euro 2 9" xfId="525" xr:uid="{00000000-0005-0000-0000-000004040000}"/>
    <cellStyle name="Euro 2 9 2" xfId="4664" xr:uid="{00000000-0005-0000-0000-000005040000}"/>
    <cellStyle name="Euro 2_1.2.b" xfId="16092" xr:uid="{F73E751C-F05B-461D-AC52-0AAC7B9FD409}"/>
    <cellStyle name="Euro 20" xfId="526" xr:uid="{00000000-0005-0000-0000-000006040000}"/>
    <cellStyle name="Euro 20 10" xfId="527" xr:uid="{00000000-0005-0000-0000-000007040000}"/>
    <cellStyle name="Euro 20 10 2" xfId="4665" xr:uid="{00000000-0005-0000-0000-000008040000}"/>
    <cellStyle name="Euro 20 11" xfId="528" xr:uid="{00000000-0005-0000-0000-000009040000}"/>
    <cellStyle name="Euro 20 11 2" xfId="4666" xr:uid="{00000000-0005-0000-0000-00000A040000}"/>
    <cellStyle name="Euro 20 12" xfId="529" xr:uid="{00000000-0005-0000-0000-00000B040000}"/>
    <cellStyle name="Euro 20 12 2" xfId="4667" xr:uid="{00000000-0005-0000-0000-00000C040000}"/>
    <cellStyle name="Euro 20 13" xfId="530" xr:uid="{00000000-0005-0000-0000-00000D040000}"/>
    <cellStyle name="Euro 20 13 2" xfId="4668" xr:uid="{00000000-0005-0000-0000-00000E040000}"/>
    <cellStyle name="Euro 20 14" xfId="531" xr:uid="{00000000-0005-0000-0000-00000F040000}"/>
    <cellStyle name="Euro 20 14 2" xfId="4669" xr:uid="{00000000-0005-0000-0000-000010040000}"/>
    <cellStyle name="Euro 20 15" xfId="532" xr:uid="{00000000-0005-0000-0000-000011040000}"/>
    <cellStyle name="Euro 20 15 2" xfId="4670" xr:uid="{00000000-0005-0000-0000-000012040000}"/>
    <cellStyle name="Euro 20 16" xfId="533" xr:uid="{00000000-0005-0000-0000-000013040000}"/>
    <cellStyle name="Euro 20 16 2" xfId="4671" xr:uid="{00000000-0005-0000-0000-000014040000}"/>
    <cellStyle name="Euro 20 17" xfId="534" xr:uid="{00000000-0005-0000-0000-000015040000}"/>
    <cellStyle name="Euro 20 17 2" xfId="4672" xr:uid="{00000000-0005-0000-0000-000016040000}"/>
    <cellStyle name="Euro 20 18" xfId="535" xr:uid="{00000000-0005-0000-0000-000017040000}"/>
    <cellStyle name="Euro 20 18 2" xfId="4673" xr:uid="{00000000-0005-0000-0000-000018040000}"/>
    <cellStyle name="Euro 20 19" xfId="536" xr:uid="{00000000-0005-0000-0000-000019040000}"/>
    <cellStyle name="Euro 20 19 2" xfId="4674" xr:uid="{00000000-0005-0000-0000-00001A040000}"/>
    <cellStyle name="Euro 20 2" xfId="537" xr:uid="{00000000-0005-0000-0000-00001B040000}"/>
    <cellStyle name="Euro 20 2 2" xfId="4675" xr:uid="{00000000-0005-0000-0000-00001C040000}"/>
    <cellStyle name="Euro 20 20" xfId="538" xr:uid="{00000000-0005-0000-0000-00001D040000}"/>
    <cellStyle name="Euro 20 20 2" xfId="4676" xr:uid="{00000000-0005-0000-0000-00001E040000}"/>
    <cellStyle name="Euro 20 21" xfId="539" xr:uid="{00000000-0005-0000-0000-00001F040000}"/>
    <cellStyle name="Euro 20 21 2" xfId="4677" xr:uid="{00000000-0005-0000-0000-000020040000}"/>
    <cellStyle name="Euro 20 22" xfId="540" xr:uid="{00000000-0005-0000-0000-000021040000}"/>
    <cellStyle name="Euro 20 22 2" xfId="4678" xr:uid="{00000000-0005-0000-0000-000022040000}"/>
    <cellStyle name="Euro 20 23" xfId="541" xr:uid="{00000000-0005-0000-0000-000023040000}"/>
    <cellStyle name="Euro 20 23 2" xfId="4679" xr:uid="{00000000-0005-0000-0000-000024040000}"/>
    <cellStyle name="Euro 20 24" xfId="542" xr:uid="{00000000-0005-0000-0000-000025040000}"/>
    <cellStyle name="Euro 20 24 2" xfId="4680" xr:uid="{00000000-0005-0000-0000-000026040000}"/>
    <cellStyle name="Euro 20 25" xfId="543" xr:uid="{00000000-0005-0000-0000-000027040000}"/>
    <cellStyle name="Euro 20 25 2" xfId="4681" xr:uid="{00000000-0005-0000-0000-000028040000}"/>
    <cellStyle name="Euro 20 26" xfId="544" xr:uid="{00000000-0005-0000-0000-000029040000}"/>
    <cellStyle name="Euro 20 26 2" xfId="4682" xr:uid="{00000000-0005-0000-0000-00002A040000}"/>
    <cellStyle name="Euro 20 27" xfId="545" xr:uid="{00000000-0005-0000-0000-00002B040000}"/>
    <cellStyle name="Euro 20 27 2" xfId="4683" xr:uid="{00000000-0005-0000-0000-00002C040000}"/>
    <cellStyle name="Euro 20 28" xfId="546" xr:uid="{00000000-0005-0000-0000-00002D040000}"/>
    <cellStyle name="Euro 20 28 2" xfId="4684" xr:uid="{00000000-0005-0000-0000-00002E040000}"/>
    <cellStyle name="Euro 20 29" xfId="4685" xr:uid="{00000000-0005-0000-0000-00002F040000}"/>
    <cellStyle name="Euro 20 3" xfId="547" xr:uid="{00000000-0005-0000-0000-000030040000}"/>
    <cellStyle name="Euro 20 3 2" xfId="4686" xr:uid="{00000000-0005-0000-0000-000031040000}"/>
    <cellStyle name="Euro 20 4" xfId="548" xr:uid="{00000000-0005-0000-0000-000032040000}"/>
    <cellStyle name="Euro 20 4 2" xfId="4687" xr:uid="{00000000-0005-0000-0000-000033040000}"/>
    <cellStyle name="Euro 20 5" xfId="549" xr:uid="{00000000-0005-0000-0000-000034040000}"/>
    <cellStyle name="Euro 20 5 2" xfId="4688" xr:uid="{00000000-0005-0000-0000-000035040000}"/>
    <cellStyle name="Euro 20 6" xfId="550" xr:uid="{00000000-0005-0000-0000-000036040000}"/>
    <cellStyle name="Euro 20 6 2" xfId="4689" xr:uid="{00000000-0005-0000-0000-000037040000}"/>
    <cellStyle name="Euro 20 7" xfId="551" xr:uid="{00000000-0005-0000-0000-000038040000}"/>
    <cellStyle name="Euro 20 7 2" xfId="4690" xr:uid="{00000000-0005-0000-0000-000039040000}"/>
    <cellStyle name="Euro 20 8" xfId="552" xr:uid="{00000000-0005-0000-0000-00003A040000}"/>
    <cellStyle name="Euro 20 8 2" xfId="4691" xr:uid="{00000000-0005-0000-0000-00003B040000}"/>
    <cellStyle name="Euro 20 9" xfId="553" xr:uid="{00000000-0005-0000-0000-00003C040000}"/>
    <cellStyle name="Euro 20 9 2" xfId="4692" xr:uid="{00000000-0005-0000-0000-00003D040000}"/>
    <cellStyle name="Euro 21" xfId="554" xr:uid="{00000000-0005-0000-0000-00003E040000}"/>
    <cellStyle name="Euro 21 10" xfId="555" xr:uid="{00000000-0005-0000-0000-00003F040000}"/>
    <cellStyle name="Euro 21 10 2" xfId="4693" xr:uid="{00000000-0005-0000-0000-000040040000}"/>
    <cellStyle name="Euro 21 11" xfId="556" xr:uid="{00000000-0005-0000-0000-000041040000}"/>
    <cellStyle name="Euro 21 11 2" xfId="4694" xr:uid="{00000000-0005-0000-0000-000042040000}"/>
    <cellStyle name="Euro 21 12" xfId="557" xr:uid="{00000000-0005-0000-0000-000043040000}"/>
    <cellStyle name="Euro 21 12 2" xfId="4695" xr:uid="{00000000-0005-0000-0000-000044040000}"/>
    <cellStyle name="Euro 21 13" xfId="558" xr:uid="{00000000-0005-0000-0000-000045040000}"/>
    <cellStyle name="Euro 21 13 2" xfId="4696" xr:uid="{00000000-0005-0000-0000-000046040000}"/>
    <cellStyle name="Euro 21 14" xfId="559" xr:uid="{00000000-0005-0000-0000-000047040000}"/>
    <cellStyle name="Euro 21 14 2" xfId="4697" xr:uid="{00000000-0005-0000-0000-000048040000}"/>
    <cellStyle name="Euro 21 15" xfId="560" xr:uid="{00000000-0005-0000-0000-000049040000}"/>
    <cellStyle name="Euro 21 15 2" xfId="4698" xr:uid="{00000000-0005-0000-0000-00004A040000}"/>
    <cellStyle name="Euro 21 16" xfId="561" xr:uid="{00000000-0005-0000-0000-00004B040000}"/>
    <cellStyle name="Euro 21 16 2" xfId="4699" xr:uid="{00000000-0005-0000-0000-00004C040000}"/>
    <cellStyle name="Euro 21 17" xfId="562" xr:uid="{00000000-0005-0000-0000-00004D040000}"/>
    <cellStyle name="Euro 21 17 2" xfId="4700" xr:uid="{00000000-0005-0000-0000-00004E040000}"/>
    <cellStyle name="Euro 21 18" xfId="563" xr:uid="{00000000-0005-0000-0000-00004F040000}"/>
    <cellStyle name="Euro 21 18 2" xfId="4701" xr:uid="{00000000-0005-0000-0000-000050040000}"/>
    <cellStyle name="Euro 21 19" xfId="564" xr:uid="{00000000-0005-0000-0000-000051040000}"/>
    <cellStyle name="Euro 21 19 2" xfId="4702" xr:uid="{00000000-0005-0000-0000-000052040000}"/>
    <cellStyle name="Euro 21 2" xfId="565" xr:uid="{00000000-0005-0000-0000-000053040000}"/>
    <cellStyle name="Euro 21 2 2" xfId="4703" xr:uid="{00000000-0005-0000-0000-000054040000}"/>
    <cellStyle name="Euro 21 20" xfId="566" xr:uid="{00000000-0005-0000-0000-000055040000}"/>
    <cellStyle name="Euro 21 20 2" xfId="4704" xr:uid="{00000000-0005-0000-0000-000056040000}"/>
    <cellStyle name="Euro 21 21" xfId="567" xr:uid="{00000000-0005-0000-0000-000057040000}"/>
    <cellStyle name="Euro 21 21 2" xfId="4705" xr:uid="{00000000-0005-0000-0000-000058040000}"/>
    <cellStyle name="Euro 21 22" xfId="568" xr:uid="{00000000-0005-0000-0000-000059040000}"/>
    <cellStyle name="Euro 21 22 2" xfId="4706" xr:uid="{00000000-0005-0000-0000-00005A040000}"/>
    <cellStyle name="Euro 21 23" xfId="569" xr:uid="{00000000-0005-0000-0000-00005B040000}"/>
    <cellStyle name="Euro 21 23 2" xfId="4707" xr:uid="{00000000-0005-0000-0000-00005C040000}"/>
    <cellStyle name="Euro 21 24" xfId="570" xr:uid="{00000000-0005-0000-0000-00005D040000}"/>
    <cellStyle name="Euro 21 24 2" xfId="4708" xr:uid="{00000000-0005-0000-0000-00005E040000}"/>
    <cellStyle name="Euro 21 25" xfId="571" xr:uid="{00000000-0005-0000-0000-00005F040000}"/>
    <cellStyle name="Euro 21 25 2" xfId="4709" xr:uid="{00000000-0005-0000-0000-000060040000}"/>
    <cellStyle name="Euro 21 26" xfId="572" xr:uid="{00000000-0005-0000-0000-000061040000}"/>
    <cellStyle name="Euro 21 26 2" xfId="4710" xr:uid="{00000000-0005-0000-0000-000062040000}"/>
    <cellStyle name="Euro 21 27" xfId="573" xr:uid="{00000000-0005-0000-0000-000063040000}"/>
    <cellStyle name="Euro 21 27 2" xfId="4711" xr:uid="{00000000-0005-0000-0000-000064040000}"/>
    <cellStyle name="Euro 21 28" xfId="574" xr:uid="{00000000-0005-0000-0000-000065040000}"/>
    <cellStyle name="Euro 21 28 2" xfId="4712" xr:uid="{00000000-0005-0000-0000-000066040000}"/>
    <cellStyle name="Euro 21 29" xfId="4713" xr:uid="{00000000-0005-0000-0000-000067040000}"/>
    <cellStyle name="Euro 21 3" xfId="575" xr:uid="{00000000-0005-0000-0000-000068040000}"/>
    <cellStyle name="Euro 21 3 2" xfId="4714" xr:uid="{00000000-0005-0000-0000-000069040000}"/>
    <cellStyle name="Euro 21 4" xfId="576" xr:uid="{00000000-0005-0000-0000-00006A040000}"/>
    <cellStyle name="Euro 21 4 2" xfId="4715" xr:uid="{00000000-0005-0000-0000-00006B040000}"/>
    <cellStyle name="Euro 21 5" xfId="577" xr:uid="{00000000-0005-0000-0000-00006C040000}"/>
    <cellStyle name="Euro 21 5 2" xfId="4716" xr:uid="{00000000-0005-0000-0000-00006D040000}"/>
    <cellStyle name="Euro 21 6" xfId="578" xr:uid="{00000000-0005-0000-0000-00006E040000}"/>
    <cellStyle name="Euro 21 6 2" xfId="4717" xr:uid="{00000000-0005-0000-0000-00006F040000}"/>
    <cellStyle name="Euro 21 7" xfId="579" xr:uid="{00000000-0005-0000-0000-000070040000}"/>
    <cellStyle name="Euro 21 7 2" xfId="4718" xr:uid="{00000000-0005-0000-0000-000071040000}"/>
    <cellStyle name="Euro 21 8" xfId="580" xr:uid="{00000000-0005-0000-0000-000072040000}"/>
    <cellStyle name="Euro 21 8 2" xfId="4719" xr:uid="{00000000-0005-0000-0000-000073040000}"/>
    <cellStyle name="Euro 21 9" xfId="581" xr:uid="{00000000-0005-0000-0000-000074040000}"/>
    <cellStyle name="Euro 21 9 2" xfId="4720" xr:uid="{00000000-0005-0000-0000-000075040000}"/>
    <cellStyle name="Euro 22" xfId="582" xr:uid="{00000000-0005-0000-0000-000076040000}"/>
    <cellStyle name="Euro 22 10" xfId="583" xr:uid="{00000000-0005-0000-0000-000077040000}"/>
    <cellStyle name="Euro 22 10 2" xfId="4721" xr:uid="{00000000-0005-0000-0000-000078040000}"/>
    <cellStyle name="Euro 22 11" xfId="584" xr:uid="{00000000-0005-0000-0000-000079040000}"/>
    <cellStyle name="Euro 22 11 2" xfId="4722" xr:uid="{00000000-0005-0000-0000-00007A040000}"/>
    <cellStyle name="Euro 22 12" xfId="585" xr:uid="{00000000-0005-0000-0000-00007B040000}"/>
    <cellStyle name="Euro 22 12 2" xfId="4723" xr:uid="{00000000-0005-0000-0000-00007C040000}"/>
    <cellStyle name="Euro 22 13" xfId="586" xr:uid="{00000000-0005-0000-0000-00007D040000}"/>
    <cellStyle name="Euro 22 13 2" xfId="4724" xr:uid="{00000000-0005-0000-0000-00007E040000}"/>
    <cellStyle name="Euro 22 14" xfId="587" xr:uid="{00000000-0005-0000-0000-00007F040000}"/>
    <cellStyle name="Euro 22 14 2" xfId="4725" xr:uid="{00000000-0005-0000-0000-000080040000}"/>
    <cellStyle name="Euro 22 15" xfId="588" xr:uid="{00000000-0005-0000-0000-000081040000}"/>
    <cellStyle name="Euro 22 15 2" xfId="4726" xr:uid="{00000000-0005-0000-0000-000082040000}"/>
    <cellStyle name="Euro 22 16" xfId="589" xr:uid="{00000000-0005-0000-0000-000083040000}"/>
    <cellStyle name="Euro 22 16 2" xfId="4727" xr:uid="{00000000-0005-0000-0000-000084040000}"/>
    <cellStyle name="Euro 22 17" xfId="590" xr:uid="{00000000-0005-0000-0000-000085040000}"/>
    <cellStyle name="Euro 22 17 2" xfId="4728" xr:uid="{00000000-0005-0000-0000-000086040000}"/>
    <cellStyle name="Euro 22 18" xfId="591" xr:uid="{00000000-0005-0000-0000-000087040000}"/>
    <cellStyle name="Euro 22 18 2" xfId="4729" xr:uid="{00000000-0005-0000-0000-000088040000}"/>
    <cellStyle name="Euro 22 19" xfId="592" xr:uid="{00000000-0005-0000-0000-000089040000}"/>
    <cellStyle name="Euro 22 19 2" xfId="4730" xr:uid="{00000000-0005-0000-0000-00008A040000}"/>
    <cellStyle name="Euro 22 2" xfId="593" xr:uid="{00000000-0005-0000-0000-00008B040000}"/>
    <cellStyle name="Euro 22 2 2" xfId="4731" xr:uid="{00000000-0005-0000-0000-00008C040000}"/>
    <cellStyle name="Euro 22 20" xfId="594" xr:uid="{00000000-0005-0000-0000-00008D040000}"/>
    <cellStyle name="Euro 22 20 2" xfId="4732" xr:uid="{00000000-0005-0000-0000-00008E040000}"/>
    <cellStyle name="Euro 22 21" xfId="595" xr:uid="{00000000-0005-0000-0000-00008F040000}"/>
    <cellStyle name="Euro 22 21 2" xfId="4733" xr:uid="{00000000-0005-0000-0000-000090040000}"/>
    <cellStyle name="Euro 22 22" xfId="596" xr:uid="{00000000-0005-0000-0000-000091040000}"/>
    <cellStyle name="Euro 22 22 2" xfId="4734" xr:uid="{00000000-0005-0000-0000-000092040000}"/>
    <cellStyle name="Euro 22 23" xfId="597" xr:uid="{00000000-0005-0000-0000-000093040000}"/>
    <cellStyle name="Euro 22 23 2" xfId="4735" xr:uid="{00000000-0005-0000-0000-000094040000}"/>
    <cellStyle name="Euro 22 24" xfId="598" xr:uid="{00000000-0005-0000-0000-000095040000}"/>
    <cellStyle name="Euro 22 24 2" xfId="4736" xr:uid="{00000000-0005-0000-0000-000096040000}"/>
    <cellStyle name="Euro 22 25" xfId="599" xr:uid="{00000000-0005-0000-0000-000097040000}"/>
    <cellStyle name="Euro 22 25 2" xfId="4737" xr:uid="{00000000-0005-0000-0000-000098040000}"/>
    <cellStyle name="Euro 22 26" xfId="600" xr:uid="{00000000-0005-0000-0000-000099040000}"/>
    <cellStyle name="Euro 22 26 2" xfId="4738" xr:uid="{00000000-0005-0000-0000-00009A040000}"/>
    <cellStyle name="Euro 22 27" xfId="601" xr:uid="{00000000-0005-0000-0000-00009B040000}"/>
    <cellStyle name="Euro 22 27 2" xfId="4739" xr:uid="{00000000-0005-0000-0000-00009C040000}"/>
    <cellStyle name="Euro 22 28" xfId="602" xr:uid="{00000000-0005-0000-0000-00009D040000}"/>
    <cellStyle name="Euro 22 28 2" xfId="4740" xr:uid="{00000000-0005-0000-0000-00009E040000}"/>
    <cellStyle name="Euro 22 29" xfId="4741" xr:uid="{00000000-0005-0000-0000-00009F040000}"/>
    <cellStyle name="Euro 22 3" xfId="603" xr:uid="{00000000-0005-0000-0000-0000A0040000}"/>
    <cellStyle name="Euro 22 3 2" xfId="4742" xr:uid="{00000000-0005-0000-0000-0000A1040000}"/>
    <cellStyle name="Euro 22 4" xfId="604" xr:uid="{00000000-0005-0000-0000-0000A2040000}"/>
    <cellStyle name="Euro 22 4 2" xfId="4743" xr:uid="{00000000-0005-0000-0000-0000A3040000}"/>
    <cellStyle name="Euro 22 5" xfId="605" xr:uid="{00000000-0005-0000-0000-0000A4040000}"/>
    <cellStyle name="Euro 22 5 2" xfId="4744" xr:uid="{00000000-0005-0000-0000-0000A5040000}"/>
    <cellStyle name="Euro 22 6" xfId="606" xr:uid="{00000000-0005-0000-0000-0000A6040000}"/>
    <cellStyle name="Euro 22 6 2" xfId="4745" xr:uid="{00000000-0005-0000-0000-0000A7040000}"/>
    <cellStyle name="Euro 22 7" xfId="607" xr:uid="{00000000-0005-0000-0000-0000A8040000}"/>
    <cellStyle name="Euro 22 7 2" xfId="4746" xr:uid="{00000000-0005-0000-0000-0000A9040000}"/>
    <cellStyle name="Euro 22 8" xfId="608" xr:uid="{00000000-0005-0000-0000-0000AA040000}"/>
    <cellStyle name="Euro 22 8 2" xfId="4747" xr:uid="{00000000-0005-0000-0000-0000AB040000}"/>
    <cellStyle name="Euro 22 9" xfId="609" xr:uid="{00000000-0005-0000-0000-0000AC040000}"/>
    <cellStyle name="Euro 22 9 2" xfId="4748" xr:uid="{00000000-0005-0000-0000-0000AD040000}"/>
    <cellStyle name="Euro 23" xfId="610" xr:uid="{00000000-0005-0000-0000-0000AE040000}"/>
    <cellStyle name="Euro 23 10" xfId="611" xr:uid="{00000000-0005-0000-0000-0000AF040000}"/>
    <cellStyle name="Euro 23 10 2" xfId="4749" xr:uid="{00000000-0005-0000-0000-0000B0040000}"/>
    <cellStyle name="Euro 23 11" xfId="612" xr:uid="{00000000-0005-0000-0000-0000B1040000}"/>
    <cellStyle name="Euro 23 11 2" xfId="4750" xr:uid="{00000000-0005-0000-0000-0000B2040000}"/>
    <cellStyle name="Euro 23 12" xfId="613" xr:uid="{00000000-0005-0000-0000-0000B3040000}"/>
    <cellStyle name="Euro 23 12 2" xfId="4751" xr:uid="{00000000-0005-0000-0000-0000B4040000}"/>
    <cellStyle name="Euro 23 13" xfId="614" xr:uid="{00000000-0005-0000-0000-0000B5040000}"/>
    <cellStyle name="Euro 23 13 2" xfId="4752" xr:uid="{00000000-0005-0000-0000-0000B6040000}"/>
    <cellStyle name="Euro 23 14" xfId="615" xr:uid="{00000000-0005-0000-0000-0000B7040000}"/>
    <cellStyle name="Euro 23 14 2" xfId="4753" xr:uid="{00000000-0005-0000-0000-0000B8040000}"/>
    <cellStyle name="Euro 23 15" xfId="616" xr:uid="{00000000-0005-0000-0000-0000B9040000}"/>
    <cellStyle name="Euro 23 15 2" xfId="4754" xr:uid="{00000000-0005-0000-0000-0000BA040000}"/>
    <cellStyle name="Euro 23 16" xfId="617" xr:uid="{00000000-0005-0000-0000-0000BB040000}"/>
    <cellStyle name="Euro 23 16 2" xfId="4755" xr:uid="{00000000-0005-0000-0000-0000BC040000}"/>
    <cellStyle name="Euro 23 17" xfId="618" xr:uid="{00000000-0005-0000-0000-0000BD040000}"/>
    <cellStyle name="Euro 23 17 2" xfId="4756" xr:uid="{00000000-0005-0000-0000-0000BE040000}"/>
    <cellStyle name="Euro 23 18" xfId="619" xr:uid="{00000000-0005-0000-0000-0000BF040000}"/>
    <cellStyle name="Euro 23 18 2" xfId="4757" xr:uid="{00000000-0005-0000-0000-0000C0040000}"/>
    <cellStyle name="Euro 23 19" xfId="620" xr:uid="{00000000-0005-0000-0000-0000C1040000}"/>
    <cellStyle name="Euro 23 19 2" xfId="4758" xr:uid="{00000000-0005-0000-0000-0000C2040000}"/>
    <cellStyle name="Euro 23 2" xfId="621" xr:uid="{00000000-0005-0000-0000-0000C3040000}"/>
    <cellStyle name="Euro 23 2 2" xfId="4759" xr:uid="{00000000-0005-0000-0000-0000C4040000}"/>
    <cellStyle name="Euro 23 20" xfId="622" xr:uid="{00000000-0005-0000-0000-0000C5040000}"/>
    <cellStyle name="Euro 23 20 2" xfId="4760" xr:uid="{00000000-0005-0000-0000-0000C6040000}"/>
    <cellStyle name="Euro 23 21" xfId="623" xr:uid="{00000000-0005-0000-0000-0000C7040000}"/>
    <cellStyle name="Euro 23 21 2" xfId="4761" xr:uid="{00000000-0005-0000-0000-0000C8040000}"/>
    <cellStyle name="Euro 23 22" xfId="624" xr:uid="{00000000-0005-0000-0000-0000C9040000}"/>
    <cellStyle name="Euro 23 22 2" xfId="4762" xr:uid="{00000000-0005-0000-0000-0000CA040000}"/>
    <cellStyle name="Euro 23 23" xfId="625" xr:uid="{00000000-0005-0000-0000-0000CB040000}"/>
    <cellStyle name="Euro 23 23 2" xfId="4763" xr:uid="{00000000-0005-0000-0000-0000CC040000}"/>
    <cellStyle name="Euro 23 24" xfId="626" xr:uid="{00000000-0005-0000-0000-0000CD040000}"/>
    <cellStyle name="Euro 23 24 2" xfId="4764" xr:uid="{00000000-0005-0000-0000-0000CE040000}"/>
    <cellStyle name="Euro 23 25" xfId="627" xr:uid="{00000000-0005-0000-0000-0000CF040000}"/>
    <cellStyle name="Euro 23 25 2" xfId="4765" xr:uid="{00000000-0005-0000-0000-0000D0040000}"/>
    <cellStyle name="Euro 23 26" xfId="628" xr:uid="{00000000-0005-0000-0000-0000D1040000}"/>
    <cellStyle name="Euro 23 26 2" xfId="4766" xr:uid="{00000000-0005-0000-0000-0000D2040000}"/>
    <cellStyle name="Euro 23 27" xfId="629" xr:uid="{00000000-0005-0000-0000-0000D3040000}"/>
    <cellStyle name="Euro 23 27 2" xfId="4767" xr:uid="{00000000-0005-0000-0000-0000D4040000}"/>
    <cellStyle name="Euro 23 28" xfId="630" xr:uid="{00000000-0005-0000-0000-0000D5040000}"/>
    <cellStyle name="Euro 23 28 2" xfId="4768" xr:uid="{00000000-0005-0000-0000-0000D6040000}"/>
    <cellStyle name="Euro 23 29" xfId="4769" xr:uid="{00000000-0005-0000-0000-0000D7040000}"/>
    <cellStyle name="Euro 23 3" xfId="631" xr:uid="{00000000-0005-0000-0000-0000D8040000}"/>
    <cellStyle name="Euro 23 3 2" xfId="4770" xr:uid="{00000000-0005-0000-0000-0000D9040000}"/>
    <cellStyle name="Euro 23 4" xfId="632" xr:uid="{00000000-0005-0000-0000-0000DA040000}"/>
    <cellStyle name="Euro 23 4 2" xfId="4771" xr:uid="{00000000-0005-0000-0000-0000DB040000}"/>
    <cellStyle name="Euro 23 5" xfId="633" xr:uid="{00000000-0005-0000-0000-0000DC040000}"/>
    <cellStyle name="Euro 23 5 2" xfId="4772" xr:uid="{00000000-0005-0000-0000-0000DD040000}"/>
    <cellStyle name="Euro 23 6" xfId="634" xr:uid="{00000000-0005-0000-0000-0000DE040000}"/>
    <cellStyle name="Euro 23 6 2" xfId="4773" xr:uid="{00000000-0005-0000-0000-0000DF040000}"/>
    <cellStyle name="Euro 23 7" xfId="635" xr:uid="{00000000-0005-0000-0000-0000E0040000}"/>
    <cellStyle name="Euro 23 7 2" xfId="4774" xr:uid="{00000000-0005-0000-0000-0000E1040000}"/>
    <cellStyle name="Euro 23 8" xfId="636" xr:uid="{00000000-0005-0000-0000-0000E2040000}"/>
    <cellStyle name="Euro 23 8 2" xfId="4775" xr:uid="{00000000-0005-0000-0000-0000E3040000}"/>
    <cellStyle name="Euro 23 9" xfId="637" xr:uid="{00000000-0005-0000-0000-0000E4040000}"/>
    <cellStyle name="Euro 23 9 2" xfId="4776" xr:uid="{00000000-0005-0000-0000-0000E5040000}"/>
    <cellStyle name="Euro 24" xfId="638" xr:uid="{00000000-0005-0000-0000-0000E6040000}"/>
    <cellStyle name="Euro 24 10" xfId="639" xr:uid="{00000000-0005-0000-0000-0000E7040000}"/>
    <cellStyle name="Euro 24 10 2" xfId="4777" xr:uid="{00000000-0005-0000-0000-0000E8040000}"/>
    <cellStyle name="Euro 24 11" xfId="640" xr:uid="{00000000-0005-0000-0000-0000E9040000}"/>
    <cellStyle name="Euro 24 11 2" xfId="4778" xr:uid="{00000000-0005-0000-0000-0000EA040000}"/>
    <cellStyle name="Euro 24 12" xfId="641" xr:uid="{00000000-0005-0000-0000-0000EB040000}"/>
    <cellStyle name="Euro 24 12 2" xfId="4779" xr:uid="{00000000-0005-0000-0000-0000EC040000}"/>
    <cellStyle name="Euro 24 13" xfId="642" xr:uid="{00000000-0005-0000-0000-0000ED040000}"/>
    <cellStyle name="Euro 24 13 2" xfId="4780" xr:uid="{00000000-0005-0000-0000-0000EE040000}"/>
    <cellStyle name="Euro 24 14" xfId="643" xr:uid="{00000000-0005-0000-0000-0000EF040000}"/>
    <cellStyle name="Euro 24 14 2" xfId="4781" xr:uid="{00000000-0005-0000-0000-0000F0040000}"/>
    <cellStyle name="Euro 24 15" xfId="644" xr:uid="{00000000-0005-0000-0000-0000F1040000}"/>
    <cellStyle name="Euro 24 15 2" xfId="4782" xr:uid="{00000000-0005-0000-0000-0000F2040000}"/>
    <cellStyle name="Euro 24 16" xfId="645" xr:uid="{00000000-0005-0000-0000-0000F3040000}"/>
    <cellStyle name="Euro 24 16 2" xfId="4783" xr:uid="{00000000-0005-0000-0000-0000F4040000}"/>
    <cellStyle name="Euro 24 17" xfId="646" xr:uid="{00000000-0005-0000-0000-0000F5040000}"/>
    <cellStyle name="Euro 24 17 2" xfId="4784" xr:uid="{00000000-0005-0000-0000-0000F6040000}"/>
    <cellStyle name="Euro 24 18" xfId="647" xr:uid="{00000000-0005-0000-0000-0000F7040000}"/>
    <cellStyle name="Euro 24 18 2" xfId="4785" xr:uid="{00000000-0005-0000-0000-0000F8040000}"/>
    <cellStyle name="Euro 24 19" xfId="648" xr:uid="{00000000-0005-0000-0000-0000F9040000}"/>
    <cellStyle name="Euro 24 19 2" xfId="4786" xr:uid="{00000000-0005-0000-0000-0000FA040000}"/>
    <cellStyle name="Euro 24 2" xfId="649" xr:uid="{00000000-0005-0000-0000-0000FB040000}"/>
    <cellStyle name="Euro 24 2 2" xfId="4787" xr:uid="{00000000-0005-0000-0000-0000FC040000}"/>
    <cellStyle name="Euro 24 20" xfId="650" xr:uid="{00000000-0005-0000-0000-0000FD040000}"/>
    <cellStyle name="Euro 24 20 2" xfId="4788" xr:uid="{00000000-0005-0000-0000-0000FE040000}"/>
    <cellStyle name="Euro 24 21" xfId="651" xr:uid="{00000000-0005-0000-0000-0000FF040000}"/>
    <cellStyle name="Euro 24 21 2" xfId="4789" xr:uid="{00000000-0005-0000-0000-000000050000}"/>
    <cellStyle name="Euro 24 22" xfId="652" xr:uid="{00000000-0005-0000-0000-000001050000}"/>
    <cellStyle name="Euro 24 22 2" xfId="4790" xr:uid="{00000000-0005-0000-0000-000002050000}"/>
    <cellStyle name="Euro 24 23" xfId="653" xr:uid="{00000000-0005-0000-0000-000003050000}"/>
    <cellStyle name="Euro 24 23 2" xfId="4791" xr:uid="{00000000-0005-0000-0000-000004050000}"/>
    <cellStyle name="Euro 24 24" xfId="654" xr:uid="{00000000-0005-0000-0000-000005050000}"/>
    <cellStyle name="Euro 24 24 2" xfId="4792" xr:uid="{00000000-0005-0000-0000-000006050000}"/>
    <cellStyle name="Euro 24 25" xfId="655" xr:uid="{00000000-0005-0000-0000-000007050000}"/>
    <cellStyle name="Euro 24 25 2" xfId="4793" xr:uid="{00000000-0005-0000-0000-000008050000}"/>
    <cellStyle name="Euro 24 26" xfId="656" xr:uid="{00000000-0005-0000-0000-000009050000}"/>
    <cellStyle name="Euro 24 26 2" xfId="4794" xr:uid="{00000000-0005-0000-0000-00000A050000}"/>
    <cellStyle name="Euro 24 27" xfId="657" xr:uid="{00000000-0005-0000-0000-00000B050000}"/>
    <cellStyle name="Euro 24 27 2" xfId="4795" xr:uid="{00000000-0005-0000-0000-00000C050000}"/>
    <cellStyle name="Euro 24 28" xfId="658" xr:uid="{00000000-0005-0000-0000-00000D050000}"/>
    <cellStyle name="Euro 24 28 2" xfId="4796" xr:uid="{00000000-0005-0000-0000-00000E050000}"/>
    <cellStyle name="Euro 24 29" xfId="4797" xr:uid="{00000000-0005-0000-0000-00000F050000}"/>
    <cellStyle name="Euro 24 3" xfId="659" xr:uid="{00000000-0005-0000-0000-000010050000}"/>
    <cellStyle name="Euro 24 3 2" xfId="4798" xr:uid="{00000000-0005-0000-0000-000011050000}"/>
    <cellStyle name="Euro 24 4" xfId="660" xr:uid="{00000000-0005-0000-0000-000012050000}"/>
    <cellStyle name="Euro 24 4 2" xfId="4799" xr:uid="{00000000-0005-0000-0000-000013050000}"/>
    <cellStyle name="Euro 24 5" xfId="661" xr:uid="{00000000-0005-0000-0000-000014050000}"/>
    <cellStyle name="Euro 24 5 2" xfId="4800" xr:uid="{00000000-0005-0000-0000-000015050000}"/>
    <cellStyle name="Euro 24 6" xfId="662" xr:uid="{00000000-0005-0000-0000-000016050000}"/>
    <cellStyle name="Euro 24 6 2" xfId="4801" xr:uid="{00000000-0005-0000-0000-000017050000}"/>
    <cellStyle name="Euro 24 7" xfId="663" xr:uid="{00000000-0005-0000-0000-000018050000}"/>
    <cellStyle name="Euro 24 7 2" xfId="4802" xr:uid="{00000000-0005-0000-0000-000019050000}"/>
    <cellStyle name="Euro 24 8" xfId="664" xr:uid="{00000000-0005-0000-0000-00001A050000}"/>
    <cellStyle name="Euro 24 8 2" xfId="4803" xr:uid="{00000000-0005-0000-0000-00001B050000}"/>
    <cellStyle name="Euro 24 9" xfId="665" xr:uid="{00000000-0005-0000-0000-00001C050000}"/>
    <cellStyle name="Euro 24 9 2" xfId="4804" xr:uid="{00000000-0005-0000-0000-00001D050000}"/>
    <cellStyle name="Euro 25" xfId="666" xr:uid="{00000000-0005-0000-0000-00001E050000}"/>
    <cellStyle name="Euro 25 10" xfId="667" xr:uid="{00000000-0005-0000-0000-00001F050000}"/>
    <cellStyle name="Euro 25 10 2" xfId="4805" xr:uid="{00000000-0005-0000-0000-000020050000}"/>
    <cellStyle name="Euro 25 11" xfId="668" xr:uid="{00000000-0005-0000-0000-000021050000}"/>
    <cellStyle name="Euro 25 11 2" xfId="4806" xr:uid="{00000000-0005-0000-0000-000022050000}"/>
    <cellStyle name="Euro 25 12" xfId="669" xr:uid="{00000000-0005-0000-0000-000023050000}"/>
    <cellStyle name="Euro 25 12 2" xfId="4807" xr:uid="{00000000-0005-0000-0000-000024050000}"/>
    <cellStyle name="Euro 25 13" xfId="670" xr:uid="{00000000-0005-0000-0000-000025050000}"/>
    <cellStyle name="Euro 25 13 2" xfId="4808" xr:uid="{00000000-0005-0000-0000-000026050000}"/>
    <cellStyle name="Euro 25 14" xfId="671" xr:uid="{00000000-0005-0000-0000-000027050000}"/>
    <cellStyle name="Euro 25 14 2" xfId="4809" xr:uid="{00000000-0005-0000-0000-000028050000}"/>
    <cellStyle name="Euro 25 15" xfId="672" xr:uid="{00000000-0005-0000-0000-000029050000}"/>
    <cellStyle name="Euro 25 15 2" xfId="4810" xr:uid="{00000000-0005-0000-0000-00002A050000}"/>
    <cellStyle name="Euro 25 16" xfId="673" xr:uid="{00000000-0005-0000-0000-00002B050000}"/>
    <cellStyle name="Euro 25 16 2" xfId="4811" xr:uid="{00000000-0005-0000-0000-00002C050000}"/>
    <cellStyle name="Euro 25 17" xfId="674" xr:uid="{00000000-0005-0000-0000-00002D050000}"/>
    <cellStyle name="Euro 25 17 2" xfId="4812" xr:uid="{00000000-0005-0000-0000-00002E050000}"/>
    <cellStyle name="Euro 25 18" xfId="675" xr:uid="{00000000-0005-0000-0000-00002F050000}"/>
    <cellStyle name="Euro 25 18 2" xfId="4813" xr:uid="{00000000-0005-0000-0000-000030050000}"/>
    <cellStyle name="Euro 25 19" xfId="676" xr:uid="{00000000-0005-0000-0000-000031050000}"/>
    <cellStyle name="Euro 25 19 2" xfId="4814" xr:uid="{00000000-0005-0000-0000-000032050000}"/>
    <cellStyle name="Euro 25 2" xfId="677" xr:uid="{00000000-0005-0000-0000-000033050000}"/>
    <cellStyle name="Euro 25 2 2" xfId="4815" xr:uid="{00000000-0005-0000-0000-000034050000}"/>
    <cellStyle name="Euro 25 20" xfId="678" xr:uid="{00000000-0005-0000-0000-000035050000}"/>
    <cellStyle name="Euro 25 20 2" xfId="4816" xr:uid="{00000000-0005-0000-0000-000036050000}"/>
    <cellStyle name="Euro 25 21" xfId="679" xr:uid="{00000000-0005-0000-0000-000037050000}"/>
    <cellStyle name="Euro 25 21 2" xfId="4817" xr:uid="{00000000-0005-0000-0000-000038050000}"/>
    <cellStyle name="Euro 25 22" xfId="680" xr:uid="{00000000-0005-0000-0000-000039050000}"/>
    <cellStyle name="Euro 25 22 2" xfId="4818" xr:uid="{00000000-0005-0000-0000-00003A050000}"/>
    <cellStyle name="Euro 25 23" xfId="681" xr:uid="{00000000-0005-0000-0000-00003B050000}"/>
    <cellStyle name="Euro 25 23 2" xfId="4819" xr:uid="{00000000-0005-0000-0000-00003C050000}"/>
    <cellStyle name="Euro 25 24" xfId="682" xr:uid="{00000000-0005-0000-0000-00003D050000}"/>
    <cellStyle name="Euro 25 24 2" xfId="4820" xr:uid="{00000000-0005-0000-0000-00003E050000}"/>
    <cellStyle name="Euro 25 25" xfId="683" xr:uid="{00000000-0005-0000-0000-00003F050000}"/>
    <cellStyle name="Euro 25 25 2" xfId="4821" xr:uid="{00000000-0005-0000-0000-000040050000}"/>
    <cellStyle name="Euro 25 26" xfId="684" xr:uid="{00000000-0005-0000-0000-000041050000}"/>
    <cellStyle name="Euro 25 26 2" xfId="4822" xr:uid="{00000000-0005-0000-0000-000042050000}"/>
    <cellStyle name="Euro 25 27" xfId="685" xr:uid="{00000000-0005-0000-0000-000043050000}"/>
    <cellStyle name="Euro 25 27 2" xfId="4823" xr:uid="{00000000-0005-0000-0000-000044050000}"/>
    <cellStyle name="Euro 25 28" xfId="686" xr:uid="{00000000-0005-0000-0000-000045050000}"/>
    <cellStyle name="Euro 25 28 2" xfId="4824" xr:uid="{00000000-0005-0000-0000-000046050000}"/>
    <cellStyle name="Euro 25 29" xfId="4825" xr:uid="{00000000-0005-0000-0000-000047050000}"/>
    <cellStyle name="Euro 25 3" xfId="687" xr:uid="{00000000-0005-0000-0000-000048050000}"/>
    <cellStyle name="Euro 25 3 2" xfId="4826" xr:uid="{00000000-0005-0000-0000-000049050000}"/>
    <cellStyle name="Euro 25 4" xfId="688" xr:uid="{00000000-0005-0000-0000-00004A050000}"/>
    <cellStyle name="Euro 25 4 2" xfId="4827" xr:uid="{00000000-0005-0000-0000-00004B050000}"/>
    <cellStyle name="Euro 25 5" xfId="689" xr:uid="{00000000-0005-0000-0000-00004C050000}"/>
    <cellStyle name="Euro 25 5 2" xfId="4828" xr:uid="{00000000-0005-0000-0000-00004D050000}"/>
    <cellStyle name="Euro 25 6" xfId="690" xr:uid="{00000000-0005-0000-0000-00004E050000}"/>
    <cellStyle name="Euro 25 6 2" xfId="4829" xr:uid="{00000000-0005-0000-0000-00004F050000}"/>
    <cellStyle name="Euro 25 7" xfId="691" xr:uid="{00000000-0005-0000-0000-000050050000}"/>
    <cellStyle name="Euro 25 7 2" xfId="4830" xr:uid="{00000000-0005-0000-0000-000051050000}"/>
    <cellStyle name="Euro 25 8" xfId="692" xr:uid="{00000000-0005-0000-0000-000052050000}"/>
    <cellStyle name="Euro 25 8 2" xfId="4831" xr:uid="{00000000-0005-0000-0000-000053050000}"/>
    <cellStyle name="Euro 25 9" xfId="693" xr:uid="{00000000-0005-0000-0000-000054050000}"/>
    <cellStyle name="Euro 25 9 2" xfId="4832" xr:uid="{00000000-0005-0000-0000-000055050000}"/>
    <cellStyle name="Euro 26" xfId="694" xr:uid="{00000000-0005-0000-0000-000056050000}"/>
    <cellStyle name="Euro 26 10" xfId="695" xr:uid="{00000000-0005-0000-0000-000057050000}"/>
    <cellStyle name="Euro 26 10 2" xfId="4833" xr:uid="{00000000-0005-0000-0000-000058050000}"/>
    <cellStyle name="Euro 26 11" xfId="696" xr:uid="{00000000-0005-0000-0000-000059050000}"/>
    <cellStyle name="Euro 26 11 2" xfId="4834" xr:uid="{00000000-0005-0000-0000-00005A050000}"/>
    <cellStyle name="Euro 26 12" xfId="697" xr:uid="{00000000-0005-0000-0000-00005B050000}"/>
    <cellStyle name="Euro 26 12 2" xfId="4835" xr:uid="{00000000-0005-0000-0000-00005C050000}"/>
    <cellStyle name="Euro 26 13" xfId="698" xr:uid="{00000000-0005-0000-0000-00005D050000}"/>
    <cellStyle name="Euro 26 13 2" xfId="4836" xr:uid="{00000000-0005-0000-0000-00005E050000}"/>
    <cellStyle name="Euro 26 14" xfId="699" xr:uid="{00000000-0005-0000-0000-00005F050000}"/>
    <cellStyle name="Euro 26 14 2" xfId="4837" xr:uid="{00000000-0005-0000-0000-000060050000}"/>
    <cellStyle name="Euro 26 15" xfId="700" xr:uid="{00000000-0005-0000-0000-000061050000}"/>
    <cellStyle name="Euro 26 15 2" xfId="4838" xr:uid="{00000000-0005-0000-0000-000062050000}"/>
    <cellStyle name="Euro 26 16" xfId="701" xr:uid="{00000000-0005-0000-0000-000063050000}"/>
    <cellStyle name="Euro 26 16 2" xfId="4839" xr:uid="{00000000-0005-0000-0000-000064050000}"/>
    <cellStyle name="Euro 26 17" xfId="702" xr:uid="{00000000-0005-0000-0000-000065050000}"/>
    <cellStyle name="Euro 26 17 2" xfId="4840" xr:uid="{00000000-0005-0000-0000-000066050000}"/>
    <cellStyle name="Euro 26 18" xfId="703" xr:uid="{00000000-0005-0000-0000-000067050000}"/>
    <cellStyle name="Euro 26 18 2" xfId="4841" xr:uid="{00000000-0005-0000-0000-000068050000}"/>
    <cellStyle name="Euro 26 19" xfId="704" xr:uid="{00000000-0005-0000-0000-000069050000}"/>
    <cellStyle name="Euro 26 19 2" xfId="4842" xr:uid="{00000000-0005-0000-0000-00006A050000}"/>
    <cellStyle name="Euro 26 2" xfId="705" xr:uid="{00000000-0005-0000-0000-00006B050000}"/>
    <cellStyle name="Euro 26 2 2" xfId="4843" xr:uid="{00000000-0005-0000-0000-00006C050000}"/>
    <cellStyle name="Euro 26 20" xfId="706" xr:uid="{00000000-0005-0000-0000-00006D050000}"/>
    <cellStyle name="Euro 26 20 2" xfId="4844" xr:uid="{00000000-0005-0000-0000-00006E050000}"/>
    <cellStyle name="Euro 26 21" xfId="707" xr:uid="{00000000-0005-0000-0000-00006F050000}"/>
    <cellStyle name="Euro 26 21 2" xfId="4845" xr:uid="{00000000-0005-0000-0000-000070050000}"/>
    <cellStyle name="Euro 26 22" xfId="708" xr:uid="{00000000-0005-0000-0000-000071050000}"/>
    <cellStyle name="Euro 26 22 2" xfId="4846" xr:uid="{00000000-0005-0000-0000-000072050000}"/>
    <cellStyle name="Euro 26 23" xfId="709" xr:uid="{00000000-0005-0000-0000-000073050000}"/>
    <cellStyle name="Euro 26 23 2" xfId="4847" xr:uid="{00000000-0005-0000-0000-000074050000}"/>
    <cellStyle name="Euro 26 24" xfId="710" xr:uid="{00000000-0005-0000-0000-000075050000}"/>
    <cellStyle name="Euro 26 24 2" xfId="4848" xr:uid="{00000000-0005-0000-0000-000076050000}"/>
    <cellStyle name="Euro 26 25" xfId="711" xr:uid="{00000000-0005-0000-0000-000077050000}"/>
    <cellStyle name="Euro 26 25 2" xfId="4849" xr:uid="{00000000-0005-0000-0000-000078050000}"/>
    <cellStyle name="Euro 26 26" xfId="712" xr:uid="{00000000-0005-0000-0000-000079050000}"/>
    <cellStyle name="Euro 26 26 2" xfId="4850" xr:uid="{00000000-0005-0000-0000-00007A050000}"/>
    <cellStyle name="Euro 26 27" xfId="713" xr:uid="{00000000-0005-0000-0000-00007B050000}"/>
    <cellStyle name="Euro 26 27 2" xfId="4851" xr:uid="{00000000-0005-0000-0000-00007C050000}"/>
    <cellStyle name="Euro 26 28" xfId="714" xr:uid="{00000000-0005-0000-0000-00007D050000}"/>
    <cellStyle name="Euro 26 28 2" xfId="4852" xr:uid="{00000000-0005-0000-0000-00007E050000}"/>
    <cellStyle name="Euro 26 29" xfId="4853" xr:uid="{00000000-0005-0000-0000-00007F050000}"/>
    <cellStyle name="Euro 26 3" xfId="715" xr:uid="{00000000-0005-0000-0000-000080050000}"/>
    <cellStyle name="Euro 26 3 2" xfId="4854" xr:uid="{00000000-0005-0000-0000-000081050000}"/>
    <cellStyle name="Euro 26 4" xfId="716" xr:uid="{00000000-0005-0000-0000-000082050000}"/>
    <cellStyle name="Euro 26 4 2" xfId="4855" xr:uid="{00000000-0005-0000-0000-000083050000}"/>
    <cellStyle name="Euro 26 5" xfId="717" xr:uid="{00000000-0005-0000-0000-000084050000}"/>
    <cellStyle name="Euro 26 5 2" xfId="4856" xr:uid="{00000000-0005-0000-0000-000085050000}"/>
    <cellStyle name="Euro 26 6" xfId="718" xr:uid="{00000000-0005-0000-0000-000086050000}"/>
    <cellStyle name="Euro 26 6 2" xfId="4857" xr:uid="{00000000-0005-0000-0000-000087050000}"/>
    <cellStyle name="Euro 26 7" xfId="719" xr:uid="{00000000-0005-0000-0000-000088050000}"/>
    <cellStyle name="Euro 26 7 2" xfId="4858" xr:uid="{00000000-0005-0000-0000-000089050000}"/>
    <cellStyle name="Euro 26 8" xfId="720" xr:uid="{00000000-0005-0000-0000-00008A050000}"/>
    <cellStyle name="Euro 26 8 2" xfId="4859" xr:uid="{00000000-0005-0000-0000-00008B050000}"/>
    <cellStyle name="Euro 26 9" xfId="721" xr:uid="{00000000-0005-0000-0000-00008C050000}"/>
    <cellStyle name="Euro 26 9 2" xfId="4860" xr:uid="{00000000-0005-0000-0000-00008D050000}"/>
    <cellStyle name="Euro 27" xfId="722" xr:uid="{00000000-0005-0000-0000-00008E050000}"/>
    <cellStyle name="Euro 27 10" xfId="723" xr:uid="{00000000-0005-0000-0000-00008F050000}"/>
    <cellStyle name="Euro 27 10 2" xfId="4861" xr:uid="{00000000-0005-0000-0000-000090050000}"/>
    <cellStyle name="Euro 27 11" xfId="724" xr:uid="{00000000-0005-0000-0000-000091050000}"/>
    <cellStyle name="Euro 27 11 2" xfId="4862" xr:uid="{00000000-0005-0000-0000-000092050000}"/>
    <cellStyle name="Euro 27 12" xfId="725" xr:uid="{00000000-0005-0000-0000-000093050000}"/>
    <cellStyle name="Euro 27 12 2" xfId="4863" xr:uid="{00000000-0005-0000-0000-000094050000}"/>
    <cellStyle name="Euro 27 13" xfId="726" xr:uid="{00000000-0005-0000-0000-000095050000}"/>
    <cellStyle name="Euro 27 13 2" xfId="4864" xr:uid="{00000000-0005-0000-0000-000096050000}"/>
    <cellStyle name="Euro 27 14" xfId="727" xr:uid="{00000000-0005-0000-0000-000097050000}"/>
    <cellStyle name="Euro 27 14 2" xfId="4865" xr:uid="{00000000-0005-0000-0000-000098050000}"/>
    <cellStyle name="Euro 27 15" xfId="728" xr:uid="{00000000-0005-0000-0000-000099050000}"/>
    <cellStyle name="Euro 27 15 2" xfId="4866" xr:uid="{00000000-0005-0000-0000-00009A050000}"/>
    <cellStyle name="Euro 27 16" xfId="729" xr:uid="{00000000-0005-0000-0000-00009B050000}"/>
    <cellStyle name="Euro 27 16 2" xfId="4867" xr:uid="{00000000-0005-0000-0000-00009C050000}"/>
    <cellStyle name="Euro 27 17" xfId="730" xr:uid="{00000000-0005-0000-0000-00009D050000}"/>
    <cellStyle name="Euro 27 17 2" xfId="4868" xr:uid="{00000000-0005-0000-0000-00009E050000}"/>
    <cellStyle name="Euro 27 18" xfId="731" xr:uid="{00000000-0005-0000-0000-00009F050000}"/>
    <cellStyle name="Euro 27 18 2" xfId="4869" xr:uid="{00000000-0005-0000-0000-0000A0050000}"/>
    <cellStyle name="Euro 27 19" xfId="732" xr:uid="{00000000-0005-0000-0000-0000A1050000}"/>
    <cellStyle name="Euro 27 19 2" xfId="4870" xr:uid="{00000000-0005-0000-0000-0000A2050000}"/>
    <cellStyle name="Euro 27 2" xfId="733" xr:uid="{00000000-0005-0000-0000-0000A3050000}"/>
    <cellStyle name="Euro 27 2 2" xfId="4871" xr:uid="{00000000-0005-0000-0000-0000A4050000}"/>
    <cellStyle name="Euro 27 20" xfId="734" xr:uid="{00000000-0005-0000-0000-0000A5050000}"/>
    <cellStyle name="Euro 27 20 2" xfId="4872" xr:uid="{00000000-0005-0000-0000-0000A6050000}"/>
    <cellStyle name="Euro 27 21" xfId="735" xr:uid="{00000000-0005-0000-0000-0000A7050000}"/>
    <cellStyle name="Euro 27 21 2" xfId="4873" xr:uid="{00000000-0005-0000-0000-0000A8050000}"/>
    <cellStyle name="Euro 27 22" xfId="736" xr:uid="{00000000-0005-0000-0000-0000A9050000}"/>
    <cellStyle name="Euro 27 22 2" xfId="4874" xr:uid="{00000000-0005-0000-0000-0000AA050000}"/>
    <cellStyle name="Euro 27 23" xfId="737" xr:uid="{00000000-0005-0000-0000-0000AB050000}"/>
    <cellStyle name="Euro 27 23 2" xfId="4875" xr:uid="{00000000-0005-0000-0000-0000AC050000}"/>
    <cellStyle name="Euro 27 24" xfId="738" xr:uid="{00000000-0005-0000-0000-0000AD050000}"/>
    <cellStyle name="Euro 27 24 2" xfId="4876" xr:uid="{00000000-0005-0000-0000-0000AE050000}"/>
    <cellStyle name="Euro 27 25" xfId="739" xr:uid="{00000000-0005-0000-0000-0000AF050000}"/>
    <cellStyle name="Euro 27 25 2" xfId="4877" xr:uid="{00000000-0005-0000-0000-0000B0050000}"/>
    <cellStyle name="Euro 27 26" xfId="740" xr:uid="{00000000-0005-0000-0000-0000B1050000}"/>
    <cellStyle name="Euro 27 26 2" xfId="4878" xr:uid="{00000000-0005-0000-0000-0000B2050000}"/>
    <cellStyle name="Euro 27 27" xfId="741" xr:uid="{00000000-0005-0000-0000-0000B3050000}"/>
    <cellStyle name="Euro 27 27 2" xfId="4879" xr:uid="{00000000-0005-0000-0000-0000B4050000}"/>
    <cellStyle name="Euro 27 28" xfId="742" xr:uid="{00000000-0005-0000-0000-0000B5050000}"/>
    <cellStyle name="Euro 27 28 2" xfId="4880" xr:uid="{00000000-0005-0000-0000-0000B6050000}"/>
    <cellStyle name="Euro 27 29" xfId="4881" xr:uid="{00000000-0005-0000-0000-0000B7050000}"/>
    <cellStyle name="Euro 27 3" xfId="743" xr:uid="{00000000-0005-0000-0000-0000B8050000}"/>
    <cellStyle name="Euro 27 3 2" xfId="4882" xr:uid="{00000000-0005-0000-0000-0000B9050000}"/>
    <cellStyle name="Euro 27 4" xfId="744" xr:uid="{00000000-0005-0000-0000-0000BA050000}"/>
    <cellStyle name="Euro 27 4 2" xfId="4883" xr:uid="{00000000-0005-0000-0000-0000BB050000}"/>
    <cellStyle name="Euro 27 5" xfId="745" xr:uid="{00000000-0005-0000-0000-0000BC050000}"/>
    <cellStyle name="Euro 27 5 2" xfId="4884" xr:uid="{00000000-0005-0000-0000-0000BD050000}"/>
    <cellStyle name="Euro 27 6" xfId="746" xr:uid="{00000000-0005-0000-0000-0000BE050000}"/>
    <cellStyle name="Euro 27 6 2" xfId="4885" xr:uid="{00000000-0005-0000-0000-0000BF050000}"/>
    <cellStyle name="Euro 27 7" xfId="747" xr:uid="{00000000-0005-0000-0000-0000C0050000}"/>
    <cellStyle name="Euro 27 7 2" xfId="4886" xr:uid="{00000000-0005-0000-0000-0000C1050000}"/>
    <cellStyle name="Euro 27 8" xfId="748" xr:uid="{00000000-0005-0000-0000-0000C2050000}"/>
    <cellStyle name="Euro 27 8 2" xfId="4887" xr:uid="{00000000-0005-0000-0000-0000C3050000}"/>
    <cellStyle name="Euro 27 9" xfId="749" xr:uid="{00000000-0005-0000-0000-0000C4050000}"/>
    <cellStyle name="Euro 27 9 2" xfId="4888" xr:uid="{00000000-0005-0000-0000-0000C5050000}"/>
    <cellStyle name="Euro 28" xfId="750" xr:uid="{00000000-0005-0000-0000-0000C6050000}"/>
    <cellStyle name="Euro 28 10" xfId="751" xr:uid="{00000000-0005-0000-0000-0000C7050000}"/>
    <cellStyle name="Euro 28 10 2" xfId="4889" xr:uid="{00000000-0005-0000-0000-0000C8050000}"/>
    <cellStyle name="Euro 28 11" xfId="752" xr:uid="{00000000-0005-0000-0000-0000C9050000}"/>
    <cellStyle name="Euro 28 11 2" xfId="4890" xr:uid="{00000000-0005-0000-0000-0000CA050000}"/>
    <cellStyle name="Euro 28 12" xfId="753" xr:uid="{00000000-0005-0000-0000-0000CB050000}"/>
    <cellStyle name="Euro 28 12 2" xfId="4891" xr:uid="{00000000-0005-0000-0000-0000CC050000}"/>
    <cellStyle name="Euro 28 13" xfId="754" xr:uid="{00000000-0005-0000-0000-0000CD050000}"/>
    <cellStyle name="Euro 28 13 2" xfId="4892" xr:uid="{00000000-0005-0000-0000-0000CE050000}"/>
    <cellStyle name="Euro 28 14" xfId="755" xr:uid="{00000000-0005-0000-0000-0000CF050000}"/>
    <cellStyle name="Euro 28 14 2" xfId="4893" xr:uid="{00000000-0005-0000-0000-0000D0050000}"/>
    <cellStyle name="Euro 28 15" xfId="756" xr:uid="{00000000-0005-0000-0000-0000D1050000}"/>
    <cellStyle name="Euro 28 15 2" xfId="4894" xr:uid="{00000000-0005-0000-0000-0000D2050000}"/>
    <cellStyle name="Euro 28 16" xfId="757" xr:uid="{00000000-0005-0000-0000-0000D3050000}"/>
    <cellStyle name="Euro 28 16 2" xfId="4895" xr:uid="{00000000-0005-0000-0000-0000D4050000}"/>
    <cellStyle name="Euro 28 17" xfId="758" xr:uid="{00000000-0005-0000-0000-0000D5050000}"/>
    <cellStyle name="Euro 28 17 2" xfId="4896" xr:uid="{00000000-0005-0000-0000-0000D6050000}"/>
    <cellStyle name="Euro 28 18" xfId="759" xr:uid="{00000000-0005-0000-0000-0000D7050000}"/>
    <cellStyle name="Euro 28 18 2" xfId="4897" xr:uid="{00000000-0005-0000-0000-0000D8050000}"/>
    <cellStyle name="Euro 28 19" xfId="760" xr:uid="{00000000-0005-0000-0000-0000D9050000}"/>
    <cellStyle name="Euro 28 19 2" xfId="4898" xr:uid="{00000000-0005-0000-0000-0000DA050000}"/>
    <cellStyle name="Euro 28 2" xfId="761" xr:uid="{00000000-0005-0000-0000-0000DB050000}"/>
    <cellStyle name="Euro 28 2 2" xfId="4899" xr:uid="{00000000-0005-0000-0000-0000DC050000}"/>
    <cellStyle name="Euro 28 20" xfId="762" xr:uid="{00000000-0005-0000-0000-0000DD050000}"/>
    <cellStyle name="Euro 28 20 2" xfId="4900" xr:uid="{00000000-0005-0000-0000-0000DE050000}"/>
    <cellStyle name="Euro 28 21" xfId="763" xr:uid="{00000000-0005-0000-0000-0000DF050000}"/>
    <cellStyle name="Euro 28 21 2" xfId="4901" xr:uid="{00000000-0005-0000-0000-0000E0050000}"/>
    <cellStyle name="Euro 28 22" xfId="764" xr:uid="{00000000-0005-0000-0000-0000E1050000}"/>
    <cellStyle name="Euro 28 22 2" xfId="4902" xr:uid="{00000000-0005-0000-0000-0000E2050000}"/>
    <cellStyle name="Euro 28 23" xfId="765" xr:uid="{00000000-0005-0000-0000-0000E3050000}"/>
    <cellStyle name="Euro 28 23 2" xfId="4903" xr:uid="{00000000-0005-0000-0000-0000E4050000}"/>
    <cellStyle name="Euro 28 24" xfId="766" xr:uid="{00000000-0005-0000-0000-0000E5050000}"/>
    <cellStyle name="Euro 28 24 2" xfId="4904" xr:uid="{00000000-0005-0000-0000-0000E6050000}"/>
    <cellStyle name="Euro 28 25" xfId="767" xr:uid="{00000000-0005-0000-0000-0000E7050000}"/>
    <cellStyle name="Euro 28 25 2" xfId="4905" xr:uid="{00000000-0005-0000-0000-0000E8050000}"/>
    <cellStyle name="Euro 28 26" xfId="768" xr:uid="{00000000-0005-0000-0000-0000E9050000}"/>
    <cellStyle name="Euro 28 26 2" xfId="4906" xr:uid="{00000000-0005-0000-0000-0000EA050000}"/>
    <cellStyle name="Euro 28 27" xfId="769" xr:uid="{00000000-0005-0000-0000-0000EB050000}"/>
    <cellStyle name="Euro 28 27 2" xfId="4907" xr:uid="{00000000-0005-0000-0000-0000EC050000}"/>
    <cellStyle name="Euro 28 28" xfId="770" xr:uid="{00000000-0005-0000-0000-0000ED050000}"/>
    <cellStyle name="Euro 28 28 2" xfId="4908" xr:uid="{00000000-0005-0000-0000-0000EE050000}"/>
    <cellStyle name="Euro 28 29" xfId="4909" xr:uid="{00000000-0005-0000-0000-0000EF050000}"/>
    <cellStyle name="Euro 28 3" xfId="771" xr:uid="{00000000-0005-0000-0000-0000F0050000}"/>
    <cellStyle name="Euro 28 3 2" xfId="4910" xr:uid="{00000000-0005-0000-0000-0000F1050000}"/>
    <cellStyle name="Euro 28 4" xfId="772" xr:uid="{00000000-0005-0000-0000-0000F2050000}"/>
    <cellStyle name="Euro 28 4 2" xfId="4911" xr:uid="{00000000-0005-0000-0000-0000F3050000}"/>
    <cellStyle name="Euro 28 5" xfId="773" xr:uid="{00000000-0005-0000-0000-0000F4050000}"/>
    <cellStyle name="Euro 28 5 2" xfId="4912" xr:uid="{00000000-0005-0000-0000-0000F5050000}"/>
    <cellStyle name="Euro 28 6" xfId="774" xr:uid="{00000000-0005-0000-0000-0000F6050000}"/>
    <cellStyle name="Euro 28 6 2" xfId="4913" xr:uid="{00000000-0005-0000-0000-0000F7050000}"/>
    <cellStyle name="Euro 28 7" xfId="775" xr:uid="{00000000-0005-0000-0000-0000F8050000}"/>
    <cellStyle name="Euro 28 7 2" xfId="4914" xr:uid="{00000000-0005-0000-0000-0000F9050000}"/>
    <cellStyle name="Euro 28 8" xfId="776" xr:uid="{00000000-0005-0000-0000-0000FA050000}"/>
    <cellStyle name="Euro 28 8 2" xfId="4915" xr:uid="{00000000-0005-0000-0000-0000FB050000}"/>
    <cellStyle name="Euro 28 9" xfId="777" xr:uid="{00000000-0005-0000-0000-0000FC050000}"/>
    <cellStyle name="Euro 28 9 2" xfId="4916" xr:uid="{00000000-0005-0000-0000-0000FD050000}"/>
    <cellStyle name="Euro 29" xfId="778" xr:uid="{00000000-0005-0000-0000-0000FE050000}"/>
    <cellStyle name="Euro 29 10" xfId="779" xr:uid="{00000000-0005-0000-0000-0000FF050000}"/>
    <cellStyle name="Euro 29 10 2" xfId="4917" xr:uid="{00000000-0005-0000-0000-000000060000}"/>
    <cellStyle name="Euro 29 11" xfId="780" xr:uid="{00000000-0005-0000-0000-000001060000}"/>
    <cellStyle name="Euro 29 11 2" xfId="4918" xr:uid="{00000000-0005-0000-0000-000002060000}"/>
    <cellStyle name="Euro 29 12" xfId="781" xr:uid="{00000000-0005-0000-0000-000003060000}"/>
    <cellStyle name="Euro 29 12 2" xfId="4919" xr:uid="{00000000-0005-0000-0000-000004060000}"/>
    <cellStyle name="Euro 29 13" xfId="782" xr:uid="{00000000-0005-0000-0000-000005060000}"/>
    <cellStyle name="Euro 29 13 2" xfId="4920" xr:uid="{00000000-0005-0000-0000-000006060000}"/>
    <cellStyle name="Euro 29 14" xfId="783" xr:uid="{00000000-0005-0000-0000-000007060000}"/>
    <cellStyle name="Euro 29 14 2" xfId="4921" xr:uid="{00000000-0005-0000-0000-000008060000}"/>
    <cellStyle name="Euro 29 15" xfId="784" xr:uid="{00000000-0005-0000-0000-000009060000}"/>
    <cellStyle name="Euro 29 15 2" xfId="4922" xr:uid="{00000000-0005-0000-0000-00000A060000}"/>
    <cellStyle name="Euro 29 16" xfId="785" xr:uid="{00000000-0005-0000-0000-00000B060000}"/>
    <cellStyle name="Euro 29 16 2" xfId="4923" xr:uid="{00000000-0005-0000-0000-00000C060000}"/>
    <cellStyle name="Euro 29 17" xfId="786" xr:uid="{00000000-0005-0000-0000-00000D060000}"/>
    <cellStyle name="Euro 29 17 2" xfId="4924" xr:uid="{00000000-0005-0000-0000-00000E060000}"/>
    <cellStyle name="Euro 29 18" xfId="787" xr:uid="{00000000-0005-0000-0000-00000F060000}"/>
    <cellStyle name="Euro 29 18 2" xfId="4925" xr:uid="{00000000-0005-0000-0000-000010060000}"/>
    <cellStyle name="Euro 29 19" xfId="788" xr:uid="{00000000-0005-0000-0000-000011060000}"/>
    <cellStyle name="Euro 29 19 2" xfId="4926" xr:uid="{00000000-0005-0000-0000-000012060000}"/>
    <cellStyle name="Euro 29 2" xfId="789" xr:uid="{00000000-0005-0000-0000-000013060000}"/>
    <cellStyle name="Euro 29 2 2" xfId="4927" xr:uid="{00000000-0005-0000-0000-000014060000}"/>
    <cellStyle name="Euro 29 20" xfId="790" xr:uid="{00000000-0005-0000-0000-000015060000}"/>
    <cellStyle name="Euro 29 20 2" xfId="4928" xr:uid="{00000000-0005-0000-0000-000016060000}"/>
    <cellStyle name="Euro 29 21" xfId="791" xr:uid="{00000000-0005-0000-0000-000017060000}"/>
    <cellStyle name="Euro 29 21 2" xfId="4929" xr:uid="{00000000-0005-0000-0000-000018060000}"/>
    <cellStyle name="Euro 29 22" xfId="792" xr:uid="{00000000-0005-0000-0000-000019060000}"/>
    <cellStyle name="Euro 29 22 2" xfId="4930" xr:uid="{00000000-0005-0000-0000-00001A060000}"/>
    <cellStyle name="Euro 29 23" xfId="793" xr:uid="{00000000-0005-0000-0000-00001B060000}"/>
    <cellStyle name="Euro 29 23 2" xfId="4931" xr:uid="{00000000-0005-0000-0000-00001C060000}"/>
    <cellStyle name="Euro 29 24" xfId="794" xr:uid="{00000000-0005-0000-0000-00001D060000}"/>
    <cellStyle name="Euro 29 24 2" xfId="4932" xr:uid="{00000000-0005-0000-0000-00001E060000}"/>
    <cellStyle name="Euro 29 25" xfId="795" xr:uid="{00000000-0005-0000-0000-00001F060000}"/>
    <cellStyle name="Euro 29 25 2" xfId="4933" xr:uid="{00000000-0005-0000-0000-000020060000}"/>
    <cellStyle name="Euro 29 26" xfId="796" xr:uid="{00000000-0005-0000-0000-000021060000}"/>
    <cellStyle name="Euro 29 26 2" xfId="4934" xr:uid="{00000000-0005-0000-0000-000022060000}"/>
    <cellStyle name="Euro 29 27" xfId="797" xr:uid="{00000000-0005-0000-0000-000023060000}"/>
    <cellStyle name="Euro 29 27 2" xfId="4935" xr:uid="{00000000-0005-0000-0000-000024060000}"/>
    <cellStyle name="Euro 29 28" xfId="798" xr:uid="{00000000-0005-0000-0000-000025060000}"/>
    <cellStyle name="Euro 29 28 2" xfId="4936" xr:uid="{00000000-0005-0000-0000-000026060000}"/>
    <cellStyle name="Euro 29 29" xfId="4937" xr:uid="{00000000-0005-0000-0000-000027060000}"/>
    <cellStyle name="Euro 29 3" xfId="799" xr:uid="{00000000-0005-0000-0000-000028060000}"/>
    <cellStyle name="Euro 29 3 2" xfId="4938" xr:uid="{00000000-0005-0000-0000-000029060000}"/>
    <cellStyle name="Euro 29 4" xfId="800" xr:uid="{00000000-0005-0000-0000-00002A060000}"/>
    <cellStyle name="Euro 29 4 2" xfId="4939" xr:uid="{00000000-0005-0000-0000-00002B060000}"/>
    <cellStyle name="Euro 29 5" xfId="801" xr:uid="{00000000-0005-0000-0000-00002C060000}"/>
    <cellStyle name="Euro 29 5 2" xfId="4940" xr:uid="{00000000-0005-0000-0000-00002D060000}"/>
    <cellStyle name="Euro 29 6" xfId="802" xr:uid="{00000000-0005-0000-0000-00002E060000}"/>
    <cellStyle name="Euro 29 6 2" xfId="4941" xr:uid="{00000000-0005-0000-0000-00002F060000}"/>
    <cellStyle name="Euro 29 7" xfId="803" xr:uid="{00000000-0005-0000-0000-000030060000}"/>
    <cellStyle name="Euro 29 7 2" xfId="4942" xr:uid="{00000000-0005-0000-0000-000031060000}"/>
    <cellStyle name="Euro 29 8" xfId="804" xr:uid="{00000000-0005-0000-0000-000032060000}"/>
    <cellStyle name="Euro 29 8 2" xfId="4943" xr:uid="{00000000-0005-0000-0000-000033060000}"/>
    <cellStyle name="Euro 29 9" xfId="805" xr:uid="{00000000-0005-0000-0000-000034060000}"/>
    <cellStyle name="Euro 29 9 2" xfId="4944" xr:uid="{00000000-0005-0000-0000-000035060000}"/>
    <cellStyle name="Euro 3" xfId="128" xr:uid="{00000000-0005-0000-0000-000036060000}"/>
    <cellStyle name="Euro 3 10" xfId="807" xr:uid="{00000000-0005-0000-0000-000037060000}"/>
    <cellStyle name="Euro 3 10 2" xfId="4945" xr:uid="{00000000-0005-0000-0000-000038060000}"/>
    <cellStyle name="Euro 3 11" xfId="808" xr:uid="{00000000-0005-0000-0000-000039060000}"/>
    <cellStyle name="Euro 3 11 2" xfId="4946" xr:uid="{00000000-0005-0000-0000-00003A060000}"/>
    <cellStyle name="Euro 3 12" xfId="809" xr:uid="{00000000-0005-0000-0000-00003B060000}"/>
    <cellStyle name="Euro 3 12 2" xfId="4947" xr:uid="{00000000-0005-0000-0000-00003C060000}"/>
    <cellStyle name="Euro 3 13" xfId="810" xr:uid="{00000000-0005-0000-0000-00003D060000}"/>
    <cellStyle name="Euro 3 13 2" xfId="4948" xr:uid="{00000000-0005-0000-0000-00003E060000}"/>
    <cellStyle name="Euro 3 14" xfId="811" xr:uid="{00000000-0005-0000-0000-00003F060000}"/>
    <cellStyle name="Euro 3 14 2" xfId="4949" xr:uid="{00000000-0005-0000-0000-000040060000}"/>
    <cellStyle name="Euro 3 15" xfId="812" xr:uid="{00000000-0005-0000-0000-000041060000}"/>
    <cellStyle name="Euro 3 15 2" xfId="4950" xr:uid="{00000000-0005-0000-0000-000042060000}"/>
    <cellStyle name="Euro 3 16" xfId="813" xr:uid="{00000000-0005-0000-0000-000043060000}"/>
    <cellStyle name="Euro 3 16 2" xfId="4951" xr:uid="{00000000-0005-0000-0000-000044060000}"/>
    <cellStyle name="Euro 3 17" xfId="814" xr:uid="{00000000-0005-0000-0000-000045060000}"/>
    <cellStyle name="Euro 3 17 2" xfId="4952" xr:uid="{00000000-0005-0000-0000-000046060000}"/>
    <cellStyle name="Euro 3 18" xfId="815" xr:uid="{00000000-0005-0000-0000-000047060000}"/>
    <cellStyle name="Euro 3 18 2" xfId="4953" xr:uid="{00000000-0005-0000-0000-000048060000}"/>
    <cellStyle name="Euro 3 19" xfId="816" xr:uid="{00000000-0005-0000-0000-000049060000}"/>
    <cellStyle name="Euro 3 19 2" xfId="4954" xr:uid="{00000000-0005-0000-0000-00004A060000}"/>
    <cellStyle name="Euro 3 2" xfId="817" xr:uid="{00000000-0005-0000-0000-00004B060000}"/>
    <cellStyle name="Euro 3 2 2" xfId="4132" xr:uid="{00000000-0005-0000-0000-00004C060000}"/>
    <cellStyle name="Euro 3 20" xfId="818" xr:uid="{00000000-0005-0000-0000-00004D060000}"/>
    <cellStyle name="Euro 3 20 2" xfId="4955" xr:uid="{00000000-0005-0000-0000-00004E060000}"/>
    <cellStyle name="Euro 3 21" xfId="819" xr:uid="{00000000-0005-0000-0000-00004F060000}"/>
    <cellStyle name="Euro 3 21 2" xfId="4956" xr:uid="{00000000-0005-0000-0000-000050060000}"/>
    <cellStyle name="Euro 3 22" xfId="820" xr:uid="{00000000-0005-0000-0000-000051060000}"/>
    <cellStyle name="Euro 3 22 2" xfId="4957" xr:uid="{00000000-0005-0000-0000-000052060000}"/>
    <cellStyle name="Euro 3 23" xfId="821" xr:uid="{00000000-0005-0000-0000-000053060000}"/>
    <cellStyle name="Euro 3 23 2" xfId="4958" xr:uid="{00000000-0005-0000-0000-000054060000}"/>
    <cellStyle name="Euro 3 24" xfId="822" xr:uid="{00000000-0005-0000-0000-000055060000}"/>
    <cellStyle name="Euro 3 24 2" xfId="4959" xr:uid="{00000000-0005-0000-0000-000056060000}"/>
    <cellStyle name="Euro 3 25" xfId="823" xr:uid="{00000000-0005-0000-0000-000057060000}"/>
    <cellStyle name="Euro 3 25 2" xfId="4960" xr:uid="{00000000-0005-0000-0000-000058060000}"/>
    <cellStyle name="Euro 3 26" xfId="824" xr:uid="{00000000-0005-0000-0000-000059060000}"/>
    <cellStyle name="Euro 3 26 2" xfId="4961" xr:uid="{00000000-0005-0000-0000-00005A060000}"/>
    <cellStyle name="Euro 3 27" xfId="825" xr:uid="{00000000-0005-0000-0000-00005B060000}"/>
    <cellStyle name="Euro 3 27 2" xfId="4962" xr:uid="{00000000-0005-0000-0000-00005C060000}"/>
    <cellStyle name="Euro 3 28" xfId="826" xr:uid="{00000000-0005-0000-0000-00005D060000}"/>
    <cellStyle name="Euro 3 28 2" xfId="4963" xr:uid="{00000000-0005-0000-0000-00005E060000}"/>
    <cellStyle name="Euro 3 29" xfId="4058" xr:uid="{00000000-0005-0000-0000-00005F060000}"/>
    <cellStyle name="Euro 3 3" xfId="827" xr:uid="{00000000-0005-0000-0000-000060060000}"/>
    <cellStyle name="Euro 3 3 2" xfId="4092" xr:uid="{00000000-0005-0000-0000-000061060000}"/>
    <cellStyle name="Euro 3 30" xfId="806" xr:uid="{00000000-0005-0000-0000-000062060000}"/>
    <cellStyle name="Euro 3 31" xfId="14159" xr:uid="{A2FB610E-04D5-483F-8262-A1159DE22B22}"/>
    <cellStyle name="Euro 3 4" xfId="828" xr:uid="{00000000-0005-0000-0000-000063060000}"/>
    <cellStyle name="Euro 3 4 2" xfId="4964" xr:uid="{00000000-0005-0000-0000-000064060000}"/>
    <cellStyle name="Euro 3 5" xfId="829" xr:uid="{00000000-0005-0000-0000-000065060000}"/>
    <cellStyle name="Euro 3 5 2" xfId="4965" xr:uid="{00000000-0005-0000-0000-000066060000}"/>
    <cellStyle name="Euro 3 6" xfId="830" xr:uid="{00000000-0005-0000-0000-000067060000}"/>
    <cellStyle name="Euro 3 6 2" xfId="4966" xr:uid="{00000000-0005-0000-0000-000068060000}"/>
    <cellStyle name="Euro 3 7" xfId="831" xr:uid="{00000000-0005-0000-0000-000069060000}"/>
    <cellStyle name="Euro 3 7 2" xfId="4967" xr:uid="{00000000-0005-0000-0000-00006A060000}"/>
    <cellStyle name="Euro 3 8" xfId="832" xr:uid="{00000000-0005-0000-0000-00006B060000}"/>
    <cellStyle name="Euro 3 8 2" xfId="4968" xr:uid="{00000000-0005-0000-0000-00006C060000}"/>
    <cellStyle name="Euro 3 9" xfId="833" xr:uid="{00000000-0005-0000-0000-00006D060000}"/>
    <cellStyle name="Euro 3 9 2" xfId="4969" xr:uid="{00000000-0005-0000-0000-00006E060000}"/>
    <cellStyle name="Euro 3_1.2.b" xfId="16096" xr:uid="{C1DD9251-969A-48E1-B2EB-7E215D2244AA}"/>
    <cellStyle name="Euro 30" xfId="12355" xr:uid="{00000000-0005-0000-0000-00006F060000}"/>
    <cellStyle name="Euro 31" xfId="12372" xr:uid="{00000000-0005-0000-0000-000070060000}"/>
    <cellStyle name="Euro 4" xfId="834" xr:uid="{00000000-0005-0000-0000-000071060000}"/>
    <cellStyle name="Euro 4 10" xfId="835" xr:uid="{00000000-0005-0000-0000-000072060000}"/>
    <cellStyle name="Euro 4 10 2" xfId="4970" xr:uid="{00000000-0005-0000-0000-000073060000}"/>
    <cellStyle name="Euro 4 11" xfId="836" xr:uid="{00000000-0005-0000-0000-000074060000}"/>
    <cellStyle name="Euro 4 11 2" xfId="4971" xr:uid="{00000000-0005-0000-0000-000075060000}"/>
    <cellStyle name="Euro 4 12" xfId="837" xr:uid="{00000000-0005-0000-0000-000076060000}"/>
    <cellStyle name="Euro 4 12 2" xfId="4972" xr:uid="{00000000-0005-0000-0000-000077060000}"/>
    <cellStyle name="Euro 4 13" xfId="838" xr:uid="{00000000-0005-0000-0000-000078060000}"/>
    <cellStyle name="Euro 4 13 2" xfId="4973" xr:uid="{00000000-0005-0000-0000-000079060000}"/>
    <cellStyle name="Euro 4 14" xfId="839" xr:uid="{00000000-0005-0000-0000-00007A060000}"/>
    <cellStyle name="Euro 4 14 2" xfId="4974" xr:uid="{00000000-0005-0000-0000-00007B060000}"/>
    <cellStyle name="Euro 4 15" xfId="840" xr:uid="{00000000-0005-0000-0000-00007C060000}"/>
    <cellStyle name="Euro 4 15 2" xfId="4975" xr:uid="{00000000-0005-0000-0000-00007D060000}"/>
    <cellStyle name="Euro 4 16" xfId="841" xr:uid="{00000000-0005-0000-0000-00007E060000}"/>
    <cellStyle name="Euro 4 16 2" xfId="4976" xr:uid="{00000000-0005-0000-0000-00007F060000}"/>
    <cellStyle name="Euro 4 17" xfId="842" xr:uid="{00000000-0005-0000-0000-000080060000}"/>
    <cellStyle name="Euro 4 17 2" xfId="4977" xr:uid="{00000000-0005-0000-0000-000081060000}"/>
    <cellStyle name="Euro 4 18" xfId="843" xr:uid="{00000000-0005-0000-0000-000082060000}"/>
    <cellStyle name="Euro 4 18 2" xfId="4978" xr:uid="{00000000-0005-0000-0000-000083060000}"/>
    <cellStyle name="Euro 4 19" xfId="844" xr:uid="{00000000-0005-0000-0000-000084060000}"/>
    <cellStyle name="Euro 4 19 2" xfId="4979" xr:uid="{00000000-0005-0000-0000-000085060000}"/>
    <cellStyle name="Euro 4 2" xfId="845" xr:uid="{00000000-0005-0000-0000-000086060000}"/>
    <cellStyle name="Euro 4 2 2" xfId="4141" xr:uid="{00000000-0005-0000-0000-000087060000}"/>
    <cellStyle name="Euro 4 20" xfId="846" xr:uid="{00000000-0005-0000-0000-000088060000}"/>
    <cellStyle name="Euro 4 20 2" xfId="4980" xr:uid="{00000000-0005-0000-0000-000089060000}"/>
    <cellStyle name="Euro 4 21" xfId="847" xr:uid="{00000000-0005-0000-0000-00008A060000}"/>
    <cellStyle name="Euro 4 21 2" xfId="4981" xr:uid="{00000000-0005-0000-0000-00008B060000}"/>
    <cellStyle name="Euro 4 22" xfId="848" xr:uid="{00000000-0005-0000-0000-00008C060000}"/>
    <cellStyle name="Euro 4 22 2" xfId="4982" xr:uid="{00000000-0005-0000-0000-00008D060000}"/>
    <cellStyle name="Euro 4 23" xfId="849" xr:uid="{00000000-0005-0000-0000-00008E060000}"/>
    <cellStyle name="Euro 4 23 2" xfId="4983" xr:uid="{00000000-0005-0000-0000-00008F060000}"/>
    <cellStyle name="Euro 4 24" xfId="850" xr:uid="{00000000-0005-0000-0000-000090060000}"/>
    <cellStyle name="Euro 4 24 2" xfId="4984" xr:uid="{00000000-0005-0000-0000-000091060000}"/>
    <cellStyle name="Euro 4 25" xfId="851" xr:uid="{00000000-0005-0000-0000-000092060000}"/>
    <cellStyle name="Euro 4 25 2" xfId="4985" xr:uid="{00000000-0005-0000-0000-000093060000}"/>
    <cellStyle name="Euro 4 26" xfId="852" xr:uid="{00000000-0005-0000-0000-000094060000}"/>
    <cellStyle name="Euro 4 26 2" xfId="4986" xr:uid="{00000000-0005-0000-0000-000095060000}"/>
    <cellStyle name="Euro 4 27" xfId="853" xr:uid="{00000000-0005-0000-0000-000096060000}"/>
    <cellStyle name="Euro 4 27 2" xfId="4987" xr:uid="{00000000-0005-0000-0000-000097060000}"/>
    <cellStyle name="Euro 4 28" xfId="854" xr:uid="{00000000-0005-0000-0000-000098060000}"/>
    <cellStyle name="Euro 4 28 2" xfId="4988" xr:uid="{00000000-0005-0000-0000-000099060000}"/>
    <cellStyle name="Euro 4 29" xfId="4068" xr:uid="{00000000-0005-0000-0000-00009A060000}"/>
    <cellStyle name="Euro 4 3" xfId="855" xr:uid="{00000000-0005-0000-0000-00009B060000}"/>
    <cellStyle name="Euro 4 3 2" xfId="4101" xr:uid="{00000000-0005-0000-0000-00009C060000}"/>
    <cellStyle name="Euro 4 30" xfId="14160" xr:uid="{8766410C-CAB1-43EF-9EEF-663E8BDC694E}"/>
    <cellStyle name="Euro 4 4" xfId="856" xr:uid="{00000000-0005-0000-0000-00009D060000}"/>
    <cellStyle name="Euro 4 4 2" xfId="4989" xr:uid="{00000000-0005-0000-0000-00009E060000}"/>
    <cellStyle name="Euro 4 5" xfId="857" xr:uid="{00000000-0005-0000-0000-00009F060000}"/>
    <cellStyle name="Euro 4 5 2" xfId="4990" xr:uid="{00000000-0005-0000-0000-0000A0060000}"/>
    <cellStyle name="Euro 4 6" xfId="858" xr:uid="{00000000-0005-0000-0000-0000A1060000}"/>
    <cellStyle name="Euro 4 6 2" xfId="4991" xr:uid="{00000000-0005-0000-0000-0000A2060000}"/>
    <cellStyle name="Euro 4 7" xfId="859" xr:uid="{00000000-0005-0000-0000-0000A3060000}"/>
    <cellStyle name="Euro 4 7 2" xfId="4992" xr:uid="{00000000-0005-0000-0000-0000A4060000}"/>
    <cellStyle name="Euro 4 8" xfId="860" xr:uid="{00000000-0005-0000-0000-0000A5060000}"/>
    <cellStyle name="Euro 4 8 2" xfId="4993" xr:uid="{00000000-0005-0000-0000-0000A6060000}"/>
    <cellStyle name="Euro 4 9" xfId="861" xr:uid="{00000000-0005-0000-0000-0000A7060000}"/>
    <cellStyle name="Euro 4 9 2" xfId="4994" xr:uid="{00000000-0005-0000-0000-0000A8060000}"/>
    <cellStyle name="Euro 4_1.2.b" xfId="16097" xr:uid="{48A48013-023D-4E04-BAAC-6FAAD52184C9}"/>
    <cellStyle name="Euro 5" xfId="862" xr:uid="{00000000-0005-0000-0000-0000A9060000}"/>
    <cellStyle name="Euro 5 10" xfId="863" xr:uid="{00000000-0005-0000-0000-0000AA060000}"/>
    <cellStyle name="Euro 5 10 2" xfId="4995" xr:uid="{00000000-0005-0000-0000-0000AB060000}"/>
    <cellStyle name="Euro 5 11" xfId="864" xr:uid="{00000000-0005-0000-0000-0000AC060000}"/>
    <cellStyle name="Euro 5 11 2" xfId="4996" xr:uid="{00000000-0005-0000-0000-0000AD060000}"/>
    <cellStyle name="Euro 5 12" xfId="865" xr:uid="{00000000-0005-0000-0000-0000AE060000}"/>
    <cellStyle name="Euro 5 12 2" xfId="4997" xr:uid="{00000000-0005-0000-0000-0000AF060000}"/>
    <cellStyle name="Euro 5 13" xfId="866" xr:uid="{00000000-0005-0000-0000-0000B0060000}"/>
    <cellStyle name="Euro 5 13 2" xfId="4998" xr:uid="{00000000-0005-0000-0000-0000B1060000}"/>
    <cellStyle name="Euro 5 14" xfId="867" xr:uid="{00000000-0005-0000-0000-0000B2060000}"/>
    <cellStyle name="Euro 5 14 2" xfId="4999" xr:uid="{00000000-0005-0000-0000-0000B3060000}"/>
    <cellStyle name="Euro 5 15" xfId="868" xr:uid="{00000000-0005-0000-0000-0000B4060000}"/>
    <cellStyle name="Euro 5 15 2" xfId="5000" xr:uid="{00000000-0005-0000-0000-0000B5060000}"/>
    <cellStyle name="Euro 5 16" xfId="869" xr:uid="{00000000-0005-0000-0000-0000B6060000}"/>
    <cellStyle name="Euro 5 16 2" xfId="5001" xr:uid="{00000000-0005-0000-0000-0000B7060000}"/>
    <cellStyle name="Euro 5 17" xfId="870" xr:uid="{00000000-0005-0000-0000-0000B8060000}"/>
    <cellStyle name="Euro 5 17 2" xfId="5002" xr:uid="{00000000-0005-0000-0000-0000B9060000}"/>
    <cellStyle name="Euro 5 18" xfId="871" xr:uid="{00000000-0005-0000-0000-0000BA060000}"/>
    <cellStyle name="Euro 5 18 2" xfId="5003" xr:uid="{00000000-0005-0000-0000-0000BB060000}"/>
    <cellStyle name="Euro 5 19" xfId="872" xr:uid="{00000000-0005-0000-0000-0000BC060000}"/>
    <cellStyle name="Euro 5 19 2" xfId="5004" xr:uid="{00000000-0005-0000-0000-0000BD060000}"/>
    <cellStyle name="Euro 5 2" xfId="873" xr:uid="{00000000-0005-0000-0000-0000BE060000}"/>
    <cellStyle name="Euro 5 2 2" xfId="4144" xr:uid="{00000000-0005-0000-0000-0000BF060000}"/>
    <cellStyle name="Euro 5 20" xfId="874" xr:uid="{00000000-0005-0000-0000-0000C0060000}"/>
    <cellStyle name="Euro 5 20 2" xfId="5005" xr:uid="{00000000-0005-0000-0000-0000C1060000}"/>
    <cellStyle name="Euro 5 21" xfId="875" xr:uid="{00000000-0005-0000-0000-0000C2060000}"/>
    <cellStyle name="Euro 5 21 2" xfId="5006" xr:uid="{00000000-0005-0000-0000-0000C3060000}"/>
    <cellStyle name="Euro 5 22" xfId="876" xr:uid="{00000000-0005-0000-0000-0000C4060000}"/>
    <cellStyle name="Euro 5 22 2" xfId="5007" xr:uid="{00000000-0005-0000-0000-0000C5060000}"/>
    <cellStyle name="Euro 5 23" xfId="877" xr:uid="{00000000-0005-0000-0000-0000C6060000}"/>
    <cellStyle name="Euro 5 23 2" xfId="5008" xr:uid="{00000000-0005-0000-0000-0000C7060000}"/>
    <cellStyle name="Euro 5 24" xfId="878" xr:uid="{00000000-0005-0000-0000-0000C8060000}"/>
    <cellStyle name="Euro 5 24 2" xfId="5009" xr:uid="{00000000-0005-0000-0000-0000C9060000}"/>
    <cellStyle name="Euro 5 25" xfId="879" xr:uid="{00000000-0005-0000-0000-0000CA060000}"/>
    <cellStyle name="Euro 5 25 2" xfId="5010" xr:uid="{00000000-0005-0000-0000-0000CB060000}"/>
    <cellStyle name="Euro 5 26" xfId="880" xr:uid="{00000000-0005-0000-0000-0000CC060000}"/>
    <cellStyle name="Euro 5 26 2" xfId="5011" xr:uid="{00000000-0005-0000-0000-0000CD060000}"/>
    <cellStyle name="Euro 5 27" xfId="881" xr:uid="{00000000-0005-0000-0000-0000CE060000}"/>
    <cellStyle name="Euro 5 27 2" xfId="5012" xr:uid="{00000000-0005-0000-0000-0000CF060000}"/>
    <cellStyle name="Euro 5 28" xfId="882" xr:uid="{00000000-0005-0000-0000-0000D0060000}"/>
    <cellStyle name="Euro 5 28 2" xfId="5013" xr:uid="{00000000-0005-0000-0000-0000D1060000}"/>
    <cellStyle name="Euro 5 29" xfId="4071" xr:uid="{00000000-0005-0000-0000-0000D2060000}"/>
    <cellStyle name="Euro 5 3" xfId="883" xr:uid="{00000000-0005-0000-0000-0000D3060000}"/>
    <cellStyle name="Euro 5 3 2" xfId="4104" xr:uid="{00000000-0005-0000-0000-0000D4060000}"/>
    <cellStyle name="Euro 5 4" xfId="884" xr:uid="{00000000-0005-0000-0000-0000D5060000}"/>
    <cellStyle name="Euro 5 4 2" xfId="5014" xr:uid="{00000000-0005-0000-0000-0000D6060000}"/>
    <cellStyle name="Euro 5 5" xfId="885" xr:uid="{00000000-0005-0000-0000-0000D7060000}"/>
    <cellStyle name="Euro 5 5 2" xfId="5015" xr:uid="{00000000-0005-0000-0000-0000D8060000}"/>
    <cellStyle name="Euro 5 6" xfId="886" xr:uid="{00000000-0005-0000-0000-0000D9060000}"/>
    <cellStyle name="Euro 5 6 2" xfId="5016" xr:uid="{00000000-0005-0000-0000-0000DA060000}"/>
    <cellStyle name="Euro 5 7" xfId="887" xr:uid="{00000000-0005-0000-0000-0000DB060000}"/>
    <cellStyle name="Euro 5 7 2" xfId="5017" xr:uid="{00000000-0005-0000-0000-0000DC060000}"/>
    <cellStyle name="Euro 5 8" xfId="888" xr:uid="{00000000-0005-0000-0000-0000DD060000}"/>
    <cellStyle name="Euro 5 8 2" xfId="5018" xr:uid="{00000000-0005-0000-0000-0000DE060000}"/>
    <cellStyle name="Euro 5 9" xfId="889" xr:uid="{00000000-0005-0000-0000-0000DF060000}"/>
    <cellStyle name="Euro 5 9 2" xfId="5019" xr:uid="{00000000-0005-0000-0000-0000E0060000}"/>
    <cellStyle name="Euro 5_1.2.b" xfId="16098" xr:uid="{6C9B6B1F-0362-42B7-BBBE-8DAE9E3BE3A6}"/>
    <cellStyle name="Euro 6" xfId="890" xr:uid="{00000000-0005-0000-0000-0000E1060000}"/>
    <cellStyle name="Euro 6 10" xfId="891" xr:uid="{00000000-0005-0000-0000-0000E2060000}"/>
    <cellStyle name="Euro 6 10 2" xfId="5020" xr:uid="{00000000-0005-0000-0000-0000E3060000}"/>
    <cellStyle name="Euro 6 11" xfId="892" xr:uid="{00000000-0005-0000-0000-0000E4060000}"/>
    <cellStyle name="Euro 6 11 2" xfId="5021" xr:uid="{00000000-0005-0000-0000-0000E5060000}"/>
    <cellStyle name="Euro 6 12" xfId="893" xr:uid="{00000000-0005-0000-0000-0000E6060000}"/>
    <cellStyle name="Euro 6 12 2" xfId="5022" xr:uid="{00000000-0005-0000-0000-0000E7060000}"/>
    <cellStyle name="Euro 6 13" xfId="894" xr:uid="{00000000-0005-0000-0000-0000E8060000}"/>
    <cellStyle name="Euro 6 13 2" xfId="5023" xr:uid="{00000000-0005-0000-0000-0000E9060000}"/>
    <cellStyle name="Euro 6 14" xfId="895" xr:uid="{00000000-0005-0000-0000-0000EA060000}"/>
    <cellStyle name="Euro 6 14 2" xfId="5024" xr:uid="{00000000-0005-0000-0000-0000EB060000}"/>
    <cellStyle name="Euro 6 15" xfId="896" xr:uid="{00000000-0005-0000-0000-0000EC060000}"/>
    <cellStyle name="Euro 6 15 2" xfId="5025" xr:uid="{00000000-0005-0000-0000-0000ED060000}"/>
    <cellStyle name="Euro 6 16" xfId="897" xr:uid="{00000000-0005-0000-0000-0000EE060000}"/>
    <cellStyle name="Euro 6 16 2" xfId="5026" xr:uid="{00000000-0005-0000-0000-0000EF060000}"/>
    <cellStyle name="Euro 6 17" xfId="898" xr:uid="{00000000-0005-0000-0000-0000F0060000}"/>
    <cellStyle name="Euro 6 17 2" xfId="5027" xr:uid="{00000000-0005-0000-0000-0000F1060000}"/>
    <cellStyle name="Euro 6 18" xfId="899" xr:uid="{00000000-0005-0000-0000-0000F2060000}"/>
    <cellStyle name="Euro 6 18 2" xfId="5028" xr:uid="{00000000-0005-0000-0000-0000F3060000}"/>
    <cellStyle name="Euro 6 19" xfId="900" xr:uid="{00000000-0005-0000-0000-0000F4060000}"/>
    <cellStyle name="Euro 6 19 2" xfId="5029" xr:uid="{00000000-0005-0000-0000-0000F5060000}"/>
    <cellStyle name="Euro 6 2" xfId="901" xr:uid="{00000000-0005-0000-0000-0000F6060000}"/>
    <cellStyle name="Euro 6 2 2" xfId="4140" xr:uid="{00000000-0005-0000-0000-0000F7060000}"/>
    <cellStyle name="Euro 6 20" xfId="902" xr:uid="{00000000-0005-0000-0000-0000F8060000}"/>
    <cellStyle name="Euro 6 20 2" xfId="5030" xr:uid="{00000000-0005-0000-0000-0000F9060000}"/>
    <cellStyle name="Euro 6 21" xfId="903" xr:uid="{00000000-0005-0000-0000-0000FA060000}"/>
    <cellStyle name="Euro 6 21 2" xfId="5031" xr:uid="{00000000-0005-0000-0000-0000FB060000}"/>
    <cellStyle name="Euro 6 22" xfId="904" xr:uid="{00000000-0005-0000-0000-0000FC060000}"/>
    <cellStyle name="Euro 6 22 2" xfId="5032" xr:uid="{00000000-0005-0000-0000-0000FD060000}"/>
    <cellStyle name="Euro 6 23" xfId="905" xr:uid="{00000000-0005-0000-0000-0000FE060000}"/>
    <cellStyle name="Euro 6 23 2" xfId="5033" xr:uid="{00000000-0005-0000-0000-0000FF060000}"/>
    <cellStyle name="Euro 6 24" xfId="906" xr:uid="{00000000-0005-0000-0000-000000070000}"/>
    <cellStyle name="Euro 6 24 2" xfId="5034" xr:uid="{00000000-0005-0000-0000-000001070000}"/>
    <cellStyle name="Euro 6 25" xfId="907" xr:uid="{00000000-0005-0000-0000-000002070000}"/>
    <cellStyle name="Euro 6 25 2" xfId="5035" xr:uid="{00000000-0005-0000-0000-000003070000}"/>
    <cellStyle name="Euro 6 26" xfId="908" xr:uid="{00000000-0005-0000-0000-000004070000}"/>
    <cellStyle name="Euro 6 26 2" xfId="5036" xr:uid="{00000000-0005-0000-0000-000005070000}"/>
    <cellStyle name="Euro 6 27" xfId="909" xr:uid="{00000000-0005-0000-0000-000006070000}"/>
    <cellStyle name="Euro 6 27 2" xfId="5037" xr:uid="{00000000-0005-0000-0000-000007070000}"/>
    <cellStyle name="Euro 6 28" xfId="910" xr:uid="{00000000-0005-0000-0000-000008070000}"/>
    <cellStyle name="Euro 6 28 2" xfId="5038" xr:uid="{00000000-0005-0000-0000-000009070000}"/>
    <cellStyle name="Euro 6 29" xfId="4067" xr:uid="{00000000-0005-0000-0000-00000A070000}"/>
    <cellStyle name="Euro 6 3" xfId="911" xr:uid="{00000000-0005-0000-0000-00000B070000}"/>
    <cellStyle name="Euro 6 3 2" xfId="4100" xr:uid="{00000000-0005-0000-0000-00000C070000}"/>
    <cellStyle name="Euro 6 4" xfId="912" xr:uid="{00000000-0005-0000-0000-00000D070000}"/>
    <cellStyle name="Euro 6 4 2" xfId="5039" xr:uid="{00000000-0005-0000-0000-00000E070000}"/>
    <cellStyle name="Euro 6 5" xfId="913" xr:uid="{00000000-0005-0000-0000-00000F070000}"/>
    <cellStyle name="Euro 6 5 2" xfId="5040" xr:uid="{00000000-0005-0000-0000-000010070000}"/>
    <cellStyle name="Euro 6 6" xfId="914" xr:uid="{00000000-0005-0000-0000-000011070000}"/>
    <cellStyle name="Euro 6 6 2" xfId="5041" xr:uid="{00000000-0005-0000-0000-000012070000}"/>
    <cellStyle name="Euro 6 7" xfId="915" xr:uid="{00000000-0005-0000-0000-000013070000}"/>
    <cellStyle name="Euro 6 7 2" xfId="5042" xr:uid="{00000000-0005-0000-0000-000014070000}"/>
    <cellStyle name="Euro 6 8" xfId="916" xr:uid="{00000000-0005-0000-0000-000015070000}"/>
    <cellStyle name="Euro 6 8 2" xfId="5043" xr:uid="{00000000-0005-0000-0000-000016070000}"/>
    <cellStyle name="Euro 6 9" xfId="917" xr:uid="{00000000-0005-0000-0000-000017070000}"/>
    <cellStyle name="Euro 6 9 2" xfId="5044" xr:uid="{00000000-0005-0000-0000-000018070000}"/>
    <cellStyle name="Euro 7" xfId="918" xr:uid="{00000000-0005-0000-0000-000019070000}"/>
    <cellStyle name="Euro 7 10" xfId="919" xr:uid="{00000000-0005-0000-0000-00001A070000}"/>
    <cellStyle name="Euro 7 10 2" xfId="5045" xr:uid="{00000000-0005-0000-0000-00001B070000}"/>
    <cellStyle name="Euro 7 11" xfId="920" xr:uid="{00000000-0005-0000-0000-00001C070000}"/>
    <cellStyle name="Euro 7 11 2" xfId="5046" xr:uid="{00000000-0005-0000-0000-00001D070000}"/>
    <cellStyle name="Euro 7 12" xfId="921" xr:uid="{00000000-0005-0000-0000-00001E070000}"/>
    <cellStyle name="Euro 7 12 2" xfId="5047" xr:uid="{00000000-0005-0000-0000-00001F070000}"/>
    <cellStyle name="Euro 7 13" xfId="922" xr:uid="{00000000-0005-0000-0000-000020070000}"/>
    <cellStyle name="Euro 7 13 2" xfId="5048" xr:uid="{00000000-0005-0000-0000-000021070000}"/>
    <cellStyle name="Euro 7 14" xfId="923" xr:uid="{00000000-0005-0000-0000-000022070000}"/>
    <cellStyle name="Euro 7 14 2" xfId="5049" xr:uid="{00000000-0005-0000-0000-000023070000}"/>
    <cellStyle name="Euro 7 15" xfId="924" xr:uid="{00000000-0005-0000-0000-000024070000}"/>
    <cellStyle name="Euro 7 15 2" xfId="5050" xr:uid="{00000000-0005-0000-0000-000025070000}"/>
    <cellStyle name="Euro 7 16" xfId="925" xr:uid="{00000000-0005-0000-0000-000026070000}"/>
    <cellStyle name="Euro 7 16 2" xfId="5051" xr:uid="{00000000-0005-0000-0000-000027070000}"/>
    <cellStyle name="Euro 7 17" xfId="926" xr:uid="{00000000-0005-0000-0000-000028070000}"/>
    <cellStyle name="Euro 7 17 2" xfId="5052" xr:uid="{00000000-0005-0000-0000-000029070000}"/>
    <cellStyle name="Euro 7 18" xfId="927" xr:uid="{00000000-0005-0000-0000-00002A070000}"/>
    <cellStyle name="Euro 7 18 2" xfId="5053" xr:uid="{00000000-0005-0000-0000-00002B070000}"/>
    <cellStyle name="Euro 7 19" xfId="928" xr:uid="{00000000-0005-0000-0000-00002C070000}"/>
    <cellStyle name="Euro 7 19 2" xfId="5054" xr:uid="{00000000-0005-0000-0000-00002D070000}"/>
    <cellStyle name="Euro 7 2" xfId="929" xr:uid="{00000000-0005-0000-0000-00002E070000}"/>
    <cellStyle name="Euro 7 2 2" xfId="4142" xr:uid="{00000000-0005-0000-0000-00002F070000}"/>
    <cellStyle name="Euro 7 20" xfId="930" xr:uid="{00000000-0005-0000-0000-000030070000}"/>
    <cellStyle name="Euro 7 20 2" xfId="5055" xr:uid="{00000000-0005-0000-0000-000031070000}"/>
    <cellStyle name="Euro 7 21" xfId="931" xr:uid="{00000000-0005-0000-0000-000032070000}"/>
    <cellStyle name="Euro 7 21 2" xfId="5056" xr:uid="{00000000-0005-0000-0000-000033070000}"/>
    <cellStyle name="Euro 7 22" xfId="932" xr:uid="{00000000-0005-0000-0000-000034070000}"/>
    <cellStyle name="Euro 7 22 2" xfId="5057" xr:uid="{00000000-0005-0000-0000-000035070000}"/>
    <cellStyle name="Euro 7 23" xfId="933" xr:uid="{00000000-0005-0000-0000-000036070000}"/>
    <cellStyle name="Euro 7 23 2" xfId="5058" xr:uid="{00000000-0005-0000-0000-000037070000}"/>
    <cellStyle name="Euro 7 24" xfId="934" xr:uid="{00000000-0005-0000-0000-000038070000}"/>
    <cellStyle name="Euro 7 24 2" xfId="5059" xr:uid="{00000000-0005-0000-0000-000039070000}"/>
    <cellStyle name="Euro 7 25" xfId="935" xr:uid="{00000000-0005-0000-0000-00003A070000}"/>
    <cellStyle name="Euro 7 25 2" xfId="5060" xr:uid="{00000000-0005-0000-0000-00003B070000}"/>
    <cellStyle name="Euro 7 26" xfId="936" xr:uid="{00000000-0005-0000-0000-00003C070000}"/>
    <cellStyle name="Euro 7 26 2" xfId="5061" xr:uid="{00000000-0005-0000-0000-00003D070000}"/>
    <cellStyle name="Euro 7 27" xfId="937" xr:uid="{00000000-0005-0000-0000-00003E070000}"/>
    <cellStyle name="Euro 7 27 2" xfId="5062" xr:uid="{00000000-0005-0000-0000-00003F070000}"/>
    <cellStyle name="Euro 7 28" xfId="938" xr:uid="{00000000-0005-0000-0000-000040070000}"/>
    <cellStyle name="Euro 7 28 2" xfId="5063" xr:uid="{00000000-0005-0000-0000-000041070000}"/>
    <cellStyle name="Euro 7 29" xfId="4069" xr:uid="{00000000-0005-0000-0000-000042070000}"/>
    <cellStyle name="Euro 7 3" xfId="939" xr:uid="{00000000-0005-0000-0000-000043070000}"/>
    <cellStyle name="Euro 7 3 2" xfId="4102" xr:uid="{00000000-0005-0000-0000-000044070000}"/>
    <cellStyle name="Euro 7 4" xfId="940" xr:uid="{00000000-0005-0000-0000-000045070000}"/>
    <cellStyle name="Euro 7 4 2" xfId="5064" xr:uid="{00000000-0005-0000-0000-000046070000}"/>
    <cellStyle name="Euro 7 5" xfId="941" xr:uid="{00000000-0005-0000-0000-000047070000}"/>
    <cellStyle name="Euro 7 5 2" xfId="5065" xr:uid="{00000000-0005-0000-0000-000048070000}"/>
    <cellStyle name="Euro 7 6" xfId="942" xr:uid="{00000000-0005-0000-0000-000049070000}"/>
    <cellStyle name="Euro 7 6 2" xfId="5066" xr:uid="{00000000-0005-0000-0000-00004A070000}"/>
    <cellStyle name="Euro 7 7" xfId="943" xr:uid="{00000000-0005-0000-0000-00004B070000}"/>
    <cellStyle name="Euro 7 7 2" xfId="5067" xr:uid="{00000000-0005-0000-0000-00004C070000}"/>
    <cellStyle name="Euro 7 8" xfId="944" xr:uid="{00000000-0005-0000-0000-00004D070000}"/>
    <cellStyle name="Euro 7 8 2" xfId="5068" xr:uid="{00000000-0005-0000-0000-00004E070000}"/>
    <cellStyle name="Euro 7 9" xfId="945" xr:uid="{00000000-0005-0000-0000-00004F070000}"/>
    <cellStyle name="Euro 7 9 2" xfId="5069" xr:uid="{00000000-0005-0000-0000-000050070000}"/>
    <cellStyle name="Euro 8" xfId="946" xr:uid="{00000000-0005-0000-0000-000051070000}"/>
    <cellStyle name="Euro 8 10" xfId="947" xr:uid="{00000000-0005-0000-0000-000052070000}"/>
    <cellStyle name="Euro 8 10 2" xfId="5070" xr:uid="{00000000-0005-0000-0000-000053070000}"/>
    <cellStyle name="Euro 8 11" xfId="948" xr:uid="{00000000-0005-0000-0000-000054070000}"/>
    <cellStyle name="Euro 8 11 2" xfId="5071" xr:uid="{00000000-0005-0000-0000-000055070000}"/>
    <cellStyle name="Euro 8 12" xfId="949" xr:uid="{00000000-0005-0000-0000-000056070000}"/>
    <cellStyle name="Euro 8 12 2" xfId="5072" xr:uid="{00000000-0005-0000-0000-000057070000}"/>
    <cellStyle name="Euro 8 13" xfId="950" xr:uid="{00000000-0005-0000-0000-000058070000}"/>
    <cellStyle name="Euro 8 13 2" xfId="5073" xr:uid="{00000000-0005-0000-0000-000059070000}"/>
    <cellStyle name="Euro 8 14" xfId="951" xr:uid="{00000000-0005-0000-0000-00005A070000}"/>
    <cellStyle name="Euro 8 14 2" xfId="5074" xr:uid="{00000000-0005-0000-0000-00005B070000}"/>
    <cellStyle name="Euro 8 15" xfId="952" xr:uid="{00000000-0005-0000-0000-00005C070000}"/>
    <cellStyle name="Euro 8 15 2" xfId="5075" xr:uid="{00000000-0005-0000-0000-00005D070000}"/>
    <cellStyle name="Euro 8 16" xfId="953" xr:uid="{00000000-0005-0000-0000-00005E070000}"/>
    <cellStyle name="Euro 8 16 2" xfId="5076" xr:uid="{00000000-0005-0000-0000-00005F070000}"/>
    <cellStyle name="Euro 8 17" xfId="954" xr:uid="{00000000-0005-0000-0000-000060070000}"/>
    <cellStyle name="Euro 8 17 2" xfId="5077" xr:uid="{00000000-0005-0000-0000-000061070000}"/>
    <cellStyle name="Euro 8 18" xfId="955" xr:uid="{00000000-0005-0000-0000-000062070000}"/>
    <cellStyle name="Euro 8 18 2" xfId="5078" xr:uid="{00000000-0005-0000-0000-000063070000}"/>
    <cellStyle name="Euro 8 19" xfId="956" xr:uid="{00000000-0005-0000-0000-000064070000}"/>
    <cellStyle name="Euro 8 19 2" xfId="5079" xr:uid="{00000000-0005-0000-0000-000065070000}"/>
    <cellStyle name="Euro 8 2" xfId="957" xr:uid="{00000000-0005-0000-0000-000066070000}"/>
    <cellStyle name="Euro 8 2 2" xfId="4151" xr:uid="{00000000-0005-0000-0000-000067070000}"/>
    <cellStyle name="Euro 8 20" xfId="958" xr:uid="{00000000-0005-0000-0000-000068070000}"/>
    <cellStyle name="Euro 8 20 2" xfId="5080" xr:uid="{00000000-0005-0000-0000-000069070000}"/>
    <cellStyle name="Euro 8 21" xfId="959" xr:uid="{00000000-0005-0000-0000-00006A070000}"/>
    <cellStyle name="Euro 8 21 2" xfId="5081" xr:uid="{00000000-0005-0000-0000-00006B070000}"/>
    <cellStyle name="Euro 8 22" xfId="960" xr:uid="{00000000-0005-0000-0000-00006C070000}"/>
    <cellStyle name="Euro 8 22 2" xfId="5082" xr:uid="{00000000-0005-0000-0000-00006D070000}"/>
    <cellStyle name="Euro 8 23" xfId="961" xr:uid="{00000000-0005-0000-0000-00006E070000}"/>
    <cellStyle name="Euro 8 23 2" xfId="5083" xr:uid="{00000000-0005-0000-0000-00006F070000}"/>
    <cellStyle name="Euro 8 24" xfId="962" xr:uid="{00000000-0005-0000-0000-000070070000}"/>
    <cellStyle name="Euro 8 24 2" xfId="5084" xr:uid="{00000000-0005-0000-0000-000071070000}"/>
    <cellStyle name="Euro 8 25" xfId="963" xr:uid="{00000000-0005-0000-0000-000072070000}"/>
    <cellStyle name="Euro 8 25 2" xfId="5085" xr:uid="{00000000-0005-0000-0000-000073070000}"/>
    <cellStyle name="Euro 8 26" xfId="964" xr:uid="{00000000-0005-0000-0000-000074070000}"/>
    <cellStyle name="Euro 8 26 2" xfId="5086" xr:uid="{00000000-0005-0000-0000-000075070000}"/>
    <cellStyle name="Euro 8 27" xfId="965" xr:uid="{00000000-0005-0000-0000-000076070000}"/>
    <cellStyle name="Euro 8 27 2" xfId="5087" xr:uid="{00000000-0005-0000-0000-000077070000}"/>
    <cellStyle name="Euro 8 28" xfId="966" xr:uid="{00000000-0005-0000-0000-000078070000}"/>
    <cellStyle name="Euro 8 28 2" xfId="5088" xr:uid="{00000000-0005-0000-0000-000079070000}"/>
    <cellStyle name="Euro 8 29" xfId="4078" xr:uid="{00000000-0005-0000-0000-00007A070000}"/>
    <cellStyle name="Euro 8 3" xfId="967" xr:uid="{00000000-0005-0000-0000-00007B070000}"/>
    <cellStyle name="Euro 8 3 2" xfId="4111" xr:uid="{00000000-0005-0000-0000-00007C070000}"/>
    <cellStyle name="Euro 8 4" xfId="968" xr:uid="{00000000-0005-0000-0000-00007D070000}"/>
    <cellStyle name="Euro 8 4 2" xfId="5089" xr:uid="{00000000-0005-0000-0000-00007E070000}"/>
    <cellStyle name="Euro 8 5" xfId="969" xr:uid="{00000000-0005-0000-0000-00007F070000}"/>
    <cellStyle name="Euro 8 5 2" xfId="5090" xr:uid="{00000000-0005-0000-0000-000080070000}"/>
    <cellStyle name="Euro 8 6" xfId="970" xr:uid="{00000000-0005-0000-0000-000081070000}"/>
    <cellStyle name="Euro 8 6 2" xfId="5091" xr:uid="{00000000-0005-0000-0000-000082070000}"/>
    <cellStyle name="Euro 8 7" xfId="971" xr:uid="{00000000-0005-0000-0000-000083070000}"/>
    <cellStyle name="Euro 8 7 2" xfId="5092" xr:uid="{00000000-0005-0000-0000-000084070000}"/>
    <cellStyle name="Euro 8 8" xfId="972" xr:uid="{00000000-0005-0000-0000-000085070000}"/>
    <cellStyle name="Euro 8 8 2" xfId="5093" xr:uid="{00000000-0005-0000-0000-000086070000}"/>
    <cellStyle name="Euro 8 9" xfId="973" xr:uid="{00000000-0005-0000-0000-000087070000}"/>
    <cellStyle name="Euro 8 9 2" xfId="5094" xr:uid="{00000000-0005-0000-0000-000088070000}"/>
    <cellStyle name="Euro 9" xfId="974" xr:uid="{00000000-0005-0000-0000-000089070000}"/>
    <cellStyle name="Euro 9 10" xfId="975" xr:uid="{00000000-0005-0000-0000-00008A070000}"/>
    <cellStyle name="Euro 9 10 2" xfId="5095" xr:uid="{00000000-0005-0000-0000-00008B070000}"/>
    <cellStyle name="Euro 9 11" xfId="976" xr:uid="{00000000-0005-0000-0000-00008C070000}"/>
    <cellStyle name="Euro 9 11 2" xfId="5096" xr:uid="{00000000-0005-0000-0000-00008D070000}"/>
    <cellStyle name="Euro 9 12" xfId="977" xr:uid="{00000000-0005-0000-0000-00008E070000}"/>
    <cellStyle name="Euro 9 12 2" xfId="5097" xr:uid="{00000000-0005-0000-0000-00008F070000}"/>
    <cellStyle name="Euro 9 13" xfId="978" xr:uid="{00000000-0005-0000-0000-000090070000}"/>
    <cellStyle name="Euro 9 13 2" xfId="5098" xr:uid="{00000000-0005-0000-0000-000091070000}"/>
    <cellStyle name="Euro 9 14" xfId="979" xr:uid="{00000000-0005-0000-0000-000092070000}"/>
    <cellStyle name="Euro 9 14 2" xfId="5099" xr:uid="{00000000-0005-0000-0000-000093070000}"/>
    <cellStyle name="Euro 9 15" xfId="980" xr:uid="{00000000-0005-0000-0000-000094070000}"/>
    <cellStyle name="Euro 9 15 2" xfId="5100" xr:uid="{00000000-0005-0000-0000-000095070000}"/>
    <cellStyle name="Euro 9 16" xfId="981" xr:uid="{00000000-0005-0000-0000-000096070000}"/>
    <cellStyle name="Euro 9 16 2" xfId="5101" xr:uid="{00000000-0005-0000-0000-000097070000}"/>
    <cellStyle name="Euro 9 17" xfId="982" xr:uid="{00000000-0005-0000-0000-000098070000}"/>
    <cellStyle name="Euro 9 17 2" xfId="5102" xr:uid="{00000000-0005-0000-0000-000099070000}"/>
    <cellStyle name="Euro 9 18" xfId="983" xr:uid="{00000000-0005-0000-0000-00009A070000}"/>
    <cellStyle name="Euro 9 18 2" xfId="5103" xr:uid="{00000000-0005-0000-0000-00009B070000}"/>
    <cellStyle name="Euro 9 19" xfId="984" xr:uid="{00000000-0005-0000-0000-00009C070000}"/>
    <cellStyle name="Euro 9 19 2" xfId="5104" xr:uid="{00000000-0005-0000-0000-00009D070000}"/>
    <cellStyle name="Euro 9 2" xfId="985" xr:uid="{00000000-0005-0000-0000-00009E070000}"/>
    <cellStyle name="Euro 9 2 2" xfId="4143" xr:uid="{00000000-0005-0000-0000-00009F070000}"/>
    <cellStyle name="Euro 9 20" xfId="986" xr:uid="{00000000-0005-0000-0000-0000A0070000}"/>
    <cellStyle name="Euro 9 20 2" xfId="5105" xr:uid="{00000000-0005-0000-0000-0000A1070000}"/>
    <cellStyle name="Euro 9 21" xfId="987" xr:uid="{00000000-0005-0000-0000-0000A2070000}"/>
    <cellStyle name="Euro 9 21 2" xfId="5106" xr:uid="{00000000-0005-0000-0000-0000A3070000}"/>
    <cellStyle name="Euro 9 22" xfId="988" xr:uid="{00000000-0005-0000-0000-0000A4070000}"/>
    <cellStyle name="Euro 9 22 2" xfId="5107" xr:uid="{00000000-0005-0000-0000-0000A5070000}"/>
    <cellStyle name="Euro 9 23" xfId="989" xr:uid="{00000000-0005-0000-0000-0000A6070000}"/>
    <cellStyle name="Euro 9 23 2" xfId="5108" xr:uid="{00000000-0005-0000-0000-0000A7070000}"/>
    <cellStyle name="Euro 9 24" xfId="990" xr:uid="{00000000-0005-0000-0000-0000A8070000}"/>
    <cellStyle name="Euro 9 24 2" xfId="5109" xr:uid="{00000000-0005-0000-0000-0000A9070000}"/>
    <cellStyle name="Euro 9 25" xfId="991" xr:uid="{00000000-0005-0000-0000-0000AA070000}"/>
    <cellStyle name="Euro 9 25 2" xfId="5110" xr:uid="{00000000-0005-0000-0000-0000AB070000}"/>
    <cellStyle name="Euro 9 26" xfId="992" xr:uid="{00000000-0005-0000-0000-0000AC070000}"/>
    <cellStyle name="Euro 9 26 2" xfId="5111" xr:uid="{00000000-0005-0000-0000-0000AD070000}"/>
    <cellStyle name="Euro 9 27" xfId="993" xr:uid="{00000000-0005-0000-0000-0000AE070000}"/>
    <cellStyle name="Euro 9 27 2" xfId="5112" xr:uid="{00000000-0005-0000-0000-0000AF070000}"/>
    <cellStyle name="Euro 9 28" xfId="994" xr:uid="{00000000-0005-0000-0000-0000B0070000}"/>
    <cellStyle name="Euro 9 28 2" xfId="5113" xr:uid="{00000000-0005-0000-0000-0000B1070000}"/>
    <cellStyle name="Euro 9 29" xfId="4070" xr:uid="{00000000-0005-0000-0000-0000B2070000}"/>
    <cellStyle name="Euro 9 3" xfId="995" xr:uid="{00000000-0005-0000-0000-0000B3070000}"/>
    <cellStyle name="Euro 9 3 2" xfId="4103" xr:uid="{00000000-0005-0000-0000-0000B4070000}"/>
    <cellStyle name="Euro 9 4" xfId="996" xr:uid="{00000000-0005-0000-0000-0000B5070000}"/>
    <cellStyle name="Euro 9 4 2" xfId="5114" xr:uid="{00000000-0005-0000-0000-0000B6070000}"/>
    <cellStyle name="Euro 9 5" xfId="997" xr:uid="{00000000-0005-0000-0000-0000B7070000}"/>
    <cellStyle name="Euro 9 5 2" xfId="5115" xr:uid="{00000000-0005-0000-0000-0000B8070000}"/>
    <cellStyle name="Euro 9 6" xfId="998" xr:uid="{00000000-0005-0000-0000-0000B9070000}"/>
    <cellStyle name="Euro 9 6 2" xfId="5116" xr:uid="{00000000-0005-0000-0000-0000BA070000}"/>
    <cellStyle name="Euro 9 7" xfId="999" xr:uid="{00000000-0005-0000-0000-0000BB070000}"/>
    <cellStyle name="Euro 9 7 2" xfId="5117" xr:uid="{00000000-0005-0000-0000-0000BC070000}"/>
    <cellStyle name="Euro 9 8" xfId="1000" xr:uid="{00000000-0005-0000-0000-0000BD070000}"/>
    <cellStyle name="Euro 9 8 2" xfId="5118" xr:uid="{00000000-0005-0000-0000-0000BE070000}"/>
    <cellStyle name="Euro 9 9" xfId="1001" xr:uid="{00000000-0005-0000-0000-0000BF070000}"/>
    <cellStyle name="Euro 9 9 2" xfId="5119" xr:uid="{00000000-0005-0000-0000-0000C0070000}"/>
    <cellStyle name="Excel.Chart" xfId="132" xr:uid="{00000000-0005-0000-0000-0000C1070000}"/>
    <cellStyle name="Explanatory Text" xfId="37" xr:uid="{23DCB67C-F97F-405C-AC4A-39AD05C74C42}"/>
    <cellStyle name="F2" xfId="19" xr:uid="{00000000-0005-0000-0000-0000C2070000}"/>
    <cellStyle name="F2 2" xfId="79" xr:uid="{00000000-0005-0000-0000-0000C3070000}"/>
    <cellStyle name="F2 3" xfId="137" xr:uid="{00000000-0005-0000-0000-0000C4070000}"/>
    <cellStyle name="F3" xfId="20" xr:uid="{00000000-0005-0000-0000-0000C5070000}"/>
    <cellStyle name="F3 2" xfId="80" xr:uid="{00000000-0005-0000-0000-0000C6070000}"/>
    <cellStyle name="F3 3" xfId="138" xr:uid="{00000000-0005-0000-0000-0000C7070000}"/>
    <cellStyle name="F4" xfId="21" xr:uid="{00000000-0005-0000-0000-0000C8070000}"/>
    <cellStyle name="F4 2" xfId="81" xr:uid="{00000000-0005-0000-0000-0000C9070000}"/>
    <cellStyle name="F4 3" xfId="139" xr:uid="{00000000-0005-0000-0000-0000CA070000}"/>
    <cellStyle name="F5" xfId="22" xr:uid="{00000000-0005-0000-0000-0000CB070000}"/>
    <cellStyle name="F5 2" xfId="82" xr:uid="{00000000-0005-0000-0000-0000CC070000}"/>
    <cellStyle name="F5 3" xfId="140" xr:uid="{00000000-0005-0000-0000-0000CD070000}"/>
    <cellStyle name="F6" xfId="23" xr:uid="{00000000-0005-0000-0000-0000CE070000}"/>
    <cellStyle name="F6 2" xfId="83" xr:uid="{00000000-0005-0000-0000-0000CF070000}"/>
    <cellStyle name="F6 3" xfId="141" xr:uid="{00000000-0005-0000-0000-0000D0070000}"/>
    <cellStyle name="F7" xfId="24" xr:uid="{00000000-0005-0000-0000-0000D1070000}"/>
    <cellStyle name="F7 2" xfId="84" xr:uid="{00000000-0005-0000-0000-0000D2070000}"/>
    <cellStyle name="F7 3" xfId="142" xr:uid="{00000000-0005-0000-0000-0000D3070000}"/>
    <cellStyle name="F8" xfId="25" xr:uid="{00000000-0005-0000-0000-0000D4070000}"/>
    <cellStyle name="F8 2" xfId="85" xr:uid="{00000000-0005-0000-0000-0000D5070000}"/>
    <cellStyle name="F8 3" xfId="143" xr:uid="{00000000-0005-0000-0000-0000D6070000}"/>
    <cellStyle name="Fecha" xfId="1002" xr:uid="{00000000-0005-0000-0000-0000D7070000}"/>
    <cellStyle name="Fijo" xfId="68" xr:uid="{00000000-0005-0000-0000-0000D8070000}"/>
    <cellStyle name="Fijo 2" xfId="86" xr:uid="{00000000-0005-0000-0000-0000D9070000}"/>
    <cellStyle name="Fijo 3" xfId="1003" xr:uid="{00000000-0005-0000-0000-0000DA070000}"/>
    <cellStyle name="Fijo_1.2.b" xfId="16099" xr:uid="{55996E44-6558-4268-B609-DADBDEFA1401}"/>
    <cellStyle name="Financiero" xfId="69" xr:uid="{00000000-0005-0000-0000-0000DB070000}"/>
    <cellStyle name="Financiero 2" xfId="87" xr:uid="{00000000-0005-0000-0000-0000DC070000}"/>
    <cellStyle name="Financiero 3" xfId="14161" xr:uid="{02A84F02-7F72-45A8-917C-1F84D5E42C75}"/>
    <cellStyle name="Financiero_1.2.b" xfId="16100" xr:uid="{561A2ECB-E231-46D0-8B0B-947ED83E8EF5}"/>
    <cellStyle name="Fixed" xfId="6" xr:uid="{00000000-0005-0000-0000-0000DD070000}"/>
    <cellStyle name="Fixed 2" xfId="14162" xr:uid="{BD8876B2-B401-4450-A758-03B5990F6009}"/>
    <cellStyle name="Fixed_1.2.b" xfId="16101" xr:uid="{782E8FAC-1952-4422-97E0-CE1987AC5683}"/>
    <cellStyle name="Heading 2" xfId="31" xr:uid="{F0579CA2-B974-47DC-BEE2-64F980B542F0}"/>
    <cellStyle name="Heading 3" xfId="32" xr:uid="{65141ACB-E1ED-4BA5-BF9D-D8ED6B4A8915}"/>
    <cellStyle name="Heading1" xfId="7" xr:uid="{00000000-0005-0000-0000-0000DE070000}"/>
    <cellStyle name="Heading1 2" xfId="14166" xr:uid="{27F5757D-151A-400F-82EB-B9CCDFB80F3F}"/>
    <cellStyle name="Heading1_1.2.b" xfId="16102" xr:uid="{DD2A0CD6-6206-4157-AD91-B7CB4D7923B1}"/>
    <cellStyle name="Heading2" xfId="8" xr:uid="{00000000-0005-0000-0000-0000DF070000}"/>
    <cellStyle name="Heading2 2" xfId="14167" xr:uid="{00B15700-B220-4DA7-9C5D-FA2C3E35455C}"/>
    <cellStyle name="Heading2_1.2.b" xfId="16103" xr:uid="{005669AD-0DA7-4592-AE3E-F765FAE37463}"/>
    <cellStyle name="Hipervínculo" xfId="9" builtinId="8"/>
    <cellStyle name="Hipervínculo 10" xfId="18125" xr:uid="{E19D2439-9000-4ED8-8A51-B4158404812B}"/>
    <cellStyle name="Hipervínculo 2" xfId="88" xr:uid="{00000000-0005-0000-0000-0000E1070000}"/>
    <cellStyle name="Hipervínculo 2 2" xfId="4122" xr:uid="{00000000-0005-0000-0000-0000E2070000}"/>
    <cellStyle name="Hipervínculo 2 2 2" xfId="14169" xr:uid="{E84BCC86-D45D-4AEA-9C56-F199E9B44771}"/>
    <cellStyle name="Hipervínculo 2 2_1.2.b" xfId="16105" xr:uid="{B74B6CA1-3EB6-494A-97AF-BDCF113F581D}"/>
    <cellStyle name="Hipervínculo 2 3" xfId="1004" xr:uid="{00000000-0005-0000-0000-0000E3070000}"/>
    <cellStyle name="Hipervínculo 2 3 2" xfId="14170" xr:uid="{449420CD-C20C-4F52-99B8-96D69159EE5A}"/>
    <cellStyle name="Hipervínculo 2 3_1.2.b" xfId="16106" xr:uid="{032CDB33-9774-49FE-A1BE-67D255FBF11B}"/>
    <cellStyle name="Hipervínculo 2 4" xfId="9895" xr:uid="{00000000-0005-0000-0000-0000E4070000}"/>
    <cellStyle name="Hipervínculo 2 5" xfId="12395" xr:uid="{00000000-0005-0000-0000-0000E5070000}"/>
    <cellStyle name="Hipervínculo 2 6" xfId="14168" xr:uid="{1621F6D7-2006-454B-8FFA-8A6190DD33A6}"/>
    <cellStyle name="Hipervínculo 2_1.2.b" xfId="16104" xr:uid="{3693B515-E5B6-4E35-8A1B-1F97FF23DA99}"/>
    <cellStyle name="Hipervínculo 3" xfId="9863" xr:uid="{00000000-0005-0000-0000-0000E6070000}"/>
    <cellStyle name="Hipervínculo 4" xfId="10593" xr:uid="{00000000-0005-0000-0000-0000E7070000}"/>
    <cellStyle name="Hipervínculo 5" xfId="10613" xr:uid="{00000000-0005-0000-0000-0000E8070000}"/>
    <cellStyle name="Hipervínculo 6" xfId="12388" xr:uid="{00000000-0005-0000-0000-0000E9070000}"/>
    <cellStyle name="Hipervínculo 7" xfId="12392" xr:uid="{00000000-0005-0000-0000-0000EA070000}"/>
    <cellStyle name="Hipervínculo 8" xfId="12394" xr:uid="{00000000-0005-0000-0000-0000EB070000}"/>
    <cellStyle name="Hipervínculo 9" xfId="16507" xr:uid="{8BA7B68F-462D-4F73-9307-597EBA028ED2}"/>
    <cellStyle name="Hyperlink 2" xfId="9896" xr:uid="{00000000-0005-0000-0000-0000EC070000}"/>
    <cellStyle name="Incorrecto 2" xfId="9897" xr:uid="{00000000-0005-0000-0000-0000EE070000}"/>
    <cellStyle name="Incorrecto 2 2" xfId="14171" xr:uid="{F00D02CD-D371-4229-BAF2-C9380EF9888A}"/>
    <cellStyle name="Incorrecto 2 2 2" xfId="14172" xr:uid="{95BE145D-EA86-4A22-BB78-06DE9BBAD795}"/>
    <cellStyle name="Incorrecto 2 2 3" xfId="14173" xr:uid="{319BB09E-54C6-40FF-8E9A-CE8200F37FA9}"/>
    <cellStyle name="Incorrecto 2 2 4" xfId="14174" xr:uid="{519D3BC3-2AF3-4CE9-B271-A143248262AA}"/>
    <cellStyle name="Incorrecto 2 3" xfId="14175" xr:uid="{FD696803-4DEE-443F-8F26-15A6FF707A6D}"/>
    <cellStyle name="Incorrecto 2 4" xfId="14176" xr:uid="{3A434E81-2C51-44AD-996F-25C2C8479541}"/>
    <cellStyle name="Incorrecto 2 5" xfId="14177" xr:uid="{4F83D769-8601-4A34-A0AA-4E2824A48394}"/>
    <cellStyle name="Incorrecto 2 6" xfId="14178" xr:uid="{57372A8F-B7B6-4B09-A767-E3F0253BBB48}"/>
    <cellStyle name="Incorrecto 2 7" xfId="14179" xr:uid="{1A94B9D5-F995-4FCF-A999-F0D709027717}"/>
    <cellStyle name="Incorrecto 2 8" xfId="14180" xr:uid="{EC4B01A5-8D7D-4485-85B7-9A54254976A4}"/>
    <cellStyle name="Incorrecto 3" xfId="14181" xr:uid="{43DBEE68-178E-49AE-BC2B-3F7A67A7518D}"/>
    <cellStyle name="Incorrecto 3 2" xfId="14182" xr:uid="{11D3C3AF-6C29-4D06-B324-A968C5E52A66}"/>
    <cellStyle name="Incorrecto 3 3" xfId="14183" xr:uid="{EEA98EE9-414D-4D1A-88CC-C3571460A17E}"/>
    <cellStyle name="Incorrecto 3_1.2.b" xfId="16107" xr:uid="{0F3C250D-88AB-49AD-95D9-B58A4BB2DF5B}"/>
    <cellStyle name="Incorrecto 4" xfId="14184" xr:uid="{FCE55D07-3A09-4F39-931E-3DF5ACEFD9EA}"/>
    <cellStyle name="Incorrecto 5" xfId="14185" xr:uid="{CB55949D-63C8-4825-BE11-107D5DBC1110}"/>
    <cellStyle name="Incorrecto 6" xfId="14186" xr:uid="{9FC08B4C-0726-4D8A-892F-24A03CDEC3FA}"/>
    <cellStyle name="Millares 10" xfId="1005" xr:uid="{00000000-0005-0000-0000-0000F0070000}"/>
    <cellStyle name="Millares 10 2" xfId="4169" xr:uid="{00000000-0005-0000-0000-0000F1070000}"/>
    <cellStyle name="Millares 10 2 2" xfId="10982" xr:uid="{00000000-0005-0000-0000-0000F2070000}"/>
    <cellStyle name="Millares 10 3" xfId="10736" xr:uid="{00000000-0005-0000-0000-0000F3070000}"/>
    <cellStyle name="Millares 11" xfId="1006" xr:uid="{00000000-0005-0000-0000-0000F4070000}"/>
    <cellStyle name="Millares 11 2" xfId="4287" xr:uid="{00000000-0005-0000-0000-0000F5070000}"/>
    <cellStyle name="Millares 11 2 2" xfId="11096" xr:uid="{00000000-0005-0000-0000-0000F6070000}"/>
    <cellStyle name="Millares 12" xfId="1007" xr:uid="{00000000-0005-0000-0000-0000F7070000}"/>
    <cellStyle name="Millares 12 2" xfId="4286" xr:uid="{00000000-0005-0000-0000-0000F8070000}"/>
    <cellStyle name="Millares 12 2 2" xfId="11095" xr:uid="{00000000-0005-0000-0000-0000F9070000}"/>
    <cellStyle name="Millares 13" xfId="1008" xr:uid="{00000000-0005-0000-0000-0000FA070000}"/>
    <cellStyle name="Millares 13 2" xfId="4288" xr:uid="{00000000-0005-0000-0000-0000FB070000}"/>
    <cellStyle name="Millares 13 2 2" xfId="11097" xr:uid="{00000000-0005-0000-0000-0000FC070000}"/>
    <cellStyle name="Millares 14" xfId="1009" xr:uid="{00000000-0005-0000-0000-0000FD070000}"/>
    <cellStyle name="Millares 14 2" xfId="4304" xr:uid="{00000000-0005-0000-0000-0000FE070000}"/>
    <cellStyle name="Millares 14 2 2" xfId="11113" xr:uid="{00000000-0005-0000-0000-0000FF070000}"/>
    <cellStyle name="Millares 15" xfId="1010" xr:uid="{00000000-0005-0000-0000-000000080000}"/>
    <cellStyle name="Millares 15 2" xfId="4302" xr:uid="{00000000-0005-0000-0000-000001080000}"/>
    <cellStyle name="Millares 15 2 2" xfId="11111" xr:uid="{00000000-0005-0000-0000-000002080000}"/>
    <cellStyle name="Millares 15 3" xfId="9935" xr:uid="{00000000-0005-0000-0000-000003080000}"/>
    <cellStyle name="Millares 15 3 2" xfId="11671" xr:uid="{00000000-0005-0000-0000-000004080000}"/>
    <cellStyle name="Millares 15 4" xfId="10737" xr:uid="{00000000-0005-0000-0000-000005080000}"/>
    <cellStyle name="Millares 16" xfId="1011" xr:uid="{00000000-0005-0000-0000-000006080000}"/>
    <cellStyle name="Millares 16 2" xfId="4300" xr:uid="{00000000-0005-0000-0000-000007080000}"/>
    <cellStyle name="Millares 16 2 2" xfId="11109" xr:uid="{00000000-0005-0000-0000-000008080000}"/>
    <cellStyle name="Millares 16 3" xfId="9936" xr:uid="{00000000-0005-0000-0000-000009080000}"/>
    <cellStyle name="Millares 16 3 2" xfId="11672" xr:uid="{00000000-0005-0000-0000-00000A080000}"/>
    <cellStyle name="Millares 16 4" xfId="10738" xr:uid="{00000000-0005-0000-0000-00000B080000}"/>
    <cellStyle name="Millares 17" xfId="1012" xr:uid="{00000000-0005-0000-0000-00000C080000}"/>
    <cellStyle name="Millares 17 2" xfId="4305" xr:uid="{00000000-0005-0000-0000-00000D080000}"/>
    <cellStyle name="Millares 17 2 2" xfId="11114" xr:uid="{00000000-0005-0000-0000-00000E080000}"/>
    <cellStyle name="Millares 17 3" xfId="9937" xr:uid="{00000000-0005-0000-0000-00000F080000}"/>
    <cellStyle name="Millares 17 3 2" xfId="11673" xr:uid="{00000000-0005-0000-0000-000010080000}"/>
    <cellStyle name="Millares 17 4" xfId="10739" xr:uid="{00000000-0005-0000-0000-000011080000}"/>
    <cellStyle name="Millares 18" xfId="4306" xr:uid="{00000000-0005-0000-0000-000012080000}"/>
    <cellStyle name="Millares 18 2" xfId="11115" xr:uid="{00000000-0005-0000-0000-000013080000}"/>
    <cellStyle name="Millares 19" xfId="4309" xr:uid="{00000000-0005-0000-0000-000014080000}"/>
    <cellStyle name="Millares 19 2" xfId="11117" xr:uid="{00000000-0005-0000-0000-000015080000}"/>
    <cellStyle name="Millares 2" xfId="26" xr:uid="{00000000-0005-0000-0000-000016080000}"/>
    <cellStyle name="Millares 2 10" xfId="1014" xr:uid="{00000000-0005-0000-0000-000017080000}"/>
    <cellStyle name="Millares 2 10 2" xfId="7584" xr:uid="{00000000-0005-0000-0000-000018080000}"/>
    <cellStyle name="Millares 2 10 2 2" xfId="11251" xr:uid="{00000000-0005-0000-0000-000019080000}"/>
    <cellStyle name="Millares 2 10 3" xfId="10741" xr:uid="{00000000-0005-0000-0000-00001A080000}"/>
    <cellStyle name="Millares 2 100" xfId="18285" xr:uid="{9A9BEC50-79FB-4D65-B125-246C05AD1368}"/>
    <cellStyle name="Millares 2 11" xfId="1015" xr:uid="{00000000-0005-0000-0000-00001B080000}"/>
    <cellStyle name="Millares 2 11 2" xfId="7585" xr:uid="{00000000-0005-0000-0000-00001C080000}"/>
    <cellStyle name="Millares 2 11 2 2" xfId="11252" xr:uid="{00000000-0005-0000-0000-00001D080000}"/>
    <cellStyle name="Millares 2 11 3" xfId="10742" xr:uid="{00000000-0005-0000-0000-00001E080000}"/>
    <cellStyle name="Millares 2 12" xfId="1016" xr:uid="{00000000-0005-0000-0000-00001F080000}"/>
    <cellStyle name="Millares 2 12 2" xfId="7586" xr:uid="{00000000-0005-0000-0000-000020080000}"/>
    <cellStyle name="Millares 2 12 2 2" xfId="11253" xr:uid="{00000000-0005-0000-0000-000021080000}"/>
    <cellStyle name="Millares 2 12 3" xfId="10743" xr:uid="{00000000-0005-0000-0000-000022080000}"/>
    <cellStyle name="Millares 2 13" xfId="1017" xr:uid="{00000000-0005-0000-0000-000023080000}"/>
    <cellStyle name="Millares 2 13 2" xfId="7587" xr:uid="{00000000-0005-0000-0000-000024080000}"/>
    <cellStyle name="Millares 2 13 2 2" xfId="11254" xr:uid="{00000000-0005-0000-0000-000025080000}"/>
    <cellStyle name="Millares 2 13 3" xfId="10744" xr:uid="{00000000-0005-0000-0000-000026080000}"/>
    <cellStyle name="Millares 2 14" xfId="1018" xr:uid="{00000000-0005-0000-0000-000027080000}"/>
    <cellStyle name="Millares 2 14 2" xfId="7588" xr:uid="{00000000-0005-0000-0000-000028080000}"/>
    <cellStyle name="Millares 2 14 2 2" xfId="11255" xr:uid="{00000000-0005-0000-0000-000029080000}"/>
    <cellStyle name="Millares 2 14 3" xfId="10745" xr:uid="{00000000-0005-0000-0000-00002A080000}"/>
    <cellStyle name="Millares 2 15" xfId="1019" xr:uid="{00000000-0005-0000-0000-00002B080000}"/>
    <cellStyle name="Millares 2 15 2" xfId="7589" xr:uid="{00000000-0005-0000-0000-00002C080000}"/>
    <cellStyle name="Millares 2 15 2 2" xfId="11256" xr:uid="{00000000-0005-0000-0000-00002D080000}"/>
    <cellStyle name="Millares 2 15 3" xfId="10746" xr:uid="{00000000-0005-0000-0000-00002E080000}"/>
    <cellStyle name="Millares 2 16" xfId="1020" xr:uid="{00000000-0005-0000-0000-00002F080000}"/>
    <cellStyle name="Millares 2 16 2" xfId="7590" xr:uid="{00000000-0005-0000-0000-000030080000}"/>
    <cellStyle name="Millares 2 16 2 2" xfId="11257" xr:uid="{00000000-0005-0000-0000-000031080000}"/>
    <cellStyle name="Millares 2 16 3" xfId="10747" xr:uid="{00000000-0005-0000-0000-000032080000}"/>
    <cellStyle name="Millares 2 17" xfId="1021" xr:uid="{00000000-0005-0000-0000-000033080000}"/>
    <cellStyle name="Millares 2 17 2" xfId="7591" xr:uid="{00000000-0005-0000-0000-000034080000}"/>
    <cellStyle name="Millares 2 17 2 2" xfId="11258" xr:uid="{00000000-0005-0000-0000-000035080000}"/>
    <cellStyle name="Millares 2 17 3" xfId="10748" xr:uid="{00000000-0005-0000-0000-000036080000}"/>
    <cellStyle name="Millares 2 18" xfId="1022" xr:uid="{00000000-0005-0000-0000-000037080000}"/>
    <cellStyle name="Millares 2 18 2" xfId="7592" xr:uid="{00000000-0005-0000-0000-000038080000}"/>
    <cellStyle name="Millares 2 18 2 2" xfId="11259" xr:uid="{00000000-0005-0000-0000-000039080000}"/>
    <cellStyle name="Millares 2 18 3" xfId="10749" xr:uid="{00000000-0005-0000-0000-00003A080000}"/>
    <cellStyle name="Millares 2 19" xfId="1023" xr:uid="{00000000-0005-0000-0000-00003B080000}"/>
    <cellStyle name="Millares 2 19 2" xfId="7593" xr:uid="{00000000-0005-0000-0000-00003C080000}"/>
    <cellStyle name="Millares 2 19 2 2" xfId="11260" xr:uid="{00000000-0005-0000-0000-00003D080000}"/>
    <cellStyle name="Millares 2 19 3" xfId="10750" xr:uid="{00000000-0005-0000-0000-00003E080000}"/>
    <cellStyle name="Millares 2 2" xfId="89" xr:uid="{00000000-0005-0000-0000-00003F080000}"/>
    <cellStyle name="Millares 2 2 10" xfId="1025" xr:uid="{00000000-0005-0000-0000-000040080000}"/>
    <cellStyle name="Millares 2 2 10 2" xfId="5120" xr:uid="{00000000-0005-0000-0000-000041080000}"/>
    <cellStyle name="Millares 2 2 10 2 2" xfId="11164" xr:uid="{00000000-0005-0000-0000-000042080000}"/>
    <cellStyle name="Millares 2 2 10 3" xfId="7594" xr:uid="{00000000-0005-0000-0000-000043080000}"/>
    <cellStyle name="Millares 2 2 10 3 2" xfId="11261" xr:uid="{00000000-0005-0000-0000-000044080000}"/>
    <cellStyle name="Millares 2 2 10 4" xfId="10752" xr:uid="{00000000-0005-0000-0000-000045080000}"/>
    <cellStyle name="Millares 2 2 11" xfId="1026" xr:uid="{00000000-0005-0000-0000-000046080000}"/>
    <cellStyle name="Millares 2 2 11 2" xfId="5121" xr:uid="{00000000-0005-0000-0000-000047080000}"/>
    <cellStyle name="Millares 2 2 11 2 2" xfId="11165" xr:uid="{00000000-0005-0000-0000-000048080000}"/>
    <cellStyle name="Millares 2 2 11 3" xfId="7595" xr:uid="{00000000-0005-0000-0000-000049080000}"/>
    <cellStyle name="Millares 2 2 11 3 2" xfId="11262" xr:uid="{00000000-0005-0000-0000-00004A080000}"/>
    <cellStyle name="Millares 2 2 11 4" xfId="10753" xr:uid="{00000000-0005-0000-0000-00004B080000}"/>
    <cellStyle name="Millares 2 2 12" xfId="1027" xr:uid="{00000000-0005-0000-0000-00004C080000}"/>
    <cellStyle name="Millares 2 2 12 2" xfId="5122" xr:uid="{00000000-0005-0000-0000-00004D080000}"/>
    <cellStyle name="Millares 2 2 12 2 2" xfId="11166" xr:uid="{00000000-0005-0000-0000-00004E080000}"/>
    <cellStyle name="Millares 2 2 12 3" xfId="7596" xr:uid="{00000000-0005-0000-0000-00004F080000}"/>
    <cellStyle name="Millares 2 2 12 3 2" xfId="11263" xr:uid="{00000000-0005-0000-0000-000050080000}"/>
    <cellStyle name="Millares 2 2 12 4" xfId="10754" xr:uid="{00000000-0005-0000-0000-000051080000}"/>
    <cellStyle name="Millares 2 2 13" xfId="1028" xr:uid="{00000000-0005-0000-0000-000052080000}"/>
    <cellStyle name="Millares 2 2 13 2" xfId="5123" xr:uid="{00000000-0005-0000-0000-000053080000}"/>
    <cellStyle name="Millares 2 2 13 2 2" xfId="11167" xr:uid="{00000000-0005-0000-0000-000054080000}"/>
    <cellStyle name="Millares 2 2 13 3" xfId="7597" xr:uid="{00000000-0005-0000-0000-000055080000}"/>
    <cellStyle name="Millares 2 2 13 3 2" xfId="11264" xr:uid="{00000000-0005-0000-0000-000056080000}"/>
    <cellStyle name="Millares 2 2 13 4" xfId="10755" xr:uid="{00000000-0005-0000-0000-000057080000}"/>
    <cellStyle name="Millares 2 2 14" xfId="1029" xr:uid="{00000000-0005-0000-0000-000058080000}"/>
    <cellStyle name="Millares 2 2 14 2" xfId="5124" xr:uid="{00000000-0005-0000-0000-000059080000}"/>
    <cellStyle name="Millares 2 2 14 2 2" xfId="11168" xr:uid="{00000000-0005-0000-0000-00005A080000}"/>
    <cellStyle name="Millares 2 2 14 3" xfId="7598" xr:uid="{00000000-0005-0000-0000-00005B080000}"/>
    <cellStyle name="Millares 2 2 14 3 2" xfId="11265" xr:uid="{00000000-0005-0000-0000-00005C080000}"/>
    <cellStyle name="Millares 2 2 14 4" xfId="10756" xr:uid="{00000000-0005-0000-0000-00005D080000}"/>
    <cellStyle name="Millares 2 2 15" xfId="1030" xr:uid="{00000000-0005-0000-0000-00005E080000}"/>
    <cellStyle name="Millares 2 2 15 2" xfId="5125" xr:uid="{00000000-0005-0000-0000-00005F080000}"/>
    <cellStyle name="Millares 2 2 15 2 2" xfId="11169" xr:uid="{00000000-0005-0000-0000-000060080000}"/>
    <cellStyle name="Millares 2 2 15 3" xfId="7599" xr:uid="{00000000-0005-0000-0000-000061080000}"/>
    <cellStyle name="Millares 2 2 15 3 2" xfId="11266" xr:uid="{00000000-0005-0000-0000-000062080000}"/>
    <cellStyle name="Millares 2 2 15 4" xfId="10757" xr:uid="{00000000-0005-0000-0000-000063080000}"/>
    <cellStyle name="Millares 2 2 16" xfId="1031" xr:uid="{00000000-0005-0000-0000-000064080000}"/>
    <cellStyle name="Millares 2 2 16 2" xfId="5126" xr:uid="{00000000-0005-0000-0000-000065080000}"/>
    <cellStyle name="Millares 2 2 16 2 2" xfId="11170" xr:uid="{00000000-0005-0000-0000-000066080000}"/>
    <cellStyle name="Millares 2 2 16 3" xfId="7600" xr:uid="{00000000-0005-0000-0000-000067080000}"/>
    <cellStyle name="Millares 2 2 16 3 2" xfId="11267" xr:uid="{00000000-0005-0000-0000-000068080000}"/>
    <cellStyle name="Millares 2 2 16 4" xfId="10758" xr:uid="{00000000-0005-0000-0000-000069080000}"/>
    <cellStyle name="Millares 2 2 17" xfId="1032" xr:uid="{00000000-0005-0000-0000-00006A080000}"/>
    <cellStyle name="Millares 2 2 17 2" xfId="5127" xr:uid="{00000000-0005-0000-0000-00006B080000}"/>
    <cellStyle name="Millares 2 2 17 2 2" xfId="11171" xr:uid="{00000000-0005-0000-0000-00006C080000}"/>
    <cellStyle name="Millares 2 2 17 3" xfId="7601" xr:uid="{00000000-0005-0000-0000-00006D080000}"/>
    <cellStyle name="Millares 2 2 17 3 2" xfId="11268" xr:uid="{00000000-0005-0000-0000-00006E080000}"/>
    <cellStyle name="Millares 2 2 17 4" xfId="10759" xr:uid="{00000000-0005-0000-0000-00006F080000}"/>
    <cellStyle name="Millares 2 2 18" xfId="1033" xr:uid="{00000000-0005-0000-0000-000070080000}"/>
    <cellStyle name="Millares 2 2 18 2" xfId="5128" xr:uid="{00000000-0005-0000-0000-000071080000}"/>
    <cellStyle name="Millares 2 2 18 2 2" xfId="11172" xr:uid="{00000000-0005-0000-0000-000072080000}"/>
    <cellStyle name="Millares 2 2 18 3" xfId="7602" xr:uid="{00000000-0005-0000-0000-000073080000}"/>
    <cellStyle name="Millares 2 2 18 3 2" xfId="11269" xr:uid="{00000000-0005-0000-0000-000074080000}"/>
    <cellStyle name="Millares 2 2 18 4" xfId="10760" xr:uid="{00000000-0005-0000-0000-000075080000}"/>
    <cellStyle name="Millares 2 2 19" xfId="1034" xr:uid="{00000000-0005-0000-0000-000076080000}"/>
    <cellStyle name="Millares 2 2 19 2" xfId="5129" xr:uid="{00000000-0005-0000-0000-000077080000}"/>
    <cellStyle name="Millares 2 2 19 2 2" xfId="11173" xr:uid="{00000000-0005-0000-0000-000078080000}"/>
    <cellStyle name="Millares 2 2 19 3" xfId="7603" xr:uid="{00000000-0005-0000-0000-000079080000}"/>
    <cellStyle name="Millares 2 2 19 3 2" xfId="11270" xr:uid="{00000000-0005-0000-0000-00007A080000}"/>
    <cellStyle name="Millares 2 2 19 4" xfId="10761" xr:uid="{00000000-0005-0000-0000-00007B080000}"/>
    <cellStyle name="Millares 2 2 2" xfId="1035" xr:uid="{00000000-0005-0000-0000-00007C080000}"/>
    <cellStyle name="Millares 2 2 2 2" xfId="4133" xr:uid="{00000000-0005-0000-0000-00007D080000}"/>
    <cellStyle name="Millares 2 2 2 2 2" xfId="4261" xr:uid="{00000000-0005-0000-0000-00007E080000}"/>
    <cellStyle name="Millares 2 2 2 2 2 2" xfId="9696" xr:uid="{00000000-0005-0000-0000-00007F080000}"/>
    <cellStyle name="Millares 2 2 2 2 2 2 2" xfId="10397" xr:uid="{00000000-0005-0000-0000-000080080000}"/>
    <cellStyle name="Millares 2 2 2 2 2 2 2 2" xfId="12132" xr:uid="{00000000-0005-0000-0000-000081080000}"/>
    <cellStyle name="Millares 2 2 2 2 2 2 3" xfId="11485" xr:uid="{00000000-0005-0000-0000-000082080000}"/>
    <cellStyle name="Millares 2 2 2 2 2 3" xfId="10100" xr:uid="{00000000-0005-0000-0000-000083080000}"/>
    <cellStyle name="Millares 2 2 2 2 2 3 2" xfId="11836" xr:uid="{00000000-0005-0000-0000-000084080000}"/>
    <cellStyle name="Millares 2 2 2 2 2 4" xfId="11072" xr:uid="{00000000-0005-0000-0000-000085080000}"/>
    <cellStyle name="Millares 2 2 2 2 2 5" xfId="14768" xr:uid="{AC76128E-BCB4-4224-8937-027D4C0A3359}"/>
    <cellStyle name="Millares 2 2 2 2 2 6" xfId="18146" xr:uid="{D56D2B89-6892-4E31-86CF-8FAE84A3F456}"/>
    <cellStyle name="Millares 2 2 2 2 2_1.2.b" xfId="16111" xr:uid="{90813908-93D6-4450-8DE0-681E7EDDBC13}"/>
    <cellStyle name="Millares 2 2 2 2 3" xfId="9593" xr:uid="{00000000-0005-0000-0000-000086080000}"/>
    <cellStyle name="Millares 2 2 2 2 3 2" xfId="10295" xr:uid="{00000000-0005-0000-0000-000087080000}"/>
    <cellStyle name="Millares 2 2 2 2 3 2 2" xfId="12030" xr:uid="{00000000-0005-0000-0000-000088080000}"/>
    <cellStyle name="Millares 2 2 2 2 3 3" xfId="11383" xr:uid="{00000000-0005-0000-0000-000089080000}"/>
    <cellStyle name="Millares 2 2 2 2 4" xfId="9998" xr:uid="{00000000-0005-0000-0000-00008A080000}"/>
    <cellStyle name="Millares 2 2 2 2 4 2" xfId="11734" xr:uid="{00000000-0005-0000-0000-00008B080000}"/>
    <cellStyle name="Millares 2 2 2 2 5" xfId="10960" xr:uid="{00000000-0005-0000-0000-00008C080000}"/>
    <cellStyle name="Millares 2 2 2 2 6" xfId="14717" xr:uid="{B25119F8-FF7E-494C-A56B-000A0CB75ADA}"/>
    <cellStyle name="Millares 2 2 2 2 7" xfId="18132" xr:uid="{F16437BF-6C57-4C6A-A313-A2C95527CFE5}"/>
    <cellStyle name="Millares 2 2 2 2_1.2.b" xfId="16110" xr:uid="{FEAC433E-B114-4690-9164-65B57C3D422B}"/>
    <cellStyle name="Millares 2 2 2 3" xfId="4210" xr:uid="{00000000-0005-0000-0000-00008D080000}"/>
    <cellStyle name="Millares 2 2 2 3 2" xfId="9645" xr:uid="{00000000-0005-0000-0000-00008E080000}"/>
    <cellStyle name="Millares 2 2 2 3 2 2" xfId="10346" xr:uid="{00000000-0005-0000-0000-00008F080000}"/>
    <cellStyle name="Millares 2 2 2 3 2 2 2" xfId="12081" xr:uid="{00000000-0005-0000-0000-000090080000}"/>
    <cellStyle name="Millares 2 2 2 3 2 3" xfId="11434" xr:uid="{00000000-0005-0000-0000-000091080000}"/>
    <cellStyle name="Millares 2 2 2 3 3" xfId="10049" xr:uid="{00000000-0005-0000-0000-000092080000}"/>
    <cellStyle name="Millares 2 2 2 3 3 2" xfId="11785" xr:uid="{00000000-0005-0000-0000-000093080000}"/>
    <cellStyle name="Millares 2 2 2 3 4" xfId="11021" xr:uid="{00000000-0005-0000-0000-000094080000}"/>
    <cellStyle name="Millares 2 2 2 4" xfId="4314" xr:uid="{00000000-0005-0000-0000-000095080000}"/>
    <cellStyle name="Millares 2 2 2 4 2" xfId="9730" xr:uid="{00000000-0005-0000-0000-000096080000}"/>
    <cellStyle name="Millares 2 2 2 4 2 2" xfId="10429" xr:uid="{00000000-0005-0000-0000-000097080000}"/>
    <cellStyle name="Millares 2 2 2 4 2 2 2" xfId="12164" xr:uid="{00000000-0005-0000-0000-000098080000}"/>
    <cellStyle name="Millares 2 2 2 4 2 3" xfId="11517" xr:uid="{00000000-0005-0000-0000-000099080000}"/>
    <cellStyle name="Millares 2 2 2 4 3" xfId="10132" xr:uid="{00000000-0005-0000-0000-00009A080000}"/>
    <cellStyle name="Millares 2 2 2 4 3 2" xfId="11868" xr:uid="{00000000-0005-0000-0000-00009B080000}"/>
    <cellStyle name="Millares 2 2 2 4 4" xfId="11121" xr:uid="{00000000-0005-0000-0000-00009C080000}"/>
    <cellStyle name="Millares 2 2 2 5" xfId="7604" xr:uid="{00000000-0005-0000-0000-00009D080000}"/>
    <cellStyle name="Millares 2 2 2 5 2" xfId="11271" xr:uid="{00000000-0005-0000-0000-00009E080000}"/>
    <cellStyle name="Millares 2 2 2 6" xfId="10762" xr:uid="{00000000-0005-0000-0000-00009F080000}"/>
    <cellStyle name="Millares 2 2 2 7" xfId="14190" xr:uid="{7BCB8A6D-CCA0-4275-9558-108ED0E002A7}"/>
    <cellStyle name="Millares 2 2 2 8" xfId="17816" xr:uid="{BE9A91FD-542E-4962-975F-BA11CFC32471}"/>
    <cellStyle name="Millares 2 2 2_1.2.b" xfId="16109" xr:uid="{EBF2E9A8-17EA-4BBE-96CA-E8269644885B}"/>
    <cellStyle name="Millares 2 2 20" xfId="1036" xr:uid="{00000000-0005-0000-0000-0000A0080000}"/>
    <cellStyle name="Millares 2 2 20 2" xfId="5130" xr:uid="{00000000-0005-0000-0000-0000A1080000}"/>
    <cellStyle name="Millares 2 2 20 2 2" xfId="11174" xr:uid="{00000000-0005-0000-0000-0000A2080000}"/>
    <cellStyle name="Millares 2 2 20 3" xfId="7605" xr:uid="{00000000-0005-0000-0000-0000A3080000}"/>
    <cellStyle name="Millares 2 2 20 3 2" xfId="11272" xr:uid="{00000000-0005-0000-0000-0000A4080000}"/>
    <cellStyle name="Millares 2 2 20 4" xfId="10763" xr:uid="{00000000-0005-0000-0000-0000A5080000}"/>
    <cellStyle name="Millares 2 2 21" xfId="1037" xr:uid="{00000000-0005-0000-0000-0000A6080000}"/>
    <cellStyle name="Millares 2 2 21 2" xfId="5131" xr:uid="{00000000-0005-0000-0000-0000A7080000}"/>
    <cellStyle name="Millares 2 2 21 2 2" xfId="11175" xr:uid="{00000000-0005-0000-0000-0000A8080000}"/>
    <cellStyle name="Millares 2 2 21 3" xfId="7606" xr:uid="{00000000-0005-0000-0000-0000A9080000}"/>
    <cellStyle name="Millares 2 2 21 3 2" xfId="11273" xr:uid="{00000000-0005-0000-0000-0000AA080000}"/>
    <cellStyle name="Millares 2 2 21 4" xfId="10764" xr:uid="{00000000-0005-0000-0000-0000AB080000}"/>
    <cellStyle name="Millares 2 2 22" xfId="1038" xr:uid="{00000000-0005-0000-0000-0000AC080000}"/>
    <cellStyle name="Millares 2 2 22 2" xfId="5132" xr:uid="{00000000-0005-0000-0000-0000AD080000}"/>
    <cellStyle name="Millares 2 2 22 2 2" xfId="11176" xr:uid="{00000000-0005-0000-0000-0000AE080000}"/>
    <cellStyle name="Millares 2 2 22 3" xfId="7607" xr:uid="{00000000-0005-0000-0000-0000AF080000}"/>
    <cellStyle name="Millares 2 2 22 3 2" xfId="11274" xr:uid="{00000000-0005-0000-0000-0000B0080000}"/>
    <cellStyle name="Millares 2 2 22 4" xfId="10765" xr:uid="{00000000-0005-0000-0000-0000B1080000}"/>
    <cellStyle name="Millares 2 2 23" xfId="1039" xr:uid="{00000000-0005-0000-0000-0000B2080000}"/>
    <cellStyle name="Millares 2 2 23 2" xfId="5133" xr:uid="{00000000-0005-0000-0000-0000B3080000}"/>
    <cellStyle name="Millares 2 2 23 2 2" xfId="11177" xr:uid="{00000000-0005-0000-0000-0000B4080000}"/>
    <cellStyle name="Millares 2 2 23 3" xfId="7608" xr:uid="{00000000-0005-0000-0000-0000B5080000}"/>
    <cellStyle name="Millares 2 2 23 3 2" xfId="11275" xr:uid="{00000000-0005-0000-0000-0000B6080000}"/>
    <cellStyle name="Millares 2 2 23 4" xfId="10766" xr:uid="{00000000-0005-0000-0000-0000B7080000}"/>
    <cellStyle name="Millares 2 2 24" xfId="1040" xr:uid="{00000000-0005-0000-0000-0000B8080000}"/>
    <cellStyle name="Millares 2 2 24 2" xfId="5134" xr:uid="{00000000-0005-0000-0000-0000B9080000}"/>
    <cellStyle name="Millares 2 2 24 2 2" xfId="11178" xr:uid="{00000000-0005-0000-0000-0000BA080000}"/>
    <cellStyle name="Millares 2 2 24 3" xfId="7609" xr:uid="{00000000-0005-0000-0000-0000BB080000}"/>
    <cellStyle name="Millares 2 2 24 3 2" xfId="11276" xr:uid="{00000000-0005-0000-0000-0000BC080000}"/>
    <cellStyle name="Millares 2 2 24 4" xfId="10767" xr:uid="{00000000-0005-0000-0000-0000BD080000}"/>
    <cellStyle name="Millares 2 2 25" xfId="1041" xr:uid="{00000000-0005-0000-0000-0000BE080000}"/>
    <cellStyle name="Millares 2 2 25 2" xfId="5135" xr:uid="{00000000-0005-0000-0000-0000BF080000}"/>
    <cellStyle name="Millares 2 2 25 2 2" xfId="11179" xr:uid="{00000000-0005-0000-0000-0000C0080000}"/>
    <cellStyle name="Millares 2 2 25 3" xfId="7610" xr:uid="{00000000-0005-0000-0000-0000C1080000}"/>
    <cellStyle name="Millares 2 2 25 3 2" xfId="11277" xr:uid="{00000000-0005-0000-0000-0000C2080000}"/>
    <cellStyle name="Millares 2 2 25 4" xfId="10768" xr:uid="{00000000-0005-0000-0000-0000C3080000}"/>
    <cellStyle name="Millares 2 2 26" xfId="1042" xr:uid="{00000000-0005-0000-0000-0000C4080000}"/>
    <cellStyle name="Millares 2 2 26 2" xfId="5136" xr:uid="{00000000-0005-0000-0000-0000C5080000}"/>
    <cellStyle name="Millares 2 2 26 2 2" xfId="11180" xr:uid="{00000000-0005-0000-0000-0000C6080000}"/>
    <cellStyle name="Millares 2 2 26 3" xfId="7611" xr:uid="{00000000-0005-0000-0000-0000C7080000}"/>
    <cellStyle name="Millares 2 2 26 3 2" xfId="11278" xr:uid="{00000000-0005-0000-0000-0000C8080000}"/>
    <cellStyle name="Millares 2 2 26 4" xfId="10769" xr:uid="{00000000-0005-0000-0000-0000C9080000}"/>
    <cellStyle name="Millares 2 2 27" xfId="1043" xr:uid="{00000000-0005-0000-0000-0000CA080000}"/>
    <cellStyle name="Millares 2 2 27 2" xfId="5137" xr:uid="{00000000-0005-0000-0000-0000CB080000}"/>
    <cellStyle name="Millares 2 2 27 2 2" xfId="11181" xr:uid="{00000000-0005-0000-0000-0000CC080000}"/>
    <cellStyle name="Millares 2 2 27 3" xfId="7612" xr:uid="{00000000-0005-0000-0000-0000CD080000}"/>
    <cellStyle name="Millares 2 2 27 3 2" xfId="11279" xr:uid="{00000000-0005-0000-0000-0000CE080000}"/>
    <cellStyle name="Millares 2 2 27 4" xfId="10770" xr:uid="{00000000-0005-0000-0000-0000CF080000}"/>
    <cellStyle name="Millares 2 2 28" xfId="1044" xr:uid="{00000000-0005-0000-0000-0000D0080000}"/>
    <cellStyle name="Millares 2 2 28 2" xfId="5138" xr:uid="{00000000-0005-0000-0000-0000D1080000}"/>
    <cellStyle name="Millares 2 2 28 2 2" xfId="11182" xr:uid="{00000000-0005-0000-0000-0000D2080000}"/>
    <cellStyle name="Millares 2 2 28 3" xfId="7613" xr:uid="{00000000-0005-0000-0000-0000D3080000}"/>
    <cellStyle name="Millares 2 2 28 3 2" xfId="11280" xr:uid="{00000000-0005-0000-0000-0000D4080000}"/>
    <cellStyle name="Millares 2 2 28 4" xfId="10771" xr:uid="{00000000-0005-0000-0000-0000D5080000}"/>
    <cellStyle name="Millares 2 2 29" xfId="1045" xr:uid="{00000000-0005-0000-0000-0000D6080000}"/>
    <cellStyle name="Millares 2 2 29 2" xfId="5139" xr:uid="{00000000-0005-0000-0000-0000D7080000}"/>
    <cellStyle name="Millares 2 2 29 2 2" xfId="11183" xr:uid="{00000000-0005-0000-0000-0000D8080000}"/>
    <cellStyle name="Millares 2 2 29 3" xfId="7614" xr:uid="{00000000-0005-0000-0000-0000D9080000}"/>
    <cellStyle name="Millares 2 2 29 3 2" xfId="11281" xr:uid="{00000000-0005-0000-0000-0000DA080000}"/>
    <cellStyle name="Millares 2 2 29 4" xfId="10772" xr:uid="{00000000-0005-0000-0000-0000DB080000}"/>
    <cellStyle name="Millares 2 2 3" xfId="1046" xr:uid="{00000000-0005-0000-0000-0000DC080000}"/>
    <cellStyle name="Millares 2 2 3 2" xfId="4093" xr:uid="{00000000-0005-0000-0000-0000DD080000}"/>
    <cellStyle name="Millares 2 2 3 2 2" xfId="4243" xr:uid="{00000000-0005-0000-0000-0000DE080000}"/>
    <cellStyle name="Millares 2 2 3 2 2 2" xfId="9678" xr:uid="{00000000-0005-0000-0000-0000DF080000}"/>
    <cellStyle name="Millares 2 2 3 2 2 2 2" xfId="10379" xr:uid="{00000000-0005-0000-0000-0000E0080000}"/>
    <cellStyle name="Millares 2 2 3 2 2 2 2 2" xfId="12114" xr:uid="{00000000-0005-0000-0000-0000E1080000}"/>
    <cellStyle name="Millares 2 2 3 2 2 2 3" xfId="11467" xr:uid="{00000000-0005-0000-0000-0000E2080000}"/>
    <cellStyle name="Millares 2 2 3 2 2 3" xfId="10082" xr:uid="{00000000-0005-0000-0000-0000E3080000}"/>
    <cellStyle name="Millares 2 2 3 2 2 3 2" xfId="11818" xr:uid="{00000000-0005-0000-0000-0000E4080000}"/>
    <cellStyle name="Millares 2 2 3 2 2 4" xfId="11054" xr:uid="{00000000-0005-0000-0000-0000E5080000}"/>
    <cellStyle name="Millares 2 2 3 2 2 5" xfId="14769" xr:uid="{A9B8E8EA-D90C-4840-AAD2-8D080262CE84}"/>
    <cellStyle name="Millares 2 2 3 2 2 6" xfId="18147" xr:uid="{7488D399-8178-4D30-A5C5-DF54945F3B64}"/>
    <cellStyle name="Millares 2 2 3 2 2_1.2.b" xfId="16114" xr:uid="{A68A8DBF-3F98-438B-B1F3-B756B2CC5DB6}"/>
    <cellStyle name="Millares 2 2 3 2 3" xfId="9574" xr:uid="{00000000-0005-0000-0000-0000E6080000}"/>
    <cellStyle name="Millares 2 2 3 2 3 2" xfId="10277" xr:uid="{00000000-0005-0000-0000-0000E7080000}"/>
    <cellStyle name="Millares 2 2 3 2 3 2 2" xfId="12012" xr:uid="{00000000-0005-0000-0000-0000E8080000}"/>
    <cellStyle name="Millares 2 2 3 2 3 3" xfId="11365" xr:uid="{00000000-0005-0000-0000-0000E9080000}"/>
    <cellStyle name="Millares 2 2 3 2 4" xfId="9980" xr:uid="{00000000-0005-0000-0000-0000EA080000}"/>
    <cellStyle name="Millares 2 2 3 2 4 2" xfId="11716" xr:uid="{00000000-0005-0000-0000-0000EB080000}"/>
    <cellStyle name="Millares 2 2 3 2 5" xfId="10939" xr:uid="{00000000-0005-0000-0000-0000EC080000}"/>
    <cellStyle name="Millares 2 2 3 2 6" xfId="14718" xr:uid="{A4B1A9D4-0884-48BF-96FB-A2CED4522C3B}"/>
    <cellStyle name="Millares 2 2 3 2 7" xfId="18133" xr:uid="{48EA3E8F-F5D4-464B-8F7B-56724A6640B3}"/>
    <cellStyle name="Millares 2 2 3 2_1.2.b" xfId="16113" xr:uid="{13318212-C315-4B36-8F1C-9ABDACE779B7}"/>
    <cellStyle name="Millares 2 2 3 3" xfId="4192" xr:uid="{00000000-0005-0000-0000-0000ED080000}"/>
    <cellStyle name="Millares 2 2 3 3 2" xfId="9627" xr:uid="{00000000-0005-0000-0000-0000EE080000}"/>
    <cellStyle name="Millares 2 2 3 3 2 2" xfId="10328" xr:uid="{00000000-0005-0000-0000-0000EF080000}"/>
    <cellStyle name="Millares 2 2 3 3 2 2 2" xfId="12063" xr:uid="{00000000-0005-0000-0000-0000F0080000}"/>
    <cellStyle name="Millares 2 2 3 3 2 3" xfId="11416" xr:uid="{00000000-0005-0000-0000-0000F1080000}"/>
    <cellStyle name="Millares 2 2 3 3 3" xfId="10031" xr:uid="{00000000-0005-0000-0000-0000F2080000}"/>
    <cellStyle name="Millares 2 2 3 3 3 2" xfId="11767" xr:uid="{00000000-0005-0000-0000-0000F3080000}"/>
    <cellStyle name="Millares 2 2 3 3 4" xfId="11003" xr:uid="{00000000-0005-0000-0000-0000F4080000}"/>
    <cellStyle name="Millares 2 2 3 4" xfId="4331" xr:uid="{00000000-0005-0000-0000-0000F5080000}"/>
    <cellStyle name="Millares 2 2 3 4 2" xfId="9742" xr:uid="{00000000-0005-0000-0000-0000F6080000}"/>
    <cellStyle name="Millares 2 2 3 4 2 2" xfId="10440" xr:uid="{00000000-0005-0000-0000-0000F7080000}"/>
    <cellStyle name="Millares 2 2 3 4 2 2 2" xfId="12175" xr:uid="{00000000-0005-0000-0000-0000F8080000}"/>
    <cellStyle name="Millares 2 2 3 4 2 3" xfId="11528" xr:uid="{00000000-0005-0000-0000-0000F9080000}"/>
    <cellStyle name="Millares 2 2 3 4 3" xfId="10143" xr:uid="{00000000-0005-0000-0000-0000FA080000}"/>
    <cellStyle name="Millares 2 2 3 4 3 2" xfId="11879" xr:uid="{00000000-0005-0000-0000-0000FB080000}"/>
    <cellStyle name="Millares 2 2 3 4 4" xfId="11136" xr:uid="{00000000-0005-0000-0000-0000FC080000}"/>
    <cellStyle name="Millares 2 2 3 5" xfId="7615" xr:uid="{00000000-0005-0000-0000-0000FD080000}"/>
    <cellStyle name="Millares 2 2 3 5 2" xfId="11282" xr:uid="{00000000-0005-0000-0000-0000FE080000}"/>
    <cellStyle name="Millares 2 2 3 6" xfId="10773" xr:uid="{00000000-0005-0000-0000-0000FF080000}"/>
    <cellStyle name="Millares 2 2 3 7" xfId="14191" xr:uid="{E7E78196-8D4E-4B1D-9D16-A1790D48B6E2}"/>
    <cellStyle name="Millares 2 2 3 8" xfId="17817" xr:uid="{68918779-F8F0-4645-9C2E-030C8D006D4E}"/>
    <cellStyle name="Millares 2 2 3_1.2.b" xfId="16112" xr:uid="{41F5DFEF-FFC7-4D80-B9AE-B9512C6094BD}"/>
    <cellStyle name="Millares 2 2 30" xfId="1047" xr:uid="{00000000-0005-0000-0000-000000090000}"/>
    <cellStyle name="Millares 2 2 30 2" xfId="7616" xr:uid="{00000000-0005-0000-0000-000001090000}"/>
    <cellStyle name="Millares 2 2 30 2 2" xfId="11283" xr:uid="{00000000-0005-0000-0000-000002090000}"/>
    <cellStyle name="Millares 2 2 30 3" xfId="10774" xr:uid="{00000000-0005-0000-0000-000003090000}"/>
    <cellStyle name="Millares 2 2 31" xfId="1048" xr:uid="{00000000-0005-0000-0000-000004090000}"/>
    <cellStyle name="Millares 2 2 31 2" xfId="7617" xr:uid="{00000000-0005-0000-0000-000005090000}"/>
    <cellStyle name="Millares 2 2 31 2 2" xfId="11284" xr:uid="{00000000-0005-0000-0000-000006090000}"/>
    <cellStyle name="Millares 2 2 31 3" xfId="10775" xr:uid="{00000000-0005-0000-0000-000007090000}"/>
    <cellStyle name="Millares 2 2 32" xfId="1049" xr:uid="{00000000-0005-0000-0000-000008090000}"/>
    <cellStyle name="Millares 2 2 32 2" xfId="7618" xr:uid="{00000000-0005-0000-0000-000009090000}"/>
    <cellStyle name="Millares 2 2 32 2 2" xfId="11285" xr:uid="{00000000-0005-0000-0000-00000A090000}"/>
    <cellStyle name="Millares 2 2 32 3" xfId="10776" xr:uid="{00000000-0005-0000-0000-00000B090000}"/>
    <cellStyle name="Millares 2 2 33" xfId="1050" xr:uid="{00000000-0005-0000-0000-00000C090000}"/>
    <cellStyle name="Millares 2 2 33 2" xfId="7619" xr:uid="{00000000-0005-0000-0000-00000D090000}"/>
    <cellStyle name="Millares 2 2 33 2 2" xfId="11286" xr:uid="{00000000-0005-0000-0000-00000E090000}"/>
    <cellStyle name="Millares 2 2 33 3" xfId="10777" xr:uid="{00000000-0005-0000-0000-00000F090000}"/>
    <cellStyle name="Millares 2 2 34" xfId="1051" xr:uid="{00000000-0005-0000-0000-000010090000}"/>
    <cellStyle name="Millares 2 2 34 2" xfId="7620" xr:uid="{00000000-0005-0000-0000-000011090000}"/>
    <cellStyle name="Millares 2 2 34 2 2" xfId="11287" xr:uid="{00000000-0005-0000-0000-000012090000}"/>
    <cellStyle name="Millares 2 2 34 3" xfId="10778" xr:uid="{00000000-0005-0000-0000-000013090000}"/>
    <cellStyle name="Millares 2 2 35" xfId="1052" xr:uid="{00000000-0005-0000-0000-000014090000}"/>
    <cellStyle name="Millares 2 2 35 2" xfId="7621" xr:uid="{00000000-0005-0000-0000-000015090000}"/>
    <cellStyle name="Millares 2 2 35 2 2" xfId="11288" xr:uid="{00000000-0005-0000-0000-000016090000}"/>
    <cellStyle name="Millares 2 2 35 3" xfId="10779" xr:uid="{00000000-0005-0000-0000-000017090000}"/>
    <cellStyle name="Millares 2 2 36" xfId="4059" xr:uid="{00000000-0005-0000-0000-000018090000}"/>
    <cellStyle name="Millares 2 2 36 2" xfId="9558" xr:uid="{00000000-0005-0000-0000-000019090000}"/>
    <cellStyle name="Millares 2 2 36 2 2" xfId="10261" xr:uid="{00000000-0005-0000-0000-00001A090000}"/>
    <cellStyle name="Millares 2 2 36 2 2 2" xfId="11996" xr:uid="{00000000-0005-0000-0000-00001B090000}"/>
    <cellStyle name="Millares 2 2 36 2 3" xfId="11349" xr:uid="{00000000-0005-0000-0000-00001C090000}"/>
    <cellStyle name="Millares 2 2 36 3" xfId="9964" xr:uid="{00000000-0005-0000-0000-00001D090000}"/>
    <cellStyle name="Millares 2 2 36 3 2" xfId="11700" xr:uid="{00000000-0005-0000-0000-00001E090000}"/>
    <cellStyle name="Millares 2 2 36 4" xfId="10922" xr:uid="{00000000-0005-0000-0000-00001F090000}"/>
    <cellStyle name="Millares 2 2 37" xfId="4176" xr:uid="{00000000-0005-0000-0000-000020090000}"/>
    <cellStyle name="Millares 2 2 37 2" xfId="9611" xr:uid="{00000000-0005-0000-0000-000021090000}"/>
    <cellStyle name="Millares 2 2 37 2 2" xfId="10312" xr:uid="{00000000-0005-0000-0000-000022090000}"/>
    <cellStyle name="Millares 2 2 37 2 2 2" xfId="12047" xr:uid="{00000000-0005-0000-0000-000023090000}"/>
    <cellStyle name="Millares 2 2 37 2 3" xfId="11400" xr:uid="{00000000-0005-0000-0000-000024090000}"/>
    <cellStyle name="Millares 2 2 37 3" xfId="10015" xr:uid="{00000000-0005-0000-0000-000025090000}"/>
    <cellStyle name="Millares 2 2 37 3 2" xfId="11751" xr:uid="{00000000-0005-0000-0000-000026090000}"/>
    <cellStyle name="Millares 2 2 37 4" xfId="10987" xr:uid="{00000000-0005-0000-0000-000027090000}"/>
    <cellStyle name="Millares 2 2 38" xfId="4279" xr:uid="{00000000-0005-0000-0000-000028090000}"/>
    <cellStyle name="Millares 2 2 38 2" xfId="9712" xr:uid="{00000000-0005-0000-0000-000029090000}"/>
    <cellStyle name="Millares 2 2 38 2 2" xfId="10412" xr:uid="{00000000-0005-0000-0000-00002A090000}"/>
    <cellStyle name="Millares 2 2 38 2 2 2" xfId="12147" xr:uid="{00000000-0005-0000-0000-00002B090000}"/>
    <cellStyle name="Millares 2 2 38 2 3" xfId="11500" xr:uid="{00000000-0005-0000-0000-00002C090000}"/>
    <cellStyle name="Millares 2 2 38 3" xfId="10115" xr:uid="{00000000-0005-0000-0000-00002D090000}"/>
    <cellStyle name="Millares 2 2 38 3 2" xfId="11851" xr:uid="{00000000-0005-0000-0000-00002E090000}"/>
    <cellStyle name="Millares 2 2 38 4" xfId="11089" xr:uid="{00000000-0005-0000-0000-00002F090000}"/>
    <cellStyle name="Millares 2 2 39" xfId="4290" xr:uid="{00000000-0005-0000-0000-000030090000}"/>
    <cellStyle name="Millares 2 2 39 2" xfId="9716" xr:uid="{00000000-0005-0000-0000-000031090000}"/>
    <cellStyle name="Millares 2 2 39 2 2" xfId="10416" xr:uid="{00000000-0005-0000-0000-000032090000}"/>
    <cellStyle name="Millares 2 2 39 2 2 2" xfId="12151" xr:uid="{00000000-0005-0000-0000-000033090000}"/>
    <cellStyle name="Millares 2 2 39 2 3" xfId="11504" xr:uid="{00000000-0005-0000-0000-000034090000}"/>
    <cellStyle name="Millares 2 2 39 3" xfId="10119" xr:uid="{00000000-0005-0000-0000-000035090000}"/>
    <cellStyle name="Millares 2 2 39 3 2" xfId="11855" xr:uid="{00000000-0005-0000-0000-000036090000}"/>
    <cellStyle name="Millares 2 2 39 4" xfId="11099" xr:uid="{00000000-0005-0000-0000-000037090000}"/>
    <cellStyle name="Millares 2 2 4" xfId="1053" xr:uid="{00000000-0005-0000-0000-000038090000}"/>
    <cellStyle name="Millares 2 2 4 2" xfId="4227" xr:uid="{00000000-0005-0000-0000-000039090000}"/>
    <cellStyle name="Millares 2 2 4 2 2" xfId="9662" xr:uid="{00000000-0005-0000-0000-00003A090000}"/>
    <cellStyle name="Millares 2 2 4 2 2 2" xfId="10363" xr:uid="{00000000-0005-0000-0000-00003B090000}"/>
    <cellStyle name="Millares 2 2 4 2 2 2 2" xfId="12098" xr:uid="{00000000-0005-0000-0000-00003C090000}"/>
    <cellStyle name="Millares 2 2 4 2 2 3" xfId="11451" xr:uid="{00000000-0005-0000-0000-00003D090000}"/>
    <cellStyle name="Millares 2 2 4 2 2 4" xfId="14767" xr:uid="{63D90B87-1A8E-4815-B204-728439D35860}"/>
    <cellStyle name="Millares 2 2 4 2 2 5" xfId="18145" xr:uid="{5D882F92-702A-4B53-8CEE-26080DF92FA5}"/>
    <cellStyle name="Millares 2 2 4 2 2_1.2.b" xfId="16117" xr:uid="{A1DD47C9-CE78-49B8-A894-CF68C3F08F3C}"/>
    <cellStyle name="Millares 2 2 4 2 3" xfId="10066" xr:uid="{00000000-0005-0000-0000-00003E090000}"/>
    <cellStyle name="Millares 2 2 4 2 3 2" xfId="11802" xr:uid="{00000000-0005-0000-0000-00003F090000}"/>
    <cellStyle name="Millares 2 2 4 2 4" xfId="11038" xr:uid="{00000000-0005-0000-0000-000040090000}"/>
    <cellStyle name="Millares 2 2 4 2 5" xfId="14716" xr:uid="{FC7E92AE-4DA3-4F58-9950-01D35BB0AEF4}"/>
    <cellStyle name="Millares 2 2 4 2 6" xfId="18131" xr:uid="{B5102B0B-DC1A-4BA1-887E-35A37B31BFA3}"/>
    <cellStyle name="Millares 2 2 4 2_1.2.b" xfId="16116" xr:uid="{B48968BD-58D1-4E2F-B2F7-06B0FC0C89E1}"/>
    <cellStyle name="Millares 2 2 4 3" xfId="7622" xr:uid="{00000000-0005-0000-0000-000041090000}"/>
    <cellStyle name="Millares 2 2 4 3 2" xfId="11289" xr:uid="{00000000-0005-0000-0000-000042090000}"/>
    <cellStyle name="Millares 2 2 4 4" xfId="10780" xr:uid="{00000000-0005-0000-0000-000043090000}"/>
    <cellStyle name="Millares 2 2 4 5" xfId="14192" xr:uid="{5E23F7BB-0677-457F-98E0-4C4DD206ACD9}"/>
    <cellStyle name="Millares 2 2 4 6" xfId="17818" xr:uid="{E9544FD7-A6D7-47E8-8577-A3435D99F3DD}"/>
    <cellStyle name="Millares 2 2 4_1.2.b" xfId="16115" xr:uid="{8D290469-9549-4A60-AA83-86CFBD607E70}"/>
    <cellStyle name="Millares 2 2 40" xfId="4296" xr:uid="{00000000-0005-0000-0000-000044090000}"/>
    <cellStyle name="Millares 2 2 40 2" xfId="9722" xr:uid="{00000000-0005-0000-0000-000045090000}"/>
    <cellStyle name="Millares 2 2 40 2 2" xfId="10422" xr:uid="{00000000-0005-0000-0000-000046090000}"/>
    <cellStyle name="Millares 2 2 40 2 2 2" xfId="12157" xr:uid="{00000000-0005-0000-0000-000047090000}"/>
    <cellStyle name="Millares 2 2 40 2 3" xfId="11510" xr:uid="{00000000-0005-0000-0000-000048090000}"/>
    <cellStyle name="Millares 2 2 40 3" xfId="10125" xr:uid="{00000000-0005-0000-0000-000049090000}"/>
    <cellStyle name="Millares 2 2 40 3 2" xfId="11861" xr:uid="{00000000-0005-0000-0000-00004A090000}"/>
    <cellStyle name="Millares 2 2 40 4" xfId="11105" xr:uid="{00000000-0005-0000-0000-00004B090000}"/>
    <cellStyle name="Millares 2 2 41" xfId="4354" xr:uid="{00000000-0005-0000-0000-00004C090000}"/>
    <cellStyle name="Millares 2 2 41 2" xfId="9762" xr:uid="{00000000-0005-0000-0000-00004D090000}"/>
    <cellStyle name="Millares 2 2 41 2 2" xfId="10460" xr:uid="{00000000-0005-0000-0000-00004E090000}"/>
    <cellStyle name="Millares 2 2 41 2 2 2" xfId="12195" xr:uid="{00000000-0005-0000-0000-00004F090000}"/>
    <cellStyle name="Millares 2 2 41 2 3" xfId="11548" xr:uid="{00000000-0005-0000-0000-000050090000}"/>
    <cellStyle name="Millares 2 2 41 3" xfId="10165" xr:uid="{00000000-0005-0000-0000-000051090000}"/>
    <cellStyle name="Millares 2 2 41 3 2" xfId="11901" xr:uid="{00000000-0005-0000-0000-000052090000}"/>
    <cellStyle name="Millares 2 2 41 4" xfId="11158" xr:uid="{00000000-0005-0000-0000-000053090000}"/>
    <cellStyle name="Millares 2 2 42" xfId="1024" xr:uid="{00000000-0005-0000-0000-000054090000}"/>
    <cellStyle name="Millares 2 2 42 2" xfId="10751" xr:uid="{00000000-0005-0000-0000-000055090000}"/>
    <cellStyle name="Millares 2 2 43" xfId="10647" xr:uid="{00000000-0005-0000-0000-000056090000}"/>
    <cellStyle name="Millares 2 2 5" xfId="1054" xr:uid="{00000000-0005-0000-0000-000057090000}"/>
    <cellStyle name="Millares 2 2 5 2" xfId="5140" xr:uid="{00000000-0005-0000-0000-000058090000}"/>
    <cellStyle name="Millares 2 2 5 2 2" xfId="11184" xr:uid="{00000000-0005-0000-0000-000059090000}"/>
    <cellStyle name="Millares 2 2 5 3" xfId="7623" xr:uid="{00000000-0005-0000-0000-00005A090000}"/>
    <cellStyle name="Millares 2 2 5 3 2" xfId="11290" xr:uid="{00000000-0005-0000-0000-00005B090000}"/>
    <cellStyle name="Millares 2 2 5 4" xfId="10781" xr:uid="{00000000-0005-0000-0000-00005C090000}"/>
    <cellStyle name="Millares 2 2 6" xfId="1055" xr:uid="{00000000-0005-0000-0000-00005D090000}"/>
    <cellStyle name="Millares 2 2 6 2" xfId="5141" xr:uid="{00000000-0005-0000-0000-00005E090000}"/>
    <cellStyle name="Millares 2 2 6 2 2" xfId="11185" xr:uid="{00000000-0005-0000-0000-00005F090000}"/>
    <cellStyle name="Millares 2 2 6 3" xfId="7624" xr:uid="{00000000-0005-0000-0000-000060090000}"/>
    <cellStyle name="Millares 2 2 6 3 2" xfId="11291" xr:uid="{00000000-0005-0000-0000-000061090000}"/>
    <cellStyle name="Millares 2 2 6 4" xfId="10782" xr:uid="{00000000-0005-0000-0000-000062090000}"/>
    <cellStyle name="Millares 2 2 7" xfId="1056" xr:uid="{00000000-0005-0000-0000-000063090000}"/>
    <cellStyle name="Millares 2 2 7 2" xfId="5142" xr:uid="{00000000-0005-0000-0000-000064090000}"/>
    <cellStyle name="Millares 2 2 7 2 2" xfId="11186" xr:uid="{00000000-0005-0000-0000-000065090000}"/>
    <cellStyle name="Millares 2 2 7 3" xfId="7625" xr:uid="{00000000-0005-0000-0000-000066090000}"/>
    <cellStyle name="Millares 2 2 7 3 2" xfId="11292" xr:uid="{00000000-0005-0000-0000-000067090000}"/>
    <cellStyle name="Millares 2 2 7 4" xfId="10783" xr:uid="{00000000-0005-0000-0000-000068090000}"/>
    <cellStyle name="Millares 2 2 8" xfId="1057" xr:uid="{00000000-0005-0000-0000-000069090000}"/>
    <cellStyle name="Millares 2 2 8 2" xfId="5143" xr:uid="{00000000-0005-0000-0000-00006A090000}"/>
    <cellStyle name="Millares 2 2 8 2 2" xfId="11187" xr:uid="{00000000-0005-0000-0000-00006B090000}"/>
    <cellStyle name="Millares 2 2 8 3" xfId="7626" xr:uid="{00000000-0005-0000-0000-00006C090000}"/>
    <cellStyle name="Millares 2 2 8 3 2" xfId="11293" xr:uid="{00000000-0005-0000-0000-00006D090000}"/>
    <cellStyle name="Millares 2 2 8 4" xfId="10784" xr:uid="{00000000-0005-0000-0000-00006E090000}"/>
    <cellStyle name="Millares 2 2 9" xfId="1058" xr:uid="{00000000-0005-0000-0000-00006F090000}"/>
    <cellStyle name="Millares 2 2 9 2" xfId="5144" xr:uid="{00000000-0005-0000-0000-000070090000}"/>
    <cellStyle name="Millares 2 2 9 2 2" xfId="11188" xr:uid="{00000000-0005-0000-0000-000071090000}"/>
    <cellStyle name="Millares 2 2 9 3" xfId="7627" xr:uid="{00000000-0005-0000-0000-000072090000}"/>
    <cellStyle name="Millares 2 2 9 3 2" xfId="11294" xr:uid="{00000000-0005-0000-0000-000073090000}"/>
    <cellStyle name="Millares 2 2 9 4" xfId="10785" xr:uid="{00000000-0005-0000-0000-000074090000}"/>
    <cellStyle name="Millares 2 20" xfId="1059" xr:uid="{00000000-0005-0000-0000-000075090000}"/>
    <cellStyle name="Millares 2 20 2" xfId="7628" xr:uid="{00000000-0005-0000-0000-000076090000}"/>
    <cellStyle name="Millares 2 20 2 2" xfId="11295" xr:uid="{00000000-0005-0000-0000-000077090000}"/>
    <cellStyle name="Millares 2 20 3" xfId="10786" xr:uid="{00000000-0005-0000-0000-000078090000}"/>
    <cellStyle name="Millares 2 21" xfId="1060" xr:uid="{00000000-0005-0000-0000-000079090000}"/>
    <cellStyle name="Millares 2 21 2" xfId="7629" xr:uid="{00000000-0005-0000-0000-00007A090000}"/>
    <cellStyle name="Millares 2 21 2 2" xfId="11296" xr:uid="{00000000-0005-0000-0000-00007B090000}"/>
    <cellStyle name="Millares 2 21 3" xfId="10787" xr:uid="{00000000-0005-0000-0000-00007C090000}"/>
    <cellStyle name="Millares 2 22" xfId="1061" xr:uid="{00000000-0005-0000-0000-00007D090000}"/>
    <cellStyle name="Millares 2 22 2" xfId="7630" xr:uid="{00000000-0005-0000-0000-00007E090000}"/>
    <cellStyle name="Millares 2 22 2 2" xfId="11297" xr:uid="{00000000-0005-0000-0000-00007F090000}"/>
    <cellStyle name="Millares 2 22 3" xfId="10788" xr:uid="{00000000-0005-0000-0000-000080090000}"/>
    <cellStyle name="Millares 2 23" xfId="1062" xr:uid="{00000000-0005-0000-0000-000081090000}"/>
    <cellStyle name="Millares 2 23 2" xfId="7631" xr:uid="{00000000-0005-0000-0000-000082090000}"/>
    <cellStyle name="Millares 2 23 2 2" xfId="11298" xr:uid="{00000000-0005-0000-0000-000083090000}"/>
    <cellStyle name="Millares 2 23 3" xfId="10789" xr:uid="{00000000-0005-0000-0000-000084090000}"/>
    <cellStyle name="Millares 2 24" xfId="1063" xr:uid="{00000000-0005-0000-0000-000085090000}"/>
    <cellStyle name="Millares 2 24 2" xfId="7632" xr:uid="{00000000-0005-0000-0000-000086090000}"/>
    <cellStyle name="Millares 2 24 2 2" xfId="11299" xr:uid="{00000000-0005-0000-0000-000087090000}"/>
    <cellStyle name="Millares 2 24 3" xfId="10790" xr:uid="{00000000-0005-0000-0000-000088090000}"/>
    <cellStyle name="Millares 2 25" xfId="1064" xr:uid="{00000000-0005-0000-0000-000089090000}"/>
    <cellStyle name="Millares 2 25 2" xfId="7633" xr:uid="{00000000-0005-0000-0000-00008A090000}"/>
    <cellStyle name="Millares 2 25 2 2" xfId="11300" xr:uid="{00000000-0005-0000-0000-00008B090000}"/>
    <cellStyle name="Millares 2 25 3" xfId="10791" xr:uid="{00000000-0005-0000-0000-00008C090000}"/>
    <cellStyle name="Millares 2 26" xfId="1065" xr:uid="{00000000-0005-0000-0000-00008D090000}"/>
    <cellStyle name="Millares 2 26 2" xfId="7634" xr:uid="{00000000-0005-0000-0000-00008E090000}"/>
    <cellStyle name="Millares 2 26 2 2" xfId="11301" xr:uid="{00000000-0005-0000-0000-00008F090000}"/>
    <cellStyle name="Millares 2 26 3" xfId="10792" xr:uid="{00000000-0005-0000-0000-000090090000}"/>
    <cellStyle name="Millares 2 27" xfId="1066" xr:uid="{00000000-0005-0000-0000-000091090000}"/>
    <cellStyle name="Millares 2 27 2" xfId="7635" xr:uid="{00000000-0005-0000-0000-000092090000}"/>
    <cellStyle name="Millares 2 27 2 2" xfId="11302" xr:uid="{00000000-0005-0000-0000-000093090000}"/>
    <cellStyle name="Millares 2 27 3" xfId="10793" xr:uid="{00000000-0005-0000-0000-000094090000}"/>
    <cellStyle name="Millares 2 28" xfId="1067" xr:uid="{00000000-0005-0000-0000-000095090000}"/>
    <cellStyle name="Millares 2 28 2" xfId="7636" xr:uid="{00000000-0005-0000-0000-000096090000}"/>
    <cellStyle name="Millares 2 28 2 2" xfId="11303" xr:uid="{00000000-0005-0000-0000-000097090000}"/>
    <cellStyle name="Millares 2 28 3" xfId="10794" xr:uid="{00000000-0005-0000-0000-000098090000}"/>
    <cellStyle name="Millares 2 29" xfId="1068" xr:uid="{00000000-0005-0000-0000-000099090000}"/>
    <cellStyle name="Millares 2 29 2" xfId="7637" xr:uid="{00000000-0005-0000-0000-00009A090000}"/>
    <cellStyle name="Millares 2 29 2 2" xfId="11304" xr:uid="{00000000-0005-0000-0000-00009B090000}"/>
    <cellStyle name="Millares 2 29 3" xfId="10795" xr:uid="{00000000-0005-0000-0000-00009C090000}"/>
    <cellStyle name="Millares 2 3" xfId="134" xr:uid="{00000000-0005-0000-0000-00009D090000}"/>
    <cellStyle name="Millares 2 3 10" xfId="4207" xr:uid="{00000000-0005-0000-0000-00009E090000}"/>
    <cellStyle name="Millares 2 3 10 2" xfId="9642" xr:uid="{00000000-0005-0000-0000-00009F090000}"/>
    <cellStyle name="Millares 2 3 10 2 2" xfId="10343" xr:uid="{00000000-0005-0000-0000-0000A0090000}"/>
    <cellStyle name="Millares 2 3 10 2 2 2" xfId="12078" xr:uid="{00000000-0005-0000-0000-0000A1090000}"/>
    <cellStyle name="Millares 2 3 10 2 3" xfId="11431" xr:uid="{00000000-0005-0000-0000-0000A2090000}"/>
    <cellStyle name="Millares 2 3 10 3" xfId="10046" xr:uid="{00000000-0005-0000-0000-0000A3090000}"/>
    <cellStyle name="Millares 2 3 10 3 2" xfId="11782" xr:uid="{00000000-0005-0000-0000-0000A4090000}"/>
    <cellStyle name="Millares 2 3 10 4" xfId="11018" xr:uid="{00000000-0005-0000-0000-0000A5090000}"/>
    <cellStyle name="Millares 2 3 11" xfId="4313" xr:uid="{00000000-0005-0000-0000-0000A6090000}"/>
    <cellStyle name="Millares 2 3 11 2" xfId="11120" xr:uid="{00000000-0005-0000-0000-0000A7090000}"/>
    <cellStyle name="Millares 2 3 12" xfId="10662" xr:uid="{00000000-0005-0000-0000-0000A8090000}"/>
    <cellStyle name="Millares 2 3 13" xfId="14193" xr:uid="{64DD769F-385B-4EDC-87CF-327686499426}"/>
    <cellStyle name="Millares 2 3 14" xfId="17819" xr:uid="{32E64D02-A1AD-436A-AF0C-B33ADCF9615A}"/>
    <cellStyle name="Millares 2 3 2" xfId="1069" xr:uid="{00000000-0005-0000-0000-0000A9090000}"/>
    <cellStyle name="Millares 2 3 2 2" xfId="4258" xr:uid="{00000000-0005-0000-0000-0000AA090000}"/>
    <cellStyle name="Millares 2 3 2 2 2" xfId="9693" xr:uid="{00000000-0005-0000-0000-0000AB090000}"/>
    <cellStyle name="Millares 2 3 2 2 2 2" xfId="10394" xr:uid="{00000000-0005-0000-0000-0000AC090000}"/>
    <cellStyle name="Millares 2 3 2 2 2 2 2" xfId="12129" xr:uid="{00000000-0005-0000-0000-0000AD090000}"/>
    <cellStyle name="Millares 2 3 2 2 2 3" xfId="11482" xr:uid="{00000000-0005-0000-0000-0000AE090000}"/>
    <cellStyle name="Millares 2 3 2 2 2 4" xfId="14771" xr:uid="{3A2BF37F-271D-4456-BCEC-AE64695DCC5F}"/>
    <cellStyle name="Millares 2 3 2 2 2 5" xfId="18149" xr:uid="{9282B637-2CC5-43DF-BBC3-40BF15E71118}"/>
    <cellStyle name="Millares 2 3 2 2 2_1.2.b" xfId="16121" xr:uid="{2F080C97-458F-407B-9532-A38C53D5F645}"/>
    <cellStyle name="Millares 2 3 2 2 3" xfId="10097" xr:uid="{00000000-0005-0000-0000-0000AF090000}"/>
    <cellStyle name="Millares 2 3 2 2 3 2" xfId="11833" xr:uid="{00000000-0005-0000-0000-0000B0090000}"/>
    <cellStyle name="Millares 2 3 2 2 4" xfId="11069" xr:uid="{00000000-0005-0000-0000-0000B1090000}"/>
    <cellStyle name="Millares 2 3 2 2 5" xfId="14720" xr:uid="{F2CA8046-EFF7-4140-A2F1-FA4E259FB643}"/>
    <cellStyle name="Millares 2 3 2 2 6" xfId="18135" xr:uid="{CF2D9B27-90EE-40A8-B4D9-60508C3C48F5}"/>
    <cellStyle name="Millares 2 3 2 2_1.2.b" xfId="16120" xr:uid="{FFCA2CF1-DA59-4CDB-93AB-9906D3E44F2F}"/>
    <cellStyle name="Millares 2 3 2 3" xfId="7638" xr:uid="{00000000-0005-0000-0000-0000B2090000}"/>
    <cellStyle name="Millares 2 3 2 4" xfId="14194" xr:uid="{D0C7F4E9-0141-4508-A0C6-7E84DA599321}"/>
    <cellStyle name="Millares 2 3 2 5" xfId="17820" xr:uid="{72D2313B-CE8B-4043-ACAA-BE516191D7F7}"/>
    <cellStyle name="Millares 2 3 2_1.2.b" xfId="16119" xr:uid="{D88965C5-839B-455B-BA48-38007A7881EE}"/>
    <cellStyle name="Millares 2 3 3" xfId="1070" xr:uid="{00000000-0005-0000-0000-0000B3090000}"/>
    <cellStyle name="Millares 2 3 3 2" xfId="7639" xr:uid="{00000000-0005-0000-0000-0000B4090000}"/>
    <cellStyle name="Millares 2 3 3 2 2" xfId="14772" xr:uid="{9F947090-448B-4D5C-9EFC-2EDACA7C2695}"/>
    <cellStyle name="Millares 2 3 3 2 2 2" xfId="18150" xr:uid="{35946ABC-18A6-4506-B27E-CACEE7DB314C}"/>
    <cellStyle name="Millares 2 3 3 2 3" xfId="14721" xr:uid="{34576A2C-EEE9-48D9-8375-9935F20490C6}"/>
    <cellStyle name="Millares 2 3 3 2 4" xfId="18136" xr:uid="{16065728-FD09-4905-84CC-AB5307D111FF}"/>
    <cellStyle name="Millares 2 3 3 2_1.2.b" xfId="16123" xr:uid="{7D765FF2-C649-4B6B-9F3E-7B1D4CB9FD64}"/>
    <cellStyle name="Millares 2 3 3 3" xfId="14195" xr:uid="{4844E56D-E3DA-41FF-964D-FBC7199DF901}"/>
    <cellStyle name="Millares 2 3 3 4" xfId="17821" xr:uid="{294B4888-06D6-4E53-9CFE-0E4B2A15B1B9}"/>
    <cellStyle name="Millares 2 3 3_1.2.b" xfId="16122" xr:uid="{7D53C6B3-EAEF-44BE-85B0-67874FB0328E}"/>
    <cellStyle name="Millares 2 3 4" xfId="1071" xr:uid="{00000000-0005-0000-0000-0000B5090000}"/>
    <cellStyle name="Millares 2 3 4 2" xfId="7640" xr:uid="{00000000-0005-0000-0000-0000B6090000}"/>
    <cellStyle name="Millares 2 3 4 2 2" xfId="14770" xr:uid="{0B4FEABF-A65A-4BE4-B93F-78F39952AB13}"/>
    <cellStyle name="Millares 2 3 4 2 3" xfId="18148" xr:uid="{CE038CC9-12CA-486B-8CA8-D4287717F11F}"/>
    <cellStyle name="Millares 2 3 4 2_1.2.b" xfId="16125" xr:uid="{5069ED50-DC17-4467-B5D9-F0D44B1C6039}"/>
    <cellStyle name="Millares 2 3 4 3" xfId="14719" xr:uid="{6472EB86-F274-4BD0-B583-F733B39183F5}"/>
    <cellStyle name="Millares 2 3 4 4" xfId="18134" xr:uid="{992E81C9-4385-4674-B1E8-BA3DAB83A9B7}"/>
    <cellStyle name="Millares 2 3 4_1.2.b" xfId="16124" xr:uid="{8BC57BB3-8A35-449A-8AF8-28EDC4BD1E21}"/>
    <cellStyle name="Millares 2 3 5" xfId="1072" xr:uid="{00000000-0005-0000-0000-0000B7090000}"/>
    <cellStyle name="Millares 2 3 5 2" xfId="7641" xr:uid="{00000000-0005-0000-0000-0000B8090000}"/>
    <cellStyle name="Millares 2 3 6" xfId="1073" xr:uid="{00000000-0005-0000-0000-0000B9090000}"/>
    <cellStyle name="Millares 2 3 6 2" xfId="7642" xr:uid="{00000000-0005-0000-0000-0000BA090000}"/>
    <cellStyle name="Millares 2 3 7" xfId="1074" xr:uid="{00000000-0005-0000-0000-0000BB090000}"/>
    <cellStyle name="Millares 2 3 7 2" xfId="7643" xr:uid="{00000000-0005-0000-0000-0000BC090000}"/>
    <cellStyle name="Millares 2 3 8" xfId="1075" xr:uid="{00000000-0005-0000-0000-0000BD090000}"/>
    <cellStyle name="Millares 2 3 8 2" xfId="7644" xr:uid="{00000000-0005-0000-0000-0000BE090000}"/>
    <cellStyle name="Millares 2 3 9" xfId="4124" xr:uid="{00000000-0005-0000-0000-0000BF090000}"/>
    <cellStyle name="Millares 2 3 9 2" xfId="9590" xr:uid="{00000000-0005-0000-0000-0000C0090000}"/>
    <cellStyle name="Millares 2 3 9 2 2" xfId="10292" xr:uid="{00000000-0005-0000-0000-0000C1090000}"/>
    <cellStyle name="Millares 2 3 9 2 2 2" xfId="12027" xr:uid="{00000000-0005-0000-0000-0000C2090000}"/>
    <cellStyle name="Millares 2 3 9 2 3" xfId="11380" xr:uid="{00000000-0005-0000-0000-0000C3090000}"/>
    <cellStyle name="Millares 2 3 9 3" xfId="9995" xr:uid="{00000000-0005-0000-0000-0000C4090000}"/>
    <cellStyle name="Millares 2 3 9 3 2" xfId="11731" xr:uid="{00000000-0005-0000-0000-0000C5090000}"/>
    <cellStyle name="Millares 2 3 9 4" xfId="10956" xr:uid="{00000000-0005-0000-0000-0000C6090000}"/>
    <cellStyle name="Millares 2 3_1.2.b" xfId="16118" xr:uid="{1DB5D817-BA18-403F-B3A7-C51331EF2A89}"/>
    <cellStyle name="Millares 2 30" xfId="1076" xr:uid="{00000000-0005-0000-0000-0000C7090000}"/>
    <cellStyle name="Millares 2 30 2" xfId="7645" xr:uid="{00000000-0005-0000-0000-0000C8090000}"/>
    <cellStyle name="Millares 2 30 2 2" xfId="11305" xr:uid="{00000000-0005-0000-0000-0000C9090000}"/>
    <cellStyle name="Millares 2 30 3" xfId="10796" xr:uid="{00000000-0005-0000-0000-0000CA090000}"/>
    <cellStyle name="Millares 2 31" xfId="1077" xr:uid="{00000000-0005-0000-0000-0000CB090000}"/>
    <cellStyle name="Millares 2 31 2" xfId="7646" xr:uid="{00000000-0005-0000-0000-0000CC090000}"/>
    <cellStyle name="Millares 2 31 2 2" xfId="11306" xr:uid="{00000000-0005-0000-0000-0000CD090000}"/>
    <cellStyle name="Millares 2 31 3" xfId="10797" xr:uid="{00000000-0005-0000-0000-0000CE090000}"/>
    <cellStyle name="Millares 2 32" xfId="1078" xr:uid="{00000000-0005-0000-0000-0000CF090000}"/>
    <cellStyle name="Millares 2 32 2" xfId="10798" xr:uid="{00000000-0005-0000-0000-0000D0090000}"/>
    <cellStyle name="Millares 2 33" xfId="1079" xr:uid="{00000000-0005-0000-0000-0000D1090000}"/>
    <cellStyle name="Millares 2 33 2" xfId="10799" xr:uid="{00000000-0005-0000-0000-0000D2090000}"/>
    <cellStyle name="Millares 2 34" xfId="1080" xr:uid="{00000000-0005-0000-0000-0000D3090000}"/>
    <cellStyle name="Millares 2 34 2" xfId="10800" xr:uid="{00000000-0005-0000-0000-0000D4090000}"/>
    <cellStyle name="Millares 2 35" xfId="1081" xr:uid="{00000000-0005-0000-0000-0000D5090000}"/>
    <cellStyle name="Millares 2 35 2" xfId="10801" xr:uid="{00000000-0005-0000-0000-0000D6090000}"/>
    <cellStyle name="Millares 2 36" xfId="1082" xr:uid="{00000000-0005-0000-0000-0000D7090000}"/>
    <cellStyle name="Millares 2 36 2" xfId="10802" xr:uid="{00000000-0005-0000-0000-0000D8090000}"/>
    <cellStyle name="Millares 2 37" xfId="1083" xr:uid="{00000000-0005-0000-0000-0000D9090000}"/>
    <cellStyle name="Millares 2 37 2" xfId="10803" xr:uid="{00000000-0005-0000-0000-0000DA090000}"/>
    <cellStyle name="Millares 2 38" xfId="1084" xr:uid="{00000000-0005-0000-0000-0000DB090000}"/>
    <cellStyle name="Millares 2 38 2" xfId="10804" xr:uid="{00000000-0005-0000-0000-0000DC090000}"/>
    <cellStyle name="Millares 2 39" xfId="1085" xr:uid="{00000000-0005-0000-0000-0000DD090000}"/>
    <cellStyle name="Millares 2 39 2" xfId="10805" xr:uid="{00000000-0005-0000-0000-0000DE090000}"/>
    <cellStyle name="Millares 2 4" xfId="1086" xr:uid="{00000000-0005-0000-0000-0000DF090000}"/>
    <cellStyle name="Millares 2 4 10" xfId="4189" xr:uid="{00000000-0005-0000-0000-0000E0090000}"/>
    <cellStyle name="Millares 2 4 10 2" xfId="9624" xr:uid="{00000000-0005-0000-0000-0000E1090000}"/>
    <cellStyle name="Millares 2 4 10 2 2" xfId="10325" xr:uid="{00000000-0005-0000-0000-0000E2090000}"/>
    <cellStyle name="Millares 2 4 10 2 2 2" xfId="12060" xr:uid="{00000000-0005-0000-0000-0000E3090000}"/>
    <cellStyle name="Millares 2 4 10 2 3" xfId="11413" xr:uid="{00000000-0005-0000-0000-0000E4090000}"/>
    <cellStyle name="Millares 2 4 10 3" xfId="10028" xr:uid="{00000000-0005-0000-0000-0000E5090000}"/>
    <cellStyle name="Millares 2 4 10 3 2" xfId="11764" xr:uid="{00000000-0005-0000-0000-0000E6090000}"/>
    <cellStyle name="Millares 2 4 10 4" xfId="11000" xr:uid="{00000000-0005-0000-0000-0000E7090000}"/>
    <cellStyle name="Millares 2 4 11" xfId="7647" xr:uid="{00000000-0005-0000-0000-0000E8090000}"/>
    <cellStyle name="Millares 2 4 11 2" xfId="11307" xr:uid="{00000000-0005-0000-0000-0000E9090000}"/>
    <cellStyle name="Millares 2 4 12" xfId="10806" xr:uid="{00000000-0005-0000-0000-0000EA090000}"/>
    <cellStyle name="Millares 2 4 13" xfId="14196" xr:uid="{1309F3E8-FA28-4D38-806C-99F792E05A1C}"/>
    <cellStyle name="Millares 2 4 14" xfId="17822" xr:uid="{8B733511-AB29-4A75-BE45-F4258D13AE7A}"/>
    <cellStyle name="Millares 2 4 2" xfId="1087" xr:uid="{00000000-0005-0000-0000-0000EB090000}"/>
    <cellStyle name="Millares 2 4 2 2" xfId="4240" xr:uid="{00000000-0005-0000-0000-0000EC090000}"/>
    <cellStyle name="Millares 2 4 2 2 2" xfId="9675" xr:uid="{00000000-0005-0000-0000-0000ED090000}"/>
    <cellStyle name="Millares 2 4 2 2 2 2" xfId="10376" xr:uid="{00000000-0005-0000-0000-0000EE090000}"/>
    <cellStyle name="Millares 2 4 2 2 2 2 2" xfId="12111" xr:uid="{00000000-0005-0000-0000-0000EF090000}"/>
    <cellStyle name="Millares 2 4 2 2 2 3" xfId="11464" xr:uid="{00000000-0005-0000-0000-0000F0090000}"/>
    <cellStyle name="Millares 2 4 2 2 3" xfId="10079" xr:uid="{00000000-0005-0000-0000-0000F1090000}"/>
    <cellStyle name="Millares 2 4 2 2 3 2" xfId="11815" xr:uid="{00000000-0005-0000-0000-0000F2090000}"/>
    <cellStyle name="Millares 2 4 2 2 4" xfId="11051" xr:uid="{00000000-0005-0000-0000-0000F3090000}"/>
    <cellStyle name="Millares 2 4 2 2 5" xfId="14773" xr:uid="{063599CA-47E9-420C-ACCA-E55EE1D9565E}"/>
    <cellStyle name="Millares 2 4 2 2 6" xfId="18151" xr:uid="{7AFB08E6-DAC5-495F-AA49-5835D89E762C}"/>
    <cellStyle name="Millares 2 4 2 2_1.2.b" xfId="16128" xr:uid="{3EE1F79C-445A-410D-B222-CE8BBD5A8D8F}"/>
    <cellStyle name="Millares 2 4 2 3" xfId="14722" xr:uid="{426D9546-760F-432A-9E92-5C38E86F5254}"/>
    <cellStyle name="Millares 2 4 2 4" xfId="18137" xr:uid="{6C32C373-EC8B-4BF3-82AC-8A91842D911B}"/>
    <cellStyle name="Millares 2 4 2_1.2.b" xfId="16127" xr:uid="{33C6FE65-B0A1-4D73-BB64-9450885D9D05}"/>
    <cellStyle name="Millares 2 4 3" xfId="1088" xr:uid="{00000000-0005-0000-0000-0000F4090000}"/>
    <cellStyle name="Millares 2 4 4" xfId="1089" xr:uid="{00000000-0005-0000-0000-0000F5090000}"/>
    <cellStyle name="Millares 2 4 5" xfId="1090" xr:uid="{00000000-0005-0000-0000-0000F6090000}"/>
    <cellStyle name="Millares 2 4 6" xfId="1091" xr:uid="{00000000-0005-0000-0000-0000F7090000}"/>
    <cellStyle name="Millares 2 4 7" xfId="1092" xr:uid="{00000000-0005-0000-0000-0000F8090000}"/>
    <cellStyle name="Millares 2 4 8" xfId="1093" xr:uid="{00000000-0005-0000-0000-0000F9090000}"/>
    <cellStyle name="Millares 2 4 9" xfId="4087" xr:uid="{00000000-0005-0000-0000-0000FA090000}"/>
    <cellStyle name="Millares 2 4 9 2" xfId="9571" xr:uid="{00000000-0005-0000-0000-0000FB090000}"/>
    <cellStyle name="Millares 2 4 9 2 2" xfId="10274" xr:uid="{00000000-0005-0000-0000-0000FC090000}"/>
    <cellStyle name="Millares 2 4 9 2 2 2" xfId="12009" xr:uid="{00000000-0005-0000-0000-0000FD090000}"/>
    <cellStyle name="Millares 2 4 9 2 3" xfId="11362" xr:uid="{00000000-0005-0000-0000-0000FE090000}"/>
    <cellStyle name="Millares 2 4 9 3" xfId="9977" xr:uid="{00000000-0005-0000-0000-0000FF090000}"/>
    <cellStyle name="Millares 2 4 9 3 2" xfId="11713" xr:uid="{00000000-0005-0000-0000-0000000A0000}"/>
    <cellStyle name="Millares 2 4 9 4" xfId="10936" xr:uid="{00000000-0005-0000-0000-0000010A0000}"/>
    <cellStyle name="Millares 2 4_1.2.b" xfId="16126" xr:uid="{2ED23880-E9DF-4D23-91A7-F8FE58881D91}"/>
    <cellStyle name="Millares 2 40" xfId="1094" xr:uid="{00000000-0005-0000-0000-0000020A0000}"/>
    <cellStyle name="Millares 2 40 2" xfId="10807" xr:uid="{00000000-0005-0000-0000-0000030A0000}"/>
    <cellStyle name="Millares 2 41" xfId="1095" xr:uid="{00000000-0005-0000-0000-0000040A0000}"/>
    <cellStyle name="Millares 2 41 2" xfId="10808" xr:uid="{00000000-0005-0000-0000-0000050A0000}"/>
    <cellStyle name="Millares 2 42" xfId="1096" xr:uid="{00000000-0005-0000-0000-0000060A0000}"/>
    <cellStyle name="Millares 2 42 2" xfId="10809" xr:uid="{00000000-0005-0000-0000-0000070A0000}"/>
    <cellStyle name="Millares 2 43" xfId="1097" xr:uid="{00000000-0005-0000-0000-0000080A0000}"/>
    <cellStyle name="Millares 2 43 2" xfId="10810" xr:uid="{00000000-0005-0000-0000-0000090A0000}"/>
    <cellStyle name="Millares 2 44" xfId="1098" xr:uid="{00000000-0005-0000-0000-00000A0A0000}"/>
    <cellStyle name="Millares 2 44 2" xfId="10811" xr:uid="{00000000-0005-0000-0000-00000B0A0000}"/>
    <cellStyle name="Millares 2 45" xfId="1099" xr:uid="{00000000-0005-0000-0000-00000C0A0000}"/>
    <cellStyle name="Millares 2 45 2" xfId="10812" xr:uid="{00000000-0005-0000-0000-00000D0A0000}"/>
    <cellStyle name="Millares 2 46" xfId="1100" xr:uid="{00000000-0005-0000-0000-00000E0A0000}"/>
    <cellStyle name="Millares 2 46 2" xfId="10813" xr:uid="{00000000-0005-0000-0000-00000F0A0000}"/>
    <cellStyle name="Millares 2 47" xfId="1101" xr:uid="{00000000-0005-0000-0000-0000100A0000}"/>
    <cellStyle name="Millares 2 47 2" xfId="10814" xr:uid="{00000000-0005-0000-0000-0000110A0000}"/>
    <cellStyle name="Millares 2 48" xfId="1102" xr:uid="{00000000-0005-0000-0000-0000120A0000}"/>
    <cellStyle name="Millares 2 48 2" xfId="10815" xr:uid="{00000000-0005-0000-0000-0000130A0000}"/>
    <cellStyle name="Millares 2 49" xfId="1103" xr:uid="{00000000-0005-0000-0000-0000140A0000}"/>
    <cellStyle name="Millares 2 49 2" xfId="10816" xr:uid="{00000000-0005-0000-0000-0000150A0000}"/>
    <cellStyle name="Millares 2 5" xfId="1104" xr:uid="{00000000-0005-0000-0000-0000160A0000}"/>
    <cellStyle name="Millares 2 5 2" xfId="4224" xr:uid="{00000000-0005-0000-0000-0000170A0000}"/>
    <cellStyle name="Millares 2 5 2 2" xfId="9659" xr:uid="{00000000-0005-0000-0000-0000180A0000}"/>
    <cellStyle name="Millares 2 5 2 2 2" xfId="10360" xr:uid="{00000000-0005-0000-0000-0000190A0000}"/>
    <cellStyle name="Millares 2 5 2 2 2 2" xfId="12095" xr:uid="{00000000-0005-0000-0000-00001A0A0000}"/>
    <cellStyle name="Millares 2 5 2 2 3" xfId="11448" xr:uid="{00000000-0005-0000-0000-00001B0A0000}"/>
    <cellStyle name="Millares 2 5 2 2 4" xfId="14774" xr:uid="{5151A948-ADC7-4C3A-9397-B670E19C984C}"/>
    <cellStyle name="Millares 2 5 2 2 5" xfId="18152" xr:uid="{4FA5B9CB-A1BD-4BD9-8783-B7A54D16B188}"/>
    <cellStyle name="Millares 2 5 2 2_1.2.b" xfId="16131" xr:uid="{F2249499-5285-4621-B6E2-D189EDAA7075}"/>
    <cellStyle name="Millares 2 5 2 3" xfId="10063" xr:uid="{00000000-0005-0000-0000-00001C0A0000}"/>
    <cellStyle name="Millares 2 5 2 3 2" xfId="11799" xr:uid="{00000000-0005-0000-0000-00001D0A0000}"/>
    <cellStyle name="Millares 2 5 2 4" xfId="11035" xr:uid="{00000000-0005-0000-0000-00001E0A0000}"/>
    <cellStyle name="Millares 2 5 2 5" xfId="14723" xr:uid="{C689BAEE-9D33-4F3A-A85E-EB8AB986BB58}"/>
    <cellStyle name="Millares 2 5 2 6" xfId="18138" xr:uid="{997A4EC1-A438-4545-B512-63220078FEFB}"/>
    <cellStyle name="Millares 2 5 2_1.2.b" xfId="16130" xr:uid="{871887F6-8E18-4CF1-90E7-ACC4D1EF80B4}"/>
    <cellStyle name="Millares 2 5 3" xfId="7648" xr:uid="{00000000-0005-0000-0000-00001F0A0000}"/>
    <cellStyle name="Millares 2 5 3 2" xfId="11308" xr:uid="{00000000-0005-0000-0000-0000200A0000}"/>
    <cellStyle name="Millares 2 5 4" xfId="10817" xr:uid="{00000000-0005-0000-0000-0000210A0000}"/>
    <cellStyle name="Millares 2 5 5" xfId="14197" xr:uid="{794414BC-C500-41D8-8DB8-089BD7A38C6F}"/>
    <cellStyle name="Millares 2 5 6" xfId="17823" xr:uid="{CDF79806-B98F-48F3-A96E-77A4E8DE8063}"/>
    <cellStyle name="Millares 2 5_1.2.b" xfId="16129" xr:uid="{C2A6347E-4C6B-4A61-B39A-5828945652E2}"/>
    <cellStyle name="Millares 2 50" xfId="1105" xr:uid="{00000000-0005-0000-0000-0000220A0000}"/>
    <cellStyle name="Millares 2 50 2" xfId="10818" xr:uid="{00000000-0005-0000-0000-0000230A0000}"/>
    <cellStyle name="Millares 2 51" xfId="1106" xr:uid="{00000000-0005-0000-0000-0000240A0000}"/>
    <cellStyle name="Millares 2 51 2" xfId="10819" xr:uid="{00000000-0005-0000-0000-0000250A0000}"/>
    <cellStyle name="Millares 2 52" xfId="1107" xr:uid="{00000000-0005-0000-0000-0000260A0000}"/>
    <cellStyle name="Millares 2 52 2" xfId="10820" xr:uid="{00000000-0005-0000-0000-0000270A0000}"/>
    <cellStyle name="Millares 2 53" xfId="1108" xr:uid="{00000000-0005-0000-0000-0000280A0000}"/>
    <cellStyle name="Millares 2 53 2" xfId="10821" xr:uid="{00000000-0005-0000-0000-0000290A0000}"/>
    <cellStyle name="Millares 2 54" xfId="1109" xr:uid="{00000000-0005-0000-0000-00002A0A0000}"/>
    <cellStyle name="Millares 2 54 2" xfId="10822" xr:uid="{00000000-0005-0000-0000-00002B0A0000}"/>
    <cellStyle name="Millares 2 55" xfId="1110" xr:uid="{00000000-0005-0000-0000-00002C0A0000}"/>
    <cellStyle name="Millares 2 55 2" xfId="10823" xr:uid="{00000000-0005-0000-0000-00002D0A0000}"/>
    <cellStyle name="Millares 2 56" xfId="1111" xr:uid="{00000000-0005-0000-0000-00002E0A0000}"/>
    <cellStyle name="Millares 2 56 2" xfId="10824" xr:uid="{00000000-0005-0000-0000-00002F0A0000}"/>
    <cellStyle name="Millares 2 57" xfId="1112" xr:uid="{00000000-0005-0000-0000-0000300A0000}"/>
    <cellStyle name="Millares 2 57 2" xfId="10825" xr:uid="{00000000-0005-0000-0000-0000310A0000}"/>
    <cellStyle name="Millares 2 58" xfId="1113" xr:uid="{00000000-0005-0000-0000-0000320A0000}"/>
    <cellStyle name="Millares 2 58 2" xfId="10826" xr:uid="{00000000-0005-0000-0000-0000330A0000}"/>
    <cellStyle name="Millares 2 59" xfId="1114" xr:uid="{00000000-0005-0000-0000-0000340A0000}"/>
    <cellStyle name="Millares 2 59 2" xfId="10827" xr:uid="{00000000-0005-0000-0000-0000350A0000}"/>
    <cellStyle name="Millares 2 6" xfId="1115" xr:uid="{00000000-0005-0000-0000-0000360A0000}"/>
    <cellStyle name="Millares 2 6 2" xfId="4274" xr:uid="{00000000-0005-0000-0000-0000370A0000}"/>
    <cellStyle name="Millares 2 6 2 2" xfId="11085" xr:uid="{00000000-0005-0000-0000-0000380A0000}"/>
    <cellStyle name="Millares 2 6 2 2 2" xfId="14766" xr:uid="{6A2BC26D-445C-4FE7-822D-BAAAFEA0ACD7}"/>
    <cellStyle name="Millares 2 6 2 2 3" xfId="18144" xr:uid="{F36BE072-12FF-40DB-B9AF-D961E1E17B76}"/>
    <cellStyle name="Millares 2 6 2 2_1.2.b" xfId="16134" xr:uid="{A744C019-5DBC-4528-AA18-4F772FB7A48F}"/>
    <cellStyle name="Millares 2 6 2 3" xfId="14715" xr:uid="{781D76A1-AD66-41D8-90D7-415281B706F1}"/>
    <cellStyle name="Millares 2 6 2 4" xfId="18130" xr:uid="{576C6074-67C6-4AE1-B895-171FCA01C847}"/>
    <cellStyle name="Millares 2 6 2_1.2.b" xfId="16133" xr:uid="{448B98C4-B01C-4235-824A-AA1E46887058}"/>
    <cellStyle name="Millares 2 6 3" xfId="10828" xr:uid="{00000000-0005-0000-0000-0000390A0000}"/>
    <cellStyle name="Millares 2 6 4" xfId="14198" xr:uid="{0E0D25C6-CFFB-480D-92B2-6AC0A646A4E6}"/>
    <cellStyle name="Millares 2 6 5" xfId="17824" xr:uid="{38004B72-E867-4516-A345-E1DFF487EA4E}"/>
    <cellStyle name="Millares 2 6_1.2.b" xfId="16132" xr:uid="{21FA826B-113B-4253-AC5C-4E3419BE07C9}"/>
    <cellStyle name="Millares 2 60" xfId="1116" xr:uid="{00000000-0005-0000-0000-00003A0A0000}"/>
    <cellStyle name="Millares 2 60 2" xfId="10829" xr:uid="{00000000-0005-0000-0000-00003B0A0000}"/>
    <cellStyle name="Millares 2 61" xfId="1117" xr:uid="{00000000-0005-0000-0000-00003C0A0000}"/>
    <cellStyle name="Millares 2 61 2" xfId="10830" xr:uid="{00000000-0005-0000-0000-00003D0A0000}"/>
    <cellStyle name="Millares 2 62" xfId="1118" xr:uid="{00000000-0005-0000-0000-00003E0A0000}"/>
    <cellStyle name="Millares 2 62 2" xfId="10831" xr:uid="{00000000-0005-0000-0000-00003F0A0000}"/>
    <cellStyle name="Millares 2 63" xfId="1119" xr:uid="{00000000-0005-0000-0000-0000400A0000}"/>
    <cellStyle name="Millares 2 63 2" xfId="10832" xr:uid="{00000000-0005-0000-0000-0000410A0000}"/>
    <cellStyle name="Millares 2 64" xfId="1120" xr:uid="{00000000-0005-0000-0000-0000420A0000}"/>
    <cellStyle name="Millares 2 64 2" xfId="10833" xr:uid="{00000000-0005-0000-0000-0000430A0000}"/>
    <cellStyle name="Millares 2 65" xfId="1121" xr:uid="{00000000-0005-0000-0000-0000440A0000}"/>
    <cellStyle name="Millares 2 65 2" xfId="10834" xr:uid="{00000000-0005-0000-0000-0000450A0000}"/>
    <cellStyle name="Millares 2 66" xfId="1122" xr:uid="{00000000-0005-0000-0000-0000460A0000}"/>
    <cellStyle name="Millares 2 66 2" xfId="10835" xr:uid="{00000000-0005-0000-0000-0000470A0000}"/>
    <cellStyle name="Millares 2 67" xfId="1123" xr:uid="{00000000-0005-0000-0000-0000480A0000}"/>
    <cellStyle name="Millares 2 67 2" xfId="10836" xr:uid="{00000000-0005-0000-0000-0000490A0000}"/>
    <cellStyle name="Millares 2 68" xfId="1124" xr:uid="{00000000-0005-0000-0000-00004A0A0000}"/>
    <cellStyle name="Millares 2 68 2" xfId="10837" xr:uid="{00000000-0005-0000-0000-00004B0A0000}"/>
    <cellStyle name="Millares 2 69" xfId="1125" xr:uid="{00000000-0005-0000-0000-00004C0A0000}"/>
    <cellStyle name="Millares 2 69 2" xfId="10838" xr:uid="{00000000-0005-0000-0000-00004D0A0000}"/>
    <cellStyle name="Millares 2 7" xfId="1126" xr:uid="{00000000-0005-0000-0000-00004E0A0000}"/>
    <cellStyle name="Millares 2 7 2" xfId="7649" xr:uid="{00000000-0005-0000-0000-00004F0A0000}"/>
    <cellStyle name="Millares 2 7 2 2" xfId="11309" xr:uid="{00000000-0005-0000-0000-0000500A0000}"/>
    <cellStyle name="Millares 2 7 3" xfId="10839" xr:uid="{00000000-0005-0000-0000-0000510A0000}"/>
    <cellStyle name="Millares 2 7 4" xfId="14702" xr:uid="{C96A584F-54C1-4E93-B50E-BD702E89538A}"/>
    <cellStyle name="Millares 2 7_1.2.b" xfId="16135" xr:uid="{248C6AF9-C3A1-447B-B11D-6A25F97114FC}"/>
    <cellStyle name="Millares 2 70" xfId="1127" xr:uid="{00000000-0005-0000-0000-0000520A0000}"/>
    <cellStyle name="Millares 2 70 2" xfId="10840" xr:uid="{00000000-0005-0000-0000-0000530A0000}"/>
    <cellStyle name="Millares 2 71" xfId="1128" xr:uid="{00000000-0005-0000-0000-0000540A0000}"/>
    <cellStyle name="Millares 2 71 2" xfId="10841" xr:uid="{00000000-0005-0000-0000-0000550A0000}"/>
    <cellStyle name="Millares 2 72" xfId="1129" xr:uid="{00000000-0005-0000-0000-0000560A0000}"/>
    <cellStyle name="Millares 2 72 2" xfId="10842" xr:uid="{00000000-0005-0000-0000-0000570A0000}"/>
    <cellStyle name="Millares 2 73" xfId="1130" xr:uid="{00000000-0005-0000-0000-0000580A0000}"/>
    <cellStyle name="Millares 2 73 2" xfId="10843" xr:uid="{00000000-0005-0000-0000-0000590A0000}"/>
    <cellStyle name="Millares 2 74" xfId="1131" xr:uid="{00000000-0005-0000-0000-00005A0A0000}"/>
    <cellStyle name="Millares 2 74 2" xfId="10844" xr:uid="{00000000-0005-0000-0000-00005B0A0000}"/>
    <cellStyle name="Millares 2 75" xfId="1132" xr:uid="{00000000-0005-0000-0000-00005C0A0000}"/>
    <cellStyle name="Millares 2 75 2" xfId="10845" xr:uid="{00000000-0005-0000-0000-00005D0A0000}"/>
    <cellStyle name="Millares 2 76" xfId="1133" xr:uid="{00000000-0005-0000-0000-00005E0A0000}"/>
    <cellStyle name="Millares 2 76 2" xfId="10846" xr:uid="{00000000-0005-0000-0000-00005F0A0000}"/>
    <cellStyle name="Millares 2 77" xfId="1134" xr:uid="{00000000-0005-0000-0000-0000600A0000}"/>
    <cellStyle name="Millares 2 77 2" xfId="10847" xr:uid="{00000000-0005-0000-0000-0000610A0000}"/>
    <cellStyle name="Millares 2 78" xfId="1135" xr:uid="{00000000-0005-0000-0000-0000620A0000}"/>
    <cellStyle name="Millares 2 78 2" xfId="10848" xr:uid="{00000000-0005-0000-0000-0000630A0000}"/>
    <cellStyle name="Millares 2 79" xfId="1136" xr:uid="{00000000-0005-0000-0000-0000640A0000}"/>
    <cellStyle name="Millares 2 79 2" xfId="10849" xr:uid="{00000000-0005-0000-0000-0000650A0000}"/>
    <cellStyle name="Millares 2 8" xfId="1137" xr:uid="{00000000-0005-0000-0000-0000660A0000}"/>
    <cellStyle name="Millares 2 8 2" xfId="7650" xr:uid="{00000000-0005-0000-0000-0000670A0000}"/>
    <cellStyle name="Millares 2 8 2 2" xfId="11310" xr:uid="{00000000-0005-0000-0000-0000680A0000}"/>
    <cellStyle name="Millares 2 8 3" xfId="10850" xr:uid="{00000000-0005-0000-0000-0000690A0000}"/>
    <cellStyle name="Millares 2 80" xfId="1138" xr:uid="{00000000-0005-0000-0000-00006A0A0000}"/>
    <cellStyle name="Millares 2 80 2" xfId="10851" xr:uid="{00000000-0005-0000-0000-00006B0A0000}"/>
    <cellStyle name="Millares 2 81" xfId="1139" xr:uid="{00000000-0005-0000-0000-00006C0A0000}"/>
    <cellStyle name="Millares 2 81 2" xfId="10852" xr:uid="{00000000-0005-0000-0000-00006D0A0000}"/>
    <cellStyle name="Millares 2 82" xfId="1140" xr:uid="{00000000-0005-0000-0000-00006E0A0000}"/>
    <cellStyle name="Millares 2 82 2" xfId="10853" xr:uid="{00000000-0005-0000-0000-00006F0A0000}"/>
    <cellStyle name="Millares 2 83" xfId="1141" xr:uid="{00000000-0005-0000-0000-0000700A0000}"/>
    <cellStyle name="Millares 2 83 2" xfId="10854" xr:uid="{00000000-0005-0000-0000-0000710A0000}"/>
    <cellStyle name="Millares 2 84" xfId="4051" xr:uid="{00000000-0005-0000-0000-0000720A0000}"/>
    <cellStyle name="Millares 2 84 2" xfId="9555" xr:uid="{00000000-0005-0000-0000-0000730A0000}"/>
    <cellStyle name="Millares 2 84 2 2" xfId="10258" xr:uid="{00000000-0005-0000-0000-0000740A0000}"/>
    <cellStyle name="Millares 2 84 2 2 2" xfId="11993" xr:uid="{00000000-0005-0000-0000-0000750A0000}"/>
    <cellStyle name="Millares 2 84 2 3" xfId="11346" xr:uid="{00000000-0005-0000-0000-0000760A0000}"/>
    <cellStyle name="Millares 2 84 3" xfId="9961" xr:uid="{00000000-0005-0000-0000-0000770A0000}"/>
    <cellStyle name="Millares 2 84 3 2" xfId="11697" xr:uid="{00000000-0005-0000-0000-0000780A0000}"/>
    <cellStyle name="Millares 2 84 4" xfId="10918" xr:uid="{00000000-0005-0000-0000-0000790A0000}"/>
    <cellStyle name="Millares 2 85" xfId="4170" xr:uid="{00000000-0005-0000-0000-00007A0A0000}"/>
    <cellStyle name="Millares 2 85 2" xfId="9608" xr:uid="{00000000-0005-0000-0000-00007B0A0000}"/>
    <cellStyle name="Millares 2 85 2 2" xfId="10309" xr:uid="{00000000-0005-0000-0000-00007C0A0000}"/>
    <cellStyle name="Millares 2 85 2 2 2" xfId="12044" xr:uid="{00000000-0005-0000-0000-00007D0A0000}"/>
    <cellStyle name="Millares 2 85 2 3" xfId="11397" xr:uid="{00000000-0005-0000-0000-00007E0A0000}"/>
    <cellStyle name="Millares 2 85 3" xfId="10012" xr:uid="{00000000-0005-0000-0000-00007F0A0000}"/>
    <cellStyle name="Millares 2 85 3 2" xfId="11748" xr:uid="{00000000-0005-0000-0000-0000800A0000}"/>
    <cellStyle name="Millares 2 85 4" xfId="10983" xr:uid="{00000000-0005-0000-0000-0000810A0000}"/>
    <cellStyle name="Millares 2 86" xfId="1013" xr:uid="{00000000-0005-0000-0000-0000820A0000}"/>
    <cellStyle name="Millares 2 86 2" xfId="10740" xr:uid="{00000000-0005-0000-0000-0000830A0000}"/>
    <cellStyle name="Millares 2 87" xfId="9898" xr:uid="{00000000-0005-0000-0000-0000840A0000}"/>
    <cellStyle name="Millares 2 88" xfId="10187" xr:uid="{00000000-0005-0000-0000-0000850A0000}"/>
    <cellStyle name="Millares 2 88 2" xfId="11923" xr:uid="{00000000-0005-0000-0000-0000860A0000}"/>
    <cellStyle name="Millares 2 89" xfId="10547" xr:uid="{00000000-0005-0000-0000-0000870A0000}"/>
    <cellStyle name="Millares 2 89 2" xfId="12282" xr:uid="{00000000-0005-0000-0000-0000880A0000}"/>
    <cellStyle name="Millares 2 9" xfId="1142" xr:uid="{00000000-0005-0000-0000-0000890A0000}"/>
    <cellStyle name="Millares 2 9 2" xfId="7651" xr:uid="{00000000-0005-0000-0000-00008A0A0000}"/>
    <cellStyle name="Millares 2 9 2 2" xfId="11311" xr:uid="{00000000-0005-0000-0000-00008B0A0000}"/>
    <cellStyle name="Millares 2 9 3" xfId="10855" xr:uid="{00000000-0005-0000-0000-00008C0A0000}"/>
    <cellStyle name="Millares 2 90" xfId="10614" xr:uid="{00000000-0005-0000-0000-00008D0A0000}"/>
    <cellStyle name="Millares 2 90 2" xfId="12341" xr:uid="{00000000-0005-0000-0000-00008E0A0000}"/>
    <cellStyle name="Millares 2 91" xfId="10634" xr:uid="{00000000-0005-0000-0000-00008F0A0000}"/>
    <cellStyle name="Millares 2 92" xfId="12354" xr:uid="{00000000-0005-0000-0000-0000900A0000}"/>
    <cellStyle name="Millares 2 93" xfId="12357" xr:uid="{00000000-0005-0000-0000-0000910A0000}"/>
    <cellStyle name="Millares 2 94" xfId="12390" xr:uid="{00000000-0005-0000-0000-0000920A0000}"/>
    <cellStyle name="Millares 2 95" xfId="12404" xr:uid="{F77C5CBF-8875-4FAA-AEBD-791E1B9AA686}"/>
    <cellStyle name="Millares 2 96" xfId="14189" xr:uid="{296AF3FE-BAC5-40FD-B76D-B608CA806863}"/>
    <cellStyle name="Millares 2 97" xfId="17815" xr:uid="{6A034454-E0EE-4872-9209-274463E99F24}"/>
    <cellStyle name="Millares 2 98" xfId="18222" xr:uid="{E94D41AA-6893-48DB-848B-32611835B330}"/>
    <cellStyle name="Millares 2 99" xfId="17787" xr:uid="{2989F337-EC74-4D91-B6C0-308819662D56}"/>
    <cellStyle name="Millares 2_1.2.b" xfId="16108" xr:uid="{DB7E72BC-8E62-4953-9063-C0C5CD94AB48}"/>
    <cellStyle name="Millares 20" xfId="4308" xr:uid="{00000000-0005-0000-0000-0000930A0000}"/>
    <cellStyle name="Millares 20 2" xfId="11116" xr:uid="{00000000-0005-0000-0000-0000940A0000}"/>
    <cellStyle name="Millares 21" xfId="4317" xr:uid="{00000000-0005-0000-0000-0000950A0000}"/>
    <cellStyle name="Millares 21 2" xfId="11124" xr:uid="{00000000-0005-0000-0000-0000960A0000}"/>
    <cellStyle name="Millares 22" xfId="4318" xr:uid="{00000000-0005-0000-0000-0000970A0000}"/>
    <cellStyle name="Millares 22 2" xfId="11125" xr:uid="{00000000-0005-0000-0000-0000980A0000}"/>
    <cellStyle name="Millares 23" xfId="4301" xr:uid="{00000000-0005-0000-0000-0000990A0000}"/>
    <cellStyle name="Millares 23 2" xfId="11110" xr:uid="{00000000-0005-0000-0000-00009A0A0000}"/>
    <cellStyle name="Millares 24" xfId="4327" xr:uid="{00000000-0005-0000-0000-00009B0A0000}"/>
    <cellStyle name="Millares 24 2" xfId="11133" xr:uid="{00000000-0005-0000-0000-00009C0A0000}"/>
    <cellStyle name="Millares 25" xfId="4326" xr:uid="{00000000-0005-0000-0000-00009D0A0000}"/>
    <cellStyle name="Millares 25 2" xfId="11132" xr:uid="{00000000-0005-0000-0000-00009E0A0000}"/>
    <cellStyle name="Millares 26" xfId="7583" xr:uid="{00000000-0005-0000-0000-00009F0A0000}"/>
    <cellStyle name="Millares 26 2" xfId="11250" xr:uid="{00000000-0005-0000-0000-0000A00A0000}"/>
    <cellStyle name="Millares 27" xfId="9839" xr:uid="{00000000-0005-0000-0000-0000A10A0000}"/>
    <cellStyle name="Millares 27 2" xfId="11625" xr:uid="{00000000-0005-0000-0000-0000A20A0000}"/>
    <cellStyle name="Millares 28" xfId="9841" xr:uid="{00000000-0005-0000-0000-0000A30A0000}"/>
    <cellStyle name="Millares 29" xfId="9859" xr:uid="{00000000-0005-0000-0000-0000A40A0000}"/>
    <cellStyle name="Millares 29 2" xfId="11644" xr:uid="{00000000-0005-0000-0000-0000A50A0000}"/>
    <cellStyle name="Millares 3" xfId="28" xr:uid="{00000000-0005-0000-0000-0000A60A0000}"/>
    <cellStyle name="Millares 3 10" xfId="1144" xr:uid="{00000000-0005-0000-0000-0000A70A0000}"/>
    <cellStyle name="Millares 3 11" xfId="1145" xr:uid="{00000000-0005-0000-0000-0000A80A0000}"/>
    <cellStyle name="Millares 3 12" xfId="1146" xr:uid="{00000000-0005-0000-0000-0000A90A0000}"/>
    <cellStyle name="Millares 3 12 2" xfId="7653" xr:uid="{00000000-0005-0000-0000-0000AA0A0000}"/>
    <cellStyle name="Millares 3 12 2 2" xfId="11313" xr:uid="{00000000-0005-0000-0000-0000AB0A0000}"/>
    <cellStyle name="Millares 3 12 3" xfId="10857" xr:uid="{00000000-0005-0000-0000-0000AC0A0000}"/>
    <cellStyle name="Millares 3 13" xfId="1147" xr:uid="{00000000-0005-0000-0000-0000AD0A0000}"/>
    <cellStyle name="Millares 3 13 2" xfId="7654" xr:uid="{00000000-0005-0000-0000-0000AE0A0000}"/>
    <cellStyle name="Millares 3 13 2 2" xfId="11314" xr:uid="{00000000-0005-0000-0000-0000AF0A0000}"/>
    <cellStyle name="Millares 3 13 3" xfId="10858" xr:uid="{00000000-0005-0000-0000-0000B00A0000}"/>
    <cellStyle name="Millares 3 14" xfId="1148" xr:uid="{00000000-0005-0000-0000-0000B10A0000}"/>
    <cellStyle name="Millares 3 14 2" xfId="7655" xr:uid="{00000000-0005-0000-0000-0000B20A0000}"/>
    <cellStyle name="Millares 3 14 2 2" xfId="11315" xr:uid="{00000000-0005-0000-0000-0000B30A0000}"/>
    <cellStyle name="Millares 3 14 3" xfId="10859" xr:uid="{00000000-0005-0000-0000-0000B40A0000}"/>
    <cellStyle name="Millares 3 15" xfId="1149" xr:uid="{00000000-0005-0000-0000-0000B50A0000}"/>
    <cellStyle name="Millares 3 15 2" xfId="7656" xr:uid="{00000000-0005-0000-0000-0000B60A0000}"/>
    <cellStyle name="Millares 3 15 2 2" xfId="11316" xr:uid="{00000000-0005-0000-0000-0000B70A0000}"/>
    <cellStyle name="Millares 3 15 3" xfId="10860" xr:uid="{00000000-0005-0000-0000-0000B80A0000}"/>
    <cellStyle name="Millares 3 16" xfId="1150" xr:uid="{00000000-0005-0000-0000-0000B90A0000}"/>
    <cellStyle name="Millares 3 16 2" xfId="7657" xr:uid="{00000000-0005-0000-0000-0000BA0A0000}"/>
    <cellStyle name="Millares 3 16 2 2" xfId="11317" xr:uid="{00000000-0005-0000-0000-0000BB0A0000}"/>
    <cellStyle name="Millares 3 16 3" xfId="10861" xr:uid="{00000000-0005-0000-0000-0000BC0A0000}"/>
    <cellStyle name="Millares 3 17" xfId="1151" xr:uid="{00000000-0005-0000-0000-0000BD0A0000}"/>
    <cellStyle name="Millares 3 17 2" xfId="7658" xr:uid="{00000000-0005-0000-0000-0000BE0A0000}"/>
    <cellStyle name="Millares 3 17 2 2" xfId="11318" xr:uid="{00000000-0005-0000-0000-0000BF0A0000}"/>
    <cellStyle name="Millares 3 17 3" xfId="10862" xr:uid="{00000000-0005-0000-0000-0000C00A0000}"/>
    <cellStyle name="Millares 3 18" xfId="1152" xr:uid="{00000000-0005-0000-0000-0000C10A0000}"/>
    <cellStyle name="Millares 3 18 2" xfId="7659" xr:uid="{00000000-0005-0000-0000-0000C20A0000}"/>
    <cellStyle name="Millares 3 18 2 2" xfId="11319" xr:uid="{00000000-0005-0000-0000-0000C30A0000}"/>
    <cellStyle name="Millares 3 18 3" xfId="10863" xr:uid="{00000000-0005-0000-0000-0000C40A0000}"/>
    <cellStyle name="Millares 3 19" xfId="1153" xr:uid="{00000000-0005-0000-0000-0000C50A0000}"/>
    <cellStyle name="Millares 3 19 2" xfId="7660" xr:uid="{00000000-0005-0000-0000-0000C60A0000}"/>
    <cellStyle name="Millares 3 19 2 2" xfId="11320" xr:uid="{00000000-0005-0000-0000-0000C70A0000}"/>
    <cellStyle name="Millares 3 19 3" xfId="10864" xr:uid="{00000000-0005-0000-0000-0000C80A0000}"/>
    <cellStyle name="Millares 3 2" xfId="90" xr:uid="{00000000-0005-0000-0000-0000C90A0000}"/>
    <cellStyle name="Millares 3 2 10" xfId="4221" xr:uid="{00000000-0005-0000-0000-0000CA0A0000}"/>
    <cellStyle name="Millares 3 2 10 2" xfId="9656" xr:uid="{00000000-0005-0000-0000-0000CB0A0000}"/>
    <cellStyle name="Millares 3 2 10 2 2" xfId="10357" xr:uid="{00000000-0005-0000-0000-0000CC0A0000}"/>
    <cellStyle name="Millares 3 2 10 2 2 2" xfId="12092" xr:uid="{00000000-0005-0000-0000-0000CD0A0000}"/>
    <cellStyle name="Millares 3 2 10 2 3" xfId="11445" xr:uid="{00000000-0005-0000-0000-0000CE0A0000}"/>
    <cellStyle name="Millares 3 2 10 3" xfId="10060" xr:uid="{00000000-0005-0000-0000-0000CF0A0000}"/>
    <cellStyle name="Millares 3 2 10 3 2" xfId="11796" xr:uid="{00000000-0005-0000-0000-0000D00A0000}"/>
    <cellStyle name="Millares 3 2 10 4" xfId="11032" xr:uid="{00000000-0005-0000-0000-0000D10A0000}"/>
    <cellStyle name="Millares 3 2 11" xfId="7661" xr:uid="{00000000-0005-0000-0000-0000D20A0000}"/>
    <cellStyle name="Millares 3 2 11 2" xfId="11321" xr:uid="{00000000-0005-0000-0000-0000D30A0000}"/>
    <cellStyle name="Millares 3 2 12" xfId="1154" xr:uid="{00000000-0005-0000-0000-0000D40A0000}"/>
    <cellStyle name="Millares 3 2 12 2" xfId="10865" xr:uid="{00000000-0005-0000-0000-0000D50A0000}"/>
    <cellStyle name="Millares 3 2 2" xfId="1155" xr:uid="{00000000-0005-0000-0000-0000D60A0000}"/>
    <cellStyle name="Millares 3 2 2 2" xfId="4272" xr:uid="{00000000-0005-0000-0000-0000D70A0000}"/>
    <cellStyle name="Millares 3 2 2 2 2" xfId="9707" xr:uid="{00000000-0005-0000-0000-0000D80A0000}"/>
    <cellStyle name="Millares 3 2 2 2 2 2" xfId="10408" xr:uid="{00000000-0005-0000-0000-0000D90A0000}"/>
    <cellStyle name="Millares 3 2 2 2 2 2 2" xfId="12143" xr:uid="{00000000-0005-0000-0000-0000DA0A0000}"/>
    <cellStyle name="Millares 3 2 2 2 2 3" xfId="11496" xr:uid="{00000000-0005-0000-0000-0000DB0A0000}"/>
    <cellStyle name="Millares 3 2 2 2 3" xfId="10111" xr:uid="{00000000-0005-0000-0000-0000DC0A0000}"/>
    <cellStyle name="Millares 3 2 2 2 3 2" xfId="11847" xr:uid="{00000000-0005-0000-0000-0000DD0A0000}"/>
    <cellStyle name="Millares 3 2 2 2 4" xfId="11083" xr:uid="{00000000-0005-0000-0000-0000DE0A0000}"/>
    <cellStyle name="Millares 3 2 3" xfId="1156" xr:uid="{00000000-0005-0000-0000-0000DF0A0000}"/>
    <cellStyle name="Millares 3 2 4" xfId="1157" xr:uid="{00000000-0005-0000-0000-0000E00A0000}"/>
    <cellStyle name="Millares 3 2 5" xfId="1158" xr:uid="{00000000-0005-0000-0000-0000E10A0000}"/>
    <cellStyle name="Millares 3 2 6" xfId="1159" xr:uid="{00000000-0005-0000-0000-0000E20A0000}"/>
    <cellStyle name="Millares 3 2 7" xfId="1160" xr:uid="{00000000-0005-0000-0000-0000E30A0000}"/>
    <cellStyle name="Millares 3 2 8" xfId="1161" xr:uid="{00000000-0005-0000-0000-0000E40A0000}"/>
    <cellStyle name="Millares 3 2 9" xfId="4158" xr:uid="{00000000-0005-0000-0000-0000E50A0000}"/>
    <cellStyle name="Millares 3 2 9 2" xfId="9604" xr:uid="{00000000-0005-0000-0000-0000E60A0000}"/>
    <cellStyle name="Millares 3 2 9 2 2" xfId="10306" xr:uid="{00000000-0005-0000-0000-0000E70A0000}"/>
    <cellStyle name="Millares 3 2 9 2 2 2" xfId="12041" xr:uid="{00000000-0005-0000-0000-0000E80A0000}"/>
    <cellStyle name="Millares 3 2 9 2 3" xfId="11394" xr:uid="{00000000-0005-0000-0000-0000E90A0000}"/>
    <cellStyle name="Millares 3 2 9 3" xfId="10009" xr:uid="{00000000-0005-0000-0000-0000EA0A0000}"/>
    <cellStyle name="Millares 3 2 9 3 2" xfId="11745" xr:uid="{00000000-0005-0000-0000-0000EB0A0000}"/>
    <cellStyle name="Millares 3 2 9 4" xfId="10972" xr:uid="{00000000-0005-0000-0000-0000EC0A0000}"/>
    <cellStyle name="Millares 3 2_1.2.b" xfId="16136" xr:uid="{87AAF37F-A613-4F8F-A270-0E8BB06E3A7F}"/>
    <cellStyle name="Millares 3 20" xfId="1162" xr:uid="{00000000-0005-0000-0000-0000ED0A0000}"/>
    <cellStyle name="Millares 3 20 2" xfId="7662" xr:uid="{00000000-0005-0000-0000-0000EE0A0000}"/>
    <cellStyle name="Millares 3 20 2 2" xfId="11322" xr:uid="{00000000-0005-0000-0000-0000EF0A0000}"/>
    <cellStyle name="Millares 3 20 3" xfId="10866" xr:uid="{00000000-0005-0000-0000-0000F00A0000}"/>
    <cellStyle name="Millares 3 21" xfId="1163" xr:uid="{00000000-0005-0000-0000-0000F10A0000}"/>
    <cellStyle name="Millares 3 21 2" xfId="7663" xr:uid="{00000000-0005-0000-0000-0000F20A0000}"/>
    <cellStyle name="Millares 3 21 2 2" xfId="11323" xr:uid="{00000000-0005-0000-0000-0000F30A0000}"/>
    <cellStyle name="Millares 3 21 3" xfId="10867" xr:uid="{00000000-0005-0000-0000-0000F40A0000}"/>
    <cellStyle name="Millares 3 22" xfId="1164" xr:uid="{00000000-0005-0000-0000-0000F50A0000}"/>
    <cellStyle name="Millares 3 22 2" xfId="7664" xr:uid="{00000000-0005-0000-0000-0000F60A0000}"/>
    <cellStyle name="Millares 3 22 2 2" xfId="11324" xr:uid="{00000000-0005-0000-0000-0000F70A0000}"/>
    <cellStyle name="Millares 3 22 3" xfId="10868" xr:uid="{00000000-0005-0000-0000-0000F80A0000}"/>
    <cellStyle name="Millares 3 23" xfId="1165" xr:uid="{00000000-0005-0000-0000-0000F90A0000}"/>
    <cellStyle name="Millares 3 23 2" xfId="7665" xr:uid="{00000000-0005-0000-0000-0000FA0A0000}"/>
    <cellStyle name="Millares 3 23 2 2" xfId="11325" xr:uid="{00000000-0005-0000-0000-0000FB0A0000}"/>
    <cellStyle name="Millares 3 23 3" xfId="10869" xr:uid="{00000000-0005-0000-0000-0000FC0A0000}"/>
    <cellStyle name="Millares 3 24" xfId="1166" xr:uid="{00000000-0005-0000-0000-0000FD0A0000}"/>
    <cellStyle name="Millares 3 24 2" xfId="7666" xr:uid="{00000000-0005-0000-0000-0000FE0A0000}"/>
    <cellStyle name="Millares 3 24 2 2" xfId="11326" xr:uid="{00000000-0005-0000-0000-0000FF0A0000}"/>
    <cellStyle name="Millares 3 24 3" xfId="10870" xr:uid="{00000000-0005-0000-0000-0000000B0000}"/>
    <cellStyle name="Millares 3 25" xfId="1167" xr:uid="{00000000-0005-0000-0000-0000010B0000}"/>
    <cellStyle name="Millares 3 25 2" xfId="7667" xr:uid="{00000000-0005-0000-0000-0000020B0000}"/>
    <cellStyle name="Millares 3 25 2 2" xfId="11327" xr:uid="{00000000-0005-0000-0000-0000030B0000}"/>
    <cellStyle name="Millares 3 25 3" xfId="10871" xr:uid="{00000000-0005-0000-0000-0000040B0000}"/>
    <cellStyle name="Millares 3 26" xfId="1168" xr:uid="{00000000-0005-0000-0000-0000050B0000}"/>
    <cellStyle name="Millares 3 26 2" xfId="7668" xr:uid="{00000000-0005-0000-0000-0000060B0000}"/>
    <cellStyle name="Millares 3 26 2 2" xfId="11328" xr:uid="{00000000-0005-0000-0000-0000070B0000}"/>
    <cellStyle name="Millares 3 26 3" xfId="10872" xr:uid="{00000000-0005-0000-0000-0000080B0000}"/>
    <cellStyle name="Millares 3 27" xfId="1169" xr:uid="{00000000-0005-0000-0000-0000090B0000}"/>
    <cellStyle name="Millares 3 27 2" xfId="7669" xr:uid="{00000000-0005-0000-0000-00000A0B0000}"/>
    <cellStyle name="Millares 3 27 2 2" xfId="11329" xr:uid="{00000000-0005-0000-0000-00000B0B0000}"/>
    <cellStyle name="Millares 3 27 3" xfId="10873" xr:uid="{00000000-0005-0000-0000-00000C0B0000}"/>
    <cellStyle name="Millares 3 28" xfId="1170" xr:uid="{00000000-0005-0000-0000-00000D0B0000}"/>
    <cellStyle name="Millares 3 28 2" xfId="7670" xr:uid="{00000000-0005-0000-0000-00000E0B0000}"/>
    <cellStyle name="Millares 3 28 2 2" xfId="11330" xr:uid="{00000000-0005-0000-0000-00000F0B0000}"/>
    <cellStyle name="Millares 3 28 3" xfId="10874" xr:uid="{00000000-0005-0000-0000-0000100B0000}"/>
    <cellStyle name="Millares 3 29" xfId="1171" xr:uid="{00000000-0005-0000-0000-0000110B0000}"/>
    <cellStyle name="Millares 3 29 2" xfId="7671" xr:uid="{00000000-0005-0000-0000-0000120B0000}"/>
    <cellStyle name="Millares 3 29 2 2" xfId="11331" xr:uid="{00000000-0005-0000-0000-0000130B0000}"/>
    <cellStyle name="Millares 3 29 3" xfId="10875" xr:uid="{00000000-0005-0000-0000-0000140B0000}"/>
    <cellStyle name="Millares 3 3" xfId="1172" xr:uid="{00000000-0005-0000-0000-0000150B0000}"/>
    <cellStyle name="Millares 3 3 2" xfId="4118" xr:uid="{00000000-0005-0000-0000-0000160B0000}"/>
    <cellStyle name="Millares 3 3 2 2" xfId="4254" xr:uid="{00000000-0005-0000-0000-0000170B0000}"/>
    <cellStyle name="Millares 3 3 2 2 2" xfId="9689" xr:uid="{00000000-0005-0000-0000-0000180B0000}"/>
    <cellStyle name="Millares 3 3 2 2 2 2" xfId="10390" xr:uid="{00000000-0005-0000-0000-0000190B0000}"/>
    <cellStyle name="Millares 3 3 2 2 2 2 2" xfId="12125" xr:uid="{00000000-0005-0000-0000-00001A0B0000}"/>
    <cellStyle name="Millares 3 3 2 2 2 3" xfId="11478" xr:uid="{00000000-0005-0000-0000-00001B0B0000}"/>
    <cellStyle name="Millares 3 3 2 2 3" xfId="10093" xr:uid="{00000000-0005-0000-0000-00001C0B0000}"/>
    <cellStyle name="Millares 3 3 2 2 3 2" xfId="11829" xr:uid="{00000000-0005-0000-0000-00001D0B0000}"/>
    <cellStyle name="Millares 3 3 2 2 4" xfId="11065" xr:uid="{00000000-0005-0000-0000-00001E0B0000}"/>
    <cellStyle name="Millares 3 3 2 3" xfId="9585" xr:uid="{00000000-0005-0000-0000-00001F0B0000}"/>
    <cellStyle name="Millares 3 3 2 3 2" xfId="10288" xr:uid="{00000000-0005-0000-0000-0000200B0000}"/>
    <cellStyle name="Millares 3 3 2 3 2 2" xfId="12023" xr:uid="{00000000-0005-0000-0000-0000210B0000}"/>
    <cellStyle name="Millares 3 3 2 3 3" xfId="11376" xr:uid="{00000000-0005-0000-0000-0000220B0000}"/>
    <cellStyle name="Millares 3 3 2 4" xfId="9991" xr:uid="{00000000-0005-0000-0000-0000230B0000}"/>
    <cellStyle name="Millares 3 3 2 4 2" xfId="11727" xr:uid="{00000000-0005-0000-0000-0000240B0000}"/>
    <cellStyle name="Millares 3 3 2 5" xfId="10951" xr:uid="{00000000-0005-0000-0000-0000250B0000}"/>
    <cellStyle name="Millares 3 3 3" xfId="4203" xr:uid="{00000000-0005-0000-0000-0000260B0000}"/>
    <cellStyle name="Millares 3 3 3 2" xfId="9638" xr:uid="{00000000-0005-0000-0000-0000270B0000}"/>
    <cellStyle name="Millares 3 3 3 2 2" xfId="10339" xr:uid="{00000000-0005-0000-0000-0000280B0000}"/>
    <cellStyle name="Millares 3 3 3 2 2 2" xfId="12074" xr:uid="{00000000-0005-0000-0000-0000290B0000}"/>
    <cellStyle name="Millares 3 3 3 2 3" xfId="11427" xr:uid="{00000000-0005-0000-0000-00002A0B0000}"/>
    <cellStyle name="Millares 3 3 3 3" xfId="10042" xr:uid="{00000000-0005-0000-0000-00002B0B0000}"/>
    <cellStyle name="Millares 3 3 3 3 2" xfId="11778" xr:uid="{00000000-0005-0000-0000-00002C0B0000}"/>
    <cellStyle name="Millares 3 3 3 4" xfId="11014" xr:uid="{00000000-0005-0000-0000-00002D0B0000}"/>
    <cellStyle name="Millares 3 3 4" xfId="7672" xr:uid="{00000000-0005-0000-0000-00002E0B0000}"/>
    <cellStyle name="Millares 3 3 4 2" xfId="11332" xr:uid="{00000000-0005-0000-0000-00002F0B0000}"/>
    <cellStyle name="Millares 3 3 5" xfId="10876" xr:uid="{00000000-0005-0000-0000-0000300B0000}"/>
    <cellStyle name="Millares 3 30" xfId="1173" xr:uid="{00000000-0005-0000-0000-0000310B0000}"/>
    <cellStyle name="Millares 3 30 2" xfId="7673" xr:uid="{00000000-0005-0000-0000-0000320B0000}"/>
    <cellStyle name="Millares 3 30 2 2" xfId="11333" xr:uid="{00000000-0005-0000-0000-0000330B0000}"/>
    <cellStyle name="Millares 3 30 3" xfId="10877" xr:uid="{00000000-0005-0000-0000-0000340B0000}"/>
    <cellStyle name="Millares 3 31" xfId="4085" xr:uid="{00000000-0005-0000-0000-0000350B0000}"/>
    <cellStyle name="Millares 3 31 2" xfId="9569" xr:uid="{00000000-0005-0000-0000-0000360B0000}"/>
    <cellStyle name="Millares 3 31 2 2" xfId="10272" xr:uid="{00000000-0005-0000-0000-0000370B0000}"/>
    <cellStyle name="Millares 3 31 2 2 2" xfId="12007" xr:uid="{00000000-0005-0000-0000-0000380B0000}"/>
    <cellStyle name="Millares 3 31 2 3" xfId="11360" xr:uid="{00000000-0005-0000-0000-0000390B0000}"/>
    <cellStyle name="Millares 3 31 3" xfId="9975" xr:uid="{00000000-0005-0000-0000-00003A0B0000}"/>
    <cellStyle name="Millares 3 31 3 2" xfId="11711" xr:uid="{00000000-0005-0000-0000-00003B0B0000}"/>
    <cellStyle name="Millares 3 31 4" xfId="10934" xr:uid="{00000000-0005-0000-0000-00003C0B0000}"/>
    <cellStyle name="Millares 3 32" xfId="4187" xr:uid="{00000000-0005-0000-0000-00003D0B0000}"/>
    <cellStyle name="Millares 3 32 2" xfId="9622" xr:uid="{00000000-0005-0000-0000-00003E0B0000}"/>
    <cellStyle name="Millares 3 32 2 2" xfId="10323" xr:uid="{00000000-0005-0000-0000-00003F0B0000}"/>
    <cellStyle name="Millares 3 32 2 2 2" xfId="12058" xr:uid="{00000000-0005-0000-0000-0000400B0000}"/>
    <cellStyle name="Millares 3 32 2 3" xfId="11411" xr:uid="{00000000-0005-0000-0000-0000410B0000}"/>
    <cellStyle name="Millares 3 32 3" xfId="10026" xr:uid="{00000000-0005-0000-0000-0000420B0000}"/>
    <cellStyle name="Millares 3 32 3 2" xfId="11762" xr:uid="{00000000-0005-0000-0000-0000430B0000}"/>
    <cellStyle name="Millares 3 32 4" xfId="10998" xr:uid="{00000000-0005-0000-0000-0000440B0000}"/>
    <cellStyle name="Millares 3 33" xfId="4278" xr:uid="{00000000-0005-0000-0000-0000450B0000}"/>
    <cellStyle name="Millares 3 33 2" xfId="11088" xr:uid="{00000000-0005-0000-0000-0000460B0000}"/>
    <cellStyle name="Millares 3 34" xfId="7652" xr:uid="{00000000-0005-0000-0000-0000470B0000}"/>
    <cellStyle name="Millares 3 34 2" xfId="10241" xr:uid="{00000000-0005-0000-0000-0000480B0000}"/>
    <cellStyle name="Millares 3 34 2 2" xfId="11976" xr:uid="{00000000-0005-0000-0000-0000490B0000}"/>
    <cellStyle name="Millares 3 34 3" xfId="11312" xr:uid="{00000000-0005-0000-0000-00004A0B0000}"/>
    <cellStyle name="Millares 3 35" xfId="1143" xr:uid="{00000000-0005-0000-0000-00004B0B0000}"/>
    <cellStyle name="Millares 3 35 2" xfId="10856" xr:uid="{00000000-0005-0000-0000-00004C0B0000}"/>
    <cellStyle name="Millares 3 36" xfId="9899" xr:uid="{00000000-0005-0000-0000-00004D0B0000}"/>
    <cellStyle name="Millares 3 36 2" xfId="11649" xr:uid="{00000000-0005-0000-0000-00004E0B0000}"/>
    <cellStyle name="Millares 3 37" xfId="9939" xr:uid="{00000000-0005-0000-0000-00004F0B0000}"/>
    <cellStyle name="Millares 3 37 2" xfId="11675" xr:uid="{00000000-0005-0000-0000-0000500B0000}"/>
    <cellStyle name="Millares 3 38" xfId="10635" xr:uid="{00000000-0005-0000-0000-0000510B0000}"/>
    <cellStyle name="Millares 3 4" xfId="1174" xr:uid="{00000000-0005-0000-0000-0000520B0000}"/>
    <cellStyle name="Millares 3 4 2" xfId="4238" xr:uid="{00000000-0005-0000-0000-0000530B0000}"/>
    <cellStyle name="Millares 3 4 2 2" xfId="9673" xr:uid="{00000000-0005-0000-0000-0000540B0000}"/>
    <cellStyle name="Millares 3 4 2 2 2" xfId="10374" xr:uid="{00000000-0005-0000-0000-0000550B0000}"/>
    <cellStyle name="Millares 3 4 2 2 2 2" xfId="12109" xr:uid="{00000000-0005-0000-0000-0000560B0000}"/>
    <cellStyle name="Millares 3 4 2 2 3" xfId="11462" xr:uid="{00000000-0005-0000-0000-0000570B0000}"/>
    <cellStyle name="Millares 3 4 2 3" xfId="10077" xr:uid="{00000000-0005-0000-0000-0000580B0000}"/>
    <cellStyle name="Millares 3 4 2 3 2" xfId="11813" xr:uid="{00000000-0005-0000-0000-0000590B0000}"/>
    <cellStyle name="Millares 3 4 2 4" xfId="11049" xr:uid="{00000000-0005-0000-0000-00005A0B0000}"/>
    <cellStyle name="Millares 3 4 3" xfId="7674" xr:uid="{00000000-0005-0000-0000-00005B0B0000}"/>
    <cellStyle name="Millares 3 4 3 2" xfId="11334" xr:uid="{00000000-0005-0000-0000-00005C0B0000}"/>
    <cellStyle name="Millares 3 4 4" xfId="10878" xr:uid="{00000000-0005-0000-0000-00005D0B0000}"/>
    <cellStyle name="Millares 3 5" xfId="1175" xr:uid="{00000000-0005-0000-0000-00005E0B0000}"/>
    <cellStyle name="Millares 3 6" xfId="1176" xr:uid="{00000000-0005-0000-0000-00005F0B0000}"/>
    <cellStyle name="Millares 3 7" xfId="1177" xr:uid="{00000000-0005-0000-0000-0000600B0000}"/>
    <cellStyle name="Millares 3 8" xfId="1178" xr:uid="{00000000-0005-0000-0000-0000610B0000}"/>
    <cellStyle name="Millares 3 9" xfId="1179" xr:uid="{00000000-0005-0000-0000-0000620B0000}"/>
    <cellStyle name="Millares 30" xfId="10558" xr:uid="{00000000-0005-0000-0000-0000630B0000}"/>
    <cellStyle name="Millares 30 2" xfId="12293" xr:uid="{00000000-0005-0000-0000-0000640B0000}"/>
    <cellStyle name="Millares 31" xfId="11667" xr:uid="{00000000-0005-0000-0000-0000650B0000}"/>
    <cellStyle name="Millares 32" xfId="12387" xr:uid="{00000000-0005-0000-0000-0000660B0000}"/>
    <cellStyle name="Millares 33" xfId="12396" xr:uid="{00000000-0005-0000-0000-0000670B0000}"/>
    <cellStyle name="Millares 4" xfId="74" xr:uid="{00000000-0005-0000-0000-0000680B0000}"/>
    <cellStyle name="Millares 4 10" xfId="4346" xr:uid="{00000000-0005-0000-0000-0000690B0000}"/>
    <cellStyle name="Millares 4 10 2" xfId="10157" xr:uid="{00000000-0005-0000-0000-00006A0B0000}"/>
    <cellStyle name="Millares 4 10 2 2" xfId="11893" xr:uid="{00000000-0005-0000-0000-00006B0B0000}"/>
    <cellStyle name="Millares 4 10 3" xfId="11150" xr:uid="{00000000-0005-0000-0000-00006C0B0000}"/>
    <cellStyle name="Millares 4 11" xfId="1180" xr:uid="{00000000-0005-0000-0000-00006D0B0000}"/>
    <cellStyle name="Millares 4 11 2" xfId="10879" xr:uid="{00000000-0005-0000-0000-00006E0B0000}"/>
    <cellStyle name="Millares 4 12" xfId="9940" xr:uid="{00000000-0005-0000-0000-00006F0B0000}"/>
    <cellStyle name="Millares 4 12 2" xfId="11676" xr:uid="{00000000-0005-0000-0000-0000700B0000}"/>
    <cellStyle name="Millares 4 13" xfId="10646" xr:uid="{00000000-0005-0000-0000-0000710B0000}"/>
    <cellStyle name="Millares 4 14" xfId="14701" xr:uid="{7B3263CB-404E-438E-91D9-BE2FB008B30C}"/>
    <cellStyle name="Millares 4 2" xfId="91" xr:uid="{00000000-0005-0000-0000-0000720B0000}"/>
    <cellStyle name="Millares 4 2 2" xfId="1181" xr:uid="{00000000-0005-0000-0000-0000730B0000}"/>
    <cellStyle name="Millares 4 2 2 2" xfId="10880" xr:uid="{00000000-0005-0000-0000-0000740B0000}"/>
    <cellStyle name="Millares 4 2 3" xfId="10648" xr:uid="{00000000-0005-0000-0000-0000750B0000}"/>
    <cellStyle name="Millares 4 3" xfId="1182" xr:uid="{00000000-0005-0000-0000-0000760B0000}"/>
    <cellStyle name="Millares 4 3 2" xfId="10881" xr:uid="{00000000-0005-0000-0000-0000770B0000}"/>
    <cellStyle name="Millares 4 4" xfId="1183" xr:uid="{00000000-0005-0000-0000-0000780B0000}"/>
    <cellStyle name="Millares 4 4 2" xfId="10882" xr:uid="{00000000-0005-0000-0000-0000790B0000}"/>
    <cellStyle name="Millares 4 5" xfId="1184" xr:uid="{00000000-0005-0000-0000-00007A0B0000}"/>
    <cellStyle name="Millares 4 5 2" xfId="10883" xr:uid="{00000000-0005-0000-0000-00007B0B0000}"/>
    <cellStyle name="Millares 4 6" xfId="1185" xr:uid="{00000000-0005-0000-0000-00007C0B0000}"/>
    <cellStyle name="Millares 4 6 2" xfId="10884" xr:uid="{00000000-0005-0000-0000-00007D0B0000}"/>
    <cellStyle name="Millares 4 7" xfId="1186" xr:uid="{00000000-0005-0000-0000-00007E0B0000}"/>
    <cellStyle name="Millares 4 7 2" xfId="10885" xr:uid="{00000000-0005-0000-0000-00007F0B0000}"/>
    <cellStyle name="Millares 4 8" xfId="1187" xr:uid="{00000000-0005-0000-0000-0000800B0000}"/>
    <cellStyle name="Millares 4 8 2" xfId="10886" xr:uid="{00000000-0005-0000-0000-0000810B0000}"/>
    <cellStyle name="Millares 4 9" xfId="4123" xr:uid="{00000000-0005-0000-0000-0000820B0000}"/>
    <cellStyle name="Millares 4 9 2" xfId="10955" xr:uid="{00000000-0005-0000-0000-0000830B0000}"/>
    <cellStyle name="Millares 4_1.2.b" xfId="16137" xr:uid="{2F9EB0A4-2A4C-4669-AC9D-4B09D06AC5C7}"/>
    <cellStyle name="Millares 5" xfId="92" xr:uid="{00000000-0005-0000-0000-0000840B0000}"/>
    <cellStyle name="Millares 5 10" xfId="7675" xr:uid="{00000000-0005-0000-0000-0000850B0000}"/>
    <cellStyle name="Millares 5 10 2" xfId="10242" xr:uid="{00000000-0005-0000-0000-0000860B0000}"/>
    <cellStyle name="Millares 5 10 2 2" xfId="11977" xr:uid="{00000000-0005-0000-0000-0000870B0000}"/>
    <cellStyle name="Millares 5 10 3" xfId="11335" xr:uid="{00000000-0005-0000-0000-0000880B0000}"/>
    <cellStyle name="Millares 5 11" xfId="1188" xr:uid="{00000000-0005-0000-0000-0000890B0000}"/>
    <cellStyle name="Millares 5 11 2" xfId="10887" xr:uid="{00000000-0005-0000-0000-00008A0B0000}"/>
    <cellStyle name="Millares 5 12" xfId="9941" xr:uid="{00000000-0005-0000-0000-00008B0B0000}"/>
    <cellStyle name="Millares 5 12 2" xfId="11677" xr:uid="{00000000-0005-0000-0000-00008C0B0000}"/>
    <cellStyle name="Millares 5 13" xfId="10549" xr:uid="{00000000-0005-0000-0000-00008D0B0000}"/>
    <cellStyle name="Millares 5 13 2" xfId="12284" xr:uid="{00000000-0005-0000-0000-00008E0B0000}"/>
    <cellStyle name="Millares 5 2" xfId="1189" xr:uid="{00000000-0005-0000-0000-00008F0B0000}"/>
    <cellStyle name="Millares 5 2 2" xfId="10888" xr:uid="{00000000-0005-0000-0000-0000900B0000}"/>
    <cellStyle name="Millares 5 2 3" xfId="14712" xr:uid="{8A8077C7-1B62-4DA6-A2A3-ADBB1D327D63}"/>
    <cellStyle name="Millares 5 3" xfId="1190" xr:uid="{00000000-0005-0000-0000-0000910B0000}"/>
    <cellStyle name="Millares 5 3 2" xfId="10889" xr:uid="{00000000-0005-0000-0000-0000920B0000}"/>
    <cellStyle name="Millares 5 4" xfId="1191" xr:uid="{00000000-0005-0000-0000-0000930B0000}"/>
    <cellStyle name="Millares 5 4 2" xfId="10890" xr:uid="{00000000-0005-0000-0000-0000940B0000}"/>
    <cellStyle name="Millares 5 5" xfId="1192" xr:uid="{00000000-0005-0000-0000-0000950B0000}"/>
    <cellStyle name="Millares 5 5 2" xfId="10891" xr:uid="{00000000-0005-0000-0000-0000960B0000}"/>
    <cellStyle name="Millares 5 6" xfId="1193" xr:uid="{00000000-0005-0000-0000-0000970B0000}"/>
    <cellStyle name="Millares 5 6 2" xfId="10892" xr:uid="{00000000-0005-0000-0000-0000980B0000}"/>
    <cellStyle name="Millares 5 7" xfId="1194" xr:uid="{00000000-0005-0000-0000-0000990B0000}"/>
    <cellStyle name="Millares 5 7 2" xfId="10893" xr:uid="{00000000-0005-0000-0000-00009A0B0000}"/>
    <cellStyle name="Millares 5 8" xfId="1195" xr:uid="{00000000-0005-0000-0000-00009B0B0000}"/>
    <cellStyle name="Millares 5 8 2" xfId="10894" xr:uid="{00000000-0005-0000-0000-00009C0B0000}"/>
    <cellStyle name="Millares 5 9" xfId="4160" xr:uid="{00000000-0005-0000-0000-00009D0B0000}"/>
    <cellStyle name="Millares 5 9 2" xfId="10974" xr:uid="{00000000-0005-0000-0000-00009E0B0000}"/>
    <cellStyle name="Millares 5_1.2.b" xfId="16138" xr:uid="{0DB5B2B3-AE57-4C74-8C3F-68B98FAF51B8}"/>
    <cellStyle name="Millares 6" xfId="123" xr:uid="{00000000-0005-0000-0000-00009F0B0000}"/>
    <cellStyle name="Millares 6 10" xfId="7566" xr:uid="{00000000-0005-0000-0000-0000A00B0000}"/>
    <cellStyle name="Millares 6 10 2" xfId="10224" xr:uid="{00000000-0005-0000-0000-0000A10B0000}"/>
    <cellStyle name="Millares 6 10 2 2" xfId="11960" xr:uid="{00000000-0005-0000-0000-0000A20B0000}"/>
    <cellStyle name="Millares 6 10 3" xfId="11234" xr:uid="{00000000-0005-0000-0000-0000A30B0000}"/>
    <cellStyle name="Millares 6 11" xfId="1196" xr:uid="{00000000-0005-0000-0000-0000A40B0000}"/>
    <cellStyle name="Millares 6 11 2" xfId="10895" xr:uid="{00000000-0005-0000-0000-0000A50B0000}"/>
    <cellStyle name="Millares 6 12" xfId="9942" xr:uid="{00000000-0005-0000-0000-0000A60B0000}"/>
    <cellStyle name="Millares 6 12 2" xfId="11678" xr:uid="{00000000-0005-0000-0000-0000A70B0000}"/>
    <cellStyle name="Millares 6 13" xfId="9948" xr:uid="{00000000-0005-0000-0000-0000A80B0000}"/>
    <cellStyle name="Millares 6 13 2" xfId="11684" xr:uid="{00000000-0005-0000-0000-0000A90B0000}"/>
    <cellStyle name="Millares 6 14" xfId="10557" xr:uid="{00000000-0005-0000-0000-0000AA0B0000}"/>
    <cellStyle name="Millares 6 14 2" xfId="12292" xr:uid="{00000000-0005-0000-0000-0000AB0B0000}"/>
    <cellStyle name="Millares 6 15" xfId="10659" xr:uid="{00000000-0005-0000-0000-0000AC0B0000}"/>
    <cellStyle name="Millares 6 16" xfId="14199" xr:uid="{EFAF0D5A-BB46-4004-A90E-B6B06264B7C8}"/>
    <cellStyle name="Millares 6 17" xfId="17825" xr:uid="{564958B4-AF5E-4180-93F5-B3997BE7F7A2}"/>
    <cellStyle name="Millares 6 2" xfId="1197" xr:uid="{00000000-0005-0000-0000-0000AD0B0000}"/>
    <cellStyle name="Millares 6 2 2" xfId="10528" xr:uid="{00000000-0005-0000-0000-0000AE0B0000}"/>
    <cellStyle name="Millares 6 2 2 2" xfId="12263" xr:uid="{00000000-0005-0000-0000-0000AF0B0000}"/>
    <cellStyle name="Millares 6 2 3" xfId="10570" xr:uid="{00000000-0005-0000-0000-0000B00B0000}"/>
    <cellStyle name="Millares 6 2 3 2" xfId="12305" xr:uid="{00000000-0005-0000-0000-0000B10B0000}"/>
    <cellStyle name="Millares 6 2 4" xfId="14200" xr:uid="{EA46ED4B-FBDC-4CB3-9654-1FB2B6E19EF7}"/>
    <cellStyle name="Millares 6 2 5" xfId="17826" xr:uid="{C2DEE5E4-645C-41F1-A591-CDB623FE54B9}"/>
    <cellStyle name="Millares 6 2_1.2.b" xfId="16139" xr:uid="{E861B5EB-C751-44F5-BF9F-A5A9AA7231F9}"/>
    <cellStyle name="Millares 6 3" xfId="1198" xr:uid="{00000000-0005-0000-0000-0000B20B0000}"/>
    <cellStyle name="Millares 6 3 2" xfId="14724" xr:uid="{5120192C-3A41-4F9E-B40D-9FE4BE18EBF3}"/>
    <cellStyle name="Millares 6 3 2 2" xfId="14775" xr:uid="{834485E2-8527-49D3-9F92-F5635C2F5BD9}"/>
    <cellStyle name="Millares 6 3 2 2 2" xfId="18153" xr:uid="{19E74316-2772-41B4-A2E7-965DCE9FD901}"/>
    <cellStyle name="Millares 6 3 2 3" xfId="18139" xr:uid="{DFC45118-29D9-4FDA-974F-0F3D7FD68290}"/>
    <cellStyle name="Millares 6 3 3" xfId="14201" xr:uid="{E576EA87-CB18-4BC4-854C-858CF0E790A9}"/>
    <cellStyle name="Millares 6 3 4" xfId="17827" xr:uid="{08C2A96E-D9A7-4BD0-AA57-3D33D8499329}"/>
    <cellStyle name="Millares 6 3_1.2.b" xfId="16140" xr:uid="{79297D2C-9F3F-462F-AA2A-0D9DDB61D010}"/>
    <cellStyle name="Millares 6 4" xfId="1199" xr:uid="{00000000-0005-0000-0000-0000B30B0000}"/>
    <cellStyle name="Millares 6 5" xfId="1200" xr:uid="{00000000-0005-0000-0000-0000B40B0000}"/>
    <cellStyle name="Millares 6 6" xfId="1201" xr:uid="{00000000-0005-0000-0000-0000B50B0000}"/>
    <cellStyle name="Millares 6 7" xfId="1202" xr:uid="{00000000-0005-0000-0000-0000B60B0000}"/>
    <cellStyle name="Millares 6 8" xfId="1203" xr:uid="{00000000-0005-0000-0000-0000B70B0000}"/>
    <cellStyle name="Millares 6 9" xfId="4164" xr:uid="{00000000-0005-0000-0000-0000B80B0000}"/>
    <cellStyle name="Millares 6 9 2" xfId="10978" xr:uid="{00000000-0005-0000-0000-0000B90B0000}"/>
    <cellStyle name="Millares 7" xfId="125" xr:uid="{00000000-0005-0000-0000-0000BA0B0000}"/>
    <cellStyle name="Millares 7 10" xfId="7567" xr:uid="{00000000-0005-0000-0000-0000BB0B0000}"/>
    <cellStyle name="Millares 7 10 2" xfId="10225" xr:uid="{00000000-0005-0000-0000-0000BC0B0000}"/>
    <cellStyle name="Millares 7 10 2 2" xfId="11961" xr:uid="{00000000-0005-0000-0000-0000BD0B0000}"/>
    <cellStyle name="Millares 7 10 3" xfId="11235" xr:uid="{00000000-0005-0000-0000-0000BE0B0000}"/>
    <cellStyle name="Millares 7 11" xfId="1204" xr:uid="{00000000-0005-0000-0000-0000BF0B0000}"/>
    <cellStyle name="Millares 7 11 2" xfId="10896" xr:uid="{00000000-0005-0000-0000-0000C00B0000}"/>
    <cellStyle name="Millares 7 12" xfId="9943" xr:uid="{00000000-0005-0000-0000-0000C10B0000}"/>
    <cellStyle name="Millares 7 12 2" xfId="11679" xr:uid="{00000000-0005-0000-0000-0000C20B0000}"/>
    <cellStyle name="Millares 7 13" xfId="10660" xr:uid="{00000000-0005-0000-0000-0000C30B0000}"/>
    <cellStyle name="Millares 7 2" xfId="1205" xr:uid="{00000000-0005-0000-0000-0000C40B0000}"/>
    <cellStyle name="Millares 7 3" xfId="1206" xr:uid="{00000000-0005-0000-0000-0000C50B0000}"/>
    <cellStyle name="Millares 7 4" xfId="1207" xr:uid="{00000000-0005-0000-0000-0000C60B0000}"/>
    <cellStyle name="Millares 7 5" xfId="1208" xr:uid="{00000000-0005-0000-0000-0000C70B0000}"/>
    <cellStyle name="Millares 7 6" xfId="1209" xr:uid="{00000000-0005-0000-0000-0000C80B0000}"/>
    <cellStyle name="Millares 7 7" xfId="1210" xr:uid="{00000000-0005-0000-0000-0000C90B0000}"/>
    <cellStyle name="Millares 7 8" xfId="1211" xr:uid="{00000000-0005-0000-0000-0000CA0B0000}"/>
    <cellStyle name="Millares 7 9" xfId="4162" xr:uid="{00000000-0005-0000-0000-0000CB0B0000}"/>
    <cellStyle name="Millares 7 9 2" xfId="10976" xr:uid="{00000000-0005-0000-0000-0000CC0B0000}"/>
    <cellStyle name="Millares 8" xfId="187" xr:uid="{00000000-0005-0000-0000-0000CD0B0000}"/>
    <cellStyle name="Millares 8 10" xfId="4348" xr:uid="{00000000-0005-0000-0000-0000CE0B0000}"/>
    <cellStyle name="Millares 8 10 2" xfId="10159" xr:uid="{00000000-0005-0000-0000-0000CF0B0000}"/>
    <cellStyle name="Millares 8 10 2 2" xfId="11895" xr:uid="{00000000-0005-0000-0000-0000D00B0000}"/>
    <cellStyle name="Millares 8 10 3" xfId="11152" xr:uid="{00000000-0005-0000-0000-0000D10B0000}"/>
    <cellStyle name="Millares 8 11" xfId="1212" xr:uid="{00000000-0005-0000-0000-0000D20B0000}"/>
    <cellStyle name="Millares 8 11 2" xfId="10897" xr:uid="{00000000-0005-0000-0000-0000D30B0000}"/>
    <cellStyle name="Millares 8 12" xfId="9944" xr:uid="{00000000-0005-0000-0000-0000D40B0000}"/>
    <cellStyle name="Millares 8 12 2" xfId="11680" xr:uid="{00000000-0005-0000-0000-0000D50B0000}"/>
    <cellStyle name="Millares 8 13" xfId="10707" xr:uid="{00000000-0005-0000-0000-0000D60B0000}"/>
    <cellStyle name="Millares 8 2" xfId="1213" xr:uid="{00000000-0005-0000-0000-0000D70B0000}"/>
    <cellStyle name="Millares 8 3" xfId="1214" xr:uid="{00000000-0005-0000-0000-0000D80B0000}"/>
    <cellStyle name="Millares 8 4" xfId="1215" xr:uid="{00000000-0005-0000-0000-0000D90B0000}"/>
    <cellStyle name="Millares 8 5" xfId="1216" xr:uid="{00000000-0005-0000-0000-0000DA0B0000}"/>
    <cellStyle name="Millares 8 6" xfId="1217" xr:uid="{00000000-0005-0000-0000-0000DB0B0000}"/>
    <cellStyle name="Millares 8 7" xfId="1218" xr:uid="{00000000-0005-0000-0000-0000DC0B0000}"/>
    <cellStyle name="Millares 8 8" xfId="1219" xr:uid="{00000000-0005-0000-0000-0000DD0B0000}"/>
    <cellStyle name="Millares 8 9" xfId="4166" xr:uid="{00000000-0005-0000-0000-0000DE0B0000}"/>
    <cellStyle name="Millares 8 9 2" xfId="10980" xr:uid="{00000000-0005-0000-0000-0000DF0B0000}"/>
    <cellStyle name="Millares 9" xfId="1220" xr:uid="{00000000-0005-0000-0000-0000E00B0000}"/>
    <cellStyle name="Millares 9 10" xfId="10898" xr:uid="{00000000-0005-0000-0000-0000E10B0000}"/>
    <cellStyle name="Millares 9 2" xfId="1221" xr:uid="{00000000-0005-0000-0000-0000E20B0000}"/>
    <cellStyle name="Millares 9 2 2" xfId="10899" xr:uid="{00000000-0005-0000-0000-0000E30B0000}"/>
    <cellStyle name="Millares 9 3" xfId="1222" xr:uid="{00000000-0005-0000-0000-0000E40B0000}"/>
    <cellStyle name="Millares 9 3 2" xfId="10900" xr:uid="{00000000-0005-0000-0000-0000E50B0000}"/>
    <cellStyle name="Millares 9 4" xfId="1223" xr:uid="{00000000-0005-0000-0000-0000E60B0000}"/>
    <cellStyle name="Millares 9 4 2" xfId="10901" xr:uid="{00000000-0005-0000-0000-0000E70B0000}"/>
    <cellStyle name="Millares 9 5" xfId="1224" xr:uid="{00000000-0005-0000-0000-0000E80B0000}"/>
    <cellStyle name="Millares 9 5 2" xfId="10902" xr:uid="{00000000-0005-0000-0000-0000E90B0000}"/>
    <cellStyle name="Millares 9 6" xfId="1225" xr:uid="{00000000-0005-0000-0000-0000EA0B0000}"/>
    <cellStyle name="Millares 9 6 2" xfId="10903" xr:uid="{00000000-0005-0000-0000-0000EB0B0000}"/>
    <cellStyle name="Millares 9 7" xfId="1226" xr:uid="{00000000-0005-0000-0000-0000EC0B0000}"/>
    <cellStyle name="Millares 9 7 2" xfId="10904" xr:uid="{00000000-0005-0000-0000-0000ED0B0000}"/>
    <cellStyle name="Millares 9 8" xfId="1227" xr:uid="{00000000-0005-0000-0000-0000EE0B0000}"/>
    <cellStyle name="Millares 9 8 2" xfId="10905" xr:uid="{00000000-0005-0000-0000-0000EF0B0000}"/>
    <cellStyle name="Millares 9 9" xfId="4050" xr:uid="{00000000-0005-0000-0000-0000F00B0000}"/>
    <cellStyle name="Millares 9 9 2" xfId="10917" xr:uid="{00000000-0005-0000-0000-0000F10B0000}"/>
    <cellStyle name="Moneda 10" xfId="4284" xr:uid="{00000000-0005-0000-0000-0000F20B0000}"/>
    <cellStyle name="Moneda 10 2" xfId="11093" xr:uid="{00000000-0005-0000-0000-0000F30B0000}"/>
    <cellStyle name="Moneda 11" xfId="4283" xr:uid="{00000000-0005-0000-0000-0000F40B0000}"/>
    <cellStyle name="Moneda 11 2" xfId="11092" xr:uid="{00000000-0005-0000-0000-0000F50B0000}"/>
    <cellStyle name="Moneda 12" xfId="4285" xr:uid="{00000000-0005-0000-0000-0000F60B0000}"/>
    <cellStyle name="Moneda 12 2" xfId="11094" xr:uid="{00000000-0005-0000-0000-0000F70B0000}"/>
    <cellStyle name="Moneda 2" xfId="93" xr:uid="{00000000-0005-0000-0000-0000F80B0000}"/>
    <cellStyle name="Moneda 2 10" xfId="1228" xr:uid="{00000000-0005-0000-0000-0000F90B0000}"/>
    <cellStyle name="Moneda 2 10 2" xfId="10906" xr:uid="{00000000-0005-0000-0000-0000FA0B0000}"/>
    <cellStyle name="Moneda 2 11" xfId="10649" xr:uid="{00000000-0005-0000-0000-0000FB0B0000}"/>
    <cellStyle name="Moneda 2 2" xfId="94" xr:uid="{00000000-0005-0000-0000-0000FC0B0000}"/>
    <cellStyle name="Moneda 2 2 2" xfId="4134" xr:uid="{00000000-0005-0000-0000-0000FD0B0000}"/>
    <cellStyle name="Moneda 2 2 2 2" xfId="10961" xr:uid="{00000000-0005-0000-0000-0000FE0B0000}"/>
    <cellStyle name="Moneda 2 2 3" xfId="1229" xr:uid="{00000000-0005-0000-0000-0000FF0B0000}"/>
    <cellStyle name="Moneda 2 2 4" xfId="10650" xr:uid="{00000000-0005-0000-0000-0000000C0000}"/>
    <cellStyle name="Moneda 2 3" xfId="1230" xr:uid="{00000000-0005-0000-0000-0000010C0000}"/>
    <cellStyle name="Moneda 2 3 2" xfId="4094" xr:uid="{00000000-0005-0000-0000-0000020C0000}"/>
    <cellStyle name="Moneda 2 3 2 2" xfId="10940" xr:uid="{00000000-0005-0000-0000-0000030C0000}"/>
    <cellStyle name="Moneda 2 4" xfId="1231" xr:uid="{00000000-0005-0000-0000-0000040C0000}"/>
    <cellStyle name="Moneda 2 5" xfId="1232" xr:uid="{00000000-0005-0000-0000-0000050C0000}"/>
    <cellStyle name="Moneda 2 6" xfId="1233" xr:uid="{00000000-0005-0000-0000-0000060C0000}"/>
    <cellStyle name="Moneda 2 7" xfId="1234" xr:uid="{00000000-0005-0000-0000-0000070C0000}"/>
    <cellStyle name="Moneda 2 8" xfId="1235" xr:uid="{00000000-0005-0000-0000-0000080C0000}"/>
    <cellStyle name="Moneda 2 9" xfId="4060" xr:uid="{00000000-0005-0000-0000-0000090C0000}"/>
    <cellStyle name="Moneda 2 9 2" xfId="10923" xr:uid="{00000000-0005-0000-0000-00000A0C0000}"/>
    <cellStyle name="Moneda 3" xfId="95" xr:uid="{00000000-0005-0000-0000-00000B0C0000}"/>
    <cellStyle name="Moneda 3 2" xfId="4125" xr:uid="{00000000-0005-0000-0000-00000C0C0000}"/>
    <cellStyle name="Moneda 3 2 2" xfId="10957" xr:uid="{00000000-0005-0000-0000-00000D0C0000}"/>
    <cellStyle name="Moneda 3 3" xfId="4039" xr:uid="{00000000-0005-0000-0000-00000E0C0000}"/>
    <cellStyle name="Moneda 3 4" xfId="10651" xr:uid="{00000000-0005-0000-0000-00000F0C0000}"/>
    <cellStyle name="Moneda 4" xfId="96" xr:uid="{00000000-0005-0000-0000-0000100C0000}"/>
    <cellStyle name="Moneda 4 2" xfId="10652" xr:uid="{00000000-0005-0000-0000-0000110C0000}"/>
    <cellStyle name="Moneda 5" xfId="4163" xr:uid="{00000000-0005-0000-0000-0000120C0000}"/>
    <cellStyle name="Moneda 5 2" xfId="10977" xr:uid="{00000000-0005-0000-0000-0000130C0000}"/>
    <cellStyle name="Moneda 6" xfId="4161" xr:uid="{00000000-0005-0000-0000-0000140C0000}"/>
    <cellStyle name="Moneda 6 2" xfId="10975" xr:uid="{00000000-0005-0000-0000-0000150C0000}"/>
    <cellStyle name="Moneda 7" xfId="4165" xr:uid="{00000000-0005-0000-0000-0000160C0000}"/>
    <cellStyle name="Moneda 7 2" xfId="10979" xr:uid="{00000000-0005-0000-0000-0000170C0000}"/>
    <cellStyle name="Moneda 8" xfId="4052" xr:uid="{00000000-0005-0000-0000-0000180C0000}"/>
    <cellStyle name="Moneda 8 2" xfId="10919" xr:uid="{00000000-0005-0000-0000-0000190C0000}"/>
    <cellStyle name="Moneda 9" xfId="4171" xr:uid="{00000000-0005-0000-0000-00001A0C0000}"/>
    <cellStyle name="Moneda 9 2" xfId="10984" xr:uid="{00000000-0005-0000-0000-00001B0C0000}"/>
    <cellStyle name="Monetario" xfId="70" xr:uid="{00000000-0005-0000-0000-00001C0C0000}"/>
    <cellStyle name="Monetario 2" xfId="97" xr:uid="{00000000-0005-0000-0000-00001D0C0000}"/>
    <cellStyle name="Monetario 3" xfId="1236" xr:uid="{00000000-0005-0000-0000-00001E0C0000}"/>
    <cellStyle name="Monetario_1.2.b" xfId="16141" xr:uid="{109800D2-0BCB-4BA5-87A7-7015FF6208EA}"/>
    <cellStyle name="Monetario0" xfId="1237" xr:uid="{00000000-0005-0000-0000-00001F0C0000}"/>
    <cellStyle name="Neutral" xfId="34" builtinId="28" customBuiltin="1"/>
    <cellStyle name="Neutral 10" xfId="14202" xr:uid="{B03EE880-2C9B-4E5B-A690-CFA7E78359B1}"/>
    <cellStyle name="Neutral 2" xfId="9900" xr:uid="{00000000-0005-0000-0000-0000210C0000}"/>
    <cellStyle name="Neutral 2 2" xfId="14203" xr:uid="{4B3C6550-BEB0-4CF9-88E3-EA5718A25539}"/>
    <cellStyle name="Neutral 2 2 2" xfId="14204" xr:uid="{68300533-BA5D-4027-A5F3-D5BD222C4280}"/>
    <cellStyle name="Neutral 2 2 3" xfId="14205" xr:uid="{8E6BAC66-196D-49DF-845F-587F9560200E}"/>
    <cellStyle name="Neutral 2 2 4" xfId="14206" xr:uid="{CB776723-EF3D-4C0A-8330-C200FB3844DC}"/>
    <cellStyle name="Neutral 2 3" xfId="14207" xr:uid="{4CDB554A-F29F-43B4-B687-23C2847899F0}"/>
    <cellStyle name="Neutral 2 4" xfId="14208" xr:uid="{97917B19-DE08-4DE0-AC17-CCD2D7ABE1B1}"/>
    <cellStyle name="Neutral 2 5" xfId="14209" xr:uid="{FFC6FFE7-2D4D-4A3F-BEC9-7C854F6C7514}"/>
    <cellStyle name="Neutral 3" xfId="10636" xr:uid="{00000000-0005-0000-0000-0000220C0000}"/>
    <cellStyle name="Neutral 3 2" xfId="14210" xr:uid="{8028C74D-B012-4434-B761-03D9D51D312F}"/>
    <cellStyle name="Neutral 3 3" xfId="14211" xr:uid="{D0C0AED6-E11C-463E-9989-B8D6945CC609}"/>
    <cellStyle name="Neutral 3_1.2.b" xfId="16142" xr:uid="{34832DE1-9907-4CB4-930F-274EF26BE759}"/>
    <cellStyle name="Neutral 4" xfId="14212" xr:uid="{5FF6AAA7-D3D3-4F5C-AE70-E25036296E46}"/>
    <cellStyle name="Neutral 4 2" xfId="14213" xr:uid="{AAFC6BBB-2A99-494E-9E74-342533524D51}"/>
    <cellStyle name="Neutral 4_1.2.b" xfId="16143" xr:uid="{9F2AE48A-E0EC-4B65-803F-C4E27DF72755}"/>
    <cellStyle name="Neutral 5" xfId="14214" xr:uid="{35C5CD00-40B0-48DE-9DDF-A556BE81246F}"/>
    <cellStyle name="Neutral 6" xfId="14215" xr:uid="{B6B12E59-1AE0-4A3F-A29E-CD1142FB157A}"/>
    <cellStyle name="Neutral 7" xfId="14216" xr:uid="{A1B0E66B-0BCB-46D5-B867-22F58D6ED12F}"/>
    <cellStyle name="Neutral 7 2" xfId="14217" xr:uid="{8CFEAABA-6182-489F-BBB0-97A020BBEF36}"/>
    <cellStyle name="Neutral 7 3" xfId="14218" xr:uid="{0E3C9F3C-077D-4208-9EBC-3085AE74EF3F}"/>
    <cellStyle name="Neutral 7_1.2.b" xfId="16144" xr:uid="{E879D753-15D1-4C76-8CE3-EE565FC22036}"/>
    <cellStyle name="Neutral 8" xfId="14219" xr:uid="{635133B5-55D6-4203-870C-2445C95DBD37}"/>
    <cellStyle name="Neutral 8 2" xfId="14220" xr:uid="{F6696253-3ADB-4ADB-9EB9-A917633613B8}"/>
    <cellStyle name="Neutral 8 3" xfId="14221" xr:uid="{EB498456-F6BF-43C6-BAA4-93B095ED84D6}"/>
    <cellStyle name="Neutral 8_1.2.b" xfId="16145" xr:uid="{DFEC2F54-6B82-4D17-B441-02DFCAED385F}"/>
    <cellStyle name="Neutral 9" xfId="14222" xr:uid="{105EAA78-5CC7-49BE-86F8-AB8451D5F015}"/>
    <cellStyle name="Neutral 9 2" xfId="14223" xr:uid="{5FBB2888-D7E5-4CB8-B46E-80F5CD185FD5}"/>
    <cellStyle name="Neutral 9 3" xfId="14224" xr:uid="{2AA496C5-C8C8-471C-BAB5-716F0766164D}"/>
    <cellStyle name="Neutral 9_1.2.b" xfId="16146" xr:uid="{A10B5710-5CBE-40A0-B97F-2C4CCC428680}"/>
    <cellStyle name="Normal" xfId="0" builtinId="0"/>
    <cellStyle name="Normal 10" xfId="122" xr:uid="{00000000-0005-0000-0000-0000240C0000}"/>
    <cellStyle name="Normal 10 2" xfId="126" xr:uid="{00000000-0005-0000-0000-0000250C0000}"/>
    <cellStyle name="Normal 10 2 2" xfId="7564" xr:uid="{00000000-0005-0000-0000-0000260C0000}"/>
    <cellStyle name="Normal 10 3" xfId="14703" xr:uid="{A422FEC4-5A1D-40E9-B532-27E3158BC794}"/>
    <cellStyle name="Normal 10_1.2.b" xfId="16147" xr:uid="{013B1BBD-53D6-43A4-A0B4-3CB1605CC20C}"/>
    <cellStyle name="Normal 100" xfId="18117" xr:uid="{EF722EFB-C249-4650-9F9C-AC3B14FE50CA}"/>
    <cellStyle name="Normal 101" xfId="18272" xr:uid="{0CD7C62C-C674-43A7-A25F-DB0D67D12A44}"/>
    <cellStyle name="Normal 102" xfId="18288" xr:uid="{C6F07630-9F44-4F20-A1C1-5C36559217B7}"/>
    <cellStyle name="Normal 11" xfId="124" xr:uid="{00000000-0005-0000-0000-0000270C0000}"/>
    <cellStyle name="Normal 11 10" xfId="18226" xr:uid="{3E49DEC9-7BDA-47DF-872A-2782436CA9D2}"/>
    <cellStyle name="Normal 11 2" xfId="4350" xr:uid="{00000000-0005-0000-0000-0000280C0000}"/>
    <cellStyle name="Normal 11 2 2" xfId="9758" xr:uid="{00000000-0005-0000-0000-0000290C0000}"/>
    <cellStyle name="Normal 11 2 2 2" xfId="10456" xr:uid="{00000000-0005-0000-0000-00002A0C0000}"/>
    <cellStyle name="Normal 11 2 2 2 2" xfId="12191" xr:uid="{00000000-0005-0000-0000-00002B0C0000}"/>
    <cellStyle name="Normal 11 2 2 3" xfId="11544" xr:uid="{00000000-0005-0000-0000-00002C0C0000}"/>
    <cellStyle name="Normal 11 2 3" xfId="10161" xr:uid="{00000000-0005-0000-0000-00002D0C0000}"/>
    <cellStyle name="Normal 11 2 3 2" xfId="11897" xr:uid="{00000000-0005-0000-0000-00002E0C0000}"/>
    <cellStyle name="Normal 11 2 4" xfId="11154" xr:uid="{00000000-0005-0000-0000-00002F0C0000}"/>
    <cellStyle name="Normal 11 2 5" xfId="14226" xr:uid="{B9F929DC-FC69-4D27-A1BA-14E61BEC2958}"/>
    <cellStyle name="Normal 11 2 6" xfId="17834" xr:uid="{19F2901B-B938-406E-8EF5-96BD9602296F}"/>
    <cellStyle name="Normal 11 2_1.2.b" xfId="16149" xr:uid="{BFE010C0-96B3-42D8-9874-844E3FBD97C9}"/>
    <cellStyle name="Normal 11 3" xfId="4352" xr:uid="{00000000-0005-0000-0000-0000300C0000}"/>
    <cellStyle name="Normal 11 3 2" xfId="4358" xr:uid="{00000000-0005-0000-0000-0000310C0000}"/>
    <cellStyle name="Normal 11 3 2 2" xfId="9766" xr:uid="{00000000-0005-0000-0000-0000320C0000}"/>
    <cellStyle name="Normal 11 3 2 2 2" xfId="10464" xr:uid="{00000000-0005-0000-0000-0000330C0000}"/>
    <cellStyle name="Normal 11 3 2 2 2 2" xfId="12199" xr:uid="{00000000-0005-0000-0000-0000340C0000}"/>
    <cellStyle name="Normal 11 3 2 2 3" xfId="11552" xr:uid="{00000000-0005-0000-0000-0000350C0000}"/>
    <cellStyle name="Normal 11 3 2 3" xfId="10169" xr:uid="{00000000-0005-0000-0000-0000360C0000}"/>
    <cellStyle name="Normal 11 3 2 3 2" xfId="11905" xr:uid="{00000000-0005-0000-0000-0000370C0000}"/>
    <cellStyle name="Normal 11 3 2 4" xfId="11162" xr:uid="{00000000-0005-0000-0000-0000380C0000}"/>
    <cellStyle name="Normal 11 3 3" xfId="9760" xr:uid="{00000000-0005-0000-0000-0000390C0000}"/>
    <cellStyle name="Normal 11 3 3 2" xfId="10458" xr:uid="{00000000-0005-0000-0000-00003A0C0000}"/>
    <cellStyle name="Normal 11 3 3 2 2" xfId="12193" xr:uid="{00000000-0005-0000-0000-00003B0C0000}"/>
    <cellStyle name="Normal 11 3 3 3" xfId="11546" xr:uid="{00000000-0005-0000-0000-00003C0C0000}"/>
    <cellStyle name="Normal 11 3 4" xfId="10163" xr:uid="{00000000-0005-0000-0000-00003D0C0000}"/>
    <cellStyle name="Normal 11 3 4 2" xfId="11899" xr:uid="{00000000-0005-0000-0000-00003E0C0000}"/>
    <cellStyle name="Normal 11 3 5" xfId="11156" xr:uid="{00000000-0005-0000-0000-00003F0C0000}"/>
    <cellStyle name="Normal 11 4" xfId="7563" xr:uid="{00000000-0005-0000-0000-0000400C0000}"/>
    <cellStyle name="Normal 11 4 2" xfId="9811" xr:uid="{00000000-0005-0000-0000-0000410C0000}"/>
    <cellStyle name="Normal 11 4 2 2" xfId="10509" xr:uid="{00000000-0005-0000-0000-0000420C0000}"/>
    <cellStyle name="Normal 11 4 2 2 2" xfId="12244" xr:uid="{00000000-0005-0000-0000-0000430C0000}"/>
    <cellStyle name="Normal 11 4 2 3" xfId="11597" xr:uid="{00000000-0005-0000-0000-0000440C0000}"/>
    <cellStyle name="Normal 11 4 3" xfId="10222" xr:uid="{00000000-0005-0000-0000-0000450C0000}"/>
    <cellStyle name="Normal 11 4 3 2" xfId="11958" xr:uid="{00000000-0005-0000-0000-0000460C0000}"/>
    <cellStyle name="Normal 11 4 4" xfId="11232" xr:uid="{00000000-0005-0000-0000-0000470C0000}"/>
    <cellStyle name="Normal 11 5" xfId="9546" xr:uid="{00000000-0005-0000-0000-0000480C0000}"/>
    <cellStyle name="Normal 11 5 2" xfId="10250" xr:uid="{00000000-0005-0000-0000-0000490C0000}"/>
    <cellStyle name="Normal 11 5 2 2" xfId="11985" xr:uid="{00000000-0005-0000-0000-00004A0C0000}"/>
    <cellStyle name="Normal 11 5 3" xfId="11338" xr:uid="{00000000-0005-0000-0000-00004B0C0000}"/>
    <cellStyle name="Normal 11 6" xfId="4038" xr:uid="{00000000-0005-0000-0000-00004C0C0000}"/>
    <cellStyle name="Normal 11 6 2" xfId="10909" xr:uid="{00000000-0005-0000-0000-00004D0C0000}"/>
    <cellStyle name="Normal 11 7" xfId="9953" xr:uid="{00000000-0005-0000-0000-00004E0C0000}"/>
    <cellStyle name="Normal 11 7 2" xfId="11689" xr:uid="{00000000-0005-0000-0000-00004F0C0000}"/>
    <cellStyle name="Normal 11 8" xfId="14225" xr:uid="{8FD58B2C-6495-4198-BDED-82C16060EE3B}"/>
    <cellStyle name="Normal 11 9" xfId="17833" xr:uid="{49C1F3C5-C3E0-4957-AD41-7288767341C7}"/>
    <cellStyle name="Normal 11_1.2.b" xfId="16148" xr:uid="{5F25F791-51AC-4DFE-ACC3-120250A07B71}"/>
    <cellStyle name="Normal 12" xfId="131" xr:uid="{00000000-0005-0000-0000-0000500C0000}"/>
    <cellStyle name="Normal 12 10" xfId="17791" xr:uid="{EDC2D795-535C-4853-B535-9E4EE20D7B89}"/>
    <cellStyle name="Normal 12 2" xfId="7565" xr:uid="{00000000-0005-0000-0000-0000510C0000}"/>
    <cellStyle name="Normal 12 2 2" xfId="9812" xr:uid="{00000000-0005-0000-0000-0000520C0000}"/>
    <cellStyle name="Normal 12 2 2 2" xfId="10510" xr:uid="{00000000-0005-0000-0000-0000530C0000}"/>
    <cellStyle name="Normal 12 2 2 2 2" xfId="12245" xr:uid="{00000000-0005-0000-0000-0000540C0000}"/>
    <cellStyle name="Normal 12 2 2 3" xfId="11598" xr:uid="{00000000-0005-0000-0000-0000550C0000}"/>
    <cellStyle name="Normal 12 2 3" xfId="10223" xr:uid="{00000000-0005-0000-0000-0000560C0000}"/>
    <cellStyle name="Normal 12 2 3 2" xfId="11959" xr:uid="{00000000-0005-0000-0000-0000570C0000}"/>
    <cellStyle name="Normal 12 2 4" xfId="11233" xr:uid="{00000000-0005-0000-0000-0000580C0000}"/>
    <cellStyle name="Normal 12 2 5" xfId="14228" xr:uid="{C45AF7FC-D39F-41DD-BD66-F507E48E72D4}"/>
    <cellStyle name="Normal 12 2_1.2.b" xfId="16151" xr:uid="{036C0E17-8458-494C-B44E-2052D2AB5E5E}"/>
    <cellStyle name="Normal 12 3" xfId="9548" xr:uid="{00000000-0005-0000-0000-0000590C0000}"/>
    <cellStyle name="Normal 12 3 2" xfId="10252" xr:uid="{00000000-0005-0000-0000-00005A0C0000}"/>
    <cellStyle name="Normal 12 3 2 2" xfId="11987" xr:uid="{00000000-0005-0000-0000-00005B0C0000}"/>
    <cellStyle name="Normal 12 3 3" xfId="11340" xr:uid="{00000000-0005-0000-0000-00005C0C0000}"/>
    <cellStyle name="Normal 12 4" xfId="4043" xr:uid="{00000000-0005-0000-0000-00005D0C0000}"/>
    <cellStyle name="Normal 12 4 2" xfId="10911" xr:uid="{00000000-0005-0000-0000-00005E0C0000}"/>
    <cellStyle name="Normal 12 5" xfId="9955" xr:uid="{00000000-0005-0000-0000-00005F0C0000}"/>
    <cellStyle name="Normal 12 5 2" xfId="11691" xr:uid="{00000000-0005-0000-0000-0000600C0000}"/>
    <cellStyle name="Normal 12 6" xfId="10661" xr:uid="{00000000-0005-0000-0000-0000610C0000}"/>
    <cellStyle name="Normal 12 7" xfId="14227" xr:uid="{3E587248-53AF-45B0-9511-AC30E52F1062}"/>
    <cellStyle name="Normal 12 8" xfId="17835" xr:uid="{6A13C19E-D04E-4442-9BD2-4D26EEBAE155}"/>
    <cellStyle name="Normal 12 9" xfId="18227" xr:uid="{D3943D34-114E-4677-A43E-7D9D0C75B5C8}"/>
    <cellStyle name="Normal 12_1.2.b" xfId="16150" xr:uid="{3F8A6D06-39B9-4EB2-89AC-7A529D886F86}"/>
    <cellStyle name="Normal 13" xfId="144" xr:uid="{00000000-0005-0000-0000-0000620C0000}"/>
    <cellStyle name="Normal 13 2" xfId="7568" xr:uid="{00000000-0005-0000-0000-0000630C0000}"/>
    <cellStyle name="Normal 13 2 2" xfId="9813" xr:uid="{00000000-0005-0000-0000-0000640C0000}"/>
    <cellStyle name="Normal 13 2 2 2" xfId="10511" xr:uid="{00000000-0005-0000-0000-0000650C0000}"/>
    <cellStyle name="Normal 13 2 2 2 2" xfId="12246" xr:uid="{00000000-0005-0000-0000-0000660C0000}"/>
    <cellStyle name="Normal 13 2 2 3" xfId="11599" xr:uid="{00000000-0005-0000-0000-0000670C0000}"/>
    <cellStyle name="Normal 13 2 3" xfId="10226" xr:uid="{00000000-0005-0000-0000-0000680C0000}"/>
    <cellStyle name="Normal 13 2 3 2" xfId="11962" xr:uid="{00000000-0005-0000-0000-0000690C0000}"/>
    <cellStyle name="Normal 13 2 4" xfId="11236" xr:uid="{00000000-0005-0000-0000-00006A0C0000}"/>
    <cellStyle name="Normal 13 2 5" xfId="14725" xr:uid="{92F823FD-2A5B-499D-AF4C-1BF797E4569C}"/>
    <cellStyle name="Normal 13 2_1.2.b" xfId="16153" xr:uid="{4154D969-D092-4393-B739-486D21E93CE1}"/>
    <cellStyle name="Normal 13 3" xfId="9549" xr:uid="{00000000-0005-0000-0000-00006B0C0000}"/>
    <cellStyle name="Normal 13 3 2" xfId="10253" xr:uid="{00000000-0005-0000-0000-00006C0C0000}"/>
    <cellStyle name="Normal 13 3 2 2" xfId="11988" xr:uid="{00000000-0005-0000-0000-00006D0C0000}"/>
    <cellStyle name="Normal 13 3 3" xfId="11341" xr:uid="{00000000-0005-0000-0000-00006E0C0000}"/>
    <cellStyle name="Normal 13 4" xfId="4044" xr:uid="{00000000-0005-0000-0000-00006F0C0000}"/>
    <cellStyle name="Normal 13 4 2" xfId="10912" xr:uid="{00000000-0005-0000-0000-0000700C0000}"/>
    <cellStyle name="Normal 13 5" xfId="9956" xr:uid="{00000000-0005-0000-0000-0000710C0000}"/>
    <cellStyle name="Normal 13 5 2" xfId="11692" xr:uid="{00000000-0005-0000-0000-0000720C0000}"/>
    <cellStyle name="Normal 13 6" xfId="10664" xr:uid="{00000000-0005-0000-0000-0000730C0000}"/>
    <cellStyle name="Normal 13 7" xfId="14229" xr:uid="{6174D30C-8B8B-4DF2-A210-12AEDEBCC650}"/>
    <cellStyle name="Normal 13_1.2.b" xfId="16152" xr:uid="{50539900-B372-449F-9E75-CD312CE4BA95}"/>
    <cellStyle name="Normal 14" xfId="158" xr:uid="{00000000-0005-0000-0000-0000740C0000}"/>
    <cellStyle name="Normal 14 2" xfId="7569" xr:uid="{00000000-0005-0000-0000-0000750C0000}"/>
    <cellStyle name="Normal 14 2 2" xfId="7575" xr:uid="{00000000-0005-0000-0000-0000760C0000}"/>
    <cellStyle name="Normal 14 2 2 2" xfId="9820" xr:uid="{00000000-0005-0000-0000-0000770C0000}"/>
    <cellStyle name="Normal 14 2 2 2 2" xfId="10518" xr:uid="{00000000-0005-0000-0000-0000780C0000}"/>
    <cellStyle name="Normal 14 2 2 2 2 2" xfId="12253" xr:uid="{00000000-0005-0000-0000-0000790C0000}"/>
    <cellStyle name="Normal 14 2 2 2 3" xfId="11606" xr:uid="{00000000-0005-0000-0000-00007A0C0000}"/>
    <cellStyle name="Normal 14 2 2 3" xfId="10233" xr:uid="{00000000-0005-0000-0000-00007B0C0000}"/>
    <cellStyle name="Normal 14 2 2 3 2" xfId="11969" xr:uid="{00000000-0005-0000-0000-00007C0C0000}"/>
    <cellStyle name="Normal 14 2 2 4" xfId="11243" xr:uid="{00000000-0005-0000-0000-00007D0C0000}"/>
    <cellStyle name="Normal 14 2 3" xfId="9814" xr:uid="{00000000-0005-0000-0000-00007E0C0000}"/>
    <cellStyle name="Normal 14 2 3 2" xfId="10512" xr:uid="{00000000-0005-0000-0000-00007F0C0000}"/>
    <cellStyle name="Normal 14 2 3 2 2" xfId="12247" xr:uid="{00000000-0005-0000-0000-0000800C0000}"/>
    <cellStyle name="Normal 14 2 3 3" xfId="11600" xr:uid="{00000000-0005-0000-0000-0000810C0000}"/>
    <cellStyle name="Normal 14 2 4" xfId="10227" xr:uid="{00000000-0005-0000-0000-0000820C0000}"/>
    <cellStyle name="Normal 14 2 4 2" xfId="11963" xr:uid="{00000000-0005-0000-0000-0000830C0000}"/>
    <cellStyle name="Normal 14 2 5" xfId="11237" xr:uid="{00000000-0005-0000-0000-0000840C0000}"/>
    <cellStyle name="Normal 14 2 6" xfId="14726" xr:uid="{10FBE90E-FE22-4287-9F9C-39A3C40867AA}"/>
    <cellStyle name="Normal 14 2_1.2.b" xfId="16155" xr:uid="{D13E8E6E-532F-4C78-9535-64E0BB976A23}"/>
    <cellStyle name="Normal 14 3" xfId="9550" xr:uid="{00000000-0005-0000-0000-0000850C0000}"/>
    <cellStyle name="Normal 14 3 2" xfId="10254" xr:uid="{00000000-0005-0000-0000-0000860C0000}"/>
    <cellStyle name="Normal 14 3 2 2" xfId="11989" xr:uid="{00000000-0005-0000-0000-0000870C0000}"/>
    <cellStyle name="Normal 14 3 3" xfId="11342" xr:uid="{00000000-0005-0000-0000-0000880C0000}"/>
    <cellStyle name="Normal 14 4" xfId="4045" xr:uid="{00000000-0005-0000-0000-0000890C0000}"/>
    <cellStyle name="Normal 14 4 2" xfId="10913" xr:uid="{00000000-0005-0000-0000-00008A0C0000}"/>
    <cellStyle name="Normal 14 5" xfId="9957" xr:uid="{00000000-0005-0000-0000-00008B0C0000}"/>
    <cellStyle name="Normal 14 5 2" xfId="11693" xr:uid="{00000000-0005-0000-0000-00008C0C0000}"/>
    <cellStyle name="Normal 14 6" xfId="10678" xr:uid="{00000000-0005-0000-0000-00008D0C0000}"/>
    <cellStyle name="Normal 14 7" xfId="14230" xr:uid="{CD64A431-E629-4907-A2E0-07DF572021D0}"/>
    <cellStyle name="Normal 14_1.2.b" xfId="16154" xr:uid="{8AA8349C-B0A5-449C-8D21-C9C7CF7110DE}"/>
    <cellStyle name="Normal 15" xfId="172" xr:uid="{00000000-0005-0000-0000-00008E0C0000}"/>
    <cellStyle name="Normal 15 2" xfId="4349" xr:uid="{00000000-0005-0000-0000-00008F0C0000}"/>
    <cellStyle name="Normal 15 2 2" xfId="7573" xr:uid="{00000000-0005-0000-0000-0000900C0000}"/>
    <cellStyle name="Normal 15 2 2 2" xfId="7574" xr:uid="{00000000-0005-0000-0000-0000910C0000}"/>
    <cellStyle name="Normal 15 2 2 2 2" xfId="7580" xr:uid="{00000000-0005-0000-0000-0000920C0000}"/>
    <cellStyle name="Normal 15 2 2 2 2 2" xfId="9825" xr:uid="{00000000-0005-0000-0000-0000930C0000}"/>
    <cellStyle name="Normal 15 2 2 2 2 2 2" xfId="10523" xr:uid="{00000000-0005-0000-0000-0000940C0000}"/>
    <cellStyle name="Normal 15 2 2 2 2 2 2 2" xfId="12258" xr:uid="{00000000-0005-0000-0000-0000950C0000}"/>
    <cellStyle name="Normal 15 2 2 2 2 2 3" xfId="11611" xr:uid="{00000000-0005-0000-0000-0000960C0000}"/>
    <cellStyle name="Normal 15 2 2 2 2 3" xfId="10238" xr:uid="{00000000-0005-0000-0000-0000970C0000}"/>
    <cellStyle name="Normal 15 2 2 2 2 3 2" xfId="11974" xr:uid="{00000000-0005-0000-0000-0000980C0000}"/>
    <cellStyle name="Normal 15 2 2 2 2 4" xfId="11248" xr:uid="{00000000-0005-0000-0000-0000990C0000}"/>
    <cellStyle name="Normal 15 2 2 2 3" xfId="9819" xr:uid="{00000000-0005-0000-0000-00009A0C0000}"/>
    <cellStyle name="Normal 15 2 2 2 3 2" xfId="10517" xr:uid="{00000000-0005-0000-0000-00009B0C0000}"/>
    <cellStyle name="Normal 15 2 2 2 3 2 2" xfId="12252" xr:uid="{00000000-0005-0000-0000-00009C0C0000}"/>
    <cellStyle name="Normal 15 2 2 2 3 3" xfId="11605" xr:uid="{00000000-0005-0000-0000-00009D0C0000}"/>
    <cellStyle name="Normal 15 2 2 2 4" xfId="10232" xr:uid="{00000000-0005-0000-0000-00009E0C0000}"/>
    <cellStyle name="Normal 15 2 2 2 4 2" xfId="11968" xr:uid="{00000000-0005-0000-0000-00009F0C0000}"/>
    <cellStyle name="Normal 15 2 2 2 5" xfId="11242" xr:uid="{00000000-0005-0000-0000-0000A00C0000}"/>
    <cellStyle name="Normal 15 2 2 3" xfId="7579" xr:uid="{00000000-0005-0000-0000-0000A10C0000}"/>
    <cellStyle name="Normal 15 2 2 3 2" xfId="9824" xr:uid="{00000000-0005-0000-0000-0000A20C0000}"/>
    <cellStyle name="Normal 15 2 2 3 2 2" xfId="10522" xr:uid="{00000000-0005-0000-0000-0000A30C0000}"/>
    <cellStyle name="Normal 15 2 2 3 2 2 2" xfId="12257" xr:uid="{00000000-0005-0000-0000-0000A40C0000}"/>
    <cellStyle name="Normal 15 2 2 3 2 3" xfId="11610" xr:uid="{00000000-0005-0000-0000-0000A50C0000}"/>
    <cellStyle name="Normal 15 2 2 3 3" xfId="10237" xr:uid="{00000000-0005-0000-0000-0000A60C0000}"/>
    <cellStyle name="Normal 15 2 2 3 3 2" xfId="11973" xr:uid="{00000000-0005-0000-0000-0000A70C0000}"/>
    <cellStyle name="Normal 15 2 2 3 4" xfId="11247" xr:uid="{00000000-0005-0000-0000-0000A80C0000}"/>
    <cellStyle name="Normal 15 2 2 4" xfId="9818" xr:uid="{00000000-0005-0000-0000-0000A90C0000}"/>
    <cellStyle name="Normal 15 2 2 4 2" xfId="10516" xr:uid="{00000000-0005-0000-0000-0000AA0C0000}"/>
    <cellStyle name="Normal 15 2 2 4 2 2" xfId="12251" xr:uid="{00000000-0005-0000-0000-0000AB0C0000}"/>
    <cellStyle name="Normal 15 2 2 4 3" xfId="11604" xr:uid="{00000000-0005-0000-0000-0000AC0C0000}"/>
    <cellStyle name="Normal 15 2 2 5" xfId="10231" xr:uid="{00000000-0005-0000-0000-0000AD0C0000}"/>
    <cellStyle name="Normal 15 2 2 5 2" xfId="11967" xr:uid="{00000000-0005-0000-0000-0000AE0C0000}"/>
    <cellStyle name="Normal 15 2 2 6" xfId="11241" xr:uid="{00000000-0005-0000-0000-0000AF0C0000}"/>
    <cellStyle name="Normal 15 2 3" xfId="9757" xr:uid="{00000000-0005-0000-0000-0000B00C0000}"/>
    <cellStyle name="Normal 15 2 3 2" xfId="10455" xr:uid="{00000000-0005-0000-0000-0000B10C0000}"/>
    <cellStyle name="Normal 15 2 3 2 2" xfId="12190" xr:uid="{00000000-0005-0000-0000-0000B20C0000}"/>
    <cellStyle name="Normal 15 2 3 3" xfId="11543" xr:uid="{00000000-0005-0000-0000-0000B30C0000}"/>
    <cellStyle name="Normal 15 2 4" xfId="10160" xr:uid="{00000000-0005-0000-0000-0000B40C0000}"/>
    <cellStyle name="Normal 15 2 4 2" xfId="11896" xr:uid="{00000000-0005-0000-0000-0000B50C0000}"/>
    <cellStyle name="Normal 15 2 5" xfId="11153" xr:uid="{00000000-0005-0000-0000-0000B60C0000}"/>
    <cellStyle name="Normal 15 3" xfId="7570" xr:uid="{00000000-0005-0000-0000-0000B70C0000}"/>
    <cellStyle name="Normal 15 3 2" xfId="7576" xr:uid="{00000000-0005-0000-0000-0000B80C0000}"/>
    <cellStyle name="Normal 15 3 2 2" xfId="9821" xr:uid="{00000000-0005-0000-0000-0000B90C0000}"/>
    <cellStyle name="Normal 15 3 2 2 2" xfId="10519" xr:uid="{00000000-0005-0000-0000-0000BA0C0000}"/>
    <cellStyle name="Normal 15 3 2 2 2 2" xfId="12254" xr:uid="{00000000-0005-0000-0000-0000BB0C0000}"/>
    <cellStyle name="Normal 15 3 2 2 3" xfId="11607" xr:uid="{00000000-0005-0000-0000-0000BC0C0000}"/>
    <cellStyle name="Normal 15 3 2 3" xfId="10234" xr:uid="{00000000-0005-0000-0000-0000BD0C0000}"/>
    <cellStyle name="Normal 15 3 2 3 2" xfId="11970" xr:uid="{00000000-0005-0000-0000-0000BE0C0000}"/>
    <cellStyle name="Normal 15 3 2 4" xfId="11244" xr:uid="{00000000-0005-0000-0000-0000BF0C0000}"/>
    <cellStyle name="Normal 15 3 3" xfId="9815" xr:uid="{00000000-0005-0000-0000-0000C00C0000}"/>
    <cellStyle name="Normal 15 3 3 2" xfId="10513" xr:uid="{00000000-0005-0000-0000-0000C10C0000}"/>
    <cellStyle name="Normal 15 3 3 2 2" xfId="12248" xr:uid="{00000000-0005-0000-0000-0000C20C0000}"/>
    <cellStyle name="Normal 15 3 3 3" xfId="11601" xr:uid="{00000000-0005-0000-0000-0000C30C0000}"/>
    <cellStyle name="Normal 15 3 4" xfId="10228" xr:uid="{00000000-0005-0000-0000-0000C40C0000}"/>
    <cellStyle name="Normal 15 3 4 2" xfId="11964" xr:uid="{00000000-0005-0000-0000-0000C50C0000}"/>
    <cellStyle name="Normal 15 3 5" xfId="11238" xr:uid="{00000000-0005-0000-0000-0000C60C0000}"/>
    <cellStyle name="Normal 15 4" xfId="9551" xr:uid="{00000000-0005-0000-0000-0000C70C0000}"/>
    <cellStyle name="Normal 15 4 2" xfId="10255" xr:uid="{00000000-0005-0000-0000-0000C80C0000}"/>
    <cellStyle name="Normal 15 4 2 2" xfId="11990" xr:uid="{00000000-0005-0000-0000-0000C90C0000}"/>
    <cellStyle name="Normal 15 4 3" xfId="11343" xr:uid="{00000000-0005-0000-0000-0000CA0C0000}"/>
    <cellStyle name="Normal 15 5" xfId="4046" xr:uid="{00000000-0005-0000-0000-0000CB0C0000}"/>
    <cellStyle name="Normal 15 5 2" xfId="10914" xr:uid="{00000000-0005-0000-0000-0000CC0C0000}"/>
    <cellStyle name="Normal 15 6" xfId="9958" xr:uid="{00000000-0005-0000-0000-0000CD0C0000}"/>
    <cellStyle name="Normal 15 6 2" xfId="11694" xr:uid="{00000000-0005-0000-0000-0000CE0C0000}"/>
    <cellStyle name="Normal 15 7" xfId="10692" xr:uid="{00000000-0005-0000-0000-0000CF0C0000}"/>
    <cellStyle name="Normal 15 8" xfId="14231" xr:uid="{679B30AD-08BE-448D-81D7-08C086620263}"/>
    <cellStyle name="Normal 15 9" xfId="17836" xr:uid="{AF33479D-0A07-4C09-B1FB-D7F8C8AD04C8}"/>
    <cellStyle name="Normal 15_1.2.b" xfId="16156" xr:uid="{E5CFC267-8E05-4DB8-8EAB-3A60F49073CA}"/>
    <cellStyle name="Normal 16" xfId="186" xr:uid="{00000000-0005-0000-0000-0000D00C0000}"/>
    <cellStyle name="Normal 16 2" xfId="4347" xr:uid="{00000000-0005-0000-0000-0000D10C0000}"/>
    <cellStyle name="Normal 16 2 2" xfId="7572" xr:uid="{00000000-0005-0000-0000-0000D20C0000}"/>
    <cellStyle name="Normal 16 2 2 2" xfId="7578" xr:uid="{00000000-0005-0000-0000-0000D30C0000}"/>
    <cellStyle name="Normal 16 2 2 2 2" xfId="9823" xr:uid="{00000000-0005-0000-0000-0000D40C0000}"/>
    <cellStyle name="Normal 16 2 2 2 2 2" xfId="10521" xr:uid="{00000000-0005-0000-0000-0000D50C0000}"/>
    <cellStyle name="Normal 16 2 2 2 2 2 2" xfId="12256" xr:uid="{00000000-0005-0000-0000-0000D60C0000}"/>
    <cellStyle name="Normal 16 2 2 2 2 3" xfId="11609" xr:uid="{00000000-0005-0000-0000-0000D70C0000}"/>
    <cellStyle name="Normal 16 2 2 2 3" xfId="10236" xr:uid="{00000000-0005-0000-0000-0000D80C0000}"/>
    <cellStyle name="Normal 16 2 2 2 3 2" xfId="11972" xr:uid="{00000000-0005-0000-0000-0000D90C0000}"/>
    <cellStyle name="Normal 16 2 2 2 4" xfId="11246" xr:uid="{00000000-0005-0000-0000-0000DA0C0000}"/>
    <cellStyle name="Normal 16 2 2 3" xfId="9817" xr:uid="{00000000-0005-0000-0000-0000DB0C0000}"/>
    <cellStyle name="Normal 16 2 2 3 2" xfId="10515" xr:uid="{00000000-0005-0000-0000-0000DC0C0000}"/>
    <cellStyle name="Normal 16 2 2 3 2 2" xfId="12250" xr:uid="{00000000-0005-0000-0000-0000DD0C0000}"/>
    <cellStyle name="Normal 16 2 2 3 3" xfId="11603" xr:uid="{00000000-0005-0000-0000-0000DE0C0000}"/>
    <cellStyle name="Normal 16 2 2 4" xfId="10230" xr:uid="{00000000-0005-0000-0000-0000DF0C0000}"/>
    <cellStyle name="Normal 16 2 2 4 2" xfId="11966" xr:uid="{00000000-0005-0000-0000-0000E00C0000}"/>
    <cellStyle name="Normal 16 2 2 5" xfId="11240" xr:uid="{00000000-0005-0000-0000-0000E10C0000}"/>
    <cellStyle name="Normal 16 2 3" xfId="9756" xr:uid="{00000000-0005-0000-0000-0000E20C0000}"/>
    <cellStyle name="Normal 16 2 3 2" xfId="10454" xr:uid="{00000000-0005-0000-0000-0000E30C0000}"/>
    <cellStyle name="Normal 16 2 3 2 2" xfId="12189" xr:uid="{00000000-0005-0000-0000-0000E40C0000}"/>
    <cellStyle name="Normal 16 2 3 3" xfId="11542" xr:uid="{00000000-0005-0000-0000-0000E50C0000}"/>
    <cellStyle name="Normal 16 2 4" xfId="10158" xr:uid="{00000000-0005-0000-0000-0000E60C0000}"/>
    <cellStyle name="Normal 16 2 4 2" xfId="11894" xr:uid="{00000000-0005-0000-0000-0000E70C0000}"/>
    <cellStyle name="Normal 16 2 5" xfId="11151" xr:uid="{00000000-0005-0000-0000-0000E80C0000}"/>
    <cellStyle name="Normal 16 3" xfId="7571" xr:uid="{00000000-0005-0000-0000-0000E90C0000}"/>
    <cellStyle name="Normal 16 3 2" xfId="7577" xr:uid="{00000000-0005-0000-0000-0000EA0C0000}"/>
    <cellStyle name="Normal 16 3 2 2" xfId="9822" xr:uid="{00000000-0005-0000-0000-0000EB0C0000}"/>
    <cellStyle name="Normal 16 3 2 2 2" xfId="10520" xr:uid="{00000000-0005-0000-0000-0000EC0C0000}"/>
    <cellStyle name="Normal 16 3 2 2 2 2" xfId="12255" xr:uid="{00000000-0005-0000-0000-0000ED0C0000}"/>
    <cellStyle name="Normal 16 3 2 2 3" xfId="11608" xr:uid="{00000000-0005-0000-0000-0000EE0C0000}"/>
    <cellStyle name="Normal 16 3 2 3" xfId="10235" xr:uid="{00000000-0005-0000-0000-0000EF0C0000}"/>
    <cellStyle name="Normal 16 3 2 3 2" xfId="11971" xr:uid="{00000000-0005-0000-0000-0000F00C0000}"/>
    <cellStyle name="Normal 16 3 2 4" xfId="11245" xr:uid="{00000000-0005-0000-0000-0000F10C0000}"/>
    <cellStyle name="Normal 16 3 3" xfId="9816" xr:uid="{00000000-0005-0000-0000-0000F20C0000}"/>
    <cellStyle name="Normal 16 3 3 2" xfId="10514" xr:uid="{00000000-0005-0000-0000-0000F30C0000}"/>
    <cellStyle name="Normal 16 3 3 2 2" xfId="12249" xr:uid="{00000000-0005-0000-0000-0000F40C0000}"/>
    <cellStyle name="Normal 16 3 3 3" xfId="11602" xr:uid="{00000000-0005-0000-0000-0000F50C0000}"/>
    <cellStyle name="Normal 16 3 4" xfId="10229" xr:uid="{00000000-0005-0000-0000-0000F60C0000}"/>
    <cellStyle name="Normal 16 3 4 2" xfId="11965" xr:uid="{00000000-0005-0000-0000-0000F70C0000}"/>
    <cellStyle name="Normal 16 3 5" xfId="11239" xr:uid="{00000000-0005-0000-0000-0000F80C0000}"/>
    <cellStyle name="Normal 16 4" xfId="9552" xr:uid="{00000000-0005-0000-0000-0000F90C0000}"/>
    <cellStyle name="Normal 16 4 2" xfId="10256" xr:uid="{00000000-0005-0000-0000-0000FA0C0000}"/>
    <cellStyle name="Normal 16 4 2 2" xfId="11991" xr:uid="{00000000-0005-0000-0000-0000FB0C0000}"/>
    <cellStyle name="Normal 16 4 3" xfId="11344" xr:uid="{00000000-0005-0000-0000-0000FC0C0000}"/>
    <cellStyle name="Normal 16 5" xfId="4047" xr:uid="{00000000-0005-0000-0000-0000FD0C0000}"/>
    <cellStyle name="Normal 16 5 2" xfId="10915" xr:uid="{00000000-0005-0000-0000-0000FE0C0000}"/>
    <cellStyle name="Normal 16 6" xfId="9959" xr:uid="{00000000-0005-0000-0000-0000FF0C0000}"/>
    <cellStyle name="Normal 16 6 2" xfId="11695" xr:uid="{00000000-0005-0000-0000-0000000D0000}"/>
    <cellStyle name="Normal 16 7" xfId="10706" xr:uid="{00000000-0005-0000-0000-0000010D0000}"/>
    <cellStyle name="Normal 16 8" xfId="14232" xr:uid="{B4871432-D670-48C9-B0E5-EC6628368B85}"/>
    <cellStyle name="Normal 16 9" xfId="17837" xr:uid="{C4983526-1B31-4BC8-98D0-DD53B678CBCF}"/>
    <cellStyle name="Normal 16_1.2.b" xfId="16157" xr:uid="{41825BBB-EFFA-4CFD-B405-AC6587A8ED37}"/>
    <cellStyle name="Normal 17" xfId="201" xr:uid="{00000000-0005-0000-0000-0000020D0000}"/>
    <cellStyle name="Normal 17 2" xfId="9553" xr:uid="{00000000-0005-0000-0000-0000030D0000}"/>
    <cellStyle name="Normal 17 2 2" xfId="10257" xr:uid="{00000000-0005-0000-0000-0000040D0000}"/>
    <cellStyle name="Normal 17 2 2 2" xfId="11992" xr:uid="{00000000-0005-0000-0000-0000050D0000}"/>
    <cellStyle name="Normal 17 2 3" xfId="11345" xr:uid="{00000000-0005-0000-0000-0000060D0000}"/>
    <cellStyle name="Normal 17 3" xfId="4048" xr:uid="{00000000-0005-0000-0000-0000070D0000}"/>
    <cellStyle name="Normal 17 3 2" xfId="10916" xr:uid="{00000000-0005-0000-0000-0000080D0000}"/>
    <cellStyle name="Normal 17 4" xfId="9960" xr:uid="{00000000-0005-0000-0000-0000090D0000}"/>
    <cellStyle name="Normal 17 4 2" xfId="11696" xr:uid="{00000000-0005-0000-0000-00000A0D0000}"/>
    <cellStyle name="Normal 17 5" xfId="10721" xr:uid="{00000000-0005-0000-0000-00000B0D0000}"/>
    <cellStyle name="Normal 17 6" xfId="14233" xr:uid="{56EDB9F4-DB92-4D00-843B-71561DCB3A3C}"/>
    <cellStyle name="Normal 17 7" xfId="17838" xr:uid="{1C029A2C-C706-489A-8EFF-7CCD8FB8125B}"/>
    <cellStyle name="Normal 17_1.2.b" xfId="16158" xr:uid="{E489F346-5530-4121-901F-2A6F8B844B31}"/>
    <cellStyle name="Normal 18" xfId="215" xr:uid="{00000000-0005-0000-0000-00000C0D0000}"/>
    <cellStyle name="Normal 18 2" xfId="9606" xr:uid="{00000000-0005-0000-0000-00000D0D0000}"/>
    <cellStyle name="Normal 18 2 2" xfId="10308" xr:uid="{00000000-0005-0000-0000-00000E0D0000}"/>
    <cellStyle name="Normal 18 2 2 2" xfId="12043" xr:uid="{00000000-0005-0000-0000-00000F0D0000}"/>
    <cellStyle name="Normal 18 2 3" xfId="11396" xr:uid="{00000000-0005-0000-0000-0000100D0000}"/>
    <cellStyle name="Normal 18 3" xfId="4167" xr:uid="{00000000-0005-0000-0000-0000110D0000}"/>
    <cellStyle name="Normal 18 3 2" xfId="10981" xr:uid="{00000000-0005-0000-0000-0000120D0000}"/>
    <cellStyle name="Normal 18 4" xfId="9931" xr:uid="{00000000-0005-0000-0000-0000130D0000}"/>
    <cellStyle name="Normal 18 4 2" xfId="11668" xr:uid="{00000000-0005-0000-0000-0000140D0000}"/>
    <cellStyle name="Normal 18 5" xfId="9932" xr:uid="{00000000-0005-0000-0000-0000150D0000}"/>
    <cellStyle name="Normal 18 5 2" xfId="11669" xr:uid="{00000000-0005-0000-0000-0000160D0000}"/>
    <cellStyle name="Normal 18 6" xfId="10011" xr:uid="{00000000-0005-0000-0000-0000170D0000}"/>
    <cellStyle name="Normal 18 6 2" xfId="11747" xr:uid="{00000000-0005-0000-0000-0000180D0000}"/>
    <cellStyle name="Normal 18 7" xfId="10735" xr:uid="{00000000-0005-0000-0000-0000190D0000}"/>
    <cellStyle name="Normal 18 8" xfId="14234" xr:uid="{D5FCEFF3-65DC-496E-A98D-68F39551AC75}"/>
    <cellStyle name="Normal 18 9" xfId="17839" xr:uid="{DBE09778-0820-485F-970C-5570B13C0BB4}"/>
    <cellStyle name="Normal 18_1.2.b" xfId="16159" xr:uid="{DE0C304E-E4AC-465A-9F3D-163626C6DD80}"/>
    <cellStyle name="Normal 19" xfId="4275" xr:uid="{00000000-0005-0000-0000-00001A0D0000}"/>
    <cellStyle name="Normal 19 2" xfId="9709" xr:uid="{00000000-0005-0000-0000-00001B0D0000}"/>
    <cellStyle name="Normal 19 2 2" xfId="10410" xr:uid="{00000000-0005-0000-0000-00001C0D0000}"/>
    <cellStyle name="Normal 19 2 2 2" xfId="12145" xr:uid="{00000000-0005-0000-0000-00001D0D0000}"/>
    <cellStyle name="Normal 19 2 3" xfId="11498" xr:uid="{00000000-0005-0000-0000-00001E0D0000}"/>
    <cellStyle name="Normal 19 3" xfId="10113" xr:uid="{00000000-0005-0000-0000-00001F0D0000}"/>
    <cellStyle name="Normal 19 3 2" xfId="11849" xr:uid="{00000000-0005-0000-0000-0000200D0000}"/>
    <cellStyle name="Normal 19 4" xfId="11086" xr:uid="{00000000-0005-0000-0000-0000210D0000}"/>
    <cellStyle name="Normal 19 5" xfId="14235" xr:uid="{C585A5A6-C0AE-4C90-A1DB-A9C7B19F2B01}"/>
    <cellStyle name="Normal 19 6" xfId="17840" xr:uid="{BA313A8A-52B9-46E1-B1F8-B64073BF136D}"/>
    <cellStyle name="Normal 19_1.2.b" xfId="16160" xr:uid="{4F73AB42-CFF9-48E7-A1AE-A4CD3F82CA7E}"/>
    <cellStyle name="Normal 2" xfId="16" xr:uid="{00000000-0005-0000-0000-0000220D0000}"/>
    <cellStyle name="Normal 2 10" xfId="1239" xr:uid="{00000000-0005-0000-0000-0000230D0000}"/>
    <cellStyle name="Normal 2 10 10" xfId="4208" xr:uid="{00000000-0005-0000-0000-0000240D0000}"/>
    <cellStyle name="Normal 2 10 10 2" xfId="9643" xr:uid="{00000000-0005-0000-0000-0000250D0000}"/>
    <cellStyle name="Normal 2 10 10 2 2" xfId="10344" xr:uid="{00000000-0005-0000-0000-0000260D0000}"/>
    <cellStyle name="Normal 2 10 10 2 2 2" xfId="12079" xr:uid="{00000000-0005-0000-0000-0000270D0000}"/>
    <cellStyle name="Normal 2 10 10 2 3" xfId="11432" xr:uid="{00000000-0005-0000-0000-0000280D0000}"/>
    <cellStyle name="Normal 2 10 10 3" xfId="10047" xr:uid="{00000000-0005-0000-0000-0000290D0000}"/>
    <cellStyle name="Normal 2 10 10 3 2" xfId="11783" xr:uid="{00000000-0005-0000-0000-00002A0D0000}"/>
    <cellStyle name="Normal 2 10 10 4" xfId="11019" xr:uid="{00000000-0005-0000-0000-00002B0D0000}"/>
    <cellStyle name="Normal 2 10 11" xfId="4319" xr:uid="{00000000-0005-0000-0000-00002C0D0000}"/>
    <cellStyle name="Normal 2 10 12" xfId="14236" xr:uid="{5F8743E2-562D-4F06-8BB9-0E3C2D9F5454}"/>
    <cellStyle name="Normal 2 10 13" xfId="17841" xr:uid="{4C4C001F-A178-4E91-B85D-F0AC77B212A7}"/>
    <cellStyle name="Normal 2 10 2" xfId="1240" xr:uid="{00000000-0005-0000-0000-00002D0D0000}"/>
    <cellStyle name="Normal 2 10 2 2" xfId="4259" xr:uid="{00000000-0005-0000-0000-00002E0D0000}"/>
    <cellStyle name="Normal 2 10 2 2 2" xfId="9694" xr:uid="{00000000-0005-0000-0000-00002F0D0000}"/>
    <cellStyle name="Normal 2 10 2 2 2 2" xfId="10395" xr:uid="{00000000-0005-0000-0000-0000300D0000}"/>
    <cellStyle name="Normal 2 10 2 2 2 2 2" xfId="12130" xr:uid="{00000000-0005-0000-0000-0000310D0000}"/>
    <cellStyle name="Normal 2 10 2 2 2 3" xfId="11483" xr:uid="{00000000-0005-0000-0000-0000320D0000}"/>
    <cellStyle name="Normal 2 10 2 2 3" xfId="10098" xr:uid="{00000000-0005-0000-0000-0000330D0000}"/>
    <cellStyle name="Normal 2 10 2 2 3 2" xfId="11834" xr:uid="{00000000-0005-0000-0000-0000340D0000}"/>
    <cellStyle name="Normal 2 10 2 2 4" xfId="11070" xr:uid="{00000000-0005-0000-0000-0000350D0000}"/>
    <cellStyle name="Normal 2 10 3" xfId="1241" xr:uid="{00000000-0005-0000-0000-0000360D0000}"/>
    <cellStyle name="Normal 2 10 4" xfId="1242" xr:uid="{00000000-0005-0000-0000-0000370D0000}"/>
    <cellStyle name="Normal 2 10 5" xfId="1243" xr:uid="{00000000-0005-0000-0000-0000380D0000}"/>
    <cellStyle name="Normal 2 10 6" xfId="1244" xr:uid="{00000000-0005-0000-0000-0000390D0000}"/>
    <cellStyle name="Normal 2 10 7" xfId="1245" xr:uid="{00000000-0005-0000-0000-00003A0D0000}"/>
    <cellStyle name="Normal 2 10 8" xfId="1246" xr:uid="{00000000-0005-0000-0000-00003B0D0000}"/>
    <cellStyle name="Normal 2 10 9" xfId="4126" xr:uid="{00000000-0005-0000-0000-00003C0D0000}"/>
    <cellStyle name="Normal 2 10 9 2" xfId="9591" xr:uid="{00000000-0005-0000-0000-00003D0D0000}"/>
    <cellStyle name="Normal 2 10 9 2 2" xfId="10293" xr:uid="{00000000-0005-0000-0000-00003E0D0000}"/>
    <cellStyle name="Normal 2 10 9 2 2 2" xfId="12028" xr:uid="{00000000-0005-0000-0000-00003F0D0000}"/>
    <cellStyle name="Normal 2 10 9 2 3" xfId="11381" xr:uid="{00000000-0005-0000-0000-0000400D0000}"/>
    <cellStyle name="Normal 2 10 9 3" xfId="9996" xr:uid="{00000000-0005-0000-0000-0000410D0000}"/>
    <cellStyle name="Normal 2 10 9 3 2" xfId="11732" xr:uid="{00000000-0005-0000-0000-0000420D0000}"/>
    <cellStyle name="Normal 2 10 9 4" xfId="10958" xr:uid="{00000000-0005-0000-0000-0000430D0000}"/>
    <cellStyle name="Normal 2 10_1.2.b" xfId="16162" xr:uid="{112B8263-90A4-42BD-B658-661C8318ADEC}"/>
    <cellStyle name="Normal 2 100" xfId="1247" xr:uid="{00000000-0005-0000-0000-0000440D0000}"/>
    <cellStyle name="Normal 2 100 2" xfId="7676" xr:uid="{00000000-0005-0000-0000-0000450D0000}"/>
    <cellStyle name="Normal 2 101" xfId="1248" xr:uid="{00000000-0005-0000-0000-0000460D0000}"/>
    <cellStyle name="Normal 2 101 2" xfId="7677" xr:uid="{00000000-0005-0000-0000-0000470D0000}"/>
    <cellStyle name="Normal 2 102" xfId="1249" xr:uid="{00000000-0005-0000-0000-0000480D0000}"/>
    <cellStyle name="Normal 2 102 2" xfId="7678" xr:uid="{00000000-0005-0000-0000-0000490D0000}"/>
    <cellStyle name="Normal 2 103" xfId="1250" xr:uid="{00000000-0005-0000-0000-00004A0D0000}"/>
    <cellStyle name="Normal 2 103 2" xfId="7679" xr:uid="{00000000-0005-0000-0000-00004B0D0000}"/>
    <cellStyle name="Normal 2 104" xfId="1251" xr:uid="{00000000-0005-0000-0000-00004C0D0000}"/>
    <cellStyle name="Normal 2 104 2" xfId="7680" xr:uid="{00000000-0005-0000-0000-00004D0D0000}"/>
    <cellStyle name="Normal 2 105" xfId="1252" xr:uid="{00000000-0005-0000-0000-00004E0D0000}"/>
    <cellStyle name="Normal 2 105 2" xfId="7681" xr:uid="{00000000-0005-0000-0000-00004F0D0000}"/>
    <cellStyle name="Normal 2 106" xfId="1253" xr:uid="{00000000-0005-0000-0000-0000500D0000}"/>
    <cellStyle name="Normal 2 106 2" xfId="7682" xr:uid="{00000000-0005-0000-0000-0000510D0000}"/>
    <cellStyle name="Normal 2 107" xfId="4036" xr:uid="{00000000-0005-0000-0000-0000520D0000}"/>
    <cellStyle name="Normal 2 107 2" xfId="4041" xr:uid="{00000000-0005-0000-0000-0000530D0000}"/>
    <cellStyle name="Normal 2 107 2 2" xfId="9547" xr:uid="{00000000-0005-0000-0000-0000540D0000}"/>
    <cellStyle name="Normal 2 107 2 2 2" xfId="10251" xr:uid="{00000000-0005-0000-0000-0000550D0000}"/>
    <cellStyle name="Normal 2 107 2 2 2 2" xfId="11986" xr:uid="{00000000-0005-0000-0000-0000560D0000}"/>
    <cellStyle name="Normal 2 107 2 2 3" xfId="11339" xr:uid="{00000000-0005-0000-0000-0000570D0000}"/>
    <cellStyle name="Normal 2 107 2 3" xfId="9954" xr:uid="{00000000-0005-0000-0000-0000580D0000}"/>
    <cellStyle name="Normal 2 107 2 3 2" xfId="11690" xr:uid="{00000000-0005-0000-0000-0000590D0000}"/>
    <cellStyle name="Normal 2 107 2 4" xfId="10910" xr:uid="{00000000-0005-0000-0000-00005A0D0000}"/>
    <cellStyle name="Normal 2 107 3" xfId="4351" xr:uid="{00000000-0005-0000-0000-00005B0D0000}"/>
    <cellStyle name="Normal 2 107 3 2" xfId="9759" xr:uid="{00000000-0005-0000-0000-00005C0D0000}"/>
    <cellStyle name="Normal 2 107 3 2 2" xfId="10457" xr:uid="{00000000-0005-0000-0000-00005D0D0000}"/>
    <cellStyle name="Normal 2 107 3 2 2 2" xfId="12192" xr:uid="{00000000-0005-0000-0000-00005E0D0000}"/>
    <cellStyle name="Normal 2 107 3 2 3" xfId="11545" xr:uid="{00000000-0005-0000-0000-00005F0D0000}"/>
    <cellStyle name="Normal 2 107 3 3" xfId="10162" xr:uid="{00000000-0005-0000-0000-0000600D0000}"/>
    <cellStyle name="Normal 2 107 3 3 2" xfId="11898" xr:uid="{00000000-0005-0000-0000-0000610D0000}"/>
    <cellStyle name="Normal 2 107 3 4" xfId="11155" xr:uid="{00000000-0005-0000-0000-0000620D0000}"/>
    <cellStyle name="Normal 2 107 4" xfId="4353" xr:uid="{00000000-0005-0000-0000-0000630D0000}"/>
    <cellStyle name="Normal 2 107 4 2" xfId="9761" xr:uid="{00000000-0005-0000-0000-0000640D0000}"/>
    <cellStyle name="Normal 2 107 4 2 2" xfId="10459" xr:uid="{00000000-0005-0000-0000-0000650D0000}"/>
    <cellStyle name="Normal 2 107 4 2 2 2" xfId="12194" xr:uid="{00000000-0005-0000-0000-0000660D0000}"/>
    <cellStyle name="Normal 2 107 4 2 3" xfId="11547" xr:uid="{00000000-0005-0000-0000-0000670D0000}"/>
    <cellStyle name="Normal 2 107 4 3" xfId="10164" xr:uid="{00000000-0005-0000-0000-0000680D0000}"/>
    <cellStyle name="Normal 2 107 4 3 2" xfId="11900" xr:uid="{00000000-0005-0000-0000-0000690D0000}"/>
    <cellStyle name="Normal 2 107 4 4" xfId="11157" xr:uid="{00000000-0005-0000-0000-00006A0D0000}"/>
    <cellStyle name="Normal 2 107 5" xfId="9544" xr:uid="{00000000-0005-0000-0000-00006B0D0000}"/>
    <cellStyle name="Normal 2 107 5 2" xfId="10248" xr:uid="{00000000-0005-0000-0000-00006C0D0000}"/>
    <cellStyle name="Normal 2 107 5 2 2" xfId="11983" xr:uid="{00000000-0005-0000-0000-00006D0D0000}"/>
    <cellStyle name="Normal 2 107 5 3" xfId="11336" xr:uid="{00000000-0005-0000-0000-00006E0D0000}"/>
    <cellStyle name="Normal 2 107 6" xfId="9951" xr:uid="{00000000-0005-0000-0000-00006F0D0000}"/>
    <cellStyle name="Normal 2 107 6 2" xfId="11687" xr:uid="{00000000-0005-0000-0000-0000700D0000}"/>
    <cellStyle name="Normal 2 107 7" xfId="10907" xr:uid="{00000000-0005-0000-0000-0000710D0000}"/>
    <cellStyle name="Normal 2 108" xfId="4053" xr:uid="{00000000-0005-0000-0000-0000720D0000}"/>
    <cellStyle name="Normal 2 108 2" xfId="9556" xr:uid="{00000000-0005-0000-0000-0000730D0000}"/>
    <cellStyle name="Normal 2 108 2 2" xfId="10259" xr:uid="{00000000-0005-0000-0000-0000740D0000}"/>
    <cellStyle name="Normal 2 108 2 2 2" xfId="11994" xr:uid="{00000000-0005-0000-0000-0000750D0000}"/>
    <cellStyle name="Normal 2 108 2 3" xfId="11347" xr:uid="{00000000-0005-0000-0000-0000760D0000}"/>
    <cellStyle name="Normal 2 108 3" xfId="9962" xr:uid="{00000000-0005-0000-0000-0000770D0000}"/>
    <cellStyle name="Normal 2 108 3 2" xfId="11698" xr:uid="{00000000-0005-0000-0000-0000780D0000}"/>
    <cellStyle name="Normal 2 108 4" xfId="10920" xr:uid="{00000000-0005-0000-0000-0000790D0000}"/>
    <cellStyle name="Normal 2 109" xfId="4172" xr:uid="{00000000-0005-0000-0000-00007A0D0000}"/>
    <cellStyle name="Normal 2 109 2" xfId="9609" xr:uid="{00000000-0005-0000-0000-00007B0D0000}"/>
    <cellStyle name="Normal 2 109 2 2" xfId="10310" xr:uid="{00000000-0005-0000-0000-00007C0D0000}"/>
    <cellStyle name="Normal 2 109 2 2 2" xfId="12045" xr:uid="{00000000-0005-0000-0000-00007D0D0000}"/>
    <cellStyle name="Normal 2 109 2 3" xfId="11398" xr:uid="{00000000-0005-0000-0000-00007E0D0000}"/>
    <cellStyle name="Normal 2 109 3" xfId="10013" xr:uid="{00000000-0005-0000-0000-00007F0D0000}"/>
    <cellStyle name="Normal 2 109 3 2" xfId="11749" xr:uid="{00000000-0005-0000-0000-0000800D0000}"/>
    <cellStyle name="Normal 2 109 4" xfId="10985" xr:uid="{00000000-0005-0000-0000-0000810D0000}"/>
    <cellStyle name="Normal 2 11" xfId="1254" xr:uid="{00000000-0005-0000-0000-0000820D0000}"/>
    <cellStyle name="Normal 2 11 10" xfId="4190" xr:uid="{00000000-0005-0000-0000-0000830D0000}"/>
    <cellStyle name="Normal 2 11 10 2" xfId="9625" xr:uid="{00000000-0005-0000-0000-0000840D0000}"/>
    <cellStyle name="Normal 2 11 10 2 2" xfId="10326" xr:uid="{00000000-0005-0000-0000-0000850D0000}"/>
    <cellStyle name="Normal 2 11 10 2 2 2" xfId="12061" xr:uid="{00000000-0005-0000-0000-0000860D0000}"/>
    <cellStyle name="Normal 2 11 10 2 3" xfId="11414" xr:uid="{00000000-0005-0000-0000-0000870D0000}"/>
    <cellStyle name="Normal 2 11 10 3" xfId="10029" xr:uid="{00000000-0005-0000-0000-0000880D0000}"/>
    <cellStyle name="Normal 2 11 10 3 2" xfId="11765" xr:uid="{00000000-0005-0000-0000-0000890D0000}"/>
    <cellStyle name="Normal 2 11 10 4" xfId="11001" xr:uid="{00000000-0005-0000-0000-00008A0D0000}"/>
    <cellStyle name="Normal 2 11 11" xfId="4332" xr:uid="{00000000-0005-0000-0000-00008B0D0000}"/>
    <cellStyle name="Normal 2 11 11 2" xfId="9743" xr:uid="{00000000-0005-0000-0000-00008C0D0000}"/>
    <cellStyle name="Normal 2 11 11 2 2" xfId="10441" xr:uid="{00000000-0005-0000-0000-00008D0D0000}"/>
    <cellStyle name="Normal 2 11 11 2 2 2" xfId="12176" xr:uid="{00000000-0005-0000-0000-00008E0D0000}"/>
    <cellStyle name="Normal 2 11 11 2 3" xfId="11529" xr:uid="{00000000-0005-0000-0000-00008F0D0000}"/>
    <cellStyle name="Normal 2 11 11 3" xfId="10144" xr:uid="{00000000-0005-0000-0000-0000900D0000}"/>
    <cellStyle name="Normal 2 11 11 3 2" xfId="11880" xr:uid="{00000000-0005-0000-0000-0000910D0000}"/>
    <cellStyle name="Normal 2 11 11 4" xfId="11137" xr:uid="{00000000-0005-0000-0000-0000920D0000}"/>
    <cellStyle name="Normal 2 11 12" xfId="7683" xr:uid="{00000000-0005-0000-0000-0000930D0000}"/>
    <cellStyle name="Normal 2 11 2" xfId="1255" xr:uid="{00000000-0005-0000-0000-0000940D0000}"/>
    <cellStyle name="Normal 2 11 2 2" xfId="4241" xr:uid="{00000000-0005-0000-0000-0000950D0000}"/>
    <cellStyle name="Normal 2 11 2 2 2" xfId="9676" xr:uid="{00000000-0005-0000-0000-0000960D0000}"/>
    <cellStyle name="Normal 2 11 2 2 2 2" xfId="10377" xr:uid="{00000000-0005-0000-0000-0000970D0000}"/>
    <cellStyle name="Normal 2 11 2 2 2 2 2" xfId="12112" xr:uid="{00000000-0005-0000-0000-0000980D0000}"/>
    <cellStyle name="Normal 2 11 2 2 2 3" xfId="11465" xr:uid="{00000000-0005-0000-0000-0000990D0000}"/>
    <cellStyle name="Normal 2 11 2 2 3" xfId="10080" xr:uid="{00000000-0005-0000-0000-00009A0D0000}"/>
    <cellStyle name="Normal 2 11 2 2 3 2" xfId="11816" xr:uid="{00000000-0005-0000-0000-00009B0D0000}"/>
    <cellStyle name="Normal 2 11 2 2 4" xfId="11052" xr:uid="{00000000-0005-0000-0000-00009C0D0000}"/>
    <cellStyle name="Normal 2 11 3" xfId="1256" xr:uid="{00000000-0005-0000-0000-00009D0D0000}"/>
    <cellStyle name="Normal 2 11 4" xfId="1257" xr:uid="{00000000-0005-0000-0000-00009E0D0000}"/>
    <cellStyle name="Normal 2 11 5" xfId="1258" xr:uid="{00000000-0005-0000-0000-00009F0D0000}"/>
    <cellStyle name="Normal 2 11 6" xfId="1259" xr:uid="{00000000-0005-0000-0000-0000A00D0000}"/>
    <cellStyle name="Normal 2 11 7" xfId="1260" xr:uid="{00000000-0005-0000-0000-0000A10D0000}"/>
    <cellStyle name="Normal 2 11 8" xfId="1261" xr:uid="{00000000-0005-0000-0000-0000A20D0000}"/>
    <cellStyle name="Normal 2 11 9" xfId="4088" xr:uid="{00000000-0005-0000-0000-0000A30D0000}"/>
    <cellStyle name="Normal 2 11 9 2" xfId="9572" xr:uid="{00000000-0005-0000-0000-0000A40D0000}"/>
    <cellStyle name="Normal 2 11 9 2 2" xfId="10275" xr:uid="{00000000-0005-0000-0000-0000A50D0000}"/>
    <cellStyle name="Normal 2 11 9 2 2 2" xfId="12010" xr:uid="{00000000-0005-0000-0000-0000A60D0000}"/>
    <cellStyle name="Normal 2 11 9 2 3" xfId="11363" xr:uid="{00000000-0005-0000-0000-0000A70D0000}"/>
    <cellStyle name="Normal 2 11 9 3" xfId="9978" xr:uid="{00000000-0005-0000-0000-0000A80D0000}"/>
    <cellStyle name="Normal 2 11 9 3 2" xfId="11714" xr:uid="{00000000-0005-0000-0000-0000A90D0000}"/>
    <cellStyle name="Normal 2 11 9 4" xfId="10937" xr:uid="{00000000-0005-0000-0000-0000AA0D0000}"/>
    <cellStyle name="Normal 2 110" xfId="4280" xr:uid="{00000000-0005-0000-0000-0000AB0D0000}"/>
    <cellStyle name="Normal 2 110 2" xfId="9713" xr:uid="{00000000-0005-0000-0000-0000AC0D0000}"/>
    <cellStyle name="Normal 2 110 2 2" xfId="10413" xr:uid="{00000000-0005-0000-0000-0000AD0D0000}"/>
    <cellStyle name="Normal 2 110 2 2 2" xfId="12148" xr:uid="{00000000-0005-0000-0000-0000AE0D0000}"/>
    <cellStyle name="Normal 2 110 2 3" xfId="11501" xr:uid="{00000000-0005-0000-0000-0000AF0D0000}"/>
    <cellStyle name="Normal 2 110 3" xfId="10116" xr:uid="{00000000-0005-0000-0000-0000B00D0000}"/>
    <cellStyle name="Normal 2 110 3 2" xfId="11852" xr:uid="{00000000-0005-0000-0000-0000B10D0000}"/>
    <cellStyle name="Normal 2 110 4" xfId="11090" xr:uid="{00000000-0005-0000-0000-0000B20D0000}"/>
    <cellStyle name="Normal 2 111" xfId="4291" xr:uid="{00000000-0005-0000-0000-0000B30D0000}"/>
    <cellStyle name="Normal 2 111 2" xfId="9717" xr:uid="{00000000-0005-0000-0000-0000B40D0000}"/>
    <cellStyle name="Normal 2 111 2 2" xfId="10417" xr:uid="{00000000-0005-0000-0000-0000B50D0000}"/>
    <cellStyle name="Normal 2 111 2 2 2" xfId="12152" xr:uid="{00000000-0005-0000-0000-0000B60D0000}"/>
    <cellStyle name="Normal 2 111 2 3" xfId="11505" xr:uid="{00000000-0005-0000-0000-0000B70D0000}"/>
    <cellStyle name="Normal 2 111 3" xfId="10120" xr:uid="{00000000-0005-0000-0000-0000B80D0000}"/>
    <cellStyle name="Normal 2 111 3 2" xfId="11856" xr:uid="{00000000-0005-0000-0000-0000B90D0000}"/>
    <cellStyle name="Normal 2 111 4" xfId="11100" xr:uid="{00000000-0005-0000-0000-0000BA0D0000}"/>
    <cellStyle name="Normal 2 112" xfId="4297" xr:uid="{00000000-0005-0000-0000-0000BB0D0000}"/>
    <cellStyle name="Normal 2 112 2" xfId="9723" xr:uid="{00000000-0005-0000-0000-0000BC0D0000}"/>
    <cellStyle name="Normal 2 112 2 2" xfId="10423" xr:uid="{00000000-0005-0000-0000-0000BD0D0000}"/>
    <cellStyle name="Normal 2 112 2 2 2" xfId="12158" xr:uid="{00000000-0005-0000-0000-0000BE0D0000}"/>
    <cellStyle name="Normal 2 112 2 3" xfId="11511" xr:uid="{00000000-0005-0000-0000-0000BF0D0000}"/>
    <cellStyle name="Normal 2 112 3" xfId="10126" xr:uid="{00000000-0005-0000-0000-0000C00D0000}"/>
    <cellStyle name="Normal 2 112 3 2" xfId="11862" xr:uid="{00000000-0005-0000-0000-0000C10D0000}"/>
    <cellStyle name="Normal 2 112 4" xfId="11106" xr:uid="{00000000-0005-0000-0000-0000C20D0000}"/>
    <cellStyle name="Normal 2 113" xfId="4355" xr:uid="{00000000-0005-0000-0000-0000C30D0000}"/>
    <cellStyle name="Normal 2 113 2" xfId="9763" xr:uid="{00000000-0005-0000-0000-0000C40D0000}"/>
    <cellStyle name="Normal 2 113 2 2" xfId="10461" xr:uid="{00000000-0005-0000-0000-0000C50D0000}"/>
    <cellStyle name="Normal 2 113 2 2 2" xfId="12196" xr:uid="{00000000-0005-0000-0000-0000C60D0000}"/>
    <cellStyle name="Normal 2 113 2 3" xfId="11549" xr:uid="{00000000-0005-0000-0000-0000C70D0000}"/>
    <cellStyle name="Normal 2 113 3" xfId="10166" xr:uid="{00000000-0005-0000-0000-0000C80D0000}"/>
    <cellStyle name="Normal 2 113 3 2" xfId="11902" xr:uid="{00000000-0005-0000-0000-0000C90D0000}"/>
    <cellStyle name="Normal 2 113 4" xfId="11159" xr:uid="{00000000-0005-0000-0000-0000CA0D0000}"/>
    <cellStyle name="Normal 2 114" xfId="1238" xr:uid="{00000000-0005-0000-0000-0000CB0D0000}"/>
    <cellStyle name="Normal 2 115" xfId="9901" xr:uid="{00000000-0005-0000-0000-0000CC0D0000}"/>
    <cellStyle name="Normal 2 115 2" xfId="11650" xr:uid="{00000000-0005-0000-0000-0000CD0D0000}"/>
    <cellStyle name="Normal 2 116" xfId="9930" xr:uid="{00000000-0005-0000-0000-0000CE0D0000}"/>
    <cellStyle name="Normal 2 117" xfId="10545" xr:uid="{00000000-0005-0000-0000-0000CF0D0000}"/>
    <cellStyle name="Normal 2 117 2" xfId="12280" xr:uid="{00000000-0005-0000-0000-0000D00D0000}"/>
    <cellStyle name="Normal 2 118" xfId="12397" xr:uid="{00000000-0005-0000-0000-0000D10D0000}"/>
    <cellStyle name="Normal 2 119" xfId="12409" xr:uid="{73FB19C8-28DB-41F2-9592-F0F483F28533}"/>
    <cellStyle name="Normal 2 12" xfId="1262" xr:uid="{00000000-0005-0000-0000-0000D20D0000}"/>
    <cellStyle name="Normal 2 12 10" xfId="7684" xr:uid="{00000000-0005-0000-0000-0000D30D0000}"/>
    <cellStyle name="Normal 2 12 2" xfId="1263" xr:uid="{00000000-0005-0000-0000-0000D40D0000}"/>
    <cellStyle name="Normal 2 12 3" xfId="1264" xr:uid="{00000000-0005-0000-0000-0000D50D0000}"/>
    <cellStyle name="Normal 2 12 4" xfId="1265" xr:uid="{00000000-0005-0000-0000-0000D60D0000}"/>
    <cellStyle name="Normal 2 12 5" xfId="1266" xr:uid="{00000000-0005-0000-0000-0000D70D0000}"/>
    <cellStyle name="Normal 2 12 6" xfId="1267" xr:uid="{00000000-0005-0000-0000-0000D80D0000}"/>
    <cellStyle name="Normal 2 12 7" xfId="1268" xr:uid="{00000000-0005-0000-0000-0000D90D0000}"/>
    <cellStyle name="Normal 2 12 8" xfId="1269" xr:uid="{00000000-0005-0000-0000-0000DA0D0000}"/>
    <cellStyle name="Normal 2 12 9" xfId="4225" xr:uid="{00000000-0005-0000-0000-0000DB0D0000}"/>
    <cellStyle name="Normal 2 12 9 2" xfId="9660" xr:uid="{00000000-0005-0000-0000-0000DC0D0000}"/>
    <cellStyle name="Normal 2 12 9 2 2" xfId="10361" xr:uid="{00000000-0005-0000-0000-0000DD0D0000}"/>
    <cellStyle name="Normal 2 12 9 2 2 2" xfId="12096" xr:uid="{00000000-0005-0000-0000-0000DE0D0000}"/>
    <cellStyle name="Normal 2 12 9 2 3" xfId="11449" xr:uid="{00000000-0005-0000-0000-0000DF0D0000}"/>
    <cellStyle name="Normal 2 12 9 3" xfId="10064" xr:uid="{00000000-0005-0000-0000-0000E00D0000}"/>
    <cellStyle name="Normal 2 12 9 3 2" xfId="11800" xr:uid="{00000000-0005-0000-0000-0000E10D0000}"/>
    <cellStyle name="Normal 2 12 9 4" xfId="11036" xr:uid="{00000000-0005-0000-0000-0000E20D0000}"/>
    <cellStyle name="Normal 2 120" xfId="16508" xr:uid="{58B764A7-9E43-4FC1-8F45-FC3539F9BA10}"/>
    <cellStyle name="Normal 2 121" xfId="18124" xr:uid="{2F9B5D12-9966-4482-8CAD-0DCE7B9EFB2E}"/>
    <cellStyle name="Normal 2 122" xfId="18278" xr:uid="{5C08F98B-2801-4C78-87AC-2F3823234CBC}"/>
    <cellStyle name="Normal 2 123" xfId="18115" xr:uid="{D4D4E41B-23A6-4DF0-AA71-E9B3E6008E9E}"/>
    <cellStyle name="Normal 2 124" xfId="18271" xr:uid="{846C39D2-AC96-446F-93CE-D9A9B139DC4F}"/>
    <cellStyle name="Normal 2 125" xfId="18289" xr:uid="{944130DD-DF8C-4044-AA7A-7729F20FB817}"/>
    <cellStyle name="Normal 2 13" xfId="1270" xr:uid="{00000000-0005-0000-0000-0000E30D0000}"/>
    <cellStyle name="Normal 2 13 2" xfId="5145" xr:uid="{00000000-0005-0000-0000-0000E40D0000}"/>
    <cellStyle name="Normal 2 14" xfId="1271" xr:uid="{00000000-0005-0000-0000-0000E50D0000}"/>
    <cellStyle name="Normal 2 14 2" xfId="5146" xr:uid="{00000000-0005-0000-0000-0000E60D0000}"/>
    <cellStyle name="Normal 2 15" xfId="1272" xr:uid="{00000000-0005-0000-0000-0000E70D0000}"/>
    <cellStyle name="Normal 2 15 2" xfId="5147" xr:uid="{00000000-0005-0000-0000-0000E80D0000}"/>
    <cellStyle name="Normal 2 16" xfId="1273" xr:uid="{00000000-0005-0000-0000-0000E90D0000}"/>
    <cellStyle name="Normal 2 16 2" xfId="5148" xr:uid="{00000000-0005-0000-0000-0000EA0D0000}"/>
    <cellStyle name="Normal 2 17" xfId="1274" xr:uid="{00000000-0005-0000-0000-0000EB0D0000}"/>
    <cellStyle name="Normal 2 17 2" xfId="5149" xr:uid="{00000000-0005-0000-0000-0000EC0D0000}"/>
    <cellStyle name="Normal 2 18" xfId="1275" xr:uid="{00000000-0005-0000-0000-0000ED0D0000}"/>
    <cellStyle name="Normal 2 18 2" xfId="5150" xr:uid="{00000000-0005-0000-0000-0000EE0D0000}"/>
    <cellStyle name="Normal 2 19" xfId="1276" xr:uid="{00000000-0005-0000-0000-0000EF0D0000}"/>
    <cellStyle name="Normal 2 19 2" xfId="5151" xr:uid="{00000000-0005-0000-0000-0000F00D0000}"/>
    <cellStyle name="Normal 2 2" xfId="98" xr:uid="{00000000-0005-0000-0000-0000F10D0000}"/>
    <cellStyle name="Normal 2 2 10" xfId="1278" xr:uid="{00000000-0005-0000-0000-0000F20D0000}"/>
    <cellStyle name="Normal 2 2 10 2" xfId="4130" xr:uid="{00000000-0005-0000-0000-0000F30D0000}"/>
    <cellStyle name="Normal 2 2 10 3" xfId="4336" xr:uid="{00000000-0005-0000-0000-0000F40D0000}"/>
    <cellStyle name="Normal 2 2 10 3 2" xfId="9747" xr:uid="{00000000-0005-0000-0000-0000F50D0000}"/>
    <cellStyle name="Normal 2 2 10 3 2 2" xfId="10445" xr:uid="{00000000-0005-0000-0000-0000F60D0000}"/>
    <cellStyle name="Normal 2 2 10 3 2 2 2" xfId="12180" xr:uid="{00000000-0005-0000-0000-0000F70D0000}"/>
    <cellStyle name="Normal 2 2 10 3 2 3" xfId="11533" xr:uid="{00000000-0005-0000-0000-0000F80D0000}"/>
    <cellStyle name="Normal 2 2 10 3 3" xfId="10148" xr:uid="{00000000-0005-0000-0000-0000F90D0000}"/>
    <cellStyle name="Normal 2 2 10 3 3 2" xfId="11884" xr:uid="{00000000-0005-0000-0000-0000FA0D0000}"/>
    <cellStyle name="Normal 2 2 10 3 4" xfId="11141" xr:uid="{00000000-0005-0000-0000-0000FB0D0000}"/>
    <cellStyle name="Normal 2 2 11" xfId="1279" xr:uid="{00000000-0005-0000-0000-0000FC0D0000}"/>
    <cellStyle name="Normal 2 2 11 2" xfId="4090" xr:uid="{00000000-0005-0000-0000-0000FD0D0000}"/>
    <cellStyle name="Normal 2 2 12" xfId="1280" xr:uid="{00000000-0005-0000-0000-0000FE0D0000}"/>
    <cellStyle name="Normal 2 2 13" xfId="1281" xr:uid="{00000000-0005-0000-0000-0000FF0D0000}"/>
    <cellStyle name="Normal 2 2 14" xfId="1282" xr:uid="{00000000-0005-0000-0000-0000000E0000}"/>
    <cellStyle name="Normal 2 2 15" xfId="1283" xr:uid="{00000000-0005-0000-0000-0000010E0000}"/>
    <cellStyle name="Normal 2 2 16" xfId="1284" xr:uid="{00000000-0005-0000-0000-0000020E0000}"/>
    <cellStyle name="Normal 2 2 17" xfId="1285" xr:uid="{00000000-0005-0000-0000-0000030E0000}"/>
    <cellStyle name="Normal 2 2 18" xfId="1286" xr:uid="{00000000-0005-0000-0000-0000040E0000}"/>
    <cellStyle name="Normal 2 2 19" xfId="1287" xr:uid="{00000000-0005-0000-0000-0000050E0000}"/>
    <cellStyle name="Normal 2 2 2" xfId="1288" xr:uid="{00000000-0005-0000-0000-0000060E0000}"/>
    <cellStyle name="Normal 2 2 2 10" xfId="1289" xr:uid="{00000000-0005-0000-0000-0000070E0000}"/>
    <cellStyle name="Normal 2 2 2 10 2" xfId="7685" xr:uid="{00000000-0005-0000-0000-0000080E0000}"/>
    <cellStyle name="Normal 2 2 2 11" xfId="1290" xr:uid="{00000000-0005-0000-0000-0000090E0000}"/>
    <cellStyle name="Normal 2 2 2 11 2" xfId="7686" xr:uid="{00000000-0005-0000-0000-00000A0E0000}"/>
    <cellStyle name="Normal 2 2 2 12" xfId="1291" xr:uid="{00000000-0005-0000-0000-00000B0E0000}"/>
    <cellStyle name="Normal 2 2 2 12 2" xfId="7687" xr:uid="{00000000-0005-0000-0000-00000C0E0000}"/>
    <cellStyle name="Normal 2 2 2 13" xfId="1292" xr:uid="{00000000-0005-0000-0000-00000D0E0000}"/>
    <cellStyle name="Normal 2 2 2 13 2" xfId="7688" xr:uid="{00000000-0005-0000-0000-00000E0E0000}"/>
    <cellStyle name="Normal 2 2 2 14" xfId="1293" xr:uid="{00000000-0005-0000-0000-00000F0E0000}"/>
    <cellStyle name="Normal 2 2 2 14 2" xfId="7689" xr:uid="{00000000-0005-0000-0000-0000100E0000}"/>
    <cellStyle name="Normal 2 2 2 15" xfId="1294" xr:uid="{00000000-0005-0000-0000-0000110E0000}"/>
    <cellStyle name="Normal 2 2 2 15 2" xfId="7690" xr:uid="{00000000-0005-0000-0000-0000120E0000}"/>
    <cellStyle name="Normal 2 2 2 16" xfId="1295" xr:uid="{00000000-0005-0000-0000-0000130E0000}"/>
    <cellStyle name="Normal 2 2 2 16 2" xfId="7691" xr:uid="{00000000-0005-0000-0000-0000140E0000}"/>
    <cellStyle name="Normal 2 2 2 17" xfId="1296" xr:uid="{00000000-0005-0000-0000-0000150E0000}"/>
    <cellStyle name="Normal 2 2 2 17 2" xfId="7692" xr:uid="{00000000-0005-0000-0000-0000160E0000}"/>
    <cellStyle name="Normal 2 2 2 18" xfId="1297" xr:uid="{00000000-0005-0000-0000-0000170E0000}"/>
    <cellStyle name="Normal 2 2 2 18 2" xfId="7693" xr:uid="{00000000-0005-0000-0000-0000180E0000}"/>
    <cellStyle name="Normal 2 2 2 19" xfId="1298" xr:uid="{00000000-0005-0000-0000-0000190E0000}"/>
    <cellStyle name="Normal 2 2 2 19 2" xfId="7694" xr:uid="{00000000-0005-0000-0000-00001A0E0000}"/>
    <cellStyle name="Normal 2 2 2 2" xfId="1299" xr:uid="{00000000-0005-0000-0000-00001B0E0000}"/>
    <cellStyle name="Normal 2 2 2 2 10" xfId="17795" xr:uid="{F869CF8D-6AE7-4E38-A2D2-70C6E43E242A}"/>
    <cellStyle name="Normal 2 2 2 2 2" xfId="4136" xr:uid="{00000000-0005-0000-0000-00001C0E0000}"/>
    <cellStyle name="Normal 2 2 2 2 2 2" xfId="4262" xr:uid="{00000000-0005-0000-0000-00001D0E0000}"/>
    <cellStyle name="Normal 2 2 2 2 2 2 2" xfId="9697" xr:uid="{00000000-0005-0000-0000-00001E0E0000}"/>
    <cellStyle name="Normal 2 2 2 2 2 2 2 2" xfId="10398" xr:uid="{00000000-0005-0000-0000-00001F0E0000}"/>
    <cellStyle name="Normal 2 2 2 2 2 2 2 2 2" xfId="12133" xr:uid="{00000000-0005-0000-0000-0000200E0000}"/>
    <cellStyle name="Normal 2 2 2 2 2 2 2 3" xfId="11486" xr:uid="{00000000-0005-0000-0000-0000210E0000}"/>
    <cellStyle name="Normal 2 2 2 2 2 2 3" xfId="10101" xr:uid="{00000000-0005-0000-0000-0000220E0000}"/>
    <cellStyle name="Normal 2 2 2 2 2 2 3 2" xfId="11837" xr:uid="{00000000-0005-0000-0000-0000230E0000}"/>
    <cellStyle name="Normal 2 2 2 2 2 2 4" xfId="11073" xr:uid="{00000000-0005-0000-0000-0000240E0000}"/>
    <cellStyle name="Normal 2 2 2 2 2 2 5" xfId="14727" xr:uid="{97D6A814-4B31-4B4A-B12B-7536DB3350C1}"/>
    <cellStyle name="Normal 2 2 2 2 2 2_1.2.b" xfId="16167" xr:uid="{5B67F463-60CE-4FB4-88A2-A0E6A209E59B}"/>
    <cellStyle name="Normal 2 2 2 2 2 3" xfId="9594" xr:uid="{00000000-0005-0000-0000-0000250E0000}"/>
    <cellStyle name="Normal 2 2 2 2 2 3 2" xfId="10296" xr:uid="{00000000-0005-0000-0000-0000260E0000}"/>
    <cellStyle name="Normal 2 2 2 2 2 3 2 2" xfId="12031" xr:uid="{00000000-0005-0000-0000-0000270E0000}"/>
    <cellStyle name="Normal 2 2 2 2 2 3 3" xfId="11384" xr:uid="{00000000-0005-0000-0000-0000280E0000}"/>
    <cellStyle name="Normal 2 2 2 2 2 4" xfId="9999" xr:uid="{00000000-0005-0000-0000-0000290E0000}"/>
    <cellStyle name="Normal 2 2 2 2 2 4 2" xfId="11735" xr:uid="{00000000-0005-0000-0000-00002A0E0000}"/>
    <cellStyle name="Normal 2 2 2 2 2 5" xfId="10962" xr:uid="{00000000-0005-0000-0000-00002B0E0000}"/>
    <cellStyle name="Normal 2 2 2 2 2 6" xfId="14240" xr:uid="{EADA4B5E-2F67-4555-9F0A-9EEB31F9D2B6}"/>
    <cellStyle name="Normal 2 2 2 2 2_1.2.b" xfId="16166" xr:uid="{9CEA6458-2C4D-475D-ADD2-677B3FA3585C}"/>
    <cellStyle name="Normal 2 2 2 2 3" xfId="4211" xr:uid="{00000000-0005-0000-0000-00002C0E0000}"/>
    <cellStyle name="Normal 2 2 2 2 3 2" xfId="9646" xr:uid="{00000000-0005-0000-0000-00002D0E0000}"/>
    <cellStyle name="Normal 2 2 2 2 3 2 2" xfId="10347" xr:uid="{00000000-0005-0000-0000-00002E0E0000}"/>
    <cellStyle name="Normal 2 2 2 2 3 2 2 2" xfId="12082" xr:uid="{00000000-0005-0000-0000-00002F0E0000}"/>
    <cellStyle name="Normal 2 2 2 2 3 2 3" xfId="11435" xr:uid="{00000000-0005-0000-0000-0000300E0000}"/>
    <cellStyle name="Normal 2 2 2 2 3 3" xfId="10050" xr:uid="{00000000-0005-0000-0000-0000310E0000}"/>
    <cellStyle name="Normal 2 2 2 2 3 3 2" xfId="11786" xr:uid="{00000000-0005-0000-0000-0000320E0000}"/>
    <cellStyle name="Normal 2 2 2 2 3 4" xfId="11022" xr:uid="{00000000-0005-0000-0000-0000330E0000}"/>
    <cellStyle name="Normal 2 2 2 2 4" xfId="4341" xr:uid="{00000000-0005-0000-0000-0000340E0000}"/>
    <cellStyle name="Normal 2 2 2 2 4 2" xfId="9752" xr:uid="{00000000-0005-0000-0000-0000350E0000}"/>
    <cellStyle name="Normal 2 2 2 2 4 2 2" xfId="10450" xr:uid="{00000000-0005-0000-0000-0000360E0000}"/>
    <cellStyle name="Normal 2 2 2 2 4 2 2 2" xfId="12185" xr:uid="{00000000-0005-0000-0000-0000370E0000}"/>
    <cellStyle name="Normal 2 2 2 2 4 2 3" xfId="11538" xr:uid="{00000000-0005-0000-0000-0000380E0000}"/>
    <cellStyle name="Normal 2 2 2 2 4 3" xfId="10153" xr:uid="{00000000-0005-0000-0000-0000390E0000}"/>
    <cellStyle name="Normal 2 2 2 2 4 3 2" xfId="11889" xr:uid="{00000000-0005-0000-0000-00003A0E0000}"/>
    <cellStyle name="Normal 2 2 2 2 4 4" xfId="11146" xr:uid="{00000000-0005-0000-0000-00003B0E0000}"/>
    <cellStyle name="Normal 2 2 2 2 5" xfId="7695" xr:uid="{00000000-0005-0000-0000-00003C0E0000}"/>
    <cellStyle name="Normal 2 2 2 2 6" xfId="10568" xr:uid="{00000000-0005-0000-0000-00003D0E0000}"/>
    <cellStyle name="Normal 2 2 2 2 6 2" xfId="12303" xr:uid="{00000000-0005-0000-0000-00003E0E0000}"/>
    <cellStyle name="Normal 2 2 2 2 7" xfId="14239" xr:uid="{F49D8BE7-1C31-4C90-B226-FDBF9B7F4884}"/>
    <cellStyle name="Normal 2 2 2 2 8" xfId="17844" xr:uid="{2D1C9E92-AC27-4BB9-A5E9-39F82F2B5246}"/>
    <cellStyle name="Normal 2 2 2 2 9" xfId="18230" xr:uid="{7CD6E5C4-8032-4620-820A-8B28813C1663}"/>
    <cellStyle name="Normal 2 2 2 2_1.2.b" xfId="16165" xr:uid="{7E53A06E-E3BF-407B-BC38-14F238DC0148}"/>
    <cellStyle name="Normal 2 2 2 20" xfId="1300" xr:uid="{00000000-0005-0000-0000-00003F0E0000}"/>
    <cellStyle name="Normal 2 2 2 20 2" xfId="7696" xr:uid="{00000000-0005-0000-0000-0000400E0000}"/>
    <cellStyle name="Normal 2 2 2 21" xfId="1301" xr:uid="{00000000-0005-0000-0000-0000410E0000}"/>
    <cellStyle name="Normal 2 2 2 21 2" xfId="7697" xr:uid="{00000000-0005-0000-0000-0000420E0000}"/>
    <cellStyle name="Normal 2 2 2 22" xfId="1302" xr:uid="{00000000-0005-0000-0000-0000430E0000}"/>
    <cellStyle name="Normal 2 2 2 22 2" xfId="7698" xr:uid="{00000000-0005-0000-0000-0000440E0000}"/>
    <cellStyle name="Normal 2 2 2 23" xfId="1303" xr:uid="{00000000-0005-0000-0000-0000450E0000}"/>
    <cellStyle name="Normal 2 2 2 23 2" xfId="7699" xr:uid="{00000000-0005-0000-0000-0000460E0000}"/>
    <cellStyle name="Normal 2 2 2 24" xfId="1304" xr:uid="{00000000-0005-0000-0000-0000470E0000}"/>
    <cellStyle name="Normal 2 2 2 24 2" xfId="7700" xr:uid="{00000000-0005-0000-0000-0000480E0000}"/>
    <cellStyle name="Normal 2 2 2 25" xfId="1305" xr:uid="{00000000-0005-0000-0000-0000490E0000}"/>
    <cellStyle name="Normal 2 2 2 25 2" xfId="7701" xr:uid="{00000000-0005-0000-0000-00004A0E0000}"/>
    <cellStyle name="Normal 2 2 2 26" xfId="1306" xr:uid="{00000000-0005-0000-0000-00004B0E0000}"/>
    <cellStyle name="Normal 2 2 2 26 2" xfId="7702" xr:uid="{00000000-0005-0000-0000-00004C0E0000}"/>
    <cellStyle name="Normal 2 2 2 27" xfId="1307" xr:uid="{00000000-0005-0000-0000-00004D0E0000}"/>
    <cellStyle name="Normal 2 2 2 27 2" xfId="7703" xr:uid="{00000000-0005-0000-0000-00004E0E0000}"/>
    <cellStyle name="Normal 2 2 2 28" xfId="1308" xr:uid="{00000000-0005-0000-0000-00004F0E0000}"/>
    <cellStyle name="Normal 2 2 2 28 2" xfId="7704" xr:uid="{00000000-0005-0000-0000-0000500E0000}"/>
    <cellStyle name="Normal 2 2 2 29" xfId="1309" xr:uid="{00000000-0005-0000-0000-0000510E0000}"/>
    <cellStyle name="Normal 2 2 2 29 2" xfId="7705" xr:uid="{00000000-0005-0000-0000-0000520E0000}"/>
    <cellStyle name="Normal 2 2 2 3" xfId="1310" xr:uid="{00000000-0005-0000-0000-0000530E0000}"/>
    <cellStyle name="Normal 2 2 2 3 2" xfId="4096" xr:uid="{00000000-0005-0000-0000-0000540E0000}"/>
    <cellStyle name="Normal 2 2 2 3 2 2" xfId="4244" xr:uid="{00000000-0005-0000-0000-0000550E0000}"/>
    <cellStyle name="Normal 2 2 2 3 2 2 2" xfId="9679" xr:uid="{00000000-0005-0000-0000-0000560E0000}"/>
    <cellStyle name="Normal 2 2 2 3 2 2 2 2" xfId="10380" xr:uid="{00000000-0005-0000-0000-0000570E0000}"/>
    <cellStyle name="Normal 2 2 2 3 2 2 2 2 2" xfId="12115" xr:uid="{00000000-0005-0000-0000-0000580E0000}"/>
    <cellStyle name="Normal 2 2 2 3 2 2 2 3" xfId="11468" xr:uid="{00000000-0005-0000-0000-0000590E0000}"/>
    <cellStyle name="Normal 2 2 2 3 2 2 3" xfId="10083" xr:uid="{00000000-0005-0000-0000-00005A0E0000}"/>
    <cellStyle name="Normal 2 2 2 3 2 2 3 2" xfId="11819" xr:uid="{00000000-0005-0000-0000-00005B0E0000}"/>
    <cellStyle name="Normal 2 2 2 3 2 2 4" xfId="11055" xr:uid="{00000000-0005-0000-0000-00005C0E0000}"/>
    <cellStyle name="Normal 2 2 2 3 2 3" xfId="9575" xr:uid="{00000000-0005-0000-0000-00005D0E0000}"/>
    <cellStyle name="Normal 2 2 2 3 2 3 2" xfId="10278" xr:uid="{00000000-0005-0000-0000-00005E0E0000}"/>
    <cellStyle name="Normal 2 2 2 3 2 3 2 2" xfId="12013" xr:uid="{00000000-0005-0000-0000-00005F0E0000}"/>
    <cellStyle name="Normal 2 2 2 3 2 3 3" xfId="11366" xr:uid="{00000000-0005-0000-0000-0000600E0000}"/>
    <cellStyle name="Normal 2 2 2 3 2 4" xfId="9981" xr:uid="{00000000-0005-0000-0000-0000610E0000}"/>
    <cellStyle name="Normal 2 2 2 3 2 4 2" xfId="11717" xr:uid="{00000000-0005-0000-0000-0000620E0000}"/>
    <cellStyle name="Normal 2 2 2 3 2 5" xfId="10941" xr:uid="{00000000-0005-0000-0000-0000630E0000}"/>
    <cellStyle name="Normal 2 2 2 3 2 6" xfId="14728" xr:uid="{F6E0FCAF-8255-4B88-A027-7B5531C4D998}"/>
    <cellStyle name="Normal 2 2 2 3 2_1.2.b" xfId="16168" xr:uid="{3D53D109-9354-4954-90A6-2ED91E439E6A}"/>
    <cellStyle name="Normal 2 2 2 3 3" xfId="4193" xr:uid="{00000000-0005-0000-0000-0000640E0000}"/>
    <cellStyle name="Normal 2 2 2 3 3 2" xfId="9628" xr:uid="{00000000-0005-0000-0000-0000650E0000}"/>
    <cellStyle name="Normal 2 2 2 3 3 2 2" xfId="10329" xr:uid="{00000000-0005-0000-0000-0000660E0000}"/>
    <cellStyle name="Normal 2 2 2 3 3 2 2 2" xfId="12064" xr:uid="{00000000-0005-0000-0000-0000670E0000}"/>
    <cellStyle name="Normal 2 2 2 3 3 2 3" xfId="11417" xr:uid="{00000000-0005-0000-0000-0000680E0000}"/>
    <cellStyle name="Normal 2 2 2 3 3 3" xfId="10032" xr:uid="{00000000-0005-0000-0000-0000690E0000}"/>
    <cellStyle name="Normal 2 2 2 3 3 3 2" xfId="11768" xr:uid="{00000000-0005-0000-0000-00006A0E0000}"/>
    <cellStyle name="Normal 2 2 2 3 3 4" xfId="11004" xr:uid="{00000000-0005-0000-0000-00006B0E0000}"/>
    <cellStyle name="Normal 2 2 2 3 4" xfId="7706" xr:uid="{00000000-0005-0000-0000-00006C0E0000}"/>
    <cellStyle name="Normal 2 2 2 30" xfId="1311" xr:uid="{00000000-0005-0000-0000-00006D0E0000}"/>
    <cellStyle name="Normal 2 2 2 30 2" xfId="7707" xr:uid="{00000000-0005-0000-0000-00006E0E0000}"/>
    <cellStyle name="Normal 2 2 2 31" xfId="4062" xr:uid="{00000000-0005-0000-0000-00006F0E0000}"/>
    <cellStyle name="Normal 2 2 2 31 2" xfId="9559" xr:uid="{00000000-0005-0000-0000-0000700E0000}"/>
    <cellStyle name="Normal 2 2 2 31 2 2" xfId="10262" xr:uid="{00000000-0005-0000-0000-0000710E0000}"/>
    <cellStyle name="Normal 2 2 2 31 2 2 2" xfId="11997" xr:uid="{00000000-0005-0000-0000-0000720E0000}"/>
    <cellStyle name="Normal 2 2 2 31 2 3" xfId="11350" xr:uid="{00000000-0005-0000-0000-0000730E0000}"/>
    <cellStyle name="Normal 2 2 2 31 3" xfId="9965" xr:uid="{00000000-0005-0000-0000-0000740E0000}"/>
    <cellStyle name="Normal 2 2 2 31 3 2" xfId="11701" xr:uid="{00000000-0005-0000-0000-0000750E0000}"/>
    <cellStyle name="Normal 2 2 2 31 4" xfId="10924" xr:uid="{00000000-0005-0000-0000-0000760E0000}"/>
    <cellStyle name="Normal 2 2 2 32" xfId="4177" xr:uid="{00000000-0005-0000-0000-0000770E0000}"/>
    <cellStyle name="Normal 2 2 2 32 2" xfId="9612" xr:uid="{00000000-0005-0000-0000-0000780E0000}"/>
    <cellStyle name="Normal 2 2 2 32 2 2" xfId="10313" xr:uid="{00000000-0005-0000-0000-0000790E0000}"/>
    <cellStyle name="Normal 2 2 2 32 2 2 2" xfId="12048" xr:uid="{00000000-0005-0000-0000-00007A0E0000}"/>
    <cellStyle name="Normal 2 2 2 32 2 3" xfId="11401" xr:uid="{00000000-0005-0000-0000-00007B0E0000}"/>
    <cellStyle name="Normal 2 2 2 32 3" xfId="10016" xr:uid="{00000000-0005-0000-0000-00007C0E0000}"/>
    <cellStyle name="Normal 2 2 2 32 3 2" xfId="11752" xr:uid="{00000000-0005-0000-0000-00007D0E0000}"/>
    <cellStyle name="Normal 2 2 2 32 4" xfId="10988" xr:uid="{00000000-0005-0000-0000-00007E0E0000}"/>
    <cellStyle name="Normal 2 2 2 33" xfId="4323" xr:uid="{00000000-0005-0000-0000-00007F0E0000}"/>
    <cellStyle name="Normal 2 2 2 33 2" xfId="9736" xr:uid="{00000000-0005-0000-0000-0000800E0000}"/>
    <cellStyle name="Normal 2 2 2 33 2 2" xfId="10435" xr:uid="{00000000-0005-0000-0000-0000810E0000}"/>
    <cellStyle name="Normal 2 2 2 33 2 2 2" xfId="12170" xr:uid="{00000000-0005-0000-0000-0000820E0000}"/>
    <cellStyle name="Normal 2 2 2 33 2 3" xfId="11523" xr:uid="{00000000-0005-0000-0000-0000830E0000}"/>
    <cellStyle name="Normal 2 2 2 33 3" xfId="10138" xr:uid="{00000000-0005-0000-0000-0000840E0000}"/>
    <cellStyle name="Normal 2 2 2 33 3 2" xfId="11874" xr:uid="{00000000-0005-0000-0000-0000850E0000}"/>
    <cellStyle name="Normal 2 2 2 33 4" xfId="11129" xr:uid="{00000000-0005-0000-0000-0000860E0000}"/>
    <cellStyle name="Normal 2 2 2 34" xfId="10556" xr:uid="{00000000-0005-0000-0000-0000870E0000}"/>
    <cellStyle name="Normal 2 2 2 34 2" xfId="12291" xr:uid="{00000000-0005-0000-0000-0000880E0000}"/>
    <cellStyle name="Normal 2 2 2 35" xfId="14238" xr:uid="{8EBC171E-EE8F-4D06-9BE0-6B1B886544FE}"/>
    <cellStyle name="Normal 2 2 2 36" xfId="17843" xr:uid="{C0B71A8F-B395-46BD-BA54-B21954298FDF}"/>
    <cellStyle name="Normal 2 2 2 37" xfId="18229" xr:uid="{995CCEFE-D786-483E-87BB-F40F5C41F6F0}"/>
    <cellStyle name="Normal 2 2 2 38" xfId="17794" xr:uid="{B4173F3A-7BC7-4ABD-A037-4C7B4908BEEB}"/>
    <cellStyle name="Normal 2 2 2 4" xfId="1312" xr:uid="{00000000-0005-0000-0000-0000890E0000}"/>
    <cellStyle name="Normal 2 2 2 4 2" xfId="4228" xr:uid="{00000000-0005-0000-0000-00008A0E0000}"/>
    <cellStyle name="Normal 2 2 2 4 2 2" xfId="9663" xr:uid="{00000000-0005-0000-0000-00008B0E0000}"/>
    <cellStyle name="Normal 2 2 2 4 2 2 2" xfId="10364" xr:uid="{00000000-0005-0000-0000-00008C0E0000}"/>
    <cellStyle name="Normal 2 2 2 4 2 2 2 2" xfId="12099" xr:uid="{00000000-0005-0000-0000-00008D0E0000}"/>
    <cellStyle name="Normal 2 2 2 4 2 2 3" xfId="11452" xr:uid="{00000000-0005-0000-0000-00008E0E0000}"/>
    <cellStyle name="Normal 2 2 2 4 2 3" xfId="10067" xr:uid="{00000000-0005-0000-0000-00008F0E0000}"/>
    <cellStyle name="Normal 2 2 2 4 2 3 2" xfId="11803" xr:uid="{00000000-0005-0000-0000-0000900E0000}"/>
    <cellStyle name="Normal 2 2 2 4 2 4" xfId="11039" xr:uid="{00000000-0005-0000-0000-0000910E0000}"/>
    <cellStyle name="Normal 2 2 2 4 2 5" xfId="14729" xr:uid="{FE5205ED-C2DF-4AD3-BE6F-CAC8FACE4039}"/>
    <cellStyle name="Normal 2 2 2 4 2_1.2.b" xfId="16169" xr:uid="{45E17982-06F2-4AD5-BBD7-256A81B27E9B}"/>
    <cellStyle name="Normal 2 2 2 4 3" xfId="7708" xr:uid="{00000000-0005-0000-0000-0000920E0000}"/>
    <cellStyle name="Normal 2 2 2 5" xfId="1313" xr:uid="{00000000-0005-0000-0000-0000930E0000}"/>
    <cellStyle name="Normal 2 2 2 5 2" xfId="7709" xr:uid="{00000000-0005-0000-0000-0000940E0000}"/>
    <cellStyle name="Normal 2 2 2 5 3" xfId="14241" xr:uid="{18659E12-C965-435C-970A-523293DB69F1}"/>
    <cellStyle name="Normal 2 2 2 5_1.2.b" xfId="16170" xr:uid="{1D0DEE57-F10D-4CA2-8F0F-A2428E89EAF7}"/>
    <cellStyle name="Normal 2 2 2 6" xfId="1314" xr:uid="{00000000-0005-0000-0000-0000950E0000}"/>
    <cellStyle name="Normal 2 2 2 6 2" xfId="7710" xr:uid="{00000000-0005-0000-0000-0000960E0000}"/>
    <cellStyle name="Normal 2 2 2 7" xfId="1315" xr:uid="{00000000-0005-0000-0000-0000970E0000}"/>
    <cellStyle name="Normal 2 2 2 7 2" xfId="7711" xr:uid="{00000000-0005-0000-0000-0000980E0000}"/>
    <cellStyle name="Normal 2 2 2 8" xfId="1316" xr:uid="{00000000-0005-0000-0000-0000990E0000}"/>
    <cellStyle name="Normal 2 2 2 8 2" xfId="7712" xr:uid="{00000000-0005-0000-0000-00009A0E0000}"/>
    <cellStyle name="Normal 2 2 2 9" xfId="1317" xr:uid="{00000000-0005-0000-0000-00009B0E0000}"/>
    <cellStyle name="Normal 2 2 2 9 2" xfId="7713" xr:uid="{00000000-0005-0000-0000-00009C0E0000}"/>
    <cellStyle name="Normal 2 2 2_1.2.b" xfId="16164" xr:uid="{EB6CF0B7-2589-46D8-89A9-8C83E0876FC6}"/>
    <cellStyle name="Normal 2 2 20" xfId="1318" xr:uid="{00000000-0005-0000-0000-00009D0E0000}"/>
    <cellStyle name="Normal 2 2 21" xfId="1319" xr:uid="{00000000-0005-0000-0000-00009E0E0000}"/>
    <cellStyle name="Normal 2 2 22" xfId="1320" xr:uid="{00000000-0005-0000-0000-00009F0E0000}"/>
    <cellStyle name="Normal 2 2 23" xfId="1321" xr:uid="{00000000-0005-0000-0000-0000A00E0000}"/>
    <cellStyle name="Normal 2 2 24" xfId="1322" xr:uid="{00000000-0005-0000-0000-0000A10E0000}"/>
    <cellStyle name="Normal 2 2 25" xfId="1323" xr:uid="{00000000-0005-0000-0000-0000A20E0000}"/>
    <cellStyle name="Normal 2 2 26" xfId="1324" xr:uid="{00000000-0005-0000-0000-0000A30E0000}"/>
    <cellStyle name="Normal 2 2 27" xfId="1325" xr:uid="{00000000-0005-0000-0000-0000A40E0000}"/>
    <cellStyle name="Normal 2 2 28" xfId="1326" xr:uid="{00000000-0005-0000-0000-0000A50E0000}"/>
    <cellStyle name="Normal 2 2 29" xfId="1327" xr:uid="{00000000-0005-0000-0000-0000A60E0000}"/>
    <cellStyle name="Normal 2 2 3" xfId="1328" xr:uid="{00000000-0005-0000-0000-0000A70E0000}"/>
    <cellStyle name="Normal 2 2 3 2" xfId="4138" xr:uid="{00000000-0005-0000-0000-0000A80E0000}"/>
    <cellStyle name="Normal 2 2 3 2 2" xfId="4264" xr:uid="{00000000-0005-0000-0000-0000A90E0000}"/>
    <cellStyle name="Normal 2 2 3 2 2 2" xfId="9699" xr:uid="{00000000-0005-0000-0000-0000AA0E0000}"/>
    <cellStyle name="Normal 2 2 3 2 2 2 2" xfId="10400" xr:uid="{00000000-0005-0000-0000-0000AB0E0000}"/>
    <cellStyle name="Normal 2 2 3 2 2 2 2 2" xfId="12135" xr:uid="{00000000-0005-0000-0000-0000AC0E0000}"/>
    <cellStyle name="Normal 2 2 3 2 2 2 3" xfId="11488" xr:uid="{00000000-0005-0000-0000-0000AD0E0000}"/>
    <cellStyle name="Normal 2 2 3 2 2 3" xfId="10103" xr:uid="{00000000-0005-0000-0000-0000AE0E0000}"/>
    <cellStyle name="Normal 2 2 3 2 2 3 2" xfId="11839" xr:uid="{00000000-0005-0000-0000-0000AF0E0000}"/>
    <cellStyle name="Normal 2 2 3 2 2 4" xfId="11075" xr:uid="{00000000-0005-0000-0000-0000B00E0000}"/>
    <cellStyle name="Normal 2 2 3 2 3" xfId="4213" xr:uid="{00000000-0005-0000-0000-0000B10E0000}"/>
    <cellStyle name="Normal 2 2 3 2 3 2" xfId="9648" xr:uid="{00000000-0005-0000-0000-0000B20E0000}"/>
    <cellStyle name="Normal 2 2 3 2 3 2 2" xfId="10349" xr:uid="{00000000-0005-0000-0000-0000B30E0000}"/>
    <cellStyle name="Normal 2 2 3 2 3 2 2 2" xfId="12084" xr:uid="{00000000-0005-0000-0000-0000B40E0000}"/>
    <cellStyle name="Normal 2 2 3 2 3 2 3" xfId="11437" xr:uid="{00000000-0005-0000-0000-0000B50E0000}"/>
    <cellStyle name="Normal 2 2 3 2 3 3" xfId="10052" xr:uid="{00000000-0005-0000-0000-0000B60E0000}"/>
    <cellStyle name="Normal 2 2 3 2 3 3 2" xfId="11788" xr:uid="{00000000-0005-0000-0000-0000B70E0000}"/>
    <cellStyle name="Normal 2 2 3 2 3 4" xfId="11024" xr:uid="{00000000-0005-0000-0000-0000B80E0000}"/>
    <cellStyle name="Normal 2 2 3 2 4" xfId="4340" xr:uid="{00000000-0005-0000-0000-0000B90E0000}"/>
    <cellStyle name="Normal 2 2 3 2 4 2" xfId="9751" xr:uid="{00000000-0005-0000-0000-0000BA0E0000}"/>
    <cellStyle name="Normal 2 2 3 2 4 2 2" xfId="10449" xr:uid="{00000000-0005-0000-0000-0000BB0E0000}"/>
    <cellStyle name="Normal 2 2 3 2 4 2 2 2" xfId="12184" xr:uid="{00000000-0005-0000-0000-0000BC0E0000}"/>
    <cellStyle name="Normal 2 2 3 2 4 2 3" xfId="11537" xr:uid="{00000000-0005-0000-0000-0000BD0E0000}"/>
    <cellStyle name="Normal 2 2 3 2 4 3" xfId="10152" xr:uid="{00000000-0005-0000-0000-0000BE0E0000}"/>
    <cellStyle name="Normal 2 2 3 2 4 3 2" xfId="11888" xr:uid="{00000000-0005-0000-0000-0000BF0E0000}"/>
    <cellStyle name="Normal 2 2 3 2 4 4" xfId="11145" xr:uid="{00000000-0005-0000-0000-0000C00E0000}"/>
    <cellStyle name="Normal 2 2 3 2 5" xfId="9596" xr:uid="{00000000-0005-0000-0000-0000C10E0000}"/>
    <cellStyle name="Normal 2 2 3 2 5 2" xfId="10298" xr:uid="{00000000-0005-0000-0000-0000C20E0000}"/>
    <cellStyle name="Normal 2 2 3 2 5 2 2" xfId="12033" xr:uid="{00000000-0005-0000-0000-0000C30E0000}"/>
    <cellStyle name="Normal 2 2 3 2 5 3" xfId="11386" xr:uid="{00000000-0005-0000-0000-0000C40E0000}"/>
    <cellStyle name="Normal 2 2 3 2 6" xfId="10001" xr:uid="{00000000-0005-0000-0000-0000C50E0000}"/>
    <cellStyle name="Normal 2 2 3 2 6 2" xfId="11737" xr:uid="{00000000-0005-0000-0000-0000C60E0000}"/>
    <cellStyle name="Normal 2 2 3 2 7" xfId="10964" xr:uid="{00000000-0005-0000-0000-0000C70E0000}"/>
    <cellStyle name="Normal 2 2 3 2 8" xfId="14711" xr:uid="{7F322A1C-5B9F-4AE8-8123-02BF416A3C9E}"/>
    <cellStyle name="Normal 2 2 3 2_1.2.b" xfId="16171" xr:uid="{1F6CEC85-12DD-46D9-9BC8-B5428FFA1F77}"/>
    <cellStyle name="Normal 2 2 3 3" xfId="4098" xr:uid="{00000000-0005-0000-0000-0000C80E0000}"/>
    <cellStyle name="Normal 2 2 3 3 2" xfId="4246" xr:uid="{00000000-0005-0000-0000-0000C90E0000}"/>
    <cellStyle name="Normal 2 2 3 3 2 2" xfId="9681" xr:uid="{00000000-0005-0000-0000-0000CA0E0000}"/>
    <cellStyle name="Normal 2 2 3 3 2 2 2" xfId="10382" xr:uid="{00000000-0005-0000-0000-0000CB0E0000}"/>
    <cellStyle name="Normal 2 2 3 3 2 2 2 2" xfId="12117" xr:uid="{00000000-0005-0000-0000-0000CC0E0000}"/>
    <cellStyle name="Normal 2 2 3 3 2 2 3" xfId="11470" xr:uid="{00000000-0005-0000-0000-0000CD0E0000}"/>
    <cellStyle name="Normal 2 2 3 3 2 3" xfId="10085" xr:uid="{00000000-0005-0000-0000-0000CE0E0000}"/>
    <cellStyle name="Normal 2 2 3 3 2 3 2" xfId="11821" xr:uid="{00000000-0005-0000-0000-0000CF0E0000}"/>
    <cellStyle name="Normal 2 2 3 3 2 4" xfId="11057" xr:uid="{00000000-0005-0000-0000-0000D00E0000}"/>
    <cellStyle name="Normal 2 2 3 3 3" xfId="4195" xr:uid="{00000000-0005-0000-0000-0000D10E0000}"/>
    <cellStyle name="Normal 2 2 3 3 3 2" xfId="9630" xr:uid="{00000000-0005-0000-0000-0000D20E0000}"/>
    <cellStyle name="Normal 2 2 3 3 3 2 2" xfId="10331" xr:uid="{00000000-0005-0000-0000-0000D30E0000}"/>
    <cellStyle name="Normal 2 2 3 3 3 2 2 2" xfId="12066" xr:uid="{00000000-0005-0000-0000-0000D40E0000}"/>
    <cellStyle name="Normal 2 2 3 3 3 2 3" xfId="11419" xr:uid="{00000000-0005-0000-0000-0000D50E0000}"/>
    <cellStyle name="Normal 2 2 3 3 3 3" xfId="10034" xr:uid="{00000000-0005-0000-0000-0000D60E0000}"/>
    <cellStyle name="Normal 2 2 3 3 3 3 2" xfId="11770" xr:uid="{00000000-0005-0000-0000-0000D70E0000}"/>
    <cellStyle name="Normal 2 2 3 3 3 4" xfId="11006" xr:uid="{00000000-0005-0000-0000-0000D80E0000}"/>
    <cellStyle name="Normal 2 2 3 3 4" xfId="9577" xr:uid="{00000000-0005-0000-0000-0000D90E0000}"/>
    <cellStyle name="Normal 2 2 3 3 4 2" xfId="10280" xr:uid="{00000000-0005-0000-0000-0000DA0E0000}"/>
    <cellStyle name="Normal 2 2 3 3 4 2 2" xfId="12015" xr:uid="{00000000-0005-0000-0000-0000DB0E0000}"/>
    <cellStyle name="Normal 2 2 3 3 4 3" xfId="11368" xr:uid="{00000000-0005-0000-0000-0000DC0E0000}"/>
    <cellStyle name="Normal 2 2 3 3 5" xfId="9983" xr:uid="{00000000-0005-0000-0000-0000DD0E0000}"/>
    <cellStyle name="Normal 2 2 3 3 5 2" xfId="11719" xr:uid="{00000000-0005-0000-0000-0000DE0E0000}"/>
    <cellStyle name="Normal 2 2 3 3 6" xfId="10943" xr:uid="{00000000-0005-0000-0000-0000DF0E0000}"/>
    <cellStyle name="Normal 2 2 3 4" xfId="4065" xr:uid="{00000000-0005-0000-0000-0000E00E0000}"/>
    <cellStyle name="Normal 2 2 3 4 2" xfId="4230" xr:uid="{00000000-0005-0000-0000-0000E10E0000}"/>
    <cellStyle name="Normal 2 2 3 4 2 2" xfId="9665" xr:uid="{00000000-0005-0000-0000-0000E20E0000}"/>
    <cellStyle name="Normal 2 2 3 4 2 2 2" xfId="10366" xr:uid="{00000000-0005-0000-0000-0000E30E0000}"/>
    <cellStyle name="Normal 2 2 3 4 2 2 2 2" xfId="12101" xr:uid="{00000000-0005-0000-0000-0000E40E0000}"/>
    <cellStyle name="Normal 2 2 3 4 2 2 3" xfId="11454" xr:uid="{00000000-0005-0000-0000-0000E50E0000}"/>
    <cellStyle name="Normal 2 2 3 4 2 3" xfId="10069" xr:uid="{00000000-0005-0000-0000-0000E60E0000}"/>
    <cellStyle name="Normal 2 2 3 4 2 3 2" xfId="11805" xr:uid="{00000000-0005-0000-0000-0000E70E0000}"/>
    <cellStyle name="Normal 2 2 3 4 2 4" xfId="11041" xr:uid="{00000000-0005-0000-0000-0000E80E0000}"/>
    <cellStyle name="Normal 2 2 3 4 3" xfId="9561" xr:uid="{00000000-0005-0000-0000-0000E90E0000}"/>
    <cellStyle name="Normal 2 2 3 4 3 2" xfId="10264" xr:uid="{00000000-0005-0000-0000-0000EA0E0000}"/>
    <cellStyle name="Normal 2 2 3 4 3 2 2" xfId="11999" xr:uid="{00000000-0005-0000-0000-0000EB0E0000}"/>
    <cellStyle name="Normal 2 2 3 4 3 3" xfId="11352" xr:uid="{00000000-0005-0000-0000-0000EC0E0000}"/>
    <cellStyle name="Normal 2 2 3 4 4" xfId="9967" xr:uid="{00000000-0005-0000-0000-0000ED0E0000}"/>
    <cellStyle name="Normal 2 2 3 4 4 2" xfId="11703" xr:uid="{00000000-0005-0000-0000-0000EE0E0000}"/>
    <cellStyle name="Normal 2 2 3 4 5" xfId="10926" xr:uid="{00000000-0005-0000-0000-0000EF0E0000}"/>
    <cellStyle name="Normal 2 2 3 5" xfId="4179" xr:uid="{00000000-0005-0000-0000-0000F00E0000}"/>
    <cellStyle name="Normal 2 2 3 5 2" xfId="9614" xr:uid="{00000000-0005-0000-0000-0000F10E0000}"/>
    <cellStyle name="Normal 2 2 3 5 2 2" xfId="10315" xr:uid="{00000000-0005-0000-0000-0000F20E0000}"/>
    <cellStyle name="Normal 2 2 3 5 2 2 2" xfId="12050" xr:uid="{00000000-0005-0000-0000-0000F30E0000}"/>
    <cellStyle name="Normal 2 2 3 5 2 3" xfId="11403" xr:uid="{00000000-0005-0000-0000-0000F40E0000}"/>
    <cellStyle name="Normal 2 2 3 5 3" xfId="10018" xr:uid="{00000000-0005-0000-0000-0000F50E0000}"/>
    <cellStyle name="Normal 2 2 3 5 3 2" xfId="11754" xr:uid="{00000000-0005-0000-0000-0000F60E0000}"/>
    <cellStyle name="Normal 2 2 3 5 4" xfId="10990" xr:uid="{00000000-0005-0000-0000-0000F70E0000}"/>
    <cellStyle name="Normal 2 2 3 6" xfId="4322" xr:uid="{00000000-0005-0000-0000-0000F80E0000}"/>
    <cellStyle name="Normal 2 2 3 6 2" xfId="9735" xr:uid="{00000000-0005-0000-0000-0000F90E0000}"/>
    <cellStyle name="Normal 2 2 3 6 2 2" xfId="10434" xr:uid="{00000000-0005-0000-0000-0000FA0E0000}"/>
    <cellStyle name="Normal 2 2 3 6 2 2 2" xfId="12169" xr:uid="{00000000-0005-0000-0000-0000FB0E0000}"/>
    <cellStyle name="Normal 2 2 3 6 2 3" xfId="11522" xr:uid="{00000000-0005-0000-0000-0000FC0E0000}"/>
    <cellStyle name="Normal 2 2 3 6 3" xfId="10137" xr:uid="{00000000-0005-0000-0000-0000FD0E0000}"/>
    <cellStyle name="Normal 2 2 3 6 3 2" xfId="11873" xr:uid="{00000000-0005-0000-0000-0000FE0E0000}"/>
    <cellStyle name="Normal 2 2 3 6 4" xfId="11128" xr:uid="{00000000-0005-0000-0000-0000FF0E0000}"/>
    <cellStyle name="Normal 2 2 3 7" xfId="7714" xr:uid="{00000000-0005-0000-0000-0000000F0000}"/>
    <cellStyle name="Normal 2 2 30" xfId="1329" xr:uid="{00000000-0005-0000-0000-0000010F0000}"/>
    <cellStyle name="Normal 2 2 31" xfId="4037" xr:uid="{00000000-0005-0000-0000-0000020F0000}"/>
    <cellStyle name="Normal 2 2 31 2" xfId="9545" xr:uid="{00000000-0005-0000-0000-0000030F0000}"/>
    <cellStyle name="Normal 2 2 31 2 2" xfId="10249" xr:uid="{00000000-0005-0000-0000-0000040F0000}"/>
    <cellStyle name="Normal 2 2 31 2 2 2" xfId="11984" xr:uid="{00000000-0005-0000-0000-0000050F0000}"/>
    <cellStyle name="Normal 2 2 31 2 3" xfId="11337" xr:uid="{00000000-0005-0000-0000-0000060F0000}"/>
    <cellStyle name="Normal 2 2 31 3" xfId="9952" xr:uid="{00000000-0005-0000-0000-0000070F0000}"/>
    <cellStyle name="Normal 2 2 31 3 2" xfId="11688" xr:uid="{00000000-0005-0000-0000-0000080F0000}"/>
    <cellStyle name="Normal 2 2 31 4" xfId="10908" xr:uid="{00000000-0005-0000-0000-0000090F0000}"/>
    <cellStyle name="Normal 2 2 32" xfId="4040" xr:uid="{00000000-0005-0000-0000-00000A0F0000}"/>
    <cellStyle name="Normal 2 2 33" xfId="4315" xr:uid="{00000000-0005-0000-0000-00000B0F0000}"/>
    <cellStyle name="Normal 2 2 33 2" xfId="9731" xr:uid="{00000000-0005-0000-0000-00000C0F0000}"/>
    <cellStyle name="Normal 2 2 33 2 2" xfId="10430" xr:uid="{00000000-0005-0000-0000-00000D0F0000}"/>
    <cellStyle name="Normal 2 2 33 2 2 2" xfId="12165" xr:uid="{00000000-0005-0000-0000-00000E0F0000}"/>
    <cellStyle name="Normal 2 2 33 2 3" xfId="11518" xr:uid="{00000000-0005-0000-0000-00000F0F0000}"/>
    <cellStyle name="Normal 2 2 33 3" xfId="10133" xr:uid="{00000000-0005-0000-0000-0000100F0000}"/>
    <cellStyle name="Normal 2 2 33 3 2" xfId="11869" xr:uid="{00000000-0005-0000-0000-0000110F0000}"/>
    <cellStyle name="Normal 2 2 33 4" xfId="11122" xr:uid="{00000000-0005-0000-0000-0000120F0000}"/>
    <cellStyle name="Normal 2 2 34" xfId="1277" xr:uid="{00000000-0005-0000-0000-0000130F0000}"/>
    <cellStyle name="Normal 2 2 35" xfId="12398" xr:uid="{00000000-0005-0000-0000-0000140F0000}"/>
    <cellStyle name="Normal 2 2 36" xfId="14237" xr:uid="{F9FDB57C-2E78-4C84-A187-7888A36EF96A}"/>
    <cellStyle name="Normal 2 2 37" xfId="17842" xr:uid="{F8E6397D-B887-4FAA-8D00-81A13C5AADAD}"/>
    <cellStyle name="Normal 2 2 38" xfId="18228" xr:uid="{004F953B-7D49-434B-AD3E-F1F58B255796}"/>
    <cellStyle name="Normal 2 2 39" xfId="17793" xr:uid="{D576FEEB-7F19-4304-9BCE-9A32C6A63CCA}"/>
    <cellStyle name="Normal 2 2 4" xfId="1330" xr:uid="{00000000-0005-0000-0000-0000150F0000}"/>
    <cellStyle name="Normal 2 2 4 2" xfId="4146" xr:uid="{00000000-0005-0000-0000-0000160F0000}"/>
    <cellStyle name="Normal 2 2 4 2 2" xfId="4265" xr:uid="{00000000-0005-0000-0000-0000170F0000}"/>
    <cellStyle name="Normal 2 2 4 2 2 2" xfId="9700" xr:uid="{00000000-0005-0000-0000-0000180F0000}"/>
    <cellStyle name="Normal 2 2 4 2 2 2 2" xfId="10401" xr:uid="{00000000-0005-0000-0000-0000190F0000}"/>
    <cellStyle name="Normal 2 2 4 2 2 2 2 2" xfId="12136" xr:uid="{00000000-0005-0000-0000-00001A0F0000}"/>
    <cellStyle name="Normal 2 2 4 2 2 2 3" xfId="11489" xr:uid="{00000000-0005-0000-0000-00001B0F0000}"/>
    <cellStyle name="Normal 2 2 4 2 2 3" xfId="10104" xr:uid="{00000000-0005-0000-0000-00001C0F0000}"/>
    <cellStyle name="Normal 2 2 4 2 2 3 2" xfId="11840" xr:uid="{00000000-0005-0000-0000-00001D0F0000}"/>
    <cellStyle name="Normal 2 2 4 2 2 4" xfId="11076" xr:uid="{00000000-0005-0000-0000-00001E0F0000}"/>
    <cellStyle name="Normal 2 2 4 2 3" xfId="4214" xr:uid="{00000000-0005-0000-0000-00001F0F0000}"/>
    <cellStyle name="Normal 2 2 4 2 3 2" xfId="9649" xr:uid="{00000000-0005-0000-0000-0000200F0000}"/>
    <cellStyle name="Normal 2 2 4 2 3 2 2" xfId="10350" xr:uid="{00000000-0005-0000-0000-0000210F0000}"/>
    <cellStyle name="Normal 2 2 4 2 3 2 2 2" xfId="12085" xr:uid="{00000000-0005-0000-0000-0000220F0000}"/>
    <cellStyle name="Normal 2 2 4 2 3 2 3" xfId="11438" xr:uid="{00000000-0005-0000-0000-0000230F0000}"/>
    <cellStyle name="Normal 2 2 4 2 3 3" xfId="10053" xr:uid="{00000000-0005-0000-0000-0000240F0000}"/>
    <cellStyle name="Normal 2 2 4 2 3 3 2" xfId="11789" xr:uid="{00000000-0005-0000-0000-0000250F0000}"/>
    <cellStyle name="Normal 2 2 4 2 3 4" xfId="11025" xr:uid="{00000000-0005-0000-0000-0000260F0000}"/>
    <cellStyle name="Normal 2 2 4 2 4" xfId="4339" xr:uid="{00000000-0005-0000-0000-0000270F0000}"/>
    <cellStyle name="Normal 2 2 4 2 4 2" xfId="9750" xr:uid="{00000000-0005-0000-0000-0000280F0000}"/>
    <cellStyle name="Normal 2 2 4 2 4 2 2" xfId="10448" xr:uid="{00000000-0005-0000-0000-0000290F0000}"/>
    <cellStyle name="Normal 2 2 4 2 4 2 2 2" xfId="12183" xr:uid="{00000000-0005-0000-0000-00002A0F0000}"/>
    <cellStyle name="Normal 2 2 4 2 4 2 3" xfId="11536" xr:uid="{00000000-0005-0000-0000-00002B0F0000}"/>
    <cellStyle name="Normal 2 2 4 2 4 3" xfId="10151" xr:uid="{00000000-0005-0000-0000-00002C0F0000}"/>
    <cellStyle name="Normal 2 2 4 2 4 3 2" xfId="11887" xr:uid="{00000000-0005-0000-0000-00002D0F0000}"/>
    <cellStyle name="Normal 2 2 4 2 4 4" xfId="11144" xr:uid="{00000000-0005-0000-0000-00002E0F0000}"/>
    <cellStyle name="Normal 2 2 4 2 5" xfId="9597" xr:uid="{00000000-0005-0000-0000-00002F0F0000}"/>
    <cellStyle name="Normal 2 2 4 2 5 2" xfId="10299" xr:uid="{00000000-0005-0000-0000-0000300F0000}"/>
    <cellStyle name="Normal 2 2 4 2 5 2 2" xfId="12034" xr:uid="{00000000-0005-0000-0000-0000310F0000}"/>
    <cellStyle name="Normal 2 2 4 2 5 3" xfId="11387" xr:uid="{00000000-0005-0000-0000-0000320F0000}"/>
    <cellStyle name="Normal 2 2 4 2 6" xfId="10002" xr:uid="{00000000-0005-0000-0000-0000330F0000}"/>
    <cellStyle name="Normal 2 2 4 2 6 2" xfId="11738" xr:uid="{00000000-0005-0000-0000-0000340F0000}"/>
    <cellStyle name="Normal 2 2 4 2 7" xfId="10965" xr:uid="{00000000-0005-0000-0000-0000350F0000}"/>
    <cellStyle name="Normal 2 2 4 3" xfId="4106" xr:uid="{00000000-0005-0000-0000-0000360F0000}"/>
    <cellStyle name="Normal 2 2 4 3 2" xfId="4247" xr:uid="{00000000-0005-0000-0000-0000370F0000}"/>
    <cellStyle name="Normal 2 2 4 3 2 2" xfId="9682" xr:uid="{00000000-0005-0000-0000-0000380F0000}"/>
    <cellStyle name="Normal 2 2 4 3 2 2 2" xfId="10383" xr:uid="{00000000-0005-0000-0000-0000390F0000}"/>
    <cellStyle name="Normal 2 2 4 3 2 2 2 2" xfId="12118" xr:uid="{00000000-0005-0000-0000-00003A0F0000}"/>
    <cellStyle name="Normal 2 2 4 3 2 2 3" xfId="11471" xr:uid="{00000000-0005-0000-0000-00003B0F0000}"/>
    <cellStyle name="Normal 2 2 4 3 2 3" xfId="10086" xr:uid="{00000000-0005-0000-0000-00003C0F0000}"/>
    <cellStyle name="Normal 2 2 4 3 2 3 2" xfId="11822" xr:uid="{00000000-0005-0000-0000-00003D0F0000}"/>
    <cellStyle name="Normal 2 2 4 3 2 4" xfId="11058" xr:uid="{00000000-0005-0000-0000-00003E0F0000}"/>
    <cellStyle name="Normal 2 2 4 3 3" xfId="4196" xr:uid="{00000000-0005-0000-0000-00003F0F0000}"/>
    <cellStyle name="Normal 2 2 4 3 3 2" xfId="9631" xr:uid="{00000000-0005-0000-0000-0000400F0000}"/>
    <cellStyle name="Normal 2 2 4 3 3 2 2" xfId="10332" xr:uid="{00000000-0005-0000-0000-0000410F0000}"/>
    <cellStyle name="Normal 2 2 4 3 3 2 2 2" xfId="12067" xr:uid="{00000000-0005-0000-0000-0000420F0000}"/>
    <cellStyle name="Normal 2 2 4 3 3 2 3" xfId="11420" xr:uid="{00000000-0005-0000-0000-0000430F0000}"/>
    <cellStyle name="Normal 2 2 4 3 3 3" xfId="10035" xr:uid="{00000000-0005-0000-0000-0000440F0000}"/>
    <cellStyle name="Normal 2 2 4 3 3 3 2" xfId="11771" xr:uid="{00000000-0005-0000-0000-0000450F0000}"/>
    <cellStyle name="Normal 2 2 4 3 3 4" xfId="11007" xr:uid="{00000000-0005-0000-0000-0000460F0000}"/>
    <cellStyle name="Normal 2 2 4 3 4" xfId="9578" xr:uid="{00000000-0005-0000-0000-0000470F0000}"/>
    <cellStyle name="Normal 2 2 4 3 4 2" xfId="10281" xr:uid="{00000000-0005-0000-0000-0000480F0000}"/>
    <cellStyle name="Normal 2 2 4 3 4 2 2" xfId="12016" xr:uid="{00000000-0005-0000-0000-0000490F0000}"/>
    <cellStyle name="Normal 2 2 4 3 4 3" xfId="11369" xr:uid="{00000000-0005-0000-0000-00004A0F0000}"/>
    <cellStyle name="Normal 2 2 4 3 5" xfId="9984" xr:uid="{00000000-0005-0000-0000-00004B0F0000}"/>
    <cellStyle name="Normal 2 2 4 3 5 2" xfId="11720" xr:uid="{00000000-0005-0000-0000-00004C0F0000}"/>
    <cellStyle name="Normal 2 2 4 3 6" xfId="10944" xr:uid="{00000000-0005-0000-0000-00004D0F0000}"/>
    <cellStyle name="Normal 2 2 4 4" xfId="4073" xr:uid="{00000000-0005-0000-0000-00004E0F0000}"/>
    <cellStyle name="Normal 2 2 4 4 2" xfId="4231" xr:uid="{00000000-0005-0000-0000-00004F0F0000}"/>
    <cellStyle name="Normal 2 2 4 4 2 2" xfId="9666" xr:uid="{00000000-0005-0000-0000-0000500F0000}"/>
    <cellStyle name="Normal 2 2 4 4 2 2 2" xfId="10367" xr:uid="{00000000-0005-0000-0000-0000510F0000}"/>
    <cellStyle name="Normal 2 2 4 4 2 2 2 2" xfId="12102" xr:uid="{00000000-0005-0000-0000-0000520F0000}"/>
    <cellStyle name="Normal 2 2 4 4 2 2 3" xfId="11455" xr:uid="{00000000-0005-0000-0000-0000530F0000}"/>
    <cellStyle name="Normal 2 2 4 4 2 3" xfId="10070" xr:uid="{00000000-0005-0000-0000-0000540F0000}"/>
    <cellStyle name="Normal 2 2 4 4 2 3 2" xfId="11806" xr:uid="{00000000-0005-0000-0000-0000550F0000}"/>
    <cellStyle name="Normal 2 2 4 4 2 4" xfId="11042" xr:uid="{00000000-0005-0000-0000-0000560F0000}"/>
    <cellStyle name="Normal 2 2 4 4 3" xfId="9562" xr:uid="{00000000-0005-0000-0000-0000570F0000}"/>
    <cellStyle name="Normal 2 2 4 4 3 2" xfId="10265" xr:uid="{00000000-0005-0000-0000-0000580F0000}"/>
    <cellStyle name="Normal 2 2 4 4 3 2 2" xfId="12000" xr:uid="{00000000-0005-0000-0000-0000590F0000}"/>
    <cellStyle name="Normal 2 2 4 4 3 3" xfId="11353" xr:uid="{00000000-0005-0000-0000-00005A0F0000}"/>
    <cellStyle name="Normal 2 2 4 4 4" xfId="9968" xr:uid="{00000000-0005-0000-0000-00005B0F0000}"/>
    <cellStyle name="Normal 2 2 4 4 4 2" xfId="11704" xr:uid="{00000000-0005-0000-0000-00005C0F0000}"/>
    <cellStyle name="Normal 2 2 4 4 5" xfId="10927" xr:uid="{00000000-0005-0000-0000-00005D0F0000}"/>
    <cellStyle name="Normal 2 2 4 5" xfId="4180" xr:uid="{00000000-0005-0000-0000-00005E0F0000}"/>
    <cellStyle name="Normal 2 2 4 5 2" xfId="9615" xr:uid="{00000000-0005-0000-0000-00005F0F0000}"/>
    <cellStyle name="Normal 2 2 4 5 2 2" xfId="10316" xr:uid="{00000000-0005-0000-0000-0000600F0000}"/>
    <cellStyle name="Normal 2 2 4 5 2 2 2" xfId="12051" xr:uid="{00000000-0005-0000-0000-0000610F0000}"/>
    <cellStyle name="Normal 2 2 4 5 2 3" xfId="11404" xr:uid="{00000000-0005-0000-0000-0000620F0000}"/>
    <cellStyle name="Normal 2 2 4 5 3" xfId="10019" xr:uid="{00000000-0005-0000-0000-0000630F0000}"/>
    <cellStyle name="Normal 2 2 4 5 3 2" xfId="11755" xr:uid="{00000000-0005-0000-0000-0000640F0000}"/>
    <cellStyle name="Normal 2 2 4 5 4" xfId="10991" xr:uid="{00000000-0005-0000-0000-0000650F0000}"/>
    <cellStyle name="Normal 2 2 4 6" xfId="4321" xr:uid="{00000000-0005-0000-0000-0000660F0000}"/>
    <cellStyle name="Normal 2 2 4 6 2" xfId="9734" xr:uid="{00000000-0005-0000-0000-0000670F0000}"/>
    <cellStyle name="Normal 2 2 4 6 2 2" xfId="10433" xr:uid="{00000000-0005-0000-0000-0000680F0000}"/>
    <cellStyle name="Normal 2 2 4 6 2 2 2" xfId="12168" xr:uid="{00000000-0005-0000-0000-0000690F0000}"/>
    <cellStyle name="Normal 2 2 4 6 2 3" xfId="11521" xr:uid="{00000000-0005-0000-0000-00006A0F0000}"/>
    <cellStyle name="Normal 2 2 4 6 3" xfId="10136" xr:uid="{00000000-0005-0000-0000-00006B0F0000}"/>
    <cellStyle name="Normal 2 2 4 6 3 2" xfId="11872" xr:uid="{00000000-0005-0000-0000-00006C0F0000}"/>
    <cellStyle name="Normal 2 2 4 6 4" xfId="11127" xr:uid="{00000000-0005-0000-0000-00006D0F0000}"/>
    <cellStyle name="Normal 2 2 4 7" xfId="7715" xr:uid="{00000000-0005-0000-0000-00006E0F0000}"/>
    <cellStyle name="Normal 2 2 4 8" xfId="14242" xr:uid="{62639379-F4DE-4019-B61A-33B0709389FA}"/>
    <cellStyle name="Normal 2 2 4 9" xfId="17845" xr:uid="{E0C42FFE-C6C7-4AEC-92F0-8BE1638CF3DF}"/>
    <cellStyle name="Normal 2 2 4_1.2.b" xfId="16172" xr:uid="{2E225B2D-2A5C-4AAB-9CA8-6C15ED815C86}"/>
    <cellStyle name="Normal 2 2 5" xfId="1331" xr:uid="{00000000-0005-0000-0000-00006F0F0000}"/>
    <cellStyle name="Normal 2 2 5 2" xfId="4148" xr:uid="{00000000-0005-0000-0000-0000700F0000}"/>
    <cellStyle name="Normal 2 2 5 2 2" xfId="4266" xr:uid="{00000000-0005-0000-0000-0000710F0000}"/>
    <cellStyle name="Normal 2 2 5 2 2 2" xfId="9701" xr:uid="{00000000-0005-0000-0000-0000720F0000}"/>
    <cellStyle name="Normal 2 2 5 2 2 2 2" xfId="10402" xr:uid="{00000000-0005-0000-0000-0000730F0000}"/>
    <cellStyle name="Normal 2 2 5 2 2 2 2 2" xfId="12137" xr:uid="{00000000-0005-0000-0000-0000740F0000}"/>
    <cellStyle name="Normal 2 2 5 2 2 2 3" xfId="11490" xr:uid="{00000000-0005-0000-0000-0000750F0000}"/>
    <cellStyle name="Normal 2 2 5 2 2 3" xfId="10105" xr:uid="{00000000-0005-0000-0000-0000760F0000}"/>
    <cellStyle name="Normal 2 2 5 2 2 3 2" xfId="11841" xr:uid="{00000000-0005-0000-0000-0000770F0000}"/>
    <cellStyle name="Normal 2 2 5 2 2 4" xfId="11077" xr:uid="{00000000-0005-0000-0000-0000780F0000}"/>
    <cellStyle name="Normal 2 2 5 2 3" xfId="4215" xr:uid="{00000000-0005-0000-0000-0000790F0000}"/>
    <cellStyle name="Normal 2 2 5 2 3 2" xfId="9650" xr:uid="{00000000-0005-0000-0000-00007A0F0000}"/>
    <cellStyle name="Normal 2 2 5 2 3 2 2" xfId="10351" xr:uid="{00000000-0005-0000-0000-00007B0F0000}"/>
    <cellStyle name="Normal 2 2 5 2 3 2 2 2" xfId="12086" xr:uid="{00000000-0005-0000-0000-00007C0F0000}"/>
    <cellStyle name="Normal 2 2 5 2 3 2 3" xfId="11439" xr:uid="{00000000-0005-0000-0000-00007D0F0000}"/>
    <cellStyle name="Normal 2 2 5 2 3 3" xfId="10054" xr:uid="{00000000-0005-0000-0000-00007E0F0000}"/>
    <cellStyle name="Normal 2 2 5 2 3 3 2" xfId="11790" xr:uid="{00000000-0005-0000-0000-00007F0F0000}"/>
    <cellStyle name="Normal 2 2 5 2 3 4" xfId="11026" xr:uid="{00000000-0005-0000-0000-0000800F0000}"/>
    <cellStyle name="Normal 2 2 5 2 4" xfId="4334" xr:uid="{00000000-0005-0000-0000-0000810F0000}"/>
    <cellStyle name="Normal 2 2 5 2 4 2" xfId="9745" xr:uid="{00000000-0005-0000-0000-0000820F0000}"/>
    <cellStyle name="Normal 2 2 5 2 4 2 2" xfId="10443" xr:uid="{00000000-0005-0000-0000-0000830F0000}"/>
    <cellStyle name="Normal 2 2 5 2 4 2 2 2" xfId="12178" xr:uid="{00000000-0005-0000-0000-0000840F0000}"/>
    <cellStyle name="Normal 2 2 5 2 4 2 3" xfId="11531" xr:uid="{00000000-0005-0000-0000-0000850F0000}"/>
    <cellStyle name="Normal 2 2 5 2 4 3" xfId="10146" xr:uid="{00000000-0005-0000-0000-0000860F0000}"/>
    <cellStyle name="Normal 2 2 5 2 4 3 2" xfId="11882" xr:uid="{00000000-0005-0000-0000-0000870F0000}"/>
    <cellStyle name="Normal 2 2 5 2 4 4" xfId="11139" xr:uid="{00000000-0005-0000-0000-0000880F0000}"/>
    <cellStyle name="Normal 2 2 5 2 5" xfId="9598" xr:uid="{00000000-0005-0000-0000-0000890F0000}"/>
    <cellStyle name="Normal 2 2 5 2 5 2" xfId="10300" xr:uid="{00000000-0005-0000-0000-00008A0F0000}"/>
    <cellStyle name="Normal 2 2 5 2 5 2 2" xfId="12035" xr:uid="{00000000-0005-0000-0000-00008B0F0000}"/>
    <cellStyle name="Normal 2 2 5 2 5 3" xfId="11388" xr:uid="{00000000-0005-0000-0000-00008C0F0000}"/>
    <cellStyle name="Normal 2 2 5 2 6" xfId="10003" xr:uid="{00000000-0005-0000-0000-00008D0F0000}"/>
    <cellStyle name="Normal 2 2 5 2 6 2" xfId="11739" xr:uid="{00000000-0005-0000-0000-00008E0F0000}"/>
    <cellStyle name="Normal 2 2 5 2 7" xfId="10966" xr:uid="{00000000-0005-0000-0000-00008F0F0000}"/>
    <cellStyle name="Normal 2 2 5 3" xfId="4108" xr:uid="{00000000-0005-0000-0000-0000900F0000}"/>
    <cellStyle name="Normal 2 2 5 3 2" xfId="4248" xr:uid="{00000000-0005-0000-0000-0000910F0000}"/>
    <cellStyle name="Normal 2 2 5 3 2 2" xfId="9683" xr:uid="{00000000-0005-0000-0000-0000920F0000}"/>
    <cellStyle name="Normal 2 2 5 3 2 2 2" xfId="10384" xr:uid="{00000000-0005-0000-0000-0000930F0000}"/>
    <cellStyle name="Normal 2 2 5 3 2 2 2 2" xfId="12119" xr:uid="{00000000-0005-0000-0000-0000940F0000}"/>
    <cellStyle name="Normal 2 2 5 3 2 2 3" xfId="11472" xr:uid="{00000000-0005-0000-0000-0000950F0000}"/>
    <cellStyle name="Normal 2 2 5 3 2 3" xfId="10087" xr:uid="{00000000-0005-0000-0000-0000960F0000}"/>
    <cellStyle name="Normal 2 2 5 3 2 3 2" xfId="11823" xr:uid="{00000000-0005-0000-0000-0000970F0000}"/>
    <cellStyle name="Normal 2 2 5 3 2 4" xfId="11059" xr:uid="{00000000-0005-0000-0000-0000980F0000}"/>
    <cellStyle name="Normal 2 2 5 3 3" xfId="4197" xr:uid="{00000000-0005-0000-0000-0000990F0000}"/>
    <cellStyle name="Normal 2 2 5 3 3 2" xfId="9632" xr:uid="{00000000-0005-0000-0000-00009A0F0000}"/>
    <cellStyle name="Normal 2 2 5 3 3 2 2" xfId="10333" xr:uid="{00000000-0005-0000-0000-00009B0F0000}"/>
    <cellStyle name="Normal 2 2 5 3 3 2 2 2" xfId="12068" xr:uid="{00000000-0005-0000-0000-00009C0F0000}"/>
    <cellStyle name="Normal 2 2 5 3 3 2 3" xfId="11421" xr:uid="{00000000-0005-0000-0000-00009D0F0000}"/>
    <cellStyle name="Normal 2 2 5 3 3 3" xfId="10036" xr:uid="{00000000-0005-0000-0000-00009E0F0000}"/>
    <cellStyle name="Normal 2 2 5 3 3 3 2" xfId="11772" xr:uid="{00000000-0005-0000-0000-00009F0F0000}"/>
    <cellStyle name="Normal 2 2 5 3 3 4" xfId="11008" xr:uid="{00000000-0005-0000-0000-0000A00F0000}"/>
    <cellStyle name="Normal 2 2 5 3 4" xfId="9579" xr:uid="{00000000-0005-0000-0000-0000A10F0000}"/>
    <cellStyle name="Normal 2 2 5 3 4 2" xfId="10282" xr:uid="{00000000-0005-0000-0000-0000A20F0000}"/>
    <cellStyle name="Normal 2 2 5 3 4 2 2" xfId="12017" xr:uid="{00000000-0005-0000-0000-0000A30F0000}"/>
    <cellStyle name="Normal 2 2 5 3 4 3" xfId="11370" xr:uid="{00000000-0005-0000-0000-0000A40F0000}"/>
    <cellStyle name="Normal 2 2 5 3 5" xfId="9985" xr:uid="{00000000-0005-0000-0000-0000A50F0000}"/>
    <cellStyle name="Normal 2 2 5 3 5 2" xfId="11721" xr:uid="{00000000-0005-0000-0000-0000A60F0000}"/>
    <cellStyle name="Normal 2 2 5 3 6" xfId="10945" xr:uid="{00000000-0005-0000-0000-0000A70F0000}"/>
    <cellStyle name="Normal 2 2 5 4" xfId="4075" xr:uid="{00000000-0005-0000-0000-0000A80F0000}"/>
    <cellStyle name="Normal 2 2 5 4 2" xfId="4232" xr:uid="{00000000-0005-0000-0000-0000A90F0000}"/>
    <cellStyle name="Normal 2 2 5 4 2 2" xfId="9667" xr:uid="{00000000-0005-0000-0000-0000AA0F0000}"/>
    <cellStyle name="Normal 2 2 5 4 2 2 2" xfId="10368" xr:uid="{00000000-0005-0000-0000-0000AB0F0000}"/>
    <cellStyle name="Normal 2 2 5 4 2 2 2 2" xfId="12103" xr:uid="{00000000-0005-0000-0000-0000AC0F0000}"/>
    <cellStyle name="Normal 2 2 5 4 2 2 3" xfId="11456" xr:uid="{00000000-0005-0000-0000-0000AD0F0000}"/>
    <cellStyle name="Normal 2 2 5 4 2 3" xfId="10071" xr:uid="{00000000-0005-0000-0000-0000AE0F0000}"/>
    <cellStyle name="Normal 2 2 5 4 2 3 2" xfId="11807" xr:uid="{00000000-0005-0000-0000-0000AF0F0000}"/>
    <cellStyle name="Normal 2 2 5 4 2 4" xfId="11043" xr:uid="{00000000-0005-0000-0000-0000B00F0000}"/>
    <cellStyle name="Normal 2 2 5 4 3" xfId="9563" xr:uid="{00000000-0005-0000-0000-0000B10F0000}"/>
    <cellStyle name="Normal 2 2 5 4 3 2" xfId="10266" xr:uid="{00000000-0005-0000-0000-0000B20F0000}"/>
    <cellStyle name="Normal 2 2 5 4 3 2 2" xfId="12001" xr:uid="{00000000-0005-0000-0000-0000B30F0000}"/>
    <cellStyle name="Normal 2 2 5 4 3 3" xfId="11354" xr:uid="{00000000-0005-0000-0000-0000B40F0000}"/>
    <cellStyle name="Normal 2 2 5 4 4" xfId="9969" xr:uid="{00000000-0005-0000-0000-0000B50F0000}"/>
    <cellStyle name="Normal 2 2 5 4 4 2" xfId="11705" xr:uid="{00000000-0005-0000-0000-0000B60F0000}"/>
    <cellStyle name="Normal 2 2 5 4 5" xfId="10928" xr:uid="{00000000-0005-0000-0000-0000B70F0000}"/>
    <cellStyle name="Normal 2 2 5 5" xfId="4181" xr:uid="{00000000-0005-0000-0000-0000B80F0000}"/>
    <cellStyle name="Normal 2 2 5 5 2" xfId="9616" xr:uid="{00000000-0005-0000-0000-0000B90F0000}"/>
    <cellStyle name="Normal 2 2 5 5 2 2" xfId="10317" xr:uid="{00000000-0005-0000-0000-0000BA0F0000}"/>
    <cellStyle name="Normal 2 2 5 5 2 2 2" xfId="12052" xr:uid="{00000000-0005-0000-0000-0000BB0F0000}"/>
    <cellStyle name="Normal 2 2 5 5 2 3" xfId="11405" xr:uid="{00000000-0005-0000-0000-0000BC0F0000}"/>
    <cellStyle name="Normal 2 2 5 5 3" xfId="10020" xr:uid="{00000000-0005-0000-0000-0000BD0F0000}"/>
    <cellStyle name="Normal 2 2 5 5 3 2" xfId="11756" xr:uid="{00000000-0005-0000-0000-0000BE0F0000}"/>
    <cellStyle name="Normal 2 2 5 5 4" xfId="10992" xr:uid="{00000000-0005-0000-0000-0000BF0F0000}"/>
    <cellStyle name="Normal 2 2 5 6" xfId="4295" xr:uid="{00000000-0005-0000-0000-0000C00F0000}"/>
    <cellStyle name="Normal 2 2 5 6 2" xfId="9721" xr:uid="{00000000-0005-0000-0000-0000C10F0000}"/>
    <cellStyle name="Normal 2 2 5 6 2 2" xfId="10421" xr:uid="{00000000-0005-0000-0000-0000C20F0000}"/>
    <cellStyle name="Normal 2 2 5 6 2 2 2" xfId="12156" xr:uid="{00000000-0005-0000-0000-0000C30F0000}"/>
    <cellStyle name="Normal 2 2 5 6 2 3" xfId="11509" xr:uid="{00000000-0005-0000-0000-0000C40F0000}"/>
    <cellStyle name="Normal 2 2 5 6 3" xfId="10124" xr:uid="{00000000-0005-0000-0000-0000C50F0000}"/>
    <cellStyle name="Normal 2 2 5 6 3 2" xfId="11860" xr:uid="{00000000-0005-0000-0000-0000C60F0000}"/>
    <cellStyle name="Normal 2 2 5 6 4" xfId="11104" xr:uid="{00000000-0005-0000-0000-0000C70F0000}"/>
    <cellStyle name="Normal 2 2 5 7" xfId="7716" xr:uid="{00000000-0005-0000-0000-0000C80F0000}"/>
    <cellStyle name="Normal 2 2 5 8" xfId="14243" xr:uid="{FF27D771-14FC-4F12-9A90-3DC5275998F8}"/>
    <cellStyle name="Normal 2 2 5 9" xfId="17846" xr:uid="{FCF7666F-1171-4249-9CC5-05DB88BC2330}"/>
    <cellStyle name="Normal 2 2 5_1.2.b" xfId="16173" xr:uid="{4543D781-8571-44A3-9CA9-7F0A6E81518F}"/>
    <cellStyle name="Normal 2 2 6" xfId="1332" xr:uid="{00000000-0005-0000-0000-0000C90F0000}"/>
    <cellStyle name="Normal 2 2 6 2" xfId="4150" xr:uid="{00000000-0005-0000-0000-0000CA0F0000}"/>
    <cellStyle name="Normal 2 2 6 2 2" xfId="4267" xr:uid="{00000000-0005-0000-0000-0000CB0F0000}"/>
    <cellStyle name="Normal 2 2 6 2 2 2" xfId="9702" xr:uid="{00000000-0005-0000-0000-0000CC0F0000}"/>
    <cellStyle name="Normal 2 2 6 2 2 2 2" xfId="10403" xr:uid="{00000000-0005-0000-0000-0000CD0F0000}"/>
    <cellStyle name="Normal 2 2 6 2 2 2 2 2" xfId="12138" xr:uid="{00000000-0005-0000-0000-0000CE0F0000}"/>
    <cellStyle name="Normal 2 2 6 2 2 2 3" xfId="11491" xr:uid="{00000000-0005-0000-0000-0000CF0F0000}"/>
    <cellStyle name="Normal 2 2 6 2 2 3" xfId="10106" xr:uid="{00000000-0005-0000-0000-0000D00F0000}"/>
    <cellStyle name="Normal 2 2 6 2 2 3 2" xfId="11842" xr:uid="{00000000-0005-0000-0000-0000D10F0000}"/>
    <cellStyle name="Normal 2 2 6 2 2 4" xfId="11078" xr:uid="{00000000-0005-0000-0000-0000D20F0000}"/>
    <cellStyle name="Normal 2 2 6 2 3" xfId="4216" xr:uid="{00000000-0005-0000-0000-0000D30F0000}"/>
    <cellStyle name="Normal 2 2 6 2 3 2" xfId="9651" xr:uid="{00000000-0005-0000-0000-0000D40F0000}"/>
    <cellStyle name="Normal 2 2 6 2 3 2 2" xfId="10352" xr:uid="{00000000-0005-0000-0000-0000D50F0000}"/>
    <cellStyle name="Normal 2 2 6 2 3 2 2 2" xfId="12087" xr:uid="{00000000-0005-0000-0000-0000D60F0000}"/>
    <cellStyle name="Normal 2 2 6 2 3 2 3" xfId="11440" xr:uid="{00000000-0005-0000-0000-0000D70F0000}"/>
    <cellStyle name="Normal 2 2 6 2 3 3" xfId="10055" xr:uid="{00000000-0005-0000-0000-0000D80F0000}"/>
    <cellStyle name="Normal 2 2 6 2 3 3 2" xfId="11791" xr:uid="{00000000-0005-0000-0000-0000D90F0000}"/>
    <cellStyle name="Normal 2 2 6 2 3 4" xfId="11027" xr:uid="{00000000-0005-0000-0000-0000DA0F0000}"/>
    <cellStyle name="Normal 2 2 6 2 4" xfId="4343" xr:uid="{00000000-0005-0000-0000-0000DB0F0000}"/>
    <cellStyle name="Normal 2 2 6 2 4 2" xfId="9754" xr:uid="{00000000-0005-0000-0000-0000DC0F0000}"/>
    <cellStyle name="Normal 2 2 6 2 4 2 2" xfId="10452" xr:uid="{00000000-0005-0000-0000-0000DD0F0000}"/>
    <cellStyle name="Normal 2 2 6 2 4 2 2 2" xfId="12187" xr:uid="{00000000-0005-0000-0000-0000DE0F0000}"/>
    <cellStyle name="Normal 2 2 6 2 4 2 3" xfId="11540" xr:uid="{00000000-0005-0000-0000-0000DF0F0000}"/>
    <cellStyle name="Normal 2 2 6 2 4 3" xfId="10155" xr:uid="{00000000-0005-0000-0000-0000E00F0000}"/>
    <cellStyle name="Normal 2 2 6 2 4 3 2" xfId="11891" xr:uid="{00000000-0005-0000-0000-0000E10F0000}"/>
    <cellStyle name="Normal 2 2 6 2 4 4" xfId="11148" xr:uid="{00000000-0005-0000-0000-0000E20F0000}"/>
    <cellStyle name="Normal 2 2 6 2 5" xfId="9599" xr:uid="{00000000-0005-0000-0000-0000E30F0000}"/>
    <cellStyle name="Normal 2 2 6 2 5 2" xfId="10301" xr:uid="{00000000-0005-0000-0000-0000E40F0000}"/>
    <cellStyle name="Normal 2 2 6 2 5 2 2" xfId="12036" xr:uid="{00000000-0005-0000-0000-0000E50F0000}"/>
    <cellStyle name="Normal 2 2 6 2 5 3" xfId="11389" xr:uid="{00000000-0005-0000-0000-0000E60F0000}"/>
    <cellStyle name="Normal 2 2 6 2 6" xfId="10004" xr:uid="{00000000-0005-0000-0000-0000E70F0000}"/>
    <cellStyle name="Normal 2 2 6 2 6 2" xfId="11740" xr:uid="{00000000-0005-0000-0000-0000E80F0000}"/>
    <cellStyle name="Normal 2 2 6 2 7" xfId="10967" xr:uid="{00000000-0005-0000-0000-0000E90F0000}"/>
    <cellStyle name="Normal 2 2 6 3" xfId="4110" xr:uid="{00000000-0005-0000-0000-0000EA0F0000}"/>
    <cellStyle name="Normal 2 2 6 3 2" xfId="4249" xr:uid="{00000000-0005-0000-0000-0000EB0F0000}"/>
    <cellStyle name="Normal 2 2 6 3 2 2" xfId="9684" xr:uid="{00000000-0005-0000-0000-0000EC0F0000}"/>
    <cellStyle name="Normal 2 2 6 3 2 2 2" xfId="10385" xr:uid="{00000000-0005-0000-0000-0000ED0F0000}"/>
    <cellStyle name="Normal 2 2 6 3 2 2 2 2" xfId="12120" xr:uid="{00000000-0005-0000-0000-0000EE0F0000}"/>
    <cellStyle name="Normal 2 2 6 3 2 2 3" xfId="11473" xr:uid="{00000000-0005-0000-0000-0000EF0F0000}"/>
    <cellStyle name="Normal 2 2 6 3 2 3" xfId="10088" xr:uid="{00000000-0005-0000-0000-0000F00F0000}"/>
    <cellStyle name="Normal 2 2 6 3 2 3 2" xfId="11824" xr:uid="{00000000-0005-0000-0000-0000F10F0000}"/>
    <cellStyle name="Normal 2 2 6 3 2 4" xfId="11060" xr:uid="{00000000-0005-0000-0000-0000F20F0000}"/>
    <cellStyle name="Normal 2 2 6 3 3" xfId="4198" xr:uid="{00000000-0005-0000-0000-0000F30F0000}"/>
    <cellStyle name="Normal 2 2 6 3 3 2" xfId="9633" xr:uid="{00000000-0005-0000-0000-0000F40F0000}"/>
    <cellStyle name="Normal 2 2 6 3 3 2 2" xfId="10334" xr:uid="{00000000-0005-0000-0000-0000F50F0000}"/>
    <cellStyle name="Normal 2 2 6 3 3 2 2 2" xfId="12069" xr:uid="{00000000-0005-0000-0000-0000F60F0000}"/>
    <cellStyle name="Normal 2 2 6 3 3 2 3" xfId="11422" xr:uid="{00000000-0005-0000-0000-0000F70F0000}"/>
    <cellStyle name="Normal 2 2 6 3 3 3" xfId="10037" xr:uid="{00000000-0005-0000-0000-0000F80F0000}"/>
    <cellStyle name="Normal 2 2 6 3 3 3 2" xfId="11773" xr:uid="{00000000-0005-0000-0000-0000F90F0000}"/>
    <cellStyle name="Normal 2 2 6 3 3 4" xfId="11009" xr:uid="{00000000-0005-0000-0000-0000FA0F0000}"/>
    <cellStyle name="Normal 2 2 6 3 4" xfId="9580" xr:uid="{00000000-0005-0000-0000-0000FB0F0000}"/>
    <cellStyle name="Normal 2 2 6 3 4 2" xfId="10283" xr:uid="{00000000-0005-0000-0000-0000FC0F0000}"/>
    <cellStyle name="Normal 2 2 6 3 4 2 2" xfId="12018" xr:uid="{00000000-0005-0000-0000-0000FD0F0000}"/>
    <cellStyle name="Normal 2 2 6 3 4 3" xfId="11371" xr:uid="{00000000-0005-0000-0000-0000FE0F0000}"/>
    <cellStyle name="Normal 2 2 6 3 5" xfId="9986" xr:uid="{00000000-0005-0000-0000-0000FF0F0000}"/>
    <cellStyle name="Normal 2 2 6 3 5 2" xfId="11722" xr:uid="{00000000-0005-0000-0000-000000100000}"/>
    <cellStyle name="Normal 2 2 6 3 6" xfId="10946" xr:uid="{00000000-0005-0000-0000-000001100000}"/>
    <cellStyle name="Normal 2 2 6 4" xfId="4077" xr:uid="{00000000-0005-0000-0000-000002100000}"/>
    <cellStyle name="Normal 2 2 6 4 2" xfId="4233" xr:uid="{00000000-0005-0000-0000-000003100000}"/>
    <cellStyle name="Normal 2 2 6 4 2 2" xfId="9668" xr:uid="{00000000-0005-0000-0000-000004100000}"/>
    <cellStyle name="Normal 2 2 6 4 2 2 2" xfId="10369" xr:uid="{00000000-0005-0000-0000-000005100000}"/>
    <cellStyle name="Normal 2 2 6 4 2 2 2 2" xfId="12104" xr:uid="{00000000-0005-0000-0000-000006100000}"/>
    <cellStyle name="Normal 2 2 6 4 2 2 3" xfId="11457" xr:uid="{00000000-0005-0000-0000-000007100000}"/>
    <cellStyle name="Normal 2 2 6 4 2 3" xfId="10072" xr:uid="{00000000-0005-0000-0000-000008100000}"/>
    <cellStyle name="Normal 2 2 6 4 2 3 2" xfId="11808" xr:uid="{00000000-0005-0000-0000-000009100000}"/>
    <cellStyle name="Normal 2 2 6 4 2 4" xfId="11044" xr:uid="{00000000-0005-0000-0000-00000A100000}"/>
    <cellStyle name="Normal 2 2 6 4 3" xfId="9564" xr:uid="{00000000-0005-0000-0000-00000B100000}"/>
    <cellStyle name="Normal 2 2 6 4 3 2" xfId="10267" xr:uid="{00000000-0005-0000-0000-00000C100000}"/>
    <cellStyle name="Normal 2 2 6 4 3 2 2" xfId="12002" xr:uid="{00000000-0005-0000-0000-00000D100000}"/>
    <cellStyle name="Normal 2 2 6 4 3 3" xfId="11355" xr:uid="{00000000-0005-0000-0000-00000E100000}"/>
    <cellStyle name="Normal 2 2 6 4 4" xfId="9970" xr:uid="{00000000-0005-0000-0000-00000F100000}"/>
    <cellStyle name="Normal 2 2 6 4 4 2" xfId="11706" xr:uid="{00000000-0005-0000-0000-000010100000}"/>
    <cellStyle name="Normal 2 2 6 4 5" xfId="10929" xr:uid="{00000000-0005-0000-0000-000011100000}"/>
    <cellStyle name="Normal 2 2 6 5" xfId="4182" xr:uid="{00000000-0005-0000-0000-000012100000}"/>
    <cellStyle name="Normal 2 2 6 5 2" xfId="9617" xr:uid="{00000000-0005-0000-0000-000013100000}"/>
    <cellStyle name="Normal 2 2 6 5 2 2" xfId="10318" xr:uid="{00000000-0005-0000-0000-000014100000}"/>
    <cellStyle name="Normal 2 2 6 5 2 2 2" xfId="12053" xr:uid="{00000000-0005-0000-0000-000015100000}"/>
    <cellStyle name="Normal 2 2 6 5 2 3" xfId="11406" xr:uid="{00000000-0005-0000-0000-000016100000}"/>
    <cellStyle name="Normal 2 2 6 5 3" xfId="10021" xr:uid="{00000000-0005-0000-0000-000017100000}"/>
    <cellStyle name="Normal 2 2 6 5 3 2" xfId="11757" xr:uid="{00000000-0005-0000-0000-000018100000}"/>
    <cellStyle name="Normal 2 2 6 5 4" xfId="10993" xr:uid="{00000000-0005-0000-0000-000019100000}"/>
    <cellStyle name="Normal 2 2 6 6" xfId="4325" xr:uid="{00000000-0005-0000-0000-00001A100000}"/>
    <cellStyle name="Normal 2 2 6 6 2" xfId="9738" xr:uid="{00000000-0005-0000-0000-00001B100000}"/>
    <cellStyle name="Normal 2 2 6 6 2 2" xfId="10437" xr:uid="{00000000-0005-0000-0000-00001C100000}"/>
    <cellStyle name="Normal 2 2 6 6 2 2 2" xfId="12172" xr:uid="{00000000-0005-0000-0000-00001D100000}"/>
    <cellStyle name="Normal 2 2 6 6 2 3" xfId="11525" xr:uid="{00000000-0005-0000-0000-00001E100000}"/>
    <cellStyle name="Normal 2 2 6 6 3" xfId="10140" xr:uid="{00000000-0005-0000-0000-00001F100000}"/>
    <cellStyle name="Normal 2 2 6 6 3 2" xfId="11876" xr:uid="{00000000-0005-0000-0000-000020100000}"/>
    <cellStyle name="Normal 2 2 6 6 4" xfId="11131" xr:uid="{00000000-0005-0000-0000-000021100000}"/>
    <cellStyle name="Normal 2 2 6 7" xfId="7717" xr:uid="{00000000-0005-0000-0000-000022100000}"/>
    <cellStyle name="Normal 2 2 7" xfId="1333" xr:uid="{00000000-0005-0000-0000-000023100000}"/>
    <cellStyle name="Normal 2 2 7 2" xfId="4152" xr:uid="{00000000-0005-0000-0000-000024100000}"/>
    <cellStyle name="Normal 2 2 7 2 2" xfId="4268" xr:uid="{00000000-0005-0000-0000-000025100000}"/>
    <cellStyle name="Normal 2 2 7 2 2 2" xfId="9703" xr:uid="{00000000-0005-0000-0000-000026100000}"/>
    <cellStyle name="Normal 2 2 7 2 2 2 2" xfId="10404" xr:uid="{00000000-0005-0000-0000-000027100000}"/>
    <cellStyle name="Normal 2 2 7 2 2 2 2 2" xfId="12139" xr:uid="{00000000-0005-0000-0000-000028100000}"/>
    <cellStyle name="Normal 2 2 7 2 2 2 3" xfId="11492" xr:uid="{00000000-0005-0000-0000-000029100000}"/>
    <cellStyle name="Normal 2 2 7 2 2 3" xfId="10107" xr:uid="{00000000-0005-0000-0000-00002A100000}"/>
    <cellStyle name="Normal 2 2 7 2 2 3 2" xfId="11843" xr:uid="{00000000-0005-0000-0000-00002B100000}"/>
    <cellStyle name="Normal 2 2 7 2 2 4" xfId="11079" xr:uid="{00000000-0005-0000-0000-00002C100000}"/>
    <cellStyle name="Normal 2 2 7 2 3" xfId="4217" xr:uid="{00000000-0005-0000-0000-00002D100000}"/>
    <cellStyle name="Normal 2 2 7 2 3 2" xfId="9652" xr:uid="{00000000-0005-0000-0000-00002E100000}"/>
    <cellStyle name="Normal 2 2 7 2 3 2 2" xfId="10353" xr:uid="{00000000-0005-0000-0000-00002F100000}"/>
    <cellStyle name="Normal 2 2 7 2 3 2 2 2" xfId="12088" xr:uid="{00000000-0005-0000-0000-000030100000}"/>
    <cellStyle name="Normal 2 2 7 2 3 2 3" xfId="11441" xr:uid="{00000000-0005-0000-0000-000031100000}"/>
    <cellStyle name="Normal 2 2 7 2 3 3" xfId="10056" xr:uid="{00000000-0005-0000-0000-000032100000}"/>
    <cellStyle name="Normal 2 2 7 2 3 3 2" xfId="11792" xr:uid="{00000000-0005-0000-0000-000033100000}"/>
    <cellStyle name="Normal 2 2 7 2 3 4" xfId="11028" xr:uid="{00000000-0005-0000-0000-000034100000}"/>
    <cellStyle name="Normal 2 2 7 2 4" xfId="4342" xr:uid="{00000000-0005-0000-0000-000035100000}"/>
    <cellStyle name="Normal 2 2 7 2 4 2" xfId="9753" xr:uid="{00000000-0005-0000-0000-000036100000}"/>
    <cellStyle name="Normal 2 2 7 2 4 2 2" xfId="10451" xr:uid="{00000000-0005-0000-0000-000037100000}"/>
    <cellStyle name="Normal 2 2 7 2 4 2 2 2" xfId="12186" xr:uid="{00000000-0005-0000-0000-000038100000}"/>
    <cellStyle name="Normal 2 2 7 2 4 2 3" xfId="11539" xr:uid="{00000000-0005-0000-0000-000039100000}"/>
    <cellStyle name="Normal 2 2 7 2 4 3" xfId="10154" xr:uid="{00000000-0005-0000-0000-00003A100000}"/>
    <cellStyle name="Normal 2 2 7 2 4 3 2" xfId="11890" xr:uid="{00000000-0005-0000-0000-00003B100000}"/>
    <cellStyle name="Normal 2 2 7 2 4 4" xfId="11147" xr:uid="{00000000-0005-0000-0000-00003C100000}"/>
    <cellStyle name="Normal 2 2 7 2 5" xfId="9600" xr:uid="{00000000-0005-0000-0000-00003D100000}"/>
    <cellStyle name="Normal 2 2 7 2 5 2" xfId="10302" xr:uid="{00000000-0005-0000-0000-00003E100000}"/>
    <cellStyle name="Normal 2 2 7 2 5 2 2" xfId="12037" xr:uid="{00000000-0005-0000-0000-00003F100000}"/>
    <cellStyle name="Normal 2 2 7 2 5 3" xfId="11390" xr:uid="{00000000-0005-0000-0000-000040100000}"/>
    <cellStyle name="Normal 2 2 7 2 6" xfId="10005" xr:uid="{00000000-0005-0000-0000-000041100000}"/>
    <cellStyle name="Normal 2 2 7 2 6 2" xfId="11741" xr:uid="{00000000-0005-0000-0000-000042100000}"/>
    <cellStyle name="Normal 2 2 7 2 7" xfId="10968" xr:uid="{00000000-0005-0000-0000-000043100000}"/>
    <cellStyle name="Normal 2 2 7 3" xfId="4112" xr:uid="{00000000-0005-0000-0000-000044100000}"/>
    <cellStyle name="Normal 2 2 7 3 2" xfId="4250" xr:uid="{00000000-0005-0000-0000-000045100000}"/>
    <cellStyle name="Normal 2 2 7 3 2 2" xfId="9685" xr:uid="{00000000-0005-0000-0000-000046100000}"/>
    <cellStyle name="Normal 2 2 7 3 2 2 2" xfId="10386" xr:uid="{00000000-0005-0000-0000-000047100000}"/>
    <cellStyle name="Normal 2 2 7 3 2 2 2 2" xfId="12121" xr:uid="{00000000-0005-0000-0000-000048100000}"/>
    <cellStyle name="Normal 2 2 7 3 2 2 3" xfId="11474" xr:uid="{00000000-0005-0000-0000-000049100000}"/>
    <cellStyle name="Normal 2 2 7 3 2 3" xfId="10089" xr:uid="{00000000-0005-0000-0000-00004A100000}"/>
    <cellStyle name="Normal 2 2 7 3 2 3 2" xfId="11825" xr:uid="{00000000-0005-0000-0000-00004B100000}"/>
    <cellStyle name="Normal 2 2 7 3 2 4" xfId="11061" xr:uid="{00000000-0005-0000-0000-00004C100000}"/>
    <cellStyle name="Normal 2 2 7 3 3" xfId="4199" xr:uid="{00000000-0005-0000-0000-00004D100000}"/>
    <cellStyle name="Normal 2 2 7 3 3 2" xfId="9634" xr:uid="{00000000-0005-0000-0000-00004E100000}"/>
    <cellStyle name="Normal 2 2 7 3 3 2 2" xfId="10335" xr:uid="{00000000-0005-0000-0000-00004F100000}"/>
    <cellStyle name="Normal 2 2 7 3 3 2 2 2" xfId="12070" xr:uid="{00000000-0005-0000-0000-000050100000}"/>
    <cellStyle name="Normal 2 2 7 3 3 2 3" xfId="11423" xr:uid="{00000000-0005-0000-0000-000051100000}"/>
    <cellStyle name="Normal 2 2 7 3 3 3" xfId="10038" xr:uid="{00000000-0005-0000-0000-000052100000}"/>
    <cellStyle name="Normal 2 2 7 3 3 3 2" xfId="11774" xr:uid="{00000000-0005-0000-0000-000053100000}"/>
    <cellStyle name="Normal 2 2 7 3 3 4" xfId="11010" xr:uid="{00000000-0005-0000-0000-000054100000}"/>
    <cellStyle name="Normal 2 2 7 3 4" xfId="9581" xr:uid="{00000000-0005-0000-0000-000055100000}"/>
    <cellStyle name="Normal 2 2 7 3 4 2" xfId="10284" xr:uid="{00000000-0005-0000-0000-000056100000}"/>
    <cellStyle name="Normal 2 2 7 3 4 2 2" xfId="12019" xr:uid="{00000000-0005-0000-0000-000057100000}"/>
    <cellStyle name="Normal 2 2 7 3 4 3" xfId="11372" xr:uid="{00000000-0005-0000-0000-000058100000}"/>
    <cellStyle name="Normal 2 2 7 3 5" xfId="9987" xr:uid="{00000000-0005-0000-0000-000059100000}"/>
    <cellStyle name="Normal 2 2 7 3 5 2" xfId="11723" xr:uid="{00000000-0005-0000-0000-00005A100000}"/>
    <cellStyle name="Normal 2 2 7 3 6" xfId="10947" xr:uid="{00000000-0005-0000-0000-00005B100000}"/>
    <cellStyle name="Normal 2 2 7 4" xfId="4079" xr:uid="{00000000-0005-0000-0000-00005C100000}"/>
    <cellStyle name="Normal 2 2 7 4 2" xfId="4234" xr:uid="{00000000-0005-0000-0000-00005D100000}"/>
    <cellStyle name="Normal 2 2 7 4 2 2" xfId="9669" xr:uid="{00000000-0005-0000-0000-00005E100000}"/>
    <cellStyle name="Normal 2 2 7 4 2 2 2" xfId="10370" xr:uid="{00000000-0005-0000-0000-00005F100000}"/>
    <cellStyle name="Normal 2 2 7 4 2 2 2 2" xfId="12105" xr:uid="{00000000-0005-0000-0000-000060100000}"/>
    <cellStyle name="Normal 2 2 7 4 2 2 3" xfId="11458" xr:uid="{00000000-0005-0000-0000-000061100000}"/>
    <cellStyle name="Normal 2 2 7 4 2 3" xfId="10073" xr:uid="{00000000-0005-0000-0000-000062100000}"/>
    <cellStyle name="Normal 2 2 7 4 2 3 2" xfId="11809" xr:uid="{00000000-0005-0000-0000-000063100000}"/>
    <cellStyle name="Normal 2 2 7 4 2 4" xfId="11045" xr:uid="{00000000-0005-0000-0000-000064100000}"/>
    <cellStyle name="Normal 2 2 7 4 3" xfId="9565" xr:uid="{00000000-0005-0000-0000-000065100000}"/>
    <cellStyle name="Normal 2 2 7 4 3 2" xfId="10268" xr:uid="{00000000-0005-0000-0000-000066100000}"/>
    <cellStyle name="Normal 2 2 7 4 3 2 2" xfId="12003" xr:uid="{00000000-0005-0000-0000-000067100000}"/>
    <cellStyle name="Normal 2 2 7 4 3 3" xfId="11356" xr:uid="{00000000-0005-0000-0000-000068100000}"/>
    <cellStyle name="Normal 2 2 7 4 4" xfId="9971" xr:uid="{00000000-0005-0000-0000-000069100000}"/>
    <cellStyle name="Normal 2 2 7 4 4 2" xfId="11707" xr:uid="{00000000-0005-0000-0000-00006A100000}"/>
    <cellStyle name="Normal 2 2 7 4 5" xfId="10930" xr:uid="{00000000-0005-0000-0000-00006B100000}"/>
    <cellStyle name="Normal 2 2 7 5" xfId="4183" xr:uid="{00000000-0005-0000-0000-00006C100000}"/>
    <cellStyle name="Normal 2 2 7 5 2" xfId="9618" xr:uid="{00000000-0005-0000-0000-00006D100000}"/>
    <cellStyle name="Normal 2 2 7 5 2 2" xfId="10319" xr:uid="{00000000-0005-0000-0000-00006E100000}"/>
    <cellStyle name="Normal 2 2 7 5 2 2 2" xfId="12054" xr:uid="{00000000-0005-0000-0000-00006F100000}"/>
    <cellStyle name="Normal 2 2 7 5 2 3" xfId="11407" xr:uid="{00000000-0005-0000-0000-000070100000}"/>
    <cellStyle name="Normal 2 2 7 5 3" xfId="10022" xr:uid="{00000000-0005-0000-0000-000071100000}"/>
    <cellStyle name="Normal 2 2 7 5 3 2" xfId="11758" xr:uid="{00000000-0005-0000-0000-000072100000}"/>
    <cellStyle name="Normal 2 2 7 5 4" xfId="10994" xr:uid="{00000000-0005-0000-0000-000073100000}"/>
    <cellStyle name="Normal 2 2 7 6" xfId="4324" xr:uid="{00000000-0005-0000-0000-000074100000}"/>
    <cellStyle name="Normal 2 2 7 6 2" xfId="9737" xr:uid="{00000000-0005-0000-0000-000075100000}"/>
    <cellStyle name="Normal 2 2 7 6 2 2" xfId="10436" xr:uid="{00000000-0005-0000-0000-000076100000}"/>
    <cellStyle name="Normal 2 2 7 6 2 2 2" xfId="12171" xr:uid="{00000000-0005-0000-0000-000077100000}"/>
    <cellStyle name="Normal 2 2 7 6 2 3" xfId="11524" xr:uid="{00000000-0005-0000-0000-000078100000}"/>
    <cellStyle name="Normal 2 2 7 6 3" xfId="10139" xr:uid="{00000000-0005-0000-0000-000079100000}"/>
    <cellStyle name="Normal 2 2 7 6 3 2" xfId="11875" xr:uid="{00000000-0005-0000-0000-00007A100000}"/>
    <cellStyle name="Normal 2 2 7 6 4" xfId="11130" xr:uid="{00000000-0005-0000-0000-00007B100000}"/>
    <cellStyle name="Normal 2 2 7 7" xfId="7718" xr:uid="{00000000-0005-0000-0000-00007C100000}"/>
    <cellStyle name="Normal 2 2 8" xfId="1334" xr:uid="{00000000-0005-0000-0000-00007D100000}"/>
    <cellStyle name="Normal 2 2 8 2" xfId="4154" xr:uid="{00000000-0005-0000-0000-00007E100000}"/>
    <cellStyle name="Normal 2 2 8 2 2" xfId="4269" xr:uid="{00000000-0005-0000-0000-00007F100000}"/>
    <cellStyle name="Normal 2 2 8 2 2 2" xfId="9704" xr:uid="{00000000-0005-0000-0000-000080100000}"/>
    <cellStyle name="Normal 2 2 8 2 2 2 2" xfId="10405" xr:uid="{00000000-0005-0000-0000-000081100000}"/>
    <cellStyle name="Normal 2 2 8 2 2 2 2 2" xfId="12140" xr:uid="{00000000-0005-0000-0000-000082100000}"/>
    <cellStyle name="Normal 2 2 8 2 2 2 3" xfId="11493" xr:uid="{00000000-0005-0000-0000-000083100000}"/>
    <cellStyle name="Normal 2 2 8 2 2 3" xfId="10108" xr:uid="{00000000-0005-0000-0000-000084100000}"/>
    <cellStyle name="Normal 2 2 8 2 2 3 2" xfId="11844" xr:uid="{00000000-0005-0000-0000-000085100000}"/>
    <cellStyle name="Normal 2 2 8 2 2 4" xfId="11080" xr:uid="{00000000-0005-0000-0000-000086100000}"/>
    <cellStyle name="Normal 2 2 8 2 3" xfId="4218" xr:uid="{00000000-0005-0000-0000-000087100000}"/>
    <cellStyle name="Normal 2 2 8 2 3 2" xfId="9653" xr:uid="{00000000-0005-0000-0000-000088100000}"/>
    <cellStyle name="Normal 2 2 8 2 3 2 2" xfId="10354" xr:uid="{00000000-0005-0000-0000-000089100000}"/>
    <cellStyle name="Normal 2 2 8 2 3 2 2 2" xfId="12089" xr:uid="{00000000-0005-0000-0000-00008A100000}"/>
    <cellStyle name="Normal 2 2 8 2 3 2 3" xfId="11442" xr:uid="{00000000-0005-0000-0000-00008B100000}"/>
    <cellStyle name="Normal 2 2 8 2 3 3" xfId="10057" xr:uid="{00000000-0005-0000-0000-00008C100000}"/>
    <cellStyle name="Normal 2 2 8 2 3 3 2" xfId="11793" xr:uid="{00000000-0005-0000-0000-00008D100000}"/>
    <cellStyle name="Normal 2 2 8 2 3 4" xfId="11029" xr:uid="{00000000-0005-0000-0000-00008E100000}"/>
    <cellStyle name="Normal 2 2 8 2 4" xfId="4335" xr:uid="{00000000-0005-0000-0000-00008F100000}"/>
    <cellStyle name="Normal 2 2 8 2 4 2" xfId="9746" xr:uid="{00000000-0005-0000-0000-000090100000}"/>
    <cellStyle name="Normal 2 2 8 2 4 2 2" xfId="10444" xr:uid="{00000000-0005-0000-0000-000091100000}"/>
    <cellStyle name="Normal 2 2 8 2 4 2 2 2" xfId="12179" xr:uid="{00000000-0005-0000-0000-000092100000}"/>
    <cellStyle name="Normal 2 2 8 2 4 2 3" xfId="11532" xr:uid="{00000000-0005-0000-0000-000093100000}"/>
    <cellStyle name="Normal 2 2 8 2 4 3" xfId="10147" xr:uid="{00000000-0005-0000-0000-000094100000}"/>
    <cellStyle name="Normal 2 2 8 2 4 3 2" xfId="11883" xr:uid="{00000000-0005-0000-0000-000095100000}"/>
    <cellStyle name="Normal 2 2 8 2 4 4" xfId="11140" xr:uid="{00000000-0005-0000-0000-000096100000}"/>
    <cellStyle name="Normal 2 2 8 2 5" xfId="9601" xr:uid="{00000000-0005-0000-0000-000097100000}"/>
    <cellStyle name="Normal 2 2 8 2 5 2" xfId="10303" xr:uid="{00000000-0005-0000-0000-000098100000}"/>
    <cellStyle name="Normal 2 2 8 2 5 2 2" xfId="12038" xr:uid="{00000000-0005-0000-0000-000099100000}"/>
    <cellStyle name="Normal 2 2 8 2 5 3" xfId="11391" xr:uid="{00000000-0005-0000-0000-00009A100000}"/>
    <cellStyle name="Normal 2 2 8 2 6" xfId="10006" xr:uid="{00000000-0005-0000-0000-00009B100000}"/>
    <cellStyle name="Normal 2 2 8 2 6 2" xfId="11742" xr:uid="{00000000-0005-0000-0000-00009C100000}"/>
    <cellStyle name="Normal 2 2 8 2 7" xfId="10969" xr:uid="{00000000-0005-0000-0000-00009D100000}"/>
    <cellStyle name="Normal 2 2 8 3" xfId="4114" xr:uid="{00000000-0005-0000-0000-00009E100000}"/>
    <cellStyle name="Normal 2 2 8 3 2" xfId="4251" xr:uid="{00000000-0005-0000-0000-00009F100000}"/>
    <cellStyle name="Normal 2 2 8 3 2 2" xfId="9686" xr:uid="{00000000-0005-0000-0000-0000A0100000}"/>
    <cellStyle name="Normal 2 2 8 3 2 2 2" xfId="10387" xr:uid="{00000000-0005-0000-0000-0000A1100000}"/>
    <cellStyle name="Normal 2 2 8 3 2 2 2 2" xfId="12122" xr:uid="{00000000-0005-0000-0000-0000A2100000}"/>
    <cellStyle name="Normal 2 2 8 3 2 2 3" xfId="11475" xr:uid="{00000000-0005-0000-0000-0000A3100000}"/>
    <cellStyle name="Normal 2 2 8 3 2 3" xfId="10090" xr:uid="{00000000-0005-0000-0000-0000A4100000}"/>
    <cellStyle name="Normal 2 2 8 3 2 3 2" xfId="11826" xr:uid="{00000000-0005-0000-0000-0000A5100000}"/>
    <cellStyle name="Normal 2 2 8 3 2 4" xfId="11062" xr:uid="{00000000-0005-0000-0000-0000A6100000}"/>
    <cellStyle name="Normal 2 2 8 3 3" xfId="4200" xr:uid="{00000000-0005-0000-0000-0000A7100000}"/>
    <cellStyle name="Normal 2 2 8 3 3 2" xfId="9635" xr:uid="{00000000-0005-0000-0000-0000A8100000}"/>
    <cellStyle name="Normal 2 2 8 3 3 2 2" xfId="10336" xr:uid="{00000000-0005-0000-0000-0000A9100000}"/>
    <cellStyle name="Normal 2 2 8 3 3 2 2 2" xfId="12071" xr:uid="{00000000-0005-0000-0000-0000AA100000}"/>
    <cellStyle name="Normal 2 2 8 3 3 2 3" xfId="11424" xr:uid="{00000000-0005-0000-0000-0000AB100000}"/>
    <cellStyle name="Normal 2 2 8 3 3 3" xfId="10039" xr:uid="{00000000-0005-0000-0000-0000AC100000}"/>
    <cellStyle name="Normal 2 2 8 3 3 3 2" xfId="11775" xr:uid="{00000000-0005-0000-0000-0000AD100000}"/>
    <cellStyle name="Normal 2 2 8 3 3 4" xfId="11011" xr:uid="{00000000-0005-0000-0000-0000AE100000}"/>
    <cellStyle name="Normal 2 2 8 3 4" xfId="9582" xr:uid="{00000000-0005-0000-0000-0000AF100000}"/>
    <cellStyle name="Normal 2 2 8 3 4 2" xfId="10285" xr:uid="{00000000-0005-0000-0000-0000B0100000}"/>
    <cellStyle name="Normal 2 2 8 3 4 2 2" xfId="12020" xr:uid="{00000000-0005-0000-0000-0000B1100000}"/>
    <cellStyle name="Normal 2 2 8 3 4 3" xfId="11373" xr:uid="{00000000-0005-0000-0000-0000B2100000}"/>
    <cellStyle name="Normal 2 2 8 3 5" xfId="9988" xr:uid="{00000000-0005-0000-0000-0000B3100000}"/>
    <cellStyle name="Normal 2 2 8 3 5 2" xfId="11724" xr:uid="{00000000-0005-0000-0000-0000B4100000}"/>
    <cellStyle name="Normal 2 2 8 3 6" xfId="10948" xr:uid="{00000000-0005-0000-0000-0000B5100000}"/>
    <cellStyle name="Normal 2 2 8 4" xfId="4081" xr:uid="{00000000-0005-0000-0000-0000B6100000}"/>
    <cellStyle name="Normal 2 2 8 4 2" xfId="4235" xr:uid="{00000000-0005-0000-0000-0000B7100000}"/>
    <cellStyle name="Normal 2 2 8 4 2 2" xfId="9670" xr:uid="{00000000-0005-0000-0000-0000B8100000}"/>
    <cellStyle name="Normal 2 2 8 4 2 2 2" xfId="10371" xr:uid="{00000000-0005-0000-0000-0000B9100000}"/>
    <cellStyle name="Normal 2 2 8 4 2 2 2 2" xfId="12106" xr:uid="{00000000-0005-0000-0000-0000BA100000}"/>
    <cellStyle name="Normal 2 2 8 4 2 2 3" xfId="11459" xr:uid="{00000000-0005-0000-0000-0000BB100000}"/>
    <cellStyle name="Normal 2 2 8 4 2 3" xfId="10074" xr:uid="{00000000-0005-0000-0000-0000BC100000}"/>
    <cellStyle name="Normal 2 2 8 4 2 3 2" xfId="11810" xr:uid="{00000000-0005-0000-0000-0000BD100000}"/>
    <cellStyle name="Normal 2 2 8 4 2 4" xfId="11046" xr:uid="{00000000-0005-0000-0000-0000BE100000}"/>
    <cellStyle name="Normal 2 2 8 4 3" xfId="9566" xr:uid="{00000000-0005-0000-0000-0000BF100000}"/>
    <cellStyle name="Normal 2 2 8 4 3 2" xfId="10269" xr:uid="{00000000-0005-0000-0000-0000C0100000}"/>
    <cellStyle name="Normal 2 2 8 4 3 2 2" xfId="12004" xr:uid="{00000000-0005-0000-0000-0000C1100000}"/>
    <cellStyle name="Normal 2 2 8 4 3 3" xfId="11357" xr:uid="{00000000-0005-0000-0000-0000C2100000}"/>
    <cellStyle name="Normal 2 2 8 4 4" xfId="9972" xr:uid="{00000000-0005-0000-0000-0000C3100000}"/>
    <cellStyle name="Normal 2 2 8 4 4 2" xfId="11708" xr:uid="{00000000-0005-0000-0000-0000C4100000}"/>
    <cellStyle name="Normal 2 2 8 4 5" xfId="10931" xr:uid="{00000000-0005-0000-0000-0000C5100000}"/>
    <cellStyle name="Normal 2 2 8 5" xfId="4184" xr:uid="{00000000-0005-0000-0000-0000C6100000}"/>
    <cellStyle name="Normal 2 2 8 5 2" xfId="9619" xr:uid="{00000000-0005-0000-0000-0000C7100000}"/>
    <cellStyle name="Normal 2 2 8 5 2 2" xfId="10320" xr:uid="{00000000-0005-0000-0000-0000C8100000}"/>
    <cellStyle name="Normal 2 2 8 5 2 2 2" xfId="12055" xr:uid="{00000000-0005-0000-0000-0000C9100000}"/>
    <cellStyle name="Normal 2 2 8 5 2 3" xfId="11408" xr:uid="{00000000-0005-0000-0000-0000CA100000}"/>
    <cellStyle name="Normal 2 2 8 5 3" xfId="10023" xr:uid="{00000000-0005-0000-0000-0000CB100000}"/>
    <cellStyle name="Normal 2 2 8 5 3 2" xfId="11759" xr:uid="{00000000-0005-0000-0000-0000CC100000}"/>
    <cellStyle name="Normal 2 2 8 5 4" xfId="10995" xr:uid="{00000000-0005-0000-0000-0000CD100000}"/>
    <cellStyle name="Normal 2 2 8 6" xfId="4299" xr:uid="{00000000-0005-0000-0000-0000CE100000}"/>
    <cellStyle name="Normal 2 2 8 6 2" xfId="9725" xr:uid="{00000000-0005-0000-0000-0000CF100000}"/>
    <cellStyle name="Normal 2 2 8 6 2 2" xfId="10425" xr:uid="{00000000-0005-0000-0000-0000D0100000}"/>
    <cellStyle name="Normal 2 2 8 6 2 2 2" xfId="12160" xr:uid="{00000000-0005-0000-0000-0000D1100000}"/>
    <cellStyle name="Normal 2 2 8 6 2 3" xfId="11513" xr:uid="{00000000-0005-0000-0000-0000D2100000}"/>
    <cellStyle name="Normal 2 2 8 6 3" xfId="10128" xr:uid="{00000000-0005-0000-0000-0000D3100000}"/>
    <cellStyle name="Normal 2 2 8 6 3 2" xfId="11864" xr:uid="{00000000-0005-0000-0000-0000D4100000}"/>
    <cellStyle name="Normal 2 2 8 6 4" xfId="11108" xr:uid="{00000000-0005-0000-0000-0000D5100000}"/>
    <cellStyle name="Normal 2 2 8 7" xfId="7719" xr:uid="{00000000-0005-0000-0000-0000D6100000}"/>
    <cellStyle name="Normal 2 2 9" xfId="1335" xr:uid="{00000000-0005-0000-0000-0000D7100000}"/>
    <cellStyle name="Normal 2 2 9 2" xfId="4156" xr:uid="{00000000-0005-0000-0000-0000D8100000}"/>
    <cellStyle name="Normal 2 2 9 2 2" xfId="4270" xr:uid="{00000000-0005-0000-0000-0000D9100000}"/>
    <cellStyle name="Normal 2 2 9 2 2 2" xfId="9705" xr:uid="{00000000-0005-0000-0000-0000DA100000}"/>
    <cellStyle name="Normal 2 2 9 2 2 2 2" xfId="10406" xr:uid="{00000000-0005-0000-0000-0000DB100000}"/>
    <cellStyle name="Normal 2 2 9 2 2 2 2 2" xfId="12141" xr:uid="{00000000-0005-0000-0000-0000DC100000}"/>
    <cellStyle name="Normal 2 2 9 2 2 2 3" xfId="11494" xr:uid="{00000000-0005-0000-0000-0000DD100000}"/>
    <cellStyle name="Normal 2 2 9 2 2 3" xfId="10109" xr:uid="{00000000-0005-0000-0000-0000DE100000}"/>
    <cellStyle name="Normal 2 2 9 2 2 3 2" xfId="11845" xr:uid="{00000000-0005-0000-0000-0000DF100000}"/>
    <cellStyle name="Normal 2 2 9 2 2 4" xfId="11081" xr:uid="{00000000-0005-0000-0000-0000E0100000}"/>
    <cellStyle name="Normal 2 2 9 2 3" xfId="4219" xr:uid="{00000000-0005-0000-0000-0000E1100000}"/>
    <cellStyle name="Normal 2 2 9 2 3 2" xfId="9654" xr:uid="{00000000-0005-0000-0000-0000E2100000}"/>
    <cellStyle name="Normal 2 2 9 2 3 2 2" xfId="10355" xr:uid="{00000000-0005-0000-0000-0000E3100000}"/>
    <cellStyle name="Normal 2 2 9 2 3 2 2 2" xfId="12090" xr:uid="{00000000-0005-0000-0000-0000E4100000}"/>
    <cellStyle name="Normal 2 2 9 2 3 2 3" xfId="11443" xr:uid="{00000000-0005-0000-0000-0000E5100000}"/>
    <cellStyle name="Normal 2 2 9 2 3 3" xfId="10058" xr:uid="{00000000-0005-0000-0000-0000E6100000}"/>
    <cellStyle name="Normal 2 2 9 2 3 3 2" xfId="11794" xr:uid="{00000000-0005-0000-0000-0000E7100000}"/>
    <cellStyle name="Normal 2 2 9 2 3 4" xfId="11030" xr:uid="{00000000-0005-0000-0000-0000E8100000}"/>
    <cellStyle name="Normal 2 2 9 2 4" xfId="4338" xr:uid="{00000000-0005-0000-0000-0000E9100000}"/>
    <cellStyle name="Normal 2 2 9 2 4 2" xfId="9749" xr:uid="{00000000-0005-0000-0000-0000EA100000}"/>
    <cellStyle name="Normal 2 2 9 2 4 2 2" xfId="10447" xr:uid="{00000000-0005-0000-0000-0000EB100000}"/>
    <cellStyle name="Normal 2 2 9 2 4 2 2 2" xfId="12182" xr:uid="{00000000-0005-0000-0000-0000EC100000}"/>
    <cellStyle name="Normal 2 2 9 2 4 2 3" xfId="11535" xr:uid="{00000000-0005-0000-0000-0000ED100000}"/>
    <cellStyle name="Normal 2 2 9 2 4 3" xfId="10150" xr:uid="{00000000-0005-0000-0000-0000EE100000}"/>
    <cellStyle name="Normal 2 2 9 2 4 3 2" xfId="11886" xr:uid="{00000000-0005-0000-0000-0000EF100000}"/>
    <cellStyle name="Normal 2 2 9 2 4 4" xfId="11143" xr:uid="{00000000-0005-0000-0000-0000F0100000}"/>
    <cellStyle name="Normal 2 2 9 2 5" xfId="9602" xr:uid="{00000000-0005-0000-0000-0000F1100000}"/>
    <cellStyle name="Normal 2 2 9 2 5 2" xfId="10304" xr:uid="{00000000-0005-0000-0000-0000F2100000}"/>
    <cellStyle name="Normal 2 2 9 2 5 2 2" xfId="12039" xr:uid="{00000000-0005-0000-0000-0000F3100000}"/>
    <cellStyle name="Normal 2 2 9 2 5 3" xfId="11392" xr:uid="{00000000-0005-0000-0000-0000F4100000}"/>
    <cellStyle name="Normal 2 2 9 2 6" xfId="10007" xr:uid="{00000000-0005-0000-0000-0000F5100000}"/>
    <cellStyle name="Normal 2 2 9 2 6 2" xfId="11743" xr:uid="{00000000-0005-0000-0000-0000F6100000}"/>
    <cellStyle name="Normal 2 2 9 2 7" xfId="10970" xr:uid="{00000000-0005-0000-0000-0000F7100000}"/>
    <cellStyle name="Normal 2 2 9 3" xfId="4116" xr:uid="{00000000-0005-0000-0000-0000F8100000}"/>
    <cellStyle name="Normal 2 2 9 3 2" xfId="4252" xr:uid="{00000000-0005-0000-0000-0000F9100000}"/>
    <cellStyle name="Normal 2 2 9 3 2 2" xfId="9687" xr:uid="{00000000-0005-0000-0000-0000FA100000}"/>
    <cellStyle name="Normal 2 2 9 3 2 2 2" xfId="10388" xr:uid="{00000000-0005-0000-0000-0000FB100000}"/>
    <cellStyle name="Normal 2 2 9 3 2 2 2 2" xfId="12123" xr:uid="{00000000-0005-0000-0000-0000FC100000}"/>
    <cellStyle name="Normal 2 2 9 3 2 2 3" xfId="11476" xr:uid="{00000000-0005-0000-0000-0000FD100000}"/>
    <cellStyle name="Normal 2 2 9 3 2 3" xfId="10091" xr:uid="{00000000-0005-0000-0000-0000FE100000}"/>
    <cellStyle name="Normal 2 2 9 3 2 3 2" xfId="11827" xr:uid="{00000000-0005-0000-0000-0000FF100000}"/>
    <cellStyle name="Normal 2 2 9 3 2 4" xfId="11063" xr:uid="{00000000-0005-0000-0000-000000110000}"/>
    <cellStyle name="Normal 2 2 9 3 3" xfId="4201" xr:uid="{00000000-0005-0000-0000-000001110000}"/>
    <cellStyle name="Normal 2 2 9 3 3 2" xfId="9636" xr:uid="{00000000-0005-0000-0000-000002110000}"/>
    <cellStyle name="Normal 2 2 9 3 3 2 2" xfId="10337" xr:uid="{00000000-0005-0000-0000-000003110000}"/>
    <cellStyle name="Normal 2 2 9 3 3 2 2 2" xfId="12072" xr:uid="{00000000-0005-0000-0000-000004110000}"/>
    <cellStyle name="Normal 2 2 9 3 3 2 3" xfId="11425" xr:uid="{00000000-0005-0000-0000-000005110000}"/>
    <cellStyle name="Normal 2 2 9 3 3 3" xfId="10040" xr:uid="{00000000-0005-0000-0000-000006110000}"/>
    <cellStyle name="Normal 2 2 9 3 3 3 2" xfId="11776" xr:uid="{00000000-0005-0000-0000-000007110000}"/>
    <cellStyle name="Normal 2 2 9 3 3 4" xfId="11012" xr:uid="{00000000-0005-0000-0000-000008110000}"/>
    <cellStyle name="Normal 2 2 9 3 4" xfId="9583" xr:uid="{00000000-0005-0000-0000-000009110000}"/>
    <cellStyle name="Normal 2 2 9 3 4 2" xfId="10286" xr:uid="{00000000-0005-0000-0000-00000A110000}"/>
    <cellStyle name="Normal 2 2 9 3 4 2 2" xfId="12021" xr:uid="{00000000-0005-0000-0000-00000B110000}"/>
    <cellStyle name="Normal 2 2 9 3 4 3" xfId="11374" xr:uid="{00000000-0005-0000-0000-00000C110000}"/>
    <cellStyle name="Normal 2 2 9 3 5" xfId="9989" xr:uid="{00000000-0005-0000-0000-00000D110000}"/>
    <cellStyle name="Normal 2 2 9 3 5 2" xfId="11725" xr:uid="{00000000-0005-0000-0000-00000E110000}"/>
    <cellStyle name="Normal 2 2 9 3 6" xfId="10949" xr:uid="{00000000-0005-0000-0000-00000F110000}"/>
    <cellStyle name="Normal 2 2 9 4" xfId="4083" xr:uid="{00000000-0005-0000-0000-000010110000}"/>
    <cellStyle name="Normal 2 2 9 4 2" xfId="4236" xr:uid="{00000000-0005-0000-0000-000011110000}"/>
    <cellStyle name="Normal 2 2 9 4 2 2" xfId="9671" xr:uid="{00000000-0005-0000-0000-000012110000}"/>
    <cellStyle name="Normal 2 2 9 4 2 2 2" xfId="10372" xr:uid="{00000000-0005-0000-0000-000013110000}"/>
    <cellStyle name="Normal 2 2 9 4 2 2 2 2" xfId="12107" xr:uid="{00000000-0005-0000-0000-000014110000}"/>
    <cellStyle name="Normal 2 2 9 4 2 2 3" xfId="11460" xr:uid="{00000000-0005-0000-0000-000015110000}"/>
    <cellStyle name="Normal 2 2 9 4 2 3" xfId="10075" xr:uid="{00000000-0005-0000-0000-000016110000}"/>
    <cellStyle name="Normal 2 2 9 4 2 3 2" xfId="11811" xr:uid="{00000000-0005-0000-0000-000017110000}"/>
    <cellStyle name="Normal 2 2 9 4 2 4" xfId="11047" xr:uid="{00000000-0005-0000-0000-000018110000}"/>
    <cellStyle name="Normal 2 2 9 4 3" xfId="9567" xr:uid="{00000000-0005-0000-0000-000019110000}"/>
    <cellStyle name="Normal 2 2 9 4 3 2" xfId="10270" xr:uid="{00000000-0005-0000-0000-00001A110000}"/>
    <cellStyle name="Normal 2 2 9 4 3 2 2" xfId="12005" xr:uid="{00000000-0005-0000-0000-00001B110000}"/>
    <cellStyle name="Normal 2 2 9 4 3 3" xfId="11358" xr:uid="{00000000-0005-0000-0000-00001C110000}"/>
    <cellStyle name="Normal 2 2 9 4 4" xfId="9973" xr:uid="{00000000-0005-0000-0000-00001D110000}"/>
    <cellStyle name="Normal 2 2 9 4 4 2" xfId="11709" xr:uid="{00000000-0005-0000-0000-00001E110000}"/>
    <cellStyle name="Normal 2 2 9 4 5" xfId="10932" xr:uid="{00000000-0005-0000-0000-00001F110000}"/>
    <cellStyle name="Normal 2 2 9 5" xfId="4185" xr:uid="{00000000-0005-0000-0000-000020110000}"/>
    <cellStyle name="Normal 2 2 9 5 2" xfId="9620" xr:uid="{00000000-0005-0000-0000-000021110000}"/>
    <cellStyle name="Normal 2 2 9 5 2 2" xfId="10321" xr:uid="{00000000-0005-0000-0000-000022110000}"/>
    <cellStyle name="Normal 2 2 9 5 2 2 2" xfId="12056" xr:uid="{00000000-0005-0000-0000-000023110000}"/>
    <cellStyle name="Normal 2 2 9 5 2 3" xfId="11409" xr:uid="{00000000-0005-0000-0000-000024110000}"/>
    <cellStyle name="Normal 2 2 9 5 3" xfId="10024" xr:uid="{00000000-0005-0000-0000-000025110000}"/>
    <cellStyle name="Normal 2 2 9 5 3 2" xfId="11760" xr:uid="{00000000-0005-0000-0000-000026110000}"/>
    <cellStyle name="Normal 2 2 9 5 4" xfId="10996" xr:uid="{00000000-0005-0000-0000-000027110000}"/>
    <cellStyle name="Normal 2 2 9 6" xfId="4320" xr:uid="{00000000-0005-0000-0000-000028110000}"/>
    <cellStyle name="Normal 2 2 9 6 2" xfId="9733" xr:uid="{00000000-0005-0000-0000-000029110000}"/>
    <cellStyle name="Normal 2 2 9 6 2 2" xfId="10432" xr:uid="{00000000-0005-0000-0000-00002A110000}"/>
    <cellStyle name="Normal 2 2 9 6 2 2 2" xfId="12167" xr:uid="{00000000-0005-0000-0000-00002B110000}"/>
    <cellStyle name="Normal 2 2 9 6 2 3" xfId="11520" xr:uid="{00000000-0005-0000-0000-00002C110000}"/>
    <cellStyle name="Normal 2 2 9 6 3" xfId="10135" xr:uid="{00000000-0005-0000-0000-00002D110000}"/>
    <cellStyle name="Normal 2 2 9 6 3 2" xfId="11871" xr:uid="{00000000-0005-0000-0000-00002E110000}"/>
    <cellStyle name="Normal 2 2 9 6 4" xfId="11126" xr:uid="{00000000-0005-0000-0000-00002F110000}"/>
    <cellStyle name="Normal 2 2 9 7" xfId="7720" xr:uid="{00000000-0005-0000-0000-000030110000}"/>
    <cellStyle name="Normal 2 2_1.2.b" xfId="16163" xr:uid="{21D784B3-092F-4687-9608-D3F97E746F8D}"/>
    <cellStyle name="Normal 2 20" xfId="1336" xr:uid="{00000000-0005-0000-0000-000031110000}"/>
    <cellStyle name="Normal 2 20 2" xfId="5152" xr:uid="{00000000-0005-0000-0000-000032110000}"/>
    <cellStyle name="Normal 2 21" xfId="1337" xr:uid="{00000000-0005-0000-0000-000033110000}"/>
    <cellStyle name="Normal 2 21 2" xfId="5153" xr:uid="{00000000-0005-0000-0000-000034110000}"/>
    <cellStyle name="Normal 2 22" xfId="1338" xr:uid="{00000000-0005-0000-0000-000035110000}"/>
    <cellStyle name="Normal 2 22 2" xfId="5154" xr:uid="{00000000-0005-0000-0000-000036110000}"/>
    <cellStyle name="Normal 2 23" xfId="1339" xr:uid="{00000000-0005-0000-0000-000037110000}"/>
    <cellStyle name="Normal 2 23 2" xfId="5155" xr:uid="{00000000-0005-0000-0000-000038110000}"/>
    <cellStyle name="Normal 2 24" xfId="1340" xr:uid="{00000000-0005-0000-0000-000039110000}"/>
    <cellStyle name="Normal 2 24 2" xfId="5156" xr:uid="{00000000-0005-0000-0000-00003A110000}"/>
    <cellStyle name="Normal 2 25" xfId="1341" xr:uid="{00000000-0005-0000-0000-00003B110000}"/>
    <cellStyle name="Normal 2 25 2" xfId="5157" xr:uid="{00000000-0005-0000-0000-00003C110000}"/>
    <cellStyle name="Normal 2 26" xfId="1342" xr:uid="{00000000-0005-0000-0000-00003D110000}"/>
    <cellStyle name="Normal 2 26 2" xfId="5158" xr:uid="{00000000-0005-0000-0000-00003E110000}"/>
    <cellStyle name="Normal 2 27" xfId="1343" xr:uid="{00000000-0005-0000-0000-00003F110000}"/>
    <cellStyle name="Normal 2 27 2" xfId="5159" xr:uid="{00000000-0005-0000-0000-000040110000}"/>
    <cellStyle name="Normal 2 28" xfId="1344" xr:uid="{00000000-0005-0000-0000-000041110000}"/>
    <cellStyle name="Normal 2 28 2" xfId="5160" xr:uid="{00000000-0005-0000-0000-000042110000}"/>
    <cellStyle name="Normal 2 29" xfId="1345" xr:uid="{00000000-0005-0000-0000-000043110000}"/>
    <cellStyle name="Normal 2 29 2" xfId="5161" xr:uid="{00000000-0005-0000-0000-000044110000}"/>
    <cellStyle name="Normal 2 3" xfId="99" xr:uid="{00000000-0005-0000-0000-000045110000}"/>
    <cellStyle name="Normal 2 3 10" xfId="17847" xr:uid="{BAAA05E2-8D9A-4A90-AF59-EAB6120F0E31}"/>
    <cellStyle name="Normal 2 3 2" xfId="4135" xr:uid="{00000000-0005-0000-0000-000046110000}"/>
    <cellStyle name="Normal 2 3 2 10" xfId="18286" xr:uid="{2E09451C-A55D-4E99-B4C5-0DC2389E241A}"/>
    <cellStyle name="Normal 2 3 2 2" xfId="9947" xr:uid="{00000000-0005-0000-0000-000047110000}"/>
    <cellStyle name="Normal 2 3 2 2 2" xfId="10567" xr:uid="{00000000-0005-0000-0000-000048110000}"/>
    <cellStyle name="Normal 2 3 2 2 2 2" xfId="12302" xr:uid="{00000000-0005-0000-0000-000049110000}"/>
    <cellStyle name="Normal 2 3 2 2 2 2 2" xfId="14731" xr:uid="{707ECE2C-9381-4103-AD83-B95D381FEFDB}"/>
    <cellStyle name="Normal 2 3 2 2 2 2_1.2.b" xfId="16178" xr:uid="{084C310C-7169-4F3E-A76D-DF97A93BEE1A}"/>
    <cellStyle name="Normal 2 3 2 2 2 3" xfId="14247" xr:uid="{E3DE9BEB-A70F-48D2-B854-F4D1BA78287F}"/>
    <cellStyle name="Normal 2 3 2 2 2_1.2.b" xfId="16177" xr:uid="{F74C5B6F-D2BC-4D75-8DFC-A6A6F89BCDF3}"/>
    <cellStyle name="Normal 2 3 2 2 3" xfId="11683" xr:uid="{00000000-0005-0000-0000-00004A110000}"/>
    <cellStyle name="Normal 2 3 2 2 4" xfId="14246" xr:uid="{EC2E418C-D5BD-483E-9E79-08CA8CB76331}"/>
    <cellStyle name="Normal 2 3 2 2 5" xfId="17849" xr:uid="{C1FBDB4C-BEE5-4EDA-A40C-EE73CBD1D892}"/>
    <cellStyle name="Normal 2 3 2 2 6" xfId="18235" xr:uid="{D5FD0938-6310-452F-9D11-9D9772842063}"/>
    <cellStyle name="Normal 2 3 2 2 7" xfId="17798" xr:uid="{1CAE63C0-EE07-454E-B0F9-9E37A411BE28}"/>
    <cellStyle name="Normal 2 3 2 2 8" xfId="18282" xr:uid="{78A6D947-36C4-46F7-8263-18246CB96796}"/>
    <cellStyle name="Normal 2 3 2 2 9" xfId="18118" xr:uid="{4CA98BD2-56D0-409B-9D3C-1A5FE769EFA1}"/>
    <cellStyle name="Normal 2 3 2 2_1.2.b" xfId="16176" xr:uid="{A0BABB84-D32D-40FF-8F04-44776C0F9B7E}"/>
    <cellStyle name="Normal 2 3 2 3" xfId="10171" xr:uid="{00000000-0005-0000-0000-00004B110000}"/>
    <cellStyle name="Normal 2 3 2 3 2" xfId="11907" xr:uid="{00000000-0005-0000-0000-00004C110000}"/>
    <cellStyle name="Normal 2 3 2 3 2 2" xfId="14732" xr:uid="{230D9B80-0B9A-4E8F-A98E-1A70A9DE9990}"/>
    <cellStyle name="Normal 2 3 2 3 2_1.2.b" xfId="16180" xr:uid="{28904557-3702-4B10-8414-B72840FE832E}"/>
    <cellStyle name="Normal 2 3 2 3 3" xfId="14248" xr:uid="{80261EFD-35FD-43DF-9320-649B7E5E1E8D}"/>
    <cellStyle name="Normal 2 3 2 3_1.2.b" xfId="16179" xr:uid="{8CE3350B-BA5D-4503-B3E2-B8603E4E1C62}"/>
    <cellStyle name="Normal 2 3 2 4" xfId="10552" xr:uid="{00000000-0005-0000-0000-00004D110000}"/>
    <cellStyle name="Normal 2 3 2 4 2" xfId="12287" xr:uid="{00000000-0005-0000-0000-00004E110000}"/>
    <cellStyle name="Normal 2 3 2 4 3" xfId="14249" xr:uid="{4BFE38B9-58D7-4408-824F-AF7A3497EAD9}"/>
    <cellStyle name="Normal 2 3 2 4_1.2.b" xfId="16181" xr:uid="{F0A4F8F0-D0A7-4FF5-82A8-F3B3A559D74B}"/>
    <cellStyle name="Normal 2 3 2 5" xfId="14245" xr:uid="{B29BD19E-8CF8-44EC-8583-B051309D4A54}"/>
    <cellStyle name="Normal 2 3 2 6" xfId="17848" xr:uid="{F8A7C0C1-AA30-4FA8-9B9A-2CD1FACD7E6C}"/>
    <cellStyle name="Normal 2 3 2 7" xfId="18234" xr:uid="{256DBB55-AD4A-48C3-B210-6C94271964CF}"/>
    <cellStyle name="Normal 2 3 2 8" xfId="17797" xr:uid="{3AA9915D-7C52-46A9-A967-6ADD7D1200FD}"/>
    <cellStyle name="Normal 2 3 2 9" xfId="18232" xr:uid="{30DACAAE-A1D6-40D3-88E0-FFC772E44CAC}"/>
    <cellStyle name="Normal 2 3 2_1.2.b" xfId="16175" xr:uid="{A2B81BEC-A953-4769-BF50-91339D100C52}"/>
    <cellStyle name="Normal 2 3 3" xfId="4095" xr:uid="{00000000-0005-0000-0000-00004F110000}"/>
    <cellStyle name="Normal 2 3 3 2" xfId="10188" xr:uid="{00000000-0005-0000-0000-000050110000}"/>
    <cellStyle name="Normal 2 3 3 2 2" xfId="11924" xr:uid="{00000000-0005-0000-0000-000051110000}"/>
    <cellStyle name="Normal 2 3 3 3" xfId="10560" xr:uid="{00000000-0005-0000-0000-000052110000}"/>
    <cellStyle name="Normal 2 3 3 3 2" xfId="12295" xr:uid="{00000000-0005-0000-0000-000053110000}"/>
    <cellStyle name="Normal 2 3 3 4" xfId="14250" xr:uid="{D11C3613-F1F4-4274-9C20-E1C06F5997EC}"/>
    <cellStyle name="Normal 2 3 3 5" xfId="17850" xr:uid="{D7EFF403-7B5C-4D35-83B6-538A22ABE4E1}"/>
    <cellStyle name="Normal 2 3 3_1.2.b" xfId="16182" xr:uid="{9810B75F-D919-47E6-AC45-DF9DF15802D8}"/>
    <cellStyle name="Normal 2 3 4" xfId="4061" xr:uid="{00000000-0005-0000-0000-000054110000}"/>
    <cellStyle name="Normal 2 3 4 2" xfId="14251" xr:uid="{33E675AC-84ED-4D9A-8440-46C9945771C5}"/>
    <cellStyle name="Normal 2 3 4 3" xfId="17851" xr:uid="{06612ED4-6634-498F-897F-5BE3F2B99042}"/>
    <cellStyle name="Normal 2 3 4_1.2.b" xfId="16183" xr:uid="{1D951378-F7B5-4F7E-9F77-267C7D099933}"/>
    <cellStyle name="Normal 2 3 5" xfId="1346" xr:uid="{00000000-0005-0000-0000-000055110000}"/>
    <cellStyle name="Normal 2 3 5 2" xfId="14730" xr:uid="{8C45CF3A-6B01-405F-AF84-73BFB7D55AFD}"/>
    <cellStyle name="Normal 2 3 5 3" xfId="14252" xr:uid="{2564C7A3-179C-4527-99EF-C4F4251D721D}"/>
    <cellStyle name="Normal 2 3 5_1.2.b" xfId="16184" xr:uid="{86A6B476-531A-4823-B898-C5624D65D096}"/>
    <cellStyle name="Normal 2 3 6" xfId="9950" xr:uid="{00000000-0005-0000-0000-000056110000}"/>
    <cellStyle name="Normal 2 3 6 2" xfId="11686" xr:uid="{00000000-0005-0000-0000-000057110000}"/>
    <cellStyle name="Normal 2 3 7" xfId="10548" xr:uid="{00000000-0005-0000-0000-000058110000}"/>
    <cellStyle name="Normal 2 3 7 2" xfId="12283" xr:uid="{00000000-0005-0000-0000-000059110000}"/>
    <cellStyle name="Normal 2 3 8" xfId="10653" xr:uid="{00000000-0005-0000-0000-00005A110000}"/>
    <cellStyle name="Normal 2 3 9" xfId="14244" xr:uid="{002C7316-5624-4A57-A076-24652D11085B}"/>
    <cellStyle name="Normal 2 3_1.2.b" xfId="16174" xr:uid="{31006F3E-36C7-41FA-A046-99C1D234E625}"/>
    <cellStyle name="Normal 2 30" xfId="1347" xr:uid="{00000000-0005-0000-0000-00005B110000}"/>
    <cellStyle name="Normal 2 30 2" xfId="7721" xr:uid="{00000000-0005-0000-0000-00005C110000}"/>
    <cellStyle name="Normal 2 31" xfId="1348" xr:uid="{00000000-0005-0000-0000-00005D110000}"/>
    <cellStyle name="Normal 2 31 2" xfId="7722" xr:uid="{00000000-0005-0000-0000-00005E110000}"/>
    <cellStyle name="Normal 2 32" xfId="1349" xr:uid="{00000000-0005-0000-0000-00005F110000}"/>
    <cellStyle name="Normal 2 32 2" xfId="7723" xr:uid="{00000000-0005-0000-0000-000060110000}"/>
    <cellStyle name="Normal 2 33" xfId="1350" xr:uid="{00000000-0005-0000-0000-000061110000}"/>
    <cellStyle name="Normal 2 33 2" xfId="7724" xr:uid="{00000000-0005-0000-0000-000062110000}"/>
    <cellStyle name="Normal 2 34" xfId="130" xr:uid="{00000000-0005-0000-0000-000063110000}"/>
    <cellStyle name="Normal 2 34 2" xfId="7725" xr:uid="{00000000-0005-0000-0000-000064110000}"/>
    <cellStyle name="Normal 2 34 3" xfId="1351" xr:uid="{00000000-0005-0000-0000-000065110000}"/>
    <cellStyle name="Normal 2 35" xfId="1352" xr:uid="{00000000-0005-0000-0000-000066110000}"/>
    <cellStyle name="Normal 2 35 2" xfId="7726" xr:uid="{00000000-0005-0000-0000-000067110000}"/>
    <cellStyle name="Normal 2 36" xfId="1353" xr:uid="{00000000-0005-0000-0000-000068110000}"/>
    <cellStyle name="Normal 2 36 2" xfId="7727" xr:uid="{00000000-0005-0000-0000-000069110000}"/>
    <cellStyle name="Normal 2 37" xfId="1354" xr:uid="{00000000-0005-0000-0000-00006A110000}"/>
    <cellStyle name="Normal 2 37 2" xfId="7728" xr:uid="{00000000-0005-0000-0000-00006B110000}"/>
    <cellStyle name="Normal 2 38" xfId="1355" xr:uid="{00000000-0005-0000-0000-00006C110000}"/>
    <cellStyle name="Normal 2 38 2" xfId="7729" xr:uid="{00000000-0005-0000-0000-00006D110000}"/>
    <cellStyle name="Normal 2 39" xfId="1356" xr:uid="{00000000-0005-0000-0000-00006E110000}"/>
    <cellStyle name="Normal 2 39 2" xfId="7730" xr:uid="{00000000-0005-0000-0000-00006F110000}"/>
    <cellStyle name="Normal 2 4" xfId="100" xr:uid="{00000000-0005-0000-0000-000070110000}"/>
    <cellStyle name="Normal 2 4 10" xfId="17852" xr:uid="{59BE070C-88E1-407F-B9E6-4F932E879CD1}"/>
    <cellStyle name="Normal 2 4 2" xfId="4139" xr:uid="{00000000-0005-0000-0000-000071110000}"/>
    <cellStyle name="Normal 2 4 2 10" xfId="17792" xr:uid="{B3038DC9-4A82-477F-A428-C3CF768D8F4B}"/>
    <cellStyle name="Normal 2 4 2 2" xfId="10243" xr:uid="{00000000-0005-0000-0000-000072110000}"/>
    <cellStyle name="Normal 2 4 2 2 2" xfId="11978" xr:uid="{00000000-0005-0000-0000-000073110000}"/>
    <cellStyle name="Normal 2 4 2 2 2 2" xfId="14733" xr:uid="{60FE4019-FFA6-403D-800A-F877C1EE0955}"/>
    <cellStyle name="Normal 2 4 2 2 2_1.2.b" xfId="16188" xr:uid="{60713310-1CF2-4866-A6A4-B16C9E6D8B0C}"/>
    <cellStyle name="Normal 2 4 2 2 3" xfId="14255" xr:uid="{4CE24A92-7C7E-4852-8627-26C0C9771C6C}"/>
    <cellStyle name="Normal 2 4 2 2_1.2.b" xfId="16187" xr:uid="{3B691733-1781-4A80-B031-DFB01334A63D}"/>
    <cellStyle name="Normal 2 4 2 3" xfId="10561" xr:uid="{00000000-0005-0000-0000-000074110000}"/>
    <cellStyle name="Normal 2 4 2 3 2" xfId="12296" xr:uid="{00000000-0005-0000-0000-000075110000}"/>
    <cellStyle name="Normal 2 4 2 3 2 2" xfId="14734" xr:uid="{0A2B2070-22A9-4D5B-9B4C-14FA7FFB6215}"/>
    <cellStyle name="Normal 2 4 2 3 2_1.2.b" xfId="16190" xr:uid="{51BC4D31-50F6-4413-BC3F-E1612B38BA68}"/>
    <cellStyle name="Normal 2 4 2 3 3" xfId="14256" xr:uid="{25B047F9-5C5D-4F35-8BBF-63EF16480C7D}"/>
    <cellStyle name="Normal 2 4 2 3_1.2.b" xfId="16189" xr:uid="{29FBB369-EE8E-45B9-AAED-052617B62AD1}"/>
    <cellStyle name="Normal 2 4 2 4" xfId="14257" xr:uid="{9615BFF8-AC21-4AED-9F7B-2420B1A6A5BA}"/>
    <cellStyle name="Normal 2 4 2 5" xfId="14254" xr:uid="{F42A26B6-8C02-4998-A109-CFA9589131C8}"/>
    <cellStyle name="Normal 2 4 2 6" xfId="17853" xr:uid="{7759B70B-D7A0-4B31-A07B-A9E4F5CDB1C8}"/>
    <cellStyle name="Normal 2 4 2 7" xfId="18238" xr:uid="{022DE480-8F2E-40AF-AA1B-EE5C7DA382AA}"/>
    <cellStyle name="Normal 2 4 2 8" xfId="17800" xr:uid="{D8235A0B-D4CF-46F0-802F-F650ABEB1976}"/>
    <cellStyle name="Normal 2 4 2 9" xfId="18236" xr:uid="{A3DD65CF-DF9C-4BD3-94D5-3733C4572A76}"/>
    <cellStyle name="Normal 2 4 2_1.2.b" xfId="16186" xr:uid="{7143CC57-7025-4F12-94B5-177D1F94C325}"/>
    <cellStyle name="Normal 2 4 3" xfId="4099" xr:uid="{00000000-0005-0000-0000-000076110000}"/>
    <cellStyle name="Normal 2 4 3 2" xfId="14258" xr:uid="{B68BEC32-BC37-499C-94BD-2ABFB46B49D4}"/>
    <cellStyle name="Normal 2 4 3_1.2.b" xfId="16191" xr:uid="{0B07AFE8-6D6F-4293-9128-BFF94E9CCEFC}"/>
    <cellStyle name="Normal 2 4 4" xfId="4066" xr:uid="{00000000-0005-0000-0000-000077110000}"/>
    <cellStyle name="Normal 2 4 5" xfId="1357" xr:uid="{00000000-0005-0000-0000-000078110000}"/>
    <cellStyle name="Normal 2 4 6" xfId="10244" xr:uid="{00000000-0005-0000-0000-000079110000}"/>
    <cellStyle name="Normal 2 4 6 2" xfId="11979" xr:uid="{00000000-0005-0000-0000-00007A110000}"/>
    <cellStyle name="Normal 2 4 7" xfId="10546" xr:uid="{00000000-0005-0000-0000-00007B110000}"/>
    <cellStyle name="Normal 2 4 7 2" xfId="12281" xr:uid="{00000000-0005-0000-0000-00007C110000}"/>
    <cellStyle name="Normal 2 4 8" xfId="10654" xr:uid="{00000000-0005-0000-0000-00007D110000}"/>
    <cellStyle name="Normal 2 4 9" xfId="14253" xr:uid="{6D1A331A-CF79-4F00-BCB0-C2EFC1C7E0D2}"/>
    <cellStyle name="Normal 2 4_1.2.b" xfId="16185" xr:uid="{45322F53-2559-46C1-953C-49D0AEF15E23}"/>
    <cellStyle name="Normal 2 40" xfId="1358" xr:uid="{00000000-0005-0000-0000-00007E110000}"/>
    <cellStyle name="Normal 2 40 2" xfId="7731" xr:uid="{00000000-0005-0000-0000-00007F110000}"/>
    <cellStyle name="Normal 2 41" xfId="1359" xr:uid="{00000000-0005-0000-0000-000080110000}"/>
    <cellStyle name="Normal 2 41 2" xfId="7732" xr:uid="{00000000-0005-0000-0000-000081110000}"/>
    <cellStyle name="Normal 2 42" xfId="1360" xr:uid="{00000000-0005-0000-0000-000082110000}"/>
    <cellStyle name="Normal 2 42 2" xfId="7733" xr:uid="{00000000-0005-0000-0000-000083110000}"/>
    <cellStyle name="Normal 2 43" xfId="1361" xr:uid="{00000000-0005-0000-0000-000084110000}"/>
    <cellStyle name="Normal 2 43 2" xfId="7734" xr:uid="{00000000-0005-0000-0000-000085110000}"/>
    <cellStyle name="Normal 2 44" xfId="1362" xr:uid="{00000000-0005-0000-0000-000086110000}"/>
    <cellStyle name="Normal 2 44 2" xfId="7735" xr:uid="{00000000-0005-0000-0000-000087110000}"/>
    <cellStyle name="Normal 2 45" xfId="1363" xr:uid="{00000000-0005-0000-0000-000088110000}"/>
    <cellStyle name="Normal 2 45 2" xfId="7736" xr:uid="{00000000-0005-0000-0000-000089110000}"/>
    <cellStyle name="Normal 2 46" xfId="1364" xr:uid="{00000000-0005-0000-0000-00008A110000}"/>
    <cellStyle name="Normal 2 46 2" xfId="7737" xr:uid="{00000000-0005-0000-0000-00008B110000}"/>
    <cellStyle name="Normal 2 47" xfId="1365" xr:uid="{00000000-0005-0000-0000-00008C110000}"/>
    <cellStyle name="Normal 2 47 2" xfId="7738" xr:uid="{00000000-0005-0000-0000-00008D110000}"/>
    <cellStyle name="Normal 2 48" xfId="1366" xr:uid="{00000000-0005-0000-0000-00008E110000}"/>
    <cellStyle name="Normal 2 48 2" xfId="7739" xr:uid="{00000000-0005-0000-0000-00008F110000}"/>
    <cellStyle name="Normal 2 49" xfId="1367" xr:uid="{00000000-0005-0000-0000-000090110000}"/>
    <cellStyle name="Normal 2 49 2" xfId="7740" xr:uid="{00000000-0005-0000-0000-000091110000}"/>
    <cellStyle name="Normal 2 5" xfId="133" xr:uid="{00000000-0005-0000-0000-000092110000}"/>
    <cellStyle name="Normal 2 5 10" xfId="18239" xr:uid="{8821CFB0-7C99-4B76-95BC-D2C76F5EBFDA}"/>
    <cellStyle name="Normal 2 5 2" xfId="4147" xr:uid="{00000000-0005-0000-0000-000093110000}"/>
    <cellStyle name="Normal 2 5 2 2" xfId="10173" xr:uid="{00000000-0005-0000-0000-000094110000}"/>
    <cellStyle name="Normal 2 5 2 2 2" xfId="11909" xr:uid="{00000000-0005-0000-0000-000095110000}"/>
    <cellStyle name="Normal 2 5 2 2 2 2" xfId="14735" xr:uid="{FDF05A03-2AD6-438B-A8B5-CB0890DB057F}"/>
    <cellStyle name="Normal 2 5 2 2 2_1.2.b" xfId="16195" xr:uid="{40B6ACBC-F354-4107-9121-CDAFC361BBB8}"/>
    <cellStyle name="Normal 2 5 2 2 3" xfId="14261" xr:uid="{422469BE-59B6-48DA-A489-B78827CFDA66}"/>
    <cellStyle name="Normal 2 5 2 2_1.2.b" xfId="16194" xr:uid="{AE55230A-8056-4A97-94BD-C843C4FFCAC8}"/>
    <cellStyle name="Normal 2 5 2 3" xfId="10566" xr:uid="{00000000-0005-0000-0000-000096110000}"/>
    <cellStyle name="Normal 2 5 2 3 2" xfId="12301" xr:uid="{00000000-0005-0000-0000-000097110000}"/>
    <cellStyle name="Normal 2 5 2 4" xfId="14260" xr:uid="{0ADC3221-A0B4-4449-B3A1-157554B95135}"/>
    <cellStyle name="Normal 2 5 2 5" xfId="17856" xr:uid="{8F58D04D-8239-429B-BAD5-FE4BB6FB5111}"/>
    <cellStyle name="Normal 2 5 2 6" xfId="18240" xr:uid="{3B99A5C2-C305-4766-A674-9B8B98A393D3}"/>
    <cellStyle name="Normal 2 5 2 7" xfId="17801" xr:uid="{766F5479-4EE5-4638-BC14-9BB343DA3959}"/>
    <cellStyle name="Normal 2 5 2 8" xfId="18237" xr:uid="{438CFBC8-99A6-40A0-AF4F-113886193305}"/>
    <cellStyle name="Normal 2 5 2 9" xfId="18119" xr:uid="{6C53B822-5428-45A4-B179-C1E45CBD1BEC}"/>
    <cellStyle name="Normal 2 5 2_1.2.b" xfId="16193" xr:uid="{8F43079F-8DB3-4A9B-A3FB-EB3129EB30FA}"/>
    <cellStyle name="Normal 2 5 3" xfId="4107" xr:uid="{00000000-0005-0000-0000-000098110000}"/>
    <cellStyle name="Normal 2 5 3 2" xfId="14736" xr:uid="{82EAEAC1-B77B-420A-AC6A-D881556584E2}"/>
    <cellStyle name="Normal 2 5 4" xfId="4074" xr:uid="{00000000-0005-0000-0000-000099110000}"/>
    <cellStyle name="Normal 2 5 5" xfId="1368" xr:uid="{00000000-0005-0000-0000-00009A110000}"/>
    <cellStyle name="Normal 2 5 6" xfId="10245" xr:uid="{00000000-0005-0000-0000-00009B110000}"/>
    <cellStyle name="Normal 2 5 6 2" xfId="11980" xr:uid="{00000000-0005-0000-0000-00009C110000}"/>
    <cellStyle name="Normal 2 5 7" xfId="10553" xr:uid="{00000000-0005-0000-0000-00009D110000}"/>
    <cellStyle name="Normal 2 5 7 2" xfId="12288" xr:uid="{00000000-0005-0000-0000-00009E110000}"/>
    <cellStyle name="Normal 2 5 8" xfId="14259" xr:uid="{91DA5F8C-F81D-402B-8EC7-B231196F457D}"/>
    <cellStyle name="Normal 2 5 9" xfId="17855" xr:uid="{A43C50B6-86B4-4729-A60E-FCB604BC0B08}"/>
    <cellStyle name="Normal 2 5_1.2.b" xfId="16192" xr:uid="{1922E45D-1B2C-47E2-A203-F549411D9F0E}"/>
    <cellStyle name="Normal 2 50" xfId="1369" xr:uid="{00000000-0005-0000-0000-00009F110000}"/>
    <cellStyle name="Normal 2 50 2" xfId="7741" xr:uid="{00000000-0005-0000-0000-0000A0110000}"/>
    <cellStyle name="Normal 2 51" xfId="1370" xr:uid="{00000000-0005-0000-0000-0000A1110000}"/>
    <cellStyle name="Normal 2 51 2" xfId="7742" xr:uid="{00000000-0005-0000-0000-0000A2110000}"/>
    <cellStyle name="Normal 2 52" xfId="1371" xr:uid="{00000000-0005-0000-0000-0000A3110000}"/>
    <cellStyle name="Normal 2 52 2" xfId="7743" xr:uid="{00000000-0005-0000-0000-0000A4110000}"/>
    <cellStyle name="Normal 2 53" xfId="1372" xr:uid="{00000000-0005-0000-0000-0000A5110000}"/>
    <cellStyle name="Normal 2 53 2" xfId="7744" xr:uid="{00000000-0005-0000-0000-0000A6110000}"/>
    <cellStyle name="Normal 2 54" xfId="1373" xr:uid="{00000000-0005-0000-0000-0000A7110000}"/>
    <cellStyle name="Normal 2 54 2" xfId="7745" xr:uid="{00000000-0005-0000-0000-0000A8110000}"/>
    <cellStyle name="Normal 2 55" xfId="1374" xr:uid="{00000000-0005-0000-0000-0000A9110000}"/>
    <cellStyle name="Normal 2 55 2" xfId="7746" xr:uid="{00000000-0005-0000-0000-0000AA110000}"/>
    <cellStyle name="Normal 2 56" xfId="1375" xr:uid="{00000000-0005-0000-0000-0000AB110000}"/>
    <cellStyle name="Normal 2 56 2" xfId="7747" xr:uid="{00000000-0005-0000-0000-0000AC110000}"/>
    <cellStyle name="Normal 2 57" xfId="1376" xr:uid="{00000000-0005-0000-0000-0000AD110000}"/>
    <cellStyle name="Normal 2 57 2" xfId="7748" xr:uid="{00000000-0005-0000-0000-0000AE110000}"/>
    <cellStyle name="Normal 2 58" xfId="1377" xr:uid="{00000000-0005-0000-0000-0000AF110000}"/>
    <cellStyle name="Normal 2 58 2" xfId="7749" xr:uid="{00000000-0005-0000-0000-0000B0110000}"/>
    <cellStyle name="Normal 2 59" xfId="1378" xr:uid="{00000000-0005-0000-0000-0000B1110000}"/>
    <cellStyle name="Normal 2 59 2" xfId="7750" xr:uid="{00000000-0005-0000-0000-0000B2110000}"/>
    <cellStyle name="Normal 2 6" xfId="1379" xr:uid="{00000000-0005-0000-0000-0000B3110000}"/>
    <cellStyle name="Normal 2 6 2" xfId="4149" xr:uid="{00000000-0005-0000-0000-0000B4110000}"/>
    <cellStyle name="Normal 2 6 3" xfId="4109" xr:uid="{00000000-0005-0000-0000-0000B5110000}"/>
    <cellStyle name="Normal 2 6 3 2" xfId="14262" xr:uid="{CE053D3B-B997-42D7-AD1B-D3227719E009}"/>
    <cellStyle name="Normal 2 6 3 3" xfId="17857" xr:uid="{9D642D90-CF9A-47AD-A0AA-BB9B937F8355}"/>
    <cellStyle name="Normal 2 6 3_1.2.b" xfId="16197" xr:uid="{1C5C2911-3D07-4DC4-BA7F-AD15F1E08F14}"/>
    <cellStyle name="Normal 2 6 4" xfId="4076" xr:uid="{00000000-0005-0000-0000-0000B6110000}"/>
    <cellStyle name="Normal 2 6_1.2.b" xfId="16196" xr:uid="{444DD76A-94D4-4392-A2C1-4537C9D8A709}"/>
    <cellStyle name="Normal 2 60" xfId="1380" xr:uid="{00000000-0005-0000-0000-0000B7110000}"/>
    <cellStyle name="Normal 2 60 2" xfId="7751" xr:uid="{00000000-0005-0000-0000-0000B8110000}"/>
    <cellStyle name="Normal 2 61" xfId="1381" xr:uid="{00000000-0005-0000-0000-0000B9110000}"/>
    <cellStyle name="Normal 2 61 2" xfId="7752" xr:uid="{00000000-0005-0000-0000-0000BA110000}"/>
    <cellStyle name="Normal 2 62" xfId="1382" xr:uid="{00000000-0005-0000-0000-0000BB110000}"/>
    <cellStyle name="Normal 2 62 2" xfId="7753" xr:uid="{00000000-0005-0000-0000-0000BC110000}"/>
    <cellStyle name="Normal 2 63" xfId="1383" xr:uid="{00000000-0005-0000-0000-0000BD110000}"/>
    <cellStyle name="Normal 2 63 2" xfId="7754" xr:uid="{00000000-0005-0000-0000-0000BE110000}"/>
    <cellStyle name="Normal 2 64" xfId="1384" xr:uid="{00000000-0005-0000-0000-0000BF110000}"/>
    <cellStyle name="Normal 2 64 2" xfId="7755" xr:uid="{00000000-0005-0000-0000-0000C0110000}"/>
    <cellStyle name="Normal 2 65" xfId="1385" xr:uid="{00000000-0005-0000-0000-0000C1110000}"/>
    <cellStyle name="Normal 2 65 2" xfId="7756" xr:uid="{00000000-0005-0000-0000-0000C2110000}"/>
    <cellStyle name="Normal 2 66" xfId="1386" xr:uid="{00000000-0005-0000-0000-0000C3110000}"/>
    <cellStyle name="Normal 2 66 2" xfId="7757" xr:uid="{00000000-0005-0000-0000-0000C4110000}"/>
    <cellStyle name="Normal 2 67" xfId="1387" xr:uid="{00000000-0005-0000-0000-0000C5110000}"/>
    <cellStyle name="Normal 2 67 2" xfId="7758" xr:uid="{00000000-0005-0000-0000-0000C6110000}"/>
    <cellStyle name="Normal 2 68" xfId="1388" xr:uid="{00000000-0005-0000-0000-0000C7110000}"/>
    <cellStyle name="Normal 2 68 2" xfId="7759" xr:uid="{00000000-0005-0000-0000-0000C8110000}"/>
    <cellStyle name="Normal 2 69" xfId="1389" xr:uid="{00000000-0005-0000-0000-0000C9110000}"/>
    <cellStyle name="Normal 2 69 2" xfId="7760" xr:uid="{00000000-0005-0000-0000-0000CA110000}"/>
    <cellStyle name="Normal 2 7" xfId="1390" xr:uid="{00000000-0005-0000-0000-0000CB110000}"/>
    <cellStyle name="Normal 2 7 2" xfId="4145" xr:uid="{00000000-0005-0000-0000-0000CC110000}"/>
    <cellStyle name="Normal 2 7 3" xfId="4105" xr:uid="{00000000-0005-0000-0000-0000CD110000}"/>
    <cellStyle name="Normal 2 7 4" xfId="4072" xr:uid="{00000000-0005-0000-0000-0000CE110000}"/>
    <cellStyle name="Normal 2 7_1.2.b" xfId="16198" xr:uid="{3286677D-CC5B-4577-B6C4-EF6B82BE926F}"/>
    <cellStyle name="Normal 2 70" xfId="1391" xr:uid="{00000000-0005-0000-0000-0000CF110000}"/>
    <cellStyle name="Normal 2 70 2" xfId="7761" xr:uid="{00000000-0005-0000-0000-0000D0110000}"/>
    <cellStyle name="Normal 2 71" xfId="1392" xr:uid="{00000000-0005-0000-0000-0000D1110000}"/>
    <cellStyle name="Normal 2 71 2" xfId="7762" xr:uid="{00000000-0005-0000-0000-0000D2110000}"/>
    <cellStyle name="Normal 2 72" xfId="1393" xr:uid="{00000000-0005-0000-0000-0000D3110000}"/>
    <cellStyle name="Normal 2 72 2" xfId="7763" xr:uid="{00000000-0005-0000-0000-0000D4110000}"/>
    <cellStyle name="Normal 2 73" xfId="1394" xr:uid="{00000000-0005-0000-0000-0000D5110000}"/>
    <cellStyle name="Normal 2 73 2" xfId="7764" xr:uid="{00000000-0005-0000-0000-0000D6110000}"/>
    <cellStyle name="Normal 2 74" xfId="1395" xr:uid="{00000000-0005-0000-0000-0000D7110000}"/>
    <cellStyle name="Normal 2 74 2" xfId="7765" xr:uid="{00000000-0005-0000-0000-0000D8110000}"/>
    <cellStyle name="Normal 2 75" xfId="1396" xr:uid="{00000000-0005-0000-0000-0000D9110000}"/>
    <cellStyle name="Normal 2 75 2" xfId="7766" xr:uid="{00000000-0005-0000-0000-0000DA110000}"/>
    <cellStyle name="Normal 2 76" xfId="1397" xr:uid="{00000000-0005-0000-0000-0000DB110000}"/>
    <cellStyle name="Normal 2 76 2" xfId="7767" xr:uid="{00000000-0005-0000-0000-0000DC110000}"/>
    <cellStyle name="Normal 2 77" xfId="1398" xr:uid="{00000000-0005-0000-0000-0000DD110000}"/>
    <cellStyle name="Normal 2 77 2" xfId="7768" xr:uid="{00000000-0005-0000-0000-0000DE110000}"/>
    <cellStyle name="Normal 2 78" xfId="1399" xr:uid="{00000000-0005-0000-0000-0000DF110000}"/>
    <cellStyle name="Normal 2 78 2" xfId="7769" xr:uid="{00000000-0005-0000-0000-0000E0110000}"/>
    <cellStyle name="Normal 2 79" xfId="1400" xr:uid="{00000000-0005-0000-0000-0000E1110000}"/>
    <cellStyle name="Normal 2 79 2" xfId="7770" xr:uid="{00000000-0005-0000-0000-0000E2110000}"/>
    <cellStyle name="Normal 2 8" xfId="1401" xr:uid="{00000000-0005-0000-0000-0000E3110000}"/>
    <cellStyle name="Normal 2 8 2" xfId="4153" xr:uid="{00000000-0005-0000-0000-0000E4110000}"/>
    <cellStyle name="Normal 2 8 3" xfId="4113" xr:uid="{00000000-0005-0000-0000-0000E5110000}"/>
    <cellStyle name="Normal 2 8 4" xfId="4080" xr:uid="{00000000-0005-0000-0000-0000E6110000}"/>
    <cellStyle name="Normal 2 8_1.2.b" xfId="16199" xr:uid="{BFF19786-0412-4969-919B-03234C4707F6}"/>
    <cellStyle name="Normal 2 80" xfId="1402" xr:uid="{00000000-0005-0000-0000-0000E7110000}"/>
    <cellStyle name="Normal 2 80 2" xfId="7771" xr:uid="{00000000-0005-0000-0000-0000E8110000}"/>
    <cellStyle name="Normal 2 81" xfId="1403" xr:uid="{00000000-0005-0000-0000-0000E9110000}"/>
    <cellStyle name="Normal 2 81 2" xfId="7772" xr:uid="{00000000-0005-0000-0000-0000EA110000}"/>
    <cellStyle name="Normal 2 82" xfId="1404" xr:uid="{00000000-0005-0000-0000-0000EB110000}"/>
    <cellStyle name="Normal 2 82 2" xfId="7773" xr:uid="{00000000-0005-0000-0000-0000EC110000}"/>
    <cellStyle name="Normal 2 83" xfId="1405" xr:uid="{00000000-0005-0000-0000-0000ED110000}"/>
    <cellStyle name="Normal 2 83 2" xfId="7774" xr:uid="{00000000-0005-0000-0000-0000EE110000}"/>
    <cellStyle name="Normal 2 84" xfId="1406" xr:uid="{00000000-0005-0000-0000-0000EF110000}"/>
    <cellStyle name="Normal 2 84 2" xfId="7775" xr:uid="{00000000-0005-0000-0000-0000F0110000}"/>
    <cellStyle name="Normal 2 85" xfId="1407" xr:uid="{00000000-0005-0000-0000-0000F1110000}"/>
    <cellStyle name="Normal 2 85 2" xfId="7776" xr:uid="{00000000-0005-0000-0000-0000F2110000}"/>
    <cellStyle name="Normal 2 86" xfId="1408" xr:uid="{00000000-0005-0000-0000-0000F3110000}"/>
    <cellStyle name="Normal 2 86 2" xfId="7777" xr:uid="{00000000-0005-0000-0000-0000F4110000}"/>
    <cellStyle name="Normal 2 87" xfId="1409" xr:uid="{00000000-0005-0000-0000-0000F5110000}"/>
    <cellStyle name="Normal 2 87 2" xfId="7778" xr:uid="{00000000-0005-0000-0000-0000F6110000}"/>
    <cellStyle name="Normal 2 88" xfId="1410" xr:uid="{00000000-0005-0000-0000-0000F7110000}"/>
    <cellStyle name="Normal 2 88 2" xfId="7779" xr:uid="{00000000-0005-0000-0000-0000F8110000}"/>
    <cellStyle name="Normal 2 89" xfId="1411" xr:uid="{00000000-0005-0000-0000-0000F9110000}"/>
    <cellStyle name="Normal 2 89 2" xfId="7780" xr:uid="{00000000-0005-0000-0000-0000FA110000}"/>
    <cellStyle name="Normal 2 9" xfId="1412" xr:uid="{00000000-0005-0000-0000-0000FB110000}"/>
    <cellStyle name="Normal 2 9 2" xfId="4155" xr:uid="{00000000-0005-0000-0000-0000FC110000}"/>
    <cellStyle name="Normal 2 9 3" xfId="4115" xr:uid="{00000000-0005-0000-0000-0000FD110000}"/>
    <cellStyle name="Normal 2 9 4" xfId="4082" xr:uid="{00000000-0005-0000-0000-0000FE110000}"/>
    <cellStyle name="Normal 2 9 5" xfId="14263" xr:uid="{DE225BB6-37EA-4DAA-9260-977CCA466EB0}"/>
    <cellStyle name="Normal 2 9 6" xfId="17858" xr:uid="{143E0069-5FDE-42EF-BA86-37A070998E2D}"/>
    <cellStyle name="Normal 2 9_1.2.b" xfId="16200" xr:uid="{DE9C9326-159A-43B4-AE7D-5D535E383FE6}"/>
    <cellStyle name="Normal 2 90" xfId="1413" xr:uid="{00000000-0005-0000-0000-0000FF110000}"/>
    <cellStyle name="Normal 2 90 2" xfId="7781" xr:uid="{00000000-0005-0000-0000-000000120000}"/>
    <cellStyle name="Normal 2 91" xfId="1414" xr:uid="{00000000-0005-0000-0000-000001120000}"/>
    <cellStyle name="Normal 2 91 2" xfId="7782" xr:uid="{00000000-0005-0000-0000-000002120000}"/>
    <cellStyle name="Normal 2 92" xfId="1415" xr:uid="{00000000-0005-0000-0000-000003120000}"/>
    <cellStyle name="Normal 2 92 2" xfId="7783" xr:uid="{00000000-0005-0000-0000-000004120000}"/>
    <cellStyle name="Normal 2 93" xfId="1416" xr:uid="{00000000-0005-0000-0000-000005120000}"/>
    <cellStyle name="Normal 2 93 2" xfId="7784" xr:uid="{00000000-0005-0000-0000-000006120000}"/>
    <cellStyle name="Normal 2 94" xfId="1417" xr:uid="{00000000-0005-0000-0000-000007120000}"/>
    <cellStyle name="Normal 2 94 2" xfId="7785" xr:uid="{00000000-0005-0000-0000-000008120000}"/>
    <cellStyle name="Normal 2 95" xfId="1418" xr:uid="{00000000-0005-0000-0000-000009120000}"/>
    <cellStyle name="Normal 2 95 2" xfId="7786" xr:uid="{00000000-0005-0000-0000-00000A120000}"/>
    <cellStyle name="Normal 2 96" xfId="1419" xr:uid="{00000000-0005-0000-0000-00000B120000}"/>
    <cellStyle name="Normal 2 96 2" xfId="7787" xr:uid="{00000000-0005-0000-0000-00000C120000}"/>
    <cellStyle name="Normal 2 97" xfId="1420" xr:uid="{00000000-0005-0000-0000-00000D120000}"/>
    <cellStyle name="Normal 2 97 2" xfId="7788" xr:uid="{00000000-0005-0000-0000-00000E120000}"/>
    <cellStyle name="Normal 2 98" xfId="1421" xr:uid="{00000000-0005-0000-0000-00000F120000}"/>
    <cellStyle name="Normal 2 98 2" xfId="7789" xr:uid="{00000000-0005-0000-0000-000010120000}"/>
    <cellStyle name="Normal 2 99" xfId="1422" xr:uid="{00000000-0005-0000-0000-000011120000}"/>
    <cellStyle name="Normal 2 99 2" xfId="7790" xr:uid="{00000000-0005-0000-0000-000012120000}"/>
    <cellStyle name="Normal 2_1.2.b" xfId="16161" xr:uid="{DD0722D8-2CEF-4C8B-AEDC-C6756ABE7642}"/>
    <cellStyle name="Normal 20" xfId="4289" xr:uid="{00000000-0005-0000-0000-000013120000}"/>
    <cellStyle name="Normal 20 2" xfId="9715" xr:uid="{00000000-0005-0000-0000-000014120000}"/>
    <cellStyle name="Normal 20 2 2" xfId="10415" xr:uid="{00000000-0005-0000-0000-000015120000}"/>
    <cellStyle name="Normal 20 2 2 2" xfId="12150" xr:uid="{00000000-0005-0000-0000-000016120000}"/>
    <cellStyle name="Normal 20 2 3" xfId="11503" xr:uid="{00000000-0005-0000-0000-000017120000}"/>
    <cellStyle name="Normal 20 2 4" xfId="14265" xr:uid="{FE1BAA82-8352-41A8-961B-6384CE258D2E}"/>
    <cellStyle name="Normal 20 2 5" xfId="17860" xr:uid="{6B2ED5FF-8C10-44A1-8C40-7BE03CE2C07B}"/>
    <cellStyle name="Normal 20 2_1.2.b" xfId="16202" xr:uid="{A2BB2A71-2049-4286-B4D7-8CB732779DC9}"/>
    <cellStyle name="Normal 20 3" xfId="10118" xr:uid="{00000000-0005-0000-0000-000018120000}"/>
    <cellStyle name="Normal 20 3 2" xfId="11854" xr:uid="{00000000-0005-0000-0000-000019120000}"/>
    <cellStyle name="Normal 20 4" xfId="11098" xr:uid="{00000000-0005-0000-0000-00001A120000}"/>
    <cellStyle name="Normal 20 5" xfId="14264" xr:uid="{10540AA7-8E18-45D2-8F65-F70F337D8C7D}"/>
    <cellStyle name="Normal 20 6" xfId="17859" xr:uid="{37C2D4ED-44AB-477C-937D-DD6017406885}"/>
    <cellStyle name="Normal 20_1.2.b" xfId="16201" xr:uid="{C62FE1FD-A2CC-4914-8C70-BAF7B9FE3901}"/>
    <cellStyle name="Normal 21" xfId="4293" xr:uid="{00000000-0005-0000-0000-00001B120000}"/>
    <cellStyle name="Normal 21 2" xfId="9719" xr:uid="{00000000-0005-0000-0000-00001C120000}"/>
    <cellStyle name="Normal 21 2 2" xfId="10419" xr:uid="{00000000-0005-0000-0000-00001D120000}"/>
    <cellStyle name="Normal 21 2 2 2" xfId="12154" xr:uid="{00000000-0005-0000-0000-00001E120000}"/>
    <cellStyle name="Normal 21 2 3" xfId="11507" xr:uid="{00000000-0005-0000-0000-00001F120000}"/>
    <cellStyle name="Normal 21 3" xfId="10122" xr:uid="{00000000-0005-0000-0000-000020120000}"/>
    <cellStyle name="Normal 21 3 2" xfId="11858" xr:uid="{00000000-0005-0000-0000-000021120000}"/>
    <cellStyle name="Normal 21 4" xfId="11102" xr:uid="{00000000-0005-0000-0000-000022120000}"/>
    <cellStyle name="Normal 21 5" xfId="14266" xr:uid="{4BC9C191-4289-4E08-A43A-69FD97AE0F98}"/>
    <cellStyle name="Normal 21 6" xfId="17861" xr:uid="{B2205418-E9A2-4B85-AE10-B262A52E54C6}"/>
    <cellStyle name="Normal 21_1.2.b" xfId="16203" xr:uid="{65F4637A-3A45-4C4D-80D0-43A548B0DCF4}"/>
    <cellStyle name="Normal 22" xfId="4344" xr:uid="{00000000-0005-0000-0000-000023120000}"/>
    <cellStyle name="Normal 22 2" xfId="9755" xr:uid="{00000000-0005-0000-0000-000024120000}"/>
    <cellStyle name="Normal 22 2 2" xfId="10453" xr:uid="{00000000-0005-0000-0000-000025120000}"/>
    <cellStyle name="Normal 22 2 2 2" xfId="12188" xr:uid="{00000000-0005-0000-0000-000026120000}"/>
    <cellStyle name="Normal 22 2 3" xfId="11541" xr:uid="{00000000-0005-0000-0000-000027120000}"/>
    <cellStyle name="Normal 22 2 4" xfId="14268" xr:uid="{74CB97D1-A93B-4960-AA64-D9C15D354270}"/>
    <cellStyle name="Normal 22 2 5" xfId="17863" xr:uid="{861E96D3-2FC3-44BB-A1E8-4392D72E13DA}"/>
    <cellStyle name="Normal 22 2_1.2.b" xfId="16205" xr:uid="{F9A36B57-1299-4346-9ABA-907E0BB53593}"/>
    <cellStyle name="Normal 22 3" xfId="10156" xr:uid="{00000000-0005-0000-0000-000028120000}"/>
    <cellStyle name="Normal 22 3 2" xfId="11892" xr:uid="{00000000-0005-0000-0000-000029120000}"/>
    <cellStyle name="Normal 22 3 3" xfId="14269" xr:uid="{3F59B264-CDE6-4AF5-B050-598EAD04A3B4}"/>
    <cellStyle name="Normal 22 3 4" xfId="17864" xr:uid="{5C03E722-47FA-4636-B1AF-CE5CA628C20F}"/>
    <cellStyle name="Normal 22 3_1.2.b" xfId="16206" xr:uid="{DC7297B9-1B1C-4FD5-8734-81AF2EF6A0D4}"/>
    <cellStyle name="Normal 22 4" xfId="11149" xr:uid="{00000000-0005-0000-0000-00002A120000}"/>
    <cellStyle name="Normal 22 5" xfId="14267" xr:uid="{E17F9EB4-4E66-485D-816E-62857F19B952}"/>
    <cellStyle name="Normal 22 6" xfId="17862" xr:uid="{7145BF77-0FC0-4490-902D-F88C9CBB01B2}"/>
    <cellStyle name="Normal 22_1.2.b" xfId="16204" xr:uid="{6756CA0A-CCF4-47EB-9034-ADC51180E94B}"/>
    <cellStyle name="Normal 23" xfId="4359" xr:uid="{00000000-0005-0000-0000-00002B120000}"/>
    <cellStyle name="Normal 23 2" xfId="9767" xr:uid="{00000000-0005-0000-0000-00002C120000}"/>
    <cellStyle name="Normal 23 2 2" xfId="10465" xr:uid="{00000000-0005-0000-0000-00002D120000}"/>
    <cellStyle name="Normal 23 2 2 2" xfId="12200" xr:uid="{00000000-0005-0000-0000-00002E120000}"/>
    <cellStyle name="Normal 23 2 3" xfId="11553" xr:uid="{00000000-0005-0000-0000-00002F120000}"/>
    <cellStyle name="Normal 23 3" xfId="10170" xr:uid="{00000000-0005-0000-0000-000030120000}"/>
    <cellStyle name="Normal 23 3 2" xfId="11906" xr:uid="{00000000-0005-0000-0000-000031120000}"/>
    <cellStyle name="Normal 23 4" xfId="11163" xr:uid="{00000000-0005-0000-0000-000032120000}"/>
    <cellStyle name="Normal 23 5" xfId="14270" xr:uid="{5DBC42E0-88C6-46BD-9243-4391AFFAB750}"/>
    <cellStyle name="Normal 23 6" xfId="17865" xr:uid="{64F71DFD-DDFA-4924-8A1A-8C353C7DEC57}"/>
    <cellStyle name="Normal 23_1.2.b" xfId="16207" xr:uid="{1DB0DF04-596A-436F-A6A2-101E66A11978}"/>
    <cellStyle name="Normal 24" xfId="7582" xr:uid="{00000000-0005-0000-0000-000033120000}"/>
    <cellStyle name="Normal 24 2" xfId="10240" xr:uid="{00000000-0005-0000-0000-000034120000}"/>
    <cellStyle name="Normal 24 3" xfId="14271" xr:uid="{3FD322C4-327D-42C7-9A2C-F19B33017B09}"/>
    <cellStyle name="Normal 24 4" xfId="17866" xr:uid="{1C088D5A-E847-469A-884F-7D29AFFAF0A6}"/>
    <cellStyle name="Normal 24_1.2.b" xfId="16208" xr:uid="{524AAE37-DC7E-411B-B479-EA057604560D}"/>
    <cellStyle name="Normal 25" xfId="7581" xr:uid="{00000000-0005-0000-0000-000035120000}"/>
    <cellStyle name="Normal 25 2" xfId="10239" xr:uid="{00000000-0005-0000-0000-000036120000}"/>
    <cellStyle name="Normal 25 2 2" xfId="11975" xr:uid="{00000000-0005-0000-0000-000037120000}"/>
    <cellStyle name="Normal 25 2 3" xfId="14273" xr:uid="{A00476A0-117A-41AF-9813-A46BE1C178E0}"/>
    <cellStyle name="Normal 25 2 4" xfId="17868" xr:uid="{FE4E5F17-48FD-4A23-B14E-D7C9FDCE7A22}"/>
    <cellStyle name="Normal 25 2_1.2.b" xfId="16210" xr:uid="{A6DACEE9-5FE1-4F93-A436-FAE5054FE299}"/>
    <cellStyle name="Normal 25 3" xfId="11249" xr:uid="{00000000-0005-0000-0000-000038120000}"/>
    <cellStyle name="Normal 25 3 2" xfId="14274" xr:uid="{87D1F41F-069D-414A-80C5-FC284757957D}"/>
    <cellStyle name="Normal 25 3 3" xfId="17869" xr:uid="{366E6688-35E4-4A16-AD49-4F1C33A28504}"/>
    <cellStyle name="Normal 25 3_1.2.b" xfId="16211" xr:uid="{17EF4C36-7719-4307-A391-866D566F4877}"/>
    <cellStyle name="Normal 25 4" xfId="14272" xr:uid="{E1321ACF-AECD-4FD4-861A-B50EE0F473C4}"/>
    <cellStyle name="Normal 25 5" xfId="17867" xr:uid="{72BB8C50-7E6D-4970-81DD-DD6D9CF874F1}"/>
    <cellStyle name="Normal 25_1.2.b" xfId="16209" xr:uid="{2BE02FE6-BD05-4F61-9885-2D1EA5275910}"/>
    <cellStyle name="Normal 26" xfId="9842" xr:uid="{00000000-0005-0000-0000-000039120000}"/>
    <cellStyle name="Normal 26 2" xfId="11627" xr:uid="{00000000-0005-0000-0000-00003A120000}"/>
    <cellStyle name="Normal 26 3" xfId="14275" xr:uid="{9B28C006-3B76-4A6B-BF53-D666452C8674}"/>
    <cellStyle name="Normal 26 4" xfId="17870" xr:uid="{E5C86589-90BB-48FE-BD32-41750918D01F}"/>
    <cellStyle name="Normal 26_1.2.b" xfId="16212" xr:uid="{170EE663-167D-45E4-A63F-E8D8FD710F8F}"/>
    <cellStyle name="Normal 27" xfId="9844" xr:uid="{00000000-0005-0000-0000-00003B120000}"/>
    <cellStyle name="Normal 27 2" xfId="11629" xr:uid="{00000000-0005-0000-0000-00003C120000}"/>
    <cellStyle name="Normal 27 3" xfId="14276" xr:uid="{8B1FAE84-6948-41D3-BAD2-5A49AF6FE18C}"/>
    <cellStyle name="Normal 27 4" xfId="17871" xr:uid="{3C9A5D23-8758-4B15-BE42-1234788633CF}"/>
    <cellStyle name="Normal 27_1.2.b" xfId="16213" xr:uid="{4ABAA244-4A15-4076-85F7-5A11E38BF98F}"/>
    <cellStyle name="Normal 28" xfId="9858" xr:uid="{00000000-0005-0000-0000-00003D120000}"/>
    <cellStyle name="Normal 28 2" xfId="11643" xr:uid="{00000000-0005-0000-0000-00003E120000}"/>
    <cellStyle name="Normal 28 3" xfId="14277" xr:uid="{902E04EC-77FB-46CF-A9D5-A8DBCD9B1682}"/>
    <cellStyle name="Normal 28 4" xfId="17872" xr:uid="{BD38C09F-F59E-443B-878C-BADE2DFA9ACA}"/>
    <cellStyle name="Normal 28_1.2.b" xfId="16214" xr:uid="{43A33170-5212-40A8-8DF1-A4992FD2401F}"/>
    <cellStyle name="Normal 29" xfId="9860" xr:uid="{00000000-0005-0000-0000-00003F120000}"/>
    <cellStyle name="Normal 29 2" xfId="11645" xr:uid="{00000000-0005-0000-0000-000040120000}"/>
    <cellStyle name="Normal 29 3" xfId="14278" xr:uid="{22C2CF1C-EF33-42E2-9684-94FD0A55A3F8}"/>
    <cellStyle name="Normal 29 4" xfId="17873" xr:uid="{19782F76-D27E-4993-BFA9-FB197162508B}"/>
    <cellStyle name="Normal 29_1.2.b" xfId="16215" xr:uid="{0C1274E1-587E-46F8-854E-705BFDA6200C}"/>
    <cellStyle name="Normal 3" xfId="17" xr:uid="{00000000-0005-0000-0000-000041120000}"/>
    <cellStyle name="Normal 3 10" xfId="1423" xr:uid="{00000000-0005-0000-0000-000042120000}"/>
    <cellStyle name="Normal 3 10 2" xfId="14704" xr:uid="{37C175C0-076C-4200-A0C9-9C77CEDFFC58}"/>
    <cellStyle name="Normal 3 10_1.2.b" xfId="16217" xr:uid="{95CF42C0-D525-49B7-A202-CE7224100A00}"/>
    <cellStyle name="Normal 3 11" xfId="1424" xr:uid="{00000000-0005-0000-0000-000043120000}"/>
    <cellStyle name="Normal 3 12" xfId="1425" xr:uid="{00000000-0005-0000-0000-000044120000}"/>
    <cellStyle name="Normal 3 12 2" xfId="7791" xr:uid="{00000000-0005-0000-0000-000045120000}"/>
    <cellStyle name="Normal 3 13" xfId="1426" xr:uid="{00000000-0005-0000-0000-000046120000}"/>
    <cellStyle name="Normal 3 13 2" xfId="7792" xr:uid="{00000000-0005-0000-0000-000047120000}"/>
    <cellStyle name="Normal 3 14" xfId="1427" xr:uid="{00000000-0005-0000-0000-000048120000}"/>
    <cellStyle name="Normal 3 14 2" xfId="7793" xr:uid="{00000000-0005-0000-0000-000049120000}"/>
    <cellStyle name="Normal 3 15" xfId="1428" xr:uid="{00000000-0005-0000-0000-00004A120000}"/>
    <cellStyle name="Normal 3 15 2" xfId="7794" xr:uid="{00000000-0005-0000-0000-00004B120000}"/>
    <cellStyle name="Normal 3 16" xfId="1429" xr:uid="{00000000-0005-0000-0000-00004C120000}"/>
    <cellStyle name="Normal 3 16 2" xfId="7795" xr:uid="{00000000-0005-0000-0000-00004D120000}"/>
    <cellStyle name="Normal 3 17" xfId="1430" xr:uid="{00000000-0005-0000-0000-00004E120000}"/>
    <cellStyle name="Normal 3 17 2" xfId="7796" xr:uid="{00000000-0005-0000-0000-00004F120000}"/>
    <cellStyle name="Normal 3 18" xfId="1431" xr:uid="{00000000-0005-0000-0000-000050120000}"/>
    <cellStyle name="Normal 3 18 2" xfId="7797" xr:uid="{00000000-0005-0000-0000-000051120000}"/>
    <cellStyle name="Normal 3 19" xfId="1432" xr:uid="{00000000-0005-0000-0000-000052120000}"/>
    <cellStyle name="Normal 3 19 2" xfId="7798" xr:uid="{00000000-0005-0000-0000-000053120000}"/>
    <cellStyle name="Normal 3 2" xfId="71" xr:uid="{00000000-0005-0000-0000-000054120000}"/>
    <cellStyle name="Normal 3 2 10" xfId="4220" xr:uid="{00000000-0005-0000-0000-000055120000}"/>
    <cellStyle name="Normal 3 2 10 2" xfId="9655" xr:uid="{00000000-0005-0000-0000-000056120000}"/>
    <cellStyle name="Normal 3 2 10 2 2" xfId="10356" xr:uid="{00000000-0005-0000-0000-000057120000}"/>
    <cellStyle name="Normal 3 2 10 2 2 2" xfId="12091" xr:uid="{00000000-0005-0000-0000-000058120000}"/>
    <cellStyle name="Normal 3 2 10 2 3" xfId="11444" xr:uid="{00000000-0005-0000-0000-000059120000}"/>
    <cellStyle name="Normal 3 2 10 3" xfId="10059" xr:uid="{00000000-0005-0000-0000-00005A120000}"/>
    <cellStyle name="Normal 3 2 10 3 2" xfId="11795" xr:uid="{00000000-0005-0000-0000-00005B120000}"/>
    <cellStyle name="Normal 3 2 10 4" xfId="11031" xr:uid="{00000000-0005-0000-0000-00005C120000}"/>
    <cellStyle name="Normal 3 2 11" xfId="4303" xr:uid="{00000000-0005-0000-0000-00005D120000}"/>
    <cellStyle name="Normal 3 2 11 2" xfId="9726" xr:uid="{00000000-0005-0000-0000-00005E120000}"/>
    <cellStyle name="Normal 3 2 11 2 2" xfId="10426" xr:uid="{00000000-0005-0000-0000-00005F120000}"/>
    <cellStyle name="Normal 3 2 11 2 2 2" xfId="12161" xr:uid="{00000000-0005-0000-0000-000060120000}"/>
    <cellStyle name="Normal 3 2 11 2 3" xfId="11514" xr:uid="{00000000-0005-0000-0000-000061120000}"/>
    <cellStyle name="Normal 3 2 11 3" xfId="10129" xr:uid="{00000000-0005-0000-0000-000062120000}"/>
    <cellStyle name="Normal 3 2 11 3 2" xfId="11865" xr:uid="{00000000-0005-0000-0000-000063120000}"/>
    <cellStyle name="Normal 3 2 11 4" xfId="11112" xr:uid="{00000000-0005-0000-0000-000064120000}"/>
    <cellStyle name="Normal 3 2 12" xfId="7799" xr:uid="{00000000-0005-0000-0000-000065120000}"/>
    <cellStyle name="Normal 3 2 13" xfId="10544" xr:uid="{00000000-0005-0000-0000-000066120000}"/>
    <cellStyle name="Normal 3 2 13 2" xfId="12279" xr:uid="{00000000-0005-0000-0000-000067120000}"/>
    <cellStyle name="Normal 3 2 14" xfId="14279" xr:uid="{182166BB-D4D9-4106-9177-19694F79DBC5}"/>
    <cellStyle name="Normal 3 2 15" xfId="17875" xr:uid="{CE8590DA-F5EA-474A-A7D0-EBCFFD058468}"/>
    <cellStyle name="Normal 3 2 2" xfId="102" xr:uid="{00000000-0005-0000-0000-000068120000}"/>
    <cellStyle name="Normal 3 2 2 2" xfId="4271" xr:uid="{00000000-0005-0000-0000-000069120000}"/>
    <cellStyle name="Normal 3 2 2 2 2" xfId="9706" xr:uid="{00000000-0005-0000-0000-00006A120000}"/>
    <cellStyle name="Normal 3 2 2 2 2 2" xfId="10407" xr:uid="{00000000-0005-0000-0000-00006B120000}"/>
    <cellStyle name="Normal 3 2 2 2 2 2 2" xfId="12142" xr:uid="{00000000-0005-0000-0000-00006C120000}"/>
    <cellStyle name="Normal 3 2 2 2 2 3" xfId="11495" xr:uid="{00000000-0005-0000-0000-00006D120000}"/>
    <cellStyle name="Normal 3 2 2 2 3" xfId="10110" xr:uid="{00000000-0005-0000-0000-00006E120000}"/>
    <cellStyle name="Normal 3 2 2 2 3 2" xfId="11846" xr:uid="{00000000-0005-0000-0000-00006F120000}"/>
    <cellStyle name="Normal 3 2 2 2 4" xfId="10565" xr:uid="{00000000-0005-0000-0000-000070120000}"/>
    <cellStyle name="Normal 3 2 2 2 4 2" xfId="12300" xr:uid="{00000000-0005-0000-0000-000071120000}"/>
    <cellStyle name="Normal 3 2 2 2 5" xfId="11082" xr:uid="{00000000-0005-0000-0000-000072120000}"/>
    <cellStyle name="Normal 3 2 2 2 6" xfId="14281" xr:uid="{5ADE32B2-2FEE-4951-A671-CD4BC938B629}"/>
    <cellStyle name="Normal 3 2 2 2 7" xfId="17877" xr:uid="{1A376C5C-7500-4E97-ABFD-9697403D4AE6}"/>
    <cellStyle name="Normal 3 2 2 2_1.2.b" xfId="16220" xr:uid="{00809898-4D18-4DC9-B0DE-E7251105F6BB}"/>
    <cellStyle name="Normal 3 2 2 3" xfId="1433" xr:uid="{00000000-0005-0000-0000-000073120000}"/>
    <cellStyle name="Normal 3 2 2 3 2" xfId="14282" xr:uid="{C929AA12-1851-4AC1-8A16-C5DABAC7FDD0}"/>
    <cellStyle name="Normal 3 2 2 3_1.2.b" xfId="16221" xr:uid="{D404F22E-77C5-412B-BE97-863FFB0A37E8}"/>
    <cellStyle name="Normal 3 2 2 4" xfId="10554" xr:uid="{00000000-0005-0000-0000-000074120000}"/>
    <cellStyle name="Normal 3 2 2 4 2" xfId="12289" xr:uid="{00000000-0005-0000-0000-000075120000}"/>
    <cellStyle name="Normal 3 2 2 5" xfId="14280" xr:uid="{57CC29D3-DE14-408F-B0D2-AEED46F3E2CD}"/>
    <cellStyle name="Normal 3 2 2 6" xfId="17876" xr:uid="{2A562FE9-BEA4-4409-9CFE-D22FB8689793}"/>
    <cellStyle name="Normal 3 2 2_1.2.b" xfId="16219" xr:uid="{67520E7D-4013-47CE-BF72-0B9ABC76B6B1}"/>
    <cellStyle name="Normal 3 2 3" xfId="1434" xr:uid="{00000000-0005-0000-0000-000076120000}"/>
    <cellStyle name="Normal 3 2 3 2" xfId="10172" xr:uid="{00000000-0005-0000-0000-000077120000}"/>
    <cellStyle name="Normal 3 2 3 2 2" xfId="11908" xr:uid="{00000000-0005-0000-0000-000078120000}"/>
    <cellStyle name="Normal 3 2 3 2 3" xfId="14284" xr:uid="{6D9D746F-D8BB-4AF5-8E40-6A690DEACF28}"/>
    <cellStyle name="Normal 3 2 3 2_1.2.b" xfId="16223" xr:uid="{83F9695F-7F7C-48FD-847D-3AE229B08C8E}"/>
    <cellStyle name="Normal 3 2 3 3" xfId="10559" xr:uid="{00000000-0005-0000-0000-000079120000}"/>
    <cellStyle name="Normal 3 2 3 3 2" xfId="12294" xr:uid="{00000000-0005-0000-0000-00007A120000}"/>
    <cellStyle name="Normal 3 2 3 4" xfId="14283" xr:uid="{FE98938F-D49E-48D5-BD24-B6499FBD6DDA}"/>
    <cellStyle name="Normal 3 2 3 5" xfId="17878" xr:uid="{A8C370AE-331F-4CD7-BAA9-BC29B45037D4}"/>
    <cellStyle name="Normal 3 2 3 6" xfId="18243" xr:uid="{9DB60B36-8928-4A2A-BBE3-041B82873A34}"/>
    <cellStyle name="Normal 3 2 3 7" xfId="17805" xr:uid="{D9A41F67-1B3F-4F78-9958-820CE6FADF93}"/>
    <cellStyle name="Normal 3 2 3 8" xfId="18241" xr:uid="{52B44669-F09B-4377-9CB9-19E55ED66EE4}"/>
    <cellStyle name="Normal 3 2 3 9" xfId="17802" xr:uid="{CA438A14-4343-4486-AF15-BF1F5DEAA7A9}"/>
    <cellStyle name="Normal 3 2 3_1.2.b" xfId="16222" xr:uid="{1ED39410-7D6D-4589-B6AE-CEDD2A5B5A52}"/>
    <cellStyle name="Normal 3 2 4" xfId="1435" xr:uid="{00000000-0005-0000-0000-00007B120000}"/>
    <cellStyle name="Normal 3 2 4 2" xfId="14285" xr:uid="{86C12315-9312-40F6-B6D7-AEED798CDBE1}"/>
    <cellStyle name="Normal 3 2 4_1.2.b" xfId="16224" xr:uid="{DBEFE05B-80FC-494D-8BDC-37733EC04734}"/>
    <cellStyle name="Normal 3 2 5" xfId="1436" xr:uid="{00000000-0005-0000-0000-00007C120000}"/>
    <cellStyle name="Normal 3 2 5 2" xfId="14738" xr:uid="{730E1240-B2A2-4264-80A9-8287E9A7F284}"/>
    <cellStyle name="Normal 3 2 5 3" xfId="14286" xr:uid="{6406577B-A22B-4A61-BC91-621B79D50B74}"/>
    <cellStyle name="Normal 3 2 5_1.2.b" xfId="16225" xr:uid="{68143918-B92C-4DB8-A902-E62186C344D6}"/>
    <cellStyle name="Normal 3 2 6" xfId="1437" xr:uid="{00000000-0005-0000-0000-00007D120000}"/>
    <cellStyle name="Normal 3 2 7" xfId="1438" xr:uid="{00000000-0005-0000-0000-00007E120000}"/>
    <cellStyle name="Normal 3 2 8" xfId="1439" xr:uid="{00000000-0005-0000-0000-00007F120000}"/>
    <cellStyle name="Normal 3 2 9" xfId="4157" xr:uid="{00000000-0005-0000-0000-000080120000}"/>
    <cellStyle name="Normal 3 2 9 2" xfId="9603" xr:uid="{00000000-0005-0000-0000-000081120000}"/>
    <cellStyle name="Normal 3 2 9 2 2" xfId="10305" xr:uid="{00000000-0005-0000-0000-000082120000}"/>
    <cellStyle name="Normal 3 2 9 2 2 2" xfId="12040" xr:uid="{00000000-0005-0000-0000-000083120000}"/>
    <cellStyle name="Normal 3 2 9 2 3" xfId="11393" xr:uid="{00000000-0005-0000-0000-000084120000}"/>
    <cellStyle name="Normal 3 2 9 3" xfId="10008" xr:uid="{00000000-0005-0000-0000-000085120000}"/>
    <cellStyle name="Normal 3 2 9 3 2" xfId="11744" xr:uid="{00000000-0005-0000-0000-000086120000}"/>
    <cellStyle name="Normal 3 2 9 4" xfId="10971" xr:uid="{00000000-0005-0000-0000-000087120000}"/>
    <cellStyle name="Normal 3 2_1.2.b" xfId="16218" xr:uid="{B2D98674-6980-4C41-8A92-806BB7F82DAF}"/>
    <cellStyle name="Normal 3 20" xfId="1440" xr:uid="{00000000-0005-0000-0000-000088120000}"/>
    <cellStyle name="Normal 3 20 2" xfId="7800" xr:uid="{00000000-0005-0000-0000-000089120000}"/>
    <cellStyle name="Normal 3 21" xfId="1441" xr:uid="{00000000-0005-0000-0000-00008A120000}"/>
    <cellStyle name="Normal 3 21 2" xfId="7801" xr:uid="{00000000-0005-0000-0000-00008B120000}"/>
    <cellStyle name="Normal 3 22" xfId="1442" xr:uid="{00000000-0005-0000-0000-00008C120000}"/>
    <cellStyle name="Normal 3 22 2" xfId="7802" xr:uid="{00000000-0005-0000-0000-00008D120000}"/>
    <cellStyle name="Normal 3 23" xfId="1443" xr:uid="{00000000-0005-0000-0000-00008E120000}"/>
    <cellStyle name="Normal 3 23 2" xfId="7803" xr:uid="{00000000-0005-0000-0000-00008F120000}"/>
    <cellStyle name="Normal 3 24" xfId="1444" xr:uid="{00000000-0005-0000-0000-000090120000}"/>
    <cellStyle name="Normal 3 24 2" xfId="7804" xr:uid="{00000000-0005-0000-0000-000091120000}"/>
    <cellStyle name="Normal 3 25" xfId="1445" xr:uid="{00000000-0005-0000-0000-000092120000}"/>
    <cellStyle name="Normal 3 25 2" xfId="7805" xr:uid="{00000000-0005-0000-0000-000093120000}"/>
    <cellStyle name="Normal 3 26" xfId="1446" xr:uid="{00000000-0005-0000-0000-000094120000}"/>
    <cellStyle name="Normal 3 26 2" xfId="7806" xr:uid="{00000000-0005-0000-0000-000095120000}"/>
    <cellStyle name="Normal 3 27" xfId="1447" xr:uid="{00000000-0005-0000-0000-000096120000}"/>
    <cellStyle name="Normal 3 27 2" xfId="7807" xr:uid="{00000000-0005-0000-0000-000097120000}"/>
    <cellStyle name="Normal 3 28" xfId="1448" xr:uid="{00000000-0005-0000-0000-000098120000}"/>
    <cellStyle name="Normal 3 28 2" xfId="7808" xr:uid="{00000000-0005-0000-0000-000099120000}"/>
    <cellStyle name="Normal 3 29" xfId="1449" xr:uid="{00000000-0005-0000-0000-00009A120000}"/>
    <cellStyle name="Normal 3 29 2" xfId="7809" xr:uid="{00000000-0005-0000-0000-00009B120000}"/>
    <cellStyle name="Normal 3 3" xfId="101" xr:uid="{00000000-0005-0000-0000-00009C120000}"/>
    <cellStyle name="Normal 3 3 10" xfId="18242" xr:uid="{5A750C32-12E8-4839-95E7-694ABA44BBC3}"/>
    <cellStyle name="Normal 3 3 2" xfId="4117" xr:uid="{00000000-0005-0000-0000-00009D120000}"/>
    <cellStyle name="Normal 3 3 2 2" xfId="4253" xr:uid="{00000000-0005-0000-0000-00009E120000}"/>
    <cellStyle name="Normal 3 3 2 2 2" xfId="9688" xr:uid="{00000000-0005-0000-0000-00009F120000}"/>
    <cellStyle name="Normal 3 3 2 2 2 2" xfId="10389" xr:uid="{00000000-0005-0000-0000-0000A0120000}"/>
    <cellStyle name="Normal 3 3 2 2 2 2 2" xfId="12124" xr:uid="{00000000-0005-0000-0000-0000A1120000}"/>
    <cellStyle name="Normal 3 3 2 2 2 3" xfId="11477" xr:uid="{00000000-0005-0000-0000-0000A2120000}"/>
    <cellStyle name="Normal 3 3 2 2 3" xfId="10092" xr:uid="{00000000-0005-0000-0000-0000A3120000}"/>
    <cellStyle name="Normal 3 3 2 2 3 2" xfId="11828" xr:uid="{00000000-0005-0000-0000-0000A4120000}"/>
    <cellStyle name="Normal 3 3 2 2 4" xfId="11064" xr:uid="{00000000-0005-0000-0000-0000A5120000}"/>
    <cellStyle name="Normal 3 3 2 3" xfId="9584" xr:uid="{00000000-0005-0000-0000-0000A6120000}"/>
    <cellStyle name="Normal 3 3 2 3 2" xfId="10287" xr:uid="{00000000-0005-0000-0000-0000A7120000}"/>
    <cellStyle name="Normal 3 3 2 3 2 2" xfId="12022" xr:uid="{00000000-0005-0000-0000-0000A8120000}"/>
    <cellStyle name="Normal 3 3 2 3 3" xfId="11375" xr:uid="{00000000-0005-0000-0000-0000A9120000}"/>
    <cellStyle name="Normal 3 3 2 4" xfId="9990" xr:uid="{00000000-0005-0000-0000-0000AA120000}"/>
    <cellStyle name="Normal 3 3 2 4 2" xfId="11726" xr:uid="{00000000-0005-0000-0000-0000AB120000}"/>
    <cellStyle name="Normal 3 3 2 5" xfId="10950" xr:uid="{00000000-0005-0000-0000-0000AC120000}"/>
    <cellStyle name="Normal 3 3 2 6" xfId="14288" xr:uid="{F5A71559-9313-471C-8A0B-EACAFE906FC3}"/>
    <cellStyle name="Normal 3 3 2_1.2.b" xfId="16227" xr:uid="{D3025A6F-D24C-4930-A42C-B5DD7C9D20B8}"/>
    <cellStyle name="Normal 3 3 3" xfId="4202" xr:uid="{00000000-0005-0000-0000-0000AD120000}"/>
    <cellStyle name="Normal 3 3 3 2" xfId="9637" xr:uid="{00000000-0005-0000-0000-0000AE120000}"/>
    <cellStyle name="Normal 3 3 3 2 2" xfId="10338" xr:uid="{00000000-0005-0000-0000-0000AF120000}"/>
    <cellStyle name="Normal 3 3 3 2 2 2" xfId="12073" xr:uid="{00000000-0005-0000-0000-0000B0120000}"/>
    <cellStyle name="Normal 3 3 3 2 3" xfId="11426" xr:uid="{00000000-0005-0000-0000-0000B1120000}"/>
    <cellStyle name="Normal 3 3 3 3" xfId="10041" xr:uid="{00000000-0005-0000-0000-0000B2120000}"/>
    <cellStyle name="Normal 3 3 3 3 2" xfId="11777" xr:uid="{00000000-0005-0000-0000-0000B3120000}"/>
    <cellStyle name="Normal 3 3 3 4" xfId="11013" xr:uid="{00000000-0005-0000-0000-0000B4120000}"/>
    <cellStyle name="Normal 3 3 3 5" xfId="14289" xr:uid="{720D1177-3A64-4F76-9835-08F07D240053}"/>
    <cellStyle name="Normal 3 3 3_1.2.b" xfId="16228" xr:uid="{9600B324-CF8A-4D45-834F-28B496480A46}"/>
    <cellStyle name="Normal 3 3 4" xfId="4312" xr:uid="{00000000-0005-0000-0000-0000B5120000}"/>
    <cellStyle name="Normal 3 3 4 2" xfId="9729" xr:uid="{00000000-0005-0000-0000-0000B6120000}"/>
    <cellStyle name="Normal 3 3 5" xfId="7810" xr:uid="{00000000-0005-0000-0000-0000B7120000}"/>
    <cellStyle name="Normal 3 3 6" xfId="14287" xr:uid="{AB029E20-CAC9-4C6C-BE41-103964ABF843}"/>
    <cellStyle name="Normal 3 3 7" xfId="17879" xr:uid="{B0640CCF-B5D3-4D96-B759-E051DEEA112F}"/>
    <cellStyle name="Normal 3 3 8" xfId="18244" xr:uid="{1DEB96AC-C98E-4CDB-B916-6939706700A1}"/>
    <cellStyle name="Normal 3 3 9" xfId="17806" xr:uid="{B0FCD312-43E6-4AD4-962D-85CF6BAE342E}"/>
    <cellStyle name="Normal 3 3_1.2.b" xfId="16226" xr:uid="{059334CF-970B-47B4-95E3-1D4ADE30AC82}"/>
    <cellStyle name="Normal 3 30" xfId="1450" xr:uid="{00000000-0005-0000-0000-0000B8120000}"/>
    <cellStyle name="Normal 3 30 2" xfId="7811" xr:uid="{00000000-0005-0000-0000-0000B9120000}"/>
    <cellStyle name="Normal 3 31" xfId="4042" xr:uid="{00000000-0005-0000-0000-0000BA120000}"/>
    <cellStyle name="Normal 3 32" xfId="4084" xr:uid="{00000000-0005-0000-0000-0000BB120000}"/>
    <cellStyle name="Normal 3 32 2" xfId="9568" xr:uid="{00000000-0005-0000-0000-0000BC120000}"/>
    <cellStyle name="Normal 3 32 2 2" xfId="10271" xr:uid="{00000000-0005-0000-0000-0000BD120000}"/>
    <cellStyle name="Normal 3 32 2 2 2" xfId="12006" xr:uid="{00000000-0005-0000-0000-0000BE120000}"/>
    <cellStyle name="Normal 3 32 2 3" xfId="11359" xr:uid="{00000000-0005-0000-0000-0000BF120000}"/>
    <cellStyle name="Normal 3 32 3" xfId="9974" xr:uid="{00000000-0005-0000-0000-0000C0120000}"/>
    <cellStyle name="Normal 3 32 3 2" xfId="11710" xr:uid="{00000000-0005-0000-0000-0000C1120000}"/>
    <cellStyle name="Normal 3 32 4" xfId="10933" xr:uid="{00000000-0005-0000-0000-0000C2120000}"/>
    <cellStyle name="Normal 3 33" xfId="4186" xr:uid="{00000000-0005-0000-0000-0000C3120000}"/>
    <cellStyle name="Normal 3 33 2" xfId="9621" xr:uid="{00000000-0005-0000-0000-0000C4120000}"/>
    <cellStyle name="Normal 3 33 2 2" xfId="10322" xr:uid="{00000000-0005-0000-0000-0000C5120000}"/>
    <cellStyle name="Normal 3 33 2 2 2" xfId="12057" xr:uid="{00000000-0005-0000-0000-0000C6120000}"/>
    <cellStyle name="Normal 3 33 2 3" xfId="11410" xr:uid="{00000000-0005-0000-0000-0000C7120000}"/>
    <cellStyle name="Normal 3 33 3" xfId="10025" xr:uid="{00000000-0005-0000-0000-0000C8120000}"/>
    <cellStyle name="Normal 3 33 3 2" xfId="11761" xr:uid="{00000000-0005-0000-0000-0000C9120000}"/>
    <cellStyle name="Normal 3 33 4" xfId="10997" xr:uid="{00000000-0005-0000-0000-0000CA120000}"/>
    <cellStyle name="Normal 3 34" xfId="4277" xr:uid="{00000000-0005-0000-0000-0000CB120000}"/>
    <cellStyle name="Normal 3 34 2" xfId="9711" xr:uid="{00000000-0005-0000-0000-0000CC120000}"/>
    <cellStyle name="Normal 3 35" xfId="4356" xr:uid="{00000000-0005-0000-0000-0000CD120000}"/>
    <cellStyle name="Normal 3 35 2" xfId="9764" xr:uid="{00000000-0005-0000-0000-0000CE120000}"/>
    <cellStyle name="Normal 3 35 2 2" xfId="10462" xr:uid="{00000000-0005-0000-0000-0000CF120000}"/>
    <cellStyle name="Normal 3 35 2 2 2" xfId="12197" xr:uid="{00000000-0005-0000-0000-0000D0120000}"/>
    <cellStyle name="Normal 3 35 2 3" xfId="11550" xr:uid="{00000000-0005-0000-0000-0000D1120000}"/>
    <cellStyle name="Normal 3 35 3" xfId="10167" xr:uid="{00000000-0005-0000-0000-0000D2120000}"/>
    <cellStyle name="Normal 3 35 3 2" xfId="11903" xr:uid="{00000000-0005-0000-0000-0000D3120000}"/>
    <cellStyle name="Normal 3 35 4" xfId="11160" xr:uid="{00000000-0005-0000-0000-0000D4120000}"/>
    <cellStyle name="Normal 3 36" xfId="9902" xr:uid="{00000000-0005-0000-0000-0000D5120000}"/>
    <cellStyle name="Normal 3 37" xfId="10543" xr:uid="{00000000-0005-0000-0000-0000D6120000}"/>
    <cellStyle name="Normal 3 37 2" xfId="12278" xr:uid="{00000000-0005-0000-0000-0000D7120000}"/>
    <cellStyle name="Normal 3 38" xfId="18291" xr:uid="{6988CE60-1ECD-4B93-B233-1FF433280765}"/>
    <cellStyle name="Normal 3 4" xfId="1451" xr:uid="{00000000-0005-0000-0000-0000D8120000}"/>
    <cellStyle name="Normal 3 4 2" xfId="4237" xr:uid="{00000000-0005-0000-0000-0000D9120000}"/>
    <cellStyle name="Normal 3 4 2 2" xfId="9672" xr:uid="{00000000-0005-0000-0000-0000DA120000}"/>
    <cellStyle name="Normal 3 4 2 2 2" xfId="10373" xr:uid="{00000000-0005-0000-0000-0000DB120000}"/>
    <cellStyle name="Normal 3 4 2 2 2 2" xfId="12108" xr:uid="{00000000-0005-0000-0000-0000DC120000}"/>
    <cellStyle name="Normal 3 4 2 2 3" xfId="11461" xr:uid="{00000000-0005-0000-0000-0000DD120000}"/>
    <cellStyle name="Normal 3 4 2 3" xfId="10076" xr:uid="{00000000-0005-0000-0000-0000DE120000}"/>
    <cellStyle name="Normal 3 4 2 3 2" xfId="11812" xr:uid="{00000000-0005-0000-0000-0000DF120000}"/>
    <cellStyle name="Normal 3 4 2 4" xfId="11048" xr:uid="{00000000-0005-0000-0000-0000E0120000}"/>
    <cellStyle name="Normal 3 4 3" xfId="4307" xr:uid="{00000000-0005-0000-0000-0000E1120000}"/>
    <cellStyle name="Normal 3 4 4" xfId="14290" xr:uid="{391B8572-BEAD-4D37-AAAE-A017312780F9}"/>
    <cellStyle name="Normal 3 4_1.2.b" xfId="16229" xr:uid="{E26146BD-4F50-439A-BD3F-6E46B8D90097}"/>
    <cellStyle name="Normal 3 5" xfId="1452" xr:uid="{00000000-0005-0000-0000-0000E2120000}"/>
    <cellStyle name="Normal 3 5 2" xfId="4330" xr:uid="{00000000-0005-0000-0000-0000E3120000}"/>
    <cellStyle name="Normal 3 5 2 2" xfId="9741" xr:uid="{00000000-0005-0000-0000-0000E4120000}"/>
    <cellStyle name="Normal 3 5 2 3" xfId="14291" xr:uid="{52CE6042-C07B-4C3C-B653-E7B35FCCF668}"/>
    <cellStyle name="Normal 3 5 2_1.2.b" xfId="16231" xr:uid="{C23DB0C5-312C-49C8-9768-B3491A3F5C75}"/>
    <cellStyle name="Normal 3 5 3" xfId="14292" xr:uid="{56A9AFB0-033E-4484-9879-7C4515EE2A35}"/>
    <cellStyle name="Normal 3 5 4" xfId="14739" xr:uid="{1922AAFD-A704-41B4-873F-E9A2782C704F}"/>
    <cellStyle name="Normal 3 5_1.2.b" xfId="16230" xr:uid="{0BBA1DDE-ACBD-4E6D-A2A8-633B71758217}"/>
    <cellStyle name="Normal 3 6" xfId="1453" xr:uid="{00000000-0005-0000-0000-0000E5120000}"/>
    <cellStyle name="Normal 3 6 2" xfId="14294" xr:uid="{AD9021A7-7BEC-4045-B568-C0C4EFB5B3A2}"/>
    <cellStyle name="Normal 3 6 3" xfId="14295" xr:uid="{56890934-48D6-4913-9315-69B6E16BBD86}"/>
    <cellStyle name="Normal 3 6 4" xfId="14740" xr:uid="{22900FA6-9976-4429-8D0D-3CF09692E42A}"/>
    <cellStyle name="Normal 3 6 5" xfId="14293" xr:uid="{A648D594-85B4-49E5-A95E-0872D76AC572}"/>
    <cellStyle name="Normal 3 6_1.2.b" xfId="16232" xr:uid="{6979F4F7-7FC5-4162-9269-63C960A20A39}"/>
    <cellStyle name="Normal 3 7" xfId="1454" xr:uid="{00000000-0005-0000-0000-0000E6120000}"/>
    <cellStyle name="Normal 3 7 2" xfId="14741" xr:uid="{4AD390E3-B23E-4340-97A1-5436C1A7A946}"/>
    <cellStyle name="Normal 3 7 3" xfId="14296" xr:uid="{FFDC59D6-B383-4335-B5B3-79169B463936}"/>
    <cellStyle name="Normal 3 7_1.2.b" xfId="16233" xr:uid="{5C341FC6-EE63-4C92-BBF6-3B077116F4D2}"/>
    <cellStyle name="Normal 3 8" xfId="1455" xr:uid="{00000000-0005-0000-0000-0000E7120000}"/>
    <cellStyle name="Normal 3 8 2" xfId="14742" xr:uid="{6804A17D-9699-4CEB-A4D9-1802868E0026}"/>
    <cellStyle name="Normal 3 8 3" xfId="14297" xr:uid="{B9B3FB28-3B54-4E3A-8448-DFED84BB2717}"/>
    <cellStyle name="Normal 3 8_1.2.b" xfId="16234" xr:uid="{6875C02F-C20A-4843-9C59-9408D5070DEA}"/>
    <cellStyle name="Normal 3 9" xfId="1456" xr:uid="{00000000-0005-0000-0000-0000E8120000}"/>
    <cellStyle name="Normal 3 9 2" xfId="14737" xr:uid="{1C857237-09B3-4001-A500-DC479B94653D}"/>
    <cellStyle name="Normal 3 9 3" xfId="14298" xr:uid="{349A8290-7303-4356-BFA7-7AA8B90067B4}"/>
    <cellStyle name="Normal 3 9_1.2.b" xfId="16235" xr:uid="{F2EF26CD-BE1C-43B5-B847-19AF97144AB6}"/>
    <cellStyle name="Normal 3_1.2.b" xfId="16216" xr:uid="{A16F8BFE-6E63-4EB5-8B3F-8ADD875C0E89}"/>
    <cellStyle name="Normal 30" xfId="9862" xr:uid="{00000000-0005-0000-0000-0000E9120000}"/>
    <cellStyle name="Normal 30 2" xfId="11647" xr:uid="{00000000-0005-0000-0000-0000EA120000}"/>
    <cellStyle name="Normal 30 3" xfId="14299" xr:uid="{E72EDE6A-5919-446F-9C88-9DB6FCED615E}"/>
    <cellStyle name="Normal 30 4" xfId="17881" xr:uid="{9A3119EE-E508-40ED-9E12-979D77575EBF}"/>
    <cellStyle name="Normal 30_1.2.b" xfId="16236" xr:uid="{99A036DA-BAC5-4A1F-AA06-35D9EF660656}"/>
    <cellStyle name="Normal 31" xfId="9914" xr:uid="{00000000-0005-0000-0000-0000EB120000}"/>
    <cellStyle name="Normal 31 2" xfId="11651" xr:uid="{00000000-0005-0000-0000-0000EC120000}"/>
    <cellStyle name="Normal 31 3" xfId="14300" xr:uid="{9FCCCB16-23DE-445C-ADE3-5325FC4E20FB}"/>
    <cellStyle name="Normal 31 4" xfId="17882" xr:uid="{E5E43F16-0541-42AE-A71F-D698D0440E62}"/>
    <cellStyle name="Normal 31_1.2.b" xfId="16237" xr:uid="{521FFA01-9D7C-4BF7-A7F4-D520CC93E124}"/>
    <cellStyle name="Normal 32" xfId="9928" xr:uid="{00000000-0005-0000-0000-0000ED120000}"/>
    <cellStyle name="Normal 32 2" xfId="11665" xr:uid="{00000000-0005-0000-0000-0000EE120000}"/>
    <cellStyle name="Normal 32 2 2" xfId="14302" xr:uid="{C0166466-6012-40A9-8808-EDE64170E593}"/>
    <cellStyle name="Normal 32 2 3" xfId="17884" xr:uid="{B8F85B30-0B1D-4B06-8187-66EEC63A3C06}"/>
    <cellStyle name="Normal 32 2_1.2.b" xfId="16239" xr:uid="{C6532015-9148-44B9-AC99-6FC81C1D4C6E}"/>
    <cellStyle name="Normal 32 3" xfId="14301" xr:uid="{B6A43EDF-F000-47DF-8C04-4CDB2E1305EC}"/>
    <cellStyle name="Normal 32 4" xfId="17883" xr:uid="{2F1BF500-60BD-4B30-85CA-6FD26B6780C9}"/>
    <cellStyle name="Normal 32_1.2.b" xfId="16238" xr:uid="{7DE2888F-ED22-4081-BDFE-AF77801ABCEF}"/>
    <cellStyle name="Normal 33" xfId="9929" xr:uid="{00000000-0005-0000-0000-0000EF120000}"/>
    <cellStyle name="Normal 33 2" xfId="11666" xr:uid="{00000000-0005-0000-0000-0000F0120000}"/>
    <cellStyle name="Normal 33 2 2" xfId="14304" xr:uid="{61310774-EA02-400A-AF7E-C5A2F8E2C4C7}"/>
    <cellStyle name="Normal 33 2 3" xfId="17886" xr:uid="{1633967B-DAB1-444E-848F-DEAB28150742}"/>
    <cellStyle name="Normal 33 2_1.2.b" xfId="16241" xr:uid="{87DA32A9-11AE-4140-9E25-30BEDDAB87E6}"/>
    <cellStyle name="Normal 33 3" xfId="14303" xr:uid="{71972CF2-987A-43B6-87C6-1648FF1C50CA}"/>
    <cellStyle name="Normal 33 4" xfId="17885" xr:uid="{2DDAD344-C731-4437-8F5C-7396EE19AA30}"/>
    <cellStyle name="Normal 33_1.2.b" xfId="16240" xr:uid="{E0F37BBE-0D64-4D32-88BC-183BE19EF741}"/>
    <cellStyle name="Normal 34" xfId="10529" xr:uid="{00000000-0005-0000-0000-0000F1120000}"/>
    <cellStyle name="Normal 34 2" xfId="12264" xr:uid="{00000000-0005-0000-0000-0000F2120000}"/>
    <cellStyle name="Normal 34 2 2" xfId="14306" xr:uid="{C36D987E-112F-4609-86A4-C91DBD46F4ED}"/>
    <cellStyle name="Normal 34 2 3" xfId="17888" xr:uid="{7FF871FE-13E6-4F32-93EB-CF9C2C932F5F}"/>
    <cellStyle name="Normal 34 2_1.2.b" xfId="16243" xr:uid="{2FE7B8A0-F608-45BB-B2B3-FDC7092219B4}"/>
    <cellStyle name="Normal 34 3" xfId="14305" xr:uid="{87D995A1-3148-4FC5-95FD-DD546F53179E}"/>
    <cellStyle name="Normal 34 4" xfId="17887" xr:uid="{BEC9695A-D6C1-4455-8FE3-590F9E2AC987}"/>
    <cellStyle name="Normal 34_1.2.b" xfId="16242" xr:uid="{D977660E-3FCE-4FDF-A1DB-E00655C464E4}"/>
    <cellStyle name="Normal 35" xfId="10571" xr:uid="{00000000-0005-0000-0000-0000F3120000}"/>
    <cellStyle name="Normal 35 2" xfId="12306" xr:uid="{00000000-0005-0000-0000-0000F4120000}"/>
    <cellStyle name="Normal 35 2 2" xfId="14308" xr:uid="{B13E9AA3-11F3-4781-B1F7-AD1113E2B17C}"/>
    <cellStyle name="Normal 35 2 3" xfId="17890" xr:uid="{26E5EADD-9147-43E5-B322-2BD648DA3356}"/>
    <cellStyle name="Normal 35 2_1.2.b" xfId="16245" xr:uid="{9ABD4607-5E74-4DDC-92E7-0E555E0CBACD}"/>
    <cellStyle name="Normal 35 3" xfId="14307" xr:uid="{B8131994-9D1F-41CF-ABCB-32460513A86E}"/>
    <cellStyle name="Normal 35 4" xfId="17889" xr:uid="{022BDFEE-A377-4430-B36A-C39CBEF7FD66}"/>
    <cellStyle name="Normal 35_1.2.b" xfId="16244" xr:uid="{E486263E-D0EC-4394-B544-A1447B4E9146}"/>
    <cellStyle name="Normal 36" xfId="10572" xr:uid="{00000000-0005-0000-0000-0000F5120000}"/>
    <cellStyle name="Normal 36 2" xfId="14310" xr:uid="{42ABB5EE-E123-4374-9FA2-DDD4B80C55E8}"/>
    <cellStyle name="Normal 36 2 2" xfId="17892" xr:uid="{8F428BD6-2FB1-455A-BAE3-67EC2C6169CA}"/>
    <cellStyle name="Normal 36 2_1.2.b" xfId="16247" xr:uid="{6A2898B6-FF6B-40DA-A691-84BB771B44A6}"/>
    <cellStyle name="Normal 36 3" xfId="14309" xr:uid="{018DC519-FD37-44EA-ACE6-E155E993140B}"/>
    <cellStyle name="Normal 36 4" xfId="17891" xr:uid="{E82169F4-C6BE-4562-BE41-DAA6DD75D239}"/>
    <cellStyle name="Normal 36_1.2.b" xfId="16246" xr:uid="{60D66EF4-CEDB-45EB-93B4-CABC0518C648}"/>
    <cellStyle name="Normal 37" xfId="10574" xr:uid="{00000000-0005-0000-0000-0000F6120000}"/>
    <cellStyle name="Normal 37 2" xfId="12307" xr:uid="{00000000-0005-0000-0000-0000F7120000}"/>
    <cellStyle name="Normal 37 2 2" xfId="14312" xr:uid="{F3134C03-77C0-47F6-BFCB-6D052C94DA1A}"/>
    <cellStyle name="Normal 37 2 3" xfId="17894" xr:uid="{D43B344C-971B-4BF4-AB43-FF0D29498BC2}"/>
    <cellStyle name="Normal 37 2_1.2.b" xfId="16249" xr:uid="{E42DF960-CEF1-410E-8329-52C010FC8339}"/>
    <cellStyle name="Normal 37 3" xfId="14311" xr:uid="{1B5F90C9-3791-4837-9264-058553FB269C}"/>
    <cellStyle name="Normal 37 4" xfId="17893" xr:uid="{2B516213-0CBE-4189-AB93-67F5D734DBD8}"/>
    <cellStyle name="Normal 37_1.2.b" xfId="16248" xr:uid="{CB7D2416-6D1D-4C28-84E4-74056B3C9C2F}"/>
    <cellStyle name="Normal 38" xfId="10575" xr:uid="{00000000-0005-0000-0000-0000F8120000}"/>
    <cellStyle name="Normal 38 2" xfId="12308" xr:uid="{00000000-0005-0000-0000-0000F9120000}"/>
    <cellStyle name="Normal 38 2 2" xfId="14314" xr:uid="{224B5F6D-1170-4D39-93CF-C2DDABF49F1E}"/>
    <cellStyle name="Normal 38 2 3" xfId="17896" xr:uid="{F5A5079A-9E1B-4D13-B62C-E14DA6D8B26B}"/>
    <cellStyle name="Normal 38 2_1.2.b" xfId="16251" xr:uid="{582DE91B-2B61-4B54-A801-A98F7AB1DFAF}"/>
    <cellStyle name="Normal 38 3" xfId="14313" xr:uid="{394A0502-67E3-4A66-88CA-B82F5142DFCE}"/>
    <cellStyle name="Normal 38 4" xfId="17895" xr:uid="{7849964A-F211-4823-94B6-1DA3DD9D3D0B}"/>
    <cellStyle name="Normal 38_1.2.b" xfId="16250" xr:uid="{F797527F-FEB3-4EDF-8933-B071826FC171}"/>
    <cellStyle name="Normal 39" xfId="10576" xr:uid="{00000000-0005-0000-0000-0000FA120000}"/>
    <cellStyle name="Normal 39 2" xfId="12309" xr:uid="{00000000-0005-0000-0000-0000FB120000}"/>
    <cellStyle name="Normal 39 2 2" xfId="14316" xr:uid="{6439A803-9507-473D-81F9-F50BB162C3C3}"/>
    <cellStyle name="Normal 39 2 3" xfId="17898" xr:uid="{8D130201-F69F-4E0E-B2E5-CB4A878E0502}"/>
    <cellStyle name="Normal 39 2_1.2.b" xfId="16253" xr:uid="{E2FAEBDC-3267-4D46-982D-E788F39233BC}"/>
    <cellStyle name="Normal 39 3" xfId="14315" xr:uid="{AD2B0AE2-CF6D-4556-96B1-789A632DA1C0}"/>
    <cellStyle name="Normal 39 4" xfId="17897" xr:uid="{4677901D-F4B5-4320-8E92-C999727C8EC8}"/>
    <cellStyle name="Normal 39_1.2.b" xfId="16252" xr:uid="{1CCBEA8F-9BE9-425F-8DC4-2F174E528E67}"/>
    <cellStyle name="Normal 4" xfId="29" xr:uid="{00000000-0005-0000-0000-0000FC120000}"/>
    <cellStyle name="Normal 4 10" xfId="17807" xr:uid="{AE74218E-22E5-4456-9613-AEC6BF8E2DCB}"/>
    <cellStyle name="Normal 4 2" xfId="72" xr:uid="{00000000-0005-0000-0000-0000FD120000}"/>
    <cellStyle name="Normal 4 2 10" xfId="17808" xr:uid="{F34A00D8-DE48-454F-8B2F-08EA9F4769A5}"/>
    <cellStyle name="Normal 4 2 2" xfId="4256" xr:uid="{00000000-0005-0000-0000-0000FE120000}"/>
    <cellStyle name="Normal 4 2 2 2" xfId="9691" xr:uid="{00000000-0005-0000-0000-0000FF120000}"/>
    <cellStyle name="Normal 4 2 2 2 2" xfId="10392" xr:uid="{00000000-0005-0000-0000-000000130000}"/>
    <cellStyle name="Normal 4 2 2 2 2 2" xfId="12127" xr:uid="{00000000-0005-0000-0000-000001130000}"/>
    <cellStyle name="Normal 4 2 2 2 3" xfId="11480" xr:uid="{00000000-0005-0000-0000-000002130000}"/>
    <cellStyle name="Normal 4 2 2 3" xfId="10095" xr:uid="{00000000-0005-0000-0000-000003130000}"/>
    <cellStyle name="Normal 4 2 2 3 2" xfId="11831" xr:uid="{00000000-0005-0000-0000-000004130000}"/>
    <cellStyle name="Normal 4 2 2 4" xfId="11067" xr:uid="{00000000-0005-0000-0000-000005130000}"/>
    <cellStyle name="Normal 4 2 2 5" xfId="14319" xr:uid="{31AAA02A-31CF-4CDA-932B-A86EE3BAF1BA}"/>
    <cellStyle name="Normal 4 2 2_1.2.b" xfId="16256" xr:uid="{A679C113-4620-46EE-AFFC-CF89E5FCA742}"/>
    <cellStyle name="Normal 4 2 3" xfId="9587" xr:uid="{00000000-0005-0000-0000-000006130000}"/>
    <cellStyle name="Normal 4 2 3 2" xfId="10290" xr:uid="{00000000-0005-0000-0000-000007130000}"/>
    <cellStyle name="Normal 4 2 3 2 2" xfId="12025" xr:uid="{00000000-0005-0000-0000-000008130000}"/>
    <cellStyle name="Normal 4 2 3 3" xfId="11378" xr:uid="{00000000-0005-0000-0000-000009130000}"/>
    <cellStyle name="Normal 4 2 3 4" xfId="14320" xr:uid="{0756F47B-9280-4363-B84C-51E35E60E290}"/>
    <cellStyle name="Normal 4 2 3_1.2.b" xfId="16257" xr:uid="{F109A71B-A3DF-44C2-9EDE-E5C3B34C63F8}"/>
    <cellStyle name="Normal 4 2 4" xfId="4120" xr:uid="{00000000-0005-0000-0000-00000A130000}"/>
    <cellStyle name="Normal 4 2 4 2" xfId="10953" xr:uid="{00000000-0005-0000-0000-00000B130000}"/>
    <cellStyle name="Normal 4 2 4 3" xfId="14321" xr:uid="{D2E07B1E-11FC-40BE-8FAB-8F7EAF071170}"/>
    <cellStyle name="Normal 4 2 4_1.2.b" xfId="16258" xr:uid="{122BFAD8-EA84-4D8B-B3C9-45F5F9F19B98}"/>
    <cellStyle name="Normal 4 2 5" xfId="9993" xr:uid="{00000000-0005-0000-0000-00000C130000}"/>
    <cellStyle name="Normal 4 2 5 2" xfId="11729" xr:uid="{00000000-0005-0000-0000-00000D130000}"/>
    <cellStyle name="Normal 4 2 5 3" xfId="14743" xr:uid="{5609F324-EDD2-4F2C-94EA-87CB62BB244E}"/>
    <cellStyle name="Normal 4 2 5_1.2.b" xfId="16259" xr:uid="{5D8B7CDB-A07F-443C-BA1B-F49D5BEA426B}"/>
    <cellStyle name="Normal 4 2 6" xfId="10645" xr:uid="{00000000-0005-0000-0000-00000E130000}"/>
    <cellStyle name="Normal 4 2 7" xfId="14318" xr:uid="{553A041A-5F2F-4FB7-877C-9F1959D0B0B8}"/>
    <cellStyle name="Normal 4 2 8" xfId="17900" xr:uid="{CE63A8E8-C5CB-4239-AF24-394148572DC0}"/>
    <cellStyle name="Normal 4 2 9" xfId="18248" xr:uid="{895C3402-77CA-45DA-B406-79417FD76471}"/>
    <cellStyle name="Normal 4 2_1.2.b" xfId="16255" xr:uid="{8D9FED13-9F18-4965-B79D-16A7404BA7AE}"/>
    <cellStyle name="Normal 4 3" xfId="103" xr:uid="{00000000-0005-0000-0000-00000F130000}"/>
    <cellStyle name="Normal 4 3 2" xfId="9640" xr:uid="{00000000-0005-0000-0000-000010130000}"/>
    <cellStyle name="Normal 4 3 2 2" xfId="10341" xr:uid="{00000000-0005-0000-0000-000011130000}"/>
    <cellStyle name="Normal 4 3 2 2 2" xfId="12076" xr:uid="{00000000-0005-0000-0000-000012130000}"/>
    <cellStyle name="Normal 4 3 2 3" xfId="11429" xr:uid="{00000000-0005-0000-0000-000013130000}"/>
    <cellStyle name="Normal 4 3 3" xfId="4205" xr:uid="{00000000-0005-0000-0000-000014130000}"/>
    <cellStyle name="Normal 4 3 3 2" xfId="11016" xr:uid="{00000000-0005-0000-0000-000015130000}"/>
    <cellStyle name="Normal 4 3 4" xfId="10044" xr:uid="{00000000-0005-0000-0000-000016130000}"/>
    <cellStyle name="Normal 4 3 4 2" xfId="11780" xr:uid="{00000000-0005-0000-0000-000017130000}"/>
    <cellStyle name="Normal 4 3 5" xfId="14322" xr:uid="{BF213774-8459-44EE-87E6-1AEE94EA78E2}"/>
    <cellStyle name="Normal 4 3_1.2.b" xfId="16260" xr:uid="{7B24E32B-7DB2-4545-A5C1-4CA72D69FA19}"/>
    <cellStyle name="Normal 4 4" xfId="136" xr:uid="{00000000-0005-0000-0000-000018130000}"/>
    <cellStyle name="Normal 4 4 2" xfId="9727" xr:uid="{00000000-0005-0000-0000-000019130000}"/>
    <cellStyle name="Normal 4 4 2 2" xfId="10427" xr:uid="{00000000-0005-0000-0000-00001A130000}"/>
    <cellStyle name="Normal 4 4 2 2 2" xfId="12162" xr:uid="{00000000-0005-0000-0000-00001B130000}"/>
    <cellStyle name="Normal 4 4 2 3" xfId="11515" xr:uid="{00000000-0005-0000-0000-00001C130000}"/>
    <cellStyle name="Normal 4 4 2 4" xfId="14744" xr:uid="{81EBCC69-7C4A-488F-A145-00390509E39E}"/>
    <cellStyle name="Normal 4 4 2_1.2.b" xfId="16262" xr:uid="{5AA510DD-D79C-4076-871C-E09F9C66F272}"/>
    <cellStyle name="Normal 4 4 3" xfId="4310" xr:uid="{00000000-0005-0000-0000-00001D130000}"/>
    <cellStyle name="Normal 4 4 3 2" xfId="11118" xr:uid="{00000000-0005-0000-0000-00001E130000}"/>
    <cellStyle name="Normal 4 4 4" xfId="10130" xr:uid="{00000000-0005-0000-0000-00001F130000}"/>
    <cellStyle name="Normal 4 4 4 2" xfId="11866" xr:uid="{00000000-0005-0000-0000-000020130000}"/>
    <cellStyle name="Normal 4 4 5" xfId="10663" xr:uid="{00000000-0005-0000-0000-000021130000}"/>
    <cellStyle name="Normal 4 4 6" xfId="14323" xr:uid="{1F103B90-5B36-49C0-95EA-99A9C59AF62B}"/>
    <cellStyle name="Normal 4 4_1.2.b" xfId="16261" xr:uid="{CBE605F4-4AAD-4A47-9B8A-D60694BAA825}"/>
    <cellStyle name="Normal 4 5" xfId="1457" xr:uid="{00000000-0005-0000-0000-000022130000}"/>
    <cellStyle name="Normal 4 5 2" xfId="14745" xr:uid="{6DEEAC4F-171C-460E-BF65-FB94617455F3}"/>
    <cellStyle name="Normal 4 5 3" xfId="14324" xr:uid="{71968D4B-A870-47FD-872C-BBCF08925011}"/>
    <cellStyle name="Normal 4 5_1.2.b" xfId="16263" xr:uid="{B77AEF29-56C0-48D3-BCB2-645BCF0BFA74}"/>
    <cellStyle name="Normal 4 6" xfId="9903" xr:uid="{00000000-0005-0000-0000-000023130000}"/>
    <cellStyle name="Normal 4 6 2" xfId="14325" xr:uid="{6719D7A3-FC3F-4FD4-853F-8D26AC8C01C2}"/>
    <cellStyle name="Normal 4 6_1.2.b" xfId="16264" xr:uid="{E68096FA-A628-42F5-B6FB-820AEB345AF2}"/>
    <cellStyle name="Normal 4 7" xfId="14317" xr:uid="{3152B5FC-C879-44E3-A977-400346D550C5}"/>
    <cellStyle name="Normal 4 8" xfId="17899" xr:uid="{1DA90079-8699-4137-AD38-CD5431B31EF1}"/>
    <cellStyle name="Normal 4 9" xfId="18247" xr:uid="{E934FD91-E87B-4572-AE38-BC7656E0DC60}"/>
    <cellStyle name="Normal 4_1.2.b" xfId="16254" xr:uid="{45BD2DB2-3DC7-4450-B5F8-8A1522FD10D3}"/>
    <cellStyle name="Normal 40" xfId="10590" xr:uid="{00000000-0005-0000-0000-000024130000}"/>
    <cellStyle name="Normal 40 2" xfId="12323" xr:uid="{00000000-0005-0000-0000-000025130000}"/>
    <cellStyle name="Normal 40 2 2" xfId="14327" xr:uid="{8658511D-00AC-420A-B9DE-98EA782B46C5}"/>
    <cellStyle name="Normal 40 2 3" xfId="17902" xr:uid="{FDB3A0D5-4B9A-417A-92B0-51C2D935B691}"/>
    <cellStyle name="Normal 40 2_1.2.b" xfId="16266" xr:uid="{4B985D95-5E6A-4E56-9A7F-5B60DCCE6981}"/>
    <cellStyle name="Normal 40 3" xfId="14326" xr:uid="{B1F5E399-7E65-4B43-AD49-7D0CD4296690}"/>
    <cellStyle name="Normal 40 4" xfId="17901" xr:uid="{7C2C2100-8A1A-4922-BBBE-85C5A2315565}"/>
    <cellStyle name="Normal 40_1.2.b" xfId="16265" xr:uid="{579898D4-0722-4E49-99F5-6CD2C57ED29B}"/>
    <cellStyle name="Normal 41" xfId="10591" xr:uid="{00000000-0005-0000-0000-000026130000}"/>
    <cellStyle name="Normal 41 2" xfId="14329" xr:uid="{35F46E4B-FCB7-4D56-AC45-F433107D4923}"/>
    <cellStyle name="Normal 41 2 2" xfId="17904" xr:uid="{F586682D-BE44-41E8-B283-921A24083D83}"/>
    <cellStyle name="Normal 41 2_1.2.b" xfId="16268" xr:uid="{EC7894CC-4244-4A6D-95E0-6625170F2826}"/>
    <cellStyle name="Normal 41 3" xfId="14328" xr:uid="{C070ACF7-0955-43A8-96C5-F7507E3142A6}"/>
    <cellStyle name="Normal 41 4" xfId="17903" xr:uid="{7A6CBAEA-9D5A-428F-8E18-9B4599D395BD}"/>
    <cellStyle name="Normal 41_1.2.b" xfId="16267" xr:uid="{33A8F685-156D-45AA-BFB2-6B2CF012F57D}"/>
    <cellStyle name="Normal 42" xfId="10594" xr:uid="{00000000-0005-0000-0000-000027130000}"/>
    <cellStyle name="Normal 42 2" xfId="14331" xr:uid="{16FD49BB-0E85-4DC4-A140-D39CE07B2033}"/>
    <cellStyle name="Normal 42 2 2" xfId="17906" xr:uid="{F8BD9409-4F34-42B6-B3B8-1EF35594D561}"/>
    <cellStyle name="Normal 42 2_1.2.b" xfId="16270" xr:uid="{20E20793-AF7C-4049-A450-420B278348D2}"/>
    <cellStyle name="Normal 42 3" xfId="14330" xr:uid="{CB3A4874-F33F-4206-955F-224B6359F311}"/>
    <cellStyle name="Normal 42 4" xfId="17905" xr:uid="{B539E8B3-9430-41F1-A124-3C0899A85DE9}"/>
    <cellStyle name="Normal 42_1.2.b" xfId="16269" xr:uid="{D4DB1745-3D89-4477-B81A-18049FA47DFD}"/>
    <cellStyle name="Normal 43" xfId="10595" xr:uid="{00000000-0005-0000-0000-000028130000}"/>
    <cellStyle name="Normal 43 2" xfId="12324" xr:uid="{00000000-0005-0000-0000-000029130000}"/>
    <cellStyle name="Normal 43 2 2" xfId="14333" xr:uid="{F9F014D3-2611-45CE-8FDD-A602BB08614B}"/>
    <cellStyle name="Normal 43 2 3" xfId="17908" xr:uid="{E48269A0-A7E5-4AB1-AA73-E0A65AA18548}"/>
    <cellStyle name="Normal 43 2_1.2.b" xfId="16272" xr:uid="{09926BE9-D365-4220-96FA-C78AC29EB686}"/>
    <cellStyle name="Normal 43 3" xfId="14332" xr:uid="{8F9E2ADD-4410-4847-9F90-071D5D539E65}"/>
    <cellStyle name="Normal 43 4" xfId="17907" xr:uid="{D5621A09-E2AD-4B21-9DBE-CA4EA7115404}"/>
    <cellStyle name="Normal 43_1.2.b" xfId="16271" xr:uid="{7D6A5B5D-58ED-48B6-8CCA-67F9E83753DF}"/>
    <cellStyle name="Normal 44" xfId="10596" xr:uid="{00000000-0005-0000-0000-00002A130000}"/>
    <cellStyle name="Normal 44 2" xfId="12325" xr:uid="{00000000-0005-0000-0000-00002B130000}"/>
    <cellStyle name="Normal 44 2 2" xfId="14335" xr:uid="{9D4239FF-E455-4A29-B4D6-2FB8D7346E32}"/>
    <cellStyle name="Normal 44 2 3" xfId="17910" xr:uid="{709E69C6-7CF1-4CD2-9608-59BED84904F1}"/>
    <cellStyle name="Normal 44 2_1.2.b" xfId="16274" xr:uid="{C7BDEEDB-AFC7-4892-9B86-E71D18E8B2E1}"/>
    <cellStyle name="Normal 44 3" xfId="14334" xr:uid="{BF2A29A7-183F-4C10-BF10-AC7494B7D8CE}"/>
    <cellStyle name="Normal 44 4" xfId="17909" xr:uid="{32F99608-8764-4A3C-BB33-CC43F4ACE581}"/>
    <cellStyle name="Normal 44_1.2.b" xfId="16273" xr:uid="{CF8C1E77-98F4-4306-8C9E-D2689E2D766B}"/>
    <cellStyle name="Normal 45" xfId="10610" xr:uid="{00000000-0005-0000-0000-00002C130000}"/>
    <cellStyle name="Normal 45 2" xfId="12339" xr:uid="{00000000-0005-0000-0000-00002D130000}"/>
    <cellStyle name="Normal 45 2 2" xfId="14337" xr:uid="{30931C3B-138D-466F-B765-6AA710F789C3}"/>
    <cellStyle name="Normal 45 2 3" xfId="17912" xr:uid="{C9883786-BBF7-4934-8C20-2C2022D8F468}"/>
    <cellStyle name="Normal 45 2_1.2.b" xfId="16276" xr:uid="{C1CDE57D-0889-4E02-86AF-F0415CE3FE7A}"/>
    <cellStyle name="Normal 45 3" xfId="14336" xr:uid="{5CF2B1E9-7E8A-47F2-83FC-10751CAB8EEC}"/>
    <cellStyle name="Normal 45 4" xfId="17911" xr:uid="{06E0AD56-6B38-492E-BB32-B1CF101FEA11}"/>
    <cellStyle name="Normal 45_1.2.b" xfId="16275" xr:uid="{2FA13D1F-89A5-46FF-A7B7-EE1356C09A5A}"/>
    <cellStyle name="Normal 46" xfId="10611" xr:uid="{00000000-0005-0000-0000-00002E130000}"/>
    <cellStyle name="Normal 46 2" xfId="12340" xr:uid="{00000000-0005-0000-0000-00002F130000}"/>
    <cellStyle name="Normal 46 2 2" xfId="14339" xr:uid="{8D48BABE-3046-4814-AE2F-3964B661BF75}"/>
    <cellStyle name="Normal 46 2 3" xfId="17914" xr:uid="{B07A4A2E-4552-4293-B57E-84DFE3BDFAD6}"/>
    <cellStyle name="Normal 46 2_1.2.b" xfId="16278" xr:uid="{C755E9DC-1261-46F3-9D9B-9D06DCB6EA95}"/>
    <cellStyle name="Normal 46 3" xfId="14338" xr:uid="{68500C32-758E-4694-A38A-41DA9223A74A}"/>
    <cellStyle name="Normal 46 4" xfId="17913" xr:uid="{5C04CE34-AC57-4A04-B508-BD2500C854FF}"/>
    <cellStyle name="Normal 46_1.2.b" xfId="16277" xr:uid="{5E4D9030-C4B9-4738-BD90-BAD67F3D6CBC}"/>
    <cellStyle name="Normal 47" xfId="10615" xr:uid="{00000000-0005-0000-0000-000030130000}"/>
    <cellStyle name="Normal 47 2" xfId="12342" xr:uid="{00000000-0005-0000-0000-000031130000}"/>
    <cellStyle name="Normal 47 2 2" xfId="14341" xr:uid="{B5AD7DF0-D830-498E-889D-3046D8BEFF84}"/>
    <cellStyle name="Normal 47 2 3" xfId="17916" xr:uid="{EAD61A4B-1B95-4A4D-B8C3-D1BCB26900B9}"/>
    <cellStyle name="Normal 47 2_1.2.b" xfId="16280" xr:uid="{7D08CEB2-BC46-4567-BD1C-8439A1C32DF8}"/>
    <cellStyle name="Normal 47 3" xfId="14340" xr:uid="{1028351B-BDDF-40D9-AADB-C5589C02039A}"/>
    <cellStyle name="Normal 47 4" xfId="17915" xr:uid="{FF2316E9-B1C7-4EA8-96F0-B3F72FF2A042}"/>
    <cellStyle name="Normal 47_1.2.b" xfId="16279" xr:uid="{4840055E-30B5-4E53-86FA-AE698579F89E}"/>
    <cellStyle name="Normal 48" xfId="10616" xr:uid="{00000000-0005-0000-0000-000032130000}"/>
    <cellStyle name="Normal 48 2" xfId="14343" xr:uid="{54F9EB96-DC41-4D72-ADA5-C1FBD067B363}"/>
    <cellStyle name="Normal 48 2 2" xfId="17918" xr:uid="{94504F87-575F-4658-9E7A-5EB75B69795D}"/>
    <cellStyle name="Normal 48 2_1.2.b" xfId="16282" xr:uid="{4EA813F4-DDF5-4A40-9C2E-60D9E2324CD0}"/>
    <cellStyle name="Normal 48 3" xfId="14342" xr:uid="{34624971-920F-4B5D-AC43-463223AC160C}"/>
    <cellStyle name="Normal 48 4" xfId="17917" xr:uid="{4DEA22E4-5126-4304-9840-96489C5047E7}"/>
    <cellStyle name="Normal 48_1.2.b" xfId="16281" xr:uid="{28167FF4-2432-4D98-883A-8B642481EABC}"/>
    <cellStyle name="Normal 49" xfId="10631" xr:uid="{00000000-0005-0000-0000-000033130000}"/>
    <cellStyle name="Normal 49 2" xfId="14344" xr:uid="{AF527211-CC61-40E7-B032-DAC1A5F59AAC}"/>
    <cellStyle name="Normal 49 3" xfId="17919" xr:uid="{15C94DC2-0DAC-4437-92D2-7835F438B1AF}"/>
    <cellStyle name="Normal 49_1.2.b" xfId="16283" xr:uid="{A1B0BF1F-5A9F-40B5-A844-8595980066CB}"/>
    <cellStyle name="Normal 5" xfId="62" xr:uid="{00000000-0005-0000-0000-000034130000}"/>
    <cellStyle name="Normal 5 2" xfId="104" xr:uid="{00000000-0005-0000-0000-000035130000}"/>
    <cellStyle name="Normal 5 2 2" xfId="9589" xr:uid="{00000000-0005-0000-0000-000036130000}"/>
    <cellStyle name="Normal 5 3" xfId="4328" xr:uid="{00000000-0005-0000-0000-000037130000}"/>
    <cellStyle name="Normal 5 3 2" xfId="9739" xr:uid="{00000000-0005-0000-0000-000038130000}"/>
    <cellStyle name="Normal 5 3 2 2" xfId="10438" xr:uid="{00000000-0005-0000-0000-000039130000}"/>
    <cellStyle name="Normal 5 3 2 2 2" xfId="12173" xr:uid="{00000000-0005-0000-0000-00003A130000}"/>
    <cellStyle name="Normal 5 3 2 3" xfId="10563" xr:uid="{00000000-0005-0000-0000-00003B130000}"/>
    <cellStyle name="Normal 5 3 2 3 2" xfId="12298" xr:uid="{00000000-0005-0000-0000-00003C130000}"/>
    <cellStyle name="Normal 5 3 2 4" xfId="11526" xr:uid="{00000000-0005-0000-0000-00003D130000}"/>
    <cellStyle name="Normal 5 3 2 5" xfId="14346" xr:uid="{A2E701D6-B3FB-49CE-8C23-D2F7971D7AA6}"/>
    <cellStyle name="Normal 5 3 2 6" xfId="17921" xr:uid="{5EAC630B-2901-443D-92B4-34C82050BEC4}"/>
    <cellStyle name="Normal 5 3 2_1.2.b" xfId="16286" xr:uid="{65606346-F1EF-479B-8C44-0CB1085011A5}"/>
    <cellStyle name="Normal 5 3 3" xfId="10141" xr:uid="{00000000-0005-0000-0000-00003E130000}"/>
    <cellStyle name="Normal 5 3 3 2" xfId="11877" xr:uid="{00000000-0005-0000-0000-00003F130000}"/>
    <cellStyle name="Normal 5 3 3 3" xfId="14347" xr:uid="{14D0365E-1496-44DF-A196-B77CFEEEF5DF}"/>
    <cellStyle name="Normal 5 3 3 4" xfId="17922" xr:uid="{0B1379C0-EB2C-4857-B57E-F04E799BD021}"/>
    <cellStyle name="Normal 5 3 3_1.2.b" xfId="16287" xr:uid="{1AADC8CB-B72E-4709-A54A-715E81B13372}"/>
    <cellStyle name="Normal 5 3 4" xfId="10550" xr:uid="{00000000-0005-0000-0000-000040130000}"/>
    <cellStyle name="Normal 5 3 4 2" xfId="12285" xr:uid="{00000000-0005-0000-0000-000041130000}"/>
    <cellStyle name="Normal 5 3 4 2 2" xfId="14746" xr:uid="{45A94372-A65C-4A7A-961E-D1A3135B1537}"/>
    <cellStyle name="Normal 5 3 4 2_1.2.b" xfId="16289" xr:uid="{45DCB2AB-9FBA-47BC-81AF-D8DFDFA7EF9E}"/>
    <cellStyle name="Normal 5 3 4 3" xfId="14348" xr:uid="{4DB7B516-05C8-4CF1-B094-9AC151FB5F48}"/>
    <cellStyle name="Normal 5 3 4_1.2.b" xfId="16288" xr:uid="{0D16A0CE-907A-45BB-BF6B-6D9E6E765DD6}"/>
    <cellStyle name="Normal 5 3 5" xfId="11134" xr:uid="{00000000-0005-0000-0000-000042130000}"/>
    <cellStyle name="Normal 5 3 6" xfId="14345" xr:uid="{78064168-E657-4ACF-AE39-FF620AC794B6}"/>
    <cellStyle name="Normal 5 3 7" xfId="17920" xr:uid="{814B6B34-3B2E-41C6-8E27-87B1AFA977BA}"/>
    <cellStyle name="Normal 5 3_1.2.b" xfId="16285" xr:uid="{B8AA7F02-2745-4AB0-9EBD-E4EEE5757365}"/>
    <cellStyle name="Normal 5 4" xfId="7812" xr:uid="{00000000-0005-0000-0000-000043130000}"/>
    <cellStyle name="Normal 5 4 2" xfId="14747" xr:uid="{D3614124-9E7F-475A-8517-73907F9DE38C}"/>
    <cellStyle name="Normal 5 5" xfId="10643" xr:uid="{00000000-0005-0000-0000-000044130000}"/>
    <cellStyle name="Normal 5 5 2" xfId="14748" xr:uid="{E1C0B32D-281B-488F-8CCB-7C9426E88A55}"/>
    <cellStyle name="Normal 5 5 3" xfId="14349" xr:uid="{873734B8-BC01-49C3-99C6-2128F2317975}"/>
    <cellStyle name="Normal 5 5_1.2.b" xfId="16290" xr:uid="{161C610B-1B0B-40B4-A75F-2097C200D2FA}"/>
    <cellStyle name="Normal 5 6" xfId="14705" xr:uid="{726C9918-A362-4967-84E4-F6F7D2DFB246}"/>
    <cellStyle name="Normal 5_1.2.b" xfId="16284" xr:uid="{69282756-FAD3-4607-B2D4-FFAFEA90B446}"/>
    <cellStyle name="Normal 50" xfId="10617" xr:uid="{00000000-0005-0000-0000-000045130000}"/>
    <cellStyle name="Normal 50 2" xfId="14351" xr:uid="{03313B72-DD72-4DB6-AF80-B05BABC92607}"/>
    <cellStyle name="Normal 50 2 2" xfId="17924" xr:uid="{0C1220CC-564D-4F12-8EAA-457174B9A719}"/>
    <cellStyle name="Normal 50 2_1.2.b" xfId="16292" xr:uid="{1E936BFC-0AC4-4366-B454-AAE76BA08C8B}"/>
    <cellStyle name="Normal 50 3" xfId="14350" xr:uid="{A2D64851-DC0B-424F-AB9E-E3524047D022}"/>
    <cellStyle name="Normal 50 4" xfId="17923" xr:uid="{982A8A96-48F1-41AE-B34B-9584FD16F4D6}"/>
    <cellStyle name="Normal 50_1.2.b" xfId="16291" xr:uid="{FFA8D5BD-C270-4B1A-9895-791A01545202}"/>
    <cellStyle name="Normal 51" xfId="12353" xr:uid="{00000000-0005-0000-0000-000046130000}"/>
    <cellStyle name="Normal 51 2" xfId="14352" xr:uid="{A036871D-38DB-4021-AE3A-1C0524A77724}"/>
    <cellStyle name="Normal 51 3" xfId="17925" xr:uid="{4BC6857C-60E9-45A7-BCD6-2DF04481A06C}"/>
    <cellStyle name="Normal 51_1.2.b" xfId="16293" xr:uid="{DCD0A45A-777B-4DDF-B0BD-AA74103AE221}"/>
    <cellStyle name="Normal 52" xfId="12356" xr:uid="{00000000-0005-0000-0000-000047130000}"/>
    <cellStyle name="Normal 52 2" xfId="14354" xr:uid="{C402EBC0-2D5B-434C-92E3-ED415DF10075}"/>
    <cellStyle name="Normal 52 2 2" xfId="17927" xr:uid="{48643DA8-79D6-4C4F-A4B4-C4BB60FBEBC0}"/>
    <cellStyle name="Normal 52 2_1.2.b" xfId="16295" xr:uid="{51096801-23EF-4A47-B965-7E4E6B838C86}"/>
    <cellStyle name="Normal 52 3" xfId="14353" xr:uid="{7CF83923-523A-4EB6-8BAE-E68CDB223945}"/>
    <cellStyle name="Normal 52 4" xfId="17926" xr:uid="{1D9948B6-012C-4458-9152-ABA086D33384}"/>
    <cellStyle name="Normal 52_1.2.b" xfId="16294" xr:uid="{9E54B7E3-3423-45CB-82D2-F5D359F348C7}"/>
    <cellStyle name="Normal 53" xfId="12358" xr:uid="{00000000-0005-0000-0000-000048130000}"/>
    <cellStyle name="Normal 53 2" xfId="14355" xr:uid="{290CAD1A-FF99-4F66-AEB6-0222210186B1}"/>
    <cellStyle name="Normal 53 3" xfId="17928" xr:uid="{C2FA872A-D167-40F7-94E1-DA91E89102E2}"/>
    <cellStyle name="Normal 53_1.2.b" xfId="16296" xr:uid="{BD46B24D-F910-4E16-8EE1-7B8E8226BBF0}"/>
    <cellStyle name="Normal 54" xfId="12373" xr:uid="{00000000-0005-0000-0000-000049130000}"/>
    <cellStyle name="Normal 54 2" xfId="14357" xr:uid="{CB607F78-A10C-4037-B906-DBD391E31FD5}"/>
    <cellStyle name="Normal 54 2 2" xfId="17930" xr:uid="{700DD6F8-4B9B-4D33-AEE5-EF6C50225006}"/>
    <cellStyle name="Normal 54 2_1.2.b" xfId="16298" xr:uid="{6288B59B-A946-4EA1-A631-4ECFCDABE658}"/>
    <cellStyle name="Normal 54 3" xfId="14356" xr:uid="{CA27018F-198D-4802-A3CB-4601B3D0AE95}"/>
    <cellStyle name="Normal 54 4" xfId="17929" xr:uid="{34817439-AF45-4E8C-9854-4622D7510F50}"/>
    <cellStyle name="Normal 54_1.2.b" xfId="16297" xr:uid="{088E8B33-D5D0-4C26-9DDF-5CC76D1C6F6E}"/>
    <cellStyle name="Normal 55" xfId="12389" xr:uid="{00000000-0005-0000-0000-00004A130000}"/>
    <cellStyle name="Normal 55 2" xfId="14359" xr:uid="{F3DB3F78-A06A-4E65-9B2B-4F18CBB09548}"/>
    <cellStyle name="Normal 55 2 2" xfId="17932" xr:uid="{B1126499-F8FB-4E3E-A724-982B324F3241}"/>
    <cellStyle name="Normal 55 2_1.2.b" xfId="16300" xr:uid="{DA0CE07E-0BDE-4FD5-823E-22D29CC39D36}"/>
    <cellStyle name="Normal 55 3" xfId="14358" xr:uid="{18921020-213B-413B-94DB-9FFF7452D36E}"/>
    <cellStyle name="Normal 55 4" xfId="17931" xr:uid="{69232A6C-2A71-4607-AA02-836C53F017AD}"/>
    <cellStyle name="Normal 55_1.2.b" xfId="16299" xr:uid="{F304699F-7CF8-4898-A9EB-15443AEB7E9F}"/>
    <cellStyle name="Normal 56" xfId="12391" xr:uid="{00000000-0005-0000-0000-00004B130000}"/>
    <cellStyle name="Normal 56 2" xfId="14360" xr:uid="{AE3633A4-32A4-4248-AD09-6166B9BE84C2}"/>
    <cellStyle name="Normal 56 3" xfId="17933" xr:uid="{2AAA3C85-29B0-499C-A9F2-94B932767C0A}"/>
    <cellStyle name="Normal 56_1.2.b" xfId="16301" xr:uid="{5743E398-2D79-4281-A5F5-D6AAF48206E4}"/>
    <cellStyle name="Normal 57" xfId="12399" xr:uid="{00000000-0005-0000-0000-00004C130000}"/>
    <cellStyle name="Normal 57 2" xfId="14362" xr:uid="{4757F3DC-0346-494E-9F13-4CC148022865}"/>
    <cellStyle name="Normal 57 2 2" xfId="17935" xr:uid="{C8D9885C-8F92-405D-B00D-361B9C5B834A}"/>
    <cellStyle name="Normal 57 2_1.2.b" xfId="16303" xr:uid="{A74B89A3-893C-4A4C-B6F2-F5B7950F6712}"/>
    <cellStyle name="Normal 57 3" xfId="14361" xr:uid="{1F18DBC2-558F-4CF9-B697-1013F534D970}"/>
    <cellStyle name="Normal 57 4" xfId="17934" xr:uid="{C54AF9A7-7182-4E4C-9857-4DBD87306541}"/>
    <cellStyle name="Normal 57_1.2.b" xfId="16302" xr:uid="{DF3FE8D1-A15D-4272-A722-039256C6BFE5}"/>
    <cellStyle name="Normal 58" xfId="12400" xr:uid="{C46F2DA2-C7E8-4880-9777-9608C6F2C1E2}"/>
    <cellStyle name="Normal 58 2" xfId="14364" xr:uid="{DA0FF579-E986-4DBB-B3BF-D58488E9A6BB}"/>
    <cellStyle name="Normal 58 2 2" xfId="17937" xr:uid="{A1CABEF3-CA9F-426F-B253-C6D68D73CB27}"/>
    <cellStyle name="Normal 58 2_1.2.b" xfId="16305" xr:uid="{D9B7E7BE-F7A6-40AE-B3C9-CE8ABF5F5ADB}"/>
    <cellStyle name="Normal 58 3" xfId="14363" xr:uid="{DDAFB232-C2FC-4428-9232-E1DFE3D35F87}"/>
    <cellStyle name="Normal 58 4" xfId="17936" xr:uid="{E9290C59-37BE-47DB-80C5-78A67CCA0088}"/>
    <cellStyle name="Normal 58_1.2.b" xfId="16304" xr:uid="{09C0898B-CA06-4A8C-A378-E2CCDA3E39FE}"/>
    <cellStyle name="Normal 59" xfId="12402" xr:uid="{948AAA26-3FC6-4FCB-9BF9-2D6EB69DE39F}"/>
    <cellStyle name="Normal 59 2" xfId="14365" xr:uid="{05F1D075-38B8-44D6-8FD3-BFDC03B62294}"/>
    <cellStyle name="Normal 59 3" xfId="17938" xr:uid="{71FF98D3-572D-40EF-BFCC-D672D4AD7E4D}"/>
    <cellStyle name="Normal 59_1.2.b" xfId="16306" xr:uid="{BA3417A8-9E46-459A-8A29-21CEF00DCAA7}"/>
    <cellStyle name="Normal 6" xfId="105" xr:uid="{00000000-0005-0000-0000-00004D130000}"/>
    <cellStyle name="Normal 6 2" xfId="4049" xr:uid="{00000000-0005-0000-0000-00004E130000}"/>
    <cellStyle name="Normal 6 2 2" xfId="9554" xr:uid="{00000000-0005-0000-0000-00004F130000}"/>
    <cellStyle name="Normal 6 3" xfId="7813" xr:uid="{00000000-0005-0000-0000-000050130000}"/>
    <cellStyle name="Normal 6 3 2" xfId="14749" xr:uid="{4B0D4BA0-218C-49CB-BFB3-8400AFF9C584}"/>
    <cellStyle name="Normal 6 4" xfId="14366" xr:uid="{303AEFB8-0F63-4CC5-BCCA-169177EF9535}"/>
    <cellStyle name="Normal 6 4 2" xfId="14750" xr:uid="{1141F93D-26D1-491B-B3F5-F6A035766197}"/>
    <cellStyle name="Normal 6 5" xfId="14367" xr:uid="{0596F238-B0FF-491F-8FEF-533489BD9635}"/>
    <cellStyle name="Normal 6 5 2" xfId="17939" xr:uid="{E419C5B6-40E6-49D6-A196-76DBB8B1DEEC}"/>
    <cellStyle name="Normal 6 5_1.2.b" xfId="16307" xr:uid="{475813EE-4068-4294-8E3E-726B180497CD}"/>
    <cellStyle name="Normal 6 6" xfId="14706" xr:uid="{75B74782-3F4B-4F2A-BC06-79845F787C88}"/>
    <cellStyle name="Normal 60" xfId="14368" xr:uid="{5E2D4027-CBB8-4EBF-A6D2-78E29691FF6B}"/>
    <cellStyle name="Normal 60 2" xfId="17940" xr:uid="{3D81A481-27C7-4D2D-B9A2-99D2FECB3B82}"/>
    <cellStyle name="Normal 60_1.2.b" xfId="16308" xr:uid="{B60D9BC4-B6FC-417E-A531-D8B0DCC89012}"/>
    <cellStyle name="Normal 61" xfId="14369" xr:uid="{6BA8EEE4-73F0-4BA8-A395-0452A3CE2F45}"/>
    <cellStyle name="Normal 61 2" xfId="14370" xr:uid="{F2AA8C74-1BBA-4E03-90E9-2EE702F5795B}"/>
    <cellStyle name="Normal 61 2 2" xfId="17942" xr:uid="{F82B15DF-FEDD-4369-99EA-066494B2484B}"/>
    <cellStyle name="Normal 61 2_1.2.b" xfId="16310" xr:uid="{5DF0637D-21D9-4CA6-8845-B59E7B32092B}"/>
    <cellStyle name="Normal 61 3" xfId="17941" xr:uid="{807358B0-1DEB-4B5D-ABAA-B0495B1DC644}"/>
    <cellStyle name="Normal 61_1.2.b" xfId="16309" xr:uid="{230F3697-0629-428F-A005-C8A08F77E10A}"/>
    <cellStyle name="Normal 62" xfId="14371" xr:uid="{AA433BA3-C871-4E8E-9358-DBBC51D1FDEE}"/>
    <cellStyle name="Normal 62 2" xfId="14372" xr:uid="{83E2FE43-D5F5-4769-BFF0-C75AD356A7D5}"/>
    <cellStyle name="Normal 62 2 2" xfId="17944" xr:uid="{2BCB7550-1B58-4A5E-B418-B3F8FC4EEA76}"/>
    <cellStyle name="Normal 62 2_1.2.b" xfId="16312" xr:uid="{269F8DC3-A2BF-4040-8B9D-E387B35CA63C}"/>
    <cellStyle name="Normal 62 3" xfId="17943" xr:uid="{F1CB2951-09A6-45BD-BC6B-D969B600B57F}"/>
    <cellStyle name="Normal 62_1.2.b" xfId="16311" xr:uid="{A48BD671-4833-4FEF-A79D-90A5E75C6C59}"/>
    <cellStyle name="Normal 63" xfId="14373" xr:uid="{A787C407-16EF-41CD-8CAB-70830B72A400}"/>
    <cellStyle name="Normal 63 2" xfId="14374" xr:uid="{772E5093-51DE-41E5-8925-A40C1DD32040}"/>
    <cellStyle name="Normal 63 2 2" xfId="17946" xr:uid="{23CC1517-B163-4DA7-9DA8-72E61DB359F1}"/>
    <cellStyle name="Normal 63 2_1.2.b" xfId="16314" xr:uid="{2533CCA7-3529-4ED9-A600-61838CEBEEE8}"/>
    <cellStyle name="Normal 63 3" xfId="17945" xr:uid="{EDB4E3D5-C0F6-4DE9-BDD4-5198DD80169F}"/>
    <cellStyle name="Normal 63_1.2.b" xfId="16313" xr:uid="{D8C9FB32-840F-43C1-A485-DAC153A8E353}"/>
    <cellStyle name="Normal 64" xfId="14375" xr:uid="{E94B879C-7306-45B8-8842-BFF56C1BFC97}"/>
    <cellStyle name="Normal 64 2" xfId="14376" xr:uid="{02DD4FA1-7B39-4264-B59A-D10FD3B17720}"/>
    <cellStyle name="Normal 64 2 2" xfId="17948" xr:uid="{BCD82315-B577-4449-8CDE-4BEF903F0E72}"/>
    <cellStyle name="Normal 64 2_1.2.b" xfId="16316" xr:uid="{ADCF21C1-F971-48FE-99E1-C6A711F37002}"/>
    <cellStyle name="Normal 64 3" xfId="17947" xr:uid="{3F41A2E1-3031-4C93-A58A-2662A2F75722}"/>
    <cellStyle name="Normal 64_1.2.b" xfId="16315" xr:uid="{8309E2E0-209C-4907-BD68-233DFB96C25F}"/>
    <cellStyle name="Normal 65" xfId="14377" xr:uid="{6C30A0FA-C1CC-47F1-ABAF-702F4813648A}"/>
    <cellStyle name="Normal 65 2" xfId="14378" xr:uid="{A0C6BE65-249B-4EDB-85F0-BDA5B17EECEE}"/>
    <cellStyle name="Normal 65 2 2" xfId="17950" xr:uid="{C40820DF-728D-40F3-87AE-050CB3276141}"/>
    <cellStyle name="Normal 65 2_1.2.b" xfId="16318" xr:uid="{66C25ACB-5F90-43FE-8EB1-C1DE79A80856}"/>
    <cellStyle name="Normal 65 3" xfId="17949" xr:uid="{9BA3664B-42B4-4FCD-B8C4-0615C2CAC93A}"/>
    <cellStyle name="Normal 65_1.2.b" xfId="16317" xr:uid="{ACD7E2DD-934A-4C50-BE9B-5C0796DB0A7E}"/>
    <cellStyle name="Normal 66" xfId="14379" xr:uid="{31BEBECB-2F42-45B6-82D7-D0B1BC22A49E}"/>
    <cellStyle name="Normal 66 2" xfId="14380" xr:uid="{412E646B-B132-4532-A348-CAFEF48083E9}"/>
    <cellStyle name="Normal 66 2 2" xfId="17952" xr:uid="{2608C178-749F-4C75-9762-40121004AAA3}"/>
    <cellStyle name="Normal 66 2_1.2.b" xfId="16320" xr:uid="{06321D50-CD2B-47C6-BE32-9551A8D34852}"/>
    <cellStyle name="Normal 66 3" xfId="17951" xr:uid="{24987D30-A2EF-49C7-A10C-CECCF159687F}"/>
    <cellStyle name="Normal 66_1.2.b" xfId="16319" xr:uid="{6B46C10D-C3B4-4BCE-95FC-15978E1E7595}"/>
    <cellStyle name="Normal 67" xfId="14381" xr:uid="{90E54C8F-D023-4199-997C-0ADF2AA02DD0}"/>
    <cellStyle name="Normal 67 2" xfId="14382" xr:uid="{B20EF808-F861-4B08-B4B8-37E73819B4D0}"/>
    <cellStyle name="Normal 67 2 2" xfId="17954" xr:uid="{23916960-4F83-4672-B6D0-D59488A783F7}"/>
    <cellStyle name="Normal 67 2_1.2.b" xfId="16322" xr:uid="{2605317A-7587-49BA-9B66-B4D94E051286}"/>
    <cellStyle name="Normal 67 3" xfId="17953" xr:uid="{ECFA18D2-5FFF-4AFC-8788-CCB32EE6A905}"/>
    <cellStyle name="Normal 67_1.2.b" xfId="16321" xr:uid="{158A0C8C-6A57-46FB-84A0-73DCC67640CF}"/>
    <cellStyle name="Normal 68" xfId="14383" xr:uid="{89C1257E-291D-4F4B-AFBF-80D832C39833}"/>
    <cellStyle name="Normal 68 2" xfId="14384" xr:uid="{FC1D3BC4-8837-4257-84C0-BB2378E37C45}"/>
    <cellStyle name="Normal 68 2 2" xfId="17956" xr:uid="{E045E654-F4DD-4493-9B7E-006FC16E1A25}"/>
    <cellStyle name="Normal 68 2_1.2.b" xfId="16324" xr:uid="{D623953B-EE1D-4BEA-A4AA-4D5CCE6CD6E1}"/>
    <cellStyle name="Normal 68 3" xfId="17955" xr:uid="{0FD7B613-3028-4B57-8CF5-2D27B9A901E1}"/>
    <cellStyle name="Normal 68_1.2.b" xfId="16323" xr:uid="{1047B223-7C7A-4EC0-868F-D945D3AC5F0E}"/>
    <cellStyle name="Normal 69" xfId="14385" xr:uid="{4DF37DB9-552F-44AE-A848-03444A0CE499}"/>
    <cellStyle name="Normal 69 2" xfId="14386" xr:uid="{4127F6A3-C9BF-43DC-AFAA-A858DA4B5585}"/>
    <cellStyle name="Normal 69 2 2" xfId="17958" xr:uid="{5CA29D17-63B3-4DED-8D79-CBAB1447B6C5}"/>
    <cellStyle name="Normal 69 2_1.2.b" xfId="16326" xr:uid="{9FE332F0-0A76-472F-A117-FD0EB0F357F7}"/>
    <cellStyle name="Normal 69 3" xfId="17957" xr:uid="{0BB1C515-6E6D-43F0-9B4E-DB317D0DCB04}"/>
    <cellStyle name="Normal 69_1.2.b" xfId="16325" xr:uid="{8DD5E8C2-EAD0-486C-A8EC-3DE4B9DD5F37}"/>
    <cellStyle name="Normal 7" xfId="106" xr:uid="{00000000-0005-0000-0000-000051130000}"/>
    <cellStyle name="Normal 7 10" xfId="18251" xr:uid="{D8121339-0D4D-4E69-9A27-DBE600134EF8}"/>
    <cellStyle name="Normal 7 2" xfId="4223" xr:uid="{00000000-0005-0000-0000-000052130000}"/>
    <cellStyle name="Normal 7 2 2" xfId="9658" xr:uid="{00000000-0005-0000-0000-000053130000}"/>
    <cellStyle name="Normal 7 2 2 2" xfId="10359" xr:uid="{00000000-0005-0000-0000-000054130000}"/>
    <cellStyle name="Normal 7 2 2 2 2" xfId="12094" xr:uid="{00000000-0005-0000-0000-000055130000}"/>
    <cellStyle name="Normal 7 2 2 3" xfId="11447" xr:uid="{00000000-0005-0000-0000-000056130000}"/>
    <cellStyle name="Normal 7 2 2 4" xfId="14751" xr:uid="{948EC5D1-E552-4C51-B52E-1646ABE2F17A}"/>
    <cellStyle name="Normal 7 2 2_1.2.b" xfId="16329" xr:uid="{EA3429F5-0AE5-436A-BC8B-5B5CB0FA2368}"/>
    <cellStyle name="Normal 7 2 3" xfId="10062" xr:uid="{00000000-0005-0000-0000-000057130000}"/>
    <cellStyle name="Normal 7 2 3 2" xfId="11798" xr:uid="{00000000-0005-0000-0000-000058130000}"/>
    <cellStyle name="Normal 7 2 4" xfId="11034" xr:uid="{00000000-0005-0000-0000-000059130000}"/>
    <cellStyle name="Normal 7 2 5" xfId="14388" xr:uid="{092B3AEB-1147-4325-9428-F495B1CD395E}"/>
    <cellStyle name="Normal 7 2_1.2.b" xfId="16328" xr:uid="{A07AC126-B6A9-4AD5-9C74-815504D31BD7}"/>
    <cellStyle name="Normal 7 3" xfId="1458" xr:uid="{00000000-0005-0000-0000-00005A130000}"/>
    <cellStyle name="Normal 7 4" xfId="9904" xr:uid="{00000000-0005-0000-0000-00005B130000}"/>
    <cellStyle name="Normal 7 5" xfId="10655" xr:uid="{00000000-0005-0000-0000-00005C130000}"/>
    <cellStyle name="Normal 7 6" xfId="14387" xr:uid="{C1443673-87E5-49E1-B26E-65B8C51D7A1D}"/>
    <cellStyle name="Normal 7 7" xfId="17959" xr:uid="{C2AD68FE-2741-40CC-9D43-CD0B7E783B6C}"/>
    <cellStyle name="Normal 7 8" xfId="18252" xr:uid="{89571346-A3C7-4CC8-BEE3-554A495AD638}"/>
    <cellStyle name="Normal 7 9" xfId="17812" xr:uid="{DD44C270-B7CA-4612-BF8A-BC8BB7E1B14F}"/>
    <cellStyle name="Normal 7_1.2.b" xfId="16327" xr:uid="{B6F92AC0-735F-481D-BAEF-49764D0B7A07}"/>
    <cellStyle name="Normal 70" xfId="14389" xr:uid="{7096C9AD-59A6-4DD3-B9FE-77193EF564CD}"/>
    <cellStyle name="Normal 70 2" xfId="14390" xr:uid="{7F4DB5ED-C7E7-44B8-BC53-B36422FDA47C}"/>
    <cellStyle name="Normal 70 2 2" xfId="17961" xr:uid="{0FFD1301-9A5B-4C88-8494-87AEA2E6D8E5}"/>
    <cellStyle name="Normal 70 2_1.2.b" xfId="16331" xr:uid="{BD594254-1865-45EA-B2FC-E64513ABEC48}"/>
    <cellStyle name="Normal 70 3" xfId="17960" xr:uid="{7B312C9E-FECC-4340-A098-918AD68FBDA4}"/>
    <cellStyle name="Normal 70_1.2.b" xfId="16330" xr:uid="{4C9080F2-7CD7-4B0D-91DE-B2F0F681580D}"/>
    <cellStyle name="Normal 71" xfId="14391" xr:uid="{321485AF-59B1-45FB-87DD-96D4912A14B3}"/>
    <cellStyle name="Normal 71 2" xfId="14392" xr:uid="{5A519412-9422-4358-BB62-657D5FFF242E}"/>
    <cellStyle name="Normal 71 2 2" xfId="17963" xr:uid="{859DB012-D8CB-4DEF-B5FB-61D8EF5A989D}"/>
    <cellStyle name="Normal 71 2_1.2.b" xfId="16333" xr:uid="{0EE61CF4-5D83-4AD2-98AD-ABFFE9A4609C}"/>
    <cellStyle name="Normal 71 3" xfId="17962" xr:uid="{38D69451-F8CB-4B1C-B768-12D6B3CD3908}"/>
    <cellStyle name="Normal 71_1.2.b" xfId="16332" xr:uid="{59666CD7-4A7C-4835-A2A4-0A1236D03C82}"/>
    <cellStyle name="Normal 72" xfId="14393" xr:uid="{1F917B83-B5AF-4A84-8853-3223F11118A0}"/>
    <cellStyle name="Normal 72 2" xfId="14394" xr:uid="{EF492A0F-061B-4C16-8EAA-855064D73C23}"/>
    <cellStyle name="Normal 72 2 2" xfId="17965" xr:uid="{8351E5D6-22E4-4CAB-9361-9977D933B027}"/>
    <cellStyle name="Normal 72 2_1.2.b" xfId="16335" xr:uid="{EF2A6419-CAEA-4043-9A01-C19F25B4F0B0}"/>
    <cellStyle name="Normal 72 3" xfId="17964" xr:uid="{D3BE0485-F297-4E4E-A1BF-01724AEFF264}"/>
    <cellStyle name="Normal 72_1.2.b" xfId="16334" xr:uid="{E7C3FFC5-5202-49B2-B170-13F003A5F891}"/>
    <cellStyle name="Normal 73" xfId="14395" xr:uid="{234F013D-3B1E-4661-9364-19B0D0456868}"/>
    <cellStyle name="Normal 73 2" xfId="14396" xr:uid="{99C0E6BF-A1ED-4F3E-A72C-AE5A97EED8C5}"/>
    <cellStyle name="Normal 73 2 2" xfId="17967" xr:uid="{77BBDAD8-EE48-4B32-AB55-CF5556C019C4}"/>
    <cellStyle name="Normal 73 2_1.2.b" xfId="16337" xr:uid="{11E7984D-EA90-4F11-98D9-2A2CF4EA78D2}"/>
    <cellStyle name="Normal 73 3" xfId="17966" xr:uid="{674D7A5F-051D-4189-8DA1-084893A3DA0D}"/>
    <cellStyle name="Normal 73_1.2.b" xfId="16336" xr:uid="{97744215-3892-4453-A6AF-EA7FED0EE66A}"/>
    <cellStyle name="Normal 74" xfId="14397" xr:uid="{62C58C6D-BF72-4A57-8168-42A8F9596E16}"/>
    <cellStyle name="Normal 74 2" xfId="14398" xr:uid="{22CE2DE3-5EC0-4328-A231-D5FF47A73DF2}"/>
    <cellStyle name="Normal 74 2 2" xfId="17969" xr:uid="{F26D1970-AAF7-4D52-A7CE-D9FB2355FC1B}"/>
    <cellStyle name="Normal 74 2_1.2.b" xfId="16339" xr:uid="{222E160D-419C-48A0-80E1-8F42F5ADE8EA}"/>
    <cellStyle name="Normal 74 3" xfId="17968" xr:uid="{6BB1E4D3-F83C-4D82-827E-1073E06D2221}"/>
    <cellStyle name="Normal 74_1.2.b" xfId="16338" xr:uid="{9217762E-34CF-4472-B6C9-7CCB849F9D64}"/>
    <cellStyle name="Normal 75" xfId="14399" xr:uid="{9C808D7D-9E82-4ECB-89BA-33480DECFC3E}"/>
    <cellStyle name="Normal 75 2" xfId="14400" xr:uid="{6AA53BB7-68CF-45B6-B2DC-33A3A6811C2B}"/>
    <cellStyle name="Normal 75 2 2" xfId="17971" xr:uid="{2CDC6968-E68C-4153-BF82-C219AD7869C9}"/>
    <cellStyle name="Normal 75 2_1.2.b" xfId="16341" xr:uid="{C89B166F-F21C-4C3C-B3C8-F839EC807DA8}"/>
    <cellStyle name="Normal 75 3" xfId="17970" xr:uid="{446D9BBA-4B60-4DD2-8776-4D5F1A361D60}"/>
    <cellStyle name="Normal 75_1.2.b" xfId="16340" xr:uid="{CF3E80A6-C575-45AF-A3FD-42C2AFA0986C}"/>
    <cellStyle name="Normal 76" xfId="14401" xr:uid="{6DD8A3EA-ABE5-4782-B690-AAB8D41F3497}"/>
    <cellStyle name="Normal 76 2" xfId="14402" xr:uid="{109C797B-27B5-40CB-93D5-7DFC8507A412}"/>
    <cellStyle name="Normal 76 2 2" xfId="17973" xr:uid="{873BAE51-1BA5-414F-B249-3C09230CD5E4}"/>
    <cellStyle name="Normal 76 2_1.2.b" xfId="16343" xr:uid="{855FD4EF-424C-49E7-9963-34242AC586CB}"/>
    <cellStyle name="Normal 76 3" xfId="17972" xr:uid="{D698298B-14AC-4B46-B130-023B3379C911}"/>
    <cellStyle name="Normal 76_1.2.b" xfId="16342" xr:uid="{4C0A0061-38A9-4E7A-9786-228DB0D23764}"/>
    <cellStyle name="Normal 77" xfId="14403" xr:uid="{89963022-0725-4F78-9DCE-426F115EF620}"/>
    <cellStyle name="Normal 77 2" xfId="14404" xr:uid="{F4919EF4-F9DA-45BD-86E5-1A1BA157FA5E}"/>
    <cellStyle name="Normal 77 2 2" xfId="17975" xr:uid="{6D586F72-F96F-4EAB-B264-852C823F7A1A}"/>
    <cellStyle name="Normal 77 2_1.2.b" xfId="16345" xr:uid="{9CF504DC-619D-45B7-B8D2-A576DAE03832}"/>
    <cellStyle name="Normal 77 3" xfId="17974" xr:uid="{6B6AA5D3-E35A-4C6B-947E-9FF0BFF04655}"/>
    <cellStyle name="Normal 77_1.2.b" xfId="16344" xr:uid="{1750CA9B-4E2F-42F5-84D7-6A2BCE4B92F2}"/>
    <cellStyle name="Normal 78" xfId="14405" xr:uid="{F1F718EE-FBED-4AA1-AF8B-17C94E9B105D}"/>
    <cellStyle name="Normal 78 2" xfId="14406" xr:uid="{D8F622DE-17C0-4B84-87A4-E174E93AC593}"/>
    <cellStyle name="Normal 78 2 2" xfId="17977" xr:uid="{48745C3F-2BE0-430D-B9F2-EEAD9F84FA7E}"/>
    <cellStyle name="Normal 78 2_1.2.b" xfId="16347" xr:uid="{59B47018-0C44-4520-A8F7-A3C04E612216}"/>
    <cellStyle name="Normal 78 3" xfId="17976" xr:uid="{CF0245A1-5D46-4DA3-AB70-0E1EF4F460CB}"/>
    <cellStyle name="Normal 78_1.2.b" xfId="16346" xr:uid="{D387F571-BD15-4AD6-A18B-D7112CC6E973}"/>
    <cellStyle name="Normal 79" xfId="14407" xr:uid="{F23AEE9F-F62B-4FDC-92DD-36050F819182}"/>
    <cellStyle name="Normal 79 2" xfId="14408" xr:uid="{406576F7-B7EA-4809-9A3C-E486343D7C44}"/>
    <cellStyle name="Normal 79 2 2" xfId="17979" xr:uid="{82EDE7FB-3681-47F2-96CF-C812383D8664}"/>
    <cellStyle name="Normal 79 2_1.2.b" xfId="16349" xr:uid="{8DED582B-1F65-42D7-A890-96717C60A37E}"/>
    <cellStyle name="Normal 79 3" xfId="17978" xr:uid="{BD117F5B-36F6-4D3D-9A6D-6D4389019D6D}"/>
    <cellStyle name="Normal 79_1.2.b" xfId="16348" xr:uid="{3F2CAC50-FF7B-48F5-8B58-9A384A265324}"/>
    <cellStyle name="Normal 8" xfId="75" xr:uid="{00000000-0005-0000-0000-00005D130000}"/>
    <cellStyle name="Normal 8 2" xfId="4168" xr:uid="{00000000-0005-0000-0000-00005E130000}"/>
    <cellStyle name="Normal 8 2 2" xfId="9607" xr:uid="{00000000-0005-0000-0000-00005F130000}"/>
    <cellStyle name="Normal 8 3" xfId="7814" xr:uid="{00000000-0005-0000-0000-000060130000}"/>
    <cellStyle name="Normal 8 3 2" xfId="14752" xr:uid="{C23620DB-3C9D-463C-AF93-61C7829A4940}"/>
    <cellStyle name="Normal 8 4" xfId="1459" xr:uid="{00000000-0005-0000-0000-000061130000}"/>
    <cellStyle name="Normal 8_1.2.b" xfId="16350" xr:uid="{6B701323-16AB-4636-9413-0D4D702D57E8}"/>
    <cellStyle name="Normal 80" xfId="14409" xr:uid="{4C189CB8-C200-4CFA-8D77-AC60958A363E}"/>
    <cellStyle name="Normal 80 2" xfId="14410" xr:uid="{B82E7D06-4284-44B7-BCA7-BAB98D6C32A4}"/>
    <cellStyle name="Normal 80 2 2" xfId="17981" xr:uid="{E874F44E-B3A0-4134-94AF-5A85245E5F4D}"/>
    <cellStyle name="Normal 80 2_1.2.b" xfId="16352" xr:uid="{2F7427AD-0F5F-4DCF-B1AD-5D3C985E58CD}"/>
    <cellStyle name="Normal 80 3" xfId="17980" xr:uid="{4A954E84-A44C-4A46-B31A-148EC54A1B22}"/>
    <cellStyle name="Normal 80_1.2.b" xfId="16351" xr:uid="{95662D99-8BAD-46B1-977A-797E302617B6}"/>
    <cellStyle name="Normal 81" xfId="14411" xr:uid="{B0538C49-B407-4961-9209-26F571735517}"/>
    <cellStyle name="Normal 81 2" xfId="14412" xr:uid="{4AB72C18-A306-4ED3-BB03-AED7558CB3C9}"/>
    <cellStyle name="Normal 81 2 2" xfId="17983" xr:uid="{3D1B6750-5211-4954-B732-910F12BE17FA}"/>
    <cellStyle name="Normal 81 2_1.2.b" xfId="16354" xr:uid="{1E2F42B4-D0DD-4DAD-ADD6-5B944D21E162}"/>
    <cellStyle name="Normal 81 3" xfId="17982" xr:uid="{B2EA7F10-49CD-4A3E-B0FE-B65886BFC94A}"/>
    <cellStyle name="Normal 81_1.2.b" xfId="16353" xr:uid="{B1019D22-995B-4069-BDBF-DD7BDBFFF3CB}"/>
    <cellStyle name="Normal 82" xfId="14413" xr:uid="{CB2F5147-3760-410B-A528-27EB665ABFBE}"/>
    <cellStyle name="Normal 82 2" xfId="14414" xr:uid="{C0ABEDDD-E6BC-49D3-8A07-F4D3158B4A3B}"/>
    <cellStyle name="Normal 82 2 2" xfId="17985" xr:uid="{A5F550CC-0790-4782-8727-78CB8DE50AED}"/>
    <cellStyle name="Normal 82 2_1.2.b" xfId="16356" xr:uid="{A62E6315-15F3-4289-9B33-29C207FED548}"/>
    <cellStyle name="Normal 82 3" xfId="17984" xr:uid="{25FD03B3-F121-49E2-803C-79B51A6C61D6}"/>
    <cellStyle name="Normal 82_1.2.b" xfId="16355" xr:uid="{959D7B90-B411-4924-B3B6-AF0B670A5FC4}"/>
    <cellStyle name="Normal 83" xfId="14415" xr:uid="{DE920A9E-CD55-4937-849A-DBAE7DD96EF3}"/>
    <cellStyle name="Normal 83 2" xfId="14416" xr:uid="{FA1434DB-82B8-40CF-803E-027F47261994}"/>
    <cellStyle name="Normal 83 2 2" xfId="17987" xr:uid="{86ED2D1B-D744-4C34-96D9-706F70EE8C54}"/>
    <cellStyle name="Normal 83 2_1.2.b" xfId="16358" xr:uid="{F341DBED-3155-4771-8CCD-25D6B1158E80}"/>
    <cellStyle name="Normal 83 3" xfId="17986" xr:uid="{A34AC983-772F-4835-A791-A571BA740FFB}"/>
    <cellStyle name="Normal 83_1.2.b" xfId="16357" xr:uid="{699382AE-8A63-49D9-A1F0-6BE77CD82348}"/>
    <cellStyle name="Normal 84" xfId="14417" xr:uid="{E65C92BE-36C6-456F-9686-636B9968FA11}"/>
    <cellStyle name="Normal 84 2" xfId="14418" xr:uid="{79D2EA0F-E95A-4FDC-AD60-3A35C4A855E6}"/>
    <cellStyle name="Normal 84 2 2" xfId="17989" xr:uid="{1538685A-B1D6-4DDB-88CC-AA8A280EF46B}"/>
    <cellStyle name="Normal 84 2_1.2.b" xfId="16360" xr:uid="{69AFAED6-9287-4408-9F63-CD08C769C9FD}"/>
    <cellStyle name="Normal 84 3" xfId="17988" xr:uid="{DB1E3BF4-FDBC-448D-A75F-F9C176F655C7}"/>
    <cellStyle name="Normal 84_1.2.b" xfId="16359" xr:uid="{295481AB-19AB-4425-A039-AE968DC08F58}"/>
    <cellStyle name="Normal 85" xfId="14419" xr:uid="{1B373B10-BEAB-4BBD-B51B-DDA0C787A404}"/>
    <cellStyle name="Normal 85 2" xfId="17990" xr:uid="{16A191DD-64F0-4181-88D2-9973D46DE46C}"/>
    <cellStyle name="Normal 85_1.2.b" xfId="16361" xr:uid="{2785504A-363D-4AF6-80C9-BC327A5D266A}"/>
    <cellStyle name="Normal 86" xfId="14420" xr:uid="{695ADBC9-E645-4707-B1F9-2989821A15AF}"/>
    <cellStyle name="Normal 86 2" xfId="17991" xr:uid="{61E7E3F4-70A1-4574-857B-CB7A9A3F0929}"/>
    <cellStyle name="Normal 86_1.2.b" xfId="16362" xr:uid="{22285B52-7B45-4EDF-84E9-4E10D1804FE4}"/>
    <cellStyle name="Normal 87" xfId="14421" xr:uid="{9257BC34-7D57-435E-950F-790663D261CC}"/>
    <cellStyle name="Normal 87 2" xfId="17992" xr:uid="{F622A115-5D58-4A1A-8AF2-19B6CB4B2226}"/>
    <cellStyle name="Normal 87_1.2.b" xfId="16363" xr:uid="{D083AAF1-4981-4319-94C8-15D8033F86ED}"/>
    <cellStyle name="Normal 88" xfId="14422" xr:uid="{0C0A031C-5EEA-4050-8EC9-987985A5499B}"/>
    <cellStyle name="Normal 88 2" xfId="17993" xr:uid="{BAF26C9E-A077-4E5F-9F90-4BF2A75A3F3A}"/>
    <cellStyle name="Normal 88_1.2.b" xfId="16364" xr:uid="{A450CB57-E89E-4095-B3E0-B0FFB6FB9B44}"/>
    <cellStyle name="Normal 89" xfId="14423" xr:uid="{3D1F016B-9CA9-48BF-82D7-341D9AAFB015}"/>
    <cellStyle name="Normal 89 2" xfId="17994" xr:uid="{A95B19BE-FDC0-41D3-A1C5-69C0C12C63BA}"/>
    <cellStyle name="Normal 89_1.2.b" xfId="16365" xr:uid="{61171EFE-A42F-46F5-8AC0-D488DF17D947}"/>
    <cellStyle name="Normal 9" xfId="107" xr:uid="{00000000-0005-0000-0000-000062130000}"/>
    <cellStyle name="Normal 9 2" xfId="4035" xr:uid="{00000000-0005-0000-0000-000063130000}"/>
    <cellStyle name="Normal 9 2 2" xfId="14753" xr:uid="{778EAF89-E352-4C4D-A9B3-C4BD21A4544F}"/>
    <cellStyle name="Normal 9 3" xfId="10656" xr:uid="{00000000-0005-0000-0000-000064130000}"/>
    <cellStyle name="Normal 9 4" xfId="14424" xr:uid="{B0142E91-EF49-4ED1-A831-2BB09BE80988}"/>
    <cellStyle name="Normal 9 5" xfId="17995" xr:uid="{F7720456-532B-43B1-88D5-E7C22B39FDFB}"/>
    <cellStyle name="Normal 9_1.2.b" xfId="16366" xr:uid="{445B9F6C-1104-4FCE-A094-F5F392311877}"/>
    <cellStyle name="Normal 90" xfId="14425" xr:uid="{3E0FC90E-FB58-4521-95EE-FE25E18E6611}"/>
    <cellStyle name="Normal 90 2" xfId="17997" xr:uid="{4F960F13-39A0-4B03-AF31-2AA02538051C}"/>
    <cellStyle name="Normal 90_1.2.b" xfId="16367" xr:uid="{6B67E993-4216-4759-B265-D4F5F5D3DF03}"/>
    <cellStyle name="Normal 91" xfId="14426" xr:uid="{29273B9B-ADCA-4EDA-A585-92FD4A94867C}"/>
    <cellStyle name="Normal 92" xfId="14427" xr:uid="{FC311B30-03C8-4AB8-A689-EA1997D34168}"/>
    <cellStyle name="Normal 93" xfId="14428" xr:uid="{AE79BC04-5AAF-499B-93CC-D605505C013D}"/>
    <cellStyle name="Normal 94" xfId="14696" xr:uid="{E5734A3B-DC2E-4C25-B4AA-A88F04E130D1}"/>
    <cellStyle name="Normal 95" xfId="14697" xr:uid="{460E1C5D-0B1C-42D5-9880-9E21AC9E5BD1}"/>
    <cellStyle name="Normal 96" xfId="12408" xr:uid="{03021E3B-595D-47F7-BF4B-8E5D067575F8}"/>
    <cellStyle name="Normal 97" xfId="16506" xr:uid="{C6FC3CA1-136F-4E38-9524-4812F54AD05E}"/>
    <cellStyle name="Normal 98" xfId="18126" xr:uid="{4A775BF3-2E88-4B80-8039-B04F8C6BA89F}"/>
    <cellStyle name="Normal 99" xfId="18279" xr:uid="{1B01E673-BA9D-48CC-BE25-F710709B364A}"/>
    <cellStyle name="Normal_IDL" xfId="10" xr:uid="{00000000-0005-0000-0000-000065130000}"/>
    <cellStyle name="Normal_IDL_1" xfId="11" xr:uid="{00000000-0005-0000-0000-000066130000}"/>
    <cellStyle name="Normal_IPC_M" xfId="12" xr:uid="{00000000-0005-0000-0000-000067130000}"/>
    <cellStyle name="Normal_Ipc_s" xfId="13" xr:uid="{00000000-0005-0000-0000-000068130000}"/>
    <cellStyle name="Normal_IPMPE" xfId="14" xr:uid="{00000000-0005-0000-0000-000069130000}"/>
    <cellStyle name="Notas 10" xfId="9905" xr:uid="{00000000-0005-0000-0000-00006A130000}"/>
    <cellStyle name="Notas 10 2" xfId="12350" xr:uid="{00000000-0005-0000-0000-00006B130000}"/>
    <cellStyle name="Notas 10 2 2" xfId="14754" xr:uid="{2D3B696C-3384-4292-AF2E-F62BBBC66DA7}"/>
    <cellStyle name="Notas 10 2_1.2.b" xfId="16369" xr:uid="{1DA82061-A0D2-4E07-AAB8-71BDFE62B394}"/>
    <cellStyle name="Notas 10 3" xfId="12347" xr:uid="{00000000-0005-0000-0000-00006C130000}"/>
    <cellStyle name="Notas 10 4" xfId="14429" xr:uid="{0CBBF84B-E727-4A29-A722-7DADC2770BD2}"/>
    <cellStyle name="Notas 10_1.2.b" xfId="16368" xr:uid="{EA06FE16-8E22-423B-BD25-54D86CA588BB}"/>
    <cellStyle name="Notas 11" xfId="9915" xr:uid="{00000000-0005-0000-0000-00006D130000}"/>
    <cellStyle name="Notas 11 2" xfId="11652" xr:uid="{00000000-0005-0000-0000-00006E130000}"/>
    <cellStyle name="Notas 11 3" xfId="14430" xr:uid="{B65E56B7-4EF0-4DC2-8C06-E54B06EB4FB2}"/>
    <cellStyle name="Notas 11 4" xfId="17998" xr:uid="{D2D75CAD-26F5-4254-B362-67647A6D2DB1}"/>
    <cellStyle name="Notas 11_1.2.b" xfId="16370" xr:uid="{DF815DA4-6A69-4701-9DC0-717164DA2627}"/>
    <cellStyle name="Notas 12" xfId="10174" xr:uid="{00000000-0005-0000-0000-00006F130000}"/>
    <cellStyle name="Notas 12 2" xfId="11910" xr:uid="{00000000-0005-0000-0000-000070130000}"/>
    <cellStyle name="Notas 12 3" xfId="14431" xr:uid="{8BFD97BE-BA8B-40D9-B9AE-05C811019EFD}"/>
    <cellStyle name="Notas 12 4" xfId="17999" xr:uid="{DF69D583-040E-4C5E-A66C-01366D57071C}"/>
    <cellStyle name="Notas 12_1.2.b" xfId="16371" xr:uid="{7D893120-3108-4021-B982-E3844901FB79}"/>
    <cellStyle name="Notas 13" xfId="10530" xr:uid="{00000000-0005-0000-0000-000071130000}"/>
    <cellStyle name="Notas 13 2" xfId="12265" xr:uid="{00000000-0005-0000-0000-000072130000}"/>
    <cellStyle name="Notas 13 3" xfId="14432" xr:uid="{F330189A-2C68-4D7F-B18A-8274EDCB9BF5}"/>
    <cellStyle name="Notas 13 4" xfId="18000" xr:uid="{06439153-3236-4818-8286-3E2A934A0C2F}"/>
    <cellStyle name="Notas 13_1.2.b" xfId="16372" xr:uid="{7AB9FC65-87A9-42E0-836D-6C580E6073CF}"/>
    <cellStyle name="Notas 14" xfId="10577" xr:uid="{00000000-0005-0000-0000-000073130000}"/>
    <cellStyle name="Notas 14 2" xfId="12310" xr:uid="{00000000-0005-0000-0000-000074130000}"/>
    <cellStyle name="Notas 14 3" xfId="14433" xr:uid="{97313A76-9BCC-42B4-B0AC-F3828644EFB8}"/>
    <cellStyle name="Notas 14 4" xfId="18001" xr:uid="{0634A892-82ED-4B97-BA51-FCD54F7BB1FF}"/>
    <cellStyle name="Notas 14_1.2.b" xfId="16373" xr:uid="{E217B0D5-C6A7-4932-B83A-1B03C189D7A5}"/>
    <cellStyle name="Notas 15" xfId="10597" xr:uid="{00000000-0005-0000-0000-000075130000}"/>
    <cellStyle name="Notas 15 2" xfId="12326" xr:uid="{00000000-0005-0000-0000-000076130000}"/>
    <cellStyle name="Notas 15 3" xfId="14434" xr:uid="{049BB783-EF1F-4D17-B233-A9BC27613CC1}"/>
    <cellStyle name="Notas 15 4" xfId="18002" xr:uid="{70C76300-79AE-4542-BB0B-B05F2788102F}"/>
    <cellStyle name="Notas 15_1.2.b" xfId="16374" xr:uid="{7C76C038-03AD-44A6-848A-118A183B7153}"/>
    <cellStyle name="Notas 16" xfId="12359" xr:uid="{00000000-0005-0000-0000-000077130000}"/>
    <cellStyle name="Notas 16 2" xfId="14435" xr:uid="{2C62D95C-9C1E-4180-964F-B6FDE5F27764}"/>
    <cellStyle name="Notas 16 3" xfId="18003" xr:uid="{DC0F2BBF-B523-4699-806C-9E85CDE19552}"/>
    <cellStyle name="Notas 16_1.2.b" xfId="16375" xr:uid="{9D5DE4C3-5C61-47BA-846D-74F3801B5F43}"/>
    <cellStyle name="Notas 17" xfId="12374" xr:uid="{00000000-0005-0000-0000-000078130000}"/>
    <cellStyle name="Notas 17 2" xfId="14436" xr:uid="{C601A011-172E-4AB3-A2FD-1A0A5E39A536}"/>
    <cellStyle name="Notas 17 3" xfId="18004" xr:uid="{4798AA4A-6994-42B5-84D3-3E08B2853422}"/>
    <cellStyle name="Notas 17_1.2.b" xfId="16376" xr:uid="{9D52DC3A-D5FA-4A3F-82DB-6819719C73A1}"/>
    <cellStyle name="Notas 18" xfId="14437" xr:uid="{DF7DE8FF-9002-45D8-A6D6-EAD3B4AB9E60}"/>
    <cellStyle name="Notas 18 2" xfId="18005" xr:uid="{8B484358-DB2A-4429-9A91-B90BF36F0170}"/>
    <cellStyle name="Notas 18_1.2.b" xfId="16377" xr:uid="{166FFE54-4889-40A4-A5B2-7BDFCA81FC51}"/>
    <cellStyle name="Notas 19" xfId="14438" xr:uid="{85602665-6DCB-4B88-BECB-A2F96C05D6F0}"/>
    <cellStyle name="Notas 19 2" xfId="18006" xr:uid="{492A54EE-67E2-4067-931B-1B971FC2C4E1}"/>
    <cellStyle name="Notas 19_1.2.b" xfId="16378" xr:uid="{144574B0-6232-4EF4-9580-6BC9584A7910}"/>
    <cellStyle name="Notas 2" xfId="63" xr:uid="{00000000-0005-0000-0000-000079130000}"/>
    <cellStyle name="Notas 2 10" xfId="14440" xr:uid="{9AD0B1C8-4446-4437-BCDD-4BCF0DBE03C1}"/>
    <cellStyle name="Notas 2 10 2" xfId="18008" xr:uid="{DD1D31A3-692C-4DCB-95B4-1AF4787BA827}"/>
    <cellStyle name="Notas 2 10_1.2.b" xfId="16380" xr:uid="{C8086449-59B6-4D58-91EE-0768F73B32A9}"/>
    <cellStyle name="Notas 2 11" xfId="14441" xr:uid="{EA4913F7-5E5E-4B3D-A160-C83A760A83D8}"/>
    <cellStyle name="Notas 2 11 2" xfId="18009" xr:uid="{CB27DB54-EE96-4EA4-91DA-A9ACD2B4988C}"/>
    <cellStyle name="Notas 2 11_1.2.b" xfId="16381" xr:uid="{F8474997-7BED-46A2-9318-CC20A9189E10}"/>
    <cellStyle name="Notas 2 12" xfId="14708" xr:uid="{AAED9251-5191-4FEC-A92F-383C4408046C}"/>
    <cellStyle name="Notas 2 13" xfId="14439" xr:uid="{9020BAD0-C5F5-453C-9835-3DED3D4DFBB9}"/>
    <cellStyle name="Notas 2 14" xfId="18007" xr:uid="{B9993A03-50D0-4977-98C2-9A591A153E10}"/>
    <cellStyle name="Notas 2 15" xfId="18255" xr:uid="{A9973CEC-5DCF-498D-B557-9F2566E4B127}"/>
    <cellStyle name="Notas 2 16" xfId="17830" xr:uid="{2F70F589-569B-42D2-899C-8CB7B4A3AC60}"/>
    <cellStyle name="Notas 2 17" xfId="18253" xr:uid="{37BAAF1E-4555-4C3A-9F05-9820A2655955}"/>
    <cellStyle name="Notas 2 18" xfId="17813" xr:uid="{80F17ECB-18B6-4C91-8E11-6363580D2A80}"/>
    <cellStyle name="Notas 2 2" xfId="10644" xr:uid="{00000000-0005-0000-0000-00007A130000}"/>
    <cellStyle name="Notas 2 2 2" xfId="14443" xr:uid="{5045ECC6-EE34-4E04-9CCF-50DC75D32CC7}"/>
    <cellStyle name="Notas 2 2 2 2" xfId="14756" xr:uid="{7EF98FB5-ECCF-4EE9-88FE-96840510D609}"/>
    <cellStyle name="Notas 2 2 3" xfId="14444" xr:uid="{B395E950-841A-42F9-AE9F-D8FED349E7BD}"/>
    <cellStyle name="Notas 2 2 3 2" xfId="14757" xr:uid="{424A4FD0-1523-48B9-A23A-DB55C278A1A8}"/>
    <cellStyle name="Notas 2 2 4" xfId="14445" xr:uid="{39DEEE29-B41A-4F1C-93C3-FD744AE1921E}"/>
    <cellStyle name="Notas 2 2 4 2" xfId="14758" xr:uid="{D3D959BD-A6FE-4EBE-9EC8-E2B7F9944F08}"/>
    <cellStyle name="Notas 2 2 5" xfId="14446" xr:uid="{B85ACF88-8765-4B04-9399-60B24A75BB7F}"/>
    <cellStyle name="Notas 2 2 6" xfId="14442" xr:uid="{37366EBD-DA31-466F-9CD2-E75321118F36}"/>
    <cellStyle name="Notas 2 2 7" xfId="18010" xr:uid="{533E7F41-38FA-431C-90ED-5127522566E1}"/>
    <cellStyle name="Notas 2 2_1.2.b" xfId="16382" xr:uid="{FFE7CE11-56F2-45C7-965E-4C57C0F78ACE}"/>
    <cellStyle name="Notas 2 3" xfId="14447" xr:uid="{E944EBDE-E0B1-41F5-8520-C1C1D435547F}"/>
    <cellStyle name="Notas 2 3 2" xfId="14759" xr:uid="{BC68C646-E1C3-4ED3-9C6B-4D9C8A6AE631}"/>
    <cellStyle name="Notas 2 4" xfId="14448" xr:uid="{C4BCBEB7-1906-4E89-B33F-2611C34ABDC2}"/>
    <cellStyle name="Notas 2 4 2" xfId="14760" xr:uid="{55B3BD09-EB4D-4B01-AB78-26C37B4513E4}"/>
    <cellStyle name="Notas 2 5" xfId="14449" xr:uid="{0F3E06D5-AE89-4A55-AB28-585013D62599}"/>
    <cellStyle name="Notas 2 5 2" xfId="14761" xr:uid="{5387C1F8-3609-47FC-983B-3CEC6BDA9A28}"/>
    <cellStyle name="Notas 2 6" xfId="14450" xr:uid="{C02881A4-82B5-403B-85AB-C0D60A54E999}"/>
    <cellStyle name="Notas 2 6 2" xfId="14762" xr:uid="{1245558B-D81C-4E4D-9AA8-F1337D5EA061}"/>
    <cellStyle name="Notas 2 7" xfId="14451" xr:uid="{AD8B7130-20A0-4843-AA13-5B779CBE2D16}"/>
    <cellStyle name="Notas 2 8" xfId="14452" xr:uid="{E322521F-CF87-472F-9937-2248D8CB48BC}"/>
    <cellStyle name="Notas 2 9" xfId="14453" xr:uid="{2289AB73-D04B-4284-96FD-138388448C45}"/>
    <cellStyle name="Notas 2 9 2" xfId="14755" xr:uid="{21ABCDB0-77B1-4CE4-9FA4-25FA27631FF1}"/>
    <cellStyle name="Notas 2_1.2.b" xfId="16379" xr:uid="{B502BF74-F8B7-452D-AC0E-392085F2A26B}"/>
    <cellStyle name="Notas 20" xfId="14454" xr:uid="{4F42801A-FDBB-4911-B67D-68A58CA8C9BC}"/>
    <cellStyle name="Notas 20 2" xfId="18011" xr:uid="{7155E721-5C0E-43C7-8C28-2BBB80E86016}"/>
    <cellStyle name="Notas 20_1.2.b" xfId="16383" xr:uid="{5A26EF10-BCCC-4A66-8C17-C4389FFA9AF8}"/>
    <cellStyle name="Notas 21" xfId="14455" xr:uid="{8D255516-DF87-42F7-91E7-EDA1F425D460}"/>
    <cellStyle name="Notas 21 2" xfId="18012" xr:uid="{0DE8D91F-EB9D-4624-9639-11DB34EE1EE1}"/>
    <cellStyle name="Notas 21_1.2.b" xfId="16384" xr:uid="{38AA06DD-1A63-4986-BAA2-1B6F4BC11498}"/>
    <cellStyle name="Notas 22" xfId="14456" xr:uid="{3C6A55E3-497F-4035-BCB1-C64772B524CF}"/>
    <cellStyle name="Notas 22 2" xfId="18013" xr:uid="{DF9C9294-C18B-4A6C-97D1-EAF6A3F96F8A}"/>
    <cellStyle name="Notas 22_1.2.b" xfId="16385" xr:uid="{92410C2A-CFFA-4C65-9EE6-D3AB97BD6415}"/>
    <cellStyle name="Notas 23" xfId="14457" xr:uid="{7075981B-21F3-4087-A8F4-C17C79FA80D5}"/>
    <cellStyle name="Notas 23 2" xfId="18014" xr:uid="{0BB4CEBE-1483-489F-9EB3-6834031610E7}"/>
    <cellStyle name="Notas 23_1.2.b" xfId="16386" xr:uid="{4837A44C-87AB-431E-8D72-8031C6A8A6A4}"/>
    <cellStyle name="Notas 24" xfId="14458" xr:uid="{72B11A30-FFEE-4891-8AE5-94D29D30F551}"/>
    <cellStyle name="Notas 24 2" xfId="18015" xr:uid="{DC629D7F-7AA6-4F34-BB17-C49B978C033F}"/>
    <cellStyle name="Notas 24_1.2.b" xfId="16387" xr:uid="{0FC8159A-6BFE-447E-92ED-C812E5C72EBB}"/>
    <cellStyle name="Notas 25" xfId="14459" xr:uid="{0571A476-7B07-4C2F-907F-C5C5B2E43510}"/>
    <cellStyle name="Notas 25 2" xfId="18016" xr:uid="{43FE2F0A-0D31-4851-BEAC-835CFAA5C6BD}"/>
    <cellStyle name="Notas 25_1.2.b" xfId="16388" xr:uid="{2147936D-1D09-4A73-9E21-4925DDA93287}"/>
    <cellStyle name="Notas 26" xfId="14460" xr:uid="{7CAF5938-89DE-4ED5-B407-5A99E0B1C590}"/>
    <cellStyle name="Notas 26 2" xfId="18017" xr:uid="{06960E40-FEF4-46FA-8474-626455975EC1}"/>
    <cellStyle name="Notas 26_1.2.b" xfId="16389" xr:uid="{B29B502A-F885-44EF-9009-67C503E22FA7}"/>
    <cellStyle name="Notas 27" xfId="14461" xr:uid="{866C18B0-744B-4332-9F9E-18AAA28C6F66}"/>
    <cellStyle name="Notas 27 2" xfId="18018" xr:uid="{B4879D03-94FA-4349-B176-FB8FF34F7020}"/>
    <cellStyle name="Notas 27_1.2.b" xfId="16390" xr:uid="{A7655F40-0F6D-479F-8C23-C00DCD7F0B7D}"/>
    <cellStyle name="Notas 28" xfId="14462" xr:uid="{BA9AE291-A89B-4A31-937D-81A11F206E1E}"/>
    <cellStyle name="Notas 28 2" xfId="18019" xr:uid="{D730226C-5E6B-49CB-BF2C-E85CF8E5AB26}"/>
    <cellStyle name="Notas 28_1.2.b" xfId="16391" xr:uid="{B434F053-D3C5-48D4-94A4-858AE7D6D0E0}"/>
    <cellStyle name="Notas 29" xfId="14463" xr:uid="{C38F9928-5AF4-4AB3-920A-23FA1548C01F}"/>
    <cellStyle name="Notas 29 2" xfId="18020" xr:uid="{9A82E573-F311-40DB-9DCF-E7A2F20F8F14}"/>
    <cellStyle name="Notas 29_1.2.b" xfId="16392" xr:uid="{12D24AC7-E57F-40F8-A1FF-CB1D68C077D2}"/>
    <cellStyle name="Notas 3" xfId="145" xr:uid="{00000000-0005-0000-0000-00007B130000}"/>
    <cellStyle name="Notas 3 10" xfId="18021" xr:uid="{6B26AD2F-F73A-449F-8A50-724AB4B3A1EC}"/>
    <cellStyle name="Notas 3 2" xfId="10665" xr:uid="{00000000-0005-0000-0000-00007C130000}"/>
    <cellStyle name="Notas 3 2 2" xfId="14465" xr:uid="{D70A6E07-D97F-4914-8986-58C52C5304B1}"/>
    <cellStyle name="Notas 3 2_1.2.b" xfId="16394" xr:uid="{719A40BE-3CAC-4CAA-B559-5676B342DAB0}"/>
    <cellStyle name="Notas 3 3" xfId="14466" xr:uid="{FE078C11-3070-486C-B553-55FFF41C4786}"/>
    <cellStyle name="Notas 3 4" xfId="14467" xr:uid="{C9DF81A2-3ED6-42AD-AB75-0EC8FC8BDD5E}"/>
    <cellStyle name="Notas 3 5" xfId="14468" xr:uid="{F8585E4F-8E9A-4F43-BE40-CA1B80461FBC}"/>
    <cellStyle name="Notas 3 6" xfId="14469" xr:uid="{D7C63404-45ED-4C69-B0AD-989CE8B7B364}"/>
    <cellStyle name="Notas 3 7" xfId="14470" xr:uid="{0A36F809-B369-41FC-9A99-5ABCCF37BF39}"/>
    <cellStyle name="Notas 3 7 2" xfId="18022" xr:uid="{A701FF05-5FA6-49E6-8225-AFD1798BBB38}"/>
    <cellStyle name="Notas 3 7_1.2.b" xfId="16395" xr:uid="{F2980EE2-2C26-435B-A976-C5A63D2FFA83}"/>
    <cellStyle name="Notas 3 8" xfId="14471" xr:uid="{F0897A4A-2D37-4B58-B8AF-82BD9329FADB}"/>
    <cellStyle name="Notas 3 8 2" xfId="18023" xr:uid="{C038B8DA-0DAC-4C67-92CD-11A6967A75C1}"/>
    <cellStyle name="Notas 3 8_1.2.b" xfId="16396" xr:uid="{D55D2365-DAEE-4E52-A521-E913339F92A9}"/>
    <cellStyle name="Notas 3 9" xfId="14464" xr:uid="{7C125EF7-525B-47CD-B3EA-15875A63F50F}"/>
    <cellStyle name="Notas 3_1.2.b" xfId="16393" xr:uid="{D61892DE-87B1-4139-B8B2-3332DDE50DB4}"/>
    <cellStyle name="Notas 30" xfId="14472" xr:uid="{8EFB921D-74AB-4551-807C-E7F553E9294D}"/>
    <cellStyle name="Notas 30 2" xfId="18024" xr:uid="{BCBA5C75-1340-451D-AD5D-5C0542DDBFDF}"/>
    <cellStyle name="Notas 30_1.2.b" xfId="16397" xr:uid="{32A61041-CF92-4D81-9098-129BF852D62C}"/>
    <cellStyle name="Notas 31" xfId="14473" xr:uid="{815D5EAC-02EE-4EEE-8A6D-D151D81963E4}"/>
    <cellStyle name="Notas 31 2" xfId="18025" xr:uid="{553B603A-AEFA-486C-8766-5737CD4A9776}"/>
    <cellStyle name="Notas 31_1.2.b" xfId="16398" xr:uid="{56FF9F09-18B9-4DDD-A1E0-C36ECF0545E2}"/>
    <cellStyle name="Notas 32" xfId="14474" xr:uid="{2247BF89-6339-4D50-AA8D-962D3E649309}"/>
    <cellStyle name="Notas 32 2" xfId="18026" xr:uid="{BB5AE108-0A81-4A5F-8A56-65CFC18FF363}"/>
    <cellStyle name="Notas 32_1.2.b" xfId="16399" xr:uid="{CB1A0913-7FC7-4E05-B923-765EA7A3D21D}"/>
    <cellStyle name="Notas 33" xfId="14475" xr:uid="{06DC061B-DC56-4426-AC5E-97EAF2C4FABD}"/>
    <cellStyle name="Notas 33 2" xfId="18027" xr:uid="{530EE1FE-6428-4571-8D1A-E620E6F7F66F}"/>
    <cellStyle name="Notas 33_1.2.b" xfId="16400" xr:uid="{EC0DF722-2C1D-4233-A9BE-46CD80CCC60A}"/>
    <cellStyle name="Notas 34" xfId="14476" xr:uid="{C15B5251-8668-416E-8C5E-027BEC6A585D}"/>
    <cellStyle name="Notas 34 2" xfId="18028" xr:uid="{1D034EC6-BDF4-47A7-B708-2C456BFEB481}"/>
    <cellStyle name="Notas 34_1.2.b" xfId="16401" xr:uid="{53A00DB7-85C8-4C81-BF86-59C72F1CC103}"/>
    <cellStyle name="Notas 35" xfId="14477" xr:uid="{6C5173FD-2325-4375-941E-7D6C528D7B56}"/>
    <cellStyle name="Notas 35 2" xfId="18029" xr:uid="{962AEA29-E55F-449E-BFF1-62F7074F4D01}"/>
    <cellStyle name="Notas 35_1.2.b" xfId="16402" xr:uid="{DD53F1C7-3641-4F4A-B34D-79F809477DE8}"/>
    <cellStyle name="Notas 36" xfId="14478" xr:uid="{458E2838-850C-45F8-A874-3C927D8D316D}"/>
    <cellStyle name="Notas 36 2" xfId="18030" xr:uid="{C721C550-90B0-42F7-B6D2-E7F72C9B46B6}"/>
    <cellStyle name="Notas 36_1.2.b" xfId="16403" xr:uid="{6692CC8F-E5FD-43CB-9665-AC27F96BC56A}"/>
    <cellStyle name="Notas 37" xfId="14479" xr:uid="{91D5B126-87D2-4A7B-806B-2BD4D0D355CF}"/>
    <cellStyle name="Notas 37 2" xfId="18031" xr:uid="{CAA51946-2868-4F38-90F3-DC06B230C739}"/>
    <cellStyle name="Notas 37_1.2.b" xfId="16404" xr:uid="{34AA88F8-4A4E-4937-93A0-391C5FEA6AB9}"/>
    <cellStyle name="Notas 38" xfId="14480" xr:uid="{EE50254C-58FE-4E8D-8A5A-072DE0D4426A}"/>
    <cellStyle name="Notas 38 2" xfId="18032" xr:uid="{46E1D809-FDDB-4C5D-8212-FBD13B978692}"/>
    <cellStyle name="Notas 38_1.2.b" xfId="16405" xr:uid="{D38240CB-CB81-44DD-99D9-8D06DF7F2446}"/>
    <cellStyle name="Notas 39" xfId="14481" xr:uid="{EFD25B7E-61EC-4327-A194-BF6BD42A389F}"/>
    <cellStyle name="Notas 39 2" xfId="18033" xr:uid="{4501A81A-B3F3-4C0A-BAAD-3316DFC9D519}"/>
    <cellStyle name="Notas 39_1.2.b" xfId="16406" xr:uid="{D0CE76A5-290C-4461-A419-CA5BBC010FDD}"/>
    <cellStyle name="Notas 4" xfId="159" xr:uid="{00000000-0005-0000-0000-00007D130000}"/>
    <cellStyle name="Notas 4 10" xfId="17854" xr:uid="{7D5AF595-C4EB-44D2-8C61-638594F4E453}"/>
    <cellStyle name="Notas 4 2" xfId="10679" xr:uid="{00000000-0005-0000-0000-00007E130000}"/>
    <cellStyle name="Notas 4 2 2" xfId="14484" xr:uid="{292520E7-78BD-47A9-806A-7B4751A483FF}"/>
    <cellStyle name="Notas 4 2 3" xfId="14483" xr:uid="{A331B7B9-1A0C-4C39-9FFE-37CB12CCFD52}"/>
    <cellStyle name="Notas 4 2 4" xfId="18035" xr:uid="{0E073AF4-CFCE-44FC-A314-C7B4BF66D4C2}"/>
    <cellStyle name="Notas 4 2 5" xfId="18260" xr:uid="{5ACAAED1-8ADA-4D7C-8442-961273C7B0EE}"/>
    <cellStyle name="Notas 4 2 6" xfId="18141" xr:uid="{2DB1F8CD-FFF1-4706-912B-15688D760C97}"/>
    <cellStyle name="Notas 4 2 7" xfId="18284" xr:uid="{356B66AF-E06A-4073-BF09-638335BB1490}"/>
    <cellStyle name="Notas 4 2 8" xfId="18129" xr:uid="{31B34135-A12A-4A28-B8B8-199A8773A382}"/>
    <cellStyle name="Notas 4 2_1.2.b" xfId="16408" xr:uid="{7AA4AF3F-EC81-4838-A4D0-165A42C5D054}"/>
    <cellStyle name="Notas 4 3" xfId="14485" xr:uid="{A462A613-18CD-42BC-A8FB-9B73601CA938}"/>
    <cellStyle name="Notas 4 4" xfId="14486" xr:uid="{E76414F5-FFB5-4065-8876-7C78241C18A8}"/>
    <cellStyle name="Notas 4 5" xfId="14487" xr:uid="{2163BEA9-C5AE-44E0-8910-D8EE72A50322}"/>
    <cellStyle name="Notas 4 5 2" xfId="18036" xr:uid="{B813BF08-473A-47FC-B6A1-A11415A17BFB}"/>
    <cellStyle name="Notas 4 5_1.2.b" xfId="16409" xr:uid="{76A8BD6B-A154-4CB7-9323-1506332E4CA8}"/>
    <cellStyle name="Notas 4 6" xfId="14488" xr:uid="{53193D7D-F9A9-4707-9901-7C18546CCDF4}"/>
    <cellStyle name="Notas 4 6 2" xfId="18037" xr:uid="{32FB8CE1-9A1C-4596-B529-2D01FF72AECF}"/>
    <cellStyle name="Notas 4 6_1.2.b" xfId="16410" xr:uid="{F73D6290-88B5-4E49-A0B0-39E9502AA2A7}"/>
    <cellStyle name="Notas 4 7" xfId="14482" xr:uid="{03154372-2B5A-4884-8EB5-9C4E02D860F0}"/>
    <cellStyle name="Notas 4 8" xfId="18034" xr:uid="{484E8CDD-5426-4935-8561-F0D5D320F036}"/>
    <cellStyle name="Notas 4 9" xfId="18259" xr:uid="{82D8B1F5-89FC-443B-9899-DF2DAF801118}"/>
    <cellStyle name="Notas 4_1.2.b" xfId="16407" xr:uid="{7CBF84C5-BF68-43EF-BDE8-226FC8E7C76C}"/>
    <cellStyle name="Notas 40" xfId="14489" xr:uid="{E20A4679-EC2D-4645-8957-59B104A22DEE}"/>
    <cellStyle name="Notas 40 2" xfId="18038" xr:uid="{66314D69-CF77-4919-8187-7D572381F8A9}"/>
    <cellStyle name="Notas 40_1.2.b" xfId="16411" xr:uid="{5A0EFF8C-BF31-49EA-9BA2-2F40A745A3BF}"/>
    <cellStyle name="Notas 41" xfId="14490" xr:uid="{B3E2BAE4-D858-4EE3-AEDE-52BE19234044}"/>
    <cellStyle name="Notas 41 2" xfId="18039" xr:uid="{FEE02FAB-8FE0-478E-9023-9139DE450693}"/>
    <cellStyle name="Notas 41_1.2.b" xfId="16412" xr:uid="{DB8684AE-0DA4-49C5-8E97-D8E685F88E32}"/>
    <cellStyle name="Notas 42" xfId="14491" xr:uid="{D8262C1B-1C0D-4F52-8764-963723C7BE61}"/>
    <cellStyle name="Notas 42 2" xfId="18040" xr:uid="{4D7D505A-267E-4800-8F5C-D7409B0DE49A}"/>
    <cellStyle name="Notas 42_1.2.b" xfId="16413" xr:uid="{C0788009-E496-4838-9332-6A0D8CEEFE5B}"/>
    <cellStyle name="Notas 43" xfId="14492" xr:uid="{8C606BCB-7AC3-40B2-B256-0FEBFD6DC7A6}"/>
    <cellStyle name="Notas 43 2" xfId="18041" xr:uid="{9764135D-828D-4801-8CC0-F0B28B5F32F4}"/>
    <cellStyle name="Notas 43_1.2.b" xfId="16414" xr:uid="{1F47F82A-449D-4283-AA68-E597029BD3EE}"/>
    <cellStyle name="Notas 44" xfId="14493" xr:uid="{BF40EF1C-DDF5-442D-BE8B-BC1A87CDADD3}"/>
    <cellStyle name="Notas 44 2" xfId="18042" xr:uid="{7508D92B-E2B0-47CC-970D-4F36917D3FCD}"/>
    <cellStyle name="Notas 44_1.2.b" xfId="16415" xr:uid="{1B9466E9-D7DA-4686-A746-E38C6980129B}"/>
    <cellStyle name="Notas 45" xfId="14494" xr:uid="{BFFD946E-032F-4211-B116-01659223FA27}"/>
    <cellStyle name="Notas 45 2" xfId="18043" xr:uid="{BF0C33AD-5B52-4910-8E09-ECE0369416F0}"/>
    <cellStyle name="Notas 45_1.2.b" xfId="16416" xr:uid="{445605CD-6A54-447A-83DE-FA52F0B57324}"/>
    <cellStyle name="Notas 46" xfId="14495" xr:uid="{D34A321F-D179-4FC7-B821-75DA5A35C6F3}"/>
    <cellStyle name="Notas 46 2" xfId="18044" xr:uid="{22661376-3B25-4123-9BCC-23CFBB0EF4E5}"/>
    <cellStyle name="Notas 46_1.2.b" xfId="16417" xr:uid="{0F256ED9-C97A-4E9F-80F8-DF55F4687BFF}"/>
    <cellStyle name="Notas 47" xfId="14496" xr:uid="{7758EE17-01B8-410F-A31F-5D37565E2588}"/>
    <cellStyle name="Notas 47 2" xfId="18045" xr:uid="{259BE83C-D0AC-4DD8-A124-2DB08F2D877A}"/>
    <cellStyle name="Notas 47_1.2.b" xfId="16418" xr:uid="{071ED7C3-C892-4D39-A168-E168D120D53D}"/>
    <cellStyle name="Notas 48" xfId="14497" xr:uid="{A06DB546-B6E9-4C51-9622-EF7CAF7D4AF8}"/>
    <cellStyle name="Notas 48 2" xfId="18046" xr:uid="{CD02D18D-8FB0-4EA3-B982-3DE9F939B47F}"/>
    <cellStyle name="Notas 48_1.2.b" xfId="16419" xr:uid="{CA712D86-C243-4BA4-B9BF-E0E98B44AF90}"/>
    <cellStyle name="Notas 49" xfId="14498" xr:uid="{9D01291C-6286-4373-9658-433240714084}"/>
    <cellStyle name="Notas 49 2" xfId="18047" xr:uid="{05A48294-ED09-4730-9F4C-A345A943A5EF}"/>
    <cellStyle name="Notas 49_1.2.b" xfId="16420" xr:uid="{D60987C9-0EC4-4061-A35B-D64C0BD1DC9D}"/>
    <cellStyle name="Notas 5" xfId="173" xr:uid="{00000000-0005-0000-0000-00007F130000}"/>
    <cellStyle name="Notas 5 10" xfId="17874" xr:uid="{CAE323EA-58B7-4D96-BE60-CAE4C0B4C0C3}"/>
    <cellStyle name="Notas 5 2" xfId="10693" xr:uid="{00000000-0005-0000-0000-000080130000}"/>
    <cellStyle name="Notas 5 2 2" xfId="14501" xr:uid="{165CA24E-2948-4200-B38D-E3D921F73108}"/>
    <cellStyle name="Notas 5 2 3" xfId="14500" xr:uid="{7331C821-99BE-45E4-B21F-E9AA31C6D1DD}"/>
    <cellStyle name="Notas 5 2 4" xfId="18049" xr:uid="{E60FB316-013F-467B-B9E5-40479BD4FCE1}"/>
    <cellStyle name="Notas 5 2 5" xfId="18263" xr:uid="{41E1EA7B-9CCA-4A9F-87CA-C298827BFB95}"/>
    <cellStyle name="Notas 5 2 6" xfId="18127" xr:uid="{89E63BE7-7FED-400A-98EB-CC09187D52B6}"/>
    <cellStyle name="Notas 5 2 7" xfId="18257" xr:uid="{37DE6B87-0CA9-485B-91AF-4ED445B61B35}"/>
    <cellStyle name="Notas 5 2 8" xfId="17831" xr:uid="{88DA2B51-450B-4331-BEAE-62EEFD3C35BF}"/>
    <cellStyle name="Notas 5 2_1.2.b" xfId="16422" xr:uid="{E779CF89-D547-4E84-9B12-5EEA4DF23230}"/>
    <cellStyle name="Notas 5 3" xfId="14502" xr:uid="{A34B8057-1512-4629-9CA5-802D5D92F798}"/>
    <cellStyle name="Notas 5 4" xfId="14503" xr:uid="{84FB9010-C078-476D-B7FA-A94021CEFBEE}"/>
    <cellStyle name="Notas 5 5" xfId="14504" xr:uid="{D2C80424-A11B-4D51-AD29-D53199E0E849}"/>
    <cellStyle name="Notas 5 5 2" xfId="18050" xr:uid="{B6373D0D-0206-4DEC-B12A-2EFE847F7266}"/>
    <cellStyle name="Notas 5 5_1.2.b" xfId="16423" xr:uid="{492F0957-CC34-47BC-A132-D726663124C0}"/>
    <cellStyle name="Notas 5 6" xfId="14505" xr:uid="{A750AA90-03E7-40AB-A733-7167DBE10689}"/>
    <cellStyle name="Notas 5 6 2" xfId="18051" xr:uid="{F0482694-B871-4DF0-A078-2D45A4270ADF}"/>
    <cellStyle name="Notas 5 6_1.2.b" xfId="16424" xr:uid="{B30971B9-B86F-41E1-A20E-760D0C04816F}"/>
    <cellStyle name="Notas 5 7" xfId="14499" xr:uid="{008E1CA1-1DEF-44B9-9251-EC224E5B29D2}"/>
    <cellStyle name="Notas 5 8" xfId="18048" xr:uid="{CC2DFCCE-B0AE-4D08-955A-D9547EBF95BF}"/>
    <cellStyle name="Notas 5 9" xfId="18262" xr:uid="{7D2E863D-2D3E-4634-BB75-6D44CAC3DD16}"/>
    <cellStyle name="Notas 5_1.2.b" xfId="16421" xr:uid="{3A8B2CEB-366D-4C4E-B606-9A179B2276D8}"/>
    <cellStyle name="Notas 50" xfId="14506" xr:uid="{708D8C1E-2EA2-4570-9026-52A00A722325}"/>
    <cellStyle name="Notas 50 2" xfId="18052" xr:uid="{AE2EC44F-1B70-49D9-9009-7B3C4A82E66F}"/>
    <cellStyle name="Notas 50_1.2.b" xfId="16425" xr:uid="{2A53DBDF-8679-458C-88ED-4A9ADC449129}"/>
    <cellStyle name="Notas 51" xfId="14507" xr:uid="{A40807C7-CB7B-4BBA-9A33-BDD12523B85C}"/>
    <cellStyle name="Notas 51 2" xfId="18053" xr:uid="{F4DA0059-EF36-4347-A420-B43CF6845C1B}"/>
    <cellStyle name="Notas 51_1.2.b" xfId="16426" xr:uid="{9984931A-EC5B-4D1E-9842-42A9EC3A9CAC}"/>
    <cellStyle name="Notas 52" xfId="14508" xr:uid="{39CBD38A-2889-4130-848E-A5107F10876A}"/>
    <cellStyle name="Notas 52 2" xfId="18054" xr:uid="{934DF7F0-E423-4FE9-B69A-CE226C4D0071}"/>
    <cellStyle name="Notas 52_1.2.b" xfId="16427" xr:uid="{6DD02006-1531-45FC-AFD6-59F84A569842}"/>
    <cellStyle name="Notas 53" xfId="14509" xr:uid="{FD71F549-A8F5-4101-9BF8-A3C9CF325857}"/>
    <cellStyle name="Notas 53 2" xfId="18055" xr:uid="{0A2EB2D8-954F-471B-9AD1-C61BC5327D82}"/>
    <cellStyle name="Notas 53_1.2.b" xfId="16428" xr:uid="{738A17CF-72AF-4EA0-90BB-C454B3E0FA7F}"/>
    <cellStyle name="Notas 54" xfId="14510" xr:uid="{0FCE487D-6279-44F8-8886-EF5D1CAC0F00}"/>
    <cellStyle name="Notas 54 2" xfId="18056" xr:uid="{EFC37A0A-EDAF-4CF0-A916-FB00EDFDE46B}"/>
    <cellStyle name="Notas 54_1.2.b" xfId="16429" xr:uid="{72971225-087A-4F29-B92C-AA2061A64853}"/>
    <cellStyle name="Notas 55" xfId="14511" xr:uid="{CAE7FA8B-F673-4EF2-9589-9556C46F071B}"/>
    <cellStyle name="Notas 55 2" xfId="18057" xr:uid="{056B3328-3430-46BA-B88E-C3258B5DC4FA}"/>
    <cellStyle name="Notas 55_1.2.b" xfId="16430" xr:uid="{723C6626-6D58-439E-902E-14FE9A9534F7}"/>
    <cellStyle name="Notas 56" xfId="14512" xr:uid="{E95D03BA-EEDB-4B0D-9D56-97C4AE6BD0D4}"/>
    <cellStyle name="Notas 56 2" xfId="18058" xr:uid="{95820778-8940-4961-A807-CB96450E9005}"/>
    <cellStyle name="Notas 56_1.2.b" xfId="16431" xr:uid="{69120A21-75F7-42DC-8CBC-F5E8A3FCDB75}"/>
    <cellStyle name="Notas 57" xfId="14513" xr:uid="{9CCEC27E-C3C2-40BD-97A0-0EF5B1E0C744}"/>
    <cellStyle name="Notas 57 2" xfId="18059" xr:uid="{0762D0E6-DC32-4598-9554-1989EA4BE3A1}"/>
    <cellStyle name="Notas 57_1.2.b" xfId="16432" xr:uid="{5EE4EA61-BBED-40B8-9064-F23FCC3CBC10}"/>
    <cellStyle name="Notas 58" xfId="14514" xr:uid="{DF742487-C601-4848-B95C-03CEB0FCE011}"/>
    <cellStyle name="Notas 58 2" xfId="18060" xr:uid="{9A4D0CA8-9B8B-4B50-B711-654260CD3EC5}"/>
    <cellStyle name="Notas 58_1.2.b" xfId="16433" xr:uid="{39C3B3DB-0856-4B1D-B73B-49DE51D6D47D}"/>
    <cellStyle name="Notas 59" xfId="14515" xr:uid="{2B2A0A8E-C18C-4E3F-B119-F0B4B51E6F6D}"/>
    <cellStyle name="Notas 59 2" xfId="18061" xr:uid="{A798A198-D80E-4473-AA74-B9C19726F3CD}"/>
    <cellStyle name="Notas 59_1.2.b" xfId="16434" xr:uid="{984663EE-8025-4880-BC94-739D6348DD42}"/>
    <cellStyle name="Notas 6" xfId="188" xr:uid="{00000000-0005-0000-0000-000081130000}"/>
    <cellStyle name="Notas 6 2" xfId="10708" xr:uid="{00000000-0005-0000-0000-000082130000}"/>
    <cellStyle name="Notas 6 2 2" xfId="14517" xr:uid="{8F6EB27C-FAAE-4F88-B049-AD23555743B3}"/>
    <cellStyle name="Notas 6 2_1.2.b" xfId="16436" xr:uid="{B8765B66-68A1-4531-A6AB-1E7E4AF22615}"/>
    <cellStyle name="Notas 6 3" xfId="14518" xr:uid="{033ACCFA-DA1B-4145-B680-FABFF4D43DEE}"/>
    <cellStyle name="Notas 6 4" xfId="14516" xr:uid="{C7CA1DBC-78E7-4D95-9A82-B3A72399F0DA}"/>
    <cellStyle name="Notas 6 5" xfId="18062" xr:uid="{226F6BAF-BC2A-4FCD-9AAD-A4D25DAA0EA8}"/>
    <cellStyle name="Notas 6 6" xfId="18264" xr:uid="{A49D80BD-4F30-4A33-83BC-00FA06A211F8}"/>
    <cellStyle name="Notas 6 7" xfId="18142" xr:uid="{2DDE3EEF-E08A-4604-AD89-78DF01ADED06}"/>
    <cellStyle name="Notas 6 8" xfId="18258" xr:uid="{0A70319D-9A77-4108-9A72-E7B502BC465A}"/>
    <cellStyle name="Notas 6 9" xfId="17832" xr:uid="{50F9F793-2B0E-406F-BED3-D086D8D840B9}"/>
    <cellStyle name="Notas 6_1.2.b" xfId="16435" xr:uid="{36C8F841-4550-40F8-A08F-C0208C9FA56C}"/>
    <cellStyle name="Notas 60" xfId="14519" xr:uid="{35782452-81F6-470A-B4CA-BFBEADCC5488}"/>
    <cellStyle name="Notas 60 2" xfId="18064" xr:uid="{B0D15157-C237-48AD-9890-EBAC85A64E4A}"/>
    <cellStyle name="Notas 60_1.2.b" xfId="16437" xr:uid="{740871F8-894F-4257-9AA5-C5A3626EA98C}"/>
    <cellStyle name="Notas 61" xfId="14520" xr:uid="{FBEC0D9B-F1C6-42A0-8C32-3A62CA8045F0}"/>
    <cellStyle name="Notas 61 2" xfId="18065" xr:uid="{9AE4A223-189F-45F5-B74E-DDBA33A073FE}"/>
    <cellStyle name="Notas 61_1.2.b" xfId="16438" xr:uid="{CEDC5B09-2D70-436C-ADDE-A8E425FE9673}"/>
    <cellStyle name="Notas 62" xfId="14521" xr:uid="{81FE8FAE-BAF3-4DD6-8A69-C37575375914}"/>
    <cellStyle name="Notas 62 2" xfId="18066" xr:uid="{A64E1B25-C23A-4FF2-93F5-849CF5DEBC14}"/>
    <cellStyle name="Notas 62_1.2.b" xfId="16439" xr:uid="{43EC62DD-5FD5-419A-B095-D855314B67C2}"/>
    <cellStyle name="Notas 63" xfId="14522" xr:uid="{FABFF2D1-02D8-46A5-BDED-09DB0F22968E}"/>
    <cellStyle name="Notas 63 2" xfId="18067" xr:uid="{69FBEA30-F81E-44FB-9243-8EE1BAADA63E}"/>
    <cellStyle name="Notas 63_1.2.b" xfId="16440" xr:uid="{F1E0659B-9850-4B85-B771-4538F4D4AD47}"/>
    <cellStyle name="Notas 64" xfId="14523" xr:uid="{2FA3BA2E-C0AD-4876-A6BC-0B723A561CB5}"/>
    <cellStyle name="Notas 64 2" xfId="18068" xr:uid="{622DAEE2-D0AA-4A8D-81CD-81144C47FF83}"/>
    <cellStyle name="Notas 64_1.2.b" xfId="16441" xr:uid="{40E85296-84EE-4C35-8313-DF01B2F91438}"/>
    <cellStyle name="Notas 65" xfId="14524" xr:uid="{74468BAF-6778-497A-BBCF-FC4466375DFF}"/>
    <cellStyle name="Notas 65 2" xfId="18069" xr:uid="{D6542410-FA2B-4AC1-9E84-CDE226310773}"/>
    <cellStyle name="Notas 65_1.2.b" xfId="16442" xr:uid="{E3FD6336-756A-433D-974B-96863A1B6A37}"/>
    <cellStyle name="Notas 66" xfId="14525" xr:uid="{1BD788EF-8562-4F3B-BA56-9A8A98C71D4C}"/>
    <cellStyle name="Notas 66 2" xfId="18070" xr:uid="{79633598-4516-4424-823B-ACB677F809AD}"/>
    <cellStyle name="Notas 66_1.2.b" xfId="16443" xr:uid="{39858524-45FF-42A6-9327-BC7C647FCA32}"/>
    <cellStyle name="Notas 67" xfId="14526" xr:uid="{9740DB0D-48E3-4124-8DCB-7CFE60622E8E}"/>
    <cellStyle name="Notas 67 2" xfId="18071" xr:uid="{718AA07A-4575-4474-B545-7FE41854B576}"/>
    <cellStyle name="Notas 67_1.2.b" xfId="16444" xr:uid="{08DF3E7A-4412-4BE0-A738-BF154386F62C}"/>
    <cellStyle name="Notas 68" xfId="14527" xr:uid="{89DA86A5-FC78-47B3-A72D-FBFE18C5B70F}"/>
    <cellStyle name="Notas 68 2" xfId="18072" xr:uid="{ED65163C-0C25-4E69-A2B1-FD85936B8FD8}"/>
    <cellStyle name="Notas 68_1.2.b" xfId="16445" xr:uid="{D1200D43-DA4C-43F2-8BAC-C5EF16DFE664}"/>
    <cellStyle name="Notas 69" xfId="14528" xr:uid="{2CA96CA4-6738-43AE-B29A-732B1D5080A9}"/>
    <cellStyle name="Notas 69 2" xfId="18073" xr:uid="{F327118E-71C2-413D-81ED-117D7F3176E7}"/>
    <cellStyle name="Notas 69_1.2.b" xfId="16446" xr:uid="{B6113123-49F6-4846-82EC-B21E38B83F7C}"/>
    <cellStyle name="Notas 7" xfId="202" xr:uid="{00000000-0005-0000-0000-000083130000}"/>
    <cellStyle name="Notas 7 2" xfId="10722" xr:uid="{00000000-0005-0000-0000-000084130000}"/>
    <cellStyle name="Notas 7 2 2" xfId="14530" xr:uid="{654E42E4-763B-4EE9-861E-336B54F69AAD}"/>
    <cellStyle name="Notas 7 2_1.2.b" xfId="16448" xr:uid="{2678B7EA-FADB-4ED6-89E1-E10E22EB2BFE}"/>
    <cellStyle name="Notas 7 3" xfId="14529" xr:uid="{DFEF1EC1-FBBD-465E-BA11-99DD18086720}"/>
    <cellStyle name="Notas 7_1.2.b" xfId="16447" xr:uid="{A6F0E06D-8557-49CE-9A75-4D766DDEFB03}"/>
    <cellStyle name="Notas 70" xfId="14531" xr:uid="{F9E2F262-B5D5-4130-92E1-5D251CFAC6E9}"/>
    <cellStyle name="Notas 70 2" xfId="18074" xr:uid="{F7B28D4F-B606-4E74-BB74-235AE7650AAF}"/>
    <cellStyle name="Notas 70_1.2.b" xfId="16449" xr:uid="{6856EBC2-C513-43DB-B20A-816E3AFE7A9E}"/>
    <cellStyle name="Notas 71" xfId="14532" xr:uid="{52944450-ADE3-4A84-BADF-D59772D76C8D}"/>
    <cellStyle name="Notas 71 2" xfId="18075" xr:uid="{C5EF8338-DCBF-4D0C-978E-C3AFF2C327B7}"/>
    <cellStyle name="Notas 71_1.2.b" xfId="16450" xr:uid="{C9628A9F-2E39-4D4A-805C-8CC6989434D3}"/>
    <cellStyle name="Notas 72" xfId="14533" xr:uid="{66FB1B95-53F0-4989-89A2-9F6C752DD6DB}"/>
    <cellStyle name="Notas 72 2" xfId="18076" xr:uid="{B8A82E71-1A17-4CE7-8C28-60174939DD8D}"/>
    <cellStyle name="Notas 72_1.2.b" xfId="16451" xr:uid="{FF018B6E-4318-4BAA-B13F-7D52F182D252}"/>
    <cellStyle name="Notas 73" xfId="14534" xr:uid="{FA5D89AA-497F-4FF9-B763-511F5F662CD0}"/>
    <cellStyle name="Notas 73 2" xfId="18077" xr:uid="{5F921411-D561-40E6-8305-A7A515BF9687}"/>
    <cellStyle name="Notas 73_1.2.b" xfId="16452" xr:uid="{7B0DDA31-C719-4826-A14F-BF922948F5FB}"/>
    <cellStyle name="Notas 74" xfId="14535" xr:uid="{5D7ED739-3130-401B-A050-D0095BB50A90}"/>
    <cellStyle name="Notas 74 2" xfId="18078" xr:uid="{9B586A63-25C4-4E0B-8D45-D094CAFBE735}"/>
    <cellStyle name="Notas 74_1.2.b" xfId="16453" xr:uid="{A8552E0C-CDB9-49A9-B5D3-82C334D8DD23}"/>
    <cellStyle name="Notas 75" xfId="14536" xr:uid="{EEA48B61-6963-45E8-8983-AF2CFF6127A4}"/>
    <cellStyle name="Notas 75 2" xfId="18079" xr:uid="{1D61900C-3649-4FD8-B987-40AC724987F0}"/>
    <cellStyle name="Notas 75_1.2.b" xfId="16454" xr:uid="{35C0C138-1207-4A65-BE6A-ACC7D39D6D71}"/>
    <cellStyle name="Notas 76" xfId="14537" xr:uid="{E9C4B0BC-4706-4C6E-B042-7140E28A2597}"/>
    <cellStyle name="Notas 76 2" xfId="18080" xr:uid="{693B4800-B1B9-403F-98B9-76CAC5F593A7}"/>
    <cellStyle name="Notas 76_1.2.b" xfId="16455" xr:uid="{10B0DD6F-B803-4F43-B98F-3A2F8B3AAF1D}"/>
    <cellStyle name="Notas 77" xfId="14538" xr:uid="{D0AC248C-04EA-43BA-8E7F-D57250E42036}"/>
    <cellStyle name="Notas 77 2" xfId="18081" xr:uid="{B8C2F12F-014D-454D-8165-931E8B7B0E85}"/>
    <cellStyle name="Notas 77_1.2.b" xfId="16456" xr:uid="{6B6BEA2D-744B-431A-9430-58AD0523690E}"/>
    <cellStyle name="Notas 78" xfId="14539" xr:uid="{8FD93D72-FCBC-49CC-8D8C-E03843DDEFDC}"/>
    <cellStyle name="Notas 78 2" xfId="18082" xr:uid="{CA91B91C-8EDB-4A26-9141-85C053039095}"/>
    <cellStyle name="Notas 78_1.2.b" xfId="16457" xr:uid="{5E6D8533-26A0-4B52-A79B-63C3537A42DB}"/>
    <cellStyle name="Notas 79" xfId="14540" xr:uid="{8BF37847-0DFD-469B-A870-D7EE725EFE39}"/>
    <cellStyle name="Notas 79 2" xfId="18083" xr:uid="{1418507F-9434-46AF-8D69-4A50C75E0EA2}"/>
    <cellStyle name="Notas 79_1.2.b" xfId="16458" xr:uid="{CAB0AB00-32B0-499D-B344-A301000A7008}"/>
    <cellStyle name="Notas 8" xfId="9826" xr:uid="{00000000-0005-0000-0000-000085130000}"/>
    <cellStyle name="Notas 8 2" xfId="11612" xr:uid="{00000000-0005-0000-0000-000086130000}"/>
    <cellStyle name="Notas 8 2 2" xfId="14542" xr:uid="{88C7EC87-D4FF-43F7-8B8E-DB361221969B}"/>
    <cellStyle name="Notas 8 2_1.2.b" xfId="16460" xr:uid="{6FCD9333-E1E7-4904-81C6-83C4A68465EA}"/>
    <cellStyle name="Notas 8 3" xfId="14541" xr:uid="{2CF56505-A712-4F1F-B20C-FAA2A01E6B6E}"/>
    <cellStyle name="Notas 8_1.2.b" xfId="16459" xr:uid="{279375D1-10C3-43AA-B193-6364D0F6F839}"/>
    <cellStyle name="Notas 80" xfId="14543" xr:uid="{8D19F7B6-51AC-4C22-89EE-86C7AE1713F1}"/>
    <cellStyle name="Notas 80 2" xfId="18084" xr:uid="{CFDE4403-8AC8-49DA-B1CF-64DBA3CD429A}"/>
    <cellStyle name="Notas 80_1.2.b" xfId="16461" xr:uid="{0D9B729E-FA98-43BE-AEB0-D8F9012D92CA}"/>
    <cellStyle name="Notas 81" xfId="14544" xr:uid="{55EA4193-5868-4660-863D-05883419E5AB}"/>
    <cellStyle name="Notas 81 2" xfId="18085" xr:uid="{AC6CD44C-B6A8-4AC2-BFDB-0BB03F1D977B}"/>
    <cellStyle name="Notas 81_1.2.b" xfId="16462" xr:uid="{54E3A6A6-2A7F-4886-A282-B4968E872E34}"/>
    <cellStyle name="Notas 82" xfId="14545" xr:uid="{EA844D92-8E32-49CA-BB2F-2F18D1F2CD2A}"/>
    <cellStyle name="Notas 82 2" xfId="18086" xr:uid="{B7EC13C1-9AB0-4A92-AB24-D1955AA98E58}"/>
    <cellStyle name="Notas 82_1.2.b" xfId="16463" xr:uid="{BB1BFA42-A5F5-407A-AF5E-B4044624083F}"/>
    <cellStyle name="Notas 83" xfId="14546" xr:uid="{8D1C6E04-8F43-472A-8D10-91456373A222}"/>
    <cellStyle name="Notas 83 2" xfId="18087" xr:uid="{1A77588B-151A-413F-929E-86353292DA57}"/>
    <cellStyle name="Notas 83_1.2.b" xfId="16464" xr:uid="{181D5FA7-CB12-43EA-96FF-8F38E3EE964C}"/>
    <cellStyle name="Notas 84" xfId="14547" xr:uid="{66D96089-B262-40E3-ABDE-F213E4CC5D36}"/>
    <cellStyle name="Notas 84 2" xfId="18088" xr:uid="{5BF42E22-2C8F-4CBC-AA08-57AB8ED9C0AA}"/>
    <cellStyle name="Notas 84_1.2.b" xfId="16465" xr:uid="{54239002-CDAB-4718-A843-66F0597CF44C}"/>
    <cellStyle name="Notas 85" xfId="14548" xr:uid="{2B10878E-F62F-431C-BCD5-82D4E6343AA2}"/>
    <cellStyle name="Notas 85 2" xfId="18089" xr:uid="{3B75360A-79F6-4E1C-810A-7AF512F4CE92}"/>
    <cellStyle name="Notas 85_1.2.b" xfId="16466" xr:uid="{78279B89-11B7-4C08-8C00-EACD4FA00E5C}"/>
    <cellStyle name="Notas 86" xfId="14549" xr:uid="{82F75A42-058F-48A2-8F37-A508D819FBFA}"/>
    <cellStyle name="Notas 86 2" xfId="18090" xr:uid="{EE2B1CED-DB67-492D-AA7A-AE657012F12B}"/>
    <cellStyle name="Notas 86_1.2.b" xfId="16467" xr:uid="{627E1D13-652B-483F-A0BC-F9E47B75D772}"/>
    <cellStyle name="Notas 87" xfId="14550" xr:uid="{B16527B1-B3E3-40BB-9D03-1563128D91DE}"/>
    <cellStyle name="Notas 87 2" xfId="18091" xr:uid="{32237B87-B01B-4CB2-846D-AF0BCF20570D}"/>
    <cellStyle name="Notas 87_1.2.b" xfId="16468" xr:uid="{F4E2BBA0-0B85-46A0-A12A-791856E763BB}"/>
    <cellStyle name="Notas 88" xfId="14551" xr:uid="{86CDC04C-31EB-4555-A527-7F4BE738EAA6}"/>
    <cellStyle name="Notas 88 2" xfId="18092" xr:uid="{6F133E7F-7B39-4A65-9EAA-3594B5CB80B3}"/>
    <cellStyle name="Notas 88_1.2.b" xfId="16469" xr:uid="{983F792F-8498-4A2A-BFD7-C4AF94E733F3}"/>
    <cellStyle name="Notas 89" xfId="14552" xr:uid="{26ACB374-79DB-4D61-9154-D64EEF332745}"/>
    <cellStyle name="Notas 89 2" xfId="18093" xr:uid="{E3273504-5561-46EF-8F90-6594AE435751}"/>
    <cellStyle name="Notas 89_1.2.b" xfId="16470" xr:uid="{EF32EB73-9D7B-497B-B69B-E16D99A1CCAE}"/>
    <cellStyle name="Notas 9" xfId="9845" xr:uid="{00000000-0005-0000-0000-000087130000}"/>
    <cellStyle name="Notas 9 2" xfId="11630" xr:uid="{00000000-0005-0000-0000-000088130000}"/>
    <cellStyle name="Notas 9 2 2" xfId="14554" xr:uid="{AE67666A-F130-424E-AA30-3C13EA6FE162}"/>
    <cellStyle name="Notas 9 2_1.2.b" xfId="16472" xr:uid="{5F463ACA-B024-4CBC-888A-17B174E3CAAA}"/>
    <cellStyle name="Notas 9 3" xfId="14553" xr:uid="{2A895ADB-29E2-4279-A7C9-CCA0F423E711}"/>
    <cellStyle name="Notas 9_1.2.b" xfId="16471" xr:uid="{A8D4263A-246F-44C4-BF0E-601FD12CBBF9}"/>
    <cellStyle name="Notas 90" xfId="14555" xr:uid="{2CAF194D-162F-4181-A3D5-D1ACB852A327}"/>
    <cellStyle name="Notas 90 2" xfId="18094" xr:uid="{1C984493-98AE-4BF2-BFAA-E84A53AB9D4B}"/>
    <cellStyle name="Notas 90_1.2.b" xfId="16473" xr:uid="{AD09744D-33AB-4453-867D-283DAAD888B6}"/>
    <cellStyle name="Notas 91" xfId="14556" xr:uid="{DEFD0604-9718-48CC-8421-A7E460CF2EF1}"/>
    <cellStyle name="Notas 91 2" xfId="18095" xr:uid="{D6DD2113-FC7D-46C9-B962-9711CE4B1459}"/>
    <cellStyle name="Notas 91_1.2.b" xfId="16474" xr:uid="{B40E4956-1029-4988-8D71-87AD3EBFD205}"/>
    <cellStyle name="Notas 92" xfId="14557" xr:uid="{573A959F-AF17-44EB-B057-A6E5ECB5D79D}"/>
    <cellStyle name="Notas 92 2" xfId="18096" xr:uid="{B0F32B1E-1438-4609-9A65-CFD06BEAE7AC}"/>
    <cellStyle name="Notas 92_1.2.b" xfId="16475" xr:uid="{2AFF8112-5C93-43B4-95C9-E7CC77CE058D}"/>
    <cellStyle name="Notas 93" xfId="14558" xr:uid="{3174AA91-7A3D-400B-93DE-C82F15ED9A21}"/>
    <cellStyle name="Notas 93 2" xfId="18097" xr:uid="{26E6B121-6E37-4D19-A6C9-AD51AC529EE4}"/>
    <cellStyle name="Notas 93_1.2.b" xfId="16476" xr:uid="{225ABD2B-6042-42A1-BDF0-59DEB3145F5D}"/>
    <cellStyle name="Notas 94" xfId="14559" xr:uid="{8551DE99-F323-4A2E-A60B-AA58CBB4728D}"/>
    <cellStyle name="Notas 94 2" xfId="18098" xr:uid="{37FDF4EB-8F61-4EEF-8A96-A5B5AD9DAB87}"/>
    <cellStyle name="Notas 94_1.2.b" xfId="16477" xr:uid="{A6B744CE-BE98-4365-B933-018387F684BC}"/>
    <cellStyle name="Notas 95" xfId="14560" xr:uid="{EFF79BE9-10A9-4907-9603-9CE0F5B958C7}"/>
    <cellStyle name="Notas 95 2" xfId="18099" xr:uid="{6432CED8-7655-4B7E-B1C5-D357B9E41EB1}"/>
    <cellStyle name="Notas 95_1.2.b" xfId="16478" xr:uid="{CA29739B-5A4D-4F0D-B70A-CDFED3DFDF7A}"/>
    <cellStyle name="Notas 96" xfId="14561" xr:uid="{FC6E7169-27FC-487D-8137-AE9B6393027A}"/>
    <cellStyle name="Notas 96 2" xfId="18100" xr:uid="{3D4EBC41-86F6-4BFB-90E3-4517118B5B7A}"/>
    <cellStyle name="Notas 96_1.2.b" xfId="16479" xr:uid="{DB8D5E7F-A43D-44E0-96A2-E1B297D49B25}"/>
    <cellStyle name="Notas 97" xfId="14562" xr:uid="{63EE7010-94B6-4851-B28E-6F29F8D05041}"/>
    <cellStyle name="Notas 97 2" xfId="18101" xr:uid="{EB2D7A57-A4CD-42D6-AAD6-2440A620CF80}"/>
    <cellStyle name="Notas 97_1.2.b" xfId="16480" xr:uid="{50528667-E7D4-41F8-BDD6-4B19677466C0}"/>
    <cellStyle name="Notas 98" xfId="14563" xr:uid="{57465444-BB54-4D8D-9887-6D10D6DC2B3A}"/>
    <cellStyle name="Notas 98 2" xfId="18102" xr:uid="{30CB52E1-D098-4D18-A159-18AC25703B86}"/>
    <cellStyle name="Notas 98_1.2.b" xfId="16481" xr:uid="{F54BC146-2F10-4184-846A-2000713D7380}"/>
    <cellStyle name="Notas 99" xfId="14707" xr:uid="{6B402252-C63A-4388-8A68-9867CAA299F0}"/>
    <cellStyle name="Note" xfId="14564" xr:uid="{63180E8C-ECDB-4B85-8B60-8B1BD53FFE08}"/>
    <cellStyle name="Output" xfId="35" xr:uid="{0E46E703-578C-4CF8-9171-CA5E3DA42410}"/>
    <cellStyle name="Output Column Headings" xfId="108" xr:uid="{00000000-0005-0000-0000-000089130000}"/>
    <cellStyle name="Output Line Items" xfId="109" xr:uid="{00000000-0005-0000-0000-00008A130000}"/>
    <cellStyle name="Output Report Heading" xfId="110" xr:uid="{00000000-0005-0000-0000-00008B130000}"/>
    <cellStyle name="Output Report Title" xfId="111" xr:uid="{00000000-0005-0000-0000-00008C130000}"/>
    <cellStyle name="Percent" xfId="12401" xr:uid="{00000000-0005-0000-0000-00008D130000}"/>
    <cellStyle name="Percent 2" xfId="12407" xr:uid="{3BD632E4-2111-4DAE-A5D8-65690E2578B5}"/>
    <cellStyle name="Percent 3" xfId="14565" xr:uid="{FD4CAAC6-6F8F-4E40-B1F4-530C6456B41E}"/>
    <cellStyle name="Percent_1.2.b" xfId="16482" xr:uid="{AE352982-7332-4E45-9B36-450409B9F24A}"/>
    <cellStyle name="Porcentaje" xfId="12405" builtinId="5"/>
    <cellStyle name="Porcentaje 10" xfId="1460" xr:uid="{00000000-0005-0000-0000-00008F130000}"/>
    <cellStyle name="Porcentaje 11" xfId="1461" xr:uid="{00000000-0005-0000-0000-000090130000}"/>
    <cellStyle name="Porcentaje 12" xfId="1462" xr:uid="{00000000-0005-0000-0000-000091130000}"/>
    <cellStyle name="Porcentaje 13" xfId="1463" xr:uid="{00000000-0005-0000-0000-000092130000}"/>
    <cellStyle name="Porcentaje 14" xfId="1464" xr:uid="{00000000-0005-0000-0000-000093130000}"/>
    <cellStyle name="Porcentaje 15" xfId="1465" xr:uid="{00000000-0005-0000-0000-000094130000}"/>
    <cellStyle name="Porcentaje 16" xfId="1466" xr:uid="{00000000-0005-0000-0000-000095130000}"/>
    <cellStyle name="Porcentaje 17" xfId="1467" xr:uid="{00000000-0005-0000-0000-000096130000}"/>
    <cellStyle name="Porcentaje 18" xfId="1468" xr:uid="{00000000-0005-0000-0000-000097130000}"/>
    <cellStyle name="Porcentaje 19" xfId="1469" xr:uid="{00000000-0005-0000-0000-000098130000}"/>
    <cellStyle name="Porcentaje 2" xfId="112" xr:uid="{00000000-0005-0000-0000-000099130000}"/>
    <cellStyle name="Porcentaje 2 10" xfId="1471" xr:uid="{00000000-0005-0000-0000-00009A130000}"/>
    <cellStyle name="Porcentaje 2 10 2" xfId="7815" xr:uid="{00000000-0005-0000-0000-00009B130000}"/>
    <cellStyle name="Porcentaje 2 11" xfId="1472" xr:uid="{00000000-0005-0000-0000-00009C130000}"/>
    <cellStyle name="Porcentaje 2 11 2" xfId="7816" xr:uid="{00000000-0005-0000-0000-00009D130000}"/>
    <cellStyle name="Porcentaje 2 12" xfId="1473" xr:uid="{00000000-0005-0000-0000-00009E130000}"/>
    <cellStyle name="Porcentaje 2 12 2" xfId="7817" xr:uid="{00000000-0005-0000-0000-00009F130000}"/>
    <cellStyle name="Porcentaje 2 13" xfId="1474" xr:uid="{00000000-0005-0000-0000-0000A0130000}"/>
    <cellStyle name="Porcentaje 2 13 2" xfId="7818" xr:uid="{00000000-0005-0000-0000-0000A1130000}"/>
    <cellStyle name="Porcentaje 2 14" xfId="1475" xr:uid="{00000000-0005-0000-0000-0000A2130000}"/>
    <cellStyle name="Porcentaje 2 14 2" xfId="7819" xr:uid="{00000000-0005-0000-0000-0000A3130000}"/>
    <cellStyle name="Porcentaje 2 15" xfId="1476" xr:uid="{00000000-0005-0000-0000-0000A4130000}"/>
    <cellStyle name="Porcentaje 2 15 2" xfId="7820" xr:uid="{00000000-0005-0000-0000-0000A5130000}"/>
    <cellStyle name="Porcentaje 2 16" xfId="1477" xr:uid="{00000000-0005-0000-0000-0000A6130000}"/>
    <cellStyle name="Porcentaje 2 16 2" xfId="7821" xr:uid="{00000000-0005-0000-0000-0000A7130000}"/>
    <cellStyle name="Porcentaje 2 17" xfId="1478" xr:uid="{00000000-0005-0000-0000-0000A8130000}"/>
    <cellStyle name="Porcentaje 2 17 2" xfId="7822" xr:uid="{00000000-0005-0000-0000-0000A9130000}"/>
    <cellStyle name="Porcentaje 2 18" xfId="1479" xr:uid="{00000000-0005-0000-0000-0000AA130000}"/>
    <cellStyle name="Porcentaje 2 18 2" xfId="7823" xr:uid="{00000000-0005-0000-0000-0000AB130000}"/>
    <cellStyle name="Porcentaje 2 19" xfId="1480" xr:uid="{00000000-0005-0000-0000-0000AC130000}"/>
    <cellStyle name="Porcentaje 2 19 2" xfId="7824" xr:uid="{00000000-0005-0000-0000-0000AD130000}"/>
    <cellStyle name="Porcentaje 2 2" xfId="135" xr:uid="{00000000-0005-0000-0000-0000AE130000}"/>
    <cellStyle name="Porcentaje 2 2 2" xfId="4159" xr:uid="{00000000-0005-0000-0000-0000AF130000}"/>
    <cellStyle name="Porcentaje 2 2 2 2" xfId="4273" xr:uid="{00000000-0005-0000-0000-0000B0130000}"/>
    <cellStyle name="Porcentaje 2 2 2 2 2" xfId="9708" xr:uid="{00000000-0005-0000-0000-0000B1130000}"/>
    <cellStyle name="Porcentaje 2 2 2 2 2 2" xfId="10409" xr:uid="{00000000-0005-0000-0000-0000B2130000}"/>
    <cellStyle name="Porcentaje 2 2 2 2 2 2 2" xfId="12144" xr:uid="{00000000-0005-0000-0000-0000B3130000}"/>
    <cellStyle name="Porcentaje 2 2 2 2 2 3" xfId="11497" xr:uid="{00000000-0005-0000-0000-0000B4130000}"/>
    <cellStyle name="Porcentaje 2 2 2 2 3" xfId="10112" xr:uid="{00000000-0005-0000-0000-0000B5130000}"/>
    <cellStyle name="Porcentaje 2 2 2 2 3 2" xfId="11848" xr:uid="{00000000-0005-0000-0000-0000B6130000}"/>
    <cellStyle name="Porcentaje 2 2 2 2 4" xfId="11084" xr:uid="{00000000-0005-0000-0000-0000B7130000}"/>
    <cellStyle name="Porcentaje 2 2 2 2 5" xfId="14568" xr:uid="{9E80531F-7269-4E06-88D2-61CBE2609A0A}"/>
    <cellStyle name="Porcentaje 2 2 2 3" xfId="9605" xr:uid="{00000000-0005-0000-0000-0000B8130000}"/>
    <cellStyle name="Porcentaje 2 2 2 3 2" xfId="10307" xr:uid="{00000000-0005-0000-0000-0000B9130000}"/>
    <cellStyle name="Porcentaje 2 2 2 3 2 2" xfId="12042" xr:uid="{00000000-0005-0000-0000-0000BA130000}"/>
    <cellStyle name="Porcentaje 2 2 2 3 3" xfId="11395" xr:uid="{00000000-0005-0000-0000-0000BB130000}"/>
    <cellStyle name="Porcentaje 2 2 2 4" xfId="10010" xr:uid="{00000000-0005-0000-0000-0000BC130000}"/>
    <cellStyle name="Porcentaje 2 2 2 4 2" xfId="11746" xr:uid="{00000000-0005-0000-0000-0000BD130000}"/>
    <cellStyle name="Porcentaje 2 2 2 5" xfId="10564" xr:uid="{00000000-0005-0000-0000-0000BE130000}"/>
    <cellStyle name="Porcentaje 2 2 2 5 2" xfId="12299" xr:uid="{00000000-0005-0000-0000-0000BF130000}"/>
    <cellStyle name="Porcentaje 2 2 2 6" xfId="10973" xr:uid="{00000000-0005-0000-0000-0000C0130000}"/>
    <cellStyle name="Porcentaje 2 2 2 7" xfId="14567" xr:uid="{610B47EF-9934-4A41-92AB-910AEBE3F250}"/>
    <cellStyle name="Porcentaje 2 2 2 8" xfId="18104" xr:uid="{86655198-3B03-4D91-A62B-1C06245BEFAB}"/>
    <cellStyle name="Porcentaje 2 2 3" xfId="4222" xr:uid="{00000000-0005-0000-0000-0000C1130000}"/>
    <cellStyle name="Porcentaje 2 2 3 2" xfId="9657" xr:uid="{00000000-0005-0000-0000-0000C2130000}"/>
    <cellStyle name="Porcentaje 2 2 3 2 2" xfId="10358" xr:uid="{00000000-0005-0000-0000-0000C3130000}"/>
    <cellStyle name="Porcentaje 2 2 3 2 2 2" xfId="12093" xr:uid="{00000000-0005-0000-0000-0000C4130000}"/>
    <cellStyle name="Porcentaje 2 2 3 2 3" xfId="11446" xr:uid="{00000000-0005-0000-0000-0000C5130000}"/>
    <cellStyle name="Porcentaje 2 2 3 3" xfId="10061" xr:uid="{00000000-0005-0000-0000-0000C6130000}"/>
    <cellStyle name="Porcentaje 2 2 3 3 2" xfId="11797" xr:uid="{00000000-0005-0000-0000-0000C7130000}"/>
    <cellStyle name="Porcentaje 2 2 3 4" xfId="11033" xr:uid="{00000000-0005-0000-0000-0000C8130000}"/>
    <cellStyle name="Porcentaje 2 2 3 5" xfId="14569" xr:uid="{BF648DDA-8F54-4F0C-8A9B-ED8A598B840B}"/>
    <cellStyle name="Porcentaje 2 2 4" xfId="7825" xr:uid="{00000000-0005-0000-0000-0000C9130000}"/>
    <cellStyle name="Porcentaje 2 2 4 2" xfId="14570" xr:uid="{E117A462-C6F9-4ECD-BAAE-1008BF8B3496}"/>
    <cellStyle name="Porcentaje 2 2 5" xfId="10551" xr:uid="{00000000-0005-0000-0000-0000CA130000}"/>
    <cellStyle name="Porcentaje 2 2 5 2" xfId="12286" xr:uid="{00000000-0005-0000-0000-0000CB130000}"/>
    <cellStyle name="Porcentaje 2 2 5 2 2" xfId="14763" xr:uid="{F9F02742-4B13-4FEA-9CA3-42F88474F895}"/>
    <cellStyle name="Porcentaje 2 2 5 3" xfId="14571" xr:uid="{594671A6-5195-4D59-9A7D-B10AB9AD2D5A}"/>
    <cellStyle name="Porcentaje 2 2 6" xfId="14566" xr:uid="{0EA3DADA-3A7D-4A8B-BBF1-BAFFE1EED67D}"/>
    <cellStyle name="Porcentaje 2 2 7" xfId="18103" xr:uid="{30ECD291-2B5B-4BE0-8EF4-5539B43AD2C2}"/>
    <cellStyle name="Porcentaje 2 20" xfId="1481" xr:uid="{00000000-0005-0000-0000-0000CC130000}"/>
    <cellStyle name="Porcentaje 2 20 2" xfId="7826" xr:uid="{00000000-0005-0000-0000-0000CD130000}"/>
    <cellStyle name="Porcentaje 2 21" xfId="1482" xr:uid="{00000000-0005-0000-0000-0000CE130000}"/>
    <cellStyle name="Porcentaje 2 21 2" xfId="7827" xr:uid="{00000000-0005-0000-0000-0000CF130000}"/>
    <cellStyle name="Porcentaje 2 22" xfId="1483" xr:uid="{00000000-0005-0000-0000-0000D0130000}"/>
    <cellStyle name="Porcentaje 2 22 2" xfId="7828" xr:uid="{00000000-0005-0000-0000-0000D1130000}"/>
    <cellStyle name="Porcentaje 2 23" xfId="1484" xr:uid="{00000000-0005-0000-0000-0000D2130000}"/>
    <cellStyle name="Porcentaje 2 23 2" xfId="7829" xr:uid="{00000000-0005-0000-0000-0000D3130000}"/>
    <cellStyle name="Porcentaje 2 24" xfId="4086" xr:uid="{00000000-0005-0000-0000-0000D4130000}"/>
    <cellStyle name="Porcentaje 2 24 2" xfId="9570" xr:uid="{00000000-0005-0000-0000-0000D5130000}"/>
    <cellStyle name="Porcentaje 2 24 2 2" xfId="10273" xr:uid="{00000000-0005-0000-0000-0000D6130000}"/>
    <cellStyle name="Porcentaje 2 24 2 2 2" xfId="12008" xr:uid="{00000000-0005-0000-0000-0000D7130000}"/>
    <cellStyle name="Porcentaje 2 24 2 3" xfId="11361" xr:uid="{00000000-0005-0000-0000-0000D8130000}"/>
    <cellStyle name="Porcentaje 2 24 3" xfId="9976" xr:uid="{00000000-0005-0000-0000-0000D9130000}"/>
    <cellStyle name="Porcentaje 2 24 3 2" xfId="11712" xr:uid="{00000000-0005-0000-0000-0000DA130000}"/>
    <cellStyle name="Porcentaje 2 24 4" xfId="10935" xr:uid="{00000000-0005-0000-0000-0000DB130000}"/>
    <cellStyle name="Porcentaje 2 25" xfId="4188" xr:uid="{00000000-0005-0000-0000-0000DC130000}"/>
    <cellStyle name="Porcentaje 2 25 2" xfId="9623" xr:uid="{00000000-0005-0000-0000-0000DD130000}"/>
    <cellStyle name="Porcentaje 2 25 2 2" xfId="10324" xr:uid="{00000000-0005-0000-0000-0000DE130000}"/>
    <cellStyle name="Porcentaje 2 25 2 2 2" xfId="12059" xr:uid="{00000000-0005-0000-0000-0000DF130000}"/>
    <cellStyle name="Porcentaje 2 25 2 3" xfId="11412" xr:uid="{00000000-0005-0000-0000-0000E0130000}"/>
    <cellStyle name="Porcentaje 2 25 3" xfId="10027" xr:uid="{00000000-0005-0000-0000-0000E1130000}"/>
    <cellStyle name="Porcentaje 2 25 3 2" xfId="11763" xr:uid="{00000000-0005-0000-0000-0000E2130000}"/>
    <cellStyle name="Porcentaje 2 25 4" xfId="10999" xr:uid="{00000000-0005-0000-0000-0000E3130000}"/>
    <cellStyle name="Porcentaje 2 26" xfId="4281" xr:uid="{00000000-0005-0000-0000-0000E4130000}"/>
    <cellStyle name="Porcentaje 2 27" xfId="1470" xr:uid="{00000000-0005-0000-0000-0000E5130000}"/>
    <cellStyle name="Porcentaje 2 28" xfId="10657" xr:uid="{00000000-0005-0000-0000-0000E6130000}"/>
    <cellStyle name="Porcentaje 2 3" xfId="1485" xr:uid="{00000000-0005-0000-0000-0000E7130000}"/>
    <cellStyle name="Porcentaje 2 3 2" xfId="4119" xr:uid="{00000000-0005-0000-0000-0000E8130000}"/>
    <cellStyle name="Porcentaje 2 3 2 2" xfId="4255" xr:uid="{00000000-0005-0000-0000-0000E9130000}"/>
    <cellStyle name="Porcentaje 2 3 2 2 2" xfId="9690" xr:uid="{00000000-0005-0000-0000-0000EA130000}"/>
    <cellStyle name="Porcentaje 2 3 2 2 2 2" xfId="10391" xr:uid="{00000000-0005-0000-0000-0000EB130000}"/>
    <cellStyle name="Porcentaje 2 3 2 2 2 2 2" xfId="12126" xr:uid="{00000000-0005-0000-0000-0000EC130000}"/>
    <cellStyle name="Porcentaje 2 3 2 2 2 3" xfId="11479" xr:uid="{00000000-0005-0000-0000-0000ED130000}"/>
    <cellStyle name="Porcentaje 2 3 2 2 3" xfId="10094" xr:uid="{00000000-0005-0000-0000-0000EE130000}"/>
    <cellStyle name="Porcentaje 2 3 2 2 3 2" xfId="11830" xr:uid="{00000000-0005-0000-0000-0000EF130000}"/>
    <cellStyle name="Porcentaje 2 3 2 2 4" xfId="11066" xr:uid="{00000000-0005-0000-0000-0000F0130000}"/>
    <cellStyle name="Porcentaje 2 3 2 3" xfId="9586" xr:uid="{00000000-0005-0000-0000-0000F1130000}"/>
    <cellStyle name="Porcentaje 2 3 2 3 2" xfId="10289" xr:uid="{00000000-0005-0000-0000-0000F2130000}"/>
    <cellStyle name="Porcentaje 2 3 2 3 2 2" xfId="12024" xr:uid="{00000000-0005-0000-0000-0000F3130000}"/>
    <cellStyle name="Porcentaje 2 3 2 3 3" xfId="11377" xr:uid="{00000000-0005-0000-0000-0000F4130000}"/>
    <cellStyle name="Porcentaje 2 3 2 4" xfId="9992" xr:uid="{00000000-0005-0000-0000-0000F5130000}"/>
    <cellStyle name="Porcentaje 2 3 2 4 2" xfId="11728" xr:uid="{00000000-0005-0000-0000-0000F6130000}"/>
    <cellStyle name="Porcentaje 2 3 2 5" xfId="10952" xr:uid="{00000000-0005-0000-0000-0000F7130000}"/>
    <cellStyle name="Porcentaje 2 3 2 6" xfId="14573" xr:uid="{A5618F20-9C9C-46E9-BD82-16A641DBE10F}"/>
    <cellStyle name="Porcentaje 2 3 3" xfId="4204" xr:uid="{00000000-0005-0000-0000-0000F8130000}"/>
    <cellStyle name="Porcentaje 2 3 3 2" xfId="9639" xr:uid="{00000000-0005-0000-0000-0000F9130000}"/>
    <cellStyle name="Porcentaje 2 3 3 2 2" xfId="10340" xr:uid="{00000000-0005-0000-0000-0000FA130000}"/>
    <cellStyle name="Porcentaje 2 3 3 2 2 2" xfId="12075" xr:uid="{00000000-0005-0000-0000-0000FB130000}"/>
    <cellStyle name="Porcentaje 2 3 3 2 3" xfId="11428" xr:uid="{00000000-0005-0000-0000-0000FC130000}"/>
    <cellStyle name="Porcentaje 2 3 3 3" xfId="10043" xr:uid="{00000000-0005-0000-0000-0000FD130000}"/>
    <cellStyle name="Porcentaje 2 3 3 3 2" xfId="11779" xr:uid="{00000000-0005-0000-0000-0000FE130000}"/>
    <cellStyle name="Porcentaje 2 3 3 4" xfId="11015" xr:uid="{00000000-0005-0000-0000-0000FF130000}"/>
    <cellStyle name="Porcentaje 2 3 4" xfId="7830" xr:uid="{00000000-0005-0000-0000-000000140000}"/>
    <cellStyle name="Porcentaje 2 3 5" xfId="10562" xr:uid="{00000000-0005-0000-0000-000001140000}"/>
    <cellStyle name="Porcentaje 2 3 5 2" xfId="12297" xr:uid="{00000000-0005-0000-0000-000002140000}"/>
    <cellStyle name="Porcentaje 2 3 6" xfId="14572" xr:uid="{01EFB418-EEDE-47F7-8EAE-882341246815}"/>
    <cellStyle name="Porcentaje 2 3 7" xfId="18105" xr:uid="{08D8E462-B552-4C0B-B5D0-4192F681A0B4}"/>
    <cellStyle name="Porcentaje 2 4" xfId="1486" xr:uid="{00000000-0005-0000-0000-000003140000}"/>
    <cellStyle name="Porcentaje 2 4 2" xfId="4239" xr:uid="{00000000-0005-0000-0000-000004140000}"/>
    <cellStyle name="Porcentaje 2 4 2 2" xfId="9674" xr:uid="{00000000-0005-0000-0000-000005140000}"/>
    <cellStyle name="Porcentaje 2 4 2 2 2" xfId="10375" xr:uid="{00000000-0005-0000-0000-000006140000}"/>
    <cellStyle name="Porcentaje 2 4 2 2 2 2" xfId="12110" xr:uid="{00000000-0005-0000-0000-000007140000}"/>
    <cellStyle name="Porcentaje 2 4 2 2 3" xfId="11463" xr:uid="{00000000-0005-0000-0000-000008140000}"/>
    <cellStyle name="Porcentaje 2 4 2 3" xfId="10078" xr:uid="{00000000-0005-0000-0000-000009140000}"/>
    <cellStyle name="Porcentaje 2 4 2 3 2" xfId="11814" xr:uid="{00000000-0005-0000-0000-00000A140000}"/>
    <cellStyle name="Porcentaje 2 4 2 4" xfId="11050" xr:uid="{00000000-0005-0000-0000-00000B140000}"/>
    <cellStyle name="Porcentaje 2 4 2 5" xfId="14574" xr:uid="{D84CFB72-B1FA-4EA5-925F-3FEAE0ECDD32}"/>
    <cellStyle name="Porcentaje 2 4 3" xfId="7831" xr:uid="{00000000-0005-0000-0000-00000C140000}"/>
    <cellStyle name="Porcentaje 2 5" xfId="1487" xr:uid="{00000000-0005-0000-0000-00000D140000}"/>
    <cellStyle name="Porcentaje 2 5 2" xfId="7832" xr:uid="{00000000-0005-0000-0000-00000E140000}"/>
    <cellStyle name="Porcentaje 2 5 2 2" xfId="14575" xr:uid="{C776864A-6577-4500-92DC-9162BD5D96CF}"/>
    <cellStyle name="Porcentaje 2 5 3" xfId="14576" xr:uid="{16211169-CC4A-487D-8F3B-575C1E83CFB5}"/>
    <cellStyle name="Porcentaje 2 5 4" xfId="14764" xr:uid="{588EE67C-BFF8-426E-B3A7-156DADCB30D8}"/>
    <cellStyle name="Porcentaje 2 6" xfId="1488" xr:uid="{00000000-0005-0000-0000-00000F140000}"/>
    <cellStyle name="Porcentaje 2 6 2" xfId="7833" xr:uid="{00000000-0005-0000-0000-000010140000}"/>
    <cellStyle name="Porcentaje 2 6 2 2" xfId="14577" xr:uid="{772E7D2B-EA0F-4046-9136-890784776E96}"/>
    <cellStyle name="Porcentaje 2 6 3" xfId="14578" xr:uid="{AF353BC4-6AD3-4F81-A62C-9EAF7D03B910}"/>
    <cellStyle name="Porcentaje 2 6 4" xfId="14765" xr:uid="{688A6A50-A37A-416B-956A-F1C78C69684D}"/>
    <cellStyle name="Porcentaje 2 7" xfId="1489" xr:uid="{00000000-0005-0000-0000-000011140000}"/>
    <cellStyle name="Porcentaje 2 7 2" xfId="7834" xr:uid="{00000000-0005-0000-0000-000012140000}"/>
    <cellStyle name="Porcentaje 2 8" xfId="1490" xr:uid="{00000000-0005-0000-0000-000013140000}"/>
    <cellStyle name="Porcentaje 2 8 2" xfId="7835" xr:uid="{00000000-0005-0000-0000-000014140000}"/>
    <cellStyle name="Porcentaje 2 9" xfId="1491" xr:uid="{00000000-0005-0000-0000-000015140000}"/>
    <cellStyle name="Porcentaje 2 9 2" xfId="7836" xr:uid="{00000000-0005-0000-0000-000016140000}"/>
    <cellStyle name="Porcentaje 20" xfId="1492" xr:uid="{00000000-0005-0000-0000-000017140000}"/>
    <cellStyle name="Porcentaje 21" xfId="1493" xr:uid="{00000000-0005-0000-0000-000018140000}"/>
    <cellStyle name="Porcentaje 22" xfId="1494" xr:uid="{00000000-0005-0000-0000-000019140000}"/>
    <cellStyle name="Porcentaje 23" xfId="1495" xr:uid="{00000000-0005-0000-0000-00001A140000}"/>
    <cellStyle name="Porcentaje 24" xfId="4276" xr:uid="{00000000-0005-0000-0000-00001B140000}"/>
    <cellStyle name="Porcentaje 24 2" xfId="9710" xr:uid="{00000000-0005-0000-0000-00001C140000}"/>
    <cellStyle name="Porcentaje 24 2 2" xfId="10411" xr:uid="{00000000-0005-0000-0000-00001D140000}"/>
    <cellStyle name="Porcentaje 24 2 2 2" xfId="12146" xr:uid="{00000000-0005-0000-0000-00001E140000}"/>
    <cellStyle name="Porcentaje 24 2 3" xfId="11499" xr:uid="{00000000-0005-0000-0000-00001F140000}"/>
    <cellStyle name="Porcentaje 24 3" xfId="10114" xr:uid="{00000000-0005-0000-0000-000020140000}"/>
    <cellStyle name="Porcentaje 24 3 2" xfId="11850" xr:uid="{00000000-0005-0000-0000-000021140000}"/>
    <cellStyle name="Porcentaje 24 4" xfId="11087" xr:uid="{00000000-0005-0000-0000-000022140000}"/>
    <cellStyle name="Porcentaje 25" xfId="4294" xr:uid="{00000000-0005-0000-0000-000023140000}"/>
    <cellStyle name="Porcentaje 25 2" xfId="9720" xr:uid="{00000000-0005-0000-0000-000024140000}"/>
    <cellStyle name="Porcentaje 25 2 2" xfId="10420" xr:uid="{00000000-0005-0000-0000-000025140000}"/>
    <cellStyle name="Porcentaje 25 2 2 2" xfId="12155" xr:uid="{00000000-0005-0000-0000-000026140000}"/>
    <cellStyle name="Porcentaje 25 2 3" xfId="11508" xr:uid="{00000000-0005-0000-0000-000027140000}"/>
    <cellStyle name="Porcentaje 25 3" xfId="10123" xr:uid="{00000000-0005-0000-0000-000028140000}"/>
    <cellStyle name="Porcentaje 25 3 2" xfId="11859" xr:uid="{00000000-0005-0000-0000-000029140000}"/>
    <cellStyle name="Porcentaje 25 4" xfId="11103" xr:uid="{00000000-0005-0000-0000-00002A140000}"/>
    <cellStyle name="Porcentaje 26" xfId="7837" xr:uid="{00000000-0005-0000-0000-00002B140000}"/>
    <cellStyle name="Porcentaje 27" xfId="9840" xr:uid="{00000000-0005-0000-0000-00002C140000}"/>
    <cellStyle name="Porcentaje 27 2" xfId="11626" xr:uid="{00000000-0005-0000-0000-00002D140000}"/>
    <cellStyle name="Porcentaje 28" xfId="9843" xr:uid="{00000000-0005-0000-0000-00002E140000}"/>
    <cellStyle name="Porcentaje 28 2" xfId="11628" xr:uid="{00000000-0005-0000-0000-00002F140000}"/>
    <cellStyle name="Porcentaje 29" xfId="9861" xr:uid="{00000000-0005-0000-0000-000030140000}"/>
    <cellStyle name="Porcentaje 29 2" xfId="11646" xr:uid="{00000000-0005-0000-0000-000031140000}"/>
    <cellStyle name="Porcentaje 3" xfId="113" xr:uid="{00000000-0005-0000-0000-000032140000}"/>
    <cellStyle name="Porcentaje 3 2" xfId="4121" xr:uid="{00000000-0005-0000-0000-000033140000}"/>
    <cellStyle name="Porcentaje 3 2 2" xfId="4257" xr:uid="{00000000-0005-0000-0000-000034140000}"/>
    <cellStyle name="Porcentaje 3 2 2 2" xfId="9692" xr:uid="{00000000-0005-0000-0000-000035140000}"/>
    <cellStyle name="Porcentaje 3 2 2 2 2" xfId="10393" xr:uid="{00000000-0005-0000-0000-000036140000}"/>
    <cellStyle name="Porcentaje 3 2 2 2 2 2" xfId="12128" xr:uid="{00000000-0005-0000-0000-000037140000}"/>
    <cellStyle name="Porcentaje 3 2 2 2 3" xfId="11481" xr:uid="{00000000-0005-0000-0000-000038140000}"/>
    <cellStyle name="Porcentaje 3 2 2 3" xfId="10096" xr:uid="{00000000-0005-0000-0000-000039140000}"/>
    <cellStyle name="Porcentaje 3 2 2 3 2" xfId="11832" xr:uid="{00000000-0005-0000-0000-00003A140000}"/>
    <cellStyle name="Porcentaje 3 2 2 4" xfId="11068" xr:uid="{00000000-0005-0000-0000-00003B140000}"/>
    <cellStyle name="Porcentaje 3 2 2 5" xfId="14581" xr:uid="{6FB87D29-6A2C-487F-92E6-F77516C98048}"/>
    <cellStyle name="Porcentaje 3 2 3" xfId="9588" xr:uid="{00000000-0005-0000-0000-00003C140000}"/>
    <cellStyle name="Porcentaje 3 2 3 2" xfId="10291" xr:uid="{00000000-0005-0000-0000-00003D140000}"/>
    <cellStyle name="Porcentaje 3 2 3 2 2" xfId="12026" xr:uid="{00000000-0005-0000-0000-00003E140000}"/>
    <cellStyle name="Porcentaje 3 2 3 3" xfId="11379" xr:uid="{00000000-0005-0000-0000-00003F140000}"/>
    <cellStyle name="Porcentaje 3 2 3 4" xfId="14713" xr:uid="{B59F7F7B-6094-4BB4-B90F-9BFF2D5CBF1D}"/>
    <cellStyle name="Porcentaje 3 2 4" xfId="9994" xr:uid="{00000000-0005-0000-0000-000040140000}"/>
    <cellStyle name="Porcentaje 3 2 4 2" xfId="11730" xr:uid="{00000000-0005-0000-0000-000041140000}"/>
    <cellStyle name="Porcentaje 3 2 5" xfId="10954" xr:uid="{00000000-0005-0000-0000-000042140000}"/>
    <cellStyle name="Porcentaje 3 2 6" xfId="14580" xr:uid="{0C2C9029-0718-470F-8D7D-A0B95CA42B4A}"/>
    <cellStyle name="Porcentaje 3 3" xfId="4206" xr:uid="{00000000-0005-0000-0000-000043140000}"/>
    <cellStyle name="Porcentaje 3 3 2" xfId="9641" xr:uid="{00000000-0005-0000-0000-000044140000}"/>
    <cellStyle name="Porcentaje 3 3 2 2" xfId="10342" xr:uid="{00000000-0005-0000-0000-000045140000}"/>
    <cellStyle name="Porcentaje 3 3 2 2 2" xfId="12077" xr:uid="{00000000-0005-0000-0000-000046140000}"/>
    <cellStyle name="Porcentaje 3 3 2 3" xfId="11430" xr:uid="{00000000-0005-0000-0000-000047140000}"/>
    <cellStyle name="Porcentaje 3 3 3" xfId="10045" xr:uid="{00000000-0005-0000-0000-000048140000}"/>
    <cellStyle name="Porcentaje 3 3 3 2" xfId="11781" xr:uid="{00000000-0005-0000-0000-000049140000}"/>
    <cellStyle name="Porcentaje 3 3 4" xfId="11017" xr:uid="{00000000-0005-0000-0000-00004A140000}"/>
    <cellStyle name="Porcentaje 3 4" xfId="4311" xr:uid="{00000000-0005-0000-0000-00004B140000}"/>
    <cellStyle name="Porcentaje 3 4 2" xfId="9728" xr:uid="{00000000-0005-0000-0000-00004C140000}"/>
    <cellStyle name="Porcentaje 3 4 2 2" xfId="10428" xr:uid="{00000000-0005-0000-0000-00004D140000}"/>
    <cellStyle name="Porcentaje 3 4 2 2 2" xfId="12163" xr:uid="{00000000-0005-0000-0000-00004E140000}"/>
    <cellStyle name="Porcentaje 3 4 2 3" xfId="11516" xr:uid="{00000000-0005-0000-0000-00004F140000}"/>
    <cellStyle name="Porcentaje 3 4 3" xfId="10131" xr:uid="{00000000-0005-0000-0000-000050140000}"/>
    <cellStyle name="Porcentaje 3 4 3 2" xfId="11867" xr:uid="{00000000-0005-0000-0000-000051140000}"/>
    <cellStyle name="Porcentaje 3 4 4" xfId="11119" xr:uid="{00000000-0005-0000-0000-000052140000}"/>
    <cellStyle name="Porcentaje 3 5" xfId="1496" xr:uid="{00000000-0005-0000-0000-000053140000}"/>
    <cellStyle name="Porcentaje 3 6" xfId="9934" xr:uid="{00000000-0005-0000-0000-000054140000}"/>
    <cellStyle name="Porcentaje 3 7" xfId="10658" xr:uid="{00000000-0005-0000-0000-000055140000}"/>
    <cellStyle name="Porcentaje 3 8" xfId="14579" xr:uid="{C11FC161-40DA-4D38-8FE2-732D3CCE4D7F}"/>
    <cellStyle name="Porcentaje 30" xfId="9864" xr:uid="{00000000-0005-0000-0000-000056140000}"/>
    <cellStyle name="Porcentaje 30 2" xfId="11648" xr:uid="{00000000-0005-0000-0000-000057140000}"/>
    <cellStyle name="Porcentaje 31" xfId="10632" xr:uid="{00000000-0005-0000-0000-000058140000}"/>
    <cellStyle name="Porcentaje 32" xfId="10618" xr:uid="{00000000-0005-0000-0000-000059140000}"/>
    <cellStyle name="Porcentaje 33" xfId="12393" xr:uid="{00000000-0005-0000-0000-00005A140000}"/>
    <cellStyle name="Porcentaje 34" xfId="12403" xr:uid="{F4D72112-4C67-4893-BE03-B4B6EA79AA81}"/>
    <cellStyle name="Porcentaje 35" xfId="14776" xr:uid="{E4E9A41A-DEE4-4F77-879A-20BC9A327A56}"/>
    <cellStyle name="Porcentaje 36" xfId="18154" xr:uid="{4D11AAF6-9FEC-4F42-B953-27C7254EB904}"/>
    <cellStyle name="Porcentaje 37" xfId="18290" xr:uid="{E14004F5-467C-4BF0-89C3-B90C46DA8487}"/>
    <cellStyle name="Porcentaje 4" xfId="127" xr:uid="{00000000-0005-0000-0000-00005B140000}"/>
    <cellStyle name="Porcentaje 4 2" xfId="4127" xr:uid="{00000000-0005-0000-0000-00005C140000}"/>
    <cellStyle name="Porcentaje 4 2 2" xfId="9938" xr:uid="{00000000-0005-0000-0000-00005D140000}"/>
    <cellStyle name="Porcentaje 4 2 2 2" xfId="11674" xr:uid="{00000000-0005-0000-0000-00005E140000}"/>
    <cellStyle name="Porcentaje 4 2 3" xfId="10569" xr:uid="{00000000-0005-0000-0000-00005F140000}"/>
    <cellStyle name="Porcentaje 4 2 3 2" xfId="12304" xr:uid="{00000000-0005-0000-0000-000060140000}"/>
    <cellStyle name="Porcentaje 4 2 4" xfId="14583" xr:uid="{D40E1591-6618-44A7-B035-2F1567FA9066}"/>
    <cellStyle name="Porcentaje 4 2 5" xfId="18108" xr:uid="{4ED72410-C9BF-4E04-84A2-B3EB9A61765E}"/>
    <cellStyle name="Porcentaje 4 3" xfId="4329" xr:uid="{00000000-0005-0000-0000-000061140000}"/>
    <cellStyle name="Porcentaje 4 3 2" xfId="9740" xr:uid="{00000000-0005-0000-0000-000062140000}"/>
    <cellStyle name="Porcentaje 4 3 2 2" xfId="10439" xr:uid="{00000000-0005-0000-0000-000063140000}"/>
    <cellStyle name="Porcentaje 4 3 2 2 2" xfId="12174" xr:uid="{00000000-0005-0000-0000-000064140000}"/>
    <cellStyle name="Porcentaje 4 3 2 3" xfId="11527" xr:uid="{00000000-0005-0000-0000-000065140000}"/>
    <cellStyle name="Porcentaje 4 3 3" xfId="10142" xr:uid="{00000000-0005-0000-0000-000066140000}"/>
    <cellStyle name="Porcentaje 4 3 3 2" xfId="11878" xr:uid="{00000000-0005-0000-0000-000067140000}"/>
    <cellStyle name="Porcentaje 4 3 4" xfId="11135" xr:uid="{00000000-0005-0000-0000-000068140000}"/>
    <cellStyle name="Porcentaje 4 4" xfId="1497" xr:uid="{00000000-0005-0000-0000-000069140000}"/>
    <cellStyle name="Porcentaje 4 5" xfId="10555" xr:uid="{00000000-0005-0000-0000-00006A140000}"/>
    <cellStyle name="Porcentaje 4 5 2" xfId="12290" xr:uid="{00000000-0005-0000-0000-00006B140000}"/>
    <cellStyle name="Porcentaje 4 6" xfId="14582" xr:uid="{D01BD3C5-F5C5-4440-B2C1-68CC2F38DA50}"/>
    <cellStyle name="Porcentaje 4 7" xfId="18107" xr:uid="{2B3A754F-3C3E-4367-9F18-2FF0AA31B2C9}"/>
    <cellStyle name="Porcentaje 5" xfId="1498" xr:uid="{00000000-0005-0000-0000-00006C140000}"/>
    <cellStyle name="Porcentaje 5 2" xfId="4054" xr:uid="{00000000-0005-0000-0000-00006D140000}"/>
    <cellStyle name="Porcentaje 6" xfId="1499" xr:uid="{00000000-0005-0000-0000-00006E140000}"/>
    <cellStyle name="Porcentaje 6 2" xfId="4173" xr:uid="{00000000-0005-0000-0000-00006F140000}"/>
    <cellStyle name="Porcentaje 6 3" xfId="14584" xr:uid="{72931D52-8B53-446C-BB4B-DB4359191916}"/>
    <cellStyle name="Porcentaje 6 4" xfId="18109" xr:uid="{0F89467A-6A34-40EA-B55F-5D5644AE90B5}"/>
    <cellStyle name="Porcentaje 7" xfId="1500" xr:uid="{00000000-0005-0000-0000-000070140000}"/>
    <cellStyle name="Porcentaje 7 2" xfId="14709" xr:uid="{523515EC-D41C-4889-B6AE-FE8AF886B9F8}"/>
    <cellStyle name="Porcentaje 8" xfId="1501" xr:uid="{00000000-0005-0000-0000-000071140000}"/>
    <cellStyle name="Porcentaje 9" xfId="1502" xr:uid="{00000000-0005-0000-0000-000072140000}"/>
    <cellStyle name="Porcentual 10" xfId="1503" xr:uid="{00000000-0005-0000-0000-000073140000}"/>
    <cellStyle name="Porcentual 10 10" xfId="1504" xr:uid="{00000000-0005-0000-0000-000074140000}"/>
    <cellStyle name="Porcentual 10 10 2" xfId="1505" xr:uid="{00000000-0005-0000-0000-000075140000}"/>
    <cellStyle name="Porcentual 10 10 2 2" xfId="7840" xr:uid="{00000000-0005-0000-0000-000076140000}"/>
    <cellStyle name="Porcentual 10 10 3" xfId="7839" xr:uid="{00000000-0005-0000-0000-000077140000}"/>
    <cellStyle name="Porcentual 10 11" xfId="1506" xr:uid="{00000000-0005-0000-0000-000078140000}"/>
    <cellStyle name="Porcentual 10 11 2" xfId="5162" xr:uid="{00000000-0005-0000-0000-000079140000}"/>
    <cellStyle name="Porcentual 10 11 3" xfId="7841" xr:uid="{00000000-0005-0000-0000-00007A140000}"/>
    <cellStyle name="Porcentual 10 12" xfId="1507" xr:uid="{00000000-0005-0000-0000-00007B140000}"/>
    <cellStyle name="Porcentual 10 12 2" xfId="5163" xr:uid="{00000000-0005-0000-0000-00007C140000}"/>
    <cellStyle name="Porcentual 10 12 3" xfId="7842" xr:uid="{00000000-0005-0000-0000-00007D140000}"/>
    <cellStyle name="Porcentual 10 13" xfId="1508" xr:uid="{00000000-0005-0000-0000-00007E140000}"/>
    <cellStyle name="Porcentual 10 13 2" xfId="5164" xr:uid="{00000000-0005-0000-0000-00007F140000}"/>
    <cellStyle name="Porcentual 10 13 3" xfId="7843" xr:uid="{00000000-0005-0000-0000-000080140000}"/>
    <cellStyle name="Porcentual 10 14" xfId="1509" xr:uid="{00000000-0005-0000-0000-000081140000}"/>
    <cellStyle name="Porcentual 10 14 2" xfId="5165" xr:uid="{00000000-0005-0000-0000-000082140000}"/>
    <cellStyle name="Porcentual 10 14 3" xfId="7844" xr:uid="{00000000-0005-0000-0000-000083140000}"/>
    <cellStyle name="Porcentual 10 15" xfId="1510" xr:uid="{00000000-0005-0000-0000-000084140000}"/>
    <cellStyle name="Porcentual 10 15 2" xfId="5166" xr:uid="{00000000-0005-0000-0000-000085140000}"/>
    <cellStyle name="Porcentual 10 15 3" xfId="7845" xr:uid="{00000000-0005-0000-0000-000086140000}"/>
    <cellStyle name="Porcentual 10 16" xfId="1511" xr:uid="{00000000-0005-0000-0000-000087140000}"/>
    <cellStyle name="Porcentual 10 16 2" xfId="5167" xr:uid="{00000000-0005-0000-0000-000088140000}"/>
    <cellStyle name="Porcentual 10 16 3" xfId="7846" xr:uid="{00000000-0005-0000-0000-000089140000}"/>
    <cellStyle name="Porcentual 10 17" xfId="1512" xr:uid="{00000000-0005-0000-0000-00008A140000}"/>
    <cellStyle name="Porcentual 10 17 2" xfId="5168" xr:uid="{00000000-0005-0000-0000-00008B140000}"/>
    <cellStyle name="Porcentual 10 17 3" xfId="7847" xr:uid="{00000000-0005-0000-0000-00008C140000}"/>
    <cellStyle name="Porcentual 10 18" xfId="1513" xr:uid="{00000000-0005-0000-0000-00008D140000}"/>
    <cellStyle name="Porcentual 10 18 2" xfId="5169" xr:uid="{00000000-0005-0000-0000-00008E140000}"/>
    <cellStyle name="Porcentual 10 18 3" xfId="7848" xr:uid="{00000000-0005-0000-0000-00008F140000}"/>
    <cellStyle name="Porcentual 10 19" xfId="1514" xr:uid="{00000000-0005-0000-0000-000090140000}"/>
    <cellStyle name="Porcentual 10 19 2" xfId="5170" xr:uid="{00000000-0005-0000-0000-000091140000}"/>
    <cellStyle name="Porcentual 10 19 3" xfId="7849" xr:uid="{00000000-0005-0000-0000-000092140000}"/>
    <cellStyle name="Porcentual 10 2" xfId="1515" xr:uid="{00000000-0005-0000-0000-000093140000}"/>
    <cellStyle name="Porcentual 10 2 2" xfId="5171" xr:uid="{00000000-0005-0000-0000-000094140000}"/>
    <cellStyle name="Porcentual 10 2 3" xfId="7850" xr:uid="{00000000-0005-0000-0000-000095140000}"/>
    <cellStyle name="Porcentual 10 20" xfId="1516" xr:uid="{00000000-0005-0000-0000-000096140000}"/>
    <cellStyle name="Porcentual 10 20 2" xfId="5172" xr:uid="{00000000-0005-0000-0000-000097140000}"/>
    <cellStyle name="Porcentual 10 20 3" xfId="7851" xr:uid="{00000000-0005-0000-0000-000098140000}"/>
    <cellStyle name="Porcentual 10 21" xfId="1517" xr:uid="{00000000-0005-0000-0000-000099140000}"/>
    <cellStyle name="Porcentual 10 21 2" xfId="5173" xr:uid="{00000000-0005-0000-0000-00009A140000}"/>
    <cellStyle name="Porcentual 10 21 3" xfId="7852" xr:uid="{00000000-0005-0000-0000-00009B140000}"/>
    <cellStyle name="Porcentual 10 22" xfId="1518" xr:uid="{00000000-0005-0000-0000-00009C140000}"/>
    <cellStyle name="Porcentual 10 22 2" xfId="5174" xr:uid="{00000000-0005-0000-0000-00009D140000}"/>
    <cellStyle name="Porcentual 10 22 3" xfId="7853" xr:uid="{00000000-0005-0000-0000-00009E140000}"/>
    <cellStyle name="Porcentual 10 23" xfId="1519" xr:uid="{00000000-0005-0000-0000-00009F140000}"/>
    <cellStyle name="Porcentual 10 23 2" xfId="5175" xr:uid="{00000000-0005-0000-0000-0000A0140000}"/>
    <cellStyle name="Porcentual 10 23 3" xfId="7854" xr:uid="{00000000-0005-0000-0000-0000A1140000}"/>
    <cellStyle name="Porcentual 10 24" xfId="1520" xr:uid="{00000000-0005-0000-0000-0000A2140000}"/>
    <cellStyle name="Porcentual 10 24 2" xfId="5176" xr:uid="{00000000-0005-0000-0000-0000A3140000}"/>
    <cellStyle name="Porcentual 10 24 3" xfId="7855" xr:uid="{00000000-0005-0000-0000-0000A4140000}"/>
    <cellStyle name="Porcentual 10 25" xfId="1521" xr:uid="{00000000-0005-0000-0000-0000A5140000}"/>
    <cellStyle name="Porcentual 10 25 2" xfId="5177" xr:uid="{00000000-0005-0000-0000-0000A6140000}"/>
    <cellStyle name="Porcentual 10 25 3" xfId="7856" xr:uid="{00000000-0005-0000-0000-0000A7140000}"/>
    <cellStyle name="Porcentual 10 26" xfId="1522" xr:uid="{00000000-0005-0000-0000-0000A8140000}"/>
    <cellStyle name="Porcentual 10 26 2" xfId="5178" xr:uid="{00000000-0005-0000-0000-0000A9140000}"/>
    <cellStyle name="Porcentual 10 26 3" xfId="7857" xr:uid="{00000000-0005-0000-0000-0000AA140000}"/>
    <cellStyle name="Porcentual 10 27" xfId="1523" xr:uid="{00000000-0005-0000-0000-0000AB140000}"/>
    <cellStyle name="Porcentual 10 27 2" xfId="5179" xr:uid="{00000000-0005-0000-0000-0000AC140000}"/>
    <cellStyle name="Porcentual 10 27 3" xfId="7858" xr:uid="{00000000-0005-0000-0000-0000AD140000}"/>
    <cellStyle name="Porcentual 10 28" xfId="1524" xr:uid="{00000000-0005-0000-0000-0000AE140000}"/>
    <cellStyle name="Porcentual 10 28 2" xfId="5180" xr:uid="{00000000-0005-0000-0000-0000AF140000}"/>
    <cellStyle name="Porcentual 10 28 3" xfId="7859" xr:uid="{00000000-0005-0000-0000-0000B0140000}"/>
    <cellStyle name="Porcentual 10 29" xfId="5181" xr:uid="{00000000-0005-0000-0000-0000B1140000}"/>
    <cellStyle name="Porcentual 10 29 2" xfId="9768" xr:uid="{00000000-0005-0000-0000-0000B2140000}"/>
    <cellStyle name="Porcentual 10 29 2 2" xfId="10466" xr:uid="{00000000-0005-0000-0000-0000B3140000}"/>
    <cellStyle name="Porcentual 10 29 2 2 2" xfId="12201" xr:uid="{00000000-0005-0000-0000-0000B4140000}"/>
    <cellStyle name="Porcentual 10 29 2 3" xfId="11554" xr:uid="{00000000-0005-0000-0000-0000B5140000}"/>
    <cellStyle name="Porcentual 10 29 3" xfId="10175" xr:uid="{00000000-0005-0000-0000-0000B6140000}"/>
    <cellStyle name="Porcentual 10 29 3 2" xfId="11911" xr:uid="{00000000-0005-0000-0000-0000B7140000}"/>
    <cellStyle name="Porcentual 10 29 4" xfId="11189" xr:uid="{00000000-0005-0000-0000-0000B8140000}"/>
    <cellStyle name="Porcentual 10 3" xfId="1525" xr:uid="{00000000-0005-0000-0000-0000B9140000}"/>
    <cellStyle name="Porcentual 10 3 2" xfId="5182" xr:uid="{00000000-0005-0000-0000-0000BA140000}"/>
    <cellStyle name="Porcentual 10 3 3" xfId="7860" xr:uid="{00000000-0005-0000-0000-0000BB140000}"/>
    <cellStyle name="Porcentual 10 30" xfId="5183" xr:uid="{00000000-0005-0000-0000-0000BC140000}"/>
    <cellStyle name="Porcentual 10 30 2" xfId="9769" xr:uid="{00000000-0005-0000-0000-0000BD140000}"/>
    <cellStyle name="Porcentual 10 30 2 2" xfId="10467" xr:uid="{00000000-0005-0000-0000-0000BE140000}"/>
    <cellStyle name="Porcentual 10 30 2 2 2" xfId="12202" xr:uid="{00000000-0005-0000-0000-0000BF140000}"/>
    <cellStyle name="Porcentual 10 30 2 3" xfId="11555" xr:uid="{00000000-0005-0000-0000-0000C0140000}"/>
    <cellStyle name="Porcentual 10 30 3" xfId="10176" xr:uid="{00000000-0005-0000-0000-0000C1140000}"/>
    <cellStyle name="Porcentual 10 30 3 2" xfId="11912" xr:uid="{00000000-0005-0000-0000-0000C2140000}"/>
    <cellStyle name="Porcentual 10 30 4" xfId="11190" xr:uid="{00000000-0005-0000-0000-0000C3140000}"/>
    <cellStyle name="Porcentual 10 31" xfId="7838" xr:uid="{00000000-0005-0000-0000-0000C4140000}"/>
    <cellStyle name="Porcentual 10 4" xfId="1526" xr:uid="{00000000-0005-0000-0000-0000C5140000}"/>
    <cellStyle name="Porcentual 10 4 2" xfId="5184" xr:uid="{00000000-0005-0000-0000-0000C6140000}"/>
    <cellStyle name="Porcentual 10 4 3" xfId="7861" xr:uid="{00000000-0005-0000-0000-0000C7140000}"/>
    <cellStyle name="Porcentual 10 5" xfId="1527" xr:uid="{00000000-0005-0000-0000-0000C8140000}"/>
    <cellStyle name="Porcentual 10 5 2" xfId="5185" xr:uid="{00000000-0005-0000-0000-0000C9140000}"/>
    <cellStyle name="Porcentual 10 5 3" xfId="7862" xr:uid="{00000000-0005-0000-0000-0000CA140000}"/>
    <cellStyle name="Porcentual 10 6" xfId="1528" xr:uid="{00000000-0005-0000-0000-0000CB140000}"/>
    <cellStyle name="Porcentual 10 6 2" xfId="5186" xr:uid="{00000000-0005-0000-0000-0000CC140000}"/>
    <cellStyle name="Porcentual 10 6 3" xfId="7863" xr:uid="{00000000-0005-0000-0000-0000CD140000}"/>
    <cellStyle name="Porcentual 10 7" xfId="1529" xr:uid="{00000000-0005-0000-0000-0000CE140000}"/>
    <cellStyle name="Porcentual 10 7 2" xfId="5187" xr:uid="{00000000-0005-0000-0000-0000CF140000}"/>
    <cellStyle name="Porcentual 10 7 3" xfId="7864" xr:uid="{00000000-0005-0000-0000-0000D0140000}"/>
    <cellStyle name="Porcentual 10 8" xfId="1530" xr:uid="{00000000-0005-0000-0000-0000D1140000}"/>
    <cellStyle name="Porcentual 10 8 2" xfId="5188" xr:uid="{00000000-0005-0000-0000-0000D2140000}"/>
    <cellStyle name="Porcentual 10 8 3" xfId="7865" xr:uid="{00000000-0005-0000-0000-0000D3140000}"/>
    <cellStyle name="Porcentual 10 9" xfId="1531" xr:uid="{00000000-0005-0000-0000-0000D4140000}"/>
    <cellStyle name="Porcentual 10 9 2" xfId="5189" xr:uid="{00000000-0005-0000-0000-0000D5140000}"/>
    <cellStyle name="Porcentual 10 9 3" xfId="7866" xr:uid="{00000000-0005-0000-0000-0000D6140000}"/>
    <cellStyle name="Porcentual 104 10" xfId="1532" xr:uid="{00000000-0005-0000-0000-0000D7140000}"/>
    <cellStyle name="Porcentual 104 10 2" xfId="5190" xr:uid="{00000000-0005-0000-0000-0000D8140000}"/>
    <cellStyle name="Porcentual 104 10 3" xfId="7867" xr:uid="{00000000-0005-0000-0000-0000D9140000}"/>
    <cellStyle name="Porcentual 104 11" xfId="1533" xr:uid="{00000000-0005-0000-0000-0000DA140000}"/>
    <cellStyle name="Porcentual 104 11 2" xfId="5191" xr:uid="{00000000-0005-0000-0000-0000DB140000}"/>
    <cellStyle name="Porcentual 104 11 3" xfId="7868" xr:uid="{00000000-0005-0000-0000-0000DC140000}"/>
    <cellStyle name="Porcentual 104 12" xfId="1534" xr:uid="{00000000-0005-0000-0000-0000DD140000}"/>
    <cellStyle name="Porcentual 104 12 2" xfId="5192" xr:uid="{00000000-0005-0000-0000-0000DE140000}"/>
    <cellStyle name="Porcentual 104 12 3" xfId="7869" xr:uid="{00000000-0005-0000-0000-0000DF140000}"/>
    <cellStyle name="Porcentual 104 13" xfId="1535" xr:uid="{00000000-0005-0000-0000-0000E0140000}"/>
    <cellStyle name="Porcentual 104 13 2" xfId="5193" xr:uid="{00000000-0005-0000-0000-0000E1140000}"/>
    <cellStyle name="Porcentual 104 13 3" xfId="7870" xr:uid="{00000000-0005-0000-0000-0000E2140000}"/>
    <cellStyle name="Porcentual 104 14" xfId="1536" xr:uid="{00000000-0005-0000-0000-0000E3140000}"/>
    <cellStyle name="Porcentual 104 14 2" xfId="5194" xr:uid="{00000000-0005-0000-0000-0000E4140000}"/>
    <cellStyle name="Porcentual 104 14 3" xfId="7871" xr:uid="{00000000-0005-0000-0000-0000E5140000}"/>
    <cellStyle name="Porcentual 104 15" xfId="1537" xr:uid="{00000000-0005-0000-0000-0000E6140000}"/>
    <cellStyle name="Porcentual 104 15 2" xfId="5195" xr:uid="{00000000-0005-0000-0000-0000E7140000}"/>
    <cellStyle name="Porcentual 104 15 3" xfId="7872" xr:uid="{00000000-0005-0000-0000-0000E8140000}"/>
    <cellStyle name="Porcentual 104 16" xfId="1538" xr:uid="{00000000-0005-0000-0000-0000E9140000}"/>
    <cellStyle name="Porcentual 104 16 2" xfId="5196" xr:uid="{00000000-0005-0000-0000-0000EA140000}"/>
    <cellStyle name="Porcentual 104 16 3" xfId="7873" xr:uid="{00000000-0005-0000-0000-0000EB140000}"/>
    <cellStyle name="Porcentual 104 17" xfId="1539" xr:uid="{00000000-0005-0000-0000-0000EC140000}"/>
    <cellStyle name="Porcentual 104 17 2" xfId="5197" xr:uid="{00000000-0005-0000-0000-0000ED140000}"/>
    <cellStyle name="Porcentual 104 17 3" xfId="7874" xr:uid="{00000000-0005-0000-0000-0000EE140000}"/>
    <cellStyle name="Porcentual 104 18" xfId="1540" xr:uid="{00000000-0005-0000-0000-0000EF140000}"/>
    <cellStyle name="Porcentual 104 18 2" xfId="5198" xr:uid="{00000000-0005-0000-0000-0000F0140000}"/>
    <cellStyle name="Porcentual 104 18 3" xfId="7875" xr:uid="{00000000-0005-0000-0000-0000F1140000}"/>
    <cellStyle name="Porcentual 104 19" xfId="1541" xr:uid="{00000000-0005-0000-0000-0000F2140000}"/>
    <cellStyle name="Porcentual 104 19 2" xfId="5199" xr:uid="{00000000-0005-0000-0000-0000F3140000}"/>
    <cellStyle name="Porcentual 104 19 3" xfId="7876" xr:uid="{00000000-0005-0000-0000-0000F4140000}"/>
    <cellStyle name="Porcentual 104 2" xfId="1542" xr:uid="{00000000-0005-0000-0000-0000F5140000}"/>
    <cellStyle name="Porcentual 104 2 2" xfId="5200" xr:uid="{00000000-0005-0000-0000-0000F6140000}"/>
    <cellStyle name="Porcentual 104 2 3" xfId="7877" xr:uid="{00000000-0005-0000-0000-0000F7140000}"/>
    <cellStyle name="Porcentual 104 20" xfId="1543" xr:uid="{00000000-0005-0000-0000-0000F8140000}"/>
    <cellStyle name="Porcentual 104 20 2" xfId="5201" xr:uid="{00000000-0005-0000-0000-0000F9140000}"/>
    <cellStyle name="Porcentual 104 20 3" xfId="7878" xr:uid="{00000000-0005-0000-0000-0000FA140000}"/>
    <cellStyle name="Porcentual 104 21" xfId="1544" xr:uid="{00000000-0005-0000-0000-0000FB140000}"/>
    <cellStyle name="Porcentual 104 21 2" xfId="5202" xr:uid="{00000000-0005-0000-0000-0000FC140000}"/>
    <cellStyle name="Porcentual 104 21 3" xfId="7879" xr:uid="{00000000-0005-0000-0000-0000FD140000}"/>
    <cellStyle name="Porcentual 104 22" xfId="1545" xr:uid="{00000000-0005-0000-0000-0000FE140000}"/>
    <cellStyle name="Porcentual 104 22 2" xfId="5203" xr:uid="{00000000-0005-0000-0000-0000FF140000}"/>
    <cellStyle name="Porcentual 104 22 3" xfId="7880" xr:uid="{00000000-0005-0000-0000-000000150000}"/>
    <cellStyle name="Porcentual 104 23" xfId="1546" xr:uid="{00000000-0005-0000-0000-000001150000}"/>
    <cellStyle name="Porcentual 104 23 2" xfId="5204" xr:uid="{00000000-0005-0000-0000-000002150000}"/>
    <cellStyle name="Porcentual 104 23 3" xfId="7881" xr:uid="{00000000-0005-0000-0000-000003150000}"/>
    <cellStyle name="Porcentual 104 24" xfId="1547" xr:uid="{00000000-0005-0000-0000-000004150000}"/>
    <cellStyle name="Porcentual 104 24 2" xfId="5205" xr:uid="{00000000-0005-0000-0000-000005150000}"/>
    <cellStyle name="Porcentual 104 24 3" xfId="7882" xr:uid="{00000000-0005-0000-0000-000006150000}"/>
    <cellStyle name="Porcentual 104 25" xfId="1548" xr:uid="{00000000-0005-0000-0000-000007150000}"/>
    <cellStyle name="Porcentual 104 25 2" xfId="5206" xr:uid="{00000000-0005-0000-0000-000008150000}"/>
    <cellStyle name="Porcentual 104 25 3" xfId="7883" xr:uid="{00000000-0005-0000-0000-000009150000}"/>
    <cellStyle name="Porcentual 104 26" xfId="1549" xr:uid="{00000000-0005-0000-0000-00000A150000}"/>
    <cellStyle name="Porcentual 104 26 2" xfId="5207" xr:uid="{00000000-0005-0000-0000-00000B150000}"/>
    <cellStyle name="Porcentual 104 26 3" xfId="7884" xr:uid="{00000000-0005-0000-0000-00000C150000}"/>
    <cellStyle name="Porcentual 104 27" xfId="1550" xr:uid="{00000000-0005-0000-0000-00000D150000}"/>
    <cellStyle name="Porcentual 104 27 2" xfId="5208" xr:uid="{00000000-0005-0000-0000-00000E150000}"/>
    <cellStyle name="Porcentual 104 27 3" xfId="7885" xr:uid="{00000000-0005-0000-0000-00000F150000}"/>
    <cellStyle name="Porcentual 104 28" xfId="1551" xr:uid="{00000000-0005-0000-0000-000010150000}"/>
    <cellStyle name="Porcentual 104 28 2" xfId="5209" xr:uid="{00000000-0005-0000-0000-000011150000}"/>
    <cellStyle name="Porcentual 104 28 3" xfId="7886" xr:uid="{00000000-0005-0000-0000-000012150000}"/>
    <cellStyle name="Porcentual 104 3" xfId="1552" xr:uid="{00000000-0005-0000-0000-000013150000}"/>
    <cellStyle name="Porcentual 104 3 2" xfId="5210" xr:uid="{00000000-0005-0000-0000-000014150000}"/>
    <cellStyle name="Porcentual 104 3 3" xfId="7887" xr:uid="{00000000-0005-0000-0000-000015150000}"/>
    <cellStyle name="Porcentual 104 4" xfId="1553" xr:uid="{00000000-0005-0000-0000-000016150000}"/>
    <cellStyle name="Porcentual 104 4 2" xfId="5211" xr:uid="{00000000-0005-0000-0000-000017150000}"/>
    <cellStyle name="Porcentual 104 4 3" xfId="7888" xr:uid="{00000000-0005-0000-0000-000018150000}"/>
    <cellStyle name="Porcentual 104 5" xfId="1554" xr:uid="{00000000-0005-0000-0000-000019150000}"/>
    <cellStyle name="Porcentual 104 5 2" xfId="5212" xr:uid="{00000000-0005-0000-0000-00001A150000}"/>
    <cellStyle name="Porcentual 104 5 3" xfId="7889" xr:uid="{00000000-0005-0000-0000-00001B150000}"/>
    <cellStyle name="Porcentual 104 6" xfId="1555" xr:uid="{00000000-0005-0000-0000-00001C150000}"/>
    <cellStyle name="Porcentual 104 6 2" xfId="5213" xr:uid="{00000000-0005-0000-0000-00001D150000}"/>
    <cellStyle name="Porcentual 104 6 3" xfId="7890" xr:uid="{00000000-0005-0000-0000-00001E150000}"/>
    <cellStyle name="Porcentual 104 7" xfId="1556" xr:uid="{00000000-0005-0000-0000-00001F150000}"/>
    <cellStyle name="Porcentual 104 7 2" xfId="5214" xr:uid="{00000000-0005-0000-0000-000020150000}"/>
    <cellStyle name="Porcentual 104 7 3" xfId="7891" xr:uid="{00000000-0005-0000-0000-000021150000}"/>
    <cellStyle name="Porcentual 104 8" xfId="1557" xr:uid="{00000000-0005-0000-0000-000022150000}"/>
    <cellStyle name="Porcentual 104 8 2" xfId="5215" xr:uid="{00000000-0005-0000-0000-000023150000}"/>
    <cellStyle name="Porcentual 104 8 3" xfId="7892" xr:uid="{00000000-0005-0000-0000-000024150000}"/>
    <cellStyle name="Porcentual 104 9" xfId="1558" xr:uid="{00000000-0005-0000-0000-000025150000}"/>
    <cellStyle name="Porcentual 104 9 2" xfId="5216" xr:uid="{00000000-0005-0000-0000-000026150000}"/>
    <cellStyle name="Porcentual 104 9 3" xfId="7893" xr:uid="{00000000-0005-0000-0000-000027150000}"/>
    <cellStyle name="Porcentual 11" xfId="1559" xr:uid="{00000000-0005-0000-0000-000028150000}"/>
    <cellStyle name="Porcentual 11 2" xfId="5217" xr:uid="{00000000-0005-0000-0000-000029150000}"/>
    <cellStyle name="Porcentual 11 2 2" xfId="9770" xr:uid="{00000000-0005-0000-0000-00002A150000}"/>
    <cellStyle name="Porcentual 11 2 2 2" xfId="10468" xr:uid="{00000000-0005-0000-0000-00002B150000}"/>
    <cellStyle name="Porcentual 11 2 2 2 2" xfId="12203" xr:uid="{00000000-0005-0000-0000-00002C150000}"/>
    <cellStyle name="Porcentual 11 2 2 3" xfId="11556" xr:uid="{00000000-0005-0000-0000-00002D150000}"/>
    <cellStyle name="Porcentual 11 2 3" xfId="10177" xr:uid="{00000000-0005-0000-0000-00002E150000}"/>
    <cellStyle name="Porcentual 11 2 3 2" xfId="11913" xr:uid="{00000000-0005-0000-0000-00002F150000}"/>
    <cellStyle name="Porcentual 11 2 4" xfId="11191" xr:uid="{00000000-0005-0000-0000-000030150000}"/>
    <cellStyle name="Porcentual 11 3" xfId="5218" xr:uid="{00000000-0005-0000-0000-000031150000}"/>
    <cellStyle name="Porcentual 11 3 2" xfId="9771" xr:uid="{00000000-0005-0000-0000-000032150000}"/>
    <cellStyle name="Porcentual 11 3 2 2" xfId="10469" xr:uid="{00000000-0005-0000-0000-000033150000}"/>
    <cellStyle name="Porcentual 11 3 2 2 2" xfId="12204" xr:uid="{00000000-0005-0000-0000-000034150000}"/>
    <cellStyle name="Porcentual 11 3 2 3" xfId="11557" xr:uid="{00000000-0005-0000-0000-000035150000}"/>
    <cellStyle name="Porcentual 11 3 3" xfId="10178" xr:uid="{00000000-0005-0000-0000-000036150000}"/>
    <cellStyle name="Porcentual 11 3 3 2" xfId="11914" xr:uid="{00000000-0005-0000-0000-000037150000}"/>
    <cellStyle name="Porcentual 11 3 4" xfId="11192" xr:uid="{00000000-0005-0000-0000-000038150000}"/>
    <cellStyle name="Porcentual 11 4" xfId="7894" xr:uid="{00000000-0005-0000-0000-000039150000}"/>
    <cellStyle name="Porcentual 112 10" xfId="1560" xr:uid="{00000000-0005-0000-0000-00003A150000}"/>
    <cellStyle name="Porcentual 112 10 2" xfId="5219" xr:uid="{00000000-0005-0000-0000-00003B150000}"/>
    <cellStyle name="Porcentual 112 10 3" xfId="7895" xr:uid="{00000000-0005-0000-0000-00003C150000}"/>
    <cellStyle name="Porcentual 112 11" xfId="1561" xr:uid="{00000000-0005-0000-0000-00003D150000}"/>
    <cellStyle name="Porcentual 112 11 2" xfId="5220" xr:uid="{00000000-0005-0000-0000-00003E150000}"/>
    <cellStyle name="Porcentual 112 11 3" xfId="7896" xr:uid="{00000000-0005-0000-0000-00003F150000}"/>
    <cellStyle name="Porcentual 112 12" xfId="1562" xr:uid="{00000000-0005-0000-0000-000040150000}"/>
    <cellStyle name="Porcentual 112 12 2" xfId="5221" xr:uid="{00000000-0005-0000-0000-000041150000}"/>
    <cellStyle name="Porcentual 112 12 3" xfId="7897" xr:uid="{00000000-0005-0000-0000-000042150000}"/>
    <cellStyle name="Porcentual 112 13" xfId="1563" xr:uid="{00000000-0005-0000-0000-000043150000}"/>
    <cellStyle name="Porcentual 112 13 2" xfId="5222" xr:uid="{00000000-0005-0000-0000-000044150000}"/>
    <cellStyle name="Porcentual 112 13 3" xfId="7898" xr:uid="{00000000-0005-0000-0000-000045150000}"/>
    <cellStyle name="Porcentual 112 14" xfId="1564" xr:uid="{00000000-0005-0000-0000-000046150000}"/>
    <cellStyle name="Porcentual 112 14 2" xfId="5223" xr:uid="{00000000-0005-0000-0000-000047150000}"/>
    <cellStyle name="Porcentual 112 14 3" xfId="7899" xr:uid="{00000000-0005-0000-0000-000048150000}"/>
    <cellStyle name="Porcentual 112 15" xfId="1565" xr:uid="{00000000-0005-0000-0000-000049150000}"/>
    <cellStyle name="Porcentual 112 15 2" xfId="5224" xr:uid="{00000000-0005-0000-0000-00004A150000}"/>
    <cellStyle name="Porcentual 112 15 3" xfId="7900" xr:uid="{00000000-0005-0000-0000-00004B150000}"/>
    <cellStyle name="Porcentual 112 16" xfId="1566" xr:uid="{00000000-0005-0000-0000-00004C150000}"/>
    <cellStyle name="Porcentual 112 16 2" xfId="5225" xr:uid="{00000000-0005-0000-0000-00004D150000}"/>
    <cellStyle name="Porcentual 112 16 3" xfId="7901" xr:uid="{00000000-0005-0000-0000-00004E150000}"/>
    <cellStyle name="Porcentual 112 17" xfId="1567" xr:uid="{00000000-0005-0000-0000-00004F150000}"/>
    <cellStyle name="Porcentual 112 17 2" xfId="5226" xr:uid="{00000000-0005-0000-0000-000050150000}"/>
    <cellStyle name="Porcentual 112 17 3" xfId="7902" xr:uid="{00000000-0005-0000-0000-000051150000}"/>
    <cellStyle name="Porcentual 112 18" xfId="1568" xr:uid="{00000000-0005-0000-0000-000052150000}"/>
    <cellStyle name="Porcentual 112 18 2" xfId="5227" xr:uid="{00000000-0005-0000-0000-000053150000}"/>
    <cellStyle name="Porcentual 112 18 3" xfId="7903" xr:uid="{00000000-0005-0000-0000-000054150000}"/>
    <cellStyle name="Porcentual 112 19" xfId="1569" xr:uid="{00000000-0005-0000-0000-000055150000}"/>
    <cellStyle name="Porcentual 112 19 2" xfId="5228" xr:uid="{00000000-0005-0000-0000-000056150000}"/>
    <cellStyle name="Porcentual 112 19 3" xfId="7904" xr:uid="{00000000-0005-0000-0000-000057150000}"/>
    <cellStyle name="Porcentual 112 2" xfId="1570" xr:uid="{00000000-0005-0000-0000-000058150000}"/>
    <cellStyle name="Porcentual 112 2 2" xfId="5229" xr:uid="{00000000-0005-0000-0000-000059150000}"/>
    <cellStyle name="Porcentual 112 2 3" xfId="7905" xr:uid="{00000000-0005-0000-0000-00005A150000}"/>
    <cellStyle name="Porcentual 112 20" xfId="1571" xr:uid="{00000000-0005-0000-0000-00005B150000}"/>
    <cellStyle name="Porcentual 112 20 2" xfId="5230" xr:uid="{00000000-0005-0000-0000-00005C150000}"/>
    <cellStyle name="Porcentual 112 20 3" xfId="7906" xr:uid="{00000000-0005-0000-0000-00005D150000}"/>
    <cellStyle name="Porcentual 112 21" xfId="1572" xr:uid="{00000000-0005-0000-0000-00005E150000}"/>
    <cellStyle name="Porcentual 112 21 2" xfId="5231" xr:uid="{00000000-0005-0000-0000-00005F150000}"/>
    <cellStyle name="Porcentual 112 21 3" xfId="7907" xr:uid="{00000000-0005-0000-0000-000060150000}"/>
    <cellStyle name="Porcentual 112 22" xfId="1573" xr:uid="{00000000-0005-0000-0000-000061150000}"/>
    <cellStyle name="Porcentual 112 22 2" xfId="5232" xr:uid="{00000000-0005-0000-0000-000062150000}"/>
    <cellStyle name="Porcentual 112 22 3" xfId="7908" xr:uid="{00000000-0005-0000-0000-000063150000}"/>
    <cellStyle name="Porcentual 112 23" xfId="1574" xr:uid="{00000000-0005-0000-0000-000064150000}"/>
    <cellStyle name="Porcentual 112 23 2" xfId="5233" xr:uid="{00000000-0005-0000-0000-000065150000}"/>
    <cellStyle name="Porcentual 112 23 3" xfId="7909" xr:uid="{00000000-0005-0000-0000-000066150000}"/>
    <cellStyle name="Porcentual 112 24" xfId="1575" xr:uid="{00000000-0005-0000-0000-000067150000}"/>
    <cellStyle name="Porcentual 112 24 2" xfId="5234" xr:uid="{00000000-0005-0000-0000-000068150000}"/>
    <cellStyle name="Porcentual 112 24 3" xfId="7910" xr:uid="{00000000-0005-0000-0000-000069150000}"/>
    <cellStyle name="Porcentual 112 25" xfId="1576" xr:uid="{00000000-0005-0000-0000-00006A150000}"/>
    <cellStyle name="Porcentual 112 25 2" xfId="5235" xr:uid="{00000000-0005-0000-0000-00006B150000}"/>
    <cellStyle name="Porcentual 112 25 3" xfId="7911" xr:uid="{00000000-0005-0000-0000-00006C150000}"/>
    <cellStyle name="Porcentual 112 26" xfId="1577" xr:uid="{00000000-0005-0000-0000-00006D150000}"/>
    <cellStyle name="Porcentual 112 26 2" xfId="5236" xr:uid="{00000000-0005-0000-0000-00006E150000}"/>
    <cellStyle name="Porcentual 112 26 3" xfId="7912" xr:uid="{00000000-0005-0000-0000-00006F150000}"/>
    <cellStyle name="Porcentual 112 27" xfId="1578" xr:uid="{00000000-0005-0000-0000-000070150000}"/>
    <cellStyle name="Porcentual 112 27 2" xfId="5237" xr:uid="{00000000-0005-0000-0000-000071150000}"/>
    <cellStyle name="Porcentual 112 27 3" xfId="7913" xr:uid="{00000000-0005-0000-0000-000072150000}"/>
    <cellStyle name="Porcentual 112 28" xfId="1579" xr:uid="{00000000-0005-0000-0000-000073150000}"/>
    <cellStyle name="Porcentual 112 28 2" xfId="5238" xr:uid="{00000000-0005-0000-0000-000074150000}"/>
    <cellStyle name="Porcentual 112 28 3" xfId="7914" xr:uid="{00000000-0005-0000-0000-000075150000}"/>
    <cellStyle name="Porcentual 112 3" xfId="1580" xr:uid="{00000000-0005-0000-0000-000076150000}"/>
    <cellStyle name="Porcentual 112 3 2" xfId="5239" xr:uid="{00000000-0005-0000-0000-000077150000}"/>
    <cellStyle name="Porcentual 112 3 3" xfId="7915" xr:uid="{00000000-0005-0000-0000-000078150000}"/>
    <cellStyle name="Porcentual 112 4" xfId="1581" xr:uid="{00000000-0005-0000-0000-000079150000}"/>
    <cellStyle name="Porcentual 112 4 2" xfId="5240" xr:uid="{00000000-0005-0000-0000-00007A150000}"/>
    <cellStyle name="Porcentual 112 4 3" xfId="7916" xr:uid="{00000000-0005-0000-0000-00007B150000}"/>
    <cellStyle name="Porcentual 112 5" xfId="1582" xr:uid="{00000000-0005-0000-0000-00007C150000}"/>
    <cellStyle name="Porcentual 112 5 2" xfId="5241" xr:uid="{00000000-0005-0000-0000-00007D150000}"/>
    <cellStyle name="Porcentual 112 5 3" xfId="7917" xr:uid="{00000000-0005-0000-0000-00007E150000}"/>
    <cellStyle name="Porcentual 112 6" xfId="1583" xr:uid="{00000000-0005-0000-0000-00007F150000}"/>
    <cellStyle name="Porcentual 112 6 2" xfId="5242" xr:uid="{00000000-0005-0000-0000-000080150000}"/>
    <cellStyle name="Porcentual 112 6 3" xfId="7918" xr:uid="{00000000-0005-0000-0000-000081150000}"/>
    <cellStyle name="Porcentual 112 7" xfId="1584" xr:uid="{00000000-0005-0000-0000-000082150000}"/>
    <cellStyle name="Porcentual 112 7 2" xfId="5243" xr:uid="{00000000-0005-0000-0000-000083150000}"/>
    <cellStyle name="Porcentual 112 7 3" xfId="7919" xr:uid="{00000000-0005-0000-0000-000084150000}"/>
    <cellStyle name="Porcentual 112 8" xfId="1585" xr:uid="{00000000-0005-0000-0000-000085150000}"/>
    <cellStyle name="Porcentual 112 8 2" xfId="5244" xr:uid="{00000000-0005-0000-0000-000086150000}"/>
    <cellStyle name="Porcentual 112 8 3" xfId="7920" xr:uid="{00000000-0005-0000-0000-000087150000}"/>
    <cellStyle name="Porcentual 112 9" xfId="1586" xr:uid="{00000000-0005-0000-0000-000088150000}"/>
    <cellStyle name="Porcentual 112 9 2" xfId="5245" xr:uid="{00000000-0005-0000-0000-000089150000}"/>
    <cellStyle name="Porcentual 112 9 3" xfId="7921" xr:uid="{00000000-0005-0000-0000-00008A150000}"/>
    <cellStyle name="Porcentual 116 10" xfId="1587" xr:uid="{00000000-0005-0000-0000-00008B150000}"/>
    <cellStyle name="Porcentual 116 10 2" xfId="5246" xr:uid="{00000000-0005-0000-0000-00008C150000}"/>
    <cellStyle name="Porcentual 116 10 3" xfId="7922" xr:uid="{00000000-0005-0000-0000-00008D150000}"/>
    <cellStyle name="Porcentual 116 11" xfId="1588" xr:uid="{00000000-0005-0000-0000-00008E150000}"/>
    <cellStyle name="Porcentual 116 11 2" xfId="5247" xr:uid="{00000000-0005-0000-0000-00008F150000}"/>
    <cellStyle name="Porcentual 116 11 3" xfId="7923" xr:uid="{00000000-0005-0000-0000-000090150000}"/>
    <cellStyle name="Porcentual 116 12" xfId="1589" xr:uid="{00000000-0005-0000-0000-000091150000}"/>
    <cellStyle name="Porcentual 116 12 2" xfId="5248" xr:uid="{00000000-0005-0000-0000-000092150000}"/>
    <cellStyle name="Porcentual 116 12 3" xfId="7924" xr:uid="{00000000-0005-0000-0000-000093150000}"/>
    <cellStyle name="Porcentual 116 13" xfId="1590" xr:uid="{00000000-0005-0000-0000-000094150000}"/>
    <cellStyle name="Porcentual 116 13 2" xfId="5249" xr:uid="{00000000-0005-0000-0000-000095150000}"/>
    <cellStyle name="Porcentual 116 13 3" xfId="7925" xr:uid="{00000000-0005-0000-0000-000096150000}"/>
    <cellStyle name="Porcentual 116 14" xfId="1591" xr:uid="{00000000-0005-0000-0000-000097150000}"/>
    <cellStyle name="Porcentual 116 14 2" xfId="5250" xr:uid="{00000000-0005-0000-0000-000098150000}"/>
    <cellStyle name="Porcentual 116 14 3" xfId="7926" xr:uid="{00000000-0005-0000-0000-000099150000}"/>
    <cellStyle name="Porcentual 116 15" xfId="1592" xr:uid="{00000000-0005-0000-0000-00009A150000}"/>
    <cellStyle name="Porcentual 116 15 2" xfId="5251" xr:uid="{00000000-0005-0000-0000-00009B150000}"/>
    <cellStyle name="Porcentual 116 15 3" xfId="7927" xr:uid="{00000000-0005-0000-0000-00009C150000}"/>
    <cellStyle name="Porcentual 116 16" xfId="1593" xr:uid="{00000000-0005-0000-0000-00009D150000}"/>
    <cellStyle name="Porcentual 116 16 2" xfId="5252" xr:uid="{00000000-0005-0000-0000-00009E150000}"/>
    <cellStyle name="Porcentual 116 16 3" xfId="7928" xr:uid="{00000000-0005-0000-0000-00009F150000}"/>
    <cellStyle name="Porcentual 116 17" xfId="1594" xr:uid="{00000000-0005-0000-0000-0000A0150000}"/>
    <cellStyle name="Porcentual 116 17 2" xfId="5253" xr:uid="{00000000-0005-0000-0000-0000A1150000}"/>
    <cellStyle name="Porcentual 116 17 3" xfId="7929" xr:uid="{00000000-0005-0000-0000-0000A2150000}"/>
    <cellStyle name="Porcentual 116 18" xfId="1595" xr:uid="{00000000-0005-0000-0000-0000A3150000}"/>
    <cellStyle name="Porcentual 116 18 2" xfId="5254" xr:uid="{00000000-0005-0000-0000-0000A4150000}"/>
    <cellStyle name="Porcentual 116 18 3" xfId="7930" xr:uid="{00000000-0005-0000-0000-0000A5150000}"/>
    <cellStyle name="Porcentual 116 19" xfId="1596" xr:uid="{00000000-0005-0000-0000-0000A6150000}"/>
    <cellStyle name="Porcentual 116 19 2" xfId="5255" xr:uid="{00000000-0005-0000-0000-0000A7150000}"/>
    <cellStyle name="Porcentual 116 19 3" xfId="7931" xr:uid="{00000000-0005-0000-0000-0000A8150000}"/>
    <cellStyle name="Porcentual 116 2" xfId="1597" xr:uid="{00000000-0005-0000-0000-0000A9150000}"/>
    <cellStyle name="Porcentual 116 2 2" xfId="5256" xr:uid="{00000000-0005-0000-0000-0000AA150000}"/>
    <cellStyle name="Porcentual 116 2 3" xfId="7932" xr:uid="{00000000-0005-0000-0000-0000AB150000}"/>
    <cellStyle name="Porcentual 116 20" xfId="1598" xr:uid="{00000000-0005-0000-0000-0000AC150000}"/>
    <cellStyle name="Porcentual 116 20 2" xfId="5257" xr:uid="{00000000-0005-0000-0000-0000AD150000}"/>
    <cellStyle name="Porcentual 116 20 3" xfId="7933" xr:uid="{00000000-0005-0000-0000-0000AE150000}"/>
    <cellStyle name="Porcentual 116 21" xfId="1599" xr:uid="{00000000-0005-0000-0000-0000AF150000}"/>
    <cellStyle name="Porcentual 116 21 2" xfId="5258" xr:uid="{00000000-0005-0000-0000-0000B0150000}"/>
    <cellStyle name="Porcentual 116 21 3" xfId="7934" xr:uid="{00000000-0005-0000-0000-0000B1150000}"/>
    <cellStyle name="Porcentual 116 22" xfId="1600" xr:uid="{00000000-0005-0000-0000-0000B2150000}"/>
    <cellStyle name="Porcentual 116 22 2" xfId="5259" xr:uid="{00000000-0005-0000-0000-0000B3150000}"/>
    <cellStyle name="Porcentual 116 22 3" xfId="7935" xr:uid="{00000000-0005-0000-0000-0000B4150000}"/>
    <cellStyle name="Porcentual 116 23" xfId="1601" xr:uid="{00000000-0005-0000-0000-0000B5150000}"/>
    <cellStyle name="Porcentual 116 23 2" xfId="5260" xr:uid="{00000000-0005-0000-0000-0000B6150000}"/>
    <cellStyle name="Porcentual 116 23 3" xfId="7936" xr:uid="{00000000-0005-0000-0000-0000B7150000}"/>
    <cellStyle name="Porcentual 116 24" xfId="1602" xr:uid="{00000000-0005-0000-0000-0000B8150000}"/>
    <cellStyle name="Porcentual 116 24 2" xfId="5261" xr:uid="{00000000-0005-0000-0000-0000B9150000}"/>
    <cellStyle name="Porcentual 116 24 3" xfId="7937" xr:uid="{00000000-0005-0000-0000-0000BA150000}"/>
    <cellStyle name="Porcentual 116 25" xfId="1603" xr:uid="{00000000-0005-0000-0000-0000BB150000}"/>
    <cellStyle name="Porcentual 116 25 2" xfId="5262" xr:uid="{00000000-0005-0000-0000-0000BC150000}"/>
    <cellStyle name="Porcentual 116 25 3" xfId="7938" xr:uid="{00000000-0005-0000-0000-0000BD150000}"/>
    <cellStyle name="Porcentual 116 26" xfId="1604" xr:uid="{00000000-0005-0000-0000-0000BE150000}"/>
    <cellStyle name="Porcentual 116 26 2" xfId="5263" xr:uid="{00000000-0005-0000-0000-0000BF150000}"/>
    <cellStyle name="Porcentual 116 26 3" xfId="7939" xr:uid="{00000000-0005-0000-0000-0000C0150000}"/>
    <cellStyle name="Porcentual 116 27" xfId="1605" xr:uid="{00000000-0005-0000-0000-0000C1150000}"/>
    <cellStyle name="Porcentual 116 27 2" xfId="5264" xr:uid="{00000000-0005-0000-0000-0000C2150000}"/>
    <cellStyle name="Porcentual 116 27 3" xfId="7940" xr:uid="{00000000-0005-0000-0000-0000C3150000}"/>
    <cellStyle name="Porcentual 116 28" xfId="1606" xr:uid="{00000000-0005-0000-0000-0000C4150000}"/>
    <cellStyle name="Porcentual 116 28 2" xfId="5265" xr:uid="{00000000-0005-0000-0000-0000C5150000}"/>
    <cellStyle name="Porcentual 116 28 3" xfId="7941" xr:uid="{00000000-0005-0000-0000-0000C6150000}"/>
    <cellStyle name="Porcentual 116 3" xfId="1607" xr:uid="{00000000-0005-0000-0000-0000C7150000}"/>
    <cellStyle name="Porcentual 116 3 2" xfId="5266" xr:uid="{00000000-0005-0000-0000-0000C8150000}"/>
    <cellStyle name="Porcentual 116 3 3" xfId="7942" xr:uid="{00000000-0005-0000-0000-0000C9150000}"/>
    <cellStyle name="Porcentual 116 4" xfId="1608" xr:uid="{00000000-0005-0000-0000-0000CA150000}"/>
    <cellStyle name="Porcentual 116 4 2" xfId="5267" xr:uid="{00000000-0005-0000-0000-0000CB150000}"/>
    <cellStyle name="Porcentual 116 4 3" xfId="7943" xr:uid="{00000000-0005-0000-0000-0000CC150000}"/>
    <cellStyle name="Porcentual 116 5" xfId="1609" xr:uid="{00000000-0005-0000-0000-0000CD150000}"/>
    <cellStyle name="Porcentual 116 5 2" xfId="5268" xr:uid="{00000000-0005-0000-0000-0000CE150000}"/>
    <cellStyle name="Porcentual 116 5 3" xfId="7944" xr:uid="{00000000-0005-0000-0000-0000CF150000}"/>
    <cellStyle name="Porcentual 116 6" xfId="1610" xr:uid="{00000000-0005-0000-0000-0000D0150000}"/>
    <cellStyle name="Porcentual 116 6 2" xfId="5269" xr:uid="{00000000-0005-0000-0000-0000D1150000}"/>
    <cellStyle name="Porcentual 116 6 3" xfId="7945" xr:uid="{00000000-0005-0000-0000-0000D2150000}"/>
    <cellStyle name="Porcentual 116 7" xfId="1611" xr:uid="{00000000-0005-0000-0000-0000D3150000}"/>
    <cellStyle name="Porcentual 116 7 2" xfId="5270" xr:uid="{00000000-0005-0000-0000-0000D4150000}"/>
    <cellStyle name="Porcentual 116 7 3" xfId="7946" xr:uid="{00000000-0005-0000-0000-0000D5150000}"/>
    <cellStyle name="Porcentual 116 8" xfId="1612" xr:uid="{00000000-0005-0000-0000-0000D6150000}"/>
    <cellStyle name="Porcentual 116 8 2" xfId="5271" xr:uid="{00000000-0005-0000-0000-0000D7150000}"/>
    <cellStyle name="Porcentual 116 8 3" xfId="7947" xr:uid="{00000000-0005-0000-0000-0000D8150000}"/>
    <cellStyle name="Porcentual 116 9" xfId="1613" xr:uid="{00000000-0005-0000-0000-0000D9150000}"/>
    <cellStyle name="Porcentual 116 9 2" xfId="5272" xr:uid="{00000000-0005-0000-0000-0000DA150000}"/>
    <cellStyle name="Porcentual 116 9 3" xfId="7948" xr:uid="{00000000-0005-0000-0000-0000DB150000}"/>
    <cellStyle name="Porcentual 12" xfId="1614" xr:uid="{00000000-0005-0000-0000-0000DC150000}"/>
    <cellStyle name="Porcentual 12 2" xfId="5273" xr:uid="{00000000-0005-0000-0000-0000DD150000}"/>
    <cellStyle name="Porcentual 12 2 2" xfId="9772" xr:uid="{00000000-0005-0000-0000-0000DE150000}"/>
    <cellStyle name="Porcentual 12 2 2 2" xfId="10470" xr:uid="{00000000-0005-0000-0000-0000DF150000}"/>
    <cellStyle name="Porcentual 12 2 2 2 2" xfId="12205" xr:uid="{00000000-0005-0000-0000-0000E0150000}"/>
    <cellStyle name="Porcentual 12 2 2 3" xfId="11558" xr:uid="{00000000-0005-0000-0000-0000E1150000}"/>
    <cellStyle name="Porcentual 12 2 3" xfId="10179" xr:uid="{00000000-0005-0000-0000-0000E2150000}"/>
    <cellStyle name="Porcentual 12 2 3 2" xfId="11915" xr:uid="{00000000-0005-0000-0000-0000E3150000}"/>
    <cellStyle name="Porcentual 12 2 4" xfId="11193" xr:uid="{00000000-0005-0000-0000-0000E4150000}"/>
    <cellStyle name="Porcentual 12 3" xfId="5274" xr:uid="{00000000-0005-0000-0000-0000E5150000}"/>
    <cellStyle name="Porcentual 12 3 2" xfId="9773" xr:uid="{00000000-0005-0000-0000-0000E6150000}"/>
    <cellStyle name="Porcentual 12 3 2 2" xfId="10471" xr:uid="{00000000-0005-0000-0000-0000E7150000}"/>
    <cellStyle name="Porcentual 12 3 2 2 2" xfId="12206" xr:uid="{00000000-0005-0000-0000-0000E8150000}"/>
    <cellStyle name="Porcentual 12 3 2 3" xfId="11559" xr:uid="{00000000-0005-0000-0000-0000E9150000}"/>
    <cellStyle name="Porcentual 12 3 3" xfId="10180" xr:uid="{00000000-0005-0000-0000-0000EA150000}"/>
    <cellStyle name="Porcentual 12 3 3 2" xfId="11916" xr:uid="{00000000-0005-0000-0000-0000EB150000}"/>
    <cellStyle name="Porcentual 12 3 4" xfId="11194" xr:uid="{00000000-0005-0000-0000-0000EC150000}"/>
    <cellStyle name="Porcentual 12 4" xfId="7949" xr:uid="{00000000-0005-0000-0000-0000ED150000}"/>
    <cellStyle name="Porcentual 13" xfId="1615" xr:uid="{00000000-0005-0000-0000-0000EE150000}"/>
    <cellStyle name="Porcentual 13 2" xfId="5275" xr:uid="{00000000-0005-0000-0000-0000EF150000}"/>
    <cellStyle name="Porcentual 13 2 2" xfId="9774" xr:uid="{00000000-0005-0000-0000-0000F0150000}"/>
    <cellStyle name="Porcentual 13 2 2 2" xfId="10472" xr:uid="{00000000-0005-0000-0000-0000F1150000}"/>
    <cellStyle name="Porcentual 13 2 2 2 2" xfId="12207" xr:uid="{00000000-0005-0000-0000-0000F2150000}"/>
    <cellStyle name="Porcentual 13 2 2 3" xfId="11560" xr:uid="{00000000-0005-0000-0000-0000F3150000}"/>
    <cellStyle name="Porcentual 13 2 3" xfId="10181" xr:uid="{00000000-0005-0000-0000-0000F4150000}"/>
    <cellStyle name="Porcentual 13 2 3 2" xfId="11917" xr:uid="{00000000-0005-0000-0000-0000F5150000}"/>
    <cellStyle name="Porcentual 13 2 4" xfId="11195" xr:uid="{00000000-0005-0000-0000-0000F6150000}"/>
    <cellStyle name="Porcentual 13 3" xfId="5276" xr:uid="{00000000-0005-0000-0000-0000F7150000}"/>
    <cellStyle name="Porcentual 13 3 2" xfId="9775" xr:uid="{00000000-0005-0000-0000-0000F8150000}"/>
    <cellStyle name="Porcentual 13 3 2 2" xfId="10473" xr:uid="{00000000-0005-0000-0000-0000F9150000}"/>
    <cellStyle name="Porcentual 13 3 2 2 2" xfId="12208" xr:uid="{00000000-0005-0000-0000-0000FA150000}"/>
    <cellStyle name="Porcentual 13 3 2 3" xfId="11561" xr:uid="{00000000-0005-0000-0000-0000FB150000}"/>
    <cellStyle name="Porcentual 13 3 3" xfId="10182" xr:uid="{00000000-0005-0000-0000-0000FC150000}"/>
    <cellStyle name="Porcentual 13 3 3 2" xfId="11918" xr:uid="{00000000-0005-0000-0000-0000FD150000}"/>
    <cellStyle name="Porcentual 13 3 4" xfId="11196" xr:uid="{00000000-0005-0000-0000-0000FE150000}"/>
    <cellStyle name="Porcentual 13 4" xfId="7950" xr:uid="{00000000-0005-0000-0000-0000FF150000}"/>
    <cellStyle name="Porcentual 132 10" xfId="1616" xr:uid="{00000000-0005-0000-0000-000000160000}"/>
    <cellStyle name="Porcentual 132 10 2" xfId="5277" xr:uid="{00000000-0005-0000-0000-000001160000}"/>
    <cellStyle name="Porcentual 132 10 3" xfId="7951" xr:uid="{00000000-0005-0000-0000-000002160000}"/>
    <cellStyle name="Porcentual 132 11" xfId="1617" xr:uid="{00000000-0005-0000-0000-000003160000}"/>
    <cellStyle name="Porcentual 132 11 2" xfId="5278" xr:uid="{00000000-0005-0000-0000-000004160000}"/>
    <cellStyle name="Porcentual 132 11 3" xfId="7952" xr:uid="{00000000-0005-0000-0000-000005160000}"/>
    <cellStyle name="Porcentual 132 12" xfId="1618" xr:uid="{00000000-0005-0000-0000-000006160000}"/>
    <cellStyle name="Porcentual 132 12 2" xfId="5279" xr:uid="{00000000-0005-0000-0000-000007160000}"/>
    <cellStyle name="Porcentual 132 12 3" xfId="7953" xr:uid="{00000000-0005-0000-0000-000008160000}"/>
    <cellStyle name="Porcentual 132 13" xfId="1619" xr:uid="{00000000-0005-0000-0000-000009160000}"/>
    <cellStyle name="Porcentual 132 13 2" xfId="5280" xr:uid="{00000000-0005-0000-0000-00000A160000}"/>
    <cellStyle name="Porcentual 132 13 3" xfId="7954" xr:uid="{00000000-0005-0000-0000-00000B160000}"/>
    <cellStyle name="Porcentual 132 14" xfId="1620" xr:uid="{00000000-0005-0000-0000-00000C160000}"/>
    <cellStyle name="Porcentual 132 14 2" xfId="5281" xr:uid="{00000000-0005-0000-0000-00000D160000}"/>
    <cellStyle name="Porcentual 132 14 3" xfId="7955" xr:uid="{00000000-0005-0000-0000-00000E160000}"/>
    <cellStyle name="Porcentual 132 15" xfId="1621" xr:uid="{00000000-0005-0000-0000-00000F160000}"/>
    <cellStyle name="Porcentual 132 15 2" xfId="5282" xr:uid="{00000000-0005-0000-0000-000010160000}"/>
    <cellStyle name="Porcentual 132 15 3" xfId="7956" xr:uid="{00000000-0005-0000-0000-000011160000}"/>
    <cellStyle name="Porcentual 132 16" xfId="1622" xr:uid="{00000000-0005-0000-0000-000012160000}"/>
    <cellStyle name="Porcentual 132 16 2" xfId="5283" xr:uid="{00000000-0005-0000-0000-000013160000}"/>
    <cellStyle name="Porcentual 132 16 3" xfId="7957" xr:uid="{00000000-0005-0000-0000-000014160000}"/>
    <cellStyle name="Porcentual 132 17" xfId="1623" xr:uid="{00000000-0005-0000-0000-000015160000}"/>
    <cellStyle name="Porcentual 132 17 2" xfId="5284" xr:uid="{00000000-0005-0000-0000-000016160000}"/>
    <cellStyle name="Porcentual 132 17 3" xfId="7958" xr:uid="{00000000-0005-0000-0000-000017160000}"/>
    <cellStyle name="Porcentual 132 18" xfId="1624" xr:uid="{00000000-0005-0000-0000-000018160000}"/>
    <cellStyle name="Porcentual 132 18 2" xfId="5285" xr:uid="{00000000-0005-0000-0000-000019160000}"/>
    <cellStyle name="Porcentual 132 18 3" xfId="7959" xr:uid="{00000000-0005-0000-0000-00001A160000}"/>
    <cellStyle name="Porcentual 132 19" xfId="1625" xr:uid="{00000000-0005-0000-0000-00001B160000}"/>
    <cellStyle name="Porcentual 132 19 2" xfId="5286" xr:uid="{00000000-0005-0000-0000-00001C160000}"/>
    <cellStyle name="Porcentual 132 19 3" xfId="7960" xr:uid="{00000000-0005-0000-0000-00001D160000}"/>
    <cellStyle name="Porcentual 132 2" xfId="1626" xr:uid="{00000000-0005-0000-0000-00001E160000}"/>
    <cellStyle name="Porcentual 132 2 2" xfId="5287" xr:uid="{00000000-0005-0000-0000-00001F160000}"/>
    <cellStyle name="Porcentual 132 2 3" xfId="7961" xr:uid="{00000000-0005-0000-0000-000020160000}"/>
    <cellStyle name="Porcentual 132 20" xfId="1627" xr:uid="{00000000-0005-0000-0000-000021160000}"/>
    <cellStyle name="Porcentual 132 20 2" xfId="5288" xr:uid="{00000000-0005-0000-0000-000022160000}"/>
    <cellStyle name="Porcentual 132 20 3" xfId="7962" xr:uid="{00000000-0005-0000-0000-000023160000}"/>
    <cellStyle name="Porcentual 132 21" xfId="1628" xr:uid="{00000000-0005-0000-0000-000024160000}"/>
    <cellStyle name="Porcentual 132 21 2" xfId="5289" xr:uid="{00000000-0005-0000-0000-000025160000}"/>
    <cellStyle name="Porcentual 132 21 3" xfId="7963" xr:uid="{00000000-0005-0000-0000-000026160000}"/>
    <cellStyle name="Porcentual 132 22" xfId="1629" xr:uid="{00000000-0005-0000-0000-000027160000}"/>
    <cellStyle name="Porcentual 132 22 2" xfId="5290" xr:uid="{00000000-0005-0000-0000-000028160000}"/>
    <cellStyle name="Porcentual 132 22 3" xfId="7964" xr:uid="{00000000-0005-0000-0000-000029160000}"/>
    <cellStyle name="Porcentual 132 23" xfId="1630" xr:uid="{00000000-0005-0000-0000-00002A160000}"/>
    <cellStyle name="Porcentual 132 23 2" xfId="5291" xr:uid="{00000000-0005-0000-0000-00002B160000}"/>
    <cellStyle name="Porcentual 132 23 3" xfId="7965" xr:uid="{00000000-0005-0000-0000-00002C160000}"/>
    <cellStyle name="Porcentual 132 24" xfId="1631" xr:uid="{00000000-0005-0000-0000-00002D160000}"/>
    <cellStyle name="Porcentual 132 24 2" xfId="5292" xr:uid="{00000000-0005-0000-0000-00002E160000}"/>
    <cellStyle name="Porcentual 132 24 3" xfId="7966" xr:uid="{00000000-0005-0000-0000-00002F160000}"/>
    <cellStyle name="Porcentual 132 25" xfId="1632" xr:uid="{00000000-0005-0000-0000-000030160000}"/>
    <cellStyle name="Porcentual 132 25 2" xfId="5293" xr:uid="{00000000-0005-0000-0000-000031160000}"/>
    <cellStyle name="Porcentual 132 25 3" xfId="7967" xr:uid="{00000000-0005-0000-0000-000032160000}"/>
    <cellStyle name="Porcentual 132 26" xfId="1633" xr:uid="{00000000-0005-0000-0000-000033160000}"/>
    <cellStyle name="Porcentual 132 26 2" xfId="5294" xr:uid="{00000000-0005-0000-0000-000034160000}"/>
    <cellStyle name="Porcentual 132 26 3" xfId="7968" xr:uid="{00000000-0005-0000-0000-000035160000}"/>
    <cellStyle name="Porcentual 132 27" xfId="1634" xr:uid="{00000000-0005-0000-0000-000036160000}"/>
    <cellStyle name="Porcentual 132 27 2" xfId="5295" xr:uid="{00000000-0005-0000-0000-000037160000}"/>
    <cellStyle name="Porcentual 132 27 3" xfId="7969" xr:uid="{00000000-0005-0000-0000-000038160000}"/>
    <cellStyle name="Porcentual 132 28" xfId="1635" xr:uid="{00000000-0005-0000-0000-000039160000}"/>
    <cellStyle name="Porcentual 132 28 2" xfId="5296" xr:uid="{00000000-0005-0000-0000-00003A160000}"/>
    <cellStyle name="Porcentual 132 28 3" xfId="7970" xr:uid="{00000000-0005-0000-0000-00003B160000}"/>
    <cellStyle name="Porcentual 132 3" xfId="1636" xr:uid="{00000000-0005-0000-0000-00003C160000}"/>
    <cellStyle name="Porcentual 132 3 2" xfId="5297" xr:uid="{00000000-0005-0000-0000-00003D160000}"/>
    <cellStyle name="Porcentual 132 3 3" xfId="7971" xr:uid="{00000000-0005-0000-0000-00003E160000}"/>
    <cellStyle name="Porcentual 132 4" xfId="1637" xr:uid="{00000000-0005-0000-0000-00003F160000}"/>
    <cellStyle name="Porcentual 132 4 2" xfId="5298" xr:uid="{00000000-0005-0000-0000-000040160000}"/>
    <cellStyle name="Porcentual 132 4 3" xfId="7972" xr:uid="{00000000-0005-0000-0000-000041160000}"/>
    <cellStyle name="Porcentual 132 5" xfId="1638" xr:uid="{00000000-0005-0000-0000-000042160000}"/>
    <cellStyle name="Porcentual 132 5 2" xfId="5299" xr:uid="{00000000-0005-0000-0000-000043160000}"/>
    <cellStyle name="Porcentual 132 5 3" xfId="7973" xr:uid="{00000000-0005-0000-0000-000044160000}"/>
    <cellStyle name="Porcentual 132 6" xfId="1639" xr:uid="{00000000-0005-0000-0000-000045160000}"/>
    <cellStyle name="Porcentual 132 6 2" xfId="5300" xr:uid="{00000000-0005-0000-0000-000046160000}"/>
    <cellStyle name="Porcentual 132 6 3" xfId="7974" xr:uid="{00000000-0005-0000-0000-000047160000}"/>
    <cellStyle name="Porcentual 132 7" xfId="1640" xr:uid="{00000000-0005-0000-0000-000048160000}"/>
    <cellStyle name="Porcentual 132 7 2" xfId="5301" xr:uid="{00000000-0005-0000-0000-000049160000}"/>
    <cellStyle name="Porcentual 132 7 3" xfId="7975" xr:uid="{00000000-0005-0000-0000-00004A160000}"/>
    <cellStyle name="Porcentual 132 8" xfId="1641" xr:uid="{00000000-0005-0000-0000-00004B160000}"/>
    <cellStyle name="Porcentual 132 8 2" xfId="5302" xr:uid="{00000000-0005-0000-0000-00004C160000}"/>
    <cellStyle name="Porcentual 132 8 3" xfId="7976" xr:uid="{00000000-0005-0000-0000-00004D160000}"/>
    <cellStyle name="Porcentual 132 9" xfId="1642" xr:uid="{00000000-0005-0000-0000-00004E160000}"/>
    <cellStyle name="Porcentual 132 9 2" xfId="5303" xr:uid="{00000000-0005-0000-0000-00004F160000}"/>
    <cellStyle name="Porcentual 132 9 3" xfId="7977" xr:uid="{00000000-0005-0000-0000-000050160000}"/>
    <cellStyle name="Porcentual 133 10" xfId="1643" xr:uid="{00000000-0005-0000-0000-000051160000}"/>
    <cellStyle name="Porcentual 133 10 2" xfId="5304" xr:uid="{00000000-0005-0000-0000-000052160000}"/>
    <cellStyle name="Porcentual 133 10 3" xfId="7978" xr:uid="{00000000-0005-0000-0000-000053160000}"/>
    <cellStyle name="Porcentual 133 11" xfId="1644" xr:uid="{00000000-0005-0000-0000-000054160000}"/>
    <cellStyle name="Porcentual 133 11 2" xfId="5305" xr:uid="{00000000-0005-0000-0000-000055160000}"/>
    <cellStyle name="Porcentual 133 11 3" xfId="7979" xr:uid="{00000000-0005-0000-0000-000056160000}"/>
    <cellStyle name="Porcentual 133 12" xfId="1645" xr:uid="{00000000-0005-0000-0000-000057160000}"/>
    <cellStyle name="Porcentual 133 12 2" xfId="5306" xr:uid="{00000000-0005-0000-0000-000058160000}"/>
    <cellStyle name="Porcentual 133 12 3" xfId="7980" xr:uid="{00000000-0005-0000-0000-000059160000}"/>
    <cellStyle name="Porcentual 133 13" xfId="1646" xr:uid="{00000000-0005-0000-0000-00005A160000}"/>
    <cellStyle name="Porcentual 133 13 2" xfId="5307" xr:uid="{00000000-0005-0000-0000-00005B160000}"/>
    <cellStyle name="Porcentual 133 13 3" xfId="7981" xr:uid="{00000000-0005-0000-0000-00005C160000}"/>
    <cellStyle name="Porcentual 133 14" xfId="1647" xr:uid="{00000000-0005-0000-0000-00005D160000}"/>
    <cellStyle name="Porcentual 133 14 2" xfId="5308" xr:uid="{00000000-0005-0000-0000-00005E160000}"/>
    <cellStyle name="Porcentual 133 14 3" xfId="7982" xr:uid="{00000000-0005-0000-0000-00005F160000}"/>
    <cellStyle name="Porcentual 133 15" xfId="1648" xr:uid="{00000000-0005-0000-0000-000060160000}"/>
    <cellStyle name="Porcentual 133 15 2" xfId="5309" xr:uid="{00000000-0005-0000-0000-000061160000}"/>
    <cellStyle name="Porcentual 133 15 3" xfId="7983" xr:uid="{00000000-0005-0000-0000-000062160000}"/>
    <cellStyle name="Porcentual 133 16" xfId="1649" xr:uid="{00000000-0005-0000-0000-000063160000}"/>
    <cellStyle name="Porcentual 133 16 2" xfId="5310" xr:uid="{00000000-0005-0000-0000-000064160000}"/>
    <cellStyle name="Porcentual 133 16 3" xfId="7984" xr:uid="{00000000-0005-0000-0000-000065160000}"/>
    <cellStyle name="Porcentual 133 17" xfId="1650" xr:uid="{00000000-0005-0000-0000-000066160000}"/>
    <cellStyle name="Porcentual 133 17 2" xfId="5311" xr:uid="{00000000-0005-0000-0000-000067160000}"/>
    <cellStyle name="Porcentual 133 17 3" xfId="7985" xr:uid="{00000000-0005-0000-0000-000068160000}"/>
    <cellStyle name="Porcentual 133 18" xfId="1651" xr:uid="{00000000-0005-0000-0000-000069160000}"/>
    <cellStyle name="Porcentual 133 18 2" xfId="5312" xr:uid="{00000000-0005-0000-0000-00006A160000}"/>
    <cellStyle name="Porcentual 133 18 3" xfId="7986" xr:uid="{00000000-0005-0000-0000-00006B160000}"/>
    <cellStyle name="Porcentual 133 19" xfId="1652" xr:uid="{00000000-0005-0000-0000-00006C160000}"/>
    <cellStyle name="Porcentual 133 19 2" xfId="5313" xr:uid="{00000000-0005-0000-0000-00006D160000}"/>
    <cellStyle name="Porcentual 133 19 3" xfId="7987" xr:uid="{00000000-0005-0000-0000-00006E160000}"/>
    <cellStyle name="Porcentual 133 2" xfId="1653" xr:uid="{00000000-0005-0000-0000-00006F160000}"/>
    <cellStyle name="Porcentual 133 2 2" xfId="5314" xr:uid="{00000000-0005-0000-0000-000070160000}"/>
    <cellStyle name="Porcentual 133 2 3" xfId="7988" xr:uid="{00000000-0005-0000-0000-000071160000}"/>
    <cellStyle name="Porcentual 133 20" xfId="1654" xr:uid="{00000000-0005-0000-0000-000072160000}"/>
    <cellStyle name="Porcentual 133 20 2" xfId="5315" xr:uid="{00000000-0005-0000-0000-000073160000}"/>
    <cellStyle name="Porcentual 133 20 3" xfId="7989" xr:uid="{00000000-0005-0000-0000-000074160000}"/>
    <cellStyle name="Porcentual 133 21" xfId="1655" xr:uid="{00000000-0005-0000-0000-000075160000}"/>
    <cellStyle name="Porcentual 133 21 2" xfId="5316" xr:uid="{00000000-0005-0000-0000-000076160000}"/>
    <cellStyle name="Porcentual 133 21 3" xfId="7990" xr:uid="{00000000-0005-0000-0000-000077160000}"/>
    <cellStyle name="Porcentual 133 22" xfId="1656" xr:uid="{00000000-0005-0000-0000-000078160000}"/>
    <cellStyle name="Porcentual 133 22 2" xfId="5317" xr:uid="{00000000-0005-0000-0000-000079160000}"/>
    <cellStyle name="Porcentual 133 22 3" xfId="7991" xr:uid="{00000000-0005-0000-0000-00007A160000}"/>
    <cellStyle name="Porcentual 133 23" xfId="1657" xr:uid="{00000000-0005-0000-0000-00007B160000}"/>
    <cellStyle name="Porcentual 133 23 2" xfId="5318" xr:uid="{00000000-0005-0000-0000-00007C160000}"/>
    <cellStyle name="Porcentual 133 23 3" xfId="7992" xr:uid="{00000000-0005-0000-0000-00007D160000}"/>
    <cellStyle name="Porcentual 133 24" xfId="1658" xr:uid="{00000000-0005-0000-0000-00007E160000}"/>
    <cellStyle name="Porcentual 133 24 2" xfId="5319" xr:uid="{00000000-0005-0000-0000-00007F160000}"/>
    <cellStyle name="Porcentual 133 24 3" xfId="7993" xr:uid="{00000000-0005-0000-0000-000080160000}"/>
    <cellStyle name="Porcentual 133 25" xfId="1659" xr:uid="{00000000-0005-0000-0000-000081160000}"/>
    <cellStyle name="Porcentual 133 25 2" xfId="5320" xr:uid="{00000000-0005-0000-0000-000082160000}"/>
    <cellStyle name="Porcentual 133 25 3" xfId="7994" xr:uid="{00000000-0005-0000-0000-000083160000}"/>
    <cellStyle name="Porcentual 133 26" xfId="1660" xr:uid="{00000000-0005-0000-0000-000084160000}"/>
    <cellStyle name="Porcentual 133 26 2" xfId="5321" xr:uid="{00000000-0005-0000-0000-000085160000}"/>
    <cellStyle name="Porcentual 133 26 3" xfId="7995" xr:uid="{00000000-0005-0000-0000-000086160000}"/>
    <cellStyle name="Porcentual 133 27" xfId="1661" xr:uid="{00000000-0005-0000-0000-000087160000}"/>
    <cellStyle name="Porcentual 133 27 2" xfId="5322" xr:uid="{00000000-0005-0000-0000-000088160000}"/>
    <cellStyle name="Porcentual 133 27 3" xfId="7996" xr:uid="{00000000-0005-0000-0000-000089160000}"/>
    <cellStyle name="Porcentual 133 28" xfId="1662" xr:uid="{00000000-0005-0000-0000-00008A160000}"/>
    <cellStyle name="Porcentual 133 28 2" xfId="5323" xr:uid="{00000000-0005-0000-0000-00008B160000}"/>
    <cellStyle name="Porcentual 133 28 3" xfId="7997" xr:uid="{00000000-0005-0000-0000-00008C160000}"/>
    <cellStyle name="Porcentual 133 3" xfId="1663" xr:uid="{00000000-0005-0000-0000-00008D160000}"/>
    <cellStyle name="Porcentual 133 3 2" xfId="5324" xr:uid="{00000000-0005-0000-0000-00008E160000}"/>
    <cellStyle name="Porcentual 133 3 3" xfId="7998" xr:uid="{00000000-0005-0000-0000-00008F160000}"/>
    <cellStyle name="Porcentual 133 4" xfId="1664" xr:uid="{00000000-0005-0000-0000-000090160000}"/>
    <cellStyle name="Porcentual 133 4 2" xfId="5325" xr:uid="{00000000-0005-0000-0000-000091160000}"/>
    <cellStyle name="Porcentual 133 4 3" xfId="7999" xr:uid="{00000000-0005-0000-0000-000092160000}"/>
    <cellStyle name="Porcentual 133 5" xfId="1665" xr:uid="{00000000-0005-0000-0000-000093160000}"/>
    <cellStyle name="Porcentual 133 5 2" xfId="5326" xr:uid="{00000000-0005-0000-0000-000094160000}"/>
    <cellStyle name="Porcentual 133 5 3" xfId="8000" xr:uid="{00000000-0005-0000-0000-000095160000}"/>
    <cellStyle name="Porcentual 133 6" xfId="1666" xr:uid="{00000000-0005-0000-0000-000096160000}"/>
    <cellStyle name="Porcentual 133 6 2" xfId="5327" xr:uid="{00000000-0005-0000-0000-000097160000}"/>
    <cellStyle name="Porcentual 133 6 3" xfId="8001" xr:uid="{00000000-0005-0000-0000-000098160000}"/>
    <cellStyle name="Porcentual 133 7" xfId="1667" xr:uid="{00000000-0005-0000-0000-000099160000}"/>
    <cellStyle name="Porcentual 133 7 2" xfId="5328" xr:uid="{00000000-0005-0000-0000-00009A160000}"/>
    <cellStyle name="Porcentual 133 7 3" xfId="8002" xr:uid="{00000000-0005-0000-0000-00009B160000}"/>
    <cellStyle name="Porcentual 133 8" xfId="1668" xr:uid="{00000000-0005-0000-0000-00009C160000}"/>
    <cellStyle name="Porcentual 133 8 2" xfId="5329" xr:uid="{00000000-0005-0000-0000-00009D160000}"/>
    <cellStyle name="Porcentual 133 8 3" xfId="8003" xr:uid="{00000000-0005-0000-0000-00009E160000}"/>
    <cellStyle name="Porcentual 133 9" xfId="1669" xr:uid="{00000000-0005-0000-0000-00009F160000}"/>
    <cellStyle name="Porcentual 133 9 2" xfId="5330" xr:uid="{00000000-0005-0000-0000-0000A0160000}"/>
    <cellStyle name="Porcentual 133 9 3" xfId="8004" xr:uid="{00000000-0005-0000-0000-0000A1160000}"/>
    <cellStyle name="Porcentual 134 10" xfId="1670" xr:uid="{00000000-0005-0000-0000-0000A2160000}"/>
    <cellStyle name="Porcentual 134 10 2" xfId="5331" xr:uid="{00000000-0005-0000-0000-0000A3160000}"/>
    <cellStyle name="Porcentual 134 10 3" xfId="8005" xr:uid="{00000000-0005-0000-0000-0000A4160000}"/>
    <cellStyle name="Porcentual 134 11" xfId="1671" xr:uid="{00000000-0005-0000-0000-0000A5160000}"/>
    <cellStyle name="Porcentual 134 11 2" xfId="5332" xr:uid="{00000000-0005-0000-0000-0000A6160000}"/>
    <cellStyle name="Porcentual 134 11 3" xfId="8006" xr:uid="{00000000-0005-0000-0000-0000A7160000}"/>
    <cellStyle name="Porcentual 134 12" xfId="1672" xr:uid="{00000000-0005-0000-0000-0000A8160000}"/>
    <cellStyle name="Porcentual 134 12 2" xfId="5333" xr:uid="{00000000-0005-0000-0000-0000A9160000}"/>
    <cellStyle name="Porcentual 134 12 3" xfId="8007" xr:uid="{00000000-0005-0000-0000-0000AA160000}"/>
    <cellStyle name="Porcentual 134 13" xfId="1673" xr:uid="{00000000-0005-0000-0000-0000AB160000}"/>
    <cellStyle name="Porcentual 134 13 2" xfId="5334" xr:uid="{00000000-0005-0000-0000-0000AC160000}"/>
    <cellStyle name="Porcentual 134 13 3" xfId="8008" xr:uid="{00000000-0005-0000-0000-0000AD160000}"/>
    <cellStyle name="Porcentual 134 14" xfId="1674" xr:uid="{00000000-0005-0000-0000-0000AE160000}"/>
    <cellStyle name="Porcentual 134 14 2" xfId="5335" xr:uid="{00000000-0005-0000-0000-0000AF160000}"/>
    <cellStyle name="Porcentual 134 14 3" xfId="8009" xr:uid="{00000000-0005-0000-0000-0000B0160000}"/>
    <cellStyle name="Porcentual 134 15" xfId="1675" xr:uid="{00000000-0005-0000-0000-0000B1160000}"/>
    <cellStyle name="Porcentual 134 15 2" xfId="5336" xr:uid="{00000000-0005-0000-0000-0000B2160000}"/>
    <cellStyle name="Porcentual 134 15 3" xfId="8010" xr:uid="{00000000-0005-0000-0000-0000B3160000}"/>
    <cellStyle name="Porcentual 134 16" xfId="1676" xr:uid="{00000000-0005-0000-0000-0000B4160000}"/>
    <cellStyle name="Porcentual 134 16 2" xfId="5337" xr:uid="{00000000-0005-0000-0000-0000B5160000}"/>
    <cellStyle name="Porcentual 134 16 3" xfId="8011" xr:uid="{00000000-0005-0000-0000-0000B6160000}"/>
    <cellStyle name="Porcentual 134 17" xfId="1677" xr:uid="{00000000-0005-0000-0000-0000B7160000}"/>
    <cellStyle name="Porcentual 134 17 2" xfId="5338" xr:uid="{00000000-0005-0000-0000-0000B8160000}"/>
    <cellStyle name="Porcentual 134 17 3" xfId="8012" xr:uid="{00000000-0005-0000-0000-0000B9160000}"/>
    <cellStyle name="Porcentual 134 18" xfId="1678" xr:uid="{00000000-0005-0000-0000-0000BA160000}"/>
    <cellStyle name="Porcentual 134 18 2" xfId="5339" xr:uid="{00000000-0005-0000-0000-0000BB160000}"/>
    <cellStyle name="Porcentual 134 18 3" xfId="8013" xr:uid="{00000000-0005-0000-0000-0000BC160000}"/>
    <cellStyle name="Porcentual 134 19" xfId="1679" xr:uid="{00000000-0005-0000-0000-0000BD160000}"/>
    <cellStyle name="Porcentual 134 19 2" xfId="5340" xr:uid="{00000000-0005-0000-0000-0000BE160000}"/>
    <cellStyle name="Porcentual 134 19 3" xfId="8014" xr:uid="{00000000-0005-0000-0000-0000BF160000}"/>
    <cellStyle name="Porcentual 134 2" xfId="1680" xr:uid="{00000000-0005-0000-0000-0000C0160000}"/>
    <cellStyle name="Porcentual 134 2 2" xfId="5341" xr:uid="{00000000-0005-0000-0000-0000C1160000}"/>
    <cellStyle name="Porcentual 134 2 3" xfId="8015" xr:uid="{00000000-0005-0000-0000-0000C2160000}"/>
    <cellStyle name="Porcentual 134 20" xfId="1681" xr:uid="{00000000-0005-0000-0000-0000C3160000}"/>
    <cellStyle name="Porcentual 134 20 2" xfId="5342" xr:uid="{00000000-0005-0000-0000-0000C4160000}"/>
    <cellStyle name="Porcentual 134 20 3" xfId="8016" xr:uid="{00000000-0005-0000-0000-0000C5160000}"/>
    <cellStyle name="Porcentual 134 21" xfId="1682" xr:uid="{00000000-0005-0000-0000-0000C6160000}"/>
    <cellStyle name="Porcentual 134 21 2" xfId="5343" xr:uid="{00000000-0005-0000-0000-0000C7160000}"/>
    <cellStyle name="Porcentual 134 21 3" xfId="8017" xr:uid="{00000000-0005-0000-0000-0000C8160000}"/>
    <cellStyle name="Porcentual 134 22" xfId="1683" xr:uid="{00000000-0005-0000-0000-0000C9160000}"/>
    <cellStyle name="Porcentual 134 22 2" xfId="5344" xr:uid="{00000000-0005-0000-0000-0000CA160000}"/>
    <cellStyle name="Porcentual 134 22 3" xfId="8018" xr:uid="{00000000-0005-0000-0000-0000CB160000}"/>
    <cellStyle name="Porcentual 134 23" xfId="1684" xr:uid="{00000000-0005-0000-0000-0000CC160000}"/>
    <cellStyle name="Porcentual 134 23 2" xfId="5345" xr:uid="{00000000-0005-0000-0000-0000CD160000}"/>
    <cellStyle name="Porcentual 134 23 3" xfId="8019" xr:uid="{00000000-0005-0000-0000-0000CE160000}"/>
    <cellStyle name="Porcentual 134 24" xfId="1685" xr:uid="{00000000-0005-0000-0000-0000CF160000}"/>
    <cellStyle name="Porcentual 134 24 2" xfId="5346" xr:uid="{00000000-0005-0000-0000-0000D0160000}"/>
    <cellStyle name="Porcentual 134 24 3" xfId="8020" xr:uid="{00000000-0005-0000-0000-0000D1160000}"/>
    <cellStyle name="Porcentual 134 25" xfId="1686" xr:uid="{00000000-0005-0000-0000-0000D2160000}"/>
    <cellStyle name="Porcentual 134 25 2" xfId="5347" xr:uid="{00000000-0005-0000-0000-0000D3160000}"/>
    <cellStyle name="Porcentual 134 25 3" xfId="8021" xr:uid="{00000000-0005-0000-0000-0000D4160000}"/>
    <cellStyle name="Porcentual 134 26" xfId="1687" xr:uid="{00000000-0005-0000-0000-0000D5160000}"/>
    <cellStyle name="Porcentual 134 26 2" xfId="5348" xr:uid="{00000000-0005-0000-0000-0000D6160000}"/>
    <cellStyle name="Porcentual 134 26 3" xfId="8022" xr:uid="{00000000-0005-0000-0000-0000D7160000}"/>
    <cellStyle name="Porcentual 134 27" xfId="1688" xr:uid="{00000000-0005-0000-0000-0000D8160000}"/>
    <cellStyle name="Porcentual 134 27 2" xfId="5349" xr:uid="{00000000-0005-0000-0000-0000D9160000}"/>
    <cellStyle name="Porcentual 134 27 3" xfId="8023" xr:uid="{00000000-0005-0000-0000-0000DA160000}"/>
    <cellStyle name="Porcentual 134 28" xfId="1689" xr:uid="{00000000-0005-0000-0000-0000DB160000}"/>
    <cellStyle name="Porcentual 134 28 2" xfId="5350" xr:uid="{00000000-0005-0000-0000-0000DC160000}"/>
    <cellStyle name="Porcentual 134 28 3" xfId="8024" xr:uid="{00000000-0005-0000-0000-0000DD160000}"/>
    <cellStyle name="Porcentual 134 3" xfId="1690" xr:uid="{00000000-0005-0000-0000-0000DE160000}"/>
    <cellStyle name="Porcentual 134 3 2" xfId="5351" xr:uid="{00000000-0005-0000-0000-0000DF160000}"/>
    <cellStyle name="Porcentual 134 3 3" xfId="8025" xr:uid="{00000000-0005-0000-0000-0000E0160000}"/>
    <cellStyle name="Porcentual 134 4" xfId="1691" xr:uid="{00000000-0005-0000-0000-0000E1160000}"/>
    <cellStyle name="Porcentual 134 4 2" xfId="5352" xr:uid="{00000000-0005-0000-0000-0000E2160000}"/>
    <cellStyle name="Porcentual 134 4 3" xfId="8026" xr:uid="{00000000-0005-0000-0000-0000E3160000}"/>
    <cellStyle name="Porcentual 134 5" xfId="1692" xr:uid="{00000000-0005-0000-0000-0000E4160000}"/>
    <cellStyle name="Porcentual 134 5 2" xfId="5353" xr:uid="{00000000-0005-0000-0000-0000E5160000}"/>
    <cellStyle name="Porcentual 134 5 3" xfId="8027" xr:uid="{00000000-0005-0000-0000-0000E6160000}"/>
    <cellStyle name="Porcentual 134 6" xfId="1693" xr:uid="{00000000-0005-0000-0000-0000E7160000}"/>
    <cellStyle name="Porcentual 134 6 2" xfId="5354" xr:uid="{00000000-0005-0000-0000-0000E8160000}"/>
    <cellStyle name="Porcentual 134 6 3" xfId="8028" xr:uid="{00000000-0005-0000-0000-0000E9160000}"/>
    <cellStyle name="Porcentual 134 7" xfId="1694" xr:uid="{00000000-0005-0000-0000-0000EA160000}"/>
    <cellStyle name="Porcentual 134 7 2" xfId="5355" xr:uid="{00000000-0005-0000-0000-0000EB160000}"/>
    <cellStyle name="Porcentual 134 7 3" xfId="8029" xr:uid="{00000000-0005-0000-0000-0000EC160000}"/>
    <cellStyle name="Porcentual 134 8" xfId="1695" xr:uid="{00000000-0005-0000-0000-0000ED160000}"/>
    <cellStyle name="Porcentual 134 8 2" xfId="5356" xr:uid="{00000000-0005-0000-0000-0000EE160000}"/>
    <cellStyle name="Porcentual 134 8 3" xfId="8030" xr:uid="{00000000-0005-0000-0000-0000EF160000}"/>
    <cellStyle name="Porcentual 134 9" xfId="1696" xr:uid="{00000000-0005-0000-0000-0000F0160000}"/>
    <cellStyle name="Porcentual 134 9 2" xfId="5357" xr:uid="{00000000-0005-0000-0000-0000F1160000}"/>
    <cellStyle name="Porcentual 134 9 3" xfId="8031" xr:uid="{00000000-0005-0000-0000-0000F2160000}"/>
    <cellStyle name="Porcentual 135 10" xfId="1697" xr:uid="{00000000-0005-0000-0000-0000F3160000}"/>
    <cellStyle name="Porcentual 135 10 2" xfId="5358" xr:uid="{00000000-0005-0000-0000-0000F4160000}"/>
    <cellStyle name="Porcentual 135 10 3" xfId="8032" xr:uid="{00000000-0005-0000-0000-0000F5160000}"/>
    <cellStyle name="Porcentual 135 11" xfId="1698" xr:uid="{00000000-0005-0000-0000-0000F6160000}"/>
    <cellStyle name="Porcentual 135 11 2" xfId="5359" xr:uid="{00000000-0005-0000-0000-0000F7160000}"/>
    <cellStyle name="Porcentual 135 11 3" xfId="8033" xr:uid="{00000000-0005-0000-0000-0000F8160000}"/>
    <cellStyle name="Porcentual 135 12" xfId="1699" xr:uid="{00000000-0005-0000-0000-0000F9160000}"/>
    <cellStyle name="Porcentual 135 12 2" xfId="5360" xr:uid="{00000000-0005-0000-0000-0000FA160000}"/>
    <cellStyle name="Porcentual 135 12 3" xfId="8034" xr:uid="{00000000-0005-0000-0000-0000FB160000}"/>
    <cellStyle name="Porcentual 135 13" xfId="1700" xr:uid="{00000000-0005-0000-0000-0000FC160000}"/>
    <cellStyle name="Porcentual 135 13 2" xfId="5361" xr:uid="{00000000-0005-0000-0000-0000FD160000}"/>
    <cellStyle name="Porcentual 135 13 3" xfId="8035" xr:uid="{00000000-0005-0000-0000-0000FE160000}"/>
    <cellStyle name="Porcentual 135 14" xfId="1701" xr:uid="{00000000-0005-0000-0000-0000FF160000}"/>
    <cellStyle name="Porcentual 135 14 2" xfId="5362" xr:uid="{00000000-0005-0000-0000-000000170000}"/>
    <cellStyle name="Porcentual 135 14 3" xfId="8036" xr:uid="{00000000-0005-0000-0000-000001170000}"/>
    <cellStyle name="Porcentual 135 15" xfId="1702" xr:uid="{00000000-0005-0000-0000-000002170000}"/>
    <cellStyle name="Porcentual 135 15 2" xfId="5363" xr:uid="{00000000-0005-0000-0000-000003170000}"/>
    <cellStyle name="Porcentual 135 15 3" xfId="8037" xr:uid="{00000000-0005-0000-0000-000004170000}"/>
    <cellStyle name="Porcentual 135 16" xfId="1703" xr:uid="{00000000-0005-0000-0000-000005170000}"/>
    <cellStyle name="Porcentual 135 16 2" xfId="5364" xr:uid="{00000000-0005-0000-0000-000006170000}"/>
    <cellStyle name="Porcentual 135 16 3" xfId="8038" xr:uid="{00000000-0005-0000-0000-000007170000}"/>
    <cellStyle name="Porcentual 135 17" xfId="1704" xr:uid="{00000000-0005-0000-0000-000008170000}"/>
    <cellStyle name="Porcentual 135 17 2" xfId="5365" xr:uid="{00000000-0005-0000-0000-000009170000}"/>
    <cellStyle name="Porcentual 135 17 3" xfId="8039" xr:uid="{00000000-0005-0000-0000-00000A170000}"/>
    <cellStyle name="Porcentual 135 18" xfId="1705" xr:uid="{00000000-0005-0000-0000-00000B170000}"/>
    <cellStyle name="Porcentual 135 18 2" xfId="5366" xr:uid="{00000000-0005-0000-0000-00000C170000}"/>
    <cellStyle name="Porcentual 135 18 3" xfId="8040" xr:uid="{00000000-0005-0000-0000-00000D170000}"/>
    <cellStyle name="Porcentual 135 19" xfId="1706" xr:uid="{00000000-0005-0000-0000-00000E170000}"/>
    <cellStyle name="Porcentual 135 19 2" xfId="5367" xr:uid="{00000000-0005-0000-0000-00000F170000}"/>
    <cellStyle name="Porcentual 135 19 3" xfId="8041" xr:uid="{00000000-0005-0000-0000-000010170000}"/>
    <cellStyle name="Porcentual 135 2" xfId="1707" xr:uid="{00000000-0005-0000-0000-000011170000}"/>
    <cellStyle name="Porcentual 135 2 2" xfId="5368" xr:uid="{00000000-0005-0000-0000-000012170000}"/>
    <cellStyle name="Porcentual 135 2 3" xfId="8042" xr:uid="{00000000-0005-0000-0000-000013170000}"/>
    <cellStyle name="Porcentual 135 20" xfId="1708" xr:uid="{00000000-0005-0000-0000-000014170000}"/>
    <cellStyle name="Porcentual 135 20 2" xfId="5369" xr:uid="{00000000-0005-0000-0000-000015170000}"/>
    <cellStyle name="Porcentual 135 20 3" xfId="8043" xr:uid="{00000000-0005-0000-0000-000016170000}"/>
    <cellStyle name="Porcentual 135 21" xfId="1709" xr:uid="{00000000-0005-0000-0000-000017170000}"/>
    <cellStyle name="Porcentual 135 21 2" xfId="5370" xr:uid="{00000000-0005-0000-0000-000018170000}"/>
    <cellStyle name="Porcentual 135 21 3" xfId="8044" xr:uid="{00000000-0005-0000-0000-000019170000}"/>
    <cellStyle name="Porcentual 135 22" xfId="1710" xr:uid="{00000000-0005-0000-0000-00001A170000}"/>
    <cellStyle name="Porcentual 135 22 2" xfId="5371" xr:uid="{00000000-0005-0000-0000-00001B170000}"/>
    <cellStyle name="Porcentual 135 22 3" xfId="8045" xr:uid="{00000000-0005-0000-0000-00001C170000}"/>
    <cellStyle name="Porcentual 135 23" xfId="1711" xr:uid="{00000000-0005-0000-0000-00001D170000}"/>
    <cellStyle name="Porcentual 135 23 2" xfId="5372" xr:uid="{00000000-0005-0000-0000-00001E170000}"/>
    <cellStyle name="Porcentual 135 23 3" xfId="8046" xr:uid="{00000000-0005-0000-0000-00001F170000}"/>
    <cellStyle name="Porcentual 135 24" xfId="1712" xr:uid="{00000000-0005-0000-0000-000020170000}"/>
    <cellStyle name="Porcentual 135 24 2" xfId="5373" xr:uid="{00000000-0005-0000-0000-000021170000}"/>
    <cellStyle name="Porcentual 135 24 3" xfId="8047" xr:uid="{00000000-0005-0000-0000-000022170000}"/>
    <cellStyle name="Porcentual 135 25" xfId="1713" xr:uid="{00000000-0005-0000-0000-000023170000}"/>
    <cellStyle name="Porcentual 135 25 2" xfId="5374" xr:uid="{00000000-0005-0000-0000-000024170000}"/>
    <cellStyle name="Porcentual 135 25 3" xfId="8048" xr:uid="{00000000-0005-0000-0000-000025170000}"/>
    <cellStyle name="Porcentual 135 26" xfId="1714" xr:uid="{00000000-0005-0000-0000-000026170000}"/>
    <cellStyle name="Porcentual 135 26 2" xfId="5375" xr:uid="{00000000-0005-0000-0000-000027170000}"/>
    <cellStyle name="Porcentual 135 26 3" xfId="8049" xr:uid="{00000000-0005-0000-0000-000028170000}"/>
    <cellStyle name="Porcentual 135 27" xfId="1715" xr:uid="{00000000-0005-0000-0000-000029170000}"/>
    <cellStyle name="Porcentual 135 27 2" xfId="5376" xr:uid="{00000000-0005-0000-0000-00002A170000}"/>
    <cellStyle name="Porcentual 135 27 3" xfId="8050" xr:uid="{00000000-0005-0000-0000-00002B170000}"/>
    <cellStyle name="Porcentual 135 28" xfId="1716" xr:uid="{00000000-0005-0000-0000-00002C170000}"/>
    <cellStyle name="Porcentual 135 28 2" xfId="5377" xr:uid="{00000000-0005-0000-0000-00002D170000}"/>
    <cellStyle name="Porcentual 135 28 3" xfId="8051" xr:uid="{00000000-0005-0000-0000-00002E170000}"/>
    <cellStyle name="Porcentual 135 3" xfId="1717" xr:uid="{00000000-0005-0000-0000-00002F170000}"/>
    <cellStyle name="Porcentual 135 3 2" xfId="5378" xr:uid="{00000000-0005-0000-0000-000030170000}"/>
    <cellStyle name="Porcentual 135 3 3" xfId="8052" xr:uid="{00000000-0005-0000-0000-000031170000}"/>
    <cellStyle name="Porcentual 135 4" xfId="1718" xr:uid="{00000000-0005-0000-0000-000032170000}"/>
    <cellStyle name="Porcentual 135 4 2" xfId="5379" xr:uid="{00000000-0005-0000-0000-000033170000}"/>
    <cellStyle name="Porcentual 135 4 3" xfId="8053" xr:uid="{00000000-0005-0000-0000-000034170000}"/>
    <cellStyle name="Porcentual 135 5" xfId="1719" xr:uid="{00000000-0005-0000-0000-000035170000}"/>
    <cellStyle name="Porcentual 135 5 2" xfId="5380" xr:uid="{00000000-0005-0000-0000-000036170000}"/>
    <cellStyle name="Porcentual 135 5 3" xfId="8054" xr:uid="{00000000-0005-0000-0000-000037170000}"/>
    <cellStyle name="Porcentual 135 6" xfId="1720" xr:uid="{00000000-0005-0000-0000-000038170000}"/>
    <cellStyle name="Porcentual 135 6 2" xfId="5381" xr:uid="{00000000-0005-0000-0000-000039170000}"/>
    <cellStyle name="Porcentual 135 6 3" xfId="8055" xr:uid="{00000000-0005-0000-0000-00003A170000}"/>
    <cellStyle name="Porcentual 135 7" xfId="1721" xr:uid="{00000000-0005-0000-0000-00003B170000}"/>
    <cellStyle name="Porcentual 135 7 2" xfId="5382" xr:uid="{00000000-0005-0000-0000-00003C170000}"/>
    <cellStyle name="Porcentual 135 7 3" xfId="8056" xr:uid="{00000000-0005-0000-0000-00003D170000}"/>
    <cellStyle name="Porcentual 135 8" xfId="1722" xr:uid="{00000000-0005-0000-0000-00003E170000}"/>
    <cellStyle name="Porcentual 135 8 2" xfId="5383" xr:uid="{00000000-0005-0000-0000-00003F170000}"/>
    <cellStyle name="Porcentual 135 8 3" xfId="8057" xr:uid="{00000000-0005-0000-0000-000040170000}"/>
    <cellStyle name="Porcentual 135 9" xfId="1723" xr:uid="{00000000-0005-0000-0000-000041170000}"/>
    <cellStyle name="Porcentual 135 9 2" xfId="5384" xr:uid="{00000000-0005-0000-0000-000042170000}"/>
    <cellStyle name="Porcentual 135 9 3" xfId="8058" xr:uid="{00000000-0005-0000-0000-000043170000}"/>
    <cellStyle name="Porcentual 136 10" xfId="1724" xr:uid="{00000000-0005-0000-0000-000044170000}"/>
    <cellStyle name="Porcentual 136 10 2" xfId="5385" xr:uid="{00000000-0005-0000-0000-000045170000}"/>
    <cellStyle name="Porcentual 136 10 3" xfId="8059" xr:uid="{00000000-0005-0000-0000-000046170000}"/>
    <cellStyle name="Porcentual 136 11" xfId="1725" xr:uid="{00000000-0005-0000-0000-000047170000}"/>
    <cellStyle name="Porcentual 136 11 2" xfId="5386" xr:uid="{00000000-0005-0000-0000-000048170000}"/>
    <cellStyle name="Porcentual 136 11 3" xfId="8060" xr:uid="{00000000-0005-0000-0000-000049170000}"/>
    <cellStyle name="Porcentual 136 12" xfId="1726" xr:uid="{00000000-0005-0000-0000-00004A170000}"/>
    <cellStyle name="Porcentual 136 12 2" xfId="5387" xr:uid="{00000000-0005-0000-0000-00004B170000}"/>
    <cellStyle name="Porcentual 136 12 3" xfId="8061" xr:uid="{00000000-0005-0000-0000-00004C170000}"/>
    <cellStyle name="Porcentual 136 13" xfId="1727" xr:uid="{00000000-0005-0000-0000-00004D170000}"/>
    <cellStyle name="Porcentual 136 13 2" xfId="5388" xr:uid="{00000000-0005-0000-0000-00004E170000}"/>
    <cellStyle name="Porcentual 136 13 3" xfId="8062" xr:uid="{00000000-0005-0000-0000-00004F170000}"/>
    <cellStyle name="Porcentual 136 14" xfId="1728" xr:uid="{00000000-0005-0000-0000-000050170000}"/>
    <cellStyle name="Porcentual 136 14 2" xfId="5389" xr:uid="{00000000-0005-0000-0000-000051170000}"/>
    <cellStyle name="Porcentual 136 14 3" xfId="8063" xr:uid="{00000000-0005-0000-0000-000052170000}"/>
    <cellStyle name="Porcentual 136 15" xfId="1729" xr:uid="{00000000-0005-0000-0000-000053170000}"/>
    <cellStyle name="Porcentual 136 15 2" xfId="5390" xr:uid="{00000000-0005-0000-0000-000054170000}"/>
    <cellStyle name="Porcentual 136 15 3" xfId="8064" xr:uid="{00000000-0005-0000-0000-000055170000}"/>
    <cellStyle name="Porcentual 136 16" xfId="1730" xr:uid="{00000000-0005-0000-0000-000056170000}"/>
    <cellStyle name="Porcentual 136 16 2" xfId="5391" xr:uid="{00000000-0005-0000-0000-000057170000}"/>
    <cellStyle name="Porcentual 136 16 3" xfId="8065" xr:uid="{00000000-0005-0000-0000-000058170000}"/>
    <cellStyle name="Porcentual 136 17" xfId="1731" xr:uid="{00000000-0005-0000-0000-000059170000}"/>
    <cellStyle name="Porcentual 136 17 2" xfId="5392" xr:uid="{00000000-0005-0000-0000-00005A170000}"/>
    <cellStyle name="Porcentual 136 17 3" xfId="8066" xr:uid="{00000000-0005-0000-0000-00005B170000}"/>
    <cellStyle name="Porcentual 136 18" xfId="1732" xr:uid="{00000000-0005-0000-0000-00005C170000}"/>
    <cellStyle name="Porcentual 136 18 2" xfId="5393" xr:uid="{00000000-0005-0000-0000-00005D170000}"/>
    <cellStyle name="Porcentual 136 18 3" xfId="8067" xr:uid="{00000000-0005-0000-0000-00005E170000}"/>
    <cellStyle name="Porcentual 136 19" xfId="1733" xr:uid="{00000000-0005-0000-0000-00005F170000}"/>
    <cellStyle name="Porcentual 136 19 2" xfId="5394" xr:uid="{00000000-0005-0000-0000-000060170000}"/>
    <cellStyle name="Porcentual 136 19 3" xfId="8068" xr:uid="{00000000-0005-0000-0000-000061170000}"/>
    <cellStyle name="Porcentual 136 2" xfId="1734" xr:uid="{00000000-0005-0000-0000-000062170000}"/>
    <cellStyle name="Porcentual 136 2 2" xfId="5395" xr:uid="{00000000-0005-0000-0000-000063170000}"/>
    <cellStyle name="Porcentual 136 2 3" xfId="8069" xr:uid="{00000000-0005-0000-0000-000064170000}"/>
    <cellStyle name="Porcentual 136 20" xfId="1735" xr:uid="{00000000-0005-0000-0000-000065170000}"/>
    <cellStyle name="Porcentual 136 20 2" xfId="5396" xr:uid="{00000000-0005-0000-0000-000066170000}"/>
    <cellStyle name="Porcentual 136 20 3" xfId="8070" xr:uid="{00000000-0005-0000-0000-000067170000}"/>
    <cellStyle name="Porcentual 136 21" xfId="1736" xr:uid="{00000000-0005-0000-0000-000068170000}"/>
    <cellStyle name="Porcentual 136 21 2" xfId="5397" xr:uid="{00000000-0005-0000-0000-000069170000}"/>
    <cellStyle name="Porcentual 136 21 3" xfId="8071" xr:uid="{00000000-0005-0000-0000-00006A170000}"/>
    <cellStyle name="Porcentual 136 22" xfId="1737" xr:uid="{00000000-0005-0000-0000-00006B170000}"/>
    <cellStyle name="Porcentual 136 22 2" xfId="5398" xr:uid="{00000000-0005-0000-0000-00006C170000}"/>
    <cellStyle name="Porcentual 136 22 3" xfId="8072" xr:uid="{00000000-0005-0000-0000-00006D170000}"/>
    <cellStyle name="Porcentual 136 23" xfId="1738" xr:uid="{00000000-0005-0000-0000-00006E170000}"/>
    <cellStyle name="Porcentual 136 23 2" xfId="5399" xr:uid="{00000000-0005-0000-0000-00006F170000}"/>
    <cellStyle name="Porcentual 136 23 3" xfId="8073" xr:uid="{00000000-0005-0000-0000-000070170000}"/>
    <cellStyle name="Porcentual 136 24" xfId="1739" xr:uid="{00000000-0005-0000-0000-000071170000}"/>
    <cellStyle name="Porcentual 136 24 2" xfId="5400" xr:uid="{00000000-0005-0000-0000-000072170000}"/>
    <cellStyle name="Porcentual 136 24 3" xfId="8074" xr:uid="{00000000-0005-0000-0000-000073170000}"/>
    <cellStyle name="Porcentual 136 25" xfId="1740" xr:uid="{00000000-0005-0000-0000-000074170000}"/>
    <cellStyle name="Porcentual 136 25 2" xfId="5401" xr:uid="{00000000-0005-0000-0000-000075170000}"/>
    <cellStyle name="Porcentual 136 25 3" xfId="8075" xr:uid="{00000000-0005-0000-0000-000076170000}"/>
    <cellStyle name="Porcentual 136 26" xfId="1741" xr:uid="{00000000-0005-0000-0000-000077170000}"/>
    <cellStyle name="Porcentual 136 26 2" xfId="5402" xr:uid="{00000000-0005-0000-0000-000078170000}"/>
    <cellStyle name="Porcentual 136 26 3" xfId="8076" xr:uid="{00000000-0005-0000-0000-000079170000}"/>
    <cellStyle name="Porcentual 136 27" xfId="1742" xr:uid="{00000000-0005-0000-0000-00007A170000}"/>
    <cellStyle name="Porcentual 136 27 2" xfId="5403" xr:uid="{00000000-0005-0000-0000-00007B170000}"/>
    <cellStyle name="Porcentual 136 27 3" xfId="8077" xr:uid="{00000000-0005-0000-0000-00007C170000}"/>
    <cellStyle name="Porcentual 136 28" xfId="1743" xr:uid="{00000000-0005-0000-0000-00007D170000}"/>
    <cellStyle name="Porcentual 136 28 2" xfId="5404" xr:uid="{00000000-0005-0000-0000-00007E170000}"/>
    <cellStyle name="Porcentual 136 28 3" xfId="8078" xr:uid="{00000000-0005-0000-0000-00007F170000}"/>
    <cellStyle name="Porcentual 136 3" xfId="1744" xr:uid="{00000000-0005-0000-0000-000080170000}"/>
    <cellStyle name="Porcentual 136 3 2" xfId="5405" xr:uid="{00000000-0005-0000-0000-000081170000}"/>
    <cellStyle name="Porcentual 136 3 3" xfId="8079" xr:uid="{00000000-0005-0000-0000-000082170000}"/>
    <cellStyle name="Porcentual 136 4" xfId="1745" xr:uid="{00000000-0005-0000-0000-000083170000}"/>
    <cellStyle name="Porcentual 136 4 2" xfId="5406" xr:uid="{00000000-0005-0000-0000-000084170000}"/>
    <cellStyle name="Porcentual 136 4 3" xfId="8080" xr:uid="{00000000-0005-0000-0000-000085170000}"/>
    <cellStyle name="Porcentual 136 5" xfId="1746" xr:uid="{00000000-0005-0000-0000-000086170000}"/>
    <cellStyle name="Porcentual 136 5 2" xfId="5407" xr:uid="{00000000-0005-0000-0000-000087170000}"/>
    <cellStyle name="Porcentual 136 5 3" xfId="8081" xr:uid="{00000000-0005-0000-0000-000088170000}"/>
    <cellStyle name="Porcentual 136 6" xfId="1747" xr:uid="{00000000-0005-0000-0000-000089170000}"/>
    <cellStyle name="Porcentual 136 6 2" xfId="5408" xr:uid="{00000000-0005-0000-0000-00008A170000}"/>
    <cellStyle name="Porcentual 136 6 3" xfId="8082" xr:uid="{00000000-0005-0000-0000-00008B170000}"/>
    <cellStyle name="Porcentual 136 7" xfId="1748" xr:uid="{00000000-0005-0000-0000-00008C170000}"/>
    <cellStyle name="Porcentual 136 7 2" xfId="5409" xr:uid="{00000000-0005-0000-0000-00008D170000}"/>
    <cellStyle name="Porcentual 136 7 3" xfId="8083" xr:uid="{00000000-0005-0000-0000-00008E170000}"/>
    <cellStyle name="Porcentual 136 8" xfId="1749" xr:uid="{00000000-0005-0000-0000-00008F170000}"/>
    <cellStyle name="Porcentual 136 8 2" xfId="5410" xr:uid="{00000000-0005-0000-0000-000090170000}"/>
    <cellStyle name="Porcentual 136 8 3" xfId="8084" xr:uid="{00000000-0005-0000-0000-000091170000}"/>
    <cellStyle name="Porcentual 136 9" xfId="1750" xr:uid="{00000000-0005-0000-0000-000092170000}"/>
    <cellStyle name="Porcentual 136 9 2" xfId="5411" xr:uid="{00000000-0005-0000-0000-000093170000}"/>
    <cellStyle name="Porcentual 136 9 3" xfId="8085" xr:uid="{00000000-0005-0000-0000-000094170000}"/>
    <cellStyle name="Porcentual 137 10" xfId="1751" xr:uid="{00000000-0005-0000-0000-000095170000}"/>
    <cellStyle name="Porcentual 137 10 2" xfId="5412" xr:uid="{00000000-0005-0000-0000-000096170000}"/>
    <cellStyle name="Porcentual 137 10 3" xfId="8086" xr:uid="{00000000-0005-0000-0000-000097170000}"/>
    <cellStyle name="Porcentual 137 11" xfId="1752" xr:uid="{00000000-0005-0000-0000-000098170000}"/>
    <cellStyle name="Porcentual 137 11 2" xfId="5413" xr:uid="{00000000-0005-0000-0000-000099170000}"/>
    <cellStyle name="Porcentual 137 11 3" xfId="8087" xr:uid="{00000000-0005-0000-0000-00009A170000}"/>
    <cellStyle name="Porcentual 137 12" xfId="1753" xr:uid="{00000000-0005-0000-0000-00009B170000}"/>
    <cellStyle name="Porcentual 137 12 2" xfId="5414" xr:uid="{00000000-0005-0000-0000-00009C170000}"/>
    <cellStyle name="Porcentual 137 12 3" xfId="8088" xr:uid="{00000000-0005-0000-0000-00009D170000}"/>
    <cellStyle name="Porcentual 137 13" xfId="1754" xr:uid="{00000000-0005-0000-0000-00009E170000}"/>
    <cellStyle name="Porcentual 137 13 2" xfId="5415" xr:uid="{00000000-0005-0000-0000-00009F170000}"/>
    <cellStyle name="Porcentual 137 13 3" xfId="8089" xr:uid="{00000000-0005-0000-0000-0000A0170000}"/>
    <cellStyle name="Porcentual 137 14" xfId="1755" xr:uid="{00000000-0005-0000-0000-0000A1170000}"/>
    <cellStyle name="Porcentual 137 14 2" xfId="5416" xr:uid="{00000000-0005-0000-0000-0000A2170000}"/>
    <cellStyle name="Porcentual 137 14 3" xfId="8090" xr:uid="{00000000-0005-0000-0000-0000A3170000}"/>
    <cellStyle name="Porcentual 137 15" xfId="1756" xr:uid="{00000000-0005-0000-0000-0000A4170000}"/>
    <cellStyle name="Porcentual 137 15 2" xfId="5417" xr:uid="{00000000-0005-0000-0000-0000A5170000}"/>
    <cellStyle name="Porcentual 137 15 3" xfId="8091" xr:uid="{00000000-0005-0000-0000-0000A6170000}"/>
    <cellStyle name="Porcentual 137 16" xfId="1757" xr:uid="{00000000-0005-0000-0000-0000A7170000}"/>
    <cellStyle name="Porcentual 137 16 2" xfId="5418" xr:uid="{00000000-0005-0000-0000-0000A8170000}"/>
    <cellStyle name="Porcentual 137 16 3" xfId="8092" xr:uid="{00000000-0005-0000-0000-0000A9170000}"/>
    <cellStyle name="Porcentual 137 17" xfId="1758" xr:uid="{00000000-0005-0000-0000-0000AA170000}"/>
    <cellStyle name="Porcentual 137 17 2" xfId="5419" xr:uid="{00000000-0005-0000-0000-0000AB170000}"/>
    <cellStyle name="Porcentual 137 17 3" xfId="8093" xr:uid="{00000000-0005-0000-0000-0000AC170000}"/>
    <cellStyle name="Porcentual 137 18" xfId="1759" xr:uid="{00000000-0005-0000-0000-0000AD170000}"/>
    <cellStyle name="Porcentual 137 18 2" xfId="5420" xr:uid="{00000000-0005-0000-0000-0000AE170000}"/>
    <cellStyle name="Porcentual 137 18 3" xfId="8094" xr:uid="{00000000-0005-0000-0000-0000AF170000}"/>
    <cellStyle name="Porcentual 137 19" xfId="1760" xr:uid="{00000000-0005-0000-0000-0000B0170000}"/>
    <cellStyle name="Porcentual 137 19 2" xfId="5421" xr:uid="{00000000-0005-0000-0000-0000B1170000}"/>
    <cellStyle name="Porcentual 137 19 3" xfId="8095" xr:uid="{00000000-0005-0000-0000-0000B2170000}"/>
    <cellStyle name="Porcentual 137 2" xfId="1761" xr:uid="{00000000-0005-0000-0000-0000B3170000}"/>
    <cellStyle name="Porcentual 137 2 2" xfId="5422" xr:uid="{00000000-0005-0000-0000-0000B4170000}"/>
    <cellStyle name="Porcentual 137 2 3" xfId="8096" xr:uid="{00000000-0005-0000-0000-0000B5170000}"/>
    <cellStyle name="Porcentual 137 20" xfId="1762" xr:uid="{00000000-0005-0000-0000-0000B6170000}"/>
    <cellStyle name="Porcentual 137 20 2" xfId="5423" xr:uid="{00000000-0005-0000-0000-0000B7170000}"/>
    <cellStyle name="Porcentual 137 20 3" xfId="8097" xr:uid="{00000000-0005-0000-0000-0000B8170000}"/>
    <cellStyle name="Porcentual 137 21" xfId="1763" xr:uid="{00000000-0005-0000-0000-0000B9170000}"/>
    <cellStyle name="Porcentual 137 21 2" xfId="5424" xr:uid="{00000000-0005-0000-0000-0000BA170000}"/>
    <cellStyle name="Porcentual 137 21 3" xfId="8098" xr:uid="{00000000-0005-0000-0000-0000BB170000}"/>
    <cellStyle name="Porcentual 137 22" xfId="1764" xr:uid="{00000000-0005-0000-0000-0000BC170000}"/>
    <cellStyle name="Porcentual 137 22 2" xfId="5425" xr:uid="{00000000-0005-0000-0000-0000BD170000}"/>
    <cellStyle name="Porcentual 137 22 3" xfId="8099" xr:uid="{00000000-0005-0000-0000-0000BE170000}"/>
    <cellStyle name="Porcentual 137 23" xfId="1765" xr:uid="{00000000-0005-0000-0000-0000BF170000}"/>
    <cellStyle name="Porcentual 137 23 2" xfId="5426" xr:uid="{00000000-0005-0000-0000-0000C0170000}"/>
    <cellStyle name="Porcentual 137 23 3" xfId="8100" xr:uid="{00000000-0005-0000-0000-0000C1170000}"/>
    <cellStyle name="Porcentual 137 24" xfId="1766" xr:uid="{00000000-0005-0000-0000-0000C2170000}"/>
    <cellStyle name="Porcentual 137 24 2" xfId="5427" xr:uid="{00000000-0005-0000-0000-0000C3170000}"/>
    <cellStyle name="Porcentual 137 24 3" xfId="8101" xr:uid="{00000000-0005-0000-0000-0000C4170000}"/>
    <cellStyle name="Porcentual 137 25" xfId="1767" xr:uid="{00000000-0005-0000-0000-0000C5170000}"/>
    <cellStyle name="Porcentual 137 25 2" xfId="5428" xr:uid="{00000000-0005-0000-0000-0000C6170000}"/>
    <cellStyle name="Porcentual 137 25 3" xfId="8102" xr:uid="{00000000-0005-0000-0000-0000C7170000}"/>
    <cellStyle name="Porcentual 137 26" xfId="1768" xr:uid="{00000000-0005-0000-0000-0000C8170000}"/>
    <cellStyle name="Porcentual 137 26 2" xfId="5429" xr:uid="{00000000-0005-0000-0000-0000C9170000}"/>
    <cellStyle name="Porcentual 137 26 3" xfId="8103" xr:uid="{00000000-0005-0000-0000-0000CA170000}"/>
    <cellStyle name="Porcentual 137 27" xfId="1769" xr:uid="{00000000-0005-0000-0000-0000CB170000}"/>
    <cellStyle name="Porcentual 137 27 2" xfId="5430" xr:uid="{00000000-0005-0000-0000-0000CC170000}"/>
    <cellStyle name="Porcentual 137 27 3" xfId="8104" xr:uid="{00000000-0005-0000-0000-0000CD170000}"/>
    <cellStyle name="Porcentual 137 28" xfId="1770" xr:uid="{00000000-0005-0000-0000-0000CE170000}"/>
    <cellStyle name="Porcentual 137 28 2" xfId="5431" xr:uid="{00000000-0005-0000-0000-0000CF170000}"/>
    <cellStyle name="Porcentual 137 28 3" xfId="8105" xr:uid="{00000000-0005-0000-0000-0000D0170000}"/>
    <cellStyle name="Porcentual 137 3" xfId="1771" xr:uid="{00000000-0005-0000-0000-0000D1170000}"/>
    <cellStyle name="Porcentual 137 3 2" xfId="5432" xr:uid="{00000000-0005-0000-0000-0000D2170000}"/>
    <cellStyle name="Porcentual 137 3 3" xfId="8106" xr:uid="{00000000-0005-0000-0000-0000D3170000}"/>
    <cellStyle name="Porcentual 137 4" xfId="1772" xr:uid="{00000000-0005-0000-0000-0000D4170000}"/>
    <cellStyle name="Porcentual 137 4 2" xfId="5433" xr:uid="{00000000-0005-0000-0000-0000D5170000}"/>
    <cellStyle name="Porcentual 137 4 3" xfId="8107" xr:uid="{00000000-0005-0000-0000-0000D6170000}"/>
    <cellStyle name="Porcentual 137 5" xfId="1773" xr:uid="{00000000-0005-0000-0000-0000D7170000}"/>
    <cellStyle name="Porcentual 137 5 2" xfId="5434" xr:uid="{00000000-0005-0000-0000-0000D8170000}"/>
    <cellStyle name="Porcentual 137 5 3" xfId="8108" xr:uid="{00000000-0005-0000-0000-0000D9170000}"/>
    <cellStyle name="Porcentual 137 6" xfId="1774" xr:uid="{00000000-0005-0000-0000-0000DA170000}"/>
    <cellStyle name="Porcentual 137 6 2" xfId="5435" xr:uid="{00000000-0005-0000-0000-0000DB170000}"/>
    <cellStyle name="Porcentual 137 6 3" xfId="8109" xr:uid="{00000000-0005-0000-0000-0000DC170000}"/>
    <cellStyle name="Porcentual 137 7" xfId="1775" xr:uid="{00000000-0005-0000-0000-0000DD170000}"/>
    <cellStyle name="Porcentual 137 7 2" xfId="5436" xr:uid="{00000000-0005-0000-0000-0000DE170000}"/>
    <cellStyle name="Porcentual 137 7 3" xfId="8110" xr:uid="{00000000-0005-0000-0000-0000DF170000}"/>
    <cellStyle name="Porcentual 137 8" xfId="1776" xr:uid="{00000000-0005-0000-0000-0000E0170000}"/>
    <cellStyle name="Porcentual 137 8 2" xfId="5437" xr:uid="{00000000-0005-0000-0000-0000E1170000}"/>
    <cellStyle name="Porcentual 137 8 3" xfId="8111" xr:uid="{00000000-0005-0000-0000-0000E2170000}"/>
    <cellStyle name="Porcentual 137 9" xfId="1777" xr:uid="{00000000-0005-0000-0000-0000E3170000}"/>
    <cellStyle name="Porcentual 137 9 2" xfId="5438" xr:uid="{00000000-0005-0000-0000-0000E4170000}"/>
    <cellStyle name="Porcentual 137 9 3" xfId="8112" xr:uid="{00000000-0005-0000-0000-0000E5170000}"/>
    <cellStyle name="Porcentual 138 10" xfId="1778" xr:uid="{00000000-0005-0000-0000-0000E6170000}"/>
    <cellStyle name="Porcentual 138 10 2" xfId="5439" xr:uid="{00000000-0005-0000-0000-0000E7170000}"/>
    <cellStyle name="Porcentual 138 10 3" xfId="8113" xr:uid="{00000000-0005-0000-0000-0000E8170000}"/>
    <cellStyle name="Porcentual 138 11" xfId="1779" xr:uid="{00000000-0005-0000-0000-0000E9170000}"/>
    <cellStyle name="Porcentual 138 11 2" xfId="5440" xr:uid="{00000000-0005-0000-0000-0000EA170000}"/>
    <cellStyle name="Porcentual 138 11 3" xfId="8114" xr:uid="{00000000-0005-0000-0000-0000EB170000}"/>
    <cellStyle name="Porcentual 138 12" xfId="1780" xr:uid="{00000000-0005-0000-0000-0000EC170000}"/>
    <cellStyle name="Porcentual 138 12 2" xfId="5441" xr:uid="{00000000-0005-0000-0000-0000ED170000}"/>
    <cellStyle name="Porcentual 138 12 3" xfId="8115" xr:uid="{00000000-0005-0000-0000-0000EE170000}"/>
    <cellStyle name="Porcentual 138 13" xfId="1781" xr:uid="{00000000-0005-0000-0000-0000EF170000}"/>
    <cellStyle name="Porcentual 138 13 2" xfId="5442" xr:uid="{00000000-0005-0000-0000-0000F0170000}"/>
    <cellStyle name="Porcentual 138 13 3" xfId="8116" xr:uid="{00000000-0005-0000-0000-0000F1170000}"/>
    <cellStyle name="Porcentual 138 14" xfId="1782" xr:uid="{00000000-0005-0000-0000-0000F2170000}"/>
    <cellStyle name="Porcentual 138 14 2" xfId="5443" xr:uid="{00000000-0005-0000-0000-0000F3170000}"/>
    <cellStyle name="Porcentual 138 14 3" xfId="8117" xr:uid="{00000000-0005-0000-0000-0000F4170000}"/>
    <cellStyle name="Porcentual 138 15" xfId="1783" xr:uid="{00000000-0005-0000-0000-0000F5170000}"/>
    <cellStyle name="Porcentual 138 15 2" xfId="5444" xr:uid="{00000000-0005-0000-0000-0000F6170000}"/>
    <cellStyle name="Porcentual 138 15 3" xfId="8118" xr:uid="{00000000-0005-0000-0000-0000F7170000}"/>
    <cellStyle name="Porcentual 138 16" xfId="1784" xr:uid="{00000000-0005-0000-0000-0000F8170000}"/>
    <cellStyle name="Porcentual 138 16 2" xfId="5445" xr:uid="{00000000-0005-0000-0000-0000F9170000}"/>
    <cellStyle name="Porcentual 138 16 3" xfId="8119" xr:uid="{00000000-0005-0000-0000-0000FA170000}"/>
    <cellStyle name="Porcentual 138 17" xfId="1785" xr:uid="{00000000-0005-0000-0000-0000FB170000}"/>
    <cellStyle name="Porcentual 138 17 2" xfId="5446" xr:uid="{00000000-0005-0000-0000-0000FC170000}"/>
    <cellStyle name="Porcentual 138 17 3" xfId="8120" xr:uid="{00000000-0005-0000-0000-0000FD170000}"/>
    <cellStyle name="Porcentual 138 18" xfId="1786" xr:uid="{00000000-0005-0000-0000-0000FE170000}"/>
    <cellStyle name="Porcentual 138 18 2" xfId="5447" xr:uid="{00000000-0005-0000-0000-0000FF170000}"/>
    <cellStyle name="Porcentual 138 18 3" xfId="8121" xr:uid="{00000000-0005-0000-0000-000000180000}"/>
    <cellStyle name="Porcentual 138 19" xfId="1787" xr:uid="{00000000-0005-0000-0000-000001180000}"/>
    <cellStyle name="Porcentual 138 19 2" xfId="5448" xr:uid="{00000000-0005-0000-0000-000002180000}"/>
    <cellStyle name="Porcentual 138 19 3" xfId="8122" xr:uid="{00000000-0005-0000-0000-000003180000}"/>
    <cellStyle name="Porcentual 138 2" xfId="1788" xr:uid="{00000000-0005-0000-0000-000004180000}"/>
    <cellStyle name="Porcentual 138 2 2" xfId="5449" xr:uid="{00000000-0005-0000-0000-000005180000}"/>
    <cellStyle name="Porcentual 138 2 3" xfId="8123" xr:uid="{00000000-0005-0000-0000-000006180000}"/>
    <cellStyle name="Porcentual 138 20" xfId="1789" xr:uid="{00000000-0005-0000-0000-000007180000}"/>
    <cellStyle name="Porcentual 138 20 2" xfId="5450" xr:uid="{00000000-0005-0000-0000-000008180000}"/>
    <cellStyle name="Porcentual 138 20 3" xfId="8124" xr:uid="{00000000-0005-0000-0000-000009180000}"/>
    <cellStyle name="Porcentual 138 21" xfId="1790" xr:uid="{00000000-0005-0000-0000-00000A180000}"/>
    <cellStyle name="Porcentual 138 21 2" xfId="5451" xr:uid="{00000000-0005-0000-0000-00000B180000}"/>
    <cellStyle name="Porcentual 138 21 3" xfId="8125" xr:uid="{00000000-0005-0000-0000-00000C180000}"/>
    <cellStyle name="Porcentual 138 22" xfId="1791" xr:uid="{00000000-0005-0000-0000-00000D180000}"/>
    <cellStyle name="Porcentual 138 22 2" xfId="5452" xr:uid="{00000000-0005-0000-0000-00000E180000}"/>
    <cellStyle name="Porcentual 138 22 3" xfId="8126" xr:uid="{00000000-0005-0000-0000-00000F180000}"/>
    <cellStyle name="Porcentual 138 23" xfId="1792" xr:uid="{00000000-0005-0000-0000-000010180000}"/>
    <cellStyle name="Porcentual 138 23 2" xfId="5453" xr:uid="{00000000-0005-0000-0000-000011180000}"/>
    <cellStyle name="Porcentual 138 23 3" xfId="8127" xr:uid="{00000000-0005-0000-0000-000012180000}"/>
    <cellStyle name="Porcentual 138 24" xfId="1793" xr:uid="{00000000-0005-0000-0000-000013180000}"/>
    <cellStyle name="Porcentual 138 24 2" xfId="5454" xr:uid="{00000000-0005-0000-0000-000014180000}"/>
    <cellStyle name="Porcentual 138 24 3" xfId="8128" xr:uid="{00000000-0005-0000-0000-000015180000}"/>
    <cellStyle name="Porcentual 138 25" xfId="1794" xr:uid="{00000000-0005-0000-0000-000016180000}"/>
    <cellStyle name="Porcentual 138 25 2" xfId="5455" xr:uid="{00000000-0005-0000-0000-000017180000}"/>
    <cellStyle name="Porcentual 138 25 3" xfId="8129" xr:uid="{00000000-0005-0000-0000-000018180000}"/>
    <cellStyle name="Porcentual 138 26" xfId="1795" xr:uid="{00000000-0005-0000-0000-000019180000}"/>
    <cellStyle name="Porcentual 138 26 2" xfId="5456" xr:uid="{00000000-0005-0000-0000-00001A180000}"/>
    <cellStyle name="Porcentual 138 26 3" xfId="8130" xr:uid="{00000000-0005-0000-0000-00001B180000}"/>
    <cellStyle name="Porcentual 138 27" xfId="1796" xr:uid="{00000000-0005-0000-0000-00001C180000}"/>
    <cellStyle name="Porcentual 138 27 2" xfId="5457" xr:uid="{00000000-0005-0000-0000-00001D180000}"/>
    <cellStyle name="Porcentual 138 27 3" xfId="8131" xr:uid="{00000000-0005-0000-0000-00001E180000}"/>
    <cellStyle name="Porcentual 138 28" xfId="1797" xr:uid="{00000000-0005-0000-0000-00001F180000}"/>
    <cellStyle name="Porcentual 138 28 2" xfId="5458" xr:uid="{00000000-0005-0000-0000-000020180000}"/>
    <cellStyle name="Porcentual 138 28 3" xfId="8132" xr:uid="{00000000-0005-0000-0000-000021180000}"/>
    <cellStyle name="Porcentual 138 3" xfId="1798" xr:uid="{00000000-0005-0000-0000-000022180000}"/>
    <cellStyle name="Porcentual 138 3 2" xfId="5459" xr:uid="{00000000-0005-0000-0000-000023180000}"/>
    <cellStyle name="Porcentual 138 3 3" xfId="8133" xr:uid="{00000000-0005-0000-0000-000024180000}"/>
    <cellStyle name="Porcentual 138 4" xfId="1799" xr:uid="{00000000-0005-0000-0000-000025180000}"/>
    <cellStyle name="Porcentual 138 4 2" xfId="5460" xr:uid="{00000000-0005-0000-0000-000026180000}"/>
    <cellStyle name="Porcentual 138 4 3" xfId="8134" xr:uid="{00000000-0005-0000-0000-000027180000}"/>
    <cellStyle name="Porcentual 138 5" xfId="1800" xr:uid="{00000000-0005-0000-0000-000028180000}"/>
    <cellStyle name="Porcentual 138 5 2" xfId="5461" xr:uid="{00000000-0005-0000-0000-000029180000}"/>
    <cellStyle name="Porcentual 138 5 3" xfId="8135" xr:uid="{00000000-0005-0000-0000-00002A180000}"/>
    <cellStyle name="Porcentual 138 6" xfId="1801" xr:uid="{00000000-0005-0000-0000-00002B180000}"/>
    <cellStyle name="Porcentual 138 6 2" xfId="5462" xr:uid="{00000000-0005-0000-0000-00002C180000}"/>
    <cellStyle name="Porcentual 138 6 3" xfId="8136" xr:uid="{00000000-0005-0000-0000-00002D180000}"/>
    <cellStyle name="Porcentual 138 7" xfId="1802" xr:uid="{00000000-0005-0000-0000-00002E180000}"/>
    <cellStyle name="Porcentual 138 7 2" xfId="5463" xr:uid="{00000000-0005-0000-0000-00002F180000}"/>
    <cellStyle name="Porcentual 138 7 3" xfId="8137" xr:uid="{00000000-0005-0000-0000-000030180000}"/>
    <cellStyle name="Porcentual 138 8" xfId="1803" xr:uid="{00000000-0005-0000-0000-000031180000}"/>
    <cellStyle name="Porcentual 138 8 2" xfId="5464" xr:uid="{00000000-0005-0000-0000-000032180000}"/>
    <cellStyle name="Porcentual 138 8 3" xfId="8138" xr:uid="{00000000-0005-0000-0000-000033180000}"/>
    <cellStyle name="Porcentual 138 9" xfId="1804" xr:uid="{00000000-0005-0000-0000-000034180000}"/>
    <cellStyle name="Porcentual 138 9 2" xfId="5465" xr:uid="{00000000-0005-0000-0000-000035180000}"/>
    <cellStyle name="Porcentual 138 9 3" xfId="8139" xr:uid="{00000000-0005-0000-0000-000036180000}"/>
    <cellStyle name="Porcentual 139 10" xfId="1805" xr:uid="{00000000-0005-0000-0000-000037180000}"/>
    <cellStyle name="Porcentual 139 10 2" xfId="5466" xr:uid="{00000000-0005-0000-0000-000038180000}"/>
    <cellStyle name="Porcentual 139 10 3" xfId="8140" xr:uid="{00000000-0005-0000-0000-000039180000}"/>
    <cellStyle name="Porcentual 139 11" xfId="1806" xr:uid="{00000000-0005-0000-0000-00003A180000}"/>
    <cellStyle name="Porcentual 139 11 2" xfId="5467" xr:uid="{00000000-0005-0000-0000-00003B180000}"/>
    <cellStyle name="Porcentual 139 11 3" xfId="8141" xr:uid="{00000000-0005-0000-0000-00003C180000}"/>
    <cellStyle name="Porcentual 139 12" xfId="1807" xr:uid="{00000000-0005-0000-0000-00003D180000}"/>
    <cellStyle name="Porcentual 139 12 2" xfId="5468" xr:uid="{00000000-0005-0000-0000-00003E180000}"/>
    <cellStyle name="Porcentual 139 12 3" xfId="8142" xr:uid="{00000000-0005-0000-0000-00003F180000}"/>
    <cellStyle name="Porcentual 139 13" xfId="1808" xr:uid="{00000000-0005-0000-0000-000040180000}"/>
    <cellStyle name="Porcentual 139 13 2" xfId="5469" xr:uid="{00000000-0005-0000-0000-000041180000}"/>
    <cellStyle name="Porcentual 139 13 3" xfId="8143" xr:uid="{00000000-0005-0000-0000-000042180000}"/>
    <cellStyle name="Porcentual 139 14" xfId="1809" xr:uid="{00000000-0005-0000-0000-000043180000}"/>
    <cellStyle name="Porcentual 139 14 2" xfId="5470" xr:uid="{00000000-0005-0000-0000-000044180000}"/>
    <cellStyle name="Porcentual 139 14 3" xfId="8144" xr:uid="{00000000-0005-0000-0000-000045180000}"/>
    <cellStyle name="Porcentual 139 15" xfId="1810" xr:uid="{00000000-0005-0000-0000-000046180000}"/>
    <cellStyle name="Porcentual 139 15 2" xfId="5471" xr:uid="{00000000-0005-0000-0000-000047180000}"/>
    <cellStyle name="Porcentual 139 15 3" xfId="8145" xr:uid="{00000000-0005-0000-0000-000048180000}"/>
    <cellStyle name="Porcentual 139 16" xfId="1811" xr:uid="{00000000-0005-0000-0000-000049180000}"/>
    <cellStyle name="Porcentual 139 16 2" xfId="5472" xr:uid="{00000000-0005-0000-0000-00004A180000}"/>
    <cellStyle name="Porcentual 139 16 3" xfId="8146" xr:uid="{00000000-0005-0000-0000-00004B180000}"/>
    <cellStyle name="Porcentual 139 17" xfId="1812" xr:uid="{00000000-0005-0000-0000-00004C180000}"/>
    <cellStyle name="Porcentual 139 17 2" xfId="5473" xr:uid="{00000000-0005-0000-0000-00004D180000}"/>
    <cellStyle name="Porcentual 139 17 3" xfId="8147" xr:uid="{00000000-0005-0000-0000-00004E180000}"/>
    <cellStyle name="Porcentual 139 18" xfId="1813" xr:uid="{00000000-0005-0000-0000-00004F180000}"/>
    <cellStyle name="Porcentual 139 18 2" xfId="5474" xr:uid="{00000000-0005-0000-0000-000050180000}"/>
    <cellStyle name="Porcentual 139 18 3" xfId="8148" xr:uid="{00000000-0005-0000-0000-000051180000}"/>
    <cellStyle name="Porcentual 139 19" xfId="1814" xr:uid="{00000000-0005-0000-0000-000052180000}"/>
    <cellStyle name="Porcentual 139 19 2" xfId="5475" xr:uid="{00000000-0005-0000-0000-000053180000}"/>
    <cellStyle name="Porcentual 139 19 3" xfId="8149" xr:uid="{00000000-0005-0000-0000-000054180000}"/>
    <cellStyle name="Porcentual 139 2" xfId="1815" xr:uid="{00000000-0005-0000-0000-000055180000}"/>
    <cellStyle name="Porcentual 139 2 2" xfId="5476" xr:uid="{00000000-0005-0000-0000-000056180000}"/>
    <cellStyle name="Porcentual 139 2 3" xfId="8150" xr:uid="{00000000-0005-0000-0000-000057180000}"/>
    <cellStyle name="Porcentual 139 20" xfId="1816" xr:uid="{00000000-0005-0000-0000-000058180000}"/>
    <cellStyle name="Porcentual 139 20 2" xfId="5477" xr:uid="{00000000-0005-0000-0000-000059180000}"/>
    <cellStyle name="Porcentual 139 20 3" xfId="8151" xr:uid="{00000000-0005-0000-0000-00005A180000}"/>
    <cellStyle name="Porcentual 139 21" xfId="1817" xr:uid="{00000000-0005-0000-0000-00005B180000}"/>
    <cellStyle name="Porcentual 139 21 2" xfId="5478" xr:uid="{00000000-0005-0000-0000-00005C180000}"/>
    <cellStyle name="Porcentual 139 21 3" xfId="8152" xr:uid="{00000000-0005-0000-0000-00005D180000}"/>
    <cellStyle name="Porcentual 139 22" xfId="1818" xr:uid="{00000000-0005-0000-0000-00005E180000}"/>
    <cellStyle name="Porcentual 139 22 2" xfId="5479" xr:uid="{00000000-0005-0000-0000-00005F180000}"/>
    <cellStyle name="Porcentual 139 22 3" xfId="8153" xr:uid="{00000000-0005-0000-0000-000060180000}"/>
    <cellStyle name="Porcentual 139 23" xfId="1819" xr:uid="{00000000-0005-0000-0000-000061180000}"/>
    <cellStyle name="Porcentual 139 23 2" xfId="5480" xr:uid="{00000000-0005-0000-0000-000062180000}"/>
    <cellStyle name="Porcentual 139 23 3" xfId="8154" xr:uid="{00000000-0005-0000-0000-000063180000}"/>
    <cellStyle name="Porcentual 139 24" xfId="1820" xr:uid="{00000000-0005-0000-0000-000064180000}"/>
    <cellStyle name="Porcentual 139 24 2" xfId="5481" xr:uid="{00000000-0005-0000-0000-000065180000}"/>
    <cellStyle name="Porcentual 139 24 3" xfId="8155" xr:uid="{00000000-0005-0000-0000-000066180000}"/>
    <cellStyle name="Porcentual 139 25" xfId="1821" xr:uid="{00000000-0005-0000-0000-000067180000}"/>
    <cellStyle name="Porcentual 139 25 2" xfId="5482" xr:uid="{00000000-0005-0000-0000-000068180000}"/>
    <cellStyle name="Porcentual 139 25 3" xfId="8156" xr:uid="{00000000-0005-0000-0000-000069180000}"/>
    <cellStyle name="Porcentual 139 26" xfId="1822" xr:uid="{00000000-0005-0000-0000-00006A180000}"/>
    <cellStyle name="Porcentual 139 26 2" xfId="5483" xr:uid="{00000000-0005-0000-0000-00006B180000}"/>
    <cellStyle name="Porcentual 139 26 3" xfId="8157" xr:uid="{00000000-0005-0000-0000-00006C180000}"/>
    <cellStyle name="Porcentual 139 27" xfId="1823" xr:uid="{00000000-0005-0000-0000-00006D180000}"/>
    <cellStyle name="Porcentual 139 27 2" xfId="5484" xr:uid="{00000000-0005-0000-0000-00006E180000}"/>
    <cellStyle name="Porcentual 139 27 3" xfId="8158" xr:uid="{00000000-0005-0000-0000-00006F180000}"/>
    <cellStyle name="Porcentual 139 28" xfId="1824" xr:uid="{00000000-0005-0000-0000-000070180000}"/>
    <cellStyle name="Porcentual 139 28 2" xfId="5485" xr:uid="{00000000-0005-0000-0000-000071180000}"/>
    <cellStyle name="Porcentual 139 28 3" xfId="8159" xr:uid="{00000000-0005-0000-0000-000072180000}"/>
    <cellStyle name="Porcentual 139 3" xfId="1825" xr:uid="{00000000-0005-0000-0000-000073180000}"/>
    <cellStyle name="Porcentual 139 3 2" xfId="5486" xr:uid="{00000000-0005-0000-0000-000074180000}"/>
    <cellStyle name="Porcentual 139 3 3" xfId="8160" xr:uid="{00000000-0005-0000-0000-000075180000}"/>
    <cellStyle name="Porcentual 139 4" xfId="1826" xr:uid="{00000000-0005-0000-0000-000076180000}"/>
    <cellStyle name="Porcentual 139 4 2" xfId="5487" xr:uid="{00000000-0005-0000-0000-000077180000}"/>
    <cellStyle name="Porcentual 139 4 3" xfId="8161" xr:uid="{00000000-0005-0000-0000-000078180000}"/>
    <cellStyle name="Porcentual 139 5" xfId="1827" xr:uid="{00000000-0005-0000-0000-000079180000}"/>
    <cellStyle name="Porcentual 139 5 2" xfId="5488" xr:uid="{00000000-0005-0000-0000-00007A180000}"/>
    <cellStyle name="Porcentual 139 5 3" xfId="8162" xr:uid="{00000000-0005-0000-0000-00007B180000}"/>
    <cellStyle name="Porcentual 139 6" xfId="1828" xr:uid="{00000000-0005-0000-0000-00007C180000}"/>
    <cellStyle name="Porcentual 139 6 2" xfId="5489" xr:uid="{00000000-0005-0000-0000-00007D180000}"/>
    <cellStyle name="Porcentual 139 6 3" xfId="8163" xr:uid="{00000000-0005-0000-0000-00007E180000}"/>
    <cellStyle name="Porcentual 139 7" xfId="1829" xr:uid="{00000000-0005-0000-0000-00007F180000}"/>
    <cellStyle name="Porcentual 139 7 2" xfId="5490" xr:uid="{00000000-0005-0000-0000-000080180000}"/>
    <cellStyle name="Porcentual 139 7 3" xfId="8164" xr:uid="{00000000-0005-0000-0000-000081180000}"/>
    <cellStyle name="Porcentual 139 8" xfId="1830" xr:uid="{00000000-0005-0000-0000-000082180000}"/>
    <cellStyle name="Porcentual 139 8 2" xfId="5491" xr:uid="{00000000-0005-0000-0000-000083180000}"/>
    <cellStyle name="Porcentual 139 8 3" xfId="8165" xr:uid="{00000000-0005-0000-0000-000084180000}"/>
    <cellStyle name="Porcentual 139 9" xfId="1831" xr:uid="{00000000-0005-0000-0000-000085180000}"/>
    <cellStyle name="Porcentual 139 9 2" xfId="5492" xr:uid="{00000000-0005-0000-0000-000086180000}"/>
    <cellStyle name="Porcentual 139 9 3" xfId="8166" xr:uid="{00000000-0005-0000-0000-000087180000}"/>
    <cellStyle name="Porcentual 140 10" xfId="1832" xr:uid="{00000000-0005-0000-0000-000088180000}"/>
    <cellStyle name="Porcentual 140 10 2" xfId="5493" xr:uid="{00000000-0005-0000-0000-000089180000}"/>
    <cellStyle name="Porcentual 140 10 3" xfId="8167" xr:uid="{00000000-0005-0000-0000-00008A180000}"/>
    <cellStyle name="Porcentual 140 11" xfId="1833" xr:uid="{00000000-0005-0000-0000-00008B180000}"/>
    <cellStyle name="Porcentual 140 11 2" xfId="5494" xr:uid="{00000000-0005-0000-0000-00008C180000}"/>
    <cellStyle name="Porcentual 140 11 3" xfId="8168" xr:uid="{00000000-0005-0000-0000-00008D180000}"/>
    <cellStyle name="Porcentual 140 12" xfId="1834" xr:uid="{00000000-0005-0000-0000-00008E180000}"/>
    <cellStyle name="Porcentual 140 12 2" xfId="5495" xr:uid="{00000000-0005-0000-0000-00008F180000}"/>
    <cellStyle name="Porcentual 140 12 3" xfId="8169" xr:uid="{00000000-0005-0000-0000-000090180000}"/>
    <cellStyle name="Porcentual 140 13" xfId="1835" xr:uid="{00000000-0005-0000-0000-000091180000}"/>
    <cellStyle name="Porcentual 140 13 2" xfId="5496" xr:uid="{00000000-0005-0000-0000-000092180000}"/>
    <cellStyle name="Porcentual 140 13 3" xfId="8170" xr:uid="{00000000-0005-0000-0000-000093180000}"/>
    <cellStyle name="Porcentual 140 14" xfId="1836" xr:uid="{00000000-0005-0000-0000-000094180000}"/>
    <cellStyle name="Porcentual 140 14 2" xfId="5497" xr:uid="{00000000-0005-0000-0000-000095180000}"/>
    <cellStyle name="Porcentual 140 14 3" xfId="8171" xr:uid="{00000000-0005-0000-0000-000096180000}"/>
    <cellStyle name="Porcentual 140 15" xfId="1837" xr:uid="{00000000-0005-0000-0000-000097180000}"/>
    <cellStyle name="Porcentual 140 15 2" xfId="5498" xr:uid="{00000000-0005-0000-0000-000098180000}"/>
    <cellStyle name="Porcentual 140 15 3" xfId="8172" xr:uid="{00000000-0005-0000-0000-000099180000}"/>
    <cellStyle name="Porcentual 140 16" xfId="1838" xr:uid="{00000000-0005-0000-0000-00009A180000}"/>
    <cellStyle name="Porcentual 140 16 2" xfId="5499" xr:uid="{00000000-0005-0000-0000-00009B180000}"/>
    <cellStyle name="Porcentual 140 16 3" xfId="8173" xr:uid="{00000000-0005-0000-0000-00009C180000}"/>
    <cellStyle name="Porcentual 140 17" xfId="1839" xr:uid="{00000000-0005-0000-0000-00009D180000}"/>
    <cellStyle name="Porcentual 140 17 2" xfId="5500" xr:uid="{00000000-0005-0000-0000-00009E180000}"/>
    <cellStyle name="Porcentual 140 17 3" xfId="8174" xr:uid="{00000000-0005-0000-0000-00009F180000}"/>
    <cellStyle name="Porcentual 140 18" xfId="1840" xr:uid="{00000000-0005-0000-0000-0000A0180000}"/>
    <cellStyle name="Porcentual 140 18 2" xfId="5501" xr:uid="{00000000-0005-0000-0000-0000A1180000}"/>
    <cellStyle name="Porcentual 140 18 3" xfId="8175" xr:uid="{00000000-0005-0000-0000-0000A2180000}"/>
    <cellStyle name="Porcentual 140 19" xfId="1841" xr:uid="{00000000-0005-0000-0000-0000A3180000}"/>
    <cellStyle name="Porcentual 140 19 2" xfId="5502" xr:uid="{00000000-0005-0000-0000-0000A4180000}"/>
    <cellStyle name="Porcentual 140 19 3" xfId="8176" xr:uid="{00000000-0005-0000-0000-0000A5180000}"/>
    <cellStyle name="Porcentual 140 2" xfId="1842" xr:uid="{00000000-0005-0000-0000-0000A6180000}"/>
    <cellStyle name="Porcentual 140 2 2" xfId="5503" xr:uid="{00000000-0005-0000-0000-0000A7180000}"/>
    <cellStyle name="Porcentual 140 2 3" xfId="8177" xr:uid="{00000000-0005-0000-0000-0000A8180000}"/>
    <cellStyle name="Porcentual 140 20" xfId="1843" xr:uid="{00000000-0005-0000-0000-0000A9180000}"/>
    <cellStyle name="Porcentual 140 20 2" xfId="5504" xr:uid="{00000000-0005-0000-0000-0000AA180000}"/>
    <cellStyle name="Porcentual 140 20 3" xfId="8178" xr:uid="{00000000-0005-0000-0000-0000AB180000}"/>
    <cellStyle name="Porcentual 140 21" xfId="1844" xr:uid="{00000000-0005-0000-0000-0000AC180000}"/>
    <cellStyle name="Porcentual 140 21 2" xfId="5505" xr:uid="{00000000-0005-0000-0000-0000AD180000}"/>
    <cellStyle name="Porcentual 140 21 3" xfId="8179" xr:uid="{00000000-0005-0000-0000-0000AE180000}"/>
    <cellStyle name="Porcentual 140 22" xfId="1845" xr:uid="{00000000-0005-0000-0000-0000AF180000}"/>
    <cellStyle name="Porcentual 140 22 2" xfId="5506" xr:uid="{00000000-0005-0000-0000-0000B0180000}"/>
    <cellStyle name="Porcentual 140 22 3" xfId="8180" xr:uid="{00000000-0005-0000-0000-0000B1180000}"/>
    <cellStyle name="Porcentual 140 23" xfId="1846" xr:uid="{00000000-0005-0000-0000-0000B2180000}"/>
    <cellStyle name="Porcentual 140 23 2" xfId="5507" xr:uid="{00000000-0005-0000-0000-0000B3180000}"/>
    <cellStyle name="Porcentual 140 23 3" xfId="8181" xr:uid="{00000000-0005-0000-0000-0000B4180000}"/>
    <cellStyle name="Porcentual 140 24" xfId="1847" xr:uid="{00000000-0005-0000-0000-0000B5180000}"/>
    <cellStyle name="Porcentual 140 24 2" xfId="5508" xr:uid="{00000000-0005-0000-0000-0000B6180000}"/>
    <cellStyle name="Porcentual 140 24 3" xfId="8182" xr:uid="{00000000-0005-0000-0000-0000B7180000}"/>
    <cellStyle name="Porcentual 140 25" xfId="1848" xr:uid="{00000000-0005-0000-0000-0000B8180000}"/>
    <cellStyle name="Porcentual 140 25 2" xfId="5509" xr:uid="{00000000-0005-0000-0000-0000B9180000}"/>
    <cellStyle name="Porcentual 140 25 3" xfId="8183" xr:uid="{00000000-0005-0000-0000-0000BA180000}"/>
    <cellStyle name="Porcentual 140 26" xfId="1849" xr:uid="{00000000-0005-0000-0000-0000BB180000}"/>
    <cellStyle name="Porcentual 140 26 2" xfId="5510" xr:uid="{00000000-0005-0000-0000-0000BC180000}"/>
    <cellStyle name="Porcentual 140 26 3" xfId="8184" xr:uid="{00000000-0005-0000-0000-0000BD180000}"/>
    <cellStyle name="Porcentual 140 27" xfId="1850" xr:uid="{00000000-0005-0000-0000-0000BE180000}"/>
    <cellStyle name="Porcentual 140 27 2" xfId="5511" xr:uid="{00000000-0005-0000-0000-0000BF180000}"/>
    <cellStyle name="Porcentual 140 27 3" xfId="8185" xr:uid="{00000000-0005-0000-0000-0000C0180000}"/>
    <cellStyle name="Porcentual 140 28" xfId="1851" xr:uid="{00000000-0005-0000-0000-0000C1180000}"/>
    <cellStyle name="Porcentual 140 28 2" xfId="5512" xr:uid="{00000000-0005-0000-0000-0000C2180000}"/>
    <cellStyle name="Porcentual 140 28 3" xfId="8186" xr:uid="{00000000-0005-0000-0000-0000C3180000}"/>
    <cellStyle name="Porcentual 140 3" xfId="1852" xr:uid="{00000000-0005-0000-0000-0000C4180000}"/>
    <cellStyle name="Porcentual 140 3 2" xfId="5513" xr:uid="{00000000-0005-0000-0000-0000C5180000}"/>
    <cellStyle name="Porcentual 140 3 3" xfId="8187" xr:uid="{00000000-0005-0000-0000-0000C6180000}"/>
    <cellStyle name="Porcentual 140 4" xfId="1853" xr:uid="{00000000-0005-0000-0000-0000C7180000}"/>
    <cellStyle name="Porcentual 140 4 2" xfId="5514" xr:uid="{00000000-0005-0000-0000-0000C8180000}"/>
    <cellStyle name="Porcentual 140 4 3" xfId="8188" xr:uid="{00000000-0005-0000-0000-0000C9180000}"/>
    <cellStyle name="Porcentual 140 5" xfId="1854" xr:uid="{00000000-0005-0000-0000-0000CA180000}"/>
    <cellStyle name="Porcentual 140 5 2" xfId="5515" xr:uid="{00000000-0005-0000-0000-0000CB180000}"/>
    <cellStyle name="Porcentual 140 5 3" xfId="8189" xr:uid="{00000000-0005-0000-0000-0000CC180000}"/>
    <cellStyle name="Porcentual 140 6" xfId="1855" xr:uid="{00000000-0005-0000-0000-0000CD180000}"/>
    <cellStyle name="Porcentual 140 6 2" xfId="5516" xr:uid="{00000000-0005-0000-0000-0000CE180000}"/>
    <cellStyle name="Porcentual 140 6 3" xfId="8190" xr:uid="{00000000-0005-0000-0000-0000CF180000}"/>
    <cellStyle name="Porcentual 140 7" xfId="1856" xr:uid="{00000000-0005-0000-0000-0000D0180000}"/>
    <cellStyle name="Porcentual 140 7 2" xfId="5517" xr:uid="{00000000-0005-0000-0000-0000D1180000}"/>
    <cellStyle name="Porcentual 140 7 3" xfId="8191" xr:uid="{00000000-0005-0000-0000-0000D2180000}"/>
    <cellStyle name="Porcentual 140 8" xfId="1857" xr:uid="{00000000-0005-0000-0000-0000D3180000}"/>
    <cellStyle name="Porcentual 140 8 2" xfId="5518" xr:uid="{00000000-0005-0000-0000-0000D4180000}"/>
    <cellStyle name="Porcentual 140 8 3" xfId="8192" xr:uid="{00000000-0005-0000-0000-0000D5180000}"/>
    <cellStyle name="Porcentual 140 9" xfId="1858" xr:uid="{00000000-0005-0000-0000-0000D6180000}"/>
    <cellStyle name="Porcentual 140 9 2" xfId="5519" xr:uid="{00000000-0005-0000-0000-0000D7180000}"/>
    <cellStyle name="Porcentual 140 9 3" xfId="8193" xr:uid="{00000000-0005-0000-0000-0000D8180000}"/>
    <cellStyle name="Porcentual 141 10" xfId="1859" xr:uid="{00000000-0005-0000-0000-0000D9180000}"/>
    <cellStyle name="Porcentual 141 10 2" xfId="5520" xr:uid="{00000000-0005-0000-0000-0000DA180000}"/>
    <cellStyle name="Porcentual 141 10 3" xfId="8194" xr:uid="{00000000-0005-0000-0000-0000DB180000}"/>
    <cellStyle name="Porcentual 141 11" xfId="1860" xr:uid="{00000000-0005-0000-0000-0000DC180000}"/>
    <cellStyle name="Porcentual 141 11 2" xfId="5521" xr:uid="{00000000-0005-0000-0000-0000DD180000}"/>
    <cellStyle name="Porcentual 141 11 3" xfId="8195" xr:uid="{00000000-0005-0000-0000-0000DE180000}"/>
    <cellStyle name="Porcentual 141 12" xfId="1861" xr:uid="{00000000-0005-0000-0000-0000DF180000}"/>
    <cellStyle name="Porcentual 141 12 2" xfId="5522" xr:uid="{00000000-0005-0000-0000-0000E0180000}"/>
    <cellStyle name="Porcentual 141 12 3" xfId="8196" xr:uid="{00000000-0005-0000-0000-0000E1180000}"/>
    <cellStyle name="Porcentual 141 13" xfId="1862" xr:uid="{00000000-0005-0000-0000-0000E2180000}"/>
    <cellStyle name="Porcentual 141 13 2" xfId="5523" xr:uid="{00000000-0005-0000-0000-0000E3180000}"/>
    <cellStyle name="Porcentual 141 13 3" xfId="8197" xr:uid="{00000000-0005-0000-0000-0000E4180000}"/>
    <cellStyle name="Porcentual 141 14" xfId="1863" xr:uid="{00000000-0005-0000-0000-0000E5180000}"/>
    <cellStyle name="Porcentual 141 14 2" xfId="5524" xr:uid="{00000000-0005-0000-0000-0000E6180000}"/>
    <cellStyle name="Porcentual 141 14 3" xfId="8198" xr:uid="{00000000-0005-0000-0000-0000E7180000}"/>
    <cellStyle name="Porcentual 141 15" xfId="1864" xr:uid="{00000000-0005-0000-0000-0000E8180000}"/>
    <cellStyle name="Porcentual 141 15 2" xfId="5525" xr:uid="{00000000-0005-0000-0000-0000E9180000}"/>
    <cellStyle name="Porcentual 141 15 3" xfId="8199" xr:uid="{00000000-0005-0000-0000-0000EA180000}"/>
    <cellStyle name="Porcentual 141 16" xfId="1865" xr:uid="{00000000-0005-0000-0000-0000EB180000}"/>
    <cellStyle name="Porcentual 141 16 2" xfId="5526" xr:uid="{00000000-0005-0000-0000-0000EC180000}"/>
    <cellStyle name="Porcentual 141 16 3" xfId="8200" xr:uid="{00000000-0005-0000-0000-0000ED180000}"/>
    <cellStyle name="Porcentual 141 17" xfId="1866" xr:uid="{00000000-0005-0000-0000-0000EE180000}"/>
    <cellStyle name="Porcentual 141 17 2" xfId="5527" xr:uid="{00000000-0005-0000-0000-0000EF180000}"/>
    <cellStyle name="Porcentual 141 17 3" xfId="8201" xr:uid="{00000000-0005-0000-0000-0000F0180000}"/>
    <cellStyle name="Porcentual 141 18" xfId="1867" xr:uid="{00000000-0005-0000-0000-0000F1180000}"/>
    <cellStyle name="Porcentual 141 18 2" xfId="5528" xr:uid="{00000000-0005-0000-0000-0000F2180000}"/>
    <cellStyle name="Porcentual 141 18 3" xfId="8202" xr:uid="{00000000-0005-0000-0000-0000F3180000}"/>
    <cellStyle name="Porcentual 141 19" xfId="1868" xr:uid="{00000000-0005-0000-0000-0000F4180000}"/>
    <cellStyle name="Porcentual 141 19 2" xfId="5529" xr:uid="{00000000-0005-0000-0000-0000F5180000}"/>
    <cellStyle name="Porcentual 141 19 3" xfId="8203" xr:uid="{00000000-0005-0000-0000-0000F6180000}"/>
    <cellStyle name="Porcentual 141 2" xfId="1869" xr:uid="{00000000-0005-0000-0000-0000F7180000}"/>
    <cellStyle name="Porcentual 141 2 2" xfId="5530" xr:uid="{00000000-0005-0000-0000-0000F8180000}"/>
    <cellStyle name="Porcentual 141 2 3" xfId="8204" xr:uid="{00000000-0005-0000-0000-0000F9180000}"/>
    <cellStyle name="Porcentual 141 20" xfId="1870" xr:uid="{00000000-0005-0000-0000-0000FA180000}"/>
    <cellStyle name="Porcentual 141 20 2" xfId="5531" xr:uid="{00000000-0005-0000-0000-0000FB180000}"/>
    <cellStyle name="Porcentual 141 20 3" xfId="8205" xr:uid="{00000000-0005-0000-0000-0000FC180000}"/>
    <cellStyle name="Porcentual 141 21" xfId="1871" xr:uid="{00000000-0005-0000-0000-0000FD180000}"/>
    <cellStyle name="Porcentual 141 21 2" xfId="5532" xr:uid="{00000000-0005-0000-0000-0000FE180000}"/>
    <cellStyle name="Porcentual 141 21 3" xfId="8206" xr:uid="{00000000-0005-0000-0000-0000FF180000}"/>
    <cellStyle name="Porcentual 141 22" xfId="1872" xr:uid="{00000000-0005-0000-0000-000000190000}"/>
    <cellStyle name="Porcentual 141 22 2" xfId="5533" xr:uid="{00000000-0005-0000-0000-000001190000}"/>
    <cellStyle name="Porcentual 141 22 3" xfId="8207" xr:uid="{00000000-0005-0000-0000-000002190000}"/>
    <cellStyle name="Porcentual 141 23" xfId="1873" xr:uid="{00000000-0005-0000-0000-000003190000}"/>
    <cellStyle name="Porcentual 141 23 2" xfId="5534" xr:uid="{00000000-0005-0000-0000-000004190000}"/>
    <cellStyle name="Porcentual 141 23 3" xfId="8208" xr:uid="{00000000-0005-0000-0000-000005190000}"/>
    <cellStyle name="Porcentual 141 24" xfId="1874" xr:uid="{00000000-0005-0000-0000-000006190000}"/>
    <cellStyle name="Porcentual 141 24 2" xfId="5535" xr:uid="{00000000-0005-0000-0000-000007190000}"/>
    <cellStyle name="Porcentual 141 24 3" xfId="8209" xr:uid="{00000000-0005-0000-0000-000008190000}"/>
    <cellStyle name="Porcentual 141 25" xfId="1875" xr:uid="{00000000-0005-0000-0000-000009190000}"/>
    <cellStyle name="Porcentual 141 25 2" xfId="5536" xr:uid="{00000000-0005-0000-0000-00000A190000}"/>
    <cellStyle name="Porcentual 141 25 3" xfId="8210" xr:uid="{00000000-0005-0000-0000-00000B190000}"/>
    <cellStyle name="Porcentual 141 26" xfId="1876" xr:uid="{00000000-0005-0000-0000-00000C190000}"/>
    <cellStyle name="Porcentual 141 26 2" xfId="5537" xr:uid="{00000000-0005-0000-0000-00000D190000}"/>
    <cellStyle name="Porcentual 141 26 3" xfId="8211" xr:uid="{00000000-0005-0000-0000-00000E190000}"/>
    <cellStyle name="Porcentual 141 27" xfId="1877" xr:uid="{00000000-0005-0000-0000-00000F190000}"/>
    <cellStyle name="Porcentual 141 27 2" xfId="5538" xr:uid="{00000000-0005-0000-0000-000010190000}"/>
    <cellStyle name="Porcentual 141 27 3" xfId="8212" xr:uid="{00000000-0005-0000-0000-000011190000}"/>
    <cellStyle name="Porcentual 141 28" xfId="1878" xr:uid="{00000000-0005-0000-0000-000012190000}"/>
    <cellStyle name="Porcentual 141 28 2" xfId="5539" xr:uid="{00000000-0005-0000-0000-000013190000}"/>
    <cellStyle name="Porcentual 141 28 3" xfId="8213" xr:uid="{00000000-0005-0000-0000-000014190000}"/>
    <cellStyle name="Porcentual 141 3" xfId="1879" xr:uid="{00000000-0005-0000-0000-000015190000}"/>
    <cellStyle name="Porcentual 141 3 2" xfId="5540" xr:uid="{00000000-0005-0000-0000-000016190000}"/>
    <cellStyle name="Porcentual 141 3 3" xfId="8214" xr:uid="{00000000-0005-0000-0000-000017190000}"/>
    <cellStyle name="Porcentual 141 4" xfId="1880" xr:uid="{00000000-0005-0000-0000-000018190000}"/>
    <cellStyle name="Porcentual 141 4 2" xfId="5541" xr:uid="{00000000-0005-0000-0000-000019190000}"/>
    <cellStyle name="Porcentual 141 4 3" xfId="8215" xr:uid="{00000000-0005-0000-0000-00001A190000}"/>
    <cellStyle name="Porcentual 141 5" xfId="1881" xr:uid="{00000000-0005-0000-0000-00001B190000}"/>
    <cellStyle name="Porcentual 141 5 2" xfId="5542" xr:uid="{00000000-0005-0000-0000-00001C190000}"/>
    <cellStyle name="Porcentual 141 5 3" xfId="8216" xr:uid="{00000000-0005-0000-0000-00001D190000}"/>
    <cellStyle name="Porcentual 141 6" xfId="1882" xr:uid="{00000000-0005-0000-0000-00001E190000}"/>
    <cellStyle name="Porcentual 141 6 2" xfId="5543" xr:uid="{00000000-0005-0000-0000-00001F190000}"/>
    <cellStyle name="Porcentual 141 6 3" xfId="8217" xr:uid="{00000000-0005-0000-0000-000020190000}"/>
    <cellStyle name="Porcentual 141 7" xfId="1883" xr:uid="{00000000-0005-0000-0000-000021190000}"/>
    <cellStyle name="Porcentual 141 7 2" xfId="5544" xr:uid="{00000000-0005-0000-0000-000022190000}"/>
    <cellStyle name="Porcentual 141 7 3" xfId="8218" xr:uid="{00000000-0005-0000-0000-000023190000}"/>
    <cellStyle name="Porcentual 141 8" xfId="1884" xr:uid="{00000000-0005-0000-0000-000024190000}"/>
    <cellStyle name="Porcentual 141 8 2" xfId="5545" xr:uid="{00000000-0005-0000-0000-000025190000}"/>
    <cellStyle name="Porcentual 141 8 3" xfId="8219" xr:uid="{00000000-0005-0000-0000-000026190000}"/>
    <cellStyle name="Porcentual 141 9" xfId="1885" xr:uid="{00000000-0005-0000-0000-000027190000}"/>
    <cellStyle name="Porcentual 141 9 2" xfId="5546" xr:uid="{00000000-0005-0000-0000-000028190000}"/>
    <cellStyle name="Porcentual 141 9 3" xfId="8220" xr:uid="{00000000-0005-0000-0000-000029190000}"/>
    <cellStyle name="Porcentual 142 10" xfId="1886" xr:uid="{00000000-0005-0000-0000-00002A190000}"/>
    <cellStyle name="Porcentual 142 10 2" xfId="5547" xr:uid="{00000000-0005-0000-0000-00002B190000}"/>
    <cellStyle name="Porcentual 142 10 3" xfId="8221" xr:uid="{00000000-0005-0000-0000-00002C190000}"/>
    <cellStyle name="Porcentual 142 11" xfId="1887" xr:uid="{00000000-0005-0000-0000-00002D190000}"/>
    <cellStyle name="Porcentual 142 11 2" xfId="5548" xr:uid="{00000000-0005-0000-0000-00002E190000}"/>
    <cellStyle name="Porcentual 142 11 3" xfId="8222" xr:uid="{00000000-0005-0000-0000-00002F190000}"/>
    <cellStyle name="Porcentual 142 12" xfId="1888" xr:uid="{00000000-0005-0000-0000-000030190000}"/>
    <cellStyle name="Porcentual 142 12 2" xfId="5549" xr:uid="{00000000-0005-0000-0000-000031190000}"/>
    <cellStyle name="Porcentual 142 12 3" xfId="8223" xr:uid="{00000000-0005-0000-0000-000032190000}"/>
    <cellStyle name="Porcentual 142 13" xfId="1889" xr:uid="{00000000-0005-0000-0000-000033190000}"/>
    <cellStyle name="Porcentual 142 13 2" xfId="5550" xr:uid="{00000000-0005-0000-0000-000034190000}"/>
    <cellStyle name="Porcentual 142 13 3" xfId="8224" xr:uid="{00000000-0005-0000-0000-000035190000}"/>
    <cellStyle name="Porcentual 142 14" xfId="1890" xr:uid="{00000000-0005-0000-0000-000036190000}"/>
    <cellStyle name="Porcentual 142 14 2" xfId="5551" xr:uid="{00000000-0005-0000-0000-000037190000}"/>
    <cellStyle name="Porcentual 142 14 3" xfId="8225" xr:uid="{00000000-0005-0000-0000-000038190000}"/>
    <cellStyle name="Porcentual 142 15" xfId="1891" xr:uid="{00000000-0005-0000-0000-000039190000}"/>
    <cellStyle name="Porcentual 142 15 2" xfId="5552" xr:uid="{00000000-0005-0000-0000-00003A190000}"/>
    <cellStyle name="Porcentual 142 15 3" xfId="8226" xr:uid="{00000000-0005-0000-0000-00003B190000}"/>
    <cellStyle name="Porcentual 142 16" xfId="1892" xr:uid="{00000000-0005-0000-0000-00003C190000}"/>
    <cellStyle name="Porcentual 142 16 2" xfId="5553" xr:uid="{00000000-0005-0000-0000-00003D190000}"/>
    <cellStyle name="Porcentual 142 16 3" xfId="8227" xr:uid="{00000000-0005-0000-0000-00003E190000}"/>
    <cellStyle name="Porcentual 142 17" xfId="1893" xr:uid="{00000000-0005-0000-0000-00003F190000}"/>
    <cellStyle name="Porcentual 142 17 2" xfId="5554" xr:uid="{00000000-0005-0000-0000-000040190000}"/>
    <cellStyle name="Porcentual 142 17 3" xfId="8228" xr:uid="{00000000-0005-0000-0000-000041190000}"/>
    <cellStyle name="Porcentual 142 18" xfId="1894" xr:uid="{00000000-0005-0000-0000-000042190000}"/>
    <cellStyle name="Porcentual 142 18 2" xfId="5555" xr:uid="{00000000-0005-0000-0000-000043190000}"/>
    <cellStyle name="Porcentual 142 18 3" xfId="8229" xr:uid="{00000000-0005-0000-0000-000044190000}"/>
    <cellStyle name="Porcentual 142 19" xfId="1895" xr:uid="{00000000-0005-0000-0000-000045190000}"/>
    <cellStyle name="Porcentual 142 19 2" xfId="5556" xr:uid="{00000000-0005-0000-0000-000046190000}"/>
    <cellStyle name="Porcentual 142 19 3" xfId="8230" xr:uid="{00000000-0005-0000-0000-000047190000}"/>
    <cellStyle name="Porcentual 142 2" xfId="1896" xr:uid="{00000000-0005-0000-0000-000048190000}"/>
    <cellStyle name="Porcentual 142 2 2" xfId="5557" xr:uid="{00000000-0005-0000-0000-000049190000}"/>
    <cellStyle name="Porcentual 142 2 3" xfId="8231" xr:uid="{00000000-0005-0000-0000-00004A190000}"/>
    <cellStyle name="Porcentual 142 20" xfId="1897" xr:uid="{00000000-0005-0000-0000-00004B190000}"/>
    <cellStyle name="Porcentual 142 20 2" xfId="5558" xr:uid="{00000000-0005-0000-0000-00004C190000}"/>
    <cellStyle name="Porcentual 142 20 3" xfId="8232" xr:uid="{00000000-0005-0000-0000-00004D190000}"/>
    <cellStyle name="Porcentual 142 21" xfId="1898" xr:uid="{00000000-0005-0000-0000-00004E190000}"/>
    <cellStyle name="Porcentual 142 21 2" xfId="5559" xr:uid="{00000000-0005-0000-0000-00004F190000}"/>
    <cellStyle name="Porcentual 142 21 3" xfId="8233" xr:uid="{00000000-0005-0000-0000-000050190000}"/>
    <cellStyle name="Porcentual 142 22" xfId="1899" xr:uid="{00000000-0005-0000-0000-000051190000}"/>
    <cellStyle name="Porcentual 142 22 2" xfId="5560" xr:uid="{00000000-0005-0000-0000-000052190000}"/>
    <cellStyle name="Porcentual 142 22 3" xfId="8234" xr:uid="{00000000-0005-0000-0000-000053190000}"/>
    <cellStyle name="Porcentual 142 23" xfId="1900" xr:uid="{00000000-0005-0000-0000-000054190000}"/>
    <cellStyle name="Porcentual 142 23 2" xfId="5561" xr:uid="{00000000-0005-0000-0000-000055190000}"/>
    <cellStyle name="Porcentual 142 23 3" xfId="8235" xr:uid="{00000000-0005-0000-0000-000056190000}"/>
    <cellStyle name="Porcentual 142 24" xfId="1901" xr:uid="{00000000-0005-0000-0000-000057190000}"/>
    <cellStyle name="Porcentual 142 24 2" xfId="5562" xr:uid="{00000000-0005-0000-0000-000058190000}"/>
    <cellStyle name="Porcentual 142 24 3" xfId="8236" xr:uid="{00000000-0005-0000-0000-000059190000}"/>
    <cellStyle name="Porcentual 142 25" xfId="1902" xr:uid="{00000000-0005-0000-0000-00005A190000}"/>
    <cellStyle name="Porcentual 142 25 2" xfId="5563" xr:uid="{00000000-0005-0000-0000-00005B190000}"/>
    <cellStyle name="Porcentual 142 25 3" xfId="8237" xr:uid="{00000000-0005-0000-0000-00005C190000}"/>
    <cellStyle name="Porcentual 142 26" xfId="1903" xr:uid="{00000000-0005-0000-0000-00005D190000}"/>
    <cellStyle name="Porcentual 142 26 2" xfId="5564" xr:uid="{00000000-0005-0000-0000-00005E190000}"/>
    <cellStyle name="Porcentual 142 26 3" xfId="8238" xr:uid="{00000000-0005-0000-0000-00005F190000}"/>
    <cellStyle name="Porcentual 142 27" xfId="1904" xr:uid="{00000000-0005-0000-0000-000060190000}"/>
    <cellStyle name="Porcentual 142 27 2" xfId="5565" xr:uid="{00000000-0005-0000-0000-000061190000}"/>
    <cellStyle name="Porcentual 142 27 3" xfId="8239" xr:uid="{00000000-0005-0000-0000-000062190000}"/>
    <cellStyle name="Porcentual 142 28" xfId="1905" xr:uid="{00000000-0005-0000-0000-000063190000}"/>
    <cellStyle name="Porcentual 142 28 2" xfId="5566" xr:uid="{00000000-0005-0000-0000-000064190000}"/>
    <cellStyle name="Porcentual 142 28 3" xfId="8240" xr:uid="{00000000-0005-0000-0000-000065190000}"/>
    <cellStyle name="Porcentual 142 3" xfId="1906" xr:uid="{00000000-0005-0000-0000-000066190000}"/>
    <cellStyle name="Porcentual 142 3 2" xfId="5567" xr:uid="{00000000-0005-0000-0000-000067190000}"/>
    <cellStyle name="Porcentual 142 3 3" xfId="8241" xr:uid="{00000000-0005-0000-0000-000068190000}"/>
    <cellStyle name="Porcentual 142 4" xfId="1907" xr:uid="{00000000-0005-0000-0000-000069190000}"/>
    <cellStyle name="Porcentual 142 4 2" xfId="5568" xr:uid="{00000000-0005-0000-0000-00006A190000}"/>
    <cellStyle name="Porcentual 142 4 3" xfId="8242" xr:uid="{00000000-0005-0000-0000-00006B190000}"/>
    <cellStyle name="Porcentual 142 5" xfId="1908" xr:uid="{00000000-0005-0000-0000-00006C190000}"/>
    <cellStyle name="Porcentual 142 5 2" xfId="5569" xr:uid="{00000000-0005-0000-0000-00006D190000}"/>
    <cellStyle name="Porcentual 142 5 3" xfId="8243" xr:uid="{00000000-0005-0000-0000-00006E190000}"/>
    <cellStyle name="Porcentual 142 6" xfId="1909" xr:uid="{00000000-0005-0000-0000-00006F190000}"/>
    <cellStyle name="Porcentual 142 6 2" xfId="5570" xr:uid="{00000000-0005-0000-0000-000070190000}"/>
    <cellStyle name="Porcentual 142 6 3" xfId="8244" xr:uid="{00000000-0005-0000-0000-000071190000}"/>
    <cellStyle name="Porcentual 142 7" xfId="1910" xr:uid="{00000000-0005-0000-0000-000072190000}"/>
    <cellStyle name="Porcentual 142 7 2" xfId="5571" xr:uid="{00000000-0005-0000-0000-000073190000}"/>
    <cellStyle name="Porcentual 142 7 3" xfId="8245" xr:uid="{00000000-0005-0000-0000-000074190000}"/>
    <cellStyle name="Porcentual 142 8" xfId="1911" xr:uid="{00000000-0005-0000-0000-000075190000}"/>
    <cellStyle name="Porcentual 142 8 2" xfId="5572" xr:uid="{00000000-0005-0000-0000-000076190000}"/>
    <cellStyle name="Porcentual 142 8 3" xfId="8246" xr:uid="{00000000-0005-0000-0000-000077190000}"/>
    <cellStyle name="Porcentual 142 9" xfId="1912" xr:uid="{00000000-0005-0000-0000-000078190000}"/>
    <cellStyle name="Porcentual 142 9 2" xfId="5573" xr:uid="{00000000-0005-0000-0000-000079190000}"/>
    <cellStyle name="Porcentual 142 9 3" xfId="8247" xr:uid="{00000000-0005-0000-0000-00007A190000}"/>
    <cellStyle name="Porcentual 143 10" xfId="1913" xr:uid="{00000000-0005-0000-0000-00007B190000}"/>
    <cellStyle name="Porcentual 143 10 2" xfId="5574" xr:uid="{00000000-0005-0000-0000-00007C190000}"/>
    <cellStyle name="Porcentual 143 10 3" xfId="8248" xr:uid="{00000000-0005-0000-0000-00007D190000}"/>
    <cellStyle name="Porcentual 143 11" xfId="1914" xr:uid="{00000000-0005-0000-0000-00007E190000}"/>
    <cellStyle name="Porcentual 143 11 2" xfId="5575" xr:uid="{00000000-0005-0000-0000-00007F190000}"/>
    <cellStyle name="Porcentual 143 11 3" xfId="8249" xr:uid="{00000000-0005-0000-0000-000080190000}"/>
    <cellStyle name="Porcentual 143 12" xfId="1915" xr:uid="{00000000-0005-0000-0000-000081190000}"/>
    <cellStyle name="Porcentual 143 12 2" xfId="5576" xr:uid="{00000000-0005-0000-0000-000082190000}"/>
    <cellStyle name="Porcentual 143 12 3" xfId="8250" xr:uid="{00000000-0005-0000-0000-000083190000}"/>
    <cellStyle name="Porcentual 143 13" xfId="1916" xr:uid="{00000000-0005-0000-0000-000084190000}"/>
    <cellStyle name="Porcentual 143 13 2" xfId="5577" xr:uid="{00000000-0005-0000-0000-000085190000}"/>
    <cellStyle name="Porcentual 143 13 3" xfId="8251" xr:uid="{00000000-0005-0000-0000-000086190000}"/>
    <cellStyle name="Porcentual 143 14" xfId="1917" xr:uid="{00000000-0005-0000-0000-000087190000}"/>
    <cellStyle name="Porcentual 143 14 2" xfId="5578" xr:uid="{00000000-0005-0000-0000-000088190000}"/>
    <cellStyle name="Porcentual 143 14 3" xfId="8252" xr:uid="{00000000-0005-0000-0000-000089190000}"/>
    <cellStyle name="Porcentual 143 15" xfId="1918" xr:uid="{00000000-0005-0000-0000-00008A190000}"/>
    <cellStyle name="Porcentual 143 15 2" xfId="5579" xr:uid="{00000000-0005-0000-0000-00008B190000}"/>
    <cellStyle name="Porcentual 143 15 3" xfId="8253" xr:uid="{00000000-0005-0000-0000-00008C190000}"/>
    <cellStyle name="Porcentual 143 16" xfId="1919" xr:uid="{00000000-0005-0000-0000-00008D190000}"/>
    <cellStyle name="Porcentual 143 16 2" xfId="5580" xr:uid="{00000000-0005-0000-0000-00008E190000}"/>
    <cellStyle name="Porcentual 143 16 3" xfId="8254" xr:uid="{00000000-0005-0000-0000-00008F190000}"/>
    <cellStyle name="Porcentual 143 17" xfId="1920" xr:uid="{00000000-0005-0000-0000-000090190000}"/>
    <cellStyle name="Porcentual 143 17 2" xfId="5581" xr:uid="{00000000-0005-0000-0000-000091190000}"/>
    <cellStyle name="Porcentual 143 17 3" xfId="8255" xr:uid="{00000000-0005-0000-0000-000092190000}"/>
    <cellStyle name="Porcentual 143 18" xfId="1921" xr:uid="{00000000-0005-0000-0000-000093190000}"/>
    <cellStyle name="Porcentual 143 18 2" xfId="5582" xr:uid="{00000000-0005-0000-0000-000094190000}"/>
    <cellStyle name="Porcentual 143 18 3" xfId="8256" xr:uid="{00000000-0005-0000-0000-000095190000}"/>
    <cellStyle name="Porcentual 143 19" xfId="1922" xr:uid="{00000000-0005-0000-0000-000096190000}"/>
    <cellStyle name="Porcentual 143 19 2" xfId="5583" xr:uid="{00000000-0005-0000-0000-000097190000}"/>
    <cellStyle name="Porcentual 143 19 3" xfId="8257" xr:uid="{00000000-0005-0000-0000-000098190000}"/>
    <cellStyle name="Porcentual 143 2" xfId="1923" xr:uid="{00000000-0005-0000-0000-000099190000}"/>
    <cellStyle name="Porcentual 143 2 2" xfId="5584" xr:uid="{00000000-0005-0000-0000-00009A190000}"/>
    <cellStyle name="Porcentual 143 2 3" xfId="8258" xr:uid="{00000000-0005-0000-0000-00009B190000}"/>
    <cellStyle name="Porcentual 143 20" xfId="1924" xr:uid="{00000000-0005-0000-0000-00009C190000}"/>
    <cellStyle name="Porcentual 143 20 2" xfId="5585" xr:uid="{00000000-0005-0000-0000-00009D190000}"/>
    <cellStyle name="Porcentual 143 20 3" xfId="8259" xr:uid="{00000000-0005-0000-0000-00009E190000}"/>
    <cellStyle name="Porcentual 143 21" xfId="1925" xr:uid="{00000000-0005-0000-0000-00009F190000}"/>
    <cellStyle name="Porcentual 143 21 2" xfId="5586" xr:uid="{00000000-0005-0000-0000-0000A0190000}"/>
    <cellStyle name="Porcentual 143 21 3" xfId="8260" xr:uid="{00000000-0005-0000-0000-0000A1190000}"/>
    <cellStyle name="Porcentual 143 22" xfId="1926" xr:uid="{00000000-0005-0000-0000-0000A2190000}"/>
    <cellStyle name="Porcentual 143 22 2" xfId="5587" xr:uid="{00000000-0005-0000-0000-0000A3190000}"/>
    <cellStyle name="Porcentual 143 22 3" xfId="8261" xr:uid="{00000000-0005-0000-0000-0000A4190000}"/>
    <cellStyle name="Porcentual 143 23" xfId="1927" xr:uid="{00000000-0005-0000-0000-0000A5190000}"/>
    <cellStyle name="Porcentual 143 23 2" xfId="5588" xr:uid="{00000000-0005-0000-0000-0000A6190000}"/>
    <cellStyle name="Porcentual 143 23 3" xfId="8262" xr:uid="{00000000-0005-0000-0000-0000A7190000}"/>
    <cellStyle name="Porcentual 143 24" xfId="1928" xr:uid="{00000000-0005-0000-0000-0000A8190000}"/>
    <cellStyle name="Porcentual 143 24 2" xfId="5589" xr:uid="{00000000-0005-0000-0000-0000A9190000}"/>
    <cellStyle name="Porcentual 143 24 3" xfId="8263" xr:uid="{00000000-0005-0000-0000-0000AA190000}"/>
    <cellStyle name="Porcentual 143 25" xfId="1929" xr:uid="{00000000-0005-0000-0000-0000AB190000}"/>
    <cellStyle name="Porcentual 143 25 2" xfId="5590" xr:uid="{00000000-0005-0000-0000-0000AC190000}"/>
    <cellStyle name="Porcentual 143 25 3" xfId="8264" xr:uid="{00000000-0005-0000-0000-0000AD190000}"/>
    <cellStyle name="Porcentual 143 26" xfId="1930" xr:uid="{00000000-0005-0000-0000-0000AE190000}"/>
    <cellStyle name="Porcentual 143 26 2" xfId="5591" xr:uid="{00000000-0005-0000-0000-0000AF190000}"/>
    <cellStyle name="Porcentual 143 26 3" xfId="8265" xr:uid="{00000000-0005-0000-0000-0000B0190000}"/>
    <cellStyle name="Porcentual 143 27" xfId="1931" xr:uid="{00000000-0005-0000-0000-0000B1190000}"/>
    <cellStyle name="Porcentual 143 27 2" xfId="5592" xr:uid="{00000000-0005-0000-0000-0000B2190000}"/>
    <cellStyle name="Porcentual 143 27 3" xfId="8266" xr:uid="{00000000-0005-0000-0000-0000B3190000}"/>
    <cellStyle name="Porcentual 143 28" xfId="1932" xr:uid="{00000000-0005-0000-0000-0000B4190000}"/>
    <cellStyle name="Porcentual 143 28 2" xfId="5593" xr:uid="{00000000-0005-0000-0000-0000B5190000}"/>
    <cellStyle name="Porcentual 143 28 3" xfId="8267" xr:uid="{00000000-0005-0000-0000-0000B6190000}"/>
    <cellStyle name="Porcentual 143 3" xfId="1933" xr:uid="{00000000-0005-0000-0000-0000B7190000}"/>
    <cellStyle name="Porcentual 143 3 2" xfId="5594" xr:uid="{00000000-0005-0000-0000-0000B8190000}"/>
    <cellStyle name="Porcentual 143 3 3" xfId="8268" xr:uid="{00000000-0005-0000-0000-0000B9190000}"/>
    <cellStyle name="Porcentual 143 4" xfId="1934" xr:uid="{00000000-0005-0000-0000-0000BA190000}"/>
    <cellStyle name="Porcentual 143 4 2" xfId="5595" xr:uid="{00000000-0005-0000-0000-0000BB190000}"/>
    <cellStyle name="Porcentual 143 4 3" xfId="8269" xr:uid="{00000000-0005-0000-0000-0000BC190000}"/>
    <cellStyle name="Porcentual 143 5" xfId="1935" xr:uid="{00000000-0005-0000-0000-0000BD190000}"/>
    <cellStyle name="Porcentual 143 5 2" xfId="5596" xr:uid="{00000000-0005-0000-0000-0000BE190000}"/>
    <cellStyle name="Porcentual 143 5 3" xfId="8270" xr:uid="{00000000-0005-0000-0000-0000BF190000}"/>
    <cellStyle name="Porcentual 143 6" xfId="1936" xr:uid="{00000000-0005-0000-0000-0000C0190000}"/>
    <cellStyle name="Porcentual 143 6 2" xfId="5597" xr:uid="{00000000-0005-0000-0000-0000C1190000}"/>
    <cellStyle name="Porcentual 143 6 3" xfId="8271" xr:uid="{00000000-0005-0000-0000-0000C2190000}"/>
    <cellStyle name="Porcentual 143 7" xfId="1937" xr:uid="{00000000-0005-0000-0000-0000C3190000}"/>
    <cellStyle name="Porcentual 143 7 2" xfId="5598" xr:uid="{00000000-0005-0000-0000-0000C4190000}"/>
    <cellStyle name="Porcentual 143 7 3" xfId="8272" xr:uid="{00000000-0005-0000-0000-0000C5190000}"/>
    <cellStyle name="Porcentual 143 8" xfId="1938" xr:uid="{00000000-0005-0000-0000-0000C6190000}"/>
    <cellStyle name="Porcentual 143 8 2" xfId="5599" xr:uid="{00000000-0005-0000-0000-0000C7190000}"/>
    <cellStyle name="Porcentual 143 8 3" xfId="8273" xr:uid="{00000000-0005-0000-0000-0000C8190000}"/>
    <cellStyle name="Porcentual 143 9" xfId="1939" xr:uid="{00000000-0005-0000-0000-0000C9190000}"/>
    <cellStyle name="Porcentual 143 9 2" xfId="5600" xr:uid="{00000000-0005-0000-0000-0000CA190000}"/>
    <cellStyle name="Porcentual 143 9 3" xfId="8274" xr:uid="{00000000-0005-0000-0000-0000CB190000}"/>
    <cellStyle name="Porcentual 144 10" xfId="1940" xr:uid="{00000000-0005-0000-0000-0000CC190000}"/>
    <cellStyle name="Porcentual 144 10 2" xfId="5601" xr:uid="{00000000-0005-0000-0000-0000CD190000}"/>
    <cellStyle name="Porcentual 144 10 3" xfId="8275" xr:uid="{00000000-0005-0000-0000-0000CE190000}"/>
    <cellStyle name="Porcentual 144 11" xfId="1941" xr:uid="{00000000-0005-0000-0000-0000CF190000}"/>
    <cellStyle name="Porcentual 144 11 2" xfId="5602" xr:uid="{00000000-0005-0000-0000-0000D0190000}"/>
    <cellStyle name="Porcentual 144 11 3" xfId="8276" xr:uid="{00000000-0005-0000-0000-0000D1190000}"/>
    <cellStyle name="Porcentual 144 12" xfId="1942" xr:uid="{00000000-0005-0000-0000-0000D2190000}"/>
    <cellStyle name="Porcentual 144 12 2" xfId="5603" xr:uid="{00000000-0005-0000-0000-0000D3190000}"/>
    <cellStyle name="Porcentual 144 12 3" xfId="8277" xr:uid="{00000000-0005-0000-0000-0000D4190000}"/>
    <cellStyle name="Porcentual 144 13" xfId="1943" xr:uid="{00000000-0005-0000-0000-0000D5190000}"/>
    <cellStyle name="Porcentual 144 13 2" xfId="5604" xr:uid="{00000000-0005-0000-0000-0000D6190000}"/>
    <cellStyle name="Porcentual 144 13 3" xfId="8278" xr:uid="{00000000-0005-0000-0000-0000D7190000}"/>
    <cellStyle name="Porcentual 144 14" xfId="1944" xr:uid="{00000000-0005-0000-0000-0000D8190000}"/>
    <cellStyle name="Porcentual 144 14 2" xfId="5605" xr:uid="{00000000-0005-0000-0000-0000D9190000}"/>
    <cellStyle name="Porcentual 144 14 3" xfId="8279" xr:uid="{00000000-0005-0000-0000-0000DA190000}"/>
    <cellStyle name="Porcentual 144 15" xfId="1945" xr:uid="{00000000-0005-0000-0000-0000DB190000}"/>
    <cellStyle name="Porcentual 144 15 2" xfId="5606" xr:uid="{00000000-0005-0000-0000-0000DC190000}"/>
    <cellStyle name="Porcentual 144 15 3" xfId="8280" xr:uid="{00000000-0005-0000-0000-0000DD190000}"/>
    <cellStyle name="Porcentual 144 16" xfId="1946" xr:uid="{00000000-0005-0000-0000-0000DE190000}"/>
    <cellStyle name="Porcentual 144 16 2" xfId="5607" xr:uid="{00000000-0005-0000-0000-0000DF190000}"/>
    <cellStyle name="Porcentual 144 16 3" xfId="8281" xr:uid="{00000000-0005-0000-0000-0000E0190000}"/>
    <cellStyle name="Porcentual 144 17" xfId="1947" xr:uid="{00000000-0005-0000-0000-0000E1190000}"/>
    <cellStyle name="Porcentual 144 17 2" xfId="5608" xr:uid="{00000000-0005-0000-0000-0000E2190000}"/>
    <cellStyle name="Porcentual 144 17 3" xfId="8282" xr:uid="{00000000-0005-0000-0000-0000E3190000}"/>
    <cellStyle name="Porcentual 144 18" xfId="1948" xr:uid="{00000000-0005-0000-0000-0000E4190000}"/>
    <cellStyle name="Porcentual 144 18 2" xfId="5609" xr:uid="{00000000-0005-0000-0000-0000E5190000}"/>
    <cellStyle name="Porcentual 144 18 3" xfId="8283" xr:uid="{00000000-0005-0000-0000-0000E6190000}"/>
    <cellStyle name="Porcentual 144 19" xfId="1949" xr:uid="{00000000-0005-0000-0000-0000E7190000}"/>
    <cellStyle name="Porcentual 144 19 2" xfId="5610" xr:uid="{00000000-0005-0000-0000-0000E8190000}"/>
    <cellStyle name="Porcentual 144 19 3" xfId="8284" xr:uid="{00000000-0005-0000-0000-0000E9190000}"/>
    <cellStyle name="Porcentual 144 2" xfId="1950" xr:uid="{00000000-0005-0000-0000-0000EA190000}"/>
    <cellStyle name="Porcentual 144 2 2" xfId="5611" xr:uid="{00000000-0005-0000-0000-0000EB190000}"/>
    <cellStyle name="Porcentual 144 2 3" xfId="8285" xr:uid="{00000000-0005-0000-0000-0000EC190000}"/>
    <cellStyle name="Porcentual 144 20" xfId="1951" xr:uid="{00000000-0005-0000-0000-0000ED190000}"/>
    <cellStyle name="Porcentual 144 20 2" xfId="5612" xr:uid="{00000000-0005-0000-0000-0000EE190000}"/>
    <cellStyle name="Porcentual 144 20 3" xfId="8286" xr:uid="{00000000-0005-0000-0000-0000EF190000}"/>
    <cellStyle name="Porcentual 144 21" xfId="1952" xr:uid="{00000000-0005-0000-0000-0000F0190000}"/>
    <cellStyle name="Porcentual 144 21 2" xfId="5613" xr:uid="{00000000-0005-0000-0000-0000F1190000}"/>
    <cellStyle name="Porcentual 144 21 3" xfId="8287" xr:uid="{00000000-0005-0000-0000-0000F2190000}"/>
    <cellStyle name="Porcentual 144 22" xfId="1953" xr:uid="{00000000-0005-0000-0000-0000F3190000}"/>
    <cellStyle name="Porcentual 144 22 2" xfId="5614" xr:uid="{00000000-0005-0000-0000-0000F4190000}"/>
    <cellStyle name="Porcentual 144 22 3" xfId="8288" xr:uid="{00000000-0005-0000-0000-0000F5190000}"/>
    <cellStyle name="Porcentual 144 23" xfId="1954" xr:uid="{00000000-0005-0000-0000-0000F6190000}"/>
    <cellStyle name="Porcentual 144 23 2" xfId="5615" xr:uid="{00000000-0005-0000-0000-0000F7190000}"/>
    <cellStyle name="Porcentual 144 23 3" xfId="8289" xr:uid="{00000000-0005-0000-0000-0000F8190000}"/>
    <cellStyle name="Porcentual 144 24" xfId="1955" xr:uid="{00000000-0005-0000-0000-0000F9190000}"/>
    <cellStyle name="Porcentual 144 24 2" xfId="5616" xr:uid="{00000000-0005-0000-0000-0000FA190000}"/>
    <cellStyle name="Porcentual 144 24 3" xfId="8290" xr:uid="{00000000-0005-0000-0000-0000FB190000}"/>
    <cellStyle name="Porcentual 144 25" xfId="1956" xr:uid="{00000000-0005-0000-0000-0000FC190000}"/>
    <cellStyle name="Porcentual 144 25 2" xfId="5617" xr:uid="{00000000-0005-0000-0000-0000FD190000}"/>
    <cellStyle name="Porcentual 144 25 3" xfId="8291" xr:uid="{00000000-0005-0000-0000-0000FE190000}"/>
    <cellStyle name="Porcentual 144 26" xfId="1957" xr:uid="{00000000-0005-0000-0000-0000FF190000}"/>
    <cellStyle name="Porcentual 144 26 2" xfId="5618" xr:uid="{00000000-0005-0000-0000-0000001A0000}"/>
    <cellStyle name="Porcentual 144 26 3" xfId="8292" xr:uid="{00000000-0005-0000-0000-0000011A0000}"/>
    <cellStyle name="Porcentual 144 27" xfId="1958" xr:uid="{00000000-0005-0000-0000-0000021A0000}"/>
    <cellStyle name="Porcentual 144 27 2" xfId="5619" xr:uid="{00000000-0005-0000-0000-0000031A0000}"/>
    <cellStyle name="Porcentual 144 27 3" xfId="8293" xr:uid="{00000000-0005-0000-0000-0000041A0000}"/>
    <cellStyle name="Porcentual 144 28" xfId="1959" xr:uid="{00000000-0005-0000-0000-0000051A0000}"/>
    <cellStyle name="Porcentual 144 28 2" xfId="5620" xr:uid="{00000000-0005-0000-0000-0000061A0000}"/>
    <cellStyle name="Porcentual 144 28 3" xfId="8294" xr:uid="{00000000-0005-0000-0000-0000071A0000}"/>
    <cellStyle name="Porcentual 144 3" xfId="1960" xr:uid="{00000000-0005-0000-0000-0000081A0000}"/>
    <cellStyle name="Porcentual 144 3 2" xfId="5621" xr:uid="{00000000-0005-0000-0000-0000091A0000}"/>
    <cellStyle name="Porcentual 144 3 3" xfId="8295" xr:uid="{00000000-0005-0000-0000-00000A1A0000}"/>
    <cellStyle name="Porcentual 144 4" xfId="1961" xr:uid="{00000000-0005-0000-0000-00000B1A0000}"/>
    <cellStyle name="Porcentual 144 4 2" xfId="5622" xr:uid="{00000000-0005-0000-0000-00000C1A0000}"/>
    <cellStyle name="Porcentual 144 4 3" xfId="8296" xr:uid="{00000000-0005-0000-0000-00000D1A0000}"/>
    <cellStyle name="Porcentual 144 5" xfId="1962" xr:uid="{00000000-0005-0000-0000-00000E1A0000}"/>
    <cellStyle name="Porcentual 144 5 2" xfId="5623" xr:uid="{00000000-0005-0000-0000-00000F1A0000}"/>
    <cellStyle name="Porcentual 144 5 3" xfId="8297" xr:uid="{00000000-0005-0000-0000-0000101A0000}"/>
    <cellStyle name="Porcentual 144 6" xfId="1963" xr:uid="{00000000-0005-0000-0000-0000111A0000}"/>
    <cellStyle name="Porcentual 144 6 2" xfId="5624" xr:uid="{00000000-0005-0000-0000-0000121A0000}"/>
    <cellStyle name="Porcentual 144 6 3" xfId="8298" xr:uid="{00000000-0005-0000-0000-0000131A0000}"/>
    <cellStyle name="Porcentual 144 7" xfId="1964" xr:uid="{00000000-0005-0000-0000-0000141A0000}"/>
    <cellStyle name="Porcentual 144 7 2" xfId="5625" xr:uid="{00000000-0005-0000-0000-0000151A0000}"/>
    <cellStyle name="Porcentual 144 7 3" xfId="8299" xr:uid="{00000000-0005-0000-0000-0000161A0000}"/>
    <cellStyle name="Porcentual 144 8" xfId="1965" xr:uid="{00000000-0005-0000-0000-0000171A0000}"/>
    <cellStyle name="Porcentual 144 8 2" xfId="5626" xr:uid="{00000000-0005-0000-0000-0000181A0000}"/>
    <cellStyle name="Porcentual 144 8 3" xfId="8300" xr:uid="{00000000-0005-0000-0000-0000191A0000}"/>
    <cellStyle name="Porcentual 144 9" xfId="1966" xr:uid="{00000000-0005-0000-0000-00001A1A0000}"/>
    <cellStyle name="Porcentual 144 9 2" xfId="5627" xr:uid="{00000000-0005-0000-0000-00001B1A0000}"/>
    <cellStyle name="Porcentual 144 9 3" xfId="8301" xr:uid="{00000000-0005-0000-0000-00001C1A0000}"/>
    <cellStyle name="Porcentual 145 10" xfId="1967" xr:uid="{00000000-0005-0000-0000-00001D1A0000}"/>
    <cellStyle name="Porcentual 145 10 2" xfId="5628" xr:uid="{00000000-0005-0000-0000-00001E1A0000}"/>
    <cellStyle name="Porcentual 145 10 3" xfId="8302" xr:uid="{00000000-0005-0000-0000-00001F1A0000}"/>
    <cellStyle name="Porcentual 145 11" xfId="1968" xr:uid="{00000000-0005-0000-0000-0000201A0000}"/>
    <cellStyle name="Porcentual 145 11 2" xfId="5629" xr:uid="{00000000-0005-0000-0000-0000211A0000}"/>
    <cellStyle name="Porcentual 145 11 3" xfId="8303" xr:uid="{00000000-0005-0000-0000-0000221A0000}"/>
    <cellStyle name="Porcentual 145 12" xfId="1969" xr:uid="{00000000-0005-0000-0000-0000231A0000}"/>
    <cellStyle name="Porcentual 145 12 2" xfId="5630" xr:uid="{00000000-0005-0000-0000-0000241A0000}"/>
    <cellStyle name="Porcentual 145 12 3" xfId="8304" xr:uid="{00000000-0005-0000-0000-0000251A0000}"/>
    <cellStyle name="Porcentual 145 13" xfId="1970" xr:uid="{00000000-0005-0000-0000-0000261A0000}"/>
    <cellStyle name="Porcentual 145 13 2" xfId="5631" xr:uid="{00000000-0005-0000-0000-0000271A0000}"/>
    <cellStyle name="Porcentual 145 13 3" xfId="8305" xr:uid="{00000000-0005-0000-0000-0000281A0000}"/>
    <cellStyle name="Porcentual 145 14" xfId="1971" xr:uid="{00000000-0005-0000-0000-0000291A0000}"/>
    <cellStyle name="Porcentual 145 14 2" xfId="5632" xr:uid="{00000000-0005-0000-0000-00002A1A0000}"/>
    <cellStyle name="Porcentual 145 14 3" xfId="8306" xr:uid="{00000000-0005-0000-0000-00002B1A0000}"/>
    <cellStyle name="Porcentual 145 15" xfId="1972" xr:uid="{00000000-0005-0000-0000-00002C1A0000}"/>
    <cellStyle name="Porcentual 145 15 2" xfId="5633" xr:uid="{00000000-0005-0000-0000-00002D1A0000}"/>
    <cellStyle name="Porcentual 145 15 3" xfId="8307" xr:uid="{00000000-0005-0000-0000-00002E1A0000}"/>
    <cellStyle name="Porcentual 145 16" xfId="1973" xr:uid="{00000000-0005-0000-0000-00002F1A0000}"/>
    <cellStyle name="Porcentual 145 16 2" xfId="5634" xr:uid="{00000000-0005-0000-0000-0000301A0000}"/>
    <cellStyle name="Porcentual 145 16 3" xfId="8308" xr:uid="{00000000-0005-0000-0000-0000311A0000}"/>
    <cellStyle name="Porcentual 145 17" xfId="1974" xr:uid="{00000000-0005-0000-0000-0000321A0000}"/>
    <cellStyle name="Porcentual 145 17 2" xfId="5635" xr:uid="{00000000-0005-0000-0000-0000331A0000}"/>
    <cellStyle name="Porcentual 145 17 3" xfId="8309" xr:uid="{00000000-0005-0000-0000-0000341A0000}"/>
    <cellStyle name="Porcentual 145 18" xfId="1975" xr:uid="{00000000-0005-0000-0000-0000351A0000}"/>
    <cellStyle name="Porcentual 145 18 2" xfId="5636" xr:uid="{00000000-0005-0000-0000-0000361A0000}"/>
    <cellStyle name="Porcentual 145 18 3" xfId="8310" xr:uid="{00000000-0005-0000-0000-0000371A0000}"/>
    <cellStyle name="Porcentual 145 19" xfId="1976" xr:uid="{00000000-0005-0000-0000-0000381A0000}"/>
    <cellStyle name="Porcentual 145 19 2" xfId="5637" xr:uid="{00000000-0005-0000-0000-0000391A0000}"/>
    <cellStyle name="Porcentual 145 19 3" xfId="8311" xr:uid="{00000000-0005-0000-0000-00003A1A0000}"/>
    <cellStyle name="Porcentual 145 2" xfId="1977" xr:uid="{00000000-0005-0000-0000-00003B1A0000}"/>
    <cellStyle name="Porcentual 145 2 2" xfId="5638" xr:uid="{00000000-0005-0000-0000-00003C1A0000}"/>
    <cellStyle name="Porcentual 145 2 3" xfId="8312" xr:uid="{00000000-0005-0000-0000-00003D1A0000}"/>
    <cellStyle name="Porcentual 145 20" xfId="1978" xr:uid="{00000000-0005-0000-0000-00003E1A0000}"/>
    <cellStyle name="Porcentual 145 20 2" xfId="5639" xr:uid="{00000000-0005-0000-0000-00003F1A0000}"/>
    <cellStyle name="Porcentual 145 20 3" xfId="8313" xr:uid="{00000000-0005-0000-0000-0000401A0000}"/>
    <cellStyle name="Porcentual 145 21" xfId="1979" xr:uid="{00000000-0005-0000-0000-0000411A0000}"/>
    <cellStyle name="Porcentual 145 21 2" xfId="5640" xr:uid="{00000000-0005-0000-0000-0000421A0000}"/>
    <cellStyle name="Porcentual 145 21 3" xfId="8314" xr:uid="{00000000-0005-0000-0000-0000431A0000}"/>
    <cellStyle name="Porcentual 145 22" xfId="1980" xr:uid="{00000000-0005-0000-0000-0000441A0000}"/>
    <cellStyle name="Porcentual 145 22 2" xfId="5641" xr:uid="{00000000-0005-0000-0000-0000451A0000}"/>
    <cellStyle name="Porcentual 145 22 3" xfId="8315" xr:uid="{00000000-0005-0000-0000-0000461A0000}"/>
    <cellStyle name="Porcentual 145 23" xfId="1981" xr:uid="{00000000-0005-0000-0000-0000471A0000}"/>
    <cellStyle name="Porcentual 145 23 2" xfId="5642" xr:uid="{00000000-0005-0000-0000-0000481A0000}"/>
    <cellStyle name="Porcentual 145 23 3" xfId="8316" xr:uid="{00000000-0005-0000-0000-0000491A0000}"/>
    <cellStyle name="Porcentual 145 24" xfId="1982" xr:uid="{00000000-0005-0000-0000-00004A1A0000}"/>
    <cellStyle name="Porcentual 145 24 2" xfId="5643" xr:uid="{00000000-0005-0000-0000-00004B1A0000}"/>
    <cellStyle name="Porcentual 145 24 3" xfId="8317" xr:uid="{00000000-0005-0000-0000-00004C1A0000}"/>
    <cellStyle name="Porcentual 145 25" xfId="1983" xr:uid="{00000000-0005-0000-0000-00004D1A0000}"/>
    <cellStyle name="Porcentual 145 25 2" xfId="5644" xr:uid="{00000000-0005-0000-0000-00004E1A0000}"/>
    <cellStyle name="Porcentual 145 25 3" xfId="8318" xr:uid="{00000000-0005-0000-0000-00004F1A0000}"/>
    <cellStyle name="Porcentual 145 26" xfId="1984" xr:uid="{00000000-0005-0000-0000-0000501A0000}"/>
    <cellStyle name="Porcentual 145 26 2" xfId="5645" xr:uid="{00000000-0005-0000-0000-0000511A0000}"/>
    <cellStyle name="Porcentual 145 26 3" xfId="8319" xr:uid="{00000000-0005-0000-0000-0000521A0000}"/>
    <cellStyle name="Porcentual 145 27" xfId="1985" xr:uid="{00000000-0005-0000-0000-0000531A0000}"/>
    <cellStyle name="Porcentual 145 27 2" xfId="5646" xr:uid="{00000000-0005-0000-0000-0000541A0000}"/>
    <cellStyle name="Porcentual 145 27 3" xfId="8320" xr:uid="{00000000-0005-0000-0000-0000551A0000}"/>
    <cellStyle name="Porcentual 145 28" xfId="1986" xr:uid="{00000000-0005-0000-0000-0000561A0000}"/>
    <cellStyle name="Porcentual 145 28 2" xfId="5647" xr:uid="{00000000-0005-0000-0000-0000571A0000}"/>
    <cellStyle name="Porcentual 145 28 3" xfId="8321" xr:uid="{00000000-0005-0000-0000-0000581A0000}"/>
    <cellStyle name="Porcentual 145 3" xfId="1987" xr:uid="{00000000-0005-0000-0000-0000591A0000}"/>
    <cellStyle name="Porcentual 145 3 2" xfId="5648" xr:uid="{00000000-0005-0000-0000-00005A1A0000}"/>
    <cellStyle name="Porcentual 145 3 3" xfId="8322" xr:uid="{00000000-0005-0000-0000-00005B1A0000}"/>
    <cellStyle name="Porcentual 145 4" xfId="1988" xr:uid="{00000000-0005-0000-0000-00005C1A0000}"/>
    <cellStyle name="Porcentual 145 4 2" xfId="5649" xr:uid="{00000000-0005-0000-0000-00005D1A0000}"/>
    <cellStyle name="Porcentual 145 4 3" xfId="8323" xr:uid="{00000000-0005-0000-0000-00005E1A0000}"/>
    <cellStyle name="Porcentual 145 5" xfId="1989" xr:uid="{00000000-0005-0000-0000-00005F1A0000}"/>
    <cellStyle name="Porcentual 145 5 2" xfId="5650" xr:uid="{00000000-0005-0000-0000-0000601A0000}"/>
    <cellStyle name="Porcentual 145 5 3" xfId="8324" xr:uid="{00000000-0005-0000-0000-0000611A0000}"/>
    <cellStyle name="Porcentual 145 6" xfId="1990" xr:uid="{00000000-0005-0000-0000-0000621A0000}"/>
    <cellStyle name="Porcentual 145 6 2" xfId="5651" xr:uid="{00000000-0005-0000-0000-0000631A0000}"/>
    <cellStyle name="Porcentual 145 6 3" xfId="8325" xr:uid="{00000000-0005-0000-0000-0000641A0000}"/>
    <cellStyle name="Porcentual 145 7" xfId="1991" xr:uid="{00000000-0005-0000-0000-0000651A0000}"/>
    <cellStyle name="Porcentual 145 7 2" xfId="5652" xr:uid="{00000000-0005-0000-0000-0000661A0000}"/>
    <cellStyle name="Porcentual 145 7 3" xfId="8326" xr:uid="{00000000-0005-0000-0000-0000671A0000}"/>
    <cellStyle name="Porcentual 145 8" xfId="1992" xr:uid="{00000000-0005-0000-0000-0000681A0000}"/>
    <cellStyle name="Porcentual 145 8 2" xfId="5653" xr:uid="{00000000-0005-0000-0000-0000691A0000}"/>
    <cellStyle name="Porcentual 145 8 3" xfId="8327" xr:uid="{00000000-0005-0000-0000-00006A1A0000}"/>
    <cellStyle name="Porcentual 145 9" xfId="1993" xr:uid="{00000000-0005-0000-0000-00006B1A0000}"/>
    <cellStyle name="Porcentual 145 9 2" xfId="5654" xr:uid="{00000000-0005-0000-0000-00006C1A0000}"/>
    <cellStyle name="Porcentual 145 9 3" xfId="8328" xr:uid="{00000000-0005-0000-0000-00006D1A0000}"/>
    <cellStyle name="Porcentual 146 10" xfId="1994" xr:uid="{00000000-0005-0000-0000-00006E1A0000}"/>
    <cellStyle name="Porcentual 146 10 2" xfId="5655" xr:uid="{00000000-0005-0000-0000-00006F1A0000}"/>
    <cellStyle name="Porcentual 146 10 3" xfId="8329" xr:uid="{00000000-0005-0000-0000-0000701A0000}"/>
    <cellStyle name="Porcentual 146 11" xfId="1995" xr:uid="{00000000-0005-0000-0000-0000711A0000}"/>
    <cellStyle name="Porcentual 146 11 2" xfId="5656" xr:uid="{00000000-0005-0000-0000-0000721A0000}"/>
    <cellStyle name="Porcentual 146 11 3" xfId="8330" xr:uid="{00000000-0005-0000-0000-0000731A0000}"/>
    <cellStyle name="Porcentual 146 12" xfId="1996" xr:uid="{00000000-0005-0000-0000-0000741A0000}"/>
    <cellStyle name="Porcentual 146 12 2" xfId="5657" xr:uid="{00000000-0005-0000-0000-0000751A0000}"/>
    <cellStyle name="Porcentual 146 12 3" xfId="8331" xr:uid="{00000000-0005-0000-0000-0000761A0000}"/>
    <cellStyle name="Porcentual 146 13" xfId="1997" xr:uid="{00000000-0005-0000-0000-0000771A0000}"/>
    <cellStyle name="Porcentual 146 13 2" xfId="5658" xr:uid="{00000000-0005-0000-0000-0000781A0000}"/>
    <cellStyle name="Porcentual 146 13 3" xfId="8332" xr:uid="{00000000-0005-0000-0000-0000791A0000}"/>
    <cellStyle name="Porcentual 146 14" xfId="1998" xr:uid="{00000000-0005-0000-0000-00007A1A0000}"/>
    <cellStyle name="Porcentual 146 14 2" xfId="5659" xr:uid="{00000000-0005-0000-0000-00007B1A0000}"/>
    <cellStyle name="Porcentual 146 14 3" xfId="8333" xr:uid="{00000000-0005-0000-0000-00007C1A0000}"/>
    <cellStyle name="Porcentual 146 15" xfId="1999" xr:uid="{00000000-0005-0000-0000-00007D1A0000}"/>
    <cellStyle name="Porcentual 146 15 2" xfId="5660" xr:uid="{00000000-0005-0000-0000-00007E1A0000}"/>
    <cellStyle name="Porcentual 146 15 3" xfId="8334" xr:uid="{00000000-0005-0000-0000-00007F1A0000}"/>
    <cellStyle name="Porcentual 146 16" xfId="2000" xr:uid="{00000000-0005-0000-0000-0000801A0000}"/>
    <cellStyle name="Porcentual 146 16 2" xfId="5661" xr:uid="{00000000-0005-0000-0000-0000811A0000}"/>
    <cellStyle name="Porcentual 146 16 3" xfId="8335" xr:uid="{00000000-0005-0000-0000-0000821A0000}"/>
    <cellStyle name="Porcentual 146 17" xfId="2001" xr:uid="{00000000-0005-0000-0000-0000831A0000}"/>
    <cellStyle name="Porcentual 146 17 2" xfId="5662" xr:uid="{00000000-0005-0000-0000-0000841A0000}"/>
    <cellStyle name="Porcentual 146 17 3" xfId="8336" xr:uid="{00000000-0005-0000-0000-0000851A0000}"/>
    <cellStyle name="Porcentual 146 18" xfId="2002" xr:uid="{00000000-0005-0000-0000-0000861A0000}"/>
    <cellStyle name="Porcentual 146 18 2" xfId="5663" xr:uid="{00000000-0005-0000-0000-0000871A0000}"/>
    <cellStyle name="Porcentual 146 18 3" xfId="8337" xr:uid="{00000000-0005-0000-0000-0000881A0000}"/>
    <cellStyle name="Porcentual 146 19" xfId="2003" xr:uid="{00000000-0005-0000-0000-0000891A0000}"/>
    <cellStyle name="Porcentual 146 19 2" xfId="5664" xr:uid="{00000000-0005-0000-0000-00008A1A0000}"/>
    <cellStyle name="Porcentual 146 19 3" xfId="8338" xr:uid="{00000000-0005-0000-0000-00008B1A0000}"/>
    <cellStyle name="Porcentual 146 2" xfId="2004" xr:uid="{00000000-0005-0000-0000-00008C1A0000}"/>
    <cellStyle name="Porcentual 146 2 2" xfId="5665" xr:uid="{00000000-0005-0000-0000-00008D1A0000}"/>
    <cellStyle name="Porcentual 146 2 3" xfId="8339" xr:uid="{00000000-0005-0000-0000-00008E1A0000}"/>
    <cellStyle name="Porcentual 146 20" xfId="2005" xr:uid="{00000000-0005-0000-0000-00008F1A0000}"/>
    <cellStyle name="Porcentual 146 20 2" xfId="5666" xr:uid="{00000000-0005-0000-0000-0000901A0000}"/>
    <cellStyle name="Porcentual 146 20 3" xfId="8340" xr:uid="{00000000-0005-0000-0000-0000911A0000}"/>
    <cellStyle name="Porcentual 146 21" xfId="2006" xr:uid="{00000000-0005-0000-0000-0000921A0000}"/>
    <cellStyle name="Porcentual 146 21 2" xfId="5667" xr:uid="{00000000-0005-0000-0000-0000931A0000}"/>
    <cellStyle name="Porcentual 146 21 3" xfId="8341" xr:uid="{00000000-0005-0000-0000-0000941A0000}"/>
    <cellStyle name="Porcentual 146 22" xfId="2007" xr:uid="{00000000-0005-0000-0000-0000951A0000}"/>
    <cellStyle name="Porcentual 146 22 2" xfId="5668" xr:uid="{00000000-0005-0000-0000-0000961A0000}"/>
    <cellStyle name="Porcentual 146 22 3" xfId="8342" xr:uid="{00000000-0005-0000-0000-0000971A0000}"/>
    <cellStyle name="Porcentual 146 23" xfId="2008" xr:uid="{00000000-0005-0000-0000-0000981A0000}"/>
    <cellStyle name="Porcentual 146 23 2" xfId="5669" xr:uid="{00000000-0005-0000-0000-0000991A0000}"/>
    <cellStyle name="Porcentual 146 23 3" xfId="8343" xr:uid="{00000000-0005-0000-0000-00009A1A0000}"/>
    <cellStyle name="Porcentual 146 24" xfId="2009" xr:uid="{00000000-0005-0000-0000-00009B1A0000}"/>
    <cellStyle name="Porcentual 146 24 2" xfId="5670" xr:uid="{00000000-0005-0000-0000-00009C1A0000}"/>
    <cellStyle name="Porcentual 146 24 3" xfId="8344" xr:uid="{00000000-0005-0000-0000-00009D1A0000}"/>
    <cellStyle name="Porcentual 146 25" xfId="2010" xr:uid="{00000000-0005-0000-0000-00009E1A0000}"/>
    <cellStyle name="Porcentual 146 25 2" xfId="5671" xr:uid="{00000000-0005-0000-0000-00009F1A0000}"/>
    <cellStyle name="Porcentual 146 25 3" xfId="8345" xr:uid="{00000000-0005-0000-0000-0000A01A0000}"/>
    <cellStyle name="Porcentual 146 26" xfId="2011" xr:uid="{00000000-0005-0000-0000-0000A11A0000}"/>
    <cellStyle name="Porcentual 146 26 2" xfId="5672" xr:uid="{00000000-0005-0000-0000-0000A21A0000}"/>
    <cellStyle name="Porcentual 146 26 3" xfId="8346" xr:uid="{00000000-0005-0000-0000-0000A31A0000}"/>
    <cellStyle name="Porcentual 146 27" xfId="2012" xr:uid="{00000000-0005-0000-0000-0000A41A0000}"/>
    <cellStyle name="Porcentual 146 27 2" xfId="5673" xr:uid="{00000000-0005-0000-0000-0000A51A0000}"/>
    <cellStyle name="Porcentual 146 27 3" xfId="8347" xr:uid="{00000000-0005-0000-0000-0000A61A0000}"/>
    <cellStyle name="Porcentual 146 28" xfId="2013" xr:uid="{00000000-0005-0000-0000-0000A71A0000}"/>
    <cellStyle name="Porcentual 146 28 2" xfId="5674" xr:uid="{00000000-0005-0000-0000-0000A81A0000}"/>
    <cellStyle name="Porcentual 146 28 3" xfId="8348" xr:uid="{00000000-0005-0000-0000-0000A91A0000}"/>
    <cellStyle name="Porcentual 146 3" xfId="2014" xr:uid="{00000000-0005-0000-0000-0000AA1A0000}"/>
    <cellStyle name="Porcentual 146 3 2" xfId="5675" xr:uid="{00000000-0005-0000-0000-0000AB1A0000}"/>
    <cellStyle name="Porcentual 146 3 3" xfId="8349" xr:uid="{00000000-0005-0000-0000-0000AC1A0000}"/>
    <cellStyle name="Porcentual 146 4" xfId="2015" xr:uid="{00000000-0005-0000-0000-0000AD1A0000}"/>
    <cellStyle name="Porcentual 146 4 2" xfId="5676" xr:uid="{00000000-0005-0000-0000-0000AE1A0000}"/>
    <cellStyle name="Porcentual 146 4 3" xfId="8350" xr:uid="{00000000-0005-0000-0000-0000AF1A0000}"/>
    <cellStyle name="Porcentual 146 5" xfId="2016" xr:uid="{00000000-0005-0000-0000-0000B01A0000}"/>
    <cellStyle name="Porcentual 146 5 2" xfId="5677" xr:uid="{00000000-0005-0000-0000-0000B11A0000}"/>
    <cellStyle name="Porcentual 146 5 3" xfId="8351" xr:uid="{00000000-0005-0000-0000-0000B21A0000}"/>
    <cellStyle name="Porcentual 146 6" xfId="2017" xr:uid="{00000000-0005-0000-0000-0000B31A0000}"/>
    <cellStyle name="Porcentual 146 6 2" xfId="5678" xr:uid="{00000000-0005-0000-0000-0000B41A0000}"/>
    <cellStyle name="Porcentual 146 6 3" xfId="8352" xr:uid="{00000000-0005-0000-0000-0000B51A0000}"/>
    <cellStyle name="Porcentual 146 7" xfId="2018" xr:uid="{00000000-0005-0000-0000-0000B61A0000}"/>
    <cellStyle name="Porcentual 146 7 2" xfId="5679" xr:uid="{00000000-0005-0000-0000-0000B71A0000}"/>
    <cellStyle name="Porcentual 146 7 3" xfId="8353" xr:uid="{00000000-0005-0000-0000-0000B81A0000}"/>
    <cellStyle name="Porcentual 146 8" xfId="2019" xr:uid="{00000000-0005-0000-0000-0000B91A0000}"/>
    <cellStyle name="Porcentual 146 8 2" xfId="5680" xr:uid="{00000000-0005-0000-0000-0000BA1A0000}"/>
    <cellStyle name="Porcentual 146 8 3" xfId="8354" xr:uid="{00000000-0005-0000-0000-0000BB1A0000}"/>
    <cellStyle name="Porcentual 146 9" xfId="2020" xr:uid="{00000000-0005-0000-0000-0000BC1A0000}"/>
    <cellStyle name="Porcentual 146 9 2" xfId="5681" xr:uid="{00000000-0005-0000-0000-0000BD1A0000}"/>
    <cellStyle name="Porcentual 146 9 3" xfId="8355" xr:uid="{00000000-0005-0000-0000-0000BE1A0000}"/>
    <cellStyle name="Porcentual 147 10" xfId="2021" xr:uid="{00000000-0005-0000-0000-0000BF1A0000}"/>
    <cellStyle name="Porcentual 147 10 2" xfId="5682" xr:uid="{00000000-0005-0000-0000-0000C01A0000}"/>
    <cellStyle name="Porcentual 147 10 3" xfId="8356" xr:uid="{00000000-0005-0000-0000-0000C11A0000}"/>
    <cellStyle name="Porcentual 147 11" xfId="2022" xr:uid="{00000000-0005-0000-0000-0000C21A0000}"/>
    <cellStyle name="Porcentual 147 11 2" xfId="5683" xr:uid="{00000000-0005-0000-0000-0000C31A0000}"/>
    <cellStyle name="Porcentual 147 11 3" xfId="8357" xr:uid="{00000000-0005-0000-0000-0000C41A0000}"/>
    <cellStyle name="Porcentual 147 12" xfId="2023" xr:uid="{00000000-0005-0000-0000-0000C51A0000}"/>
    <cellStyle name="Porcentual 147 12 2" xfId="5684" xr:uid="{00000000-0005-0000-0000-0000C61A0000}"/>
    <cellStyle name="Porcentual 147 12 3" xfId="8358" xr:uid="{00000000-0005-0000-0000-0000C71A0000}"/>
    <cellStyle name="Porcentual 147 13" xfId="2024" xr:uid="{00000000-0005-0000-0000-0000C81A0000}"/>
    <cellStyle name="Porcentual 147 13 2" xfId="5685" xr:uid="{00000000-0005-0000-0000-0000C91A0000}"/>
    <cellStyle name="Porcentual 147 13 3" xfId="8359" xr:uid="{00000000-0005-0000-0000-0000CA1A0000}"/>
    <cellStyle name="Porcentual 147 14" xfId="2025" xr:uid="{00000000-0005-0000-0000-0000CB1A0000}"/>
    <cellStyle name="Porcentual 147 14 2" xfId="5686" xr:uid="{00000000-0005-0000-0000-0000CC1A0000}"/>
    <cellStyle name="Porcentual 147 14 3" xfId="8360" xr:uid="{00000000-0005-0000-0000-0000CD1A0000}"/>
    <cellStyle name="Porcentual 147 15" xfId="2026" xr:uid="{00000000-0005-0000-0000-0000CE1A0000}"/>
    <cellStyle name="Porcentual 147 15 2" xfId="5687" xr:uid="{00000000-0005-0000-0000-0000CF1A0000}"/>
    <cellStyle name="Porcentual 147 15 3" xfId="8361" xr:uid="{00000000-0005-0000-0000-0000D01A0000}"/>
    <cellStyle name="Porcentual 147 16" xfId="2027" xr:uid="{00000000-0005-0000-0000-0000D11A0000}"/>
    <cellStyle name="Porcentual 147 16 2" xfId="5688" xr:uid="{00000000-0005-0000-0000-0000D21A0000}"/>
    <cellStyle name="Porcentual 147 16 3" xfId="8362" xr:uid="{00000000-0005-0000-0000-0000D31A0000}"/>
    <cellStyle name="Porcentual 147 17" xfId="2028" xr:uid="{00000000-0005-0000-0000-0000D41A0000}"/>
    <cellStyle name="Porcentual 147 17 2" xfId="5689" xr:uid="{00000000-0005-0000-0000-0000D51A0000}"/>
    <cellStyle name="Porcentual 147 17 3" xfId="8363" xr:uid="{00000000-0005-0000-0000-0000D61A0000}"/>
    <cellStyle name="Porcentual 147 18" xfId="2029" xr:uid="{00000000-0005-0000-0000-0000D71A0000}"/>
    <cellStyle name="Porcentual 147 18 2" xfId="5690" xr:uid="{00000000-0005-0000-0000-0000D81A0000}"/>
    <cellStyle name="Porcentual 147 18 3" xfId="8364" xr:uid="{00000000-0005-0000-0000-0000D91A0000}"/>
    <cellStyle name="Porcentual 147 19" xfId="2030" xr:uid="{00000000-0005-0000-0000-0000DA1A0000}"/>
    <cellStyle name="Porcentual 147 19 2" xfId="5691" xr:uid="{00000000-0005-0000-0000-0000DB1A0000}"/>
    <cellStyle name="Porcentual 147 19 3" xfId="8365" xr:uid="{00000000-0005-0000-0000-0000DC1A0000}"/>
    <cellStyle name="Porcentual 147 2" xfId="2031" xr:uid="{00000000-0005-0000-0000-0000DD1A0000}"/>
    <cellStyle name="Porcentual 147 2 2" xfId="5692" xr:uid="{00000000-0005-0000-0000-0000DE1A0000}"/>
    <cellStyle name="Porcentual 147 2 3" xfId="8366" xr:uid="{00000000-0005-0000-0000-0000DF1A0000}"/>
    <cellStyle name="Porcentual 147 20" xfId="2032" xr:uid="{00000000-0005-0000-0000-0000E01A0000}"/>
    <cellStyle name="Porcentual 147 20 2" xfId="5693" xr:uid="{00000000-0005-0000-0000-0000E11A0000}"/>
    <cellStyle name="Porcentual 147 20 3" xfId="8367" xr:uid="{00000000-0005-0000-0000-0000E21A0000}"/>
    <cellStyle name="Porcentual 147 21" xfId="2033" xr:uid="{00000000-0005-0000-0000-0000E31A0000}"/>
    <cellStyle name="Porcentual 147 21 2" xfId="5694" xr:uid="{00000000-0005-0000-0000-0000E41A0000}"/>
    <cellStyle name="Porcentual 147 21 3" xfId="8368" xr:uid="{00000000-0005-0000-0000-0000E51A0000}"/>
    <cellStyle name="Porcentual 147 22" xfId="2034" xr:uid="{00000000-0005-0000-0000-0000E61A0000}"/>
    <cellStyle name="Porcentual 147 22 2" xfId="5695" xr:uid="{00000000-0005-0000-0000-0000E71A0000}"/>
    <cellStyle name="Porcentual 147 22 3" xfId="8369" xr:uid="{00000000-0005-0000-0000-0000E81A0000}"/>
    <cellStyle name="Porcentual 147 23" xfId="2035" xr:uid="{00000000-0005-0000-0000-0000E91A0000}"/>
    <cellStyle name="Porcentual 147 23 2" xfId="5696" xr:uid="{00000000-0005-0000-0000-0000EA1A0000}"/>
    <cellStyle name="Porcentual 147 23 3" xfId="8370" xr:uid="{00000000-0005-0000-0000-0000EB1A0000}"/>
    <cellStyle name="Porcentual 147 24" xfId="2036" xr:uid="{00000000-0005-0000-0000-0000EC1A0000}"/>
    <cellStyle name="Porcentual 147 24 2" xfId="5697" xr:uid="{00000000-0005-0000-0000-0000ED1A0000}"/>
    <cellStyle name="Porcentual 147 24 3" xfId="8371" xr:uid="{00000000-0005-0000-0000-0000EE1A0000}"/>
    <cellStyle name="Porcentual 147 25" xfId="2037" xr:uid="{00000000-0005-0000-0000-0000EF1A0000}"/>
    <cellStyle name="Porcentual 147 25 2" xfId="5698" xr:uid="{00000000-0005-0000-0000-0000F01A0000}"/>
    <cellStyle name="Porcentual 147 25 3" xfId="8372" xr:uid="{00000000-0005-0000-0000-0000F11A0000}"/>
    <cellStyle name="Porcentual 147 26" xfId="2038" xr:uid="{00000000-0005-0000-0000-0000F21A0000}"/>
    <cellStyle name="Porcentual 147 26 2" xfId="5699" xr:uid="{00000000-0005-0000-0000-0000F31A0000}"/>
    <cellStyle name="Porcentual 147 26 3" xfId="8373" xr:uid="{00000000-0005-0000-0000-0000F41A0000}"/>
    <cellStyle name="Porcentual 147 27" xfId="2039" xr:uid="{00000000-0005-0000-0000-0000F51A0000}"/>
    <cellStyle name="Porcentual 147 27 2" xfId="5700" xr:uid="{00000000-0005-0000-0000-0000F61A0000}"/>
    <cellStyle name="Porcentual 147 27 3" xfId="8374" xr:uid="{00000000-0005-0000-0000-0000F71A0000}"/>
    <cellStyle name="Porcentual 147 28" xfId="2040" xr:uid="{00000000-0005-0000-0000-0000F81A0000}"/>
    <cellStyle name="Porcentual 147 28 2" xfId="5701" xr:uid="{00000000-0005-0000-0000-0000F91A0000}"/>
    <cellStyle name="Porcentual 147 28 3" xfId="8375" xr:uid="{00000000-0005-0000-0000-0000FA1A0000}"/>
    <cellStyle name="Porcentual 147 3" xfId="2041" xr:uid="{00000000-0005-0000-0000-0000FB1A0000}"/>
    <cellStyle name="Porcentual 147 3 2" xfId="5702" xr:uid="{00000000-0005-0000-0000-0000FC1A0000}"/>
    <cellStyle name="Porcentual 147 3 3" xfId="8376" xr:uid="{00000000-0005-0000-0000-0000FD1A0000}"/>
    <cellStyle name="Porcentual 147 4" xfId="2042" xr:uid="{00000000-0005-0000-0000-0000FE1A0000}"/>
    <cellStyle name="Porcentual 147 4 2" xfId="5703" xr:uid="{00000000-0005-0000-0000-0000FF1A0000}"/>
    <cellStyle name="Porcentual 147 4 3" xfId="8377" xr:uid="{00000000-0005-0000-0000-0000001B0000}"/>
    <cellStyle name="Porcentual 147 5" xfId="2043" xr:uid="{00000000-0005-0000-0000-0000011B0000}"/>
    <cellStyle name="Porcentual 147 5 2" xfId="5704" xr:uid="{00000000-0005-0000-0000-0000021B0000}"/>
    <cellStyle name="Porcentual 147 5 3" xfId="8378" xr:uid="{00000000-0005-0000-0000-0000031B0000}"/>
    <cellStyle name="Porcentual 147 6" xfId="2044" xr:uid="{00000000-0005-0000-0000-0000041B0000}"/>
    <cellStyle name="Porcentual 147 6 2" xfId="5705" xr:uid="{00000000-0005-0000-0000-0000051B0000}"/>
    <cellStyle name="Porcentual 147 6 3" xfId="8379" xr:uid="{00000000-0005-0000-0000-0000061B0000}"/>
    <cellStyle name="Porcentual 147 7" xfId="2045" xr:uid="{00000000-0005-0000-0000-0000071B0000}"/>
    <cellStyle name="Porcentual 147 7 2" xfId="5706" xr:uid="{00000000-0005-0000-0000-0000081B0000}"/>
    <cellStyle name="Porcentual 147 7 3" xfId="8380" xr:uid="{00000000-0005-0000-0000-0000091B0000}"/>
    <cellStyle name="Porcentual 147 8" xfId="2046" xr:uid="{00000000-0005-0000-0000-00000A1B0000}"/>
    <cellStyle name="Porcentual 147 8 2" xfId="5707" xr:uid="{00000000-0005-0000-0000-00000B1B0000}"/>
    <cellStyle name="Porcentual 147 8 3" xfId="8381" xr:uid="{00000000-0005-0000-0000-00000C1B0000}"/>
    <cellStyle name="Porcentual 147 9" xfId="2047" xr:uid="{00000000-0005-0000-0000-00000D1B0000}"/>
    <cellStyle name="Porcentual 147 9 2" xfId="5708" xr:uid="{00000000-0005-0000-0000-00000E1B0000}"/>
    <cellStyle name="Porcentual 147 9 3" xfId="8382" xr:uid="{00000000-0005-0000-0000-00000F1B0000}"/>
    <cellStyle name="Porcentual 149 10" xfId="2048" xr:uid="{00000000-0005-0000-0000-0000101B0000}"/>
    <cellStyle name="Porcentual 149 10 2" xfId="5709" xr:uid="{00000000-0005-0000-0000-0000111B0000}"/>
    <cellStyle name="Porcentual 149 10 3" xfId="8383" xr:uid="{00000000-0005-0000-0000-0000121B0000}"/>
    <cellStyle name="Porcentual 149 11" xfId="2049" xr:uid="{00000000-0005-0000-0000-0000131B0000}"/>
    <cellStyle name="Porcentual 149 11 2" xfId="5710" xr:uid="{00000000-0005-0000-0000-0000141B0000}"/>
    <cellStyle name="Porcentual 149 11 3" xfId="8384" xr:uid="{00000000-0005-0000-0000-0000151B0000}"/>
    <cellStyle name="Porcentual 149 12" xfId="2050" xr:uid="{00000000-0005-0000-0000-0000161B0000}"/>
    <cellStyle name="Porcentual 149 12 2" xfId="5711" xr:uid="{00000000-0005-0000-0000-0000171B0000}"/>
    <cellStyle name="Porcentual 149 12 3" xfId="8385" xr:uid="{00000000-0005-0000-0000-0000181B0000}"/>
    <cellStyle name="Porcentual 149 13" xfId="2051" xr:uid="{00000000-0005-0000-0000-0000191B0000}"/>
    <cellStyle name="Porcentual 149 13 2" xfId="5712" xr:uid="{00000000-0005-0000-0000-00001A1B0000}"/>
    <cellStyle name="Porcentual 149 13 3" xfId="8386" xr:uid="{00000000-0005-0000-0000-00001B1B0000}"/>
    <cellStyle name="Porcentual 149 14" xfId="2052" xr:uid="{00000000-0005-0000-0000-00001C1B0000}"/>
    <cellStyle name="Porcentual 149 14 2" xfId="5713" xr:uid="{00000000-0005-0000-0000-00001D1B0000}"/>
    <cellStyle name="Porcentual 149 14 3" xfId="8387" xr:uid="{00000000-0005-0000-0000-00001E1B0000}"/>
    <cellStyle name="Porcentual 149 15" xfId="2053" xr:uid="{00000000-0005-0000-0000-00001F1B0000}"/>
    <cellStyle name="Porcentual 149 15 2" xfId="5714" xr:uid="{00000000-0005-0000-0000-0000201B0000}"/>
    <cellStyle name="Porcentual 149 15 3" xfId="8388" xr:uid="{00000000-0005-0000-0000-0000211B0000}"/>
    <cellStyle name="Porcentual 149 16" xfId="2054" xr:uid="{00000000-0005-0000-0000-0000221B0000}"/>
    <cellStyle name="Porcentual 149 16 2" xfId="5715" xr:uid="{00000000-0005-0000-0000-0000231B0000}"/>
    <cellStyle name="Porcentual 149 16 3" xfId="8389" xr:uid="{00000000-0005-0000-0000-0000241B0000}"/>
    <cellStyle name="Porcentual 149 17" xfId="2055" xr:uid="{00000000-0005-0000-0000-0000251B0000}"/>
    <cellStyle name="Porcentual 149 17 2" xfId="5716" xr:uid="{00000000-0005-0000-0000-0000261B0000}"/>
    <cellStyle name="Porcentual 149 17 3" xfId="8390" xr:uid="{00000000-0005-0000-0000-0000271B0000}"/>
    <cellStyle name="Porcentual 149 18" xfId="2056" xr:uid="{00000000-0005-0000-0000-0000281B0000}"/>
    <cellStyle name="Porcentual 149 18 2" xfId="5717" xr:uid="{00000000-0005-0000-0000-0000291B0000}"/>
    <cellStyle name="Porcentual 149 18 3" xfId="8391" xr:uid="{00000000-0005-0000-0000-00002A1B0000}"/>
    <cellStyle name="Porcentual 149 19" xfId="2057" xr:uid="{00000000-0005-0000-0000-00002B1B0000}"/>
    <cellStyle name="Porcentual 149 19 2" xfId="5718" xr:uid="{00000000-0005-0000-0000-00002C1B0000}"/>
    <cellStyle name="Porcentual 149 19 3" xfId="8392" xr:uid="{00000000-0005-0000-0000-00002D1B0000}"/>
    <cellStyle name="Porcentual 149 2" xfId="2058" xr:uid="{00000000-0005-0000-0000-00002E1B0000}"/>
    <cellStyle name="Porcentual 149 2 2" xfId="5719" xr:uid="{00000000-0005-0000-0000-00002F1B0000}"/>
    <cellStyle name="Porcentual 149 2 3" xfId="8393" xr:uid="{00000000-0005-0000-0000-0000301B0000}"/>
    <cellStyle name="Porcentual 149 20" xfId="2059" xr:uid="{00000000-0005-0000-0000-0000311B0000}"/>
    <cellStyle name="Porcentual 149 20 2" xfId="5720" xr:uid="{00000000-0005-0000-0000-0000321B0000}"/>
    <cellStyle name="Porcentual 149 20 3" xfId="8394" xr:uid="{00000000-0005-0000-0000-0000331B0000}"/>
    <cellStyle name="Porcentual 149 21" xfId="2060" xr:uid="{00000000-0005-0000-0000-0000341B0000}"/>
    <cellStyle name="Porcentual 149 21 2" xfId="5721" xr:uid="{00000000-0005-0000-0000-0000351B0000}"/>
    <cellStyle name="Porcentual 149 21 3" xfId="8395" xr:uid="{00000000-0005-0000-0000-0000361B0000}"/>
    <cellStyle name="Porcentual 149 22" xfId="2061" xr:uid="{00000000-0005-0000-0000-0000371B0000}"/>
    <cellStyle name="Porcentual 149 22 2" xfId="5722" xr:uid="{00000000-0005-0000-0000-0000381B0000}"/>
    <cellStyle name="Porcentual 149 22 3" xfId="8396" xr:uid="{00000000-0005-0000-0000-0000391B0000}"/>
    <cellStyle name="Porcentual 149 23" xfId="2062" xr:uid="{00000000-0005-0000-0000-00003A1B0000}"/>
    <cellStyle name="Porcentual 149 23 2" xfId="5723" xr:uid="{00000000-0005-0000-0000-00003B1B0000}"/>
    <cellStyle name="Porcentual 149 23 3" xfId="8397" xr:uid="{00000000-0005-0000-0000-00003C1B0000}"/>
    <cellStyle name="Porcentual 149 24" xfId="2063" xr:uid="{00000000-0005-0000-0000-00003D1B0000}"/>
    <cellStyle name="Porcentual 149 24 2" xfId="5724" xr:uid="{00000000-0005-0000-0000-00003E1B0000}"/>
    <cellStyle name="Porcentual 149 24 3" xfId="8398" xr:uid="{00000000-0005-0000-0000-00003F1B0000}"/>
    <cellStyle name="Porcentual 149 25" xfId="2064" xr:uid="{00000000-0005-0000-0000-0000401B0000}"/>
    <cellStyle name="Porcentual 149 25 2" xfId="5725" xr:uid="{00000000-0005-0000-0000-0000411B0000}"/>
    <cellStyle name="Porcentual 149 25 3" xfId="8399" xr:uid="{00000000-0005-0000-0000-0000421B0000}"/>
    <cellStyle name="Porcentual 149 26" xfId="2065" xr:uid="{00000000-0005-0000-0000-0000431B0000}"/>
    <cellStyle name="Porcentual 149 26 2" xfId="5726" xr:uid="{00000000-0005-0000-0000-0000441B0000}"/>
    <cellStyle name="Porcentual 149 26 3" xfId="8400" xr:uid="{00000000-0005-0000-0000-0000451B0000}"/>
    <cellStyle name="Porcentual 149 27" xfId="2066" xr:uid="{00000000-0005-0000-0000-0000461B0000}"/>
    <cellStyle name="Porcentual 149 27 2" xfId="5727" xr:uid="{00000000-0005-0000-0000-0000471B0000}"/>
    <cellStyle name="Porcentual 149 27 3" xfId="8401" xr:uid="{00000000-0005-0000-0000-0000481B0000}"/>
    <cellStyle name="Porcentual 149 28" xfId="2067" xr:uid="{00000000-0005-0000-0000-0000491B0000}"/>
    <cellStyle name="Porcentual 149 28 2" xfId="5728" xr:uid="{00000000-0005-0000-0000-00004A1B0000}"/>
    <cellStyle name="Porcentual 149 28 3" xfId="8402" xr:uid="{00000000-0005-0000-0000-00004B1B0000}"/>
    <cellStyle name="Porcentual 149 3" xfId="2068" xr:uid="{00000000-0005-0000-0000-00004C1B0000}"/>
    <cellStyle name="Porcentual 149 3 2" xfId="5729" xr:uid="{00000000-0005-0000-0000-00004D1B0000}"/>
    <cellStyle name="Porcentual 149 3 3" xfId="8403" xr:uid="{00000000-0005-0000-0000-00004E1B0000}"/>
    <cellStyle name="Porcentual 149 4" xfId="2069" xr:uid="{00000000-0005-0000-0000-00004F1B0000}"/>
    <cellStyle name="Porcentual 149 4 2" xfId="5730" xr:uid="{00000000-0005-0000-0000-0000501B0000}"/>
    <cellStyle name="Porcentual 149 4 3" xfId="8404" xr:uid="{00000000-0005-0000-0000-0000511B0000}"/>
    <cellStyle name="Porcentual 149 5" xfId="2070" xr:uid="{00000000-0005-0000-0000-0000521B0000}"/>
    <cellStyle name="Porcentual 149 5 2" xfId="5731" xr:uid="{00000000-0005-0000-0000-0000531B0000}"/>
    <cellStyle name="Porcentual 149 5 3" xfId="8405" xr:uid="{00000000-0005-0000-0000-0000541B0000}"/>
    <cellStyle name="Porcentual 149 6" xfId="2071" xr:uid="{00000000-0005-0000-0000-0000551B0000}"/>
    <cellStyle name="Porcentual 149 6 2" xfId="5732" xr:uid="{00000000-0005-0000-0000-0000561B0000}"/>
    <cellStyle name="Porcentual 149 6 3" xfId="8406" xr:uid="{00000000-0005-0000-0000-0000571B0000}"/>
    <cellStyle name="Porcentual 149 7" xfId="2072" xr:uid="{00000000-0005-0000-0000-0000581B0000}"/>
    <cellStyle name="Porcentual 149 7 2" xfId="5733" xr:uid="{00000000-0005-0000-0000-0000591B0000}"/>
    <cellStyle name="Porcentual 149 7 3" xfId="8407" xr:uid="{00000000-0005-0000-0000-00005A1B0000}"/>
    <cellStyle name="Porcentual 149 8" xfId="2073" xr:uid="{00000000-0005-0000-0000-00005B1B0000}"/>
    <cellStyle name="Porcentual 149 8 2" xfId="5734" xr:uid="{00000000-0005-0000-0000-00005C1B0000}"/>
    <cellStyle name="Porcentual 149 8 3" xfId="8408" xr:uid="{00000000-0005-0000-0000-00005D1B0000}"/>
    <cellStyle name="Porcentual 149 9" xfId="2074" xr:uid="{00000000-0005-0000-0000-00005E1B0000}"/>
    <cellStyle name="Porcentual 149 9 2" xfId="5735" xr:uid="{00000000-0005-0000-0000-00005F1B0000}"/>
    <cellStyle name="Porcentual 149 9 3" xfId="8409" xr:uid="{00000000-0005-0000-0000-0000601B0000}"/>
    <cellStyle name="Porcentual 15" xfId="2075" xr:uid="{00000000-0005-0000-0000-0000611B0000}"/>
    <cellStyle name="Porcentual 15 2" xfId="5736" xr:uid="{00000000-0005-0000-0000-0000621B0000}"/>
    <cellStyle name="Porcentual 15 2 2" xfId="9776" xr:uid="{00000000-0005-0000-0000-0000631B0000}"/>
    <cellStyle name="Porcentual 15 2 2 2" xfId="10474" xr:uid="{00000000-0005-0000-0000-0000641B0000}"/>
    <cellStyle name="Porcentual 15 2 2 2 2" xfId="12209" xr:uid="{00000000-0005-0000-0000-0000651B0000}"/>
    <cellStyle name="Porcentual 15 2 2 3" xfId="11562" xr:uid="{00000000-0005-0000-0000-0000661B0000}"/>
    <cellStyle name="Porcentual 15 2 3" xfId="10183" xr:uid="{00000000-0005-0000-0000-0000671B0000}"/>
    <cellStyle name="Porcentual 15 2 3 2" xfId="11919" xr:uid="{00000000-0005-0000-0000-0000681B0000}"/>
    <cellStyle name="Porcentual 15 2 4" xfId="11197" xr:uid="{00000000-0005-0000-0000-0000691B0000}"/>
    <cellStyle name="Porcentual 15 3" xfId="5737" xr:uid="{00000000-0005-0000-0000-00006A1B0000}"/>
    <cellStyle name="Porcentual 15 3 2" xfId="9777" xr:uid="{00000000-0005-0000-0000-00006B1B0000}"/>
    <cellStyle name="Porcentual 15 3 2 2" xfId="10475" xr:uid="{00000000-0005-0000-0000-00006C1B0000}"/>
    <cellStyle name="Porcentual 15 3 2 2 2" xfId="12210" xr:uid="{00000000-0005-0000-0000-00006D1B0000}"/>
    <cellStyle name="Porcentual 15 3 2 3" xfId="11563" xr:uid="{00000000-0005-0000-0000-00006E1B0000}"/>
    <cellStyle name="Porcentual 15 3 3" xfId="10184" xr:uid="{00000000-0005-0000-0000-00006F1B0000}"/>
    <cellStyle name="Porcentual 15 3 3 2" xfId="11920" xr:uid="{00000000-0005-0000-0000-0000701B0000}"/>
    <cellStyle name="Porcentual 15 3 4" xfId="11198" xr:uid="{00000000-0005-0000-0000-0000711B0000}"/>
    <cellStyle name="Porcentual 15 4" xfId="8410" xr:uid="{00000000-0005-0000-0000-0000721B0000}"/>
    <cellStyle name="Porcentual 150 10" xfId="2076" xr:uid="{00000000-0005-0000-0000-0000731B0000}"/>
    <cellStyle name="Porcentual 150 10 2" xfId="5738" xr:uid="{00000000-0005-0000-0000-0000741B0000}"/>
    <cellStyle name="Porcentual 150 10 3" xfId="8411" xr:uid="{00000000-0005-0000-0000-0000751B0000}"/>
    <cellStyle name="Porcentual 150 11" xfId="2077" xr:uid="{00000000-0005-0000-0000-0000761B0000}"/>
    <cellStyle name="Porcentual 150 11 2" xfId="5739" xr:uid="{00000000-0005-0000-0000-0000771B0000}"/>
    <cellStyle name="Porcentual 150 11 3" xfId="8412" xr:uid="{00000000-0005-0000-0000-0000781B0000}"/>
    <cellStyle name="Porcentual 150 12" xfId="2078" xr:uid="{00000000-0005-0000-0000-0000791B0000}"/>
    <cellStyle name="Porcentual 150 12 2" xfId="5740" xr:uid="{00000000-0005-0000-0000-00007A1B0000}"/>
    <cellStyle name="Porcentual 150 12 3" xfId="8413" xr:uid="{00000000-0005-0000-0000-00007B1B0000}"/>
    <cellStyle name="Porcentual 150 13" xfId="2079" xr:uid="{00000000-0005-0000-0000-00007C1B0000}"/>
    <cellStyle name="Porcentual 150 13 2" xfId="5741" xr:uid="{00000000-0005-0000-0000-00007D1B0000}"/>
    <cellStyle name="Porcentual 150 13 3" xfId="8414" xr:uid="{00000000-0005-0000-0000-00007E1B0000}"/>
    <cellStyle name="Porcentual 150 14" xfId="2080" xr:uid="{00000000-0005-0000-0000-00007F1B0000}"/>
    <cellStyle name="Porcentual 150 14 2" xfId="5742" xr:uid="{00000000-0005-0000-0000-0000801B0000}"/>
    <cellStyle name="Porcentual 150 14 3" xfId="8415" xr:uid="{00000000-0005-0000-0000-0000811B0000}"/>
    <cellStyle name="Porcentual 150 15" xfId="2081" xr:uid="{00000000-0005-0000-0000-0000821B0000}"/>
    <cellStyle name="Porcentual 150 15 2" xfId="5743" xr:uid="{00000000-0005-0000-0000-0000831B0000}"/>
    <cellStyle name="Porcentual 150 15 3" xfId="8416" xr:uid="{00000000-0005-0000-0000-0000841B0000}"/>
    <cellStyle name="Porcentual 150 16" xfId="2082" xr:uid="{00000000-0005-0000-0000-0000851B0000}"/>
    <cellStyle name="Porcentual 150 16 2" xfId="5744" xr:uid="{00000000-0005-0000-0000-0000861B0000}"/>
    <cellStyle name="Porcentual 150 16 3" xfId="8417" xr:uid="{00000000-0005-0000-0000-0000871B0000}"/>
    <cellStyle name="Porcentual 150 17" xfId="2083" xr:uid="{00000000-0005-0000-0000-0000881B0000}"/>
    <cellStyle name="Porcentual 150 17 2" xfId="5745" xr:uid="{00000000-0005-0000-0000-0000891B0000}"/>
    <cellStyle name="Porcentual 150 17 3" xfId="8418" xr:uid="{00000000-0005-0000-0000-00008A1B0000}"/>
    <cellStyle name="Porcentual 150 18" xfId="2084" xr:uid="{00000000-0005-0000-0000-00008B1B0000}"/>
    <cellStyle name="Porcentual 150 18 2" xfId="5746" xr:uid="{00000000-0005-0000-0000-00008C1B0000}"/>
    <cellStyle name="Porcentual 150 18 3" xfId="8419" xr:uid="{00000000-0005-0000-0000-00008D1B0000}"/>
    <cellStyle name="Porcentual 150 19" xfId="2085" xr:uid="{00000000-0005-0000-0000-00008E1B0000}"/>
    <cellStyle name="Porcentual 150 19 2" xfId="5747" xr:uid="{00000000-0005-0000-0000-00008F1B0000}"/>
    <cellStyle name="Porcentual 150 19 3" xfId="8420" xr:uid="{00000000-0005-0000-0000-0000901B0000}"/>
    <cellStyle name="Porcentual 150 2" xfId="2086" xr:uid="{00000000-0005-0000-0000-0000911B0000}"/>
    <cellStyle name="Porcentual 150 2 2" xfId="5748" xr:uid="{00000000-0005-0000-0000-0000921B0000}"/>
    <cellStyle name="Porcentual 150 2 3" xfId="8421" xr:uid="{00000000-0005-0000-0000-0000931B0000}"/>
    <cellStyle name="Porcentual 150 20" xfId="2087" xr:uid="{00000000-0005-0000-0000-0000941B0000}"/>
    <cellStyle name="Porcentual 150 20 2" xfId="5749" xr:uid="{00000000-0005-0000-0000-0000951B0000}"/>
    <cellStyle name="Porcentual 150 20 3" xfId="8422" xr:uid="{00000000-0005-0000-0000-0000961B0000}"/>
    <cellStyle name="Porcentual 150 21" xfId="2088" xr:uid="{00000000-0005-0000-0000-0000971B0000}"/>
    <cellStyle name="Porcentual 150 21 2" xfId="5750" xr:uid="{00000000-0005-0000-0000-0000981B0000}"/>
    <cellStyle name="Porcentual 150 21 3" xfId="8423" xr:uid="{00000000-0005-0000-0000-0000991B0000}"/>
    <cellStyle name="Porcentual 150 22" xfId="2089" xr:uid="{00000000-0005-0000-0000-00009A1B0000}"/>
    <cellStyle name="Porcentual 150 22 2" xfId="5751" xr:uid="{00000000-0005-0000-0000-00009B1B0000}"/>
    <cellStyle name="Porcentual 150 22 3" xfId="8424" xr:uid="{00000000-0005-0000-0000-00009C1B0000}"/>
    <cellStyle name="Porcentual 150 23" xfId="2090" xr:uid="{00000000-0005-0000-0000-00009D1B0000}"/>
    <cellStyle name="Porcentual 150 23 2" xfId="5752" xr:uid="{00000000-0005-0000-0000-00009E1B0000}"/>
    <cellStyle name="Porcentual 150 23 3" xfId="8425" xr:uid="{00000000-0005-0000-0000-00009F1B0000}"/>
    <cellStyle name="Porcentual 150 24" xfId="2091" xr:uid="{00000000-0005-0000-0000-0000A01B0000}"/>
    <cellStyle name="Porcentual 150 24 2" xfId="5753" xr:uid="{00000000-0005-0000-0000-0000A11B0000}"/>
    <cellStyle name="Porcentual 150 24 3" xfId="8426" xr:uid="{00000000-0005-0000-0000-0000A21B0000}"/>
    <cellStyle name="Porcentual 150 25" xfId="2092" xr:uid="{00000000-0005-0000-0000-0000A31B0000}"/>
    <cellStyle name="Porcentual 150 25 2" xfId="5754" xr:uid="{00000000-0005-0000-0000-0000A41B0000}"/>
    <cellStyle name="Porcentual 150 25 3" xfId="8427" xr:uid="{00000000-0005-0000-0000-0000A51B0000}"/>
    <cellStyle name="Porcentual 150 26" xfId="2093" xr:uid="{00000000-0005-0000-0000-0000A61B0000}"/>
    <cellStyle name="Porcentual 150 26 2" xfId="5755" xr:uid="{00000000-0005-0000-0000-0000A71B0000}"/>
    <cellStyle name="Porcentual 150 26 3" xfId="8428" xr:uid="{00000000-0005-0000-0000-0000A81B0000}"/>
    <cellStyle name="Porcentual 150 27" xfId="2094" xr:uid="{00000000-0005-0000-0000-0000A91B0000}"/>
    <cellStyle name="Porcentual 150 27 2" xfId="5756" xr:uid="{00000000-0005-0000-0000-0000AA1B0000}"/>
    <cellStyle name="Porcentual 150 27 3" xfId="8429" xr:uid="{00000000-0005-0000-0000-0000AB1B0000}"/>
    <cellStyle name="Porcentual 150 28" xfId="2095" xr:uid="{00000000-0005-0000-0000-0000AC1B0000}"/>
    <cellStyle name="Porcentual 150 28 2" xfId="5757" xr:uid="{00000000-0005-0000-0000-0000AD1B0000}"/>
    <cellStyle name="Porcentual 150 28 3" xfId="8430" xr:uid="{00000000-0005-0000-0000-0000AE1B0000}"/>
    <cellStyle name="Porcentual 150 3" xfId="2096" xr:uid="{00000000-0005-0000-0000-0000AF1B0000}"/>
    <cellStyle name="Porcentual 150 3 2" xfId="5758" xr:uid="{00000000-0005-0000-0000-0000B01B0000}"/>
    <cellStyle name="Porcentual 150 3 3" xfId="8431" xr:uid="{00000000-0005-0000-0000-0000B11B0000}"/>
    <cellStyle name="Porcentual 150 4" xfId="2097" xr:uid="{00000000-0005-0000-0000-0000B21B0000}"/>
    <cellStyle name="Porcentual 150 4 2" xfId="5759" xr:uid="{00000000-0005-0000-0000-0000B31B0000}"/>
    <cellStyle name="Porcentual 150 4 3" xfId="8432" xr:uid="{00000000-0005-0000-0000-0000B41B0000}"/>
    <cellStyle name="Porcentual 150 5" xfId="2098" xr:uid="{00000000-0005-0000-0000-0000B51B0000}"/>
    <cellStyle name="Porcentual 150 5 2" xfId="5760" xr:uid="{00000000-0005-0000-0000-0000B61B0000}"/>
    <cellStyle name="Porcentual 150 5 3" xfId="8433" xr:uid="{00000000-0005-0000-0000-0000B71B0000}"/>
    <cellStyle name="Porcentual 150 6" xfId="2099" xr:uid="{00000000-0005-0000-0000-0000B81B0000}"/>
    <cellStyle name="Porcentual 150 6 2" xfId="5761" xr:uid="{00000000-0005-0000-0000-0000B91B0000}"/>
    <cellStyle name="Porcentual 150 6 3" xfId="8434" xr:uid="{00000000-0005-0000-0000-0000BA1B0000}"/>
    <cellStyle name="Porcentual 150 7" xfId="2100" xr:uid="{00000000-0005-0000-0000-0000BB1B0000}"/>
    <cellStyle name="Porcentual 150 7 2" xfId="5762" xr:uid="{00000000-0005-0000-0000-0000BC1B0000}"/>
    <cellStyle name="Porcentual 150 7 3" xfId="8435" xr:uid="{00000000-0005-0000-0000-0000BD1B0000}"/>
    <cellStyle name="Porcentual 150 8" xfId="2101" xr:uid="{00000000-0005-0000-0000-0000BE1B0000}"/>
    <cellStyle name="Porcentual 150 8 2" xfId="5763" xr:uid="{00000000-0005-0000-0000-0000BF1B0000}"/>
    <cellStyle name="Porcentual 150 8 3" xfId="8436" xr:uid="{00000000-0005-0000-0000-0000C01B0000}"/>
    <cellStyle name="Porcentual 150 9" xfId="2102" xr:uid="{00000000-0005-0000-0000-0000C11B0000}"/>
    <cellStyle name="Porcentual 150 9 2" xfId="5764" xr:uid="{00000000-0005-0000-0000-0000C21B0000}"/>
    <cellStyle name="Porcentual 150 9 3" xfId="8437" xr:uid="{00000000-0005-0000-0000-0000C31B0000}"/>
    <cellStyle name="Porcentual 151 10" xfId="2103" xr:uid="{00000000-0005-0000-0000-0000C41B0000}"/>
    <cellStyle name="Porcentual 151 10 2" xfId="5765" xr:uid="{00000000-0005-0000-0000-0000C51B0000}"/>
    <cellStyle name="Porcentual 151 10 3" xfId="8438" xr:uid="{00000000-0005-0000-0000-0000C61B0000}"/>
    <cellStyle name="Porcentual 151 11" xfId="2104" xr:uid="{00000000-0005-0000-0000-0000C71B0000}"/>
    <cellStyle name="Porcentual 151 11 2" xfId="5766" xr:uid="{00000000-0005-0000-0000-0000C81B0000}"/>
    <cellStyle name="Porcentual 151 11 3" xfId="8439" xr:uid="{00000000-0005-0000-0000-0000C91B0000}"/>
    <cellStyle name="Porcentual 151 12" xfId="2105" xr:uid="{00000000-0005-0000-0000-0000CA1B0000}"/>
    <cellStyle name="Porcentual 151 12 2" xfId="5767" xr:uid="{00000000-0005-0000-0000-0000CB1B0000}"/>
    <cellStyle name="Porcentual 151 12 3" xfId="8440" xr:uid="{00000000-0005-0000-0000-0000CC1B0000}"/>
    <cellStyle name="Porcentual 151 13" xfId="2106" xr:uid="{00000000-0005-0000-0000-0000CD1B0000}"/>
    <cellStyle name="Porcentual 151 13 2" xfId="5768" xr:uid="{00000000-0005-0000-0000-0000CE1B0000}"/>
    <cellStyle name="Porcentual 151 13 3" xfId="8441" xr:uid="{00000000-0005-0000-0000-0000CF1B0000}"/>
    <cellStyle name="Porcentual 151 14" xfId="2107" xr:uid="{00000000-0005-0000-0000-0000D01B0000}"/>
    <cellStyle name="Porcentual 151 14 2" xfId="5769" xr:uid="{00000000-0005-0000-0000-0000D11B0000}"/>
    <cellStyle name="Porcentual 151 14 3" xfId="8442" xr:uid="{00000000-0005-0000-0000-0000D21B0000}"/>
    <cellStyle name="Porcentual 151 15" xfId="2108" xr:uid="{00000000-0005-0000-0000-0000D31B0000}"/>
    <cellStyle name="Porcentual 151 15 2" xfId="5770" xr:uid="{00000000-0005-0000-0000-0000D41B0000}"/>
    <cellStyle name="Porcentual 151 15 3" xfId="8443" xr:uid="{00000000-0005-0000-0000-0000D51B0000}"/>
    <cellStyle name="Porcentual 151 16" xfId="2109" xr:uid="{00000000-0005-0000-0000-0000D61B0000}"/>
    <cellStyle name="Porcentual 151 16 2" xfId="5771" xr:uid="{00000000-0005-0000-0000-0000D71B0000}"/>
    <cellStyle name="Porcentual 151 16 3" xfId="8444" xr:uid="{00000000-0005-0000-0000-0000D81B0000}"/>
    <cellStyle name="Porcentual 151 17" xfId="2110" xr:uid="{00000000-0005-0000-0000-0000D91B0000}"/>
    <cellStyle name="Porcentual 151 17 2" xfId="5772" xr:uid="{00000000-0005-0000-0000-0000DA1B0000}"/>
    <cellStyle name="Porcentual 151 17 3" xfId="8445" xr:uid="{00000000-0005-0000-0000-0000DB1B0000}"/>
    <cellStyle name="Porcentual 151 18" xfId="2111" xr:uid="{00000000-0005-0000-0000-0000DC1B0000}"/>
    <cellStyle name="Porcentual 151 18 2" xfId="5773" xr:uid="{00000000-0005-0000-0000-0000DD1B0000}"/>
    <cellStyle name="Porcentual 151 18 3" xfId="8446" xr:uid="{00000000-0005-0000-0000-0000DE1B0000}"/>
    <cellStyle name="Porcentual 151 19" xfId="2112" xr:uid="{00000000-0005-0000-0000-0000DF1B0000}"/>
    <cellStyle name="Porcentual 151 19 2" xfId="5774" xr:uid="{00000000-0005-0000-0000-0000E01B0000}"/>
    <cellStyle name="Porcentual 151 19 3" xfId="8447" xr:uid="{00000000-0005-0000-0000-0000E11B0000}"/>
    <cellStyle name="Porcentual 151 2" xfId="2113" xr:uid="{00000000-0005-0000-0000-0000E21B0000}"/>
    <cellStyle name="Porcentual 151 2 2" xfId="5775" xr:uid="{00000000-0005-0000-0000-0000E31B0000}"/>
    <cellStyle name="Porcentual 151 2 3" xfId="8448" xr:uid="{00000000-0005-0000-0000-0000E41B0000}"/>
    <cellStyle name="Porcentual 151 20" xfId="2114" xr:uid="{00000000-0005-0000-0000-0000E51B0000}"/>
    <cellStyle name="Porcentual 151 20 2" xfId="5776" xr:uid="{00000000-0005-0000-0000-0000E61B0000}"/>
    <cellStyle name="Porcentual 151 20 3" xfId="8449" xr:uid="{00000000-0005-0000-0000-0000E71B0000}"/>
    <cellStyle name="Porcentual 151 21" xfId="2115" xr:uid="{00000000-0005-0000-0000-0000E81B0000}"/>
    <cellStyle name="Porcentual 151 21 2" xfId="5777" xr:uid="{00000000-0005-0000-0000-0000E91B0000}"/>
    <cellStyle name="Porcentual 151 21 3" xfId="8450" xr:uid="{00000000-0005-0000-0000-0000EA1B0000}"/>
    <cellStyle name="Porcentual 151 22" xfId="2116" xr:uid="{00000000-0005-0000-0000-0000EB1B0000}"/>
    <cellStyle name="Porcentual 151 22 2" xfId="5778" xr:uid="{00000000-0005-0000-0000-0000EC1B0000}"/>
    <cellStyle name="Porcentual 151 22 3" xfId="8451" xr:uid="{00000000-0005-0000-0000-0000ED1B0000}"/>
    <cellStyle name="Porcentual 151 23" xfId="2117" xr:uid="{00000000-0005-0000-0000-0000EE1B0000}"/>
    <cellStyle name="Porcentual 151 23 2" xfId="5779" xr:uid="{00000000-0005-0000-0000-0000EF1B0000}"/>
    <cellStyle name="Porcentual 151 23 3" xfId="8452" xr:uid="{00000000-0005-0000-0000-0000F01B0000}"/>
    <cellStyle name="Porcentual 151 24" xfId="2118" xr:uid="{00000000-0005-0000-0000-0000F11B0000}"/>
    <cellStyle name="Porcentual 151 24 2" xfId="5780" xr:uid="{00000000-0005-0000-0000-0000F21B0000}"/>
    <cellStyle name="Porcentual 151 24 3" xfId="8453" xr:uid="{00000000-0005-0000-0000-0000F31B0000}"/>
    <cellStyle name="Porcentual 151 25" xfId="2119" xr:uid="{00000000-0005-0000-0000-0000F41B0000}"/>
    <cellStyle name="Porcentual 151 25 2" xfId="5781" xr:uid="{00000000-0005-0000-0000-0000F51B0000}"/>
    <cellStyle name="Porcentual 151 25 3" xfId="8454" xr:uid="{00000000-0005-0000-0000-0000F61B0000}"/>
    <cellStyle name="Porcentual 151 26" xfId="2120" xr:uid="{00000000-0005-0000-0000-0000F71B0000}"/>
    <cellStyle name="Porcentual 151 26 2" xfId="5782" xr:uid="{00000000-0005-0000-0000-0000F81B0000}"/>
    <cellStyle name="Porcentual 151 26 3" xfId="8455" xr:uid="{00000000-0005-0000-0000-0000F91B0000}"/>
    <cellStyle name="Porcentual 151 27" xfId="2121" xr:uid="{00000000-0005-0000-0000-0000FA1B0000}"/>
    <cellStyle name="Porcentual 151 27 2" xfId="5783" xr:uid="{00000000-0005-0000-0000-0000FB1B0000}"/>
    <cellStyle name="Porcentual 151 27 3" xfId="8456" xr:uid="{00000000-0005-0000-0000-0000FC1B0000}"/>
    <cellStyle name="Porcentual 151 28" xfId="2122" xr:uid="{00000000-0005-0000-0000-0000FD1B0000}"/>
    <cellStyle name="Porcentual 151 28 2" xfId="5784" xr:uid="{00000000-0005-0000-0000-0000FE1B0000}"/>
    <cellStyle name="Porcentual 151 28 3" xfId="8457" xr:uid="{00000000-0005-0000-0000-0000FF1B0000}"/>
    <cellStyle name="Porcentual 151 3" xfId="2123" xr:uid="{00000000-0005-0000-0000-0000001C0000}"/>
    <cellStyle name="Porcentual 151 3 2" xfId="5785" xr:uid="{00000000-0005-0000-0000-0000011C0000}"/>
    <cellStyle name="Porcentual 151 3 3" xfId="8458" xr:uid="{00000000-0005-0000-0000-0000021C0000}"/>
    <cellStyle name="Porcentual 151 4" xfId="2124" xr:uid="{00000000-0005-0000-0000-0000031C0000}"/>
    <cellStyle name="Porcentual 151 4 2" xfId="5786" xr:uid="{00000000-0005-0000-0000-0000041C0000}"/>
    <cellStyle name="Porcentual 151 4 3" xfId="8459" xr:uid="{00000000-0005-0000-0000-0000051C0000}"/>
    <cellStyle name="Porcentual 151 5" xfId="2125" xr:uid="{00000000-0005-0000-0000-0000061C0000}"/>
    <cellStyle name="Porcentual 151 5 2" xfId="5787" xr:uid="{00000000-0005-0000-0000-0000071C0000}"/>
    <cellStyle name="Porcentual 151 5 3" xfId="8460" xr:uid="{00000000-0005-0000-0000-0000081C0000}"/>
    <cellStyle name="Porcentual 151 6" xfId="2126" xr:uid="{00000000-0005-0000-0000-0000091C0000}"/>
    <cellStyle name="Porcentual 151 6 2" xfId="5788" xr:uid="{00000000-0005-0000-0000-00000A1C0000}"/>
    <cellStyle name="Porcentual 151 6 3" xfId="8461" xr:uid="{00000000-0005-0000-0000-00000B1C0000}"/>
    <cellStyle name="Porcentual 151 7" xfId="2127" xr:uid="{00000000-0005-0000-0000-00000C1C0000}"/>
    <cellStyle name="Porcentual 151 7 2" xfId="5789" xr:uid="{00000000-0005-0000-0000-00000D1C0000}"/>
    <cellStyle name="Porcentual 151 7 3" xfId="8462" xr:uid="{00000000-0005-0000-0000-00000E1C0000}"/>
    <cellStyle name="Porcentual 151 8" xfId="2128" xr:uid="{00000000-0005-0000-0000-00000F1C0000}"/>
    <cellStyle name="Porcentual 151 8 2" xfId="5790" xr:uid="{00000000-0005-0000-0000-0000101C0000}"/>
    <cellStyle name="Porcentual 151 8 3" xfId="8463" xr:uid="{00000000-0005-0000-0000-0000111C0000}"/>
    <cellStyle name="Porcentual 151 9" xfId="2129" xr:uid="{00000000-0005-0000-0000-0000121C0000}"/>
    <cellStyle name="Porcentual 151 9 2" xfId="5791" xr:uid="{00000000-0005-0000-0000-0000131C0000}"/>
    <cellStyle name="Porcentual 151 9 3" xfId="8464" xr:uid="{00000000-0005-0000-0000-0000141C0000}"/>
    <cellStyle name="Porcentual 152 10" xfId="2130" xr:uid="{00000000-0005-0000-0000-0000151C0000}"/>
    <cellStyle name="Porcentual 152 10 2" xfId="5792" xr:uid="{00000000-0005-0000-0000-0000161C0000}"/>
    <cellStyle name="Porcentual 152 10 3" xfId="8465" xr:uid="{00000000-0005-0000-0000-0000171C0000}"/>
    <cellStyle name="Porcentual 152 11" xfId="2131" xr:uid="{00000000-0005-0000-0000-0000181C0000}"/>
    <cellStyle name="Porcentual 152 11 2" xfId="5793" xr:uid="{00000000-0005-0000-0000-0000191C0000}"/>
    <cellStyle name="Porcentual 152 11 3" xfId="8466" xr:uid="{00000000-0005-0000-0000-00001A1C0000}"/>
    <cellStyle name="Porcentual 152 12" xfId="2132" xr:uid="{00000000-0005-0000-0000-00001B1C0000}"/>
    <cellStyle name="Porcentual 152 12 2" xfId="5794" xr:uid="{00000000-0005-0000-0000-00001C1C0000}"/>
    <cellStyle name="Porcentual 152 12 3" xfId="8467" xr:uid="{00000000-0005-0000-0000-00001D1C0000}"/>
    <cellStyle name="Porcentual 152 13" xfId="2133" xr:uid="{00000000-0005-0000-0000-00001E1C0000}"/>
    <cellStyle name="Porcentual 152 13 2" xfId="5795" xr:uid="{00000000-0005-0000-0000-00001F1C0000}"/>
    <cellStyle name="Porcentual 152 13 3" xfId="8468" xr:uid="{00000000-0005-0000-0000-0000201C0000}"/>
    <cellStyle name="Porcentual 152 14" xfId="2134" xr:uid="{00000000-0005-0000-0000-0000211C0000}"/>
    <cellStyle name="Porcentual 152 14 2" xfId="5796" xr:uid="{00000000-0005-0000-0000-0000221C0000}"/>
    <cellStyle name="Porcentual 152 14 3" xfId="8469" xr:uid="{00000000-0005-0000-0000-0000231C0000}"/>
    <cellStyle name="Porcentual 152 15" xfId="2135" xr:uid="{00000000-0005-0000-0000-0000241C0000}"/>
    <cellStyle name="Porcentual 152 15 2" xfId="5797" xr:uid="{00000000-0005-0000-0000-0000251C0000}"/>
    <cellStyle name="Porcentual 152 15 3" xfId="8470" xr:uid="{00000000-0005-0000-0000-0000261C0000}"/>
    <cellStyle name="Porcentual 152 16" xfId="2136" xr:uid="{00000000-0005-0000-0000-0000271C0000}"/>
    <cellStyle name="Porcentual 152 16 2" xfId="5798" xr:uid="{00000000-0005-0000-0000-0000281C0000}"/>
    <cellStyle name="Porcentual 152 16 3" xfId="8471" xr:uid="{00000000-0005-0000-0000-0000291C0000}"/>
    <cellStyle name="Porcentual 152 17" xfId="2137" xr:uid="{00000000-0005-0000-0000-00002A1C0000}"/>
    <cellStyle name="Porcentual 152 17 2" xfId="5799" xr:uid="{00000000-0005-0000-0000-00002B1C0000}"/>
    <cellStyle name="Porcentual 152 17 3" xfId="8472" xr:uid="{00000000-0005-0000-0000-00002C1C0000}"/>
    <cellStyle name="Porcentual 152 18" xfId="2138" xr:uid="{00000000-0005-0000-0000-00002D1C0000}"/>
    <cellStyle name="Porcentual 152 18 2" xfId="5800" xr:uid="{00000000-0005-0000-0000-00002E1C0000}"/>
    <cellStyle name="Porcentual 152 18 3" xfId="8473" xr:uid="{00000000-0005-0000-0000-00002F1C0000}"/>
    <cellStyle name="Porcentual 152 19" xfId="2139" xr:uid="{00000000-0005-0000-0000-0000301C0000}"/>
    <cellStyle name="Porcentual 152 19 2" xfId="5801" xr:uid="{00000000-0005-0000-0000-0000311C0000}"/>
    <cellStyle name="Porcentual 152 19 3" xfId="8474" xr:uid="{00000000-0005-0000-0000-0000321C0000}"/>
    <cellStyle name="Porcentual 152 2" xfId="2140" xr:uid="{00000000-0005-0000-0000-0000331C0000}"/>
    <cellStyle name="Porcentual 152 2 2" xfId="5802" xr:uid="{00000000-0005-0000-0000-0000341C0000}"/>
    <cellStyle name="Porcentual 152 2 3" xfId="8475" xr:uid="{00000000-0005-0000-0000-0000351C0000}"/>
    <cellStyle name="Porcentual 152 20" xfId="2141" xr:uid="{00000000-0005-0000-0000-0000361C0000}"/>
    <cellStyle name="Porcentual 152 20 2" xfId="5803" xr:uid="{00000000-0005-0000-0000-0000371C0000}"/>
    <cellStyle name="Porcentual 152 20 3" xfId="8476" xr:uid="{00000000-0005-0000-0000-0000381C0000}"/>
    <cellStyle name="Porcentual 152 21" xfId="2142" xr:uid="{00000000-0005-0000-0000-0000391C0000}"/>
    <cellStyle name="Porcentual 152 21 2" xfId="5804" xr:uid="{00000000-0005-0000-0000-00003A1C0000}"/>
    <cellStyle name="Porcentual 152 21 3" xfId="8477" xr:uid="{00000000-0005-0000-0000-00003B1C0000}"/>
    <cellStyle name="Porcentual 152 22" xfId="2143" xr:uid="{00000000-0005-0000-0000-00003C1C0000}"/>
    <cellStyle name="Porcentual 152 22 2" xfId="5805" xr:uid="{00000000-0005-0000-0000-00003D1C0000}"/>
    <cellStyle name="Porcentual 152 22 3" xfId="8478" xr:uid="{00000000-0005-0000-0000-00003E1C0000}"/>
    <cellStyle name="Porcentual 152 23" xfId="2144" xr:uid="{00000000-0005-0000-0000-00003F1C0000}"/>
    <cellStyle name="Porcentual 152 23 2" xfId="5806" xr:uid="{00000000-0005-0000-0000-0000401C0000}"/>
    <cellStyle name="Porcentual 152 23 3" xfId="8479" xr:uid="{00000000-0005-0000-0000-0000411C0000}"/>
    <cellStyle name="Porcentual 152 24" xfId="2145" xr:uid="{00000000-0005-0000-0000-0000421C0000}"/>
    <cellStyle name="Porcentual 152 24 2" xfId="5807" xr:uid="{00000000-0005-0000-0000-0000431C0000}"/>
    <cellStyle name="Porcentual 152 24 3" xfId="8480" xr:uid="{00000000-0005-0000-0000-0000441C0000}"/>
    <cellStyle name="Porcentual 152 25" xfId="2146" xr:uid="{00000000-0005-0000-0000-0000451C0000}"/>
    <cellStyle name="Porcentual 152 25 2" xfId="5808" xr:uid="{00000000-0005-0000-0000-0000461C0000}"/>
    <cellStyle name="Porcentual 152 25 3" xfId="8481" xr:uid="{00000000-0005-0000-0000-0000471C0000}"/>
    <cellStyle name="Porcentual 152 26" xfId="2147" xr:uid="{00000000-0005-0000-0000-0000481C0000}"/>
    <cellStyle name="Porcentual 152 26 2" xfId="5809" xr:uid="{00000000-0005-0000-0000-0000491C0000}"/>
    <cellStyle name="Porcentual 152 26 3" xfId="8482" xr:uid="{00000000-0005-0000-0000-00004A1C0000}"/>
    <cellStyle name="Porcentual 152 27" xfId="2148" xr:uid="{00000000-0005-0000-0000-00004B1C0000}"/>
    <cellStyle name="Porcentual 152 27 2" xfId="5810" xr:uid="{00000000-0005-0000-0000-00004C1C0000}"/>
    <cellStyle name="Porcentual 152 27 3" xfId="8483" xr:uid="{00000000-0005-0000-0000-00004D1C0000}"/>
    <cellStyle name="Porcentual 152 28" xfId="2149" xr:uid="{00000000-0005-0000-0000-00004E1C0000}"/>
    <cellStyle name="Porcentual 152 28 2" xfId="5811" xr:uid="{00000000-0005-0000-0000-00004F1C0000}"/>
    <cellStyle name="Porcentual 152 28 3" xfId="8484" xr:uid="{00000000-0005-0000-0000-0000501C0000}"/>
    <cellStyle name="Porcentual 152 3" xfId="2150" xr:uid="{00000000-0005-0000-0000-0000511C0000}"/>
    <cellStyle name="Porcentual 152 3 2" xfId="5812" xr:uid="{00000000-0005-0000-0000-0000521C0000}"/>
    <cellStyle name="Porcentual 152 3 3" xfId="8485" xr:uid="{00000000-0005-0000-0000-0000531C0000}"/>
    <cellStyle name="Porcentual 152 4" xfId="2151" xr:uid="{00000000-0005-0000-0000-0000541C0000}"/>
    <cellStyle name="Porcentual 152 4 2" xfId="5813" xr:uid="{00000000-0005-0000-0000-0000551C0000}"/>
    <cellStyle name="Porcentual 152 4 3" xfId="8486" xr:uid="{00000000-0005-0000-0000-0000561C0000}"/>
    <cellStyle name="Porcentual 152 5" xfId="2152" xr:uid="{00000000-0005-0000-0000-0000571C0000}"/>
    <cellStyle name="Porcentual 152 5 2" xfId="5814" xr:uid="{00000000-0005-0000-0000-0000581C0000}"/>
    <cellStyle name="Porcentual 152 5 3" xfId="8487" xr:uid="{00000000-0005-0000-0000-0000591C0000}"/>
    <cellStyle name="Porcentual 152 6" xfId="2153" xr:uid="{00000000-0005-0000-0000-00005A1C0000}"/>
    <cellStyle name="Porcentual 152 6 2" xfId="5815" xr:uid="{00000000-0005-0000-0000-00005B1C0000}"/>
    <cellStyle name="Porcentual 152 6 3" xfId="8488" xr:uid="{00000000-0005-0000-0000-00005C1C0000}"/>
    <cellStyle name="Porcentual 152 7" xfId="2154" xr:uid="{00000000-0005-0000-0000-00005D1C0000}"/>
    <cellStyle name="Porcentual 152 7 2" xfId="5816" xr:uid="{00000000-0005-0000-0000-00005E1C0000}"/>
    <cellStyle name="Porcentual 152 7 3" xfId="8489" xr:uid="{00000000-0005-0000-0000-00005F1C0000}"/>
    <cellStyle name="Porcentual 152 8" xfId="2155" xr:uid="{00000000-0005-0000-0000-0000601C0000}"/>
    <cellStyle name="Porcentual 152 8 2" xfId="5817" xr:uid="{00000000-0005-0000-0000-0000611C0000}"/>
    <cellStyle name="Porcentual 152 8 3" xfId="8490" xr:uid="{00000000-0005-0000-0000-0000621C0000}"/>
    <cellStyle name="Porcentual 152 9" xfId="2156" xr:uid="{00000000-0005-0000-0000-0000631C0000}"/>
    <cellStyle name="Porcentual 152 9 2" xfId="5818" xr:uid="{00000000-0005-0000-0000-0000641C0000}"/>
    <cellStyle name="Porcentual 152 9 3" xfId="8491" xr:uid="{00000000-0005-0000-0000-0000651C0000}"/>
    <cellStyle name="Porcentual 153 10" xfId="2157" xr:uid="{00000000-0005-0000-0000-0000661C0000}"/>
    <cellStyle name="Porcentual 153 10 2" xfId="5819" xr:uid="{00000000-0005-0000-0000-0000671C0000}"/>
    <cellStyle name="Porcentual 153 10 3" xfId="8492" xr:uid="{00000000-0005-0000-0000-0000681C0000}"/>
    <cellStyle name="Porcentual 153 11" xfId="2158" xr:uid="{00000000-0005-0000-0000-0000691C0000}"/>
    <cellStyle name="Porcentual 153 11 2" xfId="5820" xr:uid="{00000000-0005-0000-0000-00006A1C0000}"/>
    <cellStyle name="Porcentual 153 11 3" xfId="8493" xr:uid="{00000000-0005-0000-0000-00006B1C0000}"/>
    <cellStyle name="Porcentual 153 12" xfId="2159" xr:uid="{00000000-0005-0000-0000-00006C1C0000}"/>
    <cellStyle name="Porcentual 153 12 2" xfId="5821" xr:uid="{00000000-0005-0000-0000-00006D1C0000}"/>
    <cellStyle name="Porcentual 153 12 3" xfId="8494" xr:uid="{00000000-0005-0000-0000-00006E1C0000}"/>
    <cellStyle name="Porcentual 153 13" xfId="2160" xr:uid="{00000000-0005-0000-0000-00006F1C0000}"/>
    <cellStyle name="Porcentual 153 13 2" xfId="5822" xr:uid="{00000000-0005-0000-0000-0000701C0000}"/>
    <cellStyle name="Porcentual 153 13 3" xfId="8495" xr:uid="{00000000-0005-0000-0000-0000711C0000}"/>
    <cellStyle name="Porcentual 153 14" xfId="2161" xr:uid="{00000000-0005-0000-0000-0000721C0000}"/>
    <cellStyle name="Porcentual 153 14 2" xfId="5823" xr:uid="{00000000-0005-0000-0000-0000731C0000}"/>
    <cellStyle name="Porcentual 153 14 3" xfId="8496" xr:uid="{00000000-0005-0000-0000-0000741C0000}"/>
    <cellStyle name="Porcentual 153 15" xfId="2162" xr:uid="{00000000-0005-0000-0000-0000751C0000}"/>
    <cellStyle name="Porcentual 153 15 2" xfId="5824" xr:uid="{00000000-0005-0000-0000-0000761C0000}"/>
    <cellStyle name="Porcentual 153 15 3" xfId="8497" xr:uid="{00000000-0005-0000-0000-0000771C0000}"/>
    <cellStyle name="Porcentual 153 16" xfId="2163" xr:uid="{00000000-0005-0000-0000-0000781C0000}"/>
    <cellStyle name="Porcentual 153 16 2" xfId="5825" xr:uid="{00000000-0005-0000-0000-0000791C0000}"/>
    <cellStyle name="Porcentual 153 16 3" xfId="8498" xr:uid="{00000000-0005-0000-0000-00007A1C0000}"/>
    <cellStyle name="Porcentual 153 17" xfId="2164" xr:uid="{00000000-0005-0000-0000-00007B1C0000}"/>
    <cellStyle name="Porcentual 153 17 2" xfId="5826" xr:uid="{00000000-0005-0000-0000-00007C1C0000}"/>
    <cellStyle name="Porcentual 153 17 3" xfId="8499" xr:uid="{00000000-0005-0000-0000-00007D1C0000}"/>
    <cellStyle name="Porcentual 153 18" xfId="2165" xr:uid="{00000000-0005-0000-0000-00007E1C0000}"/>
    <cellStyle name="Porcentual 153 18 2" xfId="5827" xr:uid="{00000000-0005-0000-0000-00007F1C0000}"/>
    <cellStyle name="Porcentual 153 18 3" xfId="8500" xr:uid="{00000000-0005-0000-0000-0000801C0000}"/>
    <cellStyle name="Porcentual 153 19" xfId="2166" xr:uid="{00000000-0005-0000-0000-0000811C0000}"/>
    <cellStyle name="Porcentual 153 19 2" xfId="5828" xr:uid="{00000000-0005-0000-0000-0000821C0000}"/>
    <cellStyle name="Porcentual 153 19 3" xfId="8501" xr:uid="{00000000-0005-0000-0000-0000831C0000}"/>
    <cellStyle name="Porcentual 153 2" xfId="2167" xr:uid="{00000000-0005-0000-0000-0000841C0000}"/>
    <cellStyle name="Porcentual 153 2 2" xfId="5829" xr:uid="{00000000-0005-0000-0000-0000851C0000}"/>
    <cellStyle name="Porcentual 153 2 3" xfId="8502" xr:uid="{00000000-0005-0000-0000-0000861C0000}"/>
    <cellStyle name="Porcentual 153 20" xfId="2168" xr:uid="{00000000-0005-0000-0000-0000871C0000}"/>
    <cellStyle name="Porcentual 153 20 2" xfId="5830" xr:uid="{00000000-0005-0000-0000-0000881C0000}"/>
    <cellStyle name="Porcentual 153 20 3" xfId="8503" xr:uid="{00000000-0005-0000-0000-0000891C0000}"/>
    <cellStyle name="Porcentual 153 21" xfId="2169" xr:uid="{00000000-0005-0000-0000-00008A1C0000}"/>
    <cellStyle name="Porcentual 153 21 2" xfId="5831" xr:uid="{00000000-0005-0000-0000-00008B1C0000}"/>
    <cellStyle name="Porcentual 153 21 3" xfId="8504" xr:uid="{00000000-0005-0000-0000-00008C1C0000}"/>
    <cellStyle name="Porcentual 153 22" xfId="2170" xr:uid="{00000000-0005-0000-0000-00008D1C0000}"/>
    <cellStyle name="Porcentual 153 22 2" xfId="5832" xr:uid="{00000000-0005-0000-0000-00008E1C0000}"/>
    <cellStyle name="Porcentual 153 22 3" xfId="8505" xr:uid="{00000000-0005-0000-0000-00008F1C0000}"/>
    <cellStyle name="Porcentual 153 23" xfId="2171" xr:uid="{00000000-0005-0000-0000-0000901C0000}"/>
    <cellStyle name="Porcentual 153 23 2" xfId="5833" xr:uid="{00000000-0005-0000-0000-0000911C0000}"/>
    <cellStyle name="Porcentual 153 23 3" xfId="8506" xr:uid="{00000000-0005-0000-0000-0000921C0000}"/>
    <cellStyle name="Porcentual 153 24" xfId="2172" xr:uid="{00000000-0005-0000-0000-0000931C0000}"/>
    <cellStyle name="Porcentual 153 24 2" xfId="5834" xr:uid="{00000000-0005-0000-0000-0000941C0000}"/>
    <cellStyle name="Porcentual 153 24 3" xfId="8507" xr:uid="{00000000-0005-0000-0000-0000951C0000}"/>
    <cellStyle name="Porcentual 153 25" xfId="2173" xr:uid="{00000000-0005-0000-0000-0000961C0000}"/>
    <cellStyle name="Porcentual 153 25 2" xfId="5835" xr:uid="{00000000-0005-0000-0000-0000971C0000}"/>
    <cellStyle name="Porcentual 153 25 3" xfId="8508" xr:uid="{00000000-0005-0000-0000-0000981C0000}"/>
    <cellStyle name="Porcentual 153 26" xfId="2174" xr:uid="{00000000-0005-0000-0000-0000991C0000}"/>
    <cellStyle name="Porcentual 153 26 2" xfId="5836" xr:uid="{00000000-0005-0000-0000-00009A1C0000}"/>
    <cellStyle name="Porcentual 153 26 3" xfId="8509" xr:uid="{00000000-0005-0000-0000-00009B1C0000}"/>
    <cellStyle name="Porcentual 153 27" xfId="2175" xr:uid="{00000000-0005-0000-0000-00009C1C0000}"/>
    <cellStyle name="Porcentual 153 27 2" xfId="5837" xr:uid="{00000000-0005-0000-0000-00009D1C0000}"/>
    <cellStyle name="Porcentual 153 27 3" xfId="8510" xr:uid="{00000000-0005-0000-0000-00009E1C0000}"/>
    <cellStyle name="Porcentual 153 28" xfId="2176" xr:uid="{00000000-0005-0000-0000-00009F1C0000}"/>
    <cellStyle name="Porcentual 153 28 2" xfId="5838" xr:uid="{00000000-0005-0000-0000-0000A01C0000}"/>
    <cellStyle name="Porcentual 153 28 3" xfId="8511" xr:uid="{00000000-0005-0000-0000-0000A11C0000}"/>
    <cellStyle name="Porcentual 153 3" xfId="2177" xr:uid="{00000000-0005-0000-0000-0000A21C0000}"/>
    <cellStyle name="Porcentual 153 3 2" xfId="5839" xr:uid="{00000000-0005-0000-0000-0000A31C0000}"/>
    <cellStyle name="Porcentual 153 3 3" xfId="8512" xr:uid="{00000000-0005-0000-0000-0000A41C0000}"/>
    <cellStyle name="Porcentual 153 4" xfId="2178" xr:uid="{00000000-0005-0000-0000-0000A51C0000}"/>
    <cellStyle name="Porcentual 153 4 2" xfId="5840" xr:uid="{00000000-0005-0000-0000-0000A61C0000}"/>
    <cellStyle name="Porcentual 153 4 3" xfId="8513" xr:uid="{00000000-0005-0000-0000-0000A71C0000}"/>
    <cellStyle name="Porcentual 153 5" xfId="2179" xr:uid="{00000000-0005-0000-0000-0000A81C0000}"/>
    <cellStyle name="Porcentual 153 5 2" xfId="5841" xr:uid="{00000000-0005-0000-0000-0000A91C0000}"/>
    <cellStyle name="Porcentual 153 5 3" xfId="8514" xr:uid="{00000000-0005-0000-0000-0000AA1C0000}"/>
    <cellStyle name="Porcentual 153 6" xfId="2180" xr:uid="{00000000-0005-0000-0000-0000AB1C0000}"/>
    <cellStyle name="Porcentual 153 6 2" xfId="5842" xr:uid="{00000000-0005-0000-0000-0000AC1C0000}"/>
    <cellStyle name="Porcentual 153 6 3" xfId="8515" xr:uid="{00000000-0005-0000-0000-0000AD1C0000}"/>
    <cellStyle name="Porcentual 153 7" xfId="2181" xr:uid="{00000000-0005-0000-0000-0000AE1C0000}"/>
    <cellStyle name="Porcentual 153 7 2" xfId="5843" xr:uid="{00000000-0005-0000-0000-0000AF1C0000}"/>
    <cellStyle name="Porcentual 153 7 3" xfId="8516" xr:uid="{00000000-0005-0000-0000-0000B01C0000}"/>
    <cellStyle name="Porcentual 153 8" xfId="2182" xr:uid="{00000000-0005-0000-0000-0000B11C0000}"/>
    <cellStyle name="Porcentual 153 8 2" xfId="5844" xr:uid="{00000000-0005-0000-0000-0000B21C0000}"/>
    <cellStyle name="Porcentual 153 8 3" xfId="8517" xr:uid="{00000000-0005-0000-0000-0000B31C0000}"/>
    <cellStyle name="Porcentual 153 9" xfId="2183" xr:uid="{00000000-0005-0000-0000-0000B41C0000}"/>
    <cellStyle name="Porcentual 153 9 2" xfId="5845" xr:uid="{00000000-0005-0000-0000-0000B51C0000}"/>
    <cellStyle name="Porcentual 153 9 3" xfId="8518" xr:uid="{00000000-0005-0000-0000-0000B61C0000}"/>
    <cellStyle name="Porcentual 154 10" xfId="2184" xr:uid="{00000000-0005-0000-0000-0000B71C0000}"/>
    <cellStyle name="Porcentual 154 10 2" xfId="5846" xr:uid="{00000000-0005-0000-0000-0000B81C0000}"/>
    <cellStyle name="Porcentual 154 10 3" xfId="8519" xr:uid="{00000000-0005-0000-0000-0000B91C0000}"/>
    <cellStyle name="Porcentual 154 11" xfId="2185" xr:uid="{00000000-0005-0000-0000-0000BA1C0000}"/>
    <cellStyle name="Porcentual 154 11 2" xfId="5847" xr:uid="{00000000-0005-0000-0000-0000BB1C0000}"/>
    <cellStyle name="Porcentual 154 11 3" xfId="8520" xr:uid="{00000000-0005-0000-0000-0000BC1C0000}"/>
    <cellStyle name="Porcentual 154 12" xfId="2186" xr:uid="{00000000-0005-0000-0000-0000BD1C0000}"/>
    <cellStyle name="Porcentual 154 12 2" xfId="5848" xr:uid="{00000000-0005-0000-0000-0000BE1C0000}"/>
    <cellStyle name="Porcentual 154 12 3" xfId="8521" xr:uid="{00000000-0005-0000-0000-0000BF1C0000}"/>
    <cellStyle name="Porcentual 154 13" xfId="2187" xr:uid="{00000000-0005-0000-0000-0000C01C0000}"/>
    <cellStyle name="Porcentual 154 13 2" xfId="5849" xr:uid="{00000000-0005-0000-0000-0000C11C0000}"/>
    <cellStyle name="Porcentual 154 13 3" xfId="8522" xr:uid="{00000000-0005-0000-0000-0000C21C0000}"/>
    <cellStyle name="Porcentual 154 14" xfId="2188" xr:uid="{00000000-0005-0000-0000-0000C31C0000}"/>
    <cellStyle name="Porcentual 154 14 2" xfId="5850" xr:uid="{00000000-0005-0000-0000-0000C41C0000}"/>
    <cellStyle name="Porcentual 154 14 3" xfId="8523" xr:uid="{00000000-0005-0000-0000-0000C51C0000}"/>
    <cellStyle name="Porcentual 154 15" xfId="2189" xr:uid="{00000000-0005-0000-0000-0000C61C0000}"/>
    <cellStyle name="Porcentual 154 15 2" xfId="5851" xr:uid="{00000000-0005-0000-0000-0000C71C0000}"/>
    <cellStyle name="Porcentual 154 15 3" xfId="8524" xr:uid="{00000000-0005-0000-0000-0000C81C0000}"/>
    <cellStyle name="Porcentual 154 16" xfId="2190" xr:uid="{00000000-0005-0000-0000-0000C91C0000}"/>
    <cellStyle name="Porcentual 154 16 2" xfId="5852" xr:uid="{00000000-0005-0000-0000-0000CA1C0000}"/>
    <cellStyle name="Porcentual 154 16 3" xfId="8525" xr:uid="{00000000-0005-0000-0000-0000CB1C0000}"/>
    <cellStyle name="Porcentual 154 17" xfId="2191" xr:uid="{00000000-0005-0000-0000-0000CC1C0000}"/>
    <cellStyle name="Porcentual 154 17 2" xfId="5853" xr:uid="{00000000-0005-0000-0000-0000CD1C0000}"/>
    <cellStyle name="Porcentual 154 17 3" xfId="8526" xr:uid="{00000000-0005-0000-0000-0000CE1C0000}"/>
    <cellStyle name="Porcentual 154 18" xfId="2192" xr:uid="{00000000-0005-0000-0000-0000CF1C0000}"/>
    <cellStyle name="Porcentual 154 18 2" xfId="5854" xr:uid="{00000000-0005-0000-0000-0000D01C0000}"/>
    <cellStyle name="Porcentual 154 18 3" xfId="8527" xr:uid="{00000000-0005-0000-0000-0000D11C0000}"/>
    <cellStyle name="Porcentual 154 19" xfId="2193" xr:uid="{00000000-0005-0000-0000-0000D21C0000}"/>
    <cellStyle name="Porcentual 154 19 2" xfId="5855" xr:uid="{00000000-0005-0000-0000-0000D31C0000}"/>
    <cellStyle name="Porcentual 154 19 3" xfId="8528" xr:uid="{00000000-0005-0000-0000-0000D41C0000}"/>
    <cellStyle name="Porcentual 154 2" xfId="2194" xr:uid="{00000000-0005-0000-0000-0000D51C0000}"/>
    <cellStyle name="Porcentual 154 2 2" xfId="5856" xr:uid="{00000000-0005-0000-0000-0000D61C0000}"/>
    <cellStyle name="Porcentual 154 2 3" xfId="8529" xr:uid="{00000000-0005-0000-0000-0000D71C0000}"/>
    <cellStyle name="Porcentual 154 20" xfId="2195" xr:uid="{00000000-0005-0000-0000-0000D81C0000}"/>
    <cellStyle name="Porcentual 154 20 2" xfId="5857" xr:uid="{00000000-0005-0000-0000-0000D91C0000}"/>
    <cellStyle name="Porcentual 154 20 3" xfId="8530" xr:uid="{00000000-0005-0000-0000-0000DA1C0000}"/>
    <cellStyle name="Porcentual 154 21" xfId="2196" xr:uid="{00000000-0005-0000-0000-0000DB1C0000}"/>
    <cellStyle name="Porcentual 154 21 2" xfId="5858" xr:uid="{00000000-0005-0000-0000-0000DC1C0000}"/>
    <cellStyle name="Porcentual 154 21 3" xfId="8531" xr:uid="{00000000-0005-0000-0000-0000DD1C0000}"/>
    <cellStyle name="Porcentual 154 22" xfId="2197" xr:uid="{00000000-0005-0000-0000-0000DE1C0000}"/>
    <cellStyle name="Porcentual 154 22 2" xfId="5859" xr:uid="{00000000-0005-0000-0000-0000DF1C0000}"/>
    <cellStyle name="Porcentual 154 22 3" xfId="8532" xr:uid="{00000000-0005-0000-0000-0000E01C0000}"/>
    <cellStyle name="Porcentual 154 23" xfId="2198" xr:uid="{00000000-0005-0000-0000-0000E11C0000}"/>
    <cellStyle name="Porcentual 154 23 2" xfId="5860" xr:uid="{00000000-0005-0000-0000-0000E21C0000}"/>
    <cellStyle name="Porcentual 154 23 3" xfId="8533" xr:uid="{00000000-0005-0000-0000-0000E31C0000}"/>
    <cellStyle name="Porcentual 154 24" xfId="2199" xr:uid="{00000000-0005-0000-0000-0000E41C0000}"/>
    <cellStyle name="Porcentual 154 24 2" xfId="5861" xr:uid="{00000000-0005-0000-0000-0000E51C0000}"/>
    <cellStyle name="Porcentual 154 24 3" xfId="8534" xr:uid="{00000000-0005-0000-0000-0000E61C0000}"/>
    <cellStyle name="Porcentual 154 25" xfId="2200" xr:uid="{00000000-0005-0000-0000-0000E71C0000}"/>
    <cellStyle name="Porcentual 154 25 2" xfId="5862" xr:uid="{00000000-0005-0000-0000-0000E81C0000}"/>
    <cellStyle name="Porcentual 154 25 3" xfId="8535" xr:uid="{00000000-0005-0000-0000-0000E91C0000}"/>
    <cellStyle name="Porcentual 154 26" xfId="2201" xr:uid="{00000000-0005-0000-0000-0000EA1C0000}"/>
    <cellStyle name="Porcentual 154 26 2" xfId="5863" xr:uid="{00000000-0005-0000-0000-0000EB1C0000}"/>
    <cellStyle name="Porcentual 154 26 3" xfId="8536" xr:uid="{00000000-0005-0000-0000-0000EC1C0000}"/>
    <cellStyle name="Porcentual 154 27" xfId="2202" xr:uid="{00000000-0005-0000-0000-0000ED1C0000}"/>
    <cellStyle name="Porcentual 154 27 2" xfId="5864" xr:uid="{00000000-0005-0000-0000-0000EE1C0000}"/>
    <cellStyle name="Porcentual 154 27 3" xfId="8537" xr:uid="{00000000-0005-0000-0000-0000EF1C0000}"/>
    <cellStyle name="Porcentual 154 28" xfId="2203" xr:uid="{00000000-0005-0000-0000-0000F01C0000}"/>
    <cellStyle name="Porcentual 154 28 2" xfId="5865" xr:uid="{00000000-0005-0000-0000-0000F11C0000}"/>
    <cellStyle name="Porcentual 154 28 3" xfId="8538" xr:uid="{00000000-0005-0000-0000-0000F21C0000}"/>
    <cellStyle name="Porcentual 154 3" xfId="2204" xr:uid="{00000000-0005-0000-0000-0000F31C0000}"/>
    <cellStyle name="Porcentual 154 3 2" xfId="5866" xr:uid="{00000000-0005-0000-0000-0000F41C0000}"/>
    <cellStyle name="Porcentual 154 3 3" xfId="8539" xr:uid="{00000000-0005-0000-0000-0000F51C0000}"/>
    <cellStyle name="Porcentual 154 4" xfId="2205" xr:uid="{00000000-0005-0000-0000-0000F61C0000}"/>
    <cellStyle name="Porcentual 154 4 2" xfId="5867" xr:uid="{00000000-0005-0000-0000-0000F71C0000}"/>
    <cellStyle name="Porcentual 154 4 3" xfId="8540" xr:uid="{00000000-0005-0000-0000-0000F81C0000}"/>
    <cellStyle name="Porcentual 154 5" xfId="2206" xr:uid="{00000000-0005-0000-0000-0000F91C0000}"/>
    <cellStyle name="Porcentual 154 5 2" xfId="5868" xr:uid="{00000000-0005-0000-0000-0000FA1C0000}"/>
    <cellStyle name="Porcentual 154 5 3" xfId="8541" xr:uid="{00000000-0005-0000-0000-0000FB1C0000}"/>
    <cellStyle name="Porcentual 154 6" xfId="2207" xr:uid="{00000000-0005-0000-0000-0000FC1C0000}"/>
    <cellStyle name="Porcentual 154 6 2" xfId="5869" xr:uid="{00000000-0005-0000-0000-0000FD1C0000}"/>
    <cellStyle name="Porcentual 154 6 3" xfId="8542" xr:uid="{00000000-0005-0000-0000-0000FE1C0000}"/>
    <cellStyle name="Porcentual 154 7" xfId="2208" xr:uid="{00000000-0005-0000-0000-0000FF1C0000}"/>
    <cellStyle name="Porcentual 154 7 2" xfId="5870" xr:uid="{00000000-0005-0000-0000-0000001D0000}"/>
    <cellStyle name="Porcentual 154 7 3" xfId="8543" xr:uid="{00000000-0005-0000-0000-0000011D0000}"/>
    <cellStyle name="Porcentual 154 8" xfId="2209" xr:uid="{00000000-0005-0000-0000-0000021D0000}"/>
    <cellStyle name="Porcentual 154 8 2" xfId="5871" xr:uid="{00000000-0005-0000-0000-0000031D0000}"/>
    <cellStyle name="Porcentual 154 8 3" xfId="8544" xr:uid="{00000000-0005-0000-0000-0000041D0000}"/>
    <cellStyle name="Porcentual 154 9" xfId="2210" xr:uid="{00000000-0005-0000-0000-0000051D0000}"/>
    <cellStyle name="Porcentual 154 9 2" xfId="5872" xr:uid="{00000000-0005-0000-0000-0000061D0000}"/>
    <cellStyle name="Porcentual 154 9 3" xfId="8545" xr:uid="{00000000-0005-0000-0000-0000071D0000}"/>
    <cellStyle name="Porcentual 155 10" xfId="2211" xr:uid="{00000000-0005-0000-0000-0000081D0000}"/>
    <cellStyle name="Porcentual 155 10 2" xfId="5873" xr:uid="{00000000-0005-0000-0000-0000091D0000}"/>
    <cellStyle name="Porcentual 155 10 3" xfId="8546" xr:uid="{00000000-0005-0000-0000-00000A1D0000}"/>
    <cellStyle name="Porcentual 155 11" xfId="2212" xr:uid="{00000000-0005-0000-0000-00000B1D0000}"/>
    <cellStyle name="Porcentual 155 11 2" xfId="5874" xr:uid="{00000000-0005-0000-0000-00000C1D0000}"/>
    <cellStyle name="Porcentual 155 11 3" xfId="8547" xr:uid="{00000000-0005-0000-0000-00000D1D0000}"/>
    <cellStyle name="Porcentual 155 12" xfId="2213" xr:uid="{00000000-0005-0000-0000-00000E1D0000}"/>
    <cellStyle name="Porcentual 155 12 2" xfId="5875" xr:uid="{00000000-0005-0000-0000-00000F1D0000}"/>
    <cellStyle name="Porcentual 155 12 3" xfId="8548" xr:uid="{00000000-0005-0000-0000-0000101D0000}"/>
    <cellStyle name="Porcentual 155 13" xfId="2214" xr:uid="{00000000-0005-0000-0000-0000111D0000}"/>
    <cellStyle name="Porcentual 155 13 2" xfId="5876" xr:uid="{00000000-0005-0000-0000-0000121D0000}"/>
    <cellStyle name="Porcentual 155 13 3" xfId="8549" xr:uid="{00000000-0005-0000-0000-0000131D0000}"/>
    <cellStyle name="Porcentual 155 14" xfId="2215" xr:uid="{00000000-0005-0000-0000-0000141D0000}"/>
    <cellStyle name="Porcentual 155 14 2" xfId="5877" xr:uid="{00000000-0005-0000-0000-0000151D0000}"/>
    <cellStyle name="Porcentual 155 14 3" xfId="8550" xr:uid="{00000000-0005-0000-0000-0000161D0000}"/>
    <cellStyle name="Porcentual 155 15" xfId="2216" xr:uid="{00000000-0005-0000-0000-0000171D0000}"/>
    <cellStyle name="Porcentual 155 15 2" xfId="5878" xr:uid="{00000000-0005-0000-0000-0000181D0000}"/>
    <cellStyle name="Porcentual 155 15 3" xfId="8551" xr:uid="{00000000-0005-0000-0000-0000191D0000}"/>
    <cellStyle name="Porcentual 155 16" xfId="2217" xr:uid="{00000000-0005-0000-0000-00001A1D0000}"/>
    <cellStyle name="Porcentual 155 16 2" xfId="5879" xr:uid="{00000000-0005-0000-0000-00001B1D0000}"/>
    <cellStyle name="Porcentual 155 16 3" xfId="8552" xr:uid="{00000000-0005-0000-0000-00001C1D0000}"/>
    <cellStyle name="Porcentual 155 17" xfId="2218" xr:uid="{00000000-0005-0000-0000-00001D1D0000}"/>
    <cellStyle name="Porcentual 155 17 2" xfId="5880" xr:uid="{00000000-0005-0000-0000-00001E1D0000}"/>
    <cellStyle name="Porcentual 155 17 3" xfId="8553" xr:uid="{00000000-0005-0000-0000-00001F1D0000}"/>
    <cellStyle name="Porcentual 155 18" xfId="2219" xr:uid="{00000000-0005-0000-0000-0000201D0000}"/>
    <cellStyle name="Porcentual 155 18 2" xfId="5881" xr:uid="{00000000-0005-0000-0000-0000211D0000}"/>
    <cellStyle name="Porcentual 155 18 3" xfId="8554" xr:uid="{00000000-0005-0000-0000-0000221D0000}"/>
    <cellStyle name="Porcentual 155 19" xfId="2220" xr:uid="{00000000-0005-0000-0000-0000231D0000}"/>
    <cellStyle name="Porcentual 155 19 2" xfId="5882" xr:uid="{00000000-0005-0000-0000-0000241D0000}"/>
    <cellStyle name="Porcentual 155 19 3" xfId="8555" xr:uid="{00000000-0005-0000-0000-0000251D0000}"/>
    <cellStyle name="Porcentual 155 2" xfId="2221" xr:uid="{00000000-0005-0000-0000-0000261D0000}"/>
    <cellStyle name="Porcentual 155 2 2" xfId="5883" xr:uid="{00000000-0005-0000-0000-0000271D0000}"/>
    <cellStyle name="Porcentual 155 2 3" xfId="8556" xr:uid="{00000000-0005-0000-0000-0000281D0000}"/>
    <cellStyle name="Porcentual 155 20" xfId="2222" xr:uid="{00000000-0005-0000-0000-0000291D0000}"/>
    <cellStyle name="Porcentual 155 20 2" xfId="5884" xr:uid="{00000000-0005-0000-0000-00002A1D0000}"/>
    <cellStyle name="Porcentual 155 20 3" xfId="8557" xr:uid="{00000000-0005-0000-0000-00002B1D0000}"/>
    <cellStyle name="Porcentual 155 21" xfId="2223" xr:uid="{00000000-0005-0000-0000-00002C1D0000}"/>
    <cellStyle name="Porcentual 155 21 2" xfId="5885" xr:uid="{00000000-0005-0000-0000-00002D1D0000}"/>
    <cellStyle name="Porcentual 155 21 3" xfId="8558" xr:uid="{00000000-0005-0000-0000-00002E1D0000}"/>
    <cellStyle name="Porcentual 155 22" xfId="2224" xr:uid="{00000000-0005-0000-0000-00002F1D0000}"/>
    <cellStyle name="Porcentual 155 22 2" xfId="5886" xr:uid="{00000000-0005-0000-0000-0000301D0000}"/>
    <cellStyle name="Porcentual 155 22 3" xfId="8559" xr:uid="{00000000-0005-0000-0000-0000311D0000}"/>
    <cellStyle name="Porcentual 155 23" xfId="2225" xr:uid="{00000000-0005-0000-0000-0000321D0000}"/>
    <cellStyle name="Porcentual 155 23 2" xfId="5887" xr:uid="{00000000-0005-0000-0000-0000331D0000}"/>
    <cellStyle name="Porcentual 155 23 3" xfId="8560" xr:uid="{00000000-0005-0000-0000-0000341D0000}"/>
    <cellStyle name="Porcentual 155 24" xfId="2226" xr:uid="{00000000-0005-0000-0000-0000351D0000}"/>
    <cellStyle name="Porcentual 155 24 2" xfId="5888" xr:uid="{00000000-0005-0000-0000-0000361D0000}"/>
    <cellStyle name="Porcentual 155 24 3" xfId="8561" xr:uid="{00000000-0005-0000-0000-0000371D0000}"/>
    <cellStyle name="Porcentual 155 25" xfId="2227" xr:uid="{00000000-0005-0000-0000-0000381D0000}"/>
    <cellStyle name="Porcentual 155 25 2" xfId="5889" xr:uid="{00000000-0005-0000-0000-0000391D0000}"/>
    <cellStyle name="Porcentual 155 25 3" xfId="8562" xr:uid="{00000000-0005-0000-0000-00003A1D0000}"/>
    <cellStyle name="Porcentual 155 26" xfId="2228" xr:uid="{00000000-0005-0000-0000-00003B1D0000}"/>
    <cellStyle name="Porcentual 155 26 2" xfId="5890" xr:uid="{00000000-0005-0000-0000-00003C1D0000}"/>
    <cellStyle name="Porcentual 155 26 3" xfId="8563" xr:uid="{00000000-0005-0000-0000-00003D1D0000}"/>
    <cellStyle name="Porcentual 155 27" xfId="2229" xr:uid="{00000000-0005-0000-0000-00003E1D0000}"/>
    <cellStyle name="Porcentual 155 27 2" xfId="5891" xr:uid="{00000000-0005-0000-0000-00003F1D0000}"/>
    <cellStyle name="Porcentual 155 27 3" xfId="8564" xr:uid="{00000000-0005-0000-0000-0000401D0000}"/>
    <cellStyle name="Porcentual 155 28" xfId="2230" xr:uid="{00000000-0005-0000-0000-0000411D0000}"/>
    <cellStyle name="Porcentual 155 28 2" xfId="5892" xr:uid="{00000000-0005-0000-0000-0000421D0000}"/>
    <cellStyle name="Porcentual 155 28 3" xfId="8565" xr:uid="{00000000-0005-0000-0000-0000431D0000}"/>
    <cellStyle name="Porcentual 155 3" xfId="2231" xr:uid="{00000000-0005-0000-0000-0000441D0000}"/>
    <cellStyle name="Porcentual 155 3 2" xfId="5893" xr:uid="{00000000-0005-0000-0000-0000451D0000}"/>
    <cellStyle name="Porcentual 155 3 3" xfId="8566" xr:uid="{00000000-0005-0000-0000-0000461D0000}"/>
    <cellStyle name="Porcentual 155 4" xfId="2232" xr:uid="{00000000-0005-0000-0000-0000471D0000}"/>
    <cellStyle name="Porcentual 155 4 2" xfId="5894" xr:uid="{00000000-0005-0000-0000-0000481D0000}"/>
    <cellStyle name="Porcentual 155 4 3" xfId="8567" xr:uid="{00000000-0005-0000-0000-0000491D0000}"/>
    <cellStyle name="Porcentual 155 5" xfId="2233" xr:uid="{00000000-0005-0000-0000-00004A1D0000}"/>
    <cellStyle name="Porcentual 155 5 2" xfId="5895" xr:uid="{00000000-0005-0000-0000-00004B1D0000}"/>
    <cellStyle name="Porcentual 155 5 3" xfId="8568" xr:uid="{00000000-0005-0000-0000-00004C1D0000}"/>
    <cellStyle name="Porcentual 155 6" xfId="2234" xr:uid="{00000000-0005-0000-0000-00004D1D0000}"/>
    <cellStyle name="Porcentual 155 6 2" xfId="5896" xr:uid="{00000000-0005-0000-0000-00004E1D0000}"/>
    <cellStyle name="Porcentual 155 6 3" xfId="8569" xr:uid="{00000000-0005-0000-0000-00004F1D0000}"/>
    <cellStyle name="Porcentual 155 7" xfId="2235" xr:uid="{00000000-0005-0000-0000-0000501D0000}"/>
    <cellStyle name="Porcentual 155 7 2" xfId="5897" xr:uid="{00000000-0005-0000-0000-0000511D0000}"/>
    <cellStyle name="Porcentual 155 7 3" xfId="8570" xr:uid="{00000000-0005-0000-0000-0000521D0000}"/>
    <cellStyle name="Porcentual 155 8" xfId="2236" xr:uid="{00000000-0005-0000-0000-0000531D0000}"/>
    <cellStyle name="Porcentual 155 8 2" xfId="5898" xr:uid="{00000000-0005-0000-0000-0000541D0000}"/>
    <cellStyle name="Porcentual 155 8 3" xfId="8571" xr:uid="{00000000-0005-0000-0000-0000551D0000}"/>
    <cellStyle name="Porcentual 155 9" xfId="2237" xr:uid="{00000000-0005-0000-0000-0000561D0000}"/>
    <cellStyle name="Porcentual 155 9 2" xfId="5899" xr:uid="{00000000-0005-0000-0000-0000571D0000}"/>
    <cellStyle name="Porcentual 155 9 3" xfId="8572" xr:uid="{00000000-0005-0000-0000-0000581D0000}"/>
    <cellStyle name="Porcentual 156 10" xfId="2238" xr:uid="{00000000-0005-0000-0000-0000591D0000}"/>
    <cellStyle name="Porcentual 156 10 2" xfId="5900" xr:uid="{00000000-0005-0000-0000-00005A1D0000}"/>
    <cellStyle name="Porcentual 156 10 3" xfId="8573" xr:uid="{00000000-0005-0000-0000-00005B1D0000}"/>
    <cellStyle name="Porcentual 156 11" xfId="2239" xr:uid="{00000000-0005-0000-0000-00005C1D0000}"/>
    <cellStyle name="Porcentual 156 11 2" xfId="5901" xr:uid="{00000000-0005-0000-0000-00005D1D0000}"/>
    <cellStyle name="Porcentual 156 11 3" xfId="8574" xr:uid="{00000000-0005-0000-0000-00005E1D0000}"/>
    <cellStyle name="Porcentual 156 12" xfId="2240" xr:uid="{00000000-0005-0000-0000-00005F1D0000}"/>
    <cellStyle name="Porcentual 156 12 2" xfId="5902" xr:uid="{00000000-0005-0000-0000-0000601D0000}"/>
    <cellStyle name="Porcentual 156 12 3" xfId="8575" xr:uid="{00000000-0005-0000-0000-0000611D0000}"/>
    <cellStyle name="Porcentual 156 13" xfId="2241" xr:uid="{00000000-0005-0000-0000-0000621D0000}"/>
    <cellStyle name="Porcentual 156 13 2" xfId="5903" xr:uid="{00000000-0005-0000-0000-0000631D0000}"/>
    <cellStyle name="Porcentual 156 13 3" xfId="8576" xr:uid="{00000000-0005-0000-0000-0000641D0000}"/>
    <cellStyle name="Porcentual 156 14" xfId="2242" xr:uid="{00000000-0005-0000-0000-0000651D0000}"/>
    <cellStyle name="Porcentual 156 14 2" xfId="5904" xr:uid="{00000000-0005-0000-0000-0000661D0000}"/>
    <cellStyle name="Porcentual 156 14 3" xfId="8577" xr:uid="{00000000-0005-0000-0000-0000671D0000}"/>
    <cellStyle name="Porcentual 156 15" xfId="2243" xr:uid="{00000000-0005-0000-0000-0000681D0000}"/>
    <cellStyle name="Porcentual 156 15 2" xfId="5905" xr:uid="{00000000-0005-0000-0000-0000691D0000}"/>
    <cellStyle name="Porcentual 156 15 3" xfId="8578" xr:uid="{00000000-0005-0000-0000-00006A1D0000}"/>
    <cellStyle name="Porcentual 156 16" xfId="2244" xr:uid="{00000000-0005-0000-0000-00006B1D0000}"/>
    <cellStyle name="Porcentual 156 16 2" xfId="5906" xr:uid="{00000000-0005-0000-0000-00006C1D0000}"/>
    <cellStyle name="Porcentual 156 16 3" xfId="8579" xr:uid="{00000000-0005-0000-0000-00006D1D0000}"/>
    <cellStyle name="Porcentual 156 17" xfId="2245" xr:uid="{00000000-0005-0000-0000-00006E1D0000}"/>
    <cellStyle name="Porcentual 156 17 2" xfId="5907" xr:uid="{00000000-0005-0000-0000-00006F1D0000}"/>
    <cellStyle name="Porcentual 156 17 3" xfId="8580" xr:uid="{00000000-0005-0000-0000-0000701D0000}"/>
    <cellStyle name="Porcentual 156 18" xfId="2246" xr:uid="{00000000-0005-0000-0000-0000711D0000}"/>
    <cellStyle name="Porcentual 156 18 2" xfId="5908" xr:uid="{00000000-0005-0000-0000-0000721D0000}"/>
    <cellStyle name="Porcentual 156 18 3" xfId="8581" xr:uid="{00000000-0005-0000-0000-0000731D0000}"/>
    <cellStyle name="Porcentual 156 19" xfId="2247" xr:uid="{00000000-0005-0000-0000-0000741D0000}"/>
    <cellStyle name="Porcentual 156 19 2" xfId="5909" xr:uid="{00000000-0005-0000-0000-0000751D0000}"/>
    <cellStyle name="Porcentual 156 19 3" xfId="8582" xr:uid="{00000000-0005-0000-0000-0000761D0000}"/>
    <cellStyle name="Porcentual 156 2" xfId="2248" xr:uid="{00000000-0005-0000-0000-0000771D0000}"/>
    <cellStyle name="Porcentual 156 2 2" xfId="5910" xr:uid="{00000000-0005-0000-0000-0000781D0000}"/>
    <cellStyle name="Porcentual 156 2 3" xfId="8583" xr:uid="{00000000-0005-0000-0000-0000791D0000}"/>
    <cellStyle name="Porcentual 156 20" xfId="2249" xr:uid="{00000000-0005-0000-0000-00007A1D0000}"/>
    <cellStyle name="Porcentual 156 20 2" xfId="5911" xr:uid="{00000000-0005-0000-0000-00007B1D0000}"/>
    <cellStyle name="Porcentual 156 20 3" xfId="8584" xr:uid="{00000000-0005-0000-0000-00007C1D0000}"/>
    <cellStyle name="Porcentual 156 21" xfId="2250" xr:uid="{00000000-0005-0000-0000-00007D1D0000}"/>
    <cellStyle name="Porcentual 156 21 2" xfId="5912" xr:uid="{00000000-0005-0000-0000-00007E1D0000}"/>
    <cellStyle name="Porcentual 156 21 3" xfId="8585" xr:uid="{00000000-0005-0000-0000-00007F1D0000}"/>
    <cellStyle name="Porcentual 156 22" xfId="2251" xr:uid="{00000000-0005-0000-0000-0000801D0000}"/>
    <cellStyle name="Porcentual 156 22 2" xfId="5913" xr:uid="{00000000-0005-0000-0000-0000811D0000}"/>
    <cellStyle name="Porcentual 156 22 3" xfId="8586" xr:uid="{00000000-0005-0000-0000-0000821D0000}"/>
    <cellStyle name="Porcentual 156 23" xfId="2252" xr:uid="{00000000-0005-0000-0000-0000831D0000}"/>
    <cellStyle name="Porcentual 156 23 2" xfId="5914" xr:uid="{00000000-0005-0000-0000-0000841D0000}"/>
    <cellStyle name="Porcentual 156 23 3" xfId="8587" xr:uid="{00000000-0005-0000-0000-0000851D0000}"/>
    <cellStyle name="Porcentual 156 24" xfId="2253" xr:uid="{00000000-0005-0000-0000-0000861D0000}"/>
    <cellStyle name="Porcentual 156 24 2" xfId="5915" xr:uid="{00000000-0005-0000-0000-0000871D0000}"/>
    <cellStyle name="Porcentual 156 24 3" xfId="8588" xr:uid="{00000000-0005-0000-0000-0000881D0000}"/>
    <cellStyle name="Porcentual 156 25" xfId="2254" xr:uid="{00000000-0005-0000-0000-0000891D0000}"/>
    <cellStyle name="Porcentual 156 25 2" xfId="5916" xr:uid="{00000000-0005-0000-0000-00008A1D0000}"/>
    <cellStyle name="Porcentual 156 25 3" xfId="8589" xr:uid="{00000000-0005-0000-0000-00008B1D0000}"/>
    <cellStyle name="Porcentual 156 26" xfId="2255" xr:uid="{00000000-0005-0000-0000-00008C1D0000}"/>
    <cellStyle name="Porcentual 156 26 2" xfId="5917" xr:uid="{00000000-0005-0000-0000-00008D1D0000}"/>
    <cellStyle name="Porcentual 156 26 3" xfId="8590" xr:uid="{00000000-0005-0000-0000-00008E1D0000}"/>
    <cellStyle name="Porcentual 156 27" xfId="2256" xr:uid="{00000000-0005-0000-0000-00008F1D0000}"/>
    <cellStyle name="Porcentual 156 27 2" xfId="5918" xr:uid="{00000000-0005-0000-0000-0000901D0000}"/>
    <cellStyle name="Porcentual 156 27 3" xfId="8591" xr:uid="{00000000-0005-0000-0000-0000911D0000}"/>
    <cellStyle name="Porcentual 156 28" xfId="2257" xr:uid="{00000000-0005-0000-0000-0000921D0000}"/>
    <cellStyle name="Porcentual 156 28 2" xfId="5919" xr:uid="{00000000-0005-0000-0000-0000931D0000}"/>
    <cellStyle name="Porcentual 156 28 3" xfId="8592" xr:uid="{00000000-0005-0000-0000-0000941D0000}"/>
    <cellStyle name="Porcentual 156 3" xfId="2258" xr:uid="{00000000-0005-0000-0000-0000951D0000}"/>
    <cellStyle name="Porcentual 156 3 2" xfId="5920" xr:uid="{00000000-0005-0000-0000-0000961D0000}"/>
    <cellStyle name="Porcentual 156 3 3" xfId="8593" xr:uid="{00000000-0005-0000-0000-0000971D0000}"/>
    <cellStyle name="Porcentual 156 4" xfId="2259" xr:uid="{00000000-0005-0000-0000-0000981D0000}"/>
    <cellStyle name="Porcentual 156 4 2" xfId="5921" xr:uid="{00000000-0005-0000-0000-0000991D0000}"/>
    <cellStyle name="Porcentual 156 4 3" xfId="8594" xr:uid="{00000000-0005-0000-0000-00009A1D0000}"/>
    <cellStyle name="Porcentual 156 5" xfId="2260" xr:uid="{00000000-0005-0000-0000-00009B1D0000}"/>
    <cellStyle name="Porcentual 156 5 2" xfId="5922" xr:uid="{00000000-0005-0000-0000-00009C1D0000}"/>
    <cellStyle name="Porcentual 156 5 3" xfId="8595" xr:uid="{00000000-0005-0000-0000-00009D1D0000}"/>
    <cellStyle name="Porcentual 156 6" xfId="2261" xr:uid="{00000000-0005-0000-0000-00009E1D0000}"/>
    <cellStyle name="Porcentual 156 6 2" xfId="5923" xr:uid="{00000000-0005-0000-0000-00009F1D0000}"/>
    <cellStyle name="Porcentual 156 6 3" xfId="8596" xr:uid="{00000000-0005-0000-0000-0000A01D0000}"/>
    <cellStyle name="Porcentual 156 7" xfId="2262" xr:uid="{00000000-0005-0000-0000-0000A11D0000}"/>
    <cellStyle name="Porcentual 156 7 2" xfId="5924" xr:uid="{00000000-0005-0000-0000-0000A21D0000}"/>
    <cellStyle name="Porcentual 156 7 3" xfId="8597" xr:uid="{00000000-0005-0000-0000-0000A31D0000}"/>
    <cellStyle name="Porcentual 156 8" xfId="2263" xr:uid="{00000000-0005-0000-0000-0000A41D0000}"/>
    <cellStyle name="Porcentual 156 8 2" xfId="5925" xr:uid="{00000000-0005-0000-0000-0000A51D0000}"/>
    <cellStyle name="Porcentual 156 8 3" xfId="8598" xr:uid="{00000000-0005-0000-0000-0000A61D0000}"/>
    <cellStyle name="Porcentual 156 9" xfId="2264" xr:uid="{00000000-0005-0000-0000-0000A71D0000}"/>
    <cellStyle name="Porcentual 156 9 2" xfId="5926" xr:uid="{00000000-0005-0000-0000-0000A81D0000}"/>
    <cellStyle name="Porcentual 156 9 3" xfId="8599" xr:uid="{00000000-0005-0000-0000-0000A91D0000}"/>
    <cellStyle name="Porcentual 157 10" xfId="2265" xr:uid="{00000000-0005-0000-0000-0000AA1D0000}"/>
    <cellStyle name="Porcentual 157 10 2" xfId="5927" xr:uid="{00000000-0005-0000-0000-0000AB1D0000}"/>
    <cellStyle name="Porcentual 157 10 3" xfId="8600" xr:uid="{00000000-0005-0000-0000-0000AC1D0000}"/>
    <cellStyle name="Porcentual 157 11" xfId="2266" xr:uid="{00000000-0005-0000-0000-0000AD1D0000}"/>
    <cellStyle name="Porcentual 157 11 2" xfId="5928" xr:uid="{00000000-0005-0000-0000-0000AE1D0000}"/>
    <cellStyle name="Porcentual 157 11 3" xfId="8601" xr:uid="{00000000-0005-0000-0000-0000AF1D0000}"/>
    <cellStyle name="Porcentual 157 12" xfId="2267" xr:uid="{00000000-0005-0000-0000-0000B01D0000}"/>
    <cellStyle name="Porcentual 157 12 2" xfId="5929" xr:uid="{00000000-0005-0000-0000-0000B11D0000}"/>
    <cellStyle name="Porcentual 157 12 3" xfId="8602" xr:uid="{00000000-0005-0000-0000-0000B21D0000}"/>
    <cellStyle name="Porcentual 157 13" xfId="2268" xr:uid="{00000000-0005-0000-0000-0000B31D0000}"/>
    <cellStyle name="Porcentual 157 13 2" xfId="5930" xr:uid="{00000000-0005-0000-0000-0000B41D0000}"/>
    <cellStyle name="Porcentual 157 13 3" xfId="8603" xr:uid="{00000000-0005-0000-0000-0000B51D0000}"/>
    <cellStyle name="Porcentual 157 14" xfId="2269" xr:uid="{00000000-0005-0000-0000-0000B61D0000}"/>
    <cellStyle name="Porcentual 157 14 2" xfId="5931" xr:uid="{00000000-0005-0000-0000-0000B71D0000}"/>
    <cellStyle name="Porcentual 157 14 3" xfId="8604" xr:uid="{00000000-0005-0000-0000-0000B81D0000}"/>
    <cellStyle name="Porcentual 157 15" xfId="2270" xr:uid="{00000000-0005-0000-0000-0000B91D0000}"/>
    <cellStyle name="Porcentual 157 15 2" xfId="5932" xr:uid="{00000000-0005-0000-0000-0000BA1D0000}"/>
    <cellStyle name="Porcentual 157 15 3" xfId="8605" xr:uid="{00000000-0005-0000-0000-0000BB1D0000}"/>
    <cellStyle name="Porcentual 157 16" xfId="2271" xr:uid="{00000000-0005-0000-0000-0000BC1D0000}"/>
    <cellStyle name="Porcentual 157 16 2" xfId="5933" xr:uid="{00000000-0005-0000-0000-0000BD1D0000}"/>
    <cellStyle name="Porcentual 157 16 3" xfId="8606" xr:uid="{00000000-0005-0000-0000-0000BE1D0000}"/>
    <cellStyle name="Porcentual 157 17" xfId="2272" xr:uid="{00000000-0005-0000-0000-0000BF1D0000}"/>
    <cellStyle name="Porcentual 157 17 2" xfId="5934" xr:uid="{00000000-0005-0000-0000-0000C01D0000}"/>
    <cellStyle name="Porcentual 157 17 3" xfId="8607" xr:uid="{00000000-0005-0000-0000-0000C11D0000}"/>
    <cellStyle name="Porcentual 157 18" xfId="2273" xr:uid="{00000000-0005-0000-0000-0000C21D0000}"/>
    <cellStyle name="Porcentual 157 18 2" xfId="5935" xr:uid="{00000000-0005-0000-0000-0000C31D0000}"/>
    <cellStyle name="Porcentual 157 18 3" xfId="8608" xr:uid="{00000000-0005-0000-0000-0000C41D0000}"/>
    <cellStyle name="Porcentual 157 19" xfId="2274" xr:uid="{00000000-0005-0000-0000-0000C51D0000}"/>
    <cellStyle name="Porcentual 157 19 2" xfId="5936" xr:uid="{00000000-0005-0000-0000-0000C61D0000}"/>
    <cellStyle name="Porcentual 157 19 3" xfId="8609" xr:uid="{00000000-0005-0000-0000-0000C71D0000}"/>
    <cellStyle name="Porcentual 157 2" xfId="2275" xr:uid="{00000000-0005-0000-0000-0000C81D0000}"/>
    <cellStyle name="Porcentual 157 2 2" xfId="5937" xr:uid="{00000000-0005-0000-0000-0000C91D0000}"/>
    <cellStyle name="Porcentual 157 2 3" xfId="8610" xr:uid="{00000000-0005-0000-0000-0000CA1D0000}"/>
    <cellStyle name="Porcentual 157 20" xfId="2276" xr:uid="{00000000-0005-0000-0000-0000CB1D0000}"/>
    <cellStyle name="Porcentual 157 20 2" xfId="5938" xr:uid="{00000000-0005-0000-0000-0000CC1D0000}"/>
    <cellStyle name="Porcentual 157 20 3" xfId="8611" xr:uid="{00000000-0005-0000-0000-0000CD1D0000}"/>
    <cellStyle name="Porcentual 157 21" xfId="2277" xr:uid="{00000000-0005-0000-0000-0000CE1D0000}"/>
    <cellStyle name="Porcentual 157 21 2" xfId="5939" xr:uid="{00000000-0005-0000-0000-0000CF1D0000}"/>
    <cellStyle name="Porcentual 157 21 3" xfId="8612" xr:uid="{00000000-0005-0000-0000-0000D01D0000}"/>
    <cellStyle name="Porcentual 157 22" xfId="2278" xr:uid="{00000000-0005-0000-0000-0000D11D0000}"/>
    <cellStyle name="Porcentual 157 22 2" xfId="5940" xr:uid="{00000000-0005-0000-0000-0000D21D0000}"/>
    <cellStyle name="Porcentual 157 22 3" xfId="8613" xr:uid="{00000000-0005-0000-0000-0000D31D0000}"/>
    <cellStyle name="Porcentual 157 23" xfId="2279" xr:uid="{00000000-0005-0000-0000-0000D41D0000}"/>
    <cellStyle name="Porcentual 157 23 2" xfId="5941" xr:uid="{00000000-0005-0000-0000-0000D51D0000}"/>
    <cellStyle name="Porcentual 157 23 3" xfId="8614" xr:uid="{00000000-0005-0000-0000-0000D61D0000}"/>
    <cellStyle name="Porcentual 157 24" xfId="2280" xr:uid="{00000000-0005-0000-0000-0000D71D0000}"/>
    <cellStyle name="Porcentual 157 24 2" xfId="5942" xr:uid="{00000000-0005-0000-0000-0000D81D0000}"/>
    <cellStyle name="Porcentual 157 24 3" xfId="8615" xr:uid="{00000000-0005-0000-0000-0000D91D0000}"/>
    <cellStyle name="Porcentual 157 25" xfId="2281" xr:uid="{00000000-0005-0000-0000-0000DA1D0000}"/>
    <cellStyle name="Porcentual 157 25 2" xfId="5943" xr:uid="{00000000-0005-0000-0000-0000DB1D0000}"/>
    <cellStyle name="Porcentual 157 25 3" xfId="8616" xr:uid="{00000000-0005-0000-0000-0000DC1D0000}"/>
    <cellStyle name="Porcentual 157 26" xfId="2282" xr:uid="{00000000-0005-0000-0000-0000DD1D0000}"/>
    <cellStyle name="Porcentual 157 26 2" xfId="5944" xr:uid="{00000000-0005-0000-0000-0000DE1D0000}"/>
    <cellStyle name="Porcentual 157 26 3" xfId="8617" xr:uid="{00000000-0005-0000-0000-0000DF1D0000}"/>
    <cellStyle name="Porcentual 157 27" xfId="2283" xr:uid="{00000000-0005-0000-0000-0000E01D0000}"/>
    <cellStyle name="Porcentual 157 27 2" xfId="5945" xr:uid="{00000000-0005-0000-0000-0000E11D0000}"/>
    <cellStyle name="Porcentual 157 27 3" xfId="8618" xr:uid="{00000000-0005-0000-0000-0000E21D0000}"/>
    <cellStyle name="Porcentual 157 28" xfId="2284" xr:uid="{00000000-0005-0000-0000-0000E31D0000}"/>
    <cellStyle name="Porcentual 157 28 2" xfId="5946" xr:uid="{00000000-0005-0000-0000-0000E41D0000}"/>
    <cellStyle name="Porcentual 157 28 3" xfId="8619" xr:uid="{00000000-0005-0000-0000-0000E51D0000}"/>
    <cellStyle name="Porcentual 157 3" xfId="2285" xr:uid="{00000000-0005-0000-0000-0000E61D0000}"/>
    <cellStyle name="Porcentual 157 3 2" xfId="5947" xr:uid="{00000000-0005-0000-0000-0000E71D0000}"/>
    <cellStyle name="Porcentual 157 3 3" xfId="8620" xr:uid="{00000000-0005-0000-0000-0000E81D0000}"/>
    <cellStyle name="Porcentual 157 4" xfId="2286" xr:uid="{00000000-0005-0000-0000-0000E91D0000}"/>
    <cellStyle name="Porcentual 157 4 2" xfId="5948" xr:uid="{00000000-0005-0000-0000-0000EA1D0000}"/>
    <cellStyle name="Porcentual 157 4 3" xfId="8621" xr:uid="{00000000-0005-0000-0000-0000EB1D0000}"/>
    <cellStyle name="Porcentual 157 5" xfId="2287" xr:uid="{00000000-0005-0000-0000-0000EC1D0000}"/>
    <cellStyle name="Porcentual 157 5 2" xfId="5949" xr:uid="{00000000-0005-0000-0000-0000ED1D0000}"/>
    <cellStyle name="Porcentual 157 5 3" xfId="8622" xr:uid="{00000000-0005-0000-0000-0000EE1D0000}"/>
    <cellStyle name="Porcentual 157 6" xfId="2288" xr:uid="{00000000-0005-0000-0000-0000EF1D0000}"/>
    <cellStyle name="Porcentual 157 6 2" xfId="5950" xr:uid="{00000000-0005-0000-0000-0000F01D0000}"/>
    <cellStyle name="Porcentual 157 6 3" xfId="8623" xr:uid="{00000000-0005-0000-0000-0000F11D0000}"/>
    <cellStyle name="Porcentual 157 7" xfId="2289" xr:uid="{00000000-0005-0000-0000-0000F21D0000}"/>
    <cellStyle name="Porcentual 157 7 2" xfId="5951" xr:uid="{00000000-0005-0000-0000-0000F31D0000}"/>
    <cellStyle name="Porcentual 157 7 3" xfId="8624" xr:uid="{00000000-0005-0000-0000-0000F41D0000}"/>
    <cellStyle name="Porcentual 157 8" xfId="2290" xr:uid="{00000000-0005-0000-0000-0000F51D0000}"/>
    <cellStyle name="Porcentual 157 8 2" xfId="5952" xr:uid="{00000000-0005-0000-0000-0000F61D0000}"/>
    <cellStyle name="Porcentual 157 8 3" xfId="8625" xr:uid="{00000000-0005-0000-0000-0000F71D0000}"/>
    <cellStyle name="Porcentual 157 9" xfId="2291" xr:uid="{00000000-0005-0000-0000-0000F81D0000}"/>
    <cellStyle name="Porcentual 157 9 2" xfId="5953" xr:uid="{00000000-0005-0000-0000-0000F91D0000}"/>
    <cellStyle name="Porcentual 157 9 3" xfId="8626" xr:uid="{00000000-0005-0000-0000-0000FA1D0000}"/>
    <cellStyle name="Porcentual 16" xfId="2292" xr:uid="{00000000-0005-0000-0000-0000FB1D0000}"/>
    <cellStyle name="Porcentual 16 10" xfId="2293" xr:uid="{00000000-0005-0000-0000-0000FC1D0000}"/>
    <cellStyle name="Porcentual 16 10 2" xfId="5954" xr:uid="{00000000-0005-0000-0000-0000FD1D0000}"/>
    <cellStyle name="Porcentual 16 10 3" xfId="8628" xr:uid="{00000000-0005-0000-0000-0000FE1D0000}"/>
    <cellStyle name="Porcentual 16 11" xfId="2294" xr:uid="{00000000-0005-0000-0000-0000FF1D0000}"/>
    <cellStyle name="Porcentual 16 11 2" xfId="5955" xr:uid="{00000000-0005-0000-0000-0000001E0000}"/>
    <cellStyle name="Porcentual 16 11 3" xfId="8629" xr:uid="{00000000-0005-0000-0000-0000011E0000}"/>
    <cellStyle name="Porcentual 16 12" xfId="2295" xr:uid="{00000000-0005-0000-0000-0000021E0000}"/>
    <cellStyle name="Porcentual 16 12 2" xfId="5956" xr:uid="{00000000-0005-0000-0000-0000031E0000}"/>
    <cellStyle name="Porcentual 16 12 3" xfId="8630" xr:uid="{00000000-0005-0000-0000-0000041E0000}"/>
    <cellStyle name="Porcentual 16 13" xfId="2296" xr:uid="{00000000-0005-0000-0000-0000051E0000}"/>
    <cellStyle name="Porcentual 16 13 2" xfId="5957" xr:uid="{00000000-0005-0000-0000-0000061E0000}"/>
    <cellStyle name="Porcentual 16 13 3" xfId="8631" xr:uid="{00000000-0005-0000-0000-0000071E0000}"/>
    <cellStyle name="Porcentual 16 14" xfId="2297" xr:uid="{00000000-0005-0000-0000-0000081E0000}"/>
    <cellStyle name="Porcentual 16 14 2" xfId="5958" xr:uid="{00000000-0005-0000-0000-0000091E0000}"/>
    <cellStyle name="Porcentual 16 14 3" xfId="8632" xr:uid="{00000000-0005-0000-0000-00000A1E0000}"/>
    <cellStyle name="Porcentual 16 15" xfId="2298" xr:uid="{00000000-0005-0000-0000-00000B1E0000}"/>
    <cellStyle name="Porcentual 16 15 2" xfId="5959" xr:uid="{00000000-0005-0000-0000-00000C1E0000}"/>
    <cellStyle name="Porcentual 16 15 3" xfId="8633" xr:uid="{00000000-0005-0000-0000-00000D1E0000}"/>
    <cellStyle name="Porcentual 16 16" xfId="2299" xr:uid="{00000000-0005-0000-0000-00000E1E0000}"/>
    <cellStyle name="Porcentual 16 16 2" xfId="5960" xr:uid="{00000000-0005-0000-0000-00000F1E0000}"/>
    <cellStyle name="Porcentual 16 16 3" xfId="8634" xr:uid="{00000000-0005-0000-0000-0000101E0000}"/>
    <cellStyle name="Porcentual 16 17" xfId="2300" xr:uid="{00000000-0005-0000-0000-0000111E0000}"/>
    <cellStyle name="Porcentual 16 17 2" xfId="5961" xr:uid="{00000000-0005-0000-0000-0000121E0000}"/>
    <cellStyle name="Porcentual 16 17 3" xfId="8635" xr:uid="{00000000-0005-0000-0000-0000131E0000}"/>
    <cellStyle name="Porcentual 16 18" xfId="2301" xr:uid="{00000000-0005-0000-0000-0000141E0000}"/>
    <cellStyle name="Porcentual 16 18 2" xfId="5962" xr:uid="{00000000-0005-0000-0000-0000151E0000}"/>
    <cellStyle name="Porcentual 16 18 3" xfId="8636" xr:uid="{00000000-0005-0000-0000-0000161E0000}"/>
    <cellStyle name="Porcentual 16 19" xfId="2302" xr:uid="{00000000-0005-0000-0000-0000171E0000}"/>
    <cellStyle name="Porcentual 16 19 2" xfId="5963" xr:uid="{00000000-0005-0000-0000-0000181E0000}"/>
    <cellStyle name="Porcentual 16 19 3" xfId="8637" xr:uid="{00000000-0005-0000-0000-0000191E0000}"/>
    <cellStyle name="Porcentual 16 2" xfId="2303" xr:uid="{00000000-0005-0000-0000-00001A1E0000}"/>
    <cellStyle name="Porcentual 16 2 2" xfId="5964" xr:uid="{00000000-0005-0000-0000-00001B1E0000}"/>
    <cellStyle name="Porcentual 16 2 3" xfId="8638" xr:uid="{00000000-0005-0000-0000-00001C1E0000}"/>
    <cellStyle name="Porcentual 16 20" xfId="2304" xr:uid="{00000000-0005-0000-0000-00001D1E0000}"/>
    <cellStyle name="Porcentual 16 20 2" xfId="5965" xr:uid="{00000000-0005-0000-0000-00001E1E0000}"/>
    <cellStyle name="Porcentual 16 20 3" xfId="8639" xr:uid="{00000000-0005-0000-0000-00001F1E0000}"/>
    <cellStyle name="Porcentual 16 21" xfId="2305" xr:uid="{00000000-0005-0000-0000-0000201E0000}"/>
    <cellStyle name="Porcentual 16 21 2" xfId="5966" xr:uid="{00000000-0005-0000-0000-0000211E0000}"/>
    <cellStyle name="Porcentual 16 21 3" xfId="8640" xr:uid="{00000000-0005-0000-0000-0000221E0000}"/>
    <cellStyle name="Porcentual 16 22" xfId="2306" xr:uid="{00000000-0005-0000-0000-0000231E0000}"/>
    <cellStyle name="Porcentual 16 22 2" xfId="5967" xr:uid="{00000000-0005-0000-0000-0000241E0000}"/>
    <cellStyle name="Porcentual 16 22 3" xfId="8641" xr:uid="{00000000-0005-0000-0000-0000251E0000}"/>
    <cellStyle name="Porcentual 16 23" xfId="2307" xr:uid="{00000000-0005-0000-0000-0000261E0000}"/>
    <cellStyle name="Porcentual 16 23 2" xfId="5968" xr:uid="{00000000-0005-0000-0000-0000271E0000}"/>
    <cellStyle name="Porcentual 16 23 3" xfId="8642" xr:uid="{00000000-0005-0000-0000-0000281E0000}"/>
    <cellStyle name="Porcentual 16 24" xfId="2308" xr:uid="{00000000-0005-0000-0000-0000291E0000}"/>
    <cellStyle name="Porcentual 16 24 2" xfId="5969" xr:uid="{00000000-0005-0000-0000-00002A1E0000}"/>
    <cellStyle name="Porcentual 16 24 3" xfId="8643" xr:uid="{00000000-0005-0000-0000-00002B1E0000}"/>
    <cellStyle name="Porcentual 16 25" xfId="2309" xr:uid="{00000000-0005-0000-0000-00002C1E0000}"/>
    <cellStyle name="Porcentual 16 25 2" xfId="5970" xr:uid="{00000000-0005-0000-0000-00002D1E0000}"/>
    <cellStyle name="Porcentual 16 25 3" xfId="8644" xr:uid="{00000000-0005-0000-0000-00002E1E0000}"/>
    <cellStyle name="Porcentual 16 26" xfId="2310" xr:uid="{00000000-0005-0000-0000-00002F1E0000}"/>
    <cellStyle name="Porcentual 16 26 2" xfId="5971" xr:uid="{00000000-0005-0000-0000-0000301E0000}"/>
    <cellStyle name="Porcentual 16 26 3" xfId="8645" xr:uid="{00000000-0005-0000-0000-0000311E0000}"/>
    <cellStyle name="Porcentual 16 27" xfId="2311" xr:uid="{00000000-0005-0000-0000-0000321E0000}"/>
    <cellStyle name="Porcentual 16 27 2" xfId="5972" xr:uid="{00000000-0005-0000-0000-0000331E0000}"/>
    <cellStyle name="Porcentual 16 27 3" xfId="8646" xr:uid="{00000000-0005-0000-0000-0000341E0000}"/>
    <cellStyle name="Porcentual 16 28" xfId="2312" xr:uid="{00000000-0005-0000-0000-0000351E0000}"/>
    <cellStyle name="Porcentual 16 28 2" xfId="5973" xr:uid="{00000000-0005-0000-0000-0000361E0000}"/>
    <cellStyle name="Porcentual 16 28 3" xfId="8647" xr:uid="{00000000-0005-0000-0000-0000371E0000}"/>
    <cellStyle name="Porcentual 16 29" xfId="5974" xr:uid="{00000000-0005-0000-0000-0000381E0000}"/>
    <cellStyle name="Porcentual 16 3" xfId="2313" xr:uid="{00000000-0005-0000-0000-0000391E0000}"/>
    <cellStyle name="Porcentual 16 3 2" xfId="5975" xr:uid="{00000000-0005-0000-0000-00003A1E0000}"/>
    <cellStyle name="Porcentual 16 3 3" xfId="8648" xr:uid="{00000000-0005-0000-0000-00003B1E0000}"/>
    <cellStyle name="Porcentual 16 30" xfId="8627" xr:uid="{00000000-0005-0000-0000-00003C1E0000}"/>
    <cellStyle name="Porcentual 16 4" xfId="2314" xr:uid="{00000000-0005-0000-0000-00003D1E0000}"/>
    <cellStyle name="Porcentual 16 4 2" xfId="5976" xr:uid="{00000000-0005-0000-0000-00003E1E0000}"/>
    <cellStyle name="Porcentual 16 4 3" xfId="8649" xr:uid="{00000000-0005-0000-0000-00003F1E0000}"/>
    <cellStyle name="Porcentual 16 5" xfId="2315" xr:uid="{00000000-0005-0000-0000-0000401E0000}"/>
    <cellStyle name="Porcentual 16 5 2" xfId="5977" xr:uid="{00000000-0005-0000-0000-0000411E0000}"/>
    <cellStyle name="Porcentual 16 5 3" xfId="8650" xr:uid="{00000000-0005-0000-0000-0000421E0000}"/>
    <cellStyle name="Porcentual 16 6" xfId="2316" xr:uid="{00000000-0005-0000-0000-0000431E0000}"/>
    <cellStyle name="Porcentual 16 6 2" xfId="5978" xr:uid="{00000000-0005-0000-0000-0000441E0000}"/>
    <cellStyle name="Porcentual 16 6 3" xfId="8651" xr:uid="{00000000-0005-0000-0000-0000451E0000}"/>
    <cellStyle name="Porcentual 16 7" xfId="2317" xr:uid="{00000000-0005-0000-0000-0000461E0000}"/>
    <cellStyle name="Porcentual 16 7 2" xfId="5979" xr:uid="{00000000-0005-0000-0000-0000471E0000}"/>
    <cellStyle name="Porcentual 16 7 3" xfId="8652" xr:uid="{00000000-0005-0000-0000-0000481E0000}"/>
    <cellStyle name="Porcentual 16 8" xfId="2318" xr:uid="{00000000-0005-0000-0000-0000491E0000}"/>
    <cellStyle name="Porcentual 16 8 2" xfId="5980" xr:uid="{00000000-0005-0000-0000-00004A1E0000}"/>
    <cellStyle name="Porcentual 16 8 3" xfId="8653" xr:uid="{00000000-0005-0000-0000-00004B1E0000}"/>
    <cellStyle name="Porcentual 16 9" xfId="2319" xr:uid="{00000000-0005-0000-0000-00004C1E0000}"/>
    <cellStyle name="Porcentual 16 9 2" xfId="5981" xr:uid="{00000000-0005-0000-0000-00004D1E0000}"/>
    <cellStyle name="Porcentual 16 9 3" xfId="8654" xr:uid="{00000000-0005-0000-0000-00004E1E0000}"/>
    <cellStyle name="Porcentual 17" xfId="2320" xr:uid="{00000000-0005-0000-0000-00004F1E0000}"/>
    <cellStyle name="Porcentual 17 10" xfId="2321" xr:uid="{00000000-0005-0000-0000-0000501E0000}"/>
    <cellStyle name="Porcentual 17 10 2" xfId="5982" xr:uid="{00000000-0005-0000-0000-0000511E0000}"/>
    <cellStyle name="Porcentual 17 10 3" xfId="8656" xr:uid="{00000000-0005-0000-0000-0000521E0000}"/>
    <cellStyle name="Porcentual 17 11" xfId="2322" xr:uid="{00000000-0005-0000-0000-0000531E0000}"/>
    <cellStyle name="Porcentual 17 11 2" xfId="5983" xr:uid="{00000000-0005-0000-0000-0000541E0000}"/>
    <cellStyle name="Porcentual 17 11 3" xfId="8657" xr:uid="{00000000-0005-0000-0000-0000551E0000}"/>
    <cellStyle name="Porcentual 17 12" xfId="2323" xr:uid="{00000000-0005-0000-0000-0000561E0000}"/>
    <cellStyle name="Porcentual 17 12 2" xfId="5984" xr:uid="{00000000-0005-0000-0000-0000571E0000}"/>
    <cellStyle name="Porcentual 17 12 3" xfId="8658" xr:uid="{00000000-0005-0000-0000-0000581E0000}"/>
    <cellStyle name="Porcentual 17 13" xfId="2324" xr:uid="{00000000-0005-0000-0000-0000591E0000}"/>
    <cellStyle name="Porcentual 17 13 2" xfId="5985" xr:uid="{00000000-0005-0000-0000-00005A1E0000}"/>
    <cellStyle name="Porcentual 17 13 3" xfId="8659" xr:uid="{00000000-0005-0000-0000-00005B1E0000}"/>
    <cellStyle name="Porcentual 17 14" xfId="2325" xr:uid="{00000000-0005-0000-0000-00005C1E0000}"/>
    <cellStyle name="Porcentual 17 14 2" xfId="5986" xr:uid="{00000000-0005-0000-0000-00005D1E0000}"/>
    <cellStyle name="Porcentual 17 14 3" xfId="8660" xr:uid="{00000000-0005-0000-0000-00005E1E0000}"/>
    <cellStyle name="Porcentual 17 15" xfId="2326" xr:uid="{00000000-0005-0000-0000-00005F1E0000}"/>
    <cellStyle name="Porcentual 17 15 2" xfId="5987" xr:uid="{00000000-0005-0000-0000-0000601E0000}"/>
    <cellStyle name="Porcentual 17 15 3" xfId="8661" xr:uid="{00000000-0005-0000-0000-0000611E0000}"/>
    <cellStyle name="Porcentual 17 16" xfId="2327" xr:uid="{00000000-0005-0000-0000-0000621E0000}"/>
    <cellStyle name="Porcentual 17 16 2" xfId="5988" xr:uid="{00000000-0005-0000-0000-0000631E0000}"/>
    <cellStyle name="Porcentual 17 16 3" xfId="8662" xr:uid="{00000000-0005-0000-0000-0000641E0000}"/>
    <cellStyle name="Porcentual 17 17" xfId="2328" xr:uid="{00000000-0005-0000-0000-0000651E0000}"/>
    <cellStyle name="Porcentual 17 17 2" xfId="5989" xr:uid="{00000000-0005-0000-0000-0000661E0000}"/>
    <cellStyle name="Porcentual 17 17 3" xfId="8663" xr:uid="{00000000-0005-0000-0000-0000671E0000}"/>
    <cellStyle name="Porcentual 17 18" xfId="2329" xr:uid="{00000000-0005-0000-0000-0000681E0000}"/>
    <cellStyle name="Porcentual 17 18 2" xfId="5990" xr:uid="{00000000-0005-0000-0000-0000691E0000}"/>
    <cellStyle name="Porcentual 17 18 3" xfId="8664" xr:uid="{00000000-0005-0000-0000-00006A1E0000}"/>
    <cellStyle name="Porcentual 17 19" xfId="2330" xr:uid="{00000000-0005-0000-0000-00006B1E0000}"/>
    <cellStyle name="Porcentual 17 19 2" xfId="5991" xr:uid="{00000000-0005-0000-0000-00006C1E0000}"/>
    <cellStyle name="Porcentual 17 19 3" xfId="8665" xr:uid="{00000000-0005-0000-0000-00006D1E0000}"/>
    <cellStyle name="Porcentual 17 2" xfId="2331" xr:uid="{00000000-0005-0000-0000-00006E1E0000}"/>
    <cellStyle name="Porcentual 17 2 2" xfId="5992" xr:uid="{00000000-0005-0000-0000-00006F1E0000}"/>
    <cellStyle name="Porcentual 17 2 3" xfId="8666" xr:uid="{00000000-0005-0000-0000-0000701E0000}"/>
    <cellStyle name="Porcentual 17 20" xfId="2332" xr:uid="{00000000-0005-0000-0000-0000711E0000}"/>
    <cellStyle name="Porcentual 17 20 2" xfId="5993" xr:uid="{00000000-0005-0000-0000-0000721E0000}"/>
    <cellStyle name="Porcentual 17 20 3" xfId="8667" xr:uid="{00000000-0005-0000-0000-0000731E0000}"/>
    <cellStyle name="Porcentual 17 21" xfId="2333" xr:uid="{00000000-0005-0000-0000-0000741E0000}"/>
    <cellStyle name="Porcentual 17 21 2" xfId="5994" xr:uid="{00000000-0005-0000-0000-0000751E0000}"/>
    <cellStyle name="Porcentual 17 21 3" xfId="8668" xr:uid="{00000000-0005-0000-0000-0000761E0000}"/>
    <cellStyle name="Porcentual 17 22" xfId="2334" xr:uid="{00000000-0005-0000-0000-0000771E0000}"/>
    <cellStyle name="Porcentual 17 22 2" xfId="5995" xr:uid="{00000000-0005-0000-0000-0000781E0000}"/>
    <cellStyle name="Porcentual 17 22 3" xfId="8669" xr:uid="{00000000-0005-0000-0000-0000791E0000}"/>
    <cellStyle name="Porcentual 17 23" xfId="2335" xr:uid="{00000000-0005-0000-0000-00007A1E0000}"/>
    <cellStyle name="Porcentual 17 23 2" xfId="5996" xr:uid="{00000000-0005-0000-0000-00007B1E0000}"/>
    <cellStyle name="Porcentual 17 23 3" xfId="8670" xr:uid="{00000000-0005-0000-0000-00007C1E0000}"/>
    <cellStyle name="Porcentual 17 24" xfId="2336" xr:uid="{00000000-0005-0000-0000-00007D1E0000}"/>
    <cellStyle name="Porcentual 17 24 2" xfId="5997" xr:uid="{00000000-0005-0000-0000-00007E1E0000}"/>
    <cellStyle name="Porcentual 17 24 3" xfId="8671" xr:uid="{00000000-0005-0000-0000-00007F1E0000}"/>
    <cellStyle name="Porcentual 17 25" xfId="2337" xr:uid="{00000000-0005-0000-0000-0000801E0000}"/>
    <cellStyle name="Porcentual 17 25 2" xfId="5998" xr:uid="{00000000-0005-0000-0000-0000811E0000}"/>
    <cellStyle name="Porcentual 17 25 3" xfId="8672" xr:uid="{00000000-0005-0000-0000-0000821E0000}"/>
    <cellStyle name="Porcentual 17 26" xfId="2338" xr:uid="{00000000-0005-0000-0000-0000831E0000}"/>
    <cellStyle name="Porcentual 17 26 2" xfId="5999" xr:uid="{00000000-0005-0000-0000-0000841E0000}"/>
    <cellStyle name="Porcentual 17 26 3" xfId="8673" xr:uid="{00000000-0005-0000-0000-0000851E0000}"/>
    <cellStyle name="Porcentual 17 27" xfId="2339" xr:uid="{00000000-0005-0000-0000-0000861E0000}"/>
    <cellStyle name="Porcentual 17 27 2" xfId="6000" xr:uid="{00000000-0005-0000-0000-0000871E0000}"/>
    <cellStyle name="Porcentual 17 27 3" xfId="8674" xr:uid="{00000000-0005-0000-0000-0000881E0000}"/>
    <cellStyle name="Porcentual 17 28" xfId="2340" xr:uid="{00000000-0005-0000-0000-0000891E0000}"/>
    <cellStyle name="Porcentual 17 28 2" xfId="6001" xr:uid="{00000000-0005-0000-0000-00008A1E0000}"/>
    <cellStyle name="Porcentual 17 28 3" xfId="8675" xr:uid="{00000000-0005-0000-0000-00008B1E0000}"/>
    <cellStyle name="Porcentual 17 29" xfId="6002" xr:uid="{00000000-0005-0000-0000-00008C1E0000}"/>
    <cellStyle name="Porcentual 17 3" xfId="2341" xr:uid="{00000000-0005-0000-0000-00008D1E0000}"/>
    <cellStyle name="Porcentual 17 3 2" xfId="6003" xr:uid="{00000000-0005-0000-0000-00008E1E0000}"/>
    <cellStyle name="Porcentual 17 3 3" xfId="8676" xr:uid="{00000000-0005-0000-0000-00008F1E0000}"/>
    <cellStyle name="Porcentual 17 30" xfId="8655" xr:uid="{00000000-0005-0000-0000-0000901E0000}"/>
    <cellStyle name="Porcentual 17 4" xfId="2342" xr:uid="{00000000-0005-0000-0000-0000911E0000}"/>
    <cellStyle name="Porcentual 17 4 2" xfId="6004" xr:uid="{00000000-0005-0000-0000-0000921E0000}"/>
    <cellStyle name="Porcentual 17 4 3" xfId="8677" xr:uid="{00000000-0005-0000-0000-0000931E0000}"/>
    <cellStyle name="Porcentual 17 5" xfId="2343" xr:uid="{00000000-0005-0000-0000-0000941E0000}"/>
    <cellStyle name="Porcentual 17 5 2" xfId="6005" xr:uid="{00000000-0005-0000-0000-0000951E0000}"/>
    <cellStyle name="Porcentual 17 5 3" xfId="8678" xr:uid="{00000000-0005-0000-0000-0000961E0000}"/>
    <cellStyle name="Porcentual 17 6" xfId="2344" xr:uid="{00000000-0005-0000-0000-0000971E0000}"/>
    <cellStyle name="Porcentual 17 6 2" xfId="6006" xr:uid="{00000000-0005-0000-0000-0000981E0000}"/>
    <cellStyle name="Porcentual 17 6 3" xfId="8679" xr:uid="{00000000-0005-0000-0000-0000991E0000}"/>
    <cellStyle name="Porcentual 17 7" xfId="2345" xr:uid="{00000000-0005-0000-0000-00009A1E0000}"/>
    <cellStyle name="Porcentual 17 7 2" xfId="6007" xr:uid="{00000000-0005-0000-0000-00009B1E0000}"/>
    <cellStyle name="Porcentual 17 7 3" xfId="8680" xr:uid="{00000000-0005-0000-0000-00009C1E0000}"/>
    <cellStyle name="Porcentual 17 8" xfId="2346" xr:uid="{00000000-0005-0000-0000-00009D1E0000}"/>
    <cellStyle name="Porcentual 17 8 2" xfId="6008" xr:uid="{00000000-0005-0000-0000-00009E1E0000}"/>
    <cellStyle name="Porcentual 17 8 3" xfId="8681" xr:uid="{00000000-0005-0000-0000-00009F1E0000}"/>
    <cellStyle name="Porcentual 17 9" xfId="2347" xr:uid="{00000000-0005-0000-0000-0000A01E0000}"/>
    <cellStyle name="Porcentual 17 9 2" xfId="6009" xr:uid="{00000000-0005-0000-0000-0000A11E0000}"/>
    <cellStyle name="Porcentual 17 9 3" xfId="8682" xr:uid="{00000000-0005-0000-0000-0000A21E0000}"/>
    <cellStyle name="Porcentual 18" xfId="2348" xr:uid="{00000000-0005-0000-0000-0000A31E0000}"/>
    <cellStyle name="Porcentual 18 10" xfId="2349" xr:uid="{00000000-0005-0000-0000-0000A41E0000}"/>
    <cellStyle name="Porcentual 18 10 2" xfId="6010" xr:uid="{00000000-0005-0000-0000-0000A51E0000}"/>
    <cellStyle name="Porcentual 18 10 3" xfId="8684" xr:uid="{00000000-0005-0000-0000-0000A61E0000}"/>
    <cellStyle name="Porcentual 18 11" xfId="2350" xr:uid="{00000000-0005-0000-0000-0000A71E0000}"/>
    <cellStyle name="Porcentual 18 11 2" xfId="6011" xr:uid="{00000000-0005-0000-0000-0000A81E0000}"/>
    <cellStyle name="Porcentual 18 11 3" xfId="8685" xr:uid="{00000000-0005-0000-0000-0000A91E0000}"/>
    <cellStyle name="Porcentual 18 12" xfId="2351" xr:uid="{00000000-0005-0000-0000-0000AA1E0000}"/>
    <cellStyle name="Porcentual 18 12 2" xfId="6012" xr:uid="{00000000-0005-0000-0000-0000AB1E0000}"/>
    <cellStyle name="Porcentual 18 12 3" xfId="8686" xr:uid="{00000000-0005-0000-0000-0000AC1E0000}"/>
    <cellStyle name="Porcentual 18 13" xfId="2352" xr:uid="{00000000-0005-0000-0000-0000AD1E0000}"/>
    <cellStyle name="Porcentual 18 13 2" xfId="6013" xr:uid="{00000000-0005-0000-0000-0000AE1E0000}"/>
    <cellStyle name="Porcentual 18 13 3" xfId="8687" xr:uid="{00000000-0005-0000-0000-0000AF1E0000}"/>
    <cellStyle name="Porcentual 18 14" xfId="2353" xr:uid="{00000000-0005-0000-0000-0000B01E0000}"/>
    <cellStyle name="Porcentual 18 14 2" xfId="6014" xr:uid="{00000000-0005-0000-0000-0000B11E0000}"/>
    <cellStyle name="Porcentual 18 14 3" xfId="8688" xr:uid="{00000000-0005-0000-0000-0000B21E0000}"/>
    <cellStyle name="Porcentual 18 15" xfId="2354" xr:uid="{00000000-0005-0000-0000-0000B31E0000}"/>
    <cellStyle name="Porcentual 18 15 2" xfId="6015" xr:uid="{00000000-0005-0000-0000-0000B41E0000}"/>
    <cellStyle name="Porcentual 18 15 3" xfId="8689" xr:uid="{00000000-0005-0000-0000-0000B51E0000}"/>
    <cellStyle name="Porcentual 18 16" xfId="2355" xr:uid="{00000000-0005-0000-0000-0000B61E0000}"/>
    <cellStyle name="Porcentual 18 16 2" xfId="6016" xr:uid="{00000000-0005-0000-0000-0000B71E0000}"/>
    <cellStyle name="Porcentual 18 16 3" xfId="8690" xr:uid="{00000000-0005-0000-0000-0000B81E0000}"/>
    <cellStyle name="Porcentual 18 17" xfId="2356" xr:uid="{00000000-0005-0000-0000-0000B91E0000}"/>
    <cellStyle name="Porcentual 18 17 2" xfId="6017" xr:uid="{00000000-0005-0000-0000-0000BA1E0000}"/>
    <cellStyle name="Porcentual 18 17 3" xfId="8691" xr:uid="{00000000-0005-0000-0000-0000BB1E0000}"/>
    <cellStyle name="Porcentual 18 18" xfId="2357" xr:uid="{00000000-0005-0000-0000-0000BC1E0000}"/>
    <cellStyle name="Porcentual 18 18 2" xfId="6018" xr:uid="{00000000-0005-0000-0000-0000BD1E0000}"/>
    <cellStyle name="Porcentual 18 18 3" xfId="8692" xr:uid="{00000000-0005-0000-0000-0000BE1E0000}"/>
    <cellStyle name="Porcentual 18 19" xfId="2358" xr:uid="{00000000-0005-0000-0000-0000BF1E0000}"/>
    <cellStyle name="Porcentual 18 19 2" xfId="6019" xr:uid="{00000000-0005-0000-0000-0000C01E0000}"/>
    <cellStyle name="Porcentual 18 19 3" xfId="8693" xr:uid="{00000000-0005-0000-0000-0000C11E0000}"/>
    <cellStyle name="Porcentual 18 2" xfId="2359" xr:uid="{00000000-0005-0000-0000-0000C21E0000}"/>
    <cellStyle name="Porcentual 18 2 2" xfId="6020" xr:uid="{00000000-0005-0000-0000-0000C31E0000}"/>
    <cellStyle name="Porcentual 18 2 3" xfId="8694" xr:uid="{00000000-0005-0000-0000-0000C41E0000}"/>
    <cellStyle name="Porcentual 18 20" xfId="2360" xr:uid="{00000000-0005-0000-0000-0000C51E0000}"/>
    <cellStyle name="Porcentual 18 20 2" xfId="6021" xr:uid="{00000000-0005-0000-0000-0000C61E0000}"/>
    <cellStyle name="Porcentual 18 20 3" xfId="8695" xr:uid="{00000000-0005-0000-0000-0000C71E0000}"/>
    <cellStyle name="Porcentual 18 21" xfId="2361" xr:uid="{00000000-0005-0000-0000-0000C81E0000}"/>
    <cellStyle name="Porcentual 18 21 2" xfId="6022" xr:uid="{00000000-0005-0000-0000-0000C91E0000}"/>
    <cellStyle name="Porcentual 18 21 3" xfId="8696" xr:uid="{00000000-0005-0000-0000-0000CA1E0000}"/>
    <cellStyle name="Porcentual 18 22" xfId="2362" xr:uid="{00000000-0005-0000-0000-0000CB1E0000}"/>
    <cellStyle name="Porcentual 18 22 2" xfId="6023" xr:uid="{00000000-0005-0000-0000-0000CC1E0000}"/>
    <cellStyle name="Porcentual 18 22 3" xfId="8697" xr:uid="{00000000-0005-0000-0000-0000CD1E0000}"/>
    <cellStyle name="Porcentual 18 23" xfId="2363" xr:uid="{00000000-0005-0000-0000-0000CE1E0000}"/>
    <cellStyle name="Porcentual 18 23 2" xfId="6024" xr:uid="{00000000-0005-0000-0000-0000CF1E0000}"/>
    <cellStyle name="Porcentual 18 23 3" xfId="8698" xr:uid="{00000000-0005-0000-0000-0000D01E0000}"/>
    <cellStyle name="Porcentual 18 24" xfId="2364" xr:uid="{00000000-0005-0000-0000-0000D11E0000}"/>
    <cellStyle name="Porcentual 18 24 2" xfId="6025" xr:uid="{00000000-0005-0000-0000-0000D21E0000}"/>
    <cellStyle name="Porcentual 18 24 3" xfId="8699" xr:uid="{00000000-0005-0000-0000-0000D31E0000}"/>
    <cellStyle name="Porcentual 18 25" xfId="2365" xr:uid="{00000000-0005-0000-0000-0000D41E0000}"/>
    <cellStyle name="Porcentual 18 25 2" xfId="6026" xr:uid="{00000000-0005-0000-0000-0000D51E0000}"/>
    <cellStyle name="Porcentual 18 25 3" xfId="8700" xr:uid="{00000000-0005-0000-0000-0000D61E0000}"/>
    <cellStyle name="Porcentual 18 26" xfId="2366" xr:uid="{00000000-0005-0000-0000-0000D71E0000}"/>
    <cellStyle name="Porcentual 18 26 2" xfId="6027" xr:uid="{00000000-0005-0000-0000-0000D81E0000}"/>
    <cellStyle name="Porcentual 18 26 3" xfId="8701" xr:uid="{00000000-0005-0000-0000-0000D91E0000}"/>
    <cellStyle name="Porcentual 18 27" xfId="2367" xr:uid="{00000000-0005-0000-0000-0000DA1E0000}"/>
    <cellStyle name="Porcentual 18 27 2" xfId="6028" xr:uid="{00000000-0005-0000-0000-0000DB1E0000}"/>
    <cellStyle name="Porcentual 18 27 3" xfId="8702" xr:uid="{00000000-0005-0000-0000-0000DC1E0000}"/>
    <cellStyle name="Porcentual 18 28" xfId="2368" xr:uid="{00000000-0005-0000-0000-0000DD1E0000}"/>
    <cellStyle name="Porcentual 18 28 2" xfId="6029" xr:uid="{00000000-0005-0000-0000-0000DE1E0000}"/>
    <cellStyle name="Porcentual 18 28 3" xfId="8703" xr:uid="{00000000-0005-0000-0000-0000DF1E0000}"/>
    <cellStyle name="Porcentual 18 29" xfId="6030" xr:uid="{00000000-0005-0000-0000-0000E01E0000}"/>
    <cellStyle name="Porcentual 18 3" xfId="2369" xr:uid="{00000000-0005-0000-0000-0000E11E0000}"/>
    <cellStyle name="Porcentual 18 3 2" xfId="6031" xr:uid="{00000000-0005-0000-0000-0000E21E0000}"/>
    <cellStyle name="Porcentual 18 3 3" xfId="8704" xr:uid="{00000000-0005-0000-0000-0000E31E0000}"/>
    <cellStyle name="Porcentual 18 30" xfId="8683" xr:uid="{00000000-0005-0000-0000-0000E41E0000}"/>
    <cellStyle name="Porcentual 18 4" xfId="2370" xr:uid="{00000000-0005-0000-0000-0000E51E0000}"/>
    <cellStyle name="Porcentual 18 4 2" xfId="6032" xr:uid="{00000000-0005-0000-0000-0000E61E0000}"/>
    <cellStyle name="Porcentual 18 4 3" xfId="8705" xr:uid="{00000000-0005-0000-0000-0000E71E0000}"/>
    <cellStyle name="Porcentual 18 5" xfId="2371" xr:uid="{00000000-0005-0000-0000-0000E81E0000}"/>
    <cellStyle name="Porcentual 18 5 2" xfId="6033" xr:uid="{00000000-0005-0000-0000-0000E91E0000}"/>
    <cellStyle name="Porcentual 18 5 3" xfId="8706" xr:uid="{00000000-0005-0000-0000-0000EA1E0000}"/>
    <cellStyle name="Porcentual 18 6" xfId="2372" xr:uid="{00000000-0005-0000-0000-0000EB1E0000}"/>
    <cellStyle name="Porcentual 18 6 2" xfId="6034" xr:uid="{00000000-0005-0000-0000-0000EC1E0000}"/>
    <cellStyle name="Porcentual 18 6 3" xfId="8707" xr:uid="{00000000-0005-0000-0000-0000ED1E0000}"/>
    <cellStyle name="Porcentual 18 7" xfId="2373" xr:uid="{00000000-0005-0000-0000-0000EE1E0000}"/>
    <cellStyle name="Porcentual 18 7 2" xfId="6035" xr:uid="{00000000-0005-0000-0000-0000EF1E0000}"/>
    <cellStyle name="Porcentual 18 7 3" xfId="8708" xr:uid="{00000000-0005-0000-0000-0000F01E0000}"/>
    <cellStyle name="Porcentual 18 8" xfId="2374" xr:uid="{00000000-0005-0000-0000-0000F11E0000}"/>
    <cellStyle name="Porcentual 18 8 2" xfId="6036" xr:uid="{00000000-0005-0000-0000-0000F21E0000}"/>
    <cellStyle name="Porcentual 18 8 3" xfId="8709" xr:uid="{00000000-0005-0000-0000-0000F31E0000}"/>
    <cellStyle name="Porcentual 18 9" xfId="2375" xr:uid="{00000000-0005-0000-0000-0000F41E0000}"/>
    <cellStyle name="Porcentual 18 9 2" xfId="6037" xr:uid="{00000000-0005-0000-0000-0000F51E0000}"/>
    <cellStyle name="Porcentual 18 9 3" xfId="8710" xr:uid="{00000000-0005-0000-0000-0000F61E0000}"/>
    <cellStyle name="Porcentual 19" xfId="2376" xr:uid="{00000000-0005-0000-0000-0000F71E0000}"/>
    <cellStyle name="Porcentual 19 10" xfId="2377" xr:uid="{00000000-0005-0000-0000-0000F81E0000}"/>
    <cellStyle name="Porcentual 19 10 2" xfId="6038" xr:uid="{00000000-0005-0000-0000-0000F91E0000}"/>
    <cellStyle name="Porcentual 19 10 3" xfId="8712" xr:uid="{00000000-0005-0000-0000-0000FA1E0000}"/>
    <cellStyle name="Porcentual 19 11" xfId="2378" xr:uid="{00000000-0005-0000-0000-0000FB1E0000}"/>
    <cellStyle name="Porcentual 19 11 2" xfId="6039" xr:uid="{00000000-0005-0000-0000-0000FC1E0000}"/>
    <cellStyle name="Porcentual 19 11 3" xfId="8713" xr:uid="{00000000-0005-0000-0000-0000FD1E0000}"/>
    <cellStyle name="Porcentual 19 12" xfId="2379" xr:uid="{00000000-0005-0000-0000-0000FE1E0000}"/>
    <cellStyle name="Porcentual 19 12 2" xfId="6040" xr:uid="{00000000-0005-0000-0000-0000FF1E0000}"/>
    <cellStyle name="Porcentual 19 12 3" xfId="8714" xr:uid="{00000000-0005-0000-0000-0000001F0000}"/>
    <cellStyle name="Porcentual 19 13" xfId="2380" xr:uid="{00000000-0005-0000-0000-0000011F0000}"/>
    <cellStyle name="Porcentual 19 13 2" xfId="6041" xr:uid="{00000000-0005-0000-0000-0000021F0000}"/>
    <cellStyle name="Porcentual 19 13 3" xfId="8715" xr:uid="{00000000-0005-0000-0000-0000031F0000}"/>
    <cellStyle name="Porcentual 19 14" xfId="2381" xr:uid="{00000000-0005-0000-0000-0000041F0000}"/>
    <cellStyle name="Porcentual 19 14 2" xfId="6042" xr:uid="{00000000-0005-0000-0000-0000051F0000}"/>
    <cellStyle name="Porcentual 19 14 3" xfId="8716" xr:uid="{00000000-0005-0000-0000-0000061F0000}"/>
    <cellStyle name="Porcentual 19 15" xfId="2382" xr:uid="{00000000-0005-0000-0000-0000071F0000}"/>
    <cellStyle name="Porcentual 19 15 2" xfId="6043" xr:uid="{00000000-0005-0000-0000-0000081F0000}"/>
    <cellStyle name="Porcentual 19 15 3" xfId="8717" xr:uid="{00000000-0005-0000-0000-0000091F0000}"/>
    <cellStyle name="Porcentual 19 16" xfId="2383" xr:uid="{00000000-0005-0000-0000-00000A1F0000}"/>
    <cellStyle name="Porcentual 19 16 2" xfId="6044" xr:uid="{00000000-0005-0000-0000-00000B1F0000}"/>
    <cellStyle name="Porcentual 19 16 3" xfId="8718" xr:uid="{00000000-0005-0000-0000-00000C1F0000}"/>
    <cellStyle name="Porcentual 19 17" xfId="2384" xr:uid="{00000000-0005-0000-0000-00000D1F0000}"/>
    <cellStyle name="Porcentual 19 17 2" xfId="6045" xr:uid="{00000000-0005-0000-0000-00000E1F0000}"/>
    <cellStyle name="Porcentual 19 17 3" xfId="8719" xr:uid="{00000000-0005-0000-0000-00000F1F0000}"/>
    <cellStyle name="Porcentual 19 18" xfId="2385" xr:uid="{00000000-0005-0000-0000-0000101F0000}"/>
    <cellStyle name="Porcentual 19 18 2" xfId="6046" xr:uid="{00000000-0005-0000-0000-0000111F0000}"/>
    <cellStyle name="Porcentual 19 18 3" xfId="8720" xr:uid="{00000000-0005-0000-0000-0000121F0000}"/>
    <cellStyle name="Porcentual 19 19" xfId="2386" xr:uid="{00000000-0005-0000-0000-0000131F0000}"/>
    <cellStyle name="Porcentual 19 19 2" xfId="6047" xr:uid="{00000000-0005-0000-0000-0000141F0000}"/>
    <cellStyle name="Porcentual 19 19 3" xfId="8721" xr:uid="{00000000-0005-0000-0000-0000151F0000}"/>
    <cellStyle name="Porcentual 19 2" xfId="2387" xr:uid="{00000000-0005-0000-0000-0000161F0000}"/>
    <cellStyle name="Porcentual 19 2 2" xfId="6048" xr:uid="{00000000-0005-0000-0000-0000171F0000}"/>
    <cellStyle name="Porcentual 19 2 3" xfId="8722" xr:uid="{00000000-0005-0000-0000-0000181F0000}"/>
    <cellStyle name="Porcentual 19 20" xfId="2388" xr:uid="{00000000-0005-0000-0000-0000191F0000}"/>
    <cellStyle name="Porcentual 19 20 2" xfId="6049" xr:uid="{00000000-0005-0000-0000-00001A1F0000}"/>
    <cellStyle name="Porcentual 19 20 3" xfId="8723" xr:uid="{00000000-0005-0000-0000-00001B1F0000}"/>
    <cellStyle name="Porcentual 19 21" xfId="2389" xr:uid="{00000000-0005-0000-0000-00001C1F0000}"/>
    <cellStyle name="Porcentual 19 21 2" xfId="6050" xr:uid="{00000000-0005-0000-0000-00001D1F0000}"/>
    <cellStyle name="Porcentual 19 21 3" xfId="8724" xr:uid="{00000000-0005-0000-0000-00001E1F0000}"/>
    <cellStyle name="Porcentual 19 22" xfId="2390" xr:uid="{00000000-0005-0000-0000-00001F1F0000}"/>
    <cellStyle name="Porcentual 19 22 2" xfId="6051" xr:uid="{00000000-0005-0000-0000-0000201F0000}"/>
    <cellStyle name="Porcentual 19 22 3" xfId="8725" xr:uid="{00000000-0005-0000-0000-0000211F0000}"/>
    <cellStyle name="Porcentual 19 23" xfId="2391" xr:uid="{00000000-0005-0000-0000-0000221F0000}"/>
    <cellStyle name="Porcentual 19 23 2" xfId="6052" xr:uid="{00000000-0005-0000-0000-0000231F0000}"/>
    <cellStyle name="Porcentual 19 23 3" xfId="8726" xr:uid="{00000000-0005-0000-0000-0000241F0000}"/>
    <cellStyle name="Porcentual 19 24" xfId="2392" xr:uid="{00000000-0005-0000-0000-0000251F0000}"/>
    <cellStyle name="Porcentual 19 24 2" xfId="6053" xr:uid="{00000000-0005-0000-0000-0000261F0000}"/>
    <cellStyle name="Porcentual 19 24 3" xfId="8727" xr:uid="{00000000-0005-0000-0000-0000271F0000}"/>
    <cellStyle name="Porcentual 19 25" xfId="2393" xr:uid="{00000000-0005-0000-0000-0000281F0000}"/>
    <cellStyle name="Porcentual 19 25 2" xfId="6054" xr:uid="{00000000-0005-0000-0000-0000291F0000}"/>
    <cellStyle name="Porcentual 19 25 3" xfId="8728" xr:uid="{00000000-0005-0000-0000-00002A1F0000}"/>
    <cellStyle name="Porcentual 19 26" xfId="2394" xr:uid="{00000000-0005-0000-0000-00002B1F0000}"/>
    <cellStyle name="Porcentual 19 26 2" xfId="6055" xr:uid="{00000000-0005-0000-0000-00002C1F0000}"/>
    <cellStyle name="Porcentual 19 26 3" xfId="8729" xr:uid="{00000000-0005-0000-0000-00002D1F0000}"/>
    <cellStyle name="Porcentual 19 27" xfId="2395" xr:uid="{00000000-0005-0000-0000-00002E1F0000}"/>
    <cellStyle name="Porcentual 19 27 2" xfId="6056" xr:uid="{00000000-0005-0000-0000-00002F1F0000}"/>
    <cellStyle name="Porcentual 19 27 3" xfId="8730" xr:uid="{00000000-0005-0000-0000-0000301F0000}"/>
    <cellStyle name="Porcentual 19 28" xfId="2396" xr:uid="{00000000-0005-0000-0000-0000311F0000}"/>
    <cellStyle name="Porcentual 19 28 2" xfId="6057" xr:uid="{00000000-0005-0000-0000-0000321F0000}"/>
    <cellStyle name="Porcentual 19 28 3" xfId="8731" xr:uid="{00000000-0005-0000-0000-0000331F0000}"/>
    <cellStyle name="Porcentual 19 29" xfId="6058" xr:uid="{00000000-0005-0000-0000-0000341F0000}"/>
    <cellStyle name="Porcentual 19 3" xfId="2397" xr:uid="{00000000-0005-0000-0000-0000351F0000}"/>
    <cellStyle name="Porcentual 19 3 2" xfId="6059" xr:uid="{00000000-0005-0000-0000-0000361F0000}"/>
    <cellStyle name="Porcentual 19 3 3" xfId="8732" xr:uid="{00000000-0005-0000-0000-0000371F0000}"/>
    <cellStyle name="Porcentual 19 30" xfId="8711" xr:uid="{00000000-0005-0000-0000-0000381F0000}"/>
    <cellStyle name="Porcentual 19 4" xfId="2398" xr:uid="{00000000-0005-0000-0000-0000391F0000}"/>
    <cellStyle name="Porcentual 19 4 2" xfId="6060" xr:uid="{00000000-0005-0000-0000-00003A1F0000}"/>
    <cellStyle name="Porcentual 19 4 3" xfId="8733" xr:uid="{00000000-0005-0000-0000-00003B1F0000}"/>
    <cellStyle name="Porcentual 19 5" xfId="2399" xr:uid="{00000000-0005-0000-0000-00003C1F0000}"/>
    <cellStyle name="Porcentual 19 5 2" xfId="6061" xr:uid="{00000000-0005-0000-0000-00003D1F0000}"/>
    <cellStyle name="Porcentual 19 5 3" xfId="8734" xr:uid="{00000000-0005-0000-0000-00003E1F0000}"/>
    <cellStyle name="Porcentual 19 6" xfId="2400" xr:uid="{00000000-0005-0000-0000-00003F1F0000}"/>
    <cellStyle name="Porcentual 19 6 2" xfId="6062" xr:uid="{00000000-0005-0000-0000-0000401F0000}"/>
    <cellStyle name="Porcentual 19 6 3" xfId="8735" xr:uid="{00000000-0005-0000-0000-0000411F0000}"/>
    <cellStyle name="Porcentual 19 7" xfId="2401" xr:uid="{00000000-0005-0000-0000-0000421F0000}"/>
    <cellStyle name="Porcentual 19 7 2" xfId="6063" xr:uid="{00000000-0005-0000-0000-0000431F0000}"/>
    <cellStyle name="Porcentual 19 7 3" xfId="8736" xr:uid="{00000000-0005-0000-0000-0000441F0000}"/>
    <cellStyle name="Porcentual 19 8" xfId="2402" xr:uid="{00000000-0005-0000-0000-0000451F0000}"/>
    <cellStyle name="Porcentual 19 8 2" xfId="6064" xr:uid="{00000000-0005-0000-0000-0000461F0000}"/>
    <cellStyle name="Porcentual 19 8 3" xfId="8737" xr:uid="{00000000-0005-0000-0000-0000471F0000}"/>
    <cellStyle name="Porcentual 19 9" xfId="2403" xr:uid="{00000000-0005-0000-0000-0000481F0000}"/>
    <cellStyle name="Porcentual 19 9 2" xfId="6065" xr:uid="{00000000-0005-0000-0000-0000491F0000}"/>
    <cellStyle name="Porcentual 19 9 3" xfId="8738" xr:uid="{00000000-0005-0000-0000-00004A1F0000}"/>
    <cellStyle name="Porcentual 2" xfId="27" xr:uid="{00000000-0005-0000-0000-00004B1F0000}"/>
    <cellStyle name="Porcentual 2 10" xfId="2404" xr:uid="{00000000-0005-0000-0000-00004C1F0000}"/>
    <cellStyle name="Porcentual 2 10 10" xfId="2405" xr:uid="{00000000-0005-0000-0000-00004D1F0000}"/>
    <cellStyle name="Porcentual 2 10 10 2" xfId="6066" xr:uid="{00000000-0005-0000-0000-00004E1F0000}"/>
    <cellStyle name="Porcentual 2 10 11" xfId="2406" xr:uid="{00000000-0005-0000-0000-00004F1F0000}"/>
    <cellStyle name="Porcentual 2 10 11 2" xfId="6067" xr:uid="{00000000-0005-0000-0000-0000501F0000}"/>
    <cellStyle name="Porcentual 2 10 12" xfId="2407" xr:uid="{00000000-0005-0000-0000-0000511F0000}"/>
    <cellStyle name="Porcentual 2 10 12 2" xfId="6068" xr:uid="{00000000-0005-0000-0000-0000521F0000}"/>
    <cellStyle name="Porcentual 2 10 13" xfId="2408" xr:uid="{00000000-0005-0000-0000-0000531F0000}"/>
    <cellStyle name="Porcentual 2 10 13 2" xfId="6069" xr:uid="{00000000-0005-0000-0000-0000541F0000}"/>
    <cellStyle name="Porcentual 2 10 14" xfId="2409" xr:uid="{00000000-0005-0000-0000-0000551F0000}"/>
    <cellStyle name="Porcentual 2 10 14 2" xfId="6070" xr:uid="{00000000-0005-0000-0000-0000561F0000}"/>
    <cellStyle name="Porcentual 2 10 15" xfId="2410" xr:uid="{00000000-0005-0000-0000-0000571F0000}"/>
    <cellStyle name="Porcentual 2 10 15 2" xfId="6071" xr:uid="{00000000-0005-0000-0000-0000581F0000}"/>
    <cellStyle name="Porcentual 2 10 16" xfId="2411" xr:uid="{00000000-0005-0000-0000-0000591F0000}"/>
    <cellStyle name="Porcentual 2 10 16 2" xfId="6072" xr:uid="{00000000-0005-0000-0000-00005A1F0000}"/>
    <cellStyle name="Porcentual 2 10 17" xfId="2412" xr:uid="{00000000-0005-0000-0000-00005B1F0000}"/>
    <cellStyle name="Porcentual 2 10 17 2" xfId="6073" xr:uid="{00000000-0005-0000-0000-00005C1F0000}"/>
    <cellStyle name="Porcentual 2 10 18" xfId="2413" xr:uid="{00000000-0005-0000-0000-00005D1F0000}"/>
    <cellStyle name="Porcentual 2 10 18 2" xfId="6074" xr:uid="{00000000-0005-0000-0000-00005E1F0000}"/>
    <cellStyle name="Porcentual 2 10 19" xfId="2414" xr:uid="{00000000-0005-0000-0000-00005F1F0000}"/>
    <cellStyle name="Porcentual 2 10 19 2" xfId="6075" xr:uid="{00000000-0005-0000-0000-0000601F0000}"/>
    <cellStyle name="Porcentual 2 10 2" xfId="2415" xr:uid="{00000000-0005-0000-0000-0000611F0000}"/>
    <cellStyle name="Porcentual 2 10 2 2" xfId="6076" xr:uid="{00000000-0005-0000-0000-0000621F0000}"/>
    <cellStyle name="Porcentual 2 10 20" xfId="2416" xr:uid="{00000000-0005-0000-0000-0000631F0000}"/>
    <cellStyle name="Porcentual 2 10 20 2" xfId="6077" xr:uid="{00000000-0005-0000-0000-0000641F0000}"/>
    <cellStyle name="Porcentual 2 10 21" xfId="2417" xr:uid="{00000000-0005-0000-0000-0000651F0000}"/>
    <cellStyle name="Porcentual 2 10 21 2" xfId="6078" xr:uid="{00000000-0005-0000-0000-0000661F0000}"/>
    <cellStyle name="Porcentual 2 10 22" xfId="2418" xr:uid="{00000000-0005-0000-0000-0000671F0000}"/>
    <cellStyle name="Porcentual 2 10 22 2" xfId="6079" xr:uid="{00000000-0005-0000-0000-0000681F0000}"/>
    <cellStyle name="Porcentual 2 10 23" xfId="2419" xr:uid="{00000000-0005-0000-0000-0000691F0000}"/>
    <cellStyle name="Porcentual 2 10 23 2" xfId="6080" xr:uid="{00000000-0005-0000-0000-00006A1F0000}"/>
    <cellStyle name="Porcentual 2 10 24" xfId="2420" xr:uid="{00000000-0005-0000-0000-00006B1F0000}"/>
    <cellStyle name="Porcentual 2 10 24 2" xfId="6081" xr:uid="{00000000-0005-0000-0000-00006C1F0000}"/>
    <cellStyle name="Porcentual 2 10 25" xfId="2421" xr:uid="{00000000-0005-0000-0000-00006D1F0000}"/>
    <cellStyle name="Porcentual 2 10 25 2" xfId="6082" xr:uid="{00000000-0005-0000-0000-00006E1F0000}"/>
    <cellStyle name="Porcentual 2 10 26" xfId="2422" xr:uid="{00000000-0005-0000-0000-00006F1F0000}"/>
    <cellStyle name="Porcentual 2 10 26 2" xfId="6083" xr:uid="{00000000-0005-0000-0000-0000701F0000}"/>
    <cellStyle name="Porcentual 2 10 27" xfId="2423" xr:uid="{00000000-0005-0000-0000-0000711F0000}"/>
    <cellStyle name="Porcentual 2 10 27 2" xfId="6084" xr:uid="{00000000-0005-0000-0000-0000721F0000}"/>
    <cellStyle name="Porcentual 2 10 28" xfId="2424" xr:uid="{00000000-0005-0000-0000-0000731F0000}"/>
    <cellStyle name="Porcentual 2 10 28 2" xfId="6085" xr:uid="{00000000-0005-0000-0000-0000741F0000}"/>
    <cellStyle name="Porcentual 2 10 29" xfId="6086" xr:uid="{00000000-0005-0000-0000-0000751F0000}"/>
    <cellStyle name="Porcentual 2 10 3" xfId="2425" xr:uid="{00000000-0005-0000-0000-0000761F0000}"/>
    <cellStyle name="Porcentual 2 10 3 2" xfId="6087" xr:uid="{00000000-0005-0000-0000-0000771F0000}"/>
    <cellStyle name="Porcentual 2 10 4" xfId="2426" xr:uid="{00000000-0005-0000-0000-0000781F0000}"/>
    <cellStyle name="Porcentual 2 10 4 2" xfId="6088" xr:uid="{00000000-0005-0000-0000-0000791F0000}"/>
    <cellStyle name="Porcentual 2 10 5" xfId="2427" xr:uid="{00000000-0005-0000-0000-00007A1F0000}"/>
    <cellStyle name="Porcentual 2 10 5 2" xfId="6089" xr:uid="{00000000-0005-0000-0000-00007B1F0000}"/>
    <cellStyle name="Porcentual 2 10 6" xfId="2428" xr:uid="{00000000-0005-0000-0000-00007C1F0000}"/>
    <cellStyle name="Porcentual 2 10 6 2" xfId="6090" xr:uid="{00000000-0005-0000-0000-00007D1F0000}"/>
    <cellStyle name="Porcentual 2 10 7" xfId="2429" xr:uid="{00000000-0005-0000-0000-00007E1F0000}"/>
    <cellStyle name="Porcentual 2 10 7 2" xfId="6091" xr:uid="{00000000-0005-0000-0000-00007F1F0000}"/>
    <cellStyle name="Porcentual 2 10 8" xfId="2430" xr:uid="{00000000-0005-0000-0000-0000801F0000}"/>
    <cellStyle name="Porcentual 2 10 8 2" xfId="6092" xr:uid="{00000000-0005-0000-0000-0000811F0000}"/>
    <cellStyle name="Porcentual 2 10 9" xfId="2431" xr:uid="{00000000-0005-0000-0000-0000821F0000}"/>
    <cellStyle name="Porcentual 2 10 9 2" xfId="6093" xr:uid="{00000000-0005-0000-0000-0000831F0000}"/>
    <cellStyle name="Porcentual 2 100" xfId="2432" xr:uid="{00000000-0005-0000-0000-0000841F0000}"/>
    <cellStyle name="Porcentual 2 100 2" xfId="8739" xr:uid="{00000000-0005-0000-0000-0000851F0000}"/>
    <cellStyle name="Porcentual 2 101" xfId="2433" xr:uid="{00000000-0005-0000-0000-0000861F0000}"/>
    <cellStyle name="Porcentual 2 101 2" xfId="8740" xr:uid="{00000000-0005-0000-0000-0000871F0000}"/>
    <cellStyle name="Porcentual 2 102" xfId="2434" xr:uid="{00000000-0005-0000-0000-0000881F0000}"/>
    <cellStyle name="Porcentual 2 102 2" xfId="8741" xr:uid="{00000000-0005-0000-0000-0000891F0000}"/>
    <cellStyle name="Porcentual 2 103" xfId="2435" xr:uid="{00000000-0005-0000-0000-00008A1F0000}"/>
    <cellStyle name="Porcentual 2 103 2" xfId="8742" xr:uid="{00000000-0005-0000-0000-00008B1F0000}"/>
    <cellStyle name="Porcentual 2 104" xfId="2436" xr:uid="{00000000-0005-0000-0000-00008C1F0000}"/>
    <cellStyle name="Porcentual 2 104 2" xfId="8743" xr:uid="{00000000-0005-0000-0000-00008D1F0000}"/>
    <cellStyle name="Porcentual 2 105" xfId="2437" xr:uid="{00000000-0005-0000-0000-00008E1F0000}"/>
    <cellStyle name="Porcentual 2 105 2" xfId="8744" xr:uid="{00000000-0005-0000-0000-00008F1F0000}"/>
    <cellStyle name="Porcentual 2 106" xfId="2438" xr:uid="{00000000-0005-0000-0000-0000901F0000}"/>
    <cellStyle name="Porcentual 2 106 2" xfId="8745" xr:uid="{00000000-0005-0000-0000-0000911F0000}"/>
    <cellStyle name="Porcentual 2 107" xfId="2439" xr:uid="{00000000-0005-0000-0000-0000921F0000}"/>
    <cellStyle name="Porcentual 2 107 2" xfId="8746" xr:uid="{00000000-0005-0000-0000-0000931F0000}"/>
    <cellStyle name="Porcentual 2 108" xfId="2440" xr:uid="{00000000-0005-0000-0000-0000941F0000}"/>
    <cellStyle name="Porcentual 2 108 2" xfId="8747" xr:uid="{00000000-0005-0000-0000-0000951F0000}"/>
    <cellStyle name="Porcentual 2 109" xfId="2441" xr:uid="{00000000-0005-0000-0000-0000961F0000}"/>
    <cellStyle name="Porcentual 2 109 2" xfId="8748" xr:uid="{00000000-0005-0000-0000-0000971F0000}"/>
    <cellStyle name="Porcentual 2 11" xfId="2442" xr:uid="{00000000-0005-0000-0000-0000981F0000}"/>
    <cellStyle name="Porcentual 2 11 10" xfId="2443" xr:uid="{00000000-0005-0000-0000-0000991F0000}"/>
    <cellStyle name="Porcentual 2 11 10 2" xfId="6094" xr:uid="{00000000-0005-0000-0000-00009A1F0000}"/>
    <cellStyle name="Porcentual 2 11 11" xfId="2444" xr:uid="{00000000-0005-0000-0000-00009B1F0000}"/>
    <cellStyle name="Porcentual 2 11 11 2" xfId="6095" xr:uid="{00000000-0005-0000-0000-00009C1F0000}"/>
    <cellStyle name="Porcentual 2 11 12" xfId="2445" xr:uid="{00000000-0005-0000-0000-00009D1F0000}"/>
    <cellStyle name="Porcentual 2 11 12 2" xfId="6096" xr:uid="{00000000-0005-0000-0000-00009E1F0000}"/>
    <cellStyle name="Porcentual 2 11 13" xfId="2446" xr:uid="{00000000-0005-0000-0000-00009F1F0000}"/>
    <cellStyle name="Porcentual 2 11 13 2" xfId="6097" xr:uid="{00000000-0005-0000-0000-0000A01F0000}"/>
    <cellStyle name="Porcentual 2 11 14" xfId="2447" xr:uid="{00000000-0005-0000-0000-0000A11F0000}"/>
    <cellStyle name="Porcentual 2 11 14 2" xfId="6098" xr:uid="{00000000-0005-0000-0000-0000A21F0000}"/>
    <cellStyle name="Porcentual 2 11 15" xfId="2448" xr:uid="{00000000-0005-0000-0000-0000A31F0000}"/>
    <cellStyle name="Porcentual 2 11 15 2" xfId="6099" xr:uid="{00000000-0005-0000-0000-0000A41F0000}"/>
    <cellStyle name="Porcentual 2 11 16" xfId="2449" xr:uid="{00000000-0005-0000-0000-0000A51F0000}"/>
    <cellStyle name="Porcentual 2 11 16 2" xfId="6100" xr:uid="{00000000-0005-0000-0000-0000A61F0000}"/>
    <cellStyle name="Porcentual 2 11 17" xfId="2450" xr:uid="{00000000-0005-0000-0000-0000A71F0000}"/>
    <cellStyle name="Porcentual 2 11 17 2" xfId="6101" xr:uid="{00000000-0005-0000-0000-0000A81F0000}"/>
    <cellStyle name="Porcentual 2 11 18" xfId="2451" xr:uid="{00000000-0005-0000-0000-0000A91F0000}"/>
    <cellStyle name="Porcentual 2 11 18 2" xfId="6102" xr:uid="{00000000-0005-0000-0000-0000AA1F0000}"/>
    <cellStyle name="Porcentual 2 11 19" xfId="2452" xr:uid="{00000000-0005-0000-0000-0000AB1F0000}"/>
    <cellStyle name="Porcentual 2 11 19 2" xfId="6103" xr:uid="{00000000-0005-0000-0000-0000AC1F0000}"/>
    <cellStyle name="Porcentual 2 11 2" xfId="2453" xr:uid="{00000000-0005-0000-0000-0000AD1F0000}"/>
    <cellStyle name="Porcentual 2 11 2 2" xfId="6104" xr:uid="{00000000-0005-0000-0000-0000AE1F0000}"/>
    <cellStyle name="Porcentual 2 11 20" xfId="2454" xr:uid="{00000000-0005-0000-0000-0000AF1F0000}"/>
    <cellStyle name="Porcentual 2 11 20 2" xfId="6105" xr:uid="{00000000-0005-0000-0000-0000B01F0000}"/>
    <cellStyle name="Porcentual 2 11 21" xfId="2455" xr:uid="{00000000-0005-0000-0000-0000B11F0000}"/>
    <cellStyle name="Porcentual 2 11 21 2" xfId="6106" xr:uid="{00000000-0005-0000-0000-0000B21F0000}"/>
    <cellStyle name="Porcentual 2 11 22" xfId="2456" xr:uid="{00000000-0005-0000-0000-0000B31F0000}"/>
    <cellStyle name="Porcentual 2 11 22 2" xfId="6107" xr:uid="{00000000-0005-0000-0000-0000B41F0000}"/>
    <cellStyle name="Porcentual 2 11 23" xfId="2457" xr:uid="{00000000-0005-0000-0000-0000B51F0000}"/>
    <cellStyle name="Porcentual 2 11 23 2" xfId="6108" xr:uid="{00000000-0005-0000-0000-0000B61F0000}"/>
    <cellStyle name="Porcentual 2 11 24" xfId="2458" xr:uid="{00000000-0005-0000-0000-0000B71F0000}"/>
    <cellStyle name="Porcentual 2 11 24 2" xfId="6109" xr:uid="{00000000-0005-0000-0000-0000B81F0000}"/>
    <cellStyle name="Porcentual 2 11 25" xfId="2459" xr:uid="{00000000-0005-0000-0000-0000B91F0000}"/>
    <cellStyle name="Porcentual 2 11 25 2" xfId="6110" xr:uid="{00000000-0005-0000-0000-0000BA1F0000}"/>
    <cellStyle name="Porcentual 2 11 26" xfId="2460" xr:uid="{00000000-0005-0000-0000-0000BB1F0000}"/>
    <cellStyle name="Porcentual 2 11 26 2" xfId="6111" xr:uid="{00000000-0005-0000-0000-0000BC1F0000}"/>
    <cellStyle name="Porcentual 2 11 27" xfId="2461" xr:uid="{00000000-0005-0000-0000-0000BD1F0000}"/>
    <cellStyle name="Porcentual 2 11 27 2" xfId="6112" xr:uid="{00000000-0005-0000-0000-0000BE1F0000}"/>
    <cellStyle name="Porcentual 2 11 28" xfId="2462" xr:uid="{00000000-0005-0000-0000-0000BF1F0000}"/>
    <cellStyle name="Porcentual 2 11 28 2" xfId="6113" xr:uid="{00000000-0005-0000-0000-0000C01F0000}"/>
    <cellStyle name="Porcentual 2 11 29" xfId="6114" xr:uid="{00000000-0005-0000-0000-0000C11F0000}"/>
    <cellStyle name="Porcentual 2 11 3" xfId="2463" xr:uid="{00000000-0005-0000-0000-0000C21F0000}"/>
    <cellStyle name="Porcentual 2 11 3 2" xfId="6115" xr:uid="{00000000-0005-0000-0000-0000C31F0000}"/>
    <cellStyle name="Porcentual 2 11 4" xfId="2464" xr:uid="{00000000-0005-0000-0000-0000C41F0000}"/>
    <cellStyle name="Porcentual 2 11 4 2" xfId="6116" xr:uid="{00000000-0005-0000-0000-0000C51F0000}"/>
    <cellStyle name="Porcentual 2 11 5" xfId="2465" xr:uid="{00000000-0005-0000-0000-0000C61F0000}"/>
    <cellStyle name="Porcentual 2 11 5 2" xfId="6117" xr:uid="{00000000-0005-0000-0000-0000C71F0000}"/>
    <cellStyle name="Porcentual 2 11 6" xfId="2466" xr:uid="{00000000-0005-0000-0000-0000C81F0000}"/>
    <cellStyle name="Porcentual 2 11 6 2" xfId="6118" xr:uid="{00000000-0005-0000-0000-0000C91F0000}"/>
    <cellStyle name="Porcentual 2 11 7" xfId="2467" xr:uid="{00000000-0005-0000-0000-0000CA1F0000}"/>
    <cellStyle name="Porcentual 2 11 7 2" xfId="6119" xr:uid="{00000000-0005-0000-0000-0000CB1F0000}"/>
    <cellStyle name="Porcentual 2 11 8" xfId="2468" xr:uid="{00000000-0005-0000-0000-0000CC1F0000}"/>
    <cellStyle name="Porcentual 2 11 8 2" xfId="6120" xr:uid="{00000000-0005-0000-0000-0000CD1F0000}"/>
    <cellStyle name="Porcentual 2 11 9" xfId="2469" xr:uid="{00000000-0005-0000-0000-0000CE1F0000}"/>
    <cellStyle name="Porcentual 2 11 9 2" xfId="6121" xr:uid="{00000000-0005-0000-0000-0000CF1F0000}"/>
    <cellStyle name="Porcentual 2 110" xfId="4055" xr:uid="{00000000-0005-0000-0000-0000D01F0000}"/>
    <cellStyle name="Porcentual 2 110 2" xfId="9557" xr:uid="{00000000-0005-0000-0000-0000D11F0000}"/>
    <cellStyle name="Porcentual 2 110 2 2" xfId="10260" xr:uid="{00000000-0005-0000-0000-0000D21F0000}"/>
    <cellStyle name="Porcentual 2 110 2 2 2" xfId="11995" xr:uid="{00000000-0005-0000-0000-0000D31F0000}"/>
    <cellStyle name="Porcentual 2 110 2 3" xfId="11348" xr:uid="{00000000-0005-0000-0000-0000D41F0000}"/>
    <cellStyle name="Porcentual 2 110 3" xfId="9963" xr:uid="{00000000-0005-0000-0000-0000D51F0000}"/>
    <cellStyle name="Porcentual 2 110 3 2" xfId="11699" xr:uid="{00000000-0005-0000-0000-0000D61F0000}"/>
    <cellStyle name="Porcentual 2 110 4" xfId="10921" xr:uid="{00000000-0005-0000-0000-0000D71F0000}"/>
    <cellStyle name="Porcentual 2 111" xfId="4174" xr:uid="{00000000-0005-0000-0000-0000D81F0000}"/>
    <cellStyle name="Porcentual 2 111 2" xfId="9610" xr:uid="{00000000-0005-0000-0000-0000D91F0000}"/>
    <cellStyle name="Porcentual 2 111 2 2" xfId="10311" xr:uid="{00000000-0005-0000-0000-0000DA1F0000}"/>
    <cellStyle name="Porcentual 2 111 2 2 2" xfId="12046" xr:uid="{00000000-0005-0000-0000-0000DB1F0000}"/>
    <cellStyle name="Porcentual 2 111 2 3" xfId="11399" xr:uid="{00000000-0005-0000-0000-0000DC1F0000}"/>
    <cellStyle name="Porcentual 2 111 3" xfId="10014" xr:uid="{00000000-0005-0000-0000-0000DD1F0000}"/>
    <cellStyle name="Porcentual 2 111 3 2" xfId="11750" xr:uid="{00000000-0005-0000-0000-0000DE1F0000}"/>
    <cellStyle name="Porcentual 2 111 4" xfId="10986" xr:uid="{00000000-0005-0000-0000-0000DF1F0000}"/>
    <cellStyle name="Porcentual 2 112" xfId="4282" xr:uid="{00000000-0005-0000-0000-0000E01F0000}"/>
    <cellStyle name="Porcentual 2 112 2" xfId="9714" xr:uid="{00000000-0005-0000-0000-0000E11F0000}"/>
    <cellStyle name="Porcentual 2 112 2 2" xfId="10414" xr:uid="{00000000-0005-0000-0000-0000E21F0000}"/>
    <cellStyle name="Porcentual 2 112 2 2 2" xfId="12149" xr:uid="{00000000-0005-0000-0000-0000E31F0000}"/>
    <cellStyle name="Porcentual 2 112 2 3" xfId="11502" xr:uid="{00000000-0005-0000-0000-0000E41F0000}"/>
    <cellStyle name="Porcentual 2 112 3" xfId="10117" xr:uid="{00000000-0005-0000-0000-0000E51F0000}"/>
    <cellStyle name="Porcentual 2 112 3 2" xfId="11853" xr:uid="{00000000-0005-0000-0000-0000E61F0000}"/>
    <cellStyle name="Porcentual 2 112 4" xfId="11091" xr:uid="{00000000-0005-0000-0000-0000E71F0000}"/>
    <cellStyle name="Porcentual 2 113" xfId="4292" xr:uid="{00000000-0005-0000-0000-0000E81F0000}"/>
    <cellStyle name="Porcentual 2 113 2" xfId="9718" xr:uid="{00000000-0005-0000-0000-0000E91F0000}"/>
    <cellStyle name="Porcentual 2 113 2 2" xfId="10418" xr:uid="{00000000-0005-0000-0000-0000EA1F0000}"/>
    <cellStyle name="Porcentual 2 113 2 2 2" xfId="12153" xr:uid="{00000000-0005-0000-0000-0000EB1F0000}"/>
    <cellStyle name="Porcentual 2 113 2 3" xfId="11506" xr:uid="{00000000-0005-0000-0000-0000EC1F0000}"/>
    <cellStyle name="Porcentual 2 113 3" xfId="10121" xr:uid="{00000000-0005-0000-0000-0000ED1F0000}"/>
    <cellStyle name="Porcentual 2 113 3 2" xfId="11857" xr:uid="{00000000-0005-0000-0000-0000EE1F0000}"/>
    <cellStyle name="Porcentual 2 113 4" xfId="11101" xr:uid="{00000000-0005-0000-0000-0000EF1F0000}"/>
    <cellStyle name="Porcentual 2 114" xfId="4298" xr:uid="{00000000-0005-0000-0000-0000F01F0000}"/>
    <cellStyle name="Porcentual 2 114 2" xfId="9724" xr:uid="{00000000-0005-0000-0000-0000F11F0000}"/>
    <cellStyle name="Porcentual 2 114 2 2" xfId="10424" xr:uid="{00000000-0005-0000-0000-0000F21F0000}"/>
    <cellStyle name="Porcentual 2 114 2 2 2" xfId="12159" xr:uid="{00000000-0005-0000-0000-0000F31F0000}"/>
    <cellStyle name="Porcentual 2 114 2 3" xfId="11512" xr:uid="{00000000-0005-0000-0000-0000F41F0000}"/>
    <cellStyle name="Porcentual 2 114 3" xfId="10127" xr:uid="{00000000-0005-0000-0000-0000F51F0000}"/>
    <cellStyle name="Porcentual 2 114 3 2" xfId="11863" xr:uid="{00000000-0005-0000-0000-0000F61F0000}"/>
    <cellStyle name="Porcentual 2 114 4" xfId="11107" xr:uid="{00000000-0005-0000-0000-0000F71F0000}"/>
    <cellStyle name="Porcentual 2 115" xfId="4357" xr:uid="{00000000-0005-0000-0000-0000F81F0000}"/>
    <cellStyle name="Porcentual 2 115 2" xfId="9765" xr:uid="{00000000-0005-0000-0000-0000F91F0000}"/>
    <cellStyle name="Porcentual 2 115 2 2" xfId="10463" xr:uid="{00000000-0005-0000-0000-0000FA1F0000}"/>
    <cellStyle name="Porcentual 2 115 2 2 2" xfId="12198" xr:uid="{00000000-0005-0000-0000-0000FB1F0000}"/>
    <cellStyle name="Porcentual 2 115 2 3" xfId="11551" xr:uid="{00000000-0005-0000-0000-0000FC1F0000}"/>
    <cellStyle name="Porcentual 2 115 3" xfId="10168" xr:uid="{00000000-0005-0000-0000-0000FD1F0000}"/>
    <cellStyle name="Porcentual 2 115 3 2" xfId="11904" xr:uid="{00000000-0005-0000-0000-0000FE1F0000}"/>
    <cellStyle name="Porcentual 2 115 4" xfId="11161" xr:uid="{00000000-0005-0000-0000-0000FF1F0000}"/>
    <cellStyle name="Porcentual 2 12" xfId="2470" xr:uid="{00000000-0005-0000-0000-000000200000}"/>
    <cellStyle name="Porcentual 2 12 10" xfId="2471" xr:uid="{00000000-0005-0000-0000-000001200000}"/>
    <cellStyle name="Porcentual 2 12 10 2" xfId="6122" xr:uid="{00000000-0005-0000-0000-000002200000}"/>
    <cellStyle name="Porcentual 2 12 11" xfId="2472" xr:uid="{00000000-0005-0000-0000-000003200000}"/>
    <cellStyle name="Porcentual 2 12 11 2" xfId="6123" xr:uid="{00000000-0005-0000-0000-000004200000}"/>
    <cellStyle name="Porcentual 2 12 12" xfId="2473" xr:uid="{00000000-0005-0000-0000-000005200000}"/>
    <cellStyle name="Porcentual 2 12 12 2" xfId="6124" xr:uid="{00000000-0005-0000-0000-000006200000}"/>
    <cellStyle name="Porcentual 2 12 13" xfId="2474" xr:uid="{00000000-0005-0000-0000-000007200000}"/>
    <cellStyle name="Porcentual 2 12 13 2" xfId="6125" xr:uid="{00000000-0005-0000-0000-000008200000}"/>
    <cellStyle name="Porcentual 2 12 14" xfId="2475" xr:uid="{00000000-0005-0000-0000-000009200000}"/>
    <cellStyle name="Porcentual 2 12 14 2" xfId="6126" xr:uid="{00000000-0005-0000-0000-00000A200000}"/>
    <cellStyle name="Porcentual 2 12 15" xfId="2476" xr:uid="{00000000-0005-0000-0000-00000B200000}"/>
    <cellStyle name="Porcentual 2 12 15 2" xfId="6127" xr:uid="{00000000-0005-0000-0000-00000C200000}"/>
    <cellStyle name="Porcentual 2 12 16" xfId="2477" xr:uid="{00000000-0005-0000-0000-00000D200000}"/>
    <cellStyle name="Porcentual 2 12 16 2" xfId="6128" xr:uid="{00000000-0005-0000-0000-00000E200000}"/>
    <cellStyle name="Porcentual 2 12 17" xfId="2478" xr:uid="{00000000-0005-0000-0000-00000F200000}"/>
    <cellStyle name="Porcentual 2 12 17 2" xfId="6129" xr:uid="{00000000-0005-0000-0000-000010200000}"/>
    <cellStyle name="Porcentual 2 12 18" xfId="2479" xr:uid="{00000000-0005-0000-0000-000011200000}"/>
    <cellStyle name="Porcentual 2 12 18 2" xfId="6130" xr:uid="{00000000-0005-0000-0000-000012200000}"/>
    <cellStyle name="Porcentual 2 12 19" xfId="2480" xr:uid="{00000000-0005-0000-0000-000013200000}"/>
    <cellStyle name="Porcentual 2 12 19 2" xfId="6131" xr:uid="{00000000-0005-0000-0000-000014200000}"/>
    <cellStyle name="Porcentual 2 12 2" xfId="2481" xr:uid="{00000000-0005-0000-0000-000015200000}"/>
    <cellStyle name="Porcentual 2 12 2 2" xfId="6132" xr:uid="{00000000-0005-0000-0000-000016200000}"/>
    <cellStyle name="Porcentual 2 12 20" xfId="2482" xr:uid="{00000000-0005-0000-0000-000017200000}"/>
    <cellStyle name="Porcentual 2 12 20 2" xfId="6133" xr:uid="{00000000-0005-0000-0000-000018200000}"/>
    <cellStyle name="Porcentual 2 12 21" xfId="2483" xr:uid="{00000000-0005-0000-0000-000019200000}"/>
    <cellStyle name="Porcentual 2 12 21 2" xfId="6134" xr:uid="{00000000-0005-0000-0000-00001A200000}"/>
    <cellStyle name="Porcentual 2 12 22" xfId="2484" xr:uid="{00000000-0005-0000-0000-00001B200000}"/>
    <cellStyle name="Porcentual 2 12 22 2" xfId="6135" xr:uid="{00000000-0005-0000-0000-00001C200000}"/>
    <cellStyle name="Porcentual 2 12 23" xfId="2485" xr:uid="{00000000-0005-0000-0000-00001D200000}"/>
    <cellStyle name="Porcentual 2 12 23 2" xfId="6136" xr:uid="{00000000-0005-0000-0000-00001E200000}"/>
    <cellStyle name="Porcentual 2 12 24" xfId="2486" xr:uid="{00000000-0005-0000-0000-00001F200000}"/>
    <cellStyle name="Porcentual 2 12 24 2" xfId="6137" xr:uid="{00000000-0005-0000-0000-000020200000}"/>
    <cellStyle name="Porcentual 2 12 25" xfId="2487" xr:uid="{00000000-0005-0000-0000-000021200000}"/>
    <cellStyle name="Porcentual 2 12 25 2" xfId="6138" xr:uid="{00000000-0005-0000-0000-000022200000}"/>
    <cellStyle name="Porcentual 2 12 26" xfId="2488" xr:uid="{00000000-0005-0000-0000-000023200000}"/>
    <cellStyle name="Porcentual 2 12 26 2" xfId="6139" xr:uid="{00000000-0005-0000-0000-000024200000}"/>
    <cellStyle name="Porcentual 2 12 27" xfId="2489" xr:uid="{00000000-0005-0000-0000-000025200000}"/>
    <cellStyle name="Porcentual 2 12 27 2" xfId="6140" xr:uid="{00000000-0005-0000-0000-000026200000}"/>
    <cellStyle name="Porcentual 2 12 28" xfId="2490" xr:uid="{00000000-0005-0000-0000-000027200000}"/>
    <cellStyle name="Porcentual 2 12 28 2" xfId="6141" xr:uid="{00000000-0005-0000-0000-000028200000}"/>
    <cellStyle name="Porcentual 2 12 29" xfId="6142" xr:uid="{00000000-0005-0000-0000-000029200000}"/>
    <cellStyle name="Porcentual 2 12 3" xfId="2491" xr:uid="{00000000-0005-0000-0000-00002A200000}"/>
    <cellStyle name="Porcentual 2 12 3 2" xfId="6143" xr:uid="{00000000-0005-0000-0000-00002B200000}"/>
    <cellStyle name="Porcentual 2 12 4" xfId="2492" xr:uid="{00000000-0005-0000-0000-00002C200000}"/>
    <cellStyle name="Porcentual 2 12 4 2" xfId="6144" xr:uid="{00000000-0005-0000-0000-00002D200000}"/>
    <cellStyle name="Porcentual 2 12 5" xfId="2493" xr:uid="{00000000-0005-0000-0000-00002E200000}"/>
    <cellStyle name="Porcentual 2 12 5 2" xfId="6145" xr:uid="{00000000-0005-0000-0000-00002F200000}"/>
    <cellStyle name="Porcentual 2 12 6" xfId="2494" xr:uid="{00000000-0005-0000-0000-000030200000}"/>
    <cellStyle name="Porcentual 2 12 6 2" xfId="6146" xr:uid="{00000000-0005-0000-0000-000031200000}"/>
    <cellStyle name="Porcentual 2 12 7" xfId="2495" xr:uid="{00000000-0005-0000-0000-000032200000}"/>
    <cellStyle name="Porcentual 2 12 7 2" xfId="6147" xr:uid="{00000000-0005-0000-0000-000033200000}"/>
    <cellStyle name="Porcentual 2 12 8" xfId="2496" xr:uid="{00000000-0005-0000-0000-000034200000}"/>
    <cellStyle name="Porcentual 2 12 8 2" xfId="6148" xr:uid="{00000000-0005-0000-0000-000035200000}"/>
    <cellStyle name="Porcentual 2 12 9" xfId="2497" xr:uid="{00000000-0005-0000-0000-000036200000}"/>
    <cellStyle name="Porcentual 2 12 9 2" xfId="6149" xr:uid="{00000000-0005-0000-0000-000037200000}"/>
    <cellStyle name="Porcentual 2 13" xfId="2498" xr:uid="{00000000-0005-0000-0000-000038200000}"/>
    <cellStyle name="Porcentual 2 13 10" xfId="2499" xr:uid="{00000000-0005-0000-0000-000039200000}"/>
    <cellStyle name="Porcentual 2 13 10 2" xfId="6150" xr:uid="{00000000-0005-0000-0000-00003A200000}"/>
    <cellStyle name="Porcentual 2 13 11" xfId="2500" xr:uid="{00000000-0005-0000-0000-00003B200000}"/>
    <cellStyle name="Porcentual 2 13 11 2" xfId="6151" xr:uid="{00000000-0005-0000-0000-00003C200000}"/>
    <cellStyle name="Porcentual 2 13 12" xfId="2501" xr:uid="{00000000-0005-0000-0000-00003D200000}"/>
    <cellStyle name="Porcentual 2 13 12 2" xfId="6152" xr:uid="{00000000-0005-0000-0000-00003E200000}"/>
    <cellStyle name="Porcentual 2 13 13" xfId="2502" xr:uid="{00000000-0005-0000-0000-00003F200000}"/>
    <cellStyle name="Porcentual 2 13 13 2" xfId="6153" xr:uid="{00000000-0005-0000-0000-000040200000}"/>
    <cellStyle name="Porcentual 2 13 14" xfId="2503" xr:uid="{00000000-0005-0000-0000-000041200000}"/>
    <cellStyle name="Porcentual 2 13 14 2" xfId="6154" xr:uid="{00000000-0005-0000-0000-000042200000}"/>
    <cellStyle name="Porcentual 2 13 15" xfId="2504" xr:uid="{00000000-0005-0000-0000-000043200000}"/>
    <cellStyle name="Porcentual 2 13 15 2" xfId="6155" xr:uid="{00000000-0005-0000-0000-000044200000}"/>
    <cellStyle name="Porcentual 2 13 16" xfId="2505" xr:uid="{00000000-0005-0000-0000-000045200000}"/>
    <cellStyle name="Porcentual 2 13 16 2" xfId="6156" xr:uid="{00000000-0005-0000-0000-000046200000}"/>
    <cellStyle name="Porcentual 2 13 17" xfId="2506" xr:uid="{00000000-0005-0000-0000-000047200000}"/>
    <cellStyle name="Porcentual 2 13 17 2" xfId="6157" xr:uid="{00000000-0005-0000-0000-000048200000}"/>
    <cellStyle name="Porcentual 2 13 18" xfId="2507" xr:uid="{00000000-0005-0000-0000-000049200000}"/>
    <cellStyle name="Porcentual 2 13 18 2" xfId="6158" xr:uid="{00000000-0005-0000-0000-00004A200000}"/>
    <cellStyle name="Porcentual 2 13 19" xfId="2508" xr:uid="{00000000-0005-0000-0000-00004B200000}"/>
    <cellStyle name="Porcentual 2 13 19 2" xfId="6159" xr:uid="{00000000-0005-0000-0000-00004C200000}"/>
    <cellStyle name="Porcentual 2 13 2" xfId="2509" xr:uid="{00000000-0005-0000-0000-00004D200000}"/>
    <cellStyle name="Porcentual 2 13 2 2" xfId="6160" xr:uid="{00000000-0005-0000-0000-00004E200000}"/>
    <cellStyle name="Porcentual 2 13 20" xfId="2510" xr:uid="{00000000-0005-0000-0000-00004F200000}"/>
    <cellStyle name="Porcentual 2 13 20 2" xfId="6161" xr:uid="{00000000-0005-0000-0000-000050200000}"/>
    <cellStyle name="Porcentual 2 13 21" xfId="2511" xr:uid="{00000000-0005-0000-0000-000051200000}"/>
    <cellStyle name="Porcentual 2 13 21 2" xfId="6162" xr:uid="{00000000-0005-0000-0000-000052200000}"/>
    <cellStyle name="Porcentual 2 13 22" xfId="2512" xr:uid="{00000000-0005-0000-0000-000053200000}"/>
    <cellStyle name="Porcentual 2 13 22 2" xfId="6163" xr:uid="{00000000-0005-0000-0000-000054200000}"/>
    <cellStyle name="Porcentual 2 13 23" xfId="2513" xr:uid="{00000000-0005-0000-0000-000055200000}"/>
    <cellStyle name="Porcentual 2 13 23 2" xfId="6164" xr:uid="{00000000-0005-0000-0000-000056200000}"/>
    <cellStyle name="Porcentual 2 13 24" xfId="2514" xr:uid="{00000000-0005-0000-0000-000057200000}"/>
    <cellStyle name="Porcentual 2 13 24 2" xfId="6165" xr:uid="{00000000-0005-0000-0000-000058200000}"/>
    <cellStyle name="Porcentual 2 13 25" xfId="2515" xr:uid="{00000000-0005-0000-0000-000059200000}"/>
    <cellStyle name="Porcentual 2 13 25 2" xfId="6166" xr:uid="{00000000-0005-0000-0000-00005A200000}"/>
    <cellStyle name="Porcentual 2 13 26" xfId="2516" xr:uid="{00000000-0005-0000-0000-00005B200000}"/>
    <cellStyle name="Porcentual 2 13 26 2" xfId="6167" xr:uid="{00000000-0005-0000-0000-00005C200000}"/>
    <cellStyle name="Porcentual 2 13 27" xfId="2517" xr:uid="{00000000-0005-0000-0000-00005D200000}"/>
    <cellStyle name="Porcentual 2 13 27 2" xfId="6168" xr:uid="{00000000-0005-0000-0000-00005E200000}"/>
    <cellStyle name="Porcentual 2 13 28" xfId="2518" xr:uid="{00000000-0005-0000-0000-00005F200000}"/>
    <cellStyle name="Porcentual 2 13 28 2" xfId="6169" xr:uid="{00000000-0005-0000-0000-000060200000}"/>
    <cellStyle name="Porcentual 2 13 29" xfId="6170" xr:uid="{00000000-0005-0000-0000-000061200000}"/>
    <cellStyle name="Porcentual 2 13 3" xfId="2519" xr:uid="{00000000-0005-0000-0000-000062200000}"/>
    <cellStyle name="Porcentual 2 13 3 2" xfId="6171" xr:uid="{00000000-0005-0000-0000-000063200000}"/>
    <cellStyle name="Porcentual 2 13 4" xfId="2520" xr:uid="{00000000-0005-0000-0000-000064200000}"/>
    <cellStyle name="Porcentual 2 13 4 2" xfId="6172" xr:uid="{00000000-0005-0000-0000-000065200000}"/>
    <cellStyle name="Porcentual 2 13 5" xfId="2521" xr:uid="{00000000-0005-0000-0000-000066200000}"/>
    <cellStyle name="Porcentual 2 13 5 2" xfId="6173" xr:uid="{00000000-0005-0000-0000-000067200000}"/>
    <cellStyle name="Porcentual 2 13 6" xfId="2522" xr:uid="{00000000-0005-0000-0000-000068200000}"/>
    <cellStyle name="Porcentual 2 13 6 2" xfId="6174" xr:uid="{00000000-0005-0000-0000-000069200000}"/>
    <cellStyle name="Porcentual 2 13 7" xfId="2523" xr:uid="{00000000-0005-0000-0000-00006A200000}"/>
    <cellStyle name="Porcentual 2 13 7 2" xfId="6175" xr:uid="{00000000-0005-0000-0000-00006B200000}"/>
    <cellStyle name="Porcentual 2 13 8" xfId="2524" xr:uid="{00000000-0005-0000-0000-00006C200000}"/>
    <cellStyle name="Porcentual 2 13 8 2" xfId="6176" xr:uid="{00000000-0005-0000-0000-00006D200000}"/>
    <cellStyle name="Porcentual 2 13 9" xfId="2525" xr:uid="{00000000-0005-0000-0000-00006E200000}"/>
    <cellStyle name="Porcentual 2 13 9 2" xfId="6177" xr:uid="{00000000-0005-0000-0000-00006F200000}"/>
    <cellStyle name="Porcentual 2 14" xfId="2526" xr:uid="{00000000-0005-0000-0000-000070200000}"/>
    <cellStyle name="Porcentual 2 14 10" xfId="2527" xr:uid="{00000000-0005-0000-0000-000071200000}"/>
    <cellStyle name="Porcentual 2 14 10 2" xfId="6178" xr:uid="{00000000-0005-0000-0000-000072200000}"/>
    <cellStyle name="Porcentual 2 14 11" xfId="2528" xr:uid="{00000000-0005-0000-0000-000073200000}"/>
    <cellStyle name="Porcentual 2 14 11 2" xfId="6179" xr:uid="{00000000-0005-0000-0000-000074200000}"/>
    <cellStyle name="Porcentual 2 14 12" xfId="2529" xr:uid="{00000000-0005-0000-0000-000075200000}"/>
    <cellStyle name="Porcentual 2 14 12 2" xfId="6180" xr:uid="{00000000-0005-0000-0000-000076200000}"/>
    <cellStyle name="Porcentual 2 14 13" xfId="2530" xr:uid="{00000000-0005-0000-0000-000077200000}"/>
    <cellStyle name="Porcentual 2 14 13 2" xfId="6181" xr:uid="{00000000-0005-0000-0000-000078200000}"/>
    <cellStyle name="Porcentual 2 14 14" xfId="2531" xr:uid="{00000000-0005-0000-0000-000079200000}"/>
    <cellStyle name="Porcentual 2 14 14 2" xfId="6182" xr:uid="{00000000-0005-0000-0000-00007A200000}"/>
    <cellStyle name="Porcentual 2 14 15" xfId="2532" xr:uid="{00000000-0005-0000-0000-00007B200000}"/>
    <cellStyle name="Porcentual 2 14 15 2" xfId="6183" xr:uid="{00000000-0005-0000-0000-00007C200000}"/>
    <cellStyle name="Porcentual 2 14 16" xfId="2533" xr:uid="{00000000-0005-0000-0000-00007D200000}"/>
    <cellStyle name="Porcentual 2 14 16 2" xfId="6184" xr:uid="{00000000-0005-0000-0000-00007E200000}"/>
    <cellStyle name="Porcentual 2 14 17" xfId="2534" xr:uid="{00000000-0005-0000-0000-00007F200000}"/>
    <cellStyle name="Porcentual 2 14 17 2" xfId="6185" xr:uid="{00000000-0005-0000-0000-000080200000}"/>
    <cellStyle name="Porcentual 2 14 18" xfId="2535" xr:uid="{00000000-0005-0000-0000-000081200000}"/>
    <cellStyle name="Porcentual 2 14 18 2" xfId="6186" xr:uid="{00000000-0005-0000-0000-000082200000}"/>
    <cellStyle name="Porcentual 2 14 19" xfId="2536" xr:uid="{00000000-0005-0000-0000-000083200000}"/>
    <cellStyle name="Porcentual 2 14 19 2" xfId="6187" xr:uid="{00000000-0005-0000-0000-000084200000}"/>
    <cellStyle name="Porcentual 2 14 2" xfId="2537" xr:uid="{00000000-0005-0000-0000-000085200000}"/>
    <cellStyle name="Porcentual 2 14 2 2" xfId="6188" xr:uid="{00000000-0005-0000-0000-000086200000}"/>
    <cellStyle name="Porcentual 2 14 20" xfId="2538" xr:uid="{00000000-0005-0000-0000-000087200000}"/>
    <cellStyle name="Porcentual 2 14 20 2" xfId="6189" xr:uid="{00000000-0005-0000-0000-000088200000}"/>
    <cellStyle name="Porcentual 2 14 21" xfId="2539" xr:uid="{00000000-0005-0000-0000-000089200000}"/>
    <cellStyle name="Porcentual 2 14 21 2" xfId="6190" xr:uid="{00000000-0005-0000-0000-00008A200000}"/>
    <cellStyle name="Porcentual 2 14 22" xfId="2540" xr:uid="{00000000-0005-0000-0000-00008B200000}"/>
    <cellStyle name="Porcentual 2 14 22 2" xfId="6191" xr:uid="{00000000-0005-0000-0000-00008C200000}"/>
    <cellStyle name="Porcentual 2 14 23" xfId="2541" xr:uid="{00000000-0005-0000-0000-00008D200000}"/>
    <cellStyle name="Porcentual 2 14 23 2" xfId="6192" xr:uid="{00000000-0005-0000-0000-00008E200000}"/>
    <cellStyle name="Porcentual 2 14 24" xfId="2542" xr:uid="{00000000-0005-0000-0000-00008F200000}"/>
    <cellStyle name="Porcentual 2 14 24 2" xfId="6193" xr:uid="{00000000-0005-0000-0000-000090200000}"/>
    <cellStyle name="Porcentual 2 14 25" xfId="2543" xr:uid="{00000000-0005-0000-0000-000091200000}"/>
    <cellStyle name="Porcentual 2 14 25 2" xfId="6194" xr:uid="{00000000-0005-0000-0000-000092200000}"/>
    <cellStyle name="Porcentual 2 14 26" xfId="2544" xr:uid="{00000000-0005-0000-0000-000093200000}"/>
    <cellStyle name="Porcentual 2 14 26 2" xfId="6195" xr:uid="{00000000-0005-0000-0000-000094200000}"/>
    <cellStyle name="Porcentual 2 14 27" xfId="2545" xr:uid="{00000000-0005-0000-0000-000095200000}"/>
    <cellStyle name="Porcentual 2 14 27 2" xfId="6196" xr:uid="{00000000-0005-0000-0000-000096200000}"/>
    <cellStyle name="Porcentual 2 14 28" xfId="2546" xr:uid="{00000000-0005-0000-0000-000097200000}"/>
    <cellStyle name="Porcentual 2 14 28 2" xfId="6197" xr:uid="{00000000-0005-0000-0000-000098200000}"/>
    <cellStyle name="Porcentual 2 14 29" xfId="6198" xr:uid="{00000000-0005-0000-0000-000099200000}"/>
    <cellStyle name="Porcentual 2 14 3" xfId="2547" xr:uid="{00000000-0005-0000-0000-00009A200000}"/>
    <cellStyle name="Porcentual 2 14 3 2" xfId="6199" xr:uid="{00000000-0005-0000-0000-00009B200000}"/>
    <cellStyle name="Porcentual 2 14 4" xfId="2548" xr:uid="{00000000-0005-0000-0000-00009C200000}"/>
    <cellStyle name="Porcentual 2 14 4 2" xfId="6200" xr:uid="{00000000-0005-0000-0000-00009D200000}"/>
    <cellStyle name="Porcentual 2 14 5" xfId="2549" xr:uid="{00000000-0005-0000-0000-00009E200000}"/>
    <cellStyle name="Porcentual 2 14 5 2" xfId="6201" xr:uid="{00000000-0005-0000-0000-00009F200000}"/>
    <cellStyle name="Porcentual 2 14 6" xfId="2550" xr:uid="{00000000-0005-0000-0000-0000A0200000}"/>
    <cellStyle name="Porcentual 2 14 6 2" xfId="6202" xr:uid="{00000000-0005-0000-0000-0000A1200000}"/>
    <cellStyle name="Porcentual 2 14 7" xfId="2551" xr:uid="{00000000-0005-0000-0000-0000A2200000}"/>
    <cellStyle name="Porcentual 2 14 7 2" xfId="6203" xr:uid="{00000000-0005-0000-0000-0000A3200000}"/>
    <cellStyle name="Porcentual 2 14 8" xfId="2552" xr:uid="{00000000-0005-0000-0000-0000A4200000}"/>
    <cellStyle name="Porcentual 2 14 8 2" xfId="6204" xr:uid="{00000000-0005-0000-0000-0000A5200000}"/>
    <cellStyle name="Porcentual 2 14 9" xfId="2553" xr:uid="{00000000-0005-0000-0000-0000A6200000}"/>
    <cellStyle name="Porcentual 2 14 9 2" xfId="6205" xr:uid="{00000000-0005-0000-0000-0000A7200000}"/>
    <cellStyle name="Porcentual 2 15" xfId="2554" xr:uid="{00000000-0005-0000-0000-0000A8200000}"/>
    <cellStyle name="Porcentual 2 15 10" xfId="2555" xr:uid="{00000000-0005-0000-0000-0000A9200000}"/>
    <cellStyle name="Porcentual 2 15 10 2" xfId="6206" xr:uid="{00000000-0005-0000-0000-0000AA200000}"/>
    <cellStyle name="Porcentual 2 15 11" xfId="2556" xr:uid="{00000000-0005-0000-0000-0000AB200000}"/>
    <cellStyle name="Porcentual 2 15 11 2" xfId="6207" xr:uid="{00000000-0005-0000-0000-0000AC200000}"/>
    <cellStyle name="Porcentual 2 15 12" xfId="2557" xr:uid="{00000000-0005-0000-0000-0000AD200000}"/>
    <cellStyle name="Porcentual 2 15 12 2" xfId="6208" xr:uid="{00000000-0005-0000-0000-0000AE200000}"/>
    <cellStyle name="Porcentual 2 15 13" xfId="2558" xr:uid="{00000000-0005-0000-0000-0000AF200000}"/>
    <cellStyle name="Porcentual 2 15 13 2" xfId="6209" xr:uid="{00000000-0005-0000-0000-0000B0200000}"/>
    <cellStyle name="Porcentual 2 15 14" xfId="2559" xr:uid="{00000000-0005-0000-0000-0000B1200000}"/>
    <cellStyle name="Porcentual 2 15 14 2" xfId="6210" xr:uid="{00000000-0005-0000-0000-0000B2200000}"/>
    <cellStyle name="Porcentual 2 15 15" xfId="2560" xr:uid="{00000000-0005-0000-0000-0000B3200000}"/>
    <cellStyle name="Porcentual 2 15 15 2" xfId="6211" xr:uid="{00000000-0005-0000-0000-0000B4200000}"/>
    <cellStyle name="Porcentual 2 15 16" xfId="2561" xr:uid="{00000000-0005-0000-0000-0000B5200000}"/>
    <cellStyle name="Porcentual 2 15 16 2" xfId="6212" xr:uid="{00000000-0005-0000-0000-0000B6200000}"/>
    <cellStyle name="Porcentual 2 15 17" xfId="2562" xr:uid="{00000000-0005-0000-0000-0000B7200000}"/>
    <cellStyle name="Porcentual 2 15 17 2" xfId="6213" xr:uid="{00000000-0005-0000-0000-0000B8200000}"/>
    <cellStyle name="Porcentual 2 15 18" xfId="2563" xr:uid="{00000000-0005-0000-0000-0000B9200000}"/>
    <cellStyle name="Porcentual 2 15 18 2" xfId="6214" xr:uid="{00000000-0005-0000-0000-0000BA200000}"/>
    <cellStyle name="Porcentual 2 15 19" xfId="2564" xr:uid="{00000000-0005-0000-0000-0000BB200000}"/>
    <cellStyle name="Porcentual 2 15 19 2" xfId="6215" xr:uid="{00000000-0005-0000-0000-0000BC200000}"/>
    <cellStyle name="Porcentual 2 15 2" xfId="2565" xr:uid="{00000000-0005-0000-0000-0000BD200000}"/>
    <cellStyle name="Porcentual 2 15 2 2" xfId="6216" xr:uid="{00000000-0005-0000-0000-0000BE200000}"/>
    <cellStyle name="Porcentual 2 15 20" xfId="2566" xr:uid="{00000000-0005-0000-0000-0000BF200000}"/>
    <cellStyle name="Porcentual 2 15 20 2" xfId="6217" xr:uid="{00000000-0005-0000-0000-0000C0200000}"/>
    <cellStyle name="Porcentual 2 15 21" xfId="2567" xr:uid="{00000000-0005-0000-0000-0000C1200000}"/>
    <cellStyle name="Porcentual 2 15 21 2" xfId="6218" xr:uid="{00000000-0005-0000-0000-0000C2200000}"/>
    <cellStyle name="Porcentual 2 15 22" xfId="2568" xr:uid="{00000000-0005-0000-0000-0000C3200000}"/>
    <cellStyle name="Porcentual 2 15 22 2" xfId="6219" xr:uid="{00000000-0005-0000-0000-0000C4200000}"/>
    <cellStyle name="Porcentual 2 15 23" xfId="2569" xr:uid="{00000000-0005-0000-0000-0000C5200000}"/>
    <cellStyle name="Porcentual 2 15 23 2" xfId="6220" xr:uid="{00000000-0005-0000-0000-0000C6200000}"/>
    <cellStyle name="Porcentual 2 15 24" xfId="2570" xr:uid="{00000000-0005-0000-0000-0000C7200000}"/>
    <cellStyle name="Porcentual 2 15 24 2" xfId="6221" xr:uid="{00000000-0005-0000-0000-0000C8200000}"/>
    <cellStyle name="Porcentual 2 15 25" xfId="2571" xr:uid="{00000000-0005-0000-0000-0000C9200000}"/>
    <cellStyle name="Porcentual 2 15 25 2" xfId="6222" xr:uid="{00000000-0005-0000-0000-0000CA200000}"/>
    <cellStyle name="Porcentual 2 15 26" xfId="2572" xr:uid="{00000000-0005-0000-0000-0000CB200000}"/>
    <cellStyle name="Porcentual 2 15 26 2" xfId="6223" xr:uid="{00000000-0005-0000-0000-0000CC200000}"/>
    <cellStyle name="Porcentual 2 15 27" xfId="2573" xr:uid="{00000000-0005-0000-0000-0000CD200000}"/>
    <cellStyle name="Porcentual 2 15 27 2" xfId="6224" xr:uid="{00000000-0005-0000-0000-0000CE200000}"/>
    <cellStyle name="Porcentual 2 15 28" xfId="2574" xr:uid="{00000000-0005-0000-0000-0000CF200000}"/>
    <cellStyle name="Porcentual 2 15 28 2" xfId="6225" xr:uid="{00000000-0005-0000-0000-0000D0200000}"/>
    <cellStyle name="Porcentual 2 15 29" xfId="6226" xr:uid="{00000000-0005-0000-0000-0000D1200000}"/>
    <cellStyle name="Porcentual 2 15 3" xfId="2575" xr:uid="{00000000-0005-0000-0000-0000D2200000}"/>
    <cellStyle name="Porcentual 2 15 3 2" xfId="6227" xr:uid="{00000000-0005-0000-0000-0000D3200000}"/>
    <cellStyle name="Porcentual 2 15 4" xfId="2576" xr:uid="{00000000-0005-0000-0000-0000D4200000}"/>
    <cellStyle name="Porcentual 2 15 4 2" xfId="6228" xr:uid="{00000000-0005-0000-0000-0000D5200000}"/>
    <cellStyle name="Porcentual 2 15 5" xfId="2577" xr:uid="{00000000-0005-0000-0000-0000D6200000}"/>
    <cellStyle name="Porcentual 2 15 5 2" xfId="6229" xr:uid="{00000000-0005-0000-0000-0000D7200000}"/>
    <cellStyle name="Porcentual 2 15 6" xfId="2578" xr:uid="{00000000-0005-0000-0000-0000D8200000}"/>
    <cellStyle name="Porcentual 2 15 6 2" xfId="6230" xr:uid="{00000000-0005-0000-0000-0000D9200000}"/>
    <cellStyle name="Porcentual 2 15 7" xfId="2579" xr:uid="{00000000-0005-0000-0000-0000DA200000}"/>
    <cellStyle name="Porcentual 2 15 7 2" xfId="6231" xr:uid="{00000000-0005-0000-0000-0000DB200000}"/>
    <cellStyle name="Porcentual 2 15 8" xfId="2580" xr:uid="{00000000-0005-0000-0000-0000DC200000}"/>
    <cellStyle name="Porcentual 2 15 8 2" xfId="6232" xr:uid="{00000000-0005-0000-0000-0000DD200000}"/>
    <cellStyle name="Porcentual 2 15 9" xfId="2581" xr:uid="{00000000-0005-0000-0000-0000DE200000}"/>
    <cellStyle name="Porcentual 2 15 9 2" xfId="6233" xr:uid="{00000000-0005-0000-0000-0000DF200000}"/>
    <cellStyle name="Porcentual 2 16" xfId="2582" xr:uid="{00000000-0005-0000-0000-0000E0200000}"/>
    <cellStyle name="Porcentual 2 16 10" xfId="2583" xr:uid="{00000000-0005-0000-0000-0000E1200000}"/>
    <cellStyle name="Porcentual 2 16 10 2" xfId="6234" xr:uid="{00000000-0005-0000-0000-0000E2200000}"/>
    <cellStyle name="Porcentual 2 16 11" xfId="2584" xr:uid="{00000000-0005-0000-0000-0000E3200000}"/>
    <cellStyle name="Porcentual 2 16 11 2" xfId="6235" xr:uid="{00000000-0005-0000-0000-0000E4200000}"/>
    <cellStyle name="Porcentual 2 16 12" xfId="2585" xr:uid="{00000000-0005-0000-0000-0000E5200000}"/>
    <cellStyle name="Porcentual 2 16 12 2" xfId="6236" xr:uid="{00000000-0005-0000-0000-0000E6200000}"/>
    <cellStyle name="Porcentual 2 16 13" xfId="2586" xr:uid="{00000000-0005-0000-0000-0000E7200000}"/>
    <cellStyle name="Porcentual 2 16 13 2" xfId="6237" xr:uid="{00000000-0005-0000-0000-0000E8200000}"/>
    <cellStyle name="Porcentual 2 16 14" xfId="2587" xr:uid="{00000000-0005-0000-0000-0000E9200000}"/>
    <cellStyle name="Porcentual 2 16 14 2" xfId="6238" xr:uid="{00000000-0005-0000-0000-0000EA200000}"/>
    <cellStyle name="Porcentual 2 16 15" xfId="2588" xr:uid="{00000000-0005-0000-0000-0000EB200000}"/>
    <cellStyle name="Porcentual 2 16 15 2" xfId="6239" xr:uid="{00000000-0005-0000-0000-0000EC200000}"/>
    <cellStyle name="Porcentual 2 16 16" xfId="2589" xr:uid="{00000000-0005-0000-0000-0000ED200000}"/>
    <cellStyle name="Porcentual 2 16 16 2" xfId="6240" xr:uid="{00000000-0005-0000-0000-0000EE200000}"/>
    <cellStyle name="Porcentual 2 16 17" xfId="2590" xr:uid="{00000000-0005-0000-0000-0000EF200000}"/>
    <cellStyle name="Porcentual 2 16 17 2" xfId="6241" xr:uid="{00000000-0005-0000-0000-0000F0200000}"/>
    <cellStyle name="Porcentual 2 16 18" xfId="2591" xr:uid="{00000000-0005-0000-0000-0000F1200000}"/>
    <cellStyle name="Porcentual 2 16 18 2" xfId="6242" xr:uid="{00000000-0005-0000-0000-0000F2200000}"/>
    <cellStyle name="Porcentual 2 16 19" xfId="2592" xr:uid="{00000000-0005-0000-0000-0000F3200000}"/>
    <cellStyle name="Porcentual 2 16 19 2" xfId="6243" xr:uid="{00000000-0005-0000-0000-0000F4200000}"/>
    <cellStyle name="Porcentual 2 16 2" xfId="2593" xr:uid="{00000000-0005-0000-0000-0000F5200000}"/>
    <cellStyle name="Porcentual 2 16 2 2" xfId="6244" xr:uid="{00000000-0005-0000-0000-0000F6200000}"/>
    <cellStyle name="Porcentual 2 16 20" xfId="2594" xr:uid="{00000000-0005-0000-0000-0000F7200000}"/>
    <cellStyle name="Porcentual 2 16 20 2" xfId="6245" xr:uid="{00000000-0005-0000-0000-0000F8200000}"/>
    <cellStyle name="Porcentual 2 16 21" xfId="2595" xr:uid="{00000000-0005-0000-0000-0000F9200000}"/>
    <cellStyle name="Porcentual 2 16 21 2" xfId="6246" xr:uid="{00000000-0005-0000-0000-0000FA200000}"/>
    <cellStyle name="Porcentual 2 16 22" xfId="2596" xr:uid="{00000000-0005-0000-0000-0000FB200000}"/>
    <cellStyle name="Porcentual 2 16 22 2" xfId="6247" xr:uid="{00000000-0005-0000-0000-0000FC200000}"/>
    <cellStyle name="Porcentual 2 16 23" xfId="2597" xr:uid="{00000000-0005-0000-0000-0000FD200000}"/>
    <cellStyle name="Porcentual 2 16 23 2" xfId="6248" xr:uid="{00000000-0005-0000-0000-0000FE200000}"/>
    <cellStyle name="Porcentual 2 16 24" xfId="2598" xr:uid="{00000000-0005-0000-0000-0000FF200000}"/>
    <cellStyle name="Porcentual 2 16 24 2" xfId="6249" xr:uid="{00000000-0005-0000-0000-000000210000}"/>
    <cellStyle name="Porcentual 2 16 25" xfId="2599" xr:uid="{00000000-0005-0000-0000-000001210000}"/>
    <cellStyle name="Porcentual 2 16 25 2" xfId="6250" xr:uid="{00000000-0005-0000-0000-000002210000}"/>
    <cellStyle name="Porcentual 2 16 26" xfId="2600" xr:uid="{00000000-0005-0000-0000-000003210000}"/>
    <cellStyle name="Porcentual 2 16 26 2" xfId="6251" xr:uid="{00000000-0005-0000-0000-000004210000}"/>
    <cellStyle name="Porcentual 2 16 27" xfId="2601" xr:uid="{00000000-0005-0000-0000-000005210000}"/>
    <cellStyle name="Porcentual 2 16 27 2" xfId="6252" xr:uid="{00000000-0005-0000-0000-000006210000}"/>
    <cellStyle name="Porcentual 2 16 28" xfId="2602" xr:uid="{00000000-0005-0000-0000-000007210000}"/>
    <cellStyle name="Porcentual 2 16 28 2" xfId="6253" xr:uid="{00000000-0005-0000-0000-000008210000}"/>
    <cellStyle name="Porcentual 2 16 29" xfId="6254" xr:uid="{00000000-0005-0000-0000-000009210000}"/>
    <cellStyle name="Porcentual 2 16 3" xfId="2603" xr:uid="{00000000-0005-0000-0000-00000A210000}"/>
    <cellStyle name="Porcentual 2 16 3 2" xfId="6255" xr:uid="{00000000-0005-0000-0000-00000B210000}"/>
    <cellStyle name="Porcentual 2 16 4" xfId="2604" xr:uid="{00000000-0005-0000-0000-00000C210000}"/>
    <cellStyle name="Porcentual 2 16 4 2" xfId="6256" xr:uid="{00000000-0005-0000-0000-00000D210000}"/>
    <cellStyle name="Porcentual 2 16 5" xfId="2605" xr:uid="{00000000-0005-0000-0000-00000E210000}"/>
    <cellStyle name="Porcentual 2 16 5 2" xfId="6257" xr:uid="{00000000-0005-0000-0000-00000F210000}"/>
    <cellStyle name="Porcentual 2 16 6" xfId="2606" xr:uid="{00000000-0005-0000-0000-000010210000}"/>
    <cellStyle name="Porcentual 2 16 6 2" xfId="6258" xr:uid="{00000000-0005-0000-0000-000011210000}"/>
    <cellStyle name="Porcentual 2 16 7" xfId="2607" xr:uid="{00000000-0005-0000-0000-000012210000}"/>
    <cellStyle name="Porcentual 2 16 7 2" xfId="6259" xr:uid="{00000000-0005-0000-0000-000013210000}"/>
    <cellStyle name="Porcentual 2 16 8" xfId="2608" xr:uid="{00000000-0005-0000-0000-000014210000}"/>
    <cellStyle name="Porcentual 2 16 8 2" xfId="6260" xr:uid="{00000000-0005-0000-0000-000015210000}"/>
    <cellStyle name="Porcentual 2 16 9" xfId="2609" xr:uid="{00000000-0005-0000-0000-000016210000}"/>
    <cellStyle name="Porcentual 2 16 9 2" xfId="6261" xr:uid="{00000000-0005-0000-0000-000017210000}"/>
    <cellStyle name="Porcentual 2 17" xfId="2610" xr:uid="{00000000-0005-0000-0000-000018210000}"/>
    <cellStyle name="Porcentual 2 17 10" xfId="2611" xr:uid="{00000000-0005-0000-0000-000019210000}"/>
    <cellStyle name="Porcentual 2 17 10 2" xfId="6262" xr:uid="{00000000-0005-0000-0000-00001A210000}"/>
    <cellStyle name="Porcentual 2 17 11" xfId="2612" xr:uid="{00000000-0005-0000-0000-00001B210000}"/>
    <cellStyle name="Porcentual 2 17 11 2" xfId="6263" xr:uid="{00000000-0005-0000-0000-00001C210000}"/>
    <cellStyle name="Porcentual 2 17 12" xfId="2613" xr:uid="{00000000-0005-0000-0000-00001D210000}"/>
    <cellStyle name="Porcentual 2 17 12 2" xfId="6264" xr:uid="{00000000-0005-0000-0000-00001E210000}"/>
    <cellStyle name="Porcentual 2 17 13" xfId="2614" xr:uid="{00000000-0005-0000-0000-00001F210000}"/>
    <cellStyle name="Porcentual 2 17 13 2" xfId="6265" xr:uid="{00000000-0005-0000-0000-000020210000}"/>
    <cellStyle name="Porcentual 2 17 14" xfId="2615" xr:uid="{00000000-0005-0000-0000-000021210000}"/>
    <cellStyle name="Porcentual 2 17 14 2" xfId="6266" xr:uid="{00000000-0005-0000-0000-000022210000}"/>
    <cellStyle name="Porcentual 2 17 15" xfId="2616" xr:uid="{00000000-0005-0000-0000-000023210000}"/>
    <cellStyle name="Porcentual 2 17 15 2" xfId="6267" xr:uid="{00000000-0005-0000-0000-000024210000}"/>
    <cellStyle name="Porcentual 2 17 16" xfId="2617" xr:uid="{00000000-0005-0000-0000-000025210000}"/>
    <cellStyle name="Porcentual 2 17 16 2" xfId="6268" xr:uid="{00000000-0005-0000-0000-000026210000}"/>
    <cellStyle name="Porcentual 2 17 17" xfId="2618" xr:uid="{00000000-0005-0000-0000-000027210000}"/>
    <cellStyle name="Porcentual 2 17 17 2" xfId="6269" xr:uid="{00000000-0005-0000-0000-000028210000}"/>
    <cellStyle name="Porcentual 2 17 18" xfId="2619" xr:uid="{00000000-0005-0000-0000-000029210000}"/>
    <cellStyle name="Porcentual 2 17 18 2" xfId="6270" xr:uid="{00000000-0005-0000-0000-00002A210000}"/>
    <cellStyle name="Porcentual 2 17 19" xfId="2620" xr:uid="{00000000-0005-0000-0000-00002B210000}"/>
    <cellStyle name="Porcentual 2 17 19 2" xfId="6271" xr:uid="{00000000-0005-0000-0000-00002C210000}"/>
    <cellStyle name="Porcentual 2 17 2" xfId="2621" xr:uid="{00000000-0005-0000-0000-00002D210000}"/>
    <cellStyle name="Porcentual 2 17 2 2" xfId="6272" xr:uid="{00000000-0005-0000-0000-00002E210000}"/>
    <cellStyle name="Porcentual 2 17 20" xfId="2622" xr:uid="{00000000-0005-0000-0000-00002F210000}"/>
    <cellStyle name="Porcentual 2 17 20 2" xfId="6273" xr:uid="{00000000-0005-0000-0000-000030210000}"/>
    <cellStyle name="Porcentual 2 17 21" xfId="2623" xr:uid="{00000000-0005-0000-0000-000031210000}"/>
    <cellStyle name="Porcentual 2 17 21 2" xfId="6274" xr:uid="{00000000-0005-0000-0000-000032210000}"/>
    <cellStyle name="Porcentual 2 17 22" xfId="2624" xr:uid="{00000000-0005-0000-0000-000033210000}"/>
    <cellStyle name="Porcentual 2 17 22 2" xfId="6275" xr:uid="{00000000-0005-0000-0000-000034210000}"/>
    <cellStyle name="Porcentual 2 17 23" xfId="2625" xr:uid="{00000000-0005-0000-0000-000035210000}"/>
    <cellStyle name="Porcentual 2 17 23 2" xfId="6276" xr:uid="{00000000-0005-0000-0000-000036210000}"/>
    <cellStyle name="Porcentual 2 17 24" xfId="2626" xr:uid="{00000000-0005-0000-0000-000037210000}"/>
    <cellStyle name="Porcentual 2 17 24 2" xfId="6277" xr:uid="{00000000-0005-0000-0000-000038210000}"/>
    <cellStyle name="Porcentual 2 17 25" xfId="2627" xr:uid="{00000000-0005-0000-0000-000039210000}"/>
    <cellStyle name="Porcentual 2 17 25 2" xfId="6278" xr:uid="{00000000-0005-0000-0000-00003A210000}"/>
    <cellStyle name="Porcentual 2 17 26" xfId="2628" xr:uid="{00000000-0005-0000-0000-00003B210000}"/>
    <cellStyle name="Porcentual 2 17 26 2" xfId="6279" xr:uid="{00000000-0005-0000-0000-00003C210000}"/>
    <cellStyle name="Porcentual 2 17 27" xfId="2629" xr:uid="{00000000-0005-0000-0000-00003D210000}"/>
    <cellStyle name="Porcentual 2 17 27 2" xfId="6280" xr:uid="{00000000-0005-0000-0000-00003E210000}"/>
    <cellStyle name="Porcentual 2 17 28" xfId="2630" xr:uid="{00000000-0005-0000-0000-00003F210000}"/>
    <cellStyle name="Porcentual 2 17 28 2" xfId="6281" xr:uid="{00000000-0005-0000-0000-000040210000}"/>
    <cellStyle name="Porcentual 2 17 29" xfId="6282" xr:uid="{00000000-0005-0000-0000-000041210000}"/>
    <cellStyle name="Porcentual 2 17 3" xfId="2631" xr:uid="{00000000-0005-0000-0000-000042210000}"/>
    <cellStyle name="Porcentual 2 17 3 2" xfId="6283" xr:uid="{00000000-0005-0000-0000-000043210000}"/>
    <cellStyle name="Porcentual 2 17 4" xfId="2632" xr:uid="{00000000-0005-0000-0000-000044210000}"/>
    <cellStyle name="Porcentual 2 17 4 2" xfId="6284" xr:uid="{00000000-0005-0000-0000-000045210000}"/>
    <cellStyle name="Porcentual 2 17 5" xfId="2633" xr:uid="{00000000-0005-0000-0000-000046210000}"/>
    <cellStyle name="Porcentual 2 17 5 2" xfId="6285" xr:uid="{00000000-0005-0000-0000-000047210000}"/>
    <cellStyle name="Porcentual 2 17 6" xfId="2634" xr:uid="{00000000-0005-0000-0000-000048210000}"/>
    <cellStyle name="Porcentual 2 17 6 2" xfId="6286" xr:uid="{00000000-0005-0000-0000-000049210000}"/>
    <cellStyle name="Porcentual 2 17 7" xfId="2635" xr:uid="{00000000-0005-0000-0000-00004A210000}"/>
    <cellStyle name="Porcentual 2 17 7 2" xfId="6287" xr:uid="{00000000-0005-0000-0000-00004B210000}"/>
    <cellStyle name="Porcentual 2 17 8" xfId="2636" xr:uid="{00000000-0005-0000-0000-00004C210000}"/>
    <cellStyle name="Porcentual 2 17 8 2" xfId="6288" xr:uid="{00000000-0005-0000-0000-00004D210000}"/>
    <cellStyle name="Porcentual 2 17 9" xfId="2637" xr:uid="{00000000-0005-0000-0000-00004E210000}"/>
    <cellStyle name="Porcentual 2 17 9 2" xfId="6289" xr:uid="{00000000-0005-0000-0000-00004F210000}"/>
    <cellStyle name="Porcentual 2 18" xfId="2638" xr:uid="{00000000-0005-0000-0000-000050210000}"/>
    <cellStyle name="Porcentual 2 18 10" xfId="2639" xr:uid="{00000000-0005-0000-0000-000051210000}"/>
    <cellStyle name="Porcentual 2 18 10 2" xfId="6290" xr:uid="{00000000-0005-0000-0000-000052210000}"/>
    <cellStyle name="Porcentual 2 18 11" xfId="2640" xr:uid="{00000000-0005-0000-0000-000053210000}"/>
    <cellStyle name="Porcentual 2 18 11 2" xfId="6291" xr:uid="{00000000-0005-0000-0000-000054210000}"/>
    <cellStyle name="Porcentual 2 18 12" xfId="2641" xr:uid="{00000000-0005-0000-0000-000055210000}"/>
    <cellStyle name="Porcentual 2 18 12 2" xfId="6292" xr:uid="{00000000-0005-0000-0000-000056210000}"/>
    <cellStyle name="Porcentual 2 18 13" xfId="2642" xr:uid="{00000000-0005-0000-0000-000057210000}"/>
    <cellStyle name="Porcentual 2 18 13 2" xfId="6293" xr:uid="{00000000-0005-0000-0000-000058210000}"/>
    <cellStyle name="Porcentual 2 18 14" xfId="2643" xr:uid="{00000000-0005-0000-0000-000059210000}"/>
    <cellStyle name="Porcentual 2 18 14 2" xfId="6294" xr:uid="{00000000-0005-0000-0000-00005A210000}"/>
    <cellStyle name="Porcentual 2 18 15" xfId="2644" xr:uid="{00000000-0005-0000-0000-00005B210000}"/>
    <cellStyle name="Porcentual 2 18 15 2" xfId="6295" xr:uid="{00000000-0005-0000-0000-00005C210000}"/>
    <cellStyle name="Porcentual 2 18 16" xfId="2645" xr:uid="{00000000-0005-0000-0000-00005D210000}"/>
    <cellStyle name="Porcentual 2 18 16 2" xfId="6296" xr:uid="{00000000-0005-0000-0000-00005E210000}"/>
    <cellStyle name="Porcentual 2 18 17" xfId="2646" xr:uid="{00000000-0005-0000-0000-00005F210000}"/>
    <cellStyle name="Porcentual 2 18 17 2" xfId="6297" xr:uid="{00000000-0005-0000-0000-000060210000}"/>
    <cellStyle name="Porcentual 2 18 18" xfId="2647" xr:uid="{00000000-0005-0000-0000-000061210000}"/>
    <cellStyle name="Porcentual 2 18 18 2" xfId="6298" xr:uid="{00000000-0005-0000-0000-000062210000}"/>
    <cellStyle name="Porcentual 2 18 19" xfId="2648" xr:uid="{00000000-0005-0000-0000-000063210000}"/>
    <cellStyle name="Porcentual 2 18 19 2" xfId="6299" xr:uid="{00000000-0005-0000-0000-000064210000}"/>
    <cellStyle name="Porcentual 2 18 2" xfId="2649" xr:uid="{00000000-0005-0000-0000-000065210000}"/>
    <cellStyle name="Porcentual 2 18 2 2" xfId="6300" xr:uid="{00000000-0005-0000-0000-000066210000}"/>
    <cellStyle name="Porcentual 2 18 20" xfId="2650" xr:uid="{00000000-0005-0000-0000-000067210000}"/>
    <cellStyle name="Porcentual 2 18 20 2" xfId="6301" xr:uid="{00000000-0005-0000-0000-000068210000}"/>
    <cellStyle name="Porcentual 2 18 21" xfId="2651" xr:uid="{00000000-0005-0000-0000-000069210000}"/>
    <cellStyle name="Porcentual 2 18 21 2" xfId="6302" xr:uid="{00000000-0005-0000-0000-00006A210000}"/>
    <cellStyle name="Porcentual 2 18 22" xfId="2652" xr:uid="{00000000-0005-0000-0000-00006B210000}"/>
    <cellStyle name="Porcentual 2 18 22 2" xfId="6303" xr:uid="{00000000-0005-0000-0000-00006C210000}"/>
    <cellStyle name="Porcentual 2 18 23" xfId="2653" xr:uid="{00000000-0005-0000-0000-00006D210000}"/>
    <cellStyle name="Porcentual 2 18 23 2" xfId="6304" xr:uid="{00000000-0005-0000-0000-00006E210000}"/>
    <cellStyle name="Porcentual 2 18 24" xfId="2654" xr:uid="{00000000-0005-0000-0000-00006F210000}"/>
    <cellStyle name="Porcentual 2 18 24 2" xfId="6305" xr:uid="{00000000-0005-0000-0000-000070210000}"/>
    <cellStyle name="Porcentual 2 18 25" xfId="2655" xr:uid="{00000000-0005-0000-0000-000071210000}"/>
    <cellStyle name="Porcentual 2 18 25 2" xfId="6306" xr:uid="{00000000-0005-0000-0000-000072210000}"/>
    <cellStyle name="Porcentual 2 18 26" xfId="2656" xr:uid="{00000000-0005-0000-0000-000073210000}"/>
    <cellStyle name="Porcentual 2 18 26 2" xfId="6307" xr:uid="{00000000-0005-0000-0000-000074210000}"/>
    <cellStyle name="Porcentual 2 18 27" xfId="2657" xr:uid="{00000000-0005-0000-0000-000075210000}"/>
    <cellStyle name="Porcentual 2 18 27 2" xfId="6308" xr:uid="{00000000-0005-0000-0000-000076210000}"/>
    <cellStyle name="Porcentual 2 18 28" xfId="2658" xr:uid="{00000000-0005-0000-0000-000077210000}"/>
    <cellStyle name="Porcentual 2 18 28 2" xfId="6309" xr:uid="{00000000-0005-0000-0000-000078210000}"/>
    <cellStyle name="Porcentual 2 18 29" xfId="6310" xr:uid="{00000000-0005-0000-0000-000079210000}"/>
    <cellStyle name="Porcentual 2 18 3" xfId="2659" xr:uid="{00000000-0005-0000-0000-00007A210000}"/>
    <cellStyle name="Porcentual 2 18 3 2" xfId="6311" xr:uid="{00000000-0005-0000-0000-00007B210000}"/>
    <cellStyle name="Porcentual 2 18 4" xfId="2660" xr:uid="{00000000-0005-0000-0000-00007C210000}"/>
    <cellStyle name="Porcentual 2 18 4 2" xfId="6312" xr:uid="{00000000-0005-0000-0000-00007D210000}"/>
    <cellStyle name="Porcentual 2 18 5" xfId="2661" xr:uid="{00000000-0005-0000-0000-00007E210000}"/>
    <cellStyle name="Porcentual 2 18 5 2" xfId="6313" xr:uid="{00000000-0005-0000-0000-00007F210000}"/>
    <cellStyle name="Porcentual 2 18 6" xfId="2662" xr:uid="{00000000-0005-0000-0000-000080210000}"/>
    <cellStyle name="Porcentual 2 18 6 2" xfId="6314" xr:uid="{00000000-0005-0000-0000-000081210000}"/>
    <cellStyle name="Porcentual 2 18 7" xfId="2663" xr:uid="{00000000-0005-0000-0000-000082210000}"/>
    <cellStyle name="Porcentual 2 18 7 2" xfId="6315" xr:uid="{00000000-0005-0000-0000-000083210000}"/>
    <cellStyle name="Porcentual 2 18 8" xfId="2664" xr:uid="{00000000-0005-0000-0000-000084210000}"/>
    <cellStyle name="Porcentual 2 18 8 2" xfId="6316" xr:uid="{00000000-0005-0000-0000-000085210000}"/>
    <cellStyle name="Porcentual 2 18 9" xfId="2665" xr:uid="{00000000-0005-0000-0000-000086210000}"/>
    <cellStyle name="Porcentual 2 18 9 2" xfId="6317" xr:uid="{00000000-0005-0000-0000-000087210000}"/>
    <cellStyle name="Porcentual 2 19" xfId="2666" xr:uid="{00000000-0005-0000-0000-000088210000}"/>
    <cellStyle name="Porcentual 2 19 10" xfId="2667" xr:uid="{00000000-0005-0000-0000-000089210000}"/>
    <cellStyle name="Porcentual 2 19 10 2" xfId="6318" xr:uid="{00000000-0005-0000-0000-00008A210000}"/>
    <cellStyle name="Porcentual 2 19 11" xfId="2668" xr:uid="{00000000-0005-0000-0000-00008B210000}"/>
    <cellStyle name="Porcentual 2 19 11 2" xfId="6319" xr:uid="{00000000-0005-0000-0000-00008C210000}"/>
    <cellStyle name="Porcentual 2 19 12" xfId="2669" xr:uid="{00000000-0005-0000-0000-00008D210000}"/>
    <cellStyle name="Porcentual 2 19 12 2" xfId="6320" xr:uid="{00000000-0005-0000-0000-00008E210000}"/>
    <cellStyle name="Porcentual 2 19 13" xfId="2670" xr:uid="{00000000-0005-0000-0000-00008F210000}"/>
    <cellStyle name="Porcentual 2 19 13 2" xfId="6321" xr:uid="{00000000-0005-0000-0000-000090210000}"/>
    <cellStyle name="Porcentual 2 19 14" xfId="2671" xr:uid="{00000000-0005-0000-0000-000091210000}"/>
    <cellStyle name="Porcentual 2 19 14 2" xfId="6322" xr:uid="{00000000-0005-0000-0000-000092210000}"/>
    <cellStyle name="Porcentual 2 19 15" xfId="2672" xr:uid="{00000000-0005-0000-0000-000093210000}"/>
    <cellStyle name="Porcentual 2 19 15 2" xfId="6323" xr:uid="{00000000-0005-0000-0000-000094210000}"/>
    <cellStyle name="Porcentual 2 19 16" xfId="2673" xr:uid="{00000000-0005-0000-0000-000095210000}"/>
    <cellStyle name="Porcentual 2 19 16 2" xfId="6324" xr:uid="{00000000-0005-0000-0000-000096210000}"/>
    <cellStyle name="Porcentual 2 19 17" xfId="2674" xr:uid="{00000000-0005-0000-0000-000097210000}"/>
    <cellStyle name="Porcentual 2 19 17 2" xfId="6325" xr:uid="{00000000-0005-0000-0000-000098210000}"/>
    <cellStyle name="Porcentual 2 19 18" xfId="2675" xr:uid="{00000000-0005-0000-0000-000099210000}"/>
    <cellStyle name="Porcentual 2 19 18 2" xfId="6326" xr:uid="{00000000-0005-0000-0000-00009A210000}"/>
    <cellStyle name="Porcentual 2 19 19" xfId="2676" xr:uid="{00000000-0005-0000-0000-00009B210000}"/>
    <cellStyle name="Porcentual 2 19 19 2" xfId="6327" xr:uid="{00000000-0005-0000-0000-00009C210000}"/>
    <cellStyle name="Porcentual 2 19 2" xfId="2677" xr:uid="{00000000-0005-0000-0000-00009D210000}"/>
    <cellStyle name="Porcentual 2 19 2 2" xfId="6328" xr:uid="{00000000-0005-0000-0000-00009E210000}"/>
    <cellStyle name="Porcentual 2 19 20" xfId="2678" xr:uid="{00000000-0005-0000-0000-00009F210000}"/>
    <cellStyle name="Porcentual 2 19 20 2" xfId="6329" xr:uid="{00000000-0005-0000-0000-0000A0210000}"/>
    <cellStyle name="Porcentual 2 19 21" xfId="2679" xr:uid="{00000000-0005-0000-0000-0000A1210000}"/>
    <cellStyle name="Porcentual 2 19 21 2" xfId="6330" xr:uid="{00000000-0005-0000-0000-0000A2210000}"/>
    <cellStyle name="Porcentual 2 19 22" xfId="2680" xr:uid="{00000000-0005-0000-0000-0000A3210000}"/>
    <cellStyle name="Porcentual 2 19 22 2" xfId="6331" xr:uid="{00000000-0005-0000-0000-0000A4210000}"/>
    <cellStyle name="Porcentual 2 19 23" xfId="2681" xr:uid="{00000000-0005-0000-0000-0000A5210000}"/>
    <cellStyle name="Porcentual 2 19 23 2" xfId="6332" xr:uid="{00000000-0005-0000-0000-0000A6210000}"/>
    <cellStyle name="Porcentual 2 19 24" xfId="2682" xr:uid="{00000000-0005-0000-0000-0000A7210000}"/>
    <cellStyle name="Porcentual 2 19 24 2" xfId="6333" xr:uid="{00000000-0005-0000-0000-0000A8210000}"/>
    <cellStyle name="Porcentual 2 19 25" xfId="2683" xr:uid="{00000000-0005-0000-0000-0000A9210000}"/>
    <cellStyle name="Porcentual 2 19 25 2" xfId="6334" xr:uid="{00000000-0005-0000-0000-0000AA210000}"/>
    <cellStyle name="Porcentual 2 19 26" xfId="2684" xr:uid="{00000000-0005-0000-0000-0000AB210000}"/>
    <cellStyle name="Porcentual 2 19 26 2" xfId="6335" xr:uid="{00000000-0005-0000-0000-0000AC210000}"/>
    <cellStyle name="Porcentual 2 19 27" xfId="2685" xr:uid="{00000000-0005-0000-0000-0000AD210000}"/>
    <cellStyle name="Porcentual 2 19 27 2" xfId="6336" xr:uid="{00000000-0005-0000-0000-0000AE210000}"/>
    <cellStyle name="Porcentual 2 19 28" xfId="2686" xr:uid="{00000000-0005-0000-0000-0000AF210000}"/>
    <cellStyle name="Porcentual 2 19 28 2" xfId="6337" xr:uid="{00000000-0005-0000-0000-0000B0210000}"/>
    <cellStyle name="Porcentual 2 19 29" xfId="6338" xr:uid="{00000000-0005-0000-0000-0000B1210000}"/>
    <cellStyle name="Porcentual 2 19 3" xfId="2687" xr:uid="{00000000-0005-0000-0000-0000B2210000}"/>
    <cellStyle name="Porcentual 2 19 3 2" xfId="6339" xr:uid="{00000000-0005-0000-0000-0000B3210000}"/>
    <cellStyle name="Porcentual 2 19 4" xfId="2688" xr:uid="{00000000-0005-0000-0000-0000B4210000}"/>
    <cellStyle name="Porcentual 2 19 4 2" xfId="6340" xr:uid="{00000000-0005-0000-0000-0000B5210000}"/>
    <cellStyle name="Porcentual 2 19 5" xfId="2689" xr:uid="{00000000-0005-0000-0000-0000B6210000}"/>
    <cellStyle name="Porcentual 2 19 5 2" xfId="6341" xr:uid="{00000000-0005-0000-0000-0000B7210000}"/>
    <cellStyle name="Porcentual 2 19 6" xfId="2690" xr:uid="{00000000-0005-0000-0000-0000B8210000}"/>
    <cellStyle name="Porcentual 2 19 6 2" xfId="6342" xr:uid="{00000000-0005-0000-0000-0000B9210000}"/>
    <cellStyle name="Porcentual 2 19 7" xfId="2691" xr:uid="{00000000-0005-0000-0000-0000BA210000}"/>
    <cellStyle name="Porcentual 2 19 7 2" xfId="6343" xr:uid="{00000000-0005-0000-0000-0000BB210000}"/>
    <cellStyle name="Porcentual 2 19 8" xfId="2692" xr:uid="{00000000-0005-0000-0000-0000BC210000}"/>
    <cellStyle name="Porcentual 2 19 8 2" xfId="6344" xr:uid="{00000000-0005-0000-0000-0000BD210000}"/>
    <cellStyle name="Porcentual 2 19 9" xfId="2693" xr:uid="{00000000-0005-0000-0000-0000BE210000}"/>
    <cellStyle name="Porcentual 2 19 9 2" xfId="6345" xr:uid="{00000000-0005-0000-0000-0000BF210000}"/>
    <cellStyle name="Porcentual 2 2" xfId="114" xr:uid="{00000000-0005-0000-0000-0000C0210000}"/>
    <cellStyle name="Porcentual 2 2 10" xfId="2695" xr:uid="{00000000-0005-0000-0000-0000C1210000}"/>
    <cellStyle name="Porcentual 2 2 10 2" xfId="6346" xr:uid="{00000000-0005-0000-0000-0000C2210000}"/>
    <cellStyle name="Porcentual 2 2 10 3" xfId="8749" xr:uid="{00000000-0005-0000-0000-0000C3210000}"/>
    <cellStyle name="Porcentual 2 2 11" xfId="2696" xr:uid="{00000000-0005-0000-0000-0000C4210000}"/>
    <cellStyle name="Porcentual 2 2 11 2" xfId="6347" xr:uid="{00000000-0005-0000-0000-0000C5210000}"/>
    <cellStyle name="Porcentual 2 2 11 3" xfId="8750" xr:uid="{00000000-0005-0000-0000-0000C6210000}"/>
    <cellStyle name="Porcentual 2 2 12" xfId="2697" xr:uid="{00000000-0005-0000-0000-0000C7210000}"/>
    <cellStyle name="Porcentual 2 2 12 2" xfId="6348" xr:uid="{00000000-0005-0000-0000-0000C8210000}"/>
    <cellStyle name="Porcentual 2 2 12 3" xfId="8751" xr:uid="{00000000-0005-0000-0000-0000C9210000}"/>
    <cellStyle name="Porcentual 2 2 13" xfId="2698" xr:uid="{00000000-0005-0000-0000-0000CA210000}"/>
    <cellStyle name="Porcentual 2 2 13 2" xfId="6349" xr:uid="{00000000-0005-0000-0000-0000CB210000}"/>
    <cellStyle name="Porcentual 2 2 13 3" xfId="8752" xr:uid="{00000000-0005-0000-0000-0000CC210000}"/>
    <cellStyle name="Porcentual 2 2 14" xfId="2699" xr:uid="{00000000-0005-0000-0000-0000CD210000}"/>
    <cellStyle name="Porcentual 2 2 14 2" xfId="6350" xr:uid="{00000000-0005-0000-0000-0000CE210000}"/>
    <cellStyle name="Porcentual 2 2 14 3" xfId="8753" xr:uid="{00000000-0005-0000-0000-0000CF210000}"/>
    <cellStyle name="Porcentual 2 2 15" xfId="2700" xr:uid="{00000000-0005-0000-0000-0000D0210000}"/>
    <cellStyle name="Porcentual 2 2 15 2" xfId="6351" xr:uid="{00000000-0005-0000-0000-0000D1210000}"/>
    <cellStyle name="Porcentual 2 2 15 3" xfId="8754" xr:uid="{00000000-0005-0000-0000-0000D2210000}"/>
    <cellStyle name="Porcentual 2 2 16" xfId="2701" xr:uid="{00000000-0005-0000-0000-0000D3210000}"/>
    <cellStyle name="Porcentual 2 2 16 2" xfId="6352" xr:uid="{00000000-0005-0000-0000-0000D4210000}"/>
    <cellStyle name="Porcentual 2 2 16 3" xfId="8755" xr:uid="{00000000-0005-0000-0000-0000D5210000}"/>
    <cellStyle name="Porcentual 2 2 17" xfId="2702" xr:uid="{00000000-0005-0000-0000-0000D6210000}"/>
    <cellStyle name="Porcentual 2 2 17 2" xfId="6353" xr:uid="{00000000-0005-0000-0000-0000D7210000}"/>
    <cellStyle name="Porcentual 2 2 17 3" xfId="8756" xr:uid="{00000000-0005-0000-0000-0000D8210000}"/>
    <cellStyle name="Porcentual 2 2 18" xfId="2703" xr:uid="{00000000-0005-0000-0000-0000D9210000}"/>
    <cellStyle name="Porcentual 2 2 18 2" xfId="6354" xr:uid="{00000000-0005-0000-0000-0000DA210000}"/>
    <cellStyle name="Porcentual 2 2 18 3" xfId="8757" xr:uid="{00000000-0005-0000-0000-0000DB210000}"/>
    <cellStyle name="Porcentual 2 2 19" xfId="2704" xr:uid="{00000000-0005-0000-0000-0000DC210000}"/>
    <cellStyle name="Porcentual 2 2 19 2" xfId="6355" xr:uid="{00000000-0005-0000-0000-0000DD210000}"/>
    <cellStyle name="Porcentual 2 2 19 3" xfId="8758" xr:uid="{00000000-0005-0000-0000-0000DE210000}"/>
    <cellStyle name="Porcentual 2 2 2" xfId="2705" xr:uid="{00000000-0005-0000-0000-0000DF210000}"/>
    <cellStyle name="Porcentual 2 2 2 10" xfId="4212" xr:uid="{00000000-0005-0000-0000-0000E0210000}"/>
    <cellStyle name="Porcentual 2 2 2 10 2" xfId="9647" xr:uid="{00000000-0005-0000-0000-0000E1210000}"/>
    <cellStyle name="Porcentual 2 2 2 10 2 2" xfId="10348" xr:uid="{00000000-0005-0000-0000-0000E2210000}"/>
    <cellStyle name="Porcentual 2 2 2 10 2 2 2" xfId="12083" xr:uid="{00000000-0005-0000-0000-0000E3210000}"/>
    <cellStyle name="Porcentual 2 2 2 10 2 3" xfId="11436" xr:uid="{00000000-0005-0000-0000-0000E4210000}"/>
    <cellStyle name="Porcentual 2 2 2 10 3" xfId="10051" xr:uid="{00000000-0005-0000-0000-0000E5210000}"/>
    <cellStyle name="Porcentual 2 2 2 10 3 2" xfId="11787" xr:uid="{00000000-0005-0000-0000-0000E6210000}"/>
    <cellStyle name="Porcentual 2 2 2 10 4" xfId="11023" xr:uid="{00000000-0005-0000-0000-0000E7210000}"/>
    <cellStyle name="Porcentual 2 2 2 11" xfId="4337" xr:uid="{00000000-0005-0000-0000-0000E8210000}"/>
    <cellStyle name="Porcentual 2 2 2 11 2" xfId="9748" xr:uid="{00000000-0005-0000-0000-0000E9210000}"/>
    <cellStyle name="Porcentual 2 2 2 11 2 2" xfId="10446" xr:uid="{00000000-0005-0000-0000-0000EA210000}"/>
    <cellStyle name="Porcentual 2 2 2 11 2 2 2" xfId="12181" xr:uid="{00000000-0005-0000-0000-0000EB210000}"/>
    <cellStyle name="Porcentual 2 2 2 11 2 3" xfId="11534" xr:uid="{00000000-0005-0000-0000-0000EC210000}"/>
    <cellStyle name="Porcentual 2 2 2 11 3" xfId="10149" xr:uid="{00000000-0005-0000-0000-0000ED210000}"/>
    <cellStyle name="Porcentual 2 2 2 11 3 2" xfId="11885" xr:uid="{00000000-0005-0000-0000-0000EE210000}"/>
    <cellStyle name="Porcentual 2 2 2 11 4" xfId="11142" xr:uid="{00000000-0005-0000-0000-0000EF210000}"/>
    <cellStyle name="Porcentual 2 2 2 2" xfId="2706" xr:uid="{00000000-0005-0000-0000-0000F0210000}"/>
    <cellStyle name="Porcentual 2 2 2 2 2" xfId="4263" xr:uid="{00000000-0005-0000-0000-0000F1210000}"/>
    <cellStyle name="Porcentual 2 2 2 2 2 2" xfId="9698" xr:uid="{00000000-0005-0000-0000-0000F2210000}"/>
    <cellStyle name="Porcentual 2 2 2 2 2 2 2" xfId="10399" xr:uid="{00000000-0005-0000-0000-0000F3210000}"/>
    <cellStyle name="Porcentual 2 2 2 2 2 2 2 2" xfId="12134" xr:uid="{00000000-0005-0000-0000-0000F4210000}"/>
    <cellStyle name="Porcentual 2 2 2 2 2 2 3" xfId="11487" xr:uid="{00000000-0005-0000-0000-0000F5210000}"/>
    <cellStyle name="Porcentual 2 2 2 2 2 3" xfId="10102" xr:uid="{00000000-0005-0000-0000-0000F6210000}"/>
    <cellStyle name="Porcentual 2 2 2 2 2 3 2" xfId="11838" xr:uid="{00000000-0005-0000-0000-0000F7210000}"/>
    <cellStyle name="Porcentual 2 2 2 2 2 4" xfId="11074" xr:uid="{00000000-0005-0000-0000-0000F8210000}"/>
    <cellStyle name="Porcentual 2 2 2 2 3" xfId="8759" xr:uid="{00000000-0005-0000-0000-0000F9210000}"/>
    <cellStyle name="Porcentual 2 2 2 3" xfId="2707" xr:uid="{00000000-0005-0000-0000-0000FA210000}"/>
    <cellStyle name="Porcentual 2 2 2 3 2" xfId="8760" xr:uid="{00000000-0005-0000-0000-0000FB210000}"/>
    <cellStyle name="Porcentual 2 2 2 4" xfId="2708" xr:uid="{00000000-0005-0000-0000-0000FC210000}"/>
    <cellStyle name="Porcentual 2 2 2 4 2" xfId="8761" xr:uid="{00000000-0005-0000-0000-0000FD210000}"/>
    <cellStyle name="Porcentual 2 2 2 5" xfId="2709" xr:uid="{00000000-0005-0000-0000-0000FE210000}"/>
    <cellStyle name="Porcentual 2 2 2 5 2" xfId="8762" xr:uid="{00000000-0005-0000-0000-0000FF210000}"/>
    <cellStyle name="Porcentual 2 2 2 6" xfId="2710" xr:uid="{00000000-0005-0000-0000-000000220000}"/>
    <cellStyle name="Porcentual 2 2 2 6 2" xfId="8763" xr:uid="{00000000-0005-0000-0000-000001220000}"/>
    <cellStyle name="Porcentual 2 2 2 7" xfId="2711" xr:uid="{00000000-0005-0000-0000-000002220000}"/>
    <cellStyle name="Porcentual 2 2 2 7 2" xfId="8764" xr:uid="{00000000-0005-0000-0000-000003220000}"/>
    <cellStyle name="Porcentual 2 2 2 8" xfId="2712" xr:uid="{00000000-0005-0000-0000-000004220000}"/>
    <cellStyle name="Porcentual 2 2 2 8 2" xfId="8765" xr:uid="{00000000-0005-0000-0000-000005220000}"/>
    <cellStyle name="Porcentual 2 2 2 9" xfId="4137" xr:uid="{00000000-0005-0000-0000-000006220000}"/>
    <cellStyle name="Porcentual 2 2 2 9 2" xfId="9595" xr:uid="{00000000-0005-0000-0000-000007220000}"/>
    <cellStyle name="Porcentual 2 2 2 9 2 2" xfId="10297" xr:uid="{00000000-0005-0000-0000-000008220000}"/>
    <cellStyle name="Porcentual 2 2 2 9 2 2 2" xfId="12032" xr:uid="{00000000-0005-0000-0000-000009220000}"/>
    <cellStyle name="Porcentual 2 2 2 9 2 3" xfId="11385" xr:uid="{00000000-0005-0000-0000-00000A220000}"/>
    <cellStyle name="Porcentual 2 2 2 9 3" xfId="10000" xr:uid="{00000000-0005-0000-0000-00000B220000}"/>
    <cellStyle name="Porcentual 2 2 2 9 3 2" xfId="11736" xr:uid="{00000000-0005-0000-0000-00000C220000}"/>
    <cellStyle name="Porcentual 2 2 2 9 4" xfId="10963" xr:uid="{00000000-0005-0000-0000-00000D220000}"/>
    <cellStyle name="Porcentual 2 2 20" xfId="2713" xr:uid="{00000000-0005-0000-0000-00000E220000}"/>
    <cellStyle name="Porcentual 2 2 20 2" xfId="6356" xr:uid="{00000000-0005-0000-0000-00000F220000}"/>
    <cellStyle name="Porcentual 2 2 20 3" xfId="8766" xr:uid="{00000000-0005-0000-0000-000010220000}"/>
    <cellStyle name="Porcentual 2 2 21" xfId="2714" xr:uid="{00000000-0005-0000-0000-000011220000}"/>
    <cellStyle name="Porcentual 2 2 21 2" xfId="6357" xr:uid="{00000000-0005-0000-0000-000012220000}"/>
    <cellStyle name="Porcentual 2 2 21 3" xfId="8767" xr:uid="{00000000-0005-0000-0000-000013220000}"/>
    <cellStyle name="Porcentual 2 2 22" xfId="2715" xr:uid="{00000000-0005-0000-0000-000014220000}"/>
    <cellStyle name="Porcentual 2 2 22 2" xfId="6358" xr:uid="{00000000-0005-0000-0000-000015220000}"/>
    <cellStyle name="Porcentual 2 2 22 3" xfId="8768" xr:uid="{00000000-0005-0000-0000-000016220000}"/>
    <cellStyle name="Porcentual 2 2 23" xfId="2716" xr:uid="{00000000-0005-0000-0000-000017220000}"/>
    <cellStyle name="Porcentual 2 2 23 2" xfId="6359" xr:uid="{00000000-0005-0000-0000-000018220000}"/>
    <cellStyle name="Porcentual 2 2 23 3" xfId="8769" xr:uid="{00000000-0005-0000-0000-000019220000}"/>
    <cellStyle name="Porcentual 2 2 24" xfId="2717" xr:uid="{00000000-0005-0000-0000-00001A220000}"/>
    <cellStyle name="Porcentual 2 2 24 2" xfId="6360" xr:uid="{00000000-0005-0000-0000-00001B220000}"/>
    <cellStyle name="Porcentual 2 2 24 3" xfId="8770" xr:uid="{00000000-0005-0000-0000-00001C220000}"/>
    <cellStyle name="Porcentual 2 2 25" xfId="2718" xr:uid="{00000000-0005-0000-0000-00001D220000}"/>
    <cellStyle name="Porcentual 2 2 25 2" xfId="6361" xr:uid="{00000000-0005-0000-0000-00001E220000}"/>
    <cellStyle name="Porcentual 2 2 25 3" xfId="8771" xr:uid="{00000000-0005-0000-0000-00001F220000}"/>
    <cellStyle name="Porcentual 2 2 26" xfId="2719" xr:uid="{00000000-0005-0000-0000-000020220000}"/>
    <cellStyle name="Porcentual 2 2 26 2" xfId="6362" xr:uid="{00000000-0005-0000-0000-000021220000}"/>
    <cellStyle name="Porcentual 2 2 26 3" xfId="8772" xr:uid="{00000000-0005-0000-0000-000022220000}"/>
    <cellStyle name="Porcentual 2 2 27" xfId="2720" xr:uid="{00000000-0005-0000-0000-000023220000}"/>
    <cellStyle name="Porcentual 2 2 27 2" xfId="6363" xr:uid="{00000000-0005-0000-0000-000024220000}"/>
    <cellStyle name="Porcentual 2 2 27 3" xfId="8773" xr:uid="{00000000-0005-0000-0000-000025220000}"/>
    <cellStyle name="Porcentual 2 2 28" xfId="2721" xr:uid="{00000000-0005-0000-0000-000026220000}"/>
    <cellStyle name="Porcentual 2 2 28 2" xfId="6364" xr:uid="{00000000-0005-0000-0000-000027220000}"/>
    <cellStyle name="Porcentual 2 2 28 3" xfId="8774" xr:uid="{00000000-0005-0000-0000-000028220000}"/>
    <cellStyle name="Porcentual 2 2 29" xfId="2722" xr:uid="{00000000-0005-0000-0000-000029220000}"/>
    <cellStyle name="Porcentual 2 2 29 2" xfId="6365" xr:uid="{00000000-0005-0000-0000-00002A220000}"/>
    <cellStyle name="Porcentual 2 2 29 3" xfId="8775" xr:uid="{00000000-0005-0000-0000-00002B220000}"/>
    <cellStyle name="Porcentual 2 2 3" xfId="2723" xr:uid="{00000000-0005-0000-0000-00002C220000}"/>
    <cellStyle name="Porcentual 2 2 3 2" xfId="4097" xr:uid="{00000000-0005-0000-0000-00002D220000}"/>
    <cellStyle name="Porcentual 2 2 3 2 2" xfId="4245" xr:uid="{00000000-0005-0000-0000-00002E220000}"/>
    <cellStyle name="Porcentual 2 2 3 2 2 2" xfId="9680" xr:uid="{00000000-0005-0000-0000-00002F220000}"/>
    <cellStyle name="Porcentual 2 2 3 2 2 2 2" xfId="10381" xr:uid="{00000000-0005-0000-0000-000030220000}"/>
    <cellStyle name="Porcentual 2 2 3 2 2 2 2 2" xfId="12116" xr:uid="{00000000-0005-0000-0000-000031220000}"/>
    <cellStyle name="Porcentual 2 2 3 2 2 2 3" xfId="11469" xr:uid="{00000000-0005-0000-0000-000032220000}"/>
    <cellStyle name="Porcentual 2 2 3 2 2 3" xfId="10084" xr:uid="{00000000-0005-0000-0000-000033220000}"/>
    <cellStyle name="Porcentual 2 2 3 2 2 3 2" xfId="11820" xr:uid="{00000000-0005-0000-0000-000034220000}"/>
    <cellStyle name="Porcentual 2 2 3 2 2 4" xfId="11056" xr:uid="{00000000-0005-0000-0000-000035220000}"/>
    <cellStyle name="Porcentual 2 2 3 2 3" xfId="9576" xr:uid="{00000000-0005-0000-0000-000036220000}"/>
    <cellStyle name="Porcentual 2 2 3 2 3 2" xfId="10279" xr:uid="{00000000-0005-0000-0000-000037220000}"/>
    <cellStyle name="Porcentual 2 2 3 2 3 2 2" xfId="12014" xr:uid="{00000000-0005-0000-0000-000038220000}"/>
    <cellStyle name="Porcentual 2 2 3 2 3 3" xfId="11367" xr:uid="{00000000-0005-0000-0000-000039220000}"/>
    <cellStyle name="Porcentual 2 2 3 2 4" xfId="9982" xr:uid="{00000000-0005-0000-0000-00003A220000}"/>
    <cellStyle name="Porcentual 2 2 3 2 4 2" xfId="11718" xr:uid="{00000000-0005-0000-0000-00003B220000}"/>
    <cellStyle name="Porcentual 2 2 3 2 5" xfId="10942" xr:uid="{00000000-0005-0000-0000-00003C220000}"/>
    <cellStyle name="Porcentual 2 2 3 3" xfId="4194" xr:uid="{00000000-0005-0000-0000-00003D220000}"/>
    <cellStyle name="Porcentual 2 2 3 3 2" xfId="9629" xr:uid="{00000000-0005-0000-0000-00003E220000}"/>
    <cellStyle name="Porcentual 2 2 3 3 2 2" xfId="10330" xr:uid="{00000000-0005-0000-0000-00003F220000}"/>
    <cellStyle name="Porcentual 2 2 3 3 2 2 2" xfId="12065" xr:uid="{00000000-0005-0000-0000-000040220000}"/>
    <cellStyle name="Porcentual 2 2 3 3 2 3" xfId="11418" xr:uid="{00000000-0005-0000-0000-000041220000}"/>
    <cellStyle name="Porcentual 2 2 3 3 3" xfId="10033" xr:uid="{00000000-0005-0000-0000-000042220000}"/>
    <cellStyle name="Porcentual 2 2 3 3 3 2" xfId="11769" xr:uid="{00000000-0005-0000-0000-000043220000}"/>
    <cellStyle name="Porcentual 2 2 3 3 4" xfId="11005" xr:uid="{00000000-0005-0000-0000-000044220000}"/>
    <cellStyle name="Porcentual 2 2 3 4" xfId="8776" xr:uid="{00000000-0005-0000-0000-000045220000}"/>
    <cellStyle name="Porcentual 2 2 30" xfId="2724" xr:uid="{00000000-0005-0000-0000-000046220000}"/>
    <cellStyle name="Porcentual 2 2 30 2" xfId="6366" xr:uid="{00000000-0005-0000-0000-000047220000}"/>
    <cellStyle name="Porcentual 2 2 31" xfId="2725" xr:uid="{00000000-0005-0000-0000-000048220000}"/>
    <cellStyle name="Porcentual 2 2 31 2" xfId="6367" xr:uid="{00000000-0005-0000-0000-000049220000}"/>
    <cellStyle name="Porcentual 2 2 32" xfId="2726" xr:uid="{00000000-0005-0000-0000-00004A220000}"/>
    <cellStyle name="Porcentual 2 2 32 2" xfId="6368" xr:uid="{00000000-0005-0000-0000-00004B220000}"/>
    <cellStyle name="Porcentual 2 2 33" xfId="2727" xr:uid="{00000000-0005-0000-0000-00004C220000}"/>
    <cellStyle name="Porcentual 2 2 33 2" xfId="6369" xr:uid="{00000000-0005-0000-0000-00004D220000}"/>
    <cellStyle name="Porcentual 2 2 34" xfId="2728" xr:uid="{00000000-0005-0000-0000-00004E220000}"/>
    <cellStyle name="Porcentual 2 2 34 2" xfId="6370" xr:uid="{00000000-0005-0000-0000-00004F220000}"/>
    <cellStyle name="Porcentual 2 2 35" xfId="2729" xr:uid="{00000000-0005-0000-0000-000050220000}"/>
    <cellStyle name="Porcentual 2 2 35 2" xfId="6371" xr:uid="{00000000-0005-0000-0000-000051220000}"/>
    <cellStyle name="Porcentual 2 2 36" xfId="2730" xr:uid="{00000000-0005-0000-0000-000052220000}"/>
    <cellStyle name="Porcentual 2 2 36 2" xfId="6372" xr:uid="{00000000-0005-0000-0000-000053220000}"/>
    <cellStyle name="Porcentual 2 2 37" xfId="2731" xr:uid="{00000000-0005-0000-0000-000054220000}"/>
    <cellStyle name="Porcentual 2 2 37 2" xfId="6373" xr:uid="{00000000-0005-0000-0000-000055220000}"/>
    <cellStyle name="Porcentual 2 2 38" xfId="2732" xr:uid="{00000000-0005-0000-0000-000056220000}"/>
    <cellStyle name="Porcentual 2 2 38 2" xfId="6374" xr:uid="{00000000-0005-0000-0000-000057220000}"/>
    <cellStyle name="Porcentual 2 2 39" xfId="2733" xr:uid="{00000000-0005-0000-0000-000058220000}"/>
    <cellStyle name="Porcentual 2 2 39 2" xfId="6375" xr:uid="{00000000-0005-0000-0000-000059220000}"/>
    <cellStyle name="Porcentual 2 2 4" xfId="2734" xr:uid="{00000000-0005-0000-0000-00005A220000}"/>
    <cellStyle name="Porcentual 2 2 4 2" xfId="4229" xr:uid="{00000000-0005-0000-0000-00005B220000}"/>
    <cellStyle name="Porcentual 2 2 4 2 2" xfId="9664" xr:uid="{00000000-0005-0000-0000-00005C220000}"/>
    <cellStyle name="Porcentual 2 2 4 2 2 2" xfId="10365" xr:uid="{00000000-0005-0000-0000-00005D220000}"/>
    <cellStyle name="Porcentual 2 2 4 2 2 2 2" xfId="12100" xr:uid="{00000000-0005-0000-0000-00005E220000}"/>
    <cellStyle name="Porcentual 2 2 4 2 2 3" xfId="11453" xr:uid="{00000000-0005-0000-0000-00005F220000}"/>
    <cellStyle name="Porcentual 2 2 4 2 3" xfId="10068" xr:uid="{00000000-0005-0000-0000-000060220000}"/>
    <cellStyle name="Porcentual 2 2 4 2 3 2" xfId="11804" xr:uid="{00000000-0005-0000-0000-000061220000}"/>
    <cellStyle name="Porcentual 2 2 4 2 4" xfId="11040" xr:uid="{00000000-0005-0000-0000-000062220000}"/>
    <cellStyle name="Porcentual 2 2 4 3" xfId="8777" xr:uid="{00000000-0005-0000-0000-000063220000}"/>
    <cellStyle name="Porcentual 2 2 40" xfId="2735" xr:uid="{00000000-0005-0000-0000-000064220000}"/>
    <cellStyle name="Porcentual 2 2 40 2" xfId="6376" xr:uid="{00000000-0005-0000-0000-000065220000}"/>
    <cellStyle name="Porcentual 2 2 41" xfId="2736" xr:uid="{00000000-0005-0000-0000-000066220000}"/>
    <cellStyle name="Porcentual 2 2 41 2" xfId="6377" xr:uid="{00000000-0005-0000-0000-000067220000}"/>
    <cellStyle name="Porcentual 2 2 42" xfId="2737" xr:uid="{00000000-0005-0000-0000-000068220000}"/>
    <cellStyle name="Porcentual 2 2 42 2" xfId="6378" xr:uid="{00000000-0005-0000-0000-000069220000}"/>
    <cellStyle name="Porcentual 2 2 43" xfId="2738" xr:uid="{00000000-0005-0000-0000-00006A220000}"/>
    <cellStyle name="Porcentual 2 2 43 2" xfId="6379" xr:uid="{00000000-0005-0000-0000-00006B220000}"/>
    <cellStyle name="Porcentual 2 2 44" xfId="2739" xr:uid="{00000000-0005-0000-0000-00006C220000}"/>
    <cellStyle name="Porcentual 2 2 44 2" xfId="6380" xr:uid="{00000000-0005-0000-0000-00006D220000}"/>
    <cellStyle name="Porcentual 2 2 45" xfId="2740" xr:uid="{00000000-0005-0000-0000-00006E220000}"/>
    <cellStyle name="Porcentual 2 2 45 2" xfId="6381" xr:uid="{00000000-0005-0000-0000-00006F220000}"/>
    <cellStyle name="Porcentual 2 2 46" xfId="2741" xr:uid="{00000000-0005-0000-0000-000070220000}"/>
    <cellStyle name="Porcentual 2 2 46 2" xfId="6382" xr:uid="{00000000-0005-0000-0000-000071220000}"/>
    <cellStyle name="Porcentual 2 2 47" xfId="2742" xr:uid="{00000000-0005-0000-0000-000072220000}"/>
    <cellStyle name="Porcentual 2 2 47 2" xfId="6383" xr:uid="{00000000-0005-0000-0000-000073220000}"/>
    <cellStyle name="Porcentual 2 2 48" xfId="2743" xr:uid="{00000000-0005-0000-0000-000074220000}"/>
    <cellStyle name="Porcentual 2 2 48 2" xfId="6384" xr:uid="{00000000-0005-0000-0000-000075220000}"/>
    <cellStyle name="Porcentual 2 2 49" xfId="2744" xr:uid="{00000000-0005-0000-0000-000076220000}"/>
    <cellStyle name="Porcentual 2 2 49 2" xfId="6385" xr:uid="{00000000-0005-0000-0000-000077220000}"/>
    <cellStyle name="Porcentual 2 2 5" xfId="2745" xr:uid="{00000000-0005-0000-0000-000078220000}"/>
    <cellStyle name="Porcentual 2 2 5 2" xfId="6386" xr:uid="{00000000-0005-0000-0000-000079220000}"/>
    <cellStyle name="Porcentual 2 2 5 3" xfId="8778" xr:uid="{00000000-0005-0000-0000-00007A220000}"/>
    <cellStyle name="Porcentual 2 2 50" xfId="2746" xr:uid="{00000000-0005-0000-0000-00007B220000}"/>
    <cellStyle name="Porcentual 2 2 50 2" xfId="6387" xr:uid="{00000000-0005-0000-0000-00007C220000}"/>
    <cellStyle name="Porcentual 2 2 51" xfId="2747" xr:uid="{00000000-0005-0000-0000-00007D220000}"/>
    <cellStyle name="Porcentual 2 2 51 2" xfId="6388" xr:uid="{00000000-0005-0000-0000-00007E220000}"/>
    <cellStyle name="Porcentual 2 2 52" xfId="2748" xr:uid="{00000000-0005-0000-0000-00007F220000}"/>
    <cellStyle name="Porcentual 2 2 52 2" xfId="6389" xr:uid="{00000000-0005-0000-0000-000080220000}"/>
    <cellStyle name="Porcentual 2 2 53" xfId="2749" xr:uid="{00000000-0005-0000-0000-000081220000}"/>
    <cellStyle name="Porcentual 2 2 53 2" xfId="6390" xr:uid="{00000000-0005-0000-0000-000082220000}"/>
    <cellStyle name="Porcentual 2 2 54" xfId="2750" xr:uid="{00000000-0005-0000-0000-000083220000}"/>
    <cellStyle name="Porcentual 2 2 54 2" xfId="6391" xr:uid="{00000000-0005-0000-0000-000084220000}"/>
    <cellStyle name="Porcentual 2 2 55" xfId="2751" xr:uid="{00000000-0005-0000-0000-000085220000}"/>
    <cellStyle name="Porcentual 2 2 55 2" xfId="6392" xr:uid="{00000000-0005-0000-0000-000086220000}"/>
    <cellStyle name="Porcentual 2 2 56" xfId="2752" xr:uid="{00000000-0005-0000-0000-000087220000}"/>
    <cellStyle name="Porcentual 2 2 56 2" xfId="6393" xr:uid="{00000000-0005-0000-0000-000088220000}"/>
    <cellStyle name="Porcentual 2 2 57" xfId="2753" xr:uid="{00000000-0005-0000-0000-000089220000}"/>
    <cellStyle name="Porcentual 2 2 58" xfId="2754" xr:uid="{00000000-0005-0000-0000-00008A220000}"/>
    <cellStyle name="Porcentual 2 2 59" xfId="2755" xr:uid="{00000000-0005-0000-0000-00008B220000}"/>
    <cellStyle name="Porcentual 2 2 6" xfId="2756" xr:uid="{00000000-0005-0000-0000-00008C220000}"/>
    <cellStyle name="Porcentual 2 2 6 2" xfId="6394" xr:uid="{00000000-0005-0000-0000-00008D220000}"/>
    <cellStyle name="Porcentual 2 2 6 3" xfId="8779" xr:uid="{00000000-0005-0000-0000-00008E220000}"/>
    <cellStyle name="Porcentual 2 2 60" xfId="2757" xr:uid="{00000000-0005-0000-0000-00008F220000}"/>
    <cellStyle name="Porcentual 2 2 61" xfId="2758" xr:uid="{00000000-0005-0000-0000-000090220000}"/>
    <cellStyle name="Porcentual 2 2 62" xfId="2759" xr:uid="{00000000-0005-0000-0000-000091220000}"/>
    <cellStyle name="Porcentual 2 2 63" xfId="4063" xr:uid="{00000000-0005-0000-0000-000092220000}"/>
    <cellStyle name="Porcentual 2 2 63 2" xfId="9560" xr:uid="{00000000-0005-0000-0000-000093220000}"/>
    <cellStyle name="Porcentual 2 2 63 2 2" xfId="10263" xr:uid="{00000000-0005-0000-0000-000094220000}"/>
    <cellStyle name="Porcentual 2 2 63 2 2 2" xfId="11998" xr:uid="{00000000-0005-0000-0000-000095220000}"/>
    <cellStyle name="Porcentual 2 2 63 2 3" xfId="11351" xr:uid="{00000000-0005-0000-0000-000096220000}"/>
    <cellStyle name="Porcentual 2 2 63 3" xfId="9966" xr:uid="{00000000-0005-0000-0000-000097220000}"/>
    <cellStyle name="Porcentual 2 2 63 3 2" xfId="11702" xr:uid="{00000000-0005-0000-0000-000098220000}"/>
    <cellStyle name="Porcentual 2 2 63 4" xfId="10925" xr:uid="{00000000-0005-0000-0000-000099220000}"/>
    <cellStyle name="Porcentual 2 2 64" xfId="4178" xr:uid="{00000000-0005-0000-0000-00009A220000}"/>
    <cellStyle name="Porcentual 2 2 64 2" xfId="9613" xr:uid="{00000000-0005-0000-0000-00009B220000}"/>
    <cellStyle name="Porcentual 2 2 64 2 2" xfId="10314" xr:uid="{00000000-0005-0000-0000-00009C220000}"/>
    <cellStyle name="Porcentual 2 2 64 2 2 2" xfId="12049" xr:uid="{00000000-0005-0000-0000-00009D220000}"/>
    <cellStyle name="Porcentual 2 2 64 2 3" xfId="11402" xr:uid="{00000000-0005-0000-0000-00009E220000}"/>
    <cellStyle name="Porcentual 2 2 64 3" xfId="10017" xr:uid="{00000000-0005-0000-0000-00009F220000}"/>
    <cellStyle name="Porcentual 2 2 64 3 2" xfId="11753" xr:uid="{00000000-0005-0000-0000-0000A0220000}"/>
    <cellStyle name="Porcentual 2 2 64 4" xfId="10989" xr:uid="{00000000-0005-0000-0000-0000A1220000}"/>
    <cellStyle name="Porcentual 2 2 65" xfId="4316" xr:uid="{00000000-0005-0000-0000-0000A2220000}"/>
    <cellStyle name="Porcentual 2 2 65 2" xfId="9732" xr:uid="{00000000-0005-0000-0000-0000A3220000}"/>
    <cellStyle name="Porcentual 2 2 65 2 2" xfId="10431" xr:uid="{00000000-0005-0000-0000-0000A4220000}"/>
    <cellStyle name="Porcentual 2 2 65 2 2 2" xfId="12166" xr:uid="{00000000-0005-0000-0000-0000A5220000}"/>
    <cellStyle name="Porcentual 2 2 65 2 3" xfId="11519" xr:uid="{00000000-0005-0000-0000-0000A6220000}"/>
    <cellStyle name="Porcentual 2 2 65 3" xfId="10134" xr:uid="{00000000-0005-0000-0000-0000A7220000}"/>
    <cellStyle name="Porcentual 2 2 65 3 2" xfId="11870" xr:uid="{00000000-0005-0000-0000-0000A8220000}"/>
    <cellStyle name="Porcentual 2 2 65 4" xfId="11123" xr:uid="{00000000-0005-0000-0000-0000A9220000}"/>
    <cellStyle name="Porcentual 2 2 66" xfId="2694" xr:uid="{00000000-0005-0000-0000-0000AA220000}"/>
    <cellStyle name="Porcentual 2 2 7" xfId="2760" xr:uid="{00000000-0005-0000-0000-0000AB220000}"/>
    <cellStyle name="Porcentual 2 2 7 2" xfId="6395" xr:uid="{00000000-0005-0000-0000-0000AC220000}"/>
    <cellStyle name="Porcentual 2 2 7 3" xfId="8780" xr:uid="{00000000-0005-0000-0000-0000AD220000}"/>
    <cellStyle name="Porcentual 2 2 8" xfId="2761" xr:uid="{00000000-0005-0000-0000-0000AE220000}"/>
    <cellStyle name="Porcentual 2 2 8 2" xfId="6396" xr:uid="{00000000-0005-0000-0000-0000AF220000}"/>
    <cellStyle name="Porcentual 2 2 8 3" xfId="8781" xr:uid="{00000000-0005-0000-0000-0000B0220000}"/>
    <cellStyle name="Porcentual 2 2 9" xfId="2762" xr:uid="{00000000-0005-0000-0000-0000B1220000}"/>
    <cellStyle name="Porcentual 2 2 9 2" xfId="6397" xr:uid="{00000000-0005-0000-0000-0000B2220000}"/>
    <cellStyle name="Porcentual 2 2 9 3" xfId="8782" xr:uid="{00000000-0005-0000-0000-0000B3220000}"/>
    <cellStyle name="Porcentual 2 20" xfId="2763" xr:uid="{00000000-0005-0000-0000-0000B4220000}"/>
    <cellStyle name="Porcentual 2 20 10" xfId="2764" xr:uid="{00000000-0005-0000-0000-0000B5220000}"/>
    <cellStyle name="Porcentual 2 20 10 2" xfId="6398" xr:uid="{00000000-0005-0000-0000-0000B6220000}"/>
    <cellStyle name="Porcentual 2 20 11" xfId="2765" xr:uid="{00000000-0005-0000-0000-0000B7220000}"/>
    <cellStyle name="Porcentual 2 20 11 2" xfId="6399" xr:uid="{00000000-0005-0000-0000-0000B8220000}"/>
    <cellStyle name="Porcentual 2 20 12" xfId="2766" xr:uid="{00000000-0005-0000-0000-0000B9220000}"/>
    <cellStyle name="Porcentual 2 20 12 2" xfId="6400" xr:uid="{00000000-0005-0000-0000-0000BA220000}"/>
    <cellStyle name="Porcentual 2 20 13" xfId="2767" xr:uid="{00000000-0005-0000-0000-0000BB220000}"/>
    <cellStyle name="Porcentual 2 20 13 2" xfId="6401" xr:uid="{00000000-0005-0000-0000-0000BC220000}"/>
    <cellStyle name="Porcentual 2 20 14" xfId="2768" xr:uid="{00000000-0005-0000-0000-0000BD220000}"/>
    <cellStyle name="Porcentual 2 20 14 2" xfId="6402" xr:uid="{00000000-0005-0000-0000-0000BE220000}"/>
    <cellStyle name="Porcentual 2 20 15" xfId="2769" xr:uid="{00000000-0005-0000-0000-0000BF220000}"/>
    <cellStyle name="Porcentual 2 20 15 2" xfId="6403" xr:uid="{00000000-0005-0000-0000-0000C0220000}"/>
    <cellStyle name="Porcentual 2 20 16" xfId="2770" xr:uid="{00000000-0005-0000-0000-0000C1220000}"/>
    <cellStyle name="Porcentual 2 20 16 2" xfId="6404" xr:uid="{00000000-0005-0000-0000-0000C2220000}"/>
    <cellStyle name="Porcentual 2 20 17" xfId="2771" xr:uid="{00000000-0005-0000-0000-0000C3220000}"/>
    <cellStyle name="Porcentual 2 20 17 2" xfId="6405" xr:uid="{00000000-0005-0000-0000-0000C4220000}"/>
    <cellStyle name="Porcentual 2 20 18" xfId="2772" xr:uid="{00000000-0005-0000-0000-0000C5220000}"/>
    <cellStyle name="Porcentual 2 20 18 2" xfId="6406" xr:uid="{00000000-0005-0000-0000-0000C6220000}"/>
    <cellStyle name="Porcentual 2 20 19" xfId="2773" xr:uid="{00000000-0005-0000-0000-0000C7220000}"/>
    <cellStyle name="Porcentual 2 20 19 2" xfId="6407" xr:uid="{00000000-0005-0000-0000-0000C8220000}"/>
    <cellStyle name="Porcentual 2 20 2" xfId="2774" xr:uid="{00000000-0005-0000-0000-0000C9220000}"/>
    <cellStyle name="Porcentual 2 20 2 2" xfId="6408" xr:uid="{00000000-0005-0000-0000-0000CA220000}"/>
    <cellStyle name="Porcentual 2 20 20" xfId="2775" xr:uid="{00000000-0005-0000-0000-0000CB220000}"/>
    <cellStyle name="Porcentual 2 20 20 2" xfId="6409" xr:uid="{00000000-0005-0000-0000-0000CC220000}"/>
    <cellStyle name="Porcentual 2 20 21" xfId="2776" xr:uid="{00000000-0005-0000-0000-0000CD220000}"/>
    <cellStyle name="Porcentual 2 20 21 2" xfId="6410" xr:uid="{00000000-0005-0000-0000-0000CE220000}"/>
    <cellStyle name="Porcentual 2 20 22" xfId="2777" xr:uid="{00000000-0005-0000-0000-0000CF220000}"/>
    <cellStyle name="Porcentual 2 20 22 2" xfId="6411" xr:uid="{00000000-0005-0000-0000-0000D0220000}"/>
    <cellStyle name="Porcentual 2 20 23" xfId="2778" xr:uid="{00000000-0005-0000-0000-0000D1220000}"/>
    <cellStyle name="Porcentual 2 20 23 2" xfId="6412" xr:uid="{00000000-0005-0000-0000-0000D2220000}"/>
    <cellStyle name="Porcentual 2 20 24" xfId="2779" xr:uid="{00000000-0005-0000-0000-0000D3220000}"/>
    <cellStyle name="Porcentual 2 20 24 2" xfId="6413" xr:uid="{00000000-0005-0000-0000-0000D4220000}"/>
    <cellStyle name="Porcentual 2 20 25" xfId="2780" xr:uid="{00000000-0005-0000-0000-0000D5220000}"/>
    <cellStyle name="Porcentual 2 20 25 2" xfId="6414" xr:uid="{00000000-0005-0000-0000-0000D6220000}"/>
    <cellStyle name="Porcentual 2 20 26" xfId="2781" xr:uid="{00000000-0005-0000-0000-0000D7220000}"/>
    <cellStyle name="Porcentual 2 20 26 2" xfId="6415" xr:uid="{00000000-0005-0000-0000-0000D8220000}"/>
    <cellStyle name="Porcentual 2 20 27" xfId="2782" xr:uid="{00000000-0005-0000-0000-0000D9220000}"/>
    <cellStyle name="Porcentual 2 20 27 2" xfId="6416" xr:uid="{00000000-0005-0000-0000-0000DA220000}"/>
    <cellStyle name="Porcentual 2 20 28" xfId="2783" xr:uid="{00000000-0005-0000-0000-0000DB220000}"/>
    <cellStyle name="Porcentual 2 20 28 2" xfId="6417" xr:uid="{00000000-0005-0000-0000-0000DC220000}"/>
    <cellStyle name="Porcentual 2 20 29" xfId="6418" xr:uid="{00000000-0005-0000-0000-0000DD220000}"/>
    <cellStyle name="Porcentual 2 20 3" xfId="2784" xr:uid="{00000000-0005-0000-0000-0000DE220000}"/>
    <cellStyle name="Porcentual 2 20 3 2" xfId="6419" xr:uid="{00000000-0005-0000-0000-0000DF220000}"/>
    <cellStyle name="Porcentual 2 20 4" xfId="2785" xr:uid="{00000000-0005-0000-0000-0000E0220000}"/>
    <cellStyle name="Porcentual 2 20 4 2" xfId="6420" xr:uid="{00000000-0005-0000-0000-0000E1220000}"/>
    <cellStyle name="Porcentual 2 20 5" xfId="2786" xr:uid="{00000000-0005-0000-0000-0000E2220000}"/>
    <cellStyle name="Porcentual 2 20 5 2" xfId="6421" xr:uid="{00000000-0005-0000-0000-0000E3220000}"/>
    <cellStyle name="Porcentual 2 20 6" xfId="2787" xr:uid="{00000000-0005-0000-0000-0000E4220000}"/>
    <cellStyle name="Porcentual 2 20 6 2" xfId="6422" xr:uid="{00000000-0005-0000-0000-0000E5220000}"/>
    <cellStyle name="Porcentual 2 20 7" xfId="2788" xr:uid="{00000000-0005-0000-0000-0000E6220000}"/>
    <cellStyle name="Porcentual 2 20 7 2" xfId="6423" xr:uid="{00000000-0005-0000-0000-0000E7220000}"/>
    <cellStyle name="Porcentual 2 20 8" xfId="2789" xr:uid="{00000000-0005-0000-0000-0000E8220000}"/>
    <cellStyle name="Porcentual 2 20 8 2" xfId="6424" xr:uid="{00000000-0005-0000-0000-0000E9220000}"/>
    <cellStyle name="Porcentual 2 20 9" xfId="2790" xr:uid="{00000000-0005-0000-0000-0000EA220000}"/>
    <cellStyle name="Porcentual 2 20 9 2" xfId="6425" xr:uid="{00000000-0005-0000-0000-0000EB220000}"/>
    <cellStyle name="Porcentual 2 21" xfId="2791" xr:uid="{00000000-0005-0000-0000-0000EC220000}"/>
    <cellStyle name="Porcentual 2 21 10" xfId="2792" xr:uid="{00000000-0005-0000-0000-0000ED220000}"/>
    <cellStyle name="Porcentual 2 21 10 2" xfId="6426" xr:uid="{00000000-0005-0000-0000-0000EE220000}"/>
    <cellStyle name="Porcentual 2 21 11" xfId="2793" xr:uid="{00000000-0005-0000-0000-0000EF220000}"/>
    <cellStyle name="Porcentual 2 21 11 2" xfId="6427" xr:uid="{00000000-0005-0000-0000-0000F0220000}"/>
    <cellStyle name="Porcentual 2 21 12" xfId="2794" xr:uid="{00000000-0005-0000-0000-0000F1220000}"/>
    <cellStyle name="Porcentual 2 21 12 2" xfId="6428" xr:uid="{00000000-0005-0000-0000-0000F2220000}"/>
    <cellStyle name="Porcentual 2 21 13" xfId="2795" xr:uid="{00000000-0005-0000-0000-0000F3220000}"/>
    <cellStyle name="Porcentual 2 21 13 2" xfId="6429" xr:uid="{00000000-0005-0000-0000-0000F4220000}"/>
    <cellStyle name="Porcentual 2 21 14" xfId="2796" xr:uid="{00000000-0005-0000-0000-0000F5220000}"/>
    <cellStyle name="Porcentual 2 21 14 2" xfId="6430" xr:uid="{00000000-0005-0000-0000-0000F6220000}"/>
    <cellStyle name="Porcentual 2 21 15" xfId="2797" xr:uid="{00000000-0005-0000-0000-0000F7220000}"/>
    <cellStyle name="Porcentual 2 21 15 2" xfId="6431" xr:uid="{00000000-0005-0000-0000-0000F8220000}"/>
    <cellStyle name="Porcentual 2 21 16" xfId="2798" xr:uid="{00000000-0005-0000-0000-0000F9220000}"/>
    <cellStyle name="Porcentual 2 21 16 2" xfId="6432" xr:uid="{00000000-0005-0000-0000-0000FA220000}"/>
    <cellStyle name="Porcentual 2 21 17" xfId="2799" xr:uid="{00000000-0005-0000-0000-0000FB220000}"/>
    <cellStyle name="Porcentual 2 21 17 2" xfId="6433" xr:uid="{00000000-0005-0000-0000-0000FC220000}"/>
    <cellStyle name="Porcentual 2 21 18" xfId="2800" xr:uid="{00000000-0005-0000-0000-0000FD220000}"/>
    <cellStyle name="Porcentual 2 21 18 2" xfId="6434" xr:uid="{00000000-0005-0000-0000-0000FE220000}"/>
    <cellStyle name="Porcentual 2 21 19" xfId="2801" xr:uid="{00000000-0005-0000-0000-0000FF220000}"/>
    <cellStyle name="Porcentual 2 21 19 2" xfId="6435" xr:uid="{00000000-0005-0000-0000-000000230000}"/>
    <cellStyle name="Porcentual 2 21 2" xfId="2802" xr:uid="{00000000-0005-0000-0000-000001230000}"/>
    <cellStyle name="Porcentual 2 21 2 2" xfId="6436" xr:uid="{00000000-0005-0000-0000-000002230000}"/>
    <cellStyle name="Porcentual 2 21 20" xfId="2803" xr:uid="{00000000-0005-0000-0000-000003230000}"/>
    <cellStyle name="Porcentual 2 21 20 2" xfId="6437" xr:uid="{00000000-0005-0000-0000-000004230000}"/>
    <cellStyle name="Porcentual 2 21 21" xfId="2804" xr:uid="{00000000-0005-0000-0000-000005230000}"/>
    <cellStyle name="Porcentual 2 21 21 2" xfId="6438" xr:uid="{00000000-0005-0000-0000-000006230000}"/>
    <cellStyle name="Porcentual 2 21 22" xfId="2805" xr:uid="{00000000-0005-0000-0000-000007230000}"/>
    <cellStyle name="Porcentual 2 21 22 2" xfId="6439" xr:uid="{00000000-0005-0000-0000-000008230000}"/>
    <cellStyle name="Porcentual 2 21 23" xfId="2806" xr:uid="{00000000-0005-0000-0000-000009230000}"/>
    <cellStyle name="Porcentual 2 21 23 2" xfId="6440" xr:uid="{00000000-0005-0000-0000-00000A230000}"/>
    <cellStyle name="Porcentual 2 21 24" xfId="2807" xr:uid="{00000000-0005-0000-0000-00000B230000}"/>
    <cellStyle name="Porcentual 2 21 24 2" xfId="6441" xr:uid="{00000000-0005-0000-0000-00000C230000}"/>
    <cellStyle name="Porcentual 2 21 25" xfId="2808" xr:uid="{00000000-0005-0000-0000-00000D230000}"/>
    <cellStyle name="Porcentual 2 21 25 2" xfId="6442" xr:uid="{00000000-0005-0000-0000-00000E230000}"/>
    <cellStyle name="Porcentual 2 21 26" xfId="2809" xr:uid="{00000000-0005-0000-0000-00000F230000}"/>
    <cellStyle name="Porcentual 2 21 26 2" xfId="6443" xr:uid="{00000000-0005-0000-0000-000010230000}"/>
    <cellStyle name="Porcentual 2 21 27" xfId="2810" xr:uid="{00000000-0005-0000-0000-000011230000}"/>
    <cellStyle name="Porcentual 2 21 27 2" xfId="6444" xr:uid="{00000000-0005-0000-0000-000012230000}"/>
    <cellStyle name="Porcentual 2 21 28" xfId="2811" xr:uid="{00000000-0005-0000-0000-000013230000}"/>
    <cellStyle name="Porcentual 2 21 28 2" xfId="6445" xr:uid="{00000000-0005-0000-0000-000014230000}"/>
    <cellStyle name="Porcentual 2 21 29" xfId="6446" xr:uid="{00000000-0005-0000-0000-000015230000}"/>
    <cellStyle name="Porcentual 2 21 3" xfId="2812" xr:uid="{00000000-0005-0000-0000-000016230000}"/>
    <cellStyle name="Porcentual 2 21 3 2" xfId="6447" xr:uid="{00000000-0005-0000-0000-000017230000}"/>
    <cellStyle name="Porcentual 2 21 4" xfId="2813" xr:uid="{00000000-0005-0000-0000-000018230000}"/>
    <cellStyle name="Porcentual 2 21 4 2" xfId="6448" xr:uid="{00000000-0005-0000-0000-000019230000}"/>
    <cellStyle name="Porcentual 2 21 5" xfId="2814" xr:uid="{00000000-0005-0000-0000-00001A230000}"/>
    <cellStyle name="Porcentual 2 21 5 2" xfId="6449" xr:uid="{00000000-0005-0000-0000-00001B230000}"/>
    <cellStyle name="Porcentual 2 21 6" xfId="2815" xr:uid="{00000000-0005-0000-0000-00001C230000}"/>
    <cellStyle name="Porcentual 2 21 6 2" xfId="6450" xr:uid="{00000000-0005-0000-0000-00001D230000}"/>
    <cellStyle name="Porcentual 2 21 7" xfId="2816" xr:uid="{00000000-0005-0000-0000-00001E230000}"/>
    <cellStyle name="Porcentual 2 21 7 2" xfId="6451" xr:uid="{00000000-0005-0000-0000-00001F230000}"/>
    <cellStyle name="Porcentual 2 21 8" xfId="2817" xr:uid="{00000000-0005-0000-0000-000020230000}"/>
    <cellStyle name="Porcentual 2 21 8 2" xfId="6452" xr:uid="{00000000-0005-0000-0000-000021230000}"/>
    <cellStyle name="Porcentual 2 21 9" xfId="2818" xr:uid="{00000000-0005-0000-0000-000022230000}"/>
    <cellStyle name="Porcentual 2 21 9 2" xfId="6453" xr:uid="{00000000-0005-0000-0000-000023230000}"/>
    <cellStyle name="Porcentual 2 22" xfId="2819" xr:uid="{00000000-0005-0000-0000-000024230000}"/>
    <cellStyle name="Porcentual 2 22 10" xfId="2820" xr:uid="{00000000-0005-0000-0000-000025230000}"/>
    <cellStyle name="Porcentual 2 22 10 2" xfId="6454" xr:uid="{00000000-0005-0000-0000-000026230000}"/>
    <cellStyle name="Porcentual 2 22 11" xfId="2821" xr:uid="{00000000-0005-0000-0000-000027230000}"/>
    <cellStyle name="Porcentual 2 22 11 2" xfId="6455" xr:uid="{00000000-0005-0000-0000-000028230000}"/>
    <cellStyle name="Porcentual 2 22 12" xfId="2822" xr:uid="{00000000-0005-0000-0000-000029230000}"/>
    <cellStyle name="Porcentual 2 22 12 2" xfId="6456" xr:uid="{00000000-0005-0000-0000-00002A230000}"/>
    <cellStyle name="Porcentual 2 22 13" xfId="2823" xr:uid="{00000000-0005-0000-0000-00002B230000}"/>
    <cellStyle name="Porcentual 2 22 13 2" xfId="6457" xr:uid="{00000000-0005-0000-0000-00002C230000}"/>
    <cellStyle name="Porcentual 2 22 14" xfId="2824" xr:uid="{00000000-0005-0000-0000-00002D230000}"/>
    <cellStyle name="Porcentual 2 22 14 2" xfId="6458" xr:uid="{00000000-0005-0000-0000-00002E230000}"/>
    <cellStyle name="Porcentual 2 22 15" xfId="2825" xr:uid="{00000000-0005-0000-0000-00002F230000}"/>
    <cellStyle name="Porcentual 2 22 15 2" xfId="6459" xr:uid="{00000000-0005-0000-0000-000030230000}"/>
    <cellStyle name="Porcentual 2 22 16" xfId="2826" xr:uid="{00000000-0005-0000-0000-000031230000}"/>
    <cellStyle name="Porcentual 2 22 16 2" xfId="6460" xr:uid="{00000000-0005-0000-0000-000032230000}"/>
    <cellStyle name="Porcentual 2 22 17" xfId="2827" xr:uid="{00000000-0005-0000-0000-000033230000}"/>
    <cellStyle name="Porcentual 2 22 17 2" xfId="6461" xr:uid="{00000000-0005-0000-0000-000034230000}"/>
    <cellStyle name="Porcentual 2 22 18" xfId="2828" xr:uid="{00000000-0005-0000-0000-000035230000}"/>
    <cellStyle name="Porcentual 2 22 18 2" xfId="6462" xr:uid="{00000000-0005-0000-0000-000036230000}"/>
    <cellStyle name="Porcentual 2 22 19" xfId="2829" xr:uid="{00000000-0005-0000-0000-000037230000}"/>
    <cellStyle name="Porcentual 2 22 19 2" xfId="6463" xr:uid="{00000000-0005-0000-0000-000038230000}"/>
    <cellStyle name="Porcentual 2 22 2" xfId="2830" xr:uid="{00000000-0005-0000-0000-000039230000}"/>
    <cellStyle name="Porcentual 2 22 2 2" xfId="6464" xr:uid="{00000000-0005-0000-0000-00003A230000}"/>
    <cellStyle name="Porcentual 2 22 20" xfId="2831" xr:uid="{00000000-0005-0000-0000-00003B230000}"/>
    <cellStyle name="Porcentual 2 22 20 2" xfId="6465" xr:uid="{00000000-0005-0000-0000-00003C230000}"/>
    <cellStyle name="Porcentual 2 22 21" xfId="2832" xr:uid="{00000000-0005-0000-0000-00003D230000}"/>
    <cellStyle name="Porcentual 2 22 21 2" xfId="6466" xr:uid="{00000000-0005-0000-0000-00003E230000}"/>
    <cellStyle name="Porcentual 2 22 22" xfId="2833" xr:uid="{00000000-0005-0000-0000-00003F230000}"/>
    <cellStyle name="Porcentual 2 22 22 2" xfId="6467" xr:uid="{00000000-0005-0000-0000-000040230000}"/>
    <cellStyle name="Porcentual 2 22 23" xfId="2834" xr:uid="{00000000-0005-0000-0000-000041230000}"/>
    <cellStyle name="Porcentual 2 22 23 2" xfId="6468" xr:uid="{00000000-0005-0000-0000-000042230000}"/>
    <cellStyle name="Porcentual 2 22 24" xfId="2835" xr:uid="{00000000-0005-0000-0000-000043230000}"/>
    <cellStyle name="Porcentual 2 22 24 2" xfId="6469" xr:uid="{00000000-0005-0000-0000-000044230000}"/>
    <cellStyle name="Porcentual 2 22 25" xfId="2836" xr:uid="{00000000-0005-0000-0000-000045230000}"/>
    <cellStyle name="Porcentual 2 22 25 2" xfId="6470" xr:uid="{00000000-0005-0000-0000-000046230000}"/>
    <cellStyle name="Porcentual 2 22 26" xfId="2837" xr:uid="{00000000-0005-0000-0000-000047230000}"/>
    <cellStyle name="Porcentual 2 22 26 2" xfId="6471" xr:uid="{00000000-0005-0000-0000-000048230000}"/>
    <cellStyle name="Porcentual 2 22 27" xfId="2838" xr:uid="{00000000-0005-0000-0000-000049230000}"/>
    <cellStyle name="Porcentual 2 22 27 2" xfId="6472" xr:uid="{00000000-0005-0000-0000-00004A230000}"/>
    <cellStyle name="Porcentual 2 22 28" xfId="2839" xr:uid="{00000000-0005-0000-0000-00004B230000}"/>
    <cellStyle name="Porcentual 2 22 28 2" xfId="6473" xr:uid="{00000000-0005-0000-0000-00004C230000}"/>
    <cellStyle name="Porcentual 2 22 29" xfId="6474" xr:uid="{00000000-0005-0000-0000-00004D230000}"/>
    <cellStyle name="Porcentual 2 22 3" xfId="2840" xr:uid="{00000000-0005-0000-0000-00004E230000}"/>
    <cellStyle name="Porcentual 2 22 3 2" xfId="6475" xr:uid="{00000000-0005-0000-0000-00004F230000}"/>
    <cellStyle name="Porcentual 2 22 4" xfId="2841" xr:uid="{00000000-0005-0000-0000-000050230000}"/>
    <cellStyle name="Porcentual 2 22 4 2" xfId="6476" xr:uid="{00000000-0005-0000-0000-000051230000}"/>
    <cellStyle name="Porcentual 2 22 5" xfId="2842" xr:uid="{00000000-0005-0000-0000-000052230000}"/>
    <cellStyle name="Porcentual 2 22 5 2" xfId="6477" xr:uid="{00000000-0005-0000-0000-000053230000}"/>
    <cellStyle name="Porcentual 2 22 6" xfId="2843" xr:uid="{00000000-0005-0000-0000-000054230000}"/>
    <cellStyle name="Porcentual 2 22 6 2" xfId="6478" xr:uid="{00000000-0005-0000-0000-000055230000}"/>
    <cellStyle name="Porcentual 2 22 7" xfId="2844" xr:uid="{00000000-0005-0000-0000-000056230000}"/>
    <cellStyle name="Porcentual 2 22 7 2" xfId="6479" xr:uid="{00000000-0005-0000-0000-000057230000}"/>
    <cellStyle name="Porcentual 2 22 8" xfId="2845" xr:uid="{00000000-0005-0000-0000-000058230000}"/>
    <cellStyle name="Porcentual 2 22 8 2" xfId="6480" xr:uid="{00000000-0005-0000-0000-000059230000}"/>
    <cellStyle name="Porcentual 2 22 9" xfId="2846" xr:uid="{00000000-0005-0000-0000-00005A230000}"/>
    <cellStyle name="Porcentual 2 22 9 2" xfId="6481" xr:uid="{00000000-0005-0000-0000-00005B230000}"/>
    <cellStyle name="Porcentual 2 23" xfId="2847" xr:uid="{00000000-0005-0000-0000-00005C230000}"/>
    <cellStyle name="Porcentual 2 23 10" xfId="2848" xr:uid="{00000000-0005-0000-0000-00005D230000}"/>
    <cellStyle name="Porcentual 2 23 10 2" xfId="6482" xr:uid="{00000000-0005-0000-0000-00005E230000}"/>
    <cellStyle name="Porcentual 2 23 11" xfId="2849" xr:uid="{00000000-0005-0000-0000-00005F230000}"/>
    <cellStyle name="Porcentual 2 23 11 2" xfId="6483" xr:uid="{00000000-0005-0000-0000-000060230000}"/>
    <cellStyle name="Porcentual 2 23 12" xfId="2850" xr:uid="{00000000-0005-0000-0000-000061230000}"/>
    <cellStyle name="Porcentual 2 23 12 2" xfId="6484" xr:uid="{00000000-0005-0000-0000-000062230000}"/>
    <cellStyle name="Porcentual 2 23 13" xfId="2851" xr:uid="{00000000-0005-0000-0000-000063230000}"/>
    <cellStyle name="Porcentual 2 23 13 2" xfId="6485" xr:uid="{00000000-0005-0000-0000-000064230000}"/>
    <cellStyle name="Porcentual 2 23 14" xfId="2852" xr:uid="{00000000-0005-0000-0000-000065230000}"/>
    <cellStyle name="Porcentual 2 23 14 2" xfId="6486" xr:uid="{00000000-0005-0000-0000-000066230000}"/>
    <cellStyle name="Porcentual 2 23 15" xfId="2853" xr:uid="{00000000-0005-0000-0000-000067230000}"/>
    <cellStyle name="Porcentual 2 23 15 2" xfId="6487" xr:uid="{00000000-0005-0000-0000-000068230000}"/>
    <cellStyle name="Porcentual 2 23 16" xfId="2854" xr:uid="{00000000-0005-0000-0000-000069230000}"/>
    <cellStyle name="Porcentual 2 23 16 2" xfId="6488" xr:uid="{00000000-0005-0000-0000-00006A230000}"/>
    <cellStyle name="Porcentual 2 23 17" xfId="2855" xr:uid="{00000000-0005-0000-0000-00006B230000}"/>
    <cellStyle name="Porcentual 2 23 17 2" xfId="6489" xr:uid="{00000000-0005-0000-0000-00006C230000}"/>
    <cellStyle name="Porcentual 2 23 18" xfId="2856" xr:uid="{00000000-0005-0000-0000-00006D230000}"/>
    <cellStyle name="Porcentual 2 23 18 2" xfId="6490" xr:uid="{00000000-0005-0000-0000-00006E230000}"/>
    <cellStyle name="Porcentual 2 23 19" xfId="2857" xr:uid="{00000000-0005-0000-0000-00006F230000}"/>
    <cellStyle name="Porcentual 2 23 19 2" xfId="6491" xr:uid="{00000000-0005-0000-0000-000070230000}"/>
    <cellStyle name="Porcentual 2 23 2" xfId="2858" xr:uid="{00000000-0005-0000-0000-000071230000}"/>
    <cellStyle name="Porcentual 2 23 2 2" xfId="6492" xr:uid="{00000000-0005-0000-0000-000072230000}"/>
    <cellStyle name="Porcentual 2 23 20" xfId="2859" xr:uid="{00000000-0005-0000-0000-000073230000}"/>
    <cellStyle name="Porcentual 2 23 20 2" xfId="6493" xr:uid="{00000000-0005-0000-0000-000074230000}"/>
    <cellStyle name="Porcentual 2 23 21" xfId="2860" xr:uid="{00000000-0005-0000-0000-000075230000}"/>
    <cellStyle name="Porcentual 2 23 21 2" xfId="6494" xr:uid="{00000000-0005-0000-0000-000076230000}"/>
    <cellStyle name="Porcentual 2 23 22" xfId="2861" xr:uid="{00000000-0005-0000-0000-000077230000}"/>
    <cellStyle name="Porcentual 2 23 22 2" xfId="6495" xr:uid="{00000000-0005-0000-0000-000078230000}"/>
    <cellStyle name="Porcentual 2 23 23" xfId="2862" xr:uid="{00000000-0005-0000-0000-000079230000}"/>
    <cellStyle name="Porcentual 2 23 23 2" xfId="6496" xr:uid="{00000000-0005-0000-0000-00007A230000}"/>
    <cellStyle name="Porcentual 2 23 24" xfId="2863" xr:uid="{00000000-0005-0000-0000-00007B230000}"/>
    <cellStyle name="Porcentual 2 23 24 2" xfId="6497" xr:uid="{00000000-0005-0000-0000-00007C230000}"/>
    <cellStyle name="Porcentual 2 23 25" xfId="2864" xr:uid="{00000000-0005-0000-0000-00007D230000}"/>
    <cellStyle name="Porcentual 2 23 25 2" xfId="6498" xr:uid="{00000000-0005-0000-0000-00007E230000}"/>
    <cellStyle name="Porcentual 2 23 26" xfId="2865" xr:uid="{00000000-0005-0000-0000-00007F230000}"/>
    <cellStyle name="Porcentual 2 23 26 2" xfId="6499" xr:uid="{00000000-0005-0000-0000-000080230000}"/>
    <cellStyle name="Porcentual 2 23 27" xfId="2866" xr:uid="{00000000-0005-0000-0000-000081230000}"/>
    <cellStyle name="Porcentual 2 23 27 2" xfId="6500" xr:uid="{00000000-0005-0000-0000-000082230000}"/>
    <cellStyle name="Porcentual 2 23 28" xfId="2867" xr:uid="{00000000-0005-0000-0000-000083230000}"/>
    <cellStyle name="Porcentual 2 23 28 2" xfId="6501" xr:uid="{00000000-0005-0000-0000-000084230000}"/>
    <cellStyle name="Porcentual 2 23 29" xfId="6502" xr:uid="{00000000-0005-0000-0000-000085230000}"/>
    <cellStyle name="Porcentual 2 23 3" xfId="2868" xr:uid="{00000000-0005-0000-0000-000086230000}"/>
    <cellStyle name="Porcentual 2 23 3 2" xfId="6503" xr:uid="{00000000-0005-0000-0000-000087230000}"/>
    <cellStyle name="Porcentual 2 23 4" xfId="2869" xr:uid="{00000000-0005-0000-0000-000088230000}"/>
    <cellStyle name="Porcentual 2 23 4 2" xfId="6504" xr:uid="{00000000-0005-0000-0000-000089230000}"/>
    <cellStyle name="Porcentual 2 23 5" xfId="2870" xr:uid="{00000000-0005-0000-0000-00008A230000}"/>
    <cellStyle name="Porcentual 2 23 5 2" xfId="6505" xr:uid="{00000000-0005-0000-0000-00008B230000}"/>
    <cellStyle name="Porcentual 2 23 6" xfId="2871" xr:uid="{00000000-0005-0000-0000-00008C230000}"/>
    <cellStyle name="Porcentual 2 23 6 2" xfId="6506" xr:uid="{00000000-0005-0000-0000-00008D230000}"/>
    <cellStyle name="Porcentual 2 23 7" xfId="2872" xr:uid="{00000000-0005-0000-0000-00008E230000}"/>
    <cellStyle name="Porcentual 2 23 7 2" xfId="6507" xr:uid="{00000000-0005-0000-0000-00008F230000}"/>
    <cellStyle name="Porcentual 2 23 8" xfId="2873" xr:uid="{00000000-0005-0000-0000-000090230000}"/>
    <cellStyle name="Porcentual 2 23 8 2" xfId="6508" xr:uid="{00000000-0005-0000-0000-000091230000}"/>
    <cellStyle name="Porcentual 2 23 9" xfId="2874" xr:uid="{00000000-0005-0000-0000-000092230000}"/>
    <cellStyle name="Porcentual 2 23 9 2" xfId="6509" xr:uid="{00000000-0005-0000-0000-000093230000}"/>
    <cellStyle name="Porcentual 2 24" xfId="2875" xr:uid="{00000000-0005-0000-0000-000094230000}"/>
    <cellStyle name="Porcentual 2 24 10" xfId="2876" xr:uid="{00000000-0005-0000-0000-000095230000}"/>
    <cellStyle name="Porcentual 2 24 10 2" xfId="6510" xr:uid="{00000000-0005-0000-0000-000096230000}"/>
    <cellStyle name="Porcentual 2 24 11" xfId="2877" xr:uid="{00000000-0005-0000-0000-000097230000}"/>
    <cellStyle name="Porcentual 2 24 11 2" xfId="6511" xr:uid="{00000000-0005-0000-0000-000098230000}"/>
    <cellStyle name="Porcentual 2 24 12" xfId="2878" xr:uid="{00000000-0005-0000-0000-000099230000}"/>
    <cellStyle name="Porcentual 2 24 12 2" xfId="6512" xr:uid="{00000000-0005-0000-0000-00009A230000}"/>
    <cellStyle name="Porcentual 2 24 13" xfId="2879" xr:uid="{00000000-0005-0000-0000-00009B230000}"/>
    <cellStyle name="Porcentual 2 24 13 2" xfId="6513" xr:uid="{00000000-0005-0000-0000-00009C230000}"/>
    <cellStyle name="Porcentual 2 24 14" xfId="2880" xr:uid="{00000000-0005-0000-0000-00009D230000}"/>
    <cellStyle name="Porcentual 2 24 14 2" xfId="6514" xr:uid="{00000000-0005-0000-0000-00009E230000}"/>
    <cellStyle name="Porcentual 2 24 15" xfId="2881" xr:uid="{00000000-0005-0000-0000-00009F230000}"/>
    <cellStyle name="Porcentual 2 24 15 2" xfId="6515" xr:uid="{00000000-0005-0000-0000-0000A0230000}"/>
    <cellStyle name="Porcentual 2 24 16" xfId="2882" xr:uid="{00000000-0005-0000-0000-0000A1230000}"/>
    <cellStyle name="Porcentual 2 24 16 2" xfId="6516" xr:uid="{00000000-0005-0000-0000-0000A2230000}"/>
    <cellStyle name="Porcentual 2 24 17" xfId="2883" xr:uid="{00000000-0005-0000-0000-0000A3230000}"/>
    <cellStyle name="Porcentual 2 24 17 2" xfId="6517" xr:uid="{00000000-0005-0000-0000-0000A4230000}"/>
    <cellStyle name="Porcentual 2 24 18" xfId="2884" xr:uid="{00000000-0005-0000-0000-0000A5230000}"/>
    <cellStyle name="Porcentual 2 24 18 2" xfId="6518" xr:uid="{00000000-0005-0000-0000-0000A6230000}"/>
    <cellStyle name="Porcentual 2 24 19" xfId="2885" xr:uid="{00000000-0005-0000-0000-0000A7230000}"/>
    <cellStyle name="Porcentual 2 24 19 2" xfId="6519" xr:uid="{00000000-0005-0000-0000-0000A8230000}"/>
    <cellStyle name="Porcentual 2 24 2" xfId="2886" xr:uid="{00000000-0005-0000-0000-0000A9230000}"/>
    <cellStyle name="Porcentual 2 24 2 2" xfId="6520" xr:uid="{00000000-0005-0000-0000-0000AA230000}"/>
    <cellStyle name="Porcentual 2 24 20" xfId="2887" xr:uid="{00000000-0005-0000-0000-0000AB230000}"/>
    <cellStyle name="Porcentual 2 24 20 2" xfId="6521" xr:uid="{00000000-0005-0000-0000-0000AC230000}"/>
    <cellStyle name="Porcentual 2 24 21" xfId="2888" xr:uid="{00000000-0005-0000-0000-0000AD230000}"/>
    <cellStyle name="Porcentual 2 24 21 2" xfId="6522" xr:uid="{00000000-0005-0000-0000-0000AE230000}"/>
    <cellStyle name="Porcentual 2 24 22" xfId="2889" xr:uid="{00000000-0005-0000-0000-0000AF230000}"/>
    <cellStyle name="Porcentual 2 24 22 2" xfId="6523" xr:uid="{00000000-0005-0000-0000-0000B0230000}"/>
    <cellStyle name="Porcentual 2 24 23" xfId="2890" xr:uid="{00000000-0005-0000-0000-0000B1230000}"/>
    <cellStyle name="Porcentual 2 24 23 2" xfId="6524" xr:uid="{00000000-0005-0000-0000-0000B2230000}"/>
    <cellStyle name="Porcentual 2 24 24" xfId="2891" xr:uid="{00000000-0005-0000-0000-0000B3230000}"/>
    <cellStyle name="Porcentual 2 24 24 2" xfId="6525" xr:uid="{00000000-0005-0000-0000-0000B4230000}"/>
    <cellStyle name="Porcentual 2 24 25" xfId="2892" xr:uid="{00000000-0005-0000-0000-0000B5230000}"/>
    <cellStyle name="Porcentual 2 24 25 2" xfId="6526" xr:uid="{00000000-0005-0000-0000-0000B6230000}"/>
    <cellStyle name="Porcentual 2 24 26" xfId="2893" xr:uid="{00000000-0005-0000-0000-0000B7230000}"/>
    <cellStyle name="Porcentual 2 24 26 2" xfId="6527" xr:uid="{00000000-0005-0000-0000-0000B8230000}"/>
    <cellStyle name="Porcentual 2 24 27" xfId="2894" xr:uid="{00000000-0005-0000-0000-0000B9230000}"/>
    <cellStyle name="Porcentual 2 24 27 2" xfId="6528" xr:uid="{00000000-0005-0000-0000-0000BA230000}"/>
    <cellStyle name="Porcentual 2 24 28" xfId="2895" xr:uid="{00000000-0005-0000-0000-0000BB230000}"/>
    <cellStyle name="Porcentual 2 24 28 2" xfId="6529" xr:uid="{00000000-0005-0000-0000-0000BC230000}"/>
    <cellStyle name="Porcentual 2 24 29" xfId="6530" xr:uid="{00000000-0005-0000-0000-0000BD230000}"/>
    <cellStyle name="Porcentual 2 24 3" xfId="2896" xr:uid="{00000000-0005-0000-0000-0000BE230000}"/>
    <cellStyle name="Porcentual 2 24 3 2" xfId="6531" xr:uid="{00000000-0005-0000-0000-0000BF230000}"/>
    <cellStyle name="Porcentual 2 24 4" xfId="2897" xr:uid="{00000000-0005-0000-0000-0000C0230000}"/>
    <cellStyle name="Porcentual 2 24 4 2" xfId="6532" xr:uid="{00000000-0005-0000-0000-0000C1230000}"/>
    <cellStyle name="Porcentual 2 24 5" xfId="2898" xr:uid="{00000000-0005-0000-0000-0000C2230000}"/>
    <cellStyle name="Porcentual 2 24 5 2" xfId="6533" xr:uid="{00000000-0005-0000-0000-0000C3230000}"/>
    <cellStyle name="Porcentual 2 24 6" xfId="2899" xr:uid="{00000000-0005-0000-0000-0000C4230000}"/>
    <cellStyle name="Porcentual 2 24 6 2" xfId="6534" xr:uid="{00000000-0005-0000-0000-0000C5230000}"/>
    <cellStyle name="Porcentual 2 24 7" xfId="2900" xr:uid="{00000000-0005-0000-0000-0000C6230000}"/>
    <cellStyle name="Porcentual 2 24 7 2" xfId="6535" xr:uid="{00000000-0005-0000-0000-0000C7230000}"/>
    <cellStyle name="Porcentual 2 24 8" xfId="2901" xr:uid="{00000000-0005-0000-0000-0000C8230000}"/>
    <cellStyle name="Porcentual 2 24 8 2" xfId="6536" xr:uid="{00000000-0005-0000-0000-0000C9230000}"/>
    <cellStyle name="Porcentual 2 24 9" xfId="2902" xr:uid="{00000000-0005-0000-0000-0000CA230000}"/>
    <cellStyle name="Porcentual 2 24 9 2" xfId="6537" xr:uid="{00000000-0005-0000-0000-0000CB230000}"/>
    <cellStyle name="Porcentual 2 25" xfId="2903" xr:uid="{00000000-0005-0000-0000-0000CC230000}"/>
    <cellStyle name="Porcentual 2 25 10" xfId="2904" xr:uid="{00000000-0005-0000-0000-0000CD230000}"/>
    <cellStyle name="Porcentual 2 25 10 2" xfId="6538" xr:uid="{00000000-0005-0000-0000-0000CE230000}"/>
    <cellStyle name="Porcentual 2 25 11" xfId="2905" xr:uid="{00000000-0005-0000-0000-0000CF230000}"/>
    <cellStyle name="Porcentual 2 25 11 2" xfId="6539" xr:uid="{00000000-0005-0000-0000-0000D0230000}"/>
    <cellStyle name="Porcentual 2 25 12" xfId="2906" xr:uid="{00000000-0005-0000-0000-0000D1230000}"/>
    <cellStyle name="Porcentual 2 25 12 2" xfId="6540" xr:uid="{00000000-0005-0000-0000-0000D2230000}"/>
    <cellStyle name="Porcentual 2 25 13" xfId="2907" xr:uid="{00000000-0005-0000-0000-0000D3230000}"/>
    <cellStyle name="Porcentual 2 25 13 2" xfId="6541" xr:uid="{00000000-0005-0000-0000-0000D4230000}"/>
    <cellStyle name="Porcentual 2 25 14" xfId="2908" xr:uid="{00000000-0005-0000-0000-0000D5230000}"/>
    <cellStyle name="Porcentual 2 25 14 2" xfId="6542" xr:uid="{00000000-0005-0000-0000-0000D6230000}"/>
    <cellStyle name="Porcentual 2 25 15" xfId="2909" xr:uid="{00000000-0005-0000-0000-0000D7230000}"/>
    <cellStyle name="Porcentual 2 25 15 2" xfId="6543" xr:uid="{00000000-0005-0000-0000-0000D8230000}"/>
    <cellStyle name="Porcentual 2 25 16" xfId="2910" xr:uid="{00000000-0005-0000-0000-0000D9230000}"/>
    <cellStyle name="Porcentual 2 25 16 2" xfId="6544" xr:uid="{00000000-0005-0000-0000-0000DA230000}"/>
    <cellStyle name="Porcentual 2 25 17" xfId="2911" xr:uid="{00000000-0005-0000-0000-0000DB230000}"/>
    <cellStyle name="Porcentual 2 25 17 2" xfId="6545" xr:uid="{00000000-0005-0000-0000-0000DC230000}"/>
    <cellStyle name="Porcentual 2 25 18" xfId="2912" xr:uid="{00000000-0005-0000-0000-0000DD230000}"/>
    <cellStyle name="Porcentual 2 25 18 2" xfId="6546" xr:uid="{00000000-0005-0000-0000-0000DE230000}"/>
    <cellStyle name="Porcentual 2 25 19" xfId="2913" xr:uid="{00000000-0005-0000-0000-0000DF230000}"/>
    <cellStyle name="Porcentual 2 25 19 2" xfId="6547" xr:uid="{00000000-0005-0000-0000-0000E0230000}"/>
    <cellStyle name="Porcentual 2 25 2" xfId="2914" xr:uid="{00000000-0005-0000-0000-0000E1230000}"/>
    <cellStyle name="Porcentual 2 25 2 2" xfId="6548" xr:uid="{00000000-0005-0000-0000-0000E2230000}"/>
    <cellStyle name="Porcentual 2 25 20" xfId="2915" xr:uid="{00000000-0005-0000-0000-0000E3230000}"/>
    <cellStyle name="Porcentual 2 25 20 2" xfId="6549" xr:uid="{00000000-0005-0000-0000-0000E4230000}"/>
    <cellStyle name="Porcentual 2 25 21" xfId="2916" xr:uid="{00000000-0005-0000-0000-0000E5230000}"/>
    <cellStyle name="Porcentual 2 25 21 2" xfId="6550" xr:uid="{00000000-0005-0000-0000-0000E6230000}"/>
    <cellStyle name="Porcentual 2 25 22" xfId="2917" xr:uid="{00000000-0005-0000-0000-0000E7230000}"/>
    <cellStyle name="Porcentual 2 25 22 2" xfId="6551" xr:uid="{00000000-0005-0000-0000-0000E8230000}"/>
    <cellStyle name="Porcentual 2 25 23" xfId="2918" xr:uid="{00000000-0005-0000-0000-0000E9230000}"/>
    <cellStyle name="Porcentual 2 25 23 2" xfId="6552" xr:uid="{00000000-0005-0000-0000-0000EA230000}"/>
    <cellStyle name="Porcentual 2 25 24" xfId="2919" xr:uid="{00000000-0005-0000-0000-0000EB230000}"/>
    <cellStyle name="Porcentual 2 25 24 2" xfId="6553" xr:uid="{00000000-0005-0000-0000-0000EC230000}"/>
    <cellStyle name="Porcentual 2 25 25" xfId="2920" xr:uid="{00000000-0005-0000-0000-0000ED230000}"/>
    <cellStyle name="Porcentual 2 25 25 2" xfId="6554" xr:uid="{00000000-0005-0000-0000-0000EE230000}"/>
    <cellStyle name="Porcentual 2 25 26" xfId="2921" xr:uid="{00000000-0005-0000-0000-0000EF230000}"/>
    <cellStyle name="Porcentual 2 25 26 2" xfId="6555" xr:uid="{00000000-0005-0000-0000-0000F0230000}"/>
    <cellStyle name="Porcentual 2 25 27" xfId="2922" xr:uid="{00000000-0005-0000-0000-0000F1230000}"/>
    <cellStyle name="Porcentual 2 25 27 2" xfId="6556" xr:uid="{00000000-0005-0000-0000-0000F2230000}"/>
    <cellStyle name="Porcentual 2 25 28" xfId="2923" xr:uid="{00000000-0005-0000-0000-0000F3230000}"/>
    <cellStyle name="Porcentual 2 25 28 2" xfId="6557" xr:uid="{00000000-0005-0000-0000-0000F4230000}"/>
    <cellStyle name="Porcentual 2 25 29" xfId="6558" xr:uid="{00000000-0005-0000-0000-0000F5230000}"/>
    <cellStyle name="Porcentual 2 25 3" xfId="2924" xr:uid="{00000000-0005-0000-0000-0000F6230000}"/>
    <cellStyle name="Porcentual 2 25 3 2" xfId="6559" xr:uid="{00000000-0005-0000-0000-0000F7230000}"/>
    <cellStyle name="Porcentual 2 25 4" xfId="2925" xr:uid="{00000000-0005-0000-0000-0000F8230000}"/>
    <cellStyle name="Porcentual 2 25 4 2" xfId="6560" xr:uid="{00000000-0005-0000-0000-0000F9230000}"/>
    <cellStyle name="Porcentual 2 25 5" xfId="2926" xr:uid="{00000000-0005-0000-0000-0000FA230000}"/>
    <cellStyle name="Porcentual 2 25 5 2" xfId="6561" xr:uid="{00000000-0005-0000-0000-0000FB230000}"/>
    <cellStyle name="Porcentual 2 25 6" xfId="2927" xr:uid="{00000000-0005-0000-0000-0000FC230000}"/>
    <cellStyle name="Porcentual 2 25 6 2" xfId="6562" xr:uid="{00000000-0005-0000-0000-0000FD230000}"/>
    <cellStyle name="Porcentual 2 25 7" xfId="2928" xr:uid="{00000000-0005-0000-0000-0000FE230000}"/>
    <cellStyle name="Porcentual 2 25 7 2" xfId="6563" xr:uid="{00000000-0005-0000-0000-0000FF230000}"/>
    <cellStyle name="Porcentual 2 25 8" xfId="2929" xr:uid="{00000000-0005-0000-0000-000000240000}"/>
    <cellStyle name="Porcentual 2 25 8 2" xfId="6564" xr:uid="{00000000-0005-0000-0000-000001240000}"/>
    <cellStyle name="Porcentual 2 25 9" xfId="2930" xr:uid="{00000000-0005-0000-0000-000002240000}"/>
    <cellStyle name="Porcentual 2 25 9 2" xfId="6565" xr:uid="{00000000-0005-0000-0000-000003240000}"/>
    <cellStyle name="Porcentual 2 26" xfId="2931" xr:uid="{00000000-0005-0000-0000-000004240000}"/>
    <cellStyle name="Porcentual 2 26 10" xfId="2932" xr:uid="{00000000-0005-0000-0000-000005240000}"/>
    <cellStyle name="Porcentual 2 26 10 2" xfId="6566" xr:uid="{00000000-0005-0000-0000-000006240000}"/>
    <cellStyle name="Porcentual 2 26 11" xfId="2933" xr:uid="{00000000-0005-0000-0000-000007240000}"/>
    <cellStyle name="Porcentual 2 26 11 2" xfId="6567" xr:uid="{00000000-0005-0000-0000-000008240000}"/>
    <cellStyle name="Porcentual 2 26 12" xfId="2934" xr:uid="{00000000-0005-0000-0000-000009240000}"/>
    <cellStyle name="Porcentual 2 26 12 2" xfId="6568" xr:uid="{00000000-0005-0000-0000-00000A240000}"/>
    <cellStyle name="Porcentual 2 26 13" xfId="2935" xr:uid="{00000000-0005-0000-0000-00000B240000}"/>
    <cellStyle name="Porcentual 2 26 13 2" xfId="6569" xr:uid="{00000000-0005-0000-0000-00000C240000}"/>
    <cellStyle name="Porcentual 2 26 14" xfId="2936" xr:uid="{00000000-0005-0000-0000-00000D240000}"/>
    <cellStyle name="Porcentual 2 26 14 2" xfId="6570" xr:uid="{00000000-0005-0000-0000-00000E240000}"/>
    <cellStyle name="Porcentual 2 26 15" xfId="2937" xr:uid="{00000000-0005-0000-0000-00000F240000}"/>
    <cellStyle name="Porcentual 2 26 15 2" xfId="6571" xr:uid="{00000000-0005-0000-0000-000010240000}"/>
    <cellStyle name="Porcentual 2 26 16" xfId="2938" xr:uid="{00000000-0005-0000-0000-000011240000}"/>
    <cellStyle name="Porcentual 2 26 16 2" xfId="6572" xr:uid="{00000000-0005-0000-0000-000012240000}"/>
    <cellStyle name="Porcentual 2 26 17" xfId="2939" xr:uid="{00000000-0005-0000-0000-000013240000}"/>
    <cellStyle name="Porcentual 2 26 17 2" xfId="6573" xr:uid="{00000000-0005-0000-0000-000014240000}"/>
    <cellStyle name="Porcentual 2 26 18" xfId="2940" xr:uid="{00000000-0005-0000-0000-000015240000}"/>
    <cellStyle name="Porcentual 2 26 18 2" xfId="6574" xr:uid="{00000000-0005-0000-0000-000016240000}"/>
    <cellStyle name="Porcentual 2 26 19" xfId="2941" xr:uid="{00000000-0005-0000-0000-000017240000}"/>
    <cellStyle name="Porcentual 2 26 19 2" xfId="6575" xr:uid="{00000000-0005-0000-0000-000018240000}"/>
    <cellStyle name="Porcentual 2 26 2" xfId="2942" xr:uid="{00000000-0005-0000-0000-000019240000}"/>
    <cellStyle name="Porcentual 2 26 2 2" xfId="6576" xr:uid="{00000000-0005-0000-0000-00001A240000}"/>
    <cellStyle name="Porcentual 2 26 20" xfId="2943" xr:uid="{00000000-0005-0000-0000-00001B240000}"/>
    <cellStyle name="Porcentual 2 26 20 2" xfId="6577" xr:uid="{00000000-0005-0000-0000-00001C240000}"/>
    <cellStyle name="Porcentual 2 26 21" xfId="2944" xr:uid="{00000000-0005-0000-0000-00001D240000}"/>
    <cellStyle name="Porcentual 2 26 21 2" xfId="6578" xr:uid="{00000000-0005-0000-0000-00001E240000}"/>
    <cellStyle name="Porcentual 2 26 22" xfId="2945" xr:uid="{00000000-0005-0000-0000-00001F240000}"/>
    <cellStyle name="Porcentual 2 26 22 2" xfId="6579" xr:uid="{00000000-0005-0000-0000-000020240000}"/>
    <cellStyle name="Porcentual 2 26 23" xfId="2946" xr:uid="{00000000-0005-0000-0000-000021240000}"/>
    <cellStyle name="Porcentual 2 26 23 2" xfId="6580" xr:uid="{00000000-0005-0000-0000-000022240000}"/>
    <cellStyle name="Porcentual 2 26 24" xfId="2947" xr:uid="{00000000-0005-0000-0000-000023240000}"/>
    <cellStyle name="Porcentual 2 26 24 2" xfId="6581" xr:uid="{00000000-0005-0000-0000-000024240000}"/>
    <cellStyle name="Porcentual 2 26 25" xfId="2948" xr:uid="{00000000-0005-0000-0000-000025240000}"/>
    <cellStyle name="Porcentual 2 26 25 2" xfId="6582" xr:uid="{00000000-0005-0000-0000-000026240000}"/>
    <cellStyle name="Porcentual 2 26 26" xfId="2949" xr:uid="{00000000-0005-0000-0000-000027240000}"/>
    <cellStyle name="Porcentual 2 26 26 2" xfId="6583" xr:uid="{00000000-0005-0000-0000-000028240000}"/>
    <cellStyle name="Porcentual 2 26 27" xfId="2950" xr:uid="{00000000-0005-0000-0000-000029240000}"/>
    <cellStyle name="Porcentual 2 26 27 2" xfId="6584" xr:uid="{00000000-0005-0000-0000-00002A240000}"/>
    <cellStyle name="Porcentual 2 26 28" xfId="2951" xr:uid="{00000000-0005-0000-0000-00002B240000}"/>
    <cellStyle name="Porcentual 2 26 28 2" xfId="6585" xr:uid="{00000000-0005-0000-0000-00002C240000}"/>
    <cellStyle name="Porcentual 2 26 29" xfId="6586" xr:uid="{00000000-0005-0000-0000-00002D240000}"/>
    <cellStyle name="Porcentual 2 26 3" xfId="2952" xr:uid="{00000000-0005-0000-0000-00002E240000}"/>
    <cellStyle name="Porcentual 2 26 3 2" xfId="6587" xr:uid="{00000000-0005-0000-0000-00002F240000}"/>
    <cellStyle name="Porcentual 2 26 4" xfId="2953" xr:uid="{00000000-0005-0000-0000-000030240000}"/>
    <cellStyle name="Porcentual 2 26 4 2" xfId="6588" xr:uid="{00000000-0005-0000-0000-000031240000}"/>
    <cellStyle name="Porcentual 2 26 5" xfId="2954" xr:uid="{00000000-0005-0000-0000-000032240000}"/>
    <cellStyle name="Porcentual 2 26 5 2" xfId="6589" xr:uid="{00000000-0005-0000-0000-000033240000}"/>
    <cellStyle name="Porcentual 2 26 6" xfId="2955" xr:uid="{00000000-0005-0000-0000-000034240000}"/>
    <cellStyle name="Porcentual 2 26 6 2" xfId="6590" xr:uid="{00000000-0005-0000-0000-000035240000}"/>
    <cellStyle name="Porcentual 2 26 7" xfId="2956" xr:uid="{00000000-0005-0000-0000-000036240000}"/>
    <cellStyle name="Porcentual 2 26 7 2" xfId="6591" xr:uid="{00000000-0005-0000-0000-000037240000}"/>
    <cellStyle name="Porcentual 2 26 8" xfId="2957" xr:uid="{00000000-0005-0000-0000-000038240000}"/>
    <cellStyle name="Porcentual 2 26 8 2" xfId="6592" xr:uid="{00000000-0005-0000-0000-000039240000}"/>
    <cellStyle name="Porcentual 2 26 9" xfId="2958" xr:uid="{00000000-0005-0000-0000-00003A240000}"/>
    <cellStyle name="Porcentual 2 26 9 2" xfId="6593" xr:uid="{00000000-0005-0000-0000-00003B240000}"/>
    <cellStyle name="Porcentual 2 27" xfId="2959" xr:uid="{00000000-0005-0000-0000-00003C240000}"/>
    <cellStyle name="Porcentual 2 27 10" xfId="2960" xr:uid="{00000000-0005-0000-0000-00003D240000}"/>
    <cellStyle name="Porcentual 2 27 10 2" xfId="6594" xr:uid="{00000000-0005-0000-0000-00003E240000}"/>
    <cellStyle name="Porcentual 2 27 11" xfId="2961" xr:uid="{00000000-0005-0000-0000-00003F240000}"/>
    <cellStyle name="Porcentual 2 27 11 2" xfId="6595" xr:uid="{00000000-0005-0000-0000-000040240000}"/>
    <cellStyle name="Porcentual 2 27 12" xfId="2962" xr:uid="{00000000-0005-0000-0000-000041240000}"/>
    <cellStyle name="Porcentual 2 27 12 2" xfId="6596" xr:uid="{00000000-0005-0000-0000-000042240000}"/>
    <cellStyle name="Porcentual 2 27 13" xfId="2963" xr:uid="{00000000-0005-0000-0000-000043240000}"/>
    <cellStyle name="Porcentual 2 27 13 2" xfId="6597" xr:uid="{00000000-0005-0000-0000-000044240000}"/>
    <cellStyle name="Porcentual 2 27 14" xfId="2964" xr:uid="{00000000-0005-0000-0000-000045240000}"/>
    <cellStyle name="Porcentual 2 27 14 2" xfId="6598" xr:uid="{00000000-0005-0000-0000-000046240000}"/>
    <cellStyle name="Porcentual 2 27 15" xfId="2965" xr:uid="{00000000-0005-0000-0000-000047240000}"/>
    <cellStyle name="Porcentual 2 27 15 2" xfId="6599" xr:uid="{00000000-0005-0000-0000-000048240000}"/>
    <cellStyle name="Porcentual 2 27 16" xfId="2966" xr:uid="{00000000-0005-0000-0000-000049240000}"/>
    <cellStyle name="Porcentual 2 27 16 2" xfId="6600" xr:uid="{00000000-0005-0000-0000-00004A240000}"/>
    <cellStyle name="Porcentual 2 27 17" xfId="2967" xr:uid="{00000000-0005-0000-0000-00004B240000}"/>
    <cellStyle name="Porcentual 2 27 17 2" xfId="6601" xr:uid="{00000000-0005-0000-0000-00004C240000}"/>
    <cellStyle name="Porcentual 2 27 18" xfId="2968" xr:uid="{00000000-0005-0000-0000-00004D240000}"/>
    <cellStyle name="Porcentual 2 27 18 2" xfId="6602" xr:uid="{00000000-0005-0000-0000-00004E240000}"/>
    <cellStyle name="Porcentual 2 27 19" xfId="2969" xr:uid="{00000000-0005-0000-0000-00004F240000}"/>
    <cellStyle name="Porcentual 2 27 19 2" xfId="6603" xr:uid="{00000000-0005-0000-0000-000050240000}"/>
    <cellStyle name="Porcentual 2 27 2" xfId="2970" xr:uid="{00000000-0005-0000-0000-000051240000}"/>
    <cellStyle name="Porcentual 2 27 2 2" xfId="6604" xr:uid="{00000000-0005-0000-0000-000052240000}"/>
    <cellStyle name="Porcentual 2 27 20" xfId="2971" xr:uid="{00000000-0005-0000-0000-000053240000}"/>
    <cellStyle name="Porcentual 2 27 20 2" xfId="6605" xr:uid="{00000000-0005-0000-0000-000054240000}"/>
    <cellStyle name="Porcentual 2 27 21" xfId="2972" xr:uid="{00000000-0005-0000-0000-000055240000}"/>
    <cellStyle name="Porcentual 2 27 21 2" xfId="6606" xr:uid="{00000000-0005-0000-0000-000056240000}"/>
    <cellStyle name="Porcentual 2 27 22" xfId="2973" xr:uid="{00000000-0005-0000-0000-000057240000}"/>
    <cellStyle name="Porcentual 2 27 22 2" xfId="6607" xr:uid="{00000000-0005-0000-0000-000058240000}"/>
    <cellStyle name="Porcentual 2 27 23" xfId="2974" xr:uid="{00000000-0005-0000-0000-000059240000}"/>
    <cellStyle name="Porcentual 2 27 23 2" xfId="6608" xr:uid="{00000000-0005-0000-0000-00005A240000}"/>
    <cellStyle name="Porcentual 2 27 24" xfId="2975" xr:uid="{00000000-0005-0000-0000-00005B240000}"/>
    <cellStyle name="Porcentual 2 27 24 2" xfId="6609" xr:uid="{00000000-0005-0000-0000-00005C240000}"/>
    <cellStyle name="Porcentual 2 27 25" xfId="2976" xr:uid="{00000000-0005-0000-0000-00005D240000}"/>
    <cellStyle name="Porcentual 2 27 25 2" xfId="6610" xr:uid="{00000000-0005-0000-0000-00005E240000}"/>
    <cellStyle name="Porcentual 2 27 26" xfId="2977" xr:uid="{00000000-0005-0000-0000-00005F240000}"/>
    <cellStyle name="Porcentual 2 27 26 2" xfId="6611" xr:uid="{00000000-0005-0000-0000-000060240000}"/>
    <cellStyle name="Porcentual 2 27 27" xfId="2978" xr:uid="{00000000-0005-0000-0000-000061240000}"/>
    <cellStyle name="Porcentual 2 27 27 2" xfId="6612" xr:uid="{00000000-0005-0000-0000-000062240000}"/>
    <cellStyle name="Porcentual 2 27 28" xfId="2979" xr:uid="{00000000-0005-0000-0000-000063240000}"/>
    <cellStyle name="Porcentual 2 27 28 2" xfId="6613" xr:uid="{00000000-0005-0000-0000-000064240000}"/>
    <cellStyle name="Porcentual 2 27 29" xfId="6614" xr:uid="{00000000-0005-0000-0000-000065240000}"/>
    <cellStyle name="Porcentual 2 27 3" xfId="2980" xr:uid="{00000000-0005-0000-0000-000066240000}"/>
    <cellStyle name="Porcentual 2 27 3 2" xfId="6615" xr:uid="{00000000-0005-0000-0000-000067240000}"/>
    <cellStyle name="Porcentual 2 27 4" xfId="2981" xr:uid="{00000000-0005-0000-0000-000068240000}"/>
    <cellStyle name="Porcentual 2 27 4 2" xfId="6616" xr:uid="{00000000-0005-0000-0000-000069240000}"/>
    <cellStyle name="Porcentual 2 27 5" xfId="2982" xr:uid="{00000000-0005-0000-0000-00006A240000}"/>
    <cellStyle name="Porcentual 2 27 5 2" xfId="6617" xr:uid="{00000000-0005-0000-0000-00006B240000}"/>
    <cellStyle name="Porcentual 2 27 6" xfId="2983" xr:uid="{00000000-0005-0000-0000-00006C240000}"/>
    <cellStyle name="Porcentual 2 27 6 2" xfId="6618" xr:uid="{00000000-0005-0000-0000-00006D240000}"/>
    <cellStyle name="Porcentual 2 27 7" xfId="2984" xr:uid="{00000000-0005-0000-0000-00006E240000}"/>
    <cellStyle name="Porcentual 2 27 7 2" xfId="6619" xr:uid="{00000000-0005-0000-0000-00006F240000}"/>
    <cellStyle name="Porcentual 2 27 8" xfId="2985" xr:uid="{00000000-0005-0000-0000-000070240000}"/>
    <cellStyle name="Porcentual 2 27 8 2" xfId="6620" xr:uid="{00000000-0005-0000-0000-000071240000}"/>
    <cellStyle name="Porcentual 2 27 9" xfId="2986" xr:uid="{00000000-0005-0000-0000-000072240000}"/>
    <cellStyle name="Porcentual 2 27 9 2" xfId="6621" xr:uid="{00000000-0005-0000-0000-000073240000}"/>
    <cellStyle name="Porcentual 2 28" xfId="2987" xr:uid="{00000000-0005-0000-0000-000074240000}"/>
    <cellStyle name="Porcentual 2 28 10" xfId="2988" xr:uid="{00000000-0005-0000-0000-000075240000}"/>
    <cellStyle name="Porcentual 2 28 10 2" xfId="6622" xr:uid="{00000000-0005-0000-0000-000076240000}"/>
    <cellStyle name="Porcentual 2 28 11" xfId="2989" xr:uid="{00000000-0005-0000-0000-000077240000}"/>
    <cellStyle name="Porcentual 2 28 11 2" xfId="6623" xr:uid="{00000000-0005-0000-0000-000078240000}"/>
    <cellStyle name="Porcentual 2 28 12" xfId="2990" xr:uid="{00000000-0005-0000-0000-000079240000}"/>
    <cellStyle name="Porcentual 2 28 12 2" xfId="6624" xr:uid="{00000000-0005-0000-0000-00007A240000}"/>
    <cellStyle name="Porcentual 2 28 13" xfId="2991" xr:uid="{00000000-0005-0000-0000-00007B240000}"/>
    <cellStyle name="Porcentual 2 28 13 2" xfId="6625" xr:uid="{00000000-0005-0000-0000-00007C240000}"/>
    <cellStyle name="Porcentual 2 28 14" xfId="2992" xr:uid="{00000000-0005-0000-0000-00007D240000}"/>
    <cellStyle name="Porcentual 2 28 14 2" xfId="6626" xr:uid="{00000000-0005-0000-0000-00007E240000}"/>
    <cellStyle name="Porcentual 2 28 15" xfId="2993" xr:uid="{00000000-0005-0000-0000-00007F240000}"/>
    <cellStyle name="Porcentual 2 28 15 2" xfId="6627" xr:uid="{00000000-0005-0000-0000-000080240000}"/>
    <cellStyle name="Porcentual 2 28 16" xfId="2994" xr:uid="{00000000-0005-0000-0000-000081240000}"/>
    <cellStyle name="Porcentual 2 28 16 2" xfId="6628" xr:uid="{00000000-0005-0000-0000-000082240000}"/>
    <cellStyle name="Porcentual 2 28 17" xfId="2995" xr:uid="{00000000-0005-0000-0000-000083240000}"/>
    <cellStyle name="Porcentual 2 28 17 2" xfId="6629" xr:uid="{00000000-0005-0000-0000-000084240000}"/>
    <cellStyle name="Porcentual 2 28 18" xfId="2996" xr:uid="{00000000-0005-0000-0000-000085240000}"/>
    <cellStyle name="Porcentual 2 28 18 2" xfId="6630" xr:uid="{00000000-0005-0000-0000-000086240000}"/>
    <cellStyle name="Porcentual 2 28 19" xfId="2997" xr:uid="{00000000-0005-0000-0000-000087240000}"/>
    <cellStyle name="Porcentual 2 28 19 2" xfId="6631" xr:uid="{00000000-0005-0000-0000-000088240000}"/>
    <cellStyle name="Porcentual 2 28 2" xfId="2998" xr:uid="{00000000-0005-0000-0000-000089240000}"/>
    <cellStyle name="Porcentual 2 28 2 2" xfId="6632" xr:uid="{00000000-0005-0000-0000-00008A240000}"/>
    <cellStyle name="Porcentual 2 28 20" xfId="2999" xr:uid="{00000000-0005-0000-0000-00008B240000}"/>
    <cellStyle name="Porcentual 2 28 20 2" xfId="6633" xr:uid="{00000000-0005-0000-0000-00008C240000}"/>
    <cellStyle name="Porcentual 2 28 21" xfId="3000" xr:uid="{00000000-0005-0000-0000-00008D240000}"/>
    <cellStyle name="Porcentual 2 28 21 2" xfId="6634" xr:uid="{00000000-0005-0000-0000-00008E240000}"/>
    <cellStyle name="Porcentual 2 28 22" xfId="3001" xr:uid="{00000000-0005-0000-0000-00008F240000}"/>
    <cellStyle name="Porcentual 2 28 22 2" xfId="6635" xr:uid="{00000000-0005-0000-0000-000090240000}"/>
    <cellStyle name="Porcentual 2 28 23" xfId="3002" xr:uid="{00000000-0005-0000-0000-000091240000}"/>
    <cellStyle name="Porcentual 2 28 23 2" xfId="6636" xr:uid="{00000000-0005-0000-0000-000092240000}"/>
    <cellStyle name="Porcentual 2 28 24" xfId="3003" xr:uid="{00000000-0005-0000-0000-000093240000}"/>
    <cellStyle name="Porcentual 2 28 24 2" xfId="6637" xr:uid="{00000000-0005-0000-0000-000094240000}"/>
    <cellStyle name="Porcentual 2 28 25" xfId="3004" xr:uid="{00000000-0005-0000-0000-000095240000}"/>
    <cellStyle name="Porcentual 2 28 25 2" xfId="6638" xr:uid="{00000000-0005-0000-0000-000096240000}"/>
    <cellStyle name="Porcentual 2 28 26" xfId="3005" xr:uid="{00000000-0005-0000-0000-000097240000}"/>
    <cellStyle name="Porcentual 2 28 26 2" xfId="6639" xr:uid="{00000000-0005-0000-0000-000098240000}"/>
    <cellStyle name="Porcentual 2 28 27" xfId="3006" xr:uid="{00000000-0005-0000-0000-000099240000}"/>
    <cellStyle name="Porcentual 2 28 27 2" xfId="6640" xr:uid="{00000000-0005-0000-0000-00009A240000}"/>
    <cellStyle name="Porcentual 2 28 28" xfId="3007" xr:uid="{00000000-0005-0000-0000-00009B240000}"/>
    <cellStyle name="Porcentual 2 28 28 2" xfId="6641" xr:uid="{00000000-0005-0000-0000-00009C240000}"/>
    <cellStyle name="Porcentual 2 28 29" xfId="6642" xr:uid="{00000000-0005-0000-0000-00009D240000}"/>
    <cellStyle name="Porcentual 2 28 3" xfId="3008" xr:uid="{00000000-0005-0000-0000-00009E240000}"/>
    <cellStyle name="Porcentual 2 28 3 2" xfId="6643" xr:uid="{00000000-0005-0000-0000-00009F240000}"/>
    <cellStyle name="Porcentual 2 28 4" xfId="3009" xr:uid="{00000000-0005-0000-0000-0000A0240000}"/>
    <cellStyle name="Porcentual 2 28 4 2" xfId="6644" xr:uid="{00000000-0005-0000-0000-0000A1240000}"/>
    <cellStyle name="Porcentual 2 28 5" xfId="3010" xr:uid="{00000000-0005-0000-0000-0000A2240000}"/>
    <cellStyle name="Porcentual 2 28 5 2" xfId="6645" xr:uid="{00000000-0005-0000-0000-0000A3240000}"/>
    <cellStyle name="Porcentual 2 28 6" xfId="3011" xr:uid="{00000000-0005-0000-0000-0000A4240000}"/>
    <cellStyle name="Porcentual 2 28 6 2" xfId="6646" xr:uid="{00000000-0005-0000-0000-0000A5240000}"/>
    <cellStyle name="Porcentual 2 28 7" xfId="3012" xr:uid="{00000000-0005-0000-0000-0000A6240000}"/>
    <cellStyle name="Porcentual 2 28 7 2" xfId="6647" xr:uid="{00000000-0005-0000-0000-0000A7240000}"/>
    <cellStyle name="Porcentual 2 28 8" xfId="3013" xr:uid="{00000000-0005-0000-0000-0000A8240000}"/>
    <cellStyle name="Porcentual 2 28 8 2" xfId="6648" xr:uid="{00000000-0005-0000-0000-0000A9240000}"/>
    <cellStyle name="Porcentual 2 28 9" xfId="3014" xr:uid="{00000000-0005-0000-0000-0000AA240000}"/>
    <cellStyle name="Porcentual 2 28 9 2" xfId="6649" xr:uid="{00000000-0005-0000-0000-0000AB240000}"/>
    <cellStyle name="Porcentual 2 29" xfId="3015" xr:uid="{00000000-0005-0000-0000-0000AC240000}"/>
    <cellStyle name="Porcentual 2 29 10" xfId="3016" xr:uid="{00000000-0005-0000-0000-0000AD240000}"/>
    <cellStyle name="Porcentual 2 29 10 2" xfId="6650" xr:uid="{00000000-0005-0000-0000-0000AE240000}"/>
    <cellStyle name="Porcentual 2 29 11" xfId="3017" xr:uid="{00000000-0005-0000-0000-0000AF240000}"/>
    <cellStyle name="Porcentual 2 29 11 2" xfId="6651" xr:uid="{00000000-0005-0000-0000-0000B0240000}"/>
    <cellStyle name="Porcentual 2 29 12" xfId="3018" xr:uid="{00000000-0005-0000-0000-0000B1240000}"/>
    <cellStyle name="Porcentual 2 29 12 2" xfId="6652" xr:uid="{00000000-0005-0000-0000-0000B2240000}"/>
    <cellStyle name="Porcentual 2 29 13" xfId="3019" xr:uid="{00000000-0005-0000-0000-0000B3240000}"/>
    <cellStyle name="Porcentual 2 29 13 2" xfId="6653" xr:uid="{00000000-0005-0000-0000-0000B4240000}"/>
    <cellStyle name="Porcentual 2 29 14" xfId="3020" xr:uid="{00000000-0005-0000-0000-0000B5240000}"/>
    <cellStyle name="Porcentual 2 29 14 2" xfId="6654" xr:uid="{00000000-0005-0000-0000-0000B6240000}"/>
    <cellStyle name="Porcentual 2 29 15" xfId="3021" xr:uid="{00000000-0005-0000-0000-0000B7240000}"/>
    <cellStyle name="Porcentual 2 29 15 2" xfId="6655" xr:uid="{00000000-0005-0000-0000-0000B8240000}"/>
    <cellStyle name="Porcentual 2 29 16" xfId="3022" xr:uid="{00000000-0005-0000-0000-0000B9240000}"/>
    <cellStyle name="Porcentual 2 29 16 2" xfId="6656" xr:uid="{00000000-0005-0000-0000-0000BA240000}"/>
    <cellStyle name="Porcentual 2 29 17" xfId="3023" xr:uid="{00000000-0005-0000-0000-0000BB240000}"/>
    <cellStyle name="Porcentual 2 29 17 2" xfId="6657" xr:uid="{00000000-0005-0000-0000-0000BC240000}"/>
    <cellStyle name="Porcentual 2 29 18" xfId="3024" xr:uid="{00000000-0005-0000-0000-0000BD240000}"/>
    <cellStyle name="Porcentual 2 29 18 2" xfId="6658" xr:uid="{00000000-0005-0000-0000-0000BE240000}"/>
    <cellStyle name="Porcentual 2 29 19" xfId="3025" xr:uid="{00000000-0005-0000-0000-0000BF240000}"/>
    <cellStyle name="Porcentual 2 29 19 2" xfId="6659" xr:uid="{00000000-0005-0000-0000-0000C0240000}"/>
    <cellStyle name="Porcentual 2 29 2" xfId="3026" xr:uid="{00000000-0005-0000-0000-0000C1240000}"/>
    <cellStyle name="Porcentual 2 29 2 2" xfId="6660" xr:uid="{00000000-0005-0000-0000-0000C2240000}"/>
    <cellStyle name="Porcentual 2 29 20" xfId="3027" xr:uid="{00000000-0005-0000-0000-0000C3240000}"/>
    <cellStyle name="Porcentual 2 29 20 2" xfId="6661" xr:uid="{00000000-0005-0000-0000-0000C4240000}"/>
    <cellStyle name="Porcentual 2 29 21" xfId="3028" xr:uid="{00000000-0005-0000-0000-0000C5240000}"/>
    <cellStyle name="Porcentual 2 29 21 2" xfId="6662" xr:uid="{00000000-0005-0000-0000-0000C6240000}"/>
    <cellStyle name="Porcentual 2 29 22" xfId="3029" xr:uid="{00000000-0005-0000-0000-0000C7240000}"/>
    <cellStyle name="Porcentual 2 29 22 2" xfId="6663" xr:uid="{00000000-0005-0000-0000-0000C8240000}"/>
    <cellStyle name="Porcentual 2 29 23" xfId="3030" xr:uid="{00000000-0005-0000-0000-0000C9240000}"/>
    <cellStyle name="Porcentual 2 29 23 2" xfId="6664" xr:uid="{00000000-0005-0000-0000-0000CA240000}"/>
    <cellStyle name="Porcentual 2 29 24" xfId="3031" xr:uid="{00000000-0005-0000-0000-0000CB240000}"/>
    <cellStyle name="Porcentual 2 29 24 2" xfId="6665" xr:uid="{00000000-0005-0000-0000-0000CC240000}"/>
    <cellStyle name="Porcentual 2 29 25" xfId="3032" xr:uid="{00000000-0005-0000-0000-0000CD240000}"/>
    <cellStyle name="Porcentual 2 29 25 2" xfId="6666" xr:uid="{00000000-0005-0000-0000-0000CE240000}"/>
    <cellStyle name="Porcentual 2 29 26" xfId="3033" xr:uid="{00000000-0005-0000-0000-0000CF240000}"/>
    <cellStyle name="Porcentual 2 29 26 2" xfId="6667" xr:uid="{00000000-0005-0000-0000-0000D0240000}"/>
    <cellStyle name="Porcentual 2 29 27" xfId="3034" xr:uid="{00000000-0005-0000-0000-0000D1240000}"/>
    <cellStyle name="Porcentual 2 29 27 2" xfId="6668" xr:uid="{00000000-0005-0000-0000-0000D2240000}"/>
    <cellStyle name="Porcentual 2 29 28" xfId="3035" xr:uid="{00000000-0005-0000-0000-0000D3240000}"/>
    <cellStyle name="Porcentual 2 29 28 2" xfId="6669" xr:uid="{00000000-0005-0000-0000-0000D4240000}"/>
    <cellStyle name="Porcentual 2 29 29" xfId="6670" xr:uid="{00000000-0005-0000-0000-0000D5240000}"/>
    <cellStyle name="Porcentual 2 29 3" xfId="3036" xr:uid="{00000000-0005-0000-0000-0000D6240000}"/>
    <cellStyle name="Porcentual 2 29 3 2" xfId="6671" xr:uid="{00000000-0005-0000-0000-0000D7240000}"/>
    <cellStyle name="Porcentual 2 29 4" xfId="3037" xr:uid="{00000000-0005-0000-0000-0000D8240000}"/>
    <cellStyle name="Porcentual 2 29 4 2" xfId="6672" xr:uid="{00000000-0005-0000-0000-0000D9240000}"/>
    <cellStyle name="Porcentual 2 29 5" xfId="3038" xr:uid="{00000000-0005-0000-0000-0000DA240000}"/>
    <cellStyle name="Porcentual 2 29 5 2" xfId="6673" xr:uid="{00000000-0005-0000-0000-0000DB240000}"/>
    <cellStyle name="Porcentual 2 29 6" xfId="3039" xr:uid="{00000000-0005-0000-0000-0000DC240000}"/>
    <cellStyle name="Porcentual 2 29 6 2" xfId="6674" xr:uid="{00000000-0005-0000-0000-0000DD240000}"/>
    <cellStyle name="Porcentual 2 29 7" xfId="3040" xr:uid="{00000000-0005-0000-0000-0000DE240000}"/>
    <cellStyle name="Porcentual 2 29 7 2" xfId="6675" xr:uid="{00000000-0005-0000-0000-0000DF240000}"/>
    <cellStyle name="Porcentual 2 29 8" xfId="3041" xr:uid="{00000000-0005-0000-0000-0000E0240000}"/>
    <cellStyle name="Porcentual 2 29 8 2" xfId="6676" xr:uid="{00000000-0005-0000-0000-0000E1240000}"/>
    <cellStyle name="Porcentual 2 29 9" xfId="3042" xr:uid="{00000000-0005-0000-0000-0000E2240000}"/>
    <cellStyle name="Porcentual 2 29 9 2" xfId="6677" xr:uid="{00000000-0005-0000-0000-0000E3240000}"/>
    <cellStyle name="Porcentual 2 3" xfId="3043" xr:uid="{00000000-0005-0000-0000-0000E4240000}"/>
    <cellStyle name="Porcentual 2 3 10" xfId="3044" xr:uid="{00000000-0005-0000-0000-0000E5240000}"/>
    <cellStyle name="Porcentual 2 3 10 2" xfId="6678" xr:uid="{00000000-0005-0000-0000-0000E6240000}"/>
    <cellStyle name="Porcentual 2 3 11" xfId="3045" xr:uid="{00000000-0005-0000-0000-0000E7240000}"/>
    <cellStyle name="Porcentual 2 3 11 2" xfId="6679" xr:uid="{00000000-0005-0000-0000-0000E8240000}"/>
    <cellStyle name="Porcentual 2 3 12" xfId="3046" xr:uid="{00000000-0005-0000-0000-0000E9240000}"/>
    <cellStyle name="Porcentual 2 3 12 2" xfId="6680" xr:uid="{00000000-0005-0000-0000-0000EA240000}"/>
    <cellStyle name="Porcentual 2 3 13" xfId="3047" xr:uid="{00000000-0005-0000-0000-0000EB240000}"/>
    <cellStyle name="Porcentual 2 3 13 2" xfId="6681" xr:uid="{00000000-0005-0000-0000-0000EC240000}"/>
    <cellStyle name="Porcentual 2 3 14" xfId="3048" xr:uid="{00000000-0005-0000-0000-0000ED240000}"/>
    <cellStyle name="Porcentual 2 3 14 2" xfId="6682" xr:uid="{00000000-0005-0000-0000-0000EE240000}"/>
    <cellStyle name="Porcentual 2 3 15" xfId="3049" xr:uid="{00000000-0005-0000-0000-0000EF240000}"/>
    <cellStyle name="Porcentual 2 3 15 2" xfId="6683" xr:uid="{00000000-0005-0000-0000-0000F0240000}"/>
    <cellStyle name="Porcentual 2 3 16" xfId="3050" xr:uid="{00000000-0005-0000-0000-0000F1240000}"/>
    <cellStyle name="Porcentual 2 3 16 2" xfId="6684" xr:uid="{00000000-0005-0000-0000-0000F2240000}"/>
    <cellStyle name="Porcentual 2 3 17" xfId="3051" xr:uid="{00000000-0005-0000-0000-0000F3240000}"/>
    <cellStyle name="Porcentual 2 3 17 2" xfId="6685" xr:uid="{00000000-0005-0000-0000-0000F4240000}"/>
    <cellStyle name="Porcentual 2 3 18" xfId="3052" xr:uid="{00000000-0005-0000-0000-0000F5240000}"/>
    <cellStyle name="Porcentual 2 3 18 2" xfId="6686" xr:uid="{00000000-0005-0000-0000-0000F6240000}"/>
    <cellStyle name="Porcentual 2 3 19" xfId="3053" xr:uid="{00000000-0005-0000-0000-0000F7240000}"/>
    <cellStyle name="Porcentual 2 3 19 2" xfId="6687" xr:uid="{00000000-0005-0000-0000-0000F8240000}"/>
    <cellStyle name="Porcentual 2 3 2" xfId="3054" xr:uid="{00000000-0005-0000-0000-0000F9240000}"/>
    <cellStyle name="Porcentual 2 3 2 2" xfId="4260" xr:uid="{00000000-0005-0000-0000-0000FA240000}"/>
    <cellStyle name="Porcentual 2 3 2 2 2" xfId="9695" xr:uid="{00000000-0005-0000-0000-0000FB240000}"/>
    <cellStyle name="Porcentual 2 3 2 2 2 2" xfId="10396" xr:uid="{00000000-0005-0000-0000-0000FC240000}"/>
    <cellStyle name="Porcentual 2 3 2 2 2 2 2" xfId="12131" xr:uid="{00000000-0005-0000-0000-0000FD240000}"/>
    <cellStyle name="Porcentual 2 3 2 2 2 3" xfId="11484" xr:uid="{00000000-0005-0000-0000-0000FE240000}"/>
    <cellStyle name="Porcentual 2 3 2 2 3" xfId="10099" xr:uid="{00000000-0005-0000-0000-0000FF240000}"/>
    <cellStyle name="Porcentual 2 3 2 2 3 2" xfId="11835" xr:uid="{00000000-0005-0000-0000-000000250000}"/>
    <cellStyle name="Porcentual 2 3 2 2 4" xfId="11071" xr:uid="{00000000-0005-0000-0000-000001250000}"/>
    <cellStyle name="Porcentual 2 3 20" xfId="3055" xr:uid="{00000000-0005-0000-0000-000002250000}"/>
    <cellStyle name="Porcentual 2 3 20 2" xfId="6688" xr:uid="{00000000-0005-0000-0000-000003250000}"/>
    <cellStyle name="Porcentual 2 3 21" xfId="3056" xr:uid="{00000000-0005-0000-0000-000004250000}"/>
    <cellStyle name="Porcentual 2 3 21 2" xfId="6689" xr:uid="{00000000-0005-0000-0000-000005250000}"/>
    <cellStyle name="Porcentual 2 3 22" xfId="3057" xr:uid="{00000000-0005-0000-0000-000006250000}"/>
    <cellStyle name="Porcentual 2 3 22 2" xfId="6690" xr:uid="{00000000-0005-0000-0000-000007250000}"/>
    <cellStyle name="Porcentual 2 3 23" xfId="3058" xr:uid="{00000000-0005-0000-0000-000008250000}"/>
    <cellStyle name="Porcentual 2 3 23 2" xfId="6691" xr:uid="{00000000-0005-0000-0000-000009250000}"/>
    <cellStyle name="Porcentual 2 3 24" xfId="3059" xr:uid="{00000000-0005-0000-0000-00000A250000}"/>
    <cellStyle name="Porcentual 2 3 24 2" xfId="6692" xr:uid="{00000000-0005-0000-0000-00000B250000}"/>
    <cellStyle name="Porcentual 2 3 25" xfId="3060" xr:uid="{00000000-0005-0000-0000-00000C250000}"/>
    <cellStyle name="Porcentual 2 3 25 2" xfId="6693" xr:uid="{00000000-0005-0000-0000-00000D250000}"/>
    <cellStyle name="Porcentual 2 3 26" xfId="3061" xr:uid="{00000000-0005-0000-0000-00000E250000}"/>
    <cellStyle name="Porcentual 2 3 26 2" xfId="6694" xr:uid="{00000000-0005-0000-0000-00000F250000}"/>
    <cellStyle name="Porcentual 2 3 27" xfId="3062" xr:uid="{00000000-0005-0000-0000-000010250000}"/>
    <cellStyle name="Porcentual 2 3 27 2" xfId="6695" xr:uid="{00000000-0005-0000-0000-000011250000}"/>
    <cellStyle name="Porcentual 2 3 28" xfId="3063" xr:uid="{00000000-0005-0000-0000-000012250000}"/>
    <cellStyle name="Porcentual 2 3 28 2" xfId="6696" xr:uid="{00000000-0005-0000-0000-000013250000}"/>
    <cellStyle name="Porcentual 2 3 29" xfId="3064" xr:uid="{00000000-0005-0000-0000-000014250000}"/>
    <cellStyle name="Porcentual 2 3 3" xfId="3065" xr:uid="{00000000-0005-0000-0000-000015250000}"/>
    <cellStyle name="Porcentual 2 3 3 2" xfId="6697" xr:uid="{00000000-0005-0000-0000-000016250000}"/>
    <cellStyle name="Porcentual 2 3 30" xfId="3066" xr:uid="{00000000-0005-0000-0000-000017250000}"/>
    <cellStyle name="Porcentual 2 3 31" xfId="3067" xr:uid="{00000000-0005-0000-0000-000018250000}"/>
    <cellStyle name="Porcentual 2 3 32" xfId="3068" xr:uid="{00000000-0005-0000-0000-000019250000}"/>
    <cellStyle name="Porcentual 2 3 33" xfId="3069" xr:uid="{00000000-0005-0000-0000-00001A250000}"/>
    <cellStyle name="Porcentual 2 3 34" xfId="3070" xr:uid="{00000000-0005-0000-0000-00001B250000}"/>
    <cellStyle name="Porcentual 2 3 35" xfId="4128" xr:uid="{00000000-0005-0000-0000-00001C250000}"/>
    <cellStyle name="Porcentual 2 3 35 2" xfId="9592" xr:uid="{00000000-0005-0000-0000-00001D250000}"/>
    <cellStyle name="Porcentual 2 3 35 2 2" xfId="10294" xr:uid="{00000000-0005-0000-0000-00001E250000}"/>
    <cellStyle name="Porcentual 2 3 35 2 2 2" xfId="12029" xr:uid="{00000000-0005-0000-0000-00001F250000}"/>
    <cellStyle name="Porcentual 2 3 35 2 3" xfId="11382" xr:uid="{00000000-0005-0000-0000-000020250000}"/>
    <cellStyle name="Porcentual 2 3 35 3" xfId="9997" xr:uid="{00000000-0005-0000-0000-000021250000}"/>
    <cellStyle name="Porcentual 2 3 35 3 2" xfId="11733" xr:uid="{00000000-0005-0000-0000-000022250000}"/>
    <cellStyle name="Porcentual 2 3 35 4" xfId="10959" xr:uid="{00000000-0005-0000-0000-000023250000}"/>
    <cellStyle name="Porcentual 2 3 36" xfId="4209" xr:uid="{00000000-0005-0000-0000-000024250000}"/>
    <cellStyle name="Porcentual 2 3 36 2" xfId="9644" xr:uid="{00000000-0005-0000-0000-000025250000}"/>
    <cellStyle name="Porcentual 2 3 36 2 2" xfId="10345" xr:uid="{00000000-0005-0000-0000-000026250000}"/>
    <cellStyle name="Porcentual 2 3 36 2 2 2" xfId="12080" xr:uid="{00000000-0005-0000-0000-000027250000}"/>
    <cellStyle name="Porcentual 2 3 36 2 3" xfId="11433" xr:uid="{00000000-0005-0000-0000-000028250000}"/>
    <cellStyle name="Porcentual 2 3 36 3" xfId="10048" xr:uid="{00000000-0005-0000-0000-000029250000}"/>
    <cellStyle name="Porcentual 2 3 36 3 2" xfId="11784" xr:uid="{00000000-0005-0000-0000-00002A250000}"/>
    <cellStyle name="Porcentual 2 3 36 4" xfId="11020" xr:uid="{00000000-0005-0000-0000-00002B250000}"/>
    <cellStyle name="Porcentual 2 3 37" xfId="4333" xr:uid="{00000000-0005-0000-0000-00002C250000}"/>
    <cellStyle name="Porcentual 2 3 37 2" xfId="9744" xr:uid="{00000000-0005-0000-0000-00002D250000}"/>
    <cellStyle name="Porcentual 2 3 37 2 2" xfId="10442" xr:uid="{00000000-0005-0000-0000-00002E250000}"/>
    <cellStyle name="Porcentual 2 3 37 2 2 2" xfId="12177" xr:uid="{00000000-0005-0000-0000-00002F250000}"/>
    <cellStyle name="Porcentual 2 3 37 2 3" xfId="11530" xr:uid="{00000000-0005-0000-0000-000030250000}"/>
    <cellStyle name="Porcentual 2 3 37 3" xfId="10145" xr:uid="{00000000-0005-0000-0000-000031250000}"/>
    <cellStyle name="Porcentual 2 3 37 3 2" xfId="11881" xr:uid="{00000000-0005-0000-0000-000032250000}"/>
    <cellStyle name="Porcentual 2 3 37 4" xfId="11138" xr:uid="{00000000-0005-0000-0000-000033250000}"/>
    <cellStyle name="Porcentual 2 3 4" xfId="3071" xr:uid="{00000000-0005-0000-0000-000034250000}"/>
    <cellStyle name="Porcentual 2 3 4 2" xfId="6698" xr:uid="{00000000-0005-0000-0000-000035250000}"/>
    <cellStyle name="Porcentual 2 3 5" xfId="3072" xr:uid="{00000000-0005-0000-0000-000036250000}"/>
    <cellStyle name="Porcentual 2 3 5 2" xfId="6699" xr:uid="{00000000-0005-0000-0000-000037250000}"/>
    <cellStyle name="Porcentual 2 3 6" xfId="3073" xr:uid="{00000000-0005-0000-0000-000038250000}"/>
    <cellStyle name="Porcentual 2 3 6 2" xfId="6700" xr:uid="{00000000-0005-0000-0000-000039250000}"/>
    <cellStyle name="Porcentual 2 3 7" xfId="3074" xr:uid="{00000000-0005-0000-0000-00003A250000}"/>
    <cellStyle name="Porcentual 2 3 7 2" xfId="6701" xr:uid="{00000000-0005-0000-0000-00003B250000}"/>
    <cellStyle name="Porcentual 2 3 8" xfId="3075" xr:uid="{00000000-0005-0000-0000-00003C250000}"/>
    <cellStyle name="Porcentual 2 3 8 2" xfId="6702" xr:uid="{00000000-0005-0000-0000-00003D250000}"/>
    <cellStyle name="Porcentual 2 3 9" xfId="3076" xr:uid="{00000000-0005-0000-0000-00003E250000}"/>
    <cellStyle name="Porcentual 2 3 9 2" xfId="6703" xr:uid="{00000000-0005-0000-0000-00003F250000}"/>
    <cellStyle name="Porcentual 2 30" xfId="3077" xr:uid="{00000000-0005-0000-0000-000040250000}"/>
    <cellStyle name="Porcentual 2 30 2" xfId="6704" xr:uid="{00000000-0005-0000-0000-000041250000}"/>
    <cellStyle name="Porcentual 2 31" xfId="3078" xr:uid="{00000000-0005-0000-0000-000042250000}"/>
    <cellStyle name="Porcentual 2 31 2" xfId="6705" xr:uid="{00000000-0005-0000-0000-000043250000}"/>
    <cellStyle name="Porcentual 2 32" xfId="3079" xr:uid="{00000000-0005-0000-0000-000044250000}"/>
    <cellStyle name="Porcentual 2 33" xfId="3080" xr:uid="{00000000-0005-0000-0000-000045250000}"/>
    <cellStyle name="Porcentual 2 33 2" xfId="8783" xr:uid="{00000000-0005-0000-0000-000046250000}"/>
    <cellStyle name="Porcentual 2 34" xfId="3081" xr:uid="{00000000-0005-0000-0000-000047250000}"/>
    <cellStyle name="Porcentual 2 34 2" xfId="8784" xr:uid="{00000000-0005-0000-0000-000048250000}"/>
    <cellStyle name="Porcentual 2 35" xfId="3082" xr:uid="{00000000-0005-0000-0000-000049250000}"/>
    <cellStyle name="Porcentual 2 35 2" xfId="8785" xr:uid="{00000000-0005-0000-0000-00004A250000}"/>
    <cellStyle name="Porcentual 2 36" xfId="3083" xr:uid="{00000000-0005-0000-0000-00004B250000}"/>
    <cellStyle name="Porcentual 2 36 2" xfId="8786" xr:uid="{00000000-0005-0000-0000-00004C250000}"/>
    <cellStyle name="Porcentual 2 37" xfId="3084" xr:uid="{00000000-0005-0000-0000-00004D250000}"/>
    <cellStyle name="Porcentual 2 37 2" xfId="8787" xr:uid="{00000000-0005-0000-0000-00004E250000}"/>
    <cellStyle name="Porcentual 2 38" xfId="3085" xr:uid="{00000000-0005-0000-0000-00004F250000}"/>
    <cellStyle name="Porcentual 2 38 2" xfId="8788" xr:uid="{00000000-0005-0000-0000-000050250000}"/>
    <cellStyle name="Porcentual 2 39" xfId="3086" xr:uid="{00000000-0005-0000-0000-000051250000}"/>
    <cellStyle name="Porcentual 2 39 2" xfId="8789" xr:uid="{00000000-0005-0000-0000-000052250000}"/>
    <cellStyle name="Porcentual 2 4" xfId="3087" xr:uid="{00000000-0005-0000-0000-000053250000}"/>
    <cellStyle name="Porcentual 2 4 10" xfId="3088" xr:uid="{00000000-0005-0000-0000-000054250000}"/>
    <cellStyle name="Porcentual 2 4 10 2" xfId="6706" xr:uid="{00000000-0005-0000-0000-000055250000}"/>
    <cellStyle name="Porcentual 2 4 11" xfId="3089" xr:uid="{00000000-0005-0000-0000-000056250000}"/>
    <cellStyle name="Porcentual 2 4 11 2" xfId="6707" xr:uid="{00000000-0005-0000-0000-000057250000}"/>
    <cellStyle name="Porcentual 2 4 12" xfId="3090" xr:uid="{00000000-0005-0000-0000-000058250000}"/>
    <cellStyle name="Porcentual 2 4 12 2" xfId="6708" xr:uid="{00000000-0005-0000-0000-000059250000}"/>
    <cellStyle name="Porcentual 2 4 13" xfId="3091" xr:uid="{00000000-0005-0000-0000-00005A250000}"/>
    <cellStyle name="Porcentual 2 4 13 2" xfId="6709" xr:uid="{00000000-0005-0000-0000-00005B250000}"/>
    <cellStyle name="Porcentual 2 4 14" xfId="3092" xr:uid="{00000000-0005-0000-0000-00005C250000}"/>
    <cellStyle name="Porcentual 2 4 14 2" xfId="6710" xr:uid="{00000000-0005-0000-0000-00005D250000}"/>
    <cellStyle name="Porcentual 2 4 15" xfId="3093" xr:uid="{00000000-0005-0000-0000-00005E250000}"/>
    <cellStyle name="Porcentual 2 4 15 2" xfId="6711" xr:uid="{00000000-0005-0000-0000-00005F250000}"/>
    <cellStyle name="Porcentual 2 4 16" xfId="3094" xr:uid="{00000000-0005-0000-0000-000060250000}"/>
    <cellStyle name="Porcentual 2 4 16 2" xfId="6712" xr:uid="{00000000-0005-0000-0000-000061250000}"/>
    <cellStyle name="Porcentual 2 4 17" xfId="3095" xr:uid="{00000000-0005-0000-0000-000062250000}"/>
    <cellStyle name="Porcentual 2 4 17 2" xfId="6713" xr:uid="{00000000-0005-0000-0000-000063250000}"/>
    <cellStyle name="Porcentual 2 4 18" xfId="3096" xr:uid="{00000000-0005-0000-0000-000064250000}"/>
    <cellStyle name="Porcentual 2 4 18 2" xfId="6714" xr:uid="{00000000-0005-0000-0000-000065250000}"/>
    <cellStyle name="Porcentual 2 4 19" xfId="3097" xr:uid="{00000000-0005-0000-0000-000066250000}"/>
    <cellStyle name="Porcentual 2 4 19 2" xfId="6715" xr:uid="{00000000-0005-0000-0000-000067250000}"/>
    <cellStyle name="Porcentual 2 4 2" xfId="3098" xr:uid="{00000000-0005-0000-0000-000068250000}"/>
    <cellStyle name="Porcentual 2 4 2 2" xfId="4242" xr:uid="{00000000-0005-0000-0000-000069250000}"/>
    <cellStyle name="Porcentual 2 4 2 2 2" xfId="9677" xr:uid="{00000000-0005-0000-0000-00006A250000}"/>
    <cellStyle name="Porcentual 2 4 2 2 2 2" xfId="10378" xr:uid="{00000000-0005-0000-0000-00006B250000}"/>
    <cellStyle name="Porcentual 2 4 2 2 2 2 2" xfId="12113" xr:uid="{00000000-0005-0000-0000-00006C250000}"/>
    <cellStyle name="Porcentual 2 4 2 2 2 3" xfId="11466" xr:uid="{00000000-0005-0000-0000-00006D250000}"/>
    <cellStyle name="Porcentual 2 4 2 2 3" xfId="10081" xr:uid="{00000000-0005-0000-0000-00006E250000}"/>
    <cellStyle name="Porcentual 2 4 2 2 3 2" xfId="11817" xr:uid="{00000000-0005-0000-0000-00006F250000}"/>
    <cellStyle name="Porcentual 2 4 2 2 4" xfId="11053" xr:uid="{00000000-0005-0000-0000-000070250000}"/>
    <cellStyle name="Porcentual 2 4 20" xfId="3099" xr:uid="{00000000-0005-0000-0000-000071250000}"/>
    <cellStyle name="Porcentual 2 4 20 2" xfId="6716" xr:uid="{00000000-0005-0000-0000-000072250000}"/>
    <cellStyle name="Porcentual 2 4 21" xfId="3100" xr:uid="{00000000-0005-0000-0000-000073250000}"/>
    <cellStyle name="Porcentual 2 4 21 2" xfId="6717" xr:uid="{00000000-0005-0000-0000-000074250000}"/>
    <cellStyle name="Porcentual 2 4 22" xfId="3101" xr:uid="{00000000-0005-0000-0000-000075250000}"/>
    <cellStyle name="Porcentual 2 4 22 2" xfId="6718" xr:uid="{00000000-0005-0000-0000-000076250000}"/>
    <cellStyle name="Porcentual 2 4 23" xfId="3102" xr:uid="{00000000-0005-0000-0000-000077250000}"/>
    <cellStyle name="Porcentual 2 4 23 2" xfId="6719" xr:uid="{00000000-0005-0000-0000-000078250000}"/>
    <cellStyle name="Porcentual 2 4 24" xfId="3103" xr:uid="{00000000-0005-0000-0000-000079250000}"/>
    <cellStyle name="Porcentual 2 4 24 2" xfId="6720" xr:uid="{00000000-0005-0000-0000-00007A250000}"/>
    <cellStyle name="Porcentual 2 4 25" xfId="3104" xr:uid="{00000000-0005-0000-0000-00007B250000}"/>
    <cellStyle name="Porcentual 2 4 25 2" xfId="6721" xr:uid="{00000000-0005-0000-0000-00007C250000}"/>
    <cellStyle name="Porcentual 2 4 26" xfId="3105" xr:uid="{00000000-0005-0000-0000-00007D250000}"/>
    <cellStyle name="Porcentual 2 4 26 2" xfId="6722" xr:uid="{00000000-0005-0000-0000-00007E250000}"/>
    <cellStyle name="Porcentual 2 4 27" xfId="3106" xr:uid="{00000000-0005-0000-0000-00007F250000}"/>
    <cellStyle name="Porcentual 2 4 27 2" xfId="6723" xr:uid="{00000000-0005-0000-0000-000080250000}"/>
    <cellStyle name="Porcentual 2 4 28" xfId="3107" xr:uid="{00000000-0005-0000-0000-000081250000}"/>
    <cellStyle name="Porcentual 2 4 28 2" xfId="6724" xr:uid="{00000000-0005-0000-0000-000082250000}"/>
    <cellStyle name="Porcentual 2 4 29" xfId="3108" xr:uid="{00000000-0005-0000-0000-000083250000}"/>
    <cellStyle name="Porcentual 2 4 3" xfId="3109" xr:uid="{00000000-0005-0000-0000-000084250000}"/>
    <cellStyle name="Porcentual 2 4 3 2" xfId="6725" xr:uid="{00000000-0005-0000-0000-000085250000}"/>
    <cellStyle name="Porcentual 2 4 30" xfId="3110" xr:uid="{00000000-0005-0000-0000-000086250000}"/>
    <cellStyle name="Porcentual 2 4 31" xfId="3111" xr:uid="{00000000-0005-0000-0000-000087250000}"/>
    <cellStyle name="Porcentual 2 4 32" xfId="3112" xr:uid="{00000000-0005-0000-0000-000088250000}"/>
    <cellStyle name="Porcentual 2 4 33" xfId="3113" xr:uid="{00000000-0005-0000-0000-000089250000}"/>
    <cellStyle name="Porcentual 2 4 34" xfId="3114" xr:uid="{00000000-0005-0000-0000-00008A250000}"/>
    <cellStyle name="Porcentual 2 4 35" xfId="4089" xr:uid="{00000000-0005-0000-0000-00008B250000}"/>
    <cellStyle name="Porcentual 2 4 35 2" xfId="9573" xr:uid="{00000000-0005-0000-0000-00008C250000}"/>
    <cellStyle name="Porcentual 2 4 35 2 2" xfId="10276" xr:uid="{00000000-0005-0000-0000-00008D250000}"/>
    <cellStyle name="Porcentual 2 4 35 2 2 2" xfId="12011" xr:uid="{00000000-0005-0000-0000-00008E250000}"/>
    <cellStyle name="Porcentual 2 4 35 2 3" xfId="11364" xr:uid="{00000000-0005-0000-0000-00008F250000}"/>
    <cellStyle name="Porcentual 2 4 35 3" xfId="9979" xr:uid="{00000000-0005-0000-0000-000090250000}"/>
    <cellStyle name="Porcentual 2 4 35 3 2" xfId="11715" xr:uid="{00000000-0005-0000-0000-000091250000}"/>
    <cellStyle name="Porcentual 2 4 35 4" xfId="10938" xr:uid="{00000000-0005-0000-0000-000092250000}"/>
    <cellStyle name="Porcentual 2 4 36" xfId="4191" xr:uid="{00000000-0005-0000-0000-000093250000}"/>
    <cellStyle name="Porcentual 2 4 36 2" xfId="9626" xr:uid="{00000000-0005-0000-0000-000094250000}"/>
    <cellStyle name="Porcentual 2 4 36 2 2" xfId="10327" xr:uid="{00000000-0005-0000-0000-000095250000}"/>
    <cellStyle name="Porcentual 2 4 36 2 2 2" xfId="12062" xr:uid="{00000000-0005-0000-0000-000096250000}"/>
    <cellStyle name="Porcentual 2 4 36 2 3" xfId="11415" xr:uid="{00000000-0005-0000-0000-000097250000}"/>
    <cellStyle name="Porcentual 2 4 36 3" xfId="10030" xr:uid="{00000000-0005-0000-0000-000098250000}"/>
    <cellStyle name="Porcentual 2 4 36 3 2" xfId="11766" xr:uid="{00000000-0005-0000-0000-000099250000}"/>
    <cellStyle name="Porcentual 2 4 36 4" xfId="11002" xr:uid="{00000000-0005-0000-0000-00009A250000}"/>
    <cellStyle name="Porcentual 2 4 4" xfId="3115" xr:uid="{00000000-0005-0000-0000-00009B250000}"/>
    <cellStyle name="Porcentual 2 4 4 2" xfId="6726" xr:uid="{00000000-0005-0000-0000-00009C250000}"/>
    <cellStyle name="Porcentual 2 4 5" xfId="3116" xr:uid="{00000000-0005-0000-0000-00009D250000}"/>
    <cellStyle name="Porcentual 2 4 5 2" xfId="6727" xr:uid="{00000000-0005-0000-0000-00009E250000}"/>
    <cellStyle name="Porcentual 2 4 6" xfId="3117" xr:uid="{00000000-0005-0000-0000-00009F250000}"/>
    <cellStyle name="Porcentual 2 4 6 2" xfId="6728" xr:uid="{00000000-0005-0000-0000-0000A0250000}"/>
    <cellStyle name="Porcentual 2 4 7" xfId="3118" xr:uid="{00000000-0005-0000-0000-0000A1250000}"/>
    <cellStyle name="Porcentual 2 4 7 2" xfId="6729" xr:uid="{00000000-0005-0000-0000-0000A2250000}"/>
    <cellStyle name="Porcentual 2 4 8" xfId="3119" xr:uid="{00000000-0005-0000-0000-0000A3250000}"/>
    <cellStyle name="Porcentual 2 4 8 2" xfId="6730" xr:uid="{00000000-0005-0000-0000-0000A4250000}"/>
    <cellStyle name="Porcentual 2 4 9" xfId="3120" xr:uid="{00000000-0005-0000-0000-0000A5250000}"/>
    <cellStyle name="Porcentual 2 4 9 2" xfId="6731" xr:uid="{00000000-0005-0000-0000-0000A6250000}"/>
    <cellStyle name="Porcentual 2 40" xfId="3121" xr:uid="{00000000-0005-0000-0000-0000A7250000}"/>
    <cellStyle name="Porcentual 2 40 2" xfId="8790" xr:uid="{00000000-0005-0000-0000-0000A8250000}"/>
    <cellStyle name="Porcentual 2 41" xfId="3122" xr:uid="{00000000-0005-0000-0000-0000A9250000}"/>
    <cellStyle name="Porcentual 2 41 2" xfId="8791" xr:uid="{00000000-0005-0000-0000-0000AA250000}"/>
    <cellStyle name="Porcentual 2 42" xfId="3123" xr:uid="{00000000-0005-0000-0000-0000AB250000}"/>
    <cellStyle name="Porcentual 2 42 2" xfId="8792" xr:uid="{00000000-0005-0000-0000-0000AC250000}"/>
    <cellStyle name="Porcentual 2 43" xfId="3124" xr:uid="{00000000-0005-0000-0000-0000AD250000}"/>
    <cellStyle name="Porcentual 2 43 2" xfId="8793" xr:uid="{00000000-0005-0000-0000-0000AE250000}"/>
    <cellStyle name="Porcentual 2 44" xfId="3125" xr:uid="{00000000-0005-0000-0000-0000AF250000}"/>
    <cellStyle name="Porcentual 2 44 2" xfId="8794" xr:uid="{00000000-0005-0000-0000-0000B0250000}"/>
    <cellStyle name="Porcentual 2 45" xfId="3126" xr:uid="{00000000-0005-0000-0000-0000B1250000}"/>
    <cellStyle name="Porcentual 2 45 2" xfId="8795" xr:uid="{00000000-0005-0000-0000-0000B2250000}"/>
    <cellStyle name="Porcentual 2 46" xfId="3127" xr:uid="{00000000-0005-0000-0000-0000B3250000}"/>
    <cellStyle name="Porcentual 2 46 2" xfId="8796" xr:uid="{00000000-0005-0000-0000-0000B4250000}"/>
    <cellStyle name="Porcentual 2 47" xfId="3128" xr:uid="{00000000-0005-0000-0000-0000B5250000}"/>
    <cellStyle name="Porcentual 2 47 2" xfId="8797" xr:uid="{00000000-0005-0000-0000-0000B6250000}"/>
    <cellStyle name="Porcentual 2 48" xfId="3129" xr:uid="{00000000-0005-0000-0000-0000B7250000}"/>
    <cellStyle name="Porcentual 2 48 2" xfId="8798" xr:uid="{00000000-0005-0000-0000-0000B8250000}"/>
    <cellStyle name="Porcentual 2 49" xfId="3130" xr:uid="{00000000-0005-0000-0000-0000B9250000}"/>
    <cellStyle name="Porcentual 2 49 2" xfId="8799" xr:uid="{00000000-0005-0000-0000-0000BA250000}"/>
    <cellStyle name="Porcentual 2 5" xfId="3131" xr:uid="{00000000-0005-0000-0000-0000BB250000}"/>
    <cellStyle name="Porcentual 2 5 10" xfId="3132" xr:uid="{00000000-0005-0000-0000-0000BC250000}"/>
    <cellStyle name="Porcentual 2 5 10 2" xfId="6732" xr:uid="{00000000-0005-0000-0000-0000BD250000}"/>
    <cellStyle name="Porcentual 2 5 11" xfId="3133" xr:uid="{00000000-0005-0000-0000-0000BE250000}"/>
    <cellStyle name="Porcentual 2 5 11 2" xfId="6733" xr:uid="{00000000-0005-0000-0000-0000BF250000}"/>
    <cellStyle name="Porcentual 2 5 12" xfId="3134" xr:uid="{00000000-0005-0000-0000-0000C0250000}"/>
    <cellStyle name="Porcentual 2 5 12 2" xfId="6734" xr:uid="{00000000-0005-0000-0000-0000C1250000}"/>
    <cellStyle name="Porcentual 2 5 13" xfId="3135" xr:uid="{00000000-0005-0000-0000-0000C2250000}"/>
    <cellStyle name="Porcentual 2 5 13 2" xfId="6735" xr:uid="{00000000-0005-0000-0000-0000C3250000}"/>
    <cellStyle name="Porcentual 2 5 14" xfId="3136" xr:uid="{00000000-0005-0000-0000-0000C4250000}"/>
    <cellStyle name="Porcentual 2 5 14 2" xfId="6736" xr:uid="{00000000-0005-0000-0000-0000C5250000}"/>
    <cellStyle name="Porcentual 2 5 15" xfId="3137" xr:uid="{00000000-0005-0000-0000-0000C6250000}"/>
    <cellStyle name="Porcentual 2 5 15 2" xfId="6737" xr:uid="{00000000-0005-0000-0000-0000C7250000}"/>
    <cellStyle name="Porcentual 2 5 16" xfId="3138" xr:uid="{00000000-0005-0000-0000-0000C8250000}"/>
    <cellStyle name="Porcentual 2 5 16 2" xfId="6738" xr:uid="{00000000-0005-0000-0000-0000C9250000}"/>
    <cellStyle name="Porcentual 2 5 17" xfId="3139" xr:uid="{00000000-0005-0000-0000-0000CA250000}"/>
    <cellStyle name="Porcentual 2 5 17 2" xfId="6739" xr:uid="{00000000-0005-0000-0000-0000CB250000}"/>
    <cellStyle name="Porcentual 2 5 18" xfId="3140" xr:uid="{00000000-0005-0000-0000-0000CC250000}"/>
    <cellStyle name="Porcentual 2 5 18 2" xfId="6740" xr:uid="{00000000-0005-0000-0000-0000CD250000}"/>
    <cellStyle name="Porcentual 2 5 19" xfId="3141" xr:uid="{00000000-0005-0000-0000-0000CE250000}"/>
    <cellStyle name="Porcentual 2 5 19 2" xfId="6741" xr:uid="{00000000-0005-0000-0000-0000CF250000}"/>
    <cellStyle name="Porcentual 2 5 2" xfId="3142" xr:uid="{00000000-0005-0000-0000-0000D0250000}"/>
    <cellStyle name="Porcentual 2 5 2 2" xfId="6742" xr:uid="{00000000-0005-0000-0000-0000D1250000}"/>
    <cellStyle name="Porcentual 2 5 20" xfId="3143" xr:uid="{00000000-0005-0000-0000-0000D2250000}"/>
    <cellStyle name="Porcentual 2 5 20 2" xfId="6743" xr:uid="{00000000-0005-0000-0000-0000D3250000}"/>
    <cellStyle name="Porcentual 2 5 21" xfId="3144" xr:uid="{00000000-0005-0000-0000-0000D4250000}"/>
    <cellStyle name="Porcentual 2 5 21 2" xfId="6744" xr:uid="{00000000-0005-0000-0000-0000D5250000}"/>
    <cellStyle name="Porcentual 2 5 22" xfId="3145" xr:uid="{00000000-0005-0000-0000-0000D6250000}"/>
    <cellStyle name="Porcentual 2 5 22 2" xfId="6745" xr:uid="{00000000-0005-0000-0000-0000D7250000}"/>
    <cellStyle name="Porcentual 2 5 23" xfId="3146" xr:uid="{00000000-0005-0000-0000-0000D8250000}"/>
    <cellStyle name="Porcentual 2 5 23 2" xfId="6746" xr:uid="{00000000-0005-0000-0000-0000D9250000}"/>
    <cellStyle name="Porcentual 2 5 24" xfId="3147" xr:uid="{00000000-0005-0000-0000-0000DA250000}"/>
    <cellStyle name="Porcentual 2 5 24 2" xfId="6747" xr:uid="{00000000-0005-0000-0000-0000DB250000}"/>
    <cellStyle name="Porcentual 2 5 25" xfId="3148" xr:uid="{00000000-0005-0000-0000-0000DC250000}"/>
    <cellStyle name="Porcentual 2 5 25 2" xfId="6748" xr:uid="{00000000-0005-0000-0000-0000DD250000}"/>
    <cellStyle name="Porcentual 2 5 26" xfId="3149" xr:uid="{00000000-0005-0000-0000-0000DE250000}"/>
    <cellStyle name="Porcentual 2 5 26 2" xfId="6749" xr:uid="{00000000-0005-0000-0000-0000DF250000}"/>
    <cellStyle name="Porcentual 2 5 27" xfId="3150" xr:uid="{00000000-0005-0000-0000-0000E0250000}"/>
    <cellStyle name="Porcentual 2 5 27 2" xfId="6750" xr:uid="{00000000-0005-0000-0000-0000E1250000}"/>
    <cellStyle name="Porcentual 2 5 28" xfId="3151" xr:uid="{00000000-0005-0000-0000-0000E2250000}"/>
    <cellStyle name="Porcentual 2 5 28 2" xfId="6751" xr:uid="{00000000-0005-0000-0000-0000E3250000}"/>
    <cellStyle name="Porcentual 2 5 29" xfId="3152" xr:uid="{00000000-0005-0000-0000-0000E4250000}"/>
    <cellStyle name="Porcentual 2 5 3" xfId="3153" xr:uid="{00000000-0005-0000-0000-0000E5250000}"/>
    <cellStyle name="Porcentual 2 5 3 2" xfId="6752" xr:uid="{00000000-0005-0000-0000-0000E6250000}"/>
    <cellStyle name="Porcentual 2 5 30" xfId="3154" xr:uid="{00000000-0005-0000-0000-0000E7250000}"/>
    <cellStyle name="Porcentual 2 5 31" xfId="3155" xr:uid="{00000000-0005-0000-0000-0000E8250000}"/>
    <cellStyle name="Porcentual 2 5 32" xfId="3156" xr:uid="{00000000-0005-0000-0000-0000E9250000}"/>
    <cellStyle name="Porcentual 2 5 33" xfId="3157" xr:uid="{00000000-0005-0000-0000-0000EA250000}"/>
    <cellStyle name="Porcentual 2 5 34" xfId="3158" xr:uid="{00000000-0005-0000-0000-0000EB250000}"/>
    <cellStyle name="Porcentual 2 5 35" xfId="4226" xr:uid="{00000000-0005-0000-0000-0000EC250000}"/>
    <cellStyle name="Porcentual 2 5 35 2" xfId="9661" xr:uid="{00000000-0005-0000-0000-0000ED250000}"/>
    <cellStyle name="Porcentual 2 5 35 2 2" xfId="10362" xr:uid="{00000000-0005-0000-0000-0000EE250000}"/>
    <cellStyle name="Porcentual 2 5 35 2 2 2" xfId="12097" xr:uid="{00000000-0005-0000-0000-0000EF250000}"/>
    <cellStyle name="Porcentual 2 5 35 2 3" xfId="11450" xr:uid="{00000000-0005-0000-0000-0000F0250000}"/>
    <cellStyle name="Porcentual 2 5 35 3" xfId="10065" xr:uid="{00000000-0005-0000-0000-0000F1250000}"/>
    <cellStyle name="Porcentual 2 5 35 3 2" xfId="11801" xr:uid="{00000000-0005-0000-0000-0000F2250000}"/>
    <cellStyle name="Porcentual 2 5 35 4" xfId="11037" xr:uid="{00000000-0005-0000-0000-0000F3250000}"/>
    <cellStyle name="Porcentual 2 5 4" xfId="3159" xr:uid="{00000000-0005-0000-0000-0000F4250000}"/>
    <cellStyle name="Porcentual 2 5 4 2" xfId="6753" xr:uid="{00000000-0005-0000-0000-0000F5250000}"/>
    <cellStyle name="Porcentual 2 5 5" xfId="3160" xr:uid="{00000000-0005-0000-0000-0000F6250000}"/>
    <cellStyle name="Porcentual 2 5 5 2" xfId="6754" xr:uid="{00000000-0005-0000-0000-0000F7250000}"/>
    <cellStyle name="Porcentual 2 5 6" xfId="3161" xr:uid="{00000000-0005-0000-0000-0000F8250000}"/>
    <cellStyle name="Porcentual 2 5 6 2" xfId="6755" xr:uid="{00000000-0005-0000-0000-0000F9250000}"/>
    <cellStyle name="Porcentual 2 5 7" xfId="3162" xr:uid="{00000000-0005-0000-0000-0000FA250000}"/>
    <cellStyle name="Porcentual 2 5 7 2" xfId="6756" xr:uid="{00000000-0005-0000-0000-0000FB250000}"/>
    <cellStyle name="Porcentual 2 5 8" xfId="3163" xr:uid="{00000000-0005-0000-0000-0000FC250000}"/>
    <cellStyle name="Porcentual 2 5 8 2" xfId="6757" xr:uid="{00000000-0005-0000-0000-0000FD250000}"/>
    <cellStyle name="Porcentual 2 5 9" xfId="3164" xr:uid="{00000000-0005-0000-0000-0000FE250000}"/>
    <cellStyle name="Porcentual 2 5 9 2" xfId="6758" xr:uid="{00000000-0005-0000-0000-0000FF250000}"/>
    <cellStyle name="Porcentual 2 50" xfId="3165" xr:uid="{00000000-0005-0000-0000-000000260000}"/>
    <cellStyle name="Porcentual 2 50 2" xfId="8800" xr:uid="{00000000-0005-0000-0000-000001260000}"/>
    <cellStyle name="Porcentual 2 51" xfId="3166" xr:uid="{00000000-0005-0000-0000-000002260000}"/>
    <cellStyle name="Porcentual 2 51 2" xfId="8801" xr:uid="{00000000-0005-0000-0000-000003260000}"/>
    <cellStyle name="Porcentual 2 52" xfId="3167" xr:uid="{00000000-0005-0000-0000-000004260000}"/>
    <cellStyle name="Porcentual 2 52 2" xfId="8802" xr:uid="{00000000-0005-0000-0000-000005260000}"/>
    <cellStyle name="Porcentual 2 53" xfId="3168" xr:uid="{00000000-0005-0000-0000-000006260000}"/>
    <cellStyle name="Porcentual 2 53 2" xfId="8803" xr:uid="{00000000-0005-0000-0000-000007260000}"/>
    <cellStyle name="Porcentual 2 54" xfId="3169" xr:uid="{00000000-0005-0000-0000-000008260000}"/>
    <cellStyle name="Porcentual 2 54 2" xfId="8804" xr:uid="{00000000-0005-0000-0000-000009260000}"/>
    <cellStyle name="Porcentual 2 55" xfId="3170" xr:uid="{00000000-0005-0000-0000-00000A260000}"/>
    <cellStyle name="Porcentual 2 55 2" xfId="8805" xr:uid="{00000000-0005-0000-0000-00000B260000}"/>
    <cellStyle name="Porcentual 2 56" xfId="3171" xr:uid="{00000000-0005-0000-0000-00000C260000}"/>
    <cellStyle name="Porcentual 2 56 2" xfId="8806" xr:uid="{00000000-0005-0000-0000-00000D260000}"/>
    <cellStyle name="Porcentual 2 57" xfId="3172" xr:uid="{00000000-0005-0000-0000-00000E260000}"/>
    <cellStyle name="Porcentual 2 57 2" xfId="8807" xr:uid="{00000000-0005-0000-0000-00000F260000}"/>
    <cellStyle name="Porcentual 2 58" xfId="3173" xr:uid="{00000000-0005-0000-0000-000010260000}"/>
    <cellStyle name="Porcentual 2 58 2" xfId="8808" xr:uid="{00000000-0005-0000-0000-000011260000}"/>
    <cellStyle name="Porcentual 2 59" xfId="3174" xr:uid="{00000000-0005-0000-0000-000012260000}"/>
    <cellStyle name="Porcentual 2 59 2" xfId="8809" xr:uid="{00000000-0005-0000-0000-000013260000}"/>
    <cellStyle name="Porcentual 2 6" xfId="3175" xr:uid="{00000000-0005-0000-0000-000014260000}"/>
    <cellStyle name="Porcentual 2 6 10" xfId="3176" xr:uid="{00000000-0005-0000-0000-000015260000}"/>
    <cellStyle name="Porcentual 2 6 10 2" xfId="6759" xr:uid="{00000000-0005-0000-0000-000016260000}"/>
    <cellStyle name="Porcentual 2 6 11" xfId="3177" xr:uid="{00000000-0005-0000-0000-000017260000}"/>
    <cellStyle name="Porcentual 2 6 11 2" xfId="6760" xr:uid="{00000000-0005-0000-0000-000018260000}"/>
    <cellStyle name="Porcentual 2 6 12" xfId="3178" xr:uid="{00000000-0005-0000-0000-000019260000}"/>
    <cellStyle name="Porcentual 2 6 12 2" xfId="6761" xr:uid="{00000000-0005-0000-0000-00001A260000}"/>
    <cellStyle name="Porcentual 2 6 13" xfId="3179" xr:uid="{00000000-0005-0000-0000-00001B260000}"/>
    <cellStyle name="Porcentual 2 6 13 2" xfId="6762" xr:uid="{00000000-0005-0000-0000-00001C260000}"/>
    <cellStyle name="Porcentual 2 6 14" xfId="3180" xr:uid="{00000000-0005-0000-0000-00001D260000}"/>
    <cellStyle name="Porcentual 2 6 14 2" xfId="6763" xr:uid="{00000000-0005-0000-0000-00001E260000}"/>
    <cellStyle name="Porcentual 2 6 15" xfId="3181" xr:uid="{00000000-0005-0000-0000-00001F260000}"/>
    <cellStyle name="Porcentual 2 6 15 2" xfId="6764" xr:uid="{00000000-0005-0000-0000-000020260000}"/>
    <cellStyle name="Porcentual 2 6 16" xfId="3182" xr:uid="{00000000-0005-0000-0000-000021260000}"/>
    <cellStyle name="Porcentual 2 6 16 2" xfId="6765" xr:uid="{00000000-0005-0000-0000-000022260000}"/>
    <cellStyle name="Porcentual 2 6 17" xfId="3183" xr:uid="{00000000-0005-0000-0000-000023260000}"/>
    <cellStyle name="Porcentual 2 6 17 2" xfId="6766" xr:uid="{00000000-0005-0000-0000-000024260000}"/>
    <cellStyle name="Porcentual 2 6 18" xfId="3184" xr:uid="{00000000-0005-0000-0000-000025260000}"/>
    <cellStyle name="Porcentual 2 6 18 2" xfId="6767" xr:uid="{00000000-0005-0000-0000-000026260000}"/>
    <cellStyle name="Porcentual 2 6 19" xfId="3185" xr:uid="{00000000-0005-0000-0000-000027260000}"/>
    <cellStyle name="Porcentual 2 6 19 2" xfId="6768" xr:uid="{00000000-0005-0000-0000-000028260000}"/>
    <cellStyle name="Porcentual 2 6 2" xfId="3186" xr:uid="{00000000-0005-0000-0000-000029260000}"/>
    <cellStyle name="Porcentual 2 6 2 2" xfId="6769" xr:uid="{00000000-0005-0000-0000-00002A260000}"/>
    <cellStyle name="Porcentual 2 6 20" xfId="3187" xr:uid="{00000000-0005-0000-0000-00002B260000}"/>
    <cellStyle name="Porcentual 2 6 20 2" xfId="6770" xr:uid="{00000000-0005-0000-0000-00002C260000}"/>
    <cellStyle name="Porcentual 2 6 21" xfId="3188" xr:uid="{00000000-0005-0000-0000-00002D260000}"/>
    <cellStyle name="Porcentual 2 6 21 2" xfId="6771" xr:uid="{00000000-0005-0000-0000-00002E260000}"/>
    <cellStyle name="Porcentual 2 6 22" xfId="3189" xr:uid="{00000000-0005-0000-0000-00002F260000}"/>
    <cellStyle name="Porcentual 2 6 22 2" xfId="6772" xr:uid="{00000000-0005-0000-0000-000030260000}"/>
    <cellStyle name="Porcentual 2 6 23" xfId="3190" xr:uid="{00000000-0005-0000-0000-000031260000}"/>
    <cellStyle name="Porcentual 2 6 23 2" xfId="6773" xr:uid="{00000000-0005-0000-0000-000032260000}"/>
    <cellStyle name="Porcentual 2 6 24" xfId="3191" xr:uid="{00000000-0005-0000-0000-000033260000}"/>
    <cellStyle name="Porcentual 2 6 24 2" xfId="6774" xr:uid="{00000000-0005-0000-0000-000034260000}"/>
    <cellStyle name="Porcentual 2 6 25" xfId="3192" xr:uid="{00000000-0005-0000-0000-000035260000}"/>
    <cellStyle name="Porcentual 2 6 25 2" xfId="6775" xr:uid="{00000000-0005-0000-0000-000036260000}"/>
    <cellStyle name="Porcentual 2 6 26" xfId="3193" xr:uid="{00000000-0005-0000-0000-000037260000}"/>
    <cellStyle name="Porcentual 2 6 26 2" xfId="6776" xr:uid="{00000000-0005-0000-0000-000038260000}"/>
    <cellStyle name="Porcentual 2 6 27" xfId="3194" xr:uid="{00000000-0005-0000-0000-000039260000}"/>
    <cellStyle name="Porcentual 2 6 27 2" xfId="6777" xr:uid="{00000000-0005-0000-0000-00003A260000}"/>
    <cellStyle name="Porcentual 2 6 28" xfId="3195" xr:uid="{00000000-0005-0000-0000-00003B260000}"/>
    <cellStyle name="Porcentual 2 6 28 2" xfId="6778" xr:uid="{00000000-0005-0000-0000-00003C260000}"/>
    <cellStyle name="Porcentual 2 6 29" xfId="6779" xr:uid="{00000000-0005-0000-0000-00003D260000}"/>
    <cellStyle name="Porcentual 2 6 3" xfId="3196" xr:uid="{00000000-0005-0000-0000-00003E260000}"/>
    <cellStyle name="Porcentual 2 6 3 2" xfId="6780" xr:uid="{00000000-0005-0000-0000-00003F260000}"/>
    <cellStyle name="Porcentual 2 6 4" xfId="3197" xr:uid="{00000000-0005-0000-0000-000040260000}"/>
    <cellStyle name="Porcentual 2 6 4 2" xfId="6781" xr:uid="{00000000-0005-0000-0000-000041260000}"/>
    <cellStyle name="Porcentual 2 6 5" xfId="3198" xr:uid="{00000000-0005-0000-0000-000042260000}"/>
    <cellStyle name="Porcentual 2 6 5 2" xfId="6782" xr:uid="{00000000-0005-0000-0000-000043260000}"/>
    <cellStyle name="Porcentual 2 6 6" xfId="3199" xr:uid="{00000000-0005-0000-0000-000044260000}"/>
    <cellStyle name="Porcentual 2 6 6 2" xfId="6783" xr:uid="{00000000-0005-0000-0000-000045260000}"/>
    <cellStyle name="Porcentual 2 6 7" xfId="3200" xr:uid="{00000000-0005-0000-0000-000046260000}"/>
    <cellStyle name="Porcentual 2 6 7 2" xfId="6784" xr:uid="{00000000-0005-0000-0000-000047260000}"/>
    <cellStyle name="Porcentual 2 6 8" xfId="3201" xr:uid="{00000000-0005-0000-0000-000048260000}"/>
    <cellStyle name="Porcentual 2 6 8 2" xfId="6785" xr:uid="{00000000-0005-0000-0000-000049260000}"/>
    <cellStyle name="Porcentual 2 6 9" xfId="3202" xr:uid="{00000000-0005-0000-0000-00004A260000}"/>
    <cellStyle name="Porcentual 2 6 9 2" xfId="6786" xr:uid="{00000000-0005-0000-0000-00004B260000}"/>
    <cellStyle name="Porcentual 2 60" xfId="3203" xr:uid="{00000000-0005-0000-0000-00004C260000}"/>
    <cellStyle name="Porcentual 2 60 2" xfId="8810" xr:uid="{00000000-0005-0000-0000-00004D260000}"/>
    <cellStyle name="Porcentual 2 61" xfId="3204" xr:uid="{00000000-0005-0000-0000-00004E260000}"/>
    <cellStyle name="Porcentual 2 61 2" xfId="8811" xr:uid="{00000000-0005-0000-0000-00004F260000}"/>
    <cellStyle name="Porcentual 2 62" xfId="3205" xr:uid="{00000000-0005-0000-0000-000050260000}"/>
    <cellStyle name="Porcentual 2 62 2" xfId="8812" xr:uid="{00000000-0005-0000-0000-000051260000}"/>
    <cellStyle name="Porcentual 2 63" xfId="3206" xr:uid="{00000000-0005-0000-0000-000052260000}"/>
    <cellStyle name="Porcentual 2 63 2" xfId="8813" xr:uid="{00000000-0005-0000-0000-000053260000}"/>
    <cellStyle name="Porcentual 2 64" xfId="3207" xr:uid="{00000000-0005-0000-0000-000054260000}"/>
    <cellStyle name="Porcentual 2 64 2" xfId="8814" xr:uid="{00000000-0005-0000-0000-000055260000}"/>
    <cellStyle name="Porcentual 2 65" xfId="3208" xr:uid="{00000000-0005-0000-0000-000056260000}"/>
    <cellStyle name="Porcentual 2 65 2" xfId="8815" xr:uid="{00000000-0005-0000-0000-000057260000}"/>
    <cellStyle name="Porcentual 2 66" xfId="3209" xr:uid="{00000000-0005-0000-0000-000058260000}"/>
    <cellStyle name="Porcentual 2 66 2" xfId="8816" xr:uid="{00000000-0005-0000-0000-000059260000}"/>
    <cellStyle name="Porcentual 2 67" xfId="3210" xr:uid="{00000000-0005-0000-0000-00005A260000}"/>
    <cellStyle name="Porcentual 2 67 2" xfId="8817" xr:uid="{00000000-0005-0000-0000-00005B260000}"/>
    <cellStyle name="Porcentual 2 68" xfId="3211" xr:uid="{00000000-0005-0000-0000-00005C260000}"/>
    <cellStyle name="Porcentual 2 68 2" xfId="8818" xr:uid="{00000000-0005-0000-0000-00005D260000}"/>
    <cellStyle name="Porcentual 2 69" xfId="3212" xr:uid="{00000000-0005-0000-0000-00005E260000}"/>
    <cellStyle name="Porcentual 2 69 2" xfId="8819" xr:uid="{00000000-0005-0000-0000-00005F260000}"/>
    <cellStyle name="Porcentual 2 7" xfId="3213" xr:uid="{00000000-0005-0000-0000-000060260000}"/>
    <cellStyle name="Porcentual 2 7 10" xfId="3214" xr:uid="{00000000-0005-0000-0000-000061260000}"/>
    <cellStyle name="Porcentual 2 7 10 2" xfId="6787" xr:uid="{00000000-0005-0000-0000-000062260000}"/>
    <cellStyle name="Porcentual 2 7 11" xfId="3215" xr:uid="{00000000-0005-0000-0000-000063260000}"/>
    <cellStyle name="Porcentual 2 7 11 2" xfId="6788" xr:uid="{00000000-0005-0000-0000-000064260000}"/>
    <cellStyle name="Porcentual 2 7 12" xfId="3216" xr:uid="{00000000-0005-0000-0000-000065260000}"/>
    <cellStyle name="Porcentual 2 7 12 2" xfId="6789" xr:uid="{00000000-0005-0000-0000-000066260000}"/>
    <cellStyle name="Porcentual 2 7 13" xfId="3217" xr:uid="{00000000-0005-0000-0000-000067260000}"/>
    <cellStyle name="Porcentual 2 7 13 2" xfId="6790" xr:uid="{00000000-0005-0000-0000-000068260000}"/>
    <cellStyle name="Porcentual 2 7 14" xfId="3218" xr:uid="{00000000-0005-0000-0000-000069260000}"/>
    <cellStyle name="Porcentual 2 7 14 2" xfId="6791" xr:uid="{00000000-0005-0000-0000-00006A260000}"/>
    <cellStyle name="Porcentual 2 7 15" xfId="3219" xr:uid="{00000000-0005-0000-0000-00006B260000}"/>
    <cellStyle name="Porcentual 2 7 15 2" xfId="6792" xr:uid="{00000000-0005-0000-0000-00006C260000}"/>
    <cellStyle name="Porcentual 2 7 16" xfId="3220" xr:uid="{00000000-0005-0000-0000-00006D260000}"/>
    <cellStyle name="Porcentual 2 7 16 2" xfId="6793" xr:uid="{00000000-0005-0000-0000-00006E260000}"/>
    <cellStyle name="Porcentual 2 7 17" xfId="3221" xr:uid="{00000000-0005-0000-0000-00006F260000}"/>
    <cellStyle name="Porcentual 2 7 17 2" xfId="6794" xr:uid="{00000000-0005-0000-0000-000070260000}"/>
    <cellStyle name="Porcentual 2 7 18" xfId="3222" xr:uid="{00000000-0005-0000-0000-000071260000}"/>
    <cellStyle name="Porcentual 2 7 18 2" xfId="6795" xr:uid="{00000000-0005-0000-0000-000072260000}"/>
    <cellStyle name="Porcentual 2 7 19" xfId="3223" xr:uid="{00000000-0005-0000-0000-000073260000}"/>
    <cellStyle name="Porcentual 2 7 19 2" xfId="6796" xr:uid="{00000000-0005-0000-0000-000074260000}"/>
    <cellStyle name="Porcentual 2 7 2" xfId="3224" xr:uid="{00000000-0005-0000-0000-000075260000}"/>
    <cellStyle name="Porcentual 2 7 2 2" xfId="6797" xr:uid="{00000000-0005-0000-0000-000076260000}"/>
    <cellStyle name="Porcentual 2 7 20" xfId="3225" xr:uid="{00000000-0005-0000-0000-000077260000}"/>
    <cellStyle name="Porcentual 2 7 20 2" xfId="6798" xr:uid="{00000000-0005-0000-0000-000078260000}"/>
    <cellStyle name="Porcentual 2 7 21" xfId="3226" xr:uid="{00000000-0005-0000-0000-000079260000}"/>
    <cellStyle name="Porcentual 2 7 21 2" xfId="6799" xr:uid="{00000000-0005-0000-0000-00007A260000}"/>
    <cellStyle name="Porcentual 2 7 22" xfId="3227" xr:uid="{00000000-0005-0000-0000-00007B260000}"/>
    <cellStyle name="Porcentual 2 7 22 2" xfId="6800" xr:uid="{00000000-0005-0000-0000-00007C260000}"/>
    <cellStyle name="Porcentual 2 7 23" xfId="3228" xr:uid="{00000000-0005-0000-0000-00007D260000}"/>
    <cellStyle name="Porcentual 2 7 23 2" xfId="6801" xr:uid="{00000000-0005-0000-0000-00007E260000}"/>
    <cellStyle name="Porcentual 2 7 24" xfId="3229" xr:uid="{00000000-0005-0000-0000-00007F260000}"/>
    <cellStyle name="Porcentual 2 7 24 2" xfId="6802" xr:uid="{00000000-0005-0000-0000-000080260000}"/>
    <cellStyle name="Porcentual 2 7 25" xfId="3230" xr:uid="{00000000-0005-0000-0000-000081260000}"/>
    <cellStyle name="Porcentual 2 7 25 2" xfId="6803" xr:uid="{00000000-0005-0000-0000-000082260000}"/>
    <cellStyle name="Porcentual 2 7 26" xfId="3231" xr:uid="{00000000-0005-0000-0000-000083260000}"/>
    <cellStyle name="Porcentual 2 7 26 2" xfId="6804" xr:uid="{00000000-0005-0000-0000-000084260000}"/>
    <cellStyle name="Porcentual 2 7 27" xfId="3232" xr:uid="{00000000-0005-0000-0000-000085260000}"/>
    <cellStyle name="Porcentual 2 7 27 2" xfId="6805" xr:uid="{00000000-0005-0000-0000-000086260000}"/>
    <cellStyle name="Porcentual 2 7 28" xfId="3233" xr:uid="{00000000-0005-0000-0000-000087260000}"/>
    <cellStyle name="Porcentual 2 7 28 2" xfId="6806" xr:uid="{00000000-0005-0000-0000-000088260000}"/>
    <cellStyle name="Porcentual 2 7 29" xfId="6807" xr:uid="{00000000-0005-0000-0000-000089260000}"/>
    <cellStyle name="Porcentual 2 7 3" xfId="3234" xr:uid="{00000000-0005-0000-0000-00008A260000}"/>
    <cellStyle name="Porcentual 2 7 3 2" xfId="6808" xr:uid="{00000000-0005-0000-0000-00008B260000}"/>
    <cellStyle name="Porcentual 2 7 4" xfId="3235" xr:uid="{00000000-0005-0000-0000-00008C260000}"/>
    <cellStyle name="Porcentual 2 7 4 2" xfId="6809" xr:uid="{00000000-0005-0000-0000-00008D260000}"/>
    <cellStyle name="Porcentual 2 7 5" xfId="3236" xr:uid="{00000000-0005-0000-0000-00008E260000}"/>
    <cellStyle name="Porcentual 2 7 5 2" xfId="6810" xr:uid="{00000000-0005-0000-0000-00008F260000}"/>
    <cellStyle name="Porcentual 2 7 6" xfId="3237" xr:uid="{00000000-0005-0000-0000-000090260000}"/>
    <cellStyle name="Porcentual 2 7 6 2" xfId="6811" xr:uid="{00000000-0005-0000-0000-000091260000}"/>
    <cellStyle name="Porcentual 2 7 7" xfId="3238" xr:uid="{00000000-0005-0000-0000-000092260000}"/>
    <cellStyle name="Porcentual 2 7 7 2" xfId="6812" xr:uid="{00000000-0005-0000-0000-000093260000}"/>
    <cellStyle name="Porcentual 2 7 8" xfId="3239" xr:uid="{00000000-0005-0000-0000-000094260000}"/>
    <cellStyle name="Porcentual 2 7 8 2" xfId="6813" xr:uid="{00000000-0005-0000-0000-000095260000}"/>
    <cellStyle name="Porcentual 2 7 9" xfId="3240" xr:uid="{00000000-0005-0000-0000-000096260000}"/>
    <cellStyle name="Porcentual 2 7 9 2" xfId="6814" xr:uid="{00000000-0005-0000-0000-000097260000}"/>
    <cellStyle name="Porcentual 2 70" xfId="3241" xr:uid="{00000000-0005-0000-0000-000098260000}"/>
    <cellStyle name="Porcentual 2 70 2" xfId="8820" xr:uid="{00000000-0005-0000-0000-000099260000}"/>
    <cellStyle name="Porcentual 2 71" xfId="3242" xr:uid="{00000000-0005-0000-0000-00009A260000}"/>
    <cellStyle name="Porcentual 2 71 2" xfId="8821" xr:uid="{00000000-0005-0000-0000-00009B260000}"/>
    <cellStyle name="Porcentual 2 72" xfId="3243" xr:uid="{00000000-0005-0000-0000-00009C260000}"/>
    <cellStyle name="Porcentual 2 72 2" xfId="8822" xr:uid="{00000000-0005-0000-0000-00009D260000}"/>
    <cellStyle name="Porcentual 2 73" xfId="3244" xr:uid="{00000000-0005-0000-0000-00009E260000}"/>
    <cellStyle name="Porcentual 2 73 2" xfId="8823" xr:uid="{00000000-0005-0000-0000-00009F260000}"/>
    <cellStyle name="Porcentual 2 74" xfId="3245" xr:uid="{00000000-0005-0000-0000-0000A0260000}"/>
    <cellStyle name="Porcentual 2 74 2" xfId="8824" xr:uid="{00000000-0005-0000-0000-0000A1260000}"/>
    <cellStyle name="Porcentual 2 75" xfId="3246" xr:uid="{00000000-0005-0000-0000-0000A2260000}"/>
    <cellStyle name="Porcentual 2 75 2" xfId="8825" xr:uid="{00000000-0005-0000-0000-0000A3260000}"/>
    <cellStyle name="Porcentual 2 76" xfId="3247" xr:uid="{00000000-0005-0000-0000-0000A4260000}"/>
    <cellStyle name="Porcentual 2 76 2" xfId="8826" xr:uid="{00000000-0005-0000-0000-0000A5260000}"/>
    <cellStyle name="Porcentual 2 77" xfId="3248" xr:uid="{00000000-0005-0000-0000-0000A6260000}"/>
    <cellStyle name="Porcentual 2 77 2" xfId="8827" xr:uid="{00000000-0005-0000-0000-0000A7260000}"/>
    <cellStyle name="Porcentual 2 78" xfId="3249" xr:uid="{00000000-0005-0000-0000-0000A8260000}"/>
    <cellStyle name="Porcentual 2 78 2" xfId="8828" xr:uid="{00000000-0005-0000-0000-0000A9260000}"/>
    <cellStyle name="Porcentual 2 79" xfId="3250" xr:uid="{00000000-0005-0000-0000-0000AA260000}"/>
    <cellStyle name="Porcentual 2 79 2" xfId="8829" xr:uid="{00000000-0005-0000-0000-0000AB260000}"/>
    <cellStyle name="Porcentual 2 8" xfId="3251" xr:uid="{00000000-0005-0000-0000-0000AC260000}"/>
    <cellStyle name="Porcentual 2 8 10" xfId="3252" xr:uid="{00000000-0005-0000-0000-0000AD260000}"/>
    <cellStyle name="Porcentual 2 8 10 2" xfId="6815" xr:uid="{00000000-0005-0000-0000-0000AE260000}"/>
    <cellStyle name="Porcentual 2 8 11" xfId="3253" xr:uid="{00000000-0005-0000-0000-0000AF260000}"/>
    <cellStyle name="Porcentual 2 8 11 2" xfId="6816" xr:uid="{00000000-0005-0000-0000-0000B0260000}"/>
    <cellStyle name="Porcentual 2 8 12" xfId="3254" xr:uid="{00000000-0005-0000-0000-0000B1260000}"/>
    <cellStyle name="Porcentual 2 8 12 2" xfId="6817" xr:uid="{00000000-0005-0000-0000-0000B2260000}"/>
    <cellStyle name="Porcentual 2 8 13" xfId="3255" xr:uid="{00000000-0005-0000-0000-0000B3260000}"/>
    <cellStyle name="Porcentual 2 8 13 2" xfId="6818" xr:uid="{00000000-0005-0000-0000-0000B4260000}"/>
    <cellStyle name="Porcentual 2 8 14" xfId="3256" xr:uid="{00000000-0005-0000-0000-0000B5260000}"/>
    <cellStyle name="Porcentual 2 8 14 2" xfId="6819" xr:uid="{00000000-0005-0000-0000-0000B6260000}"/>
    <cellStyle name="Porcentual 2 8 15" xfId="3257" xr:uid="{00000000-0005-0000-0000-0000B7260000}"/>
    <cellStyle name="Porcentual 2 8 15 2" xfId="6820" xr:uid="{00000000-0005-0000-0000-0000B8260000}"/>
    <cellStyle name="Porcentual 2 8 16" xfId="3258" xr:uid="{00000000-0005-0000-0000-0000B9260000}"/>
    <cellStyle name="Porcentual 2 8 16 2" xfId="6821" xr:uid="{00000000-0005-0000-0000-0000BA260000}"/>
    <cellStyle name="Porcentual 2 8 17" xfId="3259" xr:uid="{00000000-0005-0000-0000-0000BB260000}"/>
    <cellStyle name="Porcentual 2 8 17 2" xfId="6822" xr:uid="{00000000-0005-0000-0000-0000BC260000}"/>
    <cellStyle name="Porcentual 2 8 18" xfId="3260" xr:uid="{00000000-0005-0000-0000-0000BD260000}"/>
    <cellStyle name="Porcentual 2 8 18 2" xfId="6823" xr:uid="{00000000-0005-0000-0000-0000BE260000}"/>
    <cellStyle name="Porcentual 2 8 19" xfId="3261" xr:uid="{00000000-0005-0000-0000-0000BF260000}"/>
    <cellStyle name="Porcentual 2 8 19 2" xfId="6824" xr:uid="{00000000-0005-0000-0000-0000C0260000}"/>
    <cellStyle name="Porcentual 2 8 2" xfId="3262" xr:uid="{00000000-0005-0000-0000-0000C1260000}"/>
    <cellStyle name="Porcentual 2 8 2 2" xfId="6825" xr:uid="{00000000-0005-0000-0000-0000C2260000}"/>
    <cellStyle name="Porcentual 2 8 20" xfId="3263" xr:uid="{00000000-0005-0000-0000-0000C3260000}"/>
    <cellStyle name="Porcentual 2 8 20 2" xfId="6826" xr:uid="{00000000-0005-0000-0000-0000C4260000}"/>
    <cellStyle name="Porcentual 2 8 21" xfId="3264" xr:uid="{00000000-0005-0000-0000-0000C5260000}"/>
    <cellStyle name="Porcentual 2 8 21 2" xfId="6827" xr:uid="{00000000-0005-0000-0000-0000C6260000}"/>
    <cellStyle name="Porcentual 2 8 22" xfId="3265" xr:uid="{00000000-0005-0000-0000-0000C7260000}"/>
    <cellStyle name="Porcentual 2 8 22 2" xfId="6828" xr:uid="{00000000-0005-0000-0000-0000C8260000}"/>
    <cellStyle name="Porcentual 2 8 23" xfId="3266" xr:uid="{00000000-0005-0000-0000-0000C9260000}"/>
    <cellStyle name="Porcentual 2 8 23 2" xfId="6829" xr:uid="{00000000-0005-0000-0000-0000CA260000}"/>
    <cellStyle name="Porcentual 2 8 24" xfId="3267" xr:uid="{00000000-0005-0000-0000-0000CB260000}"/>
    <cellStyle name="Porcentual 2 8 24 2" xfId="6830" xr:uid="{00000000-0005-0000-0000-0000CC260000}"/>
    <cellStyle name="Porcentual 2 8 25" xfId="3268" xr:uid="{00000000-0005-0000-0000-0000CD260000}"/>
    <cellStyle name="Porcentual 2 8 25 2" xfId="6831" xr:uid="{00000000-0005-0000-0000-0000CE260000}"/>
    <cellStyle name="Porcentual 2 8 26" xfId="3269" xr:uid="{00000000-0005-0000-0000-0000CF260000}"/>
    <cellStyle name="Porcentual 2 8 26 2" xfId="6832" xr:uid="{00000000-0005-0000-0000-0000D0260000}"/>
    <cellStyle name="Porcentual 2 8 27" xfId="3270" xr:uid="{00000000-0005-0000-0000-0000D1260000}"/>
    <cellStyle name="Porcentual 2 8 27 2" xfId="6833" xr:uid="{00000000-0005-0000-0000-0000D2260000}"/>
    <cellStyle name="Porcentual 2 8 28" xfId="3271" xr:uid="{00000000-0005-0000-0000-0000D3260000}"/>
    <cellStyle name="Porcentual 2 8 28 2" xfId="6834" xr:uid="{00000000-0005-0000-0000-0000D4260000}"/>
    <cellStyle name="Porcentual 2 8 29" xfId="6835" xr:uid="{00000000-0005-0000-0000-0000D5260000}"/>
    <cellStyle name="Porcentual 2 8 3" xfId="3272" xr:uid="{00000000-0005-0000-0000-0000D6260000}"/>
    <cellStyle name="Porcentual 2 8 3 2" xfId="6836" xr:uid="{00000000-0005-0000-0000-0000D7260000}"/>
    <cellStyle name="Porcentual 2 8 4" xfId="3273" xr:uid="{00000000-0005-0000-0000-0000D8260000}"/>
    <cellStyle name="Porcentual 2 8 4 2" xfId="6837" xr:uid="{00000000-0005-0000-0000-0000D9260000}"/>
    <cellStyle name="Porcentual 2 8 5" xfId="3274" xr:uid="{00000000-0005-0000-0000-0000DA260000}"/>
    <cellStyle name="Porcentual 2 8 5 2" xfId="6838" xr:uid="{00000000-0005-0000-0000-0000DB260000}"/>
    <cellStyle name="Porcentual 2 8 6" xfId="3275" xr:uid="{00000000-0005-0000-0000-0000DC260000}"/>
    <cellStyle name="Porcentual 2 8 6 2" xfId="6839" xr:uid="{00000000-0005-0000-0000-0000DD260000}"/>
    <cellStyle name="Porcentual 2 8 7" xfId="3276" xr:uid="{00000000-0005-0000-0000-0000DE260000}"/>
    <cellStyle name="Porcentual 2 8 7 2" xfId="6840" xr:uid="{00000000-0005-0000-0000-0000DF260000}"/>
    <cellStyle name="Porcentual 2 8 8" xfId="3277" xr:uid="{00000000-0005-0000-0000-0000E0260000}"/>
    <cellStyle name="Porcentual 2 8 8 2" xfId="6841" xr:uid="{00000000-0005-0000-0000-0000E1260000}"/>
    <cellStyle name="Porcentual 2 8 9" xfId="3278" xr:uid="{00000000-0005-0000-0000-0000E2260000}"/>
    <cellStyle name="Porcentual 2 8 9 2" xfId="6842" xr:uid="{00000000-0005-0000-0000-0000E3260000}"/>
    <cellStyle name="Porcentual 2 80" xfId="3279" xr:uid="{00000000-0005-0000-0000-0000E4260000}"/>
    <cellStyle name="Porcentual 2 80 2" xfId="8830" xr:uid="{00000000-0005-0000-0000-0000E5260000}"/>
    <cellStyle name="Porcentual 2 81" xfId="3280" xr:uid="{00000000-0005-0000-0000-0000E6260000}"/>
    <cellStyle name="Porcentual 2 81 2" xfId="8831" xr:uid="{00000000-0005-0000-0000-0000E7260000}"/>
    <cellStyle name="Porcentual 2 82" xfId="3281" xr:uid="{00000000-0005-0000-0000-0000E8260000}"/>
    <cellStyle name="Porcentual 2 82 2" xfId="8832" xr:uid="{00000000-0005-0000-0000-0000E9260000}"/>
    <cellStyle name="Porcentual 2 83" xfId="3282" xr:uid="{00000000-0005-0000-0000-0000EA260000}"/>
    <cellStyle name="Porcentual 2 83 2" xfId="8833" xr:uid="{00000000-0005-0000-0000-0000EB260000}"/>
    <cellStyle name="Porcentual 2 84" xfId="3283" xr:uid="{00000000-0005-0000-0000-0000EC260000}"/>
    <cellStyle name="Porcentual 2 84 2" xfId="8834" xr:uid="{00000000-0005-0000-0000-0000ED260000}"/>
    <cellStyle name="Porcentual 2 85" xfId="3284" xr:uid="{00000000-0005-0000-0000-0000EE260000}"/>
    <cellStyle name="Porcentual 2 85 2" xfId="8835" xr:uid="{00000000-0005-0000-0000-0000EF260000}"/>
    <cellStyle name="Porcentual 2 86" xfId="3285" xr:uid="{00000000-0005-0000-0000-0000F0260000}"/>
    <cellStyle name="Porcentual 2 86 2" xfId="8836" xr:uid="{00000000-0005-0000-0000-0000F1260000}"/>
    <cellStyle name="Porcentual 2 87" xfId="3286" xr:uid="{00000000-0005-0000-0000-0000F2260000}"/>
    <cellStyle name="Porcentual 2 87 2" xfId="8837" xr:uid="{00000000-0005-0000-0000-0000F3260000}"/>
    <cellStyle name="Porcentual 2 88" xfId="3287" xr:uid="{00000000-0005-0000-0000-0000F4260000}"/>
    <cellStyle name="Porcentual 2 88 2" xfId="8838" xr:uid="{00000000-0005-0000-0000-0000F5260000}"/>
    <cellStyle name="Porcentual 2 89" xfId="3288" xr:uid="{00000000-0005-0000-0000-0000F6260000}"/>
    <cellStyle name="Porcentual 2 89 2" xfId="8839" xr:uid="{00000000-0005-0000-0000-0000F7260000}"/>
    <cellStyle name="Porcentual 2 9" xfId="3289" xr:uid="{00000000-0005-0000-0000-0000F8260000}"/>
    <cellStyle name="Porcentual 2 9 10" xfId="3290" xr:uid="{00000000-0005-0000-0000-0000F9260000}"/>
    <cellStyle name="Porcentual 2 9 10 2" xfId="6843" xr:uid="{00000000-0005-0000-0000-0000FA260000}"/>
    <cellStyle name="Porcentual 2 9 11" xfId="3291" xr:uid="{00000000-0005-0000-0000-0000FB260000}"/>
    <cellStyle name="Porcentual 2 9 11 2" xfId="6844" xr:uid="{00000000-0005-0000-0000-0000FC260000}"/>
    <cellStyle name="Porcentual 2 9 12" xfId="3292" xr:uid="{00000000-0005-0000-0000-0000FD260000}"/>
    <cellStyle name="Porcentual 2 9 12 2" xfId="6845" xr:uid="{00000000-0005-0000-0000-0000FE260000}"/>
    <cellStyle name="Porcentual 2 9 13" xfId="3293" xr:uid="{00000000-0005-0000-0000-0000FF260000}"/>
    <cellStyle name="Porcentual 2 9 13 2" xfId="6846" xr:uid="{00000000-0005-0000-0000-000000270000}"/>
    <cellStyle name="Porcentual 2 9 14" xfId="3294" xr:uid="{00000000-0005-0000-0000-000001270000}"/>
    <cellStyle name="Porcentual 2 9 14 2" xfId="6847" xr:uid="{00000000-0005-0000-0000-000002270000}"/>
    <cellStyle name="Porcentual 2 9 15" xfId="3295" xr:uid="{00000000-0005-0000-0000-000003270000}"/>
    <cellStyle name="Porcentual 2 9 15 2" xfId="6848" xr:uid="{00000000-0005-0000-0000-000004270000}"/>
    <cellStyle name="Porcentual 2 9 16" xfId="3296" xr:uid="{00000000-0005-0000-0000-000005270000}"/>
    <cellStyle name="Porcentual 2 9 16 2" xfId="6849" xr:uid="{00000000-0005-0000-0000-000006270000}"/>
    <cellStyle name="Porcentual 2 9 17" xfId="3297" xr:uid="{00000000-0005-0000-0000-000007270000}"/>
    <cellStyle name="Porcentual 2 9 17 2" xfId="6850" xr:uid="{00000000-0005-0000-0000-000008270000}"/>
    <cellStyle name="Porcentual 2 9 18" xfId="3298" xr:uid="{00000000-0005-0000-0000-000009270000}"/>
    <cellStyle name="Porcentual 2 9 18 2" xfId="6851" xr:uid="{00000000-0005-0000-0000-00000A270000}"/>
    <cellStyle name="Porcentual 2 9 19" xfId="3299" xr:uid="{00000000-0005-0000-0000-00000B270000}"/>
    <cellStyle name="Porcentual 2 9 19 2" xfId="6852" xr:uid="{00000000-0005-0000-0000-00000C270000}"/>
    <cellStyle name="Porcentual 2 9 2" xfId="3300" xr:uid="{00000000-0005-0000-0000-00000D270000}"/>
    <cellStyle name="Porcentual 2 9 2 2" xfId="6853" xr:uid="{00000000-0005-0000-0000-00000E270000}"/>
    <cellStyle name="Porcentual 2 9 20" xfId="3301" xr:uid="{00000000-0005-0000-0000-00000F270000}"/>
    <cellStyle name="Porcentual 2 9 20 2" xfId="6854" xr:uid="{00000000-0005-0000-0000-000010270000}"/>
    <cellStyle name="Porcentual 2 9 21" xfId="3302" xr:uid="{00000000-0005-0000-0000-000011270000}"/>
    <cellStyle name="Porcentual 2 9 21 2" xfId="6855" xr:uid="{00000000-0005-0000-0000-000012270000}"/>
    <cellStyle name="Porcentual 2 9 22" xfId="3303" xr:uid="{00000000-0005-0000-0000-000013270000}"/>
    <cellStyle name="Porcentual 2 9 22 2" xfId="6856" xr:uid="{00000000-0005-0000-0000-000014270000}"/>
    <cellStyle name="Porcentual 2 9 23" xfId="3304" xr:uid="{00000000-0005-0000-0000-000015270000}"/>
    <cellStyle name="Porcentual 2 9 23 2" xfId="6857" xr:uid="{00000000-0005-0000-0000-000016270000}"/>
    <cellStyle name="Porcentual 2 9 24" xfId="3305" xr:uid="{00000000-0005-0000-0000-000017270000}"/>
    <cellStyle name="Porcentual 2 9 24 2" xfId="6858" xr:uid="{00000000-0005-0000-0000-000018270000}"/>
    <cellStyle name="Porcentual 2 9 25" xfId="3306" xr:uid="{00000000-0005-0000-0000-000019270000}"/>
    <cellStyle name="Porcentual 2 9 25 2" xfId="6859" xr:uid="{00000000-0005-0000-0000-00001A270000}"/>
    <cellStyle name="Porcentual 2 9 26" xfId="3307" xr:uid="{00000000-0005-0000-0000-00001B270000}"/>
    <cellStyle name="Porcentual 2 9 26 2" xfId="6860" xr:uid="{00000000-0005-0000-0000-00001C270000}"/>
    <cellStyle name="Porcentual 2 9 27" xfId="3308" xr:uid="{00000000-0005-0000-0000-00001D270000}"/>
    <cellStyle name="Porcentual 2 9 27 2" xfId="6861" xr:uid="{00000000-0005-0000-0000-00001E270000}"/>
    <cellStyle name="Porcentual 2 9 28" xfId="3309" xr:uid="{00000000-0005-0000-0000-00001F270000}"/>
    <cellStyle name="Porcentual 2 9 28 2" xfId="6862" xr:uid="{00000000-0005-0000-0000-000020270000}"/>
    <cellStyle name="Porcentual 2 9 29" xfId="6863" xr:uid="{00000000-0005-0000-0000-000021270000}"/>
    <cellStyle name="Porcentual 2 9 3" xfId="3310" xr:uid="{00000000-0005-0000-0000-000022270000}"/>
    <cellStyle name="Porcentual 2 9 3 2" xfId="6864" xr:uid="{00000000-0005-0000-0000-000023270000}"/>
    <cellStyle name="Porcentual 2 9 4" xfId="3311" xr:uid="{00000000-0005-0000-0000-000024270000}"/>
    <cellStyle name="Porcentual 2 9 4 2" xfId="6865" xr:uid="{00000000-0005-0000-0000-000025270000}"/>
    <cellStyle name="Porcentual 2 9 5" xfId="3312" xr:uid="{00000000-0005-0000-0000-000026270000}"/>
    <cellStyle name="Porcentual 2 9 5 2" xfId="6866" xr:uid="{00000000-0005-0000-0000-000027270000}"/>
    <cellStyle name="Porcentual 2 9 6" xfId="3313" xr:uid="{00000000-0005-0000-0000-000028270000}"/>
    <cellStyle name="Porcentual 2 9 6 2" xfId="6867" xr:uid="{00000000-0005-0000-0000-000029270000}"/>
    <cellStyle name="Porcentual 2 9 7" xfId="3314" xr:uid="{00000000-0005-0000-0000-00002A270000}"/>
    <cellStyle name="Porcentual 2 9 7 2" xfId="6868" xr:uid="{00000000-0005-0000-0000-00002B270000}"/>
    <cellStyle name="Porcentual 2 9 8" xfId="3315" xr:uid="{00000000-0005-0000-0000-00002C270000}"/>
    <cellStyle name="Porcentual 2 9 8 2" xfId="6869" xr:uid="{00000000-0005-0000-0000-00002D270000}"/>
    <cellStyle name="Porcentual 2 9 9" xfId="3316" xr:uid="{00000000-0005-0000-0000-00002E270000}"/>
    <cellStyle name="Porcentual 2 9 9 2" xfId="6870" xr:uid="{00000000-0005-0000-0000-00002F270000}"/>
    <cellStyle name="Porcentual 2 90" xfId="3317" xr:uid="{00000000-0005-0000-0000-000030270000}"/>
    <cellStyle name="Porcentual 2 90 2" xfId="8840" xr:uid="{00000000-0005-0000-0000-000031270000}"/>
    <cellStyle name="Porcentual 2 91" xfId="3318" xr:uid="{00000000-0005-0000-0000-000032270000}"/>
    <cellStyle name="Porcentual 2 91 2" xfId="8841" xr:uid="{00000000-0005-0000-0000-000033270000}"/>
    <cellStyle name="Porcentual 2 92" xfId="3319" xr:uid="{00000000-0005-0000-0000-000034270000}"/>
    <cellStyle name="Porcentual 2 92 2" xfId="8842" xr:uid="{00000000-0005-0000-0000-000035270000}"/>
    <cellStyle name="Porcentual 2 93" xfId="3320" xr:uid="{00000000-0005-0000-0000-000036270000}"/>
    <cellStyle name="Porcentual 2 93 2" xfId="8843" xr:uid="{00000000-0005-0000-0000-000037270000}"/>
    <cellStyle name="Porcentual 2 94" xfId="3321" xr:uid="{00000000-0005-0000-0000-000038270000}"/>
    <cellStyle name="Porcentual 2 94 2" xfId="8844" xr:uid="{00000000-0005-0000-0000-000039270000}"/>
    <cellStyle name="Porcentual 2 95" xfId="3322" xr:uid="{00000000-0005-0000-0000-00003A270000}"/>
    <cellStyle name="Porcentual 2 95 2" xfId="8845" xr:uid="{00000000-0005-0000-0000-00003B270000}"/>
    <cellStyle name="Porcentual 2 96" xfId="3323" xr:uid="{00000000-0005-0000-0000-00003C270000}"/>
    <cellStyle name="Porcentual 2 96 2" xfId="8846" xr:uid="{00000000-0005-0000-0000-00003D270000}"/>
    <cellStyle name="Porcentual 2 97" xfId="3324" xr:uid="{00000000-0005-0000-0000-00003E270000}"/>
    <cellStyle name="Porcentual 2 97 2" xfId="8847" xr:uid="{00000000-0005-0000-0000-00003F270000}"/>
    <cellStyle name="Porcentual 2 98" xfId="3325" xr:uid="{00000000-0005-0000-0000-000040270000}"/>
    <cellStyle name="Porcentual 2 98 2" xfId="8848" xr:uid="{00000000-0005-0000-0000-000041270000}"/>
    <cellStyle name="Porcentual 2 99" xfId="3326" xr:uid="{00000000-0005-0000-0000-000042270000}"/>
    <cellStyle name="Porcentual 2 99 2" xfId="8849" xr:uid="{00000000-0005-0000-0000-000043270000}"/>
    <cellStyle name="Porcentual 20" xfId="3327" xr:uid="{00000000-0005-0000-0000-000044270000}"/>
    <cellStyle name="Porcentual 20 10" xfId="3328" xr:uid="{00000000-0005-0000-0000-000045270000}"/>
    <cellStyle name="Porcentual 20 10 2" xfId="6871" xr:uid="{00000000-0005-0000-0000-000046270000}"/>
    <cellStyle name="Porcentual 20 10 3" xfId="8851" xr:uid="{00000000-0005-0000-0000-000047270000}"/>
    <cellStyle name="Porcentual 20 11" xfId="3329" xr:uid="{00000000-0005-0000-0000-000048270000}"/>
    <cellStyle name="Porcentual 20 11 2" xfId="6872" xr:uid="{00000000-0005-0000-0000-000049270000}"/>
    <cellStyle name="Porcentual 20 11 3" xfId="8852" xr:uid="{00000000-0005-0000-0000-00004A270000}"/>
    <cellStyle name="Porcentual 20 12" xfId="3330" xr:uid="{00000000-0005-0000-0000-00004B270000}"/>
    <cellStyle name="Porcentual 20 12 2" xfId="6873" xr:uid="{00000000-0005-0000-0000-00004C270000}"/>
    <cellStyle name="Porcentual 20 12 3" xfId="8853" xr:uid="{00000000-0005-0000-0000-00004D270000}"/>
    <cellStyle name="Porcentual 20 13" xfId="3331" xr:uid="{00000000-0005-0000-0000-00004E270000}"/>
    <cellStyle name="Porcentual 20 13 2" xfId="6874" xr:uid="{00000000-0005-0000-0000-00004F270000}"/>
    <cellStyle name="Porcentual 20 13 3" xfId="8854" xr:uid="{00000000-0005-0000-0000-000050270000}"/>
    <cellStyle name="Porcentual 20 14" xfId="3332" xr:uid="{00000000-0005-0000-0000-000051270000}"/>
    <cellStyle name="Porcentual 20 14 2" xfId="6875" xr:uid="{00000000-0005-0000-0000-000052270000}"/>
    <cellStyle name="Porcentual 20 14 3" xfId="8855" xr:uid="{00000000-0005-0000-0000-000053270000}"/>
    <cellStyle name="Porcentual 20 15" xfId="3333" xr:uid="{00000000-0005-0000-0000-000054270000}"/>
    <cellStyle name="Porcentual 20 15 2" xfId="6876" xr:uid="{00000000-0005-0000-0000-000055270000}"/>
    <cellStyle name="Porcentual 20 15 3" xfId="8856" xr:uid="{00000000-0005-0000-0000-000056270000}"/>
    <cellStyle name="Porcentual 20 16" xfId="3334" xr:uid="{00000000-0005-0000-0000-000057270000}"/>
    <cellStyle name="Porcentual 20 16 2" xfId="6877" xr:uid="{00000000-0005-0000-0000-000058270000}"/>
    <cellStyle name="Porcentual 20 16 3" xfId="8857" xr:uid="{00000000-0005-0000-0000-000059270000}"/>
    <cellStyle name="Porcentual 20 17" xfId="3335" xr:uid="{00000000-0005-0000-0000-00005A270000}"/>
    <cellStyle name="Porcentual 20 17 2" xfId="6878" xr:uid="{00000000-0005-0000-0000-00005B270000}"/>
    <cellStyle name="Porcentual 20 17 3" xfId="8858" xr:uid="{00000000-0005-0000-0000-00005C270000}"/>
    <cellStyle name="Porcentual 20 18" xfId="3336" xr:uid="{00000000-0005-0000-0000-00005D270000}"/>
    <cellStyle name="Porcentual 20 18 2" xfId="6879" xr:uid="{00000000-0005-0000-0000-00005E270000}"/>
    <cellStyle name="Porcentual 20 18 3" xfId="8859" xr:uid="{00000000-0005-0000-0000-00005F270000}"/>
    <cellStyle name="Porcentual 20 19" xfId="3337" xr:uid="{00000000-0005-0000-0000-000060270000}"/>
    <cellStyle name="Porcentual 20 19 2" xfId="6880" xr:uid="{00000000-0005-0000-0000-000061270000}"/>
    <cellStyle name="Porcentual 20 19 3" xfId="8860" xr:uid="{00000000-0005-0000-0000-000062270000}"/>
    <cellStyle name="Porcentual 20 2" xfId="3338" xr:uid="{00000000-0005-0000-0000-000063270000}"/>
    <cellStyle name="Porcentual 20 2 2" xfId="6881" xr:uid="{00000000-0005-0000-0000-000064270000}"/>
    <cellStyle name="Porcentual 20 2 3" xfId="8861" xr:uid="{00000000-0005-0000-0000-000065270000}"/>
    <cellStyle name="Porcentual 20 20" xfId="3339" xr:uid="{00000000-0005-0000-0000-000066270000}"/>
    <cellStyle name="Porcentual 20 20 2" xfId="6882" xr:uid="{00000000-0005-0000-0000-000067270000}"/>
    <cellStyle name="Porcentual 20 20 3" xfId="8862" xr:uid="{00000000-0005-0000-0000-000068270000}"/>
    <cellStyle name="Porcentual 20 21" xfId="3340" xr:uid="{00000000-0005-0000-0000-000069270000}"/>
    <cellStyle name="Porcentual 20 21 2" xfId="6883" xr:uid="{00000000-0005-0000-0000-00006A270000}"/>
    <cellStyle name="Porcentual 20 21 3" xfId="8863" xr:uid="{00000000-0005-0000-0000-00006B270000}"/>
    <cellStyle name="Porcentual 20 22" xfId="3341" xr:uid="{00000000-0005-0000-0000-00006C270000}"/>
    <cellStyle name="Porcentual 20 22 2" xfId="6884" xr:uid="{00000000-0005-0000-0000-00006D270000}"/>
    <cellStyle name="Porcentual 20 22 3" xfId="8864" xr:uid="{00000000-0005-0000-0000-00006E270000}"/>
    <cellStyle name="Porcentual 20 23" xfId="3342" xr:uid="{00000000-0005-0000-0000-00006F270000}"/>
    <cellStyle name="Porcentual 20 23 2" xfId="6885" xr:uid="{00000000-0005-0000-0000-000070270000}"/>
    <cellStyle name="Porcentual 20 23 3" xfId="8865" xr:uid="{00000000-0005-0000-0000-000071270000}"/>
    <cellStyle name="Porcentual 20 24" xfId="3343" xr:uid="{00000000-0005-0000-0000-000072270000}"/>
    <cellStyle name="Porcentual 20 24 2" xfId="6886" xr:uid="{00000000-0005-0000-0000-000073270000}"/>
    <cellStyle name="Porcentual 20 24 3" xfId="8866" xr:uid="{00000000-0005-0000-0000-000074270000}"/>
    <cellStyle name="Porcentual 20 25" xfId="3344" xr:uid="{00000000-0005-0000-0000-000075270000}"/>
    <cellStyle name="Porcentual 20 25 2" xfId="6887" xr:uid="{00000000-0005-0000-0000-000076270000}"/>
    <cellStyle name="Porcentual 20 25 3" xfId="8867" xr:uid="{00000000-0005-0000-0000-000077270000}"/>
    <cellStyle name="Porcentual 20 26" xfId="3345" xr:uid="{00000000-0005-0000-0000-000078270000}"/>
    <cellStyle name="Porcentual 20 26 2" xfId="6888" xr:uid="{00000000-0005-0000-0000-000079270000}"/>
    <cellStyle name="Porcentual 20 26 3" xfId="8868" xr:uid="{00000000-0005-0000-0000-00007A270000}"/>
    <cellStyle name="Porcentual 20 27" xfId="3346" xr:uid="{00000000-0005-0000-0000-00007B270000}"/>
    <cellStyle name="Porcentual 20 27 2" xfId="6889" xr:uid="{00000000-0005-0000-0000-00007C270000}"/>
    <cellStyle name="Porcentual 20 27 3" xfId="8869" xr:uid="{00000000-0005-0000-0000-00007D270000}"/>
    <cellStyle name="Porcentual 20 28" xfId="3347" xr:uid="{00000000-0005-0000-0000-00007E270000}"/>
    <cellStyle name="Porcentual 20 28 2" xfId="6890" xr:uid="{00000000-0005-0000-0000-00007F270000}"/>
    <cellStyle name="Porcentual 20 28 3" xfId="8870" xr:uid="{00000000-0005-0000-0000-000080270000}"/>
    <cellStyle name="Porcentual 20 29" xfId="6891" xr:uid="{00000000-0005-0000-0000-000081270000}"/>
    <cellStyle name="Porcentual 20 3" xfId="3348" xr:uid="{00000000-0005-0000-0000-000082270000}"/>
    <cellStyle name="Porcentual 20 3 2" xfId="6892" xr:uid="{00000000-0005-0000-0000-000083270000}"/>
    <cellStyle name="Porcentual 20 3 3" xfId="8871" xr:uid="{00000000-0005-0000-0000-000084270000}"/>
    <cellStyle name="Porcentual 20 30" xfId="8850" xr:uid="{00000000-0005-0000-0000-000085270000}"/>
    <cellStyle name="Porcentual 20 4" xfId="3349" xr:uid="{00000000-0005-0000-0000-000086270000}"/>
    <cellStyle name="Porcentual 20 4 2" xfId="6893" xr:uid="{00000000-0005-0000-0000-000087270000}"/>
    <cellStyle name="Porcentual 20 4 3" xfId="8872" xr:uid="{00000000-0005-0000-0000-000088270000}"/>
    <cellStyle name="Porcentual 20 5" xfId="3350" xr:uid="{00000000-0005-0000-0000-000089270000}"/>
    <cellStyle name="Porcentual 20 5 2" xfId="6894" xr:uid="{00000000-0005-0000-0000-00008A270000}"/>
    <cellStyle name="Porcentual 20 5 3" xfId="8873" xr:uid="{00000000-0005-0000-0000-00008B270000}"/>
    <cellStyle name="Porcentual 20 6" xfId="3351" xr:uid="{00000000-0005-0000-0000-00008C270000}"/>
    <cellStyle name="Porcentual 20 6 2" xfId="6895" xr:uid="{00000000-0005-0000-0000-00008D270000}"/>
    <cellStyle name="Porcentual 20 6 3" xfId="8874" xr:uid="{00000000-0005-0000-0000-00008E270000}"/>
    <cellStyle name="Porcentual 20 7" xfId="3352" xr:uid="{00000000-0005-0000-0000-00008F270000}"/>
    <cellStyle name="Porcentual 20 7 2" xfId="6896" xr:uid="{00000000-0005-0000-0000-000090270000}"/>
    <cellStyle name="Porcentual 20 7 3" xfId="8875" xr:uid="{00000000-0005-0000-0000-000091270000}"/>
    <cellStyle name="Porcentual 20 8" xfId="3353" xr:uid="{00000000-0005-0000-0000-000092270000}"/>
    <cellStyle name="Porcentual 20 8 2" xfId="6897" xr:uid="{00000000-0005-0000-0000-000093270000}"/>
    <cellStyle name="Porcentual 20 8 3" xfId="8876" xr:uid="{00000000-0005-0000-0000-000094270000}"/>
    <cellStyle name="Porcentual 20 9" xfId="3354" xr:uid="{00000000-0005-0000-0000-000095270000}"/>
    <cellStyle name="Porcentual 20 9 2" xfId="6898" xr:uid="{00000000-0005-0000-0000-000096270000}"/>
    <cellStyle name="Porcentual 20 9 3" xfId="8877" xr:uid="{00000000-0005-0000-0000-000097270000}"/>
    <cellStyle name="Porcentual 201" xfId="3355" xr:uid="{00000000-0005-0000-0000-000098270000}"/>
    <cellStyle name="Porcentual 201 10" xfId="3356" xr:uid="{00000000-0005-0000-0000-000099270000}"/>
    <cellStyle name="Porcentual 201 10 2" xfId="6899" xr:uid="{00000000-0005-0000-0000-00009A270000}"/>
    <cellStyle name="Porcentual 201 10 3" xfId="8879" xr:uid="{00000000-0005-0000-0000-00009B270000}"/>
    <cellStyle name="Porcentual 201 11" xfId="3357" xr:uid="{00000000-0005-0000-0000-00009C270000}"/>
    <cellStyle name="Porcentual 201 11 2" xfId="6900" xr:uid="{00000000-0005-0000-0000-00009D270000}"/>
    <cellStyle name="Porcentual 201 11 3" xfId="8880" xr:uid="{00000000-0005-0000-0000-00009E270000}"/>
    <cellStyle name="Porcentual 201 12" xfId="3358" xr:uid="{00000000-0005-0000-0000-00009F270000}"/>
    <cellStyle name="Porcentual 201 12 2" xfId="6901" xr:uid="{00000000-0005-0000-0000-0000A0270000}"/>
    <cellStyle name="Porcentual 201 12 3" xfId="8881" xr:uid="{00000000-0005-0000-0000-0000A1270000}"/>
    <cellStyle name="Porcentual 201 13" xfId="3359" xr:uid="{00000000-0005-0000-0000-0000A2270000}"/>
    <cellStyle name="Porcentual 201 13 2" xfId="6902" xr:uid="{00000000-0005-0000-0000-0000A3270000}"/>
    <cellStyle name="Porcentual 201 13 3" xfId="8882" xr:uid="{00000000-0005-0000-0000-0000A4270000}"/>
    <cellStyle name="Porcentual 201 14" xfId="3360" xr:uid="{00000000-0005-0000-0000-0000A5270000}"/>
    <cellStyle name="Porcentual 201 14 2" xfId="6903" xr:uid="{00000000-0005-0000-0000-0000A6270000}"/>
    <cellStyle name="Porcentual 201 14 3" xfId="8883" xr:uid="{00000000-0005-0000-0000-0000A7270000}"/>
    <cellStyle name="Porcentual 201 15" xfId="3361" xr:uid="{00000000-0005-0000-0000-0000A8270000}"/>
    <cellStyle name="Porcentual 201 15 2" xfId="6904" xr:uid="{00000000-0005-0000-0000-0000A9270000}"/>
    <cellStyle name="Porcentual 201 15 3" xfId="8884" xr:uid="{00000000-0005-0000-0000-0000AA270000}"/>
    <cellStyle name="Porcentual 201 16" xfId="3362" xr:uid="{00000000-0005-0000-0000-0000AB270000}"/>
    <cellStyle name="Porcentual 201 16 2" xfId="6905" xr:uid="{00000000-0005-0000-0000-0000AC270000}"/>
    <cellStyle name="Porcentual 201 16 3" xfId="8885" xr:uid="{00000000-0005-0000-0000-0000AD270000}"/>
    <cellStyle name="Porcentual 201 17" xfId="3363" xr:uid="{00000000-0005-0000-0000-0000AE270000}"/>
    <cellStyle name="Porcentual 201 17 2" xfId="6906" xr:uid="{00000000-0005-0000-0000-0000AF270000}"/>
    <cellStyle name="Porcentual 201 17 3" xfId="8886" xr:uid="{00000000-0005-0000-0000-0000B0270000}"/>
    <cellStyle name="Porcentual 201 18" xfId="3364" xr:uid="{00000000-0005-0000-0000-0000B1270000}"/>
    <cellStyle name="Porcentual 201 18 2" xfId="6907" xr:uid="{00000000-0005-0000-0000-0000B2270000}"/>
    <cellStyle name="Porcentual 201 18 3" xfId="8887" xr:uid="{00000000-0005-0000-0000-0000B3270000}"/>
    <cellStyle name="Porcentual 201 19" xfId="3365" xr:uid="{00000000-0005-0000-0000-0000B4270000}"/>
    <cellStyle name="Porcentual 201 19 2" xfId="6908" xr:uid="{00000000-0005-0000-0000-0000B5270000}"/>
    <cellStyle name="Porcentual 201 19 3" xfId="8888" xr:uid="{00000000-0005-0000-0000-0000B6270000}"/>
    <cellStyle name="Porcentual 201 2" xfId="3366" xr:uid="{00000000-0005-0000-0000-0000B7270000}"/>
    <cellStyle name="Porcentual 201 2 2" xfId="6909" xr:uid="{00000000-0005-0000-0000-0000B8270000}"/>
    <cellStyle name="Porcentual 201 2 3" xfId="8889" xr:uid="{00000000-0005-0000-0000-0000B9270000}"/>
    <cellStyle name="Porcentual 201 20" xfId="3367" xr:uid="{00000000-0005-0000-0000-0000BA270000}"/>
    <cellStyle name="Porcentual 201 20 2" xfId="6910" xr:uid="{00000000-0005-0000-0000-0000BB270000}"/>
    <cellStyle name="Porcentual 201 20 3" xfId="8890" xr:uid="{00000000-0005-0000-0000-0000BC270000}"/>
    <cellStyle name="Porcentual 201 21" xfId="3368" xr:uid="{00000000-0005-0000-0000-0000BD270000}"/>
    <cellStyle name="Porcentual 201 21 2" xfId="6911" xr:uid="{00000000-0005-0000-0000-0000BE270000}"/>
    <cellStyle name="Porcentual 201 21 3" xfId="8891" xr:uid="{00000000-0005-0000-0000-0000BF270000}"/>
    <cellStyle name="Porcentual 201 22" xfId="3369" xr:uid="{00000000-0005-0000-0000-0000C0270000}"/>
    <cellStyle name="Porcentual 201 22 2" xfId="6912" xr:uid="{00000000-0005-0000-0000-0000C1270000}"/>
    <cellStyle name="Porcentual 201 22 3" xfId="8892" xr:uid="{00000000-0005-0000-0000-0000C2270000}"/>
    <cellStyle name="Porcentual 201 23" xfId="3370" xr:uid="{00000000-0005-0000-0000-0000C3270000}"/>
    <cellStyle name="Porcentual 201 23 2" xfId="6913" xr:uid="{00000000-0005-0000-0000-0000C4270000}"/>
    <cellStyle name="Porcentual 201 23 3" xfId="8893" xr:uid="{00000000-0005-0000-0000-0000C5270000}"/>
    <cellStyle name="Porcentual 201 24" xfId="3371" xr:uid="{00000000-0005-0000-0000-0000C6270000}"/>
    <cellStyle name="Porcentual 201 24 2" xfId="6914" xr:uid="{00000000-0005-0000-0000-0000C7270000}"/>
    <cellStyle name="Porcentual 201 24 3" xfId="8894" xr:uid="{00000000-0005-0000-0000-0000C8270000}"/>
    <cellStyle name="Porcentual 201 25" xfId="3372" xr:uid="{00000000-0005-0000-0000-0000C9270000}"/>
    <cellStyle name="Porcentual 201 25 2" xfId="6915" xr:uid="{00000000-0005-0000-0000-0000CA270000}"/>
    <cellStyle name="Porcentual 201 25 3" xfId="8895" xr:uid="{00000000-0005-0000-0000-0000CB270000}"/>
    <cellStyle name="Porcentual 201 26" xfId="3373" xr:uid="{00000000-0005-0000-0000-0000CC270000}"/>
    <cellStyle name="Porcentual 201 26 2" xfId="6916" xr:uid="{00000000-0005-0000-0000-0000CD270000}"/>
    <cellStyle name="Porcentual 201 26 3" xfId="8896" xr:uid="{00000000-0005-0000-0000-0000CE270000}"/>
    <cellStyle name="Porcentual 201 27" xfId="3374" xr:uid="{00000000-0005-0000-0000-0000CF270000}"/>
    <cellStyle name="Porcentual 201 27 2" xfId="6917" xr:uid="{00000000-0005-0000-0000-0000D0270000}"/>
    <cellStyle name="Porcentual 201 27 3" xfId="8897" xr:uid="{00000000-0005-0000-0000-0000D1270000}"/>
    <cellStyle name="Porcentual 201 28" xfId="3375" xr:uid="{00000000-0005-0000-0000-0000D2270000}"/>
    <cellStyle name="Porcentual 201 28 2" xfId="6918" xr:uid="{00000000-0005-0000-0000-0000D3270000}"/>
    <cellStyle name="Porcentual 201 28 3" xfId="8898" xr:uid="{00000000-0005-0000-0000-0000D4270000}"/>
    <cellStyle name="Porcentual 201 29" xfId="8878" xr:uid="{00000000-0005-0000-0000-0000D5270000}"/>
    <cellStyle name="Porcentual 201 3" xfId="3376" xr:uid="{00000000-0005-0000-0000-0000D6270000}"/>
    <cellStyle name="Porcentual 201 3 2" xfId="6919" xr:uid="{00000000-0005-0000-0000-0000D7270000}"/>
    <cellStyle name="Porcentual 201 3 3" xfId="8899" xr:uid="{00000000-0005-0000-0000-0000D8270000}"/>
    <cellStyle name="Porcentual 201 4" xfId="3377" xr:uid="{00000000-0005-0000-0000-0000D9270000}"/>
    <cellStyle name="Porcentual 201 4 2" xfId="6920" xr:uid="{00000000-0005-0000-0000-0000DA270000}"/>
    <cellStyle name="Porcentual 201 4 3" xfId="8900" xr:uid="{00000000-0005-0000-0000-0000DB270000}"/>
    <cellStyle name="Porcentual 201 5" xfId="3378" xr:uid="{00000000-0005-0000-0000-0000DC270000}"/>
    <cellStyle name="Porcentual 201 5 2" xfId="6921" xr:uid="{00000000-0005-0000-0000-0000DD270000}"/>
    <cellStyle name="Porcentual 201 5 3" xfId="8901" xr:uid="{00000000-0005-0000-0000-0000DE270000}"/>
    <cellStyle name="Porcentual 201 6" xfId="3379" xr:uid="{00000000-0005-0000-0000-0000DF270000}"/>
    <cellStyle name="Porcentual 201 6 2" xfId="6922" xr:uid="{00000000-0005-0000-0000-0000E0270000}"/>
    <cellStyle name="Porcentual 201 6 3" xfId="8902" xr:uid="{00000000-0005-0000-0000-0000E1270000}"/>
    <cellStyle name="Porcentual 201 7" xfId="3380" xr:uid="{00000000-0005-0000-0000-0000E2270000}"/>
    <cellStyle name="Porcentual 201 7 2" xfId="6923" xr:uid="{00000000-0005-0000-0000-0000E3270000}"/>
    <cellStyle name="Porcentual 201 7 3" xfId="8903" xr:uid="{00000000-0005-0000-0000-0000E4270000}"/>
    <cellStyle name="Porcentual 201 8" xfId="3381" xr:uid="{00000000-0005-0000-0000-0000E5270000}"/>
    <cellStyle name="Porcentual 201 8 2" xfId="6924" xr:uid="{00000000-0005-0000-0000-0000E6270000}"/>
    <cellStyle name="Porcentual 201 8 3" xfId="8904" xr:uid="{00000000-0005-0000-0000-0000E7270000}"/>
    <cellStyle name="Porcentual 201 9" xfId="3382" xr:uid="{00000000-0005-0000-0000-0000E8270000}"/>
    <cellStyle name="Porcentual 201 9 2" xfId="6925" xr:uid="{00000000-0005-0000-0000-0000E9270000}"/>
    <cellStyle name="Porcentual 201 9 3" xfId="8905" xr:uid="{00000000-0005-0000-0000-0000EA270000}"/>
    <cellStyle name="Porcentual 203 10" xfId="3383" xr:uid="{00000000-0005-0000-0000-0000EB270000}"/>
    <cellStyle name="Porcentual 203 10 2" xfId="6926" xr:uid="{00000000-0005-0000-0000-0000EC270000}"/>
    <cellStyle name="Porcentual 203 10 3" xfId="8906" xr:uid="{00000000-0005-0000-0000-0000ED270000}"/>
    <cellStyle name="Porcentual 203 11" xfId="3384" xr:uid="{00000000-0005-0000-0000-0000EE270000}"/>
    <cellStyle name="Porcentual 203 11 2" xfId="6927" xr:uid="{00000000-0005-0000-0000-0000EF270000}"/>
    <cellStyle name="Porcentual 203 11 3" xfId="8907" xr:uid="{00000000-0005-0000-0000-0000F0270000}"/>
    <cellStyle name="Porcentual 203 12" xfId="3385" xr:uid="{00000000-0005-0000-0000-0000F1270000}"/>
    <cellStyle name="Porcentual 203 12 2" xfId="6928" xr:uid="{00000000-0005-0000-0000-0000F2270000}"/>
    <cellStyle name="Porcentual 203 12 3" xfId="8908" xr:uid="{00000000-0005-0000-0000-0000F3270000}"/>
    <cellStyle name="Porcentual 203 13" xfId="3386" xr:uid="{00000000-0005-0000-0000-0000F4270000}"/>
    <cellStyle name="Porcentual 203 13 2" xfId="6929" xr:uid="{00000000-0005-0000-0000-0000F5270000}"/>
    <cellStyle name="Porcentual 203 13 3" xfId="8909" xr:uid="{00000000-0005-0000-0000-0000F6270000}"/>
    <cellStyle name="Porcentual 203 14" xfId="3387" xr:uid="{00000000-0005-0000-0000-0000F7270000}"/>
    <cellStyle name="Porcentual 203 14 2" xfId="6930" xr:uid="{00000000-0005-0000-0000-0000F8270000}"/>
    <cellStyle name="Porcentual 203 14 3" xfId="8910" xr:uid="{00000000-0005-0000-0000-0000F9270000}"/>
    <cellStyle name="Porcentual 203 15" xfId="3388" xr:uid="{00000000-0005-0000-0000-0000FA270000}"/>
    <cellStyle name="Porcentual 203 15 2" xfId="6931" xr:uid="{00000000-0005-0000-0000-0000FB270000}"/>
    <cellStyle name="Porcentual 203 15 3" xfId="8911" xr:uid="{00000000-0005-0000-0000-0000FC270000}"/>
    <cellStyle name="Porcentual 203 16" xfId="3389" xr:uid="{00000000-0005-0000-0000-0000FD270000}"/>
    <cellStyle name="Porcentual 203 16 2" xfId="6932" xr:uid="{00000000-0005-0000-0000-0000FE270000}"/>
    <cellStyle name="Porcentual 203 16 3" xfId="8912" xr:uid="{00000000-0005-0000-0000-0000FF270000}"/>
    <cellStyle name="Porcentual 203 17" xfId="3390" xr:uid="{00000000-0005-0000-0000-000000280000}"/>
    <cellStyle name="Porcentual 203 17 2" xfId="6933" xr:uid="{00000000-0005-0000-0000-000001280000}"/>
    <cellStyle name="Porcentual 203 17 3" xfId="8913" xr:uid="{00000000-0005-0000-0000-000002280000}"/>
    <cellStyle name="Porcentual 203 18" xfId="3391" xr:uid="{00000000-0005-0000-0000-000003280000}"/>
    <cellStyle name="Porcentual 203 18 2" xfId="6934" xr:uid="{00000000-0005-0000-0000-000004280000}"/>
    <cellStyle name="Porcentual 203 18 3" xfId="8914" xr:uid="{00000000-0005-0000-0000-000005280000}"/>
    <cellStyle name="Porcentual 203 19" xfId="3392" xr:uid="{00000000-0005-0000-0000-000006280000}"/>
    <cellStyle name="Porcentual 203 19 2" xfId="6935" xr:uid="{00000000-0005-0000-0000-000007280000}"/>
    <cellStyle name="Porcentual 203 19 3" xfId="8915" xr:uid="{00000000-0005-0000-0000-000008280000}"/>
    <cellStyle name="Porcentual 203 2" xfId="3393" xr:uid="{00000000-0005-0000-0000-000009280000}"/>
    <cellStyle name="Porcentual 203 2 2" xfId="6936" xr:uid="{00000000-0005-0000-0000-00000A280000}"/>
    <cellStyle name="Porcentual 203 2 3" xfId="8916" xr:uid="{00000000-0005-0000-0000-00000B280000}"/>
    <cellStyle name="Porcentual 203 20" xfId="3394" xr:uid="{00000000-0005-0000-0000-00000C280000}"/>
    <cellStyle name="Porcentual 203 20 2" xfId="6937" xr:uid="{00000000-0005-0000-0000-00000D280000}"/>
    <cellStyle name="Porcentual 203 20 3" xfId="8917" xr:uid="{00000000-0005-0000-0000-00000E280000}"/>
    <cellStyle name="Porcentual 203 21" xfId="3395" xr:uid="{00000000-0005-0000-0000-00000F280000}"/>
    <cellStyle name="Porcentual 203 21 2" xfId="6938" xr:uid="{00000000-0005-0000-0000-000010280000}"/>
    <cellStyle name="Porcentual 203 21 3" xfId="8918" xr:uid="{00000000-0005-0000-0000-000011280000}"/>
    <cellStyle name="Porcentual 203 22" xfId="3396" xr:uid="{00000000-0005-0000-0000-000012280000}"/>
    <cellStyle name="Porcentual 203 22 2" xfId="6939" xr:uid="{00000000-0005-0000-0000-000013280000}"/>
    <cellStyle name="Porcentual 203 22 3" xfId="8919" xr:uid="{00000000-0005-0000-0000-000014280000}"/>
    <cellStyle name="Porcentual 203 23" xfId="3397" xr:uid="{00000000-0005-0000-0000-000015280000}"/>
    <cellStyle name="Porcentual 203 23 2" xfId="6940" xr:uid="{00000000-0005-0000-0000-000016280000}"/>
    <cellStyle name="Porcentual 203 23 3" xfId="8920" xr:uid="{00000000-0005-0000-0000-000017280000}"/>
    <cellStyle name="Porcentual 203 24" xfId="3398" xr:uid="{00000000-0005-0000-0000-000018280000}"/>
    <cellStyle name="Porcentual 203 24 2" xfId="6941" xr:uid="{00000000-0005-0000-0000-000019280000}"/>
    <cellStyle name="Porcentual 203 24 3" xfId="8921" xr:uid="{00000000-0005-0000-0000-00001A280000}"/>
    <cellStyle name="Porcentual 203 25" xfId="3399" xr:uid="{00000000-0005-0000-0000-00001B280000}"/>
    <cellStyle name="Porcentual 203 25 2" xfId="6942" xr:uid="{00000000-0005-0000-0000-00001C280000}"/>
    <cellStyle name="Porcentual 203 25 3" xfId="8922" xr:uid="{00000000-0005-0000-0000-00001D280000}"/>
    <cellStyle name="Porcentual 203 26" xfId="3400" xr:uid="{00000000-0005-0000-0000-00001E280000}"/>
    <cellStyle name="Porcentual 203 26 2" xfId="6943" xr:uid="{00000000-0005-0000-0000-00001F280000}"/>
    <cellStyle name="Porcentual 203 26 3" xfId="8923" xr:uid="{00000000-0005-0000-0000-000020280000}"/>
    <cellStyle name="Porcentual 203 27" xfId="3401" xr:uid="{00000000-0005-0000-0000-000021280000}"/>
    <cellStyle name="Porcentual 203 27 2" xfId="6944" xr:uid="{00000000-0005-0000-0000-000022280000}"/>
    <cellStyle name="Porcentual 203 27 3" xfId="8924" xr:uid="{00000000-0005-0000-0000-000023280000}"/>
    <cellStyle name="Porcentual 203 28" xfId="3402" xr:uid="{00000000-0005-0000-0000-000024280000}"/>
    <cellStyle name="Porcentual 203 28 2" xfId="6945" xr:uid="{00000000-0005-0000-0000-000025280000}"/>
    <cellStyle name="Porcentual 203 28 3" xfId="8925" xr:uid="{00000000-0005-0000-0000-000026280000}"/>
    <cellStyle name="Porcentual 203 3" xfId="3403" xr:uid="{00000000-0005-0000-0000-000027280000}"/>
    <cellStyle name="Porcentual 203 3 2" xfId="6946" xr:uid="{00000000-0005-0000-0000-000028280000}"/>
    <cellStyle name="Porcentual 203 3 3" xfId="8926" xr:uid="{00000000-0005-0000-0000-000029280000}"/>
    <cellStyle name="Porcentual 203 4" xfId="3404" xr:uid="{00000000-0005-0000-0000-00002A280000}"/>
    <cellStyle name="Porcentual 203 4 2" xfId="6947" xr:uid="{00000000-0005-0000-0000-00002B280000}"/>
    <cellStyle name="Porcentual 203 4 3" xfId="8927" xr:uid="{00000000-0005-0000-0000-00002C280000}"/>
    <cellStyle name="Porcentual 203 5" xfId="3405" xr:uid="{00000000-0005-0000-0000-00002D280000}"/>
    <cellStyle name="Porcentual 203 5 2" xfId="6948" xr:uid="{00000000-0005-0000-0000-00002E280000}"/>
    <cellStyle name="Porcentual 203 5 3" xfId="8928" xr:uid="{00000000-0005-0000-0000-00002F280000}"/>
    <cellStyle name="Porcentual 203 6" xfId="3406" xr:uid="{00000000-0005-0000-0000-000030280000}"/>
    <cellStyle name="Porcentual 203 6 2" xfId="6949" xr:uid="{00000000-0005-0000-0000-000031280000}"/>
    <cellStyle name="Porcentual 203 6 3" xfId="8929" xr:uid="{00000000-0005-0000-0000-000032280000}"/>
    <cellStyle name="Porcentual 203 7" xfId="3407" xr:uid="{00000000-0005-0000-0000-000033280000}"/>
    <cellStyle name="Porcentual 203 7 2" xfId="6950" xr:uid="{00000000-0005-0000-0000-000034280000}"/>
    <cellStyle name="Porcentual 203 7 3" xfId="8930" xr:uid="{00000000-0005-0000-0000-000035280000}"/>
    <cellStyle name="Porcentual 203 8" xfId="3408" xr:uid="{00000000-0005-0000-0000-000036280000}"/>
    <cellStyle name="Porcentual 203 8 2" xfId="6951" xr:uid="{00000000-0005-0000-0000-000037280000}"/>
    <cellStyle name="Porcentual 203 8 3" xfId="8931" xr:uid="{00000000-0005-0000-0000-000038280000}"/>
    <cellStyle name="Porcentual 203 9" xfId="3409" xr:uid="{00000000-0005-0000-0000-000039280000}"/>
    <cellStyle name="Porcentual 203 9 2" xfId="6952" xr:uid="{00000000-0005-0000-0000-00003A280000}"/>
    <cellStyle name="Porcentual 203 9 3" xfId="8932" xr:uid="{00000000-0005-0000-0000-00003B280000}"/>
    <cellStyle name="Porcentual 204 10" xfId="3410" xr:uid="{00000000-0005-0000-0000-00003C280000}"/>
    <cellStyle name="Porcentual 204 10 2" xfId="6953" xr:uid="{00000000-0005-0000-0000-00003D280000}"/>
    <cellStyle name="Porcentual 204 10 3" xfId="8933" xr:uid="{00000000-0005-0000-0000-00003E280000}"/>
    <cellStyle name="Porcentual 204 11" xfId="3411" xr:uid="{00000000-0005-0000-0000-00003F280000}"/>
    <cellStyle name="Porcentual 204 11 2" xfId="6954" xr:uid="{00000000-0005-0000-0000-000040280000}"/>
    <cellStyle name="Porcentual 204 11 3" xfId="8934" xr:uid="{00000000-0005-0000-0000-000041280000}"/>
    <cellStyle name="Porcentual 204 12" xfId="3412" xr:uid="{00000000-0005-0000-0000-000042280000}"/>
    <cellStyle name="Porcentual 204 12 2" xfId="6955" xr:uid="{00000000-0005-0000-0000-000043280000}"/>
    <cellStyle name="Porcentual 204 12 3" xfId="8935" xr:uid="{00000000-0005-0000-0000-000044280000}"/>
    <cellStyle name="Porcentual 204 13" xfId="3413" xr:uid="{00000000-0005-0000-0000-000045280000}"/>
    <cellStyle name="Porcentual 204 13 2" xfId="6956" xr:uid="{00000000-0005-0000-0000-000046280000}"/>
    <cellStyle name="Porcentual 204 13 3" xfId="8936" xr:uid="{00000000-0005-0000-0000-000047280000}"/>
    <cellStyle name="Porcentual 204 14" xfId="3414" xr:uid="{00000000-0005-0000-0000-000048280000}"/>
    <cellStyle name="Porcentual 204 14 2" xfId="6957" xr:uid="{00000000-0005-0000-0000-000049280000}"/>
    <cellStyle name="Porcentual 204 14 3" xfId="8937" xr:uid="{00000000-0005-0000-0000-00004A280000}"/>
    <cellStyle name="Porcentual 204 15" xfId="3415" xr:uid="{00000000-0005-0000-0000-00004B280000}"/>
    <cellStyle name="Porcentual 204 15 2" xfId="6958" xr:uid="{00000000-0005-0000-0000-00004C280000}"/>
    <cellStyle name="Porcentual 204 15 3" xfId="8938" xr:uid="{00000000-0005-0000-0000-00004D280000}"/>
    <cellStyle name="Porcentual 204 16" xfId="3416" xr:uid="{00000000-0005-0000-0000-00004E280000}"/>
    <cellStyle name="Porcentual 204 16 2" xfId="6959" xr:uid="{00000000-0005-0000-0000-00004F280000}"/>
    <cellStyle name="Porcentual 204 16 3" xfId="8939" xr:uid="{00000000-0005-0000-0000-000050280000}"/>
    <cellStyle name="Porcentual 204 17" xfId="3417" xr:uid="{00000000-0005-0000-0000-000051280000}"/>
    <cellStyle name="Porcentual 204 17 2" xfId="6960" xr:uid="{00000000-0005-0000-0000-000052280000}"/>
    <cellStyle name="Porcentual 204 17 3" xfId="8940" xr:uid="{00000000-0005-0000-0000-000053280000}"/>
    <cellStyle name="Porcentual 204 18" xfId="3418" xr:uid="{00000000-0005-0000-0000-000054280000}"/>
    <cellStyle name="Porcentual 204 18 2" xfId="6961" xr:uid="{00000000-0005-0000-0000-000055280000}"/>
    <cellStyle name="Porcentual 204 18 3" xfId="8941" xr:uid="{00000000-0005-0000-0000-000056280000}"/>
    <cellStyle name="Porcentual 204 19" xfId="3419" xr:uid="{00000000-0005-0000-0000-000057280000}"/>
    <cellStyle name="Porcentual 204 19 2" xfId="6962" xr:uid="{00000000-0005-0000-0000-000058280000}"/>
    <cellStyle name="Porcentual 204 19 3" xfId="8942" xr:uid="{00000000-0005-0000-0000-000059280000}"/>
    <cellStyle name="Porcentual 204 2" xfId="3420" xr:uid="{00000000-0005-0000-0000-00005A280000}"/>
    <cellStyle name="Porcentual 204 2 2" xfId="6963" xr:uid="{00000000-0005-0000-0000-00005B280000}"/>
    <cellStyle name="Porcentual 204 2 3" xfId="8943" xr:uid="{00000000-0005-0000-0000-00005C280000}"/>
    <cellStyle name="Porcentual 204 20" xfId="3421" xr:uid="{00000000-0005-0000-0000-00005D280000}"/>
    <cellStyle name="Porcentual 204 20 2" xfId="6964" xr:uid="{00000000-0005-0000-0000-00005E280000}"/>
    <cellStyle name="Porcentual 204 20 3" xfId="8944" xr:uid="{00000000-0005-0000-0000-00005F280000}"/>
    <cellStyle name="Porcentual 204 21" xfId="3422" xr:uid="{00000000-0005-0000-0000-000060280000}"/>
    <cellStyle name="Porcentual 204 21 2" xfId="6965" xr:uid="{00000000-0005-0000-0000-000061280000}"/>
    <cellStyle name="Porcentual 204 21 3" xfId="8945" xr:uid="{00000000-0005-0000-0000-000062280000}"/>
    <cellStyle name="Porcentual 204 22" xfId="3423" xr:uid="{00000000-0005-0000-0000-000063280000}"/>
    <cellStyle name="Porcentual 204 22 2" xfId="6966" xr:uid="{00000000-0005-0000-0000-000064280000}"/>
    <cellStyle name="Porcentual 204 22 3" xfId="8946" xr:uid="{00000000-0005-0000-0000-000065280000}"/>
    <cellStyle name="Porcentual 204 23" xfId="3424" xr:uid="{00000000-0005-0000-0000-000066280000}"/>
    <cellStyle name="Porcentual 204 23 2" xfId="6967" xr:uid="{00000000-0005-0000-0000-000067280000}"/>
    <cellStyle name="Porcentual 204 23 3" xfId="8947" xr:uid="{00000000-0005-0000-0000-000068280000}"/>
    <cellStyle name="Porcentual 204 24" xfId="3425" xr:uid="{00000000-0005-0000-0000-000069280000}"/>
    <cellStyle name="Porcentual 204 24 2" xfId="6968" xr:uid="{00000000-0005-0000-0000-00006A280000}"/>
    <cellStyle name="Porcentual 204 24 3" xfId="8948" xr:uid="{00000000-0005-0000-0000-00006B280000}"/>
    <cellStyle name="Porcentual 204 25" xfId="3426" xr:uid="{00000000-0005-0000-0000-00006C280000}"/>
    <cellStyle name="Porcentual 204 25 2" xfId="6969" xr:uid="{00000000-0005-0000-0000-00006D280000}"/>
    <cellStyle name="Porcentual 204 25 3" xfId="8949" xr:uid="{00000000-0005-0000-0000-00006E280000}"/>
    <cellStyle name="Porcentual 204 26" xfId="3427" xr:uid="{00000000-0005-0000-0000-00006F280000}"/>
    <cellStyle name="Porcentual 204 26 2" xfId="6970" xr:uid="{00000000-0005-0000-0000-000070280000}"/>
    <cellStyle name="Porcentual 204 26 3" xfId="8950" xr:uid="{00000000-0005-0000-0000-000071280000}"/>
    <cellStyle name="Porcentual 204 27" xfId="3428" xr:uid="{00000000-0005-0000-0000-000072280000}"/>
    <cellStyle name="Porcentual 204 27 2" xfId="6971" xr:uid="{00000000-0005-0000-0000-000073280000}"/>
    <cellStyle name="Porcentual 204 27 3" xfId="8951" xr:uid="{00000000-0005-0000-0000-000074280000}"/>
    <cellStyle name="Porcentual 204 28" xfId="3429" xr:uid="{00000000-0005-0000-0000-000075280000}"/>
    <cellStyle name="Porcentual 204 28 2" xfId="6972" xr:uid="{00000000-0005-0000-0000-000076280000}"/>
    <cellStyle name="Porcentual 204 28 3" xfId="8952" xr:uid="{00000000-0005-0000-0000-000077280000}"/>
    <cellStyle name="Porcentual 204 3" xfId="3430" xr:uid="{00000000-0005-0000-0000-000078280000}"/>
    <cellStyle name="Porcentual 204 3 2" xfId="6973" xr:uid="{00000000-0005-0000-0000-000079280000}"/>
    <cellStyle name="Porcentual 204 3 3" xfId="8953" xr:uid="{00000000-0005-0000-0000-00007A280000}"/>
    <cellStyle name="Porcentual 204 4" xfId="3431" xr:uid="{00000000-0005-0000-0000-00007B280000}"/>
    <cellStyle name="Porcentual 204 4 2" xfId="6974" xr:uid="{00000000-0005-0000-0000-00007C280000}"/>
    <cellStyle name="Porcentual 204 4 3" xfId="8954" xr:uid="{00000000-0005-0000-0000-00007D280000}"/>
    <cellStyle name="Porcentual 204 5" xfId="3432" xr:uid="{00000000-0005-0000-0000-00007E280000}"/>
    <cellStyle name="Porcentual 204 5 2" xfId="6975" xr:uid="{00000000-0005-0000-0000-00007F280000}"/>
    <cellStyle name="Porcentual 204 5 3" xfId="8955" xr:uid="{00000000-0005-0000-0000-000080280000}"/>
    <cellStyle name="Porcentual 204 6" xfId="3433" xr:uid="{00000000-0005-0000-0000-000081280000}"/>
    <cellStyle name="Porcentual 204 6 2" xfId="6976" xr:uid="{00000000-0005-0000-0000-000082280000}"/>
    <cellStyle name="Porcentual 204 6 3" xfId="8956" xr:uid="{00000000-0005-0000-0000-000083280000}"/>
    <cellStyle name="Porcentual 204 7" xfId="3434" xr:uid="{00000000-0005-0000-0000-000084280000}"/>
    <cellStyle name="Porcentual 204 7 2" xfId="6977" xr:uid="{00000000-0005-0000-0000-000085280000}"/>
    <cellStyle name="Porcentual 204 7 3" xfId="8957" xr:uid="{00000000-0005-0000-0000-000086280000}"/>
    <cellStyle name="Porcentual 204 8" xfId="3435" xr:uid="{00000000-0005-0000-0000-000087280000}"/>
    <cellStyle name="Porcentual 204 8 2" xfId="6978" xr:uid="{00000000-0005-0000-0000-000088280000}"/>
    <cellStyle name="Porcentual 204 8 3" xfId="8958" xr:uid="{00000000-0005-0000-0000-000089280000}"/>
    <cellStyle name="Porcentual 204 9" xfId="3436" xr:uid="{00000000-0005-0000-0000-00008A280000}"/>
    <cellStyle name="Porcentual 204 9 2" xfId="6979" xr:uid="{00000000-0005-0000-0000-00008B280000}"/>
    <cellStyle name="Porcentual 204 9 3" xfId="8959" xr:uid="{00000000-0005-0000-0000-00008C280000}"/>
    <cellStyle name="Porcentual 206 10" xfId="3437" xr:uid="{00000000-0005-0000-0000-00008D280000}"/>
    <cellStyle name="Porcentual 206 10 2" xfId="6980" xr:uid="{00000000-0005-0000-0000-00008E280000}"/>
    <cellStyle name="Porcentual 206 10 3" xfId="8960" xr:uid="{00000000-0005-0000-0000-00008F280000}"/>
    <cellStyle name="Porcentual 206 11" xfId="3438" xr:uid="{00000000-0005-0000-0000-000090280000}"/>
    <cellStyle name="Porcentual 206 11 2" xfId="6981" xr:uid="{00000000-0005-0000-0000-000091280000}"/>
    <cellStyle name="Porcentual 206 11 3" xfId="8961" xr:uid="{00000000-0005-0000-0000-000092280000}"/>
    <cellStyle name="Porcentual 206 12" xfId="3439" xr:uid="{00000000-0005-0000-0000-000093280000}"/>
    <cellStyle name="Porcentual 206 12 2" xfId="6982" xr:uid="{00000000-0005-0000-0000-000094280000}"/>
    <cellStyle name="Porcentual 206 12 3" xfId="8962" xr:uid="{00000000-0005-0000-0000-000095280000}"/>
    <cellStyle name="Porcentual 206 13" xfId="3440" xr:uid="{00000000-0005-0000-0000-000096280000}"/>
    <cellStyle name="Porcentual 206 13 2" xfId="6983" xr:uid="{00000000-0005-0000-0000-000097280000}"/>
    <cellStyle name="Porcentual 206 13 3" xfId="8963" xr:uid="{00000000-0005-0000-0000-000098280000}"/>
    <cellStyle name="Porcentual 206 14" xfId="3441" xr:uid="{00000000-0005-0000-0000-000099280000}"/>
    <cellStyle name="Porcentual 206 14 2" xfId="6984" xr:uid="{00000000-0005-0000-0000-00009A280000}"/>
    <cellStyle name="Porcentual 206 14 3" xfId="8964" xr:uid="{00000000-0005-0000-0000-00009B280000}"/>
    <cellStyle name="Porcentual 206 15" xfId="3442" xr:uid="{00000000-0005-0000-0000-00009C280000}"/>
    <cellStyle name="Porcentual 206 15 2" xfId="6985" xr:uid="{00000000-0005-0000-0000-00009D280000}"/>
    <cellStyle name="Porcentual 206 15 3" xfId="8965" xr:uid="{00000000-0005-0000-0000-00009E280000}"/>
    <cellStyle name="Porcentual 206 16" xfId="3443" xr:uid="{00000000-0005-0000-0000-00009F280000}"/>
    <cellStyle name="Porcentual 206 16 2" xfId="6986" xr:uid="{00000000-0005-0000-0000-0000A0280000}"/>
    <cellStyle name="Porcentual 206 16 3" xfId="8966" xr:uid="{00000000-0005-0000-0000-0000A1280000}"/>
    <cellStyle name="Porcentual 206 17" xfId="3444" xr:uid="{00000000-0005-0000-0000-0000A2280000}"/>
    <cellStyle name="Porcentual 206 17 2" xfId="6987" xr:uid="{00000000-0005-0000-0000-0000A3280000}"/>
    <cellStyle name="Porcentual 206 17 3" xfId="8967" xr:uid="{00000000-0005-0000-0000-0000A4280000}"/>
    <cellStyle name="Porcentual 206 18" xfId="3445" xr:uid="{00000000-0005-0000-0000-0000A5280000}"/>
    <cellStyle name="Porcentual 206 18 2" xfId="6988" xr:uid="{00000000-0005-0000-0000-0000A6280000}"/>
    <cellStyle name="Porcentual 206 18 3" xfId="8968" xr:uid="{00000000-0005-0000-0000-0000A7280000}"/>
    <cellStyle name="Porcentual 206 19" xfId="3446" xr:uid="{00000000-0005-0000-0000-0000A8280000}"/>
    <cellStyle name="Porcentual 206 19 2" xfId="6989" xr:uid="{00000000-0005-0000-0000-0000A9280000}"/>
    <cellStyle name="Porcentual 206 19 3" xfId="8969" xr:uid="{00000000-0005-0000-0000-0000AA280000}"/>
    <cellStyle name="Porcentual 206 2" xfId="3447" xr:uid="{00000000-0005-0000-0000-0000AB280000}"/>
    <cellStyle name="Porcentual 206 2 2" xfId="6990" xr:uid="{00000000-0005-0000-0000-0000AC280000}"/>
    <cellStyle name="Porcentual 206 2 3" xfId="8970" xr:uid="{00000000-0005-0000-0000-0000AD280000}"/>
    <cellStyle name="Porcentual 206 20" xfId="3448" xr:uid="{00000000-0005-0000-0000-0000AE280000}"/>
    <cellStyle name="Porcentual 206 20 2" xfId="6991" xr:uid="{00000000-0005-0000-0000-0000AF280000}"/>
    <cellStyle name="Porcentual 206 20 3" xfId="8971" xr:uid="{00000000-0005-0000-0000-0000B0280000}"/>
    <cellStyle name="Porcentual 206 21" xfId="3449" xr:uid="{00000000-0005-0000-0000-0000B1280000}"/>
    <cellStyle name="Porcentual 206 21 2" xfId="6992" xr:uid="{00000000-0005-0000-0000-0000B2280000}"/>
    <cellStyle name="Porcentual 206 21 3" xfId="8972" xr:uid="{00000000-0005-0000-0000-0000B3280000}"/>
    <cellStyle name="Porcentual 206 22" xfId="3450" xr:uid="{00000000-0005-0000-0000-0000B4280000}"/>
    <cellStyle name="Porcentual 206 22 2" xfId="6993" xr:uid="{00000000-0005-0000-0000-0000B5280000}"/>
    <cellStyle name="Porcentual 206 22 3" xfId="8973" xr:uid="{00000000-0005-0000-0000-0000B6280000}"/>
    <cellStyle name="Porcentual 206 23" xfId="3451" xr:uid="{00000000-0005-0000-0000-0000B7280000}"/>
    <cellStyle name="Porcentual 206 23 2" xfId="6994" xr:uid="{00000000-0005-0000-0000-0000B8280000}"/>
    <cellStyle name="Porcentual 206 23 3" xfId="8974" xr:uid="{00000000-0005-0000-0000-0000B9280000}"/>
    <cellStyle name="Porcentual 206 24" xfId="3452" xr:uid="{00000000-0005-0000-0000-0000BA280000}"/>
    <cellStyle name="Porcentual 206 24 2" xfId="6995" xr:uid="{00000000-0005-0000-0000-0000BB280000}"/>
    <cellStyle name="Porcentual 206 24 3" xfId="8975" xr:uid="{00000000-0005-0000-0000-0000BC280000}"/>
    <cellStyle name="Porcentual 206 25" xfId="3453" xr:uid="{00000000-0005-0000-0000-0000BD280000}"/>
    <cellStyle name="Porcentual 206 25 2" xfId="6996" xr:uid="{00000000-0005-0000-0000-0000BE280000}"/>
    <cellStyle name="Porcentual 206 25 3" xfId="8976" xr:uid="{00000000-0005-0000-0000-0000BF280000}"/>
    <cellStyle name="Porcentual 206 26" xfId="3454" xr:uid="{00000000-0005-0000-0000-0000C0280000}"/>
    <cellStyle name="Porcentual 206 26 2" xfId="6997" xr:uid="{00000000-0005-0000-0000-0000C1280000}"/>
    <cellStyle name="Porcentual 206 26 3" xfId="8977" xr:uid="{00000000-0005-0000-0000-0000C2280000}"/>
    <cellStyle name="Porcentual 206 27" xfId="3455" xr:uid="{00000000-0005-0000-0000-0000C3280000}"/>
    <cellStyle name="Porcentual 206 27 2" xfId="6998" xr:uid="{00000000-0005-0000-0000-0000C4280000}"/>
    <cellStyle name="Porcentual 206 27 3" xfId="8978" xr:uid="{00000000-0005-0000-0000-0000C5280000}"/>
    <cellStyle name="Porcentual 206 28" xfId="3456" xr:uid="{00000000-0005-0000-0000-0000C6280000}"/>
    <cellStyle name="Porcentual 206 28 2" xfId="6999" xr:uid="{00000000-0005-0000-0000-0000C7280000}"/>
    <cellStyle name="Porcentual 206 28 3" xfId="8979" xr:uid="{00000000-0005-0000-0000-0000C8280000}"/>
    <cellStyle name="Porcentual 206 3" xfId="3457" xr:uid="{00000000-0005-0000-0000-0000C9280000}"/>
    <cellStyle name="Porcentual 206 3 2" xfId="7000" xr:uid="{00000000-0005-0000-0000-0000CA280000}"/>
    <cellStyle name="Porcentual 206 3 3" xfId="8980" xr:uid="{00000000-0005-0000-0000-0000CB280000}"/>
    <cellStyle name="Porcentual 206 4" xfId="3458" xr:uid="{00000000-0005-0000-0000-0000CC280000}"/>
    <cellStyle name="Porcentual 206 4 2" xfId="7001" xr:uid="{00000000-0005-0000-0000-0000CD280000}"/>
    <cellStyle name="Porcentual 206 4 3" xfId="8981" xr:uid="{00000000-0005-0000-0000-0000CE280000}"/>
    <cellStyle name="Porcentual 206 5" xfId="3459" xr:uid="{00000000-0005-0000-0000-0000CF280000}"/>
    <cellStyle name="Porcentual 206 5 2" xfId="7002" xr:uid="{00000000-0005-0000-0000-0000D0280000}"/>
    <cellStyle name="Porcentual 206 5 3" xfId="8982" xr:uid="{00000000-0005-0000-0000-0000D1280000}"/>
    <cellStyle name="Porcentual 206 6" xfId="3460" xr:uid="{00000000-0005-0000-0000-0000D2280000}"/>
    <cellStyle name="Porcentual 206 6 2" xfId="7003" xr:uid="{00000000-0005-0000-0000-0000D3280000}"/>
    <cellStyle name="Porcentual 206 6 3" xfId="8983" xr:uid="{00000000-0005-0000-0000-0000D4280000}"/>
    <cellStyle name="Porcentual 206 7" xfId="3461" xr:uid="{00000000-0005-0000-0000-0000D5280000}"/>
    <cellStyle name="Porcentual 206 7 2" xfId="7004" xr:uid="{00000000-0005-0000-0000-0000D6280000}"/>
    <cellStyle name="Porcentual 206 7 3" xfId="8984" xr:uid="{00000000-0005-0000-0000-0000D7280000}"/>
    <cellStyle name="Porcentual 206 8" xfId="3462" xr:uid="{00000000-0005-0000-0000-0000D8280000}"/>
    <cellStyle name="Porcentual 206 8 2" xfId="7005" xr:uid="{00000000-0005-0000-0000-0000D9280000}"/>
    <cellStyle name="Porcentual 206 8 3" xfId="8985" xr:uid="{00000000-0005-0000-0000-0000DA280000}"/>
    <cellStyle name="Porcentual 206 9" xfId="3463" xr:uid="{00000000-0005-0000-0000-0000DB280000}"/>
    <cellStyle name="Porcentual 206 9 2" xfId="7006" xr:uid="{00000000-0005-0000-0000-0000DC280000}"/>
    <cellStyle name="Porcentual 206 9 3" xfId="8986" xr:uid="{00000000-0005-0000-0000-0000DD280000}"/>
    <cellStyle name="Porcentual 207 10" xfId="3464" xr:uid="{00000000-0005-0000-0000-0000DE280000}"/>
    <cellStyle name="Porcentual 207 10 2" xfId="7007" xr:uid="{00000000-0005-0000-0000-0000DF280000}"/>
    <cellStyle name="Porcentual 207 10 3" xfId="8987" xr:uid="{00000000-0005-0000-0000-0000E0280000}"/>
    <cellStyle name="Porcentual 207 11" xfId="3465" xr:uid="{00000000-0005-0000-0000-0000E1280000}"/>
    <cellStyle name="Porcentual 207 11 2" xfId="7008" xr:uid="{00000000-0005-0000-0000-0000E2280000}"/>
    <cellStyle name="Porcentual 207 11 3" xfId="8988" xr:uid="{00000000-0005-0000-0000-0000E3280000}"/>
    <cellStyle name="Porcentual 207 12" xfId="3466" xr:uid="{00000000-0005-0000-0000-0000E4280000}"/>
    <cellStyle name="Porcentual 207 12 2" xfId="7009" xr:uid="{00000000-0005-0000-0000-0000E5280000}"/>
    <cellStyle name="Porcentual 207 12 3" xfId="8989" xr:uid="{00000000-0005-0000-0000-0000E6280000}"/>
    <cellStyle name="Porcentual 207 13" xfId="3467" xr:uid="{00000000-0005-0000-0000-0000E7280000}"/>
    <cellStyle name="Porcentual 207 13 2" xfId="7010" xr:uid="{00000000-0005-0000-0000-0000E8280000}"/>
    <cellStyle name="Porcentual 207 13 3" xfId="8990" xr:uid="{00000000-0005-0000-0000-0000E9280000}"/>
    <cellStyle name="Porcentual 207 14" xfId="3468" xr:uid="{00000000-0005-0000-0000-0000EA280000}"/>
    <cellStyle name="Porcentual 207 14 2" xfId="7011" xr:uid="{00000000-0005-0000-0000-0000EB280000}"/>
    <cellStyle name="Porcentual 207 14 3" xfId="8991" xr:uid="{00000000-0005-0000-0000-0000EC280000}"/>
    <cellStyle name="Porcentual 207 15" xfId="3469" xr:uid="{00000000-0005-0000-0000-0000ED280000}"/>
    <cellStyle name="Porcentual 207 15 2" xfId="7012" xr:uid="{00000000-0005-0000-0000-0000EE280000}"/>
    <cellStyle name="Porcentual 207 15 3" xfId="8992" xr:uid="{00000000-0005-0000-0000-0000EF280000}"/>
    <cellStyle name="Porcentual 207 16" xfId="3470" xr:uid="{00000000-0005-0000-0000-0000F0280000}"/>
    <cellStyle name="Porcentual 207 16 2" xfId="7013" xr:uid="{00000000-0005-0000-0000-0000F1280000}"/>
    <cellStyle name="Porcentual 207 16 3" xfId="8993" xr:uid="{00000000-0005-0000-0000-0000F2280000}"/>
    <cellStyle name="Porcentual 207 17" xfId="3471" xr:uid="{00000000-0005-0000-0000-0000F3280000}"/>
    <cellStyle name="Porcentual 207 17 2" xfId="7014" xr:uid="{00000000-0005-0000-0000-0000F4280000}"/>
    <cellStyle name="Porcentual 207 17 3" xfId="8994" xr:uid="{00000000-0005-0000-0000-0000F5280000}"/>
    <cellStyle name="Porcentual 207 18" xfId="3472" xr:uid="{00000000-0005-0000-0000-0000F6280000}"/>
    <cellStyle name="Porcentual 207 18 2" xfId="7015" xr:uid="{00000000-0005-0000-0000-0000F7280000}"/>
    <cellStyle name="Porcentual 207 18 3" xfId="8995" xr:uid="{00000000-0005-0000-0000-0000F8280000}"/>
    <cellStyle name="Porcentual 207 19" xfId="3473" xr:uid="{00000000-0005-0000-0000-0000F9280000}"/>
    <cellStyle name="Porcentual 207 19 2" xfId="7016" xr:uid="{00000000-0005-0000-0000-0000FA280000}"/>
    <cellStyle name="Porcentual 207 19 3" xfId="8996" xr:uid="{00000000-0005-0000-0000-0000FB280000}"/>
    <cellStyle name="Porcentual 207 2" xfId="3474" xr:uid="{00000000-0005-0000-0000-0000FC280000}"/>
    <cellStyle name="Porcentual 207 2 2" xfId="7017" xr:uid="{00000000-0005-0000-0000-0000FD280000}"/>
    <cellStyle name="Porcentual 207 2 3" xfId="8997" xr:uid="{00000000-0005-0000-0000-0000FE280000}"/>
    <cellStyle name="Porcentual 207 20" xfId="3475" xr:uid="{00000000-0005-0000-0000-0000FF280000}"/>
    <cellStyle name="Porcentual 207 20 2" xfId="7018" xr:uid="{00000000-0005-0000-0000-000000290000}"/>
    <cellStyle name="Porcentual 207 20 3" xfId="8998" xr:uid="{00000000-0005-0000-0000-000001290000}"/>
    <cellStyle name="Porcentual 207 21" xfId="3476" xr:uid="{00000000-0005-0000-0000-000002290000}"/>
    <cellStyle name="Porcentual 207 21 2" xfId="7019" xr:uid="{00000000-0005-0000-0000-000003290000}"/>
    <cellStyle name="Porcentual 207 21 3" xfId="8999" xr:uid="{00000000-0005-0000-0000-000004290000}"/>
    <cellStyle name="Porcentual 207 22" xfId="3477" xr:uid="{00000000-0005-0000-0000-000005290000}"/>
    <cellStyle name="Porcentual 207 22 2" xfId="7020" xr:uid="{00000000-0005-0000-0000-000006290000}"/>
    <cellStyle name="Porcentual 207 22 3" xfId="9000" xr:uid="{00000000-0005-0000-0000-000007290000}"/>
    <cellStyle name="Porcentual 207 23" xfId="3478" xr:uid="{00000000-0005-0000-0000-000008290000}"/>
    <cellStyle name="Porcentual 207 23 2" xfId="7021" xr:uid="{00000000-0005-0000-0000-000009290000}"/>
    <cellStyle name="Porcentual 207 23 3" xfId="9001" xr:uid="{00000000-0005-0000-0000-00000A290000}"/>
    <cellStyle name="Porcentual 207 24" xfId="3479" xr:uid="{00000000-0005-0000-0000-00000B290000}"/>
    <cellStyle name="Porcentual 207 24 2" xfId="7022" xr:uid="{00000000-0005-0000-0000-00000C290000}"/>
    <cellStyle name="Porcentual 207 24 3" xfId="9002" xr:uid="{00000000-0005-0000-0000-00000D290000}"/>
    <cellStyle name="Porcentual 207 25" xfId="3480" xr:uid="{00000000-0005-0000-0000-00000E290000}"/>
    <cellStyle name="Porcentual 207 25 2" xfId="7023" xr:uid="{00000000-0005-0000-0000-00000F290000}"/>
    <cellStyle name="Porcentual 207 25 3" xfId="9003" xr:uid="{00000000-0005-0000-0000-000010290000}"/>
    <cellStyle name="Porcentual 207 26" xfId="3481" xr:uid="{00000000-0005-0000-0000-000011290000}"/>
    <cellStyle name="Porcentual 207 26 2" xfId="7024" xr:uid="{00000000-0005-0000-0000-000012290000}"/>
    <cellStyle name="Porcentual 207 26 3" xfId="9004" xr:uid="{00000000-0005-0000-0000-000013290000}"/>
    <cellStyle name="Porcentual 207 27" xfId="3482" xr:uid="{00000000-0005-0000-0000-000014290000}"/>
    <cellStyle name="Porcentual 207 27 2" xfId="7025" xr:uid="{00000000-0005-0000-0000-000015290000}"/>
    <cellStyle name="Porcentual 207 27 3" xfId="9005" xr:uid="{00000000-0005-0000-0000-000016290000}"/>
    <cellStyle name="Porcentual 207 28" xfId="3483" xr:uid="{00000000-0005-0000-0000-000017290000}"/>
    <cellStyle name="Porcentual 207 28 2" xfId="7026" xr:uid="{00000000-0005-0000-0000-000018290000}"/>
    <cellStyle name="Porcentual 207 28 3" xfId="9006" xr:uid="{00000000-0005-0000-0000-000019290000}"/>
    <cellStyle name="Porcentual 207 3" xfId="3484" xr:uid="{00000000-0005-0000-0000-00001A290000}"/>
    <cellStyle name="Porcentual 207 3 2" xfId="7027" xr:uid="{00000000-0005-0000-0000-00001B290000}"/>
    <cellStyle name="Porcentual 207 3 3" xfId="9007" xr:uid="{00000000-0005-0000-0000-00001C290000}"/>
    <cellStyle name="Porcentual 207 4" xfId="3485" xr:uid="{00000000-0005-0000-0000-00001D290000}"/>
    <cellStyle name="Porcentual 207 4 2" xfId="7028" xr:uid="{00000000-0005-0000-0000-00001E290000}"/>
    <cellStyle name="Porcentual 207 4 3" xfId="9008" xr:uid="{00000000-0005-0000-0000-00001F290000}"/>
    <cellStyle name="Porcentual 207 5" xfId="3486" xr:uid="{00000000-0005-0000-0000-000020290000}"/>
    <cellStyle name="Porcentual 207 5 2" xfId="7029" xr:uid="{00000000-0005-0000-0000-000021290000}"/>
    <cellStyle name="Porcentual 207 5 3" xfId="9009" xr:uid="{00000000-0005-0000-0000-000022290000}"/>
    <cellStyle name="Porcentual 207 6" xfId="3487" xr:uid="{00000000-0005-0000-0000-000023290000}"/>
    <cellStyle name="Porcentual 207 6 2" xfId="7030" xr:uid="{00000000-0005-0000-0000-000024290000}"/>
    <cellStyle name="Porcentual 207 6 3" xfId="9010" xr:uid="{00000000-0005-0000-0000-000025290000}"/>
    <cellStyle name="Porcentual 207 7" xfId="3488" xr:uid="{00000000-0005-0000-0000-000026290000}"/>
    <cellStyle name="Porcentual 207 7 2" xfId="7031" xr:uid="{00000000-0005-0000-0000-000027290000}"/>
    <cellStyle name="Porcentual 207 7 3" xfId="9011" xr:uid="{00000000-0005-0000-0000-000028290000}"/>
    <cellStyle name="Porcentual 207 8" xfId="3489" xr:uid="{00000000-0005-0000-0000-000029290000}"/>
    <cellStyle name="Porcentual 207 8 2" xfId="7032" xr:uid="{00000000-0005-0000-0000-00002A290000}"/>
    <cellStyle name="Porcentual 207 8 3" xfId="9012" xr:uid="{00000000-0005-0000-0000-00002B290000}"/>
    <cellStyle name="Porcentual 207 9" xfId="3490" xr:uid="{00000000-0005-0000-0000-00002C290000}"/>
    <cellStyle name="Porcentual 207 9 2" xfId="7033" xr:uid="{00000000-0005-0000-0000-00002D290000}"/>
    <cellStyle name="Porcentual 207 9 3" xfId="9013" xr:uid="{00000000-0005-0000-0000-00002E290000}"/>
    <cellStyle name="Porcentual 208 10" xfId="3491" xr:uid="{00000000-0005-0000-0000-00002F290000}"/>
    <cellStyle name="Porcentual 208 10 2" xfId="7034" xr:uid="{00000000-0005-0000-0000-000030290000}"/>
    <cellStyle name="Porcentual 208 10 3" xfId="9014" xr:uid="{00000000-0005-0000-0000-000031290000}"/>
    <cellStyle name="Porcentual 208 11" xfId="3492" xr:uid="{00000000-0005-0000-0000-000032290000}"/>
    <cellStyle name="Porcentual 208 11 2" xfId="7035" xr:uid="{00000000-0005-0000-0000-000033290000}"/>
    <cellStyle name="Porcentual 208 11 3" xfId="9015" xr:uid="{00000000-0005-0000-0000-000034290000}"/>
    <cellStyle name="Porcentual 208 12" xfId="3493" xr:uid="{00000000-0005-0000-0000-000035290000}"/>
    <cellStyle name="Porcentual 208 12 2" xfId="7036" xr:uid="{00000000-0005-0000-0000-000036290000}"/>
    <cellStyle name="Porcentual 208 12 3" xfId="9016" xr:uid="{00000000-0005-0000-0000-000037290000}"/>
    <cellStyle name="Porcentual 208 13" xfId="3494" xr:uid="{00000000-0005-0000-0000-000038290000}"/>
    <cellStyle name="Porcentual 208 13 2" xfId="7037" xr:uid="{00000000-0005-0000-0000-000039290000}"/>
    <cellStyle name="Porcentual 208 13 3" xfId="9017" xr:uid="{00000000-0005-0000-0000-00003A290000}"/>
    <cellStyle name="Porcentual 208 14" xfId="3495" xr:uid="{00000000-0005-0000-0000-00003B290000}"/>
    <cellStyle name="Porcentual 208 14 2" xfId="7038" xr:uid="{00000000-0005-0000-0000-00003C290000}"/>
    <cellStyle name="Porcentual 208 14 3" xfId="9018" xr:uid="{00000000-0005-0000-0000-00003D290000}"/>
    <cellStyle name="Porcentual 208 15" xfId="3496" xr:uid="{00000000-0005-0000-0000-00003E290000}"/>
    <cellStyle name="Porcentual 208 15 2" xfId="7039" xr:uid="{00000000-0005-0000-0000-00003F290000}"/>
    <cellStyle name="Porcentual 208 15 3" xfId="9019" xr:uid="{00000000-0005-0000-0000-000040290000}"/>
    <cellStyle name="Porcentual 208 16" xfId="3497" xr:uid="{00000000-0005-0000-0000-000041290000}"/>
    <cellStyle name="Porcentual 208 16 2" xfId="7040" xr:uid="{00000000-0005-0000-0000-000042290000}"/>
    <cellStyle name="Porcentual 208 16 3" xfId="9020" xr:uid="{00000000-0005-0000-0000-000043290000}"/>
    <cellStyle name="Porcentual 208 17" xfId="3498" xr:uid="{00000000-0005-0000-0000-000044290000}"/>
    <cellStyle name="Porcentual 208 17 2" xfId="7041" xr:uid="{00000000-0005-0000-0000-000045290000}"/>
    <cellStyle name="Porcentual 208 17 3" xfId="9021" xr:uid="{00000000-0005-0000-0000-000046290000}"/>
    <cellStyle name="Porcentual 208 18" xfId="3499" xr:uid="{00000000-0005-0000-0000-000047290000}"/>
    <cellStyle name="Porcentual 208 18 2" xfId="7042" xr:uid="{00000000-0005-0000-0000-000048290000}"/>
    <cellStyle name="Porcentual 208 18 3" xfId="9022" xr:uid="{00000000-0005-0000-0000-000049290000}"/>
    <cellStyle name="Porcentual 208 19" xfId="3500" xr:uid="{00000000-0005-0000-0000-00004A290000}"/>
    <cellStyle name="Porcentual 208 19 2" xfId="7043" xr:uid="{00000000-0005-0000-0000-00004B290000}"/>
    <cellStyle name="Porcentual 208 19 3" xfId="9023" xr:uid="{00000000-0005-0000-0000-00004C290000}"/>
    <cellStyle name="Porcentual 208 2" xfId="3501" xr:uid="{00000000-0005-0000-0000-00004D290000}"/>
    <cellStyle name="Porcentual 208 2 2" xfId="7044" xr:uid="{00000000-0005-0000-0000-00004E290000}"/>
    <cellStyle name="Porcentual 208 2 3" xfId="9024" xr:uid="{00000000-0005-0000-0000-00004F290000}"/>
    <cellStyle name="Porcentual 208 20" xfId="3502" xr:uid="{00000000-0005-0000-0000-000050290000}"/>
    <cellStyle name="Porcentual 208 20 2" xfId="7045" xr:uid="{00000000-0005-0000-0000-000051290000}"/>
    <cellStyle name="Porcentual 208 20 3" xfId="9025" xr:uid="{00000000-0005-0000-0000-000052290000}"/>
    <cellStyle name="Porcentual 208 21" xfId="3503" xr:uid="{00000000-0005-0000-0000-000053290000}"/>
    <cellStyle name="Porcentual 208 21 2" xfId="7046" xr:uid="{00000000-0005-0000-0000-000054290000}"/>
    <cellStyle name="Porcentual 208 21 3" xfId="9026" xr:uid="{00000000-0005-0000-0000-000055290000}"/>
    <cellStyle name="Porcentual 208 22" xfId="3504" xr:uid="{00000000-0005-0000-0000-000056290000}"/>
    <cellStyle name="Porcentual 208 22 2" xfId="7047" xr:uid="{00000000-0005-0000-0000-000057290000}"/>
    <cellStyle name="Porcentual 208 22 3" xfId="9027" xr:uid="{00000000-0005-0000-0000-000058290000}"/>
    <cellStyle name="Porcentual 208 23" xfId="3505" xr:uid="{00000000-0005-0000-0000-000059290000}"/>
    <cellStyle name="Porcentual 208 23 2" xfId="7048" xr:uid="{00000000-0005-0000-0000-00005A290000}"/>
    <cellStyle name="Porcentual 208 23 3" xfId="9028" xr:uid="{00000000-0005-0000-0000-00005B290000}"/>
    <cellStyle name="Porcentual 208 24" xfId="3506" xr:uid="{00000000-0005-0000-0000-00005C290000}"/>
    <cellStyle name="Porcentual 208 24 2" xfId="7049" xr:uid="{00000000-0005-0000-0000-00005D290000}"/>
    <cellStyle name="Porcentual 208 24 3" xfId="9029" xr:uid="{00000000-0005-0000-0000-00005E290000}"/>
    <cellStyle name="Porcentual 208 25" xfId="3507" xr:uid="{00000000-0005-0000-0000-00005F290000}"/>
    <cellStyle name="Porcentual 208 25 2" xfId="7050" xr:uid="{00000000-0005-0000-0000-000060290000}"/>
    <cellStyle name="Porcentual 208 25 3" xfId="9030" xr:uid="{00000000-0005-0000-0000-000061290000}"/>
    <cellStyle name="Porcentual 208 26" xfId="3508" xr:uid="{00000000-0005-0000-0000-000062290000}"/>
    <cellStyle name="Porcentual 208 26 2" xfId="7051" xr:uid="{00000000-0005-0000-0000-000063290000}"/>
    <cellStyle name="Porcentual 208 26 3" xfId="9031" xr:uid="{00000000-0005-0000-0000-000064290000}"/>
    <cellStyle name="Porcentual 208 27" xfId="3509" xr:uid="{00000000-0005-0000-0000-000065290000}"/>
    <cellStyle name="Porcentual 208 27 2" xfId="7052" xr:uid="{00000000-0005-0000-0000-000066290000}"/>
    <cellStyle name="Porcentual 208 27 3" xfId="9032" xr:uid="{00000000-0005-0000-0000-000067290000}"/>
    <cellStyle name="Porcentual 208 28" xfId="3510" xr:uid="{00000000-0005-0000-0000-000068290000}"/>
    <cellStyle name="Porcentual 208 28 2" xfId="7053" xr:uid="{00000000-0005-0000-0000-000069290000}"/>
    <cellStyle name="Porcentual 208 28 3" xfId="9033" xr:uid="{00000000-0005-0000-0000-00006A290000}"/>
    <cellStyle name="Porcentual 208 3" xfId="3511" xr:uid="{00000000-0005-0000-0000-00006B290000}"/>
    <cellStyle name="Porcentual 208 3 2" xfId="7054" xr:uid="{00000000-0005-0000-0000-00006C290000}"/>
    <cellStyle name="Porcentual 208 3 3" xfId="9034" xr:uid="{00000000-0005-0000-0000-00006D290000}"/>
    <cellStyle name="Porcentual 208 4" xfId="3512" xr:uid="{00000000-0005-0000-0000-00006E290000}"/>
    <cellStyle name="Porcentual 208 4 2" xfId="7055" xr:uid="{00000000-0005-0000-0000-00006F290000}"/>
    <cellStyle name="Porcentual 208 4 3" xfId="9035" xr:uid="{00000000-0005-0000-0000-000070290000}"/>
    <cellStyle name="Porcentual 208 5" xfId="3513" xr:uid="{00000000-0005-0000-0000-000071290000}"/>
    <cellStyle name="Porcentual 208 5 2" xfId="7056" xr:uid="{00000000-0005-0000-0000-000072290000}"/>
    <cellStyle name="Porcentual 208 5 3" xfId="9036" xr:uid="{00000000-0005-0000-0000-000073290000}"/>
    <cellStyle name="Porcentual 208 6" xfId="3514" xr:uid="{00000000-0005-0000-0000-000074290000}"/>
    <cellStyle name="Porcentual 208 6 2" xfId="7057" xr:uid="{00000000-0005-0000-0000-000075290000}"/>
    <cellStyle name="Porcentual 208 6 3" xfId="9037" xr:uid="{00000000-0005-0000-0000-000076290000}"/>
    <cellStyle name="Porcentual 208 7" xfId="3515" xr:uid="{00000000-0005-0000-0000-000077290000}"/>
    <cellStyle name="Porcentual 208 7 2" xfId="7058" xr:uid="{00000000-0005-0000-0000-000078290000}"/>
    <cellStyle name="Porcentual 208 7 3" xfId="9038" xr:uid="{00000000-0005-0000-0000-000079290000}"/>
    <cellStyle name="Porcentual 208 8" xfId="3516" xr:uid="{00000000-0005-0000-0000-00007A290000}"/>
    <cellStyle name="Porcentual 208 8 2" xfId="7059" xr:uid="{00000000-0005-0000-0000-00007B290000}"/>
    <cellStyle name="Porcentual 208 8 3" xfId="9039" xr:uid="{00000000-0005-0000-0000-00007C290000}"/>
    <cellStyle name="Porcentual 208 9" xfId="3517" xr:uid="{00000000-0005-0000-0000-00007D290000}"/>
    <cellStyle name="Porcentual 208 9 2" xfId="7060" xr:uid="{00000000-0005-0000-0000-00007E290000}"/>
    <cellStyle name="Porcentual 208 9 3" xfId="9040" xr:uid="{00000000-0005-0000-0000-00007F290000}"/>
    <cellStyle name="Porcentual 21" xfId="3518" xr:uid="{00000000-0005-0000-0000-000080290000}"/>
    <cellStyle name="Porcentual 21 10" xfId="3519" xr:uid="{00000000-0005-0000-0000-000081290000}"/>
    <cellStyle name="Porcentual 21 10 2" xfId="7061" xr:uid="{00000000-0005-0000-0000-000082290000}"/>
    <cellStyle name="Porcentual 21 10 3" xfId="9042" xr:uid="{00000000-0005-0000-0000-000083290000}"/>
    <cellStyle name="Porcentual 21 11" xfId="3520" xr:uid="{00000000-0005-0000-0000-000084290000}"/>
    <cellStyle name="Porcentual 21 11 2" xfId="7062" xr:uid="{00000000-0005-0000-0000-000085290000}"/>
    <cellStyle name="Porcentual 21 11 3" xfId="9043" xr:uid="{00000000-0005-0000-0000-000086290000}"/>
    <cellStyle name="Porcentual 21 12" xfId="3521" xr:uid="{00000000-0005-0000-0000-000087290000}"/>
    <cellStyle name="Porcentual 21 12 2" xfId="7063" xr:uid="{00000000-0005-0000-0000-000088290000}"/>
    <cellStyle name="Porcentual 21 12 3" xfId="9044" xr:uid="{00000000-0005-0000-0000-000089290000}"/>
    <cellStyle name="Porcentual 21 13" xfId="3522" xr:uid="{00000000-0005-0000-0000-00008A290000}"/>
    <cellStyle name="Porcentual 21 13 2" xfId="7064" xr:uid="{00000000-0005-0000-0000-00008B290000}"/>
    <cellStyle name="Porcentual 21 13 3" xfId="9045" xr:uid="{00000000-0005-0000-0000-00008C290000}"/>
    <cellStyle name="Porcentual 21 14" xfId="3523" xr:uid="{00000000-0005-0000-0000-00008D290000}"/>
    <cellStyle name="Porcentual 21 14 2" xfId="7065" xr:uid="{00000000-0005-0000-0000-00008E290000}"/>
    <cellStyle name="Porcentual 21 14 3" xfId="9046" xr:uid="{00000000-0005-0000-0000-00008F290000}"/>
    <cellStyle name="Porcentual 21 15" xfId="3524" xr:uid="{00000000-0005-0000-0000-000090290000}"/>
    <cellStyle name="Porcentual 21 15 2" xfId="7066" xr:uid="{00000000-0005-0000-0000-000091290000}"/>
    <cellStyle name="Porcentual 21 15 3" xfId="9047" xr:uid="{00000000-0005-0000-0000-000092290000}"/>
    <cellStyle name="Porcentual 21 16" xfId="3525" xr:uid="{00000000-0005-0000-0000-000093290000}"/>
    <cellStyle name="Porcentual 21 16 2" xfId="7067" xr:uid="{00000000-0005-0000-0000-000094290000}"/>
    <cellStyle name="Porcentual 21 16 3" xfId="9048" xr:uid="{00000000-0005-0000-0000-000095290000}"/>
    <cellStyle name="Porcentual 21 17" xfId="3526" xr:uid="{00000000-0005-0000-0000-000096290000}"/>
    <cellStyle name="Porcentual 21 17 2" xfId="7068" xr:uid="{00000000-0005-0000-0000-000097290000}"/>
    <cellStyle name="Porcentual 21 17 3" xfId="9049" xr:uid="{00000000-0005-0000-0000-000098290000}"/>
    <cellStyle name="Porcentual 21 18" xfId="3527" xr:uid="{00000000-0005-0000-0000-000099290000}"/>
    <cellStyle name="Porcentual 21 18 2" xfId="7069" xr:uid="{00000000-0005-0000-0000-00009A290000}"/>
    <cellStyle name="Porcentual 21 18 3" xfId="9050" xr:uid="{00000000-0005-0000-0000-00009B290000}"/>
    <cellStyle name="Porcentual 21 19" xfId="3528" xr:uid="{00000000-0005-0000-0000-00009C290000}"/>
    <cellStyle name="Porcentual 21 19 2" xfId="7070" xr:uid="{00000000-0005-0000-0000-00009D290000}"/>
    <cellStyle name="Porcentual 21 19 3" xfId="9051" xr:uid="{00000000-0005-0000-0000-00009E290000}"/>
    <cellStyle name="Porcentual 21 2" xfId="3529" xr:uid="{00000000-0005-0000-0000-00009F290000}"/>
    <cellStyle name="Porcentual 21 2 2" xfId="7071" xr:uid="{00000000-0005-0000-0000-0000A0290000}"/>
    <cellStyle name="Porcentual 21 2 3" xfId="9052" xr:uid="{00000000-0005-0000-0000-0000A1290000}"/>
    <cellStyle name="Porcentual 21 20" xfId="3530" xr:uid="{00000000-0005-0000-0000-0000A2290000}"/>
    <cellStyle name="Porcentual 21 20 2" xfId="7072" xr:uid="{00000000-0005-0000-0000-0000A3290000}"/>
    <cellStyle name="Porcentual 21 20 3" xfId="9053" xr:uid="{00000000-0005-0000-0000-0000A4290000}"/>
    <cellStyle name="Porcentual 21 21" xfId="3531" xr:uid="{00000000-0005-0000-0000-0000A5290000}"/>
    <cellStyle name="Porcentual 21 21 2" xfId="7073" xr:uid="{00000000-0005-0000-0000-0000A6290000}"/>
    <cellStyle name="Porcentual 21 21 3" xfId="9054" xr:uid="{00000000-0005-0000-0000-0000A7290000}"/>
    <cellStyle name="Porcentual 21 22" xfId="3532" xr:uid="{00000000-0005-0000-0000-0000A8290000}"/>
    <cellStyle name="Porcentual 21 22 2" xfId="7074" xr:uid="{00000000-0005-0000-0000-0000A9290000}"/>
    <cellStyle name="Porcentual 21 22 3" xfId="9055" xr:uid="{00000000-0005-0000-0000-0000AA290000}"/>
    <cellStyle name="Porcentual 21 23" xfId="3533" xr:uid="{00000000-0005-0000-0000-0000AB290000}"/>
    <cellStyle name="Porcentual 21 23 2" xfId="7075" xr:uid="{00000000-0005-0000-0000-0000AC290000}"/>
    <cellStyle name="Porcentual 21 23 3" xfId="9056" xr:uid="{00000000-0005-0000-0000-0000AD290000}"/>
    <cellStyle name="Porcentual 21 24" xfId="3534" xr:uid="{00000000-0005-0000-0000-0000AE290000}"/>
    <cellStyle name="Porcentual 21 24 2" xfId="7076" xr:uid="{00000000-0005-0000-0000-0000AF290000}"/>
    <cellStyle name="Porcentual 21 24 3" xfId="9057" xr:uid="{00000000-0005-0000-0000-0000B0290000}"/>
    <cellStyle name="Porcentual 21 25" xfId="3535" xr:uid="{00000000-0005-0000-0000-0000B1290000}"/>
    <cellStyle name="Porcentual 21 25 2" xfId="7077" xr:uid="{00000000-0005-0000-0000-0000B2290000}"/>
    <cellStyle name="Porcentual 21 25 3" xfId="9058" xr:uid="{00000000-0005-0000-0000-0000B3290000}"/>
    <cellStyle name="Porcentual 21 26" xfId="3536" xr:uid="{00000000-0005-0000-0000-0000B4290000}"/>
    <cellStyle name="Porcentual 21 26 2" xfId="7078" xr:uid="{00000000-0005-0000-0000-0000B5290000}"/>
    <cellStyle name="Porcentual 21 26 3" xfId="9059" xr:uid="{00000000-0005-0000-0000-0000B6290000}"/>
    <cellStyle name="Porcentual 21 27" xfId="3537" xr:uid="{00000000-0005-0000-0000-0000B7290000}"/>
    <cellStyle name="Porcentual 21 27 2" xfId="7079" xr:uid="{00000000-0005-0000-0000-0000B8290000}"/>
    <cellStyle name="Porcentual 21 27 3" xfId="9060" xr:uid="{00000000-0005-0000-0000-0000B9290000}"/>
    <cellStyle name="Porcentual 21 28" xfId="3538" xr:uid="{00000000-0005-0000-0000-0000BA290000}"/>
    <cellStyle name="Porcentual 21 28 2" xfId="7080" xr:uid="{00000000-0005-0000-0000-0000BB290000}"/>
    <cellStyle name="Porcentual 21 28 3" xfId="9061" xr:uid="{00000000-0005-0000-0000-0000BC290000}"/>
    <cellStyle name="Porcentual 21 29" xfId="7081" xr:uid="{00000000-0005-0000-0000-0000BD290000}"/>
    <cellStyle name="Porcentual 21 3" xfId="3539" xr:uid="{00000000-0005-0000-0000-0000BE290000}"/>
    <cellStyle name="Porcentual 21 3 2" xfId="7082" xr:uid="{00000000-0005-0000-0000-0000BF290000}"/>
    <cellStyle name="Porcentual 21 3 3" xfId="9062" xr:uid="{00000000-0005-0000-0000-0000C0290000}"/>
    <cellStyle name="Porcentual 21 30" xfId="9041" xr:uid="{00000000-0005-0000-0000-0000C1290000}"/>
    <cellStyle name="Porcentual 21 4" xfId="3540" xr:uid="{00000000-0005-0000-0000-0000C2290000}"/>
    <cellStyle name="Porcentual 21 4 2" xfId="7083" xr:uid="{00000000-0005-0000-0000-0000C3290000}"/>
    <cellStyle name="Porcentual 21 4 3" xfId="9063" xr:uid="{00000000-0005-0000-0000-0000C4290000}"/>
    <cellStyle name="Porcentual 21 5" xfId="3541" xr:uid="{00000000-0005-0000-0000-0000C5290000}"/>
    <cellStyle name="Porcentual 21 5 2" xfId="7084" xr:uid="{00000000-0005-0000-0000-0000C6290000}"/>
    <cellStyle name="Porcentual 21 5 3" xfId="9064" xr:uid="{00000000-0005-0000-0000-0000C7290000}"/>
    <cellStyle name="Porcentual 21 6" xfId="3542" xr:uid="{00000000-0005-0000-0000-0000C8290000}"/>
    <cellStyle name="Porcentual 21 6 2" xfId="7085" xr:uid="{00000000-0005-0000-0000-0000C9290000}"/>
    <cellStyle name="Porcentual 21 6 3" xfId="9065" xr:uid="{00000000-0005-0000-0000-0000CA290000}"/>
    <cellStyle name="Porcentual 21 7" xfId="3543" xr:uid="{00000000-0005-0000-0000-0000CB290000}"/>
    <cellStyle name="Porcentual 21 7 2" xfId="7086" xr:uid="{00000000-0005-0000-0000-0000CC290000}"/>
    <cellStyle name="Porcentual 21 7 3" xfId="9066" xr:uid="{00000000-0005-0000-0000-0000CD290000}"/>
    <cellStyle name="Porcentual 21 8" xfId="3544" xr:uid="{00000000-0005-0000-0000-0000CE290000}"/>
    <cellStyle name="Porcentual 21 8 2" xfId="7087" xr:uid="{00000000-0005-0000-0000-0000CF290000}"/>
    <cellStyle name="Porcentual 21 8 3" xfId="9067" xr:uid="{00000000-0005-0000-0000-0000D0290000}"/>
    <cellStyle name="Porcentual 21 9" xfId="3545" xr:uid="{00000000-0005-0000-0000-0000D1290000}"/>
    <cellStyle name="Porcentual 21 9 2" xfId="7088" xr:uid="{00000000-0005-0000-0000-0000D2290000}"/>
    <cellStyle name="Porcentual 21 9 3" xfId="9068" xr:uid="{00000000-0005-0000-0000-0000D3290000}"/>
    <cellStyle name="Porcentual 211 10" xfId="3546" xr:uid="{00000000-0005-0000-0000-0000D4290000}"/>
    <cellStyle name="Porcentual 211 10 2" xfId="7089" xr:uid="{00000000-0005-0000-0000-0000D5290000}"/>
    <cellStyle name="Porcentual 211 10 3" xfId="9069" xr:uid="{00000000-0005-0000-0000-0000D6290000}"/>
    <cellStyle name="Porcentual 211 11" xfId="3547" xr:uid="{00000000-0005-0000-0000-0000D7290000}"/>
    <cellStyle name="Porcentual 211 11 2" xfId="7090" xr:uid="{00000000-0005-0000-0000-0000D8290000}"/>
    <cellStyle name="Porcentual 211 11 3" xfId="9070" xr:uid="{00000000-0005-0000-0000-0000D9290000}"/>
    <cellStyle name="Porcentual 211 12" xfId="3548" xr:uid="{00000000-0005-0000-0000-0000DA290000}"/>
    <cellStyle name="Porcentual 211 12 2" xfId="7091" xr:uid="{00000000-0005-0000-0000-0000DB290000}"/>
    <cellStyle name="Porcentual 211 12 3" xfId="9071" xr:uid="{00000000-0005-0000-0000-0000DC290000}"/>
    <cellStyle name="Porcentual 211 13" xfId="3549" xr:uid="{00000000-0005-0000-0000-0000DD290000}"/>
    <cellStyle name="Porcentual 211 13 2" xfId="7092" xr:uid="{00000000-0005-0000-0000-0000DE290000}"/>
    <cellStyle name="Porcentual 211 13 3" xfId="9072" xr:uid="{00000000-0005-0000-0000-0000DF290000}"/>
    <cellStyle name="Porcentual 211 14" xfId="3550" xr:uid="{00000000-0005-0000-0000-0000E0290000}"/>
    <cellStyle name="Porcentual 211 14 2" xfId="7093" xr:uid="{00000000-0005-0000-0000-0000E1290000}"/>
    <cellStyle name="Porcentual 211 14 3" xfId="9073" xr:uid="{00000000-0005-0000-0000-0000E2290000}"/>
    <cellStyle name="Porcentual 211 15" xfId="3551" xr:uid="{00000000-0005-0000-0000-0000E3290000}"/>
    <cellStyle name="Porcentual 211 15 2" xfId="7094" xr:uid="{00000000-0005-0000-0000-0000E4290000}"/>
    <cellStyle name="Porcentual 211 15 3" xfId="9074" xr:uid="{00000000-0005-0000-0000-0000E5290000}"/>
    <cellStyle name="Porcentual 211 16" xfId="3552" xr:uid="{00000000-0005-0000-0000-0000E6290000}"/>
    <cellStyle name="Porcentual 211 16 2" xfId="7095" xr:uid="{00000000-0005-0000-0000-0000E7290000}"/>
    <cellStyle name="Porcentual 211 16 3" xfId="9075" xr:uid="{00000000-0005-0000-0000-0000E8290000}"/>
    <cellStyle name="Porcentual 211 17" xfId="3553" xr:uid="{00000000-0005-0000-0000-0000E9290000}"/>
    <cellStyle name="Porcentual 211 17 2" xfId="7096" xr:uid="{00000000-0005-0000-0000-0000EA290000}"/>
    <cellStyle name="Porcentual 211 17 3" xfId="9076" xr:uid="{00000000-0005-0000-0000-0000EB290000}"/>
    <cellStyle name="Porcentual 211 18" xfId="3554" xr:uid="{00000000-0005-0000-0000-0000EC290000}"/>
    <cellStyle name="Porcentual 211 18 2" xfId="7097" xr:uid="{00000000-0005-0000-0000-0000ED290000}"/>
    <cellStyle name="Porcentual 211 18 3" xfId="9077" xr:uid="{00000000-0005-0000-0000-0000EE290000}"/>
    <cellStyle name="Porcentual 211 19" xfId="3555" xr:uid="{00000000-0005-0000-0000-0000EF290000}"/>
    <cellStyle name="Porcentual 211 19 2" xfId="7098" xr:uid="{00000000-0005-0000-0000-0000F0290000}"/>
    <cellStyle name="Porcentual 211 19 3" xfId="9078" xr:uid="{00000000-0005-0000-0000-0000F1290000}"/>
    <cellStyle name="Porcentual 211 2" xfId="3556" xr:uid="{00000000-0005-0000-0000-0000F2290000}"/>
    <cellStyle name="Porcentual 211 2 2" xfId="7099" xr:uid="{00000000-0005-0000-0000-0000F3290000}"/>
    <cellStyle name="Porcentual 211 2 3" xfId="9079" xr:uid="{00000000-0005-0000-0000-0000F4290000}"/>
    <cellStyle name="Porcentual 211 20" xfId="3557" xr:uid="{00000000-0005-0000-0000-0000F5290000}"/>
    <cellStyle name="Porcentual 211 20 2" xfId="7100" xr:uid="{00000000-0005-0000-0000-0000F6290000}"/>
    <cellStyle name="Porcentual 211 20 3" xfId="9080" xr:uid="{00000000-0005-0000-0000-0000F7290000}"/>
    <cellStyle name="Porcentual 211 21" xfId="3558" xr:uid="{00000000-0005-0000-0000-0000F8290000}"/>
    <cellStyle name="Porcentual 211 21 2" xfId="7101" xr:uid="{00000000-0005-0000-0000-0000F9290000}"/>
    <cellStyle name="Porcentual 211 21 3" xfId="9081" xr:uid="{00000000-0005-0000-0000-0000FA290000}"/>
    <cellStyle name="Porcentual 211 22" xfId="3559" xr:uid="{00000000-0005-0000-0000-0000FB290000}"/>
    <cellStyle name="Porcentual 211 22 2" xfId="7102" xr:uid="{00000000-0005-0000-0000-0000FC290000}"/>
    <cellStyle name="Porcentual 211 22 3" xfId="9082" xr:uid="{00000000-0005-0000-0000-0000FD290000}"/>
    <cellStyle name="Porcentual 211 23" xfId="3560" xr:uid="{00000000-0005-0000-0000-0000FE290000}"/>
    <cellStyle name="Porcentual 211 23 2" xfId="7103" xr:uid="{00000000-0005-0000-0000-0000FF290000}"/>
    <cellStyle name="Porcentual 211 23 3" xfId="9083" xr:uid="{00000000-0005-0000-0000-0000002A0000}"/>
    <cellStyle name="Porcentual 211 24" xfId="3561" xr:uid="{00000000-0005-0000-0000-0000012A0000}"/>
    <cellStyle name="Porcentual 211 24 2" xfId="7104" xr:uid="{00000000-0005-0000-0000-0000022A0000}"/>
    <cellStyle name="Porcentual 211 24 3" xfId="9084" xr:uid="{00000000-0005-0000-0000-0000032A0000}"/>
    <cellStyle name="Porcentual 211 25" xfId="3562" xr:uid="{00000000-0005-0000-0000-0000042A0000}"/>
    <cellStyle name="Porcentual 211 25 2" xfId="7105" xr:uid="{00000000-0005-0000-0000-0000052A0000}"/>
    <cellStyle name="Porcentual 211 25 3" xfId="9085" xr:uid="{00000000-0005-0000-0000-0000062A0000}"/>
    <cellStyle name="Porcentual 211 26" xfId="3563" xr:uid="{00000000-0005-0000-0000-0000072A0000}"/>
    <cellStyle name="Porcentual 211 26 2" xfId="7106" xr:uid="{00000000-0005-0000-0000-0000082A0000}"/>
    <cellStyle name="Porcentual 211 26 3" xfId="9086" xr:uid="{00000000-0005-0000-0000-0000092A0000}"/>
    <cellStyle name="Porcentual 211 27" xfId="3564" xr:uid="{00000000-0005-0000-0000-00000A2A0000}"/>
    <cellStyle name="Porcentual 211 27 2" xfId="7107" xr:uid="{00000000-0005-0000-0000-00000B2A0000}"/>
    <cellStyle name="Porcentual 211 27 3" xfId="9087" xr:uid="{00000000-0005-0000-0000-00000C2A0000}"/>
    <cellStyle name="Porcentual 211 28" xfId="3565" xr:uid="{00000000-0005-0000-0000-00000D2A0000}"/>
    <cellStyle name="Porcentual 211 28 2" xfId="7108" xr:uid="{00000000-0005-0000-0000-00000E2A0000}"/>
    <cellStyle name="Porcentual 211 28 3" xfId="9088" xr:uid="{00000000-0005-0000-0000-00000F2A0000}"/>
    <cellStyle name="Porcentual 211 3" xfId="3566" xr:uid="{00000000-0005-0000-0000-0000102A0000}"/>
    <cellStyle name="Porcentual 211 3 2" xfId="7109" xr:uid="{00000000-0005-0000-0000-0000112A0000}"/>
    <cellStyle name="Porcentual 211 3 3" xfId="9089" xr:uid="{00000000-0005-0000-0000-0000122A0000}"/>
    <cellStyle name="Porcentual 211 4" xfId="3567" xr:uid="{00000000-0005-0000-0000-0000132A0000}"/>
    <cellStyle name="Porcentual 211 4 2" xfId="7110" xr:uid="{00000000-0005-0000-0000-0000142A0000}"/>
    <cellStyle name="Porcentual 211 4 3" xfId="9090" xr:uid="{00000000-0005-0000-0000-0000152A0000}"/>
    <cellStyle name="Porcentual 211 5" xfId="3568" xr:uid="{00000000-0005-0000-0000-0000162A0000}"/>
    <cellStyle name="Porcentual 211 5 2" xfId="7111" xr:uid="{00000000-0005-0000-0000-0000172A0000}"/>
    <cellStyle name="Porcentual 211 5 3" xfId="9091" xr:uid="{00000000-0005-0000-0000-0000182A0000}"/>
    <cellStyle name="Porcentual 211 6" xfId="3569" xr:uid="{00000000-0005-0000-0000-0000192A0000}"/>
    <cellStyle name="Porcentual 211 6 2" xfId="7112" xr:uid="{00000000-0005-0000-0000-00001A2A0000}"/>
    <cellStyle name="Porcentual 211 6 3" xfId="9092" xr:uid="{00000000-0005-0000-0000-00001B2A0000}"/>
    <cellStyle name="Porcentual 211 7" xfId="3570" xr:uid="{00000000-0005-0000-0000-00001C2A0000}"/>
    <cellStyle name="Porcentual 211 7 2" xfId="7113" xr:uid="{00000000-0005-0000-0000-00001D2A0000}"/>
    <cellStyle name="Porcentual 211 7 3" xfId="9093" xr:uid="{00000000-0005-0000-0000-00001E2A0000}"/>
    <cellStyle name="Porcentual 211 8" xfId="3571" xr:uid="{00000000-0005-0000-0000-00001F2A0000}"/>
    <cellStyle name="Porcentual 211 8 2" xfId="7114" xr:uid="{00000000-0005-0000-0000-0000202A0000}"/>
    <cellStyle name="Porcentual 211 8 3" xfId="9094" xr:uid="{00000000-0005-0000-0000-0000212A0000}"/>
    <cellStyle name="Porcentual 211 9" xfId="3572" xr:uid="{00000000-0005-0000-0000-0000222A0000}"/>
    <cellStyle name="Porcentual 211 9 2" xfId="7115" xr:uid="{00000000-0005-0000-0000-0000232A0000}"/>
    <cellStyle name="Porcentual 211 9 3" xfId="9095" xr:uid="{00000000-0005-0000-0000-0000242A0000}"/>
    <cellStyle name="Porcentual 212 10" xfId="3573" xr:uid="{00000000-0005-0000-0000-0000252A0000}"/>
    <cellStyle name="Porcentual 212 10 2" xfId="7116" xr:uid="{00000000-0005-0000-0000-0000262A0000}"/>
    <cellStyle name="Porcentual 212 10 3" xfId="9096" xr:uid="{00000000-0005-0000-0000-0000272A0000}"/>
    <cellStyle name="Porcentual 212 11" xfId="3574" xr:uid="{00000000-0005-0000-0000-0000282A0000}"/>
    <cellStyle name="Porcentual 212 11 2" xfId="7117" xr:uid="{00000000-0005-0000-0000-0000292A0000}"/>
    <cellStyle name="Porcentual 212 11 3" xfId="9097" xr:uid="{00000000-0005-0000-0000-00002A2A0000}"/>
    <cellStyle name="Porcentual 212 12" xfId="3575" xr:uid="{00000000-0005-0000-0000-00002B2A0000}"/>
    <cellStyle name="Porcentual 212 12 2" xfId="7118" xr:uid="{00000000-0005-0000-0000-00002C2A0000}"/>
    <cellStyle name="Porcentual 212 12 3" xfId="9098" xr:uid="{00000000-0005-0000-0000-00002D2A0000}"/>
    <cellStyle name="Porcentual 212 13" xfId="3576" xr:uid="{00000000-0005-0000-0000-00002E2A0000}"/>
    <cellStyle name="Porcentual 212 13 2" xfId="7119" xr:uid="{00000000-0005-0000-0000-00002F2A0000}"/>
    <cellStyle name="Porcentual 212 13 3" xfId="9099" xr:uid="{00000000-0005-0000-0000-0000302A0000}"/>
    <cellStyle name="Porcentual 212 14" xfId="3577" xr:uid="{00000000-0005-0000-0000-0000312A0000}"/>
    <cellStyle name="Porcentual 212 14 2" xfId="7120" xr:uid="{00000000-0005-0000-0000-0000322A0000}"/>
    <cellStyle name="Porcentual 212 14 3" xfId="9100" xr:uid="{00000000-0005-0000-0000-0000332A0000}"/>
    <cellStyle name="Porcentual 212 15" xfId="3578" xr:uid="{00000000-0005-0000-0000-0000342A0000}"/>
    <cellStyle name="Porcentual 212 15 2" xfId="7121" xr:uid="{00000000-0005-0000-0000-0000352A0000}"/>
    <cellStyle name="Porcentual 212 15 3" xfId="9101" xr:uid="{00000000-0005-0000-0000-0000362A0000}"/>
    <cellStyle name="Porcentual 212 16" xfId="3579" xr:uid="{00000000-0005-0000-0000-0000372A0000}"/>
    <cellStyle name="Porcentual 212 16 2" xfId="7122" xr:uid="{00000000-0005-0000-0000-0000382A0000}"/>
    <cellStyle name="Porcentual 212 16 3" xfId="9102" xr:uid="{00000000-0005-0000-0000-0000392A0000}"/>
    <cellStyle name="Porcentual 212 17" xfId="3580" xr:uid="{00000000-0005-0000-0000-00003A2A0000}"/>
    <cellStyle name="Porcentual 212 17 2" xfId="7123" xr:uid="{00000000-0005-0000-0000-00003B2A0000}"/>
    <cellStyle name="Porcentual 212 17 3" xfId="9103" xr:uid="{00000000-0005-0000-0000-00003C2A0000}"/>
    <cellStyle name="Porcentual 212 18" xfId="3581" xr:uid="{00000000-0005-0000-0000-00003D2A0000}"/>
    <cellStyle name="Porcentual 212 18 2" xfId="7124" xr:uid="{00000000-0005-0000-0000-00003E2A0000}"/>
    <cellStyle name="Porcentual 212 18 3" xfId="9104" xr:uid="{00000000-0005-0000-0000-00003F2A0000}"/>
    <cellStyle name="Porcentual 212 19" xfId="3582" xr:uid="{00000000-0005-0000-0000-0000402A0000}"/>
    <cellStyle name="Porcentual 212 19 2" xfId="7125" xr:uid="{00000000-0005-0000-0000-0000412A0000}"/>
    <cellStyle name="Porcentual 212 19 3" xfId="9105" xr:uid="{00000000-0005-0000-0000-0000422A0000}"/>
    <cellStyle name="Porcentual 212 2" xfId="3583" xr:uid="{00000000-0005-0000-0000-0000432A0000}"/>
    <cellStyle name="Porcentual 212 2 2" xfId="7126" xr:uid="{00000000-0005-0000-0000-0000442A0000}"/>
    <cellStyle name="Porcentual 212 2 3" xfId="9106" xr:uid="{00000000-0005-0000-0000-0000452A0000}"/>
    <cellStyle name="Porcentual 212 20" xfId="3584" xr:uid="{00000000-0005-0000-0000-0000462A0000}"/>
    <cellStyle name="Porcentual 212 20 2" xfId="7127" xr:uid="{00000000-0005-0000-0000-0000472A0000}"/>
    <cellStyle name="Porcentual 212 20 3" xfId="9107" xr:uid="{00000000-0005-0000-0000-0000482A0000}"/>
    <cellStyle name="Porcentual 212 21" xfId="3585" xr:uid="{00000000-0005-0000-0000-0000492A0000}"/>
    <cellStyle name="Porcentual 212 21 2" xfId="7128" xr:uid="{00000000-0005-0000-0000-00004A2A0000}"/>
    <cellStyle name="Porcentual 212 21 3" xfId="9108" xr:uid="{00000000-0005-0000-0000-00004B2A0000}"/>
    <cellStyle name="Porcentual 212 22" xfId="3586" xr:uid="{00000000-0005-0000-0000-00004C2A0000}"/>
    <cellStyle name="Porcentual 212 22 2" xfId="7129" xr:uid="{00000000-0005-0000-0000-00004D2A0000}"/>
    <cellStyle name="Porcentual 212 22 3" xfId="9109" xr:uid="{00000000-0005-0000-0000-00004E2A0000}"/>
    <cellStyle name="Porcentual 212 23" xfId="3587" xr:uid="{00000000-0005-0000-0000-00004F2A0000}"/>
    <cellStyle name="Porcentual 212 23 2" xfId="7130" xr:uid="{00000000-0005-0000-0000-0000502A0000}"/>
    <cellStyle name="Porcentual 212 23 3" xfId="9110" xr:uid="{00000000-0005-0000-0000-0000512A0000}"/>
    <cellStyle name="Porcentual 212 24" xfId="3588" xr:uid="{00000000-0005-0000-0000-0000522A0000}"/>
    <cellStyle name="Porcentual 212 24 2" xfId="7131" xr:uid="{00000000-0005-0000-0000-0000532A0000}"/>
    <cellStyle name="Porcentual 212 24 3" xfId="9111" xr:uid="{00000000-0005-0000-0000-0000542A0000}"/>
    <cellStyle name="Porcentual 212 25" xfId="3589" xr:uid="{00000000-0005-0000-0000-0000552A0000}"/>
    <cellStyle name="Porcentual 212 25 2" xfId="7132" xr:uid="{00000000-0005-0000-0000-0000562A0000}"/>
    <cellStyle name="Porcentual 212 25 3" xfId="9112" xr:uid="{00000000-0005-0000-0000-0000572A0000}"/>
    <cellStyle name="Porcentual 212 26" xfId="3590" xr:uid="{00000000-0005-0000-0000-0000582A0000}"/>
    <cellStyle name="Porcentual 212 26 2" xfId="7133" xr:uid="{00000000-0005-0000-0000-0000592A0000}"/>
    <cellStyle name="Porcentual 212 26 3" xfId="9113" xr:uid="{00000000-0005-0000-0000-00005A2A0000}"/>
    <cellStyle name="Porcentual 212 27" xfId="3591" xr:uid="{00000000-0005-0000-0000-00005B2A0000}"/>
    <cellStyle name="Porcentual 212 27 2" xfId="7134" xr:uid="{00000000-0005-0000-0000-00005C2A0000}"/>
    <cellStyle name="Porcentual 212 27 3" xfId="9114" xr:uid="{00000000-0005-0000-0000-00005D2A0000}"/>
    <cellStyle name="Porcentual 212 28" xfId="3592" xr:uid="{00000000-0005-0000-0000-00005E2A0000}"/>
    <cellStyle name="Porcentual 212 28 2" xfId="7135" xr:uid="{00000000-0005-0000-0000-00005F2A0000}"/>
    <cellStyle name="Porcentual 212 28 3" xfId="9115" xr:uid="{00000000-0005-0000-0000-0000602A0000}"/>
    <cellStyle name="Porcentual 212 3" xfId="3593" xr:uid="{00000000-0005-0000-0000-0000612A0000}"/>
    <cellStyle name="Porcentual 212 3 2" xfId="7136" xr:uid="{00000000-0005-0000-0000-0000622A0000}"/>
    <cellStyle name="Porcentual 212 3 3" xfId="9116" xr:uid="{00000000-0005-0000-0000-0000632A0000}"/>
    <cellStyle name="Porcentual 212 4" xfId="3594" xr:uid="{00000000-0005-0000-0000-0000642A0000}"/>
    <cellStyle name="Porcentual 212 4 2" xfId="7137" xr:uid="{00000000-0005-0000-0000-0000652A0000}"/>
    <cellStyle name="Porcentual 212 4 3" xfId="9117" xr:uid="{00000000-0005-0000-0000-0000662A0000}"/>
    <cellStyle name="Porcentual 212 5" xfId="3595" xr:uid="{00000000-0005-0000-0000-0000672A0000}"/>
    <cellStyle name="Porcentual 212 5 2" xfId="7138" xr:uid="{00000000-0005-0000-0000-0000682A0000}"/>
    <cellStyle name="Porcentual 212 5 3" xfId="9118" xr:uid="{00000000-0005-0000-0000-0000692A0000}"/>
    <cellStyle name="Porcentual 212 6" xfId="3596" xr:uid="{00000000-0005-0000-0000-00006A2A0000}"/>
    <cellStyle name="Porcentual 212 6 2" xfId="7139" xr:uid="{00000000-0005-0000-0000-00006B2A0000}"/>
    <cellStyle name="Porcentual 212 6 3" xfId="9119" xr:uid="{00000000-0005-0000-0000-00006C2A0000}"/>
    <cellStyle name="Porcentual 212 7" xfId="3597" xr:uid="{00000000-0005-0000-0000-00006D2A0000}"/>
    <cellStyle name="Porcentual 212 7 2" xfId="7140" xr:uid="{00000000-0005-0000-0000-00006E2A0000}"/>
    <cellStyle name="Porcentual 212 7 3" xfId="9120" xr:uid="{00000000-0005-0000-0000-00006F2A0000}"/>
    <cellStyle name="Porcentual 212 8" xfId="3598" xr:uid="{00000000-0005-0000-0000-0000702A0000}"/>
    <cellStyle name="Porcentual 212 8 2" xfId="7141" xr:uid="{00000000-0005-0000-0000-0000712A0000}"/>
    <cellStyle name="Porcentual 212 8 3" xfId="9121" xr:uid="{00000000-0005-0000-0000-0000722A0000}"/>
    <cellStyle name="Porcentual 212 9" xfId="3599" xr:uid="{00000000-0005-0000-0000-0000732A0000}"/>
    <cellStyle name="Porcentual 212 9 2" xfId="7142" xr:uid="{00000000-0005-0000-0000-0000742A0000}"/>
    <cellStyle name="Porcentual 212 9 3" xfId="9122" xr:uid="{00000000-0005-0000-0000-0000752A0000}"/>
    <cellStyle name="Porcentual 213 10" xfId="3600" xr:uid="{00000000-0005-0000-0000-0000762A0000}"/>
    <cellStyle name="Porcentual 213 10 2" xfId="7143" xr:uid="{00000000-0005-0000-0000-0000772A0000}"/>
    <cellStyle name="Porcentual 213 10 3" xfId="9123" xr:uid="{00000000-0005-0000-0000-0000782A0000}"/>
    <cellStyle name="Porcentual 213 11" xfId="3601" xr:uid="{00000000-0005-0000-0000-0000792A0000}"/>
    <cellStyle name="Porcentual 213 11 2" xfId="7144" xr:uid="{00000000-0005-0000-0000-00007A2A0000}"/>
    <cellStyle name="Porcentual 213 11 3" xfId="9124" xr:uid="{00000000-0005-0000-0000-00007B2A0000}"/>
    <cellStyle name="Porcentual 213 12" xfId="3602" xr:uid="{00000000-0005-0000-0000-00007C2A0000}"/>
    <cellStyle name="Porcentual 213 12 2" xfId="7145" xr:uid="{00000000-0005-0000-0000-00007D2A0000}"/>
    <cellStyle name="Porcentual 213 12 3" xfId="9125" xr:uid="{00000000-0005-0000-0000-00007E2A0000}"/>
    <cellStyle name="Porcentual 213 13" xfId="3603" xr:uid="{00000000-0005-0000-0000-00007F2A0000}"/>
    <cellStyle name="Porcentual 213 13 2" xfId="7146" xr:uid="{00000000-0005-0000-0000-0000802A0000}"/>
    <cellStyle name="Porcentual 213 13 3" xfId="9126" xr:uid="{00000000-0005-0000-0000-0000812A0000}"/>
    <cellStyle name="Porcentual 213 14" xfId="3604" xr:uid="{00000000-0005-0000-0000-0000822A0000}"/>
    <cellStyle name="Porcentual 213 14 2" xfId="7147" xr:uid="{00000000-0005-0000-0000-0000832A0000}"/>
    <cellStyle name="Porcentual 213 14 3" xfId="9127" xr:uid="{00000000-0005-0000-0000-0000842A0000}"/>
    <cellStyle name="Porcentual 213 15" xfId="3605" xr:uid="{00000000-0005-0000-0000-0000852A0000}"/>
    <cellStyle name="Porcentual 213 15 2" xfId="7148" xr:uid="{00000000-0005-0000-0000-0000862A0000}"/>
    <cellStyle name="Porcentual 213 15 3" xfId="9128" xr:uid="{00000000-0005-0000-0000-0000872A0000}"/>
    <cellStyle name="Porcentual 213 16" xfId="3606" xr:uid="{00000000-0005-0000-0000-0000882A0000}"/>
    <cellStyle name="Porcentual 213 16 2" xfId="7149" xr:uid="{00000000-0005-0000-0000-0000892A0000}"/>
    <cellStyle name="Porcentual 213 16 3" xfId="9129" xr:uid="{00000000-0005-0000-0000-00008A2A0000}"/>
    <cellStyle name="Porcentual 213 17" xfId="3607" xr:uid="{00000000-0005-0000-0000-00008B2A0000}"/>
    <cellStyle name="Porcentual 213 17 2" xfId="7150" xr:uid="{00000000-0005-0000-0000-00008C2A0000}"/>
    <cellStyle name="Porcentual 213 17 3" xfId="9130" xr:uid="{00000000-0005-0000-0000-00008D2A0000}"/>
    <cellStyle name="Porcentual 213 18" xfId="3608" xr:uid="{00000000-0005-0000-0000-00008E2A0000}"/>
    <cellStyle name="Porcentual 213 18 2" xfId="7151" xr:uid="{00000000-0005-0000-0000-00008F2A0000}"/>
    <cellStyle name="Porcentual 213 18 3" xfId="9131" xr:uid="{00000000-0005-0000-0000-0000902A0000}"/>
    <cellStyle name="Porcentual 213 19" xfId="3609" xr:uid="{00000000-0005-0000-0000-0000912A0000}"/>
    <cellStyle name="Porcentual 213 19 2" xfId="7152" xr:uid="{00000000-0005-0000-0000-0000922A0000}"/>
    <cellStyle name="Porcentual 213 19 3" xfId="9132" xr:uid="{00000000-0005-0000-0000-0000932A0000}"/>
    <cellStyle name="Porcentual 213 2" xfId="3610" xr:uid="{00000000-0005-0000-0000-0000942A0000}"/>
    <cellStyle name="Porcentual 213 2 2" xfId="7153" xr:uid="{00000000-0005-0000-0000-0000952A0000}"/>
    <cellStyle name="Porcentual 213 2 3" xfId="9133" xr:uid="{00000000-0005-0000-0000-0000962A0000}"/>
    <cellStyle name="Porcentual 213 20" xfId="3611" xr:uid="{00000000-0005-0000-0000-0000972A0000}"/>
    <cellStyle name="Porcentual 213 20 2" xfId="7154" xr:uid="{00000000-0005-0000-0000-0000982A0000}"/>
    <cellStyle name="Porcentual 213 20 3" xfId="9134" xr:uid="{00000000-0005-0000-0000-0000992A0000}"/>
    <cellStyle name="Porcentual 213 21" xfId="3612" xr:uid="{00000000-0005-0000-0000-00009A2A0000}"/>
    <cellStyle name="Porcentual 213 21 2" xfId="7155" xr:uid="{00000000-0005-0000-0000-00009B2A0000}"/>
    <cellStyle name="Porcentual 213 21 3" xfId="9135" xr:uid="{00000000-0005-0000-0000-00009C2A0000}"/>
    <cellStyle name="Porcentual 213 22" xfId="3613" xr:uid="{00000000-0005-0000-0000-00009D2A0000}"/>
    <cellStyle name="Porcentual 213 22 2" xfId="7156" xr:uid="{00000000-0005-0000-0000-00009E2A0000}"/>
    <cellStyle name="Porcentual 213 22 3" xfId="9136" xr:uid="{00000000-0005-0000-0000-00009F2A0000}"/>
    <cellStyle name="Porcentual 213 23" xfId="3614" xr:uid="{00000000-0005-0000-0000-0000A02A0000}"/>
    <cellStyle name="Porcentual 213 23 2" xfId="7157" xr:uid="{00000000-0005-0000-0000-0000A12A0000}"/>
    <cellStyle name="Porcentual 213 23 3" xfId="9137" xr:uid="{00000000-0005-0000-0000-0000A22A0000}"/>
    <cellStyle name="Porcentual 213 24" xfId="3615" xr:uid="{00000000-0005-0000-0000-0000A32A0000}"/>
    <cellStyle name="Porcentual 213 24 2" xfId="7158" xr:uid="{00000000-0005-0000-0000-0000A42A0000}"/>
    <cellStyle name="Porcentual 213 24 3" xfId="9138" xr:uid="{00000000-0005-0000-0000-0000A52A0000}"/>
    <cellStyle name="Porcentual 213 25" xfId="3616" xr:uid="{00000000-0005-0000-0000-0000A62A0000}"/>
    <cellStyle name="Porcentual 213 25 2" xfId="7159" xr:uid="{00000000-0005-0000-0000-0000A72A0000}"/>
    <cellStyle name="Porcentual 213 25 3" xfId="9139" xr:uid="{00000000-0005-0000-0000-0000A82A0000}"/>
    <cellStyle name="Porcentual 213 26" xfId="3617" xr:uid="{00000000-0005-0000-0000-0000A92A0000}"/>
    <cellStyle name="Porcentual 213 26 2" xfId="7160" xr:uid="{00000000-0005-0000-0000-0000AA2A0000}"/>
    <cellStyle name="Porcentual 213 26 3" xfId="9140" xr:uid="{00000000-0005-0000-0000-0000AB2A0000}"/>
    <cellStyle name="Porcentual 213 27" xfId="3618" xr:uid="{00000000-0005-0000-0000-0000AC2A0000}"/>
    <cellStyle name="Porcentual 213 27 2" xfId="7161" xr:uid="{00000000-0005-0000-0000-0000AD2A0000}"/>
    <cellStyle name="Porcentual 213 27 3" xfId="9141" xr:uid="{00000000-0005-0000-0000-0000AE2A0000}"/>
    <cellStyle name="Porcentual 213 28" xfId="3619" xr:uid="{00000000-0005-0000-0000-0000AF2A0000}"/>
    <cellStyle name="Porcentual 213 28 2" xfId="7162" xr:uid="{00000000-0005-0000-0000-0000B02A0000}"/>
    <cellStyle name="Porcentual 213 28 3" xfId="9142" xr:uid="{00000000-0005-0000-0000-0000B12A0000}"/>
    <cellStyle name="Porcentual 213 3" xfId="3620" xr:uid="{00000000-0005-0000-0000-0000B22A0000}"/>
    <cellStyle name="Porcentual 213 3 2" xfId="7163" xr:uid="{00000000-0005-0000-0000-0000B32A0000}"/>
    <cellStyle name="Porcentual 213 3 3" xfId="9143" xr:uid="{00000000-0005-0000-0000-0000B42A0000}"/>
    <cellStyle name="Porcentual 213 4" xfId="3621" xr:uid="{00000000-0005-0000-0000-0000B52A0000}"/>
    <cellStyle name="Porcentual 213 4 2" xfId="7164" xr:uid="{00000000-0005-0000-0000-0000B62A0000}"/>
    <cellStyle name="Porcentual 213 4 3" xfId="9144" xr:uid="{00000000-0005-0000-0000-0000B72A0000}"/>
    <cellStyle name="Porcentual 213 5" xfId="3622" xr:uid="{00000000-0005-0000-0000-0000B82A0000}"/>
    <cellStyle name="Porcentual 213 5 2" xfId="7165" xr:uid="{00000000-0005-0000-0000-0000B92A0000}"/>
    <cellStyle name="Porcentual 213 5 3" xfId="9145" xr:uid="{00000000-0005-0000-0000-0000BA2A0000}"/>
    <cellStyle name="Porcentual 213 6" xfId="3623" xr:uid="{00000000-0005-0000-0000-0000BB2A0000}"/>
    <cellStyle name="Porcentual 213 6 2" xfId="7166" xr:uid="{00000000-0005-0000-0000-0000BC2A0000}"/>
    <cellStyle name="Porcentual 213 6 3" xfId="9146" xr:uid="{00000000-0005-0000-0000-0000BD2A0000}"/>
    <cellStyle name="Porcentual 213 7" xfId="3624" xr:uid="{00000000-0005-0000-0000-0000BE2A0000}"/>
    <cellStyle name="Porcentual 213 7 2" xfId="7167" xr:uid="{00000000-0005-0000-0000-0000BF2A0000}"/>
    <cellStyle name="Porcentual 213 7 3" xfId="9147" xr:uid="{00000000-0005-0000-0000-0000C02A0000}"/>
    <cellStyle name="Porcentual 213 8" xfId="3625" xr:uid="{00000000-0005-0000-0000-0000C12A0000}"/>
    <cellStyle name="Porcentual 213 8 2" xfId="7168" xr:uid="{00000000-0005-0000-0000-0000C22A0000}"/>
    <cellStyle name="Porcentual 213 8 3" xfId="9148" xr:uid="{00000000-0005-0000-0000-0000C32A0000}"/>
    <cellStyle name="Porcentual 213 9" xfId="3626" xr:uid="{00000000-0005-0000-0000-0000C42A0000}"/>
    <cellStyle name="Porcentual 213 9 2" xfId="7169" xr:uid="{00000000-0005-0000-0000-0000C52A0000}"/>
    <cellStyle name="Porcentual 213 9 3" xfId="9149" xr:uid="{00000000-0005-0000-0000-0000C62A0000}"/>
    <cellStyle name="Porcentual 214 10" xfId="3627" xr:uid="{00000000-0005-0000-0000-0000C72A0000}"/>
    <cellStyle name="Porcentual 214 10 2" xfId="7170" xr:uid="{00000000-0005-0000-0000-0000C82A0000}"/>
    <cellStyle name="Porcentual 214 10 3" xfId="9150" xr:uid="{00000000-0005-0000-0000-0000C92A0000}"/>
    <cellStyle name="Porcentual 214 11" xfId="3628" xr:uid="{00000000-0005-0000-0000-0000CA2A0000}"/>
    <cellStyle name="Porcentual 214 11 2" xfId="7171" xr:uid="{00000000-0005-0000-0000-0000CB2A0000}"/>
    <cellStyle name="Porcentual 214 11 3" xfId="9151" xr:uid="{00000000-0005-0000-0000-0000CC2A0000}"/>
    <cellStyle name="Porcentual 214 12" xfId="3629" xr:uid="{00000000-0005-0000-0000-0000CD2A0000}"/>
    <cellStyle name="Porcentual 214 12 2" xfId="7172" xr:uid="{00000000-0005-0000-0000-0000CE2A0000}"/>
    <cellStyle name="Porcentual 214 12 3" xfId="9152" xr:uid="{00000000-0005-0000-0000-0000CF2A0000}"/>
    <cellStyle name="Porcentual 214 13" xfId="3630" xr:uid="{00000000-0005-0000-0000-0000D02A0000}"/>
    <cellStyle name="Porcentual 214 13 2" xfId="7173" xr:uid="{00000000-0005-0000-0000-0000D12A0000}"/>
    <cellStyle name="Porcentual 214 13 3" xfId="9153" xr:uid="{00000000-0005-0000-0000-0000D22A0000}"/>
    <cellStyle name="Porcentual 214 14" xfId="3631" xr:uid="{00000000-0005-0000-0000-0000D32A0000}"/>
    <cellStyle name="Porcentual 214 14 2" xfId="7174" xr:uid="{00000000-0005-0000-0000-0000D42A0000}"/>
    <cellStyle name="Porcentual 214 14 3" xfId="9154" xr:uid="{00000000-0005-0000-0000-0000D52A0000}"/>
    <cellStyle name="Porcentual 214 15" xfId="3632" xr:uid="{00000000-0005-0000-0000-0000D62A0000}"/>
    <cellStyle name="Porcentual 214 15 2" xfId="7175" xr:uid="{00000000-0005-0000-0000-0000D72A0000}"/>
    <cellStyle name="Porcentual 214 15 3" xfId="9155" xr:uid="{00000000-0005-0000-0000-0000D82A0000}"/>
    <cellStyle name="Porcentual 214 16" xfId="3633" xr:uid="{00000000-0005-0000-0000-0000D92A0000}"/>
    <cellStyle name="Porcentual 214 16 2" xfId="7176" xr:uid="{00000000-0005-0000-0000-0000DA2A0000}"/>
    <cellStyle name="Porcentual 214 16 3" xfId="9156" xr:uid="{00000000-0005-0000-0000-0000DB2A0000}"/>
    <cellStyle name="Porcentual 214 17" xfId="3634" xr:uid="{00000000-0005-0000-0000-0000DC2A0000}"/>
    <cellStyle name="Porcentual 214 17 2" xfId="7177" xr:uid="{00000000-0005-0000-0000-0000DD2A0000}"/>
    <cellStyle name="Porcentual 214 17 3" xfId="9157" xr:uid="{00000000-0005-0000-0000-0000DE2A0000}"/>
    <cellStyle name="Porcentual 214 18" xfId="3635" xr:uid="{00000000-0005-0000-0000-0000DF2A0000}"/>
    <cellStyle name="Porcentual 214 18 2" xfId="7178" xr:uid="{00000000-0005-0000-0000-0000E02A0000}"/>
    <cellStyle name="Porcentual 214 18 3" xfId="9158" xr:uid="{00000000-0005-0000-0000-0000E12A0000}"/>
    <cellStyle name="Porcentual 214 19" xfId="3636" xr:uid="{00000000-0005-0000-0000-0000E22A0000}"/>
    <cellStyle name="Porcentual 214 19 2" xfId="7179" xr:uid="{00000000-0005-0000-0000-0000E32A0000}"/>
    <cellStyle name="Porcentual 214 19 3" xfId="9159" xr:uid="{00000000-0005-0000-0000-0000E42A0000}"/>
    <cellStyle name="Porcentual 214 2" xfId="3637" xr:uid="{00000000-0005-0000-0000-0000E52A0000}"/>
    <cellStyle name="Porcentual 214 2 2" xfId="7180" xr:uid="{00000000-0005-0000-0000-0000E62A0000}"/>
    <cellStyle name="Porcentual 214 2 3" xfId="9160" xr:uid="{00000000-0005-0000-0000-0000E72A0000}"/>
    <cellStyle name="Porcentual 214 20" xfId="3638" xr:uid="{00000000-0005-0000-0000-0000E82A0000}"/>
    <cellStyle name="Porcentual 214 20 2" xfId="7181" xr:uid="{00000000-0005-0000-0000-0000E92A0000}"/>
    <cellStyle name="Porcentual 214 20 3" xfId="9161" xr:uid="{00000000-0005-0000-0000-0000EA2A0000}"/>
    <cellStyle name="Porcentual 214 21" xfId="3639" xr:uid="{00000000-0005-0000-0000-0000EB2A0000}"/>
    <cellStyle name="Porcentual 214 21 2" xfId="7182" xr:uid="{00000000-0005-0000-0000-0000EC2A0000}"/>
    <cellStyle name="Porcentual 214 21 3" xfId="9162" xr:uid="{00000000-0005-0000-0000-0000ED2A0000}"/>
    <cellStyle name="Porcentual 214 22" xfId="3640" xr:uid="{00000000-0005-0000-0000-0000EE2A0000}"/>
    <cellStyle name="Porcentual 214 22 2" xfId="7183" xr:uid="{00000000-0005-0000-0000-0000EF2A0000}"/>
    <cellStyle name="Porcentual 214 22 3" xfId="9163" xr:uid="{00000000-0005-0000-0000-0000F02A0000}"/>
    <cellStyle name="Porcentual 214 23" xfId="3641" xr:uid="{00000000-0005-0000-0000-0000F12A0000}"/>
    <cellStyle name="Porcentual 214 23 2" xfId="7184" xr:uid="{00000000-0005-0000-0000-0000F22A0000}"/>
    <cellStyle name="Porcentual 214 23 3" xfId="9164" xr:uid="{00000000-0005-0000-0000-0000F32A0000}"/>
    <cellStyle name="Porcentual 214 24" xfId="3642" xr:uid="{00000000-0005-0000-0000-0000F42A0000}"/>
    <cellStyle name="Porcentual 214 24 2" xfId="7185" xr:uid="{00000000-0005-0000-0000-0000F52A0000}"/>
    <cellStyle name="Porcentual 214 24 3" xfId="9165" xr:uid="{00000000-0005-0000-0000-0000F62A0000}"/>
    <cellStyle name="Porcentual 214 25" xfId="3643" xr:uid="{00000000-0005-0000-0000-0000F72A0000}"/>
    <cellStyle name="Porcentual 214 25 2" xfId="7186" xr:uid="{00000000-0005-0000-0000-0000F82A0000}"/>
    <cellStyle name="Porcentual 214 25 3" xfId="9166" xr:uid="{00000000-0005-0000-0000-0000F92A0000}"/>
    <cellStyle name="Porcentual 214 26" xfId="3644" xr:uid="{00000000-0005-0000-0000-0000FA2A0000}"/>
    <cellStyle name="Porcentual 214 26 2" xfId="7187" xr:uid="{00000000-0005-0000-0000-0000FB2A0000}"/>
    <cellStyle name="Porcentual 214 26 3" xfId="9167" xr:uid="{00000000-0005-0000-0000-0000FC2A0000}"/>
    <cellStyle name="Porcentual 214 27" xfId="3645" xr:uid="{00000000-0005-0000-0000-0000FD2A0000}"/>
    <cellStyle name="Porcentual 214 27 2" xfId="7188" xr:uid="{00000000-0005-0000-0000-0000FE2A0000}"/>
    <cellStyle name="Porcentual 214 27 3" xfId="9168" xr:uid="{00000000-0005-0000-0000-0000FF2A0000}"/>
    <cellStyle name="Porcentual 214 28" xfId="3646" xr:uid="{00000000-0005-0000-0000-0000002B0000}"/>
    <cellStyle name="Porcentual 214 28 2" xfId="7189" xr:uid="{00000000-0005-0000-0000-0000012B0000}"/>
    <cellStyle name="Porcentual 214 28 3" xfId="9169" xr:uid="{00000000-0005-0000-0000-0000022B0000}"/>
    <cellStyle name="Porcentual 214 3" xfId="3647" xr:uid="{00000000-0005-0000-0000-0000032B0000}"/>
    <cellStyle name="Porcentual 214 3 2" xfId="7190" xr:uid="{00000000-0005-0000-0000-0000042B0000}"/>
    <cellStyle name="Porcentual 214 3 3" xfId="9170" xr:uid="{00000000-0005-0000-0000-0000052B0000}"/>
    <cellStyle name="Porcentual 214 4" xfId="3648" xr:uid="{00000000-0005-0000-0000-0000062B0000}"/>
    <cellStyle name="Porcentual 214 4 2" xfId="7191" xr:uid="{00000000-0005-0000-0000-0000072B0000}"/>
    <cellStyle name="Porcentual 214 4 3" xfId="9171" xr:uid="{00000000-0005-0000-0000-0000082B0000}"/>
    <cellStyle name="Porcentual 214 5" xfId="3649" xr:uid="{00000000-0005-0000-0000-0000092B0000}"/>
    <cellStyle name="Porcentual 214 5 2" xfId="7192" xr:uid="{00000000-0005-0000-0000-00000A2B0000}"/>
    <cellStyle name="Porcentual 214 5 3" xfId="9172" xr:uid="{00000000-0005-0000-0000-00000B2B0000}"/>
    <cellStyle name="Porcentual 214 6" xfId="3650" xr:uid="{00000000-0005-0000-0000-00000C2B0000}"/>
    <cellStyle name="Porcentual 214 6 2" xfId="7193" xr:uid="{00000000-0005-0000-0000-00000D2B0000}"/>
    <cellStyle name="Porcentual 214 6 3" xfId="9173" xr:uid="{00000000-0005-0000-0000-00000E2B0000}"/>
    <cellStyle name="Porcentual 214 7" xfId="3651" xr:uid="{00000000-0005-0000-0000-00000F2B0000}"/>
    <cellStyle name="Porcentual 214 7 2" xfId="7194" xr:uid="{00000000-0005-0000-0000-0000102B0000}"/>
    <cellStyle name="Porcentual 214 7 3" xfId="9174" xr:uid="{00000000-0005-0000-0000-0000112B0000}"/>
    <cellStyle name="Porcentual 214 8" xfId="3652" xr:uid="{00000000-0005-0000-0000-0000122B0000}"/>
    <cellStyle name="Porcentual 214 8 2" xfId="7195" xr:uid="{00000000-0005-0000-0000-0000132B0000}"/>
    <cellStyle name="Porcentual 214 8 3" xfId="9175" xr:uid="{00000000-0005-0000-0000-0000142B0000}"/>
    <cellStyle name="Porcentual 214 9" xfId="3653" xr:uid="{00000000-0005-0000-0000-0000152B0000}"/>
    <cellStyle name="Porcentual 214 9 2" xfId="7196" xr:uid="{00000000-0005-0000-0000-0000162B0000}"/>
    <cellStyle name="Porcentual 214 9 3" xfId="9176" xr:uid="{00000000-0005-0000-0000-0000172B0000}"/>
    <cellStyle name="Porcentual 215 10" xfId="3654" xr:uid="{00000000-0005-0000-0000-0000182B0000}"/>
    <cellStyle name="Porcentual 215 10 2" xfId="7197" xr:uid="{00000000-0005-0000-0000-0000192B0000}"/>
    <cellStyle name="Porcentual 215 10 3" xfId="9177" xr:uid="{00000000-0005-0000-0000-00001A2B0000}"/>
    <cellStyle name="Porcentual 215 11" xfId="3655" xr:uid="{00000000-0005-0000-0000-00001B2B0000}"/>
    <cellStyle name="Porcentual 215 11 2" xfId="7198" xr:uid="{00000000-0005-0000-0000-00001C2B0000}"/>
    <cellStyle name="Porcentual 215 11 3" xfId="9178" xr:uid="{00000000-0005-0000-0000-00001D2B0000}"/>
    <cellStyle name="Porcentual 215 12" xfId="3656" xr:uid="{00000000-0005-0000-0000-00001E2B0000}"/>
    <cellStyle name="Porcentual 215 12 2" xfId="7199" xr:uid="{00000000-0005-0000-0000-00001F2B0000}"/>
    <cellStyle name="Porcentual 215 12 3" xfId="9179" xr:uid="{00000000-0005-0000-0000-0000202B0000}"/>
    <cellStyle name="Porcentual 215 13" xfId="3657" xr:uid="{00000000-0005-0000-0000-0000212B0000}"/>
    <cellStyle name="Porcentual 215 13 2" xfId="7200" xr:uid="{00000000-0005-0000-0000-0000222B0000}"/>
    <cellStyle name="Porcentual 215 13 3" xfId="9180" xr:uid="{00000000-0005-0000-0000-0000232B0000}"/>
    <cellStyle name="Porcentual 215 14" xfId="3658" xr:uid="{00000000-0005-0000-0000-0000242B0000}"/>
    <cellStyle name="Porcentual 215 14 2" xfId="7201" xr:uid="{00000000-0005-0000-0000-0000252B0000}"/>
    <cellStyle name="Porcentual 215 14 3" xfId="9181" xr:uid="{00000000-0005-0000-0000-0000262B0000}"/>
    <cellStyle name="Porcentual 215 15" xfId="3659" xr:uid="{00000000-0005-0000-0000-0000272B0000}"/>
    <cellStyle name="Porcentual 215 15 2" xfId="7202" xr:uid="{00000000-0005-0000-0000-0000282B0000}"/>
    <cellStyle name="Porcentual 215 15 3" xfId="9182" xr:uid="{00000000-0005-0000-0000-0000292B0000}"/>
    <cellStyle name="Porcentual 215 16" xfId="3660" xr:uid="{00000000-0005-0000-0000-00002A2B0000}"/>
    <cellStyle name="Porcentual 215 16 2" xfId="7203" xr:uid="{00000000-0005-0000-0000-00002B2B0000}"/>
    <cellStyle name="Porcentual 215 16 3" xfId="9183" xr:uid="{00000000-0005-0000-0000-00002C2B0000}"/>
    <cellStyle name="Porcentual 215 17" xfId="3661" xr:uid="{00000000-0005-0000-0000-00002D2B0000}"/>
    <cellStyle name="Porcentual 215 17 2" xfId="7204" xr:uid="{00000000-0005-0000-0000-00002E2B0000}"/>
    <cellStyle name="Porcentual 215 17 3" xfId="9184" xr:uid="{00000000-0005-0000-0000-00002F2B0000}"/>
    <cellStyle name="Porcentual 215 18" xfId="3662" xr:uid="{00000000-0005-0000-0000-0000302B0000}"/>
    <cellStyle name="Porcentual 215 18 2" xfId="7205" xr:uid="{00000000-0005-0000-0000-0000312B0000}"/>
    <cellStyle name="Porcentual 215 18 3" xfId="9185" xr:uid="{00000000-0005-0000-0000-0000322B0000}"/>
    <cellStyle name="Porcentual 215 19" xfId="3663" xr:uid="{00000000-0005-0000-0000-0000332B0000}"/>
    <cellStyle name="Porcentual 215 19 2" xfId="7206" xr:uid="{00000000-0005-0000-0000-0000342B0000}"/>
    <cellStyle name="Porcentual 215 19 3" xfId="9186" xr:uid="{00000000-0005-0000-0000-0000352B0000}"/>
    <cellStyle name="Porcentual 215 2" xfId="3664" xr:uid="{00000000-0005-0000-0000-0000362B0000}"/>
    <cellStyle name="Porcentual 215 2 2" xfId="7207" xr:uid="{00000000-0005-0000-0000-0000372B0000}"/>
    <cellStyle name="Porcentual 215 2 3" xfId="9187" xr:uid="{00000000-0005-0000-0000-0000382B0000}"/>
    <cellStyle name="Porcentual 215 20" xfId="3665" xr:uid="{00000000-0005-0000-0000-0000392B0000}"/>
    <cellStyle name="Porcentual 215 20 2" xfId="7208" xr:uid="{00000000-0005-0000-0000-00003A2B0000}"/>
    <cellStyle name="Porcentual 215 20 3" xfId="9188" xr:uid="{00000000-0005-0000-0000-00003B2B0000}"/>
    <cellStyle name="Porcentual 215 21" xfId="3666" xr:uid="{00000000-0005-0000-0000-00003C2B0000}"/>
    <cellStyle name="Porcentual 215 21 2" xfId="7209" xr:uid="{00000000-0005-0000-0000-00003D2B0000}"/>
    <cellStyle name="Porcentual 215 21 3" xfId="9189" xr:uid="{00000000-0005-0000-0000-00003E2B0000}"/>
    <cellStyle name="Porcentual 215 22" xfId="3667" xr:uid="{00000000-0005-0000-0000-00003F2B0000}"/>
    <cellStyle name="Porcentual 215 22 2" xfId="7210" xr:uid="{00000000-0005-0000-0000-0000402B0000}"/>
    <cellStyle name="Porcentual 215 22 3" xfId="9190" xr:uid="{00000000-0005-0000-0000-0000412B0000}"/>
    <cellStyle name="Porcentual 215 23" xfId="3668" xr:uid="{00000000-0005-0000-0000-0000422B0000}"/>
    <cellStyle name="Porcentual 215 23 2" xfId="7211" xr:uid="{00000000-0005-0000-0000-0000432B0000}"/>
    <cellStyle name="Porcentual 215 23 3" xfId="9191" xr:uid="{00000000-0005-0000-0000-0000442B0000}"/>
    <cellStyle name="Porcentual 215 24" xfId="3669" xr:uid="{00000000-0005-0000-0000-0000452B0000}"/>
    <cellStyle name="Porcentual 215 24 2" xfId="7212" xr:uid="{00000000-0005-0000-0000-0000462B0000}"/>
    <cellStyle name="Porcentual 215 24 3" xfId="9192" xr:uid="{00000000-0005-0000-0000-0000472B0000}"/>
    <cellStyle name="Porcentual 215 25" xfId="3670" xr:uid="{00000000-0005-0000-0000-0000482B0000}"/>
    <cellStyle name="Porcentual 215 25 2" xfId="7213" xr:uid="{00000000-0005-0000-0000-0000492B0000}"/>
    <cellStyle name="Porcentual 215 25 3" xfId="9193" xr:uid="{00000000-0005-0000-0000-00004A2B0000}"/>
    <cellStyle name="Porcentual 215 26" xfId="3671" xr:uid="{00000000-0005-0000-0000-00004B2B0000}"/>
    <cellStyle name="Porcentual 215 26 2" xfId="7214" xr:uid="{00000000-0005-0000-0000-00004C2B0000}"/>
    <cellStyle name="Porcentual 215 26 3" xfId="9194" xr:uid="{00000000-0005-0000-0000-00004D2B0000}"/>
    <cellStyle name="Porcentual 215 27" xfId="3672" xr:uid="{00000000-0005-0000-0000-00004E2B0000}"/>
    <cellStyle name="Porcentual 215 27 2" xfId="7215" xr:uid="{00000000-0005-0000-0000-00004F2B0000}"/>
    <cellStyle name="Porcentual 215 27 3" xfId="9195" xr:uid="{00000000-0005-0000-0000-0000502B0000}"/>
    <cellStyle name="Porcentual 215 28" xfId="3673" xr:uid="{00000000-0005-0000-0000-0000512B0000}"/>
    <cellStyle name="Porcentual 215 28 2" xfId="7216" xr:uid="{00000000-0005-0000-0000-0000522B0000}"/>
    <cellStyle name="Porcentual 215 28 3" xfId="9196" xr:uid="{00000000-0005-0000-0000-0000532B0000}"/>
    <cellStyle name="Porcentual 215 3" xfId="3674" xr:uid="{00000000-0005-0000-0000-0000542B0000}"/>
    <cellStyle name="Porcentual 215 3 2" xfId="7217" xr:uid="{00000000-0005-0000-0000-0000552B0000}"/>
    <cellStyle name="Porcentual 215 3 3" xfId="9197" xr:uid="{00000000-0005-0000-0000-0000562B0000}"/>
    <cellStyle name="Porcentual 215 4" xfId="3675" xr:uid="{00000000-0005-0000-0000-0000572B0000}"/>
    <cellStyle name="Porcentual 215 4 2" xfId="7218" xr:uid="{00000000-0005-0000-0000-0000582B0000}"/>
    <cellStyle name="Porcentual 215 4 3" xfId="9198" xr:uid="{00000000-0005-0000-0000-0000592B0000}"/>
    <cellStyle name="Porcentual 215 5" xfId="3676" xr:uid="{00000000-0005-0000-0000-00005A2B0000}"/>
    <cellStyle name="Porcentual 215 5 2" xfId="7219" xr:uid="{00000000-0005-0000-0000-00005B2B0000}"/>
    <cellStyle name="Porcentual 215 5 3" xfId="9199" xr:uid="{00000000-0005-0000-0000-00005C2B0000}"/>
    <cellStyle name="Porcentual 215 6" xfId="3677" xr:uid="{00000000-0005-0000-0000-00005D2B0000}"/>
    <cellStyle name="Porcentual 215 6 2" xfId="7220" xr:uid="{00000000-0005-0000-0000-00005E2B0000}"/>
    <cellStyle name="Porcentual 215 6 3" xfId="9200" xr:uid="{00000000-0005-0000-0000-00005F2B0000}"/>
    <cellStyle name="Porcentual 215 7" xfId="3678" xr:uid="{00000000-0005-0000-0000-0000602B0000}"/>
    <cellStyle name="Porcentual 215 7 2" xfId="7221" xr:uid="{00000000-0005-0000-0000-0000612B0000}"/>
    <cellStyle name="Porcentual 215 7 3" xfId="9201" xr:uid="{00000000-0005-0000-0000-0000622B0000}"/>
    <cellStyle name="Porcentual 215 8" xfId="3679" xr:uid="{00000000-0005-0000-0000-0000632B0000}"/>
    <cellStyle name="Porcentual 215 8 2" xfId="7222" xr:uid="{00000000-0005-0000-0000-0000642B0000}"/>
    <cellStyle name="Porcentual 215 8 3" xfId="9202" xr:uid="{00000000-0005-0000-0000-0000652B0000}"/>
    <cellStyle name="Porcentual 215 9" xfId="3680" xr:uid="{00000000-0005-0000-0000-0000662B0000}"/>
    <cellStyle name="Porcentual 215 9 2" xfId="7223" xr:uid="{00000000-0005-0000-0000-0000672B0000}"/>
    <cellStyle name="Porcentual 215 9 3" xfId="9203" xr:uid="{00000000-0005-0000-0000-0000682B0000}"/>
    <cellStyle name="Porcentual 216 10" xfId="3681" xr:uid="{00000000-0005-0000-0000-0000692B0000}"/>
    <cellStyle name="Porcentual 216 10 2" xfId="7224" xr:uid="{00000000-0005-0000-0000-00006A2B0000}"/>
    <cellStyle name="Porcentual 216 10 3" xfId="9204" xr:uid="{00000000-0005-0000-0000-00006B2B0000}"/>
    <cellStyle name="Porcentual 216 11" xfId="3682" xr:uid="{00000000-0005-0000-0000-00006C2B0000}"/>
    <cellStyle name="Porcentual 216 11 2" xfId="7225" xr:uid="{00000000-0005-0000-0000-00006D2B0000}"/>
    <cellStyle name="Porcentual 216 11 3" xfId="9205" xr:uid="{00000000-0005-0000-0000-00006E2B0000}"/>
    <cellStyle name="Porcentual 216 12" xfId="3683" xr:uid="{00000000-0005-0000-0000-00006F2B0000}"/>
    <cellStyle name="Porcentual 216 12 2" xfId="7226" xr:uid="{00000000-0005-0000-0000-0000702B0000}"/>
    <cellStyle name="Porcentual 216 12 3" xfId="9206" xr:uid="{00000000-0005-0000-0000-0000712B0000}"/>
    <cellStyle name="Porcentual 216 13" xfId="3684" xr:uid="{00000000-0005-0000-0000-0000722B0000}"/>
    <cellStyle name="Porcentual 216 13 2" xfId="7227" xr:uid="{00000000-0005-0000-0000-0000732B0000}"/>
    <cellStyle name="Porcentual 216 13 3" xfId="9207" xr:uid="{00000000-0005-0000-0000-0000742B0000}"/>
    <cellStyle name="Porcentual 216 14" xfId="3685" xr:uid="{00000000-0005-0000-0000-0000752B0000}"/>
    <cellStyle name="Porcentual 216 14 2" xfId="7228" xr:uid="{00000000-0005-0000-0000-0000762B0000}"/>
    <cellStyle name="Porcentual 216 14 3" xfId="9208" xr:uid="{00000000-0005-0000-0000-0000772B0000}"/>
    <cellStyle name="Porcentual 216 15" xfId="3686" xr:uid="{00000000-0005-0000-0000-0000782B0000}"/>
    <cellStyle name="Porcentual 216 15 2" xfId="7229" xr:uid="{00000000-0005-0000-0000-0000792B0000}"/>
    <cellStyle name="Porcentual 216 15 3" xfId="9209" xr:uid="{00000000-0005-0000-0000-00007A2B0000}"/>
    <cellStyle name="Porcentual 216 16" xfId="3687" xr:uid="{00000000-0005-0000-0000-00007B2B0000}"/>
    <cellStyle name="Porcentual 216 16 2" xfId="7230" xr:uid="{00000000-0005-0000-0000-00007C2B0000}"/>
    <cellStyle name="Porcentual 216 16 3" xfId="9210" xr:uid="{00000000-0005-0000-0000-00007D2B0000}"/>
    <cellStyle name="Porcentual 216 17" xfId="3688" xr:uid="{00000000-0005-0000-0000-00007E2B0000}"/>
    <cellStyle name="Porcentual 216 17 2" xfId="7231" xr:uid="{00000000-0005-0000-0000-00007F2B0000}"/>
    <cellStyle name="Porcentual 216 17 3" xfId="9211" xr:uid="{00000000-0005-0000-0000-0000802B0000}"/>
    <cellStyle name="Porcentual 216 18" xfId="3689" xr:uid="{00000000-0005-0000-0000-0000812B0000}"/>
    <cellStyle name="Porcentual 216 18 2" xfId="7232" xr:uid="{00000000-0005-0000-0000-0000822B0000}"/>
    <cellStyle name="Porcentual 216 18 3" xfId="9212" xr:uid="{00000000-0005-0000-0000-0000832B0000}"/>
    <cellStyle name="Porcentual 216 19" xfId="3690" xr:uid="{00000000-0005-0000-0000-0000842B0000}"/>
    <cellStyle name="Porcentual 216 19 2" xfId="7233" xr:uid="{00000000-0005-0000-0000-0000852B0000}"/>
    <cellStyle name="Porcentual 216 19 3" xfId="9213" xr:uid="{00000000-0005-0000-0000-0000862B0000}"/>
    <cellStyle name="Porcentual 216 2" xfId="3691" xr:uid="{00000000-0005-0000-0000-0000872B0000}"/>
    <cellStyle name="Porcentual 216 2 2" xfId="7234" xr:uid="{00000000-0005-0000-0000-0000882B0000}"/>
    <cellStyle name="Porcentual 216 2 3" xfId="9214" xr:uid="{00000000-0005-0000-0000-0000892B0000}"/>
    <cellStyle name="Porcentual 216 20" xfId="3692" xr:uid="{00000000-0005-0000-0000-00008A2B0000}"/>
    <cellStyle name="Porcentual 216 20 2" xfId="7235" xr:uid="{00000000-0005-0000-0000-00008B2B0000}"/>
    <cellStyle name="Porcentual 216 20 3" xfId="9215" xr:uid="{00000000-0005-0000-0000-00008C2B0000}"/>
    <cellStyle name="Porcentual 216 21" xfId="3693" xr:uid="{00000000-0005-0000-0000-00008D2B0000}"/>
    <cellStyle name="Porcentual 216 21 2" xfId="7236" xr:uid="{00000000-0005-0000-0000-00008E2B0000}"/>
    <cellStyle name="Porcentual 216 21 3" xfId="9216" xr:uid="{00000000-0005-0000-0000-00008F2B0000}"/>
    <cellStyle name="Porcentual 216 22" xfId="3694" xr:uid="{00000000-0005-0000-0000-0000902B0000}"/>
    <cellStyle name="Porcentual 216 22 2" xfId="7237" xr:uid="{00000000-0005-0000-0000-0000912B0000}"/>
    <cellStyle name="Porcentual 216 22 3" xfId="9217" xr:uid="{00000000-0005-0000-0000-0000922B0000}"/>
    <cellStyle name="Porcentual 216 23" xfId="3695" xr:uid="{00000000-0005-0000-0000-0000932B0000}"/>
    <cellStyle name="Porcentual 216 23 2" xfId="7238" xr:uid="{00000000-0005-0000-0000-0000942B0000}"/>
    <cellStyle name="Porcentual 216 23 3" xfId="9218" xr:uid="{00000000-0005-0000-0000-0000952B0000}"/>
    <cellStyle name="Porcentual 216 24" xfId="3696" xr:uid="{00000000-0005-0000-0000-0000962B0000}"/>
    <cellStyle name="Porcentual 216 24 2" xfId="7239" xr:uid="{00000000-0005-0000-0000-0000972B0000}"/>
    <cellStyle name="Porcentual 216 24 3" xfId="9219" xr:uid="{00000000-0005-0000-0000-0000982B0000}"/>
    <cellStyle name="Porcentual 216 25" xfId="3697" xr:uid="{00000000-0005-0000-0000-0000992B0000}"/>
    <cellStyle name="Porcentual 216 25 2" xfId="7240" xr:uid="{00000000-0005-0000-0000-00009A2B0000}"/>
    <cellStyle name="Porcentual 216 25 3" xfId="9220" xr:uid="{00000000-0005-0000-0000-00009B2B0000}"/>
    <cellStyle name="Porcentual 216 26" xfId="3698" xr:uid="{00000000-0005-0000-0000-00009C2B0000}"/>
    <cellStyle name="Porcentual 216 26 2" xfId="7241" xr:uid="{00000000-0005-0000-0000-00009D2B0000}"/>
    <cellStyle name="Porcentual 216 26 3" xfId="9221" xr:uid="{00000000-0005-0000-0000-00009E2B0000}"/>
    <cellStyle name="Porcentual 216 27" xfId="3699" xr:uid="{00000000-0005-0000-0000-00009F2B0000}"/>
    <cellStyle name="Porcentual 216 27 2" xfId="7242" xr:uid="{00000000-0005-0000-0000-0000A02B0000}"/>
    <cellStyle name="Porcentual 216 27 3" xfId="9222" xr:uid="{00000000-0005-0000-0000-0000A12B0000}"/>
    <cellStyle name="Porcentual 216 28" xfId="3700" xr:uid="{00000000-0005-0000-0000-0000A22B0000}"/>
    <cellStyle name="Porcentual 216 28 2" xfId="7243" xr:uid="{00000000-0005-0000-0000-0000A32B0000}"/>
    <cellStyle name="Porcentual 216 28 3" xfId="9223" xr:uid="{00000000-0005-0000-0000-0000A42B0000}"/>
    <cellStyle name="Porcentual 216 3" xfId="3701" xr:uid="{00000000-0005-0000-0000-0000A52B0000}"/>
    <cellStyle name="Porcentual 216 3 2" xfId="7244" xr:uid="{00000000-0005-0000-0000-0000A62B0000}"/>
    <cellStyle name="Porcentual 216 3 3" xfId="9224" xr:uid="{00000000-0005-0000-0000-0000A72B0000}"/>
    <cellStyle name="Porcentual 216 4" xfId="3702" xr:uid="{00000000-0005-0000-0000-0000A82B0000}"/>
    <cellStyle name="Porcentual 216 4 2" xfId="7245" xr:uid="{00000000-0005-0000-0000-0000A92B0000}"/>
    <cellStyle name="Porcentual 216 4 3" xfId="9225" xr:uid="{00000000-0005-0000-0000-0000AA2B0000}"/>
    <cellStyle name="Porcentual 216 5" xfId="3703" xr:uid="{00000000-0005-0000-0000-0000AB2B0000}"/>
    <cellStyle name="Porcentual 216 5 2" xfId="7246" xr:uid="{00000000-0005-0000-0000-0000AC2B0000}"/>
    <cellStyle name="Porcentual 216 5 3" xfId="9226" xr:uid="{00000000-0005-0000-0000-0000AD2B0000}"/>
    <cellStyle name="Porcentual 216 6" xfId="3704" xr:uid="{00000000-0005-0000-0000-0000AE2B0000}"/>
    <cellStyle name="Porcentual 216 6 2" xfId="7247" xr:uid="{00000000-0005-0000-0000-0000AF2B0000}"/>
    <cellStyle name="Porcentual 216 6 3" xfId="9227" xr:uid="{00000000-0005-0000-0000-0000B02B0000}"/>
    <cellStyle name="Porcentual 216 7" xfId="3705" xr:uid="{00000000-0005-0000-0000-0000B12B0000}"/>
    <cellStyle name="Porcentual 216 7 2" xfId="7248" xr:uid="{00000000-0005-0000-0000-0000B22B0000}"/>
    <cellStyle name="Porcentual 216 7 3" xfId="9228" xr:uid="{00000000-0005-0000-0000-0000B32B0000}"/>
    <cellStyle name="Porcentual 216 8" xfId="3706" xr:uid="{00000000-0005-0000-0000-0000B42B0000}"/>
    <cellStyle name="Porcentual 216 8 2" xfId="7249" xr:uid="{00000000-0005-0000-0000-0000B52B0000}"/>
    <cellStyle name="Porcentual 216 8 3" xfId="9229" xr:uid="{00000000-0005-0000-0000-0000B62B0000}"/>
    <cellStyle name="Porcentual 216 9" xfId="3707" xr:uid="{00000000-0005-0000-0000-0000B72B0000}"/>
    <cellStyle name="Porcentual 216 9 2" xfId="7250" xr:uid="{00000000-0005-0000-0000-0000B82B0000}"/>
    <cellStyle name="Porcentual 216 9 3" xfId="9230" xr:uid="{00000000-0005-0000-0000-0000B92B0000}"/>
    <cellStyle name="Porcentual 217 10" xfId="3708" xr:uid="{00000000-0005-0000-0000-0000BA2B0000}"/>
    <cellStyle name="Porcentual 217 10 2" xfId="7251" xr:uid="{00000000-0005-0000-0000-0000BB2B0000}"/>
    <cellStyle name="Porcentual 217 10 3" xfId="9231" xr:uid="{00000000-0005-0000-0000-0000BC2B0000}"/>
    <cellStyle name="Porcentual 217 11" xfId="3709" xr:uid="{00000000-0005-0000-0000-0000BD2B0000}"/>
    <cellStyle name="Porcentual 217 11 2" xfId="7252" xr:uid="{00000000-0005-0000-0000-0000BE2B0000}"/>
    <cellStyle name="Porcentual 217 11 3" xfId="9232" xr:uid="{00000000-0005-0000-0000-0000BF2B0000}"/>
    <cellStyle name="Porcentual 217 12" xfId="3710" xr:uid="{00000000-0005-0000-0000-0000C02B0000}"/>
    <cellStyle name="Porcentual 217 12 2" xfId="7253" xr:uid="{00000000-0005-0000-0000-0000C12B0000}"/>
    <cellStyle name="Porcentual 217 12 3" xfId="9233" xr:uid="{00000000-0005-0000-0000-0000C22B0000}"/>
    <cellStyle name="Porcentual 217 13" xfId="3711" xr:uid="{00000000-0005-0000-0000-0000C32B0000}"/>
    <cellStyle name="Porcentual 217 13 2" xfId="7254" xr:uid="{00000000-0005-0000-0000-0000C42B0000}"/>
    <cellStyle name="Porcentual 217 13 3" xfId="9234" xr:uid="{00000000-0005-0000-0000-0000C52B0000}"/>
    <cellStyle name="Porcentual 217 14" xfId="3712" xr:uid="{00000000-0005-0000-0000-0000C62B0000}"/>
    <cellStyle name="Porcentual 217 14 2" xfId="7255" xr:uid="{00000000-0005-0000-0000-0000C72B0000}"/>
    <cellStyle name="Porcentual 217 14 3" xfId="9235" xr:uid="{00000000-0005-0000-0000-0000C82B0000}"/>
    <cellStyle name="Porcentual 217 15" xfId="3713" xr:uid="{00000000-0005-0000-0000-0000C92B0000}"/>
    <cellStyle name="Porcentual 217 15 2" xfId="7256" xr:uid="{00000000-0005-0000-0000-0000CA2B0000}"/>
    <cellStyle name="Porcentual 217 15 3" xfId="9236" xr:uid="{00000000-0005-0000-0000-0000CB2B0000}"/>
    <cellStyle name="Porcentual 217 16" xfId="3714" xr:uid="{00000000-0005-0000-0000-0000CC2B0000}"/>
    <cellStyle name="Porcentual 217 16 2" xfId="7257" xr:uid="{00000000-0005-0000-0000-0000CD2B0000}"/>
    <cellStyle name="Porcentual 217 16 3" xfId="9237" xr:uid="{00000000-0005-0000-0000-0000CE2B0000}"/>
    <cellStyle name="Porcentual 217 17" xfId="3715" xr:uid="{00000000-0005-0000-0000-0000CF2B0000}"/>
    <cellStyle name="Porcentual 217 17 2" xfId="7258" xr:uid="{00000000-0005-0000-0000-0000D02B0000}"/>
    <cellStyle name="Porcentual 217 17 3" xfId="9238" xr:uid="{00000000-0005-0000-0000-0000D12B0000}"/>
    <cellStyle name="Porcentual 217 18" xfId="3716" xr:uid="{00000000-0005-0000-0000-0000D22B0000}"/>
    <cellStyle name="Porcentual 217 18 2" xfId="7259" xr:uid="{00000000-0005-0000-0000-0000D32B0000}"/>
    <cellStyle name="Porcentual 217 18 3" xfId="9239" xr:uid="{00000000-0005-0000-0000-0000D42B0000}"/>
    <cellStyle name="Porcentual 217 19" xfId="3717" xr:uid="{00000000-0005-0000-0000-0000D52B0000}"/>
    <cellStyle name="Porcentual 217 19 2" xfId="7260" xr:uid="{00000000-0005-0000-0000-0000D62B0000}"/>
    <cellStyle name="Porcentual 217 19 3" xfId="9240" xr:uid="{00000000-0005-0000-0000-0000D72B0000}"/>
    <cellStyle name="Porcentual 217 2" xfId="3718" xr:uid="{00000000-0005-0000-0000-0000D82B0000}"/>
    <cellStyle name="Porcentual 217 2 2" xfId="7261" xr:uid="{00000000-0005-0000-0000-0000D92B0000}"/>
    <cellStyle name="Porcentual 217 2 3" xfId="9241" xr:uid="{00000000-0005-0000-0000-0000DA2B0000}"/>
    <cellStyle name="Porcentual 217 20" xfId="3719" xr:uid="{00000000-0005-0000-0000-0000DB2B0000}"/>
    <cellStyle name="Porcentual 217 20 2" xfId="7262" xr:uid="{00000000-0005-0000-0000-0000DC2B0000}"/>
    <cellStyle name="Porcentual 217 20 3" xfId="9242" xr:uid="{00000000-0005-0000-0000-0000DD2B0000}"/>
    <cellStyle name="Porcentual 217 21" xfId="3720" xr:uid="{00000000-0005-0000-0000-0000DE2B0000}"/>
    <cellStyle name="Porcentual 217 21 2" xfId="7263" xr:uid="{00000000-0005-0000-0000-0000DF2B0000}"/>
    <cellStyle name="Porcentual 217 21 3" xfId="9243" xr:uid="{00000000-0005-0000-0000-0000E02B0000}"/>
    <cellStyle name="Porcentual 217 22" xfId="3721" xr:uid="{00000000-0005-0000-0000-0000E12B0000}"/>
    <cellStyle name="Porcentual 217 22 2" xfId="7264" xr:uid="{00000000-0005-0000-0000-0000E22B0000}"/>
    <cellStyle name="Porcentual 217 22 3" xfId="9244" xr:uid="{00000000-0005-0000-0000-0000E32B0000}"/>
    <cellStyle name="Porcentual 217 23" xfId="3722" xr:uid="{00000000-0005-0000-0000-0000E42B0000}"/>
    <cellStyle name="Porcentual 217 23 2" xfId="7265" xr:uid="{00000000-0005-0000-0000-0000E52B0000}"/>
    <cellStyle name="Porcentual 217 23 3" xfId="9245" xr:uid="{00000000-0005-0000-0000-0000E62B0000}"/>
    <cellStyle name="Porcentual 217 24" xfId="3723" xr:uid="{00000000-0005-0000-0000-0000E72B0000}"/>
    <cellStyle name="Porcentual 217 24 2" xfId="7266" xr:uid="{00000000-0005-0000-0000-0000E82B0000}"/>
    <cellStyle name="Porcentual 217 24 3" xfId="9246" xr:uid="{00000000-0005-0000-0000-0000E92B0000}"/>
    <cellStyle name="Porcentual 217 25" xfId="3724" xr:uid="{00000000-0005-0000-0000-0000EA2B0000}"/>
    <cellStyle name="Porcentual 217 25 2" xfId="7267" xr:uid="{00000000-0005-0000-0000-0000EB2B0000}"/>
    <cellStyle name="Porcentual 217 25 3" xfId="9247" xr:uid="{00000000-0005-0000-0000-0000EC2B0000}"/>
    <cellStyle name="Porcentual 217 26" xfId="3725" xr:uid="{00000000-0005-0000-0000-0000ED2B0000}"/>
    <cellStyle name="Porcentual 217 26 2" xfId="7268" xr:uid="{00000000-0005-0000-0000-0000EE2B0000}"/>
    <cellStyle name="Porcentual 217 26 3" xfId="9248" xr:uid="{00000000-0005-0000-0000-0000EF2B0000}"/>
    <cellStyle name="Porcentual 217 27" xfId="3726" xr:uid="{00000000-0005-0000-0000-0000F02B0000}"/>
    <cellStyle name="Porcentual 217 27 2" xfId="7269" xr:uid="{00000000-0005-0000-0000-0000F12B0000}"/>
    <cellStyle name="Porcentual 217 27 3" xfId="9249" xr:uid="{00000000-0005-0000-0000-0000F22B0000}"/>
    <cellStyle name="Porcentual 217 28" xfId="3727" xr:uid="{00000000-0005-0000-0000-0000F32B0000}"/>
    <cellStyle name="Porcentual 217 28 2" xfId="7270" xr:uid="{00000000-0005-0000-0000-0000F42B0000}"/>
    <cellStyle name="Porcentual 217 28 3" xfId="9250" xr:uid="{00000000-0005-0000-0000-0000F52B0000}"/>
    <cellStyle name="Porcentual 217 3" xfId="3728" xr:uid="{00000000-0005-0000-0000-0000F62B0000}"/>
    <cellStyle name="Porcentual 217 3 2" xfId="7271" xr:uid="{00000000-0005-0000-0000-0000F72B0000}"/>
    <cellStyle name="Porcentual 217 3 3" xfId="9251" xr:uid="{00000000-0005-0000-0000-0000F82B0000}"/>
    <cellStyle name="Porcentual 217 4" xfId="3729" xr:uid="{00000000-0005-0000-0000-0000F92B0000}"/>
    <cellStyle name="Porcentual 217 4 2" xfId="7272" xr:uid="{00000000-0005-0000-0000-0000FA2B0000}"/>
    <cellStyle name="Porcentual 217 4 3" xfId="9252" xr:uid="{00000000-0005-0000-0000-0000FB2B0000}"/>
    <cellStyle name="Porcentual 217 5" xfId="3730" xr:uid="{00000000-0005-0000-0000-0000FC2B0000}"/>
    <cellStyle name="Porcentual 217 5 2" xfId="7273" xr:uid="{00000000-0005-0000-0000-0000FD2B0000}"/>
    <cellStyle name="Porcentual 217 5 3" xfId="9253" xr:uid="{00000000-0005-0000-0000-0000FE2B0000}"/>
    <cellStyle name="Porcentual 217 6" xfId="3731" xr:uid="{00000000-0005-0000-0000-0000FF2B0000}"/>
    <cellStyle name="Porcentual 217 6 2" xfId="7274" xr:uid="{00000000-0005-0000-0000-0000002C0000}"/>
    <cellStyle name="Porcentual 217 6 3" xfId="9254" xr:uid="{00000000-0005-0000-0000-0000012C0000}"/>
    <cellStyle name="Porcentual 217 7" xfId="3732" xr:uid="{00000000-0005-0000-0000-0000022C0000}"/>
    <cellStyle name="Porcentual 217 7 2" xfId="7275" xr:uid="{00000000-0005-0000-0000-0000032C0000}"/>
    <cellStyle name="Porcentual 217 7 3" xfId="9255" xr:uid="{00000000-0005-0000-0000-0000042C0000}"/>
    <cellStyle name="Porcentual 217 8" xfId="3733" xr:uid="{00000000-0005-0000-0000-0000052C0000}"/>
    <cellStyle name="Porcentual 217 8 2" xfId="7276" xr:uid="{00000000-0005-0000-0000-0000062C0000}"/>
    <cellStyle name="Porcentual 217 8 3" xfId="9256" xr:uid="{00000000-0005-0000-0000-0000072C0000}"/>
    <cellStyle name="Porcentual 217 9" xfId="3734" xr:uid="{00000000-0005-0000-0000-0000082C0000}"/>
    <cellStyle name="Porcentual 217 9 2" xfId="7277" xr:uid="{00000000-0005-0000-0000-0000092C0000}"/>
    <cellStyle name="Porcentual 217 9 3" xfId="9257" xr:uid="{00000000-0005-0000-0000-00000A2C0000}"/>
    <cellStyle name="Porcentual 219 10" xfId="3735" xr:uid="{00000000-0005-0000-0000-00000B2C0000}"/>
    <cellStyle name="Porcentual 219 10 2" xfId="7278" xr:uid="{00000000-0005-0000-0000-00000C2C0000}"/>
    <cellStyle name="Porcentual 219 10 3" xfId="9258" xr:uid="{00000000-0005-0000-0000-00000D2C0000}"/>
    <cellStyle name="Porcentual 219 11" xfId="3736" xr:uid="{00000000-0005-0000-0000-00000E2C0000}"/>
    <cellStyle name="Porcentual 219 11 2" xfId="7279" xr:uid="{00000000-0005-0000-0000-00000F2C0000}"/>
    <cellStyle name="Porcentual 219 11 3" xfId="9259" xr:uid="{00000000-0005-0000-0000-0000102C0000}"/>
    <cellStyle name="Porcentual 219 12" xfId="3737" xr:uid="{00000000-0005-0000-0000-0000112C0000}"/>
    <cellStyle name="Porcentual 219 12 2" xfId="7280" xr:uid="{00000000-0005-0000-0000-0000122C0000}"/>
    <cellStyle name="Porcentual 219 12 3" xfId="9260" xr:uid="{00000000-0005-0000-0000-0000132C0000}"/>
    <cellStyle name="Porcentual 219 13" xfId="3738" xr:uid="{00000000-0005-0000-0000-0000142C0000}"/>
    <cellStyle name="Porcentual 219 13 2" xfId="7281" xr:uid="{00000000-0005-0000-0000-0000152C0000}"/>
    <cellStyle name="Porcentual 219 13 3" xfId="9261" xr:uid="{00000000-0005-0000-0000-0000162C0000}"/>
    <cellStyle name="Porcentual 219 14" xfId="3739" xr:uid="{00000000-0005-0000-0000-0000172C0000}"/>
    <cellStyle name="Porcentual 219 14 2" xfId="7282" xr:uid="{00000000-0005-0000-0000-0000182C0000}"/>
    <cellStyle name="Porcentual 219 14 3" xfId="9262" xr:uid="{00000000-0005-0000-0000-0000192C0000}"/>
    <cellStyle name="Porcentual 219 15" xfId="3740" xr:uid="{00000000-0005-0000-0000-00001A2C0000}"/>
    <cellStyle name="Porcentual 219 15 2" xfId="7283" xr:uid="{00000000-0005-0000-0000-00001B2C0000}"/>
    <cellStyle name="Porcentual 219 15 3" xfId="9263" xr:uid="{00000000-0005-0000-0000-00001C2C0000}"/>
    <cellStyle name="Porcentual 219 16" xfId="3741" xr:uid="{00000000-0005-0000-0000-00001D2C0000}"/>
    <cellStyle name="Porcentual 219 16 2" xfId="7284" xr:uid="{00000000-0005-0000-0000-00001E2C0000}"/>
    <cellStyle name="Porcentual 219 16 3" xfId="9264" xr:uid="{00000000-0005-0000-0000-00001F2C0000}"/>
    <cellStyle name="Porcentual 219 17" xfId="3742" xr:uid="{00000000-0005-0000-0000-0000202C0000}"/>
    <cellStyle name="Porcentual 219 17 2" xfId="7285" xr:uid="{00000000-0005-0000-0000-0000212C0000}"/>
    <cellStyle name="Porcentual 219 17 3" xfId="9265" xr:uid="{00000000-0005-0000-0000-0000222C0000}"/>
    <cellStyle name="Porcentual 219 18" xfId="3743" xr:uid="{00000000-0005-0000-0000-0000232C0000}"/>
    <cellStyle name="Porcentual 219 18 2" xfId="7286" xr:uid="{00000000-0005-0000-0000-0000242C0000}"/>
    <cellStyle name="Porcentual 219 18 3" xfId="9266" xr:uid="{00000000-0005-0000-0000-0000252C0000}"/>
    <cellStyle name="Porcentual 219 19" xfId="3744" xr:uid="{00000000-0005-0000-0000-0000262C0000}"/>
    <cellStyle name="Porcentual 219 19 2" xfId="7287" xr:uid="{00000000-0005-0000-0000-0000272C0000}"/>
    <cellStyle name="Porcentual 219 19 3" xfId="9267" xr:uid="{00000000-0005-0000-0000-0000282C0000}"/>
    <cellStyle name="Porcentual 219 2" xfId="3745" xr:uid="{00000000-0005-0000-0000-0000292C0000}"/>
    <cellStyle name="Porcentual 219 2 2" xfId="7288" xr:uid="{00000000-0005-0000-0000-00002A2C0000}"/>
    <cellStyle name="Porcentual 219 2 3" xfId="9268" xr:uid="{00000000-0005-0000-0000-00002B2C0000}"/>
    <cellStyle name="Porcentual 219 20" xfId="3746" xr:uid="{00000000-0005-0000-0000-00002C2C0000}"/>
    <cellStyle name="Porcentual 219 20 2" xfId="7289" xr:uid="{00000000-0005-0000-0000-00002D2C0000}"/>
    <cellStyle name="Porcentual 219 20 3" xfId="9269" xr:uid="{00000000-0005-0000-0000-00002E2C0000}"/>
    <cellStyle name="Porcentual 219 21" xfId="3747" xr:uid="{00000000-0005-0000-0000-00002F2C0000}"/>
    <cellStyle name="Porcentual 219 21 2" xfId="7290" xr:uid="{00000000-0005-0000-0000-0000302C0000}"/>
    <cellStyle name="Porcentual 219 21 3" xfId="9270" xr:uid="{00000000-0005-0000-0000-0000312C0000}"/>
    <cellStyle name="Porcentual 219 22" xfId="3748" xr:uid="{00000000-0005-0000-0000-0000322C0000}"/>
    <cellStyle name="Porcentual 219 22 2" xfId="7291" xr:uid="{00000000-0005-0000-0000-0000332C0000}"/>
    <cellStyle name="Porcentual 219 22 3" xfId="9271" xr:uid="{00000000-0005-0000-0000-0000342C0000}"/>
    <cellStyle name="Porcentual 219 23" xfId="3749" xr:uid="{00000000-0005-0000-0000-0000352C0000}"/>
    <cellStyle name="Porcentual 219 23 2" xfId="7292" xr:uid="{00000000-0005-0000-0000-0000362C0000}"/>
    <cellStyle name="Porcentual 219 23 3" xfId="9272" xr:uid="{00000000-0005-0000-0000-0000372C0000}"/>
    <cellStyle name="Porcentual 219 24" xfId="3750" xr:uid="{00000000-0005-0000-0000-0000382C0000}"/>
    <cellStyle name="Porcentual 219 24 2" xfId="7293" xr:uid="{00000000-0005-0000-0000-0000392C0000}"/>
    <cellStyle name="Porcentual 219 24 3" xfId="9273" xr:uid="{00000000-0005-0000-0000-00003A2C0000}"/>
    <cellStyle name="Porcentual 219 25" xfId="3751" xr:uid="{00000000-0005-0000-0000-00003B2C0000}"/>
    <cellStyle name="Porcentual 219 25 2" xfId="7294" xr:uid="{00000000-0005-0000-0000-00003C2C0000}"/>
    <cellStyle name="Porcentual 219 25 3" xfId="9274" xr:uid="{00000000-0005-0000-0000-00003D2C0000}"/>
    <cellStyle name="Porcentual 219 26" xfId="3752" xr:uid="{00000000-0005-0000-0000-00003E2C0000}"/>
    <cellStyle name="Porcentual 219 26 2" xfId="7295" xr:uid="{00000000-0005-0000-0000-00003F2C0000}"/>
    <cellStyle name="Porcentual 219 26 3" xfId="9275" xr:uid="{00000000-0005-0000-0000-0000402C0000}"/>
    <cellStyle name="Porcentual 219 27" xfId="3753" xr:uid="{00000000-0005-0000-0000-0000412C0000}"/>
    <cellStyle name="Porcentual 219 27 2" xfId="7296" xr:uid="{00000000-0005-0000-0000-0000422C0000}"/>
    <cellStyle name="Porcentual 219 27 3" xfId="9276" xr:uid="{00000000-0005-0000-0000-0000432C0000}"/>
    <cellStyle name="Porcentual 219 28" xfId="3754" xr:uid="{00000000-0005-0000-0000-0000442C0000}"/>
    <cellStyle name="Porcentual 219 28 2" xfId="7297" xr:uid="{00000000-0005-0000-0000-0000452C0000}"/>
    <cellStyle name="Porcentual 219 28 3" xfId="9277" xr:uid="{00000000-0005-0000-0000-0000462C0000}"/>
    <cellStyle name="Porcentual 219 3" xfId="3755" xr:uid="{00000000-0005-0000-0000-0000472C0000}"/>
    <cellStyle name="Porcentual 219 3 2" xfId="7298" xr:uid="{00000000-0005-0000-0000-0000482C0000}"/>
    <cellStyle name="Porcentual 219 3 3" xfId="9278" xr:uid="{00000000-0005-0000-0000-0000492C0000}"/>
    <cellStyle name="Porcentual 219 4" xfId="3756" xr:uid="{00000000-0005-0000-0000-00004A2C0000}"/>
    <cellStyle name="Porcentual 219 4 2" xfId="7299" xr:uid="{00000000-0005-0000-0000-00004B2C0000}"/>
    <cellStyle name="Porcentual 219 4 3" xfId="9279" xr:uid="{00000000-0005-0000-0000-00004C2C0000}"/>
    <cellStyle name="Porcentual 219 5" xfId="3757" xr:uid="{00000000-0005-0000-0000-00004D2C0000}"/>
    <cellStyle name="Porcentual 219 5 2" xfId="7300" xr:uid="{00000000-0005-0000-0000-00004E2C0000}"/>
    <cellStyle name="Porcentual 219 5 3" xfId="9280" xr:uid="{00000000-0005-0000-0000-00004F2C0000}"/>
    <cellStyle name="Porcentual 219 6" xfId="3758" xr:uid="{00000000-0005-0000-0000-0000502C0000}"/>
    <cellStyle name="Porcentual 219 6 2" xfId="7301" xr:uid="{00000000-0005-0000-0000-0000512C0000}"/>
    <cellStyle name="Porcentual 219 6 3" xfId="9281" xr:uid="{00000000-0005-0000-0000-0000522C0000}"/>
    <cellStyle name="Porcentual 219 7" xfId="3759" xr:uid="{00000000-0005-0000-0000-0000532C0000}"/>
    <cellStyle name="Porcentual 219 7 2" xfId="7302" xr:uid="{00000000-0005-0000-0000-0000542C0000}"/>
    <cellStyle name="Porcentual 219 7 3" xfId="9282" xr:uid="{00000000-0005-0000-0000-0000552C0000}"/>
    <cellStyle name="Porcentual 219 8" xfId="3760" xr:uid="{00000000-0005-0000-0000-0000562C0000}"/>
    <cellStyle name="Porcentual 219 8 2" xfId="7303" xr:uid="{00000000-0005-0000-0000-0000572C0000}"/>
    <cellStyle name="Porcentual 219 8 3" xfId="9283" xr:uid="{00000000-0005-0000-0000-0000582C0000}"/>
    <cellStyle name="Porcentual 219 9" xfId="3761" xr:uid="{00000000-0005-0000-0000-0000592C0000}"/>
    <cellStyle name="Porcentual 219 9 2" xfId="7304" xr:uid="{00000000-0005-0000-0000-00005A2C0000}"/>
    <cellStyle name="Porcentual 219 9 3" xfId="9284" xr:uid="{00000000-0005-0000-0000-00005B2C0000}"/>
    <cellStyle name="Porcentual 22" xfId="3762" xr:uid="{00000000-0005-0000-0000-00005C2C0000}"/>
    <cellStyle name="Porcentual 22 10" xfId="3763" xr:uid="{00000000-0005-0000-0000-00005D2C0000}"/>
    <cellStyle name="Porcentual 22 10 2" xfId="7305" xr:uid="{00000000-0005-0000-0000-00005E2C0000}"/>
    <cellStyle name="Porcentual 22 10 3" xfId="9286" xr:uid="{00000000-0005-0000-0000-00005F2C0000}"/>
    <cellStyle name="Porcentual 22 11" xfId="3764" xr:uid="{00000000-0005-0000-0000-0000602C0000}"/>
    <cellStyle name="Porcentual 22 11 2" xfId="7306" xr:uid="{00000000-0005-0000-0000-0000612C0000}"/>
    <cellStyle name="Porcentual 22 11 3" xfId="9287" xr:uid="{00000000-0005-0000-0000-0000622C0000}"/>
    <cellStyle name="Porcentual 22 12" xfId="3765" xr:uid="{00000000-0005-0000-0000-0000632C0000}"/>
    <cellStyle name="Porcentual 22 12 2" xfId="7307" xr:uid="{00000000-0005-0000-0000-0000642C0000}"/>
    <cellStyle name="Porcentual 22 12 3" xfId="9288" xr:uid="{00000000-0005-0000-0000-0000652C0000}"/>
    <cellStyle name="Porcentual 22 13" xfId="3766" xr:uid="{00000000-0005-0000-0000-0000662C0000}"/>
    <cellStyle name="Porcentual 22 13 2" xfId="7308" xr:uid="{00000000-0005-0000-0000-0000672C0000}"/>
    <cellStyle name="Porcentual 22 13 3" xfId="9289" xr:uid="{00000000-0005-0000-0000-0000682C0000}"/>
    <cellStyle name="Porcentual 22 14" xfId="3767" xr:uid="{00000000-0005-0000-0000-0000692C0000}"/>
    <cellStyle name="Porcentual 22 14 2" xfId="7309" xr:uid="{00000000-0005-0000-0000-00006A2C0000}"/>
    <cellStyle name="Porcentual 22 14 3" xfId="9290" xr:uid="{00000000-0005-0000-0000-00006B2C0000}"/>
    <cellStyle name="Porcentual 22 15" xfId="3768" xr:uid="{00000000-0005-0000-0000-00006C2C0000}"/>
    <cellStyle name="Porcentual 22 15 2" xfId="7310" xr:uid="{00000000-0005-0000-0000-00006D2C0000}"/>
    <cellStyle name="Porcentual 22 15 3" xfId="9291" xr:uid="{00000000-0005-0000-0000-00006E2C0000}"/>
    <cellStyle name="Porcentual 22 16" xfId="3769" xr:uid="{00000000-0005-0000-0000-00006F2C0000}"/>
    <cellStyle name="Porcentual 22 16 2" xfId="7311" xr:uid="{00000000-0005-0000-0000-0000702C0000}"/>
    <cellStyle name="Porcentual 22 16 3" xfId="9292" xr:uid="{00000000-0005-0000-0000-0000712C0000}"/>
    <cellStyle name="Porcentual 22 17" xfId="3770" xr:uid="{00000000-0005-0000-0000-0000722C0000}"/>
    <cellStyle name="Porcentual 22 17 2" xfId="7312" xr:uid="{00000000-0005-0000-0000-0000732C0000}"/>
    <cellStyle name="Porcentual 22 17 3" xfId="9293" xr:uid="{00000000-0005-0000-0000-0000742C0000}"/>
    <cellStyle name="Porcentual 22 18" xfId="3771" xr:uid="{00000000-0005-0000-0000-0000752C0000}"/>
    <cellStyle name="Porcentual 22 18 2" xfId="7313" xr:uid="{00000000-0005-0000-0000-0000762C0000}"/>
    <cellStyle name="Porcentual 22 18 3" xfId="9294" xr:uid="{00000000-0005-0000-0000-0000772C0000}"/>
    <cellStyle name="Porcentual 22 19" xfId="3772" xr:uid="{00000000-0005-0000-0000-0000782C0000}"/>
    <cellStyle name="Porcentual 22 19 2" xfId="7314" xr:uid="{00000000-0005-0000-0000-0000792C0000}"/>
    <cellStyle name="Porcentual 22 19 3" xfId="9295" xr:uid="{00000000-0005-0000-0000-00007A2C0000}"/>
    <cellStyle name="Porcentual 22 2" xfId="3773" xr:uid="{00000000-0005-0000-0000-00007B2C0000}"/>
    <cellStyle name="Porcentual 22 2 2" xfId="7315" xr:uid="{00000000-0005-0000-0000-00007C2C0000}"/>
    <cellStyle name="Porcentual 22 2 3" xfId="9296" xr:uid="{00000000-0005-0000-0000-00007D2C0000}"/>
    <cellStyle name="Porcentual 22 20" xfId="3774" xr:uid="{00000000-0005-0000-0000-00007E2C0000}"/>
    <cellStyle name="Porcentual 22 20 2" xfId="7316" xr:uid="{00000000-0005-0000-0000-00007F2C0000}"/>
    <cellStyle name="Porcentual 22 20 3" xfId="9297" xr:uid="{00000000-0005-0000-0000-0000802C0000}"/>
    <cellStyle name="Porcentual 22 21" xfId="3775" xr:uid="{00000000-0005-0000-0000-0000812C0000}"/>
    <cellStyle name="Porcentual 22 21 2" xfId="7317" xr:uid="{00000000-0005-0000-0000-0000822C0000}"/>
    <cellStyle name="Porcentual 22 21 3" xfId="9298" xr:uid="{00000000-0005-0000-0000-0000832C0000}"/>
    <cellStyle name="Porcentual 22 22" xfId="3776" xr:uid="{00000000-0005-0000-0000-0000842C0000}"/>
    <cellStyle name="Porcentual 22 22 2" xfId="7318" xr:uid="{00000000-0005-0000-0000-0000852C0000}"/>
    <cellStyle name="Porcentual 22 22 3" xfId="9299" xr:uid="{00000000-0005-0000-0000-0000862C0000}"/>
    <cellStyle name="Porcentual 22 23" xfId="3777" xr:uid="{00000000-0005-0000-0000-0000872C0000}"/>
    <cellStyle name="Porcentual 22 23 2" xfId="7319" xr:uid="{00000000-0005-0000-0000-0000882C0000}"/>
    <cellStyle name="Porcentual 22 23 3" xfId="9300" xr:uid="{00000000-0005-0000-0000-0000892C0000}"/>
    <cellStyle name="Porcentual 22 24" xfId="3778" xr:uid="{00000000-0005-0000-0000-00008A2C0000}"/>
    <cellStyle name="Porcentual 22 24 2" xfId="7320" xr:uid="{00000000-0005-0000-0000-00008B2C0000}"/>
    <cellStyle name="Porcentual 22 24 3" xfId="9301" xr:uid="{00000000-0005-0000-0000-00008C2C0000}"/>
    <cellStyle name="Porcentual 22 25" xfId="3779" xr:uid="{00000000-0005-0000-0000-00008D2C0000}"/>
    <cellStyle name="Porcentual 22 25 2" xfId="7321" xr:uid="{00000000-0005-0000-0000-00008E2C0000}"/>
    <cellStyle name="Porcentual 22 25 3" xfId="9302" xr:uid="{00000000-0005-0000-0000-00008F2C0000}"/>
    <cellStyle name="Porcentual 22 26" xfId="3780" xr:uid="{00000000-0005-0000-0000-0000902C0000}"/>
    <cellStyle name="Porcentual 22 26 2" xfId="7322" xr:uid="{00000000-0005-0000-0000-0000912C0000}"/>
    <cellStyle name="Porcentual 22 26 3" xfId="9303" xr:uid="{00000000-0005-0000-0000-0000922C0000}"/>
    <cellStyle name="Porcentual 22 27" xfId="3781" xr:uid="{00000000-0005-0000-0000-0000932C0000}"/>
    <cellStyle name="Porcentual 22 27 2" xfId="7323" xr:uid="{00000000-0005-0000-0000-0000942C0000}"/>
    <cellStyle name="Porcentual 22 27 3" xfId="9304" xr:uid="{00000000-0005-0000-0000-0000952C0000}"/>
    <cellStyle name="Porcentual 22 28" xfId="3782" xr:uid="{00000000-0005-0000-0000-0000962C0000}"/>
    <cellStyle name="Porcentual 22 28 2" xfId="7324" xr:uid="{00000000-0005-0000-0000-0000972C0000}"/>
    <cellStyle name="Porcentual 22 28 3" xfId="9305" xr:uid="{00000000-0005-0000-0000-0000982C0000}"/>
    <cellStyle name="Porcentual 22 29" xfId="7325" xr:uid="{00000000-0005-0000-0000-0000992C0000}"/>
    <cellStyle name="Porcentual 22 3" xfId="3783" xr:uid="{00000000-0005-0000-0000-00009A2C0000}"/>
    <cellStyle name="Porcentual 22 3 2" xfId="7326" xr:uid="{00000000-0005-0000-0000-00009B2C0000}"/>
    <cellStyle name="Porcentual 22 3 3" xfId="9306" xr:uid="{00000000-0005-0000-0000-00009C2C0000}"/>
    <cellStyle name="Porcentual 22 30" xfId="9285" xr:uid="{00000000-0005-0000-0000-00009D2C0000}"/>
    <cellStyle name="Porcentual 22 4" xfId="3784" xr:uid="{00000000-0005-0000-0000-00009E2C0000}"/>
    <cellStyle name="Porcentual 22 4 2" xfId="7327" xr:uid="{00000000-0005-0000-0000-00009F2C0000}"/>
    <cellStyle name="Porcentual 22 4 3" xfId="9307" xr:uid="{00000000-0005-0000-0000-0000A02C0000}"/>
    <cellStyle name="Porcentual 22 5" xfId="3785" xr:uid="{00000000-0005-0000-0000-0000A12C0000}"/>
    <cellStyle name="Porcentual 22 5 2" xfId="7328" xr:uid="{00000000-0005-0000-0000-0000A22C0000}"/>
    <cellStyle name="Porcentual 22 5 3" xfId="9308" xr:uid="{00000000-0005-0000-0000-0000A32C0000}"/>
    <cellStyle name="Porcentual 22 6" xfId="3786" xr:uid="{00000000-0005-0000-0000-0000A42C0000}"/>
    <cellStyle name="Porcentual 22 6 2" xfId="7329" xr:uid="{00000000-0005-0000-0000-0000A52C0000}"/>
    <cellStyle name="Porcentual 22 6 3" xfId="9309" xr:uid="{00000000-0005-0000-0000-0000A62C0000}"/>
    <cellStyle name="Porcentual 22 7" xfId="3787" xr:uid="{00000000-0005-0000-0000-0000A72C0000}"/>
    <cellStyle name="Porcentual 22 7 2" xfId="7330" xr:uid="{00000000-0005-0000-0000-0000A82C0000}"/>
    <cellStyle name="Porcentual 22 7 3" xfId="9310" xr:uid="{00000000-0005-0000-0000-0000A92C0000}"/>
    <cellStyle name="Porcentual 22 8" xfId="3788" xr:uid="{00000000-0005-0000-0000-0000AA2C0000}"/>
    <cellStyle name="Porcentual 22 8 2" xfId="7331" xr:uid="{00000000-0005-0000-0000-0000AB2C0000}"/>
    <cellStyle name="Porcentual 22 8 3" xfId="9311" xr:uid="{00000000-0005-0000-0000-0000AC2C0000}"/>
    <cellStyle name="Porcentual 22 9" xfId="3789" xr:uid="{00000000-0005-0000-0000-0000AD2C0000}"/>
    <cellStyle name="Porcentual 22 9 2" xfId="7332" xr:uid="{00000000-0005-0000-0000-0000AE2C0000}"/>
    <cellStyle name="Porcentual 22 9 3" xfId="9312" xr:uid="{00000000-0005-0000-0000-0000AF2C0000}"/>
    <cellStyle name="Porcentual 220 10" xfId="3790" xr:uid="{00000000-0005-0000-0000-0000B02C0000}"/>
    <cellStyle name="Porcentual 220 10 2" xfId="7333" xr:uid="{00000000-0005-0000-0000-0000B12C0000}"/>
    <cellStyle name="Porcentual 220 10 3" xfId="9313" xr:uid="{00000000-0005-0000-0000-0000B22C0000}"/>
    <cellStyle name="Porcentual 220 11" xfId="3791" xr:uid="{00000000-0005-0000-0000-0000B32C0000}"/>
    <cellStyle name="Porcentual 220 11 2" xfId="7334" xr:uid="{00000000-0005-0000-0000-0000B42C0000}"/>
    <cellStyle name="Porcentual 220 11 3" xfId="9314" xr:uid="{00000000-0005-0000-0000-0000B52C0000}"/>
    <cellStyle name="Porcentual 220 12" xfId="3792" xr:uid="{00000000-0005-0000-0000-0000B62C0000}"/>
    <cellStyle name="Porcentual 220 12 2" xfId="7335" xr:uid="{00000000-0005-0000-0000-0000B72C0000}"/>
    <cellStyle name="Porcentual 220 12 3" xfId="9315" xr:uid="{00000000-0005-0000-0000-0000B82C0000}"/>
    <cellStyle name="Porcentual 220 13" xfId="3793" xr:uid="{00000000-0005-0000-0000-0000B92C0000}"/>
    <cellStyle name="Porcentual 220 13 2" xfId="7336" xr:uid="{00000000-0005-0000-0000-0000BA2C0000}"/>
    <cellStyle name="Porcentual 220 13 3" xfId="9316" xr:uid="{00000000-0005-0000-0000-0000BB2C0000}"/>
    <cellStyle name="Porcentual 220 14" xfId="3794" xr:uid="{00000000-0005-0000-0000-0000BC2C0000}"/>
    <cellStyle name="Porcentual 220 14 2" xfId="7337" xr:uid="{00000000-0005-0000-0000-0000BD2C0000}"/>
    <cellStyle name="Porcentual 220 14 3" xfId="9317" xr:uid="{00000000-0005-0000-0000-0000BE2C0000}"/>
    <cellStyle name="Porcentual 220 15" xfId="3795" xr:uid="{00000000-0005-0000-0000-0000BF2C0000}"/>
    <cellStyle name="Porcentual 220 15 2" xfId="7338" xr:uid="{00000000-0005-0000-0000-0000C02C0000}"/>
    <cellStyle name="Porcentual 220 15 3" xfId="9318" xr:uid="{00000000-0005-0000-0000-0000C12C0000}"/>
    <cellStyle name="Porcentual 220 16" xfId="3796" xr:uid="{00000000-0005-0000-0000-0000C22C0000}"/>
    <cellStyle name="Porcentual 220 16 2" xfId="7339" xr:uid="{00000000-0005-0000-0000-0000C32C0000}"/>
    <cellStyle name="Porcentual 220 16 3" xfId="9319" xr:uid="{00000000-0005-0000-0000-0000C42C0000}"/>
    <cellStyle name="Porcentual 220 17" xfId="3797" xr:uid="{00000000-0005-0000-0000-0000C52C0000}"/>
    <cellStyle name="Porcentual 220 17 2" xfId="7340" xr:uid="{00000000-0005-0000-0000-0000C62C0000}"/>
    <cellStyle name="Porcentual 220 17 3" xfId="9320" xr:uid="{00000000-0005-0000-0000-0000C72C0000}"/>
    <cellStyle name="Porcentual 220 18" xfId="3798" xr:uid="{00000000-0005-0000-0000-0000C82C0000}"/>
    <cellStyle name="Porcentual 220 18 2" xfId="7341" xr:uid="{00000000-0005-0000-0000-0000C92C0000}"/>
    <cellStyle name="Porcentual 220 18 3" xfId="9321" xr:uid="{00000000-0005-0000-0000-0000CA2C0000}"/>
    <cellStyle name="Porcentual 220 19" xfId="3799" xr:uid="{00000000-0005-0000-0000-0000CB2C0000}"/>
    <cellStyle name="Porcentual 220 19 2" xfId="7342" xr:uid="{00000000-0005-0000-0000-0000CC2C0000}"/>
    <cellStyle name="Porcentual 220 19 3" xfId="9322" xr:uid="{00000000-0005-0000-0000-0000CD2C0000}"/>
    <cellStyle name="Porcentual 220 2" xfId="3800" xr:uid="{00000000-0005-0000-0000-0000CE2C0000}"/>
    <cellStyle name="Porcentual 220 2 2" xfId="7343" xr:uid="{00000000-0005-0000-0000-0000CF2C0000}"/>
    <cellStyle name="Porcentual 220 2 3" xfId="9323" xr:uid="{00000000-0005-0000-0000-0000D02C0000}"/>
    <cellStyle name="Porcentual 220 20" xfId="3801" xr:uid="{00000000-0005-0000-0000-0000D12C0000}"/>
    <cellStyle name="Porcentual 220 20 2" xfId="7344" xr:uid="{00000000-0005-0000-0000-0000D22C0000}"/>
    <cellStyle name="Porcentual 220 20 3" xfId="9324" xr:uid="{00000000-0005-0000-0000-0000D32C0000}"/>
    <cellStyle name="Porcentual 220 21" xfId="3802" xr:uid="{00000000-0005-0000-0000-0000D42C0000}"/>
    <cellStyle name="Porcentual 220 21 2" xfId="7345" xr:uid="{00000000-0005-0000-0000-0000D52C0000}"/>
    <cellStyle name="Porcentual 220 21 3" xfId="9325" xr:uid="{00000000-0005-0000-0000-0000D62C0000}"/>
    <cellStyle name="Porcentual 220 22" xfId="3803" xr:uid="{00000000-0005-0000-0000-0000D72C0000}"/>
    <cellStyle name="Porcentual 220 22 2" xfId="7346" xr:uid="{00000000-0005-0000-0000-0000D82C0000}"/>
    <cellStyle name="Porcentual 220 22 3" xfId="9326" xr:uid="{00000000-0005-0000-0000-0000D92C0000}"/>
    <cellStyle name="Porcentual 220 23" xfId="3804" xr:uid="{00000000-0005-0000-0000-0000DA2C0000}"/>
    <cellStyle name="Porcentual 220 23 2" xfId="7347" xr:uid="{00000000-0005-0000-0000-0000DB2C0000}"/>
    <cellStyle name="Porcentual 220 23 3" xfId="9327" xr:uid="{00000000-0005-0000-0000-0000DC2C0000}"/>
    <cellStyle name="Porcentual 220 24" xfId="3805" xr:uid="{00000000-0005-0000-0000-0000DD2C0000}"/>
    <cellStyle name="Porcentual 220 24 2" xfId="7348" xr:uid="{00000000-0005-0000-0000-0000DE2C0000}"/>
    <cellStyle name="Porcentual 220 24 3" xfId="9328" xr:uid="{00000000-0005-0000-0000-0000DF2C0000}"/>
    <cellStyle name="Porcentual 220 25" xfId="3806" xr:uid="{00000000-0005-0000-0000-0000E02C0000}"/>
    <cellStyle name="Porcentual 220 25 2" xfId="7349" xr:uid="{00000000-0005-0000-0000-0000E12C0000}"/>
    <cellStyle name="Porcentual 220 25 3" xfId="9329" xr:uid="{00000000-0005-0000-0000-0000E22C0000}"/>
    <cellStyle name="Porcentual 220 26" xfId="3807" xr:uid="{00000000-0005-0000-0000-0000E32C0000}"/>
    <cellStyle name="Porcentual 220 26 2" xfId="7350" xr:uid="{00000000-0005-0000-0000-0000E42C0000}"/>
    <cellStyle name="Porcentual 220 26 3" xfId="9330" xr:uid="{00000000-0005-0000-0000-0000E52C0000}"/>
    <cellStyle name="Porcentual 220 27" xfId="3808" xr:uid="{00000000-0005-0000-0000-0000E62C0000}"/>
    <cellStyle name="Porcentual 220 27 2" xfId="7351" xr:uid="{00000000-0005-0000-0000-0000E72C0000}"/>
    <cellStyle name="Porcentual 220 27 3" xfId="9331" xr:uid="{00000000-0005-0000-0000-0000E82C0000}"/>
    <cellStyle name="Porcentual 220 28" xfId="3809" xr:uid="{00000000-0005-0000-0000-0000E92C0000}"/>
    <cellStyle name="Porcentual 220 28 2" xfId="7352" xr:uid="{00000000-0005-0000-0000-0000EA2C0000}"/>
    <cellStyle name="Porcentual 220 28 3" xfId="9332" xr:uid="{00000000-0005-0000-0000-0000EB2C0000}"/>
    <cellStyle name="Porcentual 220 3" xfId="3810" xr:uid="{00000000-0005-0000-0000-0000EC2C0000}"/>
    <cellStyle name="Porcentual 220 3 2" xfId="7353" xr:uid="{00000000-0005-0000-0000-0000ED2C0000}"/>
    <cellStyle name="Porcentual 220 3 3" xfId="9333" xr:uid="{00000000-0005-0000-0000-0000EE2C0000}"/>
    <cellStyle name="Porcentual 220 4" xfId="3811" xr:uid="{00000000-0005-0000-0000-0000EF2C0000}"/>
    <cellStyle name="Porcentual 220 4 2" xfId="7354" xr:uid="{00000000-0005-0000-0000-0000F02C0000}"/>
    <cellStyle name="Porcentual 220 4 3" xfId="9334" xr:uid="{00000000-0005-0000-0000-0000F12C0000}"/>
    <cellStyle name="Porcentual 220 5" xfId="3812" xr:uid="{00000000-0005-0000-0000-0000F22C0000}"/>
    <cellStyle name="Porcentual 220 5 2" xfId="7355" xr:uid="{00000000-0005-0000-0000-0000F32C0000}"/>
    <cellStyle name="Porcentual 220 5 3" xfId="9335" xr:uid="{00000000-0005-0000-0000-0000F42C0000}"/>
    <cellStyle name="Porcentual 220 6" xfId="3813" xr:uid="{00000000-0005-0000-0000-0000F52C0000}"/>
    <cellStyle name="Porcentual 220 6 2" xfId="7356" xr:uid="{00000000-0005-0000-0000-0000F62C0000}"/>
    <cellStyle name="Porcentual 220 6 3" xfId="9336" xr:uid="{00000000-0005-0000-0000-0000F72C0000}"/>
    <cellStyle name="Porcentual 220 7" xfId="3814" xr:uid="{00000000-0005-0000-0000-0000F82C0000}"/>
    <cellStyle name="Porcentual 220 7 2" xfId="7357" xr:uid="{00000000-0005-0000-0000-0000F92C0000}"/>
    <cellStyle name="Porcentual 220 7 3" xfId="9337" xr:uid="{00000000-0005-0000-0000-0000FA2C0000}"/>
    <cellStyle name="Porcentual 220 8" xfId="3815" xr:uid="{00000000-0005-0000-0000-0000FB2C0000}"/>
    <cellStyle name="Porcentual 220 8 2" xfId="7358" xr:uid="{00000000-0005-0000-0000-0000FC2C0000}"/>
    <cellStyle name="Porcentual 220 8 3" xfId="9338" xr:uid="{00000000-0005-0000-0000-0000FD2C0000}"/>
    <cellStyle name="Porcentual 220 9" xfId="3816" xr:uid="{00000000-0005-0000-0000-0000FE2C0000}"/>
    <cellStyle name="Porcentual 220 9 2" xfId="7359" xr:uid="{00000000-0005-0000-0000-0000FF2C0000}"/>
    <cellStyle name="Porcentual 220 9 3" xfId="9339" xr:uid="{00000000-0005-0000-0000-0000002D0000}"/>
    <cellStyle name="Porcentual 221 10" xfId="3817" xr:uid="{00000000-0005-0000-0000-0000012D0000}"/>
    <cellStyle name="Porcentual 221 10 2" xfId="7360" xr:uid="{00000000-0005-0000-0000-0000022D0000}"/>
    <cellStyle name="Porcentual 221 10 3" xfId="9340" xr:uid="{00000000-0005-0000-0000-0000032D0000}"/>
    <cellStyle name="Porcentual 221 11" xfId="3818" xr:uid="{00000000-0005-0000-0000-0000042D0000}"/>
    <cellStyle name="Porcentual 221 11 2" xfId="7361" xr:uid="{00000000-0005-0000-0000-0000052D0000}"/>
    <cellStyle name="Porcentual 221 11 3" xfId="9341" xr:uid="{00000000-0005-0000-0000-0000062D0000}"/>
    <cellStyle name="Porcentual 221 12" xfId="3819" xr:uid="{00000000-0005-0000-0000-0000072D0000}"/>
    <cellStyle name="Porcentual 221 12 2" xfId="7362" xr:uid="{00000000-0005-0000-0000-0000082D0000}"/>
    <cellStyle name="Porcentual 221 12 3" xfId="9342" xr:uid="{00000000-0005-0000-0000-0000092D0000}"/>
    <cellStyle name="Porcentual 221 13" xfId="3820" xr:uid="{00000000-0005-0000-0000-00000A2D0000}"/>
    <cellStyle name="Porcentual 221 13 2" xfId="7363" xr:uid="{00000000-0005-0000-0000-00000B2D0000}"/>
    <cellStyle name="Porcentual 221 13 3" xfId="9343" xr:uid="{00000000-0005-0000-0000-00000C2D0000}"/>
    <cellStyle name="Porcentual 221 14" xfId="3821" xr:uid="{00000000-0005-0000-0000-00000D2D0000}"/>
    <cellStyle name="Porcentual 221 14 2" xfId="7364" xr:uid="{00000000-0005-0000-0000-00000E2D0000}"/>
    <cellStyle name="Porcentual 221 14 3" xfId="9344" xr:uid="{00000000-0005-0000-0000-00000F2D0000}"/>
    <cellStyle name="Porcentual 221 15" xfId="3822" xr:uid="{00000000-0005-0000-0000-0000102D0000}"/>
    <cellStyle name="Porcentual 221 15 2" xfId="7365" xr:uid="{00000000-0005-0000-0000-0000112D0000}"/>
    <cellStyle name="Porcentual 221 15 3" xfId="9345" xr:uid="{00000000-0005-0000-0000-0000122D0000}"/>
    <cellStyle name="Porcentual 221 16" xfId="3823" xr:uid="{00000000-0005-0000-0000-0000132D0000}"/>
    <cellStyle name="Porcentual 221 16 2" xfId="7366" xr:uid="{00000000-0005-0000-0000-0000142D0000}"/>
    <cellStyle name="Porcentual 221 16 3" xfId="9346" xr:uid="{00000000-0005-0000-0000-0000152D0000}"/>
    <cellStyle name="Porcentual 221 17" xfId="3824" xr:uid="{00000000-0005-0000-0000-0000162D0000}"/>
    <cellStyle name="Porcentual 221 17 2" xfId="7367" xr:uid="{00000000-0005-0000-0000-0000172D0000}"/>
    <cellStyle name="Porcentual 221 17 3" xfId="9347" xr:uid="{00000000-0005-0000-0000-0000182D0000}"/>
    <cellStyle name="Porcentual 221 18" xfId="3825" xr:uid="{00000000-0005-0000-0000-0000192D0000}"/>
    <cellStyle name="Porcentual 221 18 2" xfId="7368" xr:uid="{00000000-0005-0000-0000-00001A2D0000}"/>
    <cellStyle name="Porcentual 221 18 3" xfId="9348" xr:uid="{00000000-0005-0000-0000-00001B2D0000}"/>
    <cellStyle name="Porcentual 221 19" xfId="3826" xr:uid="{00000000-0005-0000-0000-00001C2D0000}"/>
    <cellStyle name="Porcentual 221 19 2" xfId="7369" xr:uid="{00000000-0005-0000-0000-00001D2D0000}"/>
    <cellStyle name="Porcentual 221 19 3" xfId="9349" xr:uid="{00000000-0005-0000-0000-00001E2D0000}"/>
    <cellStyle name="Porcentual 221 2" xfId="3827" xr:uid="{00000000-0005-0000-0000-00001F2D0000}"/>
    <cellStyle name="Porcentual 221 2 2" xfId="7370" xr:uid="{00000000-0005-0000-0000-0000202D0000}"/>
    <cellStyle name="Porcentual 221 2 3" xfId="9350" xr:uid="{00000000-0005-0000-0000-0000212D0000}"/>
    <cellStyle name="Porcentual 221 20" xfId="3828" xr:uid="{00000000-0005-0000-0000-0000222D0000}"/>
    <cellStyle name="Porcentual 221 20 2" xfId="7371" xr:uid="{00000000-0005-0000-0000-0000232D0000}"/>
    <cellStyle name="Porcentual 221 20 3" xfId="9351" xr:uid="{00000000-0005-0000-0000-0000242D0000}"/>
    <cellStyle name="Porcentual 221 21" xfId="3829" xr:uid="{00000000-0005-0000-0000-0000252D0000}"/>
    <cellStyle name="Porcentual 221 21 2" xfId="7372" xr:uid="{00000000-0005-0000-0000-0000262D0000}"/>
    <cellStyle name="Porcentual 221 21 3" xfId="9352" xr:uid="{00000000-0005-0000-0000-0000272D0000}"/>
    <cellStyle name="Porcentual 221 22" xfId="3830" xr:uid="{00000000-0005-0000-0000-0000282D0000}"/>
    <cellStyle name="Porcentual 221 22 2" xfId="7373" xr:uid="{00000000-0005-0000-0000-0000292D0000}"/>
    <cellStyle name="Porcentual 221 22 3" xfId="9353" xr:uid="{00000000-0005-0000-0000-00002A2D0000}"/>
    <cellStyle name="Porcentual 221 23" xfId="3831" xr:uid="{00000000-0005-0000-0000-00002B2D0000}"/>
    <cellStyle name="Porcentual 221 23 2" xfId="7374" xr:uid="{00000000-0005-0000-0000-00002C2D0000}"/>
    <cellStyle name="Porcentual 221 23 3" xfId="9354" xr:uid="{00000000-0005-0000-0000-00002D2D0000}"/>
    <cellStyle name="Porcentual 221 24" xfId="3832" xr:uid="{00000000-0005-0000-0000-00002E2D0000}"/>
    <cellStyle name="Porcentual 221 24 2" xfId="7375" xr:uid="{00000000-0005-0000-0000-00002F2D0000}"/>
    <cellStyle name="Porcentual 221 24 3" xfId="9355" xr:uid="{00000000-0005-0000-0000-0000302D0000}"/>
    <cellStyle name="Porcentual 221 25" xfId="3833" xr:uid="{00000000-0005-0000-0000-0000312D0000}"/>
    <cellStyle name="Porcentual 221 25 2" xfId="7376" xr:uid="{00000000-0005-0000-0000-0000322D0000}"/>
    <cellStyle name="Porcentual 221 25 3" xfId="9356" xr:uid="{00000000-0005-0000-0000-0000332D0000}"/>
    <cellStyle name="Porcentual 221 26" xfId="3834" xr:uid="{00000000-0005-0000-0000-0000342D0000}"/>
    <cellStyle name="Porcentual 221 26 2" xfId="7377" xr:uid="{00000000-0005-0000-0000-0000352D0000}"/>
    <cellStyle name="Porcentual 221 26 3" xfId="9357" xr:uid="{00000000-0005-0000-0000-0000362D0000}"/>
    <cellStyle name="Porcentual 221 27" xfId="3835" xr:uid="{00000000-0005-0000-0000-0000372D0000}"/>
    <cellStyle name="Porcentual 221 27 2" xfId="7378" xr:uid="{00000000-0005-0000-0000-0000382D0000}"/>
    <cellStyle name="Porcentual 221 27 3" xfId="9358" xr:uid="{00000000-0005-0000-0000-0000392D0000}"/>
    <cellStyle name="Porcentual 221 28" xfId="3836" xr:uid="{00000000-0005-0000-0000-00003A2D0000}"/>
    <cellStyle name="Porcentual 221 28 2" xfId="7379" xr:uid="{00000000-0005-0000-0000-00003B2D0000}"/>
    <cellStyle name="Porcentual 221 28 3" xfId="9359" xr:uid="{00000000-0005-0000-0000-00003C2D0000}"/>
    <cellStyle name="Porcentual 221 3" xfId="3837" xr:uid="{00000000-0005-0000-0000-00003D2D0000}"/>
    <cellStyle name="Porcentual 221 3 2" xfId="7380" xr:uid="{00000000-0005-0000-0000-00003E2D0000}"/>
    <cellStyle name="Porcentual 221 3 3" xfId="9360" xr:uid="{00000000-0005-0000-0000-00003F2D0000}"/>
    <cellStyle name="Porcentual 221 4" xfId="3838" xr:uid="{00000000-0005-0000-0000-0000402D0000}"/>
    <cellStyle name="Porcentual 221 4 2" xfId="7381" xr:uid="{00000000-0005-0000-0000-0000412D0000}"/>
    <cellStyle name="Porcentual 221 4 3" xfId="9361" xr:uid="{00000000-0005-0000-0000-0000422D0000}"/>
    <cellStyle name="Porcentual 221 5" xfId="3839" xr:uid="{00000000-0005-0000-0000-0000432D0000}"/>
    <cellStyle name="Porcentual 221 5 2" xfId="7382" xr:uid="{00000000-0005-0000-0000-0000442D0000}"/>
    <cellStyle name="Porcentual 221 5 3" xfId="9362" xr:uid="{00000000-0005-0000-0000-0000452D0000}"/>
    <cellStyle name="Porcentual 221 6" xfId="3840" xr:uid="{00000000-0005-0000-0000-0000462D0000}"/>
    <cellStyle name="Porcentual 221 6 2" xfId="7383" xr:uid="{00000000-0005-0000-0000-0000472D0000}"/>
    <cellStyle name="Porcentual 221 6 3" xfId="9363" xr:uid="{00000000-0005-0000-0000-0000482D0000}"/>
    <cellStyle name="Porcentual 221 7" xfId="3841" xr:uid="{00000000-0005-0000-0000-0000492D0000}"/>
    <cellStyle name="Porcentual 221 7 2" xfId="7384" xr:uid="{00000000-0005-0000-0000-00004A2D0000}"/>
    <cellStyle name="Porcentual 221 7 3" xfId="9364" xr:uid="{00000000-0005-0000-0000-00004B2D0000}"/>
    <cellStyle name="Porcentual 221 8" xfId="3842" xr:uid="{00000000-0005-0000-0000-00004C2D0000}"/>
    <cellStyle name="Porcentual 221 8 2" xfId="7385" xr:uid="{00000000-0005-0000-0000-00004D2D0000}"/>
    <cellStyle name="Porcentual 221 8 3" xfId="9365" xr:uid="{00000000-0005-0000-0000-00004E2D0000}"/>
    <cellStyle name="Porcentual 221 9" xfId="3843" xr:uid="{00000000-0005-0000-0000-00004F2D0000}"/>
    <cellStyle name="Porcentual 221 9 2" xfId="7386" xr:uid="{00000000-0005-0000-0000-0000502D0000}"/>
    <cellStyle name="Porcentual 221 9 3" xfId="9366" xr:uid="{00000000-0005-0000-0000-0000512D0000}"/>
    <cellStyle name="Porcentual 222 10" xfId="3844" xr:uid="{00000000-0005-0000-0000-0000522D0000}"/>
    <cellStyle name="Porcentual 222 10 2" xfId="7387" xr:uid="{00000000-0005-0000-0000-0000532D0000}"/>
    <cellStyle name="Porcentual 222 10 3" xfId="9367" xr:uid="{00000000-0005-0000-0000-0000542D0000}"/>
    <cellStyle name="Porcentual 222 11" xfId="3845" xr:uid="{00000000-0005-0000-0000-0000552D0000}"/>
    <cellStyle name="Porcentual 222 11 2" xfId="7388" xr:uid="{00000000-0005-0000-0000-0000562D0000}"/>
    <cellStyle name="Porcentual 222 11 3" xfId="9368" xr:uid="{00000000-0005-0000-0000-0000572D0000}"/>
    <cellStyle name="Porcentual 222 12" xfId="3846" xr:uid="{00000000-0005-0000-0000-0000582D0000}"/>
    <cellStyle name="Porcentual 222 12 2" xfId="7389" xr:uid="{00000000-0005-0000-0000-0000592D0000}"/>
    <cellStyle name="Porcentual 222 12 3" xfId="9369" xr:uid="{00000000-0005-0000-0000-00005A2D0000}"/>
    <cellStyle name="Porcentual 222 13" xfId="3847" xr:uid="{00000000-0005-0000-0000-00005B2D0000}"/>
    <cellStyle name="Porcentual 222 13 2" xfId="7390" xr:uid="{00000000-0005-0000-0000-00005C2D0000}"/>
    <cellStyle name="Porcentual 222 13 3" xfId="9370" xr:uid="{00000000-0005-0000-0000-00005D2D0000}"/>
    <cellStyle name="Porcentual 222 14" xfId="3848" xr:uid="{00000000-0005-0000-0000-00005E2D0000}"/>
    <cellStyle name="Porcentual 222 14 2" xfId="7391" xr:uid="{00000000-0005-0000-0000-00005F2D0000}"/>
    <cellStyle name="Porcentual 222 14 3" xfId="9371" xr:uid="{00000000-0005-0000-0000-0000602D0000}"/>
    <cellStyle name="Porcentual 222 15" xfId="3849" xr:uid="{00000000-0005-0000-0000-0000612D0000}"/>
    <cellStyle name="Porcentual 222 15 2" xfId="7392" xr:uid="{00000000-0005-0000-0000-0000622D0000}"/>
    <cellStyle name="Porcentual 222 15 3" xfId="9372" xr:uid="{00000000-0005-0000-0000-0000632D0000}"/>
    <cellStyle name="Porcentual 222 16" xfId="3850" xr:uid="{00000000-0005-0000-0000-0000642D0000}"/>
    <cellStyle name="Porcentual 222 16 2" xfId="7393" xr:uid="{00000000-0005-0000-0000-0000652D0000}"/>
    <cellStyle name="Porcentual 222 16 3" xfId="9373" xr:uid="{00000000-0005-0000-0000-0000662D0000}"/>
    <cellStyle name="Porcentual 222 17" xfId="3851" xr:uid="{00000000-0005-0000-0000-0000672D0000}"/>
    <cellStyle name="Porcentual 222 17 2" xfId="7394" xr:uid="{00000000-0005-0000-0000-0000682D0000}"/>
    <cellStyle name="Porcentual 222 17 3" xfId="9374" xr:uid="{00000000-0005-0000-0000-0000692D0000}"/>
    <cellStyle name="Porcentual 222 18" xfId="3852" xr:uid="{00000000-0005-0000-0000-00006A2D0000}"/>
    <cellStyle name="Porcentual 222 18 2" xfId="7395" xr:uid="{00000000-0005-0000-0000-00006B2D0000}"/>
    <cellStyle name="Porcentual 222 18 3" xfId="9375" xr:uid="{00000000-0005-0000-0000-00006C2D0000}"/>
    <cellStyle name="Porcentual 222 19" xfId="3853" xr:uid="{00000000-0005-0000-0000-00006D2D0000}"/>
    <cellStyle name="Porcentual 222 19 2" xfId="7396" xr:uid="{00000000-0005-0000-0000-00006E2D0000}"/>
    <cellStyle name="Porcentual 222 19 3" xfId="9376" xr:uid="{00000000-0005-0000-0000-00006F2D0000}"/>
    <cellStyle name="Porcentual 222 2" xfId="3854" xr:uid="{00000000-0005-0000-0000-0000702D0000}"/>
    <cellStyle name="Porcentual 222 2 2" xfId="7397" xr:uid="{00000000-0005-0000-0000-0000712D0000}"/>
    <cellStyle name="Porcentual 222 2 3" xfId="9377" xr:uid="{00000000-0005-0000-0000-0000722D0000}"/>
    <cellStyle name="Porcentual 222 20" xfId="3855" xr:uid="{00000000-0005-0000-0000-0000732D0000}"/>
    <cellStyle name="Porcentual 222 20 2" xfId="7398" xr:uid="{00000000-0005-0000-0000-0000742D0000}"/>
    <cellStyle name="Porcentual 222 20 3" xfId="9378" xr:uid="{00000000-0005-0000-0000-0000752D0000}"/>
    <cellStyle name="Porcentual 222 21" xfId="3856" xr:uid="{00000000-0005-0000-0000-0000762D0000}"/>
    <cellStyle name="Porcentual 222 21 2" xfId="7399" xr:uid="{00000000-0005-0000-0000-0000772D0000}"/>
    <cellStyle name="Porcentual 222 21 3" xfId="9379" xr:uid="{00000000-0005-0000-0000-0000782D0000}"/>
    <cellStyle name="Porcentual 222 22" xfId="3857" xr:uid="{00000000-0005-0000-0000-0000792D0000}"/>
    <cellStyle name="Porcentual 222 22 2" xfId="7400" xr:uid="{00000000-0005-0000-0000-00007A2D0000}"/>
    <cellStyle name="Porcentual 222 22 3" xfId="9380" xr:uid="{00000000-0005-0000-0000-00007B2D0000}"/>
    <cellStyle name="Porcentual 222 23" xfId="3858" xr:uid="{00000000-0005-0000-0000-00007C2D0000}"/>
    <cellStyle name="Porcentual 222 23 2" xfId="7401" xr:uid="{00000000-0005-0000-0000-00007D2D0000}"/>
    <cellStyle name="Porcentual 222 23 3" xfId="9381" xr:uid="{00000000-0005-0000-0000-00007E2D0000}"/>
    <cellStyle name="Porcentual 222 24" xfId="3859" xr:uid="{00000000-0005-0000-0000-00007F2D0000}"/>
    <cellStyle name="Porcentual 222 24 2" xfId="7402" xr:uid="{00000000-0005-0000-0000-0000802D0000}"/>
    <cellStyle name="Porcentual 222 24 3" xfId="9382" xr:uid="{00000000-0005-0000-0000-0000812D0000}"/>
    <cellStyle name="Porcentual 222 25" xfId="3860" xr:uid="{00000000-0005-0000-0000-0000822D0000}"/>
    <cellStyle name="Porcentual 222 25 2" xfId="7403" xr:uid="{00000000-0005-0000-0000-0000832D0000}"/>
    <cellStyle name="Porcentual 222 25 3" xfId="9383" xr:uid="{00000000-0005-0000-0000-0000842D0000}"/>
    <cellStyle name="Porcentual 222 26" xfId="3861" xr:uid="{00000000-0005-0000-0000-0000852D0000}"/>
    <cellStyle name="Porcentual 222 26 2" xfId="7404" xr:uid="{00000000-0005-0000-0000-0000862D0000}"/>
    <cellStyle name="Porcentual 222 26 3" xfId="9384" xr:uid="{00000000-0005-0000-0000-0000872D0000}"/>
    <cellStyle name="Porcentual 222 27" xfId="3862" xr:uid="{00000000-0005-0000-0000-0000882D0000}"/>
    <cellStyle name="Porcentual 222 27 2" xfId="7405" xr:uid="{00000000-0005-0000-0000-0000892D0000}"/>
    <cellStyle name="Porcentual 222 27 3" xfId="9385" xr:uid="{00000000-0005-0000-0000-00008A2D0000}"/>
    <cellStyle name="Porcentual 222 28" xfId="3863" xr:uid="{00000000-0005-0000-0000-00008B2D0000}"/>
    <cellStyle name="Porcentual 222 28 2" xfId="7406" xr:uid="{00000000-0005-0000-0000-00008C2D0000}"/>
    <cellStyle name="Porcentual 222 28 3" xfId="9386" xr:uid="{00000000-0005-0000-0000-00008D2D0000}"/>
    <cellStyle name="Porcentual 222 3" xfId="3864" xr:uid="{00000000-0005-0000-0000-00008E2D0000}"/>
    <cellStyle name="Porcentual 222 3 2" xfId="7407" xr:uid="{00000000-0005-0000-0000-00008F2D0000}"/>
    <cellStyle name="Porcentual 222 3 3" xfId="9387" xr:uid="{00000000-0005-0000-0000-0000902D0000}"/>
    <cellStyle name="Porcentual 222 4" xfId="3865" xr:uid="{00000000-0005-0000-0000-0000912D0000}"/>
    <cellStyle name="Porcentual 222 4 2" xfId="7408" xr:uid="{00000000-0005-0000-0000-0000922D0000}"/>
    <cellStyle name="Porcentual 222 4 3" xfId="9388" xr:uid="{00000000-0005-0000-0000-0000932D0000}"/>
    <cellStyle name="Porcentual 222 5" xfId="3866" xr:uid="{00000000-0005-0000-0000-0000942D0000}"/>
    <cellStyle name="Porcentual 222 5 2" xfId="7409" xr:uid="{00000000-0005-0000-0000-0000952D0000}"/>
    <cellStyle name="Porcentual 222 5 3" xfId="9389" xr:uid="{00000000-0005-0000-0000-0000962D0000}"/>
    <cellStyle name="Porcentual 222 6" xfId="3867" xr:uid="{00000000-0005-0000-0000-0000972D0000}"/>
    <cellStyle name="Porcentual 222 6 2" xfId="7410" xr:uid="{00000000-0005-0000-0000-0000982D0000}"/>
    <cellStyle name="Porcentual 222 6 3" xfId="9390" xr:uid="{00000000-0005-0000-0000-0000992D0000}"/>
    <cellStyle name="Porcentual 222 7" xfId="3868" xr:uid="{00000000-0005-0000-0000-00009A2D0000}"/>
    <cellStyle name="Porcentual 222 7 2" xfId="7411" xr:uid="{00000000-0005-0000-0000-00009B2D0000}"/>
    <cellStyle name="Porcentual 222 7 3" xfId="9391" xr:uid="{00000000-0005-0000-0000-00009C2D0000}"/>
    <cellStyle name="Porcentual 222 8" xfId="3869" xr:uid="{00000000-0005-0000-0000-00009D2D0000}"/>
    <cellStyle name="Porcentual 222 8 2" xfId="7412" xr:uid="{00000000-0005-0000-0000-00009E2D0000}"/>
    <cellStyle name="Porcentual 222 8 3" xfId="9392" xr:uid="{00000000-0005-0000-0000-00009F2D0000}"/>
    <cellStyle name="Porcentual 222 9" xfId="3870" xr:uid="{00000000-0005-0000-0000-0000A02D0000}"/>
    <cellStyle name="Porcentual 222 9 2" xfId="7413" xr:uid="{00000000-0005-0000-0000-0000A12D0000}"/>
    <cellStyle name="Porcentual 222 9 3" xfId="9393" xr:uid="{00000000-0005-0000-0000-0000A22D0000}"/>
    <cellStyle name="Porcentual 23" xfId="3871" xr:uid="{00000000-0005-0000-0000-0000A32D0000}"/>
    <cellStyle name="Porcentual 23 10" xfId="3872" xr:uid="{00000000-0005-0000-0000-0000A42D0000}"/>
    <cellStyle name="Porcentual 23 10 2" xfId="7414" xr:uid="{00000000-0005-0000-0000-0000A52D0000}"/>
    <cellStyle name="Porcentual 23 10 3" xfId="9395" xr:uid="{00000000-0005-0000-0000-0000A62D0000}"/>
    <cellStyle name="Porcentual 23 11" xfId="3873" xr:uid="{00000000-0005-0000-0000-0000A72D0000}"/>
    <cellStyle name="Porcentual 23 11 2" xfId="7415" xr:uid="{00000000-0005-0000-0000-0000A82D0000}"/>
    <cellStyle name="Porcentual 23 11 3" xfId="9396" xr:uid="{00000000-0005-0000-0000-0000A92D0000}"/>
    <cellStyle name="Porcentual 23 12" xfId="3874" xr:uid="{00000000-0005-0000-0000-0000AA2D0000}"/>
    <cellStyle name="Porcentual 23 12 2" xfId="7416" xr:uid="{00000000-0005-0000-0000-0000AB2D0000}"/>
    <cellStyle name="Porcentual 23 12 3" xfId="9397" xr:uid="{00000000-0005-0000-0000-0000AC2D0000}"/>
    <cellStyle name="Porcentual 23 13" xfId="3875" xr:uid="{00000000-0005-0000-0000-0000AD2D0000}"/>
    <cellStyle name="Porcentual 23 13 2" xfId="7417" xr:uid="{00000000-0005-0000-0000-0000AE2D0000}"/>
    <cellStyle name="Porcentual 23 13 3" xfId="9398" xr:uid="{00000000-0005-0000-0000-0000AF2D0000}"/>
    <cellStyle name="Porcentual 23 14" xfId="3876" xr:uid="{00000000-0005-0000-0000-0000B02D0000}"/>
    <cellStyle name="Porcentual 23 14 2" xfId="7418" xr:uid="{00000000-0005-0000-0000-0000B12D0000}"/>
    <cellStyle name="Porcentual 23 14 3" xfId="9399" xr:uid="{00000000-0005-0000-0000-0000B22D0000}"/>
    <cellStyle name="Porcentual 23 15" xfId="3877" xr:uid="{00000000-0005-0000-0000-0000B32D0000}"/>
    <cellStyle name="Porcentual 23 15 2" xfId="7419" xr:uid="{00000000-0005-0000-0000-0000B42D0000}"/>
    <cellStyle name="Porcentual 23 15 3" xfId="9400" xr:uid="{00000000-0005-0000-0000-0000B52D0000}"/>
    <cellStyle name="Porcentual 23 16" xfId="3878" xr:uid="{00000000-0005-0000-0000-0000B62D0000}"/>
    <cellStyle name="Porcentual 23 16 2" xfId="7420" xr:uid="{00000000-0005-0000-0000-0000B72D0000}"/>
    <cellStyle name="Porcentual 23 16 3" xfId="9401" xr:uid="{00000000-0005-0000-0000-0000B82D0000}"/>
    <cellStyle name="Porcentual 23 17" xfId="3879" xr:uid="{00000000-0005-0000-0000-0000B92D0000}"/>
    <cellStyle name="Porcentual 23 17 2" xfId="7421" xr:uid="{00000000-0005-0000-0000-0000BA2D0000}"/>
    <cellStyle name="Porcentual 23 17 3" xfId="9402" xr:uid="{00000000-0005-0000-0000-0000BB2D0000}"/>
    <cellStyle name="Porcentual 23 18" xfId="3880" xr:uid="{00000000-0005-0000-0000-0000BC2D0000}"/>
    <cellStyle name="Porcentual 23 18 2" xfId="7422" xr:uid="{00000000-0005-0000-0000-0000BD2D0000}"/>
    <cellStyle name="Porcentual 23 18 3" xfId="9403" xr:uid="{00000000-0005-0000-0000-0000BE2D0000}"/>
    <cellStyle name="Porcentual 23 19" xfId="3881" xr:uid="{00000000-0005-0000-0000-0000BF2D0000}"/>
    <cellStyle name="Porcentual 23 19 2" xfId="7423" xr:uid="{00000000-0005-0000-0000-0000C02D0000}"/>
    <cellStyle name="Porcentual 23 19 3" xfId="9404" xr:uid="{00000000-0005-0000-0000-0000C12D0000}"/>
    <cellStyle name="Porcentual 23 2" xfId="3882" xr:uid="{00000000-0005-0000-0000-0000C22D0000}"/>
    <cellStyle name="Porcentual 23 2 2" xfId="7424" xr:uid="{00000000-0005-0000-0000-0000C32D0000}"/>
    <cellStyle name="Porcentual 23 2 3" xfId="9405" xr:uid="{00000000-0005-0000-0000-0000C42D0000}"/>
    <cellStyle name="Porcentual 23 20" xfId="3883" xr:uid="{00000000-0005-0000-0000-0000C52D0000}"/>
    <cellStyle name="Porcentual 23 20 2" xfId="7425" xr:uid="{00000000-0005-0000-0000-0000C62D0000}"/>
    <cellStyle name="Porcentual 23 20 3" xfId="9406" xr:uid="{00000000-0005-0000-0000-0000C72D0000}"/>
    <cellStyle name="Porcentual 23 21" xfId="3884" xr:uid="{00000000-0005-0000-0000-0000C82D0000}"/>
    <cellStyle name="Porcentual 23 21 2" xfId="7426" xr:uid="{00000000-0005-0000-0000-0000C92D0000}"/>
    <cellStyle name="Porcentual 23 21 3" xfId="9407" xr:uid="{00000000-0005-0000-0000-0000CA2D0000}"/>
    <cellStyle name="Porcentual 23 22" xfId="3885" xr:uid="{00000000-0005-0000-0000-0000CB2D0000}"/>
    <cellStyle name="Porcentual 23 22 2" xfId="7427" xr:uid="{00000000-0005-0000-0000-0000CC2D0000}"/>
    <cellStyle name="Porcentual 23 22 3" xfId="9408" xr:uid="{00000000-0005-0000-0000-0000CD2D0000}"/>
    <cellStyle name="Porcentual 23 23" xfId="3886" xr:uid="{00000000-0005-0000-0000-0000CE2D0000}"/>
    <cellStyle name="Porcentual 23 23 2" xfId="7428" xr:uid="{00000000-0005-0000-0000-0000CF2D0000}"/>
    <cellStyle name="Porcentual 23 23 3" xfId="9409" xr:uid="{00000000-0005-0000-0000-0000D02D0000}"/>
    <cellStyle name="Porcentual 23 24" xfId="3887" xr:uid="{00000000-0005-0000-0000-0000D12D0000}"/>
    <cellStyle name="Porcentual 23 24 2" xfId="7429" xr:uid="{00000000-0005-0000-0000-0000D22D0000}"/>
    <cellStyle name="Porcentual 23 24 3" xfId="9410" xr:uid="{00000000-0005-0000-0000-0000D32D0000}"/>
    <cellStyle name="Porcentual 23 25" xfId="3888" xr:uid="{00000000-0005-0000-0000-0000D42D0000}"/>
    <cellStyle name="Porcentual 23 25 2" xfId="7430" xr:uid="{00000000-0005-0000-0000-0000D52D0000}"/>
    <cellStyle name="Porcentual 23 25 3" xfId="9411" xr:uid="{00000000-0005-0000-0000-0000D62D0000}"/>
    <cellStyle name="Porcentual 23 26" xfId="3889" xr:uid="{00000000-0005-0000-0000-0000D72D0000}"/>
    <cellStyle name="Porcentual 23 26 2" xfId="7431" xr:uid="{00000000-0005-0000-0000-0000D82D0000}"/>
    <cellStyle name="Porcentual 23 26 3" xfId="9412" xr:uid="{00000000-0005-0000-0000-0000D92D0000}"/>
    <cellStyle name="Porcentual 23 27" xfId="3890" xr:uid="{00000000-0005-0000-0000-0000DA2D0000}"/>
    <cellStyle name="Porcentual 23 27 2" xfId="7432" xr:uid="{00000000-0005-0000-0000-0000DB2D0000}"/>
    <cellStyle name="Porcentual 23 27 3" xfId="9413" xr:uid="{00000000-0005-0000-0000-0000DC2D0000}"/>
    <cellStyle name="Porcentual 23 28" xfId="3891" xr:uid="{00000000-0005-0000-0000-0000DD2D0000}"/>
    <cellStyle name="Porcentual 23 28 2" xfId="7433" xr:uid="{00000000-0005-0000-0000-0000DE2D0000}"/>
    <cellStyle name="Porcentual 23 28 3" xfId="9414" xr:uid="{00000000-0005-0000-0000-0000DF2D0000}"/>
    <cellStyle name="Porcentual 23 29" xfId="7434" xr:uid="{00000000-0005-0000-0000-0000E02D0000}"/>
    <cellStyle name="Porcentual 23 3" xfId="3892" xr:uid="{00000000-0005-0000-0000-0000E12D0000}"/>
    <cellStyle name="Porcentual 23 3 2" xfId="7435" xr:uid="{00000000-0005-0000-0000-0000E22D0000}"/>
    <cellStyle name="Porcentual 23 3 3" xfId="9415" xr:uid="{00000000-0005-0000-0000-0000E32D0000}"/>
    <cellStyle name="Porcentual 23 30" xfId="9394" xr:uid="{00000000-0005-0000-0000-0000E42D0000}"/>
    <cellStyle name="Porcentual 23 4" xfId="3893" xr:uid="{00000000-0005-0000-0000-0000E52D0000}"/>
    <cellStyle name="Porcentual 23 4 2" xfId="7436" xr:uid="{00000000-0005-0000-0000-0000E62D0000}"/>
    <cellStyle name="Porcentual 23 4 3" xfId="9416" xr:uid="{00000000-0005-0000-0000-0000E72D0000}"/>
    <cellStyle name="Porcentual 23 5" xfId="3894" xr:uid="{00000000-0005-0000-0000-0000E82D0000}"/>
    <cellStyle name="Porcentual 23 5 2" xfId="7437" xr:uid="{00000000-0005-0000-0000-0000E92D0000}"/>
    <cellStyle name="Porcentual 23 5 3" xfId="9417" xr:uid="{00000000-0005-0000-0000-0000EA2D0000}"/>
    <cellStyle name="Porcentual 23 6" xfId="3895" xr:uid="{00000000-0005-0000-0000-0000EB2D0000}"/>
    <cellStyle name="Porcentual 23 6 2" xfId="7438" xr:uid="{00000000-0005-0000-0000-0000EC2D0000}"/>
    <cellStyle name="Porcentual 23 6 3" xfId="9418" xr:uid="{00000000-0005-0000-0000-0000ED2D0000}"/>
    <cellStyle name="Porcentual 23 7" xfId="3896" xr:uid="{00000000-0005-0000-0000-0000EE2D0000}"/>
    <cellStyle name="Porcentual 23 7 2" xfId="7439" xr:uid="{00000000-0005-0000-0000-0000EF2D0000}"/>
    <cellStyle name="Porcentual 23 7 3" xfId="9419" xr:uid="{00000000-0005-0000-0000-0000F02D0000}"/>
    <cellStyle name="Porcentual 23 8" xfId="3897" xr:uid="{00000000-0005-0000-0000-0000F12D0000}"/>
    <cellStyle name="Porcentual 23 8 2" xfId="7440" xr:uid="{00000000-0005-0000-0000-0000F22D0000}"/>
    <cellStyle name="Porcentual 23 8 3" xfId="9420" xr:uid="{00000000-0005-0000-0000-0000F32D0000}"/>
    <cellStyle name="Porcentual 23 9" xfId="3898" xr:uid="{00000000-0005-0000-0000-0000F42D0000}"/>
    <cellStyle name="Porcentual 23 9 2" xfId="7441" xr:uid="{00000000-0005-0000-0000-0000F52D0000}"/>
    <cellStyle name="Porcentual 23 9 3" xfId="9421" xr:uid="{00000000-0005-0000-0000-0000F62D0000}"/>
    <cellStyle name="Porcentual 24" xfId="3899" xr:uid="{00000000-0005-0000-0000-0000F72D0000}"/>
    <cellStyle name="Porcentual 24 10" xfId="3900" xr:uid="{00000000-0005-0000-0000-0000F82D0000}"/>
    <cellStyle name="Porcentual 24 10 2" xfId="7442" xr:uid="{00000000-0005-0000-0000-0000F92D0000}"/>
    <cellStyle name="Porcentual 24 10 3" xfId="9423" xr:uid="{00000000-0005-0000-0000-0000FA2D0000}"/>
    <cellStyle name="Porcentual 24 11" xfId="3901" xr:uid="{00000000-0005-0000-0000-0000FB2D0000}"/>
    <cellStyle name="Porcentual 24 11 2" xfId="7443" xr:uid="{00000000-0005-0000-0000-0000FC2D0000}"/>
    <cellStyle name="Porcentual 24 11 3" xfId="9424" xr:uid="{00000000-0005-0000-0000-0000FD2D0000}"/>
    <cellStyle name="Porcentual 24 12" xfId="3902" xr:uid="{00000000-0005-0000-0000-0000FE2D0000}"/>
    <cellStyle name="Porcentual 24 12 2" xfId="7444" xr:uid="{00000000-0005-0000-0000-0000FF2D0000}"/>
    <cellStyle name="Porcentual 24 12 3" xfId="9425" xr:uid="{00000000-0005-0000-0000-0000002E0000}"/>
    <cellStyle name="Porcentual 24 13" xfId="3903" xr:uid="{00000000-0005-0000-0000-0000012E0000}"/>
    <cellStyle name="Porcentual 24 13 2" xfId="7445" xr:uid="{00000000-0005-0000-0000-0000022E0000}"/>
    <cellStyle name="Porcentual 24 13 3" xfId="9426" xr:uid="{00000000-0005-0000-0000-0000032E0000}"/>
    <cellStyle name="Porcentual 24 14" xfId="3904" xr:uid="{00000000-0005-0000-0000-0000042E0000}"/>
    <cellStyle name="Porcentual 24 14 2" xfId="7446" xr:uid="{00000000-0005-0000-0000-0000052E0000}"/>
    <cellStyle name="Porcentual 24 14 3" xfId="9427" xr:uid="{00000000-0005-0000-0000-0000062E0000}"/>
    <cellStyle name="Porcentual 24 15" xfId="3905" xr:uid="{00000000-0005-0000-0000-0000072E0000}"/>
    <cellStyle name="Porcentual 24 15 2" xfId="7447" xr:uid="{00000000-0005-0000-0000-0000082E0000}"/>
    <cellStyle name="Porcentual 24 15 3" xfId="9428" xr:uid="{00000000-0005-0000-0000-0000092E0000}"/>
    <cellStyle name="Porcentual 24 16" xfId="3906" xr:uid="{00000000-0005-0000-0000-00000A2E0000}"/>
    <cellStyle name="Porcentual 24 16 2" xfId="7448" xr:uid="{00000000-0005-0000-0000-00000B2E0000}"/>
    <cellStyle name="Porcentual 24 16 3" xfId="9429" xr:uid="{00000000-0005-0000-0000-00000C2E0000}"/>
    <cellStyle name="Porcentual 24 17" xfId="3907" xr:uid="{00000000-0005-0000-0000-00000D2E0000}"/>
    <cellStyle name="Porcentual 24 17 2" xfId="7449" xr:uid="{00000000-0005-0000-0000-00000E2E0000}"/>
    <cellStyle name="Porcentual 24 17 3" xfId="9430" xr:uid="{00000000-0005-0000-0000-00000F2E0000}"/>
    <cellStyle name="Porcentual 24 18" xfId="3908" xr:uid="{00000000-0005-0000-0000-0000102E0000}"/>
    <cellStyle name="Porcentual 24 18 2" xfId="7450" xr:uid="{00000000-0005-0000-0000-0000112E0000}"/>
    <cellStyle name="Porcentual 24 18 3" xfId="9431" xr:uid="{00000000-0005-0000-0000-0000122E0000}"/>
    <cellStyle name="Porcentual 24 19" xfId="3909" xr:uid="{00000000-0005-0000-0000-0000132E0000}"/>
    <cellStyle name="Porcentual 24 19 2" xfId="7451" xr:uid="{00000000-0005-0000-0000-0000142E0000}"/>
    <cellStyle name="Porcentual 24 19 3" xfId="9432" xr:uid="{00000000-0005-0000-0000-0000152E0000}"/>
    <cellStyle name="Porcentual 24 2" xfId="3910" xr:uid="{00000000-0005-0000-0000-0000162E0000}"/>
    <cellStyle name="Porcentual 24 2 2" xfId="7452" xr:uid="{00000000-0005-0000-0000-0000172E0000}"/>
    <cellStyle name="Porcentual 24 2 3" xfId="9433" xr:uid="{00000000-0005-0000-0000-0000182E0000}"/>
    <cellStyle name="Porcentual 24 20" xfId="3911" xr:uid="{00000000-0005-0000-0000-0000192E0000}"/>
    <cellStyle name="Porcentual 24 20 2" xfId="7453" xr:uid="{00000000-0005-0000-0000-00001A2E0000}"/>
    <cellStyle name="Porcentual 24 20 3" xfId="9434" xr:uid="{00000000-0005-0000-0000-00001B2E0000}"/>
    <cellStyle name="Porcentual 24 21" xfId="3912" xr:uid="{00000000-0005-0000-0000-00001C2E0000}"/>
    <cellStyle name="Porcentual 24 21 2" xfId="7454" xr:uid="{00000000-0005-0000-0000-00001D2E0000}"/>
    <cellStyle name="Porcentual 24 21 3" xfId="9435" xr:uid="{00000000-0005-0000-0000-00001E2E0000}"/>
    <cellStyle name="Porcentual 24 22" xfId="3913" xr:uid="{00000000-0005-0000-0000-00001F2E0000}"/>
    <cellStyle name="Porcentual 24 22 2" xfId="7455" xr:uid="{00000000-0005-0000-0000-0000202E0000}"/>
    <cellStyle name="Porcentual 24 22 3" xfId="9436" xr:uid="{00000000-0005-0000-0000-0000212E0000}"/>
    <cellStyle name="Porcentual 24 23" xfId="3914" xr:uid="{00000000-0005-0000-0000-0000222E0000}"/>
    <cellStyle name="Porcentual 24 23 2" xfId="7456" xr:uid="{00000000-0005-0000-0000-0000232E0000}"/>
    <cellStyle name="Porcentual 24 23 3" xfId="9437" xr:uid="{00000000-0005-0000-0000-0000242E0000}"/>
    <cellStyle name="Porcentual 24 24" xfId="3915" xr:uid="{00000000-0005-0000-0000-0000252E0000}"/>
    <cellStyle name="Porcentual 24 24 2" xfId="7457" xr:uid="{00000000-0005-0000-0000-0000262E0000}"/>
    <cellStyle name="Porcentual 24 24 3" xfId="9438" xr:uid="{00000000-0005-0000-0000-0000272E0000}"/>
    <cellStyle name="Porcentual 24 25" xfId="3916" xr:uid="{00000000-0005-0000-0000-0000282E0000}"/>
    <cellStyle name="Porcentual 24 25 2" xfId="7458" xr:uid="{00000000-0005-0000-0000-0000292E0000}"/>
    <cellStyle name="Porcentual 24 25 3" xfId="9439" xr:uid="{00000000-0005-0000-0000-00002A2E0000}"/>
    <cellStyle name="Porcentual 24 26" xfId="3917" xr:uid="{00000000-0005-0000-0000-00002B2E0000}"/>
    <cellStyle name="Porcentual 24 26 2" xfId="7459" xr:uid="{00000000-0005-0000-0000-00002C2E0000}"/>
    <cellStyle name="Porcentual 24 26 3" xfId="9440" xr:uid="{00000000-0005-0000-0000-00002D2E0000}"/>
    <cellStyle name="Porcentual 24 27" xfId="3918" xr:uid="{00000000-0005-0000-0000-00002E2E0000}"/>
    <cellStyle name="Porcentual 24 27 2" xfId="7460" xr:uid="{00000000-0005-0000-0000-00002F2E0000}"/>
    <cellStyle name="Porcentual 24 27 3" xfId="9441" xr:uid="{00000000-0005-0000-0000-0000302E0000}"/>
    <cellStyle name="Porcentual 24 28" xfId="3919" xr:uid="{00000000-0005-0000-0000-0000312E0000}"/>
    <cellStyle name="Porcentual 24 28 2" xfId="7461" xr:uid="{00000000-0005-0000-0000-0000322E0000}"/>
    <cellStyle name="Porcentual 24 28 3" xfId="9442" xr:uid="{00000000-0005-0000-0000-0000332E0000}"/>
    <cellStyle name="Porcentual 24 29" xfId="7462" xr:uid="{00000000-0005-0000-0000-0000342E0000}"/>
    <cellStyle name="Porcentual 24 3" xfId="3920" xr:uid="{00000000-0005-0000-0000-0000352E0000}"/>
    <cellStyle name="Porcentual 24 3 2" xfId="7463" xr:uid="{00000000-0005-0000-0000-0000362E0000}"/>
    <cellStyle name="Porcentual 24 3 3" xfId="9443" xr:uid="{00000000-0005-0000-0000-0000372E0000}"/>
    <cellStyle name="Porcentual 24 30" xfId="9422" xr:uid="{00000000-0005-0000-0000-0000382E0000}"/>
    <cellStyle name="Porcentual 24 4" xfId="3921" xr:uid="{00000000-0005-0000-0000-0000392E0000}"/>
    <cellStyle name="Porcentual 24 4 2" xfId="7464" xr:uid="{00000000-0005-0000-0000-00003A2E0000}"/>
    <cellStyle name="Porcentual 24 4 3" xfId="9444" xr:uid="{00000000-0005-0000-0000-00003B2E0000}"/>
    <cellStyle name="Porcentual 24 5" xfId="3922" xr:uid="{00000000-0005-0000-0000-00003C2E0000}"/>
    <cellStyle name="Porcentual 24 5 2" xfId="7465" xr:uid="{00000000-0005-0000-0000-00003D2E0000}"/>
    <cellStyle name="Porcentual 24 5 3" xfId="9445" xr:uid="{00000000-0005-0000-0000-00003E2E0000}"/>
    <cellStyle name="Porcentual 24 6" xfId="3923" xr:uid="{00000000-0005-0000-0000-00003F2E0000}"/>
    <cellStyle name="Porcentual 24 6 2" xfId="7466" xr:uid="{00000000-0005-0000-0000-0000402E0000}"/>
    <cellStyle name="Porcentual 24 6 3" xfId="9446" xr:uid="{00000000-0005-0000-0000-0000412E0000}"/>
    <cellStyle name="Porcentual 24 7" xfId="3924" xr:uid="{00000000-0005-0000-0000-0000422E0000}"/>
    <cellStyle name="Porcentual 24 7 2" xfId="7467" xr:uid="{00000000-0005-0000-0000-0000432E0000}"/>
    <cellStyle name="Porcentual 24 7 3" xfId="9447" xr:uid="{00000000-0005-0000-0000-0000442E0000}"/>
    <cellStyle name="Porcentual 24 8" xfId="3925" xr:uid="{00000000-0005-0000-0000-0000452E0000}"/>
    <cellStyle name="Porcentual 24 8 2" xfId="7468" xr:uid="{00000000-0005-0000-0000-0000462E0000}"/>
    <cellStyle name="Porcentual 24 8 3" xfId="9448" xr:uid="{00000000-0005-0000-0000-0000472E0000}"/>
    <cellStyle name="Porcentual 24 9" xfId="3926" xr:uid="{00000000-0005-0000-0000-0000482E0000}"/>
    <cellStyle name="Porcentual 24 9 2" xfId="7469" xr:uid="{00000000-0005-0000-0000-0000492E0000}"/>
    <cellStyle name="Porcentual 24 9 3" xfId="9449" xr:uid="{00000000-0005-0000-0000-00004A2E0000}"/>
    <cellStyle name="Porcentual 25" xfId="3927" xr:uid="{00000000-0005-0000-0000-00004B2E0000}"/>
    <cellStyle name="Porcentual 25 10" xfId="3928" xr:uid="{00000000-0005-0000-0000-00004C2E0000}"/>
    <cellStyle name="Porcentual 25 10 2" xfId="7470" xr:uid="{00000000-0005-0000-0000-00004D2E0000}"/>
    <cellStyle name="Porcentual 25 10 3" xfId="9451" xr:uid="{00000000-0005-0000-0000-00004E2E0000}"/>
    <cellStyle name="Porcentual 25 11" xfId="3929" xr:uid="{00000000-0005-0000-0000-00004F2E0000}"/>
    <cellStyle name="Porcentual 25 11 2" xfId="7471" xr:uid="{00000000-0005-0000-0000-0000502E0000}"/>
    <cellStyle name="Porcentual 25 11 3" xfId="9452" xr:uid="{00000000-0005-0000-0000-0000512E0000}"/>
    <cellStyle name="Porcentual 25 12" xfId="3930" xr:uid="{00000000-0005-0000-0000-0000522E0000}"/>
    <cellStyle name="Porcentual 25 12 2" xfId="7472" xr:uid="{00000000-0005-0000-0000-0000532E0000}"/>
    <cellStyle name="Porcentual 25 12 3" xfId="9453" xr:uid="{00000000-0005-0000-0000-0000542E0000}"/>
    <cellStyle name="Porcentual 25 13" xfId="3931" xr:uid="{00000000-0005-0000-0000-0000552E0000}"/>
    <cellStyle name="Porcentual 25 13 2" xfId="7473" xr:uid="{00000000-0005-0000-0000-0000562E0000}"/>
    <cellStyle name="Porcentual 25 13 3" xfId="9454" xr:uid="{00000000-0005-0000-0000-0000572E0000}"/>
    <cellStyle name="Porcentual 25 14" xfId="3932" xr:uid="{00000000-0005-0000-0000-0000582E0000}"/>
    <cellStyle name="Porcentual 25 14 2" xfId="7474" xr:uid="{00000000-0005-0000-0000-0000592E0000}"/>
    <cellStyle name="Porcentual 25 14 3" xfId="9455" xr:uid="{00000000-0005-0000-0000-00005A2E0000}"/>
    <cellStyle name="Porcentual 25 15" xfId="3933" xr:uid="{00000000-0005-0000-0000-00005B2E0000}"/>
    <cellStyle name="Porcentual 25 15 2" xfId="7475" xr:uid="{00000000-0005-0000-0000-00005C2E0000}"/>
    <cellStyle name="Porcentual 25 15 3" xfId="9456" xr:uid="{00000000-0005-0000-0000-00005D2E0000}"/>
    <cellStyle name="Porcentual 25 16" xfId="3934" xr:uid="{00000000-0005-0000-0000-00005E2E0000}"/>
    <cellStyle name="Porcentual 25 16 2" xfId="7476" xr:uid="{00000000-0005-0000-0000-00005F2E0000}"/>
    <cellStyle name="Porcentual 25 16 3" xfId="9457" xr:uid="{00000000-0005-0000-0000-0000602E0000}"/>
    <cellStyle name="Porcentual 25 17" xfId="3935" xr:uid="{00000000-0005-0000-0000-0000612E0000}"/>
    <cellStyle name="Porcentual 25 17 2" xfId="7477" xr:uid="{00000000-0005-0000-0000-0000622E0000}"/>
    <cellStyle name="Porcentual 25 17 3" xfId="9458" xr:uid="{00000000-0005-0000-0000-0000632E0000}"/>
    <cellStyle name="Porcentual 25 18" xfId="3936" xr:uid="{00000000-0005-0000-0000-0000642E0000}"/>
    <cellStyle name="Porcentual 25 18 2" xfId="7478" xr:uid="{00000000-0005-0000-0000-0000652E0000}"/>
    <cellStyle name="Porcentual 25 18 3" xfId="9459" xr:uid="{00000000-0005-0000-0000-0000662E0000}"/>
    <cellStyle name="Porcentual 25 19" xfId="3937" xr:uid="{00000000-0005-0000-0000-0000672E0000}"/>
    <cellStyle name="Porcentual 25 19 2" xfId="7479" xr:uid="{00000000-0005-0000-0000-0000682E0000}"/>
    <cellStyle name="Porcentual 25 19 3" xfId="9460" xr:uid="{00000000-0005-0000-0000-0000692E0000}"/>
    <cellStyle name="Porcentual 25 2" xfId="3938" xr:uid="{00000000-0005-0000-0000-00006A2E0000}"/>
    <cellStyle name="Porcentual 25 2 2" xfId="7480" xr:uid="{00000000-0005-0000-0000-00006B2E0000}"/>
    <cellStyle name="Porcentual 25 2 3" xfId="9461" xr:uid="{00000000-0005-0000-0000-00006C2E0000}"/>
    <cellStyle name="Porcentual 25 20" xfId="3939" xr:uid="{00000000-0005-0000-0000-00006D2E0000}"/>
    <cellStyle name="Porcentual 25 20 2" xfId="7481" xr:uid="{00000000-0005-0000-0000-00006E2E0000}"/>
    <cellStyle name="Porcentual 25 20 3" xfId="9462" xr:uid="{00000000-0005-0000-0000-00006F2E0000}"/>
    <cellStyle name="Porcentual 25 21" xfId="3940" xr:uid="{00000000-0005-0000-0000-0000702E0000}"/>
    <cellStyle name="Porcentual 25 21 2" xfId="7482" xr:uid="{00000000-0005-0000-0000-0000712E0000}"/>
    <cellStyle name="Porcentual 25 21 3" xfId="9463" xr:uid="{00000000-0005-0000-0000-0000722E0000}"/>
    <cellStyle name="Porcentual 25 22" xfId="3941" xr:uid="{00000000-0005-0000-0000-0000732E0000}"/>
    <cellStyle name="Porcentual 25 22 2" xfId="7483" xr:uid="{00000000-0005-0000-0000-0000742E0000}"/>
    <cellStyle name="Porcentual 25 22 3" xfId="9464" xr:uid="{00000000-0005-0000-0000-0000752E0000}"/>
    <cellStyle name="Porcentual 25 23" xfId="3942" xr:uid="{00000000-0005-0000-0000-0000762E0000}"/>
    <cellStyle name="Porcentual 25 23 2" xfId="7484" xr:uid="{00000000-0005-0000-0000-0000772E0000}"/>
    <cellStyle name="Porcentual 25 23 3" xfId="9465" xr:uid="{00000000-0005-0000-0000-0000782E0000}"/>
    <cellStyle name="Porcentual 25 24" xfId="3943" xr:uid="{00000000-0005-0000-0000-0000792E0000}"/>
    <cellStyle name="Porcentual 25 24 2" xfId="7485" xr:uid="{00000000-0005-0000-0000-00007A2E0000}"/>
    <cellStyle name="Porcentual 25 24 3" xfId="9466" xr:uid="{00000000-0005-0000-0000-00007B2E0000}"/>
    <cellStyle name="Porcentual 25 25" xfId="3944" xr:uid="{00000000-0005-0000-0000-00007C2E0000}"/>
    <cellStyle name="Porcentual 25 25 2" xfId="7486" xr:uid="{00000000-0005-0000-0000-00007D2E0000}"/>
    <cellStyle name="Porcentual 25 25 3" xfId="9467" xr:uid="{00000000-0005-0000-0000-00007E2E0000}"/>
    <cellStyle name="Porcentual 25 26" xfId="3945" xr:uid="{00000000-0005-0000-0000-00007F2E0000}"/>
    <cellStyle name="Porcentual 25 26 2" xfId="7487" xr:uid="{00000000-0005-0000-0000-0000802E0000}"/>
    <cellStyle name="Porcentual 25 26 3" xfId="9468" xr:uid="{00000000-0005-0000-0000-0000812E0000}"/>
    <cellStyle name="Porcentual 25 27" xfId="3946" xr:uid="{00000000-0005-0000-0000-0000822E0000}"/>
    <cellStyle name="Porcentual 25 27 2" xfId="7488" xr:uid="{00000000-0005-0000-0000-0000832E0000}"/>
    <cellStyle name="Porcentual 25 27 3" xfId="9469" xr:uid="{00000000-0005-0000-0000-0000842E0000}"/>
    <cellStyle name="Porcentual 25 28" xfId="3947" xr:uid="{00000000-0005-0000-0000-0000852E0000}"/>
    <cellStyle name="Porcentual 25 28 2" xfId="7489" xr:uid="{00000000-0005-0000-0000-0000862E0000}"/>
    <cellStyle name="Porcentual 25 28 3" xfId="9470" xr:uid="{00000000-0005-0000-0000-0000872E0000}"/>
    <cellStyle name="Porcentual 25 29" xfId="7490" xr:uid="{00000000-0005-0000-0000-0000882E0000}"/>
    <cellStyle name="Porcentual 25 3" xfId="3948" xr:uid="{00000000-0005-0000-0000-0000892E0000}"/>
    <cellStyle name="Porcentual 25 3 2" xfId="7491" xr:uid="{00000000-0005-0000-0000-00008A2E0000}"/>
    <cellStyle name="Porcentual 25 3 3" xfId="9471" xr:uid="{00000000-0005-0000-0000-00008B2E0000}"/>
    <cellStyle name="Porcentual 25 30" xfId="9450" xr:uid="{00000000-0005-0000-0000-00008C2E0000}"/>
    <cellStyle name="Porcentual 25 4" xfId="3949" xr:uid="{00000000-0005-0000-0000-00008D2E0000}"/>
    <cellStyle name="Porcentual 25 4 2" xfId="7492" xr:uid="{00000000-0005-0000-0000-00008E2E0000}"/>
    <cellStyle name="Porcentual 25 4 3" xfId="9472" xr:uid="{00000000-0005-0000-0000-00008F2E0000}"/>
    <cellStyle name="Porcentual 25 5" xfId="3950" xr:uid="{00000000-0005-0000-0000-0000902E0000}"/>
    <cellStyle name="Porcentual 25 5 2" xfId="7493" xr:uid="{00000000-0005-0000-0000-0000912E0000}"/>
    <cellStyle name="Porcentual 25 5 3" xfId="9473" xr:uid="{00000000-0005-0000-0000-0000922E0000}"/>
    <cellStyle name="Porcentual 25 6" xfId="3951" xr:uid="{00000000-0005-0000-0000-0000932E0000}"/>
    <cellStyle name="Porcentual 25 6 2" xfId="7494" xr:uid="{00000000-0005-0000-0000-0000942E0000}"/>
    <cellStyle name="Porcentual 25 6 3" xfId="9474" xr:uid="{00000000-0005-0000-0000-0000952E0000}"/>
    <cellStyle name="Porcentual 25 7" xfId="3952" xr:uid="{00000000-0005-0000-0000-0000962E0000}"/>
    <cellStyle name="Porcentual 25 7 2" xfId="7495" xr:uid="{00000000-0005-0000-0000-0000972E0000}"/>
    <cellStyle name="Porcentual 25 7 3" xfId="9475" xr:uid="{00000000-0005-0000-0000-0000982E0000}"/>
    <cellStyle name="Porcentual 25 8" xfId="3953" xr:uid="{00000000-0005-0000-0000-0000992E0000}"/>
    <cellStyle name="Porcentual 25 8 2" xfId="7496" xr:uid="{00000000-0005-0000-0000-00009A2E0000}"/>
    <cellStyle name="Porcentual 25 8 3" xfId="9476" xr:uid="{00000000-0005-0000-0000-00009B2E0000}"/>
    <cellStyle name="Porcentual 25 9" xfId="3954" xr:uid="{00000000-0005-0000-0000-00009C2E0000}"/>
    <cellStyle name="Porcentual 25 9 2" xfId="7497" xr:uid="{00000000-0005-0000-0000-00009D2E0000}"/>
    <cellStyle name="Porcentual 25 9 3" xfId="9477" xr:uid="{00000000-0005-0000-0000-00009E2E0000}"/>
    <cellStyle name="Porcentual 250" xfId="3955" xr:uid="{00000000-0005-0000-0000-00009F2E0000}"/>
    <cellStyle name="Porcentual 250 2" xfId="7498" xr:uid="{00000000-0005-0000-0000-0000A02E0000}"/>
    <cellStyle name="Porcentual 26" xfId="3956" xr:uid="{00000000-0005-0000-0000-0000A12E0000}"/>
    <cellStyle name="Porcentual 26 10" xfId="3957" xr:uid="{00000000-0005-0000-0000-0000A22E0000}"/>
    <cellStyle name="Porcentual 26 10 2" xfId="7499" xr:uid="{00000000-0005-0000-0000-0000A32E0000}"/>
    <cellStyle name="Porcentual 26 10 3" xfId="9479" xr:uid="{00000000-0005-0000-0000-0000A42E0000}"/>
    <cellStyle name="Porcentual 26 11" xfId="3958" xr:uid="{00000000-0005-0000-0000-0000A52E0000}"/>
    <cellStyle name="Porcentual 26 11 2" xfId="7500" xr:uid="{00000000-0005-0000-0000-0000A62E0000}"/>
    <cellStyle name="Porcentual 26 11 3" xfId="9480" xr:uid="{00000000-0005-0000-0000-0000A72E0000}"/>
    <cellStyle name="Porcentual 26 12" xfId="3959" xr:uid="{00000000-0005-0000-0000-0000A82E0000}"/>
    <cellStyle name="Porcentual 26 12 2" xfId="7501" xr:uid="{00000000-0005-0000-0000-0000A92E0000}"/>
    <cellStyle name="Porcentual 26 12 3" xfId="9481" xr:uid="{00000000-0005-0000-0000-0000AA2E0000}"/>
    <cellStyle name="Porcentual 26 13" xfId="3960" xr:uid="{00000000-0005-0000-0000-0000AB2E0000}"/>
    <cellStyle name="Porcentual 26 13 2" xfId="7502" xr:uid="{00000000-0005-0000-0000-0000AC2E0000}"/>
    <cellStyle name="Porcentual 26 13 3" xfId="9482" xr:uid="{00000000-0005-0000-0000-0000AD2E0000}"/>
    <cellStyle name="Porcentual 26 14" xfId="3961" xr:uid="{00000000-0005-0000-0000-0000AE2E0000}"/>
    <cellStyle name="Porcentual 26 14 2" xfId="7503" xr:uid="{00000000-0005-0000-0000-0000AF2E0000}"/>
    <cellStyle name="Porcentual 26 14 3" xfId="9483" xr:uid="{00000000-0005-0000-0000-0000B02E0000}"/>
    <cellStyle name="Porcentual 26 15" xfId="3962" xr:uid="{00000000-0005-0000-0000-0000B12E0000}"/>
    <cellStyle name="Porcentual 26 15 2" xfId="7504" xr:uid="{00000000-0005-0000-0000-0000B22E0000}"/>
    <cellStyle name="Porcentual 26 15 3" xfId="9484" xr:uid="{00000000-0005-0000-0000-0000B32E0000}"/>
    <cellStyle name="Porcentual 26 16" xfId="3963" xr:uid="{00000000-0005-0000-0000-0000B42E0000}"/>
    <cellStyle name="Porcentual 26 16 2" xfId="7505" xr:uid="{00000000-0005-0000-0000-0000B52E0000}"/>
    <cellStyle name="Porcentual 26 16 3" xfId="9485" xr:uid="{00000000-0005-0000-0000-0000B62E0000}"/>
    <cellStyle name="Porcentual 26 17" xfId="3964" xr:uid="{00000000-0005-0000-0000-0000B72E0000}"/>
    <cellStyle name="Porcentual 26 17 2" xfId="7506" xr:uid="{00000000-0005-0000-0000-0000B82E0000}"/>
    <cellStyle name="Porcentual 26 17 3" xfId="9486" xr:uid="{00000000-0005-0000-0000-0000B92E0000}"/>
    <cellStyle name="Porcentual 26 18" xfId="3965" xr:uid="{00000000-0005-0000-0000-0000BA2E0000}"/>
    <cellStyle name="Porcentual 26 18 2" xfId="7507" xr:uid="{00000000-0005-0000-0000-0000BB2E0000}"/>
    <cellStyle name="Porcentual 26 18 3" xfId="9487" xr:uid="{00000000-0005-0000-0000-0000BC2E0000}"/>
    <cellStyle name="Porcentual 26 19" xfId="3966" xr:uid="{00000000-0005-0000-0000-0000BD2E0000}"/>
    <cellStyle name="Porcentual 26 19 2" xfId="7508" xr:uid="{00000000-0005-0000-0000-0000BE2E0000}"/>
    <cellStyle name="Porcentual 26 19 3" xfId="9488" xr:uid="{00000000-0005-0000-0000-0000BF2E0000}"/>
    <cellStyle name="Porcentual 26 2" xfId="3967" xr:uid="{00000000-0005-0000-0000-0000C02E0000}"/>
    <cellStyle name="Porcentual 26 2 2" xfId="7509" xr:uid="{00000000-0005-0000-0000-0000C12E0000}"/>
    <cellStyle name="Porcentual 26 2 3" xfId="9489" xr:uid="{00000000-0005-0000-0000-0000C22E0000}"/>
    <cellStyle name="Porcentual 26 20" xfId="3968" xr:uid="{00000000-0005-0000-0000-0000C32E0000}"/>
    <cellStyle name="Porcentual 26 20 2" xfId="7510" xr:uid="{00000000-0005-0000-0000-0000C42E0000}"/>
    <cellStyle name="Porcentual 26 20 3" xfId="9490" xr:uid="{00000000-0005-0000-0000-0000C52E0000}"/>
    <cellStyle name="Porcentual 26 21" xfId="3969" xr:uid="{00000000-0005-0000-0000-0000C62E0000}"/>
    <cellStyle name="Porcentual 26 21 2" xfId="7511" xr:uid="{00000000-0005-0000-0000-0000C72E0000}"/>
    <cellStyle name="Porcentual 26 21 3" xfId="9491" xr:uid="{00000000-0005-0000-0000-0000C82E0000}"/>
    <cellStyle name="Porcentual 26 22" xfId="3970" xr:uid="{00000000-0005-0000-0000-0000C92E0000}"/>
    <cellStyle name="Porcentual 26 22 2" xfId="7512" xr:uid="{00000000-0005-0000-0000-0000CA2E0000}"/>
    <cellStyle name="Porcentual 26 22 3" xfId="9492" xr:uid="{00000000-0005-0000-0000-0000CB2E0000}"/>
    <cellStyle name="Porcentual 26 23" xfId="3971" xr:uid="{00000000-0005-0000-0000-0000CC2E0000}"/>
    <cellStyle name="Porcentual 26 23 2" xfId="7513" xr:uid="{00000000-0005-0000-0000-0000CD2E0000}"/>
    <cellStyle name="Porcentual 26 23 3" xfId="9493" xr:uid="{00000000-0005-0000-0000-0000CE2E0000}"/>
    <cellStyle name="Porcentual 26 24" xfId="3972" xr:uid="{00000000-0005-0000-0000-0000CF2E0000}"/>
    <cellStyle name="Porcentual 26 24 2" xfId="7514" xr:uid="{00000000-0005-0000-0000-0000D02E0000}"/>
    <cellStyle name="Porcentual 26 24 3" xfId="9494" xr:uid="{00000000-0005-0000-0000-0000D12E0000}"/>
    <cellStyle name="Porcentual 26 25" xfId="3973" xr:uid="{00000000-0005-0000-0000-0000D22E0000}"/>
    <cellStyle name="Porcentual 26 25 2" xfId="7515" xr:uid="{00000000-0005-0000-0000-0000D32E0000}"/>
    <cellStyle name="Porcentual 26 25 3" xfId="9495" xr:uid="{00000000-0005-0000-0000-0000D42E0000}"/>
    <cellStyle name="Porcentual 26 26" xfId="3974" xr:uid="{00000000-0005-0000-0000-0000D52E0000}"/>
    <cellStyle name="Porcentual 26 26 2" xfId="7516" xr:uid="{00000000-0005-0000-0000-0000D62E0000}"/>
    <cellStyle name="Porcentual 26 26 3" xfId="9496" xr:uid="{00000000-0005-0000-0000-0000D72E0000}"/>
    <cellStyle name="Porcentual 26 27" xfId="3975" xr:uid="{00000000-0005-0000-0000-0000D82E0000}"/>
    <cellStyle name="Porcentual 26 27 2" xfId="7517" xr:uid="{00000000-0005-0000-0000-0000D92E0000}"/>
    <cellStyle name="Porcentual 26 27 3" xfId="9497" xr:uid="{00000000-0005-0000-0000-0000DA2E0000}"/>
    <cellStyle name="Porcentual 26 28" xfId="3976" xr:uid="{00000000-0005-0000-0000-0000DB2E0000}"/>
    <cellStyle name="Porcentual 26 28 2" xfId="7518" xr:uid="{00000000-0005-0000-0000-0000DC2E0000}"/>
    <cellStyle name="Porcentual 26 28 3" xfId="9498" xr:uid="{00000000-0005-0000-0000-0000DD2E0000}"/>
    <cellStyle name="Porcentual 26 29" xfId="7519" xr:uid="{00000000-0005-0000-0000-0000DE2E0000}"/>
    <cellStyle name="Porcentual 26 3" xfId="3977" xr:uid="{00000000-0005-0000-0000-0000DF2E0000}"/>
    <cellStyle name="Porcentual 26 3 2" xfId="7520" xr:uid="{00000000-0005-0000-0000-0000E02E0000}"/>
    <cellStyle name="Porcentual 26 3 3" xfId="9499" xr:uid="{00000000-0005-0000-0000-0000E12E0000}"/>
    <cellStyle name="Porcentual 26 30" xfId="9478" xr:uid="{00000000-0005-0000-0000-0000E22E0000}"/>
    <cellStyle name="Porcentual 26 4" xfId="3978" xr:uid="{00000000-0005-0000-0000-0000E32E0000}"/>
    <cellStyle name="Porcentual 26 4 2" xfId="7521" xr:uid="{00000000-0005-0000-0000-0000E42E0000}"/>
    <cellStyle name="Porcentual 26 4 3" xfId="9500" xr:uid="{00000000-0005-0000-0000-0000E52E0000}"/>
    <cellStyle name="Porcentual 26 5" xfId="3979" xr:uid="{00000000-0005-0000-0000-0000E62E0000}"/>
    <cellStyle name="Porcentual 26 5 2" xfId="7522" xr:uid="{00000000-0005-0000-0000-0000E72E0000}"/>
    <cellStyle name="Porcentual 26 5 3" xfId="9501" xr:uid="{00000000-0005-0000-0000-0000E82E0000}"/>
    <cellStyle name="Porcentual 26 6" xfId="3980" xr:uid="{00000000-0005-0000-0000-0000E92E0000}"/>
    <cellStyle name="Porcentual 26 6 2" xfId="7523" xr:uid="{00000000-0005-0000-0000-0000EA2E0000}"/>
    <cellStyle name="Porcentual 26 6 3" xfId="9502" xr:uid="{00000000-0005-0000-0000-0000EB2E0000}"/>
    <cellStyle name="Porcentual 26 7" xfId="3981" xr:uid="{00000000-0005-0000-0000-0000EC2E0000}"/>
    <cellStyle name="Porcentual 26 7 2" xfId="7524" xr:uid="{00000000-0005-0000-0000-0000ED2E0000}"/>
    <cellStyle name="Porcentual 26 7 3" xfId="9503" xr:uid="{00000000-0005-0000-0000-0000EE2E0000}"/>
    <cellStyle name="Porcentual 26 8" xfId="3982" xr:uid="{00000000-0005-0000-0000-0000EF2E0000}"/>
    <cellStyle name="Porcentual 26 8 2" xfId="7525" xr:uid="{00000000-0005-0000-0000-0000F02E0000}"/>
    <cellStyle name="Porcentual 26 8 3" xfId="9504" xr:uid="{00000000-0005-0000-0000-0000F12E0000}"/>
    <cellStyle name="Porcentual 26 9" xfId="3983" xr:uid="{00000000-0005-0000-0000-0000F22E0000}"/>
    <cellStyle name="Porcentual 26 9 2" xfId="7526" xr:uid="{00000000-0005-0000-0000-0000F32E0000}"/>
    <cellStyle name="Porcentual 26 9 3" xfId="9505" xr:uid="{00000000-0005-0000-0000-0000F42E0000}"/>
    <cellStyle name="Porcentual 27" xfId="3984" xr:uid="{00000000-0005-0000-0000-0000F52E0000}"/>
    <cellStyle name="Porcentual 27 2" xfId="7527" xr:uid="{00000000-0005-0000-0000-0000F62E0000}"/>
    <cellStyle name="Porcentual 27 2 2" xfId="9778" xr:uid="{00000000-0005-0000-0000-0000F72E0000}"/>
    <cellStyle name="Porcentual 27 2 2 2" xfId="10476" xr:uid="{00000000-0005-0000-0000-0000F82E0000}"/>
    <cellStyle name="Porcentual 27 2 2 2 2" xfId="12211" xr:uid="{00000000-0005-0000-0000-0000F92E0000}"/>
    <cellStyle name="Porcentual 27 2 2 3" xfId="11564" xr:uid="{00000000-0005-0000-0000-0000FA2E0000}"/>
    <cellStyle name="Porcentual 27 2 3" xfId="10189" xr:uid="{00000000-0005-0000-0000-0000FB2E0000}"/>
    <cellStyle name="Porcentual 27 2 3 2" xfId="11925" xr:uid="{00000000-0005-0000-0000-0000FC2E0000}"/>
    <cellStyle name="Porcentual 27 2 4" xfId="11199" xr:uid="{00000000-0005-0000-0000-0000FD2E0000}"/>
    <cellStyle name="Porcentual 27 3" xfId="7528" xr:uid="{00000000-0005-0000-0000-0000FE2E0000}"/>
    <cellStyle name="Porcentual 27 3 2" xfId="9779" xr:uid="{00000000-0005-0000-0000-0000FF2E0000}"/>
    <cellStyle name="Porcentual 27 3 2 2" xfId="10477" xr:uid="{00000000-0005-0000-0000-0000002F0000}"/>
    <cellStyle name="Porcentual 27 3 2 2 2" xfId="12212" xr:uid="{00000000-0005-0000-0000-0000012F0000}"/>
    <cellStyle name="Porcentual 27 3 2 3" xfId="11565" xr:uid="{00000000-0005-0000-0000-0000022F0000}"/>
    <cellStyle name="Porcentual 27 3 3" xfId="10190" xr:uid="{00000000-0005-0000-0000-0000032F0000}"/>
    <cellStyle name="Porcentual 27 3 3 2" xfId="11926" xr:uid="{00000000-0005-0000-0000-0000042F0000}"/>
    <cellStyle name="Porcentual 27 3 4" xfId="11200" xr:uid="{00000000-0005-0000-0000-0000052F0000}"/>
    <cellStyle name="Porcentual 27 4" xfId="9506" xr:uid="{00000000-0005-0000-0000-0000062F0000}"/>
    <cellStyle name="Porcentual 28" xfId="3985" xr:uid="{00000000-0005-0000-0000-0000072F0000}"/>
    <cellStyle name="Porcentual 28 2" xfId="7529" xr:uid="{00000000-0005-0000-0000-0000082F0000}"/>
    <cellStyle name="Porcentual 28 2 2" xfId="9780" xr:uid="{00000000-0005-0000-0000-0000092F0000}"/>
    <cellStyle name="Porcentual 28 2 2 2" xfId="10478" xr:uid="{00000000-0005-0000-0000-00000A2F0000}"/>
    <cellStyle name="Porcentual 28 2 2 2 2" xfId="12213" xr:uid="{00000000-0005-0000-0000-00000B2F0000}"/>
    <cellStyle name="Porcentual 28 2 2 3" xfId="11566" xr:uid="{00000000-0005-0000-0000-00000C2F0000}"/>
    <cellStyle name="Porcentual 28 2 3" xfId="10191" xr:uid="{00000000-0005-0000-0000-00000D2F0000}"/>
    <cellStyle name="Porcentual 28 2 3 2" xfId="11927" xr:uid="{00000000-0005-0000-0000-00000E2F0000}"/>
    <cellStyle name="Porcentual 28 2 4" xfId="11201" xr:uid="{00000000-0005-0000-0000-00000F2F0000}"/>
    <cellStyle name="Porcentual 28 3" xfId="7530" xr:uid="{00000000-0005-0000-0000-0000102F0000}"/>
    <cellStyle name="Porcentual 28 3 2" xfId="9781" xr:uid="{00000000-0005-0000-0000-0000112F0000}"/>
    <cellStyle name="Porcentual 28 3 2 2" xfId="10479" xr:uid="{00000000-0005-0000-0000-0000122F0000}"/>
    <cellStyle name="Porcentual 28 3 2 2 2" xfId="12214" xr:uid="{00000000-0005-0000-0000-0000132F0000}"/>
    <cellStyle name="Porcentual 28 3 2 3" xfId="11567" xr:uid="{00000000-0005-0000-0000-0000142F0000}"/>
    <cellStyle name="Porcentual 28 3 3" xfId="10192" xr:uid="{00000000-0005-0000-0000-0000152F0000}"/>
    <cellStyle name="Porcentual 28 3 3 2" xfId="11928" xr:uid="{00000000-0005-0000-0000-0000162F0000}"/>
    <cellStyle name="Porcentual 28 3 4" xfId="11202" xr:uid="{00000000-0005-0000-0000-0000172F0000}"/>
    <cellStyle name="Porcentual 28 4" xfId="9507" xr:uid="{00000000-0005-0000-0000-0000182F0000}"/>
    <cellStyle name="Porcentual 29" xfId="3986" xr:uid="{00000000-0005-0000-0000-0000192F0000}"/>
    <cellStyle name="Porcentual 29 2" xfId="7531" xr:uid="{00000000-0005-0000-0000-00001A2F0000}"/>
    <cellStyle name="Porcentual 29 2 2" xfId="9782" xr:uid="{00000000-0005-0000-0000-00001B2F0000}"/>
    <cellStyle name="Porcentual 29 2 2 2" xfId="10480" xr:uid="{00000000-0005-0000-0000-00001C2F0000}"/>
    <cellStyle name="Porcentual 29 2 2 2 2" xfId="12215" xr:uid="{00000000-0005-0000-0000-00001D2F0000}"/>
    <cellStyle name="Porcentual 29 2 2 3" xfId="11568" xr:uid="{00000000-0005-0000-0000-00001E2F0000}"/>
    <cellStyle name="Porcentual 29 2 3" xfId="10193" xr:uid="{00000000-0005-0000-0000-00001F2F0000}"/>
    <cellStyle name="Porcentual 29 2 3 2" xfId="11929" xr:uid="{00000000-0005-0000-0000-0000202F0000}"/>
    <cellStyle name="Porcentual 29 2 4" xfId="11203" xr:uid="{00000000-0005-0000-0000-0000212F0000}"/>
    <cellStyle name="Porcentual 29 3" xfId="7532" xr:uid="{00000000-0005-0000-0000-0000222F0000}"/>
    <cellStyle name="Porcentual 29 3 2" xfId="9783" xr:uid="{00000000-0005-0000-0000-0000232F0000}"/>
    <cellStyle name="Porcentual 29 3 2 2" xfId="10481" xr:uid="{00000000-0005-0000-0000-0000242F0000}"/>
    <cellStyle name="Porcentual 29 3 2 2 2" xfId="12216" xr:uid="{00000000-0005-0000-0000-0000252F0000}"/>
    <cellStyle name="Porcentual 29 3 2 3" xfId="11569" xr:uid="{00000000-0005-0000-0000-0000262F0000}"/>
    <cellStyle name="Porcentual 29 3 3" xfId="10194" xr:uid="{00000000-0005-0000-0000-0000272F0000}"/>
    <cellStyle name="Porcentual 29 3 3 2" xfId="11930" xr:uid="{00000000-0005-0000-0000-0000282F0000}"/>
    <cellStyle name="Porcentual 29 3 4" xfId="11204" xr:uid="{00000000-0005-0000-0000-0000292F0000}"/>
    <cellStyle name="Porcentual 29 4" xfId="9508" xr:uid="{00000000-0005-0000-0000-00002A2F0000}"/>
    <cellStyle name="Porcentual 3" xfId="115" xr:uid="{00000000-0005-0000-0000-00002B2F0000}"/>
    <cellStyle name="Porcentual 3 10" xfId="4345" xr:uid="{00000000-0005-0000-0000-00002C2F0000}"/>
    <cellStyle name="Porcentual 3 2" xfId="116" xr:uid="{00000000-0005-0000-0000-00002D2F0000}"/>
    <cellStyle name="Porcentual 3 2 2" xfId="3988" xr:uid="{00000000-0005-0000-0000-00002E2F0000}"/>
    <cellStyle name="Porcentual 3 2 2 2" xfId="9509" xr:uid="{00000000-0005-0000-0000-00002F2F0000}"/>
    <cellStyle name="Porcentual 3 2 3" xfId="3989" xr:uid="{00000000-0005-0000-0000-0000302F0000}"/>
    <cellStyle name="Porcentual 3 2 3 2" xfId="9510" xr:uid="{00000000-0005-0000-0000-0000312F0000}"/>
    <cellStyle name="Porcentual 3 2 4" xfId="3990" xr:uid="{00000000-0005-0000-0000-0000322F0000}"/>
    <cellStyle name="Porcentual 3 2 4 2" xfId="9511" xr:uid="{00000000-0005-0000-0000-0000332F0000}"/>
    <cellStyle name="Porcentual 3 2 5" xfId="3991" xr:uid="{00000000-0005-0000-0000-0000342F0000}"/>
    <cellStyle name="Porcentual 3 2 5 2" xfId="9512" xr:uid="{00000000-0005-0000-0000-0000352F0000}"/>
    <cellStyle name="Porcentual 3 2 6" xfId="3992" xr:uid="{00000000-0005-0000-0000-0000362F0000}"/>
    <cellStyle name="Porcentual 3 2 6 2" xfId="9513" xr:uid="{00000000-0005-0000-0000-0000372F0000}"/>
    <cellStyle name="Porcentual 3 2 7" xfId="3993" xr:uid="{00000000-0005-0000-0000-0000382F0000}"/>
    <cellStyle name="Porcentual 3 2 7 2" xfId="9514" xr:uid="{00000000-0005-0000-0000-0000392F0000}"/>
    <cellStyle name="Porcentual 3 2 8" xfId="3994" xr:uid="{00000000-0005-0000-0000-00003A2F0000}"/>
    <cellStyle name="Porcentual 3 2 8 2" xfId="9515" xr:uid="{00000000-0005-0000-0000-00003B2F0000}"/>
    <cellStyle name="Porcentual 3 2 9" xfId="3987" xr:uid="{00000000-0005-0000-0000-00003C2F0000}"/>
    <cellStyle name="Porcentual 3 3" xfId="3995" xr:uid="{00000000-0005-0000-0000-00003D2F0000}"/>
    <cellStyle name="Porcentual 3 3 2" xfId="9516" xr:uid="{00000000-0005-0000-0000-00003E2F0000}"/>
    <cellStyle name="Porcentual 3 4" xfId="3996" xr:uid="{00000000-0005-0000-0000-00003F2F0000}"/>
    <cellStyle name="Porcentual 3 5" xfId="3997" xr:uid="{00000000-0005-0000-0000-0000402F0000}"/>
    <cellStyle name="Porcentual 3 6" xfId="3998" xr:uid="{00000000-0005-0000-0000-0000412F0000}"/>
    <cellStyle name="Porcentual 3 7" xfId="3999" xr:uid="{00000000-0005-0000-0000-0000422F0000}"/>
    <cellStyle name="Porcentual 3 8" xfId="4000" xr:uid="{00000000-0005-0000-0000-0000432F0000}"/>
    <cellStyle name="Porcentual 3 9" xfId="4001" xr:uid="{00000000-0005-0000-0000-0000442F0000}"/>
    <cellStyle name="Porcentual 30" xfId="4002" xr:uid="{00000000-0005-0000-0000-0000452F0000}"/>
    <cellStyle name="Porcentual 30 2" xfId="7533" xr:uid="{00000000-0005-0000-0000-0000462F0000}"/>
    <cellStyle name="Porcentual 30 2 2" xfId="9784" xr:uid="{00000000-0005-0000-0000-0000472F0000}"/>
    <cellStyle name="Porcentual 30 2 2 2" xfId="10482" xr:uid="{00000000-0005-0000-0000-0000482F0000}"/>
    <cellStyle name="Porcentual 30 2 2 2 2" xfId="12217" xr:uid="{00000000-0005-0000-0000-0000492F0000}"/>
    <cellStyle name="Porcentual 30 2 2 3" xfId="11570" xr:uid="{00000000-0005-0000-0000-00004A2F0000}"/>
    <cellStyle name="Porcentual 30 2 3" xfId="10195" xr:uid="{00000000-0005-0000-0000-00004B2F0000}"/>
    <cellStyle name="Porcentual 30 2 3 2" xfId="11931" xr:uid="{00000000-0005-0000-0000-00004C2F0000}"/>
    <cellStyle name="Porcentual 30 2 4" xfId="11205" xr:uid="{00000000-0005-0000-0000-00004D2F0000}"/>
    <cellStyle name="Porcentual 30 3" xfId="7534" xr:uid="{00000000-0005-0000-0000-00004E2F0000}"/>
    <cellStyle name="Porcentual 30 3 2" xfId="9785" xr:uid="{00000000-0005-0000-0000-00004F2F0000}"/>
    <cellStyle name="Porcentual 30 3 2 2" xfId="10483" xr:uid="{00000000-0005-0000-0000-0000502F0000}"/>
    <cellStyle name="Porcentual 30 3 2 2 2" xfId="12218" xr:uid="{00000000-0005-0000-0000-0000512F0000}"/>
    <cellStyle name="Porcentual 30 3 2 3" xfId="11571" xr:uid="{00000000-0005-0000-0000-0000522F0000}"/>
    <cellStyle name="Porcentual 30 3 3" xfId="10196" xr:uid="{00000000-0005-0000-0000-0000532F0000}"/>
    <cellStyle name="Porcentual 30 3 3 2" xfId="11932" xr:uid="{00000000-0005-0000-0000-0000542F0000}"/>
    <cellStyle name="Porcentual 30 3 4" xfId="11206" xr:uid="{00000000-0005-0000-0000-0000552F0000}"/>
    <cellStyle name="Porcentual 30 4" xfId="9517" xr:uid="{00000000-0005-0000-0000-0000562F0000}"/>
    <cellStyle name="Porcentual 31" xfId="4003" xr:uid="{00000000-0005-0000-0000-0000572F0000}"/>
    <cellStyle name="Porcentual 31 2" xfId="7535" xr:uid="{00000000-0005-0000-0000-0000582F0000}"/>
    <cellStyle name="Porcentual 31 2 2" xfId="9786" xr:uid="{00000000-0005-0000-0000-0000592F0000}"/>
    <cellStyle name="Porcentual 31 2 2 2" xfId="10484" xr:uid="{00000000-0005-0000-0000-00005A2F0000}"/>
    <cellStyle name="Porcentual 31 2 2 2 2" xfId="12219" xr:uid="{00000000-0005-0000-0000-00005B2F0000}"/>
    <cellStyle name="Porcentual 31 2 2 3" xfId="11572" xr:uid="{00000000-0005-0000-0000-00005C2F0000}"/>
    <cellStyle name="Porcentual 31 2 3" xfId="10197" xr:uid="{00000000-0005-0000-0000-00005D2F0000}"/>
    <cellStyle name="Porcentual 31 2 3 2" xfId="11933" xr:uid="{00000000-0005-0000-0000-00005E2F0000}"/>
    <cellStyle name="Porcentual 31 2 4" xfId="11207" xr:uid="{00000000-0005-0000-0000-00005F2F0000}"/>
    <cellStyle name="Porcentual 31 3" xfId="9518" xr:uid="{00000000-0005-0000-0000-0000602F0000}"/>
    <cellStyle name="Porcentual 32" xfId="4004" xr:uid="{00000000-0005-0000-0000-0000612F0000}"/>
    <cellStyle name="Porcentual 32 2" xfId="7536" xr:uid="{00000000-0005-0000-0000-0000622F0000}"/>
    <cellStyle name="Porcentual 32 2 2" xfId="9787" xr:uid="{00000000-0005-0000-0000-0000632F0000}"/>
    <cellStyle name="Porcentual 32 2 2 2" xfId="10485" xr:uid="{00000000-0005-0000-0000-0000642F0000}"/>
    <cellStyle name="Porcentual 32 2 2 2 2" xfId="12220" xr:uid="{00000000-0005-0000-0000-0000652F0000}"/>
    <cellStyle name="Porcentual 32 2 2 3" xfId="11573" xr:uid="{00000000-0005-0000-0000-0000662F0000}"/>
    <cellStyle name="Porcentual 32 2 3" xfId="10198" xr:uid="{00000000-0005-0000-0000-0000672F0000}"/>
    <cellStyle name="Porcentual 32 2 3 2" xfId="11934" xr:uid="{00000000-0005-0000-0000-0000682F0000}"/>
    <cellStyle name="Porcentual 32 2 4" xfId="11208" xr:uid="{00000000-0005-0000-0000-0000692F0000}"/>
    <cellStyle name="Porcentual 32 3" xfId="9519" xr:uid="{00000000-0005-0000-0000-00006A2F0000}"/>
    <cellStyle name="Porcentual 33" xfId="4005" xr:uid="{00000000-0005-0000-0000-00006B2F0000}"/>
    <cellStyle name="Porcentual 33 2" xfId="7537" xr:uid="{00000000-0005-0000-0000-00006C2F0000}"/>
    <cellStyle name="Porcentual 33 2 2" xfId="9788" xr:uid="{00000000-0005-0000-0000-00006D2F0000}"/>
    <cellStyle name="Porcentual 33 2 2 2" xfId="10486" xr:uid="{00000000-0005-0000-0000-00006E2F0000}"/>
    <cellStyle name="Porcentual 33 2 2 2 2" xfId="12221" xr:uid="{00000000-0005-0000-0000-00006F2F0000}"/>
    <cellStyle name="Porcentual 33 2 2 3" xfId="11574" xr:uid="{00000000-0005-0000-0000-0000702F0000}"/>
    <cellStyle name="Porcentual 33 2 3" xfId="10199" xr:uid="{00000000-0005-0000-0000-0000712F0000}"/>
    <cellStyle name="Porcentual 33 2 3 2" xfId="11935" xr:uid="{00000000-0005-0000-0000-0000722F0000}"/>
    <cellStyle name="Porcentual 33 2 4" xfId="11209" xr:uid="{00000000-0005-0000-0000-0000732F0000}"/>
    <cellStyle name="Porcentual 33 3" xfId="9520" xr:uid="{00000000-0005-0000-0000-0000742F0000}"/>
    <cellStyle name="Porcentual 34" xfId="4006" xr:uid="{00000000-0005-0000-0000-0000752F0000}"/>
    <cellStyle name="Porcentual 34 2" xfId="7538" xr:uid="{00000000-0005-0000-0000-0000762F0000}"/>
    <cellStyle name="Porcentual 34 2 2" xfId="9789" xr:uid="{00000000-0005-0000-0000-0000772F0000}"/>
    <cellStyle name="Porcentual 34 2 2 2" xfId="10487" xr:uid="{00000000-0005-0000-0000-0000782F0000}"/>
    <cellStyle name="Porcentual 34 2 2 2 2" xfId="12222" xr:uid="{00000000-0005-0000-0000-0000792F0000}"/>
    <cellStyle name="Porcentual 34 2 2 3" xfId="11575" xr:uid="{00000000-0005-0000-0000-00007A2F0000}"/>
    <cellStyle name="Porcentual 34 2 3" xfId="10200" xr:uid="{00000000-0005-0000-0000-00007B2F0000}"/>
    <cellStyle name="Porcentual 34 2 3 2" xfId="11936" xr:uid="{00000000-0005-0000-0000-00007C2F0000}"/>
    <cellStyle name="Porcentual 34 2 4" xfId="11210" xr:uid="{00000000-0005-0000-0000-00007D2F0000}"/>
    <cellStyle name="Porcentual 34 3" xfId="9521" xr:uid="{00000000-0005-0000-0000-00007E2F0000}"/>
    <cellStyle name="Porcentual 35" xfId="4007" xr:uid="{00000000-0005-0000-0000-00007F2F0000}"/>
    <cellStyle name="Porcentual 35 2" xfId="7539" xr:uid="{00000000-0005-0000-0000-0000802F0000}"/>
    <cellStyle name="Porcentual 35 2 2" xfId="9790" xr:uid="{00000000-0005-0000-0000-0000812F0000}"/>
    <cellStyle name="Porcentual 35 2 2 2" xfId="10488" xr:uid="{00000000-0005-0000-0000-0000822F0000}"/>
    <cellStyle name="Porcentual 35 2 2 2 2" xfId="12223" xr:uid="{00000000-0005-0000-0000-0000832F0000}"/>
    <cellStyle name="Porcentual 35 2 2 3" xfId="11576" xr:uid="{00000000-0005-0000-0000-0000842F0000}"/>
    <cellStyle name="Porcentual 35 2 3" xfId="10201" xr:uid="{00000000-0005-0000-0000-0000852F0000}"/>
    <cellStyle name="Porcentual 35 2 3 2" xfId="11937" xr:uid="{00000000-0005-0000-0000-0000862F0000}"/>
    <cellStyle name="Porcentual 35 2 4" xfId="11211" xr:uid="{00000000-0005-0000-0000-0000872F0000}"/>
    <cellStyle name="Porcentual 35 3" xfId="9522" xr:uid="{00000000-0005-0000-0000-0000882F0000}"/>
    <cellStyle name="Porcentual 36" xfId="4008" xr:uid="{00000000-0005-0000-0000-0000892F0000}"/>
    <cellStyle name="Porcentual 36 2" xfId="7540" xr:uid="{00000000-0005-0000-0000-00008A2F0000}"/>
    <cellStyle name="Porcentual 36 2 2" xfId="9791" xr:uid="{00000000-0005-0000-0000-00008B2F0000}"/>
    <cellStyle name="Porcentual 36 2 2 2" xfId="10489" xr:uid="{00000000-0005-0000-0000-00008C2F0000}"/>
    <cellStyle name="Porcentual 36 2 2 2 2" xfId="12224" xr:uid="{00000000-0005-0000-0000-00008D2F0000}"/>
    <cellStyle name="Porcentual 36 2 2 3" xfId="11577" xr:uid="{00000000-0005-0000-0000-00008E2F0000}"/>
    <cellStyle name="Porcentual 36 2 3" xfId="10202" xr:uid="{00000000-0005-0000-0000-00008F2F0000}"/>
    <cellStyle name="Porcentual 36 2 3 2" xfId="11938" xr:uid="{00000000-0005-0000-0000-0000902F0000}"/>
    <cellStyle name="Porcentual 36 2 4" xfId="11212" xr:uid="{00000000-0005-0000-0000-0000912F0000}"/>
    <cellStyle name="Porcentual 36 3" xfId="9523" xr:uid="{00000000-0005-0000-0000-0000922F0000}"/>
    <cellStyle name="Porcentual 37" xfId="4009" xr:uid="{00000000-0005-0000-0000-0000932F0000}"/>
    <cellStyle name="Porcentual 37 2" xfId="7541" xr:uid="{00000000-0005-0000-0000-0000942F0000}"/>
    <cellStyle name="Porcentual 37 2 2" xfId="9792" xr:uid="{00000000-0005-0000-0000-0000952F0000}"/>
    <cellStyle name="Porcentual 37 2 2 2" xfId="10490" xr:uid="{00000000-0005-0000-0000-0000962F0000}"/>
    <cellStyle name="Porcentual 37 2 2 2 2" xfId="12225" xr:uid="{00000000-0005-0000-0000-0000972F0000}"/>
    <cellStyle name="Porcentual 37 2 2 3" xfId="11578" xr:uid="{00000000-0005-0000-0000-0000982F0000}"/>
    <cellStyle name="Porcentual 37 2 3" xfId="10203" xr:uid="{00000000-0005-0000-0000-0000992F0000}"/>
    <cellStyle name="Porcentual 37 2 3 2" xfId="11939" xr:uid="{00000000-0005-0000-0000-00009A2F0000}"/>
    <cellStyle name="Porcentual 37 2 4" xfId="11213" xr:uid="{00000000-0005-0000-0000-00009B2F0000}"/>
    <cellStyle name="Porcentual 37 3" xfId="9524" xr:uid="{00000000-0005-0000-0000-00009C2F0000}"/>
    <cellStyle name="Porcentual 38" xfId="4010" xr:uid="{00000000-0005-0000-0000-00009D2F0000}"/>
    <cellStyle name="Porcentual 38 2" xfId="7542" xr:uid="{00000000-0005-0000-0000-00009E2F0000}"/>
    <cellStyle name="Porcentual 38 2 2" xfId="9793" xr:uid="{00000000-0005-0000-0000-00009F2F0000}"/>
    <cellStyle name="Porcentual 38 2 2 2" xfId="10491" xr:uid="{00000000-0005-0000-0000-0000A02F0000}"/>
    <cellStyle name="Porcentual 38 2 2 2 2" xfId="12226" xr:uid="{00000000-0005-0000-0000-0000A12F0000}"/>
    <cellStyle name="Porcentual 38 2 2 3" xfId="11579" xr:uid="{00000000-0005-0000-0000-0000A22F0000}"/>
    <cellStyle name="Porcentual 38 2 3" xfId="10204" xr:uid="{00000000-0005-0000-0000-0000A32F0000}"/>
    <cellStyle name="Porcentual 38 2 3 2" xfId="11940" xr:uid="{00000000-0005-0000-0000-0000A42F0000}"/>
    <cellStyle name="Porcentual 38 2 4" xfId="11214" xr:uid="{00000000-0005-0000-0000-0000A52F0000}"/>
    <cellStyle name="Porcentual 38 3" xfId="9525" xr:uid="{00000000-0005-0000-0000-0000A62F0000}"/>
    <cellStyle name="Porcentual 39" xfId="4011" xr:uid="{00000000-0005-0000-0000-0000A72F0000}"/>
    <cellStyle name="Porcentual 39 2" xfId="7543" xr:uid="{00000000-0005-0000-0000-0000A82F0000}"/>
    <cellStyle name="Porcentual 39 2 2" xfId="9794" xr:uid="{00000000-0005-0000-0000-0000A92F0000}"/>
    <cellStyle name="Porcentual 39 2 2 2" xfId="10492" xr:uid="{00000000-0005-0000-0000-0000AA2F0000}"/>
    <cellStyle name="Porcentual 39 2 2 2 2" xfId="12227" xr:uid="{00000000-0005-0000-0000-0000AB2F0000}"/>
    <cellStyle name="Porcentual 39 2 2 3" xfId="11580" xr:uid="{00000000-0005-0000-0000-0000AC2F0000}"/>
    <cellStyle name="Porcentual 39 2 3" xfId="10205" xr:uid="{00000000-0005-0000-0000-0000AD2F0000}"/>
    <cellStyle name="Porcentual 39 2 3 2" xfId="11941" xr:uid="{00000000-0005-0000-0000-0000AE2F0000}"/>
    <cellStyle name="Porcentual 39 2 4" xfId="11215" xr:uid="{00000000-0005-0000-0000-0000AF2F0000}"/>
    <cellStyle name="Porcentual 39 3" xfId="9526" xr:uid="{00000000-0005-0000-0000-0000B02F0000}"/>
    <cellStyle name="Porcentual 4" xfId="117" xr:uid="{00000000-0005-0000-0000-0000B12F0000}"/>
    <cellStyle name="Porcentual 4 2" xfId="118" xr:uid="{00000000-0005-0000-0000-0000B22F0000}"/>
    <cellStyle name="Porcentual 4 2 2" xfId="7544" xr:uid="{00000000-0005-0000-0000-0000B32F0000}"/>
    <cellStyle name="Porcentual 4 2 3" xfId="4013" xr:uid="{00000000-0005-0000-0000-0000B42F0000}"/>
    <cellStyle name="Porcentual 4 3" xfId="7545" xr:uid="{00000000-0005-0000-0000-0000B52F0000}"/>
    <cellStyle name="Porcentual 4 4" xfId="4012" xr:uid="{00000000-0005-0000-0000-0000B62F0000}"/>
    <cellStyle name="Porcentual 40" xfId="4014" xr:uid="{00000000-0005-0000-0000-0000B72F0000}"/>
    <cellStyle name="Porcentual 40 2" xfId="7546" xr:uid="{00000000-0005-0000-0000-0000B82F0000}"/>
    <cellStyle name="Porcentual 40 2 2" xfId="9795" xr:uid="{00000000-0005-0000-0000-0000B92F0000}"/>
    <cellStyle name="Porcentual 40 2 2 2" xfId="10493" xr:uid="{00000000-0005-0000-0000-0000BA2F0000}"/>
    <cellStyle name="Porcentual 40 2 2 2 2" xfId="12228" xr:uid="{00000000-0005-0000-0000-0000BB2F0000}"/>
    <cellStyle name="Porcentual 40 2 2 3" xfId="11581" xr:uid="{00000000-0005-0000-0000-0000BC2F0000}"/>
    <cellStyle name="Porcentual 40 2 3" xfId="10206" xr:uid="{00000000-0005-0000-0000-0000BD2F0000}"/>
    <cellStyle name="Porcentual 40 2 3 2" xfId="11942" xr:uid="{00000000-0005-0000-0000-0000BE2F0000}"/>
    <cellStyle name="Porcentual 40 2 4" xfId="11216" xr:uid="{00000000-0005-0000-0000-0000BF2F0000}"/>
    <cellStyle name="Porcentual 40 3" xfId="9527" xr:uid="{00000000-0005-0000-0000-0000C02F0000}"/>
    <cellStyle name="Porcentual 41" xfId="4015" xr:uid="{00000000-0005-0000-0000-0000C12F0000}"/>
    <cellStyle name="Porcentual 41 2" xfId="7547" xr:uid="{00000000-0005-0000-0000-0000C22F0000}"/>
    <cellStyle name="Porcentual 41 2 2" xfId="9796" xr:uid="{00000000-0005-0000-0000-0000C32F0000}"/>
    <cellStyle name="Porcentual 41 2 2 2" xfId="10494" xr:uid="{00000000-0005-0000-0000-0000C42F0000}"/>
    <cellStyle name="Porcentual 41 2 2 2 2" xfId="12229" xr:uid="{00000000-0005-0000-0000-0000C52F0000}"/>
    <cellStyle name="Porcentual 41 2 2 3" xfId="11582" xr:uid="{00000000-0005-0000-0000-0000C62F0000}"/>
    <cellStyle name="Porcentual 41 2 3" xfId="10207" xr:uid="{00000000-0005-0000-0000-0000C72F0000}"/>
    <cellStyle name="Porcentual 41 2 3 2" xfId="11943" xr:uid="{00000000-0005-0000-0000-0000C82F0000}"/>
    <cellStyle name="Porcentual 41 2 4" xfId="11217" xr:uid="{00000000-0005-0000-0000-0000C92F0000}"/>
    <cellStyle name="Porcentual 41 3" xfId="9528" xr:uid="{00000000-0005-0000-0000-0000CA2F0000}"/>
    <cellStyle name="Porcentual 42" xfId="4016" xr:uid="{00000000-0005-0000-0000-0000CB2F0000}"/>
    <cellStyle name="Porcentual 42 2" xfId="7548" xr:uid="{00000000-0005-0000-0000-0000CC2F0000}"/>
    <cellStyle name="Porcentual 42 2 2" xfId="9797" xr:uid="{00000000-0005-0000-0000-0000CD2F0000}"/>
    <cellStyle name="Porcentual 42 2 2 2" xfId="10495" xr:uid="{00000000-0005-0000-0000-0000CE2F0000}"/>
    <cellStyle name="Porcentual 42 2 2 2 2" xfId="12230" xr:uid="{00000000-0005-0000-0000-0000CF2F0000}"/>
    <cellStyle name="Porcentual 42 2 2 3" xfId="11583" xr:uid="{00000000-0005-0000-0000-0000D02F0000}"/>
    <cellStyle name="Porcentual 42 2 3" xfId="10208" xr:uid="{00000000-0005-0000-0000-0000D12F0000}"/>
    <cellStyle name="Porcentual 42 2 3 2" xfId="11944" xr:uid="{00000000-0005-0000-0000-0000D22F0000}"/>
    <cellStyle name="Porcentual 42 2 4" xfId="11218" xr:uid="{00000000-0005-0000-0000-0000D32F0000}"/>
    <cellStyle name="Porcentual 42 3" xfId="9529" xr:uid="{00000000-0005-0000-0000-0000D42F0000}"/>
    <cellStyle name="Porcentual 45" xfId="4017" xr:uid="{00000000-0005-0000-0000-0000D52F0000}"/>
    <cellStyle name="Porcentual 45 2" xfId="7549" xr:uid="{00000000-0005-0000-0000-0000D62F0000}"/>
    <cellStyle name="Porcentual 45 2 2" xfId="9798" xr:uid="{00000000-0005-0000-0000-0000D72F0000}"/>
    <cellStyle name="Porcentual 45 2 2 2" xfId="10496" xr:uid="{00000000-0005-0000-0000-0000D82F0000}"/>
    <cellStyle name="Porcentual 45 2 2 2 2" xfId="12231" xr:uid="{00000000-0005-0000-0000-0000D92F0000}"/>
    <cellStyle name="Porcentual 45 2 2 3" xfId="11584" xr:uid="{00000000-0005-0000-0000-0000DA2F0000}"/>
    <cellStyle name="Porcentual 45 2 3" xfId="10209" xr:uid="{00000000-0005-0000-0000-0000DB2F0000}"/>
    <cellStyle name="Porcentual 45 2 3 2" xfId="11945" xr:uid="{00000000-0005-0000-0000-0000DC2F0000}"/>
    <cellStyle name="Porcentual 45 2 4" xfId="11219" xr:uid="{00000000-0005-0000-0000-0000DD2F0000}"/>
    <cellStyle name="Porcentual 45 3" xfId="9530" xr:uid="{00000000-0005-0000-0000-0000DE2F0000}"/>
    <cellStyle name="Porcentual 46" xfId="4018" xr:uid="{00000000-0005-0000-0000-0000DF2F0000}"/>
    <cellStyle name="Porcentual 46 2" xfId="7550" xr:uid="{00000000-0005-0000-0000-0000E02F0000}"/>
    <cellStyle name="Porcentual 46 2 2" xfId="9799" xr:uid="{00000000-0005-0000-0000-0000E12F0000}"/>
    <cellStyle name="Porcentual 46 2 2 2" xfId="10497" xr:uid="{00000000-0005-0000-0000-0000E22F0000}"/>
    <cellStyle name="Porcentual 46 2 2 2 2" xfId="12232" xr:uid="{00000000-0005-0000-0000-0000E32F0000}"/>
    <cellStyle name="Porcentual 46 2 2 3" xfId="11585" xr:uid="{00000000-0005-0000-0000-0000E42F0000}"/>
    <cellStyle name="Porcentual 46 2 3" xfId="10210" xr:uid="{00000000-0005-0000-0000-0000E52F0000}"/>
    <cellStyle name="Porcentual 46 2 3 2" xfId="11946" xr:uid="{00000000-0005-0000-0000-0000E62F0000}"/>
    <cellStyle name="Porcentual 46 2 4" xfId="11220" xr:uid="{00000000-0005-0000-0000-0000E72F0000}"/>
    <cellStyle name="Porcentual 46 3" xfId="9531" xr:uid="{00000000-0005-0000-0000-0000E82F0000}"/>
    <cellStyle name="Porcentual 47" xfId="4019" xr:uid="{00000000-0005-0000-0000-0000E92F0000}"/>
    <cellStyle name="Porcentual 47 2" xfId="7551" xr:uid="{00000000-0005-0000-0000-0000EA2F0000}"/>
    <cellStyle name="Porcentual 47 2 2" xfId="9800" xr:uid="{00000000-0005-0000-0000-0000EB2F0000}"/>
    <cellStyle name="Porcentual 47 2 2 2" xfId="10498" xr:uid="{00000000-0005-0000-0000-0000EC2F0000}"/>
    <cellStyle name="Porcentual 47 2 2 2 2" xfId="12233" xr:uid="{00000000-0005-0000-0000-0000ED2F0000}"/>
    <cellStyle name="Porcentual 47 2 2 3" xfId="11586" xr:uid="{00000000-0005-0000-0000-0000EE2F0000}"/>
    <cellStyle name="Porcentual 47 2 3" xfId="10211" xr:uid="{00000000-0005-0000-0000-0000EF2F0000}"/>
    <cellStyle name="Porcentual 47 2 3 2" xfId="11947" xr:uid="{00000000-0005-0000-0000-0000F02F0000}"/>
    <cellStyle name="Porcentual 47 2 4" xfId="11221" xr:uid="{00000000-0005-0000-0000-0000F12F0000}"/>
    <cellStyle name="Porcentual 47 3" xfId="9532" xr:uid="{00000000-0005-0000-0000-0000F22F0000}"/>
    <cellStyle name="Porcentual 48" xfId="4020" xr:uid="{00000000-0005-0000-0000-0000F32F0000}"/>
    <cellStyle name="Porcentual 48 2" xfId="7552" xr:uid="{00000000-0005-0000-0000-0000F42F0000}"/>
    <cellStyle name="Porcentual 48 2 2" xfId="9801" xr:uid="{00000000-0005-0000-0000-0000F52F0000}"/>
    <cellStyle name="Porcentual 48 2 2 2" xfId="10499" xr:uid="{00000000-0005-0000-0000-0000F62F0000}"/>
    <cellStyle name="Porcentual 48 2 2 2 2" xfId="12234" xr:uid="{00000000-0005-0000-0000-0000F72F0000}"/>
    <cellStyle name="Porcentual 48 2 2 3" xfId="11587" xr:uid="{00000000-0005-0000-0000-0000F82F0000}"/>
    <cellStyle name="Porcentual 48 2 3" xfId="10212" xr:uid="{00000000-0005-0000-0000-0000F92F0000}"/>
    <cellStyle name="Porcentual 48 2 3 2" xfId="11948" xr:uid="{00000000-0005-0000-0000-0000FA2F0000}"/>
    <cellStyle name="Porcentual 48 2 4" xfId="11222" xr:uid="{00000000-0005-0000-0000-0000FB2F0000}"/>
    <cellStyle name="Porcentual 48 3" xfId="9533" xr:uid="{00000000-0005-0000-0000-0000FC2F0000}"/>
    <cellStyle name="Porcentual 49" xfId="4021" xr:uid="{00000000-0005-0000-0000-0000FD2F0000}"/>
    <cellStyle name="Porcentual 49 2" xfId="7553" xr:uid="{00000000-0005-0000-0000-0000FE2F0000}"/>
    <cellStyle name="Porcentual 49 2 2" xfId="9802" xr:uid="{00000000-0005-0000-0000-0000FF2F0000}"/>
    <cellStyle name="Porcentual 49 2 2 2" xfId="10500" xr:uid="{00000000-0005-0000-0000-000000300000}"/>
    <cellStyle name="Porcentual 49 2 2 2 2" xfId="12235" xr:uid="{00000000-0005-0000-0000-000001300000}"/>
    <cellStyle name="Porcentual 49 2 2 3" xfId="11588" xr:uid="{00000000-0005-0000-0000-000002300000}"/>
    <cellStyle name="Porcentual 49 2 3" xfId="10213" xr:uid="{00000000-0005-0000-0000-000003300000}"/>
    <cellStyle name="Porcentual 49 2 3 2" xfId="11949" xr:uid="{00000000-0005-0000-0000-000004300000}"/>
    <cellStyle name="Porcentual 49 2 4" xfId="11223" xr:uid="{00000000-0005-0000-0000-000005300000}"/>
    <cellStyle name="Porcentual 49 3" xfId="9534" xr:uid="{00000000-0005-0000-0000-000006300000}"/>
    <cellStyle name="Porcentual 5" xfId="119" xr:uid="{00000000-0005-0000-0000-000007300000}"/>
    <cellStyle name="Porcentual 5 2" xfId="4022" xr:uid="{00000000-0005-0000-0000-000008300000}"/>
    <cellStyle name="Porcentual 50" xfId="4023" xr:uid="{00000000-0005-0000-0000-000009300000}"/>
    <cellStyle name="Porcentual 50 2" xfId="7554" xr:uid="{00000000-0005-0000-0000-00000A300000}"/>
    <cellStyle name="Porcentual 50 2 2" xfId="9803" xr:uid="{00000000-0005-0000-0000-00000B300000}"/>
    <cellStyle name="Porcentual 50 2 2 2" xfId="10501" xr:uid="{00000000-0005-0000-0000-00000C300000}"/>
    <cellStyle name="Porcentual 50 2 2 2 2" xfId="12236" xr:uid="{00000000-0005-0000-0000-00000D300000}"/>
    <cellStyle name="Porcentual 50 2 2 3" xfId="11589" xr:uid="{00000000-0005-0000-0000-00000E300000}"/>
    <cellStyle name="Porcentual 50 2 3" xfId="10214" xr:uid="{00000000-0005-0000-0000-00000F300000}"/>
    <cellStyle name="Porcentual 50 2 3 2" xfId="11950" xr:uid="{00000000-0005-0000-0000-000010300000}"/>
    <cellStyle name="Porcentual 50 2 4" xfId="11224" xr:uid="{00000000-0005-0000-0000-000011300000}"/>
    <cellStyle name="Porcentual 50 3" xfId="9535" xr:uid="{00000000-0005-0000-0000-000012300000}"/>
    <cellStyle name="Porcentual 52" xfId="4024" xr:uid="{00000000-0005-0000-0000-000013300000}"/>
    <cellStyle name="Porcentual 52 2" xfId="7555" xr:uid="{00000000-0005-0000-0000-000014300000}"/>
    <cellStyle name="Porcentual 52 2 2" xfId="9804" xr:uid="{00000000-0005-0000-0000-000015300000}"/>
    <cellStyle name="Porcentual 52 2 2 2" xfId="10502" xr:uid="{00000000-0005-0000-0000-000016300000}"/>
    <cellStyle name="Porcentual 52 2 2 2 2" xfId="12237" xr:uid="{00000000-0005-0000-0000-000017300000}"/>
    <cellStyle name="Porcentual 52 2 2 3" xfId="11590" xr:uid="{00000000-0005-0000-0000-000018300000}"/>
    <cellStyle name="Porcentual 52 2 3" xfId="10215" xr:uid="{00000000-0005-0000-0000-000019300000}"/>
    <cellStyle name="Porcentual 52 2 3 2" xfId="11951" xr:uid="{00000000-0005-0000-0000-00001A300000}"/>
    <cellStyle name="Porcentual 52 2 4" xfId="11225" xr:uid="{00000000-0005-0000-0000-00001B300000}"/>
    <cellStyle name="Porcentual 52 3" xfId="9536" xr:uid="{00000000-0005-0000-0000-00001C300000}"/>
    <cellStyle name="Porcentual 53" xfId="4025" xr:uid="{00000000-0005-0000-0000-00001D300000}"/>
    <cellStyle name="Porcentual 53 2" xfId="7556" xr:uid="{00000000-0005-0000-0000-00001E300000}"/>
    <cellStyle name="Porcentual 53 2 2" xfId="9805" xr:uid="{00000000-0005-0000-0000-00001F300000}"/>
    <cellStyle name="Porcentual 53 2 2 2" xfId="10503" xr:uid="{00000000-0005-0000-0000-000020300000}"/>
    <cellStyle name="Porcentual 53 2 2 2 2" xfId="12238" xr:uid="{00000000-0005-0000-0000-000021300000}"/>
    <cellStyle name="Porcentual 53 2 2 3" xfId="11591" xr:uid="{00000000-0005-0000-0000-000022300000}"/>
    <cellStyle name="Porcentual 53 2 3" xfId="10216" xr:uid="{00000000-0005-0000-0000-000023300000}"/>
    <cellStyle name="Porcentual 53 2 3 2" xfId="11952" xr:uid="{00000000-0005-0000-0000-000024300000}"/>
    <cellStyle name="Porcentual 53 2 4" xfId="11226" xr:uid="{00000000-0005-0000-0000-000025300000}"/>
    <cellStyle name="Porcentual 53 3" xfId="9537" xr:uid="{00000000-0005-0000-0000-000026300000}"/>
    <cellStyle name="Porcentual 55" xfId="4026" xr:uid="{00000000-0005-0000-0000-000027300000}"/>
    <cellStyle name="Porcentual 55 2" xfId="7557" xr:uid="{00000000-0005-0000-0000-000028300000}"/>
    <cellStyle name="Porcentual 55 2 2" xfId="9806" xr:uid="{00000000-0005-0000-0000-000029300000}"/>
    <cellStyle name="Porcentual 55 2 2 2" xfId="10504" xr:uid="{00000000-0005-0000-0000-00002A300000}"/>
    <cellStyle name="Porcentual 55 2 2 2 2" xfId="12239" xr:uid="{00000000-0005-0000-0000-00002B300000}"/>
    <cellStyle name="Porcentual 55 2 2 3" xfId="11592" xr:uid="{00000000-0005-0000-0000-00002C300000}"/>
    <cellStyle name="Porcentual 55 2 3" xfId="10217" xr:uid="{00000000-0005-0000-0000-00002D300000}"/>
    <cellStyle name="Porcentual 55 2 3 2" xfId="11953" xr:uid="{00000000-0005-0000-0000-00002E300000}"/>
    <cellStyle name="Porcentual 55 2 4" xfId="11227" xr:uid="{00000000-0005-0000-0000-00002F300000}"/>
    <cellStyle name="Porcentual 55 3" xfId="9538" xr:uid="{00000000-0005-0000-0000-000030300000}"/>
    <cellStyle name="Porcentual 56" xfId="4027" xr:uid="{00000000-0005-0000-0000-000031300000}"/>
    <cellStyle name="Porcentual 56 2" xfId="7558" xr:uid="{00000000-0005-0000-0000-000032300000}"/>
    <cellStyle name="Porcentual 56 2 2" xfId="9807" xr:uid="{00000000-0005-0000-0000-000033300000}"/>
    <cellStyle name="Porcentual 56 2 2 2" xfId="10505" xr:uid="{00000000-0005-0000-0000-000034300000}"/>
    <cellStyle name="Porcentual 56 2 2 2 2" xfId="12240" xr:uid="{00000000-0005-0000-0000-000035300000}"/>
    <cellStyle name="Porcentual 56 2 2 3" xfId="11593" xr:uid="{00000000-0005-0000-0000-000036300000}"/>
    <cellStyle name="Porcentual 56 2 3" xfId="10218" xr:uid="{00000000-0005-0000-0000-000037300000}"/>
    <cellStyle name="Porcentual 56 2 3 2" xfId="11954" xr:uid="{00000000-0005-0000-0000-000038300000}"/>
    <cellStyle name="Porcentual 56 2 4" xfId="11228" xr:uid="{00000000-0005-0000-0000-000039300000}"/>
    <cellStyle name="Porcentual 56 3" xfId="9539" xr:uid="{00000000-0005-0000-0000-00003A300000}"/>
    <cellStyle name="Porcentual 6" xfId="120" xr:uid="{00000000-0005-0000-0000-00003B300000}"/>
    <cellStyle name="Porcentual 6 2" xfId="9540" xr:uid="{00000000-0005-0000-0000-00003C300000}"/>
    <cellStyle name="Porcentual 7" xfId="4028" xr:uid="{00000000-0005-0000-0000-00003D300000}"/>
    <cellStyle name="Porcentual 7 2" xfId="7559" xr:uid="{00000000-0005-0000-0000-00003E300000}"/>
    <cellStyle name="Porcentual 8" xfId="4029" xr:uid="{00000000-0005-0000-0000-00003F300000}"/>
    <cellStyle name="Porcentual 8 2" xfId="7560" xr:uid="{00000000-0005-0000-0000-000040300000}"/>
    <cellStyle name="Porcentual 8 2 2" xfId="7561" xr:uid="{00000000-0005-0000-0000-000041300000}"/>
    <cellStyle name="Porcentual 8 2 2 2" xfId="9809" xr:uid="{00000000-0005-0000-0000-000042300000}"/>
    <cellStyle name="Porcentual 8 2 2 2 2" xfId="10507" xr:uid="{00000000-0005-0000-0000-000043300000}"/>
    <cellStyle name="Porcentual 8 2 2 2 2 2" xfId="12242" xr:uid="{00000000-0005-0000-0000-000044300000}"/>
    <cellStyle name="Porcentual 8 2 2 2 3" xfId="11595" xr:uid="{00000000-0005-0000-0000-000045300000}"/>
    <cellStyle name="Porcentual 8 2 2 3" xfId="10220" xr:uid="{00000000-0005-0000-0000-000046300000}"/>
    <cellStyle name="Porcentual 8 2 2 3 2" xfId="11956" xr:uid="{00000000-0005-0000-0000-000047300000}"/>
    <cellStyle name="Porcentual 8 2 2 4" xfId="11230" xr:uid="{00000000-0005-0000-0000-000048300000}"/>
    <cellStyle name="Porcentual 8 2 3" xfId="9808" xr:uid="{00000000-0005-0000-0000-000049300000}"/>
    <cellStyle name="Porcentual 8 2 3 2" xfId="10506" xr:uid="{00000000-0005-0000-0000-00004A300000}"/>
    <cellStyle name="Porcentual 8 2 3 2 2" xfId="12241" xr:uid="{00000000-0005-0000-0000-00004B300000}"/>
    <cellStyle name="Porcentual 8 2 3 3" xfId="11594" xr:uid="{00000000-0005-0000-0000-00004C300000}"/>
    <cellStyle name="Porcentual 8 2 4" xfId="10219" xr:uid="{00000000-0005-0000-0000-00004D300000}"/>
    <cellStyle name="Porcentual 8 2 4 2" xfId="11955" xr:uid="{00000000-0005-0000-0000-00004E300000}"/>
    <cellStyle name="Porcentual 8 2 5" xfId="11229" xr:uid="{00000000-0005-0000-0000-00004F300000}"/>
    <cellStyle name="Porcentual 8 3" xfId="9541" xr:uid="{00000000-0005-0000-0000-000050300000}"/>
    <cellStyle name="Porcentual 9" xfId="4030" xr:uid="{00000000-0005-0000-0000-000051300000}"/>
    <cellStyle name="Porcentual 9 2" xfId="7562" xr:uid="{00000000-0005-0000-0000-000052300000}"/>
    <cellStyle name="Porcentual 9 2 2" xfId="9810" xr:uid="{00000000-0005-0000-0000-000053300000}"/>
    <cellStyle name="Porcentual 9 2 2 2" xfId="10508" xr:uid="{00000000-0005-0000-0000-000054300000}"/>
    <cellStyle name="Porcentual 9 2 2 2 2" xfId="12243" xr:uid="{00000000-0005-0000-0000-000055300000}"/>
    <cellStyle name="Porcentual 9 2 2 3" xfId="11596" xr:uid="{00000000-0005-0000-0000-000056300000}"/>
    <cellStyle name="Porcentual 9 2 3" xfId="10221" xr:uid="{00000000-0005-0000-0000-000057300000}"/>
    <cellStyle name="Porcentual 9 2 3 2" xfId="11957" xr:uid="{00000000-0005-0000-0000-000058300000}"/>
    <cellStyle name="Porcentual 9 2 4" xfId="11231" xr:uid="{00000000-0005-0000-0000-000059300000}"/>
    <cellStyle name="Porcentual 9 3" xfId="9542" xr:uid="{00000000-0005-0000-0000-00005A300000}"/>
    <cellStyle name="Punto" xfId="4031" xr:uid="{00000000-0005-0000-0000-00005B300000}"/>
    <cellStyle name="Punto0" xfId="121" xr:uid="{00000000-0005-0000-0000-00005C300000}"/>
    <cellStyle name="Punto0 2" xfId="4032" xr:uid="{00000000-0005-0000-0000-00005D300000}"/>
    <cellStyle name="Punto0 3" xfId="10612" xr:uid="{00000000-0005-0000-0000-00005E300000}"/>
    <cellStyle name="Salida 2" xfId="9906" xr:uid="{00000000-0005-0000-0000-000060300000}"/>
    <cellStyle name="Salida 2 2" xfId="12351" xr:uid="{00000000-0005-0000-0000-000061300000}"/>
    <cellStyle name="Salida 2 2 2" xfId="14587" xr:uid="{34535A44-6003-4341-9FA4-534F33F3F19C}"/>
    <cellStyle name="Salida 2 2 3" xfId="14588" xr:uid="{0820EC51-C3D3-44AB-8F14-81F55137B22E}"/>
    <cellStyle name="Salida 2 2 4" xfId="14589" xr:uid="{871CECBD-E076-4E0F-A2B3-62663308874D}"/>
    <cellStyle name="Salida 2 2 5" xfId="14586" xr:uid="{BC85FDFC-4DC3-44D8-B512-A64438416ABF}"/>
    <cellStyle name="Salida 2 2_1.2.b" xfId="16484" xr:uid="{F7CCD10D-86F9-48BA-802F-5E02E9A56428}"/>
    <cellStyle name="Salida 2 3" xfId="12343" xr:uid="{00000000-0005-0000-0000-000062300000}"/>
    <cellStyle name="Salida 2 3 2" xfId="14590" xr:uid="{63A10354-9A37-47FC-9C20-E927A7D63D77}"/>
    <cellStyle name="Salida 2 3_1.2.b" xfId="16485" xr:uid="{DF05A31F-5048-4706-A5E7-7408B21AF1B0}"/>
    <cellStyle name="Salida 2 4" xfId="14591" xr:uid="{2D76C075-9029-48BD-BA82-FA01FE9DA56A}"/>
    <cellStyle name="Salida 2 5" xfId="14592" xr:uid="{2B15911D-CE1B-4965-AF38-1FED990D57E1}"/>
    <cellStyle name="Salida 2 6" xfId="14593" xr:uid="{A9B2D8F5-46D0-4B01-B497-A14CBBF1BCB4}"/>
    <cellStyle name="Salida 2 7" xfId="14594" xr:uid="{DCFF0554-FE69-457F-B613-3D036A797052}"/>
    <cellStyle name="Salida 2 8" xfId="14595" xr:uid="{C97D9538-6266-44C7-B963-9431E314982F}"/>
    <cellStyle name="Salida 2 9" xfId="14585" xr:uid="{3AACC633-F5DF-42D7-8ACB-7523BF9C0394}"/>
    <cellStyle name="Salida 2_1.2.b" xfId="16483" xr:uid="{8CF5E7C4-8BE0-492B-A62F-DB62328F4ADE}"/>
    <cellStyle name="Salida 3" xfId="14596" xr:uid="{CC2F2779-5E69-42A9-AA25-B3A318468AFE}"/>
    <cellStyle name="Salida 3 2" xfId="14597" xr:uid="{A1AC91FF-6A33-4DF7-8B5C-097D0F5BC67A}"/>
    <cellStyle name="Salida 3 3" xfId="14598" xr:uid="{FD960CCC-C5F5-4D7B-AFB9-7A36BFAA3B86}"/>
    <cellStyle name="Salida 3_1.2.b" xfId="16486" xr:uid="{A7C80FCF-3025-43DB-987D-E37FA7D2B653}"/>
    <cellStyle name="Salida 4" xfId="14599" xr:uid="{AA70A730-0BBE-4C0C-9755-0361F2D6A0DF}"/>
    <cellStyle name="Salida 5" xfId="14600" xr:uid="{1C9067BE-F597-456C-98F8-F66F1D4E37AA}"/>
    <cellStyle name="Salida 6" xfId="14601" xr:uid="{86A6C03F-EE7C-4D27-9F4F-F8C59C698E41}"/>
    <cellStyle name="Texto de advertencia" xfId="14695" builtinId="11" customBuiltin="1"/>
    <cellStyle name="Texto de advertencia 2" xfId="9907" xr:uid="{00000000-0005-0000-0000-000064300000}"/>
    <cellStyle name="Texto de advertencia 2 2" xfId="14602" xr:uid="{B7F136D2-9F7D-4303-A95F-2D0BA55A2473}"/>
    <cellStyle name="Texto de advertencia 2 2 2" xfId="14603" xr:uid="{C16A10ED-B903-4C25-8C09-ABDBA7D5831F}"/>
    <cellStyle name="Texto de advertencia 2 2 3" xfId="14604" xr:uid="{C9BB3CAB-8BEF-4676-AB41-BF8D659259F4}"/>
    <cellStyle name="Texto de advertencia 2 2 4" xfId="14605" xr:uid="{A34D8473-0906-46D0-9A67-19665CC2A385}"/>
    <cellStyle name="Texto de advertencia 2 3" xfId="14606" xr:uid="{26267439-A88A-44CE-BD1C-6F1966185CEA}"/>
    <cellStyle name="Texto de advertencia 2 4" xfId="14607" xr:uid="{7D7D61CC-035C-4997-ADEB-9CC375E27D05}"/>
    <cellStyle name="Texto de advertencia 2 5" xfId="14608" xr:uid="{493E6113-1181-49C9-BA7A-CD4266DFF021}"/>
    <cellStyle name="Texto de advertencia 2 6" xfId="14609" xr:uid="{A5A55D53-4E61-4811-9899-B30985A65491}"/>
    <cellStyle name="Texto de advertencia 2 7" xfId="14610" xr:uid="{83D79A33-B90E-44B3-A911-18A19A529758}"/>
    <cellStyle name="Texto de advertencia 2 8" xfId="14611" xr:uid="{F0DBA215-AEED-46FF-BDAB-C108C635047E}"/>
    <cellStyle name="Texto de advertencia 3" xfId="14612" xr:uid="{4A690996-BA32-42C3-8835-A0777E5EC1B8}"/>
    <cellStyle name="Texto de advertencia 3 2" xfId="14613" xr:uid="{67B12126-11DD-4158-A469-42050738F236}"/>
    <cellStyle name="Texto de advertencia 3 3" xfId="14614" xr:uid="{AC1D82F5-F9E9-40D5-B84C-A79DB2789176}"/>
    <cellStyle name="Texto de advertencia 3_1.2.b" xfId="16487" xr:uid="{CEA6915A-C11E-415C-8339-30D6A569389D}"/>
    <cellStyle name="Texto de advertencia 4" xfId="14615" xr:uid="{3C8E4B3A-2545-4136-AB94-0B665CF9D654}"/>
    <cellStyle name="Texto de advertencia 5" xfId="14616" xr:uid="{9A4DF41F-F739-471B-AFD3-C17B94DC2BB8}"/>
    <cellStyle name="Texto de advertencia 6" xfId="14617" xr:uid="{D940FB9D-3F64-4D18-897E-1DDFEC59884C}"/>
    <cellStyle name="Texto explicativo 2" xfId="9908" xr:uid="{00000000-0005-0000-0000-000066300000}"/>
    <cellStyle name="Texto explicativo 2 2" xfId="14618" xr:uid="{9EECC3A9-8ECF-4330-83F2-19EC988E3E0C}"/>
    <cellStyle name="Texto explicativo 2 2 2" xfId="14619" xr:uid="{C4505016-8994-4E1D-80A1-A4EFAB458684}"/>
    <cellStyle name="Texto explicativo 2 2 3" xfId="14620" xr:uid="{6254B1BA-5022-4A90-B12D-B7B7C2844A9F}"/>
    <cellStyle name="Texto explicativo 2 2 4" xfId="14621" xr:uid="{9687BB19-8DCF-4048-B7BB-5C7CF3CBC989}"/>
    <cellStyle name="Texto explicativo 2 3" xfId="14622" xr:uid="{39BFC2E4-38D4-4284-9E75-B5A197F0D211}"/>
    <cellStyle name="Texto explicativo 2 4" xfId="14623" xr:uid="{874A9B2E-025D-48E4-A279-953AB2265F28}"/>
    <cellStyle name="Texto explicativo 2 5" xfId="14624" xr:uid="{F57D69C3-07BC-40ED-88D1-F83C1CAA292B}"/>
    <cellStyle name="Texto explicativo 2 6" xfId="14625" xr:uid="{C16491C8-76D5-4126-9515-F0DA9D5F7BD2}"/>
    <cellStyle name="Texto explicativo 2 7" xfId="14626" xr:uid="{0F0D5CC4-447B-4DF4-A198-43153E05729A}"/>
    <cellStyle name="Texto explicativo 2 8" xfId="14627" xr:uid="{02158706-06EF-4472-9DC4-8D293506AF60}"/>
    <cellStyle name="Texto explicativo 3" xfId="10573" xr:uid="{00000000-0005-0000-0000-000067300000}"/>
    <cellStyle name="Texto explicativo 3 2" xfId="14629" xr:uid="{9A705A37-DA17-4C50-8AF4-1ED0C69EAE15}"/>
    <cellStyle name="Texto explicativo 3 3" xfId="14630" xr:uid="{E849AA67-EAE4-4766-91B5-DC86648C2047}"/>
    <cellStyle name="Texto explicativo 3 4" xfId="14628" xr:uid="{51C605F2-D101-4F7B-80DA-5612AA9D94D1}"/>
    <cellStyle name="Texto explicativo 3_1.2.b" xfId="16488" xr:uid="{6BB0ED96-399D-40E2-B05B-0D326F6A4941}"/>
    <cellStyle name="Texto explicativo 4" xfId="14631" xr:uid="{08C81754-E1EA-4649-BBBD-B04EECD03EBF}"/>
    <cellStyle name="Texto explicativo 5" xfId="14632" xr:uid="{8D8FDC46-3840-466F-A4C0-DC113ABE1673}"/>
    <cellStyle name="Texto explicativo 6" xfId="14633" xr:uid="{3F989C4C-D6EC-413A-A75D-68E740A9BA6E}"/>
    <cellStyle name="Title" xfId="30" xr:uid="{3E047A69-0F7F-4F1D-BBE9-5AE9E96F3B59}"/>
    <cellStyle name="Título 1" xfId="9910" xr:uid="{00000000-0005-0000-0000-000069300000}"/>
    <cellStyle name="Título 1 2" xfId="14634" xr:uid="{B36A77F5-7423-470E-B021-28BE0514AA32}"/>
    <cellStyle name="Título 1 2 2" xfId="14635" xr:uid="{A691EB9E-9EC4-4339-890F-28640B7B441B}"/>
    <cellStyle name="Título 1 2 3" xfId="14636" xr:uid="{25367E50-255C-47D0-98CE-79B22149D418}"/>
    <cellStyle name="Título 1 2 4" xfId="14637" xr:uid="{1018F353-98FE-4A24-BE7F-466E53FF6F4C}"/>
    <cellStyle name="Título 1 3" xfId="14638" xr:uid="{443D5EC3-FDFC-460F-937B-5D5FCC060F32}"/>
    <cellStyle name="Título 1 3 2" xfId="14639" xr:uid="{FE4197E3-7D6C-444D-926D-93E8B70FE1F2}"/>
    <cellStyle name="Título 1 4" xfId="14640" xr:uid="{8A4FD046-F80F-490C-AD74-4315EE8A6710}"/>
    <cellStyle name="Título 1 5" xfId="14641" xr:uid="{81E03C47-2998-4C0D-8A84-7EFE1E86EF8F}"/>
    <cellStyle name="Título 1 6" xfId="14642" xr:uid="{BBB9D4CE-C2CE-464B-9F82-3C7075C57B62}"/>
    <cellStyle name="Título 2 2" xfId="9911" xr:uid="{00000000-0005-0000-0000-00006B300000}"/>
    <cellStyle name="Título 2 2 2" xfId="14643" xr:uid="{4C48D6FF-F91B-4297-970D-D111628C9D1C}"/>
    <cellStyle name="Título 2 2 3" xfId="14644" xr:uid="{36457A5B-CE92-435B-893A-995F310D6D3B}"/>
    <cellStyle name="Título 2 2 4" xfId="14645" xr:uid="{287B3921-731C-4FC9-BDC1-0C980F544EE8}"/>
    <cellStyle name="Título 2 3" xfId="14646" xr:uid="{D1BB5B67-8CD6-4E4A-ABEA-395A9814335A}"/>
    <cellStyle name="Título 2 3 2" xfId="14647" xr:uid="{61299669-03B6-4D2F-8645-1122F5B551BB}"/>
    <cellStyle name="Título 2 3 3" xfId="14648" xr:uid="{437629FF-1306-40A1-B864-BAA2D3A7BF5D}"/>
    <cellStyle name="Título 2 3_1.2.b" xfId="16489" xr:uid="{990948E6-AF40-4EB3-A485-7AD6F5E01EB1}"/>
    <cellStyle name="Título 2 4" xfId="14649" xr:uid="{BCCC2AC3-F49A-4EA6-8043-CB8625AED57B}"/>
    <cellStyle name="Título 2 5" xfId="14650" xr:uid="{41BBE2BB-9D0F-4410-9488-4A3D40C95FC6}"/>
    <cellStyle name="Título 2 6" xfId="14651" xr:uid="{2D251C4D-7BEF-44F4-ACD1-D19D54A38293}"/>
    <cellStyle name="Título 3 2" xfId="9912" xr:uid="{00000000-0005-0000-0000-00006D300000}"/>
    <cellStyle name="Título 3 2 2" xfId="14652" xr:uid="{E27F8DB0-AA7C-43B8-8851-9D80A15AAA4B}"/>
    <cellStyle name="Título 3 2 3" xfId="14653" xr:uid="{424F43CC-EE4D-447D-8714-94A036F553C4}"/>
    <cellStyle name="Título 3 2 4" xfId="14654" xr:uid="{524A62A8-4D82-4A6B-AB36-CF2BA8344FC8}"/>
    <cellStyle name="Título 3 3" xfId="14655" xr:uid="{481E5C6C-6BF1-45A5-BD54-4652E22847B9}"/>
    <cellStyle name="Título 3 3 2" xfId="14656" xr:uid="{03BC2750-C006-41D0-9ED5-9F981E34957A}"/>
    <cellStyle name="Título 3 3 3" xfId="14657" xr:uid="{00FF3A7F-03DA-4028-BA5B-413F526BBB09}"/>
    <cellStyle name="Título 3 3_1.2.b" xfId="16490" xr:uid="{54B60901-DCC0-4360-9789-D1AF6A253561}"/>
    <cellStyle name="Título 3 4" xfId="14658" xr:uid="{6B5F5357-ED74-4BEA-9FED-F4DF7DA97491}"/>
    <cellStyle name="Título 3 5" xfId="14659" xr:uid="{EEB2EE54-7EAB-4DEF-92DF-B7B5B0077F7F}"/>
    <cellStyle name="Título 3 6" xfId="14660" xr:uid="{4894D4A7-8CD3-445F-B2E3-A02806703839}"/>
    <cellStyle name="Título 4" xfId="9909" xr:uid="{00000000-0005-0000-0000-00006E300000}"/>
    <cellStyle name="Título 4 2" xfId="14661" xr:uid="{D0A49E64-6434-42C7-B7FA-8C1EBE3BF9B6}"/>
    <cellStyle name="Título 4 3" xfId="14662" xr:uid="{43625ED3-64DE-44F9-BD81-B18CE68B4A5E}"/>
    <cellStyle name="Título 4 4" xfId="14663" xr:uid="{A60F3C25-11AA-40B9-87F7-26CBFCC7A9BC}"/>
    <cellStyle name="Título 5" xfId="14664" xr:uid="{B2D41265-5202-44C9-8E90-4C41352A12C8}"/>
    <cellStyle name="Título 5 2" xfId="14665" xr:uid="{2BA83FF6-B24B-4E46-8034-121130608FB3}"/>
    <cellStyle name="Título 5 3" xfId="14666" xr:uid="{825EA5C4-2908-4968-A2E6-C92F4DA7A4E0}"/>
    <cellStyle name="Título 5_1.2.b" xfId="16491" xr:uid="{5F61B059-16EC-49E9-902A-9F76854A4372}"/>
    <cellStyle name="Título 6" xfId="14667" xr:uid="{AA47AC3B-DBFB-4322-9862-EBB153443960}"/>
    <cellStyle name="Título 6 2" xfId="14668" xr:uid="{9F3AC6BA-5606-4AAE-92B2-62091E981DAB}"/>
    <cellStyle name="Título 6_1.2.b" xfId="16492" xr:uid="{D9CDBF36-F020-437B-B3EB-4E8A8DA5E340}"/>
    <cellStyle name="Título 7" xfId="14669" xr:uid="{1C3BCD4E-316B-4108-A4A7-35704CB47395}"/>
    <cellStyle name="Total" xfId="15" builtinId="25" customBuiltin="1"/>
    <cellStyle name="Total 10" xfId="14670" xr:uid="{F94DDDC3-B224-4C3A-A75A-035A6D5BDD20}"/>
    <cellStyle name="Total 2" xfId="64" xr:uid="{00000000-0005-0000-0000-000070300000}"/>
    <cellStyle name="Total 2 10" xfId="18113" xr:uid="{C51A8F5A-971C-4537-8D07-DA4A4F8275D0}"/>
    <cellStyle name="Total 2 2" xfId="73" xr:uid="{00000000-0005-0000-0000-000071300000}"/>
    <cellStyle name="Total 2 2 10" xfId="18106" xr:uid="{B138FAE1-5C96-4FB2-9AB9-985910596C6B}"/>
    <cellStyle name="Total 2 2 2" xfId="4064" xr:uid="{00000000-0005-0000-0000-000072300000}"/>
    <cellStyle name="Total 2 2 2 2" xfId="14673" xr:uid="{39321B79-42B3-40F6-9F40-752FF69BC3E2}"/>
    <cellStyle name="Total 2 2 2_1.2.b" xfId="16495" xr:uid="{B434BDF0-4551-42DA-A734-3D7FCEC38BF8}"/>
    <cellStyle name="Total 2 2 3" xfId="14674" xr:uid="{92C2317F-9E5B-431D-B868-54BFEDAE8A50}"/>
    <cellStyle name="Total 2 2 4" xfId="14675" xr:uid="{EA04F357-E3C4-4294-85A2-99F9B33FF920}"/>
    <cellStyle name="Total 2 2 5" xfId="14672" xr:uid="{C148D656-6103-40B6-A13C-A12C54A4719B}"/>
    <cellStyle name="Total 2 2 6" xfId="18122" xr:uid="{96888464-48F7-4A2C-A618-38319F4FFD6D}"/>
    <cellStyle name="Total 2 2 7" xfId="18276" xr:uid="{5D8019DA-E0F9-4778-B0C9-FB419886A5CB}"/>
    <cellStyle name="Total 2 2 8" xfId="18114" xr:uid="{3ABD563C-8AF8-4B8D-8CCA-4F824C689DE6}"/>
    <cellStyle name="Total 2 2 9" xfId="18269" xr:uid="{24B8FC1B-A56F-4BFC-A4F8-DB02A46A165A}"/>
    <cellStyle name="Total 2 2_1.2.b" xfId="16494" xr:uid="{34D116E6-6135-4680-B914-C3B1562E1727}"/>
    <cellStyle name="Total 2 3" xfId="4034" xr:uid="{00000000-0005-0000-0000-000073300000}"/>
    <cellStyle name="Total 2 3 2" xfId="14676" xr:uid="{0E9A5738-FD70-498F-819D-859A5A3F6AFC}"/>
    <cellStyle name="Total 2 3_1.2.b" xfId="16496" xr:uid="{35F1F060-3BFB-47D4-A3D0-B783A216102E}"/>
    <cellStyle name="Total 2 4" xfId="14677" xr:uid="{97982B0D-F250-47CF-9ADC-DFE3BD471731}"/>
    <cellStyle name="Total 2 5" xfId="14678" xr:uid="{66F54AB1-5221-4AEB-8681-EBD2B72C9642}"/>
    <cellStyle name="Total 2 6" xfId="14679" xr:uid="{AFCA0238-FD0B-4305-8DF5-2AABC22E97B9}"/>
    <cellStyle name="Total 2 7" xfId="14671" xr:uid="{68D1E610-C412-4942-9929-644B6088E951}"/>
    <cellStyle name="Total 2 8" xfId="18121" xr:uid="{FD1FE83B-43FB-4C2F-A067-06D87C8701D3}"/>
    <cellStyle name="Total 2 9" xfId="18275" xr:uid="{B86886E9-CA6A-486D-A5A1-1AE6214BB2A5}"/>
    <cellStyle name="Total 2_1.2.b" xfId="16493" xr:uid="{79F8A5FE-6888-457F-99A0-6C1B54B1A56F}"/>
    <cellStyle name="Total 3" xfId="4129" xr:uid="{00000000-0005-0000-0000-000074300000}"/>
    <cellStyle name="Total 3 2" xfId="14681" xr:uid="{A87166A3-3BE1-4D4F-B6D2-27C61BA0D9C2}"/>
    <cellStyle name="Total 3 3" xfId="14682" xr:uid="{1778E241-B4BA-4295-A084-39168ADB4A6D}"/>
    <cellStyle name="Total 3 4" xfId="14680" xr:uid="{09CF5AEF-0764-411F-A31C-3F849CA2D146}"/>
    <cellStyle name="Total 3_1.2.b" xfId="16497" xr:uid="{07E712C5-6005-4750-B370-238DF3D1EF4C}"/>
    <cellStyle name="Total 4" xfId="4056" xr:uid="{00000000-0005-0000-0000-000075300000}"/>
    <cellStyle name="Total 4 2" xfId="14683" xr:uid="{8E165596-D087-424A-8A4C-A192AFC4D517}"/>
    <cellStyle name="Total 4_1.2.b" xfId="16498" xr:uid="{174E43A5-44F8-460C-97B2-A41ED8FF3E00}"/>
    <cellStyle name="Total 5" xfId="4175" xr:uid="{00000000-0005-0000-0000-000076300000}"/>
    <cellStyle name="Total 5 2" xfId="14684" xr:uid="{3A80EC58-04E1-4A2B-B430-748A8F05796F}"/>
    <cellStyle name="Total 5_1.2.b" xfId="16499" xr:uid="{85D289A4-7EB0-4A33-A6A4-FF395DDAB0ED}"/>
    <cellStyle name="Total 6" xfId="9543" xr:uid="{00000000-0005-0000-0000-000077300000}"/>
    <cellStyle name="Total 6 2" xfId="14685" xr:uid="{4791A8D6-3756-4EF0-9EE4-A73A73DED946}"/>
    <cellStyle name="Total 6_1.2.b" xfId="16500" xr:uid="{86D2001E-9353-4B93-8596-E3C255429E69}"/>
    <cellStyle name="Total 7" xfId="4033" xr:uid="{00000000-0005-0000-0000-000078300000}"/>
    <cellStyle name="Total 7 2" xfId="14687" xr:uid="{83F8F7E9-0C0A-4A18-B1BF-296885FB7324}"/>
    <cellStyle name="Total 7 3" xfId="14688" xr:uid="{91E83997-B8A2-45FD-BAE8-292C079243BB}"/>
    <cellStyle name="Total 7 4" xfId="14686" xr:uid="{01152976-A9A4-4625-AB5C-B370661A6338}"/>
    <cellStyle name="Total 7_1.2.b" xfId="16501" xr:uid="{6BEF1513-E1AE-4609-99A5-5F2F51244F08}"/>
    <cellStyle name="Total 8" xfId="9913" xr:uid="{00000000-0005-0000-0000-000079300000}"/>
    <cellStyle name="Total 8 2" xfId="12352" xr:uid="{00000000-0005-0000-0000-00007A300000}"/>
    <cellStyle name="Total 8 2 2" xfId="14690" xr:uid="{2BF69B6B-8D77-406E-AEF0-7A9D11F32BFC}"/>
    <cellStyle name="Total 8 2_1.2.b" xfId="16503" xr:uid="{FCF3E8D4-F9FA-445F-B1D6-8A25D0320FE4}"/>
    <cellStyle name="Total 8 3" xfId="12346" xr:uid="{00000000-0005-0000-0000-00007B300000}"/>
    <cellStyle name="Total 8 3 2" xfId="14691" xr:uid="{4E7247CB-C08C-42B8-A69C-3F7F4DA4EC18}"/>
    <cellStyle name="Total 8 3_1.2.b" xfId="16504" xr:uid="{E9D23DE1-E032-4C98-BE20-AFD8F51C6BF4}"/>
    <cellStyle name="Total 8 4" xfId="14689" xr:uid="{08EE830A-5132-4D6C-97A5-9C141BCC7FDF}"/>
    <cellStyle name="Total 8 5" xfId="18123" xr:uid="{43AC1695-2FE7-4087-92D9-6E91795E6786}"/>
    <cellStyle name="Total 8 6" xfId="18277" xr:uid="{33D1091B-D4E3-40A1-93EB-E0D2C9749DCC}"/>
    <cellStyle name="Total 8 7" xfId="18116" xr:uid="{65C959E3-7928-4C50-A257-2D29B15E3578}"/>
    <cellStyle name="Total 8 8" xfId="18270" xr:uid="{DD9B14A0-EFAA-480A-A5E9-33F013DD56F4}"/>
    <cellStyle name="Total 8 9" xfId="18110" xr:uid="{C849A27D-8502-4C9B-8026-B7D674A148D4}"/>
    <cellStyle name="Total 8_1.2.b" xfId="16502" xr:uid="{6A79A072-6C01-4E81-B8B6-A0E3D6CA7BFA}"/>
    <cellStyle name="Total 9" xfId="10633" xr:uid="{00000000-0005-0000-0000-00007C300000}"/>
    <cellStyle name="Total 9 2" xfId="14693" xr:uid="{4616981D-93A0-4319-9323-5BE4CB7FDC88}"/>
    <cellStyle name="Total 9 3" xfId="14694" xr:uid="{CF37D64A-6375-464B-A369-28582FA64140}"/>
    <cellStyle name="Total 9 4" xfId="14692" xr:uid="{0BD84453-B215-4D17-958E-7E3B9CEE53CB}"/>
    <cellStyle name="Total 9_1.2.b" xfId="16505" xr:uid="{902E63ED-8E87-49A0-97D8-2156A46A8BA0}"/>
  </cellStyles>
  <dxfs count="2">
    <dxf>
      <font>
        <b/>
        <i val="0"/>
        <condense val="0"/>
        <extend val="0"/>
        <color indexed="12"/>
      </font>
      <fill>
        <patternFill>
          <bgColor indexed="22"/>
        </patternFill>
      </fill>
    </dxf>
    <dxf>
      <font>
        <b/>
        <i val="0"/>
        <condense val="0"/>
        <extend val="0"/>
        <color indexed="10"/>
      </font>
      <fill>
        <patternFill>
          <bgColor indexed="22"/>
        </patternFill>
      </fill>
    </dxf>
  </dxfs>
  <tableStyles count="0" defaultTableStyle="TableStyleMedium2" defaultPivotStyle="PivotStyleLight16"/>
  <colors>
    <mruColors>
      <color rgb="FF996600"/>
      <color rgb="FFFF99CC"/>
      <color rgb="FF008000"/>
      <color rgb="FF009900"/>
      <color rgb="FFFF3300"/>
      <color rgb="FF543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94</xdr:row>
      <xdr:rowOff>28575</xdr:rowOff>
    </xdr:from>
    <xdr:to>
      <xdr:col>8</xdr:col>
      <xdr:colOff>0</xdr:colOff>
      <xdr:row>102</xdr:row>
      <xdr:rowOff>53340</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80035" y="19253835"/>
          <a:ext cx="7873365" cy="14192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una extensa lista de series temporales ordenadas por tema y que, en su gran mayoría, presentan un alcance provincial. </a:t>
          </a:r>
        </a:p>
        <a:p>
          <a:pPr algn="just" rtl="0">
            <a:defRPr sz="1000"/>
          </a:pPr>
          <a:r>
            <a:rPr lang="es-AR" sz="1000" b="0" i="0" u="none" strike="noStrike" baseline="0">
              <a:solidFill>
                <a:srgbClr val="000000"/>
              </a:solidFill>
              <a:latin typeface="Arial"/>
              <a:cs typeface="Arial"/>
            </a:rPr>
            <a:t>Los datos son expuestos en forma bruta de la misma manera en que son publicados originalmente. Sin embargo, dicha información es procesada todos los meses por los economistas del CES con el objeto de obtener valores filtrados de irregularidades extremas, estacionalidad y otras frecuencias intra-anuales, pudiendo conocer el componente de tendencia-ciclo de cada una de las series (el software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Estos resultados no son expuestos en la base de datos pero pueden solicitarse a nuestro equipo de trabajo.</a:t>
          </a:r>
          <a:endParaRPr lang="es-AR" sz="1200" b="1" i="0" u="none" strike="noStrike" baseline="0">
            <a:solidFill>
              <a:srgbClr val="000000"/>
            </a:solidFill>
            <a:latin typeface="Arial"/>
            <a:cs typeface="Arial"/>
          </a:endParaRPr>
        </a:p>
      </xdr:txBody>
    </xdr:sp>
    <xdr:clientData/>
  </xdr:twoCellAnchor>
  <xdr:twoCellAnchor>
    <xdr:from>
      <xdr:col>2</xdr:col>
      <xdr:colOff>1209675</xdr:colOff>
      <xdr:row>86</xdr:row>
      <xdr:rowOff>66675</xdr:rowOff>
    </xdr:from>
    <xdr:to>
      <xdr:col>2</xdr:col>
      <xdr:colOff>1209675</xdr:colOff>
      <xdr:row>90</xdr:row>
      <xdr:rowOff>47625</xdr:rowOff>
    </xdr:to>
    <xdr:sp macro="" textlink="">
      <xdr:nvSpPr>
        <xdr:cNvPr id="30728" name="Line 8">
          <a:extLst>
            <a:ext uri="{FF2B5EF4-FFF2-40B4-BE49-F238E27FC236}">
              <a16:creationId xmlns:a16="http://schemas.microsoft.com/office/drawing/2014/main" id="{00000000-0008-0000-0000-000008780000}"/>
            </a:ext>
          </a:extLst>
        </xdr:cNvPr>
        <xdr:cNvSpPr>
          <a:spLocks noChangeShapeType="1"/>
        </xdr:cNvSpPr>
      </xdr:nvSpPr>
      <xdr:spPr bwMode="auto">
        <a:xfrm>
          <a:off x="1457325" y="1791652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685800</xdr:colOff>
      <xdr:row>86</xdr:row>
      <xdr:rowOff>89535</xdr:rowOff>
    </xdr:from>
    <xdr:to>
      <xdr:col>7</xdr:col>
      <xdr:colOff>685800</xdr:colOff>
      <xdr:row>90</xdr:row>
      <xdr:rowOff>70485</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665720" y="18072735"/>
          <a:ext cx="0" cy="575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619125</xdr:colOff>
      <xdr:row>86</xdr:row>
      <xdr:rowOff>76200</xdr:rowOff>
    </xdr:from>
    <xdr:to>
      <xdr:col>2</xdr:col>
      <xdr:colOff>619125</xdr:colOff>
      <xdr:row>90</xdr:row>
      <xdr:rowOff>57150</xdr:rowOff>
    </xdr:to>
    <xdr:sp macro="" textlink="">
      <xdr:nvSpPr>
        <xdr:cNvPr id="30731" name="Line 11">
          <a:extLst>
            <a:ext uri="{FF2B5EF4-FFF2-40B4-BE49-F238E27FC236}">
              <a16:creationId xmlns:a16="http://schemas.microsoft.com/office/drawing/2014/main" id="{00000000-0008-0000-0000-00000B780000}"/>
            </a:ext>
          </a:extLst>
        </xdr:cNvPr>
        <xdr:cNvSpPr>
          <a:spLocks noChangeShapeType="1"/>
        </xdr:cNvSpPr>
      </xdr:nvSpPr>
      <xdr:spPr bwMode="auto">
        <a:xfrm>
          <a:off x="866775" y="179260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114300</xdr:colOff>
      <xdr:row>1</xdr:row>
      <xdr:rowOff>19050</xdr:rowOff>
    </xdr:from>
    <xdr:to>
      <xdr:col>2</xdr:col>
      <xdr:colOff>1539518</xdr:colOff>
      <xdr:row>5</xdr:row>
      <xdr:rowOff>142875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51"/>
        <a:stretch/>
      </xdr:blipFill>
      <xdr:spPr>
        <a:xfrm>
          <a:off x="257175" y="180975"/>
          <a:ext cx="1558568" cy="771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32.bin"/><Relationship Id="rId1" Type="http://schemas.openxmlformats.org/officeDocument/2006/relationships/hyperlink" Target="https://servicios.mae.com.ar/estadisticas/volumenes_rfcv.aspx" TargetMode="External"/><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499984740745262"/>
  </sheetPr>
  <dimension ref="A1:Z152"/>
  <sheetViews>
    <sheetView tabSelected="1" zoomScaleNormal="100" workbookViewId="0">
      <pane xSplit="1" ySplit="12" topLeftCell="B13" activePane="bottomRight" state="frozen"/>
      <selection pane="topRight" activeCell="B1" sqref="B1"/>
      <selection pane="bottomLeft" activeCell="A10" sqref="A10"/>
      <selection pane="bottomRight" activeCell="A13" sqref="A13"/>
    </sheetView>
  </sheetViews>
  <sheetFormatPr baseColWidth="10" defaultColWidth="11.42578125" defaultRowHeight="12.75"/>
  <cols>
    <col min="1" max="1" width="2.140625" bestFit="1" customWidth="1"/>
    <col min="2" max="2" width="2" customWidth="1"/>
    <col min="3" max="3" width="25.28515625" customWidth="1"/>
    <col min="4" max="4" width="1.5703125" customWidth="1"/>
    <col min="5" max="5" width="46.28515625" customWidth="1"/>
    <col min="6" max="6" width="13.28515625" customWidth="1"/>
    <col min="7" max="7" width="15.28515625" customWidth="1"/>
    <col min="8" max="8" width="17.28515625" customWidth="1"/>
    <col min="9" max="9" width="11.42578125" customWidth="1"/>
    <col min="27" max="16384" width="11.42578125" style="347"/>
  </cols>
  <sheetData>
    <row r="1" spans="1:26">
      <c r="A1" s="10"/>
      <c r="C1" s="10"/>
      <c r="D1" s="10"/>
      <c r="E1" s="10"/>
      <c r="F1" s="10"/>
      <c r="G1" s="10"/>
      <c r="H1" s="10"/>
      <c r="I1" s="10"/>
      <c r="J1" s="10"/>
      <c r="K1" s="10"/>
      <c r="L1" s="10"/>
      <c r="M1" s="10"/>
      <c r="N1" s="10"/>
      <c r="O1" s="10"/>
      <c r="P1" s="10"/>
      <c r="Q1" s="10"/>
      <c r="R1" s="10"/>
      <c r="S1" s="10"/>
      <c r="T1" s="10"/>
      <c r="U1" s="10"/>
      <c r="V1" s="10"/>
      <c r="W1" s="10"/>
      <c r="X1" s="10"/>
      <c r="Y1" s="10"/>
      <c r="Z1" s="10"/>
    </row>
    <row r="2" spans="1:26">
      <c r="A2" s="10"/>
      <c r="B2" s="10"/>
      <c r="C2" s="10"/>
      <c r="D2" s="10"/>
      <c r="E2" s="23" t="s">
        <v>0</v>
      </c>
      <c r="F2" s="10"/>
      <c r="G2" s="10"/>
      <c r="H2" s="10"/>
      <c r="I2" s="10"/>
      <c r="J2" s="10"/>
      <c r="K2" s="10"/>
      <c r="L2" s="10"/>
      <c r="M2" s="10"/>
      <c r="N2" s="10"/>
      <c r="O2" s="10"/>
      <c r="P2" s="10"/>
      <c r="Q2" s="10"/>
      <c r="R2" s="10"/>
      <c r="S2" s="10"/>
      <c r="T2" s="10"/>
      <c r="U2" s="10"/>
      <c r="V2" s="10"/>
      <c r="W2" s="10"/>
      <c r="X2" s="10"/>
      <c r="Y2" s="10"/>
      <c r="Z2" s="10"/>
    </row>
    <row r="3" spans="1:26">
      <c r="A3" s="10"/>
      <c r="B3" s="10"/>
      <c r="C3" s="10"/>
      <c r="D3" s="10"/>
      <c r="E3" s="23" t="s">
        <v>1</v>
      </c>
      <c r="F3" s="10"/>
      <c r="G3" s="10"/>
      <c r="H3" s="10"/>
      <c r="I3" s="10"/>
      <c r="J3" s="10"/>
      <c r="K3" s="10"/>
      <c r="L3" s="10"/>
      <c r="M3" s="10"/>
      <c r="N3" s="10"/>
      <c r="O3" s="10"/>
      <c r="P3" s="10"/>
      <c r="Q3" s="10"/>
      <c r="R3" s="10"/>
      <c r="S3" s="10"/>
      <c r="T3" s="10"/>
      <c r="U3" s="10"/>
      <c r="V3" s="10"/>
      <c r="W3" s="10"/>
      <c r="X3" s="10"/>
      <c r="Y3" s="10"/>
      <c r="Z3" s="10"/>
    </row>
    <row r="4" spans="1:26">
      <c r="A4" s="10"/>
      <c r="B4" s="10"/>
      <c r="C4" s="10"/>
      <c r="D4" s="10"/>
      <c r="E4" s="23" t="s">
        <v>2</v>
      </c>
      <c r="F4" s="10"/>
      <c r="G4" s="10"/>
      <c r="H4" s="10"/>
      <c r="I4" s="10"/>
      <c r="J4" s="10"/>
      <c r="K4" s="10"/>
      <c r="L4" s="10"/>
      <c r="M4" s="10"/>
      <c r="N4" s="10"/>
      <c r="O4" s="10"/>
      <c r="P4" s="10"/>
      <c r="Q4" s="10"/>
      <c r="R4" s="10"/>
      <c r="S4" s="10"/>
      <c r="T4" s="10"/>
      <c r="U4" s="10"/>
      <c r="V4" s="10"/>
      <c r="W4" s="10"/>
      <c r="X4" s="10"/>
      <c r="Y4" s="10"/>
      <c r="Z4" s="10"/>
    </row>
    <row r="5" spans="1:26">
      <c r="A5" s="10"/>
      <c r="B5" s="10"/>
      <c r="C5" s="10"/>
      <c r="D5" s="10"/>
      <c r="E5" s="23" t="s">
        <v>3</v>
      </c>
      <c r="F5" s="10"/>
      <c r="G5" s="23"/>
      <c r="H5" s="10"/>
      <c r="I5" s="10"/>
      <c r="J5" s="10"/>
      <c r="K5" s="10"/>
      <c r="L5" s="10"/>
      <c r="M5" s="10"/>
      <c r="N5" s="10"/>
      <c r="O5" s="10"/>
      <c r="P5" s="10"/>
      <c r="Q5" s="10"/>
      <c r="R5" s="10"/>
      <c r="S5" s="10"/>
      <c r="T5" s="10"/>
      <c r="U5" s="10"/>
      <c r="V5" s="10"/>
      <c r="W5" s="10"/>
      <c r="X5" s="10"/>
      <c r="Y5" s="10"/>
      <c r="Z5" s="10"/>
    </row>
    <row r="6" spans="1:26">
      <c r="A6" s="10"/>
      <c r="B6" s="10"/>
      <c r="C6" s="10"/>
      <c r="D6" s="10"/>
      <c r="E6" s="23" t="s">
        <v>4</v>
      </c>
      <c r="F6" s="10"/>
      <c r="G6" s="10"/>
      <c r="H6" s="10"/>
      <c r="I6" s="10"/>
      <c r="J6" s="10"/>
      <c r="K6" s="10"/>
      <c r="L6" s="10"/>
      <c r="M6" s="10"/>
      <c r="N6" s="10"/>
      <c r="O6" s="10"/>
      <c r="P6" s="10"/>
      <c r="Q6" s="10"/>
      <c r="R6" s="10"/>
      <c r="S6" s="10"/>
      <c r="T6" s="10"/>
      <c r="U6" s="10"/>
      <c r="V6" s="10"/>
      <c r="W6" s="10"/>
      <c r="X6" s="10"/>
      <c r="Y6" s="10"/>
      <c r="Z6" s="10"/>
    </row>
    <row r="7" spans="1:26">
      <c r="A7" s="10" t="s">
        <v>5</v>
      </c>
      <c r="B7" s="10"/>
      <c r="C7" s="10"/>
      <c r="D7" s="10"/>
      <c r="E7" s="23"/>
      <c r="F7" s="10"/>
      <c r="G7" s="10"/>
      <c r="H7" s="10"/>
      <c r="I7" s="10"/>
      <c r="J7" s="10"/>
      <c r="K7" s="10"/>
      <c r="L7" s="10"/>
      <c r="M7" s="10"/>
      <c r="N7" s="10"/>
      <c r="O7" s="10"/>
      <c r="P7" s="10"/>
      <c r="Q7" s="10"/>
      <c r="R7" s="10"/>
      <c r="S7" s="10"/>
      <c r="T7" s="10"/>
      <c r="U7" s="10"/>
      <c r="V7" s="10"/>
      <c r="W7" s="10"/>
      <c r="X7" s="10"/>
      <c r="Y7" s="10"/>
      <c r="Z7" s="10"/>
    </row>
    <row r="8" spans="1:26" s="187" customFormat="1" ht="20.100000000000001" customHeight="1">
      <c r="C8" s="187" t="s">
        <v>6</v>
      </c>
    </row>
    <row r="9" spans="1:26" s="1757" customFormat="1" ht="4.5" customHeight="1">
      <c r="A9" s="90"/>
      <c r="B9" s="90"/>
      <c r="C9" s="90"/>
      <c r="D9" s="90"/>
      <c r="E9" s="90"/>
      <c r="F9" s="90"/>
      <c r="G9" s="90"/>
      <c r="H9" s="90"/>
      <c r="I9" s="90"/>
      <c r="J9" s="90"/>
      <c r="K9" s="90"/>
      <c r="L9" s="90"/>
      <c r="M9" s="90"/>
      <c r="N9" s="90"/>
      <c r="O9" s="90"/>
      <c r="P9" s="90"/>
      <c r="Q9" s="90"/>
      <c r="R9" s="90"/>
      <c r="S9" s="90"/>
      <c r="T9" s="90"/>
      <c r="U9" s="90"/>
      <c r="V9" s="90"/>
      <c r="W9" s="90"/>
      <c r="X9" s="90"/>
      <c r="Y9" s="90"/>
      <c r="Z9" s="90"/>
    </row>
    <row r="10" spans="1:26" s="1757" customFormat="1" ht="19.5" customHeight="1">
      <c r="A10" s="90"/>
      <c r="B10" s="90"/>
      <c r="C10" s="91" t="s">
        <v>1722</v>
      </c>
      <c r="D10" s="90"/>
      <c r="E10" s="90"/>
      <c r="F10" s="184" t="s">
        <v>1723</v>
      </c>
      <c r="G10" s="90"/>
      <c r="H10" s="90"/>
      <c r="I10" s="90"/>
      <c r="J10" s="90"/>
      <c r="K10" s="90"/>
      <c r="L10" s="90"/>
      <c r="M10" s="90"/>
      <c r="N10" s="90"/>
      <c r="O10" s="90"/>
      <c r="P10" s="90"/>
      <c r="Q10" s="90"/>
      <c r="R10" s="90"/>
      <c r="S10" s="90"/>
      <c r="T10" s="90"/>
      <c r="U10" s="90"/>
      <c r="V10" s="90"/>
      <c r="W10" s="90"/>
      <c r="X10" s="90"/>
      <c r="Y10" s="90"/>
      <c r="Z10" s="90"/>
    </row>
    <row r="11" spans="1:26" s="1757" customFormat="1" ht="14.1" customHeight="1">
      <c r="A11" s="90"/>
      <c r="B11" s="90"/>
      <c r="C11" s="91" t="s">
        <v>7</v>
      </c>
      <c r="D11" s="90"/>
      <c r="E11" s="90"/>
      <c r="F11" s="90"/>
      <c r="G11" s="90"/>
      <c r="H11" s="90"/>
      <c r="I11" s="90"/>
      <c r="J11" s="90"/>
      <c r="K11" s="90"/>
      <c r="L11" s="90"/>
      <c r="M11" s="90"/>
      <c r="N11" s="90"/>
      <c r="O11" s="90"/>
      <c r="P11" s="90"/>
      <c r="Q11" s="90"/>
      <c r="R11" s="90"/>
      <c r="S11" s="90"/>
      <c r="T11" s="90"/>
      <c r="U11" s="90"/>
      <c r="V11" s="90"/>
      <c r="W11" s="90"/>
      <c r="X11" s="90"/>
      <c r="Y11" s="90"/>
      <c r="Z11" s="90"/>
    </row>
    <row r="12" spans="1:26" s="1758" customFormat="1" ht="8.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s="183" customFormat="1" ht="20.100000000000001" customHeight="1">
      <c r="A13" s="2525"/>
      <c r="C13" s="183" t="s">
        <v>8</v>
      </c>
      <c r="F13" s="1782" t="s">
        <v>9</v>
      </c>
      <c r="G13" s="1782" t="s">
        <v>10</v>
      </c>
      <c r="H13" s="1782" t="s">
        <v>11</v>
      </c>
    </row>
    <row r="14" spans="1:26" s="248" customFormat="1" ht="19.5" customHeight="1">
      <c r="A14" s="25"/>
      <c r="B14" s="25"/>
      <c r="C14" s="185" t="s">
        <v>12</v>
      </c>
      <c r="F14" s="3292" t="s">
        <v>13</v>
      </c>
      <c r="G14" s="3292">
        <f>COLUMNS('1.1'!B:D)</f>
        <v>3</v>
      </c>
      <c r="H14" s="3292">
        <v>1994.01</v>
      </c>
      <c r="J14" s="25"/>
      <c r="K14" s="25"/>
      <c r="L14" s="25"/>
      <c r="M14" s="25"/>
      <c r="N14" s="25"/>
      <c r="O14" s="25"/>
      <c r="P14" s="25"/>
      <c r="Q14" s="25"/>
      <c r="R14" s="25"/>
      <c r="S14" s="25"/>
      <c r="T14" s="25"/>
      <c r="U14" s="25"/>
      <c r="V14" s="25"/>
      <c r="W14" s="25"/>
      <c r="X14" s="25"/>
      <c r="Y14" s="25"/>
      <c r="Z14" s="25"/>
    </row>
    <row r="15" spans="1:26" s="248" customFormat="1" ht="19.5" customHeight="1">
      <c r="A15" s="25"/>
      <c r="B15" s="185"/>
      <c r="C15" s="185" t="s">
        <v>14</v>
      </c>
      <c r="F15" s="3292" t="s">
        <v>13</v>
      </c>
      <c r="G15" s="3292">
        <f>COLUMNS('1.2'!B:P)</f>
        <v>15</v>
      </c>
      <c r="H15" s="3292">
        <v>1998.06</v>
      </c>
      <c r="J15" s="25"/>
      <c r="K15" s="25"/>
      <c r="L15" s="25"/>
      <c r="M15" s="25"/>
      <c r="N15" s="25"/>
      <c r="O15" s="25"/>
      <c r="P15" s="25"/>
      <c r="Q15" s="25"/>
      <c r="R15" s="25"/>
      <c r="S15" s="25"/>
      <c r="T15" s="25"/>
      <c r="U15" s="25"/>
      <c r="V15" s="25"/>
      <c r="W15" s="25"/>
      <c r="X15" s="25"/>
      <c r="Y15" s="25"/>
      <c r="Z15" s="25"/>
    </row>
    <row r="16" spans="1:26" s="248" customFormat="1" ht="19.5" customHeight="1">
      <c r="A16" s="25"/>
      <c r="B16" s="185"/>
      <c r="C16" s="185" t="s">
        <v>15</v>
      </c>
      <c r="F16" s="3292" t="s">
        <v>13</v>
      </c>
      <c r="G16" s="3292">
        <f>COLUMNS('1.2.b'!B:T)</f>
        <v>19</v>
      </c>
      <c r="H16" s="3292">
        <v>2004.01</v>
      </c>
      <c r="J16" s="25"/>
      <c r="K16" s="25"/>
      <c r="L16" s="25"/>
      <c r="M16" s="25"/>
      <c r="N16" s="25"/>
      <c r="O16" s="25"/>
      <c r="P16" s="25"/>
      <c r="Q16" s="25"/>
      <c r="R16" s="25"/>
      <c r="S16" s="25"/>
      <c r="T16" s="25"/>
      <c r="U16" s="25"/>
      <c r="V16" s="25"/>
      <c r="W16" s="25"/>
      <c r="X16" s="25"/>
      <c r="Y16" s="25"/>
      <c r="Z16" s="25"/>
    </row>
    <row r="17" spans="1:26" s="248" customFormat="1" ht="20.100000000000001" customHeight="1">
      <c r="A17" s="25" t="s">
        <v>16</v>
      </c>
      <c r="B17" s="185"/>
      <c r="C17" s="185" t="s">
        <v>17</v>
      </c>
      <c r="F17" s="3292" t="s">
        <v>13</v>
      </c>
      <c r="G17" s="3292">
        <f>COLUMNS('1.3'!B:G)</f>
        <v>6</v>
      </c>
      <c r="H17" s="3292">
        <v>1993.01</v>
      </c>
      <c r="J17" s="25"/>
      <c r="K17" s="25"/>
      <c r="L17" s="25"/>
      <c r="M17" s="25"/>
      <c r="N17" s="25"/>
      <c r="O17" s="25"/>
      <c r="P17" s="25"/>
      <c r="Q17" s="25"/>
      <c r="R17" s="25"/>
      <c r="S17" s="25"/>
      <c r="T17" s="25"/>
      <c r="U17" s="25"/>
      <c r="V17" s="25"/>
      <c r="W17" s="25"/>
      <c r="X17" s="25"/>
      <c r="Y17" s="25"/>
      <c r="Z17" s="25"/>
    </row>
    <row r="18" spans="1:26" s="248" customFormat="1" ht="20.100000000000001" customHeight="1">
      <c r="A18" s="25"/>
      <c r="B18" s="185"/>
      <c r="C18" s="185" t="s">
        <v>18</v>
      </c>
      <c r="F18" s="3292" t="s">
        <v>13</v>
      </c>
      <c r="G18" s="3292">
        <f>COLUMNS('1.4'!B:B)</f>
        <v>1</v>
      </c>
      <c r="H18" s="3292">
        <v>1993.01</v>
      </c>
      <c r="J18" s="25"/>
      <c r="K18" s="25"/>
      <c r="L18" s="25"/>
      <c r="M18" s="25"/>
      <c r="N18" s="25"/>
      <c r="O18" s="25"/>
      <c r="P18" s="25"/>
      <c r="Q18" s="25"/>
      <c r="R18" s="25"/>
      <c r="S18" s="25"/>
      <c r="T18" s="25"/>
      <c r="U18" s="25"/>
      <c r="V18" s="25"/>
      <c r="W18" s="25"/>
      <c r="X18" s="25"/>
      <c r="Y18" s="25"/>
      <c r="Z18" s="25"/>
    </row>
    <row r="19" spans="1:26" s="248" customFormat="1" ht="20.100000000000001" customHeight="1">
      <c r="A19" s="25"/>
      <c r="B19" s="185"/>
      <c r="C19" s="185" t="s">
        <v>19</v>
      </c>
      <c r="F19" s="3292" t="s">
        <v>20</v>
      </c>
      <c r="G19" s="3292">
        <f>COLUMNS('1.5'!B:U)</f>
        <v>20</v>
      </c>
      <c r="H19" s="3292">
        <v>1884</v>
      </c>
      <c r="J19" s="25"/>
      <c r="K19" s="25"/>
      <c r="L19" s="25"/>
      <c r="M19" s="25"/>
      <c r="N19" s="25"/>
      <c r="O19" s="25"/>
      <c r="P19" s="25"/>
      <c r="Q19" s="25"/>
      <c r="R19" s="25"/>
      <c r="S19" s="25"/>
      <c r="T19" s="25"/>
      <c r="U19" s="25"/>
      <c r="V19" s="25"/>
      <c r="W19" s="25"/>
      <c r="X19" s="25"/>
      <c r="Y19" s="25"/>
      <c r="Z19" s="25"/>
    </row>
    <row r="20" spans="1:26" s="248" customFormat="1" ht="20.100000000000001" customHeight="1">
      <c r="A20" s="25"/>
      <c r="B20" s="185"/>
      <c r="C20" s="185" t="s">
        <v>21</v>
      </c>
      <c r="F20" s="3292" t="s">
        <v>22</v>
      </c>
      <c r="G20" s="3292">
        <f>COLUMNS('1.6'!B:Z)</f>
        <v>25</v>
      </c>
      <c r="H20" s="3292" t="s">
        <v>23</v>
      </c>
      <c r="J20" s="25"/>
      <c r="K20" s="25"/>
      <c r="L20" s="25"/>
      <c r="M20" s="25"/>
      <c r="N20" s="25"/>
      <c r="O20" s="25"/>
      <c r="P20" s="25"/>
      <c r="Q20" s="25"/>
      <c r="R20" s="25"/>
      <c r="S20" s="25"/>
      <c r="T20" s="25"/>
      <c r="U20" s="25"/>
      <c r="V20" s="25"/>
      <c r="W20" s="25"/>
      <c r="X20" s="25"/>
      <c r="Y20" s="25"/>
      <c r="Z20" s="25"/>
    </row>
    <row r="21" spans="1:26" s="248" customFormat="1" ht="20.100000000000001" customHeight="1">
      <c r="A21" s="25"/>
      <c r="B21" s="185"/>
      <c r="C21" s="185" t="s">
        <v>24</v>
      </c>
      <c r="F21" s="3292" t="s">
        <v>13</v>
      </c>
      <c r="G21" s="3292">
        <f>COLUMNS('1.7'!B:C)</f>
        <v>2</v>
      </c>
      <c r="H21" s="3292">
        <v>1991.07</v>
      </c>
      <c r="J21" s="25"/>
      <c r="K21" s="25"/>
      <c r="L21" s="25"/>
      <c r="M21" s="25"/>
      <c r="N21" s="25"/>
      <c r="O21" s="25"/>
      <c r="P21" s="25"/>
      <c r="Q21" s="25"/>
      <c r="R21" s="25"/>
      <c r="S21" s="25"/>
      <c r="T21" s="25"/>
      <c r="U21" s="25"/>
      <c r="V21" s="25"/>
      <c r="W21" s="25"/>
      <c r="X21" s="25"/>
      <c r="Y21" s="25"/>
      <c r="Z21" s="25"/>
    </row>
    <row r="22" spans="1:26" s="183" customFormat="1" ht="20.100000000000001" customHeight="1">
      <c r="C22" s="183" t="s">
        <v>25</v>
      </c>
      <c r="F22" s="1782" t="s">
        <v>9</v>
      </c>
      <c r="G22" s="1782" t="s">
        <v>10</v>
      </c>
      <c r="H22" s="1782" t="s">
        <v>11</v>
      </c>
    </row>
    <row r="23" spans="1:26" s="248" customFormat="1" ht="19.5" customHeight="1">
      <c r="A23" s="25"/>
      <c r="B23" s="25"/>
      <c r="C23" s="185" t="s">
        <v>26</v>
      </c>
      <c r="D23" s="25"/>
      <c r="E23" s="25"/>
      <c r="F23" s="3293" t="s">
        <v>13</v>
      </c>
      <c r="G23" s="3293">
        <f>COLUMNS('2.1'!B:O)</f>
        <v>14</v>
      </c>
      <c r="H23" s="3294">
        <v>2000.01</v>
      </c>
      <c r="I23" s="25"/>
      <c r="J23" s="25"/>
      <c r="K23" s="25"/>
      <c r="L23" s="25"/>
      <c r="M23" s="25"/>
      <c r="N23" s="25"/>
      <c r="O23" s="25"/>
      <c r="P23" s="25"/>
      <c r="Q23" s="25"/>
      <c r="R23" s="25"/>
      <c r="S23" s="25"/>
      <c r="T23" s="25"/>
      <c r="U23" s="25"/>
      <c r="V23" s="25"/>
      <c r="W23" s="25"/>
      <c r="X23" s="25"/>
      <c r="Y23" s="25"/>
      <c r="Z23" s="25"/>
    </row>
    <row r="24" spans="1:26" s="248" customFormat="1" ht="20.100000000000001" customHeight="1">
      <c r="A24" s="25"/>
      <c r="B24" s="25"/>
      <c r="C24" s="185" t="s">
        <v>27</v>
      </c>
      <c r="D24" s="25"/>
      <c r="E24" s="25"/>
      <c r="F24" s="3293" t="s">
        <v>13</v>
      </c>
      <c r="G24" s="3293">
        <f>COLUMNS('2.2'!B:AG)</f>
        <v>32</v>
      </c>
      <c r="H24" s="3295">
        <v>1994.01</v>
      </c>
      <c r="I24" s="25"/>
      <c r="J24" s="25"/>
      <c r="K24" s="25"/>
      <c r="L24" s="25"/>
      <c r="M24" s="25"/>
      <c r="N24" s="25"/>
      <c r="O24" s="25"/>
      <c r="P24" s="25"/>
      <c r="Q24" s="25"/>
      <c r="R24" s="25"/>
      <c r="S24" s="25"/>
      <c r="T24" s="25"/>
      <c r="U24" s="25"/>
      <c r="V24" s="25"/>
      <c r="W24" s="25"/>
      <c r="X24" s="25"/>
      <c r="Y24" s="25"/>
      <c r="Z24" s="25"/>
    </row>
    <row r="25" spans="1:26" s="248" customFormat="1" ht="20.100000000000001" customHeight="1">
      <c r="A25" s="25"/>
      <c r="B25" s="25"/>
      <c r="C25" s="247" t="s">
        <v>28</v>
      </c>
      <c r="D25" s="25"/>
      <c r="E25" s="25"/>
      <c r="F25" s="3293" t="s">
        <v>13</v>
      </c>
      <c r="G25" s="3293">
        <f>COLUMNS('2.2.a'!B:H)</f>
        <v>7</v>
      </c>
      <c r="H25" s="3293">
        <v>2008.01</v>
      </c>
      <c r="I25" s="25"/>
      <c r="J25" s="25"/>
      <c r="K25" s="25"/>
      <c r="L25" s="25"/>
      <c r="M25" s="25"/>
      <c r="N25" s="25"/>
      <c r="O25" s="25"/>
      <c r="P25" s="25"/>
      <c r="Q25" s="25"/>
      <c r="R25" s="25"/>
      <c r="S25" s="25"/>
      <c r="T25" s="25"/>
      <c r="U25" s="25"/>
      <c r="V25" s="25"/>
      <c r="W25" s="25"/>
      <c r="X25" s="25"/>
      <c r="Y25" s="25"/>
      <c r="Z25" s="25"/>
    </row>
    <row r="26" spans="1:26" s="248" customFormat="1" ht="20.100000000000001" customHeight="1">
      <c r="A26" s="25"/>
      <c r="B26" s="25"/>
      <c r="C26" s="247" t="s">
        <v>29</v>
      </c>
      <c r="D26" s="25"/>
      <c r="E26" s="25"/>
      <c r="F26" s="3293" t="s">
        <v>13</v>
      </c>
      <c r="G26" s="3293">
        <f>COLUMNS('2.2.b'!B:F)</f>
        <v>5</v>
      </c>
      <c r="H26" s="3294">
        <v>2001.1</v>
      </c>
      <c r="I26" s="25"/>
      <c r="J26" s="25"/>
      <c r="K26" s="25"/>
      <c r="L26" s="25"/>
      <c r="M26" s="25"/>
      <c r="N26" s="25"/>
      <c r="O26" s="25"/>
      <c r="P26" s="25"/>
      <c r="Q26" s="25"/>
      <c r="R26" s="25"/>
      <c r="S26" s="25"/>
      <c r="T26" s="25"/>
      <c r="U26" s="25"/>
      <c r="V26" s="25"/>
      <c r="W26" s="25"/>
      <c r="X26" s="25"/>
      <c r="Y26" s="25"/>
      <c r="Z26" s="25"/>
    </row>
    <row r="27" spans="1:26" s="248" customFormat="1" ht="20.100000000000001" customHeight="1">
      <c r="A27" s="25"/>
      <c r="B27" s="25"/>
      <c r="C27" s="247" t="s">
        <v>30</v>
      </c>
      <c r="D27" s="247"/>
      <c r="E27" s="247"/>
      <c r="F27" s="3293" t="s">
        <v>13</v>
      </c>
      <c r="G27" s="3293">
        <f>COLUMNS('2.2.c'!B8:D8)</f>
        <v>3</v>
      </c>
      <c r="H27" s="3294">
        <v>2013.01</v>
      </c>
      <c r="I27" s="25"/>
      <c r="J27" s="25"/>
      <c r="K27" s="25"/>
      <c r="L27" s="1207"/>
      <c r="M27" s="25"/>
      <c r="N27" s="25"/>
      <c r="O27" s="25"/>
      <c r="P27" s="25"/>
      <c r="Q27" s="25"/>
      <c r="R27" s="25"/>
      <c r="S27" s="25"/>
      <c r="T27" s="25"/>
      <c r="U27" s="25"/>
      <c r="V27" s="25"/>
      <c r="W27" s="25"/>
      <c r="X27" s="25"/>
      <c r="Y27" s="25"/>
      <c r="Z27" s="25"/>
    </row>
    <row r="28" spans="1:26" s="248" customFormat="1" ht="20.100000000000001" customHeight="1">
      <c r="A28" s="25"/>
      <c r="B28" s="25"/>
      <c r="C28" s="247" t="s">
        <v>31</v>
      </c>
      <c r="D28" s="247"/>
      <c r="E28" s="247"/>
      <c r="F28" s="3293" t="s">
        <v>13</v>
      </c>
      <c r="G28" s="3293">
        <f>COLUMNS('2.2.d'!B8:H8)</f>
        <v>7</v>
      </c>
      <c r="H28" s="3294">
        <v>2012.01</v>
      </c>
      <c r="I28" s="25"/>
      <c r="J28" s="25"/>
      <c r="K28" s="25"/>
      <c r="L28" s="25"/>
      <c r="M28" s="25"/>
      <c r="N28" s="25"/>
      <c r="O28" s="25"/>
      <c r="P28" s="25"/>
      <c r="Q28" s="25"/>
      <c r="R28" s="25"/>
      <c r="S28" s="25"/>
      <c r="T28" s="25"/>
      <c r="U28" s="25"/>
      <c r="V28" s="25"/>
      <c r="W28" s="25"/>
      <c r="X28" s="25"/>
      <c r="Y28" s="25"/>
      <c r="Z28" s="25"/>
    </row>
    <row r="29" spans="1:26" s="248" customFormat="1" ht="20.100000000000001" customHeight="1">
      <c r="A29" s="25"/>
      <c r="B29" s="25"/>
      <c r="C29" s="247" t="s">
        <v>32</v>
      </c>
      <c r="D29" s="247"/>
      <c r="E29" s="247"/>
      <c r="F29" s="3293" t="s">
        <v>13</v>
      </c>
      <c r="G29" s="3293">
        <f>COLUMNS('2.2.e'!B9:E9)</f>
        <v>4</v>
      </c>
      <c r="H29" s="3294">
        <v>2013.01</v>
      </c>
      <c r="I29" s="25"/>
      <c r="J29" s="25"/>
      <c r="K29" s="25"/>
      <c r="L29" s="25"/>
      <c r="M29" s="25"/>
      <c r="N29" s="25"/>
      <c r="O29" s="25"/>
      <c r="P29" s="25"/>
      <c r="Q29" s="25"/>
      <c r="R29" s="25"/>
      <c r="S29" s="25"/>
      <c r="T29" s="25"/>
      <c r="U29" s="25"/>
      <c r="V29" s="25"/>
      <c r="W29" s="25"/>
      <c r="X29" s="25"/>
      <c r="Y29" s="25"/>
      <c r="Z29" s="25"/>
    </row>
    <row r="30" spans="1:26" s="248" customFormat="1" ht="20.100000000000001" customHeight="1">
      <c r="A30" s="25"/>
      <c r="B30" s="25"/>
      <c r="C30" s="185" t="s">
        <v>33</v>
      </c>
      <c r="D30" s="25"/>
      <c r="E30" s="25"/>
      <c r="F30" s="3293" t="s">
        <v>22</v>
      </c>
      <c r="G30" s="3293">
        <f>COLUMNS('2.3'!B9:U9)</f>
        <v>20</v>
      </c>
      <c r="H30" s="3293" t="s">
        <v>34</v>
      </c>
      <c r="I30" s="25"/>
      <c r="J30" s="25"/>
      <c r="K30" s="25"/>
      <c r="L30" s="25"/>
      <c r="M30" s="25"/>
      <c r="N30" s="25"/>
      <c r="O30" s="25"/>
      <c r="P30" s="25"/>
      <c r="Q30" s="25"/>
      <c r="R30" s="25"/>
      <c r="S30" s="25"/>
      <c r="T30" s="25"/>
      <c r="U30" s="25"/>
      <c r="V30" s="25"/>
      <c r="W30" s="25"/>
      <c r="X30" s="25"/>
      <c r="Y30" s="25"/>
      <c r="Z30" s="25"/>
    </row>
    <row r="31" spans="1:26" s="248" customFormat="1" ht="20.100000000000001" customHeight="1">
      <c r="A31" s="25"/>
      <c r="B31" s="25"/>
      <c r="C31" s="185" t="s">
        <v>35</v>
      </c>
      <c r="D31" s="25"/>
      <c r="E31" s="25"/>
      <c r="F31" s="3293" t="s">
        <v>22</v>
      </c>
      <c r="G31" s="3293">
        <f>COLUMNS('2.4'!B10:Y10)</f>
        <v>24</v>
      </c>
      <c r="H31" s="3293" t="s">
        <v>34</v>
      </c>
      <c r="I31" s="25"/>
      <c r="J31" s="25"/>
      <c r="K31" s="25"/>
      <c r="L31" s="25"/>
      <c r="M31" s="25"/>
      <c r="N31" s="25"/>
      <c r="O31" s="25"/>
      <c r="P31" s="25"/>
      <c r="Q31" s="25"/>
      <c r="R31" s="25"/>
      <c r="S31" s="25"/>
      <c r="T31" s="25"/>
      <c r="U31" s="25"/>
      <c r="V31" s="25"/>
      <c r="W31" s="25"/>
      <c r="X31" s="25"/>
      <c r="Y31" s="25"/>
      <c r="Z31" s="25"/>
    </row>
    <row r="32" spans="1:26" s="248" customFormat="1" ht="20.100000000000001" customHeight="1">
      <c r="A32" s="25"/>
      <c r="B32" s="25"/>
      <c r="C32" s="185" t="s">
        <v>36</v>
      </c>
      <c r="D32" s="25"/>
      <c r="E32" s="25"/>
      <c r="F32" s="3293" t="s">
        <v>22</v>
      </c>
      <c r="G32" s="3293">
        <f>COLUMNS('2.5'!B:Y)</f>
        <v>24</v>
      </c>
      <c r="H32" s="3293" t="s">
        <v>37</v>
      </c>
      <c r="I32" s="25"/>
      <c r="J32" s="25"/>
      <c r="K32" s="25"/>
      <c r="L32" s="25"/>
      <c r="M32" s="25"/>
      <c r="N32" s="25"/>
      <c r="O32" s="25"/>
      <c r="P32" s="25"/>
      <c r="Q32" s="25"/>
      <c r="R32" s="25"/>
      <c r="S32" s="25"/>
      <c r="T32" s="25"/>
      <c r="U32" s="25"/>
      <c r="V32" s="25"/>
      <c r="W32" s="25"/>
      <c r="X32" s="25"/>
      <c r="Y32" s="25"/>
      <c r="Z32" s="25"/>
    </row>
    <row r="33" spans="1:26" s="248" customFormat="1" ht="20.100000000000001" customHeight="1">
      <c r="A33" s="25"/>
      <c r="B33" s="25"/>
      <c r="C33" s="185" t="s">
        <v>38</v>
      </c>
      <c r="D33" s="25"/>
      <c r="E33" s="25"/>
      <c r="F33" s="3293" t="s">
        <v>39</v>
      </c>
      <c r="G33" s="3293">
        <f>COLUMNS('2.6'!B:V)</f>
        <v>21</v>
      </c>
      <c r="H33" s="3293" t="s">
        <v>40</v>
      </c>
      <c r="I33" s="25"/>
      <c r="J33" s="25"/>
      <c r="K33" s="25"/>
      <c r="L33" s="25"/>
      <c r="M33" s="25"/>
      <c r="N33" s="25"/>
      <c r="O33" s="25"/>
      <c r="P33" s="25"/>
      <c r="Q33" s="25"/>
      <c r="R33" s="25"/>
      <c r="S33" s="25"/>
      <c r="T33" s="25"/>
      <c r="U33" s="25"/>
      <c r="V33" s="25"/>
      <c r="W33" s="25"/>
      <c r="X33" s="25"/>
      <c r="Y33" s="25"/>
      <c r="Z33" s="25"/>
    </row>
    <row r="34" spans="1:26" s="248" customFormat="1" ht="20.100000000000001" customHeight="1">
      <c r="A34" s="25"/>
      <c r="B34" s="25"/>
      <c r="C34" s="185" t="s">
        <v>41</v>
      </c>
      <c r="D34" s="25"/>
      <c r="E34" s="25"/>
      <c r="F34" s="3293" t="s">
        <v>20</v>
      </c>
      <c r="G34" s="3293">
        <f>COLUMNS('2.7'!B:D)</f>
        <v>3</v>
      </c>
      <c r="H34" s="3293">
        <v>1810</v>
      </c>
      <c r="I34" s="25"/>
      <c r="J34" s="25"/>
      <c r="K34" s="25"/>
      <c r="L34" s="25"/>
      <c r="M34" s="25"/>
      <c r="N34" s="25"/>
      <c r="O34" s="25"/>
      <c r="P34" s="25"/>
      <c r="Q34" s="25"/>
      <c r="R34" s="25"/>
      <c r="S34" s="25"/>
      <c r="T34" s="25"/>
      <c r="U34" s="25"/>
      <c r="V34" s="25"/>
      <c r="W34" s="25"/>
      <c r="X34" s="25"/>
      <c r="Y34" s="25"/>
      <c r="Z34" s="25"/>
    </row>
    <row r="35" spans="1:26" s="183" customFormat="1" ht="20.100000000000001" customHeight="1">
      <c r="C35" s="183" t="s">
        <v>42</v>
      </c>
      <c r="F35" s="1782" t="s">
        <v>9</v>
      </c>
      <c r="G35" s="1782" t="s">
        <v>10</v>
      </c>
      <c r="H35" s="1782" t="s">
        <v>11</v>
      </c>
    </row>
    <row r="36" spans="1:26" s="248" customFormat="1" ht="20.100000000000001" customHeight="1">
      <c r="A36" s="25"/>
      <c r="B36" s="25"/>
      <c r="C36" s="185" t="s">
        <v>43</v>
      </c>
      <c r="D36" s="25"/>
      <c r="E36" s="25"/>
      <c r="F36" s="3293" t="s">
        <v>13</v>
      </c>
      <c r="G36" s="3293">
        <f>COLUMNS('3.1'!B:F)</f>
        <v>5</v>
      </c>
      <c r="H36" s="3293">
        <v>1991.01</v>
      </c>
      <c r="I36" s="25"/>
      <c r="J36" s="25"/>
      <c r="K36" s="25"/>
      <c r="L36" s="25"/>
      <c r="M36" s="25"/>
      <c r="N36" s="25"/>
      <c r="O36" s="25"/>
      <c r="P36" s="25"/>
      <c r="Q36" s="25"/>
      <c r="R36" s="25"/>
      <c r="S36" s="25"/>
      <c r="T36" s="25"/>
      <c r="U36" s="25"/>
      <c r="V36" s="25"/>
      <c r="W36" s="25"/>
      <c r="X36" s="25"/>
      <c r="Y36" s="25"/>
      <c r="Z36" s="25"/>
    </row>
    <row r="37" spans="1:26" s="248" customFormat="1" ht="20.100000000000001" customHeight="1">
      <c r="A37" s="25"/>
      <c r="B37" s="25"/>
      <c r="C37" s="185" t="s">
        <v>44</v>
      </c>
      <c r="D37" s="25"/>
      <c r="E37" s="25"/>
      <c r="F37" s="3293" t="s">
        <v>13</v>
      </c>
      <c r="G37" s="3293">
        <f>COLUMNS('3.2'!B:AG)</f>
        <v>32</v>
      </c>
      <c r="H37" s="3293">
        <v>1993.01</v>
      </c>
      <c r="I37" s="127"/>
      <c r="J37" s="25"/>
      <c r="K37" s="25"/>
      <c r="L37" s="25"/>
      <c r="M37" s="25"/>
      <c r="N37" s="25"/>
      <c r="O37" s="25"/>
      <c r="P37" s="25"/>
      <c r="Q37" s="25"/>
      <c r="R37" s="25"/>
      <c r="S37" s="25"/>
      <c r="T37" s="25"/>
      <c r="U37" s="25"/>
      <c r="V37" s="25"/>
      <c r="W37" s="25"/>
      <c r="X37" s="25"/>
      <c r="Y37" s="25"/>
      <c r="Z37" s="25"/>
    </row>
    <row r="38" spans="1:26" s="248" customFormat="1" ht="20.100000000000001" customHeight="1">
      <c r="A38" s="25"/>
      <c r="B38" s="25"/>
      <c r="C38" s="185" t="s">
        <v>45</v>
      </c>
      <c r="D38" s="25"/>
      <c r="E38" s="25"/>
      <c r="F38" s="3293" t="s">
        <v>13</v>
      </c>
      <c r="G38" s="3293">
        <f>COLUMNS('3.3'!B:M)</f>
        <v>12</v>
      </c>
      <c r="H38" s="3293">
        <v>1994.01</v>
      </c>
      <c r="I38" s="25"/>
      <c r="J38" s="25"/>
      <c r="K38" s="25"/>
      <c r="L38" s="25"/>
      <c r="M38" s="25"/>
      <c r="N38" s="25"/>
      <c r="O38" s="25"/>
      <c r="P38" s="25"/>
      <c r="Q38" s="25"/>
      <c r="R38" s="25"/>
      <c r="S38" s="25"/>
      <c r="T38" s="25"/>
      <c r="U38" s="25"/>
      <c r="V38" s="25"/>
      <c r="W38" s="25"/>
      <c r="X38" s="25"/>
      <c r="Y38" s="25"/>
      <c r="Z38" s="25"/>
    </row>
    <row r="39" spans="1:26" s="248" customFormat="1" ht="20.100000000000001" customHeight="1">
      <c r="A39" s="25"/>
      <c r="B39" s="25"/>
      <c r="C39" s="185" t="s">
        <v>46</v>
      </c>
      <c r="D39" s="25"/>
      <c r="E39" s="25"/>
      <c r="F39" s="3293" t="s">
        <v>13</v>
      </c>
      <c r="G39" s="3293">
        <f>COLUMNS('3.4'!B:O)</f>
        <v>14</v>
      </c>
      <c r="H39" s="3293">
        <v>2000.01</v>
      </c>
      <c r="I39" s="25"/>
      <c r="J39" s="25"/>
      <c r="K39" s="25"/>
      <c r="L39" s="25"/>
      <c r="M39" s="25"/>
      <c r="N39" s="25"/>
      <c r="O39" s="25"/>
      <c r="P39" s="25"/>
      <c r="Q39" s="25"/>
      <c r="R39" s="25"/>
      <c r="S39" s="25"/>
      <c r="T39" s="25"/>
      <c r="U39" s="25"/>
      <c r="V39" s="25"/>
      <c r="W39" s="25"/>
      <c r="X39" s="25"/>
      <c r="Y39" s="25"/>
      <c r="Z39" s="25"/>
    </row>
    <row r="40" spans="1:26" s="248" customFormat="1" ht="20.100000000000001" customHeight="1">
      <c r="A40" s="25"/>
      <c r="B40" s="25"/>
      <c r="C40" s="185" t="s">
        <v>47</v>
      </c>
      <c r="D40" s="25"/>
      <c r="E40" s="25"/>
      <c r="F40" s="3293" t="s">
        <v>13</v>
      </c>
      <c r="G40" s="3293">
        <f>COLUMNS('3.5'!B:R)</f>
        <v>17</v>
      </c>
      <c r="H40" s="3293">
        <v>1991.01</v>
      </c>
      <c r="I40" s="25"/>
      <c r="J40" s="25"/>
      <c r="K40" s="25"/>
      <c r="L40" s="25"/>
      <c r="M40" s="25"/>
      <c r="N40" s="25"/>
      <c r="O40" s="25"/>
      <c r="P40" s="25"/>
      <c r="Q40" s="25"/>
      <c r="R40" s="25"/>
      <c r="S40" s="25"/>
      <c r="T40" s="25"/>
      <c r="U40" s="25"/>
      <c r="V40" s="25"/>
      <c r="W40" s="25"/>
      <c r="X40" s="25"/>
      <c r="Y40" s="25"/>
      <c r="Z40" s="25"/>
    </row>
    <row r="41" spans="1:26" s="248" customFormat="1" ht="20.100000000000001" customHeight="1">
      <c r="A41" s="25"/>
      <c r="B41" s="25"/>
      <c r="C41" s="249" t="s">
        <v>48</v>
      </c>
      <c r="D41" s="249"/>
      <c r="E41" s="249"/>
      <c r="F41" s="3296" t="s">
        <v>13</v>
      </c>
      <c r="G41" s="3296">
        <f>COLUMNS('3.6'!B:R)</f>
        <v>17</v>
      </c>
      <c r="H41" s="3296">
        <v>1994.01</v>
      </c>
      <c r="I41" s="264" t="s">
        <v>49</v>
      </c>
      <c r="J41" s="25"/>
      <c r="K41" s="25"/>
      <c r="L41" s="25"/>
      <c r="M41" s="25"/>
      <c r="N41" s="25"/>
      <c r="O41" s="25"/>
      <c r="P41" s="25"/>
      <c r="Q41" s="25"/>
      <c r="R41" s="25"/>
      <c r="S41" s="25"/>
      <c r="T41" s="25"/>
      <c r="U41" s="25"/>
      <c r="V41" s="25"/>
      <c r="W41" s="25"/>
      <c r="X41" s="25"/>
      <c r="Y41" s="25"/>
      <c r="Z41" s="25"/>
    </row>
    <row r="42" spans="1:26" s="248" customFormat="1" ht="20.100000000000001" customHeight="1">
      <c r="A42" s="25"/>
      <c r="B42" s="25"/>
      <c r="C42" s="186" t="s">
        <v>50</v>
      </c>
      <c r="D42" s="551"/>
      <c r="E42" s="551"/>
      <c r="F42" s="3297" t="s">
        <v>22</v>
      </c>
      <c r="G42" s="3297">
        <f>COLUMNS('3.7'!B8:M8)</f>
        <v>12</v>
      </c>
      <c r="H42" s="3297" t="s">
        <v>51</v>
      </c>
      <c r="I42" s="3298"/>
      <c r="J42" s="551"/>
      <c r="K42" s="551"/>
      <c r="L42" s="551"/>
      <c r="M42" s="25"/>
      <c r="N42" s="25"/>
      <c r="O42" s="25"/>
      <c r="P42" s="25"/>
      <c r="Q42" s="25"/>
      <c r="R42" s="25"/>
      <c r="S42" s="25"/>
      <c r="T42" s="25"/>
      <c r="U42" s="25"/>
      <c r="V42" s="25"/>
      <c r="W42" s="25"/>
      <c r="X42" s="25"/>
      <c r="Y42" s="25"/>
      <c r="Z42" s="25"/>
    </row>
    <row r="43" spans="1:26" s="248" customFormat="1" ht="20.100000000000001" customHeight="1">
      <c r="A43" s="25"/>
      <c r="B43" s="25"/>
      <c r="C43" s="186" t="s">
        <v>52</v>
      </c>
      <c r="D43" s="25"/>
      <c r="E43" s="25"/>
      <c r="F43" s="3293" t="s">
        <v>13</v>
      </c>
      <c r="G43" s="3293">
        <f>COLUMNS('3.8'!B:Q)</f>
        <v>16</v>
      </c>
      <c r="H43" s="3293">
        <v>1993.01</v>
      </c>
      <c r="I43" s="127"/>
      <c r="J43" s="25"/>
      <c r="K43" s="25"/>
      <c r="L43" s="25"/>
      <c r="M43" s="25"/>
      <c r="N43" s="25"/>
      <c r="O43" s="25"/>
      <c r="P43" s="25"/>
      <c r="Q43" s="25"/>
      <c r="R43" s="25"/>
      <c r="S43" s="25"/>
      <c r="T43" s="25"/>
      <c r="U43" s="25"/>
      <c r="V43" s="25"/>
      <c r="W43" s="25"/>
      <c r="X43" s="25"/>
      <c r="Y43" s="25"/>
      <c r="Z43" s="25"/>
    </row>
    <row r="44" spans="1:26" s="248" customFormat="1" ht="20.100000000000001" customHeight="1">
      <c r="A44" s="25"/>
      <c r="B44" s="25"/>
      <c r="C44" s="186" t="s">
        <v>53</v>
      </c>
      <c r="D44" s="25"/>
      <c r="E44" s="25"/>
      <c r="F44" s="3293" t="s">
        <v>13</v>
      </c>
      <c r="G44" s="3293">
        <f>COLUMNS('3.9'!B8:N8)</f>
        <v>13</v>
      </c>
      <c r="H44" s="3293">
        <v>2002.01</v>
      </c>
      <c r="I44" s="127"/>
      <c r="J44" s="25"/>
      <c r="K44" s="25"/>
      <c r="L44" s="25"/>
      <c r="M44" s="25"/>
      <c r="N44" s="25"/>
      <c r="O44" s="25"/>
      <c r="P44" s="25"/>
      <c r="Q44" s="25"/>
      <c r="R44" s="25"/>
      <c r="S44" s="25"/>
      <c r="T44" s="25"/>
      <c r="U44" s="25"/>
      <c r="V44" s="25"/>
      <c r="W44" s="25"/>
      <c r="X44" s="25"/>
      <c r="Y44" s="25"/>
      <c r="Z44" s="25"/>
    </row>
    <row r="45" spans="1:26" s="248" customFormat="1" ht="20.100000000000001" customHeight="1">
      <c r="A45" s="25"/>
      <c r="B45" s="25"/>
      <c r="C45" s="186" t="s">
        <v>54</v>
      </c>
      <c r="D45" s="25"/>
      <c r="E45" s="25"/>
      <c r="F45" s="3293" t="s">
        <v>13</v>
      </c>
      <c r="G45" s="3293">
        <f>COLUMNS('3.10'!B:T)</f>
        <v>19</v>
      </c>
      <c r="H45" s="3293">
        <v>1994.01</v>
      </c>
      <c r="I45" s="127"/>
      <c r="J45" s="25"/>
      <c r="K45" s="25"/>
      <c r="L45" s="25"/>
      <c r="M45" s="25"/>
      <c r="N45" s="25"/>
      <c r="O45" s="25"/>
      <c r="P45" s="25"/>
      <c r="Q45" s="25"/>
      <c r="R45" s="25"/>
      <c r="S45" s="25"/>
      <c r="T45" s="25"/>
      <c r="U45" s="25"/>
      <c r="V45" s="25"/>
      <c r="W45" s="25"/>
      <c r="X45" s="25"/>
      <c r="Y45" s="25"/>
      <c r="Z45" s="25"/>
    </row>
    <row r="46" spans="1:26" s="248" customFormat="1" ht="20.100000000000001" customHeight="1">
      <c r="A46" s="25"/>
      <c r="B46" s="25"/>
      <c r="C46" s="186" t="s">
        <v>55</v>
      </c>
      <c r="D46" s="25"/>
      <c r="E46" s="25"/>
      <c r="F46" s="3293" t="s">
        <v>13</v>
      </c>
      <c r="G46" s="3293">
        <f>COLUMNS('3.11'!B:S)</f>
        <v>18</v>
      </c>
      <c r="H46" s="3293">
        <v>2004.01</v>
      </c>
      <c r="I46" s="127"/>
      <c r="J46" s="25"/>
      <c r="K46" s="25"/>
      <c r="L46" s="25"/>
      <c r="M46" s="25"/>
      <c r="N46" s="25"/>
      <c r="O46" s="25"/>
      <c r="P46" s="25"/>
      <c r="Q46" s="25"/>
      <c r="R46" s="25"/>
      <c r="S46" s="25"/>
      <c r="T46" s="25"/>
      <c r="U46" s="25"/>
      <c r="V46" s="25"/>
      <c r="W46" s="25"/>
      <c r="X46" s="25"/>
      <c r="Y46" s="25"/>
      <c r="Z46" s="25"/>
    </row>
    <row r="47" spans="1:26" s="183" customFormat="1" ht="20.100000000000001" customHeight="1">
      <c r="C47" s="183" t="s">
        <v>56</v>
      </c>
      <c r="F47" s="1782" t="s">
        <v>9</v>
      </c>
      <c r="G47" s="1782" t="s">
        <v>10</v>
      </c>
      <c r="H47" s="1782" t="s">
        <v>11</v>
      </c>
    </row>
    <row r="48" spans="1:26" s="248" customFormat="1" ht="20.100000000000001" customHeight="1">
      <c r="A48" s="25"/>
      <c r="B48" s="25"/>
      <c r="C48" s="186" t="s">
        <v>57</v>
      </c>
      <c r="D48" s="25"/>
      <c r="E48" s="25"/>
      <c r="F48" s="3293" t="s">
        <v>22</v>
      </c>
      <c r="G48" s="3293">
        <f>COLUMNS('4.1'!B:P)</f>
        <v>15</v>
      </c>
      <c r="H48" s="3293" t="s">
        <v>58</v>
      </c>
      <c r="I48" s="25"/>
      <c r="J48" s="25"/>
      <c r="K48" s="25"/>
      <c r="L48" s="25"/>
      <c r="M48" s="25"/>
      <c r="N48" s="25"/>
      <c r="O48" s="25"/>
      <c r="P48" s="25"/>
      <c r="Q48" s="25"/>
      <c r="R48" s="25"/>
      <c r="S48" s="25"/>
      <c r="T48" s="25"/>
      <c r="U48" s="25"/>
      <c r="V48" s="25"/>
      <c r="W48" s="25"/>
      <c r="X48" s="25"/>
      <c r="Y48" s="25"/>
      <c r="Z48" s="25"/>
    </row>
    <row r="49" spans="1:26" s="248" customFormat="1" ht="20.100000000000001" customHeight="1">
      <c r="A49" s="25"/>
      <c r="B49" s="25"/>
      <c r="C49" s="186" t="s">
        <v>59</v>
      </c>
      <c r="D49" s="25"/>
      <c r="E49" s="25"/>
      <c r="F49" s="3293" t="s">
        <v>13</v>
      </c>
      <c r="G49" s="3293">
        <f>COLUMNS('4.2'!B:F)</f>
        <v>5</v>
      </c>
      <c r="H49" s="3293">
        <v>1994.01</v>
      </c>
      <c r="I49" s="25"/>
      <c r="J49" s="25"/>
      <c r="K49" s="25"/>
      <c r="L49" s="25"/>
      <c r="M49" s="25"/>
      <c r="N49" s="25"/>
      <c r="O49" s="25"/>
      <c r="P49" s="25"/>
      <c r="Q49" s="25"/>
      <c r="R49" s="25"/>
      <c r="S49" s="25"/>
      <c r="T49" s="25"/>
      <c r="U49" s="25"/>
      <c r="V49" s="25"/>
      <c r="W49" s="25"/>
      <c r="X49" s="25"/>
      <c r="Y49" s="25"/>
      <c r="Z49" s="25"/>
    </row>
    <row r="50" spans="1:26" s="248" customFormat="1" ht="20.100000000000001" customHeight="1">
      <c r="A50" s="126"/>
      <c r="B50" s="25"/>
      <c r="C50" s="186" t="s">
        <v>60</v>
      </c>
      <c r="D50" s="25"/>
      <c r="E50" s="25"/>
      <c r="F50" s="3293" t="s">
        <v>13</v>
      </c>
      <c r="G50" s="3293">
        <f>COLUMNS('4.3'!B:Y)</f>
        <v>24</v>
      </c>
      <c r="H50" s="3293">
        <v>1997.01</v>
      </c>
      <c r="I50" s="25"/>
      <c r="J50" s="25"/>
      <c r="K50" s="25"/>
      <c r="L50" s="25"/>
      <c r="M50" s="25"/>
      <c r="N50" s="25"/>
      <c r="O50" s="25"/>
      <c r="P50" s="25"/>
      <c r="Q50" s="25"/>
      <c r="R50" s="25"/>
      <c r="S50" s="25"/>
      <c r="T50" s="25"/>
      <c r="U50" s="25"/>
      <c r="V50" s="25"/>
      <c r="W50" s="25"/>
      <c r="X50" s="25"/>
      <c r="Y50" s="25"/>
      <c r="Z50" s="25"/>
    </row>
    <row r="51" spans="1:26" s="248" customFormat="1" ht="20.100000000000001" customHeight="1">
      <c r="A51" s="25"/>
      <c r="B51" s="25"/>
      <c r="C51" s="186" t="s">
        <v>61</v>
      </c>
      <c r="D51" s="25"/>
      <c r="E51" s="25"/>
      <c r="F51" s="3293" t="s">
        <v>13</v>
      </c>
      <c r="G51" s="3293">
        <f>COLUMNS('4.4'!B:H)</f>
        <v>7</v>
      </c>
      <c r="H51" s="3293">
        <v>1998.07</v>
      </c>
      <c r="I51" s="25"/>
      <c r="J51" s="25"/>
      <c r="K51" s="25"/>
      <c r="L51" s="25"/>
      <c r="M51" s="25"/>
      <c r="N51" s="25"/>
      <c r="O51" s="25"/>
      <c r="P51" s="25"/>
      <c r="Q51" s="25"/>
      <c r="R51" s="25"/>
      <c r="S51" s="25"/>
      <c r="T51" s="25"/>
      <c r="U51" s="25"/>
      <c r="V51" s="25"/>
      <c r="W51" s="25"/>
      <c r="X51" s="25"/>
      <c r="Y51" s="25"/>
      <c r="Z51" s="25"/>
    </row>
    <row r="52" spans="1:26" s="248" customFormat="1" ht="20.100000000000001" customHeight="1">
      <c r="A52" s="25"/>
      <c r="B52" s="25"/>
      <c r="C52" s="186" t="s">
        <v>62</v>
      </c>
      <c r="D52" s="25"/>
      <c r="E52" s="25"/>
      <c r="F52" s="3293" t="s">
        <v>13</v>
      </c>
      <c r="G52" s="3293">
        <f>COLUMNS('4.5'!B:J)</f>
        <v>9</v>
      </c>
      <c r="H52" s="3293">
        <v>2007.01</v>
      </c>
      <c r="I52" s="25"/>
      <c r="J52" s="25"/>
      <c r="K52" s="25"/>
      <c r="L52" s="25"/>
      <c r="M52" s="25"/>
      <c r="N52" s="25"/>
      <c r="O52" s="25"/>
      <c r="P52" s="25"/>
      <c r="Q52" s="25"/>
      <c r="R52" s="25"/>
      <c r="S52" s="25"/>
      <c r="T52" s="25"/>
      <c r="U52" s="25"/>
      <c r="V52" s="25"/>
      <c r="W52" s="25"/>
      <c r="X52" s="25"/>
      <c r="Y52" s="25"/>
      <c r="Z52" s="25"/>
    </row>
    <row r="53" spans="1:26" s="248" customFormat="1" ht="20.100000000000001" customHeight="1">
      <c r="A53" s="25"/>
      <c r="B53" s="25"/>
      <c r="C53" s="186" t="s">
        <v>63</v>
      </c>
      <c r="D53" s="25"/>
      <c r="E53" s="25"/>
      <c r="F53" s="3296" t="s">
        <v>13</v>
      </c>
      <c r="G53" s="3296"/>
      <c r="H53" s="3296">
        <v>1995.12</v>
      </c>
      <c r="I53" s="3299" t="s">
        <v>64</v>
      </c>
      <c r="J53" s="25"/>
      <c r="K53" s="25"/>
      <c r="L53" s="25"/>
      <c r="M53" s="25"/>
      <c r="N53" s="25"/>
      <c r="O53" s="25"/>
      <c r="P53" s="25"/>
      <c r="Q53" s="25"/>
      <c r="R53" s="25"/>
      <c r="S53" s="25"/>
      <c r="T53" s="25"/>
      <c r="U53" s="25"/>
      <c r="V53" s="25"/>
      <c r="W53" s="25"/>
      <c r="X53" s="25"/>
      <c r="Y53" s="25"/>
      <c r="Z53" s="25"/>
    </row>
    <row r="54" spans="1:26" s="248" customFormat="1" ht="20.100000000000001" customHeight="1">
      <c r="A54" s="25"/>
      <c r="B54" s="25"/>
      <c r="C54" s="186" t="s">
        <v>65</v>
      </c>
      <c r="D54" s="25"/>
      <c r="E54" s="25"/>
      <c r="F54" s="3293" t="s">
        <v>22</v>
      </c>
      <c r="G54" s="3293">
        <f>COLUMNS('4.7'!B:Q)</f>
        <v>16</v>
      </c>
      <c r="H54" s="3293" t="s">
        <v>66</v>
      </c>
      <c r="I54" s="25"/>
      <c r="J54" s="25"/>
      <c r="K54" s="25"/>
      <c r="L54" s="25"/>
      <c r="M54" s="25"/>
      <c r="N54" s="25"/>
      <c r="O54" s="25"/>
      <c r="P54" s="25"/>
      <c r="Q54" s="25"/>
      <c r="R54" s="25"/>
      <c r="S54" s="25"/>
      <c r="T54" s="25"/>
      <c r="U54" s="25"/>
      <c r="V54" s="25"/>
      <c r="W54" s="25"/>
      <c r="X54" s="25"/>
      <c r="Y54" s="25"/>
      <c r="Z54" s="25"/>
    </row>
    <row r="55" spans="1:26" s="183" customFormat="1" ht="20.100000000000001" customHeight="1">
      <c r="C55" s="183" t="s">
        <v>67</v>
      </c>
      <c r="F55" s="1782" t="s">
        <v>9</v>
      </c>
      <c r="G55" s="1782" t="s">
        <v>10</v>
      </c>
      <c r="H55" s="1782" t="s">
        <v>11</v>
      </c>
    </row>
    <row r="56" spans="1:26" s="248" customFormat="1" ht="18.75" customHeight="1">
      <c r="A56" s="25"/>
      <c r="B56" s="25"/>
      <c r="C56" s="186" t="s">
        <v>68</v>
      </c>
      <c r="D56" s="25"/>
      <c r="E56" s="25"/>
      <c r="F56" s="3293" t="s">
        <v>13</v>
      </c>
      <c r="G56" s="3293">
        <f>COLUMNS('5.1'!B:N)</f>
        <v>13</v>
      </c>
      <c r="H56" s="3293">
        <v>1993.01</v>
      </c>
      <c r="I56" s="25"/>
      <c r="J56" s="25"/>
      <c r="K56" s="25"/>
      <c r="L56" s="25"/>
      <c r="M56" s="25"/>
      <c r="N56" s="25"/>
      <c r="O56" s="25"/>
      <c r="P56" s="25"/>
      <c r="Q56" s="25"/>
      <c r="R56" s="25"/>
      <c r="S56" s="25"/>
      <c r="T56" s="25"/>
      <c r="U56" s="25"/>
      <c r="V56" s="25"/>
      <c r="W56" s="25"/>
      <c r="X56" s="25"/>
      <c r="Y56" s="25"/>
      <c r="Z56" s="25"/>
    </row>
    <row r="57" spans="1:26" s="248" customFormat="1" ht="18.75" customHeight="1">
      <c r="A57" s="25"/>
      <c r="B57" s="25"/>
      <c r="C57" s="162" t="s">
        <v>69</v>
      </c>
      <c r="D57" s="163"/>
      <c r="E57" s="163"/>
      <c r="F57" s="3300" t="s">
        <v>13</v>
      </c>
      <c r="G57" s="3300"/>
      <c r="H57" s="3300">
        <v>1994.01</v>
      </c>
      <c r="I57" s="3299" t="s">
        <v>64</v>
      </c>
      <c r="J57" s="3299"/>
      <c r="K57" s="25"/>
      <c r="L57" s="25"/>
      <c r="M57" s="25"/>
      <c r="N57" s="25"/>
      <c r="O57" s="25"/>
      <c r="P57" s="25"/>
      <c r="Q57" s="25"/>
      <c r="R57" s="25"/>
      <c r="S57" s="25"/>
      <c r="T57" s="25"/>
      <c r="U57" s="25"/>
      <c r="V57" s="25"/>
      <c r="W57" s="25"/>
      <c r="X57" s="25"/>
      <c r="Y57" s="25"/>
      <c r="Z57" s="25"/>
    </row>
    <row r="58" spans="1:26" s="248" customFormat="1" ht="18.75" customHeight="1">
      <c r="A58" s="25"/>
      <c r="B58" s="25"/>
      <c r="C58" s="186" t="s">
        <v>70</v>
      </c>
      <c r="D58" s="25"/>
      <c r="E58" s="25"/>
      <c r="F58" s="3293" t="s">
        <v>13</v>
      </c>
      <c r="G58" s="3293">
        <f>COLUMNS('5.3'!B:V)</f>
        <v>21</v>
      </c>
      <c r="H58" s="3293">
        <v>1994.01</v>
      </c>
      <c r="I58" s="25"/>
      <c r="J58" s="25"/>
      <c r="K58" s="25"/>
      <c r="L58" s="25"/>
      <c r="M58" s="25"/>
      <c r="N58" s="25"/>
      <c r="O58" s="25"/>
      <c r="P58" s="25"/>
      <c r="Q58" s="25"/>
      <c r="R58" s="25"/>
      <c r="S58" s="25"/>
      <c r="T58" s="25"/>
      <c r="U58" s="25"/>
      <c r="V58" s="25"/>
      <c r="W58" s="25"/>
      <c r="X58" s="25"/>
      <c r="Y58" s="25"/>
      <c r="Z58" s="25"/>
    </row>
    <row r="59" spans="1:26" s="183" customFormat="1" ht="20.100000000000001" customHeight="1">
      <c r="C59" s="183" t="s">
        <v>71</v>
      </c>
      <c r="F59" s="1782" t="s">
        <v>9</v>
      </c>
      <c r="G59" s="1782" t="s">
        <v>10</v>
      </c>
      <c r="H59" s="1782" t="s">
        <v>11</v>
      </c>
    </row>
    <row r="60" spans="1:26" s="248" customFormat="1" ht="20.100000000000001" customHeight="1">
      <c r="A60" s="25"/>
      <c r="B60" s="25"/>
      <c r="C60" s="186" t="s">
        <v>72</v>
      </c>
      <c r="D60" s="25"/>
      <c r="E60" s="25"/>
      <c r="F60" s="3293" t="s">
        <v>13</v>
      </c>
      <c r="G60" s="3293">
        <f>COLUMNS('6.1'!B:Q)</f>
        <v>16</v>
      </c>
      <c r="H60" s="3293">
        <v>1993.01</v>
      </c>
      <c r="I60" s="127"/>
      <c r="J60" s="25"/>
      <c r="K60" s="25"/>
      <c r="L60" s="25"/>
      <c r="M60" s="25"/>
      <c r="N60" s="25"/>
      <c r="O60" s="25"/>
      <c r="P60" s="25"/>
      <c r="Q60" s="25"/>
      <c r="R60" s="25"/>
      <c r="S60" s="25"/>
      <c r="T60" s="25"/>
      <c r="U60" s="25"/>
      <c r="V60" s="25"/>
      <c r="W60" s="25"/>
      <c r="X60" s="25"/>
      <c r="Y60" s="25"/>
      <c r="Z60" s="25"/>
    </row>
    <row r="61" spans="1:26" s="248" customFormat="1" ht="20.100000000000001" customHeight="1">
      <c r="A61" s="25"/>
      <c r="B61" s="25"/>
      <c r="C61" s="186" t="s">
        <v>73</v>
      </c>
      <c r="D61" s="25"/>
      <c r="E61" s="25"/>
      <c r="F61" s="3293" t="s">
        <v>13</v>
      </c>
      <c r="G61" s="3293">
        <f>COLUMNS('6.2'!B:E)</f>
        <v>4</v>
      </c>
      <c r="H61" s="3293">
        <v>1990.01</v>
      </c>
      <c r="I61" s="25"/>
      <c r="J61" s="25"/>
      <c r="K61" s="25"/>
      <c r="L61" s="25"/>
      <c r="M61" s="25"/>
      <c r="N61" s="25"/>
      <c r="O61" s="25"/>
      <c r="P61" s="25"/>
      <c r="Q61" s="25"/>
      <c r="R61" s="25"/>
      <c r="S61" s="25"/>
      <c r="T61" s="25"/>
      <c r="U61" s="25"/>
      <c r="V61" s="25"/>
      <c r="W61" s="25"/>
      <c r="X61" s="25"/>
      <c r="Y61" s="25"/>
      <c r="Z61" s="25"/>
    </row>
    <row r="62" spans="1:26" s="248" customFormat="1" ht="20.100000000000001" customHeight="1">
      <c r="A62" s="25"/>
      <c r="B62" s="25"/>
      <c r="C62" s="186" t="s">
        <v>74</v>
      </c>
      <c r="D62" s="25"/>
      <c r="E62" s="25"/>
      <c r="F62" s="3293" t="s">
        <v>22</v>
      </c>
      <c r="G62" s="3293">
        <f>COLUMNS('6.2.b'!B:I)</f>
        <v>8</v>
      </c>
      <c r="H62" s="3293" t="s">
        <v>75</v>
      </c>
      <c r="I62" s="25"/>
      <c r="J62" s="25"/>
      <c r="K62" s="25"/>
      <c r="L62" s="25"/>
      <c r="M62" s="25"/>
      <c r="N62" s="25"/>
      <c r="O62" s="25"/>
      <c r="P62" s="25"/>
      <c r="Q62" s="25"/>
      <c r="R62" s="25"/>
      <c r="S62" s="25"/>
      <c r="T62" s="25"/>
      <c r="U62" s="25"/>
      <c r="V62" s="25"/>
      <c r="W62" s="25"/>
      <c r="X62" s="25"/>
      <c r="Y62" s="25"/>
      <c r="Z62" s="25"/>
    </row>
    <row r="63" spans="1:26" s="248" customFormat="1" ht="20.100000000000001" customHeight="1">
      <c r="A63" s="25"/>
      <c r="B63" s="25"/>
      <c r="C63" s="186" t="s">
        <v>76</v>
      </c>
      <c r="D63" s="25"/>
      <c r="E63" s="25"/>
      <c r="F63" s="3293" t="s">
        <v>20</v>
      </c>
      <c r="G63" s="3293">
        <f>COLUMNS('6.3'!B:N)</f>
        <v>13</v>
      </c>
      <c r="H63" s="3293">
        <v>1994</v>
      </c>
      <c r="I63" s="25"/>
      <c r="J63" s="25"/>
      <c r="K63" s="25"/>
      <c r="L63" s="25"/>
      <c r="M63" s="25"/>
      <c r="N63" s="25"/>
      <c r="O63" s="25"/>
      <c r="P63" s="25"/>
      <c r="Q63" s="25"/>
      <c r="R63" s="25"/>
      <c r="S63" s="25"/>
      <c r="T63" s="25"/>
      <c r="U63" s="25"/>
      <c r="V63" s="25"/>
      <c r="W63" s="25"/>
      <c r="X63" s="25"/>
      <c r="Y63" s="25"/>
      <c r="Z63" s="25"/>
    </row>
    <row r="64" spans="1:26" s="248" customFormat="1" ht="20.100000000000001" customHeight="1">
      <c r="A64" s="25"/>
      <c r="B64" s="25"/>
      <c r="C64" s="186" t="s">
        <v>77</v>
      </c>
      <c r="D64" s="25"/>
      <c r="E64" s="25"/>
      <c r="F64" s="3293" t="s">
        <v>13</v>
      </c>
      <c r="G64" s="3293">
        <f>COLUMNS('6.4'!B:F)</f>
        <v>5</v>
      </c>
      <c r="H64" s="3293">
        <v>1991.01</v>
      </c>
      <c r="I64" s="25"/>
      <c r="J64" s="25"/>
      <c r="K64" s="25"/>
      <c r="L64" s="25"/>
      <c r="M64" s="25"/>
      <c r="N64" s="25"/>
      <c r="O64" s="25"/>
      <c r="P64" s="25"/>
      <c r="Q64" s="25"/>
      <c r="R64" s="25"/>
      <c r="S64" s="25"/>
      <c r="T64" s="25"/>
      <c r="U64" s="25"/>
      <c r="V64" s="25"/>
      <c r="W64" s="25"/>
      <c r="X64" s="25"/>
      <c r="Y64" s="25"/>
      <c r="Z64" s="25"/>
    </row>
    <row r="65" spans="1:26" s="183" customFormat="1" ht="20.100000000000001" customHeight="1">
      <c r="C65" s="183" t="s">
        <v>78</v>
      </c>
      <c r="F65" s="1782" t="s">
        <v>9</v>
      </c>
      <c r="G65" s="1782" t="s">
        <v>10</v>
      </c>
      <c r="H65" s="1782" t="s">
        <v>11</v>
      </c>
    </row>
    <row r="66" spans="1:26" s="248" customFormat="1" ht="20.100000000000001" customHeight="1">
      <c r="A66" s="25"/>
      <c r="B66" s="25"/>
      <c r="C66" s="186" t="s">
        <v>79</v>
      </c>
      <c r="D66" s="25"/>
      <c r="E66" s="25"/>
      <c r="F66" s="3293" t="s">
        <v>13</v>
      </c>
      <c r="G66" s="3293">
        <f>COLUMNS('7.1'!B:H)</f>
        <v>7</v>
      </c>
      <c r="H66" s="3293">
        <v>1994.01</v>
      </c>
      <c r="I66" s="25"/>
      <c r="J66" s="25"/>
      <c r="K66" s="25"/>
      <c r="L66" s="25"/>
      <c r="M66" s="25"/>
      <c r="N66" s="25"/>
      <c r="O66" s="25"/>
      <c r="P66" s="25"/>
      <c r="Q66" s="25"/>
      <c r="R66" s="25"/>
      <c r="S66" s="25"/>
      <c r="T66" s="25"/>
      <c r="U66" s="25"/>
      <c r="V66" s="25"/>
      <c r="W66" s="25"/>
      <c r="X66" s="25"/>
      <c r="Y66" s="25"/>
      <c r="Z66" s="25"/>
    </row>
    <row r="67" spans="1:26" s="248" customFormat="1" ht="20.100000000000001" customHeight="1">
      <c r="A67" s="25"/>
      <c r="B67" s="25"/>
      <c r="C67" s="186" t="s">
        <v>80</v>
      </c>
      <c r="D67" s="25"/>
      <c r="E67" s="25"/>
      <c r="F67" s="3293" t="s">
        <v>13</v>
      </c>
      <c r="G67" s="3293">
        <f>COLUMNS('7.2'!B:B)</f>
        <v>1</v>
      </c>
      <c r="H67" s="3293">
        <v>1992.01</v>
      </c>
      <c r="I67" s="25"/>
      <c r="J67" s="25"/>
      <c r="K67" s="25"/>
      <c r="L67" s="25"/>
      <c r="M67" s="25"/>
      <c r="N67" s="25"/>
      <c r="O67" s="25"/>
      <c r="P67" s="25"/>
      <c r="Q67" s="25"/>
      <c r="R67" s="25"/>
      <c r="S67" s="25"/>
      <c r="T67" s="25"/>
      <c r="U67" s="25"/>
      <c r="V67" s="25"/>
      <c r="W67" s="25"/>
      <c r="X67" s="25"/>
      <c r="Y67" s="25"/>
      <c r="Z67" s="25"/>
    </row>
    <row r="68" spans="1:26" s="248" customFormat="1" ht="20.100000000000001" customHeight="1">
      <c r="A68" s="25"/>
      <c r="B68" s="25"/>
      <c r="C68" s="186" t="s">
        <v>81</v>
      </c>
      <c r="D68" s="25"/>
      <c r="E68" s="25"/>
      <c r="F68" s="3293" t="s">
        <v>13</v>
      </c>
      <c r="G68" s="3293">
        <f>COLUMNS('7.3'!B:E)</f>
        <v>4</v>
      </c>
      <c r="H68" s="3293">
        <v>1992.01</v>
      </c>
      <c r="I68" s="25"/>
      <c r="J68" s="25"/>
      <c r="K68" s="25"/>
      <c r="L68" s="25"/>
      <c r="M68" s="25"/>
      <c r="N68" s="25"/>
      <c r="O68" s="25"/>
      <c r="P68" s="25"/>
      <c r="Q68" s="25"/>
      <c r="R68" s="25"/>
      <c r="S68" s="25"/>
      <c r="T68" s="25"/>
      <c r="U68" s="25"/>
      <c r="V68" s="25"/>
      <c r="W68" s="25"/>
      <c r="X68" s="25"/>
      <c r="Y68" s="25"/>
      <c r="Z68" s="25"/>
    </row>
    <row r="69" spans="1:26" s="248" customFormat="1" ht="20.100000000000001" customHeight="1">
      <c r="A69" s="25"/>
      <c r="B69" s="25"/>
      <c r="C69" s="186" t="s">
        <v>82</v>
      </c>
      <c r="D69" s="25"/>
      <c r="E69" s="25"/>
      <c r="F69" s="3293" t="s">
        <v>13</v>
      </c>
      <c r="G69" s="3293">
        <f>COLUMNS('7.4'!B:C)</f>
        <v>2</v>
      </c>
      <c r="H69" s="3293">
        <v>1994.01</v>
      </c>
      <c r="I69" s="25"/>
      <c r="J69" s="25"/>
      <c r="K69" s="25"/>
      <c r="L69" s="25"/>
      <c r="M69" s="25"/>
      <c r="N69" s="25"/>
      <c r="O69" s="25"/>
      <c r="P69" s="25"/>
      <c r="Q69" s="25"/>
      <c r="R69" s="25"/>
      <c r="S69" s="25"/>
      <c r="T69" s="25"/>
      <c r="U69" s="25"/>
      <c r="V69" s="25"/>
      <c r="W69" s="25"/>
      <c r="X69" s="25"/>
      <c r="Y69" s="25"/>
      <c r="Z69" s="25"/>
    </row>
    <row r="70" spans="1:26" s="183" customFormat="1" ht="18.75" customHeight="1">
      <c r="C70" s="183" t="s">
        <v>83</v>
      </c>
      <c r="F70" s="1782" t="s">
        <v>9</v>
      </c>
      <c r="G70" s="1782" t="s">
        <v>10</v>
      </c>
      <c r="H70" s="1782" t="s">
        <v>11</v>
      </c>
    </row>
    <row r="71" spans="1:26" s="248" customFormat="1" ht="20.100000000000001" customHeight="1">
      <c r="A71" s="25"/>
      <c r="B71" s="25"/>
      <c r="C71" s="186" t="s">
        <v>84</v>
      </c>
      <c r="D71" s="186"/>
      <c r="E71" s="186"/>
      <c r="F71" s="3293" t="s">
        <v>13</v>
      </c>
      <c r="G71" s="3293">
        <f>COLUMNS('8.1'!B:L)</f>
        <v>11</v>
      </c>
      <c r="H71" s="3293">
        <v>1991.01</v>
      </c>
      <c r="I71" s="25"/>
      <c r="J71" s="25"/>
      <c r="K71" s="25"/>
      <c r="L71" s="25"/>
      <c r="M71" s="25"/>
      <c r="N71" s="25"/>
      <c r="O71" s="25"/>
      <c r="P71" s="25"/>
      <c r="Q71" s="25"/>
      <c r="R71" s="25"/>
      <c r="S71" s="25"/>
      <c r="T71" s="25"/>
      <c r="U71" s="25"/>
      <c r="V71" s="25"/>
      <c r="W71" s="25"/>
      <c r="X71" s="25"/>
      <c r="Y71" s="25"/>
      <c r="Z71" s="25"/>
    </row>
    <row r="72" spans="1:26" s="248" customFormat="1" ht="20.100000000000001" customHeight="1">
      <c r="A72" s="25"/>
      <c r="B72" s="25"/>
      <c r="C72" s="186" t="s">
        <v>85</v>
      </c>
      <c r="D72" s="186"/>
      <c r="E72" s="186"/>
      <c r="F72" s="3293" t="s">
        <v>13</v>
      </c>
      <c r="G72" s="3293">
        <f>COLUMNS('8.2'!B:O)</f>
        <v>14</v>
      </c>
      <c r="H72" s="3293">
        <v>2012.07</v>
      </c>
      <c r="I72" s="25"/>
      <c r="J72" s="25"/>
      <c r="K72" s="25"/>
      <c r="L72" s="25"/>
      <c r="M72" s="25"/>
      <c r="N72" s="25"/>
      <c r="O72" s="25"/>
      <c r="P72" s="25"/>
      <c r="Q72" s="25"/>
      <c r="R72" s="25"/>
      <c r="S72" s="25"/>
      <c r="T72" s="25"/>
      <c r="U72" s="25"/>
      <c r="V72" s="25"/>
      <c r="W72" s="25"/>
      <c r="X72" s="25"/>
      <c r="Y72" s="25"/>
      <c r="Z72" s="25"/>
    </row>
    <row r="73" spans="1:26" s="248" customFormat="1" ht="20.100000000000001" customHeight="1">
      <c r="A73" s="25"/>
      <c r="B73" s="25"/>
      <c r="C73" s="186" t="s">
        <v>86</v>
      </c>
      <c r="D73" s="249"/>
      <c r="E73" s="249"/>
      <c r="F73" s="3293" t="s">
        <v>13</v>
      </c>
      <c r="G73" s="3293">
        <f>COLUMNS('8.3'!B:Y)</f>
        <v>24</v>
      </c>
      <c r="H73" s="3293">
        <v>2017.01</v>
      </c>
      <c r="I73" s="25"/>
      <c r="J73" s="25"/>
      <c r="K73" s="25"/>
      <c r="L73" s="25"/>
      <c r="M73" s="25"/>
      <c r="N73" s="25"/>
      <c r="O73" s="25"/>
      <c r="P73" s="25"/>
      <c r="Q73" s="25"/>
      <c r="R73" s="25"/>
      <c r="S73" s="25"/>
      <c r="T73" s="25"/>
      <c r="U73" s="25"/>
      <c r="V73" s="25"/>
      <c r="W73" s="25"/>
      <c r="X73" s="25"/>
      <c r="Y73" s="25"/>
      <c r="Z73" s="25"/>
    </row>
    <row r="74" spans="1:26" s="248" customFormat="1" ht="20.100000000000001" customHeight="1">
      <c r="A74" s="25"/>
      <c r="B74" s="25"/>
      <c r="C74" s="186" t="s">
        <v>87</v>
      </c>
      <c r="D74" s="25"/>
      <c r="E74" s="25"/>
      <c r="F74" s="3293" t="s">
        <v>13</v>
      </c>
      <c r="G74" s="3293">
        <f>COLUMNS('8.4'!B:E)</f>
        <v>4</v>
      </c>
      <c r="H74" s="3293">
        <v>1969.01</v>
      </c>
      <c r="I74" s="25"/>
      <c r="J74" s="25"/>
      <c r="K74" s="25"/>
      <c r="L74" s="25"/>
      <c r="M74" s="25"/>
      <c r="N74" s="25"/>
      <c r="O74" s="25"/>
      <c r="P74" s="25"/>
      <c r="Q74" s="25"/>
      <c r="R74" s="25"/>
      <c r="S74" s="25"/>
      <c r="T74" s="25"/>
      <c r="U74" s="25"/>
      <c r="V74" s="25"/>
      <c r="W74" s="25"/>
      <c r="X74" s="25"/>
      <c r="Y74" s="25"/>
      <c r="Z74" s="25"/>
    </row>
    <row r="75" spans="1:26" s="248" customFormat="1" ht="20.100000000000001" customHeight="1">
      <c r="A75" s="25"/>
      <c r="B75" s="25"/>
      <c r="C75" s="186" t="s">
        <v>88</v>
      </c>
      <c r="D75" s="25"/>
      <c r="E75" s="25"/>
      <c r="F75" s="3293" t="s">
        <v>13</v>
      </c>
      <c r="G75" s="3293">
        <f>COLUMNS('8.5'!B:E)</f>
        <v>4</v>
      </c>
      <c r="H75" s="3293">
        <v>1996.01</v>
      </c>
      <c r="I75" s="25"/>
      <c r="J75" s="25"/>
      <c r="K75" s="25"/>
      <c r="L75" s="25"/>
      <c r="M75" s="25"/>
      <c r="N75" s="25"/>
      <c r="O75" s="25"/>
      <c r="P75" s="25"/>
      <c r="Q75" s="25"/>
      <c r="R75" s="25"/>
      <c r="S75" s="25"/>
      <c r="T75" s="25"/>
      <c r="U75" s="25"/>
      <c r="V75" s="25"/>
      <c r="W75" s="25"/>
      <c r="X75" s="25"/>
      <c r="Y75" s="25"/>
      <c r="Z75" s="25"/>
    </row>
    <row r="76" spans="1:26" s="248" customFormat="1" ht="20.100000000000001" customHeight="1">
      <c r="A76" s="25"/>
      <c r="B76" s="25"/>
      <c r="C76" s="186" t="s">
        <v>89</v>
      </c>
      <c r="D76" s="25"/>
      <c r="E76" s="25"/>
      <c r="F76" s="3293" t="s">
        <v>13</v>
      </c>
      <c r="G76" s="3293">
        <f>COLUMNS('8.6'!B:N)</f>
        <v>13</v>
      </c>
      <c r="H76" s="3293">
        <v>2016.01</v>
      </c>
      <c r="I76" s="25"/>
      <c r="J76" s="25"/>
      <c r="K76" s="25"/>
      <c r="L76" s="25"/>
      <c r="M76" s="25"/>
      <c r="N76" s="25"/>
      <c r="O76" s="25"/>
      <c r="P76" s="25"/>
      <c r="Q76" s="25"/>
      <c r="R76" s="25"/>
      <c r="S76" s="25"/>
      <c r="T76" s="25"/>
      <c r="U76" s="25"/>
      <c r="V76" s="25"/>
      <c r="W76" s="25"/>
      <c r="X76" s="25"/>
      <c r="Y76" s="25"/>
      <c r="Z76" s="25"/>
    </row>
    <row r="77" spans="1:26" s="248" customFormat="1" ht="20.100000000000001" customHeight="1">
      <c r="A77" s="25"/>
      <c r="B77" s="25"/>
      <c r="C77" s="186" t="s">
        <v>90</v>
      </c>
      <c r="D77" s="25"/>
      <c r="E77" s="25"/>
      <c r="F77" s="3293" t="s">
        <v>13</v>
      </c>
      <c r="G77" s="3293">
        <f>COLUMNS('8.7'!B:B)</f>
        <v>1</v>
      </c>
      <c r="H77" s="3293">
        <v>1996.01</v>
      </c>
      <c r="I77" s="25"/>
      <c r="J77" s="25"/>
      <c r="K77" s="25"/>
      <c r="L77" s="25"/>
      <c r="M77" s="25"/>
      <c r="N77" s="25"/>
      <c r="O77" s="25"/>
      <c r="P77" s="25"/>
      <c r="Q77" s="25"/>
      <c r="R77" s="25"/>
      <c r="S77" s="25"/>
      <c r="T77" s="25"/>
      <c r="U77" s="25"/>
      <c r="V77" s="25"/>
      <c r="W77" s="25"/>
      <c r="X77" s="25"/>
      <c r="Y77" s="25"/>
      <c r="Z77" s="25"/>
    </row>
    <row r="78" spans="1:26" s="248" customFormat="1" ht="20.100000000000001" customHeight="1">
      <c r="A78" s="25"/>
      <c r="B78" s="25"/>
      <c r="C78" s="186" t="s">
        <v>91</v>
      </c>
      <c r="D78" s="25"/>
      <c r="E78" s="25"/>
      <c r="F78" s="3293" t="s">
        <v>13</v>
      </c>
      <c r="G78" s="3292">
        <f>COLUMNS('8.8'!B:K)</f>
        <v>10</v>
      </c>
      <c r="H78" s="3293">
        <v>1990.01</v>
      </c>
      <c r="I78" s="25"/>
      <c r="J78" s="25"/>
      <c r="K78" s="25"/>
      <c r="L78" s="25"/>
      <c r="M78" s="25"/>
      <c r="N78" s="25"/>
      <c r="O78" s="25"/>
      <c r="P78" s="25"/>
      <c r="Q78" s="25"/>
      <c r="R78" s="25"/>
      <c r="S78" s="25"/>
      <c r="T78" s="25"/>
      <c r="U78" s="25"/>
      <c r="V78" s="25"/>
      <c r="W78" s="25"/>
      <c r="X78" s="25"/>
      <c r="Y78" s="25"/>
      <c r="Z78" s="25"/>
    </row>
    <row r="79" spans="1:26" s="248" customFormat="1" ht="20.100000000000001" customHeight="1">
      <c r="A79" s="25"/>
      <c r="B79" s="25"/>
      <c r="C79" s="186" t="s">
        <v>92</v>
      </c>
      <c r="D79" s="25"/>
      <c r="E79" s="25"/>
      <c r="F79" s="3293" t="s">
        <v>13</v>
      </c>
      <c r="G79" s="3292">
        <f>COLUMNS('8.9'!B:P)</f>
        <v>15</v>
      </c>
      <c r="H79" s="3293">
        <v>1973.01</v>
      </c>
      <c r="I79" s="25"/>
      <c r="J79" s="25"/>
      <c r="K79" s="25"/>
      <c r="L79" s="25"/>
      <c r="M79" s="25"/>
      <c r="N79" s="25"/>
      <c r="O79" s="25"/>
      <c r="P79" s="25"/>
      <c r="Q79" s="25"/>
      <c r="R79" s="25"/>
      <c r="S79" s="25"/>
      <c r="T79" s="25"/>
      <c r="U79" s="25"/>
      <c r="V79" s="25"/>
      <c r="W79" s="25"/>
      <c r="X79" s="25"/>
      <c r="Y79" s="25"/>
      <c r="Z79" s="25"/>
    </row>
    <row r="80" spans="1:26" s="248" customFormat="1" ht="20.100000000000001" customHeight="1">
      <c r="A80" s="25"/>
      <c r="B80" s="25"/>
      <c r="C80" s="186" t="s">
        <v>93</v>
      </c>
      <c r="D80" s="25"/>
      <c r="E80" s="25"/>
      <c r="F80" s="3293" t="s">
        <v>13</v>
      </c>
      <c r="G80" s="3293">
        <f>COLUMNS('8.10'!B:G)</f>
        <v>6</v>
      </c>
      <c r="H80" s="3293">
        <v>2006.08</v>
      </c>
      <c r="I80" s="25"/>
      <c r="J80" s="25"/>
      <c r="K80" s="25"/>
      <c r="L80" s="25"/>
      <c r="M80" s="25"/>
      <c r="N80" s="25"/>
      <c r="O80" s="25"/>
      <c r="P80" s="25"/>
      <c r="Q80" s="25"/>
      <c r="R80" s="25"/>
      <c r="S80" s="25"/>
      <c r="T80" s="25"/>
      <c r="U80" s="25"/>
      <c r="V80" s="25"/>
      <c r="W80" s="25"/>
      <c r="X80" s="25"/>
      <c r="Y80" s="25"/>
      <c r="Z80" s="25"/>
    </row>
    <row r="81" spans="1:26" s="248" customFormat="1" ht="20.100000000000001" customHeight="1">
      <c r="A81" s="25"/>
      <c r="B81" s="25"/>
      <c r="C81" s="186" t="s">
        <v>1690</v>
      </c>
      <c r="D81" s="25"/>
      <c r="E81" s="25"/>
      <c r="F81" s="3293" t="s">
        <v>13</v>
      </c>
      <c r="G81" s="3293">
        <f>COLUMNS('8.11'!B:M)</f>
        <v>12</v>
      </c>
      <c r="H81" s="3293">
        <v>1993.01</v>
      </c>
      <c r="I81" s="25"/>
      <c r="J81" s="25"/>
      <c r="K81" s="25"/>
      <c r="L81" s="25"/>
      <c r="M81" s="25"/>
      <c r="N81" s="25"/>
      <c r="O81" s="25"/>
      <c r="P81" s="25"/>
      <c r="Q81" s="25"/>
      <c r="R81" s="25"/>
      <c r="S81" s="25"/>
      <c r="T81" s="25"/>
      <c r="U81" s="25"/>
      <c r="V81" s="25"/>
      <c r="W81" s="25"/>
      <c r="X81" s="25"/>
      <c r="Y81" s="25"/>
      <c r="Z81" s="25"/>
    </row>
    <row r="82" spans="1:26" s="183" customFormat="1" ht="20.100000000000001" customHeight="1">
      <c r="C82" s="183" t="s">
        <v>94</v>
      </c>
      <c r="F82" s="1782" t="s">
        <v>9</v>
      </c>
      <c r="G82" s="1782" t="s">
        <v>10</v>
      </c>
      <c r="H82" s="1782" t="s">
        <v>11</v>
      </c>
    </row>
    <row r="83" spans="1:26" s="248" customFormat="1" ht="17.25" customHeight="1">
      <c r="A83" s="25"/>
      <c r="B83" s="25"/>
      <c r="C83" s="186" t="s">
        <v>95</v>
      </c>
      <c r="D83" s="163"/>
      <c r="E83" s="163"/>
      <c r="F83" s="3293" t="s">
        <v>13</v>
      </c>
      <c r="G83" s="3293">
        <f>COLUMNS('9.1'!B:J)</f>
        <v>9</v>
      </c>
      <c r="H83" s="3293">
        <v>1994.01</v>
      </c>
      <c r="I83" s="3301"/>
      <c r="J83" s="2989"/>
      <c r="K83" s="25"/>
      <c r="L83" s="25"/>
      <c r="M83" s="25"/>
      <c r="N83" s="25"/>
      <c r="O83" s="25"/>
      <c r="P83" s="25"/>
      <c r="Q83" s="25"/>
      <c r="R83" s="25"/>
      <c r="S83" s="25"/>
      <c r="T83" s="25"/>
      <c r="U83" s="25"/>
      <c r="V83" s="25"/>
      <c r="W83" s="25"/>
      <c r="X83" s="25"/>
      <c r="Y83" s="25"/>
      <c r="Z83" s="25"/>
    </row>
    <row r="84" spans="1:26" s="248" customFormat="1" ht="17.25" customHeight="1">
      <c r="A84" s="25"/>
      <c r="B84" s="25"/>
      <c r="C84" s="186" t="s">
        <v>96</v>
      </c>
      <c r="D84" s="25"/>
      <c r="E84" s="25"/>
      <c r="F84" s="3293" t="s">
        <v>13</v>
      </c>
      <c r="G84" s="3293">
        <f>COLUMNS('9.2'!E:T)</f>
        <v>16</v>
      </c>
      <c r="H84" s="3293">
        <v>1998.02</v>
      </c>
      <c r="I84" s="25"/>
      <c r="J84" s="25"/>
      <c r="K84" s="25"/>
      <c r="L84" s="25"/>
      <c r="M84" s="25"/>
      <c r="N84" s="25"/>
      <c r="O84" s="25"/>
      <c r="P84" s="25"/>
      <c r="Q84" s="25"/>
      <c r="R84" s="25"/>
      <c r="S84" s="25"/>
      <c r="T84" s="25"/>
      <c r="U84" s="25"/>
      <c r="V84" s="25"/>
      <c r="W84" s="25"/>
      <c r="X84" s="25"/>
      <c r="Y84" s="25"/>
      <c r="Z84" s="25"/>
    </row>
    <row r="85" spans="1:26" s="248" customFormat="1" ht="17.25" customHeight="1">
      <c r="A85" s="25"/>
      <c r="B85" s="25"/>
      <c r="C85" s="1674" t="s">
        <v>97</v>
      </c>
      <c r="D85" s="163"/>
      <c r="E85" s="163"/>
      <c r="F85" s="3300" t="s">
        <v>13</v>
      </c>
      <c r="G85" s="3296"/>
      <c r="H85" s="3302">
        <v>1996.01</v>
      </c>
      <c r="I85" s="1673" t="s">
        <v>64</v>
      </c>
      <c r="J85" s="1673"/>
      <c r="K85" s="25"/>
      <c r="L85" s="25"/>
      <c r="M85" s="25"/>
      <c r="N85" s="25"/>
      <c r="O85" s="25"/>
      <c r="P85" s="25"/>
      <c r="Q85" s="25"/>
      <c r="R85" s="25"/>
      <c r="S85" s="25"/>
      <c r="T85" s="25"/>
      <c r="U85" s="25"/>
      <c r="V85" s="25"/>
      <c r="W85" s="25"/>
      <c r="X85" s="25"/>
      <c r="Y85" s="25"/>
      <c r="Z85" s="25"/>
    </row>
    <row r="86" spans="1:26" s="248" customFormat="1" ht="3.75" customHeight="1">
      <c r="A86" s="25"/>
      <c r="B86" s="25"/>
      <c r="C86" s="27"/>
      <c r="D86" s="25"/>
      <c r="E86" s="25"/>
      <c r="F86" s="1783"/>
      <c r="G86" s="3293"/>
      <c r="H86" s="92"/>
      <c r="I86" s="25"/>
      <c r="J86" s="25"/>
      <c r="K86" s="25"/>
      <c r="L86" s="25"/>
      <c r="M86" s="25"/>
      <c r="N86" s="25"/>
      <c r="O86" s="25"/>
      <c r="P86" s="25"/>
      <c r="Q86" s="25"/>
      <c r="R86" s="25"/>
      <c r="S86" s="25"/>
      <c r="T86" s="25"/>
      <c r="U86" s="25"/>
      <c r="V86" s="25"/>
      <c r="W86" s="25"/>
      <c r="X86" s="25"/>
      <c r="Y86" s="25"/>
      <c r="Z86" s="25"/>
    </row>
    <row r="87" spans="1:26" s="248" customFormat="1" ht="20.100000000000001" customHeight="1">
      <c r="A87" s="25"/>
      <c r="B87" s="25"/>
      <c r="C87" s="27"/>
      <c r="D87" s="25"/>
      <c r="E87" s="1784" t="s">
        <v>98</v>
      </c>
      <c r="F87" s="1785"/>
      <c r="G87" s="445">
        <f>SUM(G14:G18,G21,G23:G25,G36:G41,G43:G46,G49:G53,G56:G58,G60:G61,G64,G66:G69,G71:G81,G83:G85,G26:G29)</f>
        <v>538</v>
      </c>
      <c r="H87" s="92"/>
      <c r="I87" s="25"/>
      <c r="J87" s="25"/>
      <c r="K87" s="25"/>
      <c r="L87" s="25"/>
      <c r="M87" s="25"/>
      <c r="N87" s="25"/>
      <c r="O87" s="25"/>
      <c r="P87" s="25"/>
      <c r="Q87" s="25"/>
      <c r="R87" s="25"/>
      <c r="S87" s="25"/>
      <c r="T87" s="25"/>
      <c r="U87" s="25"/>
      <c r="V87" s="25"/>
      <c r="W87" s="25"/>
      <c r="X87" s="25"/>
      <c r="Y87" s="25"/>
      <c r="Z87" s="25"/>
    </row>
    <row r="88" spans="1:26" s="248" customFormat="1" ht="3.75" customHeight="1">
      <c r="A88" s="25"/>
      <c r="B88" s="25"/>
      <c r="C88" s="27"/>
      <c r="D88" s="25"/>
      <c r="E88" s="25"/>
      <c r="F88" s="29"/>
      <c r="G88" s="3293"/>
      <c r="H88" s="26"/>
      <c r="I88" s="25"/>
      <c r="J88" s="25"/>
      <c r="K88" s="25"/>
      <c r="L88" s="25"/>
      <c r="M88" s="25"/>
      <c r="N88" s="25"/>
      <c r="O88" s="25"/>
      <c r="P88" s="25"/>
      <c r="Q88" s="25"/>
      <c r="R88" s="25"/>
      <c r="S88" s="25"/>
      <c r="T88" s="25"/>
      <c r="U88" s="25"/>
      <c r="V88" s="25"/>
      <c r="W88" s="25"/>
      <c r="X88" s="25"/>
      <c r="Y88" s="25"/>
      <c r="Z88" s="25"/>
    </row>
    <row r="89" spans="1:26" s="248" customFormat="1" ht="20.100000000000001" customHeight="1">
      <c r="A89" s="25"/>
      <c r="B89" s="25"/>
      <c r="C89" s="27"/>
      <c r="D89" s="25"/>
      <c r="E89" s="1784" t="s">
        <v>99</v>
      </c>
      <c r="F89" s="1785"/>
      <c r="G89" s="445">
        <f>SUM(G20,G30,G31,G32,G42,G48,G62+G54)</f>
        <v>144</v>
      </c>
      <c r="H89" s="92"/>
      <c r="I89" s="25"/>
      <c r="J89" s="25"/>
      <c r="K89" s="25"/>
      <c r="L89" s="25"/>
      <c r="M89" s="25"/>
      <c r="N89" s="25"/>
      <c r="O89" s="25"/>
      <c r="P89" s="25"/>
      <c r="Q89" s="25"/>
      <c r="R89" s="25"/>
      <c r="S89" s="25"/>
      <c r="T89" s="25"/>
      <c r="U89" s="25"/>
      <c r="V89" s="25"/>
      <c r="W89" s="25"/>
      <c r="X89" s="25"/>
      <c r="Y89" s="25"/>
      <c r="Z89" s="25"/>
    </row>
    <row r="90" spans="1:26" s="248" customFormat="1" ht="3.75" customHeight="1">
      <c r="A90" s="25"/>
      <c r="B90" s="25"/>
      <c r="C90" s="27"/>
      <c r="D90" s="25"/>
      <c r="E90" s="25"/>
      <c r="F90" s="29"/>
      <c r="G90" s="3293"/>
      <c r="H90" s="26"/>
      <c r="I90" s="25"/>
      <c r="J90" s="25"/>
      <c r="K90" s="25"/>
      <c r="L90" s="25"/>
      <c r="M90" s="25"/>
      <c r="N90" s="25"/>
      <c r="O90" s="25"/>
      <c r="P90" s="25"/>
      <c r="Q90" s="25"/>
      <c r="R90" s="25"/>
      <c r="S90" s="25"/>
      <c r="T90" s="25"/>
      <c r="U90" s="25"/>
      <c r="V90" s="25"/>
      <c r="W90" s="25"/>
      <c r="X90" s="25"/>
      <c r="Y90" s="25"/>
      <c r="Z90" s="25"/>
    </row>
    <row r="91" spans="1:26" s="248" customFormat="1" ht="19.5" customHeight="1">
      <c r="A91" s="25"/>
      <c r="B91" s="25"/>
      <c r="C91" s="27"/>
      <c r="D91" s="25"/>
      <c r="E91" s="1784" t="s">
        <v>100</v>
      </c>
      <c r="F91" s="1785"/>
      <c r="G91" s="445">
        <f>G33</f>
        <v>21</v>
      </c>
      <c r="H91" s="92"/>
      <c r="I91" s="25"/>
      <c r="J91" s="25"/>
      <c r="K91" s="25"/>
      <c r="L91" s="25"/>
      <c r="M91" s="25"/>
      <c r="N91" s="25"/>
      <c r="O91" s="25"/>
      <c r="P91" s="25"/>
      <c r="Q91" s="25"/>
      <c r="R91" s="25"/>
      <c r="S91" s="25"/>
      <c r="T91" s="25"/>
      <c r="U91" s="25"/>
      <c r="V91" s="25"/>
      <c r="W91" s="25"/>
      <c r="X91" s="25"/>
      <c r="Y91" s="25"/>
      <c r="Z91" s="25"/>
    </row>
    <row r="92" spans="1:26" s="248" customFormat="1" ht="3.75" customHeight="1">
      <c r="A92" s="25"/>
      <c r="B92" s="25"/>
      <c r="C92" s="27"/>
      <c r="D92" s="25"/>
      <c r="E92" s="25"/>
      <c r="F92" s="29"/>
      <c r="G92" s="3293"/>
      <c r="H92" s="26"/>
      <c r="I92" s="25"/>
      <c r="J92" s="25"/>
      <c r="K92" s="25"/>
      <c r="L92" s="25"/>
      <c r="M92" s="25"/>
      <c r="N92" s="25"/>
      <c r="O92" s="25"/>
      <c r="P92" s="25"/>
      <c r="Q92" s="25"/>
      <c r="R92" s="25"/>
      <c r="S92" s="25"/>
      <c r="T92" s="25"/>
      <c r="U92" s="25"/>
      <c r="V92" s="25"/>
      <c r="W92" s="25"/>
      <c r="X92" s="25"/>
      <c r="Y92" s="25"/>
      <c r="Z92" s="25"/>
    </row>
    <row r="93" spans="1:26" s="248" customFormat="1" ht="19.5" customHeight="1">
      <c r="A93" s="25"/>
      <c r="B93" s="25"/>
      <c r="C93" s="27"/>
      <c r="D93" s="25"/>
      <c r="E93" s="1784" t="s">
        <v>101</v>
      </c>
      <c r="F93" s="1785"/>
      <c r="G93" s="445">
        <f>G19+G63+G34</f>
        <v>36</v>
      </c>
      <c r="H93" s="92"/>
      <c r="I93" s="25"/>
      <c r="J93" s="25"/>
      <c r="K93" s="25"/>
      <c r="L93" s="25"/>
      <c r="M93" s="25"/>
      <c r="N93" s="25"/>
      <c r="O93" s="25"/>
      <c r="P93" s="25"/>
      <c r="Q93" s="25"/>
      <c r="R93" s="25"/>
      <c r="S93" s="25"/>
      <c r="T93" s="25"/>
      <c r="U93" s="25"/>
      <c r="V93" s="25"/>
      <c r="W93" s="25"/>
      <c r="X93" s="25"/>
      <c r="Y93" s="25"/>
      <c r="Z93" s="25"/>
    </row>
    <row r="94" spans="1:26" s="248" customFormat="1" ht="3.75" customHeight="1">
      <c r="A94" s="25"/>
      <c r="B94" s="25"/>
      <c r="C94" s="27"/>
      <c r="D94" s="25"/>
      <c r="E94" s="25"/>
      <c r="F94" s="29"/>
      <c r="G94" s="28"/>
      <c r="H94" s="26"/>
      <c r="I94" s="25"/>
      <c r="J94" s="25"/>
      <c r="K94" s="25"/>
      <c r="L94" s="25"/>
      <c r="M94" s="25"/>
      <c r="N94" s="25"/>
      <c r="O94" s="25"/>
      <c r="P94" s="25"/>
      <c r="Q94" s="25"/>
      <c r="R94" s="25"/>
      <c r="S94" s="25"/>
      <c r="T94" s="25"/>
      <c r="U94" s="25"/>
      <c r="V94" s="25"/>
      <c r="W94" s="25"/>
      <c r="X94" s="25"/>
      <c r="Y94" s="25"/>
      <c r="Z94" s="25"/>
    </row>
    <row r="95" spans="1:26" s="248" customFormat="1" ht="20.100000000000001" customHeight="1">
      <c r="A95" s="25"/>
      <c r="B95" s="25"/>
      <c r="C95" s="91"/>
      <c r="D95" s="25"/>
      <c r="E95" s="25"/>
      <c r="F95" s="29"/>
      <c r="G95" s="28"/>
      <c r="H95" s="26"/>
      <c r="I95" s="25"/>
      <c r="J95" s="25"/>
      <c r="K95" s="25"/>
      <c r="L95" s="25"/>
      <c r="M95" s="25"/>
      <c r="N95" s="25"/>
      <c r="O95" s="25"/>
      <c r="P95" s="25"/>
      <c r="Q95" s="25"/>
      <c r="R95" s="25"/>
      <c r="S95" s="25"/>
      <c r="T95" s="25"/>
      <c r="U95" s="25"/>
      <c r="V95" s="25"/>
      <c r="W95" s="25"/>
      <c r="X95" s="25"/>
      <c r="Y95" s="25"/>
      <c r="Z95" s="25"/>
    </row>
    <row r="96" spans="1:26" s="248" customFormat="1" ht="20.100000000000001" customHeight="1">
      <c r="A96" s="25"/>
      <c r="B96" s="25"/>
      <c r="C96" s="27"/>
      <c r="D96" s="25"/>
      <c r="E96" s="25"/>
      <c r="F96" s="29"/>
      <c r="G96" s="28"/>
      <c r="H96" s="26"/>
      <c r="I96" s="25"/>
      <c r="J96" s="25"/>
      <c r="K96" s="25"/>
      <c r="L96" s="25"/>
      <c r="M96" s="25"/>
      <c r="N96" s="25"/>
      <c r="O96" s="25"/>
      <c r="P96" s="25"/>
      <c r="Q96" s="25"/>
      <c r="R96" s="25"/>
      <c r="S96" s="25"/>
      <c r="T96" s="25"/>
      <c r="U96" s="25"/>
      <c r="V96" s="25"/>
      <c r="W96" s="25"/>
      <c r="X96" s="25"/>
      <c r="Y96" s="25"/>
      <c r="Z96" s="25"/>
    </row>
    <row r="97" spans="1:26" ht="4.5" customHeight="1">
      <c r="A97" s="25"/>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sheetData>
  <phoneticPr fontId="62" type="noConversion"/>
  <hyperlinks>
    <hyperlink ref="C39" location="'3.4'!B82" display="3.4. Despacho de cemento" xr:uid="{00000000-0004-0000-0000-000000000000}"/>
    <hyperlink ref="C37" location="'3.2'!B10" display="3.2. Molienda oleaginosa" xr:uid="{00000000-0004-0000-0000-000003000000}"/>
    <hyperlink ref="C36" location="'3.1'!B10" display="3.1. Producción de la industria láctea" xr:uid="{00000000-0004-0000-0000-000004000000}"/>
    <hyperlink ref="C38" location="'3.3'!B10" display="3.3. Faena bovina y porcina" xr:uid="{00000000-0004-0000-0000-000005000000}"/>
    <hyperlink ref="C42" location="'3.7'!B10" display="3.7. Maquinaria agrícola (AFAT)" xr:uid="{00000000-0004-0000-0000-000006000000}"/>
    <hyperlink ref="C61" location="'6.2'!B10" display="6.2. Balanza comercial argetina" xr:uid="{00000000-0004-0000-0000-000008000000}"/>
    <hyperlink ref="C60" location="'6.1'!B10" display="6.1. Exportación de cereales por puertos santafesinos" xr:uid="{00000000-0004-0000-0000-000009000000}"/>
    <hyperlink ref="C66" location="'7.1'!B10" display="7.1. Recaudación de impuestos provinciales" xr:uid="{00000000-0004-0000-0000-00000A000000}"/>
    <hyperlink ref="C69" location="'7.4'!B10" display="7.4. Recaudación de IVA" xr:uid="{00000000-0004-0000-0000-00000B000000}"/>
    <hyperlink ref="C41" location="'3.6'!B10" display="3.6. Patentamientos, transferencias y producción vehicular" xr:uid="{00000000-0004-0000-0000-00000C000000}"/>
    <hyperlink ref="C40" location="'3.5'!B10" display="3.5. Permisos de construcción" xr:uid="{00000000-0004-0000-0000-00000D000000}"/>
    <hyperlink ref="C57" location="'5.2'!B10" display="5.2. Consumo y facturación de energía eléctrica" xr:uid="{00000000-0004-0000-0000-00000E000000}"/>
    <hyperlink ref="C58" location="'5.3'!B10" display="5.3. Ventas de combustibles" xr:uid="{00000000-0004-0000-0000-00000F000000}"/>
    <hyperlink ref="C56" location="'5.1'!B10" display="5.1. Consumo de gas" xr:uid="{00000000-0004-0000-0000-000010000000}"/>
    <hyperlink ref="C24" location="'2.2'!B10" display="2.2. Nivel de empleo y remuneraciones (fuente ministerial)" xr:uid="{00000000-0004-0000-0000-000011000000}"/>
    <hyperlink ref="C31" location="'2.4'!B10" display="2.4. Tasas de actividad, empleo, desocupación y subempleo (EPH)" xr:uid="{00000000-0004-0000-0000-000012000000}"/>
    <hyperlink ref="C30" location="'2.3'!B10" display="2.3. PEA, empleo, desocupación y subocupación (EPH)" xr:uid="{00000000-0004-0000-0000-000013000000}"/>
    <hyperlink ref="C33" location="'2.6'!B10" display="2.6. Pobreza e indigencia (EPH)" xr:uid="{00000000-0004-0000-0000-000014000000}"/>
    <hyperlink ref="C71" location="'8.1'!B10" display="8.1. IPC Santa Fe" xr:uid="{00000000-0004-0000-0000-000015000000}"/>
    <hyperlink ref="C73" location="'8.3'!B14" display="8.3. IPC Nacional y regiones  - oficial - " xr:uid="{00000000-0004-0000-0000-000016000000}"/>
    <hyperlink ref="C75" location="'8.5'!B10" display="8.5. IPC Bahía Blanca (BB)" xr:uid="{00000000-0004-0000-0000-000017000000}"/>
    <hyperlink ref="C76" location="'8.6'!B10" display="8.6. Índice de Precios Internos Mayoristas (IPIM)" xr:uid="{00000000-0004-0000-0000-000018000000}"/>
    <hyperlink ref="C80" location="'8.10'!B17" display="8.10. Expectativas inflacionarias para 12 meses" xr:uid="{00000000-0004-0000-0000-000019000000}"/>
    <hyperlink ref="C17" location="'1.3'!B142" display="1.3. Actividad económica coincidente - Argentina -" xr:uid="{00000000-0004-0000-0000-00001A000000}"/>
    <hyperlink ref="C18" location="'1.4'!B10" display="1.4. Actividad económica líder - Argentina -" xr:uid="{00000000-0004-0000-0000-00001B000000}"/>
    <hyperlink ref="C43" location="'3.8'!B10" display="3.8. Índice de Producción Industrial (IPI) - Argentina -" xr:uid="{00000000-0004-0000-0000-00001C000000}"/>
    <hyperlink ref="C64" location="'6.4'!B10" display="6.4. Índice de Tipo de Cambio Real Multilateral (ITCRM) - Argentina -" xr:uid="{00000000-0004-0000-0000-00001D000000}"/>
    <hyperlink ref="C74" location="'8.4'!B518" display="8.4. Precios minoristas  - serie histórica GBA y fuentes alternativas -" xr:uid="{00000000-0004-0000-0000-00001E000000}"/>
    <hyperlink ref="C67" location="'7.2'!B10" display="7.2. Recursos tributarios de origen nacional (coparticipación)" xr:uid="{00000000-0004-0000-0000-000020000000}"/>
    <hyperlink ref="C68" location="'7.3'!B10" display="7.3. Gasto público provincial" xr:uid="{00000000-0004-0000-0000-000021000000}"/>
    <hyperlink ref="C63" location="'6.3'!B10" display="6.3. Exportaciones con origen en la provincia de SantaFe" xr:uid="{00000000-0004-0000-0000-000022000000}"/>
    <hyperlink ref="C53" location="'4.6'!B94" display="4.6. Transferencias de inmuebles y estadísticas afines" xr:uid="{00000000-0004-0000-0000-000023000000}"/>
    <hyperlink ref="C52" location="'4.5'!B10" display="4.5. Encuesta de Ocupación Hotelera (EOH)" xr:uid="{00000000-0004-0000-0000-000024000000}"/>
    <hyperlink ref="C48" location="'4.1'!B10" display="4.1. Mercado financiero bancario" xr:uid="{00000000-0004-0000-0000-000025000000}"/>
    <hyperlink ref="C50" location="'4.3'!B10" display="4.3. Ventas de supermercados" xr:uid="{00000000-0004-0000-0000-000026000000}"/>
    <hyperlink ref="C51" location="'4.4'!B16" display="4.4. Índice de Confianza del Consumidor (ICC)" xr:uid="{00000000-0004-0000-0000-000027000000}"/>
    <hyperlink ref="C49" location="'4.2'!B10" display="4.2. Mercados de capitales" xr:uid="{00000000-0004-0000-0000-000028000000}"/>
    <hyperlink ref="C72" location="'8.2'!B232" display="8.2.  Índice de Precios al Consumidor de la Ciudad de Buenos Aires (IPCBA) " xr:uid="{00000000-0004-0000-0000-000029000000}"/>
    <hyperlink ref="C78" location="'8.8'!B10" display="8.8. Valor de la tierra destinada a la explotación agrícola y ganadera " xr:uid="{00000000-0004-0000-0000-00002A000000}"/>
    <hyperlink ref="C79" location="'8.9'!B10" display="8.9. Valor del dólar norteamericano respecto al peso y a otras monedas" xr:uid="{00000000-0004-0000-0000-00002B000000}"/>
    <hyperlink ref="C19" location="'1.5'!B119" display="1.5. Producto Bruto Geográfico de Santa Fe (PBG)" xr:uid="{00000000-0004-0000-0000-00002C000000}"/>
    <hyperlink ref="C20" location="'1.6'!B146" display="1.6. Producto Bruto Interno (PBI) de Argentina y subcomponentes" xr:uid="{00000000-0004-0000-0000-00002D000000}"/>
    <hyperlink ref="C34" location="'2.7'!B10" display="2.7. Población provincial y nacional" xr:uid="{00000000-0004-0000-0000-00002E000000}"/>
    <hyperlink ref="C77" location="'8.7'!B10" display="8.7. Índice de precios de las materias primas de exportación" xr:uid="{00000000-0004-0000-0000-00002F000000}"/>
    <hyperlink ref="C25" location="'2.2.a'!B10" display="2.2.b. Número de empleos registrados y remuneraciones (SIPA)" xr:uid="{00000000-0004-0000-0000-000030000000}"/>
    <hyperlink ref="C45" location="'3.10'!B274" display="3.10. Índice de Producción Industrial Manufacturera (IPIM) - Argentina -" xr:uid="{00000000-0004-0000-0000-000031000000}"/>
    <hyperlink ref="C46" location="'3.11'!B10" display="3.11. Índice Provincial de Actividad Industrial (IPAI)" xr:uid="{00000000-0004-0000-0000-000032000000}"/>
    <hyperlink ref="C62" location="'6.2.b'!B10" display="6.2.b. Terminos de Intercambio comercial" xr:uid="{00000000-0004-0000-0000-000033000000}"/>
    <hyperlink ref="C26" location="'2.2.b'!B19" display="2.2.b. Indice de salarios" xr:uid="{00000000-0004-0000-0000-000034000000}"/>
    <hyperlink ref="C44" location="'3.9'!B274" display="3.9. Utilización de la capacidad instalada en la industria" xr:uid="{00000000-0004-0000-0000-000035000000}"/>
    <hyperlink ref="C14" location="'1.1'!C10" display="1.1. Índice de Actividad Económica (ICASFe) - provincia de Santa Fe -" xr:uid="{00000000-0004-0000-0000-000036000000}"/>
    <hyperlink ref="C27" location="'2.2.c'!B10" display="2.2.c. Jubilaciones y pensiones por tipo de prestación" xr:uid="{00000000-0004-0000-0000-000037000000}"/>
    <hyperlink ref="C28" location="'2.2.d'!B10" display="2.2.d. Trabajadores registrados según modalidad ocupacional principal" xr:uid="{00000000-0004-0000-0000-000038000000}"/>
    <hyperlink ref="C29" location="'2.2.e'!B10" display="2.2.e. Titulares de derecho de la Asignacion Universal por Hijo (AUH)" xr:uid="{00000000-0004-0000-0000-000039000000}"/>
    <hyperlink ref="C21" location="'1.7'!B10" display="1.7. Actividad económica global" xr:uid="{00000000-0004-0000-0000-00003A000000}"/>
    <hyperlink ref="C15" location="'1.2'!B15" display="1.2. Indicador Sintético de Actividad Económica (ISAE) - provincia de Santa Fe -" xr:uid="{00000000-0004-0000-0000-00003B000000}"/>
    <hyperlink ref="C16" location="'1.2.b'!B10" display="1.2.b.  Indicador Mensual de la Actividad Económica (IMAE) - provincia de Santa Fe -" xr:uid="{B5F40F4D-192D-4E4E-B34E-E44FA999E4B4}"/>
    <hyperlink ref="C54" location="'4.7'!B10" display="4.7. Movimientos portuarios" xr:uid="{E6619217-3829-4ACF-9465-9DC5F949E28F}"/>
    <hyperlink ref="C85" location="'9.3'!B10" display="9.3. Tránsito vehicular" xr:uid="{F5EA7E42-79FB-4798-90A8-287F27A09090}"/>
    <hyperlink ref="C83" location="'9.1'!B10" display="9.1. Circulación de periódicos" xr:uid="{9FF0A9F6-DA64-4F23-9F83-C7842DEE8156}"/>
    <hyperlink ref="C84" location="'9.2'!B10" display="9.2. Nº total de empresas empleadoras" xr:uid="{C9F6E621-5C0D-4354-8B76-03346220883C}"/>
    <hyperlink ref="C23" location="'2.1'!B91" display="2.1. Demanda laboral, expectativas empresarias y puestos vacantes" xr:uid="{00000000-0004-0000-0000-000002000000}"/>
    <hyperlink ref="C32" location="'2.5'!A1" display="2.5. Empleo público, categorías ocupacionales e informalidad (microdatos EPH)" xr:uid="{3661F753-96E5-4342-B2C8-8BAC0A9D8FCB}"/>
    <hyperlink ref="C81" location="'8.11'!B10" display="8.11. Índice de costo de la construcción y costo por metro cuadrado" xr:uid="{744C9E27-C9D7-441E-A445-68D8DCDFB1E5}"/>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E454"/>
  <sheetViews>
    <sheetView zoomScale="130" zoomScaleNormal="130" workbookViewId="0">
      <pane xSplit="1" ySplit="9" topLeftCell="B378" activePane="bottomRight" state="frozen"/>
      <selection activeCell="DE434" sqref="DE434"/>
      <selection pane="topRight" activeCell="DE434" sqref="DE434"/>
      <selection pane="bottomLeft" activeCell="DE434" sqref="DE434"/>
      <selection pane="bottomRight" activeCell="DE434" sqref="DE434"/>
    </sheetView>
  </sheetViews>
  <sheetFormatPr baseColWidth="10" defaultColWidth="11.42578125" defaultRowHeight="12.75"/>
  <cols>
    <col min="1" max="1" width="9.7109375" style="461" bestFit="1" customWidth="1"/>
    <col min="2" max="2" width="14.5703125" style="461" bestFit="1" customWidth="1"/>
    <col min="3" max="3" width="15.5703125" style="461" customWidth="1"/>
    <col min="4" max="4" width="15.5703125" style="1769" customWidth="1"/>
    <col min="5" max="7" width="10.7109375" style="265" customWidth="1"/>
    <col min="8" max="16384" width="11.42578125" style="265"/>
  </cols>
  <sheetData>
    <row r="1" spans="1:5" s="1765" customFormat="1" ht="3" customHeight="1">
      <c r="A1" s="34"/>
      <c r="B1" s="77"/>
      <c r="C1" s="78"/>
      <c r="D1" s="120"/>
      <c r="E1" s="1787"/>
    </row>
    <row r="2" spans="1:5" s="1765" customFormat="1" ht="37.5" customHeight="1">
      <c r="A2" s="1059" t="s">
        <v>105</v>
      </c>
      <c r="B2" s="66" t="s">
        <v>135</v>
      </c>
      <c r="C2" s="1788"/>
      <c r="D2" s="1789"/>
      <c r="E2" s="1787"/>
    </row>
    <row r="3" spans="1:5" s="1765" customFormat="1" ht="22.5">
      <c r="A3" s="1059" t="s">
        <v>109</v>
      </c>
      <c r="B3" s="66" t="s">
        <v>136</v>
      </c>
      <c r="C3" s="1788"/>
      <c r="D3" s="1789"/>
      <c r="E3" s="1787"/>
    </row>
    <row r="4" spans="1:5" s="1765" customFormat="1" ht="3" hidden="1" customHeight="1">
      <c r="A4" s="1060"/>
      <c r="B4" s="77"/>
      <c r="C4" s="78"/>
      <c r="D4" s="120"/>
      <c r="E4" s="1787"/>
    </row>
    <row r="5" spans="1:5" s="1765" customFormat="1" ht="22.5">
      <c r="A5" s="2375" t="s">
        <v>137</v>
      </c>
      <c r="B5" s="7" t="s">
        <v>138</v>
      </c>
      <c r="C5" s="1318" t="s">
        <v>139</v>
      </c>
      <c r="D5" s="1790" t="s">
        <v>140</v>
      </c>
      <c r="E5" s="1787"/>
    </row>
    <row r="6" spans="1:5" s="1765" customFormat="1" ht="3" hidden="1" customHeight="1">
      <c r="A6" s="2376"/>
      <c r="B6" s="77"/>
      <c r="C6" s="78"/>
      <c r="D6" s="120"/>
      <c r="E6" s="1787"/>
    </row>
    <row r="7" spans="1:5" s="1765" customFormat="1" ht="22.5">
      <c r="A7" s="2377" t="s">
        <v>123</v>
      </c>
      <c r="B7" s="7" t="s">
        <v>130</v>
      </c>
      <c r="C7" s="1791" t="s">
        <v>124</v>
      </c>
      <c r="D7" s="1792" t="s">
        <v>124</v>
      </c>
      <c r="E7" s="1787"/>
    </row>
    <row r="8" spans="1:5" s="1765" customFormat="1">
      <c r="A8" s="1061" t="s">
        <v>141</v>
      </c>
      <c r="B8" s="2378" t="s">
        <v>142</v>
      </c>
      <c r="C8" s="649" t="s">
        <v>143</v>
      </c>
      <c r="D8" s="647" t="s">
        <v>144</v>
      </c>
      <c r="E8" s="1787"/>
    </row>
    <row r="9" spans="1:5" s="1766" customFormat="1" ht="13.5" hidden="1" thickBot="1">
      <c r="A9" s="1062"/>
      <c r="B9" s="1793"/>
      <c r="C9" s="1794"/>
      <c r="D9" s="1795"/>
      <c r="E9" s="1787"/>
    </row>
    <row r="10" spans="1:5">
      <c r="A10" s="483">
        <v>1994.01</v>
      </c>
      <c r="B10" s="644">
        <v>99.57255395944857</v>
      </c>
      <c r="C10" s="2991"/>
      <c r="D10" s="648"/>
      <c r="E10" s="1796"/>
    </row>
    <row r="11" spans="1:5">
      <c r="A11" s="483">
        <v>1994.02</v>
      </c>
      <c r="B11" s="643">
        <v>99.109602838128907</v>
      </c>
      <c r="C11" s="2992">
        <v>-4.6602268329950878E-3</v>
      </c>
      <c r="D11" s="484"/>
      <c r="E11" s="1796"/>
    </row>
    <row r="12" spans="1:5">
      <c r="A12" s="483">
        <v>1994.03</v>
      </c>
      <c r="B12" s="643">
        <v>99.283738527146483</v>
      </c>
      <c r="C12" s="2993">
        <v>1.7554594578409939E-3</v>
      </c>
      <c r="D12" s="484"/>
      <c r="E12" s="1796"/>
    </row>
    <row r="13" spans="1:5">
      <c r="A13" s="483">
        <v>1994.04</v>
      </c>
      <c r="B13" s="643">
        <v>99.50624786805156</v>
      </c>
      <c r="C13" s="2993">
        <v>2.2386382520113266E-3</v>
      </c>
      <c r="D13" s="484"/>
      <c r="E13" s="1796"/>
    </row>
    <row r="14" spans="1:5">
      <c r="A14" s="483">
        <v>1994.05</v>
      </c>
      <c r="B14" s="643">
        <v>99.9425383802905</v>
      </c>
      <c r="C14" s="2993">
        <v>4.374969798933215E-3</v>
      </c>
      <c r="D14" s="484"/>
      <c r="E14" s="1796"/>
    </row>
    <row r="15" spans="1:5">
      <c r="A15" s="483">
        <v>1994.06</v>
      </c>
      <c r="B15" s="643">
        <v>99.950621107973134</v>
      </c>
      <c r="C15" s="2993">
        <v>8.0870478086614598E-5</v>
      </c>
      <c r="D15" s="484"/>
      <c r="E15" s="1796"/>
    </row>
    <row r="16" spans="1:5">
      <c r="A16" s="483">
        <v>1994.07</v>
      </c>
      <c r="B16" s="643">
        <v>100.2057124028112</v>
      </c>
      <c r="C16" s="2993">
        <v>2.5489219199257038E-3</v>
      </c>
      <c r="D16" s="484"/>
      <c r="E16" s="1796"/>
    </row>
    <row r="17" spans="1:4">
      <c r="A17" s="483">
        <v>1994.08</v>
      </c>
      <c r="B17" s="643">
        <v>99.504470002678033</v>
      </c>
      <c r="C17" s="2993">
        <v>-7.0226292283557985E-3</v>
      </c>
      <c r="D17" s="484"/>
    </row>
    <row r="18" spans="1:4">
      <c r="A18" s="483">
        <v>1994.09</v>
      </c>
      <c r="B18" s="643">
        <v>100.42188417106875</v>
      </c>
      <c r="C18" s="2993">
        <v>9.1775855315228399E-3</v>
      </c>
      <c r="D18" s="484"/>
    </row>
    <row r="19" spans="1:4">
      <c r="A19" s="483">
        <v>1994.1</v>
      </c>
      <c r="B19" s="643">
        <v>100.88742537115405</v>
      </c>
      <c r="C19" s="2993">
        <v>4.6251415897842624E-3</v>
      </c>
      <c r="D19" s="484"/>
    </row>
    <row r="20" spans="1:4">
      <c r="A20" s="483">
        <v>1994.11</v>
      </c>
      <c r="B20" s="643">
        <v>101.00974796770629</v>
      </c>
      <c r="C20" s="2993">
        <v>1.2117317889740913E-3</v>
      </c>
      <c r="D20" s="484"/>
    </row>
    <row r="21" spans="1:4">
      <c r="A21" s="483">
        <v>1994.12</v>
      </c>
      <c r="B21" s="643">
        <v>100.60545740354254</v>
      </c>
      <c r="C21" s="2993">
        <v>-4.0105219773768274E-3</v>
      </c>
      <c r="D21" s="484"/>
    </row>
    <row r="22" spans="1:4">
      <c r="A22" s="483">
        <v>1995.01</v>
      </c>
      <c r="B22" s="643">
        <v>99.758646859251087</v>
      </c>
      <c r="C22" s="2993">
        <v>-8.4527674196060981E-3</v>
      </c>
      <c r="D22" s="645">
        <v>1.8671733587454736E-3</v>
      </c>
    </row>
    <row r="23" spans="1:4">
      <c r="A23" s="483">
        <v>1995.02</v>
      </c>
      <c r="B23" s="643">
        <v>98.685304571425206</v>
      </c>
      <c r="C23" s="2993">
        <v>-1.0817691818400791E-2</v>
      </c>
      <c r="D23" s="646">
        <v>-4.2902916266601681E-3</v>
      </c>
    </row>
    <row r="24" spans="1:4">
      <c r="A24" s="483">
        <v>1995.03</v>
      </c>
      <c r="B24" s="643">
        <v>97.401755178376035</v>
      </c>
      <c r="C24" s="2993">
        <v>-1.3091814702398799E-2</v>
      </c>
      <c r="D24" s="646">
        <v>-1.9137565786900002E-2</v>
      </c>
    </row>
    <row r="25" spans="1:4">
      <c r="A25" s="483">
        <v>1995.04</v>
      </c>
      <c r="B25" s="643">
        <v>94.991208840312396</v>
      </c>
      <c r="C25" s="2993">
        <v>-2.5059882002434392E-2</v>
      </c>
      <c r="D25" s="646">
        <v>-4.6436086041345748E-2</v>
      </c>
    </row>
    <row r="26" spans="1:4">
      <c r="A26" s="483">
        <v>1995.05</v>
      </c>
      <c r="B26" s="643">
        <v>94.057052981078968</v>
      </c>
      <c r="C26" s="2993">
        <v>-9.8828040359292633E-3</v>
      </c>
      <c r="D26" s="646">
        <v>-6.069385987620822E-2</v>
      </c>
    </row>
    <row r="27" spans="1:4">
      <c r="A27" s="483">
        <v>1995.06</v>
      </c>
      <c r="B27" s="643">
        <v>93.741206921327773</v>
      </c>
      <c r="C27" s="2993">
        <v>-3.3636771471045454E-3</v>
      </c>
      <c r="D27" s="646">
        <v>-6.413840750139943E-2</v>
      </c>
    </row>
    <row r="28" spans="1:4">
      <c r="A28" s="483">
        <v>1995.07</v>
      </c>
      <c r="B28" s="643">
        <v>92.757370528931276</v>
      </c>
      <c r="C28" s="2993">
        <v>-1.0550702663081285E-2</v>
      </c>
      <c r="D28" s="646">
        <v>-7.7238032084406327E-2</v>
      </c>
    </row>
    <row r="29" spans="1:4">
      <c r="A29" s="483">
        <v>1995.08</v>
      </c>
      <c r="B29" s="643">
        <v>92.087581661507301</v>
      </c>
      <c r="C29" s="2993">
        <v>-7.2470661592334857E-3</v>
      </c>
      <c r="D29" s="646">
        <v>-7.7462469015284086E-2</v>
      </c>
    </row>
    <row r="30" spans="1:4">
      <c r="A30" s="483">
        <v>1995.09</v>
      </c>
      <c r="B30" s="643">
        <v>91.518668396865479</v>
      </c>
      <c r="C30" s="2993">
        <v>-6.1971211239985257E-3</v>
      </c>
      <c r="D30" s="646">
        <v>-9.2837175670805502E-2</v>
      </c>
    </row>
    <row r="31" spans="1:4">
      <c r="A31" s="483">
        <v>1995.1</v>
      </c>
      <c r="B31" s="643">
        <v>91.150139687471537</v>
      </c>
      <c r="C31" s="2993">
        <v>-4.0349440416562491E-3</v>
      </c>
      <c r="D31" s="646">
        <v>-0.10149726130224609</v>
      </c>
    </row>
    <row r="32" spans="1:4">
      <c r="A32" s="483">
        <v>1995.11</v>
      </c>
      <c r="B32" s="643">
        <v>90.708500833229039</v>
      </c>
      <c r="C32" s="2993">
        <v>-4.8569561629502531E-3</v>
      </c>
      <c r="D32" s="646">
        <v>-0.10756594925417053</v>
      </c>
    </row>
    <row r="33" spans="1:4">
      <c r="A33" s="483">
        <v>1995.12</v>
      </c>
      <c r="B33" s="643">
        <v>90.676808593994778</v>
      </c>
      <c r="C33" s="2993">
        <v>-3.4944659693603121E-4</v>
      </c>
      <c r="D33" s="646">
        <v>-0.10390487387372964</v>
      </c>
    </row>
    <row r="34" spans="1:4">
      <c r="A34" s="483">
        <v>1996.01</v>
      </c>
      <c r="B34" s="643">
        <v>91.423723550250187</v>
      </c>
      <c r="C34" s="2993">
        <v>8.203371358790592E-3</v>
      </c>
      <c r="D34" s="646">
        <v>-8.7248735095332944E-2</v>
      </c>
    </row>
    <row r="35" spans="1:4">
      <c r="A35" s="483">
        <v>1996.02</v>
      </c>
      <c r="B35" s="643">
        <v>92.664499804462423</v>
      </c>
      <c r="C35" s="2993">
        <v>1.3480439120588309E-2</v>
      </c>
      <c r="D35" s="646">
        <v>-6.2950604156343737E-2</v>
      </c>
    </row>
    <row r="36" spans="1:4">
      <c r="A36" s="483">
        <v>1996.03</v>
      </c>
      <c r="B36" s="643">
        <v>92.753096676024668</v>
      </c>
      <c r="C36" s="2993">
        <v>9.5564692873415175E-4</v>
      </c>
      <c r="D36" s="646">
        <v>-4.8903142525210871E-2</v>
      </c>
    </row>
    <row r="37" spans="1:4">
      <c r="A37" s="483">
        <v>1996.04</v>
      </c>
      <c r="B37" s="643">
        <v>94.430749883301004</v>
      </c>
      <c r="C37" s="2993">
        <v>1.7925672126027227E-2</v>
      </c>
      <c r="D37" s="646">
        <v>-5.9175883967492694E-3</v>
      </c>
    </row>
    <row r="38" spans="1:4">
      <c r="A38" s="483">
        <v>1996.05</v>
      </c>
      <c r="B38" s="643">
        <v>95.121348408892203</v>
      </c>
      <c r="C38" s="2993">
        <v>7.2866677546875279E-3</v>
      </c>
      <c r="D38" s="646">
        <v>1.1251883393867573E-2</v>
      </c>
    </row>
    <row r="39" spans="1:4">
      <c r="A39" s="483">
        <v>1996.06</v>
      </c>
      <c r="B39" s="643">
        <v>95.691060147807022</v>
      </c>
      <c r="C39" s="2993">
        <v>5.9714505585047473E-3</v>
      </c>
      <c r="D39" s="646">
        <v>2.0587011099476912E-2</v>
      </c>
    </row>
    <row r="40" spans="1:4">
      <c r="A40" s="483">
        <v>1996.07</v>
      </c>
      <c r="B40" s="643">
        <v>96.240594801616012</v>
      </c>
      <c r="C40" s="2993">
        <v>5.7263733344904413E-3</v>
      </c>
      <c r="D40" s="646">
        <v>3.6864087097048671E-2</v>
      </c>
    </row>
    <row r="41" spans="1:4">
      <c r="A41" s="483">
        <v>1996.08</v>
      </c>
      <c r="B41" s="643">
        <v>97.046748540269249</v>
      </c>
      <c r="C41" s="2993">
        <v>8.3415540734334236E-3</v>
      </c>
      <c r="D41" s="646">
        <v>5.2452707329715485E-2</v>
      </c>
    </row>
    <row r="42" spans="1:4">
      <c r="A42" s="483">
        <v>1996.09</v>
      </c>
      <c r="B42" s="643">
        <v>96.961986028127896</v>
      </c>
      <c r="C42" s="2993">
        <v>-8.7380104533057708E-4</v>
      </c>
      <c r="D42" s="646">
        <v>5.7776027408383397E-2</v>
      </c>
    </row>
    <row r="43" spans="1:4">
      <c r="A43" s="483">
        <v>1996.1</v>
      </c>
      <c r="B43" s="643">
        <v>97.869017284541826</v>
      </c>
      <c r="C43" s="2993">
        <v>9.3110212842314726E-3</v>
      </c>
      <c r="D43" s="646">
        <v>7.1121992734271208E-2</v>
      </c>
    </row>
    <row r="44" spans="1:4">
      <c r="A44" s="483">
        <v>1996.11</v>
      </c>
      <c r="B44" s="643">
        <v>98.462921100421013</v>
      </c>
      <c r="C44" s="2993">
        <v>6.0500154208550433E-3</v>
      </c>
      <c r="D44" s="646">
        <v>8.2028964318076519E-2</v>
      </c>
    </row>
    <row r="45" spans="1:4">
      <c r="A45" s="483">
        <v>1996.12</v>
      </c>
      <c r="B45" s="643">
        <v>98.994999730106358</v>
      </c>
      <c r="C45" s="2993">
        <v>5.3892993026425952E-3</v>
      </c>
      <c r="D45" s="646">
        <v>8.7767710217655212E-2</v>
      </c>
    </row>
    <row r="46" spans="1:4">
      <c r="A46" s="483">
        <v>1997.01</v>
      </c>
      <c r="B46" s="643">
        <v>99.435323933775322</v>
      </c>
      <c r="C46" s="2993">
        <v>4.4380810178392795E-3</v>
      </c>
      <c r="D46" s="646">
        <v>8.4002419876703691E-2</v>
      </c>
    </row>
    <row r="47" spans="1:4">
      <c r="A47" s="483">
        <v>1997.02</v>
      </c>
      <c r="B47" s="643">
        <v>100.01349218988454</v>
      </c>
      <c r="C47" s="2993">
        <v>5.7976766856310041E-3</v>
      </c>
      <c r="D47" s="646">
        <v>7.63196574417465E-2</v>
      </c>
    </row>
    <row r="48" spans="1:4">
      <c r="A48" s="483">
        <v>1997.03</v>
      </c>
      <c r="B48" s="643">
        <v>101.15223120569424</v>
      </c>
      <c r="C48" s="2993">
        <v>1.1321522970184824E-2</v>
      </c>
      <c r="D48" s="646">
        <v>8.6685533483197144E-2</v>
      </c>
    </row>
    <row r="49" spans="1:4">
      <c r="A49" s="483">
        <v>1997.04</v>
      </c>
      <c r="B49" s="643">
        <v>101.52358761445943</v>
      </c>
      <c r="C49" s="2993">
        <v>3.664540017660943E-3</v>
      </c>
      <c r="D49" s="646">
        <v>7.2424401374831138E-2</v>
      </c>
    </row>
    <row r="50" spans="1:4">
      <c r="A50" s="483">
        <v>1997.05</v>
      </c>
      <c r="B50" s="643">
        <v>102.07204546457082</v>
      </c>
      <c r="C50" s="2993">
        <v>5.3877302623757594E-3</v>
      </c>
      <c r="D50" s="646">
        <v>7.0525463882519263E-2</v>
      </c>
    </row>
    <row r="51" spans="1:4">
      <c r="A51" s="483">
        <v>1997.06</v>
      </c>
      <c r="B51" s="643">
        <v>102.83257061045063</v>
      </c>
      <c r="C51" s="2993">
        <v>7.4232455355325794E-3</v>
      </c>
      <c r="D51" s="646">
        <v>7.1977258859547172E-2</v>
      </c>
    </row>
    <row r="52" spans="1:4">
      <c r="A52" s="483">
        <v>1997.07</v>
      </c>
      <c r="B52" s="643">
        <v>103.05514167499079</v>
      </c>
      <c r="C52" s="2993">
        <v>2.1620634740225166E-3</v>
      </c>
      <c r="D52" s="646">
        <v>6.8412948999079085E-2</v>
      </c>
    </row>
    <row r="53" spans="1:4">
      <c r="A53" s="483">
        <v>1997.08</v>
      </c>
      <c r="B53" s="643">
        <v>103.81746456285197</v>
      </c>
      <c r="C53" s="2993">
        <v>7.3700075840236953E-3</v>
      </c>
      <c r="D53" s="646">
        <v>6.7441402509669374E-2</v>
      </c>
    </row>
    <row r="54" spans="1:4">
      <c r="A54" s="483">
        <v>1997.09</v>
      </c>
      <c r="B54" s="643">
        <v>103.98898884172561</v>
      </c>
      <c r="C54" s="2993">
        <v>1.6508083845924769E-3</v>
      </c>
      <c r="D54" s="646">
        <v>6.9966011939592523E-2</v>
      </c>
    </row>
    <row r="55" spans="1:4">
      <c r="A55" s="483">
        <v>1997.1</v>
      </c>
      <c r="B55" s="643">
        <v>104.69399969909396</v>
      </c>
      <c r="C55" s="2993">
        <v>6.7567897558109885E-3</v>
      </c>
      <c r="D55" s="646">
        <v>6.7411780411171851E-2</v>
      </c>
    </row>
    <row r="56" spans="1:4">
      <c r="A56" s="483">
        <v>1997.11</v>
      </c>
      <c r="B56" s="643">
        <v>104.86494472905642</v>
      </c>
      <c r="C56" s="2993">
        <v>1.6314747943220326E-3</v>
      </c>
      <c r="D56" s="646">
        <v>6.2993239784638916E-2</v>
      </c>
    </row>
    <row r="57" spans="1:4">
      <c r="A57" s="483">
        <v>1997.12</v>
      </c>
      <c r="B57" s="643">
        <v>105.25642390977829</v>
      </c>
      <c r="C57" s="2993">
        <v>3.7262239078631495E-3</v>
      </c>
      <c r="D57" s="646">
        <v>6.1330164389859478E-2</v>
      </c>
    </row>
    <row r="58" spans="1:4">
      <c r="A58" s="483">
        <v>1998.01</v>
      </c>
      <c r="B58" s="643">
        <v>105.59684226742253</v>
      </c>
      <c r="C58" s="2993">
        <v>3.2289625822592774E-3</v>
      </c>
      <c r="D58" s="646">
        <v>6.0121045954279341E-2</v>
      </c>
    </row>
    <row r="59" spans="1:4">
      <c r="A59" s="483">
        <v>1998.02</v>
      </c>
      <c r="B59" s="643">
        <v>106.26226731635731</v>
      </c>
      <c r="C59" s="2993">
        <v>6.2817901805520731E-3</v>
      </c>
      <c r="D59" s="646">
        <v>6.0605159449200294E-2</v>
      </c>
    </row>
    <row r="60" spans="1:4">
      <c r="A60" s="483">
        <v>1998.03</v>
      </c>
      <c r="B60" s="643">
        <v>107.09071735914256</v>
      </c>
      <c r="C60" s="2993">
        <v>7.7660428120191341E-3</v>
      </c>
      <c r="D60" s="646">
        <v>5.7049679291034695E-2</v>
      </c>
    </row>
    <row r="61" spans="1:4">
      <c r="A61" s="483">
        <v>1998.04</v>
      </c>
      <c r="B61" s="643">
        <v>107.48047814590367</v>
      </c>
      <c r="C61" s="2993">
        <v>3.6329313869153377E-3</v>
      </c>
      <c r="D61" s="646">
        <v>5.7018070660288959E-2</v>
      </c>
    </row>
    <row r="62" spans="1:4">
      <c r="A62" s="483">
        <v>1998.05</v>
      </c>
      <c r="B62" s="643">
        <v>108.19798182689647</v>
      </c>
      <c r="C62" s="2993">
        <v>6.6534815576970302E-3</v>
      </c>
      <c r="D62" s="646">
        <v>5.8283821955610403E-2</v>
      </c>
    </row>
    <row r="63" spans="1:4">
      <c r="A63" s="483">
        <v>1998.06</v>
      </c>
      <c r="B63" s="643">
        <v>107.80865763208719</v>
      </c>
      <c r="C63" s="2993">
        <v>-3.6047467555995602E-3</v>
      </c>
      <c r="D63" s="646">
        <v>4.725582966447818E-2</v>
      </c>
    </row>
    <row r="64" spans="1:4">
      <c r="A64" s="483">
        <v>1998.07</v>
      </c>
      <c r="B64" s="643">
        <v>108.36322057569008</v>
      </c>
      <c r="C64" s="2993">
        <v>5.1307706142319585E-3</v>
      </c>
      <c r="D64" s="646">
        <v>5.0224536804687636E-2</v>
      </c>
    </row>
    <row r="65" spans="1:4">
      <c r="A65" s="483">
        <v>1998.08</v>
      </c>
      <c r="B65" s="643">
        <v>108.68611271022714</v>
      </c>
      <c r="C65" s="2993">
        <v>2.975290159568537E-3</v>
      </c>
      <c r="D65" s="646">
        <v>4.5829819380232506E-2</v>
      </c>
    </row>
    <row r="66" spans="1:4">
      <c r="A66" s="483">
        <v>1998.09</v>
      </c>
      <c r="B66" s="643">
        <v>109.49558271086524</v>
      </c>
      <c r="C66" s="2993">
        <v>7.4201798929816962E-3</v>
      </c>
      <c r="D66" s="646">
        <v>5.1599190888621471E-2</v>
      </c>
    </row>
    <row r="67" spans="1:4">
      <c r="A67" s="483">
        <v>1998.1</v>
      </c>
      <c r="B67" s="643">
        <v>109.24550605481775</v>
      </c>
      <c r="C67" s="2993">
        <v>-2.2865092828354121E-3</v>
      </c>
      <c r="D67" s="646">
        <v>4.2555891849974922E-2</v>
      </c>
    </row>
    <row r="68" spans="1:4">
      <c r="A68" s="483">
        <v>1998.11</v>
      </c>
      <c r="B68" s="643">
        <v>109.38196437003452</v>
      </c>
      <c r="C68" s="2993">
        <v>1.2483182710007991E-3</v>
      </c>
      <c r="D68" s="646">
        <v>4.2172735326653769E-2</v>
      </c>
    </row>
    <row r="69" spans="1:4">
      <c r="A69" s="483">
        <v>1998.12</v>
      </c>
      <c r="B69" s="643">
        <v>109.60928877412356</v>
      </c>
      <c r="C69" s="2993">
        <v>2.0761056204450165E-3</v>
      </c>
      <c r="D69" s="646">
        <v>4.0522617039235612E-2</v>
      </c>
    </row>
    <row r="70" spans="1:4">
      <c r="A70" s="483">
        <v>1999.01</v>
      </c>
      <c r="B70" s="643">
        <v>110.19145627963518</v>
      </c>
      <c r="C70" s="2993">
        <v>5.2972419789365024E-3</v>
      </c>
      <c r="D70" s="646">
        <v>4.2590896435912892E-2</v>
      </c>
    </row>
    <row r="71" spans="1:4">
      <c r="A71" s="483">
        <v>1999.02</v>
      </c>
      <c r="B71" s="643">
        <v>110.55130112157846</v>
      </c>
      <c r="C71" s="2993">
        <v>3.2603122741719876E-3</v>
      </c>
      <c r="D71" s="646">
        <v>3.9569418529532885E-2</v>
      </c>
    </row>
    <row r="72" spans="1:4">
      <c r="A72" s="483">
        <v>1999.03</v>
      </c>
      <c r="B72" s="643">
        <v>111.30682019983945</v>
      </c>
      <c r="C72" s="2993">
        <v>6.8108572661626276E-3</v>
      </c>
      <c r="D72" s="646">
        <v>3.8614232983676292E-2</v>
      </c>
    </row>
    <row r="73" spans="1:4">
      <c r="A73" s="483">
        <v>1999.04</v>
      </c>
      <c r="B73" s="643">
        <v>112.48360851248339</v>
      </c>
      <c r="C73" s="2993">
        <v>1.0516974886940296E-2</v>
      </c>
      <c r="D73" s="646">
        <v>4.5498276483701264E-2</v>
      </c>
    </row>
    <row r="74" spans="1:4">
      <c r="A74" s="483">
        <v>1999.05</v>
      </c>
      <c r="B74" s="643">
        <v>113.03081763017799</v>
      </c>
      <c r="C74" s="2993">
        <v>4.8529950036728473E-3</v>
      </c>
      <c r="D74" s="646">
        <v>4.3697789929677093E-2</v>
      </c>
    </row>
    <row r="75" spans="1:4">
      <c r="A75" s="483">
        <v>1999.06</v>
      </c>
      <c r="B75" s="643">
        <v>113.43354894180817</v>
      </c>
      <c r="C75" s="2993">
        <v>3.5566896662252044E-3</v>
      </c>
      <c r="D75" s="646">
        <v>5.0859226351501724E-2</v>
      </c>
    </row>
    <row r="76" spans="1:4">
      <c r="A76" s="483">
        <v>1999.07</v>
      </c>
      <c r="B76" s="643">
        <v>114.47793053256076</v>
      </c>
      <c r="C76" s="2993">
        <v>9.1648643882642992E-3</v>
      </c>
      <c r="D76" s="646">
        <v>5.4893320125534106E-2</v>
      </c>
    </row>
    <row r="77" spans="1:4">
      <c r="A77" s="483">
        <v>1999.08</v>
      </c>
      <c r="B77" s="643">
        <v>114.61377430140645</v>
      </c>
      <c r="C77" s="2993">
        <v>1.1859336842027623E-3</v>
      </c>
      <c r="D77" s="646">
        <v>5.3103963650168486E-2</v>
      </c>
    </row>
    <row r="78" spans="1:4">
      <c r="A78" s="483">
        <v>1999.09</v>
      </c>
      <c r="B78" s="643">
        <v>115.0297824475515</v>
      </c>
      <c r="C78" s="2993">
        <v>3.6230809790854237E-3</v>
      </c>
      <c r="D78" s="646">
        <v>4.9306864736272105E-2</v>
      </c>
    </row>
    <row r="79" spans="1:4">
      <c r="A79" s="483">
        <v>1999.1</v>
      </c>
      <c r="B79" s="643">
        <v>115.44792199588555</v>
      </c>
      <c r="C79" s="2993">
        <v>3.6284638299721498E-3</v>
      </c>
      <c r="D79" s="646">
        <v>5.5221837849079837E-2</v>
      </c>
    </row>
    <row r="80" spans="1:4">
      <c r="A80" s="483">
        <v>1999.11</v>
      </c>
      <c r="B80" s="643">
        <v>115.49062764804023</v>
      </c>
      <c r="C80" s="2993">
        <v>3.6984429587283245E-4</v>
      </c>
      <c r="D80" s="646">
        <v>5.4343363873951799E-2</v>
      </c>
    </row>
    <row r="81" spans="1:4">
      <c r="A81" s="483">
        <v>1999.12</v>
      </c>
      <c r="B81" s="643">
        <v>115.24372676098068</v>
      </c>
      <c r="C81" s="2993">
        <v>-2.1401319446266078E-3</v>
      </c>
      <c r="D81" s="646">
        <v>5.012712630888027E-2</v>
      </c>
    </row>
    <row r="82" spans="1:4">
      <c r="A82" s="483">
        <v>2000.01</v>
      </c>
      <c r="B82" s="643">
        <v>116.01252058467466</v>
      </c>
      <c r="C82" s="2993">
        <v>6.6488725361662721E-3</v>
      </c>
      <c r="D82" s="646">
        <v>5.1478756866109969E-2</v>
      </c>
    </row>
    <row r="83" spans="1:4">
      <c r="A83" s="483">
        <v>2000.02</v>
      </c>
      <c r="B83" s="643">
        <v>116.35144737661311</v>
      </c>
      <c r="C83" s="2993">
        <v>2.9172081650231242E-3</v>
      </c>
      <c r="D83" s="646">
        <v>5.1135652756961136E-2</v>
      </c>
    </row>
    <row r="84" spans="1:4">
      <c r="A84" s="483">
        <v>2000.03</v>
      </c>
      <c r="B84" s="643">
        <v>116.65750671425421</v>
      </c>
      <c r="C84" s="2993">
        <v>2.6270193336623469E-3</v>
      </c>
      <c r="D84" s="646">
        <v>4.6951814824460758E-2</v>
      </c>
    </row>
    <row r="85" spans="1:4">
      <c r="A85" s="483">
        <v>2000.04</v>
      </c>
      <c r="B85" s="643">
        <v>116.60289922746833</v>
      </c>
      <c r="C85" s="2993">
        <v>-4.6821051830905674E-4</v>
      </c>
      <c r="D85" s="646">
        <v>3.5966629419211402E-2</v>
      </c>
    </row>
    <row r="86" spans="1:4">
      <c r="A86" s="483">
        <v>2000.05</v>
      </c>
      <c r="B86" s="643">
        <v>115.82821324368541</v>
      </c>
      <c r="C86" s="2993">
        <v>-6.6659651898409635E-3</v>
      </c>
      <c r="D86" s="646">
        <v>2.4447669225697567E-2</v>
      </c>
    </row>
    <row r="87" spans="1:4">
      <c r="A87" s="483">
        <v>2000.06</v>
      </c>
      <c r="B87" s="643">
        <v>115.77977139238956</v>
      </c>
      <c r="C87" s="2993">
        <v>-4.1830899809731486E-4</v>
      </c>
      <c r="D87" s="646">
        <v>2.047267056137525E-2</v>
      </c>
    </row>
    <row r="88" spans="1:4">
      <c r="A88" s="483">
        <v>2000.07</v>
      </c>
      <c r="B88" s="643">
        <v>116.34240820096052</v>
      </c>
      <c r="C88" s="2993">
        <v>4.8477738011018573E-3</v>
      </c>
      <c r="D88" s="646">
        <v>1.6155579974212821E-2</v>
      </c>
    </row>
    <row r="89" spans="1:4">
      <c r="A89" s="483">
        <v>2000.08</v>
      </c>
      <c r="B89" s="643">
        <v>116.58355185069595</v>
      </c>
      <c r="C89" s="2993">
        <v>2.0705612705001039E-3</v>
      </c>
      <c r="D89" s="646">
        <v>1.7040207560510074E-2</v>
      </c>
    </row>
    <row r="90" spans="1:4">
      <c r="A90" s="483">
        <v>2000.09</v>
      </c>
      <c r="B90" s="643">
        <v>116.49287232601917</v>
      </c>
      <c r="C90" s="2993">
        <v>-7.7810983734017747E-4</v>
      </c>
      <c r="D90" s="646">
        <v>1.2639016744084521E-2</v>
      </c>
    </row>
    <row r="91" spans="1:4">
      <c r="A91" s="483">
        <v>2000.1</v>
      </c>
      <c r="B91" s="643">
        <v>116.39588782080537</v>
      </c>
      <c r="C91" s="2993">
        <v>-8.3288270983208565E-4</v>
      </c>
      <c r="D91" s="646">
        <v>8.1776702042802071E-3</v>
      </c>
    </row>
    <row r="92" spans="1:4">
      <c r="A92" s="483">
        <v>2000.11</v>
      </c>
      <c r="B92" s="643">
        <v>116.54830556528103</v>
      </c>
      <c r="C92" s="2993">
        <v>1.3086204383224924E-3</v>
      </c>
      <c r="D92" s="646">
        <v>9.1164463467298222E-3</v>
      </c>
    </row>
    <row r="93" spans="1:4">
      <c r="A93" s="483">
        <v>2000.12</v>
      </c>
      <c r="B93" s="643">
        <v>117.06483196787494</v>
      </c>
      <c r="C93" s="2993">
        <v>4.4220736021897619E-3</v>
      </c>
      <c r="D93" s="646">
        <v>1.5678651893546117E-2</v>
      </c>
    </row>
    <row r="94" spans="1:4">
      <c r="A94" s="483">
        <v>2001.01</v>
      </c>
      <c r="B94" s="643">
        <v>117.31237528622989</v>
      </c>
      <c r="C94" s="2993">
        <v>2.1123505421066467E-3</v>
      </c>
      <c r="D94" s="646">
        <v>1.1142129899486691E-2</v>
      </c>
    </row>
    <row r="95" spans="1:4">
      <c r="A95" s="483">
        <v>2001.02</v>
      </c>
      <c r="B95" s="643">
        <v>116.81593347585537</v>
      </c>
      <c r="C95" s="2993">
        <v>-4.2407734204081326E-3</v>
      </c>
      <c r="D95" s="646">
        <v>3.9841483140553103E-3</v>
      </c>
    </row>
    <row r="96" spans="1:4">
      <c r="A96" s="483">
        <v>2001.03</v>
      </c>
      <c r="B96" s="643">
        <v>116.276576412324</v>
      </c>
      <c r="C96" s="2993">
        <v>-4.6278451967855794E-3</v>
      </c>
      <c r="D96" s="646">
        <v>-3.2707162163925722E-3</v>
      </c>
    </row>
    <row r="97" spans="1:4">
      <c r="A97" s="483">
        <v>2001.04</v>
      </c>
      <c r="B97" s="643">
        <v>115.5694598089122</v>
      </c>
      <c r="C97" s="2993">
        <v>-6.099899808633273E-3</v>
      </c>
      <c r="D97" s="646">
        <v>-8.9024055067168373E-3</v>
      </c>
    </row>
    <row r="98" spans="1:4">
      <c r="A98" s="483">
        <v>2001.05</v>
      </c>
      <c r="B98" s="643">
        <v>114.94593394627424</v>
      </c>
      <c r="C98" s="2993">
        <v>-5.4098546147635191E-3</v>
      </c>
      <c r="D98" s="646">
        <v>-7.6462949316393565E-3</v>
      </c>
    </row>
    <row r="99" spans="1:4">
      <c r="A99" s="483">
        <v>2001.06</v>
      </c>
      <c r="B99" s="643">
        <v>114.29987193286672</v>
      </c>
      <c r="C99" s="2993">
        <v>-5.6364278625864305E-3</v>
      </c>
      <c r="D99" s="646">
        <v>-1.2864413796128406E-2</v>
      </c>
    </row>
    <row r="100" spans="1:4">
      <c r="A100" s="483">
        <v>2001.07</v>
      </c>
      <c r="B100" s="643">
        <v>113.43358771704234</v>
      </c>
      <c r="C100" s="2993">
        <v>-7.6079149331529563E-3</v>
      </c>
      <c r="D100" s="646">
        <v>-2.5320102530383241E-2</v>
      </c>
    </row>
    <row r="101" spans="1:4">
      <c r="A101" s="483">
        <v>2001.08</v>
      </c>
      <c r="B101" s="643">
        <v>112.09393614328899</v>
      </c>
      <c r="C101" s="2993">
        <v>-1.1880300084809394E-2</v>
      </c>
      <c r="D101" s="646">
        <v>-3.9270963885692629E-2</v>
      </c>
    </row>
    <row r="102" spans="1:4">
      <c r="A102" s="483">
        <v>2001.09</v>
      </c>
      <c r="B102" s="643">
        <v>110.30938995796974</v>
      </c>
      <c r="C102" s="2993">
        <v>-1.6048181620201087E-2</v>
      </c>
      <c r="D102" s="646">
        <v>-5.4541035668553582E-2</v>
      </c>
    </row>
    <row r="103" spans="1:4">
      <c r="A103" s="483">
        <v>2001.1</v>
      </c>
      <c r="B103" s="643">
        <v>108.09259921080624</v>
      </c>
      <c r="C103" s="2993">
        <v>-2.0300793847835372E-2</v>
      </c>
      <c r="D103" s="646">
        <v>-7.4008946806556827E-2</v>
      </c>
    </row>
    <row r="104" spans="1:4">
      <c r="A104" s="483">
        <v>2001.11</v>
      </c>
      <c r="B104" s="643">
        <v>105.99933688808115</v>
      </c>
      <c r="C104" s="2993">
        <v>-1.9555421547097978E-2</v>
      </c>
      <c r="D104" s="646">
        <v>-9.4872988791977197E-2</v>
      </c>
    </row>
    <row r="105" spans="1:4">
      <c r="A105" s="483">
        <v>2001.12</v>
      </c>
      <c r="B105" s="643">
        <v>104.40849091539434</v>
      </c>
      <c r="C105" s="2993">
        <v>-1.5121835571071046E-2</v>
      </c>
      <c r="D105" s="646">
        <v>-0.11441689796523798</v>
      </c>
    </row>
    <row r="106" spans="1:4">
      <c r="A106" s="483">
        <v>2002.01</v>
      </c>
      <c r="B106" s="643">
        <v>102.20298354245166</v>
      </c>
      <c r="C106" s="2993">
        <v>-2.1350132230443884E-2</v>
      </c>
      <c r="D106" s="646">
        <v>-0.13787938073778835</v>
      </c>
    </row>
    <row r="107" spans="1:4">
      <c r="A107" s="483">
        <v>2002.02</v>
      </c>
      <c r="B107" s="643">
        <v>100.9194815961385</v>
      </c>
      <c r="C107" s="2993">
        <v>-1.2637883538738641E-2</v>
      </c>
      <c r="D107" s="646">
        <v>-0.14627649085611893</v>
      </c>
    </row>
    <row r="108" spans="1:4">
      <c r="A108" s="483">
        <v>2002.03</v>
      </c>
      <c r="B108" s="643">
        <v>99.793044505795848</v>
      </c>
      <c r="C108" s="2993">
        <v>-1.1224500421474231E-2</v>
      </c>
      <c r="D108" s="646">
        <v>-0.15287314608080751</v>
      </c>
    </row>
    <row r="109" spans="1:4">
      <c r="A109" s="483">
        <v>2002.04</v>
      </c>
      <c r="B109" s="643">
        <v>98.232108027664225</v>
      </c>
      <c r="C109" s="2993">
        <v>-1.5765358980659467E-2</v>
      </c>
      <c r="D109" s="646">
        <v>-0.1625386052528337</v>
      </c>
    </row>
    <row r="110" spans="1:4">
      <c r="A110" s="483">
        <v>2002.05</v>
      </c>
      <c r="B110" s="643">
        <v>97.104305991465338</v>
      </c>
      <c r="C110" s="2993">
        <v>-1.1547407316146525E-2</v>
      </c>
      <c r="D110" s="646">
        <v>-0.16867615795421678</v>
      </c>
    </row>
    <row r="111" spans="1:4">
      <c r="A111" s="483">
        <v>2002.06</v>
      </c>
      <c r="B111" s="643">
        <v>95.7076520649521</v>
      </c>
      <c r="C111" s="2993">
        <v>-1.448746611735692E-2</v>
      </c>
      <c r="D111" s="646">
        <v>-0.17752719620898727</v>
      </c>
    </row>
    <row r="112" spans="1:4">
      <c r="A112" s="483">
        <v>2002.07</v>
      </c>
      <c r="B112" s="643">
        <v>94.596693022638064</v>
      </c>
      <c r="C112" s="2993">
        <v>-1.1675736174382886E-2</v>
      </c>
      <c r="D112" s="646">
        <v>-0.18159501745021719</v>
      </c>
    </row>
    <row r="113" spans="1:4">
      <c r="A113" s="483">
        <v>2002.08</v>
      </c>
      <c r="B113" s="643">
        <v>94.601084451890387</v>
      </c>
      <c r="C113" s="2993">
        <v>4.6421573358172153E-5</v>
      </c>
      <c r="D113" s="646">
        <v>-0.16966829579204973</v>
      </c>
    </row>
    <row r="114" spans="1:4">
      <c r="A114" s="483">
        <v>2002.09</v>
      </c>
      <c r="B114" s="643">
        <v>94.639684867805855</v>
      </c>
      <c r="C114" s="2993">
        <v>4.0795032264518544E-4</v>
      </c>
      <c r="D114" s="646">
        <v>-0.15321216384920347</v>
      </c>
    </row>
    <row r="115" spans="1:4">
      <c r="A115" s="483">
        <v>2002.1</v>
      </c>
      <c r="B115" s="643">
        <v>95.326511714186537</v>
      </c>
      <c r="C115" s="2993">
        <v>7.2310742805239778E-3</v>
      </c>
      <c r="D115" s="646">
        <v>-0.12568029572084416</v>
      </c>
    </row>
    <row r="116" spans="1:4">
      <c r="A116" s="483">
        <v>2002.11</v>
      </c>
      <c r="B116" s="643">
        <v>96.136483675501239</v>
      </c>
      <c r="C116" s="2993">
        <v>8.4609226094042953E-3</v>
      </c>
      <c r="D116" s="646">
        <v>-9.7663951564341961E-2</v>
      </c>
    </row>
    <row r="117" spans="1:4">
      <c r="A117" s="483">
        <v>2002.12</v>
      </c>
      <c r="B117" s="643">
        <v>96.982390435266495</v>
      </c>
      <c r="C117" s="2993">
        <v>8.760533362849085E-3</v>
      </c>
      <c r="D117" s="646">
        <v>-7.3781582630421824E-2</v>
      </c>
    </row>
    <row r="118" spans="1:4">
      <c r="A118" s="483">
        <v>2003.01</v>
      </c>
      <c r="B118" s="643">
        <v>97.787688608480551</v>
      </c>
      <c r="C118" s="2993">
        <v>8.2692656497408475E-3</v>
      </c>
      <c r="D118" s="646">
        <v>-4.4162184750237171E-2</v>
      </c>
    </row>
    <row r="119" spans="1:4">
      <c r="A119" s="483">
        <v>2003.02</v>
      </c>
      <c r="B119" s="643">
        <v>97.494347819622973</v>
      </c>
      <c r="C119" s="2993">
        <v>-3.0042805253048667E-3</v>
      </c>
      <c r="D119" s="646">
        <v>-3.4528581736803413E-2</v>
      </c>
    </row>
    <row r="120" spans="1:4">
      <c r="A120" s="483">
        <v>2003.03</v>
      </c>
      <c r="B120" s="643">
        <v>97.83203606222645</v>
      </c>
      <c r="C120" s="2993">
        <v>3.457685258189343E-3</v>
      </c>
      <c r="D120" s="646">
        <v>-1.9846396057139882E-2</v>
      </c>
    </row>
    <row r="121" spans="1:4">
      <c r="A121" s="483">
        <v>2003.04</v>
      </c>
      <c r="B121" s="643">
        <v>99.071037043396686</v>
      </c>
      <c r="C121" s="2993">
        <v>1.2585048213700763E-2</v>
      </c>
      <c r="D121" s="646">
        <v>8.5040111372201802E-3</v>
      </c>
    </row>
    <row r="122" spans="1:4">
      <c r="A122" s="483">
        <v>2003.05</v>
      </c>
      <c r="B122" s="643">
        <v>101.10814415405814</v>
      </c>
      <c r="C122" s="2993">
        <v>2.0353539498339901E-2</v>
      </c>
      <c r="D122" s="646">
        <v>4.0404957951706663E-2</v>
      </c>
    </row>
    <row r="123" spans="1:4">
      <c r="A123" s="483">
        <v>2003.06</v>
      </c>
      <c r="B123" s="643">
        <v>103.23909381831601</v>
      </c>
      <c r="C123" s="2993">
        <v>2.0856919170870618E-2</v>
      </c>
      <c r="D123" s="646">
        <v>7.5749343239934236E-2</v>
      </c>
    </row>
    <row r="124" spans="1:4">
      <c r="A124" s="483">
        <v>2003.07</v>
      </c>
      <c r="B124" s="643">
        <v>105.2379682154959</v>
      </c>
      <c r="C124" s="2993">
        <v>1.9176552401847919E-2</v>
      </c>
      <c r="D124" s="646">
        <v>0.10660163181616504</v>
      </c>
    </row>
    <row r="125" spans="1:4">
      <c r="A125" s="483">
        <v>2003.08</v>
      </c>
      <c r="B125" s="643">
        <v>107.17348659314419</v>
      </c>
      <c r="C125" s="2993">
        <v>1.822474170438225E-2</v>
      </c>
      <c r="D125" s="646">
        <v>0.12477995194718915</v>
      </c>
    </row>
    <row r="126" spans="1:4">
      <c r="A126" s="483">
        <v>2003.09</v>
      </c>
      <c r="B126" s="643">
        <v>109.11680018356461</v>
      </c>
      <c r="C126" s="2993">
        <v>1.7969978344276299E-2</v>
      </c>
      <c r="D126" s="646">
        <v>0.14234197996882042</v>
      </c>
    </row>
    <row r="127" spans="1:4">
      <c r="A127" s="483">
        <v>2003.1</v>
      </c>
      <c r="B127" s="643">
        <v>111.26901889857449</v>
      </c>
      <c r="C127" s="2993">
        <v>1.9531992992421126E-2</v>
      </c>
      <c r="D127" s="646">
        <v>0.15464289868071754</v>
      </c>
    </row>
    <row r="128" spans="1:4">
      <c r="A128" s="483">
        <v>2003.11</v>
      </c>
      <c r="B128" s="643">
        <v>113.26261763044548</v>
      </c>
      <c r="C128" s="2993">
        <v>1.7758309285786464E-2</v>
      </c>
      <c r="D128" s="646">
        <v>0.16394028535709967</v>
      </c>
    </row>
    <row r="129" spans="1:4">
      <c r="A129" s="483">
        <v>2003.12</v>
      </c>
      <c r="B129" s="643">
        <v>114.28136946941677</v>
      </c>
      <c r="C129" s="2993">
        <v>8.9543886349027317E-3</v>
      </c>
      <c r="D129" s="646">
        <v>0.16413414062915344</v>
      </c>
    </row>
    <row r="130" spans="1:4">
      <c r="A130" s="483">
        <v>2004.01</v>
      </c>
      <c r="B130" s="643">
        <v>114.68770735584511</v>
      </c>
      <c r="C130" s="2993">
        <v>3.5492855072829137E-3</v>
      </c>
      <c r="D130" s="646">
        <v>0.15941416048669557</v>
      </c>
    </row>
    <row r="131" spans="1:4">
      <c r="A131" s="483">
        <v>2004.02</v>
      </c>
      <c r="B131" s="643">
        <v>116.1175580237591</v>
      </c>
      <c r="C131" s="2993">
        <v>1.2390262916287453E-2</v>
      </c>
      <c r="D131" s="646">
        <v>0.17480870392828771</v>
      </c>
    </row>
    <row r="132" spans="1:4">
      <c r="A132" s="483">
        <v>2004.03</v>
      </c>
      <c r="B132" s="643">
        <v>117.49963844211935</v>
      </c>
      <c r="C132" s="2993">
        <v>1.1832147320222367E-2</v>
      </c>
      <c r="D132" s="646">
        <v>0.18318316599032064</v>
      </c>
    </row>
    <row r="133" spans="1:4">
      <c r="A133" s="483">
        <v>2004.04</v>
      </c>
      <c r="B133" s="643">
        <v>118.6887610266638</v>
      </c>
      <c r="C133" s="2993">
        <v>1.0069356788815391E-2</v>
      </c>
      <c r="D133" s="646">
        <v>0.18066747456543547</v>
      </c>
    </row>
    <row r="134" spans="1:4">
      <c r="A134" s="483">
        <v>2004.05</v>
      </c>
      <c r="B134" s="643">
        <v>119.48225359209827</v>
      </c>
      <c r="C134" s="2993">
        <v>6.6632415581283373E-3</v>
      </c>
      <c r="D134" s="646">
        <v>0.16697717662522385</v>
      </c>
    </row>
    <row r="135" spans="1:4">
      <c r="A135" s="483">
        <v>2004.06</v>
      </c>
      <c r="B135" s="643">
        <v>120.23865863931528</v>
      </c>
      <c r="C135" s="2993">
        <v>6.3107348500992992E-3</v>
      </c>
      <c r="D135" s="646">
        <v>0.15243099230445237</v>
      </c>
    </row>
    <row r="136" spans="1:4">
      <c r="A136" s="483">
        <v>2004.07</v>
      </c>
      <c r="B136" s="643">
        <v>120.18776481346046</v>
      </c>
      <c r="C136" s="2993">
        <v>-4.2336300548079459E-4</v>
      </c>
      <c r="D136" s="646">
        <v>0.1328310768971237</v>
      </c>
    </row>
    <row r="137" spans="1:4">
      <c r="A137" s="483">
        <v>2004.08</v>
      </c>
      <c r="B137" s="643">
        <v>120.12235081399801</v>
      </c>
      <c r="C137" s="2993">
        <v>-5.4441321296274053E-4</v>
      </c>
      <c r="D137" s="646">
        <v>0.1140619219797787</v>
      </c>
    </row>
    <row r="138" spans="1:4">
      <c r="A138" s="483">
        <v>2004.09</v>
      </c>
      <c r="B138" s="643">
        <v>120.81843154363341</v>
      </c>
      <c r="C138" s="2993">
        <v>5.778039395577232E-3</v>
      </c>
      <c r="D138" s="646">
        <v>0.10186998303107955</v>
      </c>
    </row>
    <row r="139" spans="1:4">
      <c r="A139" s="483">
        <v>2004.1</v>
      </c>
      <c r="B139" s="643">
        <v>121.11435424981676</v>
      </c>
      <c r="C139" s="2993">
        <v>2.4463228726261635E-3</v>
      </c>
      <c r="D139" s="646">
        <v>8.4784312911284521E-2</v>
      </c>
    </row>
    <row r="140" spans="1:4">
      <c r="A140" s="483">
        <v>2004.11</v>
      </c>
      <c r="B140" s="643">
        <v>121.87044286521585</v>
      </c>
      <c r="C140" s="2993">
        <v>6.2233610058294118E-3</v>
      </c>
      <c r="D140" s="646">
        <v>7.3249364631327626E-2</v>
      </c>
    </row>
    <row r="141" spans="1:4">
      <c r="A141" s="483">
        <v>2004.12</v>
      </c>
      <c r="B141" s="643">
        <v>122.77154386274627</v>
      </c>
      <c r="C141" s="2993">
        <v>7.3667246142441502E-3</v>
      </c>
      <c r="D141" s="646">
        <v>7.1661700610668871E-2</v>
      </c>
    </row>
    <row r="142" spans="1:4">
      <c r="A142" s="483">
        <v>2005.01</v>
      </c>
      <c r="B142" s="643">
        <v>124.39369347752415</v>
      </c>
      <c r="C142" s="2993">
        <v>1.3126222143713524E-2</v>
      </c>
      <c r="D142" s="646">
        <v>8.1238637247099565E-2</v>
      </c>
    </row>
    <row r="143" spans="1:4">
      <c r="A143" s="483">
        <v>2005.02</v>
      </c>
      <c r="B143" s="643">
        <v>125.71696822064781</v>
      </c>
      <c r="C143" s="2993">
        <v>1.0581612806350504E-2</v>
      </c>
      <c r="D143" s="646">
        <v>7.9429987137162719E-2</v>
      </c>
    </row>
    <row r="144" spans="1:4">
      <c r="A144" s="483">
        <v>2005.03</v>
      </c>
      <c r="B144" s="643">
        <v>126.3437690438289</v>
      </c>
      <c r="C144" s="2993">
        <v>4.9734212632397204E-3</v>
      </c>
      <c r="D144" s="646">
        <v>7.2571261080180249E-2</v>
      </c>
    </row>
    <row r="145" spans="1:4">
      <c r="A145" s="483">
        <v>2005.04</v>
      </c>
      <c r="B145" s="643">
        <v>127.78842545812567</v>
      </c>
      <c r="C145" s="2993">
        <v>1.1369452650326269E-2</v>
      </c>
      <c r="D145" s="646">
        <v>7.3871356941691113E-2</v>
      </c>
    </row>
    <row r="146" spans="1:4">
      <c r="A146" s="483">
        <v>2005.05</v>
      </c>
      <c r="B146" s="643">
        <v>128.62781124844469</v>
      </c>
      <c r="C146" s="2993">
        <v>6.5470798526794547E-3</v>
      </c>
      <c r="D146" s="646">
        <v>7.3755195236242105E-2</v>
      </c>
    </row>
    <row r="147" spans="1:4">
      <c r="A147" s="483">
        <v>2005.06</v>
      </c>
      <c r="B147" s="643">
        <v>129.3243312261946</v>
      </c>
      <c r="C147" s="2993">
        <v>5.4003945372033246E-3</v>
      </c>
      <c r="D147" s="646">
        <v>7.2844854923346178E-2</v>
      </c>
    </row>
    <row r="148" spans="1:4">
      <c r="A148" s="483">
        <v>2005.07</v>
      </c>
      <c r="B148" s="643">
        <v>130.28006118151103</v>
      </c>
      <c r="C148" s="2993">
        <v>7.3630054119281675E-3</v>
      </c>
      <c r="D148" s="646">
        <v>8.063122334075519E-2</v>
      </c>
    </row>
    <row r="149" spans="1:4">
      <c r="A149" s="483">
        <v>2005.08</v>
      </c>
      <c r="B149" s="643">
        <v>131.09743007705197</v>
      </c>
      <c r="C149" s="2993">
        <v>6.2543377855842942E-3</v>
      </c>
      <c r="D149" s="646">
        <v>8.7429974339302205E-2</v>
      </c>
    </row>
    <row r="150" spans="1:4">
      <c r="A150" s="483">
        <v>2005.09</v>
      </c>
      <c r="B150" s="643">
        <v>132.29267467898825</v>
      </c>
      <c r="C150" s="2993">
        <v>9.0759127614808317E-3</v>
      </c>
      <c r="D150" s="646">
        <v>9.0727847705205603E-2</v>
      </c>
    </row>
    <row r="151" spans="1:4">
      <c r="A151" s="483">
        <v>2005.1</v>
      </c>
      <c r="B151" s="643">
        <v>133.36845195254128</v>
      </c>
      <c r="C151" s="2993">
        <v>8.0989128324534098E-3</v>
      </c>
      <c r="D151" s="646">
        <v>9.6380437665032861E-2</v>
      </c>
    </row>
    <row r="152" spans="1:4">
      <c r="A152" s="483">
        <v>2005.11</v>
      </c>
      <c r="B152" s="643">
        <v>133.98109787542592</v>
      </c>
      <c r="C152" s="2993">
        <v>4.5831159668056612E-3</v>
      </c>
      <c r="D152" s="646">
        <v>9.4740192626009287E-2</v>
      </c>
    </row>
    <row r="153" spans="1:4">
      <c r="A153" s="483">
        <v>2005.12</v>
      </c>
      <c r="B153" s="643">
        <v>135.13641108305924</v>
      </c>
      <c r="C153" s="2993">
        <v>8.5859913723008822E-3</v>
      </c>
      <c r="D153" s="646">
        <v>9.5959459384065943E-2</v>
      </c>
    </row>
    <row r="154" spans="1:4">
      <c r="A154" s="483">
        <v>2006.01</v>
      </c>
      <c r="B154" s="643">
        <v>135.81131091297905</v>
      </c>
      <c r="C154" s="2993">
        <v>4.9817818785198691E-3</v>
      </c>
      <c r="D154" s="646">
        <v>8.7815019118872351E-2</v>
      </c>
    </row>
    <row r="155" spans="1:4">
      <c r="A155" s="483">
        <v>2006.02</v>
      </c>
      <c r="B155" s="643">
        <v>136.46520960636062</v>
      </c>
      <c r="C155" s="2993">
        <v>4.8032048396710646E-3</v>
      </c>
      <c r="D155" s="646">
        <v>8.2036611152192712E-2</v>
      </c>
    </row>
    <row r="156" spans="1:4">
      <c r="A156" s="483">
        <v>2006.03</v>
      </c>
      <c r="B156" s="643">
        <v>137.5136791168604</v>
      </c>
      <c r="C156" s="2993">
        <v>7.6536891843635661E-3</v>
      </c>
      <c r="D156" s="646">
        <v>8.471687907331639E-2</v>
      </c>
    </row>
    <row r="157" spans="1:4">
      <c r="A157" s="483">
        <v>2006.04</v>
      </c>
      <c r="B157" s="643">
        <v>138.51897164334514</v>
      </c>
      <c r="C157" s="2993">
        <v>7.283898976278293E-3</v>
      </c>
      <c r="D157" s="646">
        <v>8.063132539926858E-2</v>
      </c>
    </row>
    <row r="158" spans="1:4">
      <c r="A158" s="483">
        <v>2006.05</v>
      </c>
      <c r="B158" s="643">
        <v>138.97689226605729</v>
      </c>
      <c r="C158" s="2993">
        <v>3.3003809997003116E-3</v>
      </c>
      <c r="D158" s="646">
        <v>7.7384626546289345E-2</v>
      </c>
    </row>
    <row r="159" spans="1:4">
      <c r="A159" s="483">
        <v>2006.06</v>
      </c>
      <c r="B159" s="643">
        <v>139.80277078426687</v>
      </c>
      <c r="C159" s="2993">
        <v>5.9249726126438017E-3</v>
      </c>
      <c r="D159" s="646">
        <v>7.7909204621729941E-2</v>
      </c>
    </row>
    <row r="160" spans="1:4">
      <c r="A160" s="483">
        <v>2006.07</v>
      </c>
      <c r="B160" s="643">
        <v>140.74377080169262</v>
      </c>
      <c r="C160" s="2993">
        <v>6.7083596255892979E-3</v>
      </c>
      <c r="D160" s="646">
        <v>7.7254558835391104E-2</v>
      </c>
    </row>
    <row r="161" spans="1:4">
      <c r="A161" s="483">
        <v>2006.08</v>
      </c>
      <c r="B161" s="643">
        <v>141.5052697623675</v>
      </c>
      <c r="C161" s="2993">
        <v>5.3959496678520754E-3</v>
      </c>
      <c r="D161" s="646">
        <v>7.6396170717658876E-2</v>
      </c>
    </row>
    <row r="162" spans="1:4">
      <c r="A162" s="483">
        <v>2006.09</v>
      </c>
      <c r="B162" s="643">
        <v>141.83983058216225</v>
      </c>
      <c r="C162" s="2993">
        <v>2.3615088093450034E-3</v>
      </c>
      <c r="D162" s="646">
        <v>6.9681766765523193E-2</v>
      </c>
    </row>
    <row r="163" spans="1:4">
      <c r="A163" s="483">
        <v>2006.1</v>
      </c>
      <c r="B163" s="643">
        <v>142.1046159655445</v>
      </c>
      <c r="C163" s="2993">
        <v>1.8650511630313633E-3</v>
      </c>
      <c r="D163" s="646">
        <v>6.3447905096101084E-2</v>
      </c>
    </row>
    <row r="164" spans="1:4">
      <c r="A164" s="483">
        <v>2006.11</v>
      </c>
      <c r="B164" s="643">
        <v>142.21217206569978</v>
      </c>
      <c r="C164" s="2993">
        <v>7.5659341842446973E-4</v>
      </c>
      <c r="D164" s="646">
        <v>5.9621382547719787E-2</v>
      </c>
    </row>
    <row r="165" spans="1:4">
      <c r="A165" s="483">
        <v>2006.12</v>
      </c>
      <c r="B165" s="643">
        <v>142.92588389468966</v>
      </c>
      <c r="C165" s="2993">
        <v>5.0060895386904074E-3</v>
      </c>
      <c r="D165" s="646">
        <v>5.604148071410945E-2</v>
      </c>
    </row>
    <row r="166" spans="1:4">
      <c r="A166" s="483">
        <v>2007.01</v>
      </c>
      <c r="B166" s="643">
        <v>144.03423259686596</v>
      </c>
      <c r="C166" s="2993">
        <v>7.7247962345048616E-3</v>
      </c>
      <c r="D166" s="646">
        <v>5.8784495070094304E-2</v>
      </c>
    </row>
    <row r="167" spans="1:4">
      <c r="A167" s="483">
        <v>2007.02</v>
      </c>
      <c r="B167" s="643">
        <v>145.34888827754872</v>
      </c>
      <c r="C167" s="2993">
        <v>9.0859806956683012E-3</v>
      </c>
      <c r="D167" s="646">
        <v>6.3067270926091518E-2</v>
      </c>
    </row>
    <row r="168" spans="1:4">
      <c r="A168" s="483">
        <v>2007.03</v>
      </c>
      <c r="B168" s="643">
        <v>145.5098201752092</v>
      </c>
      <c r="C168" s="2993">
        <v>1.1065985607866175E-3</v>
      </c>
      <c r="D168" s="646">
        <v>5.6520180302514697E-2</v>
      </c>
    </row>
    <row r="169" spans="1:4">
      <c r="A169" s="483">
        <v>2007.04</v>
      </c>
      <c r="B169" s="643">
        <v>145.81890182300114</v>
      </c>
      <c r="C169" s="2993">
        <v>2.1218763576645104E-3</v>
      </c>
      <c r="D169" s="646">
        <v>5.1358157683900972E-2</v>
      </c>
    </row>
    <row r="170" spans="1:4">
      <c r="A170" s="483">
        <v>2007.05</v>
      </c>
      <c r="B170" s="643">
        <v>146.76738221720697</v>
      </c>
      <c r="C170" s="2993">
        <v>6.4834462064314365E-3</v>
      </c>
      <c r="D170" s="646">
        <v>5.4541222890632193E-2</v>
      </c>
    </row>
    <row r="171" spans="1:4">
      <c r="A171" s="483">
        <v>2007.06</v>
      </c>
      <c r="B171" s="643">
        <v>147.53653853149424</v>
      </c>
      <c r="C171" s="2993">
        <v>5.2269644489715082E-3</v>
      </c>
      <c r="D171" s="646">
        <v>5.3843214726959965E-2</v>
      </c>
    </row>
    <row r="172" spans="1:4">
      <c r="A172" s="483">
        <v>2007.07</v>
      </c>
      <c r="B172" s="643">
        <v>147.8493366895556</v>
      </c>
      <c r="C172" s="2993">
        <v>2.117895953881798E-3</v>
      </c>
      <c r="D172" s="646">
        <v>4.9252751055252543E-2</v>
      </c>
    </row>
    <row r="173" spans="1:4">
      <c r="A173" s="483">
        <v>2007.08</v>
      </c>
      <c r="B173" s="643">
        <v>148.63430093282747</v>
      </c>
      <c r="C173" s="2993">
        <v>5.2951730064497065E-3</v>
      </c>
      <c r="D173" s="646">
        <v>4.9151974393850183E-2</v>
      </c>
    </row>
    <row r="174" spans="1:4">
      <c r="A174" s="483">
        <v>2007.09</v>
      </c>
      <c r="B174" s="643">
        <v>149.6381467052698</v>
      </c>
      <c r="C174" s="2993">
        <v>6.7310914604515023E-3</v>
      </c>
      <c r="D174" s="646">
        <v>5.3521557044956702E-2</v>
      </c>
    </row>
    <row r="175" spans="1:4">
      <c r="A175" s="483">
        <v>2007.1</v>
      </c>
      <c r="B175" s="643">
        <v>151.10825474024682</v>
      </c>
      <c r="C175" s="2993">
        <v>9.7764743799800772E-3</v>
      </c>
      <c r="D175" s="646">
        <v>6.1432980261905454E-2</v>
      </c>
    </row>
    <row r="176" spans="1:4">
      <c r="A176" s="483">
        <v>2007.11</v>
      </c>
      <c r="B176" s="643">
        <v>153.38433050101781</v>
      </c>
      <c r="C176" s="2993">
        <v>1.4950236982216272E-2</v>
      </c>
      <c r="D176" s="646">
        <v>7.562662382569707E-2</v>
      </c>
    </row>
    <row r="177" spans="1:4">
      <c r="A177" s="483">
        <v>2007.12</v>
      </c>
      <c r="B177" s="643">
        <v>154.58186376463809</v>
      </c>
      <c r="C177" s="2993">
        <v>7.7770828213041899E-3</v>
      </c>
      <c r="D177" s="646">
        <v>7.8397617108310835E-2</v>
      </c>
    </row>
    <row r="178" spans="1:4">
      <c r="A178" s="483">
        <f t="shared" ref="A178:A241" si="0">A166+1</f>
        <v>2008.01</v>
      </c>
      <c r="B178" s="643">
        <v>155.21044720398157</v>
      </c>
      <c r="C178" s="2993">
        <v>4.05810137774995E-3</v>
      </c>
      <c r="D178" s="646">
        <v>7.4730922251555976E-2</v>
      </c>
    </row>
    <row r="179" spans="1:4">
      <c r="A179" s="483">
        <f t="shared" si="0"/>
        <v>2008.02</v>
      </c>
      <c r="B179" s="643">
        <v>155.07985383343359</v>
      </c>
      <c r="C179" s="2993">
        <v>-8.4174966360388629E-4</v>
      </c>
      <c r="D179" s="646">
        <v>6.4803191892283965E-2</v>
      </c>
    </row>
    <row r="180" spans="1:4">
      <c r="A180" s="483">
        <f t="shared" si="0"/>
        <v>2008.03</v>
      </c>
      <c r="B180" s="643">
        <v>155.7663978725393</v>
      </c>
      <c r="C180" s="2993">
        <v>4.4172651378056775E-3</v>
      </c>
      <c r="D180" s="646">
        <v>6.8113858469302985E-2</v>
      </c>
    </row>
    <row r="181" spans="1:4">
      <c r="A181" s="483">
        <f t="shared" si="0"/>
        <v>2008.04</v>
      </c>
      <c r="B181" s="643">
        <v>155.99650628244152</v>
      </c>
      <c r="C181" s="2993">
        <v>1.4761759569284403E-3</v>
      </c>
      <c r="D181" s="646">
        <v>6.746815806856693E-2</v>
      </c>
    </row>
    <row r="182" spans="1:4">
      <c r="A182" s="483">
        <f t="shared" si="0"/>
        <v>2008.05</v>
      </c>
      <c r="B182" s="643">
        <v>156.00543906737866</v>
      </c>
      <c r="C182" s="2993">
        <v>5.7261084892155093E-5</v>
      </c>
      <c r="D182" s="646">
        <v>6.1041972947027456E-2</v>
      </c>
    </row>
    <row r="183" spans="1:4">
      <c r="A183" s="483">
        <f t="shared" si="0"/>
        <v>2008.06</v>
      </c>
      <c r="B183" s="643">
        <v>155.68694301533705</v>
      </c>
      <c r="C183" s="2993">
        <v>-2.0436570234037953E-3</v>
      </c>
      <c r="D183" s="646">
        <v>5.3771351474652222E-2</v>
      </c>
    </row>
    <row r="184" spans="1:4">
      <c r="A184" s="483">
        <f t="shared" si="0"/>
        <v>2008.07</v>
      </c>
      <c r="B184" s="643">
        <v>155.72965046860313</v>
      </c>
      <c r="C184" s="2993">
        <v>2.7427859932593657E-4</v>
      </c>
      <c r="D184" s="646">
        <v>5.1927734120096228E-2</v>
      </c>
    </row>
    <row r="185" spans="1:4">
      <c r="A185" s="483">
        <f t="shared" si="0"/>
        <v>2008.08</v>
      </c>
      <c r="B185" s="643">
        <v>155.37953378223671</v>
      </c>
      <c r="C185" s="2993">
        <v>-2.2507650168891256E-3</v>
      </c>
      <c r="D185" s="646">
        <v>4.4381796096757284E-2</v>
      </c>
    </row>
    <row r="186" spans="1:4">
      <c r="A186" s="483">
        <f t="shared" si="0"/>
        <v>2008.09</v>
      </c>
      <c r="B186" s="643">
        <v>154.57668887326255</v>
      </c>
      <c r="C186" s="2993">
        <v>-5.1803877176706684E-3</v>
      </c>
      <c r="D186" s="646">
        <v>3.2470316918635125E-2</v>
      </c>
    </row>
    <row r="187" spans="1:4">
      <c r="A187" s="483">
        <f t="shared" si="0"/>
        <v>2008.1</v>
      </c>
      <c r="B187" s="643">
        <v>152.82071831780519</v>
      </c>
      <c r="C187" s="2993">
        <v>-1.1424882673738559E-2</v>
      </c>
      <c r="D187" s="646">
        <v>1.1268959864916573E-2</v>
      </c>
    </row>
    <row r="188" spans="1:4">
      <c r="A188" s="483">
        <f t="shared" si="0"/>
        <v>2008.11</v>
      </c>
      <c r="B188" s="643">
        <v>150.63725751829011</v>
      </c>
      <c r="C188" s="2993">
        <v>-1.4390779977170297E-2</v>
      </c>
      <c r="D188" s="646">
        <v>-1.8072057094469927E-2</v>
      </c>
    </row>
    <row r="189" spans="1:4">
      <c r="A189" s="483">
        <f t="shared" si="0"/>
        <v>2008.12</v>
      </c>
      <c r="B189" s="643">
        <v>149.1614795105215</v>
      </c>
      <c r="C189" s="2993">
        <v>-9.8452044376999559E-3</v>
      </c>
      <c r="D189" s="646">
        <v>-3.5694344353474163E-2</v>
      </c>
    </row>
    <row r="190" spans="1:4">
      <c r="A190" s="483">
        <f t="shared" si="0"/>
        <v>2009.01</v>
      </c>
      <c r="B190" s="643">
        <v>148.41456595721576</v>
      </c>
      <c r="C190" s="2993">
        <v>-5.0199949439563582E-3</v>
      </c>
      <c r="D190" s="646">
        <v>-4.4772440675180415E-2</v>
      </c>
    </row>
    <row r="191" spans="1:4">
      <c r="A191" s="483">
        <f t="shared" si="0"/>
        <v>2009.02</v>
      </c>
      <c r="B191" s="643">
        <v>147.83683404864803</v>
      </c>
      <c r="C191" s="2993">
        <v>-3.9002863172212378E-3</v>
      </c>
      <c r="D191" s="646">
        <v>-4.7830977328797764E-2</v>
      </c>
    </row>
    <row r="192" spans="1:4">
      <c r="A192" s="483">
        <f t="shared" si="0"/>
        <v>2009.03</v>
      </c>
      <c r="B192" s="643">
        <v>147.37218216019252</v>
      </c>
      <c r="C192" s="2993">
        <v>-3.147954477358772E-3</v>
      </c>
      <c r="D192" s="646">
        <v>-5.5396196943962271E-2</v>
      </c>
    </row>
    <row r="193" spans="1:4">
      <c r="A193" s="483">
        <f t="shared" si="0"/>
        <v>2009.04</v>
      </c>
      <c r="B193" s="643">
        <v>146.81333616326188</v>
      </c>
      <c r="C193" s="2993">
        <v>-3.7992806195133841E-3</v>
      </c>
      <c r="D193" s="646">
        <v>-6.0671653520404149E-2</v>
      </c>
    </row>
    <row r="194" spans="1:4">
      <c r="A194" s="483">
        <f t="shared" si="0"/>
        <v>2009.05</v>
      </c>
      <c r="B194" s="643">
        <v>146.51751031820808</v>
      </c>
      <c r="C194" s="2993">
        <v>-2.0170121819477953E-3</v>
      </c>
      <c r="D194" s="646">
        <v>-6.2745926787244111E-2</v>
      </c>
    </row>
    <row r="195" spans="1:4">
      <c r="A195" s="483">
        <f t="shared" si="0"/>
        <v>2009.06</v>
      </c>
      <c r="B195" s="643">
        <v>146.72345376758122</v>
      </c>
      <c r="C195" s="2993">
        <v>1.4046024154513387E-3</v>
      </c>
      <c r="D195" s="646">
        <v>-5.9297667348388886E-2</v>
      </c>
    </row>
    <row r="196" spans="1:4">
      <c r="A196" s="483">
        <f t="shared" si="0"/>
        <v>2009.07</v>
      </c>
      <c r="B196" s="643">
        <v>147.23433315481552</v>
      </c>
      <c r="C196" s="2993">
        <v>3.4758725525869763E-3</v>
      </c>
      <c r="D196" s="646">
        <v>-5.6096073395127767E-2</v>
      </c>
    </row>
    <row r="197" spans="1:4">
      <c r="A197" s="483">
        <f t="shared" si="0"/>
        <v>2009.08</v>
      </c>
      <c r="B197" s="643">
        <v>147.43784395291479</v>
      </c>
      <c r="C197" s="2993">
        <v>1.3812693987832743E-3</v>
      </c>
      <c r="D197" s="646">
        <v>-5.2464038979455438E-2</v>
      </c>
    </row>
    <row r="198" spans="1:4">
      <c r="A198" s="483">
        <f t="shared" si="0"/>
        <v>2009.09</v>
      </c>
      <c r="B198" s="643">
        <v>147.61903757549644</v>
      </c>
      <c r="C198" s="2993">
        <v>1.2281946750066371E-3</v>
      </c>
      <c r="D198" s="646">
        <v>-4.6055456586778218E-2</v>
      </c>
    </row>
    <row r="199" spans="1:4">
      <c r="A199" s="483">
        <f t="shared" si="0"/>
        <v>2009.1</v>
      </c>
      <c r="B199" s="643">
        <v>148.63693064491065</v>
      </c>
      <c r="C199" s="2993">
        <v>6.8717405492564748E-3</v>
      </c>
      <c r="D199" s="646">
        <v>-2.7758833363783261E-2</v>
      </c>
    </row>
    <row r="200" spans="1:4">
      <c r="A200" s="483">
        <f t="shared" si="0"/>
        <v>2009.11</v>
      </c>
      <c r="B200" s="643">
        <v>148.90012602763147</v>
      </c>
      <c r="C200" s="2993">
        <v>1.7691608185738195E-3</v>
      </c>
      <c r="D200" s="646">
        <v>-1.1598892568039112E-2</v>
      </c>
    </row>
    <row r="201" spans="1:4">
      <c r="A201" s="483">
        <f t="shared" si="0"/>
        <v>2009.12</v>
      </c>
      <c r="B201" s="643">
        <v>149.23617431431032</v>
      </c>
      <c r="C201" s="2993">
        <v>2.2543274912155847E-3</v>
      </c>
      <c r="D201" s="646">
        <v>5.0063936087645588E-4</v>
      </c>
    </row>
    <row r="202" spans="1:4">
      <c r="A202" s="483">
        <f t="shared" si="0"/>
        <v>2010.01</v>
      </c>
      <c r="B202" s="643">
        <v>150.09782231888218</v>
      </c>
      <c r="C202" s="2993">
        <v>5.7571167602886936E-3</v>
      </c>
      <c r="D202" s="646">
        <v>1.1277751065121413E-2</v>
      </c>
    </row>
    <row r="203" spans="1:4">
      <c r="A203" s="483">
        <f t="shared" si="0"/>
        <v>2010.02</v>
      </c>
      <c r="B203" s="643">
        <v>150.98245125427596</v>
      </c>
      <c r="C203" s="2993">
        <v>5.8763828699350193E-3</v>
      </c>
      <c r="D203" s="646">
        <v>2.1054420252277873E-2</v>
      </c>
    </row>
    <row r="204" spans="1:4">
      <c r="A204" s="483">
        <f t="shared" si="0"/>
        <v>2010.03</v>
      </c>
      <c r="B204" s="643">
        <v>152.33296887319352</v>
      </c>
      <c r="C204" s="2993">
        <v>8.9050965037815559E-3</v>
      </c>
      <c r="D204" s="646">
        <v>3.3107471233418104E-2</v>
      </c>
    </row>
    <row r="205" spans="1:4">
      <c r="A205" s="483">
        <f t="shared" si="0"/>
        <v>2010.04</v>
      </c>
      <c r="B205" s="643">
        <v>153.62564074195447</v>
      </c>
      <c r="C205" s="2993">
        <v>8.4500289898526044E-3</v>
      </c>
      <c r="D205" s="646">
        <v>4.5356780842784154E-2</v>
      </c>
    </row>
    <row r="206" spans="1:4">
      <c r="A206" s="483">
        <f t="shared" si="0"/>
        <v>2010.05</v>
      </c>
      <c r="B206" s="643">
        <v>154.94972106103864</v>
      </c>
      <c r="C206" s="2993">
        <v>8.5819453494728869E-3</v>
      </c>
      <c r="D206" s="646">
        <v>5.5955738374204679E-2</v>
      </c>
    </row>
    <row r="207" spans="1:4">
      <c r="A207" s="483">
        <f t="shared" si="0"/>
        <v>2010.06</v>
      </c>
      <c r="B207" s="643">
        <v>156.38119206873134</v>
      </c>
      <c r="C207" s="2993">
        <v>9.1958815197144429E-3</v>
      </c>
      <c r="D207" s="646">
        <v>6.3747017478467893E-2</v>
      </c>
    </row>
    <row r="208" spans="1:4">
      <c r="A208" s="483">
        <f t="shared" si="0"/>
        <v>2010.07</v>
      </c>
      <c r="B208" s="643">
        <v>157.79466075757492</v>
      </c>
      <c r="C208" s="2993">
        <v>8.9980067710693015E-3</v>
      </c>
      <c r="D208" s="646">
        <v>6.926915169695011E-2</v>
      </c>
    </row>
    <row r="209" spans="1:4">
      <c r="A209" s="483">
        <f t="shared" si="0"/>
        <v>2010.08</v>
      </c>
      <c r="B209" s="643">
        <v>158.80150186977383</v>
      </c>
      <c r="C209" s="2993">
        <v>6.3604340505226302E-3</v>
      </c>
      <c r="D209" s="646">
        <v>7.4248316348689447E-2</v>
      </c>
    </row>
    <row r="210" spans="1:4">
      <c r="A210" s="483">
        <f t="shared" si="0"/>
        <v>2010.09</v>
      </c>
      <c r="B210" s="643">
        <v>159.83626815537269</v>
      </c>
      <c r="C210" s="2993">
        <v>6.4949608648566578E-3</v>
      </c>
      <c r="D210" s="646">
        <v>7.9515082538539492E-2</v>
      </c>
    </row>
    <row r="211" spans="1:4">
      <c r="A211" s="483">
        <f t="shared" si="0"/>
        <v>2010.1</v>
      </c>
      <c r="B211" s="643">
        <v>160.81558481440936</v>
      </c>
      <c r="C211" s="2993">
        <v>6.1083052846073061E-3</v>
      </c>
      <c r="D211" s="646">
        <v>7.8751647273890335E-2</v>
      </c>
    </row>
    <row r="212" spans="1:4">
      <c r="A212" s="483">
        <f t="shared" si="0"/>
        <v>2010.11</v>
      </c>
      <c r="B212" s="643">
        <v>162.4290663816704</v>
      </c>
      <c r="C212" s="2993">
        <v>9.9831193592356E-3</v>
      </c>
      <c r="D212" s="646">
        <v>8.6965605814552191E-2</v>
      </c>
    </row>
    <row r="213" spans="1:4">
      <c r="A213" s="483">
        <f t="shared" si="0"/>
        <v>2010.12</v>
      </c>
      <c r="B213" s="643">
        <v>163.95334656074508</v>
      </c>
      <c r="C213" s="2993">
        <v>9.3405232684958192E-3</v>
      </c>
      <c r="D213" s="646">
        <v>9.4051801591832324E-2</v>
      </c>
    </row>
    <row r="214" spans="1:4">
      <c r="A214" s="483">
        <f t="shared" si="0"/>
        <v>2011.01</v>
      </c>
      <c r="B214" s="643">
        <v>165.12894925777266</v>
      </c>
      <c r="C214" s="2993">
        <v>7.1447641695786953E-3</v>
      </c>
      <c r="D214" s="646">
        <v>9.5439449001122348E-2</v>
      </c>
    </row>
    <row r="215" spans="1:4">
      <c r="A215" s="483">
        <f t="shared" si="0"/>
        <v>2011.02</v>
      </c>
      <c r="B215" s="643">
        <v>165.61379601383373</v>
      </c>
      <c r="C215" s="2993">
        <v>2.931868410107041E-3</v>
      </c>
      <c r="D215" s="646">
        <v>9.2494934541294219E-2</v>
      </c>
    </row>
    <row r="216" spans="1:4">
      <c r="A216" s="483">
        <f t="shared" si="0"/>
        <v>2011.03</v>
      </c>
      <c r="B216" s="643">
        <v>166.39062162012183</v>
      </c>
      <c r="C216" s="2993">
        <v>4.6796185993830093E-3</v>
      </c>
      <c r="D216" s="646">
        <v>8.8269456636895671E-2</v>
      </c>
    </row>
    <row r="217" spans="1:4">
      <c r="A217" s="483">
        <f t="shared" si="0"/>
        <v>2011.04</v>
      </c>
      <c r="B217" s="643">
        <v>167.60367086876073</v>
      </c>
      <c r="C217" s="2993">
        <v>7.2639240235639465E-3</v>
      </c>
      <c r="D217" s="646">
        <v>8.7083351670607059E-2</v>
      </c>
    </row>
    <row r="218" spans="1:4">
      <c r="A218" s="483">
        <f t="shared" si="0"/>
        <v>2011.05</v>
      </c>
      <c r="B218" s="643">
        <v>168.17077627529875</v>
      </c>
      <c r="C218" s="2993">
        <v>3.3778981729756588E-3</v>
      </c>
      <c r="D218" s="646">
        <v>8.1879304494109864E-2</v>
      </c>
    </row>
    <row r="219" spans="1:4">
      <c r="A219" s="483">
        <f t="shared" si="0"/>
        <v>2011.06</v>
      </c>
      <c r="B219" s="643">
        <v>168.63481011238224</v>
      </c>
      <c r="C219" s="2993">
        <v>2.7555013898049631E-3</v>
      </c>
      <c r="D219" s="646">
        <v>7.5438924364200396E-2</v>
      </c>
    </row>
    <row r="220" spans="1:4">
      <c r="A220" s="483">
        <f t="shared" si="0"/>
        <v>2011.07</v>
      </c>
      <c r="B220" s="643">
        <v>168.83003017136403</v>
      </c>
      <c r="C220" s="2993">
        <v>1.1569802684896296E-3</v>
      </c>
      <c r="D220" s="646">
        <v>6.7597897861620765E-2</v>
      </c>
    </row>
    <row r="221" spans="1:4">
      <c r="A221" s="483">
        <f t="shared" si="0"/>
        <v>2011.08</v>
      </c>
      <c r="B221" s="643">
        <v>169.28399616787422</v>
      </c>
      <c r="C221" s="2993">
        <v>2.6852850454727596E-3</v>
      </c>
      <c r="D221" s="646">
        <v>6.3922748856570705E-2</v>
      </c>
    </row>
    <row r="222" spans="1:4">
      <c r="A222" s="483">
        <f t="shared" si="0"/>
        <v>2011.09</v>
      </c>
      <c r="B222" s="643">
        <v>169.71454234234338</v>
      </c>
      <c r="C222" s="2993">
        <v>2.5401077412124605E-3</v>
      </c>
      <c r="D222" s="646">
        <v>5.9967895732926393E-2</v>
      </c>
    </row>
    <row r="223" spans="1:4">
      <c r="A223" s="483">
        <f t="shared" si="0"/>
        <v>2011.1</v>
      </c>
      <c r="B223" s="643">
        <v>169.64761763252778</v>
      </c>
      <c r="C223" s="2993">
        <v>-3.944146907135257E-4</v>
      </c>
      <c r="D223" s="646">
        <v>5.3465175757605711E-2</v>
      </c>
    </row>
    <row r="224" spans="1:4">
      <c r="A224" s="483">
        <f t="shared" si="0"/>
        <v>2011.11</v>
      </c>
      <c r="B224" s="643">
        <v>169.42746084653186</v>
      </c>
      <c r="C224" s="2993">
        <v>-1.2985726814298414E-3</v>
      </c>
      <c r="D224" s="646">
        <v>4.2183483716940133E-2</v>
      </c>
    </row>
    <row r="225" spans="1:4">
      <c r="A225" s="483">
        <f t="shared" si="0"/>
        <v>2011.12</v>
      </c>
      <c r="B225" s="643">
        <v>169.01317344192236</v>
      </c>
      <c r="C225" s="2993">
        <v>-2.4482143665079735E-3</v>
      </c>
      <c r="D225" s="646">
        <v>3.0394746081936437E-2</v>
      </c>
    </row>
    <row r="226" spans="1:4">
      <c r="A226" s="483">
        <f t="shared" si="0"/>
        <v>2012.01</v>
      </c>
      <c r="B226" s="643">
        <v>168.56072622080458</v>
      </c>
      <c r="C226" s="2993">
        <v>-2.680583377402331E-3</v>
      </c>
      <c r="D226" s="646">
        <v>2.0569398534955419E-2</v>
      </c>
    </row>
    <row r="227" spans="1:4">
      <c r="A227" s="483">
        <f t="shared" si="0"/>
        <v>2012.02</v>
      </c>
      <c r="B227" s="643">
        <v>168.72774589480426</v>
      </c>
      <c r="C227" s="2993">
        <v>9.9036700900857885E-4</v>
      </c>
      <c r="D227" s="646">
        <v>1.8627897133857086E-2</v>
      </c>
    </row>
    <row r="228" spans="1:4">
      <c r="A228" s="483">
        <f t="shared" si="0"/>
        <v>2012.03</v>
      </c>
      <c r="B228" s="643">
        <v>169.10253992108719</v>
      </c>
      <c r="C228" s="2993">
        <v>2.2188311456069034E-3</v>
      </c>
      <c r="D228" s="646">
        <v>1.6167109680080959E-2</v>
      </c>
    </row>
    <row r="229" spans="1:4">
      <c r="A229" s="483">
        <f t="shared" si="0"/>
        <v>2012.04</v>
      </c>
      <c r="B229" s="643">
        <v>168.20762343855358</v>
      </c>
      <c r="C229" s="2993">
        <v>-5.3062058574110645E-3</v>
      </c>
      <c r="D229" s="646">
        <v>3.5969797991059456E-3</v>
      </c>
    </row>
    <row r="230" spans="1:4">
      <c r="A230" s="483">
        <f t="shared" si="0"/>
        <v>2012.05</v>
      </c>
      <c r="B230" s="643">
        <v>168.32594880211118</v>
      </c>
      <c r="C230" s="2993">
        <v>7.0320097722013355E-4</v>
      </c>
      <c r="D230" s="646">
        <v>9.2228260335056446E-4</v>
      </c>
    </row>
    <row r="231" spans="1:4">
      <c r="A231" s="483">
        <f t="shared" si="0"/>
        <v>2012.06</v>
      </c>
      <c r="B231" s="643">
        <v>168.07312781879961</v>
      </c>
      <c r="C231" s="2993">
        <v>-1.5031018125931069E-3</v>
      </c>
      <c r="D231" s="646">
        <v>-3.3363205990475987E-3</v>
      </c>
    </row>
    <row r="232" spans="1:4">
      <c r="A232" s="483">
        <f t="shared" si="0"/>
        <v>2012.07</v>
      </c>
      <c r="B232" s="643">
        <v>167.10355640358679</v>
      </c>
      <c r="C232" s="2993">
        <v>-5.7854508697314996E-3</v>
      </c>
      <c r="D232" s="646">
        <v>-1.0278751737268695E-2</v>
      </c>
    </row>
    <row r="233" spans="1:4">
      <c r="A233" s="483">
        <f t="shared" si="0"/>
        <v>2012.08</v>
      </c>
      <c r="B233" s="643">
        <v>166.16661313563358</v>
      </c>
      <c r="C233" s="2993">
        <v>-5.6227398792898578E-3</v>
      </c>
      <c r="D233" s="646">
        <v>-1.8586776662031231E-2</v>
      </c>
    </row>
    <row r="234" spans="1:4">
      <c r="A234" s="483">
        <f t="shared" si="0"/>
        <v>2012.09</v>
      </c>
      <c r="B234" s="643">
        <v>165.91404735082293</v>
      </c>
      <c r="C234" s="2993">
        <v>-1.5211113657696436E-3</v>
      </c>
      <c r="D234" s="646">
        <v>-2.2647995769013284E-2</v>
      </c>
    </row>
    <row r="235" spans="1:4">
      <c r="A235" s="483">
        <f t="shared" si="0"/>
        <v>2012.1</v>
      </c>
      <c r="B235" s="643">
        <v>166.16021374618273</v>
      </c>
      <c r="C235" s="2993">
        <v>1.4825987394391641E-3</v>
      </c>
      <c r="D235" s="646">
        <v>-2.0770982338860589E-2</v>
      </c>
    </row>
    <row r="236" spans="1:4">
      <c r="A236" s="483">
        <f t="shared" si="0"/>
        <v>2012.11</v>
      </c>
      <c r="B236" s="643">
        <v>166.88925847643469</v>
      </c>
      <c r="C236" s="2993">
        <v>4.3780036031755088E-3</v>
      </c>
      <c r="D236" s="646">
        <v>-1.5094406054255258E-2</v>
      </c>
    </row>
    <row r="237" spans="1:4">
      <c r="A237" s="483">
        <f t="shared" si="0"/>
        <v>2012.12</v>
      </c>
      <c r="B237" s="643">
        <v>167.68701679488595</v>
      </c>
      <c r="C237" s="2993">
        <v>4.7687770427705979E-3</v>
      </c>
      <c r="D237" s="646">
        <v>-7.8774146449768299E-3</v>
      </c>
    </row>
    <row r="238" spans="1:4">
      <c r="A238" s="483">
        <f t="shared" si="0"/>
        <v>2013.01</v>
      </c>
      <c r="B238" s="643">
        <v>168.66227250869596</v>
      </c>
      <c r="C238" s="2993">
        <v>5.7990813593133995E-3</v>
      </c>
      <c r="D238" s="646">
        <v>6.0225009173883411E-4</v>
      </c>
    </row>
    <row r="239" spans="1:4">
      <c r="A239" s="483">
        <f t="shared" si="0"/>
        <v>2013.02</v>
      </c>
      <c r="B239" s="643">
        <v>170.11838701396607</v>
      </c>
      <c r="C239" s="2993">
        <v>8.5962609201344405E-3</v>
      </c>
      <c r="D239" s="646">
        <v>8.2081440028645963E-3</v>
      </c>
    </row>
    <row r="240" spans="1:4">
      <c r="A240" s="483">
        <f t="shared" si="0"/>
        <v>2013.03</v>
      </c>
      <c r="B240" s="643">
        <v>170.87814701629952</v>
      </c>
      <c r="C240" s="2993">
        <v>4.4561230612423352E-3</v>
      </c>
      <c r="D240" s="646">
        <v>1.0445435918500128E-2</v>
      </c>
    </row>
    <row r="241" spans="1:4">
      <c r="A241" s="483">
        <f t="shared" si="0"/>
        <v>2013.04</v>
      </c>
      <c r="B241" s="643">
        <v>171.59078790258965</v>
      </c>
      <c r="C241" s="2993">
        <v>4.1617901201257699E-3</v>
      </c>
      <c r="D241" s="646">
        <v>1.9913431896036796E-2</v>
      </c>
    </row>
    <row r="242" spans="1:4">
      <c r="A242" s="483">
        <f t="shared" ref="A242:A306" si="1">A230+1</f>
        <v>2013.05</v>
      </c>
      <c r="B242" s="643">
        <v>172.10784528515799</v>
      </c>
      <c r="C242" s="2993">
        <v>3.0087857367390521E-3</v>
      </c>
      <c r="D242" s="646">
        <v>2.2219016655555757E-2</v>
      </c>
    </row>
    <row r="243" spans="1:4">
      <c r="A243" s="483">
        <f t="shared" si="1"/>
        <v>2013.06</v>
      </c>
      <c r="B243" s="643">
        <v>172.79710140702286</v>
      </c>
      <c r="C243" s="2993">
        <v>3.9967941661064668E-3</v>
      </c>
      <c r="D243" s="646">
        <v>2.7718912634255431E-2</v>
      </c>
    </row>
    <row r="244" spans="1:4">
      <c r="A244" s="483">
        <f t="shared" si="1"/>
        <v>2013.07</v>
      </c>
      <c r="B244" s="643">
        <v>173.16921608254052</v>
      </c>
      <c r="C244" s="2993">
        <v>2.1511621230326096E-3</v>
      </c>
      <c r="D244" s="646">
        <v>3.5655525627019527E-2</v>
      </c>
    </row>
    <row r="245" spans="1:4">
      <c r="A245" s="483">
        <f t="shared" si="1"/>
        <v>2013.08</v>
      </c>
      <c r="B245" s="643">
        <v>173.52256783095677</v>
      </c>
      <c r="C245" s="2993">
        <v>2.038420794287741E-3</v>
      </c>
      <c r="D245" s="646">
        <v>4.3316686300597117E-2</v>
      </c>
    </row>
    <row r="246" spans="1:4">
      <c r="A246" s="483">
        <f t="shared" si="1"/>
        <v>2013.09</v>
      </c>
      <c r="B246" s="643">
        <v>174.01030800912122</v>
      </c>
      <c r="C246" s="2993">
        <v>2.8068740098837696E-3</v>
      </c>
      <c r="D246" s="646">
        <v>4.7644671676250569E-2</v>
      </c>
    </row>
    <row r="247" spans="1:4">
      <c r="A247" s="483">
        <f t="shared" si="1"/>
        <v>2013.1</v>
      </c>
      <c r="B247" s="643">
        <v>174.06547863389429</v>
      </c>
      <c r="C247" s="2993">
        <v>3.1700352252118328E-4</v>
      </c>
      <c r="D247" s="646">
        <v>4.6479076459332566E-2</v>
      </c>
    </row>
    <row r="248" spans="1:4">
      <c r="A248" s="483">
        <f t="shared" si="1"/>
        <v>2013.11</v>
      </c>
      <c r="B248" s="643">
        <v>173.55521712432324</v>
      </c>
      <c r="C248" s="2993">
        <v>-2.9357393404606945E-3</v>
      </c>
      <c r="D248" s="646">
        <v>3.9165333515696406E-2</v>
      </c>
    </row>
    <row r="249" spans="1:4">
      <c r="A249" s="483">
        <f t="shared" si="1"/>
        <v>2013.12</v>
      </c>
      <c r="B249" s="643">
        <v>173.52530160867767</v>
      </c>
      <c r="C249" s="2993">
        <v>-1.723837213845797E-4</v>
      </c>
      <c r="D249" s="646">
        <v>3.4224172751541215E-2</v>
      </c>
    </row>
    <row r="250" spans="1:4">
      <c r="A250" s="483">
        <f t="shared" si="1"/>
        <v>2014.01</v>
      </c>
      <c r="B250" s="643">
        <v>173.06559375310809</v>
      </c>
      <c r="C250" s="2993">
        <v>-2.6527420731671482E-3</v>
      </c>
      <c r="D250" s="646">
        <v>2.5772349319060674E-2</v>
      </c>
    </row>
    <row r="251" spans="1:4">
      <c r="A251" s="483">
        <f t="shared" si="1"/>
        <v>2014.02</v>
      </c>
      <c r="B251" s="643">
        <v>171.97421046605166</v>
      </c>
      <c r="C251" s="2993">
        <v>-6.326150858472177E-3</v>
      </c>
      <c r="D251" s="646">
        <v>1.0849937540454182E-2</v>
      </c>
    </row>
    <row r="252" spans="1:4">
      <c r="A252" s="483">
        <f t="shared" si="1"/>
        <v>2014.03</v>
      </c>
      <c r="B252" s="643">
        <v>170.53557009483217</v>
      </c>
      <c r="C252" s="2993">
        <v>-8.4006291985376375E-3</v>
      </c>
      <c r="D252" s="646">
        <v>-2.0068147193257205E-3</v>
      </c>
    </row>
    <row r="253" spans="1:4">
      <c r="A253" s="483">
        <f t="shared" si="1"/>
        <v>2014.04</v>
      </c>
      <c r="B253" s="643">
        <v>170.25327131990019</v>
      </c>
      <c r="C253" s="2993">
        <v>-1.6567375758590678E-3</v>
      </c>
      <c r="D253" s="646">
        <v>-7.8253424153104066E-3</v>
      </c>
    </row>
    <row r="254" spans="1:4">
      <c r="A254" s="483">
        <f t="shared" si="1"/>
        <v>2014.05</v>
      </c>
      <c r="B254" s="643">
        <v>170.32522626172943</v>
      </c>
      <c r="C254" s="2993">
        <v>4.2254542439268281E-4</v>
      </c>
      <c r="D254" s="646">
        <v>-1.0411582727656797E-2</v>
      </c>
    </row>
    <row r="255" spans="1:4">
      <c r="A255" s="483">
        <f t="shared" si="1"/>
        <v>2014.06</v>
      </c>
      <c r="B255" s="643">
        <v>170.44095000728851</v>
      </c>
      <c r="C255" s="2993">
        <v>6.7919739731692576E-4</v>
      </c>
      <c r="D255" s="646">
        <v>-1.3729179496446378E-2</v>
      </c>
    </row>
    <row r="256" spans="1:4">
      <c r="A256" s="483">
        <f t="shared" si="1"/>
        <v>2014.07</v>
      </c>
      <c r="B256" s="643">
        <v>170.66009547417062</v>
      </c>
      <c r="C256" s="2993">
        <v>1.2849300811985137E-3</v>
      </c>
      <c r="D256" s="646">
        <v>-1.4595411538280456E-2</v>
      </c>
    </row>
    <row r="257" spans="1:4">
      <c r="A257" s="483">
        <f t="shared" si="1"/>
        <v>2014.08</v>
      </c>
      <c r="B257" s="643">
        <v>171.57606739558236</v>
      </c>
      <c r="C257" s="2993">
        <v>5.3528773865658113E-3</v>
      </c>
      <c r="D257" s="646">
        <v>-1.1280954946002376E-2</v>
      </c>
    </row>
    <row r="258" spans="1:4">
      <c r="A258" s="483">
        <f t="shared" si="1"/>
        <v>2014.09</v>
      </c>
      <c r="B258" s="643">
        <v>171.98049198862884</v>
      </c>
      <c r="C258" s="2993">
        <v>2.3543417746370809E-3</v>
      </c>
      <c r="D258" s="646">
        <v>-1.173348718124919E-2</v>
      </c>
    </row>
    <row r="259" spans="1:4">
      <c r="A259" s="483">
        <f t="shared" si="1"/>
        <v>2014.1</v>
      </c>
      <c r="B259" s="643">
        <v>172.74276210045184</v>
      </c>
      <c r="C259" s="2993">
        <v>4.4225119436690028E-3</v>
      </c>
      <c r="D259" s="646">
        <v>-7.6279787601013609E-3</v>
      </c>
    </row>
    <row r="260" spans="1:4">
      <c r="A260" s="483">
        <f t="shared" si="1"/>
        <v>2014.11</v>
      </c>
      <c r="B260" s="643">
        <v>172.78754842720281</v>
      </c>
      <c r="C260" s="2993">
        <v>2.5923240675106157E-4</v>
      </c>
      <c r="D260" s="646">
        <v>-4.4330070128895333E-3</v>
      </c>
    </row>
    <row r="261" spans="1:4">
      <c r="A261" s="483">
        <f t="shared" si="1"/>
        <v>2014.12</v>
      </c>
      <c r="B261" s="643">
        <v>172.19401011433465</v>
      </c>
      <c r="C261" s="2993">
        <v>-3.4409891416914223E-3</v>
      </c>
      <c r="D261" s="646">
        <v>-7.7016124331964171E-3</v>
      </c>
    </row>
    <row r="262" spans="1:4">
      <c r="A262" s="483">
        <f t="shared" si="1"/>
        <v>2015.01</v>
      </c>
      <c r="B262" s="643">
        <v>172.20713043188087</v>
      </c>
      <c r="C262" s="2993">
        <v>7.6192067957595597E-5</v>
      </c>
      <c r="D262" s="646">
        <v>-4.9726782920716918E-3</v>
      </c>
    </row>
    <row r="263" spans="1:4">
      <c r="A263" s="483">
        <f t="shared" si="1"/>
        <v>2015.02</v>
      </c>
      <c r="B263" s="643">
        <v>173.31593452340073</v>
      </c>
      <c r="C263" s="2993">
        <v>6.41814113257589E-3</v>
      </c>
      <c r="D263" s="646">
        <v>7.7716136989763179E-3</v>
      </c>
    </row>
    <row r="264" spans="1:4">
      <c r="A264" s="483">
        <f t="shared" si="1"/>
        <v>2015.03</v>
      </c>
      <c r="B264" s="643">
        <v>174.08812438506908</v>
      </c>
      <c r="C264" s="2993">
        <v>4.4454928695323503E-3</v>
      </c>
      <c r="D264" s="646">
        <v>2.061773576704649E-2</v>
      </c>
    </row>
    <row r="265" spans="1:4">
      <c r="A265" s="483">
        <f t="shared" si="1"/>
        <v>2015.04</v>
      </c>
      <c r="B265" s="643">
        <v>175.2561390462964</v>
      </c>
      <c r="C265" s="2993">
        <v>6.6869225334317836E-3</v>
      </c>
      <c r="D265" s="646">
        <v>2.8961395876337358E-2</v>
      </c>
    </row>
    <row r="266" spans="1:4">
      <c r="A266" s="483">
        <f t="shared" si="1"/>
        <v>2015.05</v>
      </c>
      <c r="B266" s="643">
        <v>176.22024570274939</v>
      </c>
      <c r="C266" s="2993">
        <v>5.4860532105581354E-3</v>
      </c>
      <c r="D266" s="646">
        <v>3.4024903662502805E-2</v>
      </c>
    </row>
    <row r="267" spans="1:4">
      <c r="A267" s="483">
        <f t="shared" si="1"/>
        <v>2015.06</v>
      </c>
      <c r="B267" s="643">
        <v>176.80028356716184</v>
      </c>
      <c r="C267" s="2993">
        <v>3.2861453558277764E-3</v>
      </c>
      <c r="D267" s="646">
        <v>3.6631851621013435E-2</v>
      </c>
    </row>
    <row r="268" spans="1:4">
      <c r="A268" s="483">
        <f t="shared" si="1"/>
        <v>2015.07</v>
      </c>
      <c r="B268" s="643">
        <v>177.31701610844303</v>
      </c>
      <c r="C268" s="2993">
        <v>2.9184279249557374E-3</v>
      </c>
      <c r="D268" s="646">
        <v>3.826534946477067E-2</v>
      </c>
    </row>
    <row r="269" spans="1:4">
      <c r="A269" s="483">
        <f t="shared" si="1"/>
        <v>2015.08</v>
      </c>
      <c r="B269" s="643">
        <v>176.66547499131951</v>
      </c>
      <c r="C269" s="2993">
        <v>-3.6812094907202439E-3</v>
      </c>
      <c r="D269" s="646">
        <v>2.9231262587484718E-2</v>
      </c>
    </row>
    <row r="270" spans="1:4">
      <c r="A270" s="483">
        <f t="shared" si="1"/>
        <v>2015.09</v>
      </c>
      <c r="B270" s="643">
        <v>176.45984605192206</v>
      </c>
      <c r="C270" s="2993">
        <v>-1.1646231543633574E-3</v>
      </c>
      <c r="D270" s="646">
        <v>2.5712297658484179E-2</v>
      </c>
    </row>
    <row r="271" spans="1:4">
      <c r="A271" s="483">
        <f t="shared" si="1"/>
        <v>2015.1</v>
      </c>
      <c r="B271" s="643">
        <v>176.46034828456948</v>
      </c>
      <c r="C271" s="2993">
        <v>2.84615420410965E-6</v>
      </c>
      <c r="D271" s="646">
        <v>2.1292631869019488E-2</v>
      </c>
    </row>
    <row r="272" spans="1:4">
      <c r="A272" s="483">
        <f t="shared" si="1"/>
        <v>2015.11</v>
      </c>
      <c r="B272" s="643">
        <v>175.61508093315123</v>
      </c>
      <c r="C272" s="2993">
        <v>-4.8016357024136206E-3</v>
      </c>
      <c r="D272" s="646">
        <v>1.6231763759854679E-2</v>
      </c>
    </row>
    <row r="273" spans="1:4">
      <c r="A273" s="483">
        <f t="shared" si="1"/>
        <v>2015.12</v>
      </c>
      <c r="B273" s="643">
        <v>174.95205571809026</v>
      </c>
      <c r="C273" s="2993">
        <v>-3.7825907581693864E-3</v>
      </c>
      <c r="D273" s="646">
        <v>1.5890162143376688E-2</v>
      </c>
    </row>
    <row r="274" spans="1:4">
      <c r="A274" s="483">
        <f t="shared" si="1"/>
        <v>2016.01</v>
      </c>
      <c r="B274" s="643">
        <v>174.00568987744904</v>
      </c>
      <c r="C274" s="2993">
        <v>-5.423969937421425E-3</v>
      </c>
      <c r="D274" s="646">
        <v>1.0390000137997683E-2</v>
      </c>
    </row>
    <row r="275" spans="1:4">
      <c r="A275" s="483">
        <f t="shared" si="1"/>
        <v>2016.02</v>
      </c>
      <c r="B275" s="643">
        <v>173.13425661728095</v>
      </c>
      <c r="C275" s="2993">
        <v>-5.020655787291356E-3</v>
      </c>
      <c r="D275" s="646">
        <v>-1.0487967818694607E-3</v>
      </c>
    </row>
    <row r="276" spans="1:4">
      <c r="A276" s="483">
        <f t="shared" si="1"/>
        <v>2016.03</v>
      </c>
      <c r="B276" s="643">
        <v>172.88205862650915</v>
      </c>
      <c r="C276" s="2993">
        <v>-1.457723374999083E-3</v>
      </c>
      <c r="D276" s="646">
        <v>-6.9520130264010133E-3</v>
      </c>
    </row>
    <row r="277" spans="1:4">
      <c r="A277" s="483">
        <f t="shared" si="1"/>
        <v>2016.04</v>
      </c>
      <c r="B277" s="643">
        <v>172.20973452989693</v>
      </c>
      <c r="C277" s="2993">
        <v>-3.8964991957885888E-3</v>
      </c>
      <c r="D277" s="646">
        <v>-1.7535434755621523E-2</v>
      </c>
    </row>
    <row r="278" spans="1:4">
      <c r="A278" s="483">
        <f t="shared" si="1"/>
        <v>2016.05</v>
      </c>
      <c r="B278" s="643">
        <v>171.55309157338229</v>
      </c>
      <c r="C278" s="2993">
        <v>-3.8203302119406168E-3</v>
      </c>
      <c r="D278" s="646">
        <v>-2.6841818178120279E-2</v>
      </c>
    </row>
    <row r="279" spans="1:4">
      <c r="A279" s="483">
        <f t="shared" si="1"/>
        <v>2016.06</v>
      </c>
      <c r="B279" s="643">
        <v>170.92760216434516</v>
      </c>
      <c r="C279" s="2993">
        <v>-3.6527028584471067E-3</v>
      </c>
      <c r="D279" s="646">
        <v>-3.3780666392395048E-2</v>
      </c>
    </row>
    <row r="280" spans="1:4">
      <c r="A280" s="483">
        <f t="shared" si="1"/>
        <v>2016.07</v>
      </c>
      <c r="B280" s="643">
        <v>171.4684741447459</v>
      </c>
      <c r="C280" s="2993">
        <v>3.1593377828393766E-3</v>
      </c>
      <c r="D280" s="646">
        <v>-3.3539756534511196E-2</v>
      </c>
    </row>
    <row r="281" spans="1:4">
      <c r="A281" s="483">
        <f t="shared" si="1"/>
        <v>2016.08</v>
      </c>
      <c r="B281" s="643">
        <v>172.81790481878599</v>
      </c>
      <c r="C281" s="2993">
        <v>7.8390413722966013E-3</v>
      </c>
      <c r="D281" s="646">
        <v>-2.2019505671494355E-2</v>
      </c>
    </row>
    <row r="282" spans="1:4">
      <c r="A282" s="483">
        <f t="shared" si="1"/>
        <v>2016.09</v>
      </c>
      <c r="B282" s="643">
        <v>173.35835502522605</v>
      </c>
      <c r="C282" s="2993">
        <v>3.1224015521567339E-3</v>
      </c>
      <c r="D282" s="646">
        <v>-1.773248096497437E-2</v>
      </c>
    </row>
    <row r="283" spans="1:4">
      <c r="A283" s="483">
        <f t="shared" si="1"/>
        <v>2016.1</v>
      </c>
      <c r="B283" s="643">
        <v>173.58794436208026</v>
      </c>
      <c r="C283" s="2993">
        <v>1.3234864921307591E-3</v>
      </c>
      <c r="D283" s="646">
        <v>-1.6411840627047793E-2</v>
      </c>
    </row>
    <row r="284" spans="1:4">
      <c r="A284" s="483">
        <f t="shared" si="1"/>
        <v>2016.11</v>
      </c>
      <c r="B284" s="643">
        <v>175.15723050800329</v>
      </c>
      <c r="C284" s="2993">
        <v>8.9996756996649774E-3</v>
      </c>
      <c r="D284" s="646">
        <v>-2.6105292249692076E-3</v>
      </c>
    </row>
    <row r="285" spans="1:4">
      <c r="A285" s="483">
        <f t="shared" si="1"/>
        <v>2016.12</v>
      </c>
      <c r="B285" s="643">
        <v>176.43811283852838</v>
      </c>
      <c r="C285" s="2993">
        <v>7.2861488149875489E-3</v>
      </c>
      <c r="D285" s="646">
        <v>8.458210348187745E-3</v>
      </c>
    </row>
    <row r="286" spans="1:4">
      <c r="A286" s="483">
        <f t="shared" si="1"/>
        <v>2017.01</v>
      </c>
      <c r="B286" s="643">
        <v>177.08914429126293</v>
      </c>
      <c r="C286" s="2993">
        <v>3.6830664427721354E-3</v>
      </c>
      <c r="D286" s="646">
        <v>1.756524672838123E-2</v>
      </c>
    </row>
    <row r="287" spans="1:4">
      <c r="A287" s="483">
        <f t="shared" si="1"/>
        <v>2017.02</v>
      </c>
      <c r="B287" s="643">
        <v>177.52117632346452</v>
      </c>
      <c r="C287" s="2993">
        <v>2.4366591768202155E-3</v>
      </c>
      <c r="D287" s="646">
        <v>2.5022561692492763E-2</v>
      </c>
    </row>
    <row r="288" spans="1:4">
      <c r="A288" s="483">
        <f t="shared" si="1"/>
        <v>2017.03</v>
      </c>
      <c r="B288" s="643">
        <v>178.70569370556541</v>
      </c>
      <c r="C288" s="2993">
        <v>6.6503784382763173E-3</v>
      </c>
      <c r="D288" s="646">
        <v>3.3130663505768126E-2</v>
      </c>
    </row>
    <row r="289" spans="1:4">
      <c r="A289" s="483">
        <f t="shared" si="1"/>
        <v>2017.04</v>
      </c>
      <c r="B289" s="643">
        <v>179.54532811410476</v>
      </c>
      <c r="C289" s="2993">
        <v>4.6874168935291246E-3</v>
      </c>
      <c r="D289" s="646">
        <v>4.171457959508576E-2</v>
      </c>
    </row>
    <row r="290" spans="1:4">
      <c r="A290" s="483">
        <f t="shared" si="1"/>
        <v>2017.05</v>
      </c>
      <c r="B290" s="643">
        <v>179.71804706745746</v>
      </c>
      <c r="C290" s="2993">
        <v>9.6151725219517669E-4</v>
      </c>
      <c r="D290" s="646">
        <v>4.6496427059221621E-2</v>
      </c>
    </row>
    <row r="291" spans="1:4">
      <c r="A291" s="483">
        <f t="shared" si="1"/>
        <v>2017.06</v>
      </c>
      <c r="B291" s="643">
        <v>180.29289497989296</v>
      </c>
      <c r="C291" s="2993">
        <v>3.1935051624486302E-3</v>
      </c>
      <c r="D291" s="646">
        <v>5.3342635080117391E-2</v>
      </c>
    </row>
    <row r="292" spans="1:4">
      <c r="A292" s="483">
        <f t="shared" si="1"/>
        <v>2017.07</v>
      </c>
      <c r="B292" s="643">
        <v>180.33867414930708</v>
      </c>
      <c r="C292" s="2993">
        <v>2.5388331792772532E-4</v>
      </c>
      <c r="D292" s="646">
        <v>5.0437180615205635E-2</v>
      </c>
    </row>
    <row r="293" spans="1:4">
      <c r="A293" s="483">
        <f t="shared" si="1"/>
        <v>2017.08</v>
      </c>
      <c r="B293" s="643">
        <v>181.04611311268158</v>
      </c>
      <c r="C293" s="2993">
        <v>3.9151613016048447E-3</v>
      </c>
      <c r="D293" s="646">
        <v>4.6513300544513921E-2</v>
      </c>
    </row>
    <row r="294" spans="1:4">
      <c r="A294" s="483">
        <f t="shared" si="1"/>
        <v>2017.09</v>
      </c>
      <c r="B294" s="643">
        <v>181.99132916227163</v>
      </c>
      <c r="C294" s="2993">
        <v>5.2072765801665973E-3</v>
      </c>
      <c r="D294" s="646">
        <v>4.8598175572523855E-2</v>
      </c>
    </row>
    <row r="295" spans="1:4">
      <c r="A295" s="483">
        <f t="shared" si="1"/>
        <v>2017.1</v>
      </c>
      <c r="B295" s="643">
        <v>182.6650384334115</v>
      </c>
      <c r="C295" s="2993">
        <v>3.6950405781349415E-3</v>
      </c>
      <c r="D295" s="646">
        <v>5.0969729658527967E-2</v>
      </c>
    </row>
    <row r="296" spans="1:4">
      <c r="A296" s="483">
        <f t="shared" si="1"/>
        <v>2017.11</v>
      </c>
      <c r="B296" s="643">
        <v>183.12891226571901</v>
      </c>
      <c r="C296" s="2993">
        <v>2.5362588970146375E-3</v>
      </c>
      <c r="D296" s="646">
        <v>4.4506312855877604E-2</v>
      </c>
    </row>
    <row r="297" spans="1:4">
      <c r="A297" s="483">
        <f t="shared" si="1"/>
        <v>2017.12</v>
      </c>
      <c r="B297" s="643">
        <v>183.41509919738598</v>
      </c>
      <c r="C297" s="2993">
        <v>1.5615423025362978E-3</v>
      </c>
      <c r="D297" s="646">
        <v>3.878170634342646E-2</v>
      </c>
    </row>
    <row r="298" spans="1:4">
      <c r="A298" s="483">
        <f t="shared" si="1"/>
        <v>2018.01</v>
      </c>
      <c r="B298" s="643">
        <v>183.43894550829719</v>
      </c>
      <c r="C298" s="2993">
        <v>1.3000435071633152E-4</v>
      </c>
      <c r="D298" s="646">
        <v>3.5228644251370504E-2</v>
      </c>
    </row>
    <row r="299" spans="1:4">
      <c r="A299" s="483">
        <f t="shared" si="1"/>
        <v>2018.02</v>
      </c>
      <c r="B299" s="643">
        <v>182.87073277444503</v>
      </c>
      <c r="C299" s="2993">
        <v>-3.1023651477306538E-3</v>
      </c>
      <c r="D299" s="646">
        <v>2.9689619926819854E-2</v>
      </c>
    </row>
    <row r="300" spans="1:4">
      <c r="A300" s="483">
        <f t="shared" si="1"/>
        <v>2018.03</v>
      </c>
      <c r="B300" s="643">
        <v>181.89404358390382</v>
      </c>
      <c r="C300" s="2993">
        <v>-5.3551855221126684E-3</v>
      </c>
      <c r="D300" s="646">
        <v>1.7684055966430863E-2</v>
      </c>
    </row>
    <row r="301" spans="1:4">
      <c r="A301" s="483">
        <f t="shared" si="1"/>
        <v>2018.04</v>
      </c>
      <c r="B301" s="643">
        <v>180.92232779784214</v>
      </c>
      <c r="C301" s="2993">
        <v>-5.3565284596419705E-3</v>
      </c>
      <c r="D301" s="646">
        <v>7.6401106132598998E-3</v>
      </c>
    </row>
    <row r="302" spans="1:4">
      <c r="A302" s="483">
        <f t="shared" si="1"/>
        <v>2018.05</v>
      </c>
      <c r="B302" s="643">
        <v>179.40170949167108</v>
      </c>
      <c r="C302" s="2993">
        <v>-8.4403324568807381E-3</v>
      </c>
      <c r="D302" s="646">
        <v>-1.7617390958161777E-3</v>
      </c>
    </row>
    <row r="303" spans="1:4">
      <c r="A303" s="483">
        <f t="shared" si="1"/>
        <v>2018.06</v>
      </c>
      <c r="B303" s="643">
        <v>177.71416480393387</v>
      </c>
      <c r="C303" s="2993">
        <v>-9.4510346385126461E-3</v>
      </c>
      <c r="D303" s="646">
        <v>-1.4406278896777333E-2</v>
      </c>
    </row>
    <row r="304" spans="1:4">
      <c r="A304" s="483">
        <f t="shared" si="1"/>
        <v>2018.07</v>
      </c>
      <c r="B304" s="643">
        <v>174.94321416115312</v>
      </c>
      <c r="C304" s="2993">
        <v>-1.571501312248277E-2</v>
      </c>
      <c r="D304" s="646">
        <v>-3.037517533718798E-2</v>
      </c>
    </row>
    <row r="305" spans="1:4">
      <c r="A305" s="483">
        <f t="shared" si="1"/>
        <v>2018.08</v>
      </c>
      <c r="B305" s="643">
        <v>172.57147218803371</v>
      </c>
      <c r="C305" s="2993">
        <v>-1.3649948572737571E-2</v>
      </c>
      <c r="D305" s="646">
        <v>-4.7940285211530362E-2</v>
      </c>
    </row>
    <row r="306" spans="1:4">
      <c r="A306" s="483">
        <f t="shared" si="1"/>
        <v>2018.09</v>
      </c>
      <c r="B306" s="643">
        <v>170.40246608381366</v>
      </c>
      <c r="C306" s="2993">
        <v>-1.2648395571300994E-2</v>
      </c>
      <c r="D306" s="646">
        <v>-6.5795957362997898E-2</v>
      </c>
    </row>
    <row r="307" spans="1:4">
      <c r="A307" s="483">
        <f t="shared" ref="A307:A370" si="2">A295+1</f>
        <v>2018.1</v>
      </c>
      <c r="B307" s="643">
        <v>168.31319803904353</v>
      </c>
      <c r="C307" s="2993">
        <v>-1.2336568770252257E-2</v>
      </c>
      <c r="D307" s="646">
        <v>-8.1827566711385052E-2</v>
      </c>
    </row>
    <row r="308" spans="1:4">
      <c r="A308" s="483">
        <f t="shared" si="2"/>
        <v>2018.11</v>
      </c>
      <c r="B308" s="643">
        <v>166.84297879067628</v>
      </c>
      <c r="C308" s="2993">
        <v>-8.7733944980146247E-3</v>
      </c>
      <c r="D308" s="646">
        <v>-9.3137220106414315E-2</v>
      </c>
    </row>
    <row r="309" spans="1:4">
      <c r="A309" s="483">
        <f t="shared" si="2"/>
        <v>2018.12</v>
      </c>
      <c r="B309" s="643">
        <v>166.9377326675685</v>
      </c>
      <c r="C309" s="2993">
        <v>5.6776126471528806E-4</v>
      </c>
      <c r="D309" s="646">
        <v>-9.4131001144235296E-2</v>
      </c>
    </row>
    <row r="310" spans="1:4">
      <c r="A310" s="483">
        <f t="shared" si="2"/>
        <v>2019.01</v>
      </c>
      <c r="B310" s="643">
        <v>167.44167159785493</v>
      </c>
      <c r="C310" s="2993">
        <v>3.0141767429018706E-3</v>
      </c>
      <c r="D310" s="646">
        <v>-9.1246828752049605E-2</v>
      </c>
    </row>
    <row r="311" spans="1:4">
      <c r="A311" s="483">
        <f t="shared" si="2"/>
        <v>2019.02</v>
      </c>
      <c r="B311" s="643">
        <v>167.78039345997573</v>
      </c>
      <c r="C311" s="2993">
        <v>2.0208811573283122E-3</v>
      </c>
      <c r="D311" s="646">
        <v>-8.6123582446990768E-2</v>
      </c>
    </row>
    <row r="312" spans="1:4">
      <c r="A312" s="483">
        <f t="shared" si="2"/>
        <v>2019.03</v>
      </c>
      <c r="B312" s="643">
        <v>167.48891719740269</v>
      </c>
      <c r="C312" s="2993">
        <v>-1.7387594196209247E-3</v>
      </c>
      <c r="D312" s="646">
        <v>-8.2507156344499025E-2</v>
      </c>
    </row>
    <row r="313" spans="1:4">
      <c r="A313" s="483">
        <f t="shared" si="2"/>
        <v>2019.04</v>
      </c>
      <c r="B313" s="643">
        <v>167.05405351984123</v>
      </c>
      <c r="C313" s="2993">
        <v>-2.5997492731953988E-3</v>
      </c>
      <c r="D313" s="646">
        <v>-7.9750377158052388E-2</v>
      </c>
    </row>
    <row r="314" spans="1:4">
      <c r="A314" s="483">
        <f t="shared" si="2"/>
        <v>2019.05</v>
      </c>
      <c r="B314" s="643">
        <v>167.35378312077574</v>
      </c>
      <c r="C314" s="2993">
        <v>1.7925996245090705E-3</v>
      </c>
      <c r="D314" s="646">
        <v>-6.9517445076662632E-2</v>
      </c>
    </row>
    <row r="315" spans="1:4">
      <c r="A315" s="483">
        <f t="shared" si="2"/>
        <v>2019.06</v>
      </c>
      <c r="B315" s="643">
        <v>167.10633095696647</v>
      </c>
      <c r="C315" s="2993">
        <v>-1.4797113230810915E-3</v>
      </c>
      <c r="D315" s="646">
        <v>-6.1546121761231143E-2</v>
      </c>
    </row>
    <row r="316" spans="1:4">
      <c r="A316" s="483">
        <f t="shared" si="2"/>
        <v>2019.07</v>
      </c>
      <c r="B316" s="643">
        <v>167.26619669914251</v>
      </c>
      <c r="C316" s="2993">
        <v>9.5621345137230306E-4</v>
      </c>
      <c r="D316" s="646">
        <v>-4.4874895187375988E-2</v>
      </c>
    </row>
    <row r="317" spans="1:4">
      <c r="A317" s="483">
        <f t="shared" si="2"/>
        <v>2019.08</v>
      </c>
      <c r="B317" s="643">
        <v>165.77181508324716</v>
      </c>
      <c r="C317" s="2993">
        <v>-8.9743007858804954E-3</v>
      </c>
      <c r="D317" s="646">
        <v>-4.0199247400518924E-2</v>
      </c>
    </row>
    <row r="318" spans="1:4">
      <c r="A318" s="483">
        <f t="shared" si="2"/>
        <v>2019.09</v>
      </c>
      <c r="B318" s="643">
        <v>164.12496228437649</v>
      </c>
      <c r="C318" s="2993">
        <v>-9.9841319593536974E-3</v>
      </c>
      <c r="D318" s="646">
        <v>-3.7534983788571605E-2</v>
      </c>
    </row>
    <row r="319" spans="1:4">
      <c r="A319" s="483">
        <f t="shared" si="2"/>
        <v>2019.1</v>
      </c>
      <c r="B319" s="643">
        <v>162.47424359731639</v>
      </c>
      <c r="C319" s="2993">
        <v>-1.0108614557171545E-2</v>
      </c>
      <c r="D319" s="646">
        <v>-3.5307029575490805E-2</v>
      </c>
    </row>
    <row r="320" spans="1:4">
      <c r="A320" s="483">
        <f t="shared" si="2"/>
        <v>2019.11</v>
      </c>
      <c r="B320" s="643">
        <v>161.5106185076778</v>
      </c>
      <c r="C320" s="2993">
        <v>-5.9485984927300879E-3</v>
      </c>
      <c r="D320" s="646">
        <v>-3.2482233570206263E-2</v>
      </c>
    </row>
    <row r="321" spans="1:4">
      <c r="A321" s="483">
        <f t="shared" si="2"/>
        <v>2019.12</v>
      </c>
      <c r="B321" s="643">
        <v>160.07173301072166</v>
      </c>
      <c r="C321" s="2993">
        <v>-8.9488436944886868E-3</v>
      </c>
      <c r="D321" s="646">
        <v>-4.1998838529410241E-2</v>
      </c>
    </row>
    <row r="322" spans="1:4">
      <c r="A322" s="483">
        <f t="shared" si="2"/>
        <v>2020.01</v>
      </c>
      <c r="B322" s="643">
        <v>158.9616661518005</v>
      </c>
      <c r="C322" s="2993">
        <v>-6.958966312733874E-3</v>
      </c>
      <c r="D322" s="646">
        <v>-5.1971981585046075E-2</v>
      </c>
    </row>
    <row r="323" spans="1:4">
      <c r="A323" s="483">
        <f t="shared" si="2"/>
        <v>2020.02</v>
      </c>
      <c r="B323" s="643">
        <v>157.51015704025286</v>
      </c>
      <c r="C323" s="2993">
        <v>-9.1731344368319173E-3</v>
      </c>
      <c r="D323" s="646">
        <v>-6.3165997179206193E-2</v>
      </c>
    </row>
    <row r="324" spans="1:4">
      <c r="A324" s="483">
        <f t="shared" si="2"/>
        <v>2020.03</v>
      </c>
      <c r="B324" s="643">
        <v>155.50561747604905</v>
      </c>
      <c r="C324" s="2993">
        <v>-1.280808911612329E-2</v>
      </c>
      <c r="D324" s="646">
        <v>-7.4235326875708524E-2</v>
      </c>
    </row>
    <row r="325" spans="1:4">
      <c r="A325" s="483">
        <f t="shared" si="2"/>
        <v>2020.04</v>
      </c>
      <c r="B325" s="643">
        <v>154.32765254262793</v>
      </c>
      <c r="C325" s="2993">
        <v>-7.6039000531043441E-3</v>
      </c>
      <c r="D325" s="646">
        <v>-7.9239477655617396E-2</v>
      </c>
    </row>
    <row r="326" spans="1:4">
      <c r="A326" s="483">
        <f t="shared" si="2"/>
        <v>2020.05</v>
      </c>
      <c r="B326" s="643">
        <v>154.11878927801428</v>
      </c>
      <c r="C326" s="2993">
        <v>-1.3542921442306016E-3</v>
      </c>
      <c r="D326" s="646">
        <v>-8.238636942435712E-2</v>
      </c>
    </row>
    <row r="327" spans="1:4">
      <c r="A327" s="483">
        <f t="shared" si="2"/>
        <v>2020.06</v>
      </c>
      <c r="B327" s="643">
        <v>155.14197479722606</v>
      </c>
      <c r="C327" s="2993">
        <v>6.6170000943402574E-3</v>
      </c>
      <c r="D327" s="646">
        <v>-7.428965800693578E-2</v>
      </c>
    </row>
    <row r="328" spans="1:4">
      <c r="A328" s="483">
        <f t="shared" si="2"/>
        <v>2020.07</v>
      </c>
      <c r="B328" s="643">
        <v>157.26802651064818</v>
      </c>
      <c r="C328" s="2993">
        <v>1.3610860896411633E-2</v>
      </c>
      <c r="D328" s="646">
        <v>-6.1635010561896318E-2</v>
      </c>
    </row>
    <row r="329" spans="1:4">
      <c r="A329" s="483">
        <f t="shared" si="2"/>
        <v>2020.08</v>
      </c>
      <c r="B329" s="643">
        <v>159.33025396305106</v>
      </c>
      <c r="C329" s="2993">
        <v>1.302759203674685E-2</v>
      </c>
      <c r="D329" s="646">
        <v>-3.9633117739268905E-2</v>
      </c>
    </row>
    <row r="330" spans="1:4">
      <c r="A330" s="483">
        <f t="shared" si="2"/>
        <v>2020.09</v>
      </c>
      <c r="B330" s="643">
        <v>161.38898101316317</v>
      </c>
      <c r="C330" s="2993">
        <v>1.2838365166493492E-2</v>
      </c>
      <c r="D330" s="646">
        <v>-1.6810620613421777E-2</v>
      </c>
    </row>
    <row r="331" spans="1:4">
      <c r="A331" s="483">
        <f t="shared" si="2"/>
        <v>2020.1</v>
      </c>
      <c r="B331" s="643">
        <v>163.33662526989789</v>
      </c>
      <c r="C331" s="2993">
        <v>1.1995774735770464E-2</v>
      </c>
      <c r="D331" s="646">
        <v>5.2937686795203245E-3</v>
      </c>
    </row>
    <row r="332" spans="1:4">
      <c r="A332" s="483">
        <f t="shared" si="2"/>
        <v>2020.11</v>
      </c>
      <c r="B332" s="643">
        <v>164.53306656337114</v>
      </c>
      <c r="C332" s="2993">
        <v>7.2983056012821713E-3</v>
      </c>
      <c r="D332" s="646">
        <v>1.8540672773532645E-2</v>
      </c>
    </row>
    <row r="333" spans="1:4">
      <c r="A333" s="483">
        <f t="shared" si="2"/>
        <v>2020.12</v>
      </c>
      <c r="B333" s="643">
        <v>164.739764489653</v>
      </c>
      <c r="C333" s="2993">
        <v>1.2554813755583435E-3</v>
      </c>
      <c r="D333" s="646">
        <v>2.8744997843579534E-2</v>
      </c>
    </row>
    <row r="334" spans="1:4">
      <c r="A334" s="483">
        <f t="shared" si="2"/>
        <v>2021.01</v>
      </c>
      <c r="B334" s="643">
        <v>165.11190863591744</v>
      </c>
      <c r="C334" s="2993">
        <v>2.2564342368534664E-3</v>
      </c>
      <c r="D334" s="646">
        <v>3.7960398393166832E-2</v>
      </c>
    </row>
    <row r="335" spans="1:4">
      <c r="A335" s="483">
        <f t="shared" si="2"/>
        <v>2021.02</v>
      </c>
      <c r="B335" s="643">
        <v>166.65106611992798</v>
      </c>
      <c r="C335" s="2993">
        <v>9.2787239317759698E-3</v>
      </c>
      <c r="D335" s="646">
        <v>5.6412256761774526E-2</v>
      </c>
    </row>
    <row r="336" spans="1:4">
      <c r="A336" s="483">
        <f t="shared" si="2"/>
        <v>2021.03</v>
      </c>
      <c r="B336" s="643">
        <v>168.40453220366192</v>
      </c>
      <c r="C336" s="2993">
        <v>1.0466812676887961E-2</v>
      </c>
      <c r="D336" s="646">
        <v>7.968715855478567E-2</v>
      </c>
    </row>
    <row r="337" spans="1:4">
      <c r="A337" s="483">
        <f t="shared" si="2"/>
        <v>2021.04</v>
      </c>
      <c r="B337" s="643">
        <v>168.26833041264786</v>
      </c>
      <c r="C337" s="2993">
        <v>-8.0910470410951922E-4</v>
      </c>
      <c r="D337" s="646">
        <v>8.6481953903780648E-2</v>
      </c>
    </row>
    <row r="338" spans="1:4">
      <c r="A338" s="483">
        <f t="shared" si="2"/>
        <v>2021.05</v>
      </c>
      <c r="B338" s="643">
        <v>167.83187923916017</v>
      </c>
      <c r="C338" s="2993">
        <v>-2.5971505300082061E-3</v>
      </c>
      <c r="D338" s="646">
        <v>8.5239095518002975E-2</v>
      </c>
    </row>
    <row r="339" spans="1:4">
      <c r="A339" s="483">
        <f t="shared" si="2"/>
        <v>2021.06</v>
      </c>
      <c r="B339" s="643">
        <v>167.59149974510052</v>
      </c>
      <c r="C339" s="2993">
        <v>-1.4332902848868657E-3</v>
      </c>
      <c r="D339" s="646">
        <v>7.718880513877581E-2</v>
      </c>
    </row>
    <row r="340" spans="1:4">
      <c r="A340" s="483">
        <f t="shared" si="2"/>
        <v>2021.07</v>
      </c>
      <c r="B340" s="643">
        <v>167.19208531414057</v>
      </c>
      <c r="C340" s="2993">
        <v>-2.3861063582007818E-3</v>
      </c>
      <c r="D340" s="646">
        <v>6.1191837884163325E-2</v>
      </c>
    </row>
    <row r="341" spans="1:4">
      <c r="A341" s="483">
        <f t="shared" si="2"/>
        <v>2021.08</v>
      </c>
      <c r="B341" s="643">
        <v>167.68149607513965</v>
      </c>
      <c r="C341" s="2993">
        <v>2.9229604044411954E-3</v>
      </c>
      <c r="D341" s="646">
        <v>5.1087206251857718E-2</v>
      </c>
    </row>
    <row r="342" spans="1:4">
      <c r="A342" s="483">
        <f t="shared" si="2"/>
        <v>2021.09</v>
      </c>
      <c r="B342" s="643">
        <v>168.39596625653664</v>
      </c>
      <c r="C342" s="2993">
        <v>4.2518248786451397E-3</v>
      </c>
      <c r="D342" s="646">
        <v>4.2500665964009338E-2</v>
      </c>
    </row>
    <row r="343" spans="1:4">
      <c r="A343" s="483">
        <f t="shared" si="2"/>
        <v>2021.1</v>
      </c>
      <c r="B343" s="643">
        <v>168.81149934469559</v>
      </c>
      <c r="C343" s="2993">
        <v>2.4645557461086911E-3</v>
      </c>
      <c r="D343" s="646">
        <v>3.2969446974347415E-2</v>
      </c>
    </row>
    <row r="344" spans="1:4">
      <c r="A344" s="483">
        <f t="shared" si="2"/>
        <v>2021.11</v>
      </c>
      <c r="B344" s="643">
        <v>169.51379499699098</v>
      </c>
      <c r="C344" s="2993">
        <v>4.1516060002695834E-3</v>
      </c>
      <c r="D344" s="646">
        <v>2.9822747373334738E-2</v>
      </c>
    </row>
    <row r="345" spans="1:4">
      <c r="A345" s="483">
        <f t="shared" si="2"/>
        <v>2021.12</v>
      </c>
      <c r="B345" s="643">
        <v>170.79439994244316</v>
      </c>
      <c r="C345" s="2993">
        <v>7.5261836729902968E-3</v>
      </c>
      <c r="D345" s="646">
        <v>3.6093449670766969E-2</v>
      </c>
    </row>
    <row r="346" spans="1:4">
      <c r="A346" s="483">
        <f t="shared" si="2"/>
        <v>2022.01</v>
      </c>
      <c r="B346" s="643">
        <v>171.61055332234307</v>
      </c>
      <c r="C346" s="2993">
        <v>4.7671911155690548E-3</v>
      </c>
      <c r="D346" s="646">
        <v>3.8604206549482573E-2</v>
      </c>
    </row>
    <row r="347" spans="1:4">
      <c r="A347" s="483">
        <f t="shared" si="2"/>
        <v>2022.02</v>
      </c>
      <c r="B347" s="643">
        <v>172.09449790014037</v>
      </c>
      <c r="C347" s="2993">
        <v>2.8160476308841643E-3</v>
      </c>
      <c r="D347" s="646">
        <v>3.2141530248590643E-2</v>
      </c>
    </row>
    <row r="348" spans="1:4">
      <c r="A348" s="483">
        <f t="shared" si="2"/>
        <v>2022.03</v>
      </c>
      <c r="B348" s="643">
        <v>172.76437389086101</v>
      </c>
      <c r="C348" s="2993">
        <v>3.8849331598260241E-3</v>
      </c>
      <c r="D348" s="646">
        <v>2.5559650731528695E-2</v>
      </c>
    </row>
    <row r="349" spans="1:4">
      <c r="A349" s="483">
        <f t="shared" si="2"/>
        <v>2022.04</v>
      </c>
      <c r="B349" s="643">
        <v>173.78021853763542</v>
      </c>
      <c r="C349" s="2993">
        <v>5.8627234626952174E-3</v>
      </c>
      <c r="D349" s="646">
        <v>3.2231478898333381E-2</v>
      </c>
    </row>
    <row r="350" spans="1:4">
      <c r="A350" s="483">
        <f t="shared" si="2"/>
        <v>2022.05</v>
      </c>
      <c r="B350" s="643">
        <v>174.01977952889237</v>
      </c>
      <c r="C350" s="2993">
        <v>1.3775792436674741E-3</v>
      </c>
      <c r="D350" s="646">
        <v>3.620620867200907E-2</v>
      </c>
    </row>
    <row r="351" spans="1:4">
      <c r="A351" s="483">
        <f t="shared" si="2"/>
        <v>2022.06</v>
      </c>
      <c r="B351" s="643">
        <v>174.10380012256917</v>
      </c>
      <c r="C351" s="2993">
        <v>4.8270556905315924E-4</v>
      </c>
      <c r="D351" s="646">
        <v>3.8122204525949104E-2</v>
      </c>
    </row>
    <row r="352" spans="1:4">
      <c r="A352" s="483">
        <f t="shared" si="2"/>
        <v>2022.07</v>
      </c>
      <c r="B352" s="643">
        <v>173.03983584103622</v>
      </c>
      <c r="C352" s="2993">
        <v>-6.1298408084656635E-3</v>
      </c>
      <c r="D352" s="646">
        <v>3.4378470075684064E-2</v>
      </c>
    </row>
    <row r="353" spans="1:4">
      <c r="A353" s="483">
        <f t="shared" si="2"/>
        <v>2022.08</v>
      </c>
      <c r="B353" s="643">
        <v>171.84594783369727</v>
      </c>
      <c r="C353" s="2993">
        <v>-6.9234096201950127E-3</v>
      </c>
      <c r="D353" s="646">
        <v>2.4532100051047761E-2</v>
      </c>
    </row>
    <row r="354" spans="1:4">
      <c r="A354" s="483">
        <f t="shared" si="2"/>
        <v>2022.09</v>
      </c>
      <c r="B354" s="643">
        <v>170.89513469592006</v>
      </c>
      <c r="C354" s="2993">
        <v>-5.5483023504741946E-3</v>
      </c>
      <c r="D354" s="646">
        <v>1.4731972821928611E-2</v>
      </c>
    </row>
    <row r="355" spans="1:4">
      <c r="A355" s="483">
        <f t="shared" si="2"/>
        <v>2022.1</v>
      </c>
      <c r="B355" s="643">
        <v>171.4011716007146</v>
      </c>
      <c r="C355" s="2993">
        <v>2.9567206197787955E-3</v>
      </c>
      <c r="D355" s="646">
        <v>1.5224137695598383E-2</v>
      </c>
    </row>
    <row r="356" spans="1:4">
      <c r="A356" s="483">
        <f t="shared" si="2"/>
        <v>2022.11</v>
      </c>
      <c r="B356" s="643">
        <v>171.68389624890469</v>
      </c>
      <c r="C356" s="2993">
        <v>1.6481318406547831E-3</v>
      </c>
      <c r="D356" s="646">
        <v>1.2720663535983674E-2</v>
      </c>
    </row>
    <row r="357" spans="1:4">
      <c r="A357" s="483">
        <f t="shared" si="2"/>
        <v>2022.12</v>
      </c>
      <c r="B357" s="643">
        <v>171.72655774205404</v>
      </c>
      <c r="C357" s="2993">
        <v>2.4845774421259232E-4</v>
      </c>
      <c r="D357" s="646">
        <v>5.4429376072058474E-3</v>
      </c>
    </row>
    <row r="358" spans="1:4">
      <c r="A358" s="483">
        <f t="shared" si="2"/>
        <v>2023.01</v>
      </c>
      <c r="B358" s="643">
        <v>170.83651504211406</v>
      </c>
      <c r="C358" s="2993">
        <v>-5.1963843941505864E-3</v>
      </c>
      <c r="D358" s="646">
        <v>-4.5206379025136941E-3</v>
      </c>
    </row>
    <row r="359" spans="1:4">
      <c r="A359" s="483">
        <f t="shared" si="2"/>
        <v>2023.02</v>
      </c>
      <c r="B359" s="643">
        <v>171.2223576878736</v>
      </c>
      <c r="C359" s="2993">
        <v>2.2560023444332328E-3</v>
      </c>
      <c r="D359" s="646">
        <v>-5.0806831889644438E-3</v>
      </c>
    </row>
    <row r="360" spans="1:4">
      <c r="A360" s="483">
        <f t="shared" si="2"/>
        <v>2023.03</v>
      </c>
      <c r="B360" s="643">
        <v>171.90600360952865</v>
      </c>
      <c r="C360" s="2993">
        <v>3.9847876385251278E-3</v>
      </c>
      <c r="D360" s="646">
        <v>-4.9808287102652516E-3</v>
      </c>
    </row>
    <row r="361" spans="1:4">
      <c r="A361" s="483">
        <f t="shared" si="2"/>
        <v>2023.04</v>
      </c>
      <c r="B361" s="643">
        <v>171.94671547285188</v>
      </c>
      <c r="C361" s="2993">
        <v>2.3679826422258422E-4</v>
      </c>
      <c r="D361" s="646">
        <v>-1.0606753908737714E-2</v>
      </c>
    </row>
    <row r="362" spans="1:4">
      <c r="A362" s="483">
        <f t="shared" si="2"/>
        <v>2023.05</v>
      </c>
      <c r="B362" s="643">
        <v>171.26188604919264</v>
      </c>
      <c r="C362" s="2993">
        <v>-3.9907527346975859E-3</v>
      </c>
      <c r="D362" s="646">
        <v>-1.5975085887102718E-2</v>
      </c>
    </row>
    <row r="363" spans="1:4">
      <c r="A363" s="483">
        <f t="shared" si="2"/>
        <v>2023.06</v>
      </c>
      <c r="B363" s="643">
        <v>170.87666911177539</v>
      </c>
      <c r="C363" s="2993">
        <v>-2.2518192959125024E-3</v>
      </c>
      <c r="D363" s="646">
        <v>-1.870961075206835E-2</v>
      </c>
    </row>
    <row r="364" spans="1:4">
      <c r="A364" s="483">
        <f t="shared" si="2"/>
        <v>2023.07</v>
      </c>
      <c r="B364" s="643">
        <v>170.63637337826708</v>
      </c>
      <c r="C364" s="2993">
        <v>-1.4072421446142602E-3</v>
      </c>
      <c r="D364" s="646">
        <v>-1.3987012088216927E-2</v>
      </c>
    </row>
    <row r="365" spans="1:4">
      <c r="A365" s="483">
        <f t="shared" si="2"/>
        <v>2023.08</v>
      </c>
      <c r="B365" s="643">
        <v>169.40028528644956</v>
      </c>
      <c r="C365" s="2993">
        <v>-7.2703545637371487E-3</v>
      </c>
      <c r="D365" s="646">
        <v>-1.4333957031759006E-2</v>
      </c>
    </row>
    <row r="366" spans="1:4">
      <c r="A366" s="483">
        <f t="shared" si="2"/>
        <v>2023.09</v>
      </c>
      <c r="B366" s="643">
        <v>168.06653106306433</v>
      </c>
      <c r="C366" s="2993">
        <v>-7.9045470747411539E-3</v>
      </c>
      <c r="D366" s="646">
        <v>-1.6690201756026018E-2</v>
      </c>
    </row>
    <row r="367" spans="1:4">
      <c r="A367" s="483">
        <f t="shared" si="2"/>
        <v>2023.1</v>
      </c>
      <c r="B367" s="643">
        <v>166.00429888028526</v>
      </c>
      <c r="C367" s="2993">
        <v>-1.2346234350847408E-2</v>
      </c>
      <c r="D367" s="646">
        <v>-3.1993156726652199E-2</v>
      </c>
    </row>
    <row r="368" spans="1:4">
      <c r="A368" s="483">
        <f t="shared" si="2"/>
        <v>2023.11</v>
      </c>
      <c r="B368" s="643">
        <v>163.88478860678683</v>
      </c>
      <c r="C368" s="2993">
        <v>-1.2850012436137972E-2</v>
      </c>
      <c r="D368" s="646">
        <v>-4.6491301003444896E-2</v>
      </c>
    </row>
    <row r="369" spans="1:5">
      <c r="A369" s="483">
        <f t="shared" si="2"/>
        <v>2023.12</v>
      </c>
      <c r="B369" s="643">
        <v>161.62676244292763</v>
      </c>
      <c r="C369" s="2993">
        <v>-1.3873930902433903E-2</v>
      </c>
      <c r="D369" s="646">
        <v>-6.0613689650091417E-2</v>
      </c>
      <c r="E369" s="1796"/>
    </row>
    <row r="370" spans="1:5">
      <c r="A370" s="483">
        <f t="shared" si="2"/>
        <v>2024.01</v>
      </c>
      <c r="B370" s="643">
        <v>160.67297492335283</v>
      </c>
      <c r="C370" s="2993">
        <v>-5.9186539317025409E-3</v>
      </c>
      <c r="D370" s="646">
        <v>-6.1335959187643424E-2</v>
      </c>
      <c r="E370" s="1796"/>
    </row>
    <row r="371" spans="1:5">
      <c r="A371" s="483">
        <f t="shared" ref="A371:A434" si="3">A359+1</f>
        <v>2024.02</v>
      </c>
      <c r="B371" s="643">
        <v>159.71394787696556</v>
      </c>
      <c r="C371" s="2993">
        <v>-5.9866982231467488E-3</v>
      </c>
      <c r="D371" s="646">
        <v>-6.9578659755223565E-2</v>
      </c>
      <c r="E371" s="1831"/>
    </row>
    <row r="372" spans="1:5">
      <c r="A372" s="483">
        <f t="shared" si="3"/>
        <v>2024.03</v>
      </c>
      <c r="B372" s="2601">
        <v>159.10678980087656</v>
      </c>
      <c r="C372" s="2994">
        <v>-3.808778654138166E-3</v>
      </c>
      <c r="D372" s="2602">
        <v>-7.7372226047886891E-2</v>
      </c>
      <c r="E372" s="1831"/>
    </row>
    <row r="373" spans="1:5">
      <c r="A373" s="483">
        <f t="shared" si="3"/>
        <v>2024.04</v>
      </c>
      <c r="B373" s="2601">
        <v>159.6880450983997</v>
      </c>
      <c r="C373" s="2994">
        <v>3.6465831813963026E-3</v>
      </c>
      <c r="D373" s="2602">
        <v>-7.3962441130713083E-2</v>
      </c>
      <c r="E373" s="1831"/>
    </row>
    <row r="374" spans="1:5">
      <c r="A374" s="483">
        <f t="shared" si="3"/>
        <v>2024.05</v>
      </c>
      <c r="B374" s="2601">
        <v>160.61522395244265</v>
      </c>
      <c r="C374" s="2994">
        <v>5.7893973201473166E-3</v>
      </c>
      <c r="D374" s="2602">
        <v>-6.4182291075868314E-2</v>
      </c>
      <c r="E374" s="1831"/>
    </row>
    <row r="375" spans="1:5">
      <c r="A375" s="483">
        <f t="shared" si="3"/>
        <v>2024.06</v>
      </c>
      <c r="B375" s="2601">
        <v>161.27173630802761</v>
      </c>
      <c r="C375" s="2994">
        <v>4.0791541564146128E-3</v>
      </c>
      <c r="D375" s="2602">
        <v>-5.7851317623541149E-2</v>
      </c>
      <c r="E375" s="1832"/>
    </row>
    <row r="376" spans="1:5">
      <c r="A376" s="483">
        <f t="shared" si="3"/>
        <v>2024.07</v>
      </c>
      <c r="B376" s="2601">
        <v>162.19751748670706</v>
      </c>
      <c r="C376" s="2994">
        <v>5.7240909026279214E-3</v>
      </c>
      <c r="D376" s="2602">
        <v>-5.0719984576298963E-2</v>
      </c>
      <c r="E376" s="1831"/>
    </row>
    <row r="377" spans="1:5">
      <c r="A377" s="483">
        <f t="shared" si="3"/>
        <v>2024.08</v>
      </c>
      <c r="B377" s="2601">
        <v>163.56765268407881</v>
      </c>
      <c r="C377" s="2994">
        <v>8.4118463356803574E-3</v>
      </c>
      <c r="D377" s="2602">
        <v>-3.5037783676881339E-2</v>
      </c>
      <c r="E377" s="1831"/>
    </row>
    <row r="378" spans="1:5">
      <c r="A378" s="483">
        <f t="shared" si="3"/>
        <v>2024.09</v>
      </c>
      <c r="B378" s="2601">
        <v>164.82878809399702</v>
      </c>
      <c r="C378" s="2994">
        <v>7.6806046169859811E-3</v>
      </c>
      <c r="D378" s="2602">
        <v>-1.945263198515421E-2</v>
      </c>
      <c r="E378" s="1831"/>
    </row>
    <row r="379" spans="1:5">
      <c r="A379" s="483">
        <f>A367+1</f>
        <v>2024.1</v>
      </c>
      <c r="B379" s="2601">
        <v>165.95550439736957</v>
      </c>
      <c r="C379" s="2994">
        <v>6.8124193707619516E-3</v>
      </c>
      <c r="D379" s="2602">
        <v>-2.9397826354475278E-4</v>
      </c>
      <c r="E379" s="1831"/>
    </row>
    <row r="380" spans="1:5">
      <c r="A380" s="483">
        <f t="shared" si="3"/>
        <v>2024.11</v>
      </c>
      <c r="B380" s="2601">
        <v>167.30809483731792</v>
      </c>
      <c r="C380" s="2994">
        <v>8.1172853556838887E-3</v>
      </c>
      <c r="D380" s="2602">
        <v>2.0673319528277181E-2</v>
      </c>
      <c r="E380" s="1831"/>
    </row>
    <row r="381" spans="1:5">
      <c r="A381" s="483">
        <f t="shared" si="3"/>
        <v>2024.12</v>
      </c>
      <c r="B381" s="2601">
        <v>169.0518546508759</v>
      </c>
      <c r="C381" s="2994">
        <v>1.0368508130835301E-2</v>
      </c>
      <c r="D381" s="2602">
        <v>4.491575856154631E-2</v>
      </c>
      <c r="E381" s="1831"/>
    </row>
    <row r="382" spans="1:5">
      <c r="A382" s="483">
        <f t="shared" si="3"/>
        <v>2025.01</v>
      </c>
      <c r="B382" s="2601">
        <v>171.01479471876911</v>
      </c>
      <c r="C382" s="2994">
        <v>1.1544571469945678E-2</v>
      </c>
      <c r="D382" s="2602">
        <v>6.2378983963194565E-2</v>
      </c>
      <c r="E382" s="1831"/>
    </row>
    <row r="383" spans="1:5">
      <c r="A383" s="483">
        <f t="shared" si="3"/>
        <v>2025.02</v>
      </c>
      <c r="B383" s="2601">
        <v>171.1632785955058</v>
      </c>
      <c r="C383" s="2994">
        <v>8.6787493201092593E-4</v>
      </c>
      <c r="D383" s="2602">
        <v>6.9233557118352135E-2</v>
      </c>
      <c r="E383" s="1831"/>
    </row>
    <row r="384" spans="1:5">
      <c r="A384" s="483">
        <f t="shared" si="3"/>
        <v>2025.03</v>
      </c>
      <c r="B384" s="2601">
        <v>170.30969160761106</v>
      </c>
      <c r="C384" s="2994">
        <v>-4.9994514371213819E-3</v>
      </c>
      <c r="D384" s="2602">
        <v>6.8042884335368842E-2</v>
      </c>
      <c r="E384" s="1831"/>
    </row>
    <row r="385" spans="1:5">
      <c r="A385" s="483">
        <f t="shared" si="3"/>
        <v>2025.04</v>
      </c>
      <c r="B385" s="643" t="e">
        <v>#N/A</v>
      </c>
      <c r="C385" s="2993" t="e">
        <v>#N/A</v>
      </c>
      <c r="D385" s="646" t="e">
        <v>#N/A</v>
      </c>
      <c r="E385" s="3534"/>
    </row>
    <row r="386" spans="1:5">
      <c r="A386" s="483">
        <f t="shared" si="3"/>
        <v>2025.05</v>
      </c>
      <c r="B386" s="643" t="e">
        <v>#N/A</v>
      </c>
      <c r="C386" s="2993" t="e">
        <v>#N/A</v>
      </c>
      <c r="D386" s="646" t="e">
        <v>#N/A</v>
      </c>
    </row>
    <row r="387" spans="1:5">
      <c r="A387" s="483">
        <f t="shared" si="3"/>
        <v>2025.06</v>
      </c>
      <c r="B387" s="643" t="e">
        <v>#N/A</v>
      </c>
      <c r="C387" s="2993" t="e">
        <v>#N/A</v>
      </c>
      <c r="D387" s="646" t="e">
        <v>#N/A</v>
      </c>
    </row>
    <row r="388" spans="1:5">
      <c r="A388" s="483">
        <f t="shared" si="3"/>
        <v>2025.07</v>
      </c>
      <c r="B388" s="643" t="e">
        <v>#N/A</v>
      </c>
      <c r="C388" s="2993" t="e">
        <v>#N/A</v>
      </c>
      <c r="D388" s="646" t="e">
        <v>#N/A</v>
      </c>
    </row>
    <row r="389" spans="1:5">
      <c r="A389" s="483">
        <f t="shared" si="3"/>
        <v>2025.08</v>
      </c>
      <c r="B389" s="643" t="e">
        <v>#N/A</v>
      </c>
      <c r="C389" s="2993" t="e">
        <v>#N/A</v>
      </c>
      <c r="D389" s="646" t="e">
        <v>#N/A</v>
      </c>
    </row>
    <row r="390" spans="1:5">
      <c r="A390" s="483">
        <f t="shared" si="3"/>
        <v>2025.09</v>
      </c>
      <c r="B390" s="643" t="e">
        <v>#N/A</v>
      </c>
      <c r="C390" s="2993" t="e">
        <v>#N/A</v>
      </c>
      <c r="D390" s="646" t="e">
        <v>#N/A</v>
      </c>
    </row>
    <row r="391" spans="1:5">
      <c r="A391" s="483">
        <f t="shared" si="3"/>
        <v>2025.1</v>
      </c>
      <c r="B391" s="643" t="e">
        <v>#N/A</v>
      </c>
      <c r="C391" s="2993" t="e">
        <v>#N/A</v>
      </c>
      <c r="D391" s="646" t="e">
        <v>#N/A</v>
      </c>
    </row>
    <row r="392" spans="1:5">
      <c r="A392" s="483">
        <f t="shared" si="3"/>
        <v>2025.11</v>
      </c>
      <c r="B392" s="643" t="e">
        <v>#N/A</v>
      </c>
      <c r="C392" s="2993" t="e">
        <v>#N/A</v>
      </c>
      <c r="D392" s="646" t="e">
        <v>#N/A</v>
      </c>
    </row>
    <row r="393" spans="1:5">
      <c r="A393" s="483">
        <f t="shared" si="3"/>
        <v>2025.12</v>
      </c>
      <c r="B393" s="643" t="e">
        <v>#N/A</v>
      </c>
      <c r="C393" s="2993" t="e">
        <v>#N/A</v>
      </c>
      <c r="D393" s="646" t="e">
        <v>#N/A</v>
      </c>
    </row>
    <row r="394" spans="1:5">
      <c r="A394" s="483">
        <f t="shared" si="3"/>
        <v>2026.01</v>
      </c>
      <c r="B394" s="643" t="e">
        <v>#N/A</v>
      </c>
      <c r="C394" s="2993" t="e">
        <v>#N/A</v>
      </c>
      <c r="D394" s="646" t="e">
        <v>#N/A</v>
      </c>
    </row>
    <row r="395" spans="1:5">
      <c r="A395" s="483">
        <f t="shared" si="3"/>
        <v>2026.02</v>
      </c>
      <c r="B395" s="643" t="e">
        <v>#N/A</v>
      </c>
      <c r="C395" s="2993" t="e">
        <v>#N/A</v>
      </c>
      <c r="D395" s="646" t="e">
        <v>#N/A</v>
      </c>
    </row>
    <row r="396" spans="1:5">
      <c r="A396" s="483">
        <f t="shared" si="3"/>
        <v>2026.03</v>
      </c>
      <c r="B396" s="643" t="e">
        <v>#N/A</v>
      </c>
      <c r="C396" s="2993" t="e">
        <v>#N/A</v>
      </c>
      <c r="D396" s="646" t="e">
        <v>#N/A</v>
      </c>
    </row>
    <row r="397" spans="1:5">
      <c r="A397" s="483">
        <f t="shared" si="3"/>
        <v>2026.04</v>
      </c>
      <c r="B397" s="643" t="e">
        <v>#N/A</v>
      </c>
      <c r="C397" s="2993" t="e">
        <v>#N/A</v>
      </c>
      <c r="D397" s="646" t="e">
        <v>#N/A</v>
      </c>
    </row>
    <row r="398" spans="1:5">
      <c r="A398" s="483">
        <f t="shared" si="3"/>
        <v>2026.05</v>
      </c>
      <c r="B398" s="643" t="e">
        <v>#N/A</v>
      </c>
      <c r="C398" s="2993" t="e">
        <v>#N/A</v>
      </c>
      <c r="D398" s="646" t="e">
        <v>#N/A</v>
      </c>
    </row>
    <row r="399" spans="1:5">
      <c r="A399" s="483">
        <f t="shared" si="3"/>
        <v>2026.06</v>
      </c>
      <c r="B399" s="643" t="e">
        <v>#N/A</v>
      </c>
      <c r="C399" s="2993" t="e">
        <v>#N/A</v>
      </c>
      <c r="D399" s="646" t="e">
        <v>#N/A</v>
      </c>
    </row>
    <row r="400" spans="1:5">
      <c r="A400" s="483">
        <f t="shared" si="3"/>
        <v>2026.07</v>
      </c>
      <c r="B400" s="643" t="e">
        <v>#N/A</v>
      </c>
      <c r="C400" s="2993" t="e">
        <v>#N/A</v>
      </c>
      <c r="D400" s="646" t="e">
        <v>#N/A</v>
      </c>
    </row>
    <row r="401" spans="1:4">
      <c r="A401" s="483">
        <f t="shared" si="3"/>
        <v>2026.08</v>
      </c>
      <c r="B401" s="643" t="e">
        <v>#N/A</v>
      </c>
      <c r="C401" s="2993" t="e">
        <v>#N/A</v>
      </c>
      <c r="D401" s="646" t="e">
        <v>#N/A</v>
      </c>
    </row>
    <row r="402" spans="1:4">
      <c r="A402" s="483">
        <f t="shared" si="3"/>
        <v>2026.09</v>
      </c>
      <c r="B402" s="643" t="e">
        <v>#N/A</v>
      </c>
      <c r="C402" s="2993" t="e">
        <v>#N/A</v>
      </c>
      <c r="D402" s="646" t="e">
        <v>#N/A</v>
      </c>
    </row>
    <row r="403" spans="1:4">
      <c r="A403" s="483">
        <f t="shared" si="3"/>
        <v>2026.1</v>
      </c>
      <c r="B403" s="643" t="e">
        <v>#N/A</v>
      </c>
      <c r="C403" s="2993" t="e">
        <v>#N/A</v>
      </c>
      <c r="D403" s="646" t="e">
        <v>#N/A</v>
      </c>
    </row>
    <row r="404" spans="1:4">
      <c r="A404" s="483">
        <f t="shared" si="3"/>
        <v>2026.11</v>
      </c>
      <c r="B404" s="643" t="e">
        <v>#N/A</v>
      </c>
      <c r="C404" s="2993" t="e">
        <v>#N/A</v>
      </c>
      <c r="D404" s="646" t="e">
        <v>#N/A</v>
      </c>
    </row>
    <row r="405" spans="1:4">
      <c r="A405" s="483">
        <f t="shared" si="3"/>
        <v>2026.12</v>
      </c>
      <c r="B405" s="643" t="e">
        <v>#N/A</v>
      </c>
      <c r="C405" s="2993" t="e">
        <v>#N/A</v>
      </c>
      <c r="D405" s="646" t="e">
        <v>#N/A</v>
      </c>
    </row>
    <row r="406" spans="1:4">
      <c r="A406" s="483">
        <f t="shared" si="3"/>
        <v>2027.01</v>
      </c>
      <c r="B406" s="643" t="e">
        <v>#N/A</v>
      </c>
      <c r="C406" s="2993" t="e">
        <v>#N/A</v>
      </c>
      <c r="D406" s="646" t="e">
        <v>#N/A</v>
      </c>
    </row>
    <row r="407" spans="1:4">
      <c r="A407" s="483">
        <f t="shared" si="3"/>
        <v>2027.02</v>
      </c>
      <c r="B407" s="643" t="e">
        <v>#N/A</v>
      </c>
      <c r="C407" s="2993" t="e">
        <v>#N/A</v>
      </c>
      <c r="D407" s="646" t="e">
        <v>#N/A</v>
      </c>
    </row>
    <row r="408" spans="1:4">
      <c r="A408" s="483">
        <f t="shared" si="3"/>
        <v>2027.03</v>
      </c>
      <c r="B408" s="643" t="e">
        <v>#N/A</v>
      </c>
      <c r="C408" s="2993" t="e">
        <v>#N/A</v>
      </c>
      <c r="D408" s="646" t="e">
        <v>#N/A</v>
      </c>
    </row>
    <row r="409" spans="1:4">
      <c r="A409" s="483">
        <f t="shared" si="3"/>
        <v>2027.04</v>
      </c>
      <c r="B409" s="643" t="e">
        <v>#N/A</v>
      </c>
      <c r="C409" s="2993" t="e">
        <v>#N/A</v>
      </c>
      <c r="D409" s="646" t="e">
        <v>#N/A</v>
      </c>
    </row>
    <row r="410" spans="1:4">
      <c r="A410" s="483">
        <f t="shared" si="3"/>
        <v>2027.05</v>
      </c>
      <c r="B410" s="643" t="e">
        <v>#N/A</v>
      </c>
      <c r="C410" s="2993" t="e">
        <v>#N/A</v>
      </c>
      <c r="D410" s="646" t="e">
        <v>#N/A</v>
      </c>
    </row>
    <row r="411" spans="1:4">
      <c r="A411" s="483">
        <f t="shared" si="3"/>
        <v>2027.06</v>
      </c>
      <c r="B411" s="643" t="e">
        <v>#N/A</v>
      </c>
      <c r="C411" s="2993" t="e">
        <v>#N/A</v>
      </c>
      <c r="D411" s="646" t="e">
        <v>#N/A</v>
      </c>
    </row>
    <row r="412" spans="1:4">
      <c r="A412" s="483">
        <f t="shared" si="3"/>
        <v>2027.07</v>
      </c>
      <c r="B412" s="643" t="e">
        <v>#N/A</v>
      </c>
      <c r="C412" s="2993" t="e">
        <v>#N/A</v>
      </c>
      <c r="D412" s="646" t="e">
        <v>#N/A</v>
      </c>
    </row>
    <row r="413" spans="1:4">
      <c r="A413" s="483">
        <f t="shared" si="3"/>
        <v>2027.08</v>
      </c>
      <c r="B413" s="643" t="e">
        <v>#N/A</v>
      </c>
      <c r="C413" s="2993" t="e">
        <v>#N/A</v>
      </c>
      <c r="D413" s="646" t="e">
        <v>#N/A</v>
      </c>
    </row>
    <row r="414" spans="1:4">
      <c r="A414" s="483">
        <f t="shared" si="3"/>
        <v>2027.09</v>
      </c>
      <c r="B414" s="643" t="e">
        <v>#N/A</v>
      </c>
      <c r="C414" s="2993" t="e">
        <v>#N/A</v>
      </c>
      <c r="D414" s="646" t="e">
        <v>#N/A</v>
      </c>
    </row>
    <row r="415" spans="1:4">
      <c r="A415" s="483">
        <f t="shared" si="3"/>
        <v>2027.1</v>
      </c>
      <c r="B415" s="643" t="e">
        <v>#N/A</v>
      </c>
      <c r="C415" s="2993" t="e">
        <v>#N/A</v>
      </c>
      <c r="D415" s="646" t="e">
        <v>#N/A</v>
      </c>
    </row>
    <row r="416" spans="1:4">
      <c r="A416" s="483">
        <f t="shared" si="3"/>
        <v>2027.11</v>
      </c>
      <c r="B416" s="643" t="e">
        <v>#N/A</v>
      </c>
      <c r="C416" s="2993" t="e">
        <v>#N/A</v>
      </c>
      <c r="D416" s="646" t="e">
        <v>#N/A</v>
      </c>
    </row>
    <row r="417" spans="1:4">
      <c r="A417" s="483">
        <f t="shared" si="3"/>
        <v>2027.12</v>
      </c>
      <c r="B417" s="643" t="e">
        <v>#N/A</v>
      </c>
      <c r="C417" s="2993" t="e">
        <v>#N/A</v>
      </c>
      <c r="D417" s="646" t="e">
        <v>#N/A</v>
      </c>
    </row>
    <row r="418" spans="1:4">
      <c r="A418" s="483">
        <f t="shared" si="3"/>
        <v>2028.01</v>
      </c>
      <c r="B418" s="643" t="e">
        <v>#N/A</v>
      </c>
      <c r="C418" s="2993" t="e">
        <v>#N/A</v>
      </c>
      <c r="D418" s="646" t="e">
        <v>#N/A</v>
      </c>
    </row>
    <row r="419" spans="1:4">
      <c r="A419" s="483">
        <f t="shared" si="3"/>
        <v>2028.02</v>
      </c>
      <c r="B419" s="643" t="e">
        <v>#N/A</v>
      </c>
      <c r="C419" s="2993" t="e">
        <v>#N/A</v>
      </c>
      <c r="D419" s="646" t="e">
        <v>#N/A</v>
      </c>
    </row>
    <row r="420" spans="1:4">
      <c r="A420" s="483">
        <f t="shared" si="3"/>
        <v>2028.03</v>
      </c>
      <c r="B420" s="643" t="e">
        <v>#N/A</v>
      </c>
      <c r="C420" s="2993" t="e">
        <v>#N/A</v>
      </c>
      <c r="D420" s="646" t="e">
        <v>#N/A</v>
      </c>
    </row>
    <row r="421" spans="1:4">
      <c r="A421" s="483">
        <f t="shared" si="3"/>
        <v>2028.04</v>
      </c>
      <c r="B421" s="643" t="e">
        <v>#N/A</v>
      </c>
      <c r="C421" s="2993" t="e">
        <v>#N/A</v>
      </c>
      <c r="D421" s="646" t="e">
        <v>#N/A</v>
      </c>
    </row>
    <row r="422" spans="1:4">
      <c r="A422" s="483">
        <f t="shared" si="3"/>
        <v>2028.05</v>
      </c>
      <c r="B422" s="643" t="e">
        <v>#N/A</v>
      </c>
      <c r="C422" s="2993" t="e">
        <v>#N/A</v>
      </c>
      <c r="D422" s="646" t="e">
        <v>#N/A</v>
      </c>
    </row>
    <row r="423" spans="1:4">
      <c r="A423" s="483">
        <f t="shared" si="3"/>
        <v>2028.06</v>
      </c>
      <c r="B423" s="643" t="e">
        <v>#N/A</v>
      </c>
      <c r="C423" s="2993" t="e">
        <v>#N/A</v>
      </c>
      <c r="D423" s="646" t="e">
        <v>#N/A</v>
      </c>
    </row>
    <row r="424" spans="1:4">
      <c r="A424" s="483">
        <f t="shared" si="3"/>
        <v>2028.07</v>
      </c>
      <c r="B424" s="643" t="e">
        <v>#N/A</v>
      </c>
      <c r="C424" s="2993" t="e">
        <v>#N/A</v>
      </c>
      <c r="D424" s="646" t="e">
        <v>#N/A</v>
      </c>
    </row>
    <row r="425" spans="1:4">
      <c r="A425" s="483">
        <f t="shared" si="3"/>
        <v>2028.08</v>
      </c>
      <c r="B425" s="643" t="e">
        <v>#N/A</v>
      </c>
      <c r="C425" s="2993" t="e">
        <v>#N/A</v>
      </c>
      <c r="D425" s="646" t="e">
        <v>#N/A</v>
      </c>
    </row>
    <row r="426" spans="1:4">
      <c r="A426" s="483">
        <f t="shared" si="3"/>
        <v>2028.09</v>
      </c>
      <c r="B426" s="643" t="e">
        <v>#N/A</v>
      </c>
      <c r="C426" s="2993" t="e">
        <v>#N/A</v>
      </c>
      <c r="D426" s="646" t="e">
        <v>#N/A</v>
      </c>
    </row>
    <row r="427" spans="1:4">
      <c r="A427" s="483">
        <f t="shared" si="3"/>
        <v>2028.1</v>
      </c>
      <c r="B427" s="643" t="e">
        <v>#N/A</v>
      </c>
      <c r="C427" s="2993" t="e">
        <v>#N/A</v>
      </c>
      <c r="D427" s="646" t="e">
        <v>#N/A</v>
      </c>
    </row>
    <row r="428" spans="1:4">
      <c r="A428" s="483">
        <f t="shared" si="3"/>
        <v>2028.11</v>
      </c>
      <c r="B428" s="643" t="e">
        <v>#N/A</v>
      </c>
      <c r="C428" s="2993" t="e">
        <v>#N/A</v>
      </c>
      <c r="D428" s="646" t="e">
        <v>#N/A</v>
      </c>
    </row>
    <row r="429" spans="1:4">
      <c r="A429" s="483">
        <f t="shared" si="3"/>
        <v>2028.12</v>
      </c>
      <c r="B429" s="643" t="e">
        <v>#N/A</v>
      </c>
      <c r="C429" s="2993" t="e">
        <v>#N/A</v>
      </c>
      <c r="D429" s="646" t="e">
        <v>#N/A</v>
      </c>
    </row>
    <row r="430" spans="1:4">
      <c r="A430" s="483">
        <f t="shared" si="3"/>
        <v>2029.01</v>
      </c>
      <c r="B430" s="643" t="e">
        <v>#N/A</v>
      </c>
      <c r="C430" s="2993" t="e">
        <v>#N/A</v>
      </c>
      <c r="D430" s="646" t="e">
        <v>#N/A</v>
      </c>
    </row>
    <row r="431" spans="1:4">
      <c r="A431" s="483">
        <f t="shared" si="3"/>
        <v>2029.02</v>
      </c>
      <c r="B431" s="643" t="e">
        <v>#N/A</v>
      </c>
      <c r="C431" s="2993" t="e">
        <v>#N/A</v>
      </c>
      <c r="D431" s="646" t="e">
        <v>#N/A</v>
      </c>
    </row>
    <row r="432" spans="1:4">
      <c r="A432" s="483">
        <f t="shared" si="3"/>
        <v>2029.03</v>
      </c>
      <c r="B432" s="643" t="e">
        <v>#N/A</v>
      </c>
      <c r="C432" s="2993" t="e">
        <v>#N/A</v>
      </c>
      <c r="D432" s="646" t="e">
        <v>#N/A</v>
      </c>
    </row>
    <row r="433" spans="1:4">
      <c r="A433" s="483">
        <f t="shared" si="3"/>
        <v>2029.04</v>
      </c>
      <c r="B433" s="643" t="e">
        <v>#N/A</v>
      </c>
      <c r="C433" s="2993" t="e">
        <v>#N/A</v>
      </c>
      <c r="D433" s="646" t="e">
        <v>#N/A</v>
      </c>
    </row>
    <row r="434" spans="1:4">
      <c r="A434" s="483">
        <f t="shared" si="3"/>
        <v>2029.05</v>
      </c>
      <c r="B434" s="643" t="e">
        <v>#N/A</v>
      </c>
      <c r="C434" s="2993" t="e">
        <v>#N/A</v>
      </c>
      <c r="D434" s="646" t="e">
        <v>#N/A</v>
      </c>
    </row>
    <row r="435" spans="1:4">
      <c r="A435" s="483">
        <f t="shared" ref="A435:A453" si="4">A423+1</f>
        <v>2029.06</v>
      </c>
      <c r="B435" s="643" t="e">
        <v>#N/A</v>
      </c>
      <c r="C435" s="2993" t="e">
        <v>#N/A</v>
      </c>
      <c r="D435" s="646" t="e">
        <v>#N/A</v>
      </c>
    </row>
    <row r="436" spans="1:4">
      <c r="A436" s="483">
        <f t="shared" si="4"/>
        <v>2029.07</v>
      </c>
      <c r="B436" s="643" t="e">
        <v>#N/A</v>
      </c>
      <c r="C436" s="2993" t="e">
        <v>#N/A</v>
      </c>
      <c r="D436" s="646" t="e">
        <v>#N/A</v>
      </c>
    </row>
    <row r="437" spans="1:4">
      <c r="A437" s="483">
        <f t="shared" si="4"/>
        <v>2029.08</v>
      </c>
      <c r="B437" s="643" t="e">
        <v>#N/A</v>
      </c>
      <c r="C437" s="2993" t="e">
        <v>#N/A</v>
      </c>
      <c r="D437" s="646" t="e">
        <v>#N/A</v>
      </c>
    </row>
    <row r="438" spans="1:4">
      <c r="A438" s="483">
        <f t="shared" si="4"/>
        <v>2029.09</v>
      </c>
      <c r="B438" s="643" t="e">
        <v>#N/A</v>
      </c>
      <c r="C438" s="2993" t="e">
        <v>#N/A</v>
      </c>
      <c r="D438" s="646" t="e">
        <v>#N/A</v>
      </c>
    </row>
    <row r="439" spans="1:4">
      <c r="A439" s="483">
        <f t="shared" si="4"/>
        <v>2029.1</v>
      </c>
      <c r="B439" s="643" t="e">
        <v>#N/A</v>
      </c>
      <c r="C439" s="2993" t="e">
        <v>#N/A</v>
      </c>
      <c r="D439" s="646" t="e">
        <v>#N/A</v>
      </c>
    </row>
    <row r="440" spans="1:4">
      <c r="A440" s="483">
        <f t="shared" si="4"/>
        <v>2029.11</v>
      </c>
      <c r="B440" s="643" t="e">
        <v>#N/A</v>
      </c>
      <c r="C440" s="2993" t="e">
        <v>#N/A</v>
      </c>
      <c r="D440" s="646" t="e">
        <v>#N/A</v>
      </c>
    </row>
    <row r="441" spans="1:4">
      <c r="A441" s="483">
        <f t="shared" si="4"/>
        <v>2029.12</v>
      </c>
      <c r="B441" s="643" t="e">
        <v>#N/A</v>
      </c>
      <c r="C441" s="2993" t="e">
        <v>#N/A</v>
      </c>
      <c r="D441" s="646" t="e">
        <v>#N/A</v>
      </c>
    </row>
    <row r="442" spans="1:4">
      <c r="A442" s="483">
        <f t="shared" si="4"/>
        <v>2030.01</v>
      </c>
      <c r="B442" s="643" t="e">
        <v>#N/A</v>
      </c>
      <c r="C442" s="2993" t="e">
        <v>#N/A</v>
      </c>
      <c r="D442" s="646" t="e">
        <v>#N/A</v>
      </c>
    </row>
    <row r="443" spans="1:4">
      <c r="A443" s="483">
        <f t="shared" si="4"/>
        <v>2030.02</v>
      </c>
      <c r="B443" s="643" t="e">
        <v>#N/A</v>
      </c>
      <c r="C443" s="2993" t="e">
        <v>#N/A</v>
      </c>
      <c r="D443" s="646" t="e">
        <v>#N/A</v>
      </c>
    </row>
    <row r="444" spans="1:4">
      <c r="A444" s="483">
        <f t="shared" si="4"/>
        <v>2030.03</v>
      </c>
      <c r="B444" s="643" t="e">
        <v>#N/A</v>
      </c>
      <c r="C444" s="2993" t="e">
        <v>#N/A</v>
      </c>
      <c r="D444" s="646" t="e">
        <v>#N/A</v>
      </c>
    </row>
    <row r="445" spans="1:4">
      <c r="A445" s="483">
        <f t="shared" si="4"/>
        <v>2030.04</v>
      </c>
      <c r="B445" s="643" t="e">
        <v>#N/A</v>
      </c>
      <c r="C445" s="2993" t="e">
        <v>#N/A</v>
      </c>
      <c r="D445" s="646" t="e">
        <v>#N/A</v>
      </c>
    </row>
    <row r="446" spans="1:4">
      <c r="A446" s="483">
        <f t="shared" si="4"/>
        <v>2030.05</v>
      </c>
      <c r="B446" s="643" t="e">
        <v>#N/A</v>
      </c>
      <c r="C446" s="2993" t="e">
        <v>#N/A</v>
      </c>
      <c r="D446" s="646" t="e">
        <v>#N/A</v>
      </c>
    </row>
    <row r="447" spans="1:4">
      <c r="A447" s="483">
        <f t="shared" si="4"/>
        <v>2030.06</v>
      </c>
      <c r="B447" s="643" t="e">
        <v>#N/A</v>
      </c>
      <c r="C447" s="2993" t="e">
        <v>#N/A</v>
      </c>
      <c r="D447" s="646" t="e">
        <v>#N/A</v>
      </c>
    </row>
    <row r="448" spans="1:4">
      <c r="A448" s="483">
        <f t="shared" si="4"/>
        <v>2030.07</v>
      </c>
      <c r="B448" s="643" t="e">
        <v>#N/A</v>
      </c>
      <c r="C448" s="2993" t="e">
        <v>#N/A</v>
      </c>
      <c r="D448" s="646" t="e">
        <v>#N/A</v>
      </c>
    </row>
    <row r="449" spans="1:4">
      <c r="A449" s="483">
        <f t="shared" si="4"/>
        <v>2030.08</v>
      </c>
      <c r="B449" s="643" t="e">
        <v>#N/A</v>
      </c>
      <c r="C449" s="2993" t="e">
        <v>#N/A</v>
      </c>
      <c r="D449" s="646" t="e">
        <v>#N/A</v>
      </c>
    </row>
    <row r="450" spans="1:4">
      <c r="A450" s="483">
        <f t="shared" si="4"/>
        <v>2030.09</v>
      </c>
      <c r="B450" s="643" t="e">
        <v>#N/A</v>
      </c>
      <c r="C450" s="2993" t="e">
        <v>#N/A</v>
      </c>
      <c r="D450" s="646" t="e">
        <v>#N/A</v>
      </c>
    </row>
    <row r="451" spans="1:4">
      <c r="A451" s="483">
        <f t="shared" si="4"/>
        <v>2030.1</v>
      </c>
      <c r="B451" s="643" t="e">
        <v>#N/A</v>
      </c>
      <c r="C451" s="2993" t="e">
        <v>#N/A</v>
      </c>
      <c r="D451" s="646" t="e">
        <v>#N/A</v>
      </c>
    </row>
    <row r="452" spans="1:4">
      <c r="A452" s="483">
        <f t="shared" si="4"/>
        <v>2030.11</v>
      </c>
      <c r="B452" s="643" t="e">
        <v>#N/A</v>
      </c>
      <c r="C452" s="2993" t="e">
        <v>#N/A</v>
      </c>
      <c r="D452" s="646" t="e">
        <v>#N/A</v>
      </c>
    </row>
    <row r="453" spans="1:4">
      <c r="A453" s="483">
        <f t="shared" si="4"/>
        <v>2030.12</v>
      </c>
      <c r="B453" s="643" t="e">
        <v>#N/A</v>
      </c>
      <c r="C453" s="2993" t="e">
        <v>#N/A</v>
      </c>
      <c r="D453" s="646" t="e">
        <v>#N/A</v>
      </c>
    </row>
    <row r="454" spans="1:4">
      <c r="A454" s="1797"/>
      <c r="B454" s="1798"/>
      <c r="C454" s="1798"/>
      <c r="D454" s="1799"/>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dimension ref="A1:P431"/>
  <sheetViews>
    <sheetView zoomScale="130" zoomScaleNormal="130" workbookViewId="0">
      <pane xSplit="1" ySplit="9" topLeftCell="B319" activePane="bottomRight" state="frozen"/>
      <selection pane="topRight" activeCell="C1" sqref="C1"/>
      <selection pane="bottomLeft" activeCell="A10" sqref="A10"/>
      <selection pane="bottomRight" activeCell="Q179" sqref="Q179"/>
    </sheetView>
  </sheetViews>
  <sheetFormatPr baseColWidth="10" defaultColWidth="11.42578125" defaultRowHeight="12.75"/>
  <cols>
    <col min="1" max="1" width="9.7109375" style="461" bestFit="1" customWidth="1"/>
    <col min="2" max="3" width="15.5703125" style="1770" customWidth="1"/>
    <col min="4" max="4" width="15.5703125" style="1769" customWidth="1"/>
    <col min="5" max="16" width="15.5703125" style="265" customWidth="1"/>
    <col min="17" max="16384" width="11.42578125" style="265"/>
  </cols>
  <sheetData>
    <row r="1" spans="1:16" s="1765" customFormat="1" ht="3" customHeight="1">
      <c r="A1" s="34"/>
      <c r="B1" s="2995"/>
      <c r="C1" s="2996"/>
      <c r="D1" s="2997"/>
      <c r="E1" s="1214"/>
      <c r="F1" s="82"/>
      <c r="G1" s="82"/>
      <c r="H1" s="82"/>
      <c r="I1" s="82"/>
      <c r="J1" s="82"/>
      <c r="K1" s="82"/>
      <c r="L1" s="82"/>
      <c r="M1" s="82"/>
      <c r="N1" s="82"/>
      <c r="O1" s="82"/>
      <c r="P1" s="83"/>
    </row>
    <row r="2" spans="1:16" s="1765" customFormat="1" ht="22.5">
      <c r="A2" s="1059" t="s">
        <v>105</v>
      </c>
      <c r="B2" s="1675" t="s">
        <v>145</v>
      </c>
      <c r="C2" s="1676"/>
      <c r="D2" s="382"/>
      <c r="E2" s="2379" t="s">
        <v>146</v>
      </c>
      <c r="F2" s="382"/>
      <c r="G2" s="382"/>
      <c r="H2" s="382"/>
      <c r="I2" s="382"/>
      <c r="J2" s="382"/>
      <c r="K2" s="382"/>
      <c r="L2" s="382"/>
      <c r="M2" s="382"/>
      <c r="N2" s="382"/>
      <c r="O2" s="382"/>
      <c r="P2" s="378"/>
    </row>
    <row r="3" spans="1:16" s="1765" customFormat="1">
      <c r="A3" s="59" t="s">
        <v>109</v>
      </c>
      <c r="B3" s="1800" t="s">
        <v>147</v>
      </c>
      <c r="C3" s="1678"/>
      <c r="D3" s="2380"/>
      <c r="E3" s="1801" t="s">
        <v>147</v>
      </c>
      <c r="F3" s="1538"/>
      <c r="G3" s="1538"/>
      <c r="H3" s="1538"/>
      <c r="I3" s="1538"/>
      <c r="J3" s="1538"/>
      <c r="K3" s="1538"/>
      <c r="L3" s="1538"/>
      <c r="M3" s="1538"/>
      <c r="N3" s="1538"/>
      <c r="O3" s="1538"/>
      <c r="P3" s="1541"/>
    </row>
    <row r="4" spans="1:16" s="1765" customFormat="1" ht="33.75">
      <c r="A4" s="1060"/>
      <c r="B4" s="1231"/>
      <c r="C4" s="1223"/>
      <c r="D4" s="1218"/>
      <c r="E4" s="1547" t="s">
        <v>102</v>
      </c>
      <c r="F4" s="1548" t="s">
        <v>103</v>
      </c>
      <c r="G4" s="1548" t="s">
        <v>148</v>
      </c>
      <c r="H4" s="1548" t="s">
        <v>149</v>
      </c>
      <c r="I4" s="1548" t="s">
        <v>150</v>
      </c>
      <c r="J4" s="2544" t="s">
        <v>151</v>
      </c>
      <c r="K4" s="2545" t="s">
        <v>102</v>
      </c>
      <c r="L4" s="1548" t="s">
        <v>103</v>
      </c>
      <c r="M4" s="1548" t="s">
        <v>148</v>
      </c>
      <c r="N4" s="1548" t="s">
        <v>149</v>
      </c>
      <c r="O4" s="1548" t="s">
        <v>150</v>
      </c>
      <c r="P4" s="1549" t="s">
        <v>151</v>
      </c>
    </row>
    <row r="5" spans="1:16" s="1765" customFormat="1" ht="22.5">
      <c r="A5" s="2375" t="s">
        <v>137</v>
      </c>
      <c r="B5" s="1688" t="s">
        <v>138</v>
      </c>
      <c r="C5" s="1683" t="s">
        <v>139</v>
      </c>
      <c r="D5" s="1684" t="s">
        <v>140</v>
      </c>
      <c r="E5" s="2998" t="s">
        <v>152</v>
      </c>
      <c r="F5" s="2999"/>
      <c r="G5" s="2999"/>
      <c r="H5" s="2999"/>
      <c r="I5" s="2999"/>
      <c r="J5" s="3000"/>
      <c r="K5" s="2999" t="s">
        <v>153</v>
      </c>
      <c r="L5" s="2999"/>
      <c r="M5" s="2999"/>
      <c r="N5" s="2999"/>
      <c r="O5" s="2999"/>
      <c r="P5" s="3001"/>
    </row>
    <row r="6" spans="1:16" s="1765" customFormat="1" ht="3" hidden="1" customHeight="1">
      <c r="A6" s="2376"/>
      <c r="B6" s="1226"/>
      <c r="C6" s="1224"/>
      <c r="D6" s="168"/>
      <c r="E6" s="2381"/>
      <c r="F6" s="70"/>
      <c r="G6" s="358"/>
      <c r="H6" s="358"/>
      <c r="I6" s="358"/>
      <c r="J6" s="362"/>
      <c r="K6" s="358"/>
      <c r="L6" s="70"/>
      <c r="M6" s="358"/>
      <c r="N6" s="358"/>
      <c r="O6" s="358"/>
      <c r="P6" s="360"/>
    </row>
    <row r="7" spans="1:16" s="1765" customFormat="1" ht="22.5">
      <c r="A7" s="2377" t="s">
        <v>123</v>
      </c>
      <c r="B7" s="1688" t="s">
        <v>154</v>
      </c>
      <c r="C7" s="1689" t="s">
        <v>124</v>
      </c>
      <c r="D7" s="1690" t="s">
        <v>124</v>
      </c>
      <c r="E7" s="2382" t="s">
        <v>124</v>
      </c>
      <c r="F7" s="1208"/>
      <c r="G7" s="1208"/>
      <c r="H7" s="1208"/>
      <c r="I7" s="1208"/>
      <c r="J7" s="1209"/>
      <c r="K7" s="2382" t="s">
        <v>124</v>
      </c>
      <c r="L7" s="1208"/>
      <c r="M7" s="1208"/>
      <c r="N7" s="1208"/>
      <c r="O7" s="1208"/>
      <c r="P7" s="1210"/>
    </row>
    <row r="8" spans="1:16" s="1765" customFormat="1" ht="13.5" thickBot="1">
      <c r="A8" s="1061" t="s">
        <v>141</v>
      </c>
      <c r="B8" s="2383" t="s">
        <v>155</v>
      </c>
      <c r="C8" s="1225" t="s">
        <v>156</v>
      </c>
      <c r="D8" s="1212" t="s">
        <v>157</v>
      </c>
      <c r="E8" s="2384" t="s">
        <v>158</v>
      </c>
      <c r="F8" s="649" t="s">
        <v>159</v>
      </c>
      <c r="G8" s="649" t="s">
        <v>160</v>
      </c>
      <c r="H8" s="649" t="s">
        <v>161</v>
      </c>
      <c r="I8" s="649" t="s">
        <v>162</v>
      </c>
      <c r="J8" s="1217" t="s">
        <v>163</v>
      </c>
      <c r="K8" s="1203" t="s">
        <v>164</v>
      </c>
      <c r="L8" s="649" t="s">
        <v>165</v>
      </c>
      <c r="M8" s="649" t="s">
        <v>166</v>
      </c>
      <c r="N8" s="649" t="s">
        <v>167</v>
      </c>
      <c r="O8" s="649" t="s">
        <v>168</v>
      </c>
      <c r="P8" s="1204" t="s">
        <v>169</v>
      </c>
    </row>
    <row r="9" spans="1:16" s="1766" customFormat="1" ht="1.5" hidden="1" customHeight="1" thickBot="1">
      <c r="A9" s="1781"/>
      <c r="B9" s="1802"/>
      <c r="C9" s="1803"/>
      <c r="D9" s="1804"/>
      <c r="E9" s="1805"/>
      <c r="F9" s="1806"/>
      <c r="G9" s="1806"/>
      <c r="H9" s="1806"/>
      <c r="I9" s="1806"/>
      <c r="J9" s="1807"/>
      <c r="K9" s="1805"/>
      <c r="L9" s="1806"/>
      <c r="M9" s="1806"/>
      <c r="N9" s="1806"/>
      <c r="O9" s="1806"/>
      <c r="P9" s="1808"/>
    </row>
    <row r="10" spans="1:16" s="1766" customFormat="1">
      <c r="A10" s="2676">
        <v>1998.01</v>
      </c>
      <c r="B10" s="1227"/>
      <c r="C10" s="2719"/>
      <c r="D10" s="2721"/>
      <c r="E10" s="2722"/>
      <c r="F10" s="2723"/>
      <c r="G10" s="2723"/>
      <c r="H10" s="2723"/>
      <c r="I10" s="2723"/>
      <c r="J10" s="2727"/>
      <c r="K10" s="2724"/>
      <c r="L10" s="2723"/>
      <c r="M10" s="2723"/>
      <c r="N10" s="2723"/>
      <c r="O10" s="2723"/>
      <c r="P10" s="2725"/>
    </row>
    <row r="11" spans="1:16" s="1766" customFormat="1">
      <c r="A11" s="483">
        <v>1998.02</v>
      </c>
      <c r="B11" s="1228"/>
      <c r="C11" s="3002"/>
      <c r="D11" s="1809"/>
      <c r="E11" s="1215"/>
      <c r="F11" s="3003"/>
      <c r="G11" s="3003"/>
      <c r="H11" s="3003"/>
      <c r="I11" s="3003"/>
      <c r="J11" s="1810"/>
      <c r="K11" s="1211"/>
      <c r="L11" s="3003"/>
      <c r="M11" s="3003"/>
      <c r="N11" s="3003"/>
      <c r="O11" s="3003"/>
      <c r="P11" s="3004"/>
    </row>
    <row r="12" spans="1:16" s="1766" customFormat="1">
      <c r="A12" s="483">
        <v>1998.03</v>
      </c>
      <c r="B12" s="1228"/>
      <c r="C12" s="3002"/>
      <c r="D12" s="1809"/>
      <c r="E12" s="1215"/>
      <c r="F12" s="3003"/>
      <c r="G12" s="3003"/>
      <c r="H12" s="3003"/>
      <c r="I12" s="3003"/>
      <c r="J12" s="1810"/>
      <c r="K12" s="1211"/>
      <c r="L12" s="3003"/>
      <c r="M12" s="3003"/>
      <c r="N12" s="3003"/>
      <c r="O12" s="3003"/>
      <c r="P12" s="3004"/>
    </row>
    <row r="13" spans="1:16" s="1766" customFormat="1">
      <c r="A13" s="483">
        <v>1998.04</v>
      </c>
      <c r="B13" s="1228"/>
      <c r="C13" s="3002"/>
      <c r="D13" s="1809"/>
      <c r="E13" s="1215"/>
      <c r="F13" s="3003"/>
      <c r="G13" s="3003"/>
      <c r="H13" s="3003"/>
      <c r="I13" s="3003"/>
      <c r="J13" s="1810"/>
      <c r="K13" s="1211"/>
      <c r="L13" s="3003"/>
      <c r="M13" s="3003"/>
      <c r="N13" s="3003"/>
      <c r="O13" s="3003"/>
      <c r="P13" s="3004"/>
    </row>
    <row r="14" spans="1:16" s="1766" customFormat="1">
      <c r="A14" s="483">
        <v>1998.05</v>
      </c>
      <c r="B14" s="1228"/>
      <c r="C14" s="3002"/>
      <c r="D14" s="1809"/>
      <c r="E14" s="1215"/>
      <c r="F14" s="3003"/>
      <c r="G14" s="3003"/>
      <c r="H14" s="3003"/>
      <c r="I14" s="3003"/>
      <c r="J14" s="1810"/>
      <c r="K14" s="1211"/>
      <c r="L14" s="3003"/>
      <c r="M14" s="3003"/>
      <c r="N14" s="3003"/>
      <c r="O14" s="3003"/>
      <c r="P14" s="3004"/>
    </row>
    <row r="15" spans="1:16">
      <c r="A15" s="483">
        <v>1998.06</v>
      </c>
      <c r="B15" s="1229">
        <v>88.1</v>
      </c>
      <c r="C15" s="3002"/>
      <c r="D15" s="1809"/>
      <c r="E15" s="1215"/>
      <c r="F15" s="3003"/>
      <c r="G15" s="3003"/>
      <c r="H15" s="3003"/>
      <c r="I15" s="3003"/>
      <c r="J15" s="1810"/>
      <c r="K15" s="1211"/>
      <c r="L15" s="3003"/>
      <c r="M15" s="3003"/>
      <c r="N15" s="3003"/>
      <c r="O15" s="3003"/>
      <c r="P15" s="3004"/>
    </row>
    <row r="16" spans="1:16">
      <c r="A16" s="483">
        <v>1998.07</v>
      </c>
      <c r="B16" s="1230">
        <v>88.9</v>
      </c>
      <c r="C16" s="1275">
        <v>9.148020205226759E-3</v>
      </c>
      <c r="D16" s="1809"/>
      <c r="E16" s="1215"/>
      <c r="F16" s="3003"/>
      <c r="G16" s="3003"/>
      <c r="H16" s="3003"/>
      <c r="I16" s="3003"/>
      <c r="J16" s="1810"/>
      <c r="K16" s="1211"/>
      <c r="L16" s="3003"/>
      <c r="M16" s="3003"/>
      <c r="N16" s="3003"/>
      <c r="O16" s="3003"/>
      <c r="P16" s="3004"/>
    </row>
    <row r="17" spans="1:16">
      <c r="A17" s="483">
        <v>1998.08</v>
      </c>
      <c r="B17" s="1230">
        <v>91</v>
      </c>
      <c r="C17" s="3005">
        <v>2.3109234011141622E-2</v>
      </c>
      <c r="D17" s="1809"/>
      <c r="E17" s="1215"/>
      <c r="F17" s="3003"/>
      <c r="G17" s="3003"/>
      <c r="H17" s="3003"/>
      <c r="I17" s="3003"/>
      <c r="J17" s="1810"/>
      <c r="K17" s="1211"/>
      <c r="L17" s="3003"/>
      <c r="M17" s="3003"/>
      <c r="N17" s="3003"/>
      <c r="O17" s="3003"/>
      <c r="P17" s="3004"/>
    </row>
    <row r="18" spans="1:16">
      <c r="A18" s="483">
        <v>1998.09</v>
      </c>
      <c r="B18" s="1230">
        <v>90.3</v>
      </c>
      <c r="C18" s="3005">
        <v>-7.7766597507286095E-3</v>
      </c>
      <c r="D18" s="1809"/>
      <c r="E18" s="1215"/>
      <c r="F18" s="3003"/>
      <c r="G18" s="3003"/>
      <c r="H18" s="3003"/>
      <c r="I18" s="3003"/>
      <c r="J18" s="1810"/>
      <c r="K18" s="1211"/>
      <c r="L18" s="3003"/>
      <c r="M18" s="3003"/>
      <c r="N18" s="3003"/>
      <c r="O18" s="3003"/>
      <c r="P18" s="3004"/>
    </row>
    <row r="19" spans="1:16">
      <c r="A19" s="483">
        <v>1998.1</v>
      </c>
      <c r="B19" s="1230">
        <v>90</v>
      </c>
      <c r="C19" s="3005">
        <v>-2.5499766286601888E-3</v>
      </c>
      <c r="D19" s="1809"/>
      <c r="E19" s="1215"/>
      <c r="F19" s="3003"/>
      <c r="G19" s="3003"/>
      <c r="H19" s="3003"/>
      <c r="I19" s="3003"/>
      <c r="J19" s="1810"/>
      <c r="K19" s="1211"/>
      <c r="L19" s="3003"/>
      <c r="M19" s="3003"/>
      <c r="N19" s="3003"/>
      <c r="O19" s="3003"/>
      <c r="P19" s="3004"/>
    </row>
    <row r="20" spans="1:16">
      <c r="A20" s="483">
        <v>1998.11</v>
      </c>
      <c r="B20" s="1230">
        <v>90.4</v>
      </c>
      <c r="C20" s="3005">
        <v>4.4377251948268803E-3</v>
      </c>
      <c r="D20" s="1809"/>
      <c r="E20" s="1215"/>
      <c r="F20" s="3003"/>
      <c r="G20" s="3003"/>
      <c r="H20" s="3003"/>
      <c r="I20" s="3003"/>
      <c r="J20" s="1810"/>
      <c r="K20" s="1211"/>
      <c r="L20" s="3003"/>
      <c r="M20" s="3003"/>
      <c r="N20" s="3003"/>
      <c r="O20" s="3003"/>
      <c r="P20" s="3004"/>
    </row>
    <row r="21" spans="1:16">
      <c r="A21" s="483">
        <v>1998.12</v>
      </c>
      <c r="B21" s="1230">
        <v>88.6</v>
      </c>
      <c r="C21" s="3005">
        <v>-2.0319755003328499E-2</v>
      </c>
      <c r="D21" s="1809"/>
      <c r="E21" s="1215"/>
      <c r="F21" s="3003"/>
      <c r="G21" s="3003"/>
      <c r="H21" s="3003"/>
      <c r="I21" s="3003"/>
      <c r="J21" s="1810"/>
      <c r="K21" s="1211"/>
      <c r="L21" s="3003"/>
      <c r="M21" s="3003"/>
      <c r="N21" s="3003"/>
      <c r="O21" s="3003"/>
      <c r="P21" s="3004"/>
    </row>
    <row r="22" spans="1:16">
      <c r="A22" s="483">
        <v>1999.01</v>
      </c>
      <c r="B22" s="1230">
        <v>88</v>
      </c>
      <c r="C22" s="3005">
        <v>-6.4530050919332504E-3</v>
      </c>
      <c r="D22" s="1809"/>
      <c r="E22" s="1215"/>
      <c r="F22" s="3003"/>
      <c r="G22" s="3003"/>
      <c r="H22" s="3003"/>
      <c r="I22" s="3003"/>
      <c r="J22" s="1810"/>
      <c r="K22" s="1211"/>
      <c r="L22" s="3003"/>
      <c r="M22" s="3003"/>
      <c r="N22" s="3003"/>
      <c r="O22" s="3003"/>
      <c r="P22" s="3004"/>
    </row>
    <row r="23" spans="1:16">
      <c r="A23" s="483">
        <v>1999.02</v>
      </c>
      <c r="B23" s="1230">
        <v>91</v>
      </c>
      <c r="C23" s="3005">
        <v>3.4140515214835299E-2</v>
      </c>
      <c r="D23" s="1809"/>
      <c r="E23" s="1215"/>
      <c r="F23" s="3003"/>
      <c r="G23" s="3003"/>
      <c r="H23" s="3003"/>
      <c r="I23" s="3003"/>
      <c r="J23" s="1810"/>
      <c r="K23" s="1211"/>
      <c r="L23" s="3003"/>
      <c r="M23" s="3003"/>
      <c r="N23" s="3003"/>
      <c r="O23" s="3003"/>
      <c r="P23" s="3004"/>
    </row>
    <row r="24" spans="1:16">
      <c r="A24" s="483">
        <v>1999.03</v>
      </c>
      <c r="B24" s="1230">
        <v>88.6</v>
      </c>
      <c r="C24" s="3005">
        <v>-2.6669458280738745E-2</v>
      </c>
      <c r="D24" s="1809"/>
      <c r="E24" s="1215"/>
      <c r="F24" s="3003"/>
      <c r="G24" s="3003"/>
      <c r="H24" s="3003"/>
      <c r="I24" s="3003"/>
      <c r="J24" s="1810"/>
      <c r="K24" s="1211"/>
      <c r="L24" s="3003"/>
      <c r="M24" s="3003"/>
      <c r="N24" s="3003"/>
      <c r="O24" s="3003"/>
      <c r="P24" s="3004"/>
    </row>
    <row r="25" spans="1:16">
      <c r="A25" s="483">
        <v>1999.04</v>
      </c>
      <c r="B25" s="1230">
        <v>89.6</v>
      </c>
      <c r="C25" s="3005">
        <v>1.1153191184146927E-2</v>
      </c>
      <c r="D25" s="1809"/>
      <c r="E25" s="1215"/>
      <c r="F25" s="3003"/>
      <c r="G25" s="3003"/>
      <c r="H25" s="3003"/>
      <c r="I25" s="3003"/>
      <c r="J25" s="1810"/>
      <c r="K25" s="1211"/>
      <c r="L25" s="3003"/>
      <c r="M25" s="3003"/>
      <c r="N25" s="3003"/>
      <c r="O25" s="3003"/>
      <c r="P25" s="3004"/>
    </row>
    <row r="26" spans="1:16">
      <c r="A26" s="483">
        <v>1999.05</v>
      </c>
      <c r="B26" s="1230">
        <v>91.1</v>
      </c>
      <c r="C26" s="3005">
        <v>1.668755358328089E-2</v>
      </c>
      <c r="D26" s="1809"/>
      <c r="E26" s="1215"/>
      <c r="F26" s="3003"/>
      <c r="G26" s="3003"/>
      <c r="H26" s="3003"/>
      <c r="I26" s="3003"/>
      <c r="J26" s="1810"/>
      <c r="K26" s="1211"/>
      <c r="L26" s="3003"/>
      <c r="M26" s="3003"/>
      <c r="N26" s="3003"/>
      <c r="O26" s="3003"/>
      <c r="P26" s="3004"/>
    </row>
    <row r="27" spans="1:16">
      <c r="A27" s="483">
        <v>1999.06</v>
      </c>
      <c r="B27" s="1230">
        <v>90.7</v>
      </c>
      <c r="C27" s="3005">
        <v>-4.1495504361996893E-3</v>
      </c>
      <c r="D27" s="1009">
        <v>2.9465348321236151E-2</v>
      </c>
      <c r="E27" s="1215"/>
      <c r="F27" s="3003"/>
      <c r="G27" s="3003"/>
      <c r="H27" s="3003"/>
      <c r="I27" s="3003"/>
      <c r="J27" s="1810"/>
      <c r="K27" s="1211"/>
      <c r="L27" s="3003"/>
      <c r="M27" s="3003"/>
      <c r="N27" s="3003"/>
      <c r="O27" s="3003"/>
      <c r="P27" s="3004"/>
    </row>
    <row r="28" spans="1:16">
      <c r="A28" s="483">
        <v>1999.07</v>
      </c>
      <c r="B28" s="1230">
        <v>92.2</v>
      </c>
      <c r="C28" s="3005">
        <v>1.6516448667766248E-2</v>
      </c>
      <c r="D28" s="1276">
        <v>3.6982126456742925E-2</v>
      </c>
      <c r="E28" s="1215"/>
      <c r="F28" s="3003"/>
      <c r="G28" s="3003"/>
      <c r="H28" s="3003"/>
      <c r="I28" s="3003"/>
      <c r="J28" s="1810"/>
      <c r="K28" s="1211"/>
      <c r="L28" s="3003"/>
      <c r="M28" s="3003"/>
      <c r="N28" s="3003"/>
      <c r="O28" s="3003"/>
      <c r="P28" s="3004"/>
    </row>
    <row r="29" spans="1:16">
      <c r="A29" s="483">
        <v>1999.08</v>
      </c>
      <c r="B29" s="1230">
        <v>93.3</v>
      </c>
      <c r="C29" s="3005">
        <v>1.2445579544445584E-2</v>
      </c>
      <c r="D29" s="1276">
        <v>2.6173877721345384E-2</v>
      </c>
      <c r="E29" s="1215"/>
      <c r="F29" s="3003"/>
      <c r="G29" s="3003"/>
      <c r="H29" s="3003"/>
      <c r="I29" s="3003"/>
      <c r="J29" s="1810"/>
      <c r="K29" s="1211"/>
      <c r="L29" s="3003"/>
      <c r="M29" s="3003"/>
      <c r="N29" s="3003"/>
      <c r="O29" s="3003"/>
      <c r="P29" s="3004"/>
    </row>
    <row r="30" spans="1:16">
      <c r="A30" s="483">
        <v>1999.09</v>
      </c>
      <c r="B30" s="1230">
        <v>91.7</v>
      </c>
      <c r="C30" s="3005">
        <v>-1.776989848677224E-2</v>
      </c>
      <c r="D30" s="1276">
        <v>1.5838704047457908E-2</v>
      </c>
      <c r="E30" s="1215"/>
      <c r="F30" s="3003"/>
      <c r="G30" s="3003"/>
      <c r="H30" s="3003"/>
      <c r="I30" s="3003"/>
      <c r="J30" s="1810"/>
      <c r="K30" s="1211"/>
      <c r="L30" s="3003"/>
      <c r="M30" s="3003"/>
      <c r="N30" s="3003"/>
      <c r="O30" s="3003"/>
      <c r="P30" s="3004"/>
    </row>
    <row r="31" spans="1:16">
      <c r="A31" s="483">
        <v>1999.1</v>
      </c>
      <c r="B31" s="1230">
        <v>92.4</v>
      </c>
      <c r="C31" s="3005">
        <v>8.1046393666517336E-3</v>
      </c>
      <c r="D31" s="1276">
        <v>2.6689745253731578E-2</v>
      </c>
      <c r="E31" s="1215"/>
      <c r="F31" s="3003"/>
      <c r="G31" s="3003"/>
      <c r="H31" s="3003"/>
      <c r="I31" s="3003"/>
      <c r="J31" s="1810"/>
      <c r="K31" s="1211"/>
      <c r="L31" s="3003"/>
      <c r="M31" s="3003"/>
      <c r="N31" s="3003"/>
      <c r="O31" s="3003"/>
      <c r="P31" s="3004"/>
    </row>
    <row r="32" spans="1:16">
      <c r="A32" s="483">
        <v>1999.11</v>
      </c>
      <c r="B32" s="1230">
        <v>89.1</v>
      </c>
      <c r="C32" s="3005">
        <v>-3.6451428430759769E-2</v>
      </c>
      <c r="D32" s="1276">
        <v>-1.5105254741267116E-2</v>
      </c>
      <c r="E32" s="1215"/>
      <c r="F32" s="3003"/>
      <c r="G32" s="3003"/>
      <c r="H32" s="3003"/>
      <c r="I32" s="3003"/>
      <c r="J32" s="1810"/>
      <c r="K32" s="1211"/>
      <c r="L32" s="3003"/>
      <c r="M32" s="3003"/>
      <c r="N32" s="3003"/>
      <c r="O32" s="3003"/>
      <c r="P32" s="3004"/>
    </row>
    <row r="33" spans="1:16">
      <c r="A33" s="483">
        <v>1999.12</v>
      </c>
      <c r="B33" s="1230">
        <v>98.3</v>
      </c>
      <c r="C33" s="3005">
        <v>0.10328999798468219</v>
      </c>
      <c r="D33" s="1276">
        <v>0.10916243035534844</v>
      </c>
      <c r="E33" s="1215"/>
      <c r="F33" s="3003"/>
      <c r="G33" s="3003"/>
      <c r="H33" s="3003"/>
      <c r="I33" s="3003"/>
      <c r="J33" s="1810"/>
      <c r="K33" s="1211"/>
      <c r="L33" s="3003"/>
      <c r="M33" s="3003"/>
      <c r="N33" s="3003"/>
      <c r="O33" s="3003"/>
      <c r="P33" s="3004"/>
    </row>
    <row r="34" spans="1:16">
      <c r="A34" s="483">
        <v>2000.01</v>
      </c>
      <c r="B34" s="1230">
        <v>97.3</v>
      </c>
      <c r="C34" s="3005">
        <v>-1.0059200387641964E-2</v>
      </c>
      <c r="D34" s="1276">
        <v>0.10513659528260044</v>
      </c>
      <c r="E34" s="1215"/>
      <c r="F34" s="3003"/>
      <c r="G34" s="3003"/>
      <c r="H34" s="3003"/>
      <c r="I34" s="3003"/>
      <c r="J34" s="1810"/>
      <c r="K34" s="1211"/>
      <c r="L34" s="3003"/>
      <c r="M34" s="3003"/>
      <c r="N34" s="3003"/>
      <c r="O34" s="3003"/>
      <c r="P34" s="3004"/>
    </row>
    <row r="35" spans="1:16">
      <c r="A35" s="483">
        <v>2000.02</v>
      </c>
      <c r="B35" s="1230">
        <v>94.2</v>
      </c>
      <c r="C35" s="3005">
        <v>-3.2046030324987651E-2</v>
      </c>
      <c r="D35" s="1276">
        <v>3.4406194031275872E-2</v>
      </c>
      <c r="E35" s="1215"/>
      <c r="F35" s="3003"/>
      <c r="G35" s="3003"/>
      <c r="H35" s="3003"/>
      <c r="I35" s="3003"/>
      <c r="J35" s="1810"/>
      <c r="K35" s="1211"/>
      <c r="L35" s="3003"/>
      <c r="M35" s="3003"/>
      <c r="N35" s="3003"/>
      <c r="O35" s="3003"/>
      <c r="P35" s="3004"/>
    </row>
    <row r="36" spans="1:16">
      <c r="A36" s="483">
        <v>2000.03</v>
      </c>
      <c r="B36" s="1230">
        <v>92.5</v>
      </c>
      <c r="C36" s="3005">
        <v>-1.7502031793628636E-2</v>
      </c>
      <c r="D36" s="1276">
        <v>4.4148868626529891E-2</v>
      </c>
      <c r="E36" s="1215"/>
      <c r="F36" s="3003"/>
      <c r="G36" s="3003"/>
      <c r="H36" s="3003"/>
      <c r="I36" s="3003"/>
      <c r="J36" s="1810"/>
      <c r="K36" s="1211"/>
      <c r="L36" s="3003"/>
      <c r="M36" s="3003"/>
      <c r="N36" s="3003"/>
      <c r="O36" s="3003"/>
      <c r="P36" s="3004"/>
    </row>
    <row r="37" spans="1:16">
      <c r="A37" s="483">
        <v>2000.04</v>
      </c>
      <c r="B37" s="1230">
        <v>93.2</v>
      </c>
      <c r="C37" s="3005">
        <v>7.6708536982326159E-3</v>
      </c>
      <c r="D37" s="1276">
        <v>4.0552896445662956E-2</v>
      </c>
      <c r="E37" s="1215"/>
      <c r="F37" s="3003"/>
      <c r="G37" s="3003"/>
      <c r="H37" s="3003"/>
      <c r="I37" s="3003"/>
      <c r="J37" s="1810"/>
      <c r="K37" s="1211"/>
      <c r="L37" s="3003"/>
      <c r="M37" s="3003"/>
      <c r="N37" s="3003"/>
      <c r="O37" s="3003"/>
      <c r="P37" s="3004"/>
    </row>
    <row r="38" spans="1:16">
      <c r="A38" s="483">
        <v>2000.05</v>
      </c>
      <c r="B38" s="1230">
        <v>90.7</v>
      </c>
      <c r="C38" s="3005">
        <v>-2.7403991884792145E-2</v>
      </c>
      <c r="D38" s="1276">
        <v>-4.5736374475356945E-3</v>
      </c>
      <c r="E38" s="1215"/>
      <c r="F38" s="3003"/>
      <c r="G38" s="3003"/>
      <c r="H38" s="3003"/>
      <c r="I38" s="3003"/>
      <c r="J38" s="1810"/>
      <c r="K38" s="1211"/>
      <c r="L38" s="3003"/>
      <c r="M38" s="3003"/>
      <c r="N38" s="3003"/>
      <c r="O38" s="3003"/>
      <c r="P38" s="3004"/>
    </row>
    <row r="39" spans="1:16">
      <c r="A39" s="483">
        <v>2000.06</v>
      </c>
      <c r="B39" s="1230">
        <v>91.5</v>
      </c>
      <c r="C39" s="3005">
        <v>9.2835707067366879E-3</v>
      </c>
      <c r="D39" s="1276">
        <v>8.8537631454919108E-3</v>
      </c>
      <c r="E39" s="1215"/>
      <c r="F39" s="3003"/>
      <c r="G39" s="3003"/>
      <c r="H39" s="3003"/>
      <c r="I39" s="3003"/>
      <c r="J39" s="1810"/>
      <c r="K39" s="1211"/>
      <c r="L39" s="3003"/>
      <c r="M39" s="3003"/>
      <c r="N39" s="3003"/>
      <c r="O39" s="3003"/>
      <c r="P39" s="3004"/>
    </row>
    <row r="40" spans="1:16">
      <c r="A40" s="483">
        <v>2000.07</v>
      </c>
      <c r="B40" s="1230">
        <v>91.5</v>
      </c>
      <c r="C40" s="3005">
        <v>1.4504976134044334E-4</v>
      </c>
      <c r="D40" s="1276">
        <v>-7.3942251840130035E-3</v>
      </c>
      <c r="E40" s="1215"/>
      <c r="F40" s="3003"/>
      <c r="G40" s="3003"/>
      <c r="H40" s="3003"/>
      <c r="I40" s="3003"/>
      <c r="J40" s="1810"/>
      <c r="K40" s="1211"/>
      <c r="L40" s="3003"/>
      <c r="M40" s="3003"/>
      <c r="N40" s="3003"/>
      <c r="O40" s="3003"/>
      <c r="P40" s="3004"/>
    </row>
    <row r="41" spans="1:16">
      <c r="A41" s="483">
        <v>2000.08</v>
      </c>
      <c r="B41" s="1230">
        <v>89.2</v>
      </c>
      <c r="C41" s="3005">
        <v>-2.4846169253206707E-2</v>
      </c>
      <c r="D41" s="1276">
        <v>-4.3955207776472216E-2</v>
      </c>
      <c r="E41" s="1215"/>
      <c r="F41" s="3003"/>
      <c r="G41" s="3003"/>
      <c r="H41" s="3003"/>
      <c r="I41" s="3003"/>
      <c r="J41" s="1810"/>
      <c r="K41" s="1211"/>
      <c r="L41" s="3003"/>
      <c r="M41" s="3003"/>
      <c r="N41" s="3003"/>
      <c r="O41" s="3003"/>
      <c r="P41" s="3004"/>
    </row>
    <row r="42" spans="1:16">
      <c r="A42" s="483">
        <v>2000.09</v>
      </c>
      <c r="B42" s="1230">
        <v>88.3</v>
      </c>
      <c r="C42" s="3005">
        <v>-1.053583467226582E-2</v>
      </c>
      <c r="D42" s="1276">
        <v>-3.6913997141798549E-2</v>
      </c>
      <c r="E42" s="1215"/>
      <c r="F42" s="3003"/>
      <c r="G42" s="3003"/>
      <c r="H42" s="3003"/>
      <c r="I42" s="3003"/>
      <c r="J42" s="1810"/>
      <c r="K42" s="1211"/>
      <c r="L42" s="3003"/>
      <c r="M42" s="3003"/>
      <c r="N42" s="3003"/>
      <c r="O42" s="3003"/>
      <c r="P42" s="3004"/>
    </row>
    <row r="43" spans="1:16">
      <c r="A43" s="483">
        <v>2000.1</v>
      </c>
      <c r="B43" s="1230">
        <v>88.6</v>
      </c>
      <c r="C43" s="3005">
        <v>3.7864244427865401E-3</v>
      </c>
      <c r="D43" s="1276">
        <v>-4.1039374794182744E-2</v>
      </c>
      <c r="E43" s="1215"/>
      <c r="F43" s="3003"/>
      <c r="G43" s="3003"/>
      <c r="H43" s="3003"/>
      <c r="I43" s="3003"/>
      <c r="J43" s="1810"/>
      <c r="K43" s="1211"/>
      <c r="L43" s="3003"/>
      <c r="M43" s="3003"/>
      <c r="N43" s="3003"/>
      <c r="O43" s="3003"/>
      <c r="P43" s="3004"/>
    </row>
    <row r="44" spans="1:16">
      <c r="A44" s="483">
        <v>2000.11</v>
      </c>
      <c r="B44" s="1230">
        <v>86.2</v>
      </c>
      <c r="C44" s="3005">
        <v>-2.7985158346615635E-2</v>
      </c>
      <c r="D44" s="1276">
        <v>-3.2613416941503104E-2</v>
      </c>
      <c r="E44" s="1215"/>
      <c r="F44" s="3003"/>
      <c r="G44" s="3003"/>
      <c r="H44" s="3003"/>
      <c r="I44" s="3003"/>
      <c r="J44" s="1810"/>
      <c r="K44" s="1211"/>
      <c r="L44" s="3003"/>
      <c r="M44" s="3003"/>
      <c r="N44" s="3003"/>
      <c r="O44" s="3003"/>
      <c r="P44" s="3004"/>
    </row>
    <row r="45" spans="1:16">
      <c r="A45" s="483">
        <v>2000.12</v>
      </c>
      <c r="B45" s="1230">
        <v>90</v>
      </c>
      <c r="C45" s="3005">
        <v>4.4322321277645793E-2</v>
      </c>
      <c r="D45" s="1276">
        <v>-8.4317447055723319E-2</v>
      </c>
      <c r="E45" s="1215"/>
      <c r="F45" s="3003"/>
      <c r="G45" s="3003"/>
      <c r="H45" s="3003"/>
      <c r="I45" s="3003"/>
      <c r="J45" s="1810"/>
      <c r="K45" s="1211"/>
      <c r="L45" s="3003"/>
      <c r="M45" s="3003"/>
      <c r="N45" s="3003"/>
      <c r="O45" s="3003"/>
      <c r="P45" s="3004"/>
    </row>
    <row r="46" spans="1:16">
      <c r="A46" s="483">
        <v>2001.01</v>
      </c>
      <c r="B46" s="1230">
        <v>89</v>
      </c>
      <c r="C46" s="3005">
        <v>-1.0519309089039086E-2</v>
      </c>
      <c r="D46" s="1276">
        <v>-8.4743041707941225E-2</v>
      </c>
      <c r="E46" s="1215"/>
      <c r="F46" s="3003"/>
      <c r="G46" s="3003"/>
      <c r="H46" s="3003"/>
      <c r="I46" s="3003"/>
      <c r="J46" s="1810"/>
      <c r="K46" s="1211"/>
      <c r="L46" s="3003"/>
      <c r="M46" s="3003"/>
      <c r="N46" s="3003"/>
      <c r="O46" s="3003"/>
      <c r="P46" s="3004"/>
    </row>
    <row r="47" spans="1:16">
      <c r="A47" s="483">
        <v>2001.02</v>
      </c>
      <c r="B47" s="1230">
        <v>89</v>
      </c>
      <c r="C47" s="3005">
        <v>-5.0675095169983031E-5</v>
      </c>
      <c r="D47" s="1276">
        <v>-5.4489566414122399E-2</v>
      </c>
      <c r="E47" s="1215"/>
      <c r="F47" s="3003"/>
      <c r="G47" s="3003"/>
      <c r="H47" s="3003"/>
      <c r="I47" s="3003"/>
      <c r="J47" s="1810"/>
      <c r="K47" s="1211"/>
      <c r="L47" s="3003"/>
      <c r="M47" s="3003"/>
      <c r="N47" s="3003"/>
      <c r="O47" s="3003"/>
      <c r="P47" s="3004"/>
    </row>
    <row r="48" spans="1:16">
      <c r="A48" s="483">
        <v>2001.03</v>
      </c>
      <c r="B48" s="1230">
        <v>89</v>
      </c>
      <c r="C48" s="3005">
        <v>-5.6994848191604941E-4</v>
      </c>
      <c r="D48" s="1276">
        <v>-3.8194915481870373E-2</v>
      </c>
      <c r="E48" s="1215"/>
      <c r="F48" s="3003"/>
      <c r="G48" s="3003"/>
      <c r="H48" s="3003"/>
      <c r="I48" s="3003"/>
      <c r="J48" s="1810"/>
      <c r="K48" s="1211"/>
      <c r="L48" s="3003"/>
      <c r="M48" s="3003"/>
      <c r="N48" s="3003"/>
      <c r="O48" s="3003"/>
      <c r="P48" s="3004"/>
    </row>
    <row r="49" spans="1:16">
      <c r="A49" s="483">
        <v>2001.04</v>
      </c>
      <c r="B49" s="1230">
        <v>88.4</v>
      </c>
      <c r="C49" s="3005">
        <v>-6.8352214037075143E-3</v>
      </c>
      <c r="D49" s="1276">
        <v>-5.2040723106694387E-2</v>
      </c>
      <c r="E49" s="1215"/>
      <c r="F49" s="3003"/>
      <c r="G49" s="3003"/>
      <c r="H49" s="3003"/>
      <c r="I49" s="3003"/>
      <c r="J49" s="1810"/>
      <c r="K49" s="1211"/>
      <c r="L49" s="3003"/>
      <c r="M49" s="3003"/>
      <c r="N49" s="3003"/>
      <c r="O49" s="3003"/>
      <c r="P49" s="3004"/>
    </row>
    <row r="50" spans="1:16">
      <c r="A50" s="483">
        <v>2001.05</v>
      </c>
      <c r="B50" s="1230">
        <v>87.4</v>
      </c>
      <c r="C50" s="3005">
        <v>-1.0836056921429083E-2</v>
      </c>
      <c r="D50" s="1276">
        <v>-3.5892468830058921E-2</v>
      </c>
      <c r="E50" s="1215"/>
      <c r="F50" s="3003"/>
      <c r="G50" s="3003"/>
      <c r="H50" s="3003"/>
      <c r="I50" s="3003"/>
      <c r="J50" s="1810"/>
      <c r="K50" s="1211"/>
      <c r="L50" s="3003"/>
      <c r="M50" s="3003"/>
      <c r="N50" s="3003"/>
      <c r="O50" s="3003"/>
      <c r="P50" s="3004"/>
    </row>
    <row r="51" spans="1:16">
      <c r="A51" s="483">
        <v>2001.06</v>
      </c>
      <c r="B51" s="1230">
        <v>86.9</v>
      </c>
      <c r="C51" s="3005">
        <v>-5.8364044303047535E-3</v>
      </c>
      <c r="D51" s="1276">
        <v>-5.0335666285969631E-2</v>
      </c>
      <c r="E51" s="1215"/>
      <c r="F51" s="3003"/>
      <c r="G51" s="3003"/>
      <c r="H51" s="3003"/>
      <c r="I51" s="3003"/>
      <c r="J51" s="1810"/>
      <c r="K51" s="1211"/>
      <c r="L51" s="3003"/>
      <c r="M51" s="3003"/>
      <c r="N51" s="3003"/>
      <c r="O51" s="3003"/>
      <c r="P51" s="3004"/>
    </row>
    <row r="52" spans="1:16">
      <c r="A52" s="483">
        <v>2001.07</v>
      </c>
      <c r="B52" s="1230">
        <v>85.1</v>
      </c>
      <c r="C52" s="3005">
        <v>-2.0918196475381068E-2</v>
      </c>
      <c r="D52" s="1276">
        <v>-7.0335778977647534E-2</v>
      </c>
      <c r="E52" s="1215"/>
      <c r="F52" s="3003"/>
      <c r="G52" s="3003"/>
      <c r="H52" s="3003"/>
      <c r="I52" s="3003"/>
      <c r="J52" s="1810"/>
      <c r="K52" s="1211"/>
      <c r="L52" s="3003"/>
      <c r="M52" s="3003"/>
      <c r="N52" s="3003"/>
      <c r="O52" s="3003"/>
      <c r="P52" s="3004"/>
    </row>
    <row r="53" spans="1:16">
      <c r="A53" s="483">
        <v>2001.08</v>
      </c>
      <c r="B53" s="1230">
        <v>82.8</v>
      </c>
      <c r="C53" s="3005">
        <v>-2.6685845668500519E-2</v>
      </c>
      <c r="D53" s="1276">
        <v>-7.2089636971773063E-2</v>
      </c>
      <c r="E53" s="1215"/>
      <c r="F53" s="3003"/>
      <c r="G53" s="3003"/>
      <c r="H53" s="3003"/>
      <c r="I53" s="3003"/>
      <c r="J53" s="1810"/>
      <c r="K53" s="1211"/>
      <c r="L53" s="3003"/>
      <c r="M53" s="3003"/>
      <c r="N53" s="3003"/>
      <c r="O53" s="3003"/>
      <c r="P53" s="3004"/>
    </row>
    <row r="54" spans="1:16">
      <c r="A54" s="483">
        <v>2001.09</v>
      </c>
      <c r="B54" s="1230">
        <v>81.599999999999994</v>
      </c>
      <c r="C54" s="3005">
        <v>-1.413702196627642E-2</v>
      </c>
      <c r="D54" s="1276">
        <v>-7.5466797182735523E-2</v>
      </c>
      <c r="E54" s="1215"/>
      <c r="F54" s="3003"/>
      <c r="G54" s="3003"/>
      <c r="H54" s="3003"/>
      <c r="I54" s="3003"/>
      <c r="J54" s="1810"/>
      <c r="K54" s="1211"/>
      <c r="L54" s="3003"/>
      <c r="M54" s="3003"/>
      <c r="N54" s="3003"/>
      <c r="O54" s="3003"/>
      <c r="P54" s="3004"/>
    </row>
    <row r="55" spans="1:16">
      <c r="A55" s="483">
        <v>2001.1</v>
      </c>
      <c r="B55" s="1230">
        <v>79.7</v>
      </c>
      <c r="C55" s="3005">
        <v>-2.3167233307828217E-2</v>
      </c>
      <c r="D55" s="1276">
        <v>-0.10029234863572445</v>
      </c>
      <c r="E55" s="1215"/>
      <c r="F55" s="3003"/>
      <c r="G55" s="3003"/>
      <c r="H55" s="3003"/>
      <c r="I55" s="3003"/>
      <c r="J55" s="1810"/>
      <c r="K55" s="1211"/>
      <c r="L55" s="3003"/>
      <c r="M55" s="3003"/>
      <c r="N55" s="3003"/>
      <c r="O55" s="3003"/>
      <c r="P55" s="3004"/>
    </row>
    <row r="56" spans="1:16">
      <c r="A56" s="483">
        <v>2001.11</v>
      </c>
      <c r="B56" s="1230">
        <v>78.400000000000006</v>
      </c>
      <c r="C56" s="3005">
        <v>-1.6700941481188614E-2</v>
      </c>
      <c r="D56" s="1276">
        <v>-8.984755312600845E-2</v>
      </c>
      <c r="E56" s="1215"/>
      <c r="F56" s="3003"/>
      <c r="G56" s="3003"/>
      <c r="H56" s="3003"/>
      <c r="I56" s="3003"/>
      <c r="J56" s="1810"/>
      <c r="K56" s="1211"/>
      <c r="L56" s="3003"/>
      <c r="M56" s="3003"/>
      <c r="N56" s="3003"/>
      <c r="O56" s="3003"/>
      <c r="P56" s="3004"/>
    </row>
    <row r="57" spans="1:16">
      <c r="A57" s="483">
        <v>2001.12</v>
      </c>
      <c r="B57" s="1230">
        <v>72.900000000000006</v>
      </c>
      <c r="C57" s="3005">
        <v>-6.9848328691323847E-2</v>
      </c>
      <c r="D57" s="1276">
        <v>-0.18935006716144798</v>
      </c>
      <c r="E57" s="1215"/>
      <c r="F57" s="3003"/>
      <c r="G57" s="3003"/>
      <c r="H57" s="3003"/>
      <c r="I57" s="3003"/>
      <c r="J57" s="1810"/>
      <c r="K57" s="1211"/>
      <c r="L57" s="3003"/>
      <c r="M57" s="3003"/>
      <c r="N57" s="3003"/>
      <c r="O57" s="3003"/>
      <c r="P57" s="3004"/>
    </row>
    <row r="58" spans="1:16">
      <c r="A58" s="483">
        <v>2002.01</v>
      </c>
      <c r="B58" s="1230">
        <v>71.099999999999994</v>
      </c>
      <c r="C58" s="3005">
        <v>-2.4535958633671417E-2</v>
      </c>
      <c r="D58" s="1276">
        <v>-0.20083346053774187</v>
      </c>
      <c r="E58" s="1215"/>
      <c r="F58" s="3003"/>
      <c r="G58" s="3003"/>
      <c r="H58" s="3003"/>
      <c r="I58" s="3003"/>
      <c r="J58" s="1810"/>
      <c r="K58" s="1211"/>
      <c r="L58" s="3003"/>
      <c r="M58" s="3003"/>
      <c r="N58" s="3003"/>
      <c r="O58" s="3003"/>
      <c r="P58" s="3004"/>
    </row>
    <row r="59" spans="1:16">
      <c r="A59" s="483">
        <v>2002.02</v>
      </c>
      <c r="B59" s="1230">
        <v>72.2</v>
      </c>
      <c r="C59" s="3005">
        <v>1.4179413626884241E-2</v>
      </c>
      <c r="D59" s="1276">
        <v>-0.18946067346042939</v>
      </c>
      <c r="E59" s="1215"/>
      <c r="F59" s="3003"/>
      <c r="G59" s="3003"/>
      <c r="H59" s="3003"/>
      <c r="I59" s="3003"/>
      <c r="J59" s="1810"/>
      <c r="K59" s="1211"/>
      <c r="L59" s="3003"/>
      <c r="M59" s="3003"/>
      <c r="N59" s="3003"/>
      <c r="O59" s="3003"/>
      <c r="P59" s="3004"/>
    </row>
    <row r="60" spans="1:16">
      <c r="A60" s="483">
        <v>2002.03</v>
      </c>
      <c r="B60" s="1230">
        <v>73.7</v>
      </c>
      <c r="C60" s="3005">
        <v>2.1404466584803439E-2</v>
      </c>
      <c r="D60" s="1276">
        <v>-0.17163938865693004</v>
      </c>
      <c r="E60" s="1215"/>
      <c r="F60" s="3003"/>
      <c r="G60" s="3003"/>
      <c r="H60" s="3003"/>
      <c r="I60" s="3003"/>
      <c r="J60" s="1810"/>
      <c r="K60" s="1211"/>
      <c r="L60" s="3003"/>
      <c r="M60" s="3003"/>
      <c r="N60" s="3003"/>
      <c r="O60" s="3003"/>
      <c r="P60" s="3004"/>
    </row>
    <row r="61" spans="1:16">
      <c r="A61" s="483">
        <v>2002.04</v>
      </c>
      <c r="B61" s="1230">
        <v>72</v>
      </c>
      <c r="C61" s="3005">
        <v>-2.3280592027900227E-2</v>
      </c>
      <c r="D61" s="1276">
        <v>-0.18535584090896573</v>
      </c>
      <c r="E61" s="1215"/>
      <c r="F61" s="3003"/>
      <c r="G61" s="3003"/>
      <c r="H61" s="3003"/>
      <c r="I61" s="3003"/>
      <c r="J61" s="1810"/>
      <c r="K61" s="1211"/>
      <c r="L61" s="3003"/>
      <c r="M61" s="3003"/>
      <c r="N61" s="3003"/>
      <c r="O61" s="3003"/>
      <c r="P61" s="3004"/>
    </row>
    <row r="62" spans="1:16">
      <c r="A62" s="483">
        <v>2002.05</v>
      </c>
      <c r="B62" s="1230">
        <v>75.099999999999994</v>
      </c>
      <c r="C62" s="3005">
        <v>4.3635225758481999E-2</v>
      </c>
      <c r="D62" s="1276">
        <v>-0.14049501416342236</v>
      </c>
      <c r="E62" s="1215"/>
      <c r="F62" s="3003"/>
      <c r="G62" s="3003"/>
      <c r="H62" s="3003"/>
      <c r="I62" s="3003"/>
      <c r="J62" s="1810"/>
      <c r="K62" s="1211"/>
      <c r="L62" s="3003"/>
      <c r="M62" s="3003"/>
      <c r="N62" s="3003"/>
      <c r="O62" s="3003"/>
      <c r="P62" s="3004"/>
    </row>
    <row r="63" spans="1:16">
      <c r="A63" s="483">
        <v>2002.06</v>
      </c>
      <c r="B63" s="1230">
        <v>75.7</v>
      </c>
      <c r="C63" s="3005">
        <v>7.0976512717113582E-3</v>
      </c>
      <c r="D63" s="1276">
        <v>-0.12931286525703389</v>
      </c>
      <c r="E63" s="1215"/>
      <c r="F63" s="3003"/>
      <c r="G63" s="3003"/>
      <c r="H63" s="3003"/>
      <c r="I63" s="3003"/>
      <c r="J63" s="1810"/>
      <c r="K63" s="1211"/>
      <c r="L63" s="3003"/>
      <c r="M63" s="3003"/>
      <c r="N63" s="3003"/>
      <c r="O63" s="3003"/>
      <c r="P63" s="3004"/>
    </row>
    <row r="64" spans="1:16">
      <c r="A64" s="483">
        <v>2002.07</v>
      </c>
      <c r="B64" s="1230">
        <v>77.8</v>
      </c>
      <c r="C64" s="3005">
        <v>2.7893213673222395E-2</v>
      </c>
      <c r="D64" s="1276">
        <v>-8.5905392365538513E-2</v>
      </c>
      <c r="E64" s="1215"/>
      <c r="F64" s="3003"/>
      <c r="G64" s="3003"/>
      <c r="H64" s="3003"/>
      <c r="I64" s="3003"/>
      <c r="J64" s="1810"/>
      <c r="K64" s="1211"/>
      <c r="L64" s="3003"/>
      <c r="M64" s="3003"/>
      <c r="N64" s="3003"/>
      <c r="O64" s="3003"/>
      <c r="P64" s="3004"/>
    </row>
    <row r="65" spans="1:16">
      <c r="A65" s="483">
        <v>2002.08</v>
      </c>
      <c r="B65" s="1230">
        <v>79.2</v>
      </c>
      <c r="C65" s="3005">
        <v>1.8294033807785715E-2</v>
      </c>
      <c r="D65" s="1276">
        <v>-4.3662232643320475E-2</v>
      </c>
      <c r="E65" s="1215"/>
      <c r="F65" s="3003"/>
      <c r="G65" s="3003"/>
      <c r="H65" s="3003"/>
      <c r="I65" s="3003"/>
      <c r="J65" s="1810"/>
      <c r="K65" s="1211"/>
      <c r="L65" s="3003"/>
      <c r="M65" s="3003"/>
      <c r="N65" s="3003"/>
      <c r="O65" s="3003"/>
      <c r="P65" s="3004"/>
    </row>
    <row r="66" spans="1:16">
      <c r="A66" s="483">
        <v>2002.09</v>
      </c>
      <c r="B66" s="1230">
        <v>79.2</v>
      </c>
      <c r="C66" s="3005">
        <v>9.9181865176989348E-5</v>
      </c>
      <c r="D66" s="1276">
        <v>-2.9852383109300162E-2</v>
      </c>
      <c r="E66" s="1215"/>
      <c r="F66" s="3003"/>
      <c r="G66" s="3003"/>
      <c r="H66" s="3003"/>
      <c r="I66" s="3003"/>
      <c r="J66" s="1810"/>
      <c r="K66" s="1211"/>
      <c r="L66" s="3003"/>
      <c r="M66" s="3003"/>
      <c r="N66" s="3003"/>
      <c r="O66" s="3003"/>
      <c r="P66" s="3004"/>
    </row>
    <row r="67" spans="1:16">
      <c r="A67" s="483">
        <v>2002.1</v>
      </c>
      <c r="B67" s="1230">
        <v>81.5</v>
      </c>
      <c r="C67" s="3005">
        <v>2.8625629224227955E-2</v>
      </c>
      <c r="D67" s="1276">
        <v>2.1586024641466972E-2</v>
      </c>
      <c r="E67" s="1215"/>
      <c r="F67" s="3003"/>
      <c r="G67" s="3003"/>
      <c r="H67" s="3003"/>
      <c r="I67" s="3003"/>
      <c r="J67" s="1810"/>
      <c r="K67" s="1211"/>
      <c r="L67" s="3003"/>
      <c r="M67" s="3003"/>
      <c r="N67" s="3003"/>
      <c r="O67" s="3003"/>
      <c r="P67" s="3004"/>
    </row>
    <row r="68" spans="1:16">
      <c r="A68" s="483">
        <v>2002.11</v>
      </c>
      <c r="B68" s="1230">
        <v>81.3</v>
      </c>
      <c r="C68" s="3005">
        <v>-2.3976541800866391E-3</v>
      </c>
      <c r="D68" s="1276">
        <v>3.6446242686675179E-2</v>
      </c>
      <c r="E68" s="1215"/>
      <c r="F68" s="3003"/>
      <c r="G68" s="3003"/>
      <c r="H68" s="3003"/>
      <c r="I68" s="3003"/>
      <c r="J68" s="1810"/>
      <c r="K68" s="1211"/>
      <c r="L68" s="3003"/>
      <c r="M68" s="3003"/>
      <c r="N68" s="3003"/>
      <c r="O68" s="3003"/>
      <c r="P68" s="3004"/>
    </row>
    <row r="69" spans="1:16">
      <c r="A69" s="483">
        <v>2002.12</v>
      </c>
      <c r="B69" s="1230">
        <v>83.2</v>
      </c>
      <c r="C69" s="3005">
        <v>2.3549262090366785E-2</v>
      </c>
      <c r="D69" s="1276">
        <v>0.14051699268111006</v>
      </c>
      <c r="E69" s="1215"/>
      <c r="F69" s="3003"/>
      <c r="G69" s="3003"/>
      <c r="H69" s="3003"/>
      <c r="I69" s="3003"/>
      <c r="J69" s="1810"/>
      <c r="K69" s="1211"/>
      <c r="L69" s="3003"/>
      <c r="M69" s="3003"/>
      <c r="N69" s="3003"/>
      <c r="O69" s="3003"/>
      <c r="P69" s="3004"/>
    </row>
    <row r="70" spans="1:16">
      <c r="A70" s="483">
        <v>2003.01</v>
      </c>
      <c r="B70" s="1230">
        <v>87.4</v>
      </c>
      <c r="C70" s="3005">
        <v>5.0833943460418807E-2</v>
      </c>
      <c r="D70" s="1276">
        <v>0.22863982492269286</v>
      </c>
      <c r="E70" s="1215"/>
      <c r="F70" s="3003"/>
      <c r="G70" s="3003"/>
      <c r="H70" s="3003"/>
      <c r="I70" s="3003"/>
      <c r="J70" s="1810"/>
      <c r="K70" s="1211"/>
      <c r="L70" s="3003"/>
      <c r="M70" s="3003"/>
      <c r="N70" s="3003"/>
      <c r="O70" s="3003"/>
      <c r="P70" s="3004"/>
    </row>
    <row r="71" spans="1:16">
      <c r="A71" s="483">
        <v>2003.02</v>
      </c>
      <c r="B71" s="1230">
        <v>84.3</v>
      </c>
      <c r="C71" s="3005">
        <v>-3.5834291946571173E-2</v>
      </c>
      <c r="D71" s="1276">
        <v>0.16805012093752361</v>
      </c>
      <c r="E71" s="1215"/>
      <c r="F71" s="3003"/>
      <c r="G71" s="3003"/>
      <c r="H71" s="3003"/>
      <c r="I71" s="3003"/>
      <c r="J71" s="1810"/>
      <c r="K71" s="1211"/>
      <c r="L71" s="3003"/>
      <c r="M71" s="3003"/>
      <c r="N71" s="3003"/>
      <c r="O71" s="3003"/>
      <c r="P71" s="3004"/>
    </row>
    <row r="72" spans="1:16">
      <c r="A72" s="483">
        <v>2003.03</v>
      </c>
      <c r="B72" s="1230">
        <v>84.3</v>
      </c>
      <c r="C72" s="3005">
        <v>6.6646096781308728E-6</v>
      </c>
      <c r="D72" s="1276">
        <v>0.14358018174838727</v>
      </c>
      <c r="E72" s="1215"/>
      <c r="F72" s="3003"/>
      <c r="G72" s="3003"/>
      <c r="H72" s="3003"/>
      <c r="I72" s="3003"/>
      <c r="J72" s="1810"/>
      <c r="K72" s="1211"/>
      <c r="L72" s="3003"/>
      <c r="M72" s="3003"/>
      <c r="N72" s="3003"/>
      <c r="O72" s="3003"/>
      <c r="P72" s="3004"/>
    </row>
    <row r="73" spans="1:16">
      <c r="A73" s="483">
        <v>2003.04</v>
      </c>
      <c r="B73" s="1230">
        <v>82.6</v>
      </c>
      <c r="C73" s="3005">
        <v>-2.0082990661533517E-2</v>
      </c>
      <c r="D73" s="1276">
        <v>0.14732405488315048</v>
      </c>
      <c r="E73" s="1215"/>
      <c r="F73" s="3003"/>
      <c r="G73" s="3003"/>
      <c r="H73" s="3003"/>
      <c r="I73" s="3003"/>
      <c r="J73" s="1810"/>
      <c r="K73" s="1211"/>
      <c r="L73" s="3003"/>
      <c r="M73" s="3003"/>
      <c r="N73" s="3003"/>
      <c r="O73" s="3003"/>
      <c r="P73" s="3004"/>
    </row>
    <row r="74" spans="1:16">
      <c r="A74" s="483">
        <v>2003.05</v>
      </c>
      <c r="B74" s="1230">
        <v>84.3</v>
      </c>
      <c r="C74" s="3005">
        <v>2.0154325230606895E-2</v>
      </c>
      <c r="D74" s="1276">
        <v>0.12151024432844215</v>
      </c>
      <c r="E74" s="1215"/>
      <c r="F74" s="3003"/>
      <c r="G74" s="3003"/>
      <c r="H74" s="3003"/>
      <c r="I74" s="3003"/>
      <c r="J74" s="1810"/>
      <c r="K74" s="1211"/>
      <c r="L74" s="3003"/>
      <c r="M74" s="3003"/>
      <c r="N74" s="3003"/>
      <c r="O74" s="3003"/>
      <c r="P74" s="3004"/>
    </row>
    <row r="75" spans="1:16">
      <c r="A75" s="483">
        <v>2003.06</v>
      </c>
      <c r="B75" s="1230">
        <v>85.8</v>
      </c>
      <c r="C75" s="3005">
        <v>1.8566590356911439E-2</v>
      </c>
      <c r="D75" s="1276">
        <v>0.13428212663736061</v>
      </c>
      <c r="E75" s="1215"/>
      <c r="F75" s="3003"/>
      <c r="G75" s="3003"/>
      <c r="H75" s="3003"/>
      <c r="I75" s="3003"/>
      <c r="J75" s="1810"/>
      <c r="K75" s="1211"/>
      <c r="L75" s="3003"/>
      <c r="M75" s="3003"/>
      <c r="N75" s="3003"/>
      <c r="O75" s="3003"/>
      <c r="P75" s="3004"/>
    </row>
    <row r="76" spans="1:16">
      <c r="A76" s="483">
        <v>2003.07</v>
      </c>
      <c r="B76" s="1230">
        <v>87.4</v>
      </c>
      <c r="C76" s="3005">
        <v>1.8324664944889157E-2</v>
      </c>
      <c r="D76" s="1276">
        <v>0.12372321482042015</v>
      </c>
      <c r="E76" s="1215"/>
      <c r="F76" s="3003"/>
      <c r="G76" s="3003"/>
      <c r="H76" s="3003"/>
      <c r="I76" s="3003"/>
      <c r="J76" s="1810"/>
      <c r="K76" s="1211"/>
      <c r="L76" s="3003"/>
      <c r="M76" s="3003"/>
      <c r="N76" s="3003"/>
      <c r="O76" s="3003"/>
      <c r="P76" s="3004"/>
    </row>
    <row r="77" spans="1:16">
      <c r="A77" s="483">
        <v>2003.08</v>
      </c>
      <c r="B77" s="1230">
        <v>89.8</v>
      </c>
      <c r="C77" s="3005">
        <v>2.7403864530263222E-2</v>
      </c>
      <c r="D77" s="1276">
        <v>0.13377623283492501</v>
      </c>
      <c r="E77" s="1215"/>
      <c r="F77" s="3003"/>
      <c r="G77" s="3003"/>
      <c r="H77" s="3003"/>
      <c r="I77" s="3003"/>
      <c r="J77" s="1810"/>
      <c r="K77" s="1211"/>
      <c r="L77" s="3003"/>
      <c r="M77" s="3003"/>
      <c r="N77" s="3003"/>
      <c r="O77" s="3003"/>
      <c r="P77" s="3004"/>
    </row>
    <row r="78" spans="1:16">
      <c r="A78" s="483">
        <v>2003.09</v>
      </c>
      <c r="B78" s="1230">
        <v>93.7</v>
      </c>
      <c r="C78" s="3005">
        <v>4.3844458158876165E-2</v>
      </c>
      <c r="D78" s="1276">
        <v>0.18336866872522783</v>
      </c>
      <c r="E78" s="1215"/>
      <c r="F78" s="3003"/>
      <c r="G78" s="3003"/>
      <c r="H78" s="3003"/>
      <c r="I78" s="3003"/>
      <c r="J78" s="1810"/>
      <c r="K78" s="1211"/>
      <c r="L78" s="3003"/>
      <c r="M78" s="3003"/>
      <c r="N78" s="3003"/>
      <c r="O78" s="3003"/>
      <c r="P78" s="3004"/>
    </row>
    <row r="79" spans="1:16">
      <c r="A79" s="483">
        <v>2003.1</v>
      </c>
      <c r="B79" s="1230">
        <v>95.2</v>
      </c>
      <c r="C79" s="3005">
        <v>1.5725632560241287E-2</v>
      </c>
      <c r="D79" s="1276">
        <v>0.16852803920451986</v>
      </c>
      <c r="E79" s="1215"/>
      <c r="F79" s="3003"/>
      <c r="G79" s="3003"/>
      <c r="H79" s="3003"/>
      <c r="I79" s="3003"/>
      <c r="J79" s="1810"/>
      <c r="K79" s="1211"/>
      <c r="L79" s="3003"/>
      <c r="M79" s="3003"/>
      <c r="N79" s="3003"/>
      <c r="O79" s="3003"/>
      <c r="P79" s="3004"/>
    </row>
    <row r="80" spans="1:16">
      <c r="A80" s="483">
        <v>2003.11</v>
      </c>
      <c r="B80" s="1230">
        <v>98.1</v>
      </c>
      <c r="C80" s="3005">
        <v>3.0910397095170294E-2</v>
      </c>
      <c r="D80" s="1276">
        <v>0.20754297537571631</v>
      </c>
      <c r="E80" s="1215"/>
      <c r="F80" s="3003"/>
      <c r="G80" s="3003"/>
      <c r="H80" s="3003"/>
      <c r="I80" s="3003"/>
      <c r="J80" s="1810"/>
      <c r="K80" s="1211"/>
      <c r="L80" s="3003"/>
      <c r="M80" s="3003"/>
      <c r="N80" s="3003"/>
      <c r="O80" s="3003"/>
      <c r="P80" s="3004"/>
    </row>
    <row r="81" spans="1:16">
      <c r="A81" s="483">
        <v>2003.12</v>
      </c>
      <c r="B81" s="1230">
        <v>96.1</v>
      </c>
      <c r="C81" s="3005">
        <v>-2.08022246235402E-2</v>
      </c>
      <c r="D81" s="1276">
        <v>0.1552188438341906</v>
      </c>
      <c r="E81" s="1215"/>
      <c r="F81" s="3003"/>
      <c r="G81" s="3003"/>
      <c r="H81" s="3003"/>
      <c r="I81" s="3003"/>
      <c r="J81" s="1810"/>
      <c r="K81" s="1211"/>
      <c r="L81" s="3003"/>
      <c r="M81" s="3003"/>
      <c r="N81" s="3003"/>
      <c r="O81" s="3003"/>
      <c r="P81" s="3004"/>
    </row>
    <row r="82" spans="1:16">
      <c r="A82" s="483">
        <v>2004.01</v>
      </c>
      <c r="B82" s="1230">
        <v>97.5</v>
      </c>
      <c r="C82" s="3005">
        <v>1.4507579530803172E-2</v>
      </c>
      <c r="D82" s="1276">
        <v>0.11528398980646548</v>
      </c>
      <c r="E82" s="1215"/>
      <c r="F82" s="3003"/>
      <c r="G82" s="3003"/>
      <c r="H82" s="3003"/>
      <c r="I82" s="3003"/>
      <c r="J82" s="1810"/>
      <c r="K82" s="1211"/>
      <c r="L82" s="3003"/>
      <c r="M82" s="3003"/>
      <c r="N82" s="3003"/>
      <c r="O82" s="3003"/>
      <c r="P82" s="3004"/>
    </row>
    <row r="83" spans="1:16">
      <c r="A83" s="483">
        <v>2004.02</v>
      </c>
      <c r="B83" s="1230">
        <v>97.1</v>
      </c>
      <c r="C83" s="3005">
        <v>-3.8211461716746165E-3</v>
      </c>
      <c r="D83" s="1276">
        <v>0.15231470833115313</v>
      </c>
      <c r="E83" s="1215"/>
      <c r="F83" s="3003"/>
      <c r="G83" s="3003"/>
      <c r="H83" s="3003"/>
      <c r="I83" s="3003"/>
      <c r="J83" s="1810"/>
      <c r="K83" s="1211"/>
      <c r="L83" s="3003"/>
      <c r="M83" s="3003"/>
      <c r="N83" s="3003"/>
      <c r="O83" s="3003"/>
      <c r="P83" s="3004"/>
    </row>
    <row r="84" spans="1:16">
      <c r="A84" s="483">
        <v>2004.03</v>
      </c>
      <c r="B84" s="1230">
        <v>104.8</v>
      </c>
      <c r="C84" s="3005">
        <v>7.8589956448612108E-2</v>
      </c>
      <c r="D84" s="1276">
        <v>0.2428667878519708</v>
      </c>
      <c r="E84" s="1215"/>
      <c r="F84" s="3003"/>
      <c r="G84" s="3003"/>
      <c r="H84" s="3003"/>
      <c r="I84" s="3003"/>
      <c r="J84" s="1810"/>
      <c r="K84" s="1211"/>
      <c r="L84" s="3003"/>
      <c r="M84" s="3003"/>
      <c r="N84" s="3003"/>
      <c r="O84" s="3003"/>
      <c r="P84" s="3004"/>
    </row>
    <row r="85" spans="1:16">
      <c r="A85" s="483">
        <v>2004.04</v>
      </c>
      <c r="B85" s="1230">
        <v>99.5</v>
      </c>
      <c r="C85" s="3005">
        <v>-4.9882001071887776E-2</v>
      </c>
      <c r="D85" s="1276">
        <v>0.20507154601318756</v>
      </c>
      <c r="E85" s="1215"/>
      <c r="F85" s="3003"/>
      <c r="G85" s="3003"/>
      <c r="H85" s="3003"/>
      <c r="I85" s="3003"/>
      <c r="J85" s="1810"/>
      <c r="K85" s="1211"/>
      <c r="L85" s="3003"/>
      <c r="M85" s="3003"/>
      <c r="N85" s="3003"/>
      <c r="O85" s="3003"/>
      <c r="P85" s="3004"/>
    </row>
    <row r="86" spans="1:16">
      <c r="A86" s="483">
        <v>2004.05</v>
      </c>
      <c r="B86" s="1230">
        <v>100.8</v>
      </c>
      <c r="C86" s="3005">
        <v>1.2639615749051591E-2</v>
      </c>
      <c r="D86" s="1276">
        <v>0.19619469047397242</v>
      </c>
      <c r="E86" s="1215"/>
      <c r="F86" s="3003"/>
      <c r="G86" s="3003"/>
      <c r="H86" s="3003"/>
      <c r="I86" s="3003"/>
      <c r="J86" s="1810"/>
      <c r="K86" s="1211"/>
      <c r="L86" s="3003"/>
      <c r="M86" s="3003"/>
      <c r="N86" s="3003"/>
      <c r="O86" s="3003"/>
      <c r="P86" s="3004"/>
    </row>
    <row r="87" spans="1:16">
      <c r="A87" s="483">
        <v>2004.06</v>
      </c>
      <c r="B87" s="1230">
        <v>98.8</v>
      </c>
      <c r="C87" s="3005">
        <v>-2.0146818563792412E-2</v>
      </c>
      <c r="D87" s="1276">
        <v>0.15073003981734057</v>
      </c>
      <c r="E87" s="1215"/>
      <c r="F87" s="3003"/>
      <c r="G87" s="3003"/>
      <c r="H87" s="3003"/>
      <c r="I87" s="3003"/>
      <c r="J87" s="1810"/>
      <c r="K87" s="1211"/>
      <c r="L87" s="3003"/>
      <c r="M87" s="3003"/>
      <c r="N87" s="3003"/>
      <c r="O87" s="3003"/>
      <c r="P87" s="3004"/>
    </row>
    <row r="88" spans="1:16">
      <c r="A88" s="483">
        <v>2004.07</v>
      </c>
      <c r="B88" s="1230">
        <v>99.2</v>
      </c>
      <c r="C88" s="3005">
        <v>4.973113777593019E-3</v>
      </c>
      <c r="D88" s="1276">
        <v>0.13564248323026984</v>
      </c>
      <c r="E88" s="1215"/>
      <c r="F88" s="3003"/>
      <c r="G88" s="3003"/>
      <c r="H88" s="3003"/>
      <c r="I88" s="3003"/>
      <c r="J88" s="1810"/>
      <c r="K88" s="1211"/>
      <c r="L88" s="3003"/>
      <c r="M88" s="3003"/>
      <c r="N88" s="3003"/>
      <c r="O88" s="3003"/>
      <c r="P88" s="3004"/>
    </row>
    <row r="89" spans="1:16">
      <c r="A89" s="483">
        <v>2004.08</v>
      </c>
      <c r="B89" s="1230">
        <v>99</v>
      </c>
      <c r="C89" s="3005">
        <v>-2.5001376092945726E-3</v>
      </c>
      <c r="D89" s="1276">
        <v>0.10258804726723447</v>
      </c>
      <c r="E89" s="1215"/>
      <c r="F89" s="3003"/>
      <c r="G89" s="3003"/>
      <c r="H89" s="3003"/>
      <c r="I89" s="3003"/>
      <c r="J89" s="1810"/>
      <c r="K89" s="1211"/>
      <c r="L89" s="3003"/>
      <c r="M89" s="3003"/>
      <c r="N89" s="3003"/>
      <c r="O89" s="3003"/>
      <c r="P89" s="3004"/>
    </row>
    <row r="90" spans="1:16">
      <c r="A90" s="483">
        <v>2004.09</v>
      </c>
      <c r="B90" s="1230">
        <v>99.1</v>
      </c>
      <c r="C90" s="3005">
        <v>7.8343772595212968E-4</v>
      </c>
      <c r="D90" s="1276">
        <v>5.7103716664747228E-2</v>
      </c>
      <c r="E90" s="1215"/>
      <c r="F90" s="3003"/>
      <c r="G90" s="3003"/>
      <c r="H90" s="3003"/>
      <c r="I90" s="3003"/>
      <c r="J90" s="1810"/>
      <c r="K90" s="1211"/>
      <c r="L90" s="3003"/>
      <c r="M90" s="3003"/>
      <c r="N90" s="3003"/>
      <c r="O90" s="3003"/>
      <c r="P90" s="3004"/>
    </row>
    <row r="91" spans="1:16">
      <c r="A91" s="483">
        <v>2004.1</v>
      </c>
      <c r="B91" s="1230">
        <v>99.9</v>
      </c>
      <c r="C91" s="3005">
        <v>8.3055550668447164E-3</v>
      </c>
      <c r="D91" s="1276">
        <v>4.9381364048284082E-2</v>
      </c>
      <c r="E91" s="1215"/>
      <c r="F91" s="3003"/>
      <c r="G91" s="3003"/>
      <c r="H91" s="3003"/>
      <c r="I91" s="3003"/>
      <c r="J91" s="1810"/>
      <c r="K91" s="1211"/>
      <c r="L91" s="3003"/>
      <c r="M91" s="3003"/>
      <c r="N91" s="3003"/>
      <c r="O91" s="3003"/>
      <c r="P91" s="3004"/>
    </row>
    <row r="92" spans="1:16">
      <c r="A92" s="483">
        <v>2004.11</v>
      </c>
      <c r="B92" s="1230">
        <v>100.9</v>
      </c>
      <c r="C92" s="3005">
        <v>9.9623159708543962E-3</v>
      </c>
      <c r="D92" s="1276">
        <v>2.8057953200581354E-2</v>
      </c>
      <c r="E92" s="1215"/>
      <c r="F92" s="3003"/>
      <c r="G92" s="3003"/>
      <c r="H92" s="3003"/>
      <c r="I92" s="3003"/>
      <c r="J92" s="1810"/>
      <c r="K92" s="1211"/>
      <c r="L92" s="3003"/>
      <c r="M92" s="3003"/>
      <c r="N92" s="3003"/>
      <c r="O92" s="3003"/>
      <c r="P92" s="3004"/>
    </row>
    <row r="93" spans="1:16">
      <c r="A93" s="483">
        <v>2004.12</v>
      </c>
      <c r="B93" s="1230">
        <v>103.5</v>
      </c>
      <c r="C93" s="3005">
        <v>2.5597257515561855E-2</v>
      </c>
      <c r="D93" s="1276">
        <v>7.6772684623610754E-2</v>
      </c>
      <c r="E93" s="1215"/>
      <c r="F93" s="3003"/>
      <c r="G93" s="3003"/>
      <c r="H93" s="3003"/>
      <c r="I93" s="3003"/>
      <c r="J93" s="1810"/>
      <c r="K93" s="1211"/>
      <c r="L93" s="3003"/>
      <c r="M93" s="3003"/>
      <c r="N93" s="3003"/>
      <c r="O93" s="3003"/>
      <c r="P93" s="3004"/>
    </row>
    <row r="94" spans="1:16">
      <c r="A94" s="483">
        <v>2005.01</v>
      </c>
      <c r="B94" s="1230">
        <v>106.9</v>
      </c>
      <c r="C94" s="3005">
        <v>3.350661475918093E-2</v>
      </c>
      <c r="D94" s="1276">
        <v>9.6937780065855281E-2</v>
      </c>
      <c r="E94" s="1215"/>
      <c r="F94" s="3003"/>
      <c r="G94" s="3003"/>
      <c r="H94" s="3003"/>
      <c r="I94" s="3003"/>
      <c r="J94" s="1810"/>
      <c r="K94" s="1211"/>
      <c r="L94" s="3003"/>
      <c r="M94" s="3003"/>
      <c r="N94" s="3003"/>
      <c r="O94" s="3003"/>
      <c r="P94" s="3004"/>
    </row>
    <row r="95" spans="1:16">
      <c r="A95" s="483">
        <v>2005.02</v>
      </c>
      <c r="B95" s="1230">
        <v>104.4</v>
      </c>
      <c r="C95" s="3005">
        <v>-2.3963670516326752E-2</v>
      </c>
      <c r="D95" s="1276">
        <v>7.4757931683575807E-2</v>
      </c>
      <c r="E95" s="1215"/>
      <c r="F95" s="3003"/>
      <c r="G95" s="3003"/>
      <c r="H95" s="3003"/>
      <c r="I95" s="3003"/>
      <c r="J95" s="1810"/>
      <c r="K95" s="1211"/>
      <c r="L95" s="3003"/>
      <c r="M95" s="3003"/>
      <c r="N95" s="3003"/>
      <c r="O95" s="3003"/>
      <c r="P95" s="3004"/>
    </row>
    <row r="96" spans="1:16">
      <c r="A96" s="483">
        <v>2005.03</v>
      </c>
      <c r="B96" s="1230">
        <v>106.6</v>
      </c>
      <c r="C96" s="3005">
        <v>2.0925623438279084E-2</v>
      </c>
      <c r="D96" s="1276">
        <v>1.7298469069850775E-2</v>
      </c>
      <c r="E96" s="1215"/>
      <c r="F96" s="3003"/>
      <c r="G96" s="3003"/>
      <c r="H96" s="3003"/>
      <c r="I96" s="3003"/>
      <c r="J96" s="1810"/>
      <c r="K96" s="1211"/>
      <c r="L96" s="3003"/>
      <c r="M96" s="3003"/>
      <c r="N96" s="3003"/>
      <c r="O96" s="3003"/>
      <c r="P96" s="3004"/>
    </row>
    <row r="97" spans="1:16">
      <c r="A97" s="483">
        <v>2005.04</v>
      </c>
      <c r="B97" s="1230">
        <v>108.8</v>
      </c>
      <c r="C97" s="3005">
        <v>2.0939399415947246E-2</v>
      </c>
      <c r="D97" s="1276">
        <v>9.3127473861821061E-2</v>
      </c>
      <c r="E97" s="1215"/>
      <c r="F97" s="3003"/>
      <c r="G97" s="3003"/>
      <c r="H97" s="3003"/>
      <c r="I97" s="3003"/>
      <c r="J97" s="1810"/>
      <c r="K97" s="1211"/>
      <c r="L97" s="3003"/>
      <c r="M97" s="3003"/>
      <c r="N97" s="3003"/>
      <c r="O97" s="3003"/>
      <c r="P97" s="3004"/>
    </row>
    <row r="98" spans="1:16">
      <c r="A98" s="483">
        <v>2005.05</v>
      </c>
      <c r="B98" s="1230">
        <v>109.1</v>
      </c>
      <c r="C98" s="3005">
        <v>3.2409616387953921E-3</v>
      </c>
      <c r="D98" s="1276">
        <v>8.2981784452222276E-2</v>
      </c>
      <c r="E98" s="1215"/>
      <c r="F98" s="3003"/>
      <c r="G98" s="3003"/>
      <c r="H98" s="3003"/>
      <c r="I98" s="3003"/>
      <c r="J98" s="1810"/>
      <c r="K98" s="1211"/>
      <c r="L98" s="3003"/>
      <c r="M98" s="3003"/>
      <c r="N98" s="3003"/>
      <c r="O98" s="3003"/>
      <c r="P98" s="3004"/>
    </row>
    <row r="99" spans="1:16">
      <c r="A99" s="483">
        <v>2005.06</v>
      </c>
      <c r="B99" s="1230">
        <v>110.5</v>
      </c>
      <c r="C99" s="3005">
        <v>1.1974880260906318E-2</v>
      </c>
      <c r="D99" s="1276">
        <v>0.11848426112104328</v>
      </c>
      <c r="E99" s="1215"/>
      <c r="F99" s="3003"/>
      <c r="G99" s="3003"/>
      <c r="H99" s="3003"/>
      <c r="I99" s="3003"/>
      <c r="J99" s="1810"/>
      <c r="K99" s="1211"/>
      <c r="L99" s="3003"/>
      <c r="M99" s="3003"/>
      <c r="N99" s="3003"/>
      <c r="O99" s="3003"/>
      <c r="P99" s="3004"/>
    </row>
    <row r="100" spans="1:16">
      <c r="A100" s="483">
        <v>2005.07</v>
      </c>
      <c r="B100" s="1230">
        <v>111</v>
      </c>
      <c r="C100" s="3005">
        <v>5.3149829208956056E-3</v>
      </c>
      <c r="D100" s="1276">
        <v>0.11886474419158999</v>
      </c>
      <c r="E100" s="1215"/>
      <c r="F100" s="3003"/>
      <c r="G100" s="3003"/>
      <c r="H100" s="3003"/>
      <c r="I100" s="3003"/>
      <c r="J100" s="1810"/>
      <c r="K100" s="1211"/>
      <c r="L100" s="3003"/>
      <c r="M100" s="3003"/>
      <c r="N100" s="3003"/>
      <c r="O100" s="3003"/>
      <c r="P100" s="3004"/>
    </row>
    <row r="101" spans="1:16">
      <c r="A101" s="483">
        <v>2005.08</v>
      </c>
      <c r="B101" s="1230">
        <v>112.5</v>
      </c>
      <c r="C101" s="3005">
        <v>1.3551356201175979E-2</v>
      </c>
      <c r="D101" s="1276">
        <v>0.13686920834570193</v>
      </c>
      <c r="E101" s="1215"/>
      <c r="F101" s="3003"/>
      <c r="G101" s="3003"/>
      <c r="H101" s="3003"/>
      <c r="I101" s="3003"/>
      <c r="J101" s="1810"/>
      <c r="K101" s="1211"/>
      <c r="L101" s="3003"/>
      <c r="M101" s="3003"/>
      <c r="N101" s="3003"/>
      <c r="O101" s="3003"/>
      <c r="P101" s="3004"/>
    </row>
    <row r="102" spans="1:16">
      <c r="A102" s="483">
        <v>2005.09</v>
      </c>
      <c r="B102" s="1230">
        <v>112.5</v>
      </c>
      <c r="C102" s="3005">
        <v>-3.325716938957779E-4</v>
      </c>
      <c r="D102" s="1276">
        <v>0.13560144481383141</v>
      </c>
      <c r="E102" s="1215"/>
      <c r="F102" s="3003"/>
      <c r="G102" s="3003"/>
      <c r="H102" s="3003"/>
      <c r="I102" s="3003"/>
      <c r="J102" s="1810"/>
      <c r="K102" s="1211"/>
      <c r="L102" s="3003"/>
      <c r="M102" s="3003"/>
      <c r="N102" s="3003"/>
      <c r="O102" s="3003"/>
      <c r="P102" s="3004"/>
    </row>
    <row r="103" spans="1:16">
      <c r="A103" s="483">
        <v>2005.1</v>
      </c>
      <c r="B103" s="1230">
        <v>112</v>
      </c>
      <c r="C103" s="3005">
        <v>-4.4753662172903885E-3</v>
      </c>
      <c r="D103" s="1276">
        <v>0.12120696627170613</v>
      </c>
      <c r="E103" s="1215"/>
      <c r="F103" s="3003"/>
      <c r="G103" s="3003"/>
      <c r="H103" s="3003"/>
      <c r="I103" s="3003"/>
      <c r="J103" s="1810"/>
      <c r="K103" s="1211"/>
      <c r="L103" s="3003"/>
      <c r="M103" s="3003"/>
      <c r="N103" s="3003"/>
      <c r="O103" s="3003"/>
      <c r="P103" s="3004"/>
    </row>
    <row r="104" spans="1:16">
      <c r="A104" s="483">
        <v>2005.11</v>
      </c>
      <c r="B104" s="1230">
        <v>113.3</v>
      </c>
      <c r="C104" s="3005">
        <v>1.1916508397089354E-2</v>
      </c>
      <c r="D104" s="1276">
        <v>0.12337640777173275</v>
      </c>
      <c r="E104" s="1215"/>
      <c r="F104" s="3003"/>
      <c r="G104" s="3003"/>
      <c r="H104" s="3003"/>
      <c r="I104" s="3003"/>
      <c r="J104" s="1810"/>
      <c r="K104" s="1211"/>
      <c r="L104" s="3003"/>
      <c r="M104" s="3003"/>
      <c r="N104" s="3003"/>
      <c r="O104" s="3003"/>
      <c r="P104" s="3004"/>
    </row>
    <row r="105" spans="1:16">
      <c r="A105" s="483">
        <v>2005.12</v>
      </c>
      <c r="B105" s="1230">
        <v>114.9</v>
      </c>
      <c r="C105" s="3005">
        <v>1.3573789189349483E-2</v>
      </c>
      <c r="D105" s="1276">
        <v>0.1102066371251369</v>
      </c>
      <c r="E105" s="1215"/>
      <c r="F105" s="3003"/>
      <c r="G105" s="3003"/>
      <c r="H105" s="3003"/>
      <c r="I105" s="3003"/>
      <c r="J105" s="1810"/>
      <c r="K105" s="1211"/>
      <c r="L105" s="3003"/>
      <c r="M105" s="3003"/>
      <c r="N105" s="3003"/>
      <c r="O105" s="3003"/>
      <c r="P105" s="3004"/>
    </row>
    <row r="106" spans="1:16">
      <c r="A106" s="483">
        <v>2006.01</v>
      </c>
      <c r="B106" s="1230">
        <v>119.7</v>
      </c>
      <c r="C106" s="3005">
        <v>4.2352646781568248E-2</v>
      </c>
      <c r="D106" s="1276">
        <v>0.11970916311115974</v>
      </c>
      <c r="E106" s="1215"/>
      <c r="F106" s="3003"/>
      <c r="G106" s="3003"/>
      <c r="H106" s="3003"/>
      <c r="I106" s="3003"/>
      <c r="J106" s="1810"/>
      <c r="K106" s="1211"/>
      <c r="L106" s="3003"/>
      <c r="M106" s="3003"/>
      <c r="N106" s="3003"/>
      <c r="O106" s="3003"/>
      <c r="P106" s="3004"/>
    </row>
    <row r="107" spans="1:16">
      <c r="A107" s="483">
        <v>2006.02</v>
      </c>
      <c r="B107" s="1230">
        <v>115.7</v>
      </c>
      <c r="C107" s="3005">
        <v>-3.3681340999260123E-2</v>
      </c>
      <c r="D107" s="1276">
        <v>0.1085610486863704</v>
      </c>
      <c r="E107" s="1215"/>
      <c r="F107" s="3003"/>
      <c r="G107" s="3003"/>
      <c r="H107" s="3003"/>
      <c r="I107" s="3003"/>
      <c r="J107" s="1810"/>
      <c r="K107" s="1211"/>
      <c r="L107" s="3003"/>
      <c r="M107" s="3003"/>
      <c r="N107" s="3003"/>
      <c r="O107" s="3003"/>
      <c r="P107" s="3004"/>
    </row>
    <row r="108" spans="1:16">
      <c r="A108" s="483">
        <v>2006.03</v>
      </c>
      <c r="B108" s="1230">
        <v>118.1</v>
      </c>
      <c r="C108" s="3005">
        <v>2.0286574629047927E-2</v>
      </c>
      <c r="D108" s="1276">
        <v>0.10786714444706134</v>
      </c>
      <c r="E108" s="1215"/>
      <c r="F108" s="3003"/>
      <c r="G108" s="3003"/>
      <c r="H108" s="3003"/>
      <c r="I108" s="3003"/>
      <c r="J108" s="1810"/>
      <c r="K108" s="1211"/>
      <c r="L108" s="3003"/>
      <c r="M108" s="3003"/>
      <c r="N108" s="3003"/>
      <c r="O108" s="3003"/>
      <c r="P108" s="3004"/>
    </row>
    <row r="109" spans="1:16">
      <c r="A109" s="483">
        <v>2006.04</v>
      </c>
      <c r="B109" s="1230">
        <v>118.9</v>
      </c>
      <c r="C109" s="3005">
        <v>6.9103699308266098E-3</v>
      </c>
      <c r="D109" s="1276">
        <v>9.2643615172027585E-2</v>
      </c>
      <c r="E109" s="1215"/>
      <c r="F109" s="3003"/>
      <c r="G109" s="3003"/>
      <c r="H109" s="3003"/>
      <c r="I109" s="3003"/>
      <c r="J109" s="1810"/>
      <c r="K109" s="1211"/>
      <c r="L109" s="3003"/>
      <c r="M109" s="3003"/>
      <c r="N109" s="3003"/>
      <c r="O109" s="3003"/>
      <c r="P109" s="3004"/>
    </row>
    <row r="110" spans="1:16">
      <c r="A110" s="483">
        <v>2006.05</v>
      </c>
      <c r="B110" s="1230">
        <v>120.2</v>
      </c>
      <c r="C110" s="3005">
        <v>1.1213077102957714E-2</v>
      </c>
      <c r="D110" s="1276">
        <v>0.10132615645014909</v>
      </c>
      <c r="E110" s="1215"/>
      <c r="F110" s="3003"/>
      <c r="G110" s="3003"/>
      <c r="H110" s="3003"/>
      <c r="I110" s="3003"/>
      <c r="J110" s="1810"/>
      <c r="K110" s="1211"/>
      <c r="L110" s="3003"/>
      <c r="M110" s="3003"/>
      <c r="N110" s="3003"/>
      <c r="O110" s="3003"/>
      <c r="P110" s="3004"/>
    </row>
    <row r="111" spans="1:16">
      <c r="A111" s="483">
        <v>2006.06</v>
      </c>
      <c r="B111" s="1230">
        <v>121.2</v>
      </c>
      <c r="C111" s="3005">
        <v>7.9290844125561311E-3</v>
      </c>
      <c r="D111" s="1276">
        <v>9.6923141238648203E-2</v>
      </c>
      <c r="E111" s="1215"/>
      <c r="F111" s="3003"/>
      <c r="G111" s="3003"/>
      <c r="H111" s="3003"/>
      <c r="I111" s="3003"/>
      <c r="J111" s="1810"/>
      <c r="K111" s="1211"/>
      <c r="L111" s="3003"/>
      <c r="M111" s="3003"/>
      <c r="N111" s="3003"/>
      <c r="O111" s="3003"/>
      <c r="P111" s="3004"/>
    </row>
    <row r="112" spans="1:16">
      <c r="A112" s="483">
        <v>2006.07</v>
      </c>
      <c r="B112" s="1230">
        <v>121.4</v>
      </c>
      <c r="C112" s="3005">
        <v>2.1989982125445451E-3</v>
      </c>
      <c r="D112" s="1276">
        <v>9.3523216048629454E-2</v>
      </c>
      <c r="E112" s="1215"/>
      <c r="F112" s="3003"/>
      <c r="G112" s="3003"/>
      <c r="H112" s="3003"/>
      <c r="I112" s="3003"/>
      <c r="J112" s="1810"/>
      <c r="K112" s="1211"/>
      <c r="L112" s="3003"/>
      <c r="M112" s="3003"/>
      <c r="N112" s="3003"/>
      <c r="O112" s="3003"/>
      <c r="P112" s="3004"/>
    </row>
    <row r="113" spans="1:16">
      <c r="A113" s="483">
        <v>2006.08</v>
      </c>
      <c r="B113" s="1230">
        <v>120.9</v>
      </c>
      <c r="C113" s="3005">
        <v>-3.9221717463678862E-3</v>
      </c>
      <c r="D113" s="1276">
        <v>7.4670980925063413E-2</v>
      </c>
      <c r="E113" s="1215"/>
      <c r="F113" s="3003"/>
      <c r="G113" s="3003"/>
      <c r="H113" s="3003"/>
      <c r="I113" s="3003"/>
      <c r="J113" s="1810"/>
      <c r="K113" s="1211"/>
      <c r="L113" s="3003"/>
      <c r="M113" s="3003"/>
      <c r="N113" s="3003"/>
      <c r="O113" s="3003"/>
      <c r="P113" s="3004"/>
    </row>
    <row r="114" spans="1:16">
      <c r="A114" s="483">
        <v>2006.09</v>
      </c>
      <c r="B114" s="1230">
        <v>122.6</v>
      </c>
      <c r="C114" s="3005">
        <v>1.3922778563638882E-2</v>
      </c>
      <c r="D114" s="1276">
        <v>8.9995888800329382E-2</v>
      </c>
      <c r="E114" s="1215"/>
      <c r="F114" s="3003"/>
      <c r="G114" s="3003"/>
      <c r="H114" s="3003"/>
      <c r="I114" s="3003"/>
      <c r="J114" s="1810"/>
      <c r="K114" s="1211"/>
      <c r="L114" s="3003"/>
      <c r="M114" s="3003"/>
      <c r="N114" s="3003"/>
      <c r="O114" s="3003"/>
      <c r="P114" s="3004"/>
    </row>
    <row r="115" spans="1:16">
      <c r="A115" s="483">
        <v>2006.1</v>
      </c>
      <c r="B115" s="1230">
        <v>121.4</v>
      </c>
      <c r="C115" s="3005">
        <v>-1.0173627722848688E-2</v>
      </c>
      <c r="D115" s="1276">
        <v>8.3756885360738664E-2</v>
      </c>
      <c r="E115" s="1215"/>
      <c r="F115" s="3003"/>
      <c r="G115" s="3003"/>
      <c r="H115" s="3003"/>
      <c r="I115" s="3003"/>
      <c r="J115" s="1810"/>
      <c r="K115" s="1211"/>
      <c r="L115" s="3003"/>
      <c r="M115" s="3003"/>
      <c r="N115" s="3003"/>
      <c r="O115" s="3003"/>
      <c r="P115" s="3004"/>
    </row>
    <row r="116" spans="1:16">
      <c r="A116" s="483">
        <v>2006.11</v>
      </c>
      <c r="B116" s="1230">
        <v>122.1</v>
      </c>
      <c r="C116" s="3005">
        <v>5.9902841471790591E-3</v>
      </c>
      <c r="D116" s="1276">
        <v>7.7409932542263915E-2</v>
      </c>
      <c r="E116" s="1215"/>
      <c r="F116" s="3003"/>
      <c r="G116" s="3003"/>
      <c r="H116" s="3003"/>
      <c r="I116" s="3003"/>
      <c r="J116" s="1810"/>
      <c r="K116" s="1211"/>
      <c r="L116" s="3003"/>
      <c r="M116" s="3003"/>
      <c r="N116" s="3003"/>
      <c r="O116" s="3003"/>
      <c r="P116" s="3004"/>
    </row>
    <row r="117" spans="1:16">
      <c r="A117" s="483">
        <v>2006.12</v>
      </c>
      <c r="B117" s="1230">
        <v>122.9</v>
      </c>
      <c r="C117" s="3005">
        <v>6.3898763014564874E-3</v>
      </c>
      <c r="D117" s="1276">
        <v>6.9773567846877604E-2</v>
      </c>
      <c r="E117" s="1215"/>
      <c r="F117" s="3003"/>
      <c r="G117" s="3003"/>
      <c r="H117" s="3003"/>
      <c r="I117" s="3003"/>
      <c r="J117" s="1810"/>
      <c r="K117" s="1211"/>
      <c r="L117" s="3003"/>
      <c r="M117" s="3003"/>
      <c r="N117" s="3003"/>
      <c r="O117" s="3003"/>
      <c r="P117" s="3004"/>
    </row>
    <row r="118" spans="1:16">
      <c r="A118" s="483">
        <v>2007.01</v>
      </c>
      <c r="B118" s="1230">
        <v>123.3</v>
      </c>
      <c r="C118" s="3005">
        <v>3.1218252308540251E-3</v>
      </c>
      <c r="D118" s="1276">
        <v>2.951071048334053E-2</v>
      </c>
      <c r="E118" s="1215"/>
      <c r="F118" s="3003"/>
      <c r="G118" s="3003"/>
      <c r="H118" s="3003"/>
      <c r="I118" s="3003"/>
      <c r="J118" s="1810"/>
      <c r="K118" s="1211"/>
      <c r="L118" s="3003"/>
      <c r="M118" s="3003"/>
      <c r="N118" s="3003"/>
      <c r="O118" s="3003"/>
      <c r="P118" s="3004"/>
    </row>
    <row r="119" spans="1:16">
      <c r="A119" s="483">
        <v>2007.02</v>
      </c>
      <c r="B119" s="1230">
        <v>123.8</v>
      </c>
      <c r="C119" s="3005">
        <v>4.5206592880242535E-3</v>
      </c>
      <c r="D119" s="1276">
        <v>7.0210916457130956E-2</v>
      </c>
      <c r="E119" s="1215"/>
      <c r="F119" s="3003"/>
      <c r="G119" s="3003"/>
      <c r="H119" s="3003"/>
      <c r="I119" s="3003"/>
      <c r="J119" s="1810"/>
      <c r="K119" s="1211"/>
      <c r="L119" s="3003"/>
      <c r="M119" s="3003"/>
      <c r="N119" s="3003"/>
      <c r="O119" s="3003"/>
      <c r="P119" s="3004"/>
    </row>
    <row r="120" spans="1:16">
      <c r="A120" s="483">
        <v>2007.03</v>
      </c>
      <c r="B120" s="1230">
        <v>126.5</v>
      </c>
      <c r="C120" s="3005">
        <v>2.1540721819941266E-2</v>
      </c>
      <c r="D120" s="1276">
        <v>7.1526431183986938E-2</v>
      </c>
      <c r="E120" s="1215"/>
      <c r="F120" s="3003"/>
      <c r="G120" s="3003"/>
      <c r="H120" s="3003"/>
      <c r="I120" s="3003"/>
      <c r="J120" s="1810"/>
      <c r="K120" s="1211"/>
      <c r="L120" s="3003"/>
      <c r="M120" s="3003"/>
      <c r="N120" s="3003"/>
      <c r="O120" s="3003"/>
      <c r="P120" s="3004"/>
    </row>
    <row r="121" spans="1:16">
      <c r="A121" s="483">
        <v>2007.04</v>
      </c>
      <c r="B121" s="1230">
        <v>125.3</v>
      </c>
      <c r="C121" s="3005">
        <v>-9.2366263585554886E-3</v>
      </c>
      <c r="D121" s="1276">
        <v>5.4343240082785682E-2</v>
      </c>
      <c r="E121" s="1215"/>
      <c r="F121" s="3003"/>
      <c r="G121" s="3003"/>
      <c r="H121" s="3003"/>
      <c r="I121" s="3003"/>
      <c r="J121" s="1810"/>
      <c r="K121" s="1211"/>
      <c r="L121" s="3003"/>
      <c r="M121" s="3003"/>
      <c r="N121" s="3003"/>
      <c r="O121" s="3003"/>
      <c r="P121" s="3004"/>
    </row>
    <row r="122" spans="1:16">
      <c r="A122" s="483">
        <v>2007.05</v>
      </c>
      <c r="B122" s="1230">
        <v>125.4</v>
      </c>
      <c r="C122" s="3005">
        <v>4.0298801131810613E-4</v>
      </c>
      <c r="D122" s="1276">
        <v>4.3072080110135857E-2</v>
      </c>
      <c r="E122" s="1215"/>
      <c r="F122" s="3003"/>
      <c r="G122" s="3003"/>
      <c r="H122" s="3003"/>
      <c r="I122" s="3003"/>
      <c r="J122" s="1810"/>
      <c r="K122" s="1211"/>
      <c r="L122" s="3003"/>
      <c r="M122" s="3003"/>
      <c r="N122" s="3003"/>
      <c r="O122" s="3003"/>
      <c r="P122" s="3004"/>
    </row>
    <row r="123" spans="1:16">
      <c r="A123" s="483">
        <v>2007.06</v>
      </c>
      <c r="B123" s="1230">
        <v>125.4</v>
      </c>
      <c r="C123" s="3005">
        <v>-1.483669370916374E-5</v>
      </c>
      <c r="D123" s="1276">
        <v>3.4851181992713087E-2</v>
      </c>
      <c r="E123" s="1215"/>
      <c r="F123" s="3003"/>
      <c r="G123" s="3003"/>
      <c r="H123" s="3003"/>
      <c r="I123" s="3003"/>
      <c r="J123" s="1810"/>
      <c r="K123" s="1211"/>
      <c r="L123" s="3003"/>
      <c r="M123" s="3003"/>
      <c r="N123" s="3003"/>
      <c r="O123" s="3003"/>
      <c r="P123" s="3004"/>
    </row>
    <row r="124" spans="1:16">
      <c r="A124" s="483">
        <v>2007.07</v>
      </c>
      <c r="B124" s="1230">
        <v>123.5</v>
      </c>
      <c r="C124" s="3005">
        <v>-1.5169126069661032E-2</v>
      </c>
      <c r="D124" s="1276">
        <v>1.6917194855933904E-2</v>
      </c>
      <c r="E124" s="1215"/>
      <c r="F124" s="3003"/>
      <c r="G124" s="3003"/>
      <c r="H124" s="3003"/>
      <c r="I124" s="3003"/>
      <c r="J124" s="1810"/>
      <c r="K124" s="1211"/>
      <c r="L124" s="3003"/>
      <c r="M124" s="3003"/>
      <c r="N124" s="3003"/>
      <c r="O124" s="3003"/>
      <c r="P124" s="3004"/>
    </row>
    <row r="125" spans="1:16">
      <c r="A125" s="483">
        <v>2007.08</v>
      </c>
      <c r="B125" s="1230">
        <v>126.4</v>
      </c>
      <c r="C125" s="3005">
        <v>2.3348629190218517E-2</v>
      </c>
      <c r="D125" s="1276">
        <v>4.4758539782292939E-2</v>
      </c>
      <c r="E125" s="1215"/>
      <c r="F125" s="3003"/>
      <c r="G125" s="3003"/>
      <c r="H125" s="3003"/>
      <c r="I125" s="3003"/>
      <c r="J125" s="1810"/>
      <c r="K125" s="1211"/>
      <c r="L125" s="3003"/>
      <c r="M125" s="3003"/>
      <c r="N125" s="3003"/>
      <c r="O125" s="3003"/>
      <c r="P125" s="3004"/>
    </row>
    <row r="126" spans="1:16">
      <c r="A126" s="483">
        <v>2007.09</v>
      </c>
      <c r="B126" s="1230">
        <v>128</v>
      </c>
      <c r="C126" s="3005">
        <v>1.3202897451771056E-2</v>
      </c>
      <c r="D126" s="1276">
        <v>4.4016765403461777E-2</v>
      </c>
      <c r="E126" s="1215"/>
      <c r="F126" s="3003"/>
      <c r="G126" s="3003"/>
      <c r="H126" s="3003"/>
      <c r="I126" s="3003"/>
      <c r="J126" s="1810"/>
      <c r="K126" s="1211"/>
      <c r="L126" s="3003"/>
      <c r="M126" s="3003"/>
      <c r="N126" s="3003"/>
      <c r="O126" s="3003"/>
      <c r="P126" s="3004"/>
    </row>
    <row r="127" spans="1:16">
      <c r="A127" s="483">
        <v>2007.1</v>
      </c>
      <c r="B127" s="1230">
        <v>133.5</v>
      </c>
      <c r="C127" s="3005">
        <v>4.2783794793076257E-2</v>
      </c>
      <c r="D127" s="1276">
        <v>9.9873467657197512E-2</v>
      </c>
      <c r="E127" s="1215"/>
      <c r="F127" s="3003"/>
      <c r="G127" s="3003"/>
      <c r="H127" s="3003"/>
      <c r="I127" s="3003"/>
      <c r="J127" s="1810"/>
      <c r="K127" s="1211"/>
      <c r="L127" s="3003"/>
      <c r="M127" s="3003"/>
      <c r="N127" s="3003"/>
      <c r="O127" s="3003"/>
      <c r="P127" s="3004"/>
    </row>
    <row r="128" spans="1:16">
      <c r="A128" s="483">
        <v>2007.11</v>
      </c>
      <c r="B128" s="1230">
        <v>136.5</v>
      </c>
      <c r="C128" s="3005">
        <v>2.2271962329137196E-2</v>
      </c>
      <c r="D128" s="1276">
        <v>0.11767461954053804</v>
      </c>
      <c r="E128" s="1215"/>
      <c r="F128" s="3003"/>
      <c r="G128" s="3003"/>
      <c r="H128" s="3003"/>
      <c r="I128" s="3003"/>
      <c r="J128" s="1810"/>
      <c r="K128" s="1211"/>
      <c r="L128" s="3003"/>
      <c r="M128" s="3003"/>
      <c r="N128" s="3003"/>
      <c r="O128" s="3003"/>
      <c r="P128" s="3004"/>
    </row>
    <row r="129" spans="1:16">
      <c r="A129" s="483">
        <v>2007.12</v>
      </c>
      <c r="B129" s="1230">
        <v>139.69999999999999</v>
      </c>
      <c r="C129" s="3005">
        <v>2.3518650347199355E-2</v>
      </c>
      <c r="D129" s="1276">
        <v>0.13669746194544019</v>
      </c>
      <c r="E129" s="1215"/>
      <c r="F129" s="3003"/>
      <c r="G129" s="3003"/>
      <c r="H129" s="3003"/>
      <c r="I129" s="3003"/>
      <c r="J129" s="1810"/>
      <c r="K129" s="1211"/>
      <c r="L129" s="3003"/>
      <c r="M129" s="3003"/>
      <c r="N129" s="3003"/>
      <c r="O129" s="3003"/>
      <c r="P129" s="3004"/>
    </row>
    <row r="130" spans="1:16">
      <c r="A130" s="483">
        <f t="shared" ref="A130:A193" si="0">A118+1</f>
        <v>2008.01</v>
      </c>
      <c r="B130" s="1230">
        <v>134.80000000000001</v>
      </c>
      <c r="C130" s="3005">
        <v>-3.4808848052218067E-2</v>
      </c>
      <c r="D130" s="1276">
        <v>9.3715942685975259E-2</v>
      </c>
      <c r="E130" s="1215"/>
      <c r="F130" s="3003"/>
      <c r="G130" s="3003"/>
      <c r="H130" s="3003"/>
      <c r="I130" s="3003"/>
      <c r="J130" s="1810"/>
      <c r="K130" s="1211"/>
      <c r="L130" s="3003"/>
      <c r="M130" s="3003"/>
      <c r="N130" s="3003"/>
      <c r="O130" s="3003"/>
      <c r="P130" s="3004"/>
    </row>
    <row r="131" spans="1:16">
      <c r="A131" s="483">
        <f t="shared" si="0"/>
        <v>2008.02</v>
      </c>
      <c r="B131" s="1230">
        <v>134.1</v>
      </c>
      <c r="C131" s="3005">
        <v>-5.5667454142154238E-3</v>
      </c>
      <c r="D131" s="1276">
        <v>8.2732838216043478E-2</v>
      </c>
      <c r="E131" s="1215"/>
      <c r="F131" s="3003"/>
      <c r="G131" s="3003"/>
      <c r="H131" s="3003"/>
      <c r="I131" s="3003"/>
      <c r="J131" s="1810"/>
      <c r="K131" s="1211"/>
      <c r="L131" s="3003"/>
      <c r="M131" s="3003"/>
      <c r="N131" s="3003"/>
      <c r="O131" s="3003"/>
      <c r="P131" s="3004"/>
    </row>
    <row r="132" spans="1:16">
      <c r="A132" s="483">
        <f t="shared" si="0"/>
        <v>2008.03</v>
      </c>
      <c r="B132" s="1230">
        <v>128.4</v>
      </c>
      <c r="C132" s="3005">
        <v>-4.2327924236121299E-2</v>
      </c>
      <c r="D132" s="1276">
        <v>1.5038346023802163E-2</v>
      </c>
      <c r="E132" s="1215"/>
      <c r="F132" s="3003"/>
      <c r="G132" s="3003"/>
      <c r="H132" s="3003"/>
      <c r="I132" s="3003"/>
      <c r="J132" s="1810"/>
      <c r="K132" s="1211"/>
      <c r="L132" s="3003"/>
      <c r="M132" s="3003"/>
      <c r="N132" s="3003"/>
      <c r="O132" s="3003"/>
      <c r="P132" s="3004"/>
    </row>
    <row r="133" spans="1:16">
      <c r="A133" s="483">
        <f t="shared" si="0"/>
        <v>2008.04</v>
      </c>
      <c r="B133" s="1230">
        <v>131.69999999999999</v>
      </c>
      <c r="C133" s="3005">
        <v>2.5719360038123584E-2</v>
      </c>
      <c r="D133" s="1276">
        <v>5.0850798885585524E-2</v>
      </c>
      <c r="E133" s="1215"/>
      <c r="F133" s="3003"/>
      <c r="G133" s="3003"/>
      <c r="H133" s="3003"/>
      <c r="I133" s="3003"/>
      <c r="J133" s="1810"/>
      <c r="K133" s="1211"/>
      <c r="L133" s="3003"/>
      <c r="M133" s="3003"/>
      <c r="N133" s="3003"/>
      <c r="O133" s="3003"/>
      <c r="P133" s="3004"/>
    </row>
    <row r="134" spans="1:16">
      <c r="A134" s="483">
        <f t="shared" si="0"/>
        <v>2008.05</v>
      </c>
      <c r="B134" s="1230">
        <v>132.69999999999999</v>
      </c>
      <c r="C134" s="3005">
        <v>7.6696594023342168E-3</v>
      </c>
      <c r="D134" s="1276">
        <v>5.8483910269697015E-2</v>
      </c>
      <c r="E134" s="1215"/>
      <c r="F134" s="3003"/>
      <c r="G134" s="3003"/>
      <c r="H134" s="3003"/>
      <c r="I134" s="3003"/>
      <c r="J134" s="1810"/>
      <c r="K134" s="1211"/>
      <c r="L134" s="3003"/>
      <c r="M134" s="3003"/>
      <c r="N134" s="3003"/>
      <c r="O134" s="3003"/>
      <c r="P134" s="3004"/>
    </row>
    <row r="135" spans="1:16">
      <c r="A135" s="483">
        <f t="shared" si="0"/>
        <v>2008.06</v>
      </c>
      <c r="B135" s="1230">
        <v>126.1</v>
      </c>
      <c r="C135" s="3005">
        <v>-4.9801061018639903E-2</v>
      </c>
      <c r="D135" s="1276">
        <v>5.7852109942200247E-3</v>
      </c>
      <c r="E135" s="1215"/>
      <c r="F135" s="3003"/>
      <c r="G135" s="3003"/>
      <c r="H135" s="3003"/>
      <c r="I135" s="3003"/>
      <c r="J135" s="1810"/>
      <c r="K135" s="1211"/>
      <c r="L135" s="3003"/>
      <c r="M135" s="3003"/>
      <c r="N135" s="3003"/>
      <c r="O135" s="3003"/>
      <c r="P135" s="3004"/>
    </row>
    <row r="136" spans="1:16">
      <c r="A136" s="483">
        <f t="shared" si="0"/>
        <v>2008.07</v>
      </c>
      <c r="B136" s="1230">
        <v>134</v>
      </c>
      <c r="C136" s="3005">
        <v>6.2680288278338603E-2</v>
      </c>
      <c r="D136" s="1276">
        <v>8.5291034489877196E-2</v>
      </c>
      <c r="E136" s="1215"/>
      <c r="F136" s="3003"/>
      <c r="G136" s="3003"/>
      <c r="H136" s="3003"/>
      <c r="I136" s="3003"/>
      <c r="J136" s="1810"/>
      <c r="K136" s="1211"/>
      <c r="L136" s="3003"/>
      <c r="M136" s="3003"/>
      <c r="N136" s="3003"/>
      <c r="O136" s="3003"/>
      <c r="P136" s="3004"/>
    </row>
    <row r="137" spans="1:16">
      <c r="A137" s="483">
        <f t="shared" si="0"/>
        <v>2008.08</v>
      </c>
      <c r="B137" s="1230">
        <v>135.30000000000001</v>
      </c>
      <c r="C137" s="3005">
        <v>9.3419428203493915E-3</v>
      </c>
      <c r="D137" s="1276">
        <v>7.0436535537589995E-2</v>
      </c>
      <c r="E137" s="1215"/>
      <c r="F137" s="3003"/>
      <c r="G137" s="3003"/>
      <c r="H137" s="3003"/>
      <c r="I137" s="3003"/>
      <c r="J137" s="1810"/>
      <c r="K137" s="1211"/>
      <c r="L137" s="3003"/>
      <c r="M137" s="3003"/>
      <c r="N137" s="3003"/>
      <c r="O137" s="3003"/>
      <c r="P137" s="3004"/>
    </row>
    <row r="138" spans="1:16">
      <c r="A138" s="483">
        <f t="shared" si="0"/>
        <v>2008.09</v>
      </c>
      <c r="B138" s="1230">
        <v>132.19999999999999</v>
      </c>
      <c r="C138" s="3005">
        <v>-2.277425067081229E-2</v>
      </c>
      <c r="D138" s="1276">
        <v>3.2427116208334716E-2</v>
      </c>
      <c r="E138" s="1215"/>
      <c r="F138" s="3003"/>
      <c r="G138" s="3003"/>
      <c r="H138" s="3003"/>
      <c r="I138" s="3003"/>
      <c r="J138" s="1810"/>
      <c r="K138" s="1211"/>
      <c r="L138" s="3003"/>
      <c r="M138" s="3003"/>
      <c r="N138" s="3003"/>
      <c r="O138" s="3003"/>
      <c r="P138" s="3004"/>
    </row>
    <row r="139" spans="1:16">
      <c r="A139" s="483">
        <f t="shared" si="0"/>
        <v>2008.1</v>
      </c>
      <c r="B139" s="1230">
        <v>129.69999999999999</v>
      </c>
      <c r="C139" s="3005">
        <v>-1.8792833186264568E-2</v>
      </c>
      <c r="D139" s="1276">
        <v>-2.8537947468320612E-2</v>
      </c>
      <c r="E139" s="1215"/>
      <c r="F139" s="3003"/>
      <c r="G139" s="3003"/>
      <c r="H139" s="3003"/>
      <c r="I139" s="3003"/>
      <c r="J139" s="1810"/>
      <c r="K139" s="1211"/>
      <c r="L139" s="3003"/>
      <c r="M139" s="3003"/>
      <c r="N139" s="3003"/>
      <c r="O139" s="3003"/>
      <c r="P139" s="3004"/>
    </row>
    <row r="140" spans="1:16">
      <c r="A140" s="483">
        <f t="shared" si="0"/>
        <v>2008.11</v>
      </c>
      <c r="B140" s="1230">
        <v>126.8</v>
      </c>
      <c r="C140" s="3005">
        <v>-2.272830719404062E-2</v>
      </c>
      <c r="D140" s="1276">
        <v>-7.1301571832880883E-2</v>
      </c>
      <c r="E140" s="1215"/>
      <c r="F140" s="3003"/>
      <c r="G140" s="3003"/>
      <c r="H140" s="3003"/>
      <c r="I140" s="3003"/>
      <c r="J140" s="1810"/>
      <c r="K140" s="1211"/>
      <c r="L140" s="3003"/>
      <c r="M140" s="3003"/>
      <c r="N140" s="3003"/>
      <c r="O140" s="3003"/>
      <c r="P140" s="3004"/>
    </row>
    <row r="141" spans="1:16">
      <c r="A141" s="483">
        <f t="shared" si="0"/>
        <v>2008.12</v>
      </c>
      <c r="B141" s="1230">
        <v>122.8</v>
      </c>
      <c r="C141" s="3005">
        <v>-3.1517705078273006E-2</v>
      </c>
      <c r="D141" s="1276">
        <v>-0.1212392810855113</v>
      </c>
      <c r="E141" s="1215"/>
      <c r="F141" s="3003"/>
      <c r="G141" s="3003"/>
      <c r="H141" s="3003"/>
      <c r="I141" s="3003"/>
      <c r="J141" s="1810"/>
      <c r="K141" s="1211"/>
      <c r="L141" s="3003"/>
      <c r="M141" s="3003"/>
      <c r="N141" s="3003"/>
      <c r="O141" s="3003"/>
      <c r="P141" s="3004"/>
    </row>
    <row r="142" spans="1:16">
      <c r="A142" s="483">
        <f t="shared" si="0"/>
        <v>2009.01</v>
      </c>
      <c r="B142" s="1230">
        <v>125.6</v>
      </c>
      <c r="C142" s="3005">
        <v>2.3113597299386557E-2</v>
      </c>
      <c r="D142" s="1276">
        <v>-6.8503644610038328E-2</v>
      </c>
      <c r="E142" s="1215"/>
      <c r="F142" s="3003"/>
      <c r="G142" s="3003"/>
      <c r="H142" s="3003"/>
      <c r="I142" s="3003"/>
      <c r="J142" s="1810"/>
      <c r="K142" s="1211"/>
      <c r="L142" s="3003"/>
      <c r="M142" s="3003"/>
      <c r="N142" s="3003"/>
      <c r="O142" s="3003"/>
      <c r="P142" s="3004"/>
    </row>
    <row r="143" spans="1:16">
      <c r="A143" s="483">
        <f t="shared" si="0"/>
        <v>2009.02</v>
      </c>
      <c r="B143" s="1230">
        <v>127.1</v>
      </c>
      <c r="C143" s="3005">
        <v>1.2076137923942243E-2</v>
      </c>
      <c r="D143" s="1276">
        <v>-5.1977365493488199E-2</v>
      </c>
      <c r="E143" s="1215"/>
      <c r="F143" s="3003"/>
      <c r="G143" s="3003"/>
      <c r="H143" s="3003"/>
      <c r="I143" s="3003"/>
      <c r="J143" s="1810"/>
      <c r="K143" s="1211"/>
      <c r="L143" s="3003"/>
      <c r="M143" s="3003"/>
      <c r="N143" s="3003"/>
      <c r="O143" s="3003"/>
      <c r="P143" s="3004"/>
    </row>
    <row r="144" spans="1:16">
      <c r="A144" s="483">
        <f t="shared" si="0"/>
        <v>2009.03</v>
      </c>
      <c r="B144" s="1230">
        <v>127.2</v>
      </c>
      <c r="C144" s="3005">
        <v>5.3459627920049435E-4</v>
      </c>
      <c r="D144" s="1276">
        <v>-9.5467249340742688E-3</v>
      </c>
      <c r="E144" s="1215"/>
      <c r="F144" s="3003"/>
      <c r="G144" s="3003"/>
      <c r="H144" s="3003"/>
      <c r="I144" s="3003"/>
      <c r="J144" s="1810"/>
      <c r="K144" s="1211"/>
      <c r="L144" s="3003"/>
      <c r="M144" s="3003"/>
      <c r="N144" s="3003"/>
      <c r="O144" s="3003"/>
      <c r="P144" s="3004"/>
    </row>
    <row r="145" spans="1:16">
      <c r="A145" s="483">
        <f t="shared" si="0"/>
        <v>2009.04</v>
      </c>
      <c r="B145" s="1230">
        <v>128.6</v>
      </c>
      <c r="C145" s="3005">
        <v>1.0963809452484208E-2</v>
      </c>
      <c r="D145" s="1276">
        <v>-2.3794953028749455E-2</v>
      </c>
      <c r="E145" s="1215"/>
      <c r="F145" s="3003"/>
      <c r="G145" s="3003"/>
      <c r="H145" s="3003"/>
      <c r="I145" s="3003"/>
      <c r="J145" s="1810"/>
      <c r="K145" s="1211"/>
      <c r="L145" s="3003"/>
      <c r="M145" s="3003"/>
      <c r="N145" s="3003"/>
      <c r="O145" s="3003"/>
      <c r="P145" s="3004"/>
    </row>
    <row r="146" spans="1:16">
      <c r="A146" s="483">
        <f t="shared" si="0"/>
        <v>2009.05</v>
      </c>
      <c r="B146" s="1230">
        <v>126.1</v>
      </c>
      <c r="C146" s="3005">
        <v>-1.9246178472202669E-2</v>
      </c>
      <c r="D146" s="1276">
        <v>-4.9870340464913114E-2</v>
      </c>
      <c r="E146" s="1215"/>
      <c r="F146" s="3003"/>
      <c r="G146" s="3003"/>
      <c r="H146" s="3003"/>
      <c r="I146" s="3003"/>
      <c r="J146" s="1810"/>
      <c r="K146" s="1211"/>
      <c r="L146" s="3003"/>
      <c r="M146" s="3003"/>
      <c r="N146" s="3003"/>
      <c r="O146" s="3003"/>
      <c r="P146" s="3004"/>
    </row>
    <row r="147" spans="1:16">
      <c r="A147" s="483">
        <f t="shared" si="0"/>
        <v>2009.06</v>
      </c>
      <c r="B147" s="1230">
        <v>127.5</v>
      </c>
      <c r="C147" s="3005">
        <v>1.1463431588261574E-2</v>
      </c>
      <c r="D147" s="1276">
        <v>1.1389685319358023E-2</v>
      </c>
      <c r="E147" s="1215"/>
      <c r="F147" s="3003"/>
      <c r="G147" s="3003"/>
      <c r="H147" s="3003"/>
      <c r="I147" s="3003"/>
      <c r="J147" s="1810"/>
      <c r="K147" s="1211"/>
      <c r="L147" s="3003"/>
      <c r="M147" s="3003"/>
      <c r="N147" s="3003"/>
      <c r="O147" s="3003"/>
      <c r="P147" s="3004"/>
    </row>
    <row r="148" spans="1:16">
      <c r="A148" s="483">
        <f t="shared" si="0"/>
        <v>2009.07</v>
      </c>
      <c r="B148" s="1230">
        <v>125.5</v>
      </c>
      <c r="C148" s="3005">
        <v>-1.5802696243448988E-2</v>
      </c>
      <c r="D148" s="1276">
        <v>-6.3305292929475732E-2</v>
      </c>
      <c r="E148" s="1215"/>
      <c r="F148" s="3003"/>
      <c r="G148" s="3003"/>
      <c r="H148" s="3003"/>
      <c r="I148" s="3003"/>
      <c r="J148" s="1810"/>
      <c r="K148" s="1211"/>
      <c r="L148" s="3003"/>
      <c r="M148" s="3003"/>
      <c r="N148" s="3003"/>
      <c r="O148" s="3003"/>
      <c r="P148" s="3004"/>
    </row>
    <row r="149" spans="1:16">
      <c r="A149" s="483">
        <f t="shared" si="0"/>
        <v>2009.08</v>
      </c>
      <c r="B149" s="1230">
        <v>124.4</v>
      </c>
      <c r="C149" s="3005">
        <v>-8.9728279290288704E-3</v>
      </c>
      <c r="D149" s="1276">
        <v>-8.0301860786565205E-2</v>
      </c>
      <c r="E149" s="1215"/>
      <c r="F149" s="3003"/>
      <c r="G149" s="3003"/>
      <c r="H149" s="3003"/>
      <c r="I149" s="3003"/>
      <c r="J149" s="1810"/>
      <c r="K149" s="1211"/>
      <c r="L149" s="3003"/>
      <c r="M149" s="3003"/>
      <c r="N149" s="3003"/>
      <c r="O149" s="3003"/>
      <c r="P149" s="3004"/>
    </row>
    <row r="150" spans="1:16">
      <c r="A150" s="483">
        <f t="shared" si="0"/>
        <v>2009.09</v>
      </c>
      <c r="B150" s="1230">
        <v>127.4</v>
      </c>
      <c r="C150" s="3005">
        <v>2.4158585911803643E-2</v>
      </c>
      <c r="D150" s="1276">
        <v>-3.6131880101273328E-2</v>
      </c>
      <c r="E150" s="1215"/>
      <c r="F150" s="3003"/>
      <c r="G150" s="3003"/>
      <c r="H150" s="3003"/>
      <c r="I150" s="3003"/>
      <c r="J150" s="1810"/>
      <c r="K150" s="1211"/>
      <c r="L150" s="3003"/>
      <c r="M150" s="3003"/>
      <c r="N150" s="3003"/>
      <c r="O150" s="3003"/>
      <c r="P150" s="3004"/>
    </row>
    <row r="151" spans="1:16">
      <c r="A151" s="483">
        <f t="shared" si="0"/>
        <v>2009.1</v>
      </c>
      <c r="B151" s="1230">
        <v>127.2</v>
      </c>
      <c r="C151" s="3005">
        <v>-1.8685358794375828E-3</v>
      </c>
      <c r="D151" s="1276">
        <v>-1.9506654381906796E-2</v>
      </c>
      <c r="E151" s="1215"/>
      <c r="F151" s="3003"/>
      <c r="G151" s="3003"/>
      <c r="H151" s="3003"/>
      <c r="I151" s="3003"/>
      <c r="J151" s="1810"/>
      <c r="K151" s="1211"/>
      <c r="L151" s="3003"/>
      <c r="M151" s="3003"/>
      <c r="N151" s="3003"/>
      <c r="O151" s="3003"/>
      <c r="P151" s="3004"/>
    </row>
    <row r="152" spans="1:16">
      <c r="A152" s="483">
        <f t="shared" si="0"/>
        <v>2009.11</v>
      </c>
      <c r="B152" s="1230">
        <v>125.9</v>
      </c>
      <c r="C152" s="3005">
        <v>-1.023624663510736E-2</v>
      </c>
      <c r="D152" s="1276">
        <v>-6.9734127652131273E-3</v>
      </c>
      <c r="E152" s="1215"/>
      <c r="F152" s="3003"/>
      <c r="G152" s="3003"/>
      <c r="H152" s="3003"/>
      <c r="I152" s="3003"/>
      <c r="J152" s="1810"/>
      <c r="K152" s="1211"/>
      <c r="L152" s="3003"/>
      <c r="M152" s="3003"/>
      <c r="N152" s="3003"/>
      <c r="O152" s="3003"/>
      <c r="P152" s="3004"/>
    </row>
    <row r="153" spans="1:16">
      <c r="A153" s="483">
        <f t="shared" si="0"/>
        <v>2009.12</v>
      </c>
      <c r="B153" s="1230">
        <v>123.8</v>
      </c>
      <c r="C153" s="3005">
        <v>-1.6652887668188732E-2</v>
      </c>
      <c r="D153" s="1276">
        <v>8.2681244110522911E-3</v>
      </c>
      <c r="E153" s="1215"/>
      <c r="F153" s="3003"/>
      <c r="G153" s="3003"/>
      <c r="H153" s="3003"/>
      <c r="I153" s="3003"/>
      <c r="J153" s="1810"/>
      <c r="K153" s="1211"/>
      <c r="L153" s="3003"/>
      <c r="M153" s="3003"/>
      <c r="N153" s="3003"/>
      <c r="O153" s="3003"/>
      <c r="P153" s="3004"/>
    </row>
    <row r="154" spans="1:16">
      <c r="A154" s="483">
        <f t="shared" si="0"/>
        <v>2010.01</v>
      </c>
      <c r="B154" s="1230">
        <v>128.19999999999999</v>
      </c>
      <c r="C154" s="3005">
        <v>3.6076896172606787E-2</v>
      </c>
      <c r="D154" s="1276">
        <v>2.1043324619105963E-2</v>
      </c>
      <c r="E154" s="1215"/>
      <c r="F154" s="3003"/>
      <c r="G154" s="3003"/>
      <c r="H154" s="3003"/>
      <c r="I154" s="3003"/>
      <c r="J154" s="1810"/>
      <c r="K154" s="1211"/>
      <c r="L154" s="3003"/>
      <c r="M154" s="3003"/>
      <c r="N154" s="3003"/>
      <c r="O154" s="3003"/>
      <c r="P154" s="3004"/>
    </row>
    <row r="155" spans="1:16">
      <c r="A155" s="483">
        <f t="shared" si="0"/>
        <v>2010.02</v>
      </c>
      <c r="B155" s="1230">
        <v>131.80000000000001</v>
      </c>
      <c r="C155" s="3005">
        <v>2.774238263556672E-2</v>
      </c>
      <c r="D155" s="1276">
        <v>3.6848375232655384E-2</v>
      </c>
      <c r="E155" s="1215"/>
      <c r="F155" s="3003"/>
      <c r="G155" s="3003"/>
      <c r="H155" s="3003"/>
      <c r="I155" s="3003"/>
      <c r="J155" s="1810"/>
      <c r="K155" s="1211"/>
      <c r="L155" s="3003"/>
      <c r="M155" s="3003"/>
      <c r="N155" s="3003"/>
      <c r="O155" s="3003"/>
      <c r="P155" s="3004"/>
    </row>
    <row r="156" spans="1:16">
      <c r="A156" s="483">
        <f t="shared" si="0"/>
        <v>2010.03</v>
      </c>
      <c r="B156" s="1230">
        <v>141.6</v>
      </c>
      <c r="C156" s="3005">
        <v>7.4476962378028144E-2</v>
      </c>
      <c r="D156" s="1276">
        <v>0.11347443337750886</v>
      </c>
      <c r="E156" s="1215"/>
      <c r="F156" s="3003"/>
      <c r="G156" s="3003"/>
      <c r="H156" s="3003"/>
      <c r="I156" s="3003"/>
      <c r="J156" s="1810"/>
      <c r="K156" s="1211"/>
      <c r="L156" s="3003"/>
      <c r="M156" s="3003"/>
      <c r="N156" s="3003"/>
      <c r="O156" s="3003"/>
      <c r="P156" s="3004"/>
    </row>
    <row r="157" spans="1:16">
      <c r="A157" s="483">
        <f t="shared" si="0"/>
        <v>2010.04</v>
      </c>
      <c r="B157" s="1230">
        <v>142.4</v>
      </c>
      <c r="C157" s="3005">
        <v>5.8857704434760461E-3</v>
      </c>
      <c r="D157" s="1276">
        <v>0.1078814867701654</v>
      </c>
      <c r="E157" s="1215"/>
      <c r="F157" s="3003"/>
      <c r="G157" s="3003"/>
      <c r="H157" s="3003"/>
      <c r="I157" s="3003"/>
      <c r="J157" s="1810"/>
      <c r="K157" s="1211"/>
      <c r="L157" s="3003"/>
      <c r="M157" s="3003"/>
      <c r="N157" s="3003"/>
      <c r="O157" s="3003"/>
      <c r="P157" s="3004"/>
    </row>
    <row r="158" spans="1:16">
      <c r="A158" s="483">
        <f t="shared" si="0"/>
        <v>2010.05</v>
      </c>
      <c r="B158" s="1230">
        <v>141.69999999999999</v>
      </c>
      <c r="C158" s="3005">
        <v>-5.0759859818075848E-3</v>
      </c>
      <c r="D158" s="1276">
        <v>0.1238884536353293</v>
      </c>
      <c r="E158" s="1215"/>
      <c r="F158" s="3003"/>
      <c r="G158" s="3003"/>
      <c r="H158" s="3003"/>
      <c r="I158" s="3003"/>
      <c r="J158" s="1810"/>
      <c r="K158" s="1211"/>
      <c r="L158" s="3003"/>
      <c r="M158" s="3003"/>
      <c r="N158" s="3003"/>
      <c r="O158" s="3003"/>
      <c r="P158" s="3004"/>
    </row>
    <row r="159" spans="1:16">
      <c r="A159" s="483">
        <f t="shared" si="0"/>
        <v>2010.06</v>
      </c>
      <c r="B159" s="1230">
        <v>141.80000000000001</v>
      </c>
      <c r="C159" s="3005">
        <v>7.6864084604322258E-4</v>
      </c>
      <c r="D159" s="1276">
        <v>0.11200492779164041</v>
      </c>
      <c r="E159" s="1215"/>
      <c r="F159" s="3003"/>
      <c r="G159" s="3003"/>
      <c r="H159" s="3003"/>
      <c r="I159" s="3003"/>
      <c r="J159" s="1810"/>
      <c r="K159" s="1211"/>
      <c r="L159" s="3003"/>
      <c r="M159" s="3003"/>
      <c r="N159" s="3003"/>
      <c r="O159" s="3003"/>
      <c r="P159" s="3004"/>
    </row>
    <row r="160" spans="1:16">
      <c r="A160" s="483">
        <f t="shared" si="0"/>
        <v>2010.07</v>
      </c>
      <c r="B160" s="1230">
        <v>140.80000000000001</v>
      </c>
      <c r="C160" s="3005">
        <v>-7.1289322591013837E-3</v>
      </c>
      <c r="D160" s="1276">
        <v>0.12180506467098517</v>
      </c>
      <c r="E160" s="1215"/>
      <c r="F160" s="3003"/>
      <c r="G160" s="3003"/>
      <c r="H160" s="3003"/>
      <c r="I160" s="3003"/>
      <c r="J160" s="1810"/>
      <c r="K160" s="1211"/>
      <c r="L160" s="3003"/>
      <c r="M160" s="3003"/>
      <c r="N160" s="3003"/>
      <c r="O160" s="3003"/>
      <c r="P160" s="3004"/>
    </row>
    <row r="161" spans="1:16">
      <c r="A161" s="483">
        <f t="shared" si="0"/>
        <v>2010.08</v>
      </c>
      <c r="B161" s="1230">
        <v>146</v>
      </c>
      <c r="C161" s="3005">
        <v>3.6621404448605066E-2</v>
      </c>
      <c r="D161" s="1276">
        <v>0.17341600152767178</v>
      </c>
      <c r="E161" s="1215"/>
      <c r="F161" s="3003"/>
      <c r="G161" s="3003"/>
      <c r="H161" s="3003"/>
      <c r="I161" s="3003"/>
      <c r="J161" s="1810"/>
      <c r="K161" s="1211"/>
      <c r="L161" s="3003"/>
      <c r="M161" s="3003"/>
      <c r="N161" s="3003"/>
      <c r="O161" s="3003"/>
      <c r="P161" s="3004"/>
    </row>
    <row r="162" spans="1:16">
      <c r="A162" s="483">
        <f t="shared" si="0"/>
        <v>2010.09</v>
      </c>
      <c r="B162" s="1230">
        <v>144.19999999999999</v>
      </c>
      <c r="C162" s="3005">
        <v>-1.2290219043863071E-2</v>
      </c>
      <c r="D162" s="1276">
        <v>0.13165527075816619</v>
      </c>
      <c r="E162" s="1215"/>
      <c r="F162" s="3003"/>
      <c r="G162" s="3003"/>
      <c r="H162" s="3003"/>
      <c r="I162" s="3003"/>
      <c r="J162" s="1810"/>
      <c r="K162" s="1211"/>
      <c r="L162" s="3003"/>
      <c r="M162" s="3003"/>
      <c r="N162" s="3003"/>
      <c r="O162" s="3003"/>
      <c r="P162" s="3004"/>
    </row>
    <row r="163" spans="1:16">
      <c r="A163" s="483">
        <f t="shared" si="0"/>
        <v>2010.1</v>
      </c>
      <c r="B163" s="1230">
        <v>142.4</v>
      </c>
      <c r="C163" s="3005">
        <v>-1.2604256561290383E-2</v>
      </c>
      <c r="D163" s="1276">
        <v>0.11948339227148728</v>
      </c>
      <c r="E163" s="1215"/>
      <c r="F163" s="3003"/>
      <c r="G163" s="3003"/>
      <c r="H163" s="3003"/>
      <c r="I163" s="3003"/>
      <c r="J163" s="1810"/>
      <c r="K163" s="1211"/>
      <c r="L163" s="3003"/>
      <c r="M163" s="3003"/>
      <c r="N163" s="3003"/>
      <c r="O163" s="3003"/>
      <c r="P163" s="3004"/>
    </row>
    <row r="164" spans="1:16">
      <c r="A164" s="483">
        <f t="shared" si="0"/>
        <v>2010.11</v>
      </c>
      <c r="B164" s="1230">
        <v>143.80000000000001</v>
      </c>
      <c r="C164" s="3005">
        <v>9.9105252395981225E-3</v>
      </c>
      <c r="D164" s="1276">
        <v>0.14227062452255579</v>
      </c>
      <c r="E164" s="1215"/>
      <c r="F164" s="3003"/>
      <c r="G164" s="3003"/>
      <c r="H164" s="3003"/>
      <c r="I164" s="3003"/>
      <c r="J164" s="1810"/>
      <c r="K164" s="1211"/>
      <c r="L164" s="3003"/>
      <c r="M164" s="3003"/>
      <c r="N164" s="3003"/>
      <c r="O164" s="3003"/>
      <c r="P164" s="3004"/>
    </row>
    <row r="165" spans="1:16">
      <c r="A165" s="483">
        <f t="shared" si="0"/>
        <v>2010.12</v>
      </c>
      <c r="B165" s="1230">
        <v>146.69999999999999</v>
      </c>
      <c r="C165" s="3005">
        <v>2.0620804016958649E-2</v>
      </c>
      <c r="D165" s="1276">
        <v>0.18556829890987614</v>
      </c>
      <c r="E165" s="1215"/>
      <c r="F165" s="3003"/>
      <c r="G165" s="3003"/>
      <c r="H165" s="3003"/>
      <c r="I165" s="3003"/>
      <c r="J165" s="1810"/>
      <c r="K165" s="1211"/>
      <c r="L165" s="3003"/>
      <c r="M165" s="3003"/>
      <c r="N165" s="3003"/>
      <c r="O165" s="3003"/>
      <c r="P165" s="3004"/>
    </row>
    <row r="166" spans="1:16">
      <c r="A166" s="483">
        <f t="shared" si="0"/>
        <v>2011.01</v>
      </c>
      <c r="B166" s="1230">
        <v>149.30000000000001</v>
      </c>
      <c r="C166" s="3005">
        <v>1.7260617391163358E-2</v>
      </c>
      <c r="D166" s="1276">
        <v>0.16403709431575919</v>
      </c>
      <c r="E166" s="1215"/>
      <c r="F166" s="3003"/>
      <c r="G166" s="3003"/>
      <c r="H166" s="3003"/>
      <c r="I166" s="3003"/>
      <c r="J166" s="1810"/>
      <c r="K166" s="1211"/>
      <c r="L166" s="3003"/>
      <c r="M166" s="3003"/>
      <c r="N166" s="3003"/>
      <c r="O166" s="3003"/>
      <c r="P166" s="3004"/>
    </row>
    <row r="167" spans="1:16">
      <c r="A167" s="483">
        <f t="shared" si="0"/>
        <v>2011.02</v>
      </c>
      <c r="B167" s="1230">
        <v>147.80000000000001</v>
      </c>
      <c r="C167" s="3005">
        <v>-9.5554161108898361E-3</v>
      </c>
      <c r="D167" s="1276">
        <v>0.12179302419590844</v>
      </c>
      <c r="E167" s="1215"/>
      <c r="F167" s="3003"/>
      <c r="G167" s="3003"/>
      <c r="H167" s="3003"/>
      <c r="I167" s="3003"/>
      <c r="J167" s="1810"/>
      <c r="K167" s="1211"/>
      <c r="L167" s="3003"/>
      <c r="M167" s="3003"/>
      <c r="N167" s="3003"/>
      <c r="O167" s="3003"/>
      <c r="P167" s="3004"/>
    </row>
    <row r="168" spans="1:16">
      <c r="A168" s="483">
        <f t="shared" si="0"/>
        <v>2011.03</v>
      </c>
      <c r="B168" s="1230">
        <v>146.69999999999999</v>
      </c>
      <c r="C168" s="3005">
        <v>-7.7831833113841675E-3</v>
      </c>
      <c r="D168" s="1276">
        <v>3.5910440543774458E-2</v>
      </c>
      <c r="E168" s="1215"/>
      <c r="F168" s="3003"/>
      <c r="G168" s="3003"/>
      <c r="H168" s="3003"/>
      <c r="I168" s="3003"/>
      <c r="J168" s="1810"/>
      <c r="K168" s="1211"/>
      <c r="L168" s="3003"/>
      <c r="M168" s="3003"/>
      <c r="N168" s="3003"/>
      <c r="O168" s="3003"/>
      <c r="P168" s="3004"/>
    </row>
    <row r="169" spans="1:16">
      <c r="A169" s="483">
        <f t="shared" si="0"/>
        <v>2011.04</v>
      </c>
      <c r="B169" s="1230">
        <v>147.19999999999999</v>
      </c>
      <c r="C169" s="3005">
        <v>3.7137774671076595E-3</v>
      </c>
      <c r="D169" s="1276">
        <v>3.3673615779849619E-2</v>
      </c>
      <c r="E169" s="1215"/>
      <c r="F169" s="3003"/>
      <c r="G169" s="3003"/>
      <c r="H169" s="3003"/>
      <c r="I169" s="3003"/>
      <c r="J169" s="1810"/>
      <c r="K169" s="1211"/>
      <c r="L169" s="3003"/>
      <c r="M169" s="3003"/>
      <c r="N169" s="3003"/>
      <c r="O169" s="3003"/>
      <c r="P169" s="3004"/>
    </row>
    <row r="170" spans="1:16">
      <c r="A170" s="483">
        <f t="shared" si="0"/>
        <v>2011.05</v>
      </c>
      <c r="B170" s="1230">
        <v>149</v>
      </c>
      <c r="C170" s="3005">
        <v>1.2118403463434957E-2</v>
      </c>
      <c r="D170" s="1276">
        <v>5.1537680229565286E-2</v>
      </c>
      <c r="E170" s="1215"/>
      <c r="F170" s="3003"/>
      <c r="G170" s="3003"/>
      <c r="H170" s="3003"/>
      <c r="I170" s="3003"/>
      <c r="J170" s="1810"/>
      <c r="K170" s="1211"/>
      <c r="L170" s="3003"/>
      <c r="M170" s="3003"/>
      <c r="N170" s="3003"/>
      <c r="O170" s="3003"/>
      <c r="P170" s="3004"/>
    </row>
    <row r="171" spans="1:16">
      <c r="A171" s="483">
        <f t="shared" si="0"/>
        <v>2011.06</v>
      </c>
      <c r="B171" s="1230">
        <v>150.80000000000001</v>
      </c>
      <c r="C171" s="3005">
        <v>1.1928277819233335E-2</v>
      </c>
      <c r="D171" s="1276">
        <v>6.3263446101956999E-2</v>
      </c>
      <c r="E171" s="1215"/>
      <c r="F171" s="3003"/>
      <c r="G171" s="3003"/>
      <c r="H171" s="3003"/>
      <c r="I171" s="3003"/>
      <c r="J171" s="1810"/>
      <c r="K171" s="1211"/>
      <c r="L171" s="3003"/>
      <c r="M171" s="3003"/>
      <c r="N171" s="3003"/>
      <c r="O171" s="3003"/>
      <c r="P171" s="3004"/>
    </row>
    <row r="172" spans="1:16">
      <c r="A172" s="483">
        <f t="shared" si="0"/>
        <v>2011.07</v>
      </c>
      <c r="B172" s="1230">
        <v>150.80000000000001</v>
      </c>
      <c r="C172" s="3005">
        <v>2.5214215107260962E-4</v>
      </c>
      <c r="D172" s="1276">
        <v>7.1167822478995779E-2</v>
      </c>
      <c r="E172" s="1215"/>
      <c r="F172" s="3003"/>
      <c r="G172" s="3003"/>
      <c r="H172" s="3003"/>
      <c r="I172" s="3003"/>
      <c r="J172" s="1810"/>
      <c r="K172" s="1211"/>
      <c r="L172" s="3003"/>
      <c r="M172" s="3003"/>
      <c r="N172" s="3003"/>
      <c r="O172" s="3003"/>
      <c r="P172" s="3004"/>
    </row>
    <row r="173" spans="1:16">
      <c r="A173" s="483">
        <f t="shared" si="0"/>
        <v>2011.08</v>
      </c>
      <c r="B173" s="1230">
        <v>150.30000000000001</v>
      </c>
      <c r="C173" s="3005">
        <v>-3.3682986008634064E-3</v>
      </c>
      <c r="D173" s="1276">
        <v>2.9845423623199752E-2</v>
      </c>
      <c r="E173" s="1215"/>
      <c r="F173" s="3003"/>
      <c r="G173" s="3003"/>
      <c r="H173" s="3003"/>
      <c r="I173" s="3003"/>
      <c r="J173" s="1810"/>
      <c r="K173" s="1211"/>
      <c r="L173" s="3003"/>
      <c r="M173" s="3003"/>
      <c r="N173" s="3003"/>
      <c r="O173" s="3003"/>
      <c r="P173" s="3004"/>
    </row>
    <row r="174" spans="1:16">
      <c r="A174" s="483">
        <f t="shared" si="0"/>
        <v>2011.09</v>
      </c>
      <c r="B174" s="1230">
        <v>153.19999999999999</v>
      </c>
      <c r="C174" s="3005">
        <v>1.9111339989988929E-2</v>
      </c>
      <c r="D174" s="1276">
        <v>6.2586571366356925E-2</v>
      </c>
      <c r="E174" s="1215"/>
      <c r="F174" s="3003"/>
      <c r="G174" s="3003"/>
      <c r="H174" s="3003"/>
      <c r="I174" s="3003"/>
      <c r="J174" s="1810"/>
      <c r="K174" s="1211"/>
      <c r="L174" s="3003"/>
      <c r="M174" s="3003"/>
      <c r="N174" s="3003"/>
      <c r="O174" s="3003"/>
      <c r="P174" s="3004"/>
    </row>
    <row r="175" spans="1:16">
      <c r="A175" s="483">
        <f t="shared" si="0"/>
        <v>2011.1</v>
      </c>
      <c r="B175" s="1230">
        <v>152.6</v>
      </c>
      <c r="C175" s="3005">
        <v>-4.1448659615160865E-3</v>
      </c>
      <c r="D175" s="1276">
        <v>7.1690150061114455E-2</v>
      </c>
      <c r="E175" s="1215"/>
      <c r="F175" s="3003"/>
      <c r="G175" s="3003"/>
      <c r="H175" s="3003"/>
      <c r="I175" s="3003"/>
      <c r="J175" s="1810"/>
      <c r="K175" s="1211"/>
      <c r="L175" s="3003"/>
      <c r="M175" s="3003"/>
      <c r="N175" s="3003"/>
      <c r="O175" s="3003"/>
      <c r="P175" s="3004"/>
    </row>
    <row r="176" spans="1:16">
      <c r="A176" s="483">
        <f t="shared" si="0"/>
        <v>2011.11</v>
      </c>
      <c r="B176" s="1230">
        <v>152.80000000000001</v>
      </c>
      <c r="C176" s="3005">
        <v>1.4888227678369059E-3</v>
      </c>
      <c r="D176" s="1276">
        <v>6.2753263713098306E-2</v>
      </c>
      <c r="E176" s="1215"/>
      <c r="F176" s="3003"/>
      <c r="G176" s="3003"/>
      <c r="H176" s="3003"/>
      <c r="I176" s="3003"/>
      <c r="J176" s="1810"/>
      <c r="K176" s="1211"/>
      <c r="L176" s="3003"/>
      <c r="M176" s="3003"/>
      <c r="N176" s="3003"/>
      <c r="O176" s="3003"/>
      <c r="P176" s="3004"/>
    </row>
    <row r="177" spans="1:16">
      <c r="A177" s="483">
        <f t="shared" si="0"/>
        <v>2011.12</v>
      </c>
      <c r="B177" s="1230">
        <v>152.4</v>
      </c>
      <c r="C177" s="3005">
        <v>-2.7109326000459566E-3</v>
      </c>
      <c r="D177" s="1276">
        <v>3.8458364823888536E-2</v>
      </c>
      <c r="E177" s="1215"/>
      <c r="F177" s="3003"/>
      <c r="G177" s="3003"/>
      <c r="H177" s="3003"/>
      <c r="I177" s="3003"/>
      <c r="J177" s="1810"/>
      <c r="K177" s="1211"/>
      <c r="L177" s="3003"/>
      <c r="M177" s="3003"/>
      <c r="N177" s="3003"/>
      <c r="O177" s="3003"/>
      <c r="P177" s="3004"/>
    </row>
    <row r="178" spans="1:16">
      <c r="A178" s="483">
        <f t="shared" si="0"/>
        <v>2012.01</v>
      </c>
      <c r="B178" s="1230">
        <v>152.1</v>
      </c>
      <c r="C178" s="3005">
        <v>-1.5578405880263269E-3</v>
      </c>
      <c r="D178" s="1276">
        <v>1.9247766509669306E-2</v>
      </c>
      <c r="E178" s="998">
        <v>8.6156548750437878E-5</v>
      </c>
      <c r="F178" s="3006">
        <v>1.8910754958045839E-3</v>
      </c>
      <c r="G178" s="3006">
        <v>-2.5179979355356763E-2</v>
      </c>
      <c r="H178" s="3006">
        <v>-5.0605560578277926E-2</v>
      </c>
      <c r="I178" s="3006">
        <v>2.0998613951487499E-2</v>
      </c>
      <c r="J178" s="1811">
        <v>-4.9315858535668111E-2</v>
      </c>
      <c r="K178" s="1274">
        <v>3.836219164416943E-2</v>
      </c>
      <c r="L178" s="3006">
        <v>-9.6029441974369023E-3</v>
      </c>
      <c r="M178" s="3006">
        <v>-1.8927566906016491E-2</v>
      </c>
      <c r="N178" s="3006">
        <v>4.5687841546337316E-2</v>
      </c>
      <c r="O178" s="3006">
        <v>6.10475634797778E-2</v>
      </c>
      <c r="P178" s="3007">
        <v>-6.6456194785016187E-3</v>
      </c>
    </row>
    <row r="179" spans="1:16">
      <c r="A179" s="483">
        <f t="shared" si="0"/>
        <v>2012.02</v>
      </c>
      <c r="B179" s="1230">
        <v>150.5</v>
      </c>
      <c r="C179" s="3005">
        <v>-1.1045539343283561E-2</v>
      </c>
      <c r="D179" s="1276">
        <v>1.771430890775294E-2</v>
      </c>
      <c r="E179" s="999">
        <v>-3.2185664684469817E-4</v>
      </c>
      <c r="F179" s="3008">
        <v>1.1802281963974703E-2</v>
      </c>
      <c r="G179" s="3008">
        <v>-2.703841767551074E-2</v>
      </c>
      <c r="H179" s="3008">
        <v>9.6681291472751063E-3</v>
      </c>
      <c r="I179" s="3008">
        <v>-1.7716923932322826E-2</v>
      </c>
      <c r="J179" s="1812">
        <v>-0.10724500060204678</v>
      </c>
      <c r="K179" s="1013">
        <v>3.3342912966092486E-2</v>
      </c>
      <c r="L179" s="3008">
        <v>2.9536199316563039E-2</v>
      </c>
      <c r="M179" s="3008">
        <v>-3.4023722407057977E-2</v>
      </c>
      <c r="N179" s="3008">
        <v>7.1589618575088831E-2</v>
      </c>
      <c r="O179" s="3008">
        <v>8.1207180084877262E-2</v>
      </c>
      <c r="P179" s="3009">
        <v>-0.13439230794980273</v>
      </c>
    </row>
    <row r="180" spans="1:16">
      <c r="A180" s="483">
        <f t="shared" si="0"/>
        <v>2012.03</v>
      </c>
      <c r="B180" s="1230">
        <v>154</v>
      </c>
      <c r="C180" s="3005">
        <v>2.3361631288474349E-2</v>
      </c>
      <c r="D180" s="1276">
        <v>4.9659467398754931E-2</v>
      </c>
      <c r="E180" s="999">
        <v>3.6359218803538873E-4</v>
      </c>
      <c r="F180" s="3008">
        <v>-1.3966145852889134E-2</v>
      </c>
      <c r="G180" s="3008">
        <v>2.5653705623399858E-2</v>
      </c>
      <c r="H180" s="3008">
        <v>-5.2114596532996327E-2</v>
      </c>
      <c r="I180" s="3008">
        <v>0.1107846579630194</v>
      </c>
      <c r="J180" s="1812">
        <v>0.1882163476985268</v>
      </c>
      <c r="K180" s="1013">
        <v>3.075471247860273E-2</v>
      </c>
      <c r="L180" s="3008">
        <v>3.6356958545656903E-2</v>
      </c>
      <c r="M180" s="3008">
        <v>1.0238012630979121E-2</v>
      </c>
      <c r="N180" s="3008">
        <v>-9.0956471575275769E-2</v>
      </c>
      <c r="O180" s="3008">
        <v>0.13802086898377142</v>
      </c>
      <c r="P180" s="3009">
        <v>0.14688043562564457</v>
      </c>
    </row>
    <row r="181" spans="1:16">
      <c r="A181" s="483">
        <f t="shared" si="0"/>
        <v>2012.04</v>
      </c>
      <c r="B181" s="1230">
        <v>147</v>
      </c>
      <c r="C181" s="3005">
        <v>-4.5138848400377733E-2</v>
      </c>
      <c r="D181" s="1276">
        <v>-1.4294210874606916E-3</v>
      </c>
      <c r="E181" s="999">
        <v>-5.3070417123057823E-4</v>
      </c>
      <c r="F181" s="3008">
        <v>-1.3133584394261266E-2</v>
      </c>
      <c r="G181" s="3008">
        <v>-2.3870199583290175E-2</v>
      </c>
      <c r="H181" s="3008">
        <v>-5.8185282677171928E-2</v>
      </c>
      <c r="I181" s="3008">
        <v>-0.12914815502171306</v>
      </c>
      <c r="J181" s="1812">
        <v>-0.16185954560751792</v>
      </c>
      <c r="K181" s="3008">
        <v>2.3781273969136763E-2</v>
      </c>
      <c r="L181" s="3008">
        <v>1.4945185067679168E-2</v>
      </c>
      <c r="M181" s="3008">
        <v>-1.6108421408193241E-2</v>
      </c>
      <c r="N181" s="3008">
        <v>-8.4318375146337873E-2</v>
      </c>
      <c r="O181" s="3008">
        <v>1.9989948472227459E-2</v>
      </c>
      <c r="P181" s="3009">
        <v>-0.11700338734064619</v>
      </c>
    </row>
    <row r="182" spans="1:16">
      <c r="A182" s="483">
        <f t="shared" si="0"/>
        <v>2012.05</v>
      </c>
      <c r="B182" s="1230">
        <v>149.69999999999999</v>
      </c>
      <c r="C182" s="3005">
        <v>1.8305045338955495E-2</v>
      </c>
      <c r="D182" s="1276">
        <v>4.6744087984724736E-3</v>
      </c>
      <c r="E182" s="999">
        <v>-1.8611279864932939E-4</v>
      </c>
      <c r="F182" s="3008">
        <v>-1.5946194554951831E-2</v>
      </c>
      <c r="G182" s="3008">
        <v>-3.0076273709234158E-3</v>
      </c>
      <c r="H182" s="3008">
        <v>3.935802213737194E-2</v>
      </c>
      <c r="I182" s="3008">
        <v>0.10456512611283199</v>
      </c>
      <c r="J182" s="1812">
        <v>9.9244119939359443E-2</v>
      </c>
      <c r="K182" s="3008">
        <v>1.9256539130285688E-2</v>
      </c>
      <c r="L182" s="3008">
        <v>4.6534100718822469E-3</v>
      </c>
      <c r="M182" s="3008">
        <v>-4.4403296819639504E-3</v>
      </c>
      <c r="N182" s="3008">
        <v>-0.10293606564590352</v>
      </c>
      <c r="O182" s="3008">
        <v>5.171222520481944E-2</v>
      </c>
      <c r="P182" s="3009">
        <v>-7.3226750589788003E-2</v>
      </c>
    </row>
    <row r="183" spans="1:16">
      <c r="A183" s="483">
        <f t="shared" si="0"/>
        <v>2012.06</v>
      </c>
      <c r="B183" s="1230">
        <v>147.4</v>
      </c>
      <c r="C183" s="3005">
        <v>-1.574458559776315E-2</v>
      </c>
      <c r="D183" s="1276">
        <v>-2.2800085493897004E-2</v>
      </c>
      <c r="E183" s="999">
        <v>-9.3641764879037748E-4</v>
      </c>
      <c r="F183" s="3008">
        <v>5.6262258832064926E-3</v>
      </c>
      <c r="G183" s="3008">
        <v>1.3308011393877051E-2</v>
      </c>
      <c r="H183" s="3008">
        <v>-4.1932788171969208E-2</v>
      </c>
      <c r="I183" s="3008">
        <v>-6.0375166377738661E-2</v>
      </c>
      <c r="J183" s="1812">
        <v>2.3745608620768799E-3</v>
      </c>
      <c r="K183" s="3008">
        <v>1.3425813981966517E-2</v>
      </c>
      <c r="L183" s="3008">
        <v>5.2326155935746854E-3</v>
      </c>
      <c r="M183" s="3008">
        <v>-1.4476859266085107E-2</v>
      </c>
      <c r="N183" s="3008">
        <v>-3.6997333263312782E-2</v>
      </c>
      <c r="O183" s="3008">
        <v>-4.5753467546569615E-2</v>
      </c>
      <c r="P183" s="3009">
        <v>-0.12975112936578237</v>
      </c>
    </row>
    <row r="184" spans="1:16">
      <c r="A184" s="483">
        <f t="shared" si="0"/>
        <v>2012.07</v>
      </c>
      <c r="B184" s="1230">
        <v>145.1</v>
      </c>
      <c r="C184" s="3005">
        <v>-1.5577593196184458E-2</v>
      </c>
      <c r="D184" s="1276">
        <v>-3.8265002164535211E-2</v>
      </c>
      <c r="E184" s="999">
        <v>-2.200691689094314E-3</v>
      </c>
      <c r="F184" s="3008">
        <v>-2.5886482213937745E-2</v>
      </c>
      <c r="G184" s="3008">
        <v>1.5100743838926123E-2</v>
      </c>
      <c r="H184" s="3008">
        <v>-0.1065566097777938</v>
      </c>
      <c r="I184" s="3008">
        <v>-2.5232501096436044E-3</v>
      </c>
      <c r="J184" s="1812">
        <v>7.8029747193886223E-3</v>
      </c>
      <c r="K184" s="3008">
        <v>7.9063336857416733E-3</v>
      </c>
      <c r="L184" s="3008">
        <v>-3.8225017801712058E-2</v>
      </c>
      <c r="M184" s="3008">
        <v>-2.9203526289657722E-2</v>
      </c>
      <c r="N184" s="3008">
        <v>-0.15176745848245266</v>
      </c>
      <c r="O184" s="3008">
        <v>-3.221385207014793E-2</v>
      </c>
      <c r="P184" s="3009">
        <v>-7.538029806223201E-2</v>
      </c>
    </row>
    <row r="185" spans="1:16">
      <c r="A185" s="483">
        <f t="shared" si="0"/>
        <v>2012.08</v>
      </c>
      <c r="B185" s="1230">
        <v>144.30000000000001</v>
      </c>
      <c r="C185" s="3005">
        <v>-4.9564251900902079E-3</v>
      </c>
      <c r="D185" s="1276">
        <v>-3.9797521067664987E-2</v>
      </c>
      <c r="E185" s="999">
        <v>-2.1657649828534797E-3</v>
      </c>
      <c r="F185" s="3008">
        <v>-8.4320987349327803E-3</v>
      </c>
      <c r="G185" s="3008">
        <v>-5.0676401394644903E-2</v>
      </c>
      <c r="H185" s="3008">
        <v>1.3382135826078168E-2</v>
      </c>
      <c r="I185" s="3008">
        <v>1.7863955453194968E-2</v>
      </c>
      <c r="J185" s="1812">
        <v>-1.1498926616652194E-2</v>
      </c>
      <c r="K185" s="3008">
        <v>2.4609363085481561E-4</v>
      </c>
      <c r="L185" s="3008">
        <v>-2.9837538387829321E-2</v>
      </c>
      <c r="M185" s="3008">
        <v>-8.6989365391954565E-2</v>
      </c>
      <c r="N185" s="3008">
        <v>-7.0310383322628178E-2</v>
      </c>
      <c r="O185" s="3008">
        <v>9.4997952989943624E-3</v>
      </c>
      <c r="P185" s="3009">
        <v>-6.7453830576399643E-2</v>
      </c>
    </row>
    <row r="186" spans="1:16">
      <c r="A186" s="483">
        <f t="shared" si="0"/>
        <v>2012.09</v>
      </c>
      <c r="B186" s="1230">
        <v>144.4</v>
      </c>
      <c r="C186" s="3005">
        <v>2.2098372193735116E-4</v>
      </c>
      <c r="D186" s="1276">
        <v>-5.759593641713634E-2</v>
      </c>
      <c r="E186" s="999">
        <v>-3.9267169006618197E-4</v>
      </c>
      <c r="F186" s="3008">
        <v>4.4242171546666764E-3</v>
      </c>
      <c r="G186" s="3008">
        <v>-4.1043654613330816E-3</v>
      </c>
      <c r="H186" s="3008">
        <v>9.8013629588581619E-2</v>
      </c>
      <c r="I186" s="3008">
        <v>-4.0424854934523191E-3</v>
      </c>
      <c r="J186" s="1812">
        <v>-5.5253129967204107E-2</v>
      </c>
      <c r="K186" s="3008">
        <v>-2.7158794775139494E-4</v>
      </c>
      <c r="L186" s="3008">
        <v>-5.7545485996357899E-2</v>
      </c>
      <c r="M186" s="3008">
        <v>-0.11641433379366994</v>
      </c>
      <c r="N186" s="3008">
        <v>-0.15386955602881702</v>
      </c>
      <c r="O186" s="3008">
        <v>-1.5932818492063738E-2</v>
      </c>
      <c r="P186" s="3009">
        <v>-0.14205926148439529</v>
      </c>
    </row>
    <row r="187" spans="1:16">
      <c r="A187" s="483">
        <f t="shared" si="0"/>
        <v>2012.1</v>
      </c>
      <c r="B187" s="1230">
        <v>146.69999999999999</v>
      </c>
      <c r="C187" s="3005">
        <v>1.629055502026544E-2</v>
      </c>
      <c r="D187" s="1276">
        <v>-3.8257356822573252E-2</v>
      </c>
      <c r="E187" s="999">
        <v>1.4617343383538373E-3</v>
      </c>
      <c r="F187" s="3008">
        <v>-6.6246815284288774E-3</v>
      </c>
      <c r="G187" s="3008">
        <v>-1.2201503331501495E-2</v>
      </c>
      <c r="H187" s="3008">
        <v>-4.5574752336065123E-2</v>
      </c>
      <c r="I187" s="3008">
        <v>7.9985435160475182E-2</v>
      </c>
      <c r="J187" s="1812">
        <v>2.3196665175660547E-2</v>
      </c>
      <c r="K187" s="3008">
        <v>5.3507605798386315E-3</v>
      </c>
      <c r="L187" s="3008">
        <v>-5.8252668366132632E-2</v>
      </c>
      <c r="M187" s="3008">
        <v>-9.6167831420287411E-2</v>
      </c>
      <c r="N187" s="3008">
        <v>-0.14634394547361496</v>
      </c>
      <c r="O187" s="3008">
        <v>5.9989734465002442E-2</v>
      </c>
      <c r="P187" s="3009">
        <v>-0.12469555761875328</v>
      </c>
    </row>
    <row r="188" spans="1:16">
      <c r="A188" s="483">
        <f t="shared" si="0"/>
        <v>2012.11</v>
      </c>
      <c r="B188" s="1230">
        <v>147.1</v>
      </c>
      <c r="C188" s="3005">
        <v>2.8378190032918305E-3</v>
      </c>
      <c r="D188" s="1276">
        <v>-3.6961898325555742E-2</v>
      </c>
      <c r="E188" s="999">
        <v>-1.6113622886233525E-3</v>
      </c>
      <c r="F188" s="3008">
        <v>2.6782175166240929E-2</v>
      </c>
      <c r="G188" s="3008">
        <v>7.1718004028075599E-2</v>
      </c>
      <c r="H188" s="3008">
        <v>6.0112778063420302E-2</v>
      </c>
      <c r="I188" s="3008">
        <v>-1.3582280546337588E-2</v>
      </c>
      <c r="J188" s="1812">
        <v>-2.0277135467030472E-2</v>
      </c>
      <c r="K188" s="3008">
        <v>-5.1251060340157251E-3</v>
      </c>
      <c r="L188" s="3008">
        <v>-3.7865814159565914E-2</v>
      </c>
      <c r="M188" s="3008">
        <v>-4.324540979508007E-2</v>
      </c>
      <c r="N188" s="3008">
        <v>-6.1531616504326703E-3</v>
      </c>
      <c r="O188" s="3008">
        <v>4.8706233663626364E-2</v>
      </c>
      <c r="P188" s="3009">
        <v>-0.1302533572350818</v>
      </c>
    </row>
    <row r="189" spans="1:16">
      <c r="A189" s="483">
        <f t="shared" si="0"/>
        <v>2012.12</v>
      </c>
      <c r="B189" s="1230">
        <v>147.1</v>
      </c>
      <c r="C189" s="3005">
        <v>-5.2742318305742941E-4</v>
      </c>
      <c r="D189" s="1276">
        <v>-3.4853379509233728E-2</v>
      </c>
      <c r="E189" s="999">
        <v>3.2820241726074784E-3</v>
      </c>
      <c r="F189" s="3008">
        <v>-1.1999900782134754E-2</v>
      </c>
      <c r="G189" s="3008">
        <v>-6.4811032685866965E-2</v>
      </c>
      <c r="H189" s="3008">
        <v>-3.1039075455188136E-2</v>
      </c>
      <c r="I189" s="3008">
        <v>-2.3736582281333352E-2</v>
      </c>
      <c r="J189" s="1812">
        <v>2.7792555829345034E-2</v>
      </c>
      <c r="K189" s="3008">
        <v>-3.1603805052673462E-3</v>
      </c>
      <c r="L189" s="3008">
        <v>-4.5623639821366968E-2</v>
      </c>
      <c r="M189" s="3008">
        <v>-8.8519707081178289E-2</v>
      </c>
      <c r="N189" s="3008">
        <v>-0.16946859874853223</v>
      </c>
      <c r="O189" s="3008">
        <v>5.8914477221632788E-2</v>
      </c>
      <c r="P189" s="3009">
        <v>-9.6889015781002619E-2</v>
      </c>
    </row>
    <row r="190" spans="1:16">
      <c r="A190" s="483">
        <f t="shared" si="0"/>
        <v>2013.01</v>
      </c>
      <c r="B190" s="1230">
        <v>150.80000000000001</v>
      </c>
      <c r="C190" s="3005">
        <v>2.5197832116963692E-2</v>
      </c>
      <c r="D190" s="1276">
        <v>-8.9899413052755284E-3</v>
      </c>
      <c r="E190" s="999">
        <v>3.2105124215300318E-3</v>
      </c>
      <c r="F190" s="3008">
        <v>-2.8617302368334485E-3</v>
      </c>
      <c r="G190" s="3008">
        <v>7.8855022865527591E-2</v>
      </c>
      <c r="H190" s="3008">
        <v>1.1935470963549299E-2</v>
      </c>
      <c r="I190" s="3008">
        <v>0.14470427280645093</v>
      </c>
      <c r="J190" s="1812">
        <v>2.9253044096936742E-2</v>
      </c>
      <c r="K190" s="3008">
        <v>-4.6167095759108712E-5</v>
      </c>
      <c r="L190" s="3008">
        <v>-5.0151043594782611E-2</v>
      </c>
      <c r="M190" s="3008">
        <v>8.75553582509081E-3</v>
      </c>
      <c r="N190" s="3008">
        <v>-0.11475762888674958</v>
      </c>
      <c r="O190" s="3008">
        <v>0.18721407654115296</v>
      </c>
      <c r="P190" s="3009">
        <v>-2.2251777301096176E-2</v>
      </c>
    </row>
    <row r="191" spans="1:16">
      <c r="A191" s="483">
        <f t="shared" si="0"/>
        <v>2013.02</v>
      </c>
      <c r="B191" s="1230">
        <v>150.19999999999999</v>
      </c>
      <c r="C191" s="3005">
        <v>-3.6226419437029866E-3</v>
      </c>
      <c r="D191" s="1276">
        <v>-1.5516149916872113E-3</v>
      </c>
      <c r="E191" s="999">
        <v>2.1833596556899426E-3</v>
      </c>
      <c r="F191" s="3008">
        <v>-3.0108786135418786E-3</v>
      </c>
      <c r="G191" s="3008">
        <v>-8.4035076477748549E-2</v>
      </c>
      <c r="H191" s="3008">
        <v>-2.3125524068212444E-2</v>
      </c>
      <c r="I191" s="3008">
        <v>3.0105286272237297E-3</v>
      </c>
      <c r="J191" s="1812">
        <v>2.1643243104150889E-2</v>
      </c>
      <c r="K191" s="3008">
        <v>2.4597400910990608E-3</v>
      </c>
      <c r="L191" s="3008">
        <v>-6.4057184514237586E-2</v>
      </c>
      <c r="M191" s="3008">
        <v>-5.0337953717352502E-2</v>
      </c>
      <c r="N191" s="3008">
        <v>-0.14350997878459359</v>
      </c>
      <c r="O191" s="3008">
        <v>0.21226584018147185</v>
      </c>
      <c r="P191" s="3009">
        <v>0.11890705272002065</v>
      </c>
    </row>
    <row r="192" spans="1:16">
      <c r="A192" s="483">
        <f t="shared" si="0"/>
        <v>2013.03</v>
      </c>
      <c r="B192" s="1230">
        <v>151.4</v>
      </c>
      <c r="C192" s="3005">
        <v>7.761663744336289E-3</v>
      </c>
      <c r="D192" s="1276">
        <v>-1.6771808835593593E-2</v>
      </c>
      <c r="E192" s="999">
        <v>1.3545945727573283E-3</v>
      </c>
      <c r="F192" s="3008">
        <v>-2.9185733671610259E-2</v>
      </c>
      <c r="G192" s="3008">
        <v>1.3908841705848607E-2</v>
      </c>
      <c r="H192" s="3008">
        <v>8.6445402793750237E-2</v>
      </c>
      <c r="I192" s="3008">
        <v>-2.8548607437484108E-4</v>
      </c>
      <c r="J192" s="1812">
        <v>0.1045743970177333</v>
      </c>
      <c r="K192" s="3008">
        <v>3.4528190083806809E-3</v>
      </c>
      <c r="L192" s="3008">
        <v>-7.8503609262916996E-2</v>
      </c>
      <c r="M192" s="3008">
        <v>-6.1212629487644395E-2</v>
      </c>
      <c r="N192" s="3008">
        <v>-1.8309974302086474E-2</v>
      </c>
      <c r="O192" s="3008">
        <v>9.104833819734616E-2</v>
      </c>
      <c r="P192" s="3009">
        <v>4.0143981751277424E-2</v>
      </c>
    </row>
    <row r="193" spans="1:16">
      <c r="A193" s="483">
        <f t="shared" si="0"/>
        <v>2013.04</v>
      </c>
      <c r="B193" s="1230">
        <v>155</v>
      </c>
      <c r="C193" s="3005">
        <v>2.3594659148443942E-2</v>
      </c>
      <c r="D193" s="1276">
        <v>5.4003635517126058E-2</v>
      </c>
      <c r="E193" s="999">
        <v>8.0237903031643576E-4</v>
      </c>
      <c r="F193" s="3008">
        <v>7.9644402020863314E-2</v>
      </c>
      <c r="G193" s="3008">
        <v>2.0887652903400999E-2</v>
      </c>
      <c r="H193" s="3008">
        <v>7.0239308221999419E-2</v>
      </c>
      <c r="I193" s="3008">
        <v>-9.1834798034255982E-3</v>
      </c>
      <c r="J193" s="1812">
        <v>-1.9982222870113309E-2</v>
      </c>
      <c r="K193" s="3008">
        <v>4.7912153974920546E-3</v>
      </c>
      <c r="L193" s="3008">
        <v>8.1287639432527925E-3</v>
      </c>
      <c r="M193" s="3008">
        <v>-1.8167015443463774E-2</v>
      </c>
      <c r="N193" s="3008">
        <v>0.11555196013277014</v>
      </c>
      <c r="O193" s="3008">
        <v>0.2413463025342768</v>
      </c>
      <c r="P193" s="3009">
        <v>0.21621571605177947</v>
      </c>
    </row>
    <row r="194" spans="1:16">
      <c r="A194" s="483">
        <f t="shared" ref="A194:A257" si="1">A182+1</f>
        <v>2013.05</v>
      </c>
      <c r="B194" s="1230">
        <v>157.6</v>
      </c>
      <c r="C194" s="3005">
        <v>1.7258829127719588E-2</v>
      </c>
      <c r="D194" s="1276">
        <v>5.2920742237526852E-2</v>
      </c>
      <c r="E194" s="999">
        <v>3.0989733456421309E-3</v>
      </c>
      <c r="F194" s="3008">
        <v>1.7151845205784388E-2</v>
      </c>
      <c r="G194" s="3008">
        <v>3.7959842571788638E-2</v>
      </c>
      <c r="H194" s="3008">
        <v>-0.11238229061637961</v>
      </c>
      <c r="I194" s="3008">
        <v>1.0894638255390943E-2</v>
      </c>
      <c r="J194" s="1812">
        <v>2.3887643714895379E-2</v>
      </c>
      <c r="K194" s="3008">
        <v>8.0926555373641573E-3</v>
      </c>
      <c r="L194" s="3008">
        <v>4.2036550009732165E-2</v>
      </c>
      <c r="M194" s="3008">
        <v>2.2177539227013821E-2</v>
      </c>
      <c r="N194" s="3008">
        <v>-4.7312230760283021E-2</v>
      </c>
      <c r="O194" s="3008">
        <v>0.13607635419938924</v>
      </c>
      <c r="P194" s="3009">
        <v>0.13284048663000947</v>
      </c>
    </row>
    <row r="195" spans="1:16">
      <c r="A195" s="483">
        <f t="shared" si="1"/>
        <v>2013.06</v>
      </c>
      <c r="B195" s="1230">
        <v>156.69999999999999</v>
      </c>
      <c r="C195" s="3005">
        <v>-5.7504082807259271E-3</v>
      </c>
      <c r="D195" s="1276">
        <v>6.3612150630844244E-2</v>
      </c>
      <c r="E195" s="999">
        <v>-3.1462838113427427E-3</v>
      </c>
      <c r="F195" s="3008">
        <v>-7.2830525571958571E-3</v>
      </c>
      <c r="G195" s="3008">
        <v>-5.8624619663676485E-2</v>
      </c>
      <c r="H195" s="3008">
        <v>7.3020067350423989E-2</v>
      </c>
      <c r="I195" s="3008">
        <v>1.0748022033892912E-2</v>
      </c>
      <c r="J195" s="1812">
        <v>-2.9384552847886103E-2</v>
      </c>
      <c r="K195" s="3008">
        <v>5.8628176296038337E-3</v>
      </c>
      <c r="L195" s="3008">
        <v>2.8659870262406129E-2</v>
      </c>
      <c r="M195" s="3008">
        <v>-5.0384721189137401E-2</v>
      </c>
      <c r="N195" s="3008">
        <v>6.6995177053420063E-2</v>
      </c>
      <c r="O195" s="3008">
        <v>0.22206958223938567</v>
      </c>
      <c r="P195" s="3009">
        <v>9.6947706391063981E-2</v>
      </c>
    </row>
    <row r="196" spans="1:16">
      <c r="A196" s="483">
        <f t="shared" si="1"/>
        <v>2013.07</v>
      </c>
      <c r="B196" s="1230">
        <v>156</v>
      </c>
      <c r="C196" s="3005">
        <v>-4.6456803425221072E-3</v>
      </c>
      <c r="D196" s="1276">
        <v>7.5423457708406527E-2</v>
      </c>
      <c r="E196" s="999">
        <v>8.8580440706209629E-4</v>
      </c>
      <c r="F196" s="3008">
        <v>-2.7518446632477933E-2</v>
      </c>
      <c r="G196" s="3008">
        <v>-4.7472821128258236E-3</v>
      </c>
      <c r="H196" s="3008">
        <v>-5.6208715521704589E-2</v>
      </c>
      <c r="I196" s="3008">
        <v>-2.223841275609062E-2</v>
      </c>
      <c r="J196" s="1812">
        <v>-2.7193262372944282E-3</v>
      </c>
      <c r="K196" s="3008">
        <v>8.9742566073858221E-3</v>
      </c>
      <c r="L196" s="3008">
        <v>5.3253270796408625E-2</v>
      </c>
      <c r="M196" s="3008">
        <v>-6.8952325254462488E-2</v>
      </c>
      <c r="N196" s="3008">
        <v>0.1271231727764417</v>
      </c>
      <c r="O196" s="3008">
        <v>0.19791533445188247</v>
      </c>
      <c r="P196" s="3009">
        <v>8.5494660319629379E-2</v>
      </c>
    </row>
    <row r="197" spans="1:16">
      <c r="A197" s="483">
        <f t="shared" si="1"/>
        <v>2013.08</v>
      </c>
      <c r="B197" s="1230">
        <v>156.69999999999999</v>
      </c>
      <c r="C197" s="3005">
        <v>4.3188381468206583E-3</v>
      </c>
      <c r="D197" s="1276">
        <v>8.5447979268522337E-2</v>
      </c>
      <c r="E197" s="999">
        <v>1.0248939531758428E-3</v>
      </c>
      <c r="F197" s="3008">
        <v>1.1800744042829381E-2</v>
      </c>
      <c r="G197" s="3008">
        <v>1.5094049758103356E-2</v>
      </c>
      <c r="H197" s="3008">
        <v>-3.2520608216765612E-2</v>
      </c>
      <c r="I197" s="3008">
        <v>1.6300885072467741E-2</v>
      </c>
      <c r="J197" s="1812">
        <v>-2.4085226170853624E-2</v>
      </c>
      <c r="K197" s="3008">
        <v>1.2200536699903175E-2</v>
      </c>
      <c r="L197" s="3008">
        <v>7.4744797303064603E-2</v>
      </c>
      <c r="M197" s="3008">
        <v>-4.4480553693656555E-3</v>
      </c>
      <c r="N197" s="3008">
        <v>7.6068348859953616E-2</v>
      </c>
      <c r="O197" s="3008">
        <v>0.19607577036488522</v>
      </c>
      <c r="P197" s="3009">
        <v>7.1673369349750438E-2</v>
      </c>
    </row>
    <row r="198" spans="1:16">
      <c r="A198" s="483">
        <f t="shared" si="1"/>
        <v>2013.09</v>
      </c>
      <c r="B198" s="1230">
        <v>156.69999999999999</v>
      </c>
      <c r="C198" s="3005">
        <v>1.152596296156716E-4</v>
      </c>
      <c r="D198" s="1276">
        <v>8.5333246620199255E-2</v>
      </c>
      <c r="E198" s="999">
        <v>-9.4122278496600043E-4</v>
      </c>
      <c r="F198" s="3008">
        <v>4.7348610947779424E-3</v>
      </c>
      <c r="G198" s="3008">
        <v>-4.9314913574780128E-2</v>
      </c>
      <c r="H198" s="3008">
        <v>3.2361226899876527E-2</v>
      </c>
      <c r="I198" s="3008">
        <v>4.0390691396574585E-3</v>
      </c>
      <c r="J198" s="1812">
        <v>1.9690666160202319E-2</v>
      </c>
      <c r="K198" s="3008">
        <v>1.1645074873104067E-2</v>
      </c>
      <c r="L198" s="3008">
        <v>7.5077189685432755E-2</v>
      </c>
      <c r="M198" s="3008">
        <v>-4.9643001035543755E-2</v>
      </c>
      <c r="N198" s="3008">
        <v>1.1728097831927187E-2</v>
      </c>
      <c r="O198" s="3008">
        <v>0.20578115592877833</v>
      </c>
      <c r="P198" s="3009">
        <v>0.15668584523647167</v>
      </c>
    </row>
    <row r="199" spans="1:16">
      <c r="A199" s="483">
        <f t="shared" si="1"/>
        <v>2013.1</v>
      </c>
      <c r="B199" s="1230">
        <v>155</v>
      </c>
      <c r="C199" s="3005">
        <v>-1.0847179918686001E-2</v>
      </c>
      <c r="D199" s="1276">
        <v>5.635188314917583E-2</v>
      </c>
      <c r="E199" s="999">
        <v>-5.6487200241628344E-4</v>
      </c>
      <c r="F199" s="3008">
        <v>-1.5150365428494128E-2</v>
      </c>
      <c r="G199" s="3008">
        <v>2.8966783620143266E-2</v>
      </c>
      <c r="H199" s="3008">
        <v>3.6281867572954596E-2</v>
      </c>
      <c r="I199" s="3008">
        <v>-2.5449456351128164E-2</v>
      </c>
      <c r="J199" s="1812">
        <v>-3.0953664876074427E-3</v>
      </c>
      <c r="K199" s="3008">
        <v>9.5978610325260227E-3</v>
      </c>
      <c r="L199" s="3008">
        <v>6.5850296166947375E-2</v>
      </c>
      <c r="M199" s="3008">
        <v>-1.0035156144276636E-2</v>
      </c>
      <c r="N199" s="3008">
        <v>9.8499317011435217E-2</v>
      </c>
      <c r="O199" s="3008">
        <v>8.806530419305926E-2</v>
      </c>
      <c r="P199" s="3009">
        <v>0.12696367949603693</v>
      </c>
    </row>
    <row r="200" spans="1:16">
      <c r="A200" s="483">
        <f t="shared" si="1"/>
        <v>2013.11</v>
      </c>
      <c r="B200" s="1230">
        <v>154.30000000000001</v>
      </c>
      <c r="C200" s="3005">
        <v>-4.404447614278606E-3</v>
      </c>
      <c r="D200" s="1276">
        <v>4.8723150132961246E-2</v>
      </c>
      <c r="E200" s="999">
        <v>2.2089691445399406E-3</v>
      </c>
      <c r="F200" s="3008">
        <v>-3.6993991394272396E-2</v>
      </c>
      <c r="G200" s="3008">
        <v>-6.8693437305455962E-4</v>
      </c>
      <c r="H200" s="3008">
        <v>-4.792818184637726E-3</v>
      </c>
      <c r="I200" s="3008">
        <v>4.0887398934221109E-2</v>
      </c>
      <c r="J200" s="1812">
        <v>-5.5763097868852023E-2</v>
      </c>
      <c r="K200" s="3008">
        <v>1.3461084528537004E-2</v>
      </c>
      <c r="L200" s="3008">
        <v>-3.5249509782120381E-4</v>
      </c>
      <c r="M200" s="3008">
        <v>-7.691687621359844E-2</v>
      </c>
      <c r="N200" s="3008">
        <v>3.124349798531445E-2</v>
      </c>
      <c r="O200" s="3008">
        <v>0.14814793166870732</v>
      </c>
      <c r="P200" s="3009">
        <v>8.6144594623624116E-2</v>
      </c>
    </row>
    <row r="201" spans="1:16">
      <c r="A201" s="483">
        <f t="shared" si="1"/>
        <v>2013.12</v>
      </c>
      <c r="B201" s="1230">
        <v>154.5</v>
      </c>
      <c r="C201" s="3005">
        <v>1.4227631711745126E-3</v>
      </c>
      <c r="D201" s="1276">
        <v>5.0769434967778748E-2</v>
      </c>
      <c r="E201" s="999">
        <v>-5.2025467806970926E-4</v>
      </c>
      <c r="F201" s="3008">
        <v>1.674382160918686E-2</v>
      </c>
      <c r="G201" s="3008">
        <v>4.6336451708897997E-2</v>
      </c>
      <c r="H201" s="3008">
        <v>-1.8759555443873865E-2</v>
      </c>
      <c r="I201" s="3008">
        <v>-8.0312147277352697E-3</v>
      </c>
      <c r="J201" s="1812">
        <v>2.7106481642647839E-2</v>
      </c>
      <c r="K201" s="3008">
        <v>9.6202286626452249E-3</v>
      </c>
      <c r="L201" s="3008">
        <v>2.8730083327860978E-2</v>
      </c>
      <c r="M201" s="3008">
        <v>3.27918251099244E-2</v>
      </c>
      <c r="N201" s="3008">
        <v>4.4312317221752995E-2</v>
      </c>
      <c r="O201" s="3008">
        <v>0.16661844377178081</v>
      </c>
      <c r="P201" s="3009">
        <v>8.5419569164775001E-4</v>
      </c>
    </row>
    <row r="202" spans="1:16">
      <c r="A202" s="483">
        <f t="shared" si="1"/>
        <v>2014.01</v>
      </c>
      <c r="B202" s="1230">
        <v>152.80000000000001</v>
      </c>
      <c r="C202" s="3005">
        <v>-1.1335110211218247E-2</v>
      </c>
      <c r="D202" s="1276">
        <v>1.3325248133491119E-2</v>
      </c>
      <c r="E202" s="999">
        <v>-4.4603685280975025E-4</v>
      </c>
      <c r="F202" s="3008">
        <v>-1.7530740147593149E-2</v>
      </c>
      <c r="G202" s="3008">
        <v>-5.0147393804296329E-2</v>
      </c>
      <c r="H202" s="3008">
        <v>9.004388200267277E-3</v>
      </c>
      <c r="I202" s="3008">
        <v>-1.4663803096396477E-2</v>
      </c>
      <c r="J202" s="1812">
        <v>3.6729811618721131E-2</v>
      </c>
      <c r="K202" s="3008">
        <v>5.9403169504321784E-3</v>
      </c>
      <c r="L202" s="3008">
        <v>1.3596322799928284E-2</v>
      </c>
      <c r="M202" s="3008">
        <v>-9.0702656106042459E-2</v>
      </c>
      <c r="N202" s="3008">
        <v>4.12874545498505E-2</v>
      </c>
      <c r="O202" s="3008">
        <v>4.1994320554517017E-3</v>
      </c>
      <c r="P202" s="3009">
        <v>9.3304345244656015E-2</v>
      </c>
    </row>
    <row r="203" spans="1:16">
      <c r="A203" s="483">
        <f t="shared" si="1"/>
        <v>2014.02</v>
      </c>
      <c r="B203" s="1230">
        <v>153.4</v>
      </c>
      <c r="C203" s="3005">
        <v>3.7815153873810292E-3</v>
      </c>
      <c r="D203" s="1276">
        <v>2.0855346548590115E-2</v>
      </c>
      <c r="E203" s="999">
        <v>-2.7949045134718631E-3</v>
      </c>
      <c r="F203" s="3008">
        <v>-3.0641209505214317E-2</v>
      </c>
      <c r="G203" s="3008">
        <v>3.5586136186482875E-3</v>
      </c>
      <c r="H203" s="3008">
        <v>4.9727740334273962E-2</v>
      </c>
      <c r="I203" s="3008">
        <v>9.8059286651193359E-2</v>
      </c>
      <c r="J203" s="1812">
        <v>-7.4181419483589917E-3</v>
      </c>
      <c r="K203" s="3008">
        <v>9.4339040207080949E-4</v>
      </c>
      <c r="L203" s="3008">
        <v>-1.4494256313510867E-2</v>
      </c>
      <c r="M203" s="3008">
        <v>-3.7465863907927277E-3</v>
      </c>
      <c r="N203" s="3008">
        <v>0.11894450477931053</v>
      </c>
      <c r="O203" s="3008">
        <v>9.9360854693638215E-2</v>
      </c>
      <c r="P203" s="3009">
        <v>6.2204508025355709E-2</v>
      </c>
    </row>
    <row r="204" spans="1:16">
      <c r="A204" s="483">
        <f t="shared" si="1"/>
        <v>2014.03</v>
      </c>
      <c r="B204" s="1230">
        <v>145.9</v>
      </c>
      <c r="C204" s="3005">
        <v>-4.8372053536894999E-2</v>
      </c>
      <c r="D204" s="1276">
        <v>-3.60077069588014E-2</v>
      </c>
      <c r="E204" s="999">
        <v>-3.6378738357945029E-3</v>
      </c>
      <c r="F204" s="3008">
        <v>-2.6178322582368518E-2</v>
      </c>
      <c r="G204" s="3008">
        <v>-2.6736572216220278E-2</v>
      </c>
      <c r="H204" s="3008">
        <v>3.4893235184852545E-2</v>
      </c>
      <c r="I204" s="3008">
        <v>-0.1206366003220477</v>
      </c>
      <c r="J204" s="1812">
        <v>-0.23937419584236974</v>
      </c>
      <c r="K204" s="3008">
        <v>-4.0470278597668496E-3</v>
      </c>
      <c r="L204" s="3008">
        <v>-1.1441333622867589E-2</v>
      </c>
      <c r="M204" s="3008">
        <v>-4.368423236229136E-2</v>
      </c>
      <c r="N204" s="3008">
        <v>6.5850244812720282E-2</v>
      </c>
      <c r="O204" s="3008">
        <v>-3.2986232379358604E-2</v>
      </c>
      <c r="P204" s="3009">
        <v>-0.26855071032062394</v>
      </c>
    </row>
    <row r="205" spans="1:16">
      <c r="A205" s="483">
        <f t="shared" si="1"/>
        <v>2014.04</v>
      </c>
      <c r="B205" s="1230">
        <v>150.19999999999999</v>
      </c>
      <c r="C205" s="3005">
        <v>2.9211564036781823E-2</v>
      </c>
      <c r="D205" s="1276">
        <v>-3.0717865931682575E-2</v>
      </c>
      <c r="E205" s="999">
        <v>2.2345245769885835E-3</v>
      </c>
      <c r="F205" s="3008">
        <v>5.6794404673548016E-2</v>
      </c>
      <c r="G205" s="3008">
        <v>6.6359400481732278E-2</v>
      </c>
      <c r="H205" s="3008">
        <v>6.2080705815698467E-2</v>
      </c>
      <c r="I205" s="3008">
        <v>-1.0198622233488885E-2</v>
      </c>
      <c r="J205" s="1812">
        <v>5.3134726210905203E-2</v>
      </c>
      <c r="K205" s="3008">
        <v>-2.6218218014764094E-3</v>
      </c>
      <c r="L205" s="3008">
        <v>-3.2363558442541573E-2</v>
      </c>
      <c r="M205" s="3008">
        <v>-1.0886058332333359E-3</v>
      </c>
      <c r="N205" s="3008">
        <v>5.7725100926413253E-2</v>
      </c>
      <c r="O205" s="3008">
        <v>-3.3976987666495373E-2</v>
      </c>
      <c r="P205" s="3009">
        <v>-0.21397890385251947</v>
      </c>
    </row>
    <row r="206" spans="1:16">
      <c r="A206" s="483">
        <f t="shared" si="1"/>
        <v>2014.05</v>
      </c>
      <c r="B206" s="1230">
        <v>152.69999999999999</v>
      </c>
      <c r="C206" s="3005">
        <v>1.6529140645594076E-2</v>
      </c>
      <c r="D206" s="1276">
        <v>-3.1413140318994781E-2</v>
      </c>
      <c r="E206" s="999">
        <v>2.8376072894131799E-3</v>
      </c>
      <c r="F206" s="3008">
        <v>2.6426420929224426E-2</v>
      </c>
      <c r="G206" s="3008">
        <v>-4.8766519402270836E-2</v>
      </c>
      <c r="H206" s="3008">
        <v>-3.7057347212248515E-2</v>
      </c>
      <c r="I206" s="3008">
        <v>8.0910500535482655E-3</v>
      </c>
      <c r="J206" s="1812">
        <v>2.1891995592943525E-2</v>
      </c>
      <c r="K206" s="3008">
        <v>-2.8816972553761255E-3</v>
      </c>
      <c r="L206" s="3008">
        <v>-2.3540473185129418E-2</v>
      </c>
      <c r="M206" s="3008">
        <v>-8.4552288720876057E-2</v>
      </c>
      <c r="N206" s="3008">
        <v>0.14748568425201825</v>
      </c>
      <c r="O206" s="3008">
        <v>-3.665613009894586E-2</v>
      </c>
      <c r="P206" s="3009">
        <v>-0.21551092890816914</v>
      </c>
    </row>
    <row r="207" spans="1:16">
      <c r="A207" s="483">
        <f t="shared" si="1"/>
        <v>2014.06</v>
      </c>
      <c r="B207" s="1230">
        <v>155.1</v>
      </c>
      <c r="C207" s="3005">
        <v>1.5916916718773821E-2</v>
      </c>
      <c r="D207" s="1276">
        <v>-1.0305074040926065E-2</v>
      </c>
      <c r="E207" s="999">
        <v>1.4603974145732668E-3</v>
      </c>
      <c r="F207" s="3008">
        <v>1.7963678519964832E-2</v>
      </c>
      <c r="G207" s="3008">
        <v>6.6378924440687381E-2</v>
      </c>
      <c r="H207" s="3008">
        <v>-8.7178727369957354E-2</v>
      </c>
      <c r="I207" s="3008">
        <v>3.4624664525368276E-2</v>
      </c>
      <c r="J207" s="1812">
        <v>-1.2252074159999626E-2</v>
      </c>
      <c r="K207" s="3008">
        <v>1.726206683461573E-3</v>
      </c>
      <c r="L207" s="3008">
        <v>1.292799929357269E-3</v>
      </c>
      <c r="M207" s="3008">
        <v>3.7008366828916728E-2</v>
      </c>
      <c r="N207" s="3008">
        <v>-2.3830611844830041E-2</v>
      </c>
      <c r="O207" s="3008">
        <v>-1.3899303791537476E-2</v>
      </c>
      <c r="P207" s="3009">
        <v>-0.20166379477199226</v>
      </c>
    </row>
    <row r="208" spans="1:16">
      <c r="A208" s="483">
        <f t="shared" si="1"/>
        <v>2014.07</v>
      </c>
      <c r="B208" s="1230">
        <v>155.19999999999999</v>
      </c>
      <c r="C208" s="3005">
        <v>4.3173134139284919E-4</v>
      </c>
      <c r="D208" s="1276">
        <v>-5.2565315457218098E-3</v>
      </c>
      <c r="E208" s="999">
        <v>7.2735307291948992E-4</v>
      </c>
      <c r="F208" s="3008">
        <v>-4.5022361248820975E-3</v>
      </c>
      <c r="G208" s="3008">
        <v>-1.6052715188536348E-2</v>
      </c>
      <c r="H208" s="3008">
        <v>8.1692833630204742E-3</v>
      </c>
      <c r="I208" s="3008">
        <v>1.3281860586628058E-2</v>
      </c>
      <c r="J208" s="1812">
        <v>6.3377907603392458E-3</v>
      </c>
      <c r="K208" s="3008">
        <v>1.5676223043090687E-3</v>
      </c>
      <c r="L208" s="3008">
        <v>-6.1967961045872322E-4</v>
      </c>
      <c r="M208" s="3008">
        <v>2.5228616339991072E-2</v>
      </c>
      <c r="N208" s="3008">
        <v>4.2755965945719066E-2</v>
      </c>
      <c r="O208" s="3008">
        <v>2.1923913984384535E-2</v>
      </c>
      <c r="P208" s="3009">
        <v>-0.19441345431676615</v>
      </c>
    </row>
    <row r="209" spans="1:16">
      <c r="A209" s="483">
        <f t="shared" si="1"/>
        <v>2014.08</v>
      </c>
      <c r="B209" s="1230">
        <v>157.19999999999999</v>
      </c>
      <c r="C209" s="3005">
        <v>1.2933351595589171E-2</v>
      </c>
      <c r="D209" s="1276">
        <v>3.2758494687437079E-3</v>
      </c>
      <c r="E209" s="999">
        <v>-1.0853651311878432E-3</v>
      </c>
      <c r="F209" s="3008">
        <v>-6.4298472794344086E-4</v>
      </c>
      <c r="G209" s="3008">
        <v>-1.2342983868951052E-2</v>
      </c>
      <c r="H209" s="3008">
        <v>0.2045058877387462</v>
      </c>
      <c r="I209" s="3008">
        <v>2.5930352984650629E-2</v>
      </c>
      <c r="J209" s="1812">
        <v>4.0386364463956159E-2</v>
      </c>
      <c r="K209" s="3008">
        <v>-5.4378090488138575E-4</v>
      </c>
      <c r="L209" s="3008">
        <v>-1.2910654606271943E-2</v>
      </c>
      <c r="M209" s="3008">
        <v>-2.4823450518544066E-3</v>
      </c>
      <c r="N209" s="3008">
        <v>0.29822475922849701</v>
      </c>
      <c r="O209" s="3008">
        <v>3.16066601897107E-2</v>
      </c>
      <c r="P209" s="3009">
        <v>-0.14119421080596695</v>
      </c>
    </row>
    <row r="210" spans="1:16">
      <c r="A210" s="483">
        <f t="shared" si="1"/>
        <v>2014.09</v>
      </c>
      <c r="B210" s="1230">
        <v>158.6</v>
      </c>
      <c r="C210" s="3005">
        <v>8.7196875020645326E-3</v>
      </c>
      <c r="D210" s="1276">
        <v>1.1907469274365479E-2</v>
      </c>
      <c r="E210" s="999">
        <v>9.7307344801844664E-4</v>
      </c>
      <c r="F210" s="3008">
        <v>-1.0199773013253477E-2</v>
      </c>
      <c r="G210" s="3008">
        <v>3.3356324760600575E-2</v>
      </c>
      <c r="H210" s="3008">
        <v>-8.6038758852560515E-2</v>
      </c>
      <c r="I210" s="3008">
        <v>4.0179806107975002E-2</v>
      </c>
      <c r="J210" s="1812">
        <v>1.6995586474581881E-3</v>
      </c>
      <c r="K210" s="3008">
        <v>1.3712768663740604E-3</v>
      </c>
      <c r="L210" s="3008">
        <v>-2.7583001288190134E-2</v>
      </c>
      <c r="M210" s="3008">
        <v>8.4261436851844174E-2</v>
      </c>
      <c r="N210" s="3008">
        <v>0.14933327726370349</v>
      </c>
      <c r="O210" s="3008">
        <v>6.8739702226240373E-2</v>
      </c>
      <c r="P210" s="3009">
        <v>-0.15634671518667242</v>
      </c>
    </row>
    <row r="211" spans="1:16">
      <c r="A211" s="483">
        <f t="shared" si="1"/>
        <v>2014.1</v>
      </c>
      <c r="B211" s="1230">
        <v>158.1</v>
      </c>
      <c r="C211" s="3005">
        <v>-3.0886250634627466E-3</v>
      </c>
      <c r="D211" s="1276">
        <v>1.9844503319448537E-2</v>
      </c>
      <c r="E211" s="999">
        <v>-1.1236660332346604E-3</v>
      </c>
      <c r="F211" s="3008">
        <v>6.8758762171598375E-2</v>
      </c>
      <c r="G211" s="3008">
        <v>-6.7085443544776524E-3</v>
      </c>
      <c r="H211" s="3008">
        <v>-0.17262866022956616</v>
      </c>
      <c r="I211" s="3008">
        <v>-3.1555739527433957E-2</v>
      </c>
      <c r="J211" s="1812">
        <v>3.6146823224518787E-3</v>
      </c>
      <c r="K211" s="3008">
        <v>8.1140031563986525E-4</v>
      </c>
      <c r="L211" s="3008">
        <v>5.5266866510063961E-2</v>
      </c>
      <c r="M211" s="3008">
        <v>4.6668986846963412E-2</v>
      </c>
      <c r="N211" s="3008">
        <v>-8.2367989628585825E-2</v>
      </c>
      <c r="O211" s="3008">
        <v>6.2043253995736292E-2</v>
      </c>
      <c r="P211" s="3009">
        <v>-0.15066818332959886</v>
      </c>
    </row>
    <row r="212" spans="1:16">
      <c r="A212" s="483">
        <f t="shared" si="1"/>
        <v>2014.11</v>
      </c>
      <c r="B212" s="1230">
        <v>156.1</v>
      </c>
      <c r="C212" s="3005">
        <v>-1.2618529770932252E-2</v>
      </c>
      <c r="D212" s="1276">
        <v>1.1430357115999046E-2</v>
      </c>
      <c r="E212" s="999">
        <v>7.923528067743657E-4</v>
      </c>
      <c r="F212" s="3008">
        <v>-4.6866818089020601E-2</v>
      </c>
      <c r="G212" s="3008">
        <v>-9.5015418771610238E-2</v>
      </c>
      <c r="H212" s="3008">
        <v>0.17538248048168015</v>
      </c>
      <c r="I212" s="3008">
        <v>-2.0901946052363396E-2</v>
      </c>
      <c r="J212" s="1812">
        <v>4.1968860647324524E-2</v>
      </c>
      <c r="K212" s="3008">
        <v>-6.0324056700888917E-4</v>
      </c>
      <c r="L212" s="3008">
        <v>4.4448172964373533E-2</v>
      </c>
      <c r="M212" s="3008">
        <v>-5.2129580481188764E-2</v>
      </c>
      <c r="N212" s="3008">
        <v>8.3762866896037944E-2</v>
      </c>
      <c r="O212" s="3008">
        <v>-1.0019486640419073E-3</v>
      </c>
      <c r="P212" s="3009">
        <v>-6.2759246826531112E-2</v>
      </c>
    </row>
    <row r="213" spans="1:16">
      <c r="A213" s="483">
        <f t="shared" si="1"/>
        <v>2014.12</v>
      </c>
      <c r="B213" s="1230">
        <v>152.30000000000001</v>
      </c>
      <c r="C213" s="3005">
        <v>-2.414575739096303E-2</v>
      </c>
      <c r="D213" s="1276">
        <v>-1.439367927917734E-2</v>
      </c>
      <c r="E213" s="999">
        <v>2.3747855255642492E-3</v>
      </c>
      <c r="F213" s="3008">
        <v>-4.750248407946122E-2</v>
      </c>
      <c r="G213" s="3008">
        <v>-1.2737582844236317E-2</v>
      </c>
      <c r="H213" s="3008">
        <v>-1.0522824968504096E-2</v>
      </c>
      <c r="I213" s="3008">
        <v>-8.1142741739097524E-3</v>
      </c>
      <c r="J213" s="1812">
        <v>-4.273956633577769E-2</v>
      </c>
      <c r="K213" s="3008">
        <v>2.2915592640853077E-3</v>
      </c>
      <c r="L213" s="3008">
        <v>-2.1548723372815548E-2</v>
      </c>
      <c r="M213" s="3008">
        <v>-0.10564442250269801</v>
      </c>
      <c r="N213" s="3008">
        <v>9.2860191291257652E-2</v>
      </c>
      <c r="O213" s="3008">
        <v>-1.0855966841261111E-3</v>
      </c>
      <c r="P213" s="3009">
        <v>-0.1264941796533553</v>
      </c>
    </row>
    <row r="214" spans="1:16">
      <c r="A214" s="483">
        <f t="shared" si="1"/>
        <v>2015.01</v>
      </c>
      <c r="B214" s="1230">
        <v>147.6</v>
      </c>
      <c r="C214" s="3005">
        <v>-3.0919399252624657E-2</v>
      </c>
      <c r="D214" s="1276">
        <v>-3.3917381663468027E-2</v>
      </c>
      <c r="E214" s="999">
        <v>1.322697574087206E-3</v>
      </c>
      <c r="F214" s="3008">
        <v>-1.3906089898194307E-2</v>
      </c>
      <c r="G214" s="3008">
        <v>7.2665309966525538E-2</v>
      </c>
      <c r="H214" s="3008">
        <v>-0.30530832491945992</v>
      </c>
      <c r="I214" s="3008">
        <v>-2.7335454957809313E-2</v>
      </c>
      <c r="J214" s="1812">
        <v>-2.8451050000479539E-2</v>
      </c>
      <c r="K214" s="3008">
        <v>4.0651379321914316E-3</v>
      </c>
      <c r="L214" s="3008">
        <v>-1.7938896776933944E-2</v>
      </c>
      <c r="M214" s="3008">
        <v>9.9927046563004218E-3</v>
      </c>
      <c r="N214" s="3008">
        <v>-0.24757425656876642</v>
      </c>
      <c r="O214" s="3008">
        <v>-1.3931867426992262E-2</v>
      </c>
      <c r="P214" s="3009">
        <v>-0.18141288784665288</v>
      </c>
    </row>
    <row r="215" spans="1:16">
      <c r="A215" s="483">
        <f t="shared" si="1"/>
        <v>2015.02</v>
      </c>
      <c r="B215" s="1230">
        <v>153.19999999999999</v>
      </c>
      <c r="C215" s="3005">
        <v>3.769265016215062E-2</v>
      </c>
      <c r="D215" s="1276">
        <v>-1.2798431436147339E-3</v>
      </c>
      <c r="E215" s="999">
        <v>7.2502476757274614E-4</v>
      </c>
      <c r="F215" s="3008">
        <v>2.9261536110072095E-2</v>
      </c>
      <c r="G215" s="3008">
        <v>-3.9642316613320849E-3</v>
      </c>
      <c r="H215" s="3008">
        <v>0.40131450496966714</v>
      </c>
      <c r="I215" s="3008">
        <v>2.6503282865051325E-2</v>
      </c>
      <c r="J215" s="1812">
        <v>5.6195934388098889E-2</v>
      </c>
      <c r="K215" s="3008">
        <v>7.6092817548412128E-3</v>
      </c>
      <c r="L215" s="3008">
        <v>4.2748804229017834E-2</v>
      </c>
      <c r="M215" s="3008">
        <v>2.421628340547155E-3</v>
      </c>
      <c r="N215" s="3008">
        <v>4.4367388509862771E-3</v>
      </c>
      <c r="O215" s="3008">
        <v>-7.8189868689360953E-2</v>
      </c>
      <c r="P215" s="3009">
        <v>-0.12895004801319054</v>
      </c>
    </row>
    <row r="216" spans="1:16">
      <c r="A216" s="483">
        <f t="shared" si="1"/>
        <v>2015.03</v>
      </c>
      <c r="B216" s="1230">
        <v>153.30000000000001</v>
      </c>
      <c r="C216" s="3005">
        <v>5.9979099482432296E-4</v>
      </c>
      <c r="D216" s="1276">
        <v>5.0115419505033731E-2</v>
      </c>
      <c r="E216" s="999">
        <v>2.1312624615164033E-3</v>
      </c>
      <c r="F216" s="3008">
        <v>2.3361234049025681E-2</v>
      </c>
      <c r="G216" s="3008">
        <v>-0.10098481007572492</v>
      </c>
      <c r="H216" s="3008">
        <v>-0.10633376347726886</v>
      </c>
      <c r="I216" s="3008">
        <v>2.7477191160593328E-2</v>
      </c>
      <c r="J216" s="1812">
        <v>-5.3873071054694632E-2</v>
      </c>
      <c r="K216" s="3008">
        <v>1.3443541336001896E-2</v>
      </c>
      <c r="L216" s="3008">
        <v>9.5794772127788086E-2</v>
      </c>
      <c r="M216" s="3008">
        <v>-7.4051027850820517E-2</v>
      </c>
      <c r="N216" s="3008">
        <v>-0.132634005406566</v>
      </c>
      <c r="O216" s="3008">
        <v>7.7073351983153016E-2</v>
      </c>
      <c r="P216" s="3009">
        <v>8.3481274927199589E-2</v>
      </c>
    </row>
    <row r="217" spans="1:16">
      <c r="A217" s="483">
        <f t="shared" si="1"/>
        <v>2015.04</v>
      </c>
      <c r="B217" s="1230">
        <v>158.19999999999999</v>
      </c>
      <c r="C217" s="3005">
        <v>3.2283991939862977E-2</v>
      </c>
      <c r="D217" s="1276">
        <v>5.32502501162333E-2</v>
      </c>
      <c r="E217" s="999">
        <v>4.4926374307379113E-3</v>
      </c>
      <c r="F217" s="3008">
        <v>3.0334580581436121E-2</v>
      </c>
      <c r="G217" s="3008">
        <v>0.25855899557090578</v>
      </c>
      <c r="H217" s="3008">
        <v>4.0103947819104535E-2</v>
      </c>
      <c r="I217" s="3008">
        <v>4.0439150336599283E-2</v>
      </c>
      <c r="J217" s="1812">
        <v>4.4222954290663807E-2</v>
      </c>
      <c r="K217" s="3008">
        <v>1.5726908982118371E-2</v>
      </c>
      <c r="L217" s="3008">
        <v>6.8358464002638675E-2</v>
      </c>
      <c r="M217" s="3008">
        <v>9.284112637027174E-2</v>
      </c>
      <c r="N217" s="3008">
        <v>-0.15058169285939005</v>
      </c>
      <c r="O217" s="3008">
        <v>0.1321759176737527</v>
      </c>
      <c r="P217" s="3009">
        <v>7.4312706308496734E-2</v>
      </c>
    </row>
    <row r="218" spans="1:16">
      <c r="A218" s="483">
        <f t="shared" si="1"/>
        <v>2015.05</v>
      </c>
      <c r="B218" s="1230">
        <v>152.69999999999999</v>
      </c>
      <c r="C218" s="3005">
        <v>-3.5084605207235775E-2</v>
      </c>
      <c r="D218" s="1276">
        <v>-2.2799123984185155E-4</v>
      </c>
      <c r="E218" s="999">
        <v>1.122582773995795E-4</v>
      </c>
      <c r="F218" s="3008">
        <v>-9.9675260206754435E-2</v>
      </c>
      <c r="G218" s="3008">
        <v>-0.13726667816903071</v>
      </c>
      <c r="H218" s="3008">
        <v>4.6118266541941955E-2</v>
      </c>
      <c r="I218" s="3008">
        <v>-2.2204393523244104E-3</v>
      </c>
      <c r="J218" s="1812">
        <v>-3.425360466884797E-2</v>
      </c>
      <c r="K218" s="3008">
        <v>1.2966531521452218E-2</v>
      </c>
      <c r="L218" s="3008">
        <v>-6.2894780866702527E-2</v>
      </c>
      <c r="M218" s="3008">
        <v>-8.8338200685769142E-3</v>
      </c>
      <c r="N218" s="3008">
        <v>-7.7211914476504107E-2</v>
      </c>
      <c r="O218" s="3008">
        <v>0.12059519787661044</v>
      </c>
      <c r="P218" s="3009">
        <v>1.5286965795125562E-2</v>
      </c>
    </row>
    <row r="219" spans="1:16">
      <c r="A219" s="483">
        <f t="shared" si="1"/>
        <v>2015.06</v>
      </c>
      <c r="B219" s="1230">
        <v>158</v>
      </c>
      <c r="C219" s="3005">
        <v>3.5125541058256937E-2</v>
      </c>
      <c r="D219" s="1276">
        <v>1.867537046756107E-2</v>
      </c>
      <c r="E219" s="999">
        <v>5.2267878883101027E-3</v>
      </c>
      <c r="F219" s="3008">
        <v>8.8808299652139086E-2</v>
      </c>
      <c r="G219" s="3008">
        <v>-3.5080707780365095E-2</v>
      </c>
      <c r="H219" s="3008">
        <v>8.0647356771385237E-2</v>
      </c>
      <c r="I219" s="3008">
        <v>-4.0187473390961737E-2</v>
      </c>
      <c r="J219" s="1812">
        <v>0.11360169202162762</v>
      </c>
      <c r="K219" s="3008">
        <v>1.6776195392721016E-2</v>
      </c>
      <c r="L219" s="3008">
        <v>2.3225403514821608E-3</v>
      </c>
      <c r="M219" s="3008">
        <v>-0.10313740557738926</v>
      </c>
      <c r="N219" s="3008">
        <v>9.2446610723599498E-2</v>
      </c>
      <c r="O219" s="3008">
        <v>3.9566661281283055E-2</v>
      </c>
      <c r="P219" s="3009">
        <v>0.14464961496674378</v>
      </c>
    </row>
    <row r="220" spans="1:16">
      <c r="A220" s="483">
        <f t="shared" si="1"/>
        <v>2015.07</v>
      </c>
      <c r="B220" s="1230">
        <v>159</v>
      </c>
      <c r="C220" s="3005">
        <v>6.0487072367205741E-3</v>
      </c>
      <c r="D220" s="1276">
        <v>2.4394776221922987E-2</v>
      </c>
      <c r="E220" s="999">
        <v>-2.0078322368547452E-3</v>
      </c>
      <c r="F220" s="3008">
        <v>2.2622591856896523E-2</v>
      </c>
      <c r="G220" s="3008">
        <v>2.3329646085422429E-2</v>
      </c>
      <c r="H220" s="3008">
        <v>8.0599880735061635E-2</v>
      </c>
      <c r="I220" s="3008">
        <v>2.3660421291386013E-2</v>
      </c>
      <c r="J220" s="1812">
        <v>-4.1884208487206094E-2</v>
      </c>
      <c r="K220" s="3008">
        <v>1.3997145430284741E-2</v>
      </c>
      <c r="L220" s="3008">
        <v>2.9633326448540664E-2</v>
      </c>
      <c r="M220" s="3008">
        <v>-6.7240597636688548E-2</v>
      </c>
      <c r="N220" s="3008">
        <v>0.17093200193471048</v>
      </c>
      <c r="O220" s="3008">
        <v>5.0214444608326803E-2</v>
      </c>
      <c r="P220" s="3009">
        <v>8.9799947808835365E-2</v>
      </c>
    </row>
    <row r="221" spans="1:16">
      <c r="A221" s="483">
        <f t="shared" si="1"/>
        <v>2015.08</v>
      </c>
      <c r="B221" s="1230">
        <v>160.30000000000001</v>
      </c>
      <c r="C221" s="3005">
        <v>8.5121114524537855E-3</v>
      </c>
      <c r="D221" s="1276">
        <v>1.9923509381003734E-2</v>
      </c>
      <c r="E221" s="999">
        <v>1.9512190721342471E-3</v>
      </c>
      <c r="F221" s="3008">
        <v>4.5962035426445613E-3</v>
      </c>
      <c r="G221" s="3008">
        <v>-0.11263584216254097</v>
      </c>
      <c r="H221" s="3008">
        <v>5.4157150113514518E-2</v>
      </c>
      <c r="I221" s="3008">
        <v>-2.0691804980795481E-2</v>
      </c>
      <c r="J221" s="1812">
        <v>-1.3718155749232741E-3</v>
      </c>
      <c r="K221" s="3008">
        <v>1.7079578709913168E-2</v>
      </c>
      <c r="L221" s="3008">
        <v>3.5031240071498715E-2</v>
      </c>
      <c r="M221" s="3008">
        <v>-0.16195880956181341</v>
      </c>
      <c r="N221" s="3008">
        <v>2.4774021199249319E-2</v>
      </c>
      <c r="O221" s="3008">
        <v>2.4887256141690184E-3</v>
      </c>
      <c r="P221" s="3009">
        <v>4.6058445631026679E-2</v>
      </c>
    </row>
    <row r="222" spans="1:16">
      <c r="A222" s="483">
        <f t="shared" si="1"/>
        <v>2015.09</v>
      </c>
      <c r="B222" s="1230">
        <v>157.30000000000001</v>
      </c>
      <c r="C222" s="3005">
        <v>-1.9172851940081448E-2</v>
      </c>
      <c r="D222" s="1276">
        <v>-8.2788317310540371E-3</v>
      </c>
      <c r="E222" s="999">
        <v>-1.1482902978158238E-3</v>
      </c>
      <c r="F222" s="3008">
        <v>-2.280912788893863E-2</v>
      </c>
      <c r="G222" s="3008">
        <v>0.1497400529770847</v>
      </c>
      <c r="H222" s="3008">
        <v>-9.0226513621882609E-2</v>
      </c>
      <c r="I222" s="3008">
        <v>-5.3675713939034697E-2</v>
      </c>
      <c r="J222" s="1812">
        <v>2.1267932676232837E-2</v>
      </c>
      <c r="K222" s="3008">
        <v>1.4924080423159625E-2</v>
      </c>
      <c r="L222" s="3008">
        <v>2.1845674077830113E-2</v>
      </c>
      <c r="M222" s="3008">
        <v>-6.7572821103502378E-2</v>
      </c>
      <c r="N222" s="3008">
        <v>2.0078524167704837E-2</v>
      </c>
      <c r="O222" s="3008">
        <v>-8.7965924756168157E-2</v>
      </c>
      <c r="P222" s="3009">
        <v>6.649337818476142E-2</v>
      </c>
    </row>
    <row r="223" spans="1:16">
      <c r="A223" s="483">
        <f t="shared" si="1"/>
        <v>2015.1</v>
      </c>
      <c r="B223" s="1230">
        <v>159.1</v>
      </c>
      <c r="C223" s="3005">
        <v>1.1766427412420066E-2</v>
      </c>
      <c r="D223" s="1276">
        <v>6.4988810791912766E-3</v>
      </c>
      <c r="E223" s="999">
        <v>9.1193650697452E-4</v>
      </c>
      <c r="F223" s="3008">
        <v>4.1064296664437006E-3</v>
      </c>
      <c r="G223" s="3008">
        <v>1.6483129950841668E-2</v>
      </c>
      <c r="H223" s="3008">
        <v>2.637760062456751E-3</v>
      </c>
      <c r="I223" s="3008">
        <v>5.0964268834383653E-2</v>
      </c>
      <c r="J223" s="1812">
        <v>6.3975513068570411E-3</v>
      </c>
      <c r="K223" s="3008">
        <v>1.6992386544723681E-2</v>
      </c>
      <c r="L223" s="3008">
        <v>-3.9968748996650816E-2</v>
      </c>
      <c r="M223" s="3008">
        <v>-4.5802224645142831E-2</v>
      </c>
      <c r="N223" s="3008">
        <v>0.23616712036835419</v>
      </c>
      <c r="O223" s="3008">
        <v>-1.0252562627656059E-2</v>
      </c>
      <c r="P223" s="3009">
        <v>6.9450600111164329E-2</v>
      </c>
    </row>
    <row r="224" spans="1:16">
      <c r="A224" s="483">
        <f t="shared" si="1"/>
        <v>2015.11</v>
      </c>
      <c r="B224" s="1230">
        <v>159.69999999999999</v>
      </c>
      <c r="C224" s="3005">
        <v>3.9115647276743992E-3</v>
      </c>
      <c r="D224" s="1276">
        <v>2.3349026761104064E-2</v>
      </c>
      <c r="E224" s="999">
        <v>-1.1432949716051466E-3</v>
      </c>
      <c r="F224" s="3008">
        <v>-9.5674613767817718E-3</v>
      </c>
      <c r="G224" s="3008">
        <v>3.5977287590609919E-2</v>
      </c>
      <c r="H224" s="3008">
        <v>-8.2385080401875865E-2</v>
      </c>
      <c r="I224" s="3008">
        <v>3.3720705518569094E-2</v>
      </c>
      <c r="J224" s="1812">
        <v>5.6476880344135116E-2</v>
      </c>
      <c r="K224" s="3008">
        <v>1.5025406033608135E-2</v>
      </c>
      <c r="L224" s="3008">
        <v>-2.3994472813577694E-3</v>
      </c>
      <c r="M224" s="3008">
        <v>9.2313884282240397E-2</v>
      </c>
      <c r="N224" s="3008">
        <v>-3.4930831790348504E-2</v>
      </c>
      <c r="O224" s="3008">
        <v>4.4964204678577646E-2</v>
      </c>
      <c r="P224" s="3009">
        <v>8.4341266192624401E-2</v>
      </c>
    </row>
    <row r="225" spans="1:16">
      <c r="A225" s="483">
        <f t="shared" si="1"/>
        <v>2015.12</v>
      </c>
      <c r="B225" s="1230">
        <v>157.6</v>
      </c>
      <c r="C225" s="3005">
        <v>-1.3163086619601638E-2</v>
      </c>
      <c r="D225" s="1276">
        <v>3.4866223648071015E-2</v>
      </c>
      <c r="E225" s="999">
        <v>-3.4518758681908457E-3</v>
      </c>
      <c r="F225" s="3008">
        <v>1.4905154533667808E-2</v>
      </c>
      <c r="G225" s="3008">
        <v>-4.2584132323671649E-2</v>
      </c>
      <c r="H225" s="3008">
        <v>8.4462306366759776E-2</v>
      </c>
      <c r="I225" s="3008">
        <v>-3.9375812558558265E-2</v>
      </c>
      <c r="J225" s="1812">
        <v>-0.14146027568448793</v>
      </c>
      <c r="K225" s="3008">
        <v>9.1252083905521975E-3</v>
      </c>
      <c r="L225" s="3008">
        <v>6.2963342367656328E-2</v>
      </c>
      <c r="M225" s="3008">
        <v>5.9291457997415753E-2</v>
      </c>
      <c r="N225" s="3008">
        <v>5.7711246271825889E-2</v>
      </c>
      <c r="O225" s="3008">
        <v>1.2029777108369277E-2</v>
      </c>
      <c r="P225" s="3009">
        <v>-2.7485082426902285E-2</v>
      </c>
    </row>
    <row r="226" spans="1:16">
      <c r="A226" s="483">
        <f t="shared" si="1"/>
        <v>2016.01</v>
      </c>
      <c r="B226" s="1230">
        <v>155.5</v>
      </c>
      <c r="C226" s="3005">
        <v>-1.3171700303056366E-2</v>
      </c>
      <c r="D226" s="1276">
        <v>5.3818717564694696E-2</v>
      </c>
      <c r="E226" s="999">
        <v>-1.2116044641674595E-4</v>
      </c>
      <c r="F226" s="3008">
        <v>-2.4654977969386649E-2</v>
      </c>
      <c r="G226" s="3008">
        <v>4.6624134574545728E-2</v>
      </c>
      <c r="H226" s="3008">
        <v>7.7030686986168551E-2</v>
      </c>
      <c r="I226" s="3008">
        <v>-4.2099095139157876E-2</v>
      </c>
      <c r="J226" s="1812">
        <v>-0.11546182107836511</v>
      </c>
      <c r="K226" s="3008">
        <v>7.6700995336798083E-3</v>
      </c>
      <c r="L226" s="3008">
        <v>5.137654127919733E-2</v>
      </c>
      <c r="M226" s="3008">
        <v>3.3574960602904325E-2</v>
      </c>
      <c r="N226" s="3008">
        <v>0.63984615199695272</v>
      </c>
      <c r="O226" s="3008">
        <v>-3.3313703275026363E-3</v>
      </c>
      <c r="P226" s="3009">
        <v>-0.11458236441441649</v>
      </c>
    </row>
    <row r="227" spans="1:16">
      <c r="A227" s="483">
        <f t="shared" si="1"/>
        <v>2016.02</v>
      </c>
      <c r="B227" s="1230">
        <v>157.6</v>
      </c>
      <c r="C227" s="3005">
        <v>1.338937170078891E-2</v>
      </c>
      <c r="D227" s="1276">
        <v>2.9137758576724515E-2</v>
      </c>
      <c r="E227" s="999">
        <v>2.2715753029034502E-5</v>
      </c>
      <c r="F227" s="3008">
        <v>4.8290070582621691E-3</v>
      </c>
      <c r="G227" s="3008">
        <v>8.4677523085376225E-2</v>
      </c>
      <c r="H227" s="3008">
        <v>1.088637013433047E-2</v>
      </c>
      <c r="I227" s="3008">
        <v>7.0448876956963336E-2</v>
      </c>
      <c r="J227" s="1812">
        <v>1.1838083199657623E-2</v>
      </c>
      <c r="K227" s="3008">
        <v>6.9629164643314478E-3</v>
      </c>
      <c r="L227" s="3008">
        <v>2.6419047981353749E-2</v>
      </c>
      <c r="M227" s="3008">
        <v>0.12555749886346801</v>
      </c>
      <c r="N227" s="3008">
        <v>0.18295937014284447</v>
      </c>
      <c r="O227" s="3008">
        <v>3.9336973529598973E-2</v>
      </c>
      <c r="P227" s="3009">
        <v>-0.15176791156545788</v>
      </c>
    </row>
    <row r="228" spans="1:16">
      <c r="A228" s="483">
        <f t="shared" si="1"/>
        <v>2016.03</v>
      </c>
      <c r="B228" s="1230">
        <v>159.4</v>
      </c>
      <c r="C228" s="3005">
        <v>1.122415639906893E-2</v>
      </c>
      <c r="D228" s="1276">
        <v>4.0065140030156154E-2</v>
      </c>
      <c r="E228" s="999">
        <v>-4.325485680619634E-4</v>
      </c>
      <c r="F228" s="3008">
        <v>-2.7275096971404844E-2</v>
      </c>
      <c r="G228" s="3008">
        <v>3.5898618868046572E-3</v>
      </c>
      <c r="H228" s="3008">
        <v>-2.7937151753323231E-2</v>
      </c>
      <c r="I228" s="3008">
        <v>0.11198238473748233</v>
      </c>
      <c r="J228" s="1812">
        <v>5.2804857045361642E-2</v>
      </c>
      <c r="K228" s="3008">
        <v>4.3867443316847332E-3</v>
      </c>
      <c r="L228" s="3008">
        <v>-2.4368584918925795E-2</v>
      </c>
      <c r="M228" s="3008">
        <v>0.25648388090660856</v>
      </c>
      <c r="N228" s="3008">
        <v>0.28673413821189975</v>
      </c>
      <c r="O228" s="3008">
        <v>0.12481757873946119</v>
      </c>
      <c r="P228" s="3009">
        <v>-5.612784576260433E-2</v>
      </c>
    </row>
    <row r="229" spans="1:16">
      <c r="A229" s="483">
        <f t="shared" si="1"/>
        <v>2016.04</v>
      </c>
      <c r="B229" s="1230">
        <v>155.19999999999999</v>
      </c>
      <c r="C229" s="3005">
        <v>-2.6081748089390122E-2</v>
      </c>
      <c r="D229" s="1276">
        <v>-1.8740549150796593E-2</v>
      </c>
      <c r="E229" s="999">
        <v>-4.2711253045927267E-3</v>
      </c>
      <c r="F229" s="3008">
        <v>-1.5910914743554438E-2</v>
      </c>
      <c r="G229" s="3008">
        <v>-0.15657878543297876</v>
      </c>
      <c r="H229" s="3008">
        <v>-0.17332869876838086</v>
      </c>
      <c r="I229" s="3008">
        <v>2.3251404030484313E-3</v>
      </c>
      <c r="J229" s="1812">
        <v>-9.912209969460406E-4</v>
      </c>
      <c r="K229" s="3008">
        <v>-4.3760945322695033E-3</v>
      </c>
      <c r="L229" s="3008">
        <v>-6.815878559294819E-2</v>
      </c>
      <c r="M229" s="3008">
        <v>-0.15796942006884929</v>
      </c>
      <c r="N229" s="3008">
        <v>2.2692190146150315E-2</v>
      </c>
      <c r="O229" s="3008">
        <v>8.3612566071840325E-2</v>
      </c>
      <c r="P229" s="3009">
        <v>-9.6996896625188955E-2</v>
      </c>
    </row>
    <row r="230" spans="1:16">
      <c r="A230" s="483">
        <f t="shared" si="1"/>
        <v>2016.05</v>
      </c>
      <c r="B230" s="1230">
        <v>154.9</v>
      </c>
      <c r="C230" s="3005">
        <v>-2.2373840054870087E-3</v>
      </c>
      <c r="D230" s="1276">
        <v>1.4663049146308671E-2</v>
      </c>
      <c r="E230" s="999">
        <v>6.4693917838742898E-4</v>
      </c>
      <c r="F230" s="3008">
        <v>4.5913494509890462E-3</v>
      </c>
      <c r="G230" s="3008">
        <v>0.3745779934142186</v>
      </c>
      <c r="H230" s="3008">
        <v>5.8292337113262871E-2</v>
      </c>
      <c r="I230" s="3008">
        <v>-9.0058685084722701E-2</v>
      </c>
      <c r="J230" s="1812">
        <v>-3.1802321594199823E-2</v>
      </c>
      <c r="K230" s="3008">
        <v>-3.8438131984347423E-3</v>
      </c>
      <c r="L230" s="3008">
        <v>3.9757747043809077E-2</v>
      </c>
      <c r="M230" s="3008">
        <v>0.3415926748937399</v>
      </c>
      <c r="N230" s="3008">
        <v>3.4593642681468362E-2</v>
      </c>
      <c r="O230" s="3008">
        <v>-1.178187836391098E-2</v>
      </c>
      <c r="P230" s="3009">
        <v>-9.4704870235695293E-2</v>
      </c>
    </row>
    <row r="231" spans="1:16">
      <c r="A231" s="483">
        <f t="shared" si="1"/>
        <v>2016.06</v>
      </c>
      <c r="B231" s="1230">
        <v>152.4</v>
      </c>
      <c r="C231" s="3005">
        <v>-1.603897514107E-2</v>
      </c>
      <c r="D231" s="1276">
        <v>-3.5490040460416705E-2</v>
      </c>
      <c r="E231" s="999">
        <v>4.9586962153025382E-4</v>
      </c>
      <c r="F231" s="3008">
        <v>-6.8437926084446987E-3</v>
      </c>
      <c r="G231" s="3008">
        <v>-0.14398563097319717</v>
      </c>
      <c r="H231" s="3008">
        <v>-7.6338849583855728E-2</v>
      </c>
      <c r="I231" s="3008">
        <v>7.2430195577020129E-3</v>
      </c>
      <c r="J231" s="1812">
        <v>-9.4784844554583692E-2</v>
      </c>
      <c r="K231" s="3008">
        <v>-8.5320423199499729E-3</v>
      </c>
      <c r="L231" s="3008">
        <v>-5.15852414149175E-2</v>
      </c>
      <c r="M231" s="3008">
        <v>0.19017478078233041</v>
      </c>
      <c r="N231" s="3008">
        <v>-0.11570231655639196</v>
      </c>
      <c r="O231" s="3008">
        <v>3.705231722175939E-2</v>
      </c>
      <c r="P231" s="3009">
        <v>-0.26411132680134441</v>
      </c>
    </row>
    <row r="232" spans="1:16">
      <c r="A232" s="483">
        <f t="shared" si="1"/>
        <v>2016.07</v>
      </c>
      <c r="B232" s="1230">
        <v>155</v>
      </c>
      <c r="C232" s="3005">
        <v>1.6965589111826551E-2</v>
      </c>
      <c r="D232" s="1276">
        <v>-2.5023905749526065E-2</v>
      </c>
      <c r="E232" s="999">
        <v>2.1312025283415359E-4</v>
      </c>
      <c r="F232" s="3008">
        <v>-9.8594599103579705E-3</v>
      </c>
      <c r="G232" s="3008">
        <v>-2.2545874360620832E-2</v>
      </c>
      <c r="H232" s="3008">
        <v>0.17570371044168698</v>
      </c>
      <c r="I232" s="3008">
        <v>2.459585605004122E-2</v>
      </c>
      <c r="J232" s="1812">
        <v>0.11853502697891007</v>
      </c>
      <c r="K232" s="3008">
        <v>-6.3256089428307405E-3</v>
      </c>
      <c r="L232" s="3008">
        <v>-8.1710194188794549E-2</v>
      </c>
      <c r="M232" s="3008">
        <v>0.1368196496190659</v>
      </c>
      <c r="N232" s="3008">
        <v>-3.7875085778820039E-2</v>
      </c>
      <c r="O232" s="3008">
        <v>3.7999989676311685E-2</v>
      </c>
      <c r="P232" s="3009">
        <v>-0.14090002041393002</v>
      </c>
    </row>
    <row r="233" spans="1:16">
      <c r="A233" s="483">
        <f t="shared" si="1"/>
        <v>2016.08</v>
      </c>
      <c r="B233" s="1230">
        <v>155.30000000000001</v>
      </c>
      <c r="C233" s="3005">
        <v>2.0151448556877671E-3</v>
      </c>
      <c r="D233" s="1276">
        <v>-3.130482894822495E-2</v>
      </c>
      <c r="E233" s="999">
        <v>8.300779972358896E-5</v>
      </c>
      <c r="F233" s="3008">
        <v>1.2271951011319615E-2</v>
      </c>
      <c r="G233" s="3008">
        <v>0.1684414282600184</v>
      </c>
      <c r="H233" s="3008">
        <v>-2.0921555912147394E-2</v>
      </c>
      <c r="I233" s="3008">
        <v>-3.0259952345316754E-2</v>
      </c>
      <c r="J233" s="1812">
        <v>4.5348961784001274E-2</v>
      </c>
      <c r="K233" s="3008">
        <v>-8.178387464521597E-3</v>
      </c>
      <c r="L233" s="3008">
        <v>-7.4693881935563922E-2</v>
      </c>
      <c r="M233" s="3008">
        <v>0.49691326085571363</v>
      </c>
      <c r="N233" s="3008">
        <v>-0.10639911332727303</v>
      </c>
      <c r="O233" s="3008">
        <v>2.785840512090032E-2</v>
      </c>
      <c r="P233" s="3009">
        <v>-0.10070706421531705</v>
      </c>
    </row>
    <row r="234" spans="1:16">
      <c r="A234" s="483">
        <f t="shared" si="1"/>
        <v>2016.09</v>
      </c>
      <c r="B234" s="1230">
        <v>154.80000000000001</v>
      </c>
      <c r="C234" s="3005">
        <v>-3.3460495824895187E-3</v>
      </c>
      <c r="D234" s="1276">
        <v>-1.5673790342375149E-2</v>
      </c>
      <c r="E234" s="999">
        <v>2.7153051038375509E-4</v>
      </c>
      <c r="F234" s="3008">
        <v>1.2734870751208938E-2</v>
      </c>
      <c r="G234" s="3008">
        <v>-0.14797652104520553</v>
      </c>
      <c r="H234" s="3008">
        <v>-0.13287752506026007</v>
      </c>
      <c r="I234" s="3008">
        <v>2.3677014760250525E-2</v>
      </c>
      <c r="J234" s="1812">
        <v>1.9846286222479748E-2</v>
      </c>
      <c r="K234" s="3008">
        <v>-6.7685596093740585E-3</v>
      </c>
      <c r="L234" s="3008">
        <v>-4.1037121172795905E-2</v>
      </c>
      <c r="M234" s="3008">
        <v>0.10929878532575632</v>
      </c>
      <c r="N234" s="3008">
        <v>-0.14829193852989975</v>
      </c>
      <c r="O234" s="3008">
        <v>0.11187574835483982</v>
      </c>
      <c r="P234" s="3009">
        <v>-0.10195891651786937</v>
      </c>
    </row>
    <row r="235" spans="1:16">
      <c r="A235" s="483">
        <f t="shared" si="1"/>
        <v>2016.1</v>
      </c>
      <c r="B235" s="1230">
        <v>154.69999999999999</v>
      </c>
      <c r="C235" s="3005">
        <v>-7.8160320381925885E-4</v>
      </c>
      <c r="D235" s="1276">
        <v>-2.7881504574146176E-2</v>
      </c>
      <c r="E235" s="999">
        <v>8.2111809814389147E-4</v>
      </c>
      <c r="F235" s="3008">
        <v>-3.3306877063847828E-2</v>
      </c>
      <c r="G235" s="3008">
        <v>-2.0410585450572061E-2</v>
      </c>
      <c r="H235" s="3008">
        <v>0.14021841951590641</v>
      </c>
      <c r="I235" s="3008">
        <v>-1.2169031244551487E-2</v>
      </c>
      <c r="J235" s="1812">
        <v>3.4635945422618386E-2</v>
      </c>
      <c r="K235" s="3008">
        <v>-6.8586811232921319E-3</v>
      </c>
      <c r="L235" s="3008">
        <v>-7.6768365658944626E-2</v>
      </c>
      <c r="M235" s="3008">
        <v>6.9036283691399136E-2</v>
      </c>
      <c r="N235" s="3008">
        <v>-3.1421657530731895E-2</v>
      </c>
      <c r="O235" s="3008">
        <v>4.5083386946368043E-2</v>
      </c>
      <c r="P235" s="3009">
        <v>-7.6760884175100408E-2</v>
      </c>
    </row>
    <row r="236" spans="1:16">
      <c r="A236" s="483">
        <f t="shared" si="1"/>
        <v>2016.11</v>
      </c>
      <c r="B236" s="1230">
        <v>156.5</v>
      </c>
      <c r="C236" s="3005">
        <v>1.1633322235192534E-2</v>
      </c>
      <c r="D236" s="1276">
        <v>-2.0404288896998524E-2</v>
      </c>
      <c r="E236" s="999">
        <v>2.0440415073967877E-3</v>
      </c>
      <c r="F236" s="3008">
        <v>1.9353304459468257E-2</v>
      </c>
      <c r="G236" s="3008">
        <v>2.7666391666645529E-2</v>
      </c>
      <c r="H236" s="3008">
        <v>9.9875038865770982E-4</v>
      </c>
      <c r="I236" s="3008">
        <v>2.3494258678338209E-2</v>
      </c>
      <c r="J236" s="1812">
        <v>9.6354873044208755E-3</v>
      </c>
      <c r="K236" s="3008">
        <v>-3.6895823541450712E-3</v>
      </c>
      <c r="L236" s="3008">
        <v>-4.9809875435560036E-2</v>
      </c>
      <c r="M236" s="3008">
        <v>6.0460179370266598E-2</v>
      </c>
      <c r="N236" s="3008">
        <v>5.65932285515518E-2</v>
      </c>
      <c r="O236" s="3008">
        <v>3.4744530770652426E-2</v>
      </c>
      <c r="P236" s="3009">
        <v>-0.11769486682875341</v>
      </c>
    </row>
    <row r="237" spans="1:16">
      <c r="A237" s="483">
        <f t="shared" si="1"/>
        <v>2016.12</v>
      </c>
      <c r="B237" s="1230">
        <v>160.69999999999999</v>
      </c>
      <c r="C237" s="3005">
        <v>2.7124950712688944E-2</v>
      </c>
      <c r="D237" s="1276">
        <v>1.9588123267924695E-2</v>
      </c>
      <c r="E237" s="999">
        <v>1.153619299679054E-3</v>
      </c>
      <c r="F237" s="3008">
        <v>2.2645513356737812E-2</v>
      </c>
      <c r="G237" s="3008">
        <v>3.2180206952391099E-2</v>
      </c>
      <c r="H237" s="3008">
        <v>9.825022370294878E-2</v>
      </c>
      <c r="I237" s="3008">
        <v>5.3951330505038086E-2</v>
      </c>
      <c r="J237" s="1812">
        <v>8.055399392325624E-2</v>
      </c>
      <c r="K237" s="3008">
        <v>9.148142656005831E-4</v>
      </c>
      <c r="L237" s="3008">
        <v>-4.2563077563451672E-2</v>
      </c>
      <c r="M237" s="3008">
        <v>0.14327122033579687</v>
      </c>
      <c r="N237" s="3008">
        <v>7.002681679866507E-2</v>
      </c>
      <c r="O237" s="3008">
        <v>0.13527265833603641</v>
      </c>
      <c r="P237" s="3009">
        <v>0.11046502393034974</v>
      </c>
    </row>
    <row r="238" spans="1:16">
      <c r="A238" s="483">
        <f t="shared" si="1"/>
        <v>2017.01</v>
      </c>
      <c r="B238" s="1230">
        <v>162.6</v>
      </c>
      <c r="C238" s="3005">
        <v>1.159446318231816E-2</v>
      </c>
      <c r="D238" s="1276">
        <v>4.5176451203345902E-2</v>
      </c>
      <c r="E238" s="999">
        <v>1.8124581477085844E-3</v>
      </c>
      <c r="F238" s="3008">
        <v>2.1438037557589773E-2</v>
      </c>
      <c r="G238" s="3008">
        <v>-4.4750939043101345E-2</v>
      </c>
      <c r="H238" s="3008">
        <v>-6.3236746063874194E-2</v>
      </c>
      <c r="I238" s="3008">
        <v>2.030752358886212E-2</v>
      </c>
      <c r="J238" s="1812">
        <v>3.4939995209086749E-3</v>
      </c>
      <c r="K238" s="3008">
        <v>2.8504362824275375E-3</v>
      </c>
      <c r="L238" s="3008">
        <v>2.683634046446004E-3</v>
      </c>
      <c r="M238" s="3008">
        <v>4.3458414121857913E-2</v>
      </c>
      <c r="N238" s="3008">
        <v>-6.9328464996554984E-2</v>
      </c>
      <c r="O238" s="3008">
        <v>0.20923493103209911</v>
      </c>
      <c r="P238" s="3009">
        <v>0.25980428515869969</v>
      </c>
    </row>
    <row r="239" spans="1:16">
      <c r="A239" s="483">
        <f t="shared" si="1"/>
        <v>2017.02</v>
      </c>
      <c r="B239" s="1230">
        <v>160.4</v>
      </c>
      <c r="C239" s="3005">
        <v>-1.3472231659301448E-2</v>
      </c>
      <c r="D239" s="1276">
        <v>1.7472277410392145E-2</v>
      </c>
      <c r="E239" s="999">
        <v>2.8411262074483634E-3</v>
      </c>
      <c r="F239" s="3008">
        <v>-1.5964857845816138E-2</v>
      </c>
      <c r="G239" s="3008">
        <v>-5.5396708192163135E-2</v>
      </c>
      <c r="H239" s="3008">
        <v>-3.2629634298645072E-2</v>
      </c>
      <c r="I239" s="3008">
        <v>-3.8341544328654442E-2</v>
      </c>
      <c r="J239" s="1812">
        <v>-1.6639148312760588E-2</v>
      </c>
      <c r="K239" s="3008">
        <v>5.6768162329161598E-3</v>
      </c>
      <c r="L239" s="3008">
        <v>-1.8065834650652701E-2</v>
      </c>
      <c r="M239" s="3008">
        <v>-9.1292820339460512E-2</v>
      </c>
      <c r="N239" s="3008">
        <v>-0.10939143135890939</v>
      </c>
      <c r="O239" s="3008">
        <v>8.633959206528917E-2</v>
      </c>
      <c r="P239" s="3009">
        <v>0.22434827803219015</v>
      </c>
    </row>
    <row r="240" spans="1:16">
      <c r="A240" s="483">
        <f t="shared" si="1"/>
        <v>2017.03</v>
      </c>
      <c r="B240" s="1230">
        <v>160.6</v>
      </c>
      <c r="C240" s="3005">
        <v>1.3210960922478421E-3</v>
      </c>
      <c r="D240" s="1276">
        <v>7.5080283762369859E-3</v>
      </c>
      <c r="E240" s="999">
        <v>1.997960509200869E-3</v>
      </c>
      <c r="F240" s="3008">
        <v>2.2901243799238191E-3</v>
      </c>
      <c r="G240" s="3008">
        <v>2.3178624418388916E-2</v>
      </c>
      <c r="H240" s="3008">
        <v>0.11662987400765189</v>
      </c>
      <c r="I240" s="3008">
        <v>-4.1942429430043567E-2</v>
      </c>
      <c r="J240" s="1812">
        <v>3.8937478192468511E-2</v>
      </c>
      <c r="K240" s="3008">
        <v>8.1221806024194265E-3</v>
      </c>
      <c r="L240" s="3008">
        <v>1.177929510864173E-2</v>
      </c>
      <c r="M240" s="3008">
        <v>-7.3556043764565593E-2</v>
      </c>
      <c r="N240" s="3008">
        <v>2.3061559842137758E-2</v>
      </c>
      <c r="O240" s="3008">
        <v>-6.4035649599129552E-2</v>
      </c>
      <c r="P240" s="3009">
        <v>0.2082213564039892</v>
      </c>
    </row>
    <row r="241" spans="1:16">
      <c r="A241" s="483">
        <f t="shared" si="1"/>
        <v>2017.04</v>
      </c>
      <c r="B241" s="1230">
        <v>155.1</v>
      </c>
      <c r="C241" s="3005">
        <v>-3.4533205521091626E-2</v>
      </c>
      <c r="D241" s="1276">
        <v>-1.2349140598606478E-3</v>
      </c>
      <c r="E241" s="999">
        <v>-5.8852891903127258E-3</v>
      </c>
      <c r="F241" s="3008">
        <v>-3.6063695452226319E-2</v>
      </c>
      <c r="G241" s="3008">
        <v>-3.7678369339106954E-2</v>
      </c>
      <c r="H241" s="3008">
        <v>3.4871263490224402E-2</v>
      </c>
      <c r="I241" s="3008">
        <v>-3.9124635699697041E-2</v>
      </c>
      <c r="J241" s="1812">
        <v>-5.0973788244947915E-3</v>
      </c>
      <c r="K241" s="3008">
        <v>6.4879260802537253E-3</v>
      </c>
      <c r="L241" s="3008">
        <v>-8.94054272452105E-3</v>
      </c>
      <c r="M241" s="3008">
        <v>5.7048415764703986E-2</v>
      </c>
      <c r="N241" s="3008">
        <v>0.28072307274336228</v>
      </c>
      <c r="O241" s="3008">
        <v>-0.10274116660199306</v>
      </c>
      <c r="P241" s="3009">
        <v>0.20325528635107085</v>
      </c>
    </row>
    <row r="242" spans="1:16">
      <c r="A242" s="483">
        <f t="shared" si="1"/>
        <v>2017.05</v>
      </c>
      <c r="B242" s="1230">
        <v>160.30000000000001</v>
      </c>
      <c r="C242" s="3005">
        <v>3.3606945327128823E-2</v>
      </c>
      <c r="D242" s="1276">
        <v>3.4645428711524096E-2</v>
      </c>
      <c r="E242" s="999">
        <v>7.9092380724519185E-3</v>
      </c>
      <c r="F242" s="3008">
        <v>1.4224008244652087E-2</v>
      </c>
      <c r="G242" s="3008">
        <v>8.8956233020508049E-2</v>
      </c>
      <c r="H242" s="3008">
        <v>2.2820914437476469E-2</v>
      </c>
      <c r="I242" s="3008">
        <v>6.9939799096639499E-2</v>
      </c>
      <c r="J242" s="1812">
        <v>-2.9493440811010352E-2</v>
      </c>
      <c r="K242" s="3008">
        <v>1.3792616542269709E-2</v>
      </c>
      <c r="L242" s="3008">
        <v>5.6236370741746811E-4</v>
      </c>
      <c r="M242" s="3008">
        <v>-0.16259428969007306</v>
      </c>
      <c r="N242" s="3008">
        <v>0.23779630492056003</v>
      </c>
      <c r="O242" s="3008">
        <v>5.5027308033522404E-2</v>
      </c>
      <c r="P242" s="3009">
        <v>0.20612471381396413</v>
      </c>
    </row>
    <row r="243" spans="1:16">
      <c r="A243" s="483">
        <f t="shared" si="1"/>
        <v>2017.06</v>
      </c>
      <c r="B243" s="1230">
        <v>159.5</v>
      </c>
      <c r="C243" s="3005">
        <v>-4.6601246064668089E-3</v>
      </c>
      <c r="D243" s="1276">
        <v>4.6610410445741435E-2</v>
      </c>
      <c r="E243" s="999">
        <v>-1.0339662302069064E-3</v>
      </c>
      <c r="F243" s="3008">
        <v>-1.2093576697147279E-2</v>
      </c>
      <c r="G243" s="3008">
        <v>3.9243521334816345E-2</v>
      </c>
      <c r="H243" s="3008">
        <v>-2.9151469990795098E-2</v>
      </c>
      <c r="I243" s="3008">
        <v>9.9706501512057955E-3</v>
      </c>
      <c r="J243" s="1812">
        <v>4.5576123314851058E-2</v>
      </c>
      <c r="K243" s="3008">
        <v>1.224244893228299E-2</v>
      </c>
      <c r="L243" s="3008">
        <v>-4.7265690280902106E-3</v>
      </c>
      <c r="M243" s="3008">
        <v>1.6651694944997297E-2</v>
      </c>
      <c r="N243" s="3008">
        <v>0.30103200999796753</v>
      </c>
      <c r="O243" s="3008">
        <v>5.7884339262825657E-2</v>
      </c>
      <c r="P243" s="3009">
        <v>0.39314415464388652</v>
      </c>
    </row>
    <row r="244" spans="1:16">
      <c r="A244" s="483">
        <f t="shared" si="1"/>
        <v>2017.07</v>
      </c>
      <c r="B244" s="1230">
        <v>160.19999999999999</v>
      </c>
      <c r="C244" s="3005">
        <v>4.0927569899875671E-3</v>
      </c>
      <c r="D244" s="1276">
        <v>3.3362331794030364E-2</v>
      </c>
      <c r="E244" s="999">
        <v>9.0374399031301067E-4</v>
      </c>
      <c r="F244" s="3008">
        <v>1.3427175116544232E-2</v>
      </c>
      <c r="G244" s="3008">
        <v>-2.0030784374132304E-2</v>
      </c>
      <c r="H244" s="3008">
        <v>-9.5180308042563055E-2</v>
      </c>
      <c r="I244" s="3008">
        <v>9.2514087957773494E-3</v>
      </c>
      <c r="J244" s="1812">
        <v>2.3363825765916113E-2</v>
      </c>
      <c r="K244" s="3008">
        <v>1.2941378639523604E-2</v>
      </c>
      <c r="L244" s="3008">
        <v>1.8680783969411863E-2</v>
      </c>
      <c r="M244" s="3008">
        <v>1.9267644308380572E-2</v>
      </c>
      <c r="N244" s="3008">
        <v>1.2721505071011663E-3</v>
      </c>
      <c r="O244" s="3008">
        <v>4.2041360444319276E-2</v>
      </c>
      <c r="P244" s="3009">
        <v>0.27460767660579655</v>
      </c>
    </row>
    <row r="245" spans="1:16">
      <c r="A245" s="483">
        <f t="shared" si="1"/>
        <v>2017.08</v>
      </c>
      <c r="B245" s="1230">
        <v>158.9</v>
      </c>
      <c r="C245" s="3005">
        <v>-7.7577135437515432E-3</v>
      </c>
      <c r="D245" s="1276">
        <v>2.3283737876777844E-2</v>
      </c>
      <c r="E245" s="999">
        <v>-6.4299490020292005E-5</v>
      </c>
      <c r="F245" s="3008">
        <v>-7.8465420906972394E-3</v>
      </c>
      <c r="G245" s="3008">
        <v>4.5805345797800268E-3</v>
      </c>
      <c r="H245" s="3008">
        <v>-3.8073990605301922E-2</v>
      </c>
      <c r="I245" s="3008">
        <v>1.6601585165176846E-3</v>
      </c>
      <c r="J245" s="1812">
        <v>-3.0960250991488802E-2</v>
      </c>
      <c r="K245" s="3008">
        <v>1.2792177375235303E-2</v>
      </c>
      <c r="L245" s="3008">
        <v>-1.5650820796974108E-3</v>
      </c>
      <c r="M245" s="3008">
        <v>-0.12367328799358092</v>
      </c>
      <c r="N245" s="3008">
        <v>-1.6269094809200135E-2</v>
      </c>
      <c r="O245" s="3008">
        <v>7.6341352311669608E-2</v>
      </c>
      <c r="P245" s="3009">
        <v>0.18156285429747121</v>
      </c>
    </row>
    <row r="246" spans="1:16">
      <c r="A246" s="483">
        <f t="shared" si="1"/>
        <v>2017.09</v>
      </c>
      <c r="B246" s="1230">
        <v>160.30000000000001</v>
      </c>
      <c r="C246" s="3005">
        <v>8.9524829774694226E-3</v>
      </c>
      <c r="D246" s="1276">
        <v>3.5910877279658804E-2</v>
      </c>
      <c r="E246" s="999">
        <v>2.9663088862699194E-3</v>
      </c>
      <c r="F246" s="3008">
        <v>1.4164724775419302E-2</v>
      </c>
      <c r="G246" s="3008">
        <v>1.4667254010745312E-2</v>
      </c>
      <c r="H246" s="3008">
        <v>4.5248532905487693E-2</v>
      </c>
      <c r="I246" s="3008">
        <v>-1.4292011450222963E-2</v>
      </c>
      <c r="J246" s="1812">
        <v>4.3243329783066109E-2</v>
      </c>
      <c r="K246" s="3008">
        <v>1.5520686960492469E-2</v>
      </c>
      <c r="L246" s="3008">
        <v>-1.5541778696737119E-4</v>
      </c>
      <c r="M246" s="3008">
        <v>4.360976011905815E-2</v>
      </c>
      <c r="N246" s="3008">
        <v>0.18581090346658136</v>
      </c>
      <c r="O246" s="3008">
        <v>3.641896231162689E-2</v>
      </c>
      <c r="P246" s="3009">
        <v>0.20866995655889764</v>
      </c>
    </row>
    <row r="247" spans="1:16">
      <c r="A247" s="483">
        <f t="shared" si="1"/>
        <v>2017.1</v>
      </c>
      <c r="B247" s="1230">
        <v>161</v>
      </c>
      <c r="C247" s="3005">
        <v>3.8397936045568848E-3</v>
      </c>
      <c r="D247" s="1276">
        <v>4.0701977240760634E-2</v>
      </c>
      <c r="E247" s="999">
        <v>4.3276046317264338E-3</v>
      </c>
      <c r="F247" s="3008">
        <v>1.1805540342018528E-2</v>
      </c>
      <c r="G247" s="3008">
        <v>2.8382254532506312E-3</v>
      </c>
      <c r="H247" s="3008">
        <v>-4.3656424510787877E-2</v>
      </c>
      <c r="I247" s="3008">
        <v>-3.757749810823996E-3</v>
      </c>
      <c r="J247" s="1812">
        <v>9.4071429304554144E-3</v>
      </c>
      <c r="K247" s="3008">
        <v>1.9078675045484328E-2</v>
      </c>
      <c r="L247" s="3008">
        <v>4.650407017627467E-2</v>
      </c>
      <c r="M247" s="3008">
        <v>6.8377979956908863E-2</v>
      </c>
      <c r="N247" s="3008">
        <v>-5.4163133438986932E-3</v>
      </c>
      <c r="O247" s="3008">
        <v>4.5243965627971727E-2</v>
      </c>
      <c r="P247" s="3009">
        <v>0.17919746843673034</v>
      </c>
    </row>
    <row r="248" spans="1:16">
      <c r="A248" s="483">
        <f t="shared" si="1"/>
        <v>2017.11</v>
      </c>
      <c r="B248" s="1230">
        <v>159.80000000000001</v>
      </c>
      <c r="C248" s="3005">
        <v>-7.3386670074027105E-3</v>
      </c>
      <c r="D248" s="1276">
        <v>2.1184839674221578E-2</v>
      </c>
      <c r="E248" s="999">
        <v>2.4050401105342178E-3</v>
      </c>
      <c r="F248" s="3008">
        <v>-2.1009500194309472E-2</v>
      </c>
      <c r="G248" s="3008">
        <v>1.1447059141692639E-2</v>
      </c>
      <c r="H248" s="3008">
        <v>-2.0709154597862378E-2</v>
      </c>
      <c r="I248" s="3008">
        <v>-2.7945958996533404E-2</v>
      </c>
      <c r="J248" s="1812">
        <v>2.4107771760040864E-2</v>
      </c>
      <c r="K248" s="3008">
        <v>1.9445810583384793E-2</v>
      </c>
      <c r="L248" s="3008">
        <v>5.0661907196454248E-3</v>
      </c>
      <c r="M248" s="3008">
        <v>5.1516109353983319E-2</v>
      </c>
      <c r="N248" s="3008">
        <v>-2.6985099681234748E-2</v>
      </c>
      <c r="O248" s="3008">
        <v>-7.2893794878867713E-3</v>
      </c>
      <c r="P248" s="3009">
        <v>0.19610028277631542</v>
      </c>
    </row>
    <row r="249" spans="1:16">
      <c r="A249" s="483">
        <f t="shared" si="1"/>
        <v>2017.12</v>
      </c>
      <c r="B249" s="1230">
        <v>160.9</v>
      </c>
      <c r="C249" s="3005">
        <v>7.2917272204058303E-3</v>
      </c>
      <c r="D249" s="1276">
        <v>1.4663164914898719E-3</v>
      </c>
      <c r="E249" s="999">
        <v>1.2270960949947174E-3</v>
      </c>
      <c r="F249" s="3008">
        <v>1.8404731825228504E-2</v>
      </c>
      <c r="G249" s="3008">
        <v>-2.6424941796528434E-2</v>
      </c>
      <c r="H249" s="3008">
        <v>-2.3929376374063893E-2</v>
      </c>
      <c r="I249" s="3008">
        <v>5.0276968483931039E-3</v>
      </c>
      <c r="J249" s="1812">
        <v>2.8350444507150074E-2</v>
      </c>
      <c r="K249" s="3008">
        <v>1.9520629881558005E-2</v>
      </c>
      <c r="L249" s="3008">
        <v>8.9830841450733168E-4</v>
      </c>
      <c r="M249" s="3008">
        <v>-8.1868936541121817E-3</v>
      </c>
      <c r="N249" s="3008">
        <v>-0.13523235410845169</v>
      </c>
      <c r="O249" s="3008">
        <v>-5.3370265122067446E-2</v>
      </c>
      <c r="P249" s="3009">
        <v>0.13831447978110978</v>
      </c>
    </row>
    <row r="250" spans="1:16">
      <c r="A250" s="483">
        <f t="shared" si="1"/>
        <v>2018.01</v>
      </c>
      <c r="B250" s="1230">
        <v>163.19999999999999</v>
      </c>
      <c r="C250" s="3005">
        <v>1.4271256111873409E-2</v>
      </c>
      <c r="D250" s="1276">
        <v>4.1163092037266313E-3</v>
      </c>
      <c r="E250" s="999">
        <v>-1.1753243825985971E-3</v>
      </c>
      <c r="F250" s="3008">
        <v>1.2151518730704414E-2</v>
      </c>
      <c r="G250" s="3008">
        <v>2.6734388647830842E-2</v>
      </c>
      <c r="H250" s="3008">
        <v>0.11914962290173614</v>
      </c>
      <c r="I250" s="3008">
        <v>2.0941207611770984E-2</v>
      </c>
      <c r="J250" s="1812">
        <v>8.7850825778821306E-3</v>
      </c>
      <c r="K250" s="3008">
        <v>1.6480034905448582E-2</v>
      </c>
      <c r="L250" s="3008">
        <v>-8.2014711542213181E-3</v>
      </c>
      <c r="M250" s="3008">
        <v>6.6034676209850263E-2</v>
      </c>
      <c r="N250" s="3008">
        <v>3.3136580379933278E-2</v>
      </c>
      <c r="O250" s="3008">
        <v>-5.2782340281042457E-2</v>
      </c>
      <c r="P250" s="3009">
        <v>0.14431642544331891</v>
      </c>
    </row>
    <row r="251" spans="1:16">
      <c r="A251" s="483">
        <f t="shared" si="1"/>
        <v>2018.02</v>
      </c>
      <c r="B251" s="1230">
        <v>163.1</v>
      </c>
      <c r="C251" s="3005">
        <v>-9.1618626840683781E-4</v>
      </c>
      <c r="D251" s="1276">
        <v>1.6896212984139458E-2</v>
      </c>
      <c r="E251" s="999">
        <v>-1.3630012455441154E-3</v>
      </c>
      <c r="F251" s="3008">
        <v>2.4933319332189674E-2</v>
      </c>
      <c r="G251" s="3008">
        <v>-0.11232174797073669</v>
      </c>
      <c r="H251" s="3008">
        <v>-4.719239304674816E-2</v>
      </c>
      <c r="I251" s="3008">
        <v>-1.5798890305744329E-2</v>
      </c>
      <c r="J251" s="1812">
        <v>-1.3719117896067279E-2</v>
      </c>
      <c r="K251" s="3008">
        <v>1.2218730189789362E-2</v>
      </c>
      <c r="L251" s="3008">
        <v>3.3019365602505735E-2</v>
      </c>
      <c r="M251" s="3008">
        <v>1.7917640001716695E-3</v>
      </c>
      <c r="N251" s="3008">
        <v>1.7583779397648547E-2</v>
      </c>
      <c r="O251" s="3008">
        <v>-3.0578199235427261E-2</v>
      </c>
      <c r="P251" s="3009">
        <v>0.14771440367570743</v>
      </c>
    </row>
    <row r="252" spans="1:16">
      <c r="A252" s="483">
        <f t="shared" si="1"/>
        <v>2018.03</v>
      </c>
      <c r="B252" s="1230">
        <v>164.9</v>
      </c>
      <c r="C252" s="3005">
        <v>1.0984924104875837E-2</v>
      </c>
      <c r="D252" s="1276">
        <v>2.6710357664924356E-2</v>
      </c>
      <c r="E252" s="999">
        <v>3.2286678998505458E-4</v>
      </c>
      <c r="F252" s="3008">
        <v>-1.223318180166777E-2</v>
      </c>
      <c r="G252" s="3008">
        <v>0.14468099531702827</v>
      </c>
      <c r="H252" s="3008">
        <v>4.2322423910184925E-2</v>
      </c>
      <c r="I252" s="3008">
        <v>2.1405556714559681E-2</v>
      </c>
      <c r="J252" s="1812">
        <v>3.7294875365552427E-2</v>
      </c>
      <c r="K252" s="3008">
        <v>1.0526549861845647E-2</v>
      </c>
      <c r="L252" s="3008">
        <v>1.805078896663348E-2</v>
      </c>
      <c r="M252" s="3008">
        <v>0.12075444712105998</v>
      </c>
      <c r="N252" s="3008">
        <v>-5.0132531680613379E-2</v>
      </c>
      <c r="O252" s="3008">
        <v>3.3521204275967609E-2</v>
      </c>
      <c r="P252" s="3009">
        <v>0.1458998200616386</v>
      </c>
    </row>
    <row r="253" spans="1:16">
      <c r="A253" s="483">
        <f t="shared" si="1"/>
        <v>2018.04</v>
      </c>
      <c r="B253" s="1230">
        <v>163.5</v>
      </c>
      <c r="C253" s="3005">
        <v>-8.1935182979280263E-3</v>
      </c>
      <c r="D253" s="1276">
        <v>5.4720880496289759E-2</v>
      </c>
      <c r="E253" s="999">
        <v>-9.9561640152590059E-4</v>
      </c>
      <c r="F253" s="3008">
        <v>-4.2356068572138028E-3</v>
      </c>
      <c r="G253" s="3008">
        <v>-3.4054336793750584E-2</v>
      </c>
      <c r="H253" s="3008">
        <v>-1.5069235278397874E-2</v>
      </c>
      <c r="I253" s="3008">
        <v>2.4510338598429104E-2</v>
      </c>
      <c r="J253" s="1812">
        <v>-8.3761202079567484E-2</v>
      </c>
      <c r="K253" s="3008">
        <v>1.5496946255217248E-2</v>
      </c>
      <c r="L253" s="3008">
        <v>5.166567674768241E-2</v>
      </c>
      <c r="M253" s="3008">
        <v>0.12497512601085091</v>
      </c>
      <c r="N253" s="3008">
        <v>-9.5970943476852089E-2</v>
      </c>
      <c r="O253" s="3008">
        <v>0.10196722517958534</v>
      </c>
      <c r="P253" s="3009">
        <v>5.5297122878225302E-2</v>
      </c>
    </row>
    <row r="254" spans="1:16">
      <c r="A254" s="483">
        <f t="shared" si="1"/>
        <v>2018.05</v>
      </c>
      <c r="B254" s="1230">
        <v>160.69999999999999</v>
      </c>
      <c r="C254" s="3005">
        <v>-1.7473192009726302E-2</v>
      </c>
      <c r="D254" s="1276">
        <v>2.59730714825257E-3</v>
      </c>
      <c r="E254" s="999">
        <v>-4.3246520778228437E-4</v>
      </c>
      <c r="F254" s="3008">
        <v>-3.1525543267410416E-2</v>
      </c>
      <c r="G254" s="3008">
        <v>-9.6141403293675598E-2</v>
      </c>
      <c r="H254" s="3008">
        <v>2.6034884032449579E-2</v>
      </c>
      <c r="I254" s="3008">
        <v>-2.6537388720835553E-2</v>
      </c>
      <c r="J254" s="1812">
        <v>-2.2770513626251376E-2</v>
      </c>
      <c r="K254" s="3008">
        <v>7.0924452469272037E-3</v>
      </c>
      <c r="L254" s="3008">
        <v>4.2272088542758546E-3</v>
      </c>
      <c r="M254" s="3008">
        <v>-6.624489773544584E-2</v>
      </c>
      <c r="N254" s="3008">
        <v>-9.3130248825789477E-2</v>
      </c>
      <c r="O254" s="3008">
        <v>2.6021029155895992E-3</v>
      </c>
      <c r="P254" s="3009">
        <v>6.2607414239187031E-2</v>
      </c>
    </row>
    <row r="255" spans="1:16">
      <c r="A255" s="483">
        <f t="shared" si="1"/>
        <v>2018.06</v>
      </c>
      <c r="B255" s="1230">
        <v>160.19999999999999</v>
      </c>
      <c r="C255" s="3005">
        <v>-2.9184414207543696E-3</v>
      </c>
      <c r="D255" s="1276">
        <v>4.3516896612714184E-3</v>
      </c>
      <c r="E255" s="999">
        <v>-2.3039758096823348E-3</v>
      </c>
      <c r="F255" s="3008">
        <v>5.3574868592665137E-3</v>
      </c>
      <c r="G255" s="3008">
        <v>7.1212935209156836E-2</v>
      </c>
      <c r="H255" s="3008">
        <v>4.3641746754293553E-2</v>
      </c>
      <c r="I255" s="3008">
        <v>3.7157873900464766E-2</v>
      </c>
      <c r="J255" s="1812">
        <v>-5.2400565006665678E-2</v>
      </c>
      <c r="K255" s="3008">
        <v>5.8121043648109438E-3</v>
      </c>
      <c r="L255" s="3008">
        <v>2.1966574074926415E-2</v>
      </c>
      <c r="M255" s="3008">
        <v>-3.7520539383679496E-2</v>
      </c>
      <c r="N255" s="3008">
        <v>-2.5134094620186342E-2</v>
      </c>
      <c r="O255" s="3008">
        <v>2.9590974027203343E-2</v>
      </c>
      <c r="P255" s="3009">
        <v>-3.6965207123834554E-2</v>
      </c>
    </row>
    <row r="256" spans="1:16">
      <c r="A256" s="483">
        <f t="shared" si="1"/>
        <v>2018.07</v>
      </c>
      <c r="B256" s="1230">
        <v>155.5</v>
      </c>
      <c r="C256" s="3005">
        <v>-2.9247076958206608E-2</v>
      </c>
      <c r="D256" s="1276">
        <v>-2.8996741871363252E-2</v>
      </c>
      <c r="E256" s="999">
        <v>-1.6117999674213346E-3</v>
      </c>
      <c r="F256" s="3008">
        <v>-3.2924349473391179E-2</v>
      </c>
      <c r="G256" s="3008">
        <v>-7.786786961507941E-2</v>
      </c>
      <c r="H256" s="3008">
        <v>-2.462746634074886E-2</v>
      </c>
      <c r="I256" s="3008">
        <v>-4.1819210662273128E-2</v>
      </c>
      <c r="J256" s="1812">
        <v>-3.4508096939242838E-2</v>
      </c>
      <c r="K256" s="3008">
        <v>3.2842243594231046E-3</v>
      </c>
      <c r="L256" s="3008">
        <v>-2.4775520425231901E-2</v>
      </c>
      <c r="M256" s="3008">
        <v>-9.4325391738938946E-2</v>
      </c>
      <c r="N256" s="3008">
        <v>5.0880563895880915E-2</v>
      </c>
      <c r="O256" s="3008">
        <v>-2.2508877777538294E-2</v>
      </c>
      <c r="P256" s="3009">
        <v>-9.1425481849684007E-2</v>
      </c>
    </row>
    <row r="257" spans="1:16">
      <c r="A257" s="483">
        <f t="shared" si="1"/>
        <v>2018.08</v>
      </c>
      <c r="B257" s="1230">
        <v>155.6</v>
      </c>
      <c r="C257" s="3005">
        <v>6.1099754575777432E-4</v>
      </c>
      <c r="D257" s="1276">
        <v>-2.0807163735893419E-2</v>
      </c>
      <c r="E257" s="999">
        <v>4.8075594209562311E-3</v>
      </c>
      <c r="F257" s="3008">
        <v>-1.3437725305968651E-2</v>
      </c>
      <c r="G257" s="3008">
        <v>4.1192571181172921E-2</v>
      </c>
      <c r="H257" s="3008">
        <v>-8.4823418769750414E-2</v>
      </c>
      <c r="I257" s="3008">
        <v>3.0392002154346898E-3</v>
      </c>
      <c r="J257" s="1812">
        <v>-5.7362671214637118E-2</v>
      </c>
      <c r="K257" s="3008">
        <v>8.172397855173763E-3</v>
      </c>
      <c r="L257" s="3008">
        <v>-3.0271302048379578E-2</v>
      </c>
      <c r="M257" s="3008">
        <v>-6.131799137110628E-2</v>
      </c>
      <c r="N257" s="3008">
        <v>-1.9203935161826724E-4</v>
      </c>
      <c r="O257" s="3008">
        <v>-2.1163110945939034E-2</v>
      </c>
      <c r="P257" s="3009">
        <v>-0.11618046868773015</v>
      </c>
    </row>
    <row r="258" spans="1:16">
      <c r="A258" s="483">
        <f t="shared" ref="A258:A321" si="2">A246+1</f>
        <v>2018.09</v>
      </c>
      <c r="B258" s="1230">
        <v>153.80000000000001</v>
      </c>
      <c r="C258" s="3005">
        <v>-1.1626863823673728E-2</v>
      </c>
      <c r="D258" s="1276">
        <v>-4.0779510603217606E-2</v>
      </c>
      <c r="E258" s="999">
        <v>-5.7659383928717611E-3</v>
      </c>
      <c r="F258" s="3008">
        <v>4.4755767017008452E-3</v>
      </c>
      <c r="G258" s="3008">
        <v>-4.5629708998837559E-2</v>
      </c>
      <c r="H258" s="3008">
        <v>2.1998574684767513E-2</v>
      </c>
      <c r="I258" s="3008">
        <v>-4.0017400124184865E-3</v>
      </c>
      <c r="J258" s="1812">
        <v>-3.5710326099118062E-2</v>
      </c>
      <c r="K258" s="3008">
        <v>-6.0517582808639059E-4</v>
      </c>
      <c r="L258" s="3008">
        <v>-3.9535916283377825E-2</v>
      </c>
      <c r="M258" s="3008">
        <v>-0.11709950410676617</v>
      </c>
      <c r="N258" s="3008">
        <v>-2.2431241399769042E-2</v>
      </c>
      <c r="O258" s="3008">
        <v>-1.0944570162352951E-2</v>
      </c>
      <c r="P258" s="3009">
        <v>-0.18306877858154225</v>
      </c>
    </row>
    <row r="259" spans="1:16">
      <c r="A259" s="483">
        <f t="shared" si="2"/>
        <v>2018.1</v>
      </c>
      <c r="B259" s="1230">
        <v>155.9</v>
      </c>
      <c r="C259" s="3005">
        <v>1.3398371345493931E-2</v>
      </c>
      <c r="D259" s="1276">
        <v>-3.1645798553732174E-2</v>
      </c>
      <c r="E259" s="999">
        <v>-2.3680939239129062E-3</v>
      </c>
      <c r="F259" s="3008">
        <v>2.106600194087016E-2</v>
      </c>
      <c r="G259" s="3008">
        <v>7.7494674320461865E-3</v>
      </c>
      <c r="H259" s="3008">
        <v>-9.811683717595665E-3</v>
      </c>
      <c r="I259" s="3008">
        <v>4.7063257622693699E-2</v>
      </c>
      <c r="J259" s="1812">
        <v>-5.4620795723240967E-2</v>
      </c>
      <c r="K259" s="3008">
        <v>-7.267988290734162E-3</v>
      </c>
      <c r="L259" s="3008">
        <v>-3.074535287004887E-2</v>
      </c>
      <c r="M259" s="3008">
        <v>-0.11277563823441117</v>
      </c>
      <c r="N259" s="3008">
        <v>1.2164652890023886E-2</v>
      </c>
      <c r="O259" s="3008">
        <v>3.950981815775223E-2</v>
      </c>
      <c r="P259" s="3009">
        <v>-0.23488773240568217</v>
      </c>
    </row>
    <row r="260" spans="1:16">
      <c r="A260" s="483">
        <f t="shared" si="2"/>
        <v>2018.11</v>
      </c>
      <c r="B260" s="1230">
        <v>153.19999999999999</v>
      </c>
      <c r="C260" s="3005">
        <v>-1.7193925702960189E-2</v>
      </c>
      <c r="D260" s="1276">
        <v>-4.1259733182788756E-2</v>
      </c>
      <c r="E260" s="999">
        <v>-5.5359764680475987E-3</v>
      </c>
      <c r="F260" s="3008">
        <v>9.2458427902377682E-3</v>
      </c>
      <c r="G260" s="3008">
        <v>-1.59805768528406E-2</v>
      </c>
      <c r="H260" s="3008">
        <v>4.5337203026261541E-2</v>
      </c>
      <c r="I260" s="3008">
        <v>-6.9547004241361621E-2</v>
      </c>
      <c r="J260" s="1812">
        <v>-6.099073018361157E-2</v>
      </c>
      <c r="K260" s="3008">
        <v>-1.5132375487154182E-2</v>
      </c>
      <c r="L260" s="3008">
        <v>-7.9089284811473259E-4</v>
      </c>
      <c r="M260" s="3008">
        <v>-0.13683469957632544</v>
      </c>
      <c r="N260" s="3008">
        <v>8.042812022777944E-2</v>
      </c>
      <c r="O260" s="3008">
        <v>-4.9781353442792664E-3</v>
      </c>
      <c r="P260" s="3009">
        <v>-0.29846493549543984</v>
      </c>
    </row>
    <row r="261" spans="1:16">
      <c r="A261" s="483">
        <f t="shared" si="2"/>
        <v>2018.12</v>
      </c>
      <c r="B261" s="1230">
        <v>152.5</v>
      </c>
      <c r="C261" s="3005">
        <v>-4.7937369868888968E-3</v>
      </c>
      <c r="D261" s="1276">
        <v>-5.2762678025475962E-2</v>
      </c>
      <c r="E261" s="999">
        <v>-2.8252703622885234E-3</v>
      </c>
      <c r="F261" s="3008">
        <v>-3.1507634507599303E-2</v>
      </c>
      <c r="G261" s="3008">
        <v>8.2366417694338168E-2</v>
      </c>
      <c r="H261" s="3008">
        <v>-0.10296363894065008</v>
      </c>
      <c r="I261" s="3008">
        <v>6.9652082956899175E-3</v>
      </c>
      <c r="J261" s="1812">
        <v>4.072646324098006E-2</v>
      </c>
      <c r="K261" s="3008">
        <v>-1.9118528620650221E-2</v>
      </c>
      <c r="L261" s="3008">
        <v>-4.9762475010619367E-2</v>
      </c>
      <c r="M261" s="3008">
        <v>-4.0380989400434331E-2</v>
      </c>
      <c r="N261" s="3008">
        <v>-7.056163871656973E-3</v>
      </c>
      <c r="O261" s="3008">
        <v>-3.0599133299741288E-3</v>
      </c>
      <c r="P261" s="3009">
        <v>-0.29002208301540977</v>
      </c>
    </row>
    <row r="262" spans="1:16">
      <c r="A262" s="483">
        <f t="shared" si="2"/>
        <v>2019.01</v>
      </c>
      <c r="B262" s="1230">
        <v>151.19999999999999</v>
      </c>
      <c r="C262" s="3005">
        <v>-8.4060262153338172E-3</v>
      </c>
      <c r="D262" s="1276">
        <v>-7.3941202066104661E-2</v>
      </c>
      <c r="E262" s="999">
        <v>-6.470957478043049E-4</v>
      </c>
      <c r="F262" s="3008">
        <v>1.3834067156353935E-2</v>
      </c>
      <c r="G262" s="3008">
        <v>-6.8026547256063608E-2</v>
      </c>
      <c r="H262" s="3008">
        <v>-9.5953282144389807E-4</v>
      </c>
      <c r="I262" s="3008">
        <v>-4.9467519939809579E-2</v>
      </c>
      <c r="J262" s="1812">
        <v>4.4793005148953791E-2</v>
      </c>
      <c r="K262" s="3008">
        <v>-1.8599789253101573E-2</v>
      </c>
      <c r="L262" s="3008">
        <v>-4.8182849211441781E-2</v>
      </c>
      <c r="M262" s="3008">
        <v>-0.12894761048667369</v>
      </c>
      <c r="N262" s="3008">
        <v>-0.11362068696794203</v>
      </c>
      <c r="O262" s="3008">
        <v>-7.1813414926601871E-2</v>
      </c>
      <c r="P262" s="3009">
        <v>-0.26467988644305118</v>
      </c>
    </row>
    <row r="263" spans="1:16">
      <c r="A263" s="483">
        <f t="shared" si="2"/>
        <v>2019.02</v>
      </c>
      <c r="B263" s="1230">
        <v>156.6</v>
      </c>
      <c r="C263" s="3005">
        <v>3.565308708887982E-2</v>
      </c>
      <c r="D263" s="1276">
        <v>-4.004484936664731E-2</v>
      </c>
      <c r="E263" s="999">
        <v>1.4651872834738899E-3</v>
      </c>
      <c r="F263" s="3008">
        <v>1.9639368382776912E-2</v>
      </c>
      <c r="G263" s="3008">
        <v>7.24925044752458E-2</v>
      </c>
      <c r="H263" s="3008">
        <v>-4.4027884428566304E-2</v>
      </c>
      <c r="I263" s="3008">
        <v>8.7895444351406157E-2</v>
      </c>
      <c r="J263" s="1812">
        <v>0.16164696411196602</v>
      </c>
      <c r="K263" s="3008">
        <v>-1.582041614568408E-2</v>
      </c>
      <c r="L263" s="3008">
        <v>-5.3099142997624638E-2</v>
      </c>
      <c r="M263" s="3008">
        <v>5.2405144119152869E-2</v>
      </c>
      <c r="N263" s="3008">
        <v>-0.11067680306672367</v>
      </c>
      <c r="O263" s="3008">
        <v>2.5979291694891549E-2</v>
      </c>
      <c r="P263" s="3009">
        <v>-0.1339359881520209</v>
      </c>
    </row>
    <row r="264" spans="1:16">
      <c r="A264" s="483">
        <f t="shared" si="2"/>
        <v>2019.03</v>
      </c>
      <c r="B264" s="1230">
        <v>151.4</v>
      </c>
      <c r="C264" s="3005">
        <v>-3.3104161721620562E-2</v>
      </c>
      <c r="D264" s="1276">
        <v>-8.1908525091915263E-2</v>
      </c>
      <c r="E264" s="999">
        <v>-4.2621946490115636E-3</v>
      </c>
      <c r="F264" s="3008">
        <v>-4.8556565161142033E-2</v>
      </c>
      <c r="G264" s="3008">
        <v>6.8950958388340755E-3</v>
      </c>
      <c r="H264" s="3008">
        <v>-2.01784426819267E-2</v>
      </c>
      <c r="I264" s="3008">
        <v>-2.3618272970870935E-2</v>
      </c>
      <c r="J264" s="1812">
        <v>-0.17106012784526337</v>
      </c>
      <c r="K264" s="3008">
        <v>-2.0331483530816263E-2</v>
      </c>
      <c r="L264" s="3008">
        <v>-8.7919752678608964E-2</v>
      </c>
      <c r="M264" s="3008">
        <v>-7.4273458907514356E-2</v>
      </c>
      <c r="N264" s="3008">
        <v>-0.16400336422836539</v>
      </c>
      <c r="O264" s="3008">
        <v>-1.9246149449794414E-2</v>
      </c>
      <c r="P264" s="3009">
        <v>-0.3078969073224409</v>
      </c>
    </row>
    <row r="265" spans="1:16">
      <c r="A265" s="483">
        <f t="shared" si="2"/>
        <v>2019.04</v>
      </c>
      <c r="B265" s="1230">
        <v>153.9</v>
      </c>
      <c r="C265" s="3005">
        <v>1.6824751127696214E-2</v>
      </c>
      <c r="D265" s="1276">
        <v>-5.8749713065196933E-2</v>
      </c>
      <c r="E265" s="999">
        <v>-4.7138272470381715E-5</v>
      </c>
      <c r="F265" s="3008">
        <v>6.9413411126032276E-2</v>
      </c>
      <c r="G265" s="3008">
        <v>-5.9891380775393577E-2</v>
      </c>
      <c r="H265" s="3008">
        <v>7.1391164260382611E-2</v>
      </c>
      <c r="I265" s="3008">
        <v>-4.6056727923956424E-2</v>
      </c>
      <c r="J265" s="1812">
        <v>3.8443419889369279E-2</v>
      </c>
      <c r="K265" s="3008">
        <v>-1.9401363326290055E-2</v>
      </c>
      <c r="L265" s="3008">
        <v>-2.0460206023073635E-2</v>
      </c>
      <c r="M265" s="3008">
        <v>-9.9034724751174696E-2</v>
      </c>
      <c r="N265" s="3008">
        <v>-9.0616882933588605E-2</v>
      </c>
      <c r="O265" s="3008">
        <v>-8.6799320566195881E-2</v>
      </c>
      <c r="P265" s="3009">
        <v>-0.21558669627685056</v>
      </c>
    </row>
    <row r="266" spans="1:16">
      <c r="A266" s="483">
        <f t="shared" si="2"/>
        <v>2019.05</v>
      </c>
      <c r="B266" s="1230">
        <v>153.80000000000001</v>
      </c>
      <c r="C266" s="3005">
        <v>-7.1707011947008681E-4</v>
      </c>
      <c r="D266" s="1276">
        <v>-4.2697525573866739E-2</v>
      </c>
      <c r="E266" s="999">
        <v>5.6508081955253253E-4</v>
      </c>
      <c r="F266" s="3008">
        <v>-1.5835206161531334E-2</v>
      </c>
      <c r="G266" s="3008">
        <v>-4.2405497669813934E-2</v>
      </c>
      <c r="H266" s="3008">
        <v>-2.5012881628272643E-2</v>
      </c>
      <c r="I266" s="3008">
        <v>1.2817519499619401E-2</v>
      </c>
      <c r="J266" s="1812">
        <v>3.3382455798748545E-2</v>
      </c>
      <c r="K266" s="3008">
        <v>-1.8422747834714315E-2</v>
      </c>
      <c r="L266" s="3008">
        <v>-4.5905984466655392E-3</v>
      </c>
      <c r="M266" s="3008">
        <v>-4.5470831928149602E-2</v>
      </c>
      <c r="N266" s="3008">
        <v>-0.13586093552698475</v>
      </c>
      <c r="O266" s="3008">
        <v>-4.9880666978926236E-2</v>
      </c>
      <c r="P266" s="3009">
        <v>-0.17051321366635663</v>
      </c>
    </row>
    <row r="267" spans="1:16">
      <c r="A267" s="483">
        <f t="shared" si="2"/>
        <v>2019.06</v>
      </c>
      <c r="B267" s="1230">
        <v>154.19999999999999</v>
      </c>
      <c r="C267" s="3005">
        <v>2.3164235669608235E-3</v>
      </c>
      <c r="D267" s="1276">
        <v>-3.7671508230644246E-2</v>
      </c>
      <c r="E267" s="999">
        <v>1.4368602136238806E-4</v>
      </c>
      <c r="F267" s="3008">
        <v>2.8222492084901685E-3</v>
      </c>
      <c r="G267" s="3008">
        <v>7.8331037466899733E-2</v>
      </c>
      <c r="H267" s="3008">
        <v>4.3992281001128619E-2</v>
      </c>
      <c r="I267" s="3008">
        <v>-5.2910942263180945E-2</v>
      </c>
      <c r="J267" s="1812">
        <v>-3.1904294446237991E-2</v>
      </c>
      <c r="K267" s="3008">
        <v>-1.6014630416088305E-2</v>
      </c>
      <c r="L267" s="3008">
        <v>-7.1007497368682504E-3</v>
      </c>
      <c r="M267" s="3008">
        <v>-3.9128081571977891E-2</v>
      </c>
      <c r="N267" s="3008">
        <v>-0.13557069192848181</v>
      </c>
      <c r="O267" s="3008">
        <v>-0.1323908861971177</v>
      </c>
      <c r="P267" s="3009">
        <v>-0.15257168165276525</v>
      </c>
    </row>
    <row r="268" spans="1:16">
      <c r="A268" s="483">
        <f t="shared" si="2"/>
        <v>2019.07</v>
      </c>
      <c r="B268" s="1230">
        <v>153.9</v>
      </c>
      <c r="C268" s="3005">
        <v>-1.8734261811793607E-3</v>
      </c>
      <c r="D268" s="1276">
        <v>-1.0535412689530399E-2</v>
      </c>
      <c r="E268" s="999">
        <v>-3.0683893424977571E-3</v>
      </c>
      <c r="F268" s="3008">
        <v>2.8268468554432102E-2</v>
      </c>
      <c r="G268" s="3008">
        <v>4.1003720145090572E-2</v>
      </c>
      <c r="H268" s="3008">
        <v>-9.7118398276750964E-2</v>
      </c>
      <c r="I268" s="3008">
        <v>-3.0053804112860072E-2</v>
      </c>
      <c r="J268" s="1812">
        <v>6.4295643864622054E-2</v>
      </c>
      <c r="K268" s="3008">
        <v>-1.7450206912805633E-2</v>
      </c>
      <c r="L268" s="3008">
        <v>5.5726086103977002E-2</v>
      </c>
      <c r="M268" s="3008">
        <v>8.4737434806640088E-2</v>
      </c>
      <c r="N268" s="3008">
        <v>-0.19981618170027951</v>
      </c>
      <c r="O268" s="3008">
        <v>-0.12173760023745839</v>
      </c>
      <c r="P268" s="3009">
        <v>-6.5849993308822352E-2</v>
      </c>
    </row>
    <row r="269" spans="1:16">
      <c r="A269" s="483">
        <f t="shared" si="2"/>
        <v>2019.08</v>
      </c>
      <c r="B269" s="1230">
        <v>156.80000000000001</v>
      </c>
      <c r="C269" s="3005">
        <v>1.8869293354404348E-2</v>
      </c>
      <c r="D269" s="1276">
        <v>7.5194929347393025E-3</v>
      </c>
      <c r="E269" s="999">
        <v>8.7637707015297828E-4</v>
      </c>
      <c r="F269" s="3008">
        <v>5.2339917580859208E-3</v>
      </c>
      <c r="G269" s="3008">
        <v>7.6535094490881583E-4</v>
      </c>
      <c r="H269" s="3008">
        <v>4.1573020990983034E-2</v>
      </c>
      <c r="I269" s="3008">
        <v>3.0659424352456499E-2</v>
      </c>
      <c r="J269" s="1812">
        <v>2.8620298682100476E-2</v>
      </c>
      <c r="K269" s="3008">
        <v>-2.1294308571033205E-2</v>
      </c>
      <c r="L269" s="3008">
        <v>7.5706800228676929E-2</v>
      </c>
      <c r="M269" s="3008">
        <v>4.2619463175609607E-2</v>
      </c>
      <c r="N269" s="3008">
        <v>-8.9301568606406589E-2</v>
      </c>
      <c r="O269" s="3008">
        <v>-9.7553296844978932E-2</v>
      </c>
      <c r="P269" s="3009">
        <v>1.9358802748365767E-2</v>
      </c>
    </row>
    <row r="270" spans="1:16">
      <c r="A270" s="483">
        <f t="shared" si="2"/>
        <v>2019.09</v>
      </c>
      <c r="B270" s="1230">
        <v>155.30000000000001</v>
      </c>
      <c r="C270" s="3005">
        <v>-9.1936582282731161E-3</v>
      </c>
      <c r="D270" s="1276">
        <v>9.9998335854047937E-3</v>
      </c>
      <c r="E270" s="999">
        <v>-4.9538051868945887E-3</v>
      </c>
      <c r="F270" s="3008">
        <v>-3.4550885019014599E-2</v>
      </c>
      <c r="G270" s="3008">
        <v>2.2899854314233803E-2</v>
      </c>
      <c r="H270" s="3008">
        <v>-5.0095530433717173E-2</v>
      </c>
      <c r="I270" s="3008">
        <v>2.8595536123251275E-2</v>
      </c>
      <c r="J270" s="1812">
        <v>-2.6828514333196662E-2</v>
      </c>
      <c r="K270" s="3008">
        <v>-2.0494859606668192E-2</v>
      </c>
      <c r="L270" s="3008">
        <v>3.391282212152702E-2</v>
      </c>
      <c r="M270" s="3008">
        <v>0.11748585118752075</v>
      </c>
      <c r="N270" s="3008">
        <v>-0.15354430834249688</v>
      </c>
      <c r="O270" s="3008">
        <v>-6.8017799081322439E-2</v>
      </c>
      <c r="P270" s="3009">
        <v>2.874784138788633E-2</v>
      </c>
    </row>
    <row r="271" spans="1:16">
      <c r="A271" s="483">
        <f t="shared" si="2"/>
        <v>2019.1</v>
      </c>
      <c r="B271" s="1230">
        <v>155.69999999999999</v>
      </c>
      <c r="C271" s="3005">
        <v>2.2306869256083495E-3</v>
      </c>
      <c r="D271" s="1276">
        <v>-1.1303988331089476E-3</v>
      </c>
      <c r="E271" s="999">
        <v>-6.6096026321775803E-3</v>
      </c>
      <c r="F271" s="3008">
        <v>2.8587099310752428E-2</v>
      </c>
      <c r="G271" s="3008">
        <v>2.7054094766853387E-2</v>
      </c>
      <c r="H271" s="3008">
        <v>1.9285447616938178E-2</v>
      </c>
      <c r="I271" s="3008">
        <v>9.2179674818997359E-3</v>
      </c>
      <c r="J271" s="1812">
        <v>-3.203312001410874E-2</v>
      </c>
      <c r="K271" s="3008">
        <v>-2.4659300977743825E-2</v>
      </c>
      <c r="L271" s="3008">
        <v>4.1528548227738105E-2</v>
      </c>
      <c r="M271" s="3008">
        <v>0.13889260813085746</v>
      </c>
      <c r="N271" s="3008">
        <v>-0.12867082516356831</v>
      </c>
      <c r="O271" s="3008">
        <v>-0.10170357359689897</v>
      </c>
      <c r="P271" s="3009">
        <v>5.3327420167087691E-2</v>
      </c>
    </row>
    <row r="272" spans="1:16">
      <c r="A272" s="483">
        <f t="shared" si="2"/>
        <v>2019.11</v>
      </c>
      <c r="B272" s="1230">
        <v>153.80000000000001</v>
      </c>
      <c r="C272" s="3005">
        <v>-1.2392210292597738E-2</v>
      </c>
      <c r="D272" s="1276">
        <v>3.749798473665189E-3</v>
      </c>
      <c r="E272" s="999">
        <v>-3.7857258933914339E-3</v>
      </c>
      <c r="F272" s="3008">
        <v>-1.6790529849500357E-2</v>
      </c>
      <c r="G272" s="3008">
        <v>2.3533076287259647E-2</v>
      </c>
      <c r="H272" s="3008">
        <v>-7.5024790486107551E-2</v>
      </c>
      <c r="I272" s="3008">
        <v>3.2016088040309976E-2</v>
      </c>
      <c r="J272" s="1812">
        <v>-9.0905115083478302E-2</v>
      </c>
      <c r="K272" s="3008">
        <v>-2.2942707336793156E-2</v>
      </c>
      <c r="L272" s="3008">
        <v>1.4659351202748194E-2</v>
      </c>
      <c r="M272" s="3008">
        <v>0.18462524960411072</v>
      </c>
      <c r="N272" s="3008">
        <v>-0.22899722336807737</v>
      </c>
      <c r="O272" s="3008">
        <v>-3.650514208673572E-3</v>
      </c>
      <c r="P272" s="3009">
        <v>1.9771157321436306E-2</v>
      </c>
    </row>
    <row r="273" spans="1:16">
      <c r="A273" s="483">
        <f t="shared" si="2"/>
        <v>2019.12</v>
      </c>
      <c r="B273" s="1230">
        <v>153.6</v>
      </c>
      <c r="C273" s="3005">
        <v>-8.0101777676300223E-4</v>
      </c>
      <c r="D273" s="1276">
        <v>7.7767939332715752E-3</v>
      </c>
      <c r="E273" s="999">
        <v>-2.6662379348462162E-3</v>
      </c>
      <c r="F273" s="3008">
        <v>-4.0358650541061802E-2</v>
      </c>
      <c r="G273" s="3008">
        <v>-3.3302020416892564E-2</v>
      </c>
      <c r="H273" s="3008">
        <v>3.2925655790572161E-3</v>
      </c>
      <c r="I273" s="3008">
        <v>-9.5516712943948257E-3</v>
      </c>
      <c r="J273" s="1812">
        <v>0.14966530370053377</v>
      </c>
      <c r="K273" s="3008">
        <v>-2.2786883298754224E-2</v>
      </c>
      <c r="L273" s="3008">
        <v>5.3864167884101199E-3</v>
      </c>
      <c r="M273" s="3008">
        <v>5.8028793793219124E-2</v>
      </c>
      <c r="N273" s="3008">
        <v>-0.13767001270482593</v>
      </c>
      <c r="O273" s="3008">
        <v>-1.9993268010774834E-2</v>
      </c>
      <c r="P273" s="3009">
        <v>0.12651648506753288</v>
      </c>
    </row>
    <row r="274" spans="1:16">
      <c r="A274" s="483">
        <f t="shared" si="2"/>
        <v>2020.01</v>
      </c>
      <c r="B274" s="1230">
        <v>150.69999999999999</v>
      </c>
      <c r="C274" s="3005">
        <v>-1.8950769226231401E-2</v>
      </c>
      <c r="D274" s="1276">
        <v>-2.9400393526478608E-3</v>
      </c>
      <c r="E274" s="999">
        <v>-4.0852969290584573E-3</v>
      </c>
      <c r="F274" s="3008">
        <v>1.6370240755924303E-2</v>
      </c>
      <c r="G274" s="3008">
        <v>-3.0044889399642116E-2</v>
      </c>
      <c r="H274" s="3008">
        <v>-7.7028698099503079E-2</v>
      </c>
      <c r="I274" s="3008">
        <v>-2.2572010123860342E-2</v>
      </c>
      <c r="J274" s="1812">
        <v>-6.9952727339056886E-2</v>
      </c>
      <c r="K274" s="3008">
        <v>-2.6148914146799207E-2</v>
      </c>
      <c r="L274" s="3008">
        <v>7.9014580266449919E-3</v>
      </c>
      <c r="M274" s="3008">
        <v>0.10114771260982369</v>
      </c>
      <c r="N274" s="3008">
        <v>-0.20332973769378315</v>
      </c>
      <c r="O274" s="3008">
        <v>7.7362217571534941E-3</v>
      </c>
      <c r="P274" s="3009">
        <v>2.7953665283975138E-3</v>
      </c>
    </row>
    <row r="275" spans="1:16">
      <c r="A275" s="483">
        <f t="shared" si="2"/>
        <v>2020.02</v>
      </c>
      <c r="B275" s="1230">
        <v>148.6</v>
      </c>
      <c r="C275" s="3005">
        <v>-1.426152826206506E-2</v>
      </c>
      <c r="D275" s="1276">
        <v>-5.0994609978641581E-2</v>
      </c>
      <c r="E275" s="999">
        <v>-1.3464461930589033E-3</v>
      </c>
      <c r="F275" s="3008">
        <v>-2.027373330783877E-2</v>
      </c>
      <c r="G275" s="3008">
        <v>5.3312575013548802E-3</v>
      </c>
      <c r="H275" s="3008">
        <v>0.17466190264946846</v>
      </c>
      <c r="I275" s="3008">
        <v>5.9179872558738911E-3</v>
      </c>
      <c r="J275" s="1812">
        <v>5.4039268290772657E-2</v>
      </c>
      <c r="K275" s="3008">
        <v>-2.8883020483106314E-2</v>
      </c>
      <c r="L275" s="3008">
        <v>-3.1552171007061869E-2</v>
      </c>
      <c r="M275" s="3008">
        <v>3.2192029308794057E-2</v>
      </c>
      <c r="N275" s="3008">
        <v>-2.1082110176942725E-2</v>
      </c>
      <c r="O275" s="3008">
        <v>-6.8200903737441365E-2</v>
      </c>
      <c r="P275" s="3009">
        <v>-9.0097312664184526E-2</v>
      </c>
    </row>
    <row r="276" spans="1:16">
      <c r="A276" s="483">
        <f t="shared" si="2"/>
        <v>2020.03</v>
      </c>
      <c r="B276" s="1230">
        <v>143.80000000000001</v>
      </c>
      <c r="C276" s="3005">
        <v>-3.2441444650725182E-2</v>
      </c>
      <c r="D276" s="1276">
        <v>-5.0344155144273151E-2</v>
      </c>
      <c r="E276" s="999">
        <v>-3.2633986850945096E-3</v>
      </c>
      <c r="F276" s="3008">
        <v>-1.9811753606600035E-2</v>
      </c>
      <c r="G276" s="3008">
        <v>-8.42629436274802E-2</v>
      </c>
      <c r="H276" s="3008">
        <v>-0.1379100297229211</v>
      </c>
      <c r="I276" s="3008">
        <v>-3.204675930578893E-2</v>
      </c>
      <c r="J276" s="1812">
        <v>-0.3555559240155573</v>
      </c>
      <c r="K276" s="3008">
        <v>-2.7908920961705719E-2</v>
      </c>
      <c r="L276" s="3008">
        <v>-2.2936262260764284E-3</v>
      </c>
      <c r="M276" s="3008">
        <v>-6.1256237678899088E-2</v>
      </c>
      <c r="N276" s="3008">
        <v>-0.13870511600990898</v>
      </c>
      <c r="O276" s="3008">
        <v>-7.6244536399058815E-2</v>
      </c>
      <c r="P276" s="3009">
        <v>-0.29261287063963037</v>
      </c>
    </row>
    <row r="277" spans="1:16">
      <c r="A277" s="483">
        <f t="shared" si="2"/>
        <v>2020.04</v>
      </c>
      <c r="B277" s="1230">
        <v>118.1</v>
      </c>
      <c r="C277" s="3005">
        <v>-0.17868556702223104</v>
      </c>
      <c r="D277" s="1276">
        <v>-0.23293954943888373</v>
      </c>
      <c r="E277" s="999">
        <v>-1.9364288467913937E-2</v>
      </c>
      <c r="F277" s="3008">
        <v>-0.1327257091170444</v>
      </c>
      <c r="G277" s="3008">
        <v>-5.5119602422031955E-2</v>
      </c>
      <c r="H277" s="3008">
        <v>-0.18059518182887579</v>
      </c>
      <c r="I277" s="3008">
        <v>-0.16318456790704705</v>
      </c>
      <c r="J277" s="1812">
        <v>-0.75155055414073701</v>
      </c>
      <c r="K277" s="3008">
        <v>-4.6687835544731549E-2</v>
      </c>
      <c r="L277" s="3008">
        <v>-0.19087877632552974</v>
      </c>
      <c r="M277" s="3008">
        <v>-5.6491387029947833E-2</v>
      </c>
      <c r="N277" s="3008">
        <v>-0.34127776917516173</v>
      </c>
      <c r="O277" s="3008">
        <v>-0.18966583228879152</v>
      </c>
      <c r="P277" s="3009">
        <v>-0.83075636386979834</v>
      </c>
    </row>
    <row r="278" spans="1:16">
      <c r="A278" s="483">
        <f t="shared" si="2"/>
        <v>2020.05</v>
      </c>
      <c r="B278" s="1230">
        <v>135.6</v>
      </c>
      <c r="C278" s="3005">
        <v>0.14853355943323399</v>
      </c>
      <c r="D278" s="1276">
        <v>-0.11837314214028727</v>
      </c>
      <c r="E278" s="999">
        <v>-4.2820784966829395E-3</v>
      </c>
      <c r="F278" s="3008">
        <v>6.9257299726620314E-2</v>
      </c>
      <c r="G278" s="3008">
        <v>0.1542817024512988</v>
      </c>
      <c r="H278" s="3008">
        <v>2.9308758218120401E-2</v>
      </c>
      <c r="I278" s="3008">
        <v>0.17891837126696242</v>
      </c>
      <c r="J278" s="1812">
        <v>3.1164887186775889</v>
      </c>
      <c r="K278" s="3008">
        <v>-5.1306081801571812E-2</v>
      </c>
      <c r="L278" s="3008">
        <v>-0.12092082525798864</v>
      </c>
      <c r="M278" s="3008">
        <v>0.13730261128944332</v>
      </c>
      <c r="N278" s="3008">
        <v>-0.30457690297147433</v>
      </c>
      <c r="O278" s="3008">
        <v>-5.6772006025290089E-2</v>
      </c>
      <c r="P278" s="3009">
        <v>-0.32581638586127659</v>
      </c>
    </row>
    <row r="279" spans="1:16">
      <c r="A279" s="483">
        <f t="shared" si="2"/>
        <v>2020.06</v>
      </c>
      <c r="B279" s="1230">
        <v>140.30000000000001</v>
      </c>
      <c r="C279" s="3005">
        <v>3.4319878467566456E-2</v>
      </c>
      <c r="D279" s="1276">
        <v>-9.022324384343372E-2</v>
      </c>
      <c r="E279" s="999">
        <v>1.1633415827205784E-3</v>
      </c>
      <c r="F279" s="3008">
        <v>3.0759488259294088E-2</v>
      </c>
      <c r="G279" s="3008">
        <v>-4.5409970322678239E-2</v>
      </c>
      <c r="H279" s="3008">
        <v>5.1068742837534487E-3</v>
      </c>
      <c r="I279" s="3008">
        <v>1.1022246816040582E-2</v>
      </c>
      <c r="J279" s="1812">
        <v>0.66226814163798564</v>
      </c>
      <c r="K279" s="3008">
        <v>-5.0338879745269294E-2</v>
      </c>
      <c r="L279" s="3008">
        <v>-9.6430896889591167E-2</v>
      </c>
      <c r="M279" s="3008">
        <v>6.7944775225949883E-3</v>
      </c>
      <c r="N279" s="3008">
        <v>-0.33047921131294911</v>
      </c>
      <c r="O279" s="3008">
        <v>6.9005421801577871E-3</v>
      </c>
      <c r="P279" s="3009">
        <v>0.1576065640701485</v>
      </c>
    </row>
    <row r="280" spans="1:16">
      <c r="A280" s="483">
        <f t="shared" si="2"/>
        <v>2020.07</v>
      </c>
      <c r="B280" s="1230">
        <v>149.80000000000001</v>
      </c>
      <c r="C280" s="3005">
        <v>6.7649958939320687E-2</v>
      </c>
      <c r="D280" s="1276">
        <v>-2.6853766012625457E-2</v>
      </c>
      <c r="E280" s="999">
        <v>1.5123851073508554E-3</v>
      </c>
      <c r="F280" s="3008">
        <v>1.4203969282137408E-2</v>
      </c>
      <c r="G280" s="3008">
        <v>9.0908891412376569E-2</v>
      </c>
      <c r="H280" s="3008">
        <v>0.33074883401605648</v>
      </c>
      <c r="I280" s="3008">
        <v>0.10089075877981181</v>
      </c>
      <c r="J280" s="1812">
        <v>-3.0305197993561461E-2</v>
      </c>
      <c r="K280" s="3008">
        <v>-4.5975307210129761E-2</v>
      </c>
      <c r="L280" s="3008">
        <v>-0.10878977726159157</v>
      </c>
      <c r="M280" s="3008">
        <v>5.5059675676468967E-2</v>
      </c>
      <c r="N280" s="3008">
        <v>-1.3199507893061013E-2</v>
      </c>
      <c r="O280" s="3008">
        <v>0.14283401140891527</v>
      </c>
      <c r="P280" s="3009">
        <v>5.4711700098004634E-2</v>
      </c>
    </row>
    <row r="281" spans="1:16">
      <c r="A281" s="483">
        <f t="shared" si="2"/>
        <v>2020.08</v>
      </c>
      <c r="B281" s="1230">
        <v>153</v>
      </c>
      <c r="C281" s="3005">
        <v>2.1950841521683584E-2</v>
      </c>
      <c r="D281" s="1276">
        <v>-2.3910506250653829E-2</v>
      </c>
      <c r="E281" s="999">
        <v>7.3269743884263328E-4</v>
      </c>
      <c r="F281" s="3008">
        <v>5.1658838737526525E-2</v>
      </c>
      <c r="G281" s="3008">
        <v>-2.9958263120090645E-2</v>
      </c>
      <c r="H281" s="3008">
        <v>-2.7095502388785442E-2</v>
      </c>
      <c r="I281" s="3008">
        <v>-6.9118705815307546E-3</v>
      </c>
      <c r="J281" s="1812">
        <v>6.6002753481335441E-2</v>
      </c>
      <c r="K281" s="3008">
        <v>-4.6112261102999375E-2</v>
      </c>
      <c r="L281" s="3008">
        <v>-6.763090424658047E-2</v>
      </c>
      <c r="M281" s="3008">
        <v>2.2669219451719291E-2</v>
      </c>
      <c r="N281" s="3008">
        <v>-7.8257003908982714E-2</v>
      </c>
      <c r="O281" s="3008">
        <v>0.1011735436649628</v>
      </c>
      <c r="P281" s="3009">
        <v>9.3042377127861217E-2</v>
      </c>
    </row>
    <row r="282" spans="1:16">
      <c r="A282" s="483">
        <f t="shared" si="2"/>
        <v>2020.09</v>
      </c>
      <c r="B282" s="1230">
        <v>151.69999999999999</v>
      </c>
      <c r="C282" s="3005">
        <v>-8.4489999398568161E-3</v>
      </c>
      <c r="D282" s="1276">
        <v>-2.3176908673495755E-2</v>
      </c>
      <c r="E282" s="999">
        <v>1.701683871872417E-3</v>
      </c>
      <c r="F282" s="3008">
        <v>1.9087501860701073E-2</v>
      </c>
      <c r="G282" s="3008">
        <v>-4.1744604368029743E-2</v>
      </c>
      <c r="H282" s="3008">
        <v>-0.13569933926079725</v>
      </c>
      <c r="I282" s="3008">
        <v>-1.0532917403776154E-2</v>
      </c>
      <c r="J282" s="1812">
        <v>-7.5668341764112967E-2</v>
      </c>
      <c r="K282" s="3008">
        <v>-3.9732065447145026E-2</v>
      </c>
      <c r="L282" s="3008">
        <v>-1.5830375874147706E-2</v>
      </c>
      <c r="M282" s="3008">
        <v>-4.1960663741284376E-2</v>
      </c>
      <c r="N282" s="3008">
        <v>-0.16132294764656996</v>
      </c>
      <c r="O282" s="3008">
        <v>5.9284174797116895E-2</v>
      </c>
      <c r="P282" s="3009">
        <v>3.8186679175485239E-2</v>
      </c>
    </row>
    <row r="283" spans="1:16">
      <c r="A283" s="483">
        <f t="shared" si="2"/>
        <v>2020.1</v>
      </c>
      <c r="B283" s="1230">
        <v>148.9</v>
      </c>
      <c r="C283" s="3005">
        <v>-1.8576691207395024E-2</v>
      </c>
      <c r="D283" s="1276">
        <v>-4.345679801975811E-2</v>
      </c>
      <c r="E283" s="999">
        <v>2.0411460861848862E-3</v>
      </c>
      <c r="F283" s="3008">
        <v>-3.5283071922860287E-2</v>
      </c>
      <c r="G283" s="3008">
        <v>-2.5059779350900535E-2</v>
      </c>
      <c r="H283" s="3008">
        <v>6.3000163081583516E-4</v>
      </c>
      <c r="I283" s="3008">
        <v>-6.780258150389451E-2</v>
      </c>
      <c r="J283" s="1812">
        <v>4.6268639260046429E-2</v>
      </c>
      <c r="K283" s="3008">
        <v>-3.1369757309147372E-2</v>
      </c>
      <c r="L283" s="3008">
        <v>-7.6942441598051636E-2</v>
      </c>
      <c r="M283" s="3008">
        <v>-9.0572651779730298E-2</v>
      </c>
      <c r="N283" s="3008">
        <v>-0.17667281307098026</v>
      </c>
      <c r="O283" s="3008">
        <v>-2.1557279976428978E-2</v>
      </c>
      <c r="P283" s="3009">
        <v>0.12216872971384497</v>
      </c>
    </row>
    <row r="284" spans="1:16">
      <c r="A284" s="483">
        <f t="shared" si="2"/>
        <v>2020.11</v>
      </c>
      <c r="B284" s="1230">
        <v>150.6</v>
      </c>
      <c r="C284" s="3005">
        <v>1.1371186259839794E-2</v>
      </c>
      <c r="D284" s="1276">
        <v>-2.0440864300837913E-2</v>
      </c>
      <c r="E284" s="999">
        <v>2.5393872879266866E-3</v>
      </c>
      <c r="F284" s="3008">
        <v>3.6722543654406747E-2</v>
      </c>
      <c r="G284" s="3008">
        <v>2.208211965618001E-2</v>
      </c>
      <c r="H284" s="3008">
        <v>-1.8208400632063748E-3</v>
      </c>
      <c r="I284" s="3008">
        <v>7.7569564760440413E-2</v>
      </c>
      <c r="J284" s="1812">
        <v>-9.9284130114077884E-3</v>
      </c>
      <c r="K284" s="3008">
        <v>-2.5219779262143582E-2</v>
      </c>
      <c r="L284" s="3008">
        <v>-2.670325201463597E-2</v>
      </c>
      <c r="M284" s="3008">
        <v>-9.1861852560785481E-2</v>
      </c>
      <c r="N284" s="3008">
        <v>-0.1115134423615175</v>
      </c>
      <c r="O284" s="3008">
        <v>2.1631453401953937E-2</v>
      </c>
      <c r="P284" s="3009">
        <v>0.22212476775598611</v>
      </c>
    </row>
    <row r="285" spans="1:16">
      <c r="A285" s="483">
        <f t="shared" si="2"/>
        <v>2020.12</v>
      </c>
      <c r="B285" s="1230">
        <v>141.4</v>
      </c>
      <c r="C285" s="3005">
        <v>-6.1395740500233886E-2</v>
      </c>
      <c r="D285" s="1276">
        <v>-7.9844561937583935E-2</v>
      </c>
      <c r="E285" s="999">
        <v>1.0721187591036241E-3</v>
      </c>
      <c r="F285" s="3008">
        <v>-0.12075540588489952</v>
      </c>
      <c r="G285" s="3008">
        <v>-5.1166150136806365E-2</v>
      </c>
      <c r="H285" s="3008">
        <v>-8.602393099054971E-2</v>
      </c>
      <c r="I285" s="3008">
        <v>-0.10278865023871397</v>
      </c>
      <c r="J285" s="1812">
        <v>-5.705603433492968E-2</v>
      </c>
      <c r="K285" s="3008">
        <v>-2.156596115036169E-2</v>
      </c>
      <c r="L285" s="3008">
        <v>-0.10824402823155366</v>
      </c>
      <c r="M285" s="3008">
        <v>-0.10864382377836534</v>
      </c>
      <c r="N285" s="3008">
        <v>-0.19060951991658073</v>
      </c>
      <c r="O285" s="3008">
        <v>-7.4540984421407552E-2</v>
      </c>
      <c r="P285" s="3009">
        <v>2.3744922422308523E-3</v>
      </c>
    </row>
    <row r="286" spans="1:16">
      <c r="A286" s="483">
        <f t="shared" si="2"/>
        <v>2021.01</v>
      </c>
      <c r="B286" s="1230">
        <v>152.80000000000001</v>
      </c>
      <c r="C286" s="3005">
        <v>8.0816764697410934E-2</v>
      </c>
      <c r="D286" s="1276">
        <v>1.3730394346221253E-2</v>
      </c>
      <c r="E286" s="999">
        <v>8.0796118569803621E-3</v>
      </c>
      <c r="F286" s="3008">
        <v>0.13349573459143804</v>
      </c>
      <c r="G286" s="3008">
        <v>6.2428294342265156E-2</v>
      </c>
      <c r="H286" s="3008">
        <v>0.45971990599831614</v>
      </c>
      <c r="I286" s="3008">
        <v>8.0493388631339702E-2</v>
      </c>
      <c r="J286" s="1812">
        <v>-2.4559365900585162E-2</v>
      </c>
      <c r="K286" s="3008">
        <v>-9.6145753549121693E-3</v>
      </c>
      <c r="L286" s="3008">
        <v>-5.4789585887579095E-3</v>
      </c>
      <c r="M286" s="3008">
        <v>-2.3664073104946226E-2</v>
      </c>
      <c r="N286" s="3008">
        <v>0.28008681642701116</v>
      </c>
      <c r="O286" s="3008">
        <v>2.3044519022472176E-2</v>
      </c>
      <c r="P286" s="3009">
        <v>5.129797060787733E-2</v>
      </c>
    </row>
    <row r="287" spans="1:16">
      <c r="A287" s="483">
        <f t="shared" si="2"/>
        <v>2021.02</v>
      </c>
      <c r="B287" s="1230">
        <v>154.80000000000001</v>
      </c>
      <c r="C287" s="3005">
        <v>1.3300836288398399E-2</v>
      </c>
      <c r="D287" s="1276">
        <v>4.20754447687679E-2</v>
      </c>
      <c r="E287" s="999">
        <v>3.8403957150594525E-3</v>
      </c>
      <c r="F287" s="3008">
        <v>-6.8276543915570809E-3</v>
      </c>
      <c r="G287" s="3008">
        <v>2.5118123555166072E-2</v>
      </c>
      <c r="H287" s="3008">
        <v>2.4055640459297312E-2</v>
      </c>
      <c r="I287" s="3008">
        <v>-4.5464800522345694E-3</v>
      </c>
      <c r="J287" s="1812">
        <v>1.6246794050055247E-2</v>
      </c>
      <c r="K287" s="3008">
        <v>-4.4706767464747221E-3</v>
      </c>
      <c r="L287" s="3008">
        <v>8.1701685821071734E-3</v>
      </c>
      <c r="M287" s="3008">
        <v>-4.4478913092956818E-3</v>
      </c>
      <c r="N287" s="3008">
        <v>0.11596376939011567</v>
      </c>
      <c r="O287" s="3008">
        <v>1.2401886064635326E-2</v>
      </c>
      <c r="P287" s="3009">
        <v>1.3603785325819739E-2</v>
      </c>
    </row>
    <row r="288" spans="1:16">
      <c r="A288" s="483">
        <f t="shared" si="2"/>
        <v>2021.03</v>
      </c>
      <c r="B288" s="1230">
        <v>160.30000000000001</v>
      </c>
      <c r="C288" s="3005">
        <v>3.5359056667580768E-2</v>
      </c>
      <c r="D288" s="1276">
        <v>0.11509762743275577</v>
      </c>
      <c r="E288" s="999">
        <v>3.5284714830483566E-3</v>
      </c>
      <c r="F288" s="3008">
        <v>9.1156051696397178E-2</v>
      </c>
      <c r="G288" s="3008">
        <v>4.5829313300095542E-2</v>
      </c>
      <c r="H288" s="3008">
        <v>-2.3296096372501962E-2</v>
      </c>
      <c r="I288" s="3008">
        <v>3.8877900512912511E-2</v>
      </c>
      <c r="J288" s="1812">
        <v>2.3805681420629998E-2</v>
      </c>
      <c r="K288" s="3008">
        <v>2.3129668993964181E-3</v>
      </c>
      <c r="L288" s="3008">
        <v>0.12230582710601912</v>
      </c>
      <c r="M288" s="3008">
        <v>0.13698312298384541</v>
      </c>
      <c r="N288" s="3008">
        <v>0.26432995099092027</v>
      </c>
      <c r="O288" s="3008">
        <v>8.6583423302372578E-2</v>
      </c>
      <c r="P288" s="3009">
        <v>0.61027675293749195</v>
      </c>
    </row>
    <row r="289" spans="1:16">
      <c r="A289" s="483">
        <f t="shared" si="2"/>
        <v>2021.04</v>
      </c>
      <c r="B289" s="1230">
        <v>158.69999999999999</v>
      </c>
      <c r="C289" s="3005">
        <v>-1.0019916791248362E-2</v>
      </c>
      <c r="D289" s="1276">
        <v>0.3440947798632461</v>
      </c>
      <c r="E289" s="999">
        <v>4.9323761078157169E-3</v>
      </c>
      <c r="F289" s="3008">
        <v>-5.5260137339843363E-2</v>
      </c>
      <c r="G289" s="3008">
        <v>4.4400108110124181E-2</v>
      </c>
      <c r="H289" s="3008">
        <v>7.4736689759382635E-3</v>
      </c>
      <c r="I289" s="3008">
        <v>-2.8064929793725213E-3</v>
      </c>
      <c r="J289" s="1812">
        <v>-8.4083529701515669E-2</v>
      </c>
      <c r="K289" s="3008">
        <v>2.7146716751940136E-2</v>
      </c>
      <c r="L289" s="3008">
        <v>0.22255100157918406</v>
      </c>
      <c r="M289" s="3008">
        <v>0.2567360902052469</v>
      </c>
      <c r="N289" s="3008">
        <v>0.55451750621141094</v>
      </c>
      <c r="O289" s="3008">
        <v>0.29483024929804791</v>
      </c>
      <c r="P289" s="3009">
        <v>4.936334430746423</v>
      </c>
    </row>
    <row r="290" spans="1:16">
      <c r="A290" s="483">
        <f t="shared" si="2"/>
        <v>2021.05</v>
      </c>
      <c r="B290" s="1230">
        <v>152.4</v>
      </c>
      <c r="C290" s="3005">
        <v>-3.9534056428260245E-2</v>
      </c>
      <c r="D290" s="1276">
        <v>0.12400482370602228</v>
      </c>
      <c r="E290" s="999">
        <v>9.6265565228237371E-4</v>
      </c>
      <c r="F290" s="3008">
        <v>-5.1415074905550091E-2</v>
      </c>
      <c r="G290" s="3008">
        <v>-9.5826093908321086E-3</v>
      </c>
      <c r="H290" s="3008">
        <v>-3.3625222063467852E-2</v>
      </c>
      <c r="I290" s="3008">
        <v>6.8467567283903019E-3</v>
      </c>
      <c r="J290" s="1812">
        <v>-0.24729973583089215</v>
      </c>
      <c r="K290" s="3008">
        <v>3.2556995451366699E-2</v>
      </c>
      <c r="L290" s="3008">
        <v>8.4578473818824218E-2</v>
      </c>
      <c r="M290" s="3008">
        <v>7.8327133231122392E-2</v>
      </c>
      <c r="N290" s="3008">
        <v>0.45947122072885693</v>
      </c>
      <c r="O290" s="3008">
        <v>0.10584046257460077</v>
      </c>
      <c r="P290" s="3009">
        <v>8.5459186112971222E-2</v>
      </c>
    </row>
    <row r="291" spans="1:16">
      <c r="A291" s="483">
        <f t="shared" si="2"/>
        <v>2021.06</v>
      </c>
      <c r="B291" s="1230">
        <v>155.80000000000001</v>
      </c>
      <c r="C291" s="3005">
        <v>2.2327709624933467E-2</v>
      </c>
      <c r="D291" s="1276">
        <v>0.11097282470220617</v>
      </c>
      <c r="E291" s="999">
        <v>-2.6009045449537638E-4</v>
      </c>
      <c r="F291" s="3008">
        <v>2.3482956831365698E-2</v>
      </c>
      <c r="G291" s="3008">
        <v>-2.3387744909857733E-2</v>
      </c>
      <c r="H291" s="3008">
        <v>-1.2070137462119379E-2</v>
      </c>
      <c r="I291" s="3008">
        <v>-3.7875271767205954E-3</v>
      </c>
      <c r="J291" s="1812">
        <v>0.44580001850593609</v>
      </c>
      <c r="K291" s="3008">
        <v>3.1088928606995969E-2</v>
      </c>
      <c r="L291" s="3008">
        <v>7.6922013276195633E-2</v>
      </c>
      <c r="M291" s="3008">
        <v>0.10320395203133925</v>
      </c>
      <c r="N291" s="3008">
        <v>0.43452924197750503</v>
      </c>
      <c r="O291" s="3008">
        <v>8.9641761334982709E-2</v>
      </c>
      <c r="P291" s="3009">
        <v>-5.5894249514316756E-2</v>
      </c>
    </row>
    <row r="292" spans="1:16">
      <c r="A292" s="483">
        <f t="shared" si="2"/>
        <v>2021.07</v>
      </c>
      <c r="B292" s="1230">
        <v>155.6</v>
      </c>
      <c r="C292" s="3005">
        <v>-1.229137377734224E-3</v>
      </c>
      <c r="D292" s="1276">
        <v>3.9298767528713752E-2</v>
      </c>
      <c r="E292" s="999">
        <v>2.3707954721980951E-3</v>
      </c>
      <c r="F292" s="3008">
        <v>3.581354699518946E-2</v>
      </c>
      <c r="G292" s="3008">
        <v>3.7376227193466116E-2</v>
      </c>
      <c r="H292" s="3008">
        <v>7.946685833123146E-2</v>
      </c>
      <c r="I292" s="3008">
        <v>-3.8399087282163014E-2</v>
      </c>
      <c r="J292" s="1812">
        <v>-0.11262636591889985</v>
      </c>
      <c r="K292" s="3008">
        <v>3.1972689443663604E-2</v>
      </c>
      <c r="L292" s="3008">
        <v>9.9867920255104922E-2</v>
      </c>
      <c r="M292" s="3008">
        <v>4.9067949296401236E-2</v>
      </c>
      <c r="N292" s="3008">
        <v>0.16365067129042932</v>
      </c>
      <c r="O292" s="3008">
        <v>-4.82248089751105E-2</v>
      </c>
      <c r="P292" s="3009">
        <v>-0.13604306320723936</v>
      </c>
    </row>
    <row r="293" spans="1:16">
      <c r="A293" s="483">
        <f t="shared" si="2"/>
        <v>2021.08</v>
      </c>
      <c r="B293" s="1230">
        <v>157.1</v>
      </c>
      <c r="C293" s="3005">
        <v>9.5068336288985922E-3</v>
      </c>
      <c r="D293" s="1276">
        <v>2.6643518821416023E-2</v>
      </c>
      <c r="E293" s="999">
        <v>2.7062945305795783E-3</v>
      </c>
      <c r="F293" s="3008">
        <v>-2.3345822609820988E-2</v>
      </c>
      <c r="G293" s="3008">
        <v>-3.0270300466753164E-2</v>
      </c>
      <c r="H293" s="3008">
        <v>1.7815594838284765E-2</v>
      </c>
      <c r="I293" s="3008">
        <v>3.418360229854378E-2</v>
      </c>
      <c r="J293" s="1812">
        <v>2.1294929424902076E-2</v>
      </c>
      <c r="K293" s="3008">
        <v>3.4007896551266015E-2</v>
      </c>
      <c r="L293" s="3008">
        <v>2.1424971033494611E-2</v>
      </c>
      <c r="M293" s="3008">
        <v>4.8730491260399411E-2</v>
      </c>
      <c r="N293" s="3008">
        <v>0.21736696982228598</v>
      </c>
      <c r="O293" s="3008">
        <v>-8.8389273075939467E-3</v>
      </c>
      <c r="P293" s="3009">
        <v>-0.17227714852861672</v>
      </c>
    </row>
    <row r="294" spans="1:16">
      <c r="A294" s="483">
        <f t="shared" si="2"/>
        <v>2021.09</v>
      </c>
      <c r="B294" s="1230">
        <v>158.19999999999999</v>
      </c>
      <c r="C294" s="3005">
        <v>7.1806412492536609E-3</v>
      </c>
      <c r="D294" s="1276">
        <v>4.2826317111499979E-2</v>
      </c>
      <c r="E294" s="999">
        <v>2.761453089548338E-3</v>
      </c>
      <c r="F294" s="3008">
        <v>7.8481069394751302E-3</v>
      </c>
      <c r="G294" s="3008">
        <v>4.3098172609929097E-2</v>
      </c>
      <c r="H294" s="3008">
        <v>-9.2812348514573761E-3</v>
      </c>
      <c r="I294" s="3008">
        <v>7.5656092694509347E-3</v>
      </c>
      <c r="J294" s="1812">
        <v>8.5625775449138963E-2</v>
      </c>
      <c r="K294" s="3008">
        <v>3.5101844736880938E-2</v>
      </c>
      <c r="L294" s="3008">
        <v>1.015979644261189E-2</v>
      </c>
      <c r="M294" s="3008">
        <v>0.14158382408333714</v>
      </c>
      <c r="N294" s="3008">
        <v>0.3954267951657644</v>
      </c>
      <c r="O294" s="3008">
        <v>9.2905844539490356E-3</v>
      </c>
      <c r="P294" s="3009">
        <v>-2.7841084443011477E-2</v>
      </c>
    </row>
    <row r="295" spans="1:16">
      <c r="A295" s="483">
        <f t="shared" si="2"/>
        <v>2021.1</v>
      </c>
      <c r="B295" s="1230">
        <v>157.69999999999999</v>
      </c>
      <c r="C295" s="3005">
        <v>-3.3514842019114477E-3</v>
      </c>
      <c r="D295" s="1276">
        <v>5.9004093211317166E-2</v>
      </c>
      <c r="E295" s="999">
        <v>3.2781688149849941E-3</v>
      </c>
      <c r="F295" s="3008">
        <v>1.9618254824993908E-2</v>
      </c>
      <c r="G295" s="3008">
        <v>-1.4872333043266517E-2</v>
      </c>
      <c r="H295" s="3008">
        <v>-0.21101904666136095</v>
      </c>
      <c r="I295" s="3008">
        <v>1.899429652381901E-2</v>
      </c>
      <c r="J295" s="1812">
        <v>-2.0875205309605516E-2</v>
      </c>
      <c r="K295" s="3008">
        <v>3.6379680994966357E-2</v>
      </c>
      <c r="L295" s="3008">
        <v>6.7647243213741159E-2</v>
      </c>
      <c r="M295" s="3008">
        <v>0.15351257998774481</v>
      </c>
      <c r="N295" s="3008">
        <v>0.10027199001611553</v>
      </c>
      <c r="O295" s="3008">
        <v>0.10326560521156658</v>
      </c>
      <c r="P295" s="3009">
        <v>-9.0228969039575557E-2</v>
      </c>
    </row>
    <row r="296" spans="1:16">
      <c r="A296" s="483">
        <f t="shared" si="2"/>
        <v>2021.11</v>
      </c>
      <c r="B296" s="1230">
        <v>159.30000000000001</v>
      </c>
      <c r="C296" s="3005">
        <v>1.0197601731898542E-2</v>
      </c>
      <c r="D296" s="1276">
        <v>5.7775235957221227E-2</v>
      </c>
      <c r="E296" s="999">
        <v>4.6980474681073137E-3</v>
      </c>
      <c r="F296" s="3008">
        <v>-1.987805557174549E-2</v>
      </c>
      <c r="G296" s="3008">
        <v>-3.4651576869716538E-2</v>
      </c>
      <c r="H296" s="3008">
        <v>7.196725468802101E-2</v>
      </c>
      <c r="I296" s="3008">
        <v>3.4058542740712738E-2</v>
      </c>
      <c r="J296" s="1812">
        <v>2.5046039018542743E-2</v>
      </c>
      <c r="K296" s="3008">
        <v>3.8611205838058993E-2</v>
      </c>
      <c r="L296" s="3008">
        <v>9.3582881814371355E-3</v>
      </c>
      <c r="M296" s="3008">
        <v>8.9483446326896754E-2</v>
      </c>
      <c r="N296" s="3008">
        <v>0.18160706202520416</v>
      </c>
      <c r="O296" s="3008">
        <v>5.871700657641421E-2</v>
      </c>
      <c r="P296" s="3009">
        <v>-5.8091148200433922E-2</v>
      </c>
    </row>
    <row r="297" spans="1:16">
      <c r="A297" s="483">
        <f t="shared" si="2"/>
        <v>2021.12</v>
      </c>
      <c r="B297" s="1230">
        <v>163.9</v>
      </c>
      <c r="C297" s="3005">
        <v>2.8527700110137388E-2</v>
      </c>
      <c r="D297" s="1276">
        <v>0.15911591031172989</v>
      </c>
      <c r="E297" s="999">
        <v>3.8232409943781409E-3</v>
      </c>
      <c r="F297" s="3008">
        <v>4.7895335969180497E-2</v>
      </c>
      <c r="G297" s="3008">
        <v>6.205827193920932E-2</v>
      </c>
      <c r="H297" s="3008">
        <v>0.11382182337067492</v>
      </c>
      <c r="I297" s="3008">
        <v>2.8531532786822078E-2</v>
      </c>
      <c r="J297" s="1812">
        <v>4.5538248615357269E-2</v>
      </c>
      <c r="K297" s="3008">
        <v>4.146549208641459E-2</v>
      </c>
      <c r="L297" s="3008">
        <v>0.20296655741360414</v>
      </c>
      <c r="M297" s="3008">
        <v>0.21949159642560434</v>
      </c>
      <c r="N297" s="3008">
        <v>0.43997176398605559</v>
      </c>
      <c r="O297" s="3008">
        <v>0.2136759369475616</v>
      </c>
      <c r="P297" s="3009">
        <v>4.4390512188311471E-2</v>
      </c>
    </row>
    <row r="298" spans="1:16">
      <c r="A298" s="483">
        <f t="shared" si="2"/>
        <v>2022.01</v>
      </c>
      <c r="B298" s="1230">
        <v>161.30000000000001</v>
      </c>
      <c r="C298" s="3005">
        <v>-1.5922279038323994E-2</v>
      </c>
      <c r="D298" s="1276">
        <v>5.5368662484920339E-2</v>
      </c>
      <c r="E298" s="999">
        <v>4.2199394101425369E-3</v>
      </c>
      <c r="F298" s="3008">
        <v>-1.0489031706934604E-2</v>
      </c>
      <c r="G298" s="3008">
        <v>8.918175835456843E-3</v>
      </c>
      <c r="H298" s="3008">
        <v>-7.6516306734981887E-2</v>
      </c>
      <c r="I298" s="3008">
        <v>1.1183487632024924E-3</v>
      </c>
      <c r="J298" s="1812">
        <v>-0.17634303117426786</v>
      </c>
      <c r="K298" s="3008">
        <v>3.7477993860224323E-2</v>
      </c>
      <c r="L298" s="3008">
        <v>5.0157108424907504E-2</v>
      </c>
      <c r="M298" s="3008">
        <v>0.1580708490770133</v>
      </c>
      <c r="N298" s="3008">
        <v>-8.9009859125179572E-2</v>
      </c>
      <c r="O298" s="3008">
        <v>0.12451706110821981</v>
      </c>
      <c r="P298" s="3009">
        <v>-0.11812211479831924</v>
      </c>
    </row>
    <row r="299" spans="1:16">
      <c r="A299" s="483">
        <f t="shared" si="2"/>
        <v>2022.02</v>
      </c>
      <c r="B299" s="1230">
        <v>161.69999999999999</v>
      </c>
      <c r="C299" s="3005">
        <v>2.513592351464311E-3</v>
      </c>
      <c r="D299" s="1813">
        <v>4.4133579281672608E-2</v>
      </c>
      <c r="E299" s="999">
        <v>2.5812761983547983E-3</v>
      </c>
      <c r="F299" s="3008">
        <v>-5.1510225648597752E-3</v>
      </c>
      <c r="G299" s="3008">
        <v>-8.07149817205155E-3</v>
      </c>
      <c r="H299" s="3008">
        <v>-2.1258307394887987E-3</v>
      </c>
      <c r="I299" s="3008">
        <v>-3.5069014516350361E-2</v>
      </c>
      <c r="J299" s="1812">
        <v>0.11347825614775274</v>
      </c>
      <c r="K299" s="3008">
        <v>3.6176682620113976E-2</v>
      </c>
      <c r="L299" s="3008">
        <v>5.192993953403291E-2</v>
      </c>
      <c r="M299" s="3008">
        <v>0.1205766983728136</v>
      </c>
      <c r="N299" s="3008">
        <v>-0.11230064645485516</v>
      </c>
      <c r="O299" s="3008">
        <v>9.003718830113705E-2</v>
      </c>
      <c r="P299" s="3009">
        <v>-3.374666911739399E-2</v>
      </c>
    </row>
    <row r="300" spans="1:16">
      <c r="A300" s="483">
        <f t="shared" si="2"/>
        <v>2022.03</v>
      </c>
      <c r="B300" s="1230">
        <v>162.19999999999999</v>
      </c>
      <c r="C300" s="3005">
        <v>3.0927797419812997E-3</v>
      </c>
      <c r="D300" s="1813">
        <v>1.1593850190147803E-2</v>
      </c>
      <c r="E300" s="999">
        <v>3.7128422813621498E-3</v>
      </c>
      <c r="F300" s="3008">
        <v>1.4220688666764847E-2</v>
      </c>
      <c r="G300" s="3008">
        <v>-6.0641519588938146E-2</v>
      </c>
      <c r="H300" s="3008">
        <v>2.0631334445907257E-2</v>
      </c>
      <c r="I300" s="3008">
        <v>1.8744821789147936E-2</v>
      </c>
      <c r="J300" s="1812">
        <v>-3.1368636821613838E-2</v>
      </c>
      <c r="K300" s="3008">
        <v>3.6367051630657787E-2</v>
      </c>
      <c r="L300" s="3008">
        <v>-2.2239664029058748E-2</v>
      </c>
      <c r="M300" s="3008">
        <v>6.4961951066351276E-3</v>
      </c>
      <c r="N300" s="3008">
        <v>-7.2376211018921E-2</v>
      </c>
      <c r="O300" s="3008">
        <v>6.8912661046237611E-2</v>
      </c>
      <c r="P300" s="3009">
        <v>-8.5819410798968723E-2</v>
      </c>
    </row>
    <row r="301" spans="1:16">
      <c r="A301" s="483">
        <f t="shared" si="2"/>
        <v>2022.04</v>
      </c>
      <c r="B301" s="1230">
        <v>165.8</v>
      </c>
      <c r="C301" s="3005">
        <v>2.2223717698867107E-2</v>
      </c>
      <c r="D301" s="1813">
        <v>4.4541444703624311E-2</v>
      </c>
      <c r="E301" s="999">
        <v>4.4701420062240871E-3</v>
      </c>
      <c r="F301" s="3008">
        <v>1.7002484303378473E-2</v>
      </c>
      <c r="G301" s="3008">
        <v>0.10423502684847596</v>
      </c>
      <c r="H301" s="3008">
        <v>2.1556435225790871E-2</v>
      </c>
      <c r="I301" s="3008">
        <v>2.7570536628657605E-2</v>
      </c>
      <c r="J301" s="1812">
        <v>3.1578020261966433E-2</v>
      </c>
      <c r="K301" s="3008">
        <v>3.5890358666614608E-2</v>
      </c>
      <c r="L301" s="3008">
        <v>5.2548675077400686E-2</v>
      </c>
      <c r="M301" s="3008">
        <v>6.415955379169147E-2</v>
      </c>
      <c r="N301" s="3008">
        <v>-5.9409610113805848E-2</v>
      </c>
      <c r="O301" s="3008">
        <v>0.10147443699483304</v>
      </c>
      <c r="P301" s="3009">
        <v>2.962293282332995E-2</v>
      </c>
    </row>
    <row r="302" spans="1:16">
      <c r="A302" s="483">
        <f t="shared" si="2"/>
        <v>2022.05</v>
      </c>
      <c r="B302" s="1230">
        <v>166.3</v>
      </c>
      <c r="C302" s="3005">
        <v>3.1578968883909653E-3</v>
      </c>
      <c r="D302" s="1813">
        <v>9.0970487704110217E-2</v>
      </c>
      <c r="E302" s="999">
        <v>3.4191192664645431E-3</v>
      </c>
      <c r="F302" s="3008">
        <v>1.343533503407679E-2</v>
      </c>
      <c r="G302" s="3008">
        <v>-4.8959630005431132E-2</v>
      </c>
      <c r="H302" s="3008">
        <v>-1.6170598369819045E-3</v>
      </c>
      <c r="I302" s="3008">
        <v>-2.7419034291076283E-4</v>
      </c>
      <c r="J302" s="1812">
        <v>-7.561229493702637E-3</v>
      </c>
      <c r="K302" s="3008">
        <v>3.8432538397274563E-2</v>
      </c>
      <c r="L302" s="3008">
        <v>0.12450661079241755</v>
      </c>
      <c r="M302" s="3008">
        <v>2.1850691806640343E-2</v>
      </c>
      <c r="N302" s="3008">
        <v>-2.8255475635631022E-2</v>
      </c>
      <c r="O302" s="3008">
        <v>9.3684233457089081E-2</v>
      </c>
      <c r="P302" s="3009">
        <v>0.35756258656858803</v>
      </c>
    </row>
    <row r="303" spans="1:16">
      <c r="A303" s="483">
        <f t="shared" si="2"/>
        <v>2022.06</v>
      </c>
      <c r="B303" s="1230">
        <v>166.8</v>
      </c>
      <c r="C303" s="3005">
        <v>2.9048871274843791E-3</v>
      </c>
      <c r="D303" s="1813">
        <v>7.0243546691813208E-2</v>
      </c>
      <c r="E303" s="999">
        <v>4.0305361802561723E-3</v>
      </c>
      <c r="F303" s="3008">
        <v>-4.373420679036899E-4</v>
      </c>
      <c r="G303" s="3008">
        <v>2.5970523510017829E-2</v>
      </c>
      <c r="H303" s="3008">
        <v>8.3217870410483355E-2</v>
      </c>
      <c r="I303" s="3008">
        <v>8.7498499642042482E-3</v>
      </c>
      <c r="J303" s="1812">
        <v>3.2865178476815249E-3</v>
      </c>
      <c r="K303" s="3008">
        <v>4.2889223846258595E-2</v>
      </c>
      <c r="L303" s="3008">
        <v>9.8225240824484583E-2</v>
      </c>
      <c r="M303" s="3008">
        <v>7.3495324022086139E-2</v>
      </c>
      <c r="N303" s="3008">
        <v>6.5471420775742528E-2</v>
      </c>
      <c r="O303" s="3008">
        <v>0.10744829692948787</v>
      </c>
      <c r="P303" s="3009">
        <v>-5.7944236543735927E-2</v>
      </c>
    </row>
    <row r="304" spans="1:16">
      <c r="A304" s="483">
        <f t="shared" si="2"/>
        <v>2022.07</v>
      </c>
      <c r="B304" s="1230">
        <v>164.3</v>
      </c>
      <c r="C304" s="3005">
        <v>-1.4593054294712249E-2</v>
      </c>
      <c r="D304" s="1813">
        <v>5.5923299301566143E-2</v>
      </c>
      <c r="E304" s="999">
        <v>4.7263515065902872E-3</v>
      </c>
      <c r="F304" s="3008">
        <v>-3.2477497489149409E-2</v>
      </c>
      <c r="G304" s="3008">
        <v>-3.664053980512938E-2</v>
      </c>
      <c r="H304" s="3008">
        <v>-0.1150264765443476</v>
      </c>
      <c r="I304" s="3008">
        <v>1.3473558914218087E-2</v>
      </c>
      <c r="J304" s="1812">
        <v>-4.0996484597652143E-2</v>
      </c>
      <c r="K304" s="3008">
        <v>4.5339997567450663E-2</v>
      </c>
      <c r="L304" s="3008">
        <v>2.5819401962331678E-2</v>
      </c>
      <c r="M304" s="3008">
        <v>-3.0985396017098044E-3</v>
      </c>
      <c r="N304" s="3008">
        <v>-0.12650028103421551</v>
      </c>
      <c r="O304" s="3008">
        <v>0.16718854148171469</v>
      </c>
      <c r="P304" s="3009">
        <v>1.809965291016491E-2</v>
      </c>
    </row>
    <row r="305" spans="1:16">
      <c r="A305" s="483">
        <f t="shared" si="2"/>
        <v>2022.08</v>
      </c>
      <c r="B305" s="1230">
        <v>158</v>
      </c>
      <c r="C305" s="3005">
        <v>-3.8884982043670635E-2</v>
      </c>
      <c r="D305" s="1813">
        <v>5.3064595120928537E-3</v>
      </c>
      <c r="E305" s="999">
        <v>-1.919347504502511E-3</v>
      </c>
      <c r="F305" s="3008">
        <v>-1.9375518156996341E-2</v>
      </c>
      <c r="G305" s="3008">
        <v>-2.7481999011201075E-2</v>
      </c>
      <c r="H305" s="3008">
        <v>-8.9025751984251333E-2</v>
      </c>
      <c r="I305" s="3008">
        <v>-6.6221984640578935E-2</v>
      </c>
      <c r="J305" s="1812">
        <v>-9.2041794652674924E-2</v>
      </c>
      <c r="K305" s="3008">
        <v>4.0517679546634655E-2</v>
      </c>
      <c r="L305" s="3008">
        <v>2.9989573383999435E-2</v>
      </c>
      <c r="M305" s="3008">
        <v>-2.3211012717838653E-4</v>
      </c>
      <c r="N305" s="3008">
        <v>-0.21819261400366585</v>
      </c>
      <c r="O305" s="3008">
        <v>5.3869929278211881E-2</v>
      </c>
      <c r="P305" s="3009">
        <v>-9.4882479988832258E-2</v>
      </c>
    </row>
    <row r="306" spans="1:16">
      <c r="A306" s="483">
        <f t="shared" si="2"/>
        <v>2022.09</v>
      </c>
      <c r="B306" s="1230">
        <v>159.69999999999999</v>
      </c>
      <c r="C306" s="3005">
        <v>1.0962066270023829E-2</v>
      </c>
      <c r="D306" s="1813">
        <v>9.080847982095408E-3</v>
      </c>
      <c r="E306" s="999">
        <v>1.9445166018061677E-3</v>
      </c>
      <c r="F306" s="3008">
        <v>2.3681449989359837E-2</v>
      </c>
      <c r="G306" s="3008">
        <v>1.4453001330030801E-2</v>
      </c>
      <c r="H306" s="3008">
        <v>9.9799743705706323E-3</v>
      </c>
      <c r="I306" s="3008">
        <v>1.5405430369156425E-2</v>
      </c>
      <c r="J306" s="1812">
        <v>1.1780310290496976E-2</v>
      </c>
      <c r="K306" s="3008">
        <v>3.9669983560771227E-2</v>
      </c>
      <c r="L306" s="3008">
        <v>4.617075995457931E-2</v>
      </c>
      <c r="M306" s="3008">
        <v>-2.7687361413731071E-2</v>
      </c>
      <c r="N306" s="3008">
        <v>-0.20299298706337621</v>
      </c>
      <c r="O306" s="3008">
        <v>6.2070042136262993E-2</v>
      </c>
      <c r="P306" s="3009">
        <v>-0.15644957410172666</v>
      </c>
    </row>
    <row r="307" spans="1:16">
      <c r="A307" s="483">
        <f t="shared" si="2"/>
        <v>2022.1</v>
      </c>
      <c r="B307" s="1230">
        <v>161.1</v>
      </c>
      <c r="C307" s="3005">
        <v>8.5667531922208884E-3</v>
      </c>
      <c r="D307" s="1813">
        <v>2.1147755126880163E-2</v>
      </c>
      <c r="E307" s="999">
        <v>3.5411678422583304E-3</v>
      </c>
      <c r="F307" s="3008">
        <v>1.0160361275795005E-3</v>
      </c>
      <c r="G307" s="3008">
        <v>-3.8744157712975125E-2</v>
      </c>
      <c r="H307" s="3008">
        <v>7.5924031593044283E-4</v>
      </c>
      <c r="I307" s="3008">
        <v>1.9936030261193061E-2</v>
      </c>
      <c r="J307" s="1812">
        <v>-1.5500229825499923E-2</v>
      </c>
      <c r="K307" s="3008">
        <v>3.9942522327048646E-2</v>
      </c>
      <c r="L307" s="3008">
        <v>2.7084109456294803E-2</v>
      </c>
      <c r="M307" s="3008">
        <v>-5.1248649570601594E-2</v>
      </c>
      <c r="N307" s="3008">
        <v>1.0939655029392092E-2</v>
      </c>
      <c r="O307" s="3008">
        <v>6.3051585598818294E-2</v>
      </c>
      <c r="P307" s="3009">
        <v>-0.15181884379707355</v>
      </c>
    </row>
    <row r="308" spans="1:16">
      <c r="A308" s="483">
        <f t="shared" si="2"/>
        <v>2022.11</v>
      </c>
      <c r="B308" s="1230">
        <v>163.9</v>
      </c>
      <c r="C308" s="3005">
        <v>1.7809585783025161E-2</v>
      </c>
      <c r="D308" s="1813">
        <v>2.8842250156905225E-2</v>
      </c>
      <c r="E308" s="999">
        <v>2.6720361962628836E-3</v>
      </c>
      <c r="F308" s="3008">
        <v>2.9628635978694806E-2</v>
      </c>
      <c r="G308" s="3008">
        <v>2.0539044643325788E-2</v>
      </c>
      <c r="H308" s="3008">
        <v>0.15092430682984381</v>
      </c>
      <c r="I308" s="3008">
        <v>-4.4053298340761993E-2</v>
      </c>
      <c r="J308" s="1812">
        <v>4.3737731562048188E-2</v>
      </c>
      <c r="K308" s="3008">
        <v>3.7845439250581592E-2</v>
      </c>
      <c r="L308" s="3008">
        <v>7.8962895042381298E-2</v>
      </c>
      <c r="M308" s="3008">
        <v>2.9930888907765407E-3</v>
      </c>
      <c r="N308" s="3008">
        <v>8.5401645081152111E-2</v>
      </c>
      <c r="O308" s="3008">
        <v>-1.7250363549650705E-2</v>
      </c>
      <c r="P308" s="3009">
        <v>-0.13635227859955346</v>
      </c>
    </row>
    <row r="309" spans="1:16">
      <c r="A309" s="483">
        <f t="shared" si="2"/>
        <v>2022.12</v>
      </c>
      <c r="B309" s="1230">
        <v>162.69999999999999</v>
      </c>
      <c r="C309" s="3005">
        <v>-7.2025501332368957E-3</v>
      </c>
      <c r="D309" s="1813">
        <v>-6.8989273098036819E-3</v>
      </c>
      <c r="E309" s="999">
        <v>-1.3769091682802603E-4</v>
      </c>
      <c r="F309" s="3008">
        <v>2.5486369720487678E-2</v>
      </c>
      <c r="G309" s="3008">
        <v>3.2465844737932237E-3</v>
      </c>
      <c r="H309" s="3008">
        <v>3.2219129009245062E-2</v>
      </c>
      <c r="I309" s="3008">
        <v>-2.7734820378847447E-3</v>
      </c>
      <c r="J309" s="1812">
        <v>-1.3240208329414527E-2</v>
      </c>
      <c r="K309" s="3008">
        <v>3.375026098477929E-2</v>
      </c>
      <c r="L309" s="3008">
        <v>5.5889557211142193E-2</v>
      </c>
      <c r="M309" s="3008">
        <v>-5.2547852347891159E-2</v>
      </c>
      <c r="N309" s="3008">
        <v>5.8811177898907552E-3</v>
      </c>
      <c r="O309" s="3008">
        <v>-4.7161932575342291E-2</v>
      </c>
      <c r="P309" s="3009">
        <v>-0.18490514644060541</v>
      </c>
    </row>
    <row r="310" spans="1:16">
      <c r="A310" s="483">
        <f t="shared" si="2"/>
        <v>2023.01</v>
      </c>
      <c r="B310" s="1230">
        <v>160.9</v>
      </c>
      <c r="C310" s="3005">
        <v>-1.1409601652329071E-2</v>
      </c>
      <c r="D310" s="1813">
        <v>-2.3448716114825574E-3</v>
      </c>
      <c r="E310" s="999">
        <v>1.6271971916352879E-3</v>
      </c>
      <c r="F310" s="3008">
        <v>-6.7728889976082507E-2</v>
      </c>
      <c r="G310" s="3008">
        <v>-1.6959863929805197E-2</v>
      </c>
      <c r="H310" s="3008">
        <v>-0.14104443844163272</v>
      </c>
      <c r="I310" s="3008">
        <v>5.3711678077841496E-2</v>
      </c>
      <c r="J310" s="1812">
        <v>5.1978436419509055E-2</v>
      </c>
      <c r="K310" s="3008">
        <v>3.1081275994675694E-2</v>
      </c>
      <c r="L310" s="3008">
        <v>-5.1900776178663843E-3</v>
      </c>
      <c r="M310" s="3008">
        <v>-7.6849331833401813E-2</v>
      </c>
      <c r="N310" s="3008">
        <v>-6.44045079589467E-2</v>
      </c>
      <c r="O310" s="3008">
        <v>2.8950125655589076E-3</v>
      </c>
      <c r="P310" s="3009">
        <v>4.1042863758518067E-2</v>
      </c>
    </row>
    <row r="311" spans="1:16">
      <c r="A311" s="483">
        <f t="shared" si="2"/>
        <v>2023.02</v>
      </c>
      <c r="B311" s="1230">
        <v>155</v>
      </c>
      <c r="C311" s="3005">
        <v>-3.630785193484809E-2</v>
      </c>
      <c r="D311" s="1813">
        <v>-4.0978176216205142E-2</v>
      </c>
      <c r="E311" s="981">
        <v>2.3433379729234094E-3</v>
      </c>
      <c r="F311" s="3008">
        <v>-5.0509397485776993E-2</v>
      </c>
      <c r="G311" s="3008">
        <v>-4.7495913218121855E-2</v>
      </c>
      <c r="H311" s="3008">
        <v>-6.7734832542152512E-2</v>
      </c>
      <c r="I311" s="3008">
        <v>-9.1587498925681632E-2</v>
      </c>
      <c r="J311" s="485">
        <v>-6.0003859113671239E-2</v>
      </c>
      <c r="K311" s="1814">
        <v>3.083657398905304E-2</v>
      </c>
      <c r="L311" s="3008">
        <v>-5.0546671892899742E-2</v>
      </c>
      <c r="M311" s="3008">
        <v>-0.11354015685233032</v>
      </c>
      <c r="N311" s="3008">
        <v>-0.12591876317749251</v>
      </c>
      <c r="O311" s="1013">
        <v>-5.5847122348340668E-2</v>
      </c>
      <c r="P311" s="3009">
        <v>-0.12115367405934585</v>
      </c>
    </row>
    <row r="312" spans="1:16">
      <c r="A312" s="483">
        <f t="shared" si="2"/>
        <v>2023.03</v>
      </c>
      <c r="B312" s="1230">
        <v>164.4</v>
      </c>
      <c r="C312" s="3005">
        <v>6.018422659400402E-2</v>
      </c>
      <c r="D312" s="1813">
        <v>1.3604953667917918E-2</v>
      </c>
      <c r="E312" s="981">
        <v>3.8888193700519214E-3</v>
      </c>
      <c r="F312" s="3008">
        <v>0.1916308389839998</v>
      </c>
      <c r="G312" s="3008">
        <v>-3.9331172176981788E-4</v>
      </c>
      <c r="H312" s="3008">
        <v>5.7571197333052382E-2</v>
      </c>
      <c r="I312" s="3008">
        <v>6.7720754144667827E-2</v>
      </c>
      <c r="J312" s="485">
        <v>0.12228984071261075</v>
      </c>
      <c r="K312" s="1814">
        <v>3.101730657666546E-2</v>
      </c>
      <c r="L312" s="3008">
        <v>0.11553420137355343</v>
      </c>
      <c r="M312" s="3008">
        <v>-5.6684741151513895E-2</v>
      </c>
      <c r="N312" s="3008">
        <v>-9.4283009942482621E-2</v>
      </c>
      <c r="O312" s="1013">
        <v>-1.0457181236367519E-2</v>
      </c>
      <c r="P312" s="3009">
        <v>1.8261787347428671E-2</v>
      </c>
    </row>
    <row r="313" spans="1:16">
      <c r="A313" s="483">
        <f t="shared" si="2"/>
        <v>2023.04</v>
      </c>
      <c r="B313" s="1230">
        <v>155.4</v>
      </c>
      <c r="C313" s="3005">
        <v>-5.4535431188277306E-2</v>
      </c>
      <c r="D313" s="1813">
        <v>-6.2507009109160516E-2</v>
      </c>
      <c r="E313" s="981">
        <v>7.3519628415663618E-4</v>
      </c>
      <c r="F313" s="3008">
        <v>-0.16040970679040314</v>
      </c>
      <c r="G313" s="3008">
        <v>-2.3147654791498828E-2</v>
      </c>
      <c r="H313" s="3008">
        <v>-5.190246388434927E-2</v>
      </c>
      <c r="I313" s="3008">
        <v>-1.745866989082645E-2</v>
      </c>
      <c r="J313" s="1013">
        <v>-1.2965690278816666E-3</v>
      </c>
      <c r="K313" s="981">
        <v>2.7183649887891459E-2</v>
      </c>
      <c r="L313" s="3008">
        <v>-7.906647066049477E-2</v>
      </c>
      <c r="M313" s="3008">
        <v>-0.16550399102350322</v>
      </c>
      <c r="N313" s="3008">
        <v>-0.15941203336277898</v>
      </c>
      <c r="O313" s="1013">
        <v>-5.3819973723753245E-2</v>
      </c>
      <c r="P313" s="3009">
        <v>-1.4188436863525777E-2</v>
      </c>
    </row>
    <row r="314" spans="1:16">
      <c r="A314" s="483">
        <f t="shared" si="2"/>
        <v>2023.05</v>
      </c>
      <c r="B314" s="1230">
        <v>155.9</v>
      </c>
      <c r="C314" s="3005">
        <v>3.1301559078660279E-3</v>
      </c>
      <c r="D314" s="1813">
        <v>-6.2532934215151492E-2</v>
      </c>
      <c r="E314" s="981">
        <v>3.1136031686602728E-3</v>
      </c>
      <c r="F314" s="3008">
        <v>-9.295115375983598E-3</v>
      </c>
      <c r="G314" s="3008">
        <v>0.14692140473877768</v>
      </c>
      <c r="H314" s="3008">
        <v>6.2035594810602168E-2</v>
      </c>
      <c r="I314" s="3008">
        <v>4.5573344943330207E-2</v>
      </c>
      <c r="J314" s="485">
        <v>-8.5990968902875498E-2</v>
      </c>
      <c r="K314" s="981">
        <v>2.6870898083170447E-2</v>
      </c>
      <c r="L314" s="3008">
        <v>-9.9722188095993078E-2</v>
      </c>
      <c r="M314" s="3008">
        <v>6.3729837984618509E-3</v>
      </c>
      <c r="N314" s="3008">
        <v>-0.10581971583726378</v>
      </c>
      <c r="O314" s="1013">
        <v>-1.0428053936550552E-2</v>
      </c>
      <c r="P314" s="3009">
        <v>-9.2094446081504411E-2</v>
      </c>
    </row>
    <row r="315" spans="1:16">
      <c r="A315" s="483">
        <f t="shared" si="2"/>
        <v>2023.06</v>
      </c>
      <c r="B315" s="1230">
        <v>154</v>
      </c>
      <c r="C315" s="3005">
        <v>-1.1874499724549681E-2</v>
      </c>
      <c r="D315" s="1813">
        <v>-7.6347991459472575E-2</v>
      </c>
      <c r="E315" s="981">
        <v>5.0762712465068915E-5</v>
      </c>
      <c r="F315" s="3008">
        <v>3.2786785431827115E-2</v>
      </c>
      <c r="G315" s="3008">
        <v>-0.20273529362310894</v>
      </c>
      <c r="H315" s="3008">
        <v>-8.4646569430713803E-2</v>
      </c>
      <c r="I315" s="3008">
        <v>-1.1275203492480124E-2</v>
      </c>
      <c r="J315" s="485">
        <v>-1.0550820249443094E-2</v>
      </c>
      <c r="K315" s="981">
        <v>2.2800590051916814E-2</v>
      </c>
      <c r="L315" s="3008">
        <v>-6.9798156250148291E-2</v>
      </c>
      <c r="M315" s="3008">
        <v>-0.21796421724792167</v>
      </c>
      <c r="N315" s="3008">
        <v>-0.24438932091693222</v>
      </c>
      <c r="O315" s="1013">
        <v>-3.0072399975223152E-2</v>
      </c>
      <c r="P315" s="3009">
        <v>-0.10461628893132001</v>
      </c>
    </row>
    <row r="316" spans="1:16">
      <c r="A316" s="483">
        <f t="shared" si="2"/>
        <v>2023.07</v>
      </c>
      <c r="B316" s="1230">
        <v>155.80000000000001</v>
      </c>
      <c r="C316" s="3005">
        <v>1.1671695466477283E-2</v>
      </c>
      <c r="D316" s="1813">
        <v>-5.1729239809235716E-2</v>
      </c>
      <c r="E316" s="999">
        <v>8.4597201206748629E-4</v>
      </c>
      <c r="F316" s="3008">
        <v>1.15219610410211E-3</v>
      </c>
      <c r="G316" s="3008">
        <v>0.13528282289730509</v>
      </c>
      <c r="H316" s="3008">
        <v>-0.12749522595650142</v>
      </c>
      <c r="I316" s="3008">
        <v>3.747570048261073E-2</v>
      </c>
      <c r="J316" s="1812">
        <v>2.4649054122096281E-2</v>
      </c>
      <c r="K316" s="3008">
        <v>1.8850405575644213E-2</v>
      </c>
      <c r="L316" s="3008">
        <v>-3.746567519259858E-2</v>
      </c>
      <c r="M316" s="3008">
        <v>-7.840029839963325E-2</v>
      </c>
      <c r="N316" s="3008">
        <v>-0.25503542496515841</v>
      </c>
      <c r="O316" s="3008">
        <v>-7.1015593823738898E-3</v>
      </c>
      <c r="P316" s="3009">
        <v>-4.3325641785641016E-2</v>
      </c>
    </row>
    <row r="317" spans="1:16">
      <c r="A317" s="483">
        <f t="shared" si="2"/>
        <v>2023.08</v>
      </c>
      <c r="B317" s="1230">
        <v>157.19999999999999</v>
      </c>
      <c r="C317" s="3005">
        <v>8.6017771156083889E-3</v>
      </c>
      <c r="D317" s="1813">
        <v>-4.8770895819761906E-3</v>
      </c>
      <c r="E317" s="999">
        <v>4.191303998930529E-4</v>
      </c>
      <c r="F317" s="3008">
        <v>5.7732178825171676E-3</v>
      </c>
      <c r="G317" s="3008">
        <v>3.6104765434769037E-2</v>
      </c>
      <c r="H317" s="3008">
        <v>9.1918440232725343E-2</v>
      </c>
      <c r="I317" s="3008">
        <v>1.4603133368988885E-2</v>
      </c>
      <c r="J317" s="1812">
        <v>-2.2422902757067376E-2</v>
      </c>
      <c r="K317" s="3008">
        <v>2.1237546489924153E-2</v>
      </c>
      <c r="L317" s="3008">
        <v>-1.2780872689953982E-2</v>
      </c>
      <c r="M317" s="3008">
        <v>-1.8142757583364255E-2</v>
      </c>
      <c r="N317" s="3008">
        <v>-0.10706525615571871</v>
      </c>
      <c r="O317" s="3008">
        <v>7.8840851248857424E-2</v>
      </c>
      <c r="P317" s="3009">
        <v>3.0028625328831993E-2</v>
      </c>
    </row>
    <row r="318" spans="1:16">
      <c r="A318" s="483">
        <f t="shared" si="2"/>
        <v>2023.09</v>
      </c>
      <c r="B318" s="1230">
        <v>154.9</v>
      </c>
      <c r="C318" s="3005">
        <v>-1.4353322460414764E-2</v>
      </c>
      <c r="D318" s="1813">
        <v>-2.9795851771287629E-2</v>
      </c>
      <c r="E318" s="999">
        <v>-7.2957059870493168E-4</v>
      </c>
      <c r="F318" s="3008">
        <v>-2.8060098346904705E-2</v>
      </c>
      <c r="G318" s="3008">
        <v>-1.0735448055558261E-2</v>
      </c>
      <c r="H318" s="3008">
        <v>6.1758344396594778E-2</v>
      </c>
      <c r="I318" s="3008">
        <v>-2.0393967810715563E-2</v>
      </c>
      <c r="J318" s="1812">
        <v>-1.9408087078985004E-2</v>
      </c>
      <c r="K318" s="3008">
        <v>1.8511968170465742E-2</v>
      </c>
      <c r="L318" s="3008">
        <v>-6.267944826219729E-2</v>
      </c>
      <c r="M318" s="3008">
        <v>-4.2521867726525657E-2</v>
      </c>
      <c r="N318" s="3008">
        <v>-6.1287412288392511E-2</v>
      </c>
      <c r="O318" s="3008">
        <v>4.0804957357164717E-2</v>
      </c>
      <c r="P318" s="3009">
        <v>-1.7222812088465433E-3</v>
      </c>
    </row>
    <row r="319" spans="1:16">
      <c r="A319" s="483">
        <f t="shared" si="2"/>
        <v>2023.1</v>
      </c>
      <c r="B319" s="1230">
        <v>155.6</v>
      </c>
      <c r="C319" s="3005">
        <v>4.6394659397874793E-3</v>
      </c>
      <c r="D319" s="1813">
        <v>-3.3573757766638734E-2</v>
      </c>
      <c r="E319" s="999">
        <v>-1.9743408508059446E-3</v>
      </c>
      <c r="F319" s="3008">
        <v>-2.0004116811015549E-2</v>
      </c>
      <c r="G319" s="3008">
        <v>2.4898676228527705E-2</v>
      </c>
      <c r="H319" s="3008">
        <v>-2.670984457634018E-2</v>
      </c>
      <c r="I319" s="3008">
        <v>7.0855340660243016E-2</v>
      </c>
      <c r="J319" s="1812">
        <v>5.938015253983564E-2</v>
      </c>
      <c r="K319" s="3008">
        <v>1.29141792660874E-2</v>
      </c>
      <c r="L319" s="3008">
        <v>-8.2362071356065325E-2</v>
      </c>
      <c r="M319" s="3008">
        <v>2.0870851562358128E-2</v>
      </c>
      <c r="N319" s="3008">
        <v>-8.7053425453709851E-2</v>
      </c>
      <c r="O319" s="3008">
        <v>9.2766128564115244E-2</v>
      </c>
      <c r="P319" s="3009">
        <v>7.42060425495501E-2</v>
      </c>
    </row>
    <row r="320" spans="1:16">
      <c r="A320" s="483">
        <f t="shared" si="2"/>
        <v>2023.11</v>
      </c>
      <c r="B320" s="1230">
        <v>150.69999999999999</v>
      </c>
      <c r="C320" s="3005">
        <v>-3.146327124492887E-2</v>
      </c>
      <c r="D320" s="1813">
        <v>-8.0359112047806325E-2</v>
      </c>
      <c r="E320" s="999">
        <v>-2.3404018775056157E-3</v>
      </c>
      <c r="F320" s="3008">
        <v>5.2305155983223273E-4</v>
      </c>
      <c r="G320" s="3008">
        <v>-3.7128701930904451E-2</v>
      </c>
      <c r="H320" s="3008">
        <v>-1.1604742810750079E-2</v>
      </c>
      <c r="I320" s="3008">
        <v>-0.10731074900221682</v>
      </c>
      <c r="J320" s="1812">
        <v>-5.3738659194197957E-2</v>
      </c>
      <c r="K320" s="3008">
        <v>7.8505398961554729E-3</v>
      </c>
      <c r="L320" s="3008">
        <v>-0.10830189787682742</v>
      </c>
      <c r="M320" s="3008">
        <v>-3.6815644473167874E-2</v>
      </c>
      <c r="N320" s="3008">
        <v>-0.2159761862757047</v>
      </c>
      <c r="O320" s="3008">
        <v>2.0454984708320634E-2</v>
      </c>
      <c r="P320" s="3009">
        <v>-2.6115834096197887E-2</v>
      </c>
    </row>
    <row r="321" spans="1:16">
      <c r="A321" s="483">
        <f t="shared" si="2"/>
        <v>2023.12</v>
      </c>
      <c r="B321" s="1230">
        <v>149.4</v>
      </c>
      <c r="C321" s="3005">
        <v>-8.940838220673597E-3</v>
      </c>
      <c r="D321" s="1813">
        <v>-8.1969310382281946E-2</v>
      </c>
      <c r="E321" s="999">
        <v>-5.2222809653446056E-5</v>
      </c>
      <c r="F321" s="3008">
        <v>1.0459803018176839E-2</v>
      </c>
      <c r="G321" s="3008">
        <v>-8.9575319275907117E-2</v>
      </c>
      <c r="H321" s="3008">
        <v>-4.9757869081334727E-2</v>
      </c>
      <c r="I321" s="3008">
        <v>-9.4986588876938574E-2</v>
      </c>
      <c r="J321" s="1812">
        <v>-2.4671692713293947E-3</v>
      </c>
      <c r="K321" s="3008">
        <v>7.9366908363172062E-3</v>
      </c>
      <c r="L321" s="3008">
        <v>-0.12136805010031326</v>
      </c>
      <c r="M321" s="3008">
        <v>-0.12593092971365716</v>
      </c>
      <c r="N321" s="3008">
        <v>-0.27824195608597324</v>
      </c>
      <c r="O321" s="3008">
        <v>-7.3906048451577888E-2</v>
      </c>
      <c r="P321" s="3009">
        <v>-1.5483365844152663E-2</v>
      </c>
    </row>
    <row r="322" spans="1:16">
      <c r="A322" s="483">
        <f t="shared" ref="A322:A385" si="3">A310+1</f>
        <v>2024.01</v>
      </c>
      <c r="B322" s="1230">
        <v>150</v>
      </c>
      <c r="C322" s="3005">
        <v>3.7309591718550639E-3</v>
      </c>
      <c r="D322" s="1813">
        <v>-6.7909392829111015E-2</v>
      </c>
      <c r="E322" s="999">
        <v>-4.4352233208497793E-3</v>
      </c>
      <c r="F322" s="3008">
        <v>-3.4380026559706067E-3</v>
      </c>
      <c r="G322" s="3008">
        <v>8.8263554326009075E-2</v>
      </c>
      <c r="H322" s="3008">
        <v>0.15232722223154549</v>
      </c>
      <c r="I322" s="3008">
        <v>6.0958753789907449E-2</v>
      </c>
      <c r="J322" s="1812">
        <v>-0.24487474355306438</v>
      </c>
      <c r="K322" s="3008">
        <v>1.8360816606228791E-3</v>
      </c>
      <c r="L322" s="3008">
        <v>-6.0776203930799626E-2</v>
      </c>
      <c r="M322" s="3008">
        <v>-3.237164154981842E-2</v>
      </c>
      <c r="N322" s="3008">
        <v>-3.1729371007502505E-2</v>
      </c>
      <c r="O322" s="3008">
        <v>-6.7536684684441295E-2</v>
      </c>
      <c r="P322" s="3009">
        <v>-0.29329979578902599</v>
      </c>
    </row>
    <row r="323" spans="1:16">
      <c r="A323" s="483">
        <f t="shared" si="3"/>
        <v>2024.02</v>
      </c>
      <c r="B323" s="1230">
        <v>155.80000000000001</v>
      </c>
      <c r="C323" s="3005">
        <v>3.8925743329569551E-2</v>
      </c>
      <c r="D323" s="1813">
        <v>4.8571308272788993E-3</v>
      </c>
      <c r="E323" s="999">
        <v>-4.9314555555924899E-3</v>
      </c>
      <c r="F323" s="3008">
        <v>6.0467069554722475E-2</v>
      </c>
      <c r="G323" s="3008">
        <v>-2.8704290479504291E-3</v>
      </c>
      <c r="H323" s="3008">
        <v>3.023281030777647E-2</v>
      </c>
      <c r="I323" s="3008">
        <v>3.9337536092105552E-2</v>
      </c>
      <c r="J323" s="1812">
        <v>0.11587611772959372</v>
      </c>
      <c r="K323" s="3008">
        <v>-5.4350303100892949E-3</v>
      </c>
      <c r="L323" s="3008">
        <v>4.9000278713813961E-2</v>
      </c>
      <c r="M323" s="3008">
        <v>1.2962425350112605E-2</v>
      </c>
      <c r="N323" s="3008">
        <v>7.0021927308061782E-2</v>
      </c>
      <c r="O323" s="3008">
        <v>6.6854676141298475E-2</v>
      </c>
      <c r="P323" s="3009">
        <v>-0.16107115128144467</v>
      </c>
    </row>
    <row r="324" spans="1:16">
      <c r="A324" s="483">
        <f t="shared" si="3"/>
        <v>2024.03</v>
      </c>
      <c r="B324" s="1230">
        <v>158.5</v>
      </c>
      <c r="C324" s="3005">
        <v>1.7209265315297761E-2</v>
      </c>
      <c r="D324" s="1813">
        <v>-3.5875126081190811E-2</v>
      </c>
      <c r="E324" s="999">
        <v>-4.5901795682554702E-3</v>
      </c>
      <c r="F324" s="3008">
        <v>4.4484276105911658E-2</v>
      </c>
      <c r="G324" s="3008">
        <v>1.5175812721697213E-3</v>
      </c>
      <c r="H324" s="3008">
        <v>-3.9495660797736365E-2</v>
      </c>
      <c r="I324" s="3008">
        <v>2.7393398714984585E-2</v>
      </c>
      <c r="J324" s="1812">
        <v>4.7329406562490073E-2</v>
      </c>
      <c r="K324" s="3008">
        <v>-1.3835278583966937E-2</v>
      </c>
      <c r="L324" s="3008">
        <v>-8.053378537813316E-2</v>
      </c>
      <c r="M324" s="3008">
        <v>1.4898849770261124E-2</v>
      </c>
      <c r="N324" s="3008">
        <v>-2.8187693828335192E-2</v>
      </c>
      <c r="O324" s="3008">
        <v>2.6560032106740072E-2</v>
      </c>
      <c r="P324" s="3009">
        <v>-0.21710522415612499</v>
      </c>
    </row>
    <row r="325" spans="1:16">
      <c r="A325" s="483">
        <f t="shared" si="3"/>
        <v>2024.04</v>
      </c>
      <c r="B325" s="1230">
        <v>154.9</v>
      </c>
      <c r="C325" s="3005">
        <v>-2.2849990204412252E-2</v>
      </c>
      <c r="D325" s="1813">
        <v>-3.5643205773685516E-3</v>
      </c>
      <c r="E325" s="999">
        <v>-3.489512156723662E-3</v>
      </c>
      <c r="F325" s="3008">
        <v>-8.0060032257025515E-2</v>
      </c>
      <c r="G325" s="3008">
        <v>-1.7871353952498836E-3</v>
      </c>
      <c r="H325" s="3008">
        <v>4.3667966875061914E-2</v>
      </c>
      <c r="I325" s="3008">
        <v>-5.8018441606125126E-2</v>
      </c>
      <c r="J325" s="1812">
        <v>9.7246166723338412E-2</v>
      </c>
      <c r="K325" s="3008">
        <v>-1.7998476239185157E-2</v>
      </c>
      <c r="L325" s="3008">
        <v>7.4600988852007166E-3</v>
      </c>
      <c r="M325" s="3008">
        <v>3.7091319975285808E-2</v>
      </c>
      <c r="N325" s="3008">
        <v>6.9773240759299471E-2</v>
      </c>
      <c r="O325" s="3008">
        <v>-1.581685248667708E-2</v>
      </c>
      <c r="P325" s="3009">
        <v>-0.13985647280068148</v>
      </c>
    </row>
    <row r="326" spans="1:16">
      <c r="A326" s="483">
        <f t="shared" si="3"/>
        <v>2024.05</v>
      </c>
      <c r="B326" s="1230">
        <v>153.9</v>
      </c>
      <c r="C326" s="3005">
        <v>-6.273337452453287E-3</v>
      </c>
      <c r="D326" s="1813">
        <v>-1.290505890554261E-2</v>
      </c>
      <c r="E326" s="999">
        <v>-3.2018136762965721E-3</v>
      </c>
      <c r="F326" s="3008">
        <v>2.1489074168804523E-2</v>
      </c>
      <c r="G326" s="3008">
        <v>0.12813965460105403</v>
      </c>
      <c r="H326" s="3008">
        <v>-4.2727439074658813E-2</v>
      </c>
      <c r="I326" s="3008">
        <v>-3.7182418880354118E-2</v>
      </c>
      <c r="J326" s="1812">
        <v>8.8288916876271481E-2</v>
      </c>
      <c r="K326" s="3008">
        <v>-2.4180975355279299E-2</v>
      </c>
      <c r="L326" s="3008">
        <v>3.8764923484569724E-2</v>
      </c>
      <c r="M326" s="3008">
        <v>2.0108124822332929E-2</v>
      </c>
      <c r="N326" s="3008">
        <v>-3.5753062519827794E-2</v>
      </c>
      <c r="O326" s="3008">
        <v>-9.3713662412791998E-2</v>
      </c>
      <c r="P326" s="3009">
        <v>2.4152536491088394E-2</v>
      </c>
    </row>
    <row r="327" spans="1:16">
      <c r="A327" s="483">
        <f t="shared" si="3"/>
        <v>2024.06</v>
      </c>
      <c r="B327" s="1230">
        <v>150.6</v>
      </c>
      <c r="C327" s="3005">
        <v>-2.1146167307862007E-2</v>
      </c>
      <c r="D327" s="1813">
        <v>-2.2167056662351747E-2</v>
      </c>
      <c r="E327" s="999">
        <v>-1.0914878166978781E-3</v>
      </c>
      <c r="F327" s="3008">
        <v>-7.3916764451736894E-2</v>
      </c>
      <c r="G327" s="3008">
        <v>-0.1117358829011238</v>
      </c>
      <c r="H327" s="3008">
        <v>6.4145572675797791E-2</v>
      </c>
      <c r="I327" s="3008">
        <v>1.5820721149948369E-3</v>
      </c>
      <c r="J327" s="1812">
        <v>3.1450168969573866E-2</v>
      </c>
      <c r="K327" s="3008">
        <v>-2.529554857378713E-2</v>
      </c>
      <c r="L327" s="3008">
        <v>-6.8556264580387993E-2</v>
      </c>
      <c r="M327" s="3008">
        <v>0.13654277631141865</v>
      </c>
      <c r="N327" s="3008">
        <v>0.1209867961575888</v>
      </c>
      <c r="O327" s="3008">
        <v>-8.1928408049992907E-2</v>
      </c>
      <c r="P327" s="3009">
        <v>6.7626643624751903E-2</v>
      </c>
    </row>
    <row r="328" spans="1:16">
      <c r="A328" s="483">
        <f t="shared" si="3"/>
        <v>2024.07</v>
      </c>
      <c r="B328" s="1230">
        <v>152.69999999999999</v>
      </c>
      <c r="C328" s="3005">
        <v>1.3665599296800224E-2</v>
      </c>
      <c r="D328" s="1813">
        <v>-2.0239845631466857E-2</v>
      </c>
      <c r="E328" s="999">
        <v>-3.2016962055803067E-4</v>
      </c>
      <c r="F328" s="3008">
        <v>7.1438384223247775E-2</v>
      </c>
      <c r="G328" s="3008">
        <v>-2.5667436745406058E-2</v>
      </c>
      <c r="H328" s="3008">
        <v>9.1692094756155029E-3</v>
      </c>
      <c r="I328" s="3008">
        <v>-6.741528421515719E-2</v>
      </c>
      <c r="J328" s="1812">
        <v>0.10476321147713928</v>
      </c>
      <c r="K328" s="3008">
        <v>-2.643123125833502E-2</v>
      </c>
      <c r="L328" s="3008">
        <v>-3.163979706155895E-3</v>
      </c>
      <c r="M328" s="3008">
        <v>-2.458610827394947E-2</v>
      </c>
      <c r="N328" s="3008">
        <v>0.29657211348915524</v>
      </c>
      <c r="O328" s="3008">
        <v>-0.17474738516713237</v>
      </c>
      <c r="P328" s="3009">
        <v>0.15110108648857934</v>
      </c>
    </row>
    <row r="329" spans="1:16">
      <c r="A329" s="483">
        <f t="shared" si="3"/>
        <v>2024.08</v>
      </c>
      <c r="B329" s="1230">
        <v>153.80000000000001</v>
      </c>
      <c r="C329" s="3005">
        <v>7.2967132538308555E-3</v>
      </c>
      <c r="D329" s="1813">
        <v>-2.1507590344680305E-2</v>
      </c>
      <c r="E329" s="999">
        <v>-4.1690860216681003E-4</v>
      </c>
      <c r="F329" s="3008">
        <v>-4.2768101403403147E-3</v>
      </c>
      <c r="G329" s="3008">
        <v>-5.0821933377000035E-2</v>
      </c>
      <c r="H329" s="3008">
        <v>-4.6141920492490114E-2</v>
      </c>
      <c r="I329" s="3008">
        <v>2.869631108373083E-2</v>
      </c>
      <c r="J329" s="1812">
        <v>3.5885933673061921E-2</v>
      </c>
      <c r="K329" s="3008">
        <v>-2.7244831715505402E-2</v>
      </c>
      <c r="L329" s="3008">
        <v>-1.3124704211465943E-2</v>
      </c>
      <c r="M329" s="3008">
        <v>-0.10642098869485617</v>
      </c>
      <c r="N329" s="3008">
        <v>0.13263568096914424</v>
      </c>
      <c r="O329" s="3008">
        <v>-0.16328434964330529</v>
      </c>
      <c r="P329" s="3009">
        <v>0.21975998322000234</v>
      </c>
    </row>
    <row r="330" spans="1:16">
      <c r="A330" s="483">
        <f t="shared" si="3"/>
        <v>2024.09</v>
      </c>
      <c r="B330" s="1230">
        <v>155.6</v>
      </c>
      <c r="C330" s="3005">
        <v>1.1834703091877063E-2</v>
      </c>
      <c r="D330" s="1813">
        <v>4.4903507134104181E-3</v>
      </c>
      <c r="E330" s="999">
        <v>1.2024113686726068E-5</v>
      </c>
      <c r="F330" s="3008">
        <v>2.4574522020064604E-2</v>
      </c>
      <c r="G330" s="3008">
        <v>3.0818424240763642E-2</v>
      </c>
      <c r="H330" s="3008">
        <v>-6.5865408673799974E-2</v>
      </c>
      <c r="I330" s="3008">
        <v>-1.0836975112657687E-2</v>
      </c>
      <c r="J330" s="1812">
        <v>7.8092677616246053E-3</v>
      </c>
      <c r="K330" s="3008">
        <v>-2.6522914936997766E-2</v>
      </c>
      <c r="L330" s="3008">
        <v>4.0318730362032928E-2</v>
      </c>
      <c r="M330" s="3008">
        <v>-6.8886369619035159E-2</v>
      </c>
      <c r="N330" s="3008">
        <v>-3.5075546640768174E-3</v>
      </c>
      <c r="O330" s="3008">
        <v>-0.15512138912851692</v>
      </c>
      <c r="P330" s="3009">
        <v>0.25361569816749951</v>
      </c>
    </row>
    <row r="331" spans="1:16">
      <c r="A331" s="483">
        <f>A319+1</f>
        <v>2024.1</v>
      </c>
      <c r="B331" s="1230">
        <v>159</v>
      </c>
      <c r="C331" s="3010">
        <v>2.1794523403739774E-2</v>
      </c>
      <c r="D331" s="1703">
        <v>2.1642861910404321E-2</v>
      </c>
      <c r="E331" s="1216">
        <v>1.3942627222960358E-3</v>
      </c>
      <c r="F331" s="3011">
        <v>5.7083592390738014E-2</v>
      </c>
      <c r="G331" s="3011">
        <v>5.8718147478974858E-2</v>
      </c>
      <c r="H331" s="3011">
        <v>0.1161802714457143</v>
      </c>
      <c r="I331" s="3011">
        <v>-2.4784335113812173E-3</v>
      </c>
      <c r="J331" s="1815">
        <v>-2.0870583321554115E-2</v>
      </c>
      <c r="K331" s="3011">
        <v>-2.3237169368219734E-2</v>
      </c>
      <c r="L331" s="3011">
        <v>0.12215151062058084</v>
      </c>
      <c r="M331" s="3011">
        <v>-3.8161604933567683E-2</v>
      </c>
      <c r="N331" s="3011">
        <v>0.14278892263582033</v>
      </c>
      <c r="O331" s="3011">
        <v>-0.21297993911145319</v>
      </c>
      <c r="P331" s="3012">
        <v>0.15865112664505099</v>
      </c>
    </row>
    <row r="332" spans="1:16">
      <c r="A332" s="483">
        <f t="shared" si="3"/>
        <v>2024.11</v>
      </c>
      <c r="B332" s="1230">
        <v>156.6</v>
      </c>
      <c r="C332" s="3010">
        <v>-1.5391898369991219E-2</v>
      </c>
      <c r="D332" s="1703">
        <v>3.8595449139476656E-2</v>
      </c>
      <c r="E332" s="1216">
        <v>-9.5200154483299215E-4</v>
      </c>
      <c r="F332" s="3011">
        <v>-6.1397404308401897E-2</v>
      </c>
      <c r="G332" s="3011">
        <v>2.379453923608521E-2</v>
      </c>
      <c r="H332" s="3011">
        <v>-8.9973536993751324E-2</v>
      </c>
      <c r="I332" s="3011">
        <v>3.8347131554125502E-2</v>
      </c>
      <c r="J332" s="1815">
        <v>2.4796757190903573E-3</v>
      </c>
      <c r="K332" s="3011">
        <v>-2.1877850176038827E-2</v>
      </c>
      <c r="L332" s="3011">
        <v>5.2703702314188527E-2</v>
      </c>
      <c r="M332" s="3011">
        <v>2.2696281913629157E-2</v>
      </c>
      <c r="N332" s="3011">
        <v>5.2178421198021185E-2</v>
      </c>
      <c r="O332" s="3011">
        <v>-8.4563836983845175E-2</v>
      </c>
      <c r="P332" s="3012">
        <v>0.22748775166232327</v>
      </c>
    </row>
    <row r="333" spans="1:16">
      <c r="A333" s="483">
        <f t="shared" si="3"/>
        <v>2024.12</v>
      </c>
      <c r="B333" s="1230">
        <v>156.19999999999999</v>
      </c>
      <c r="C333" s="3010">
        <v>-2.2150685234592071E-3</v>
      </c>
      <c r="D333" s="1703">
        <v>4.5643821294117481E-2</v>
      </c>
      <c r="E333" s="1216">
        <v>-1.9551265012374142E-4</v>
      </c>
      <c r="F333" s="3011">
        <v>-1.5265032767869502E-2</v>
      </c>
      <c r="G333" s="3011">
        <v>-3.7180692432124851E-2</v>
      </c>
      <c r="H333" s="3011">
        <v>1.1015451603647364E-2</v>
      </c>
      <c r="I333" s="3011">
        <v>-2.08184735466177E-3</v>
      </c>
      <c r="J333" s="1815">
        <v>3.3919417323473366E-2</v>
      </c>
      <c r="K333" s="3011">
        <v>-2.201801246251589E-2</v>
      </c>
      <c r="L333" s="3011">
        <v>2.5903398341178052E-2</v>
      </c>
      <c r="M333" s="3011">
        <v>8.1552100741794961E-2</v>
      </c>
      <c r="N333" s="3011">
        <v>0.11947114010479698</v>
      </c>
      <c r="O333" s="3011">
        <v>9.4108589265957665E-3</v>
      </c>
      <c r="P333" s="3012">
        <v>0.27226230744039714</v>
      </c>
    </row>
    <row r="334" spans="1:16">
      <c r="A334" s="483">
        <f t="shared" si="3"/>
        <v>2025.01</v>
      </c>
      <c r="B334" s="1230">
        <v>158.19999999999999</v>
      </c>
      <c r="C334" s="3010">
        <v>1.2485192748413976E-2</v>
      </c>
      <c r="D334" s="1703">
        <v>5.4763605999220921E-2</v>
      </c>
      <c r="E334" s="1216">
        <v>-3.0686250193079356E-4</v>
      </c>
      <c r="F334" s="3011">
        <v>4.6301535990021625E-2</v>
      </c>
      <c r="G334" s="3011">
        <v>5.3868741963469802E-4</v>
      </c>
      <c r="H334" s="3011">
        <v>1.6903091544978377E-2</v>
      </c>
      <c r="I334" s="3011">
        <v>1.1524714908514477E-2</v>
      </c>
      <c r="J334" s="1815">
        <v>2.5072857369663915E-2</v>
      </c>
      <c r="K334" s="3011">
        <v>-1.7962563120057506E-2</v>
      </c>
      <c r="L334" s="3011">
        <v>7.7107399562218015E-2</v>
      </c>
      <c r="M334" s="3011">
        <v>-5.6317562501306817E-3</v>
      </c>
      <c r="N334" s="3011">
        <v>-1.2091668663882116E-2</v>
      </c>
      <c r="O334" s="3011">
        <v>-3.762137061977433E-2</v>
      </c>
      <c r="P334" s="3012">
        <v>0.72707977607327745</v>
      </c>
    </row>
    <row r="335" spans="1:16">
      <c r="A335" s="483">
        <f t="shared" si="3"/>
        <v>2025.02</v>
      </c>
      <c r="B335" s="1230">
        <v>161.9</v>
      </c>
      <c r="C335" s="3010">
        <v>2.3531012891018221E-2</v>
      </c>
      <c r="D335" s="1703">
        <v>3.9134191197434331E-2</v>
      </c>
      <c r="E335" s="1216">
        <v>1.7947355932712572E-3</v>
      </c>
      <c r="F335" s="3011">
        <v>1.5674277657762303E-3</v>
      </c>
      <c r="G335" s="3011">
        <v>2.8889419204255251E-2</v>
      </c>
      <c r="H335" s="3011">
        <v>-4.7673591441254048E-3</v>
      </c>
      <c r="I335" s="3011">
        <v>0.10338242860784221</v>
      </c>
      <c r="J335" s="1815">
        <v>2.8493930031068926E-2</v>
      </c>
      <c r="K335" s="3011">
        <v>-1.1324456074393807E-2</v>
      </c>
      <c r="L335" s="3011">
        <v>1.728353343398803E-2</v>
      </c>
      <c r="M335" s="3011">
        <v>2.6040140209779628E-2</v>
      </c>
      <c r="N335" s="3011">
        <v>-4.5653945708213461E-2</v>
      </c>
      <c r="O335" s="3011">
        <v>2.168124642015945E-2</v>
      </c>
      <c r="P335" s="3012">
        <v>0.59183536429195804</v>
      </c>
    </row>
    <row r="336" spans="1:16">
      <c r="A336" s="483">
        <f t="shared" si="3"/>
        <v>2025.03</v>
      </c>
      <c r="B336" s="1230">
        <v>156.80000000000001</v>
      </c>
      <c r="C336" s="3010">
        <v>-3.1395512583726415E-2</v>
      </c>
      <c r="D336" s="1703">
        <v>-1.051821395911734E-2</v>
      </c>
      <c r="E336" s="1216">
        <v>6.5137072544207975E-4</v>
      </c>
      <c r="F336" s="3011">
        <v>-3.6338934880456475E-2</v>
      </c>
      <c r="G336" s="3011">
        <v>-4.7133312540064143E-3</v>
      </c>
      <c r="H336" s="3011">
        <v>-8.7119301716126363E-2</v>
      </c>
      <c r="I336" s="3011">
        <v>-9.4917783016981727E-2</v>
      </c>
      <c r="J336" s="1815">
        <v>-3.5911213333536973E-2</v>
      </c>
      <c r="K336" s="3011">
        <v>-6.1183666012287752E-3</v>
      </c>
      <c r="L336" s="3011">
        <v>-6.1434857581173619E-2</v>
      </c>
      <c r="M336" s="3011">
        <v>1.9656661295838207E-2</v>
      </c>
      <c r="N336" s="3011">
        <v>-9.2972247090612026E-2</v>
      </c>
      <c r="O336" s="3011">
        <v>-9.9949903594368519E-2</v>
      </c>
      <c r="P336" s="3012">
        <v>0.46531799385834693</v>
      </c>
    </row>
    <row r="337" spans="1:16">
      <c r="A337" s="483">
        <f t="shared" si="3"/>
        <v>2025.04</v>
      </c>
      <c r="B337" s="1230" t="e">
        <v>#N/A</v>
      </c>
      <c r="C337" s="3010" t="e">
        <v>#N/A</v>
      </c>
      <c r="D337" s="1703" t="e">
        <v>#N/A</v>
      </c>
      <c r="E337" s="1216" t="e">
        <v>#N/A</v>
      </c>
      <c r="F337" s="3011" t="e">
        <v>#N/A</v>
      </c>
      <c r="G337" s="3011" t="e">
        <v>#N/A</v>
      </c>
      <c r="H337" s="3011" t="e">
        <v>#N/A</v>
      </c>
      <c r="I337" s="3011" t="e">
        <v>#N/A</v>
      </c>
      <c r="J337" s="1815" t="e">
        <v>#N/A</v>
      </c>
      <c r="K337" s="3011" t="e">
        <v>#N/A</v>
      </c>
      <c r="L337" s="3011" t="e">
        <v>#N/A</v>
      </c>
      <c r="M337" s="3011" t="e">
        <v>#N/A</v>
      </c>
      <c r="N337" s="3011" t="e">
        <v>#N/A</v>
      </c>
      <c r="O337" s="3011" t="e">
        <v>#N/A</v>
      </c>
      <c r="P337" s="3012" t="e">
        <v>#N/A</v>
      </c>
    </row>
    <row r="338" spans="1:16">
      <c r="A338" s="483">
        <f t="shared" si="3"/>
        <v>2025.05</v>
      </c>
      <c r="B338" s="1230" t="e">
        <v>#N/A</v>
      </c>
      <c r="C338" s="3010" t="e">
        <v>#N/A</v>
      </c>
      <c r="D338" s="1703" t="e">
        <v>#N/A</v>
      </c>
      <c r="E338" s="1216" t="e">
        <v>#N/A</v>
      </c>
      <c r="F338" s="3011" t="e">
        <v>#N/A</v>
      </c>
      <c r="G338" s="3011" t="e">
        <v>#N/A</v>
      </c>
      <c r="H338" s="3011" t="e">
        <v>#N/A</v>
      </c>
      <c r="I338" s="3011" t="e">
        <v>#N/A</v>
      </c>
      <c r="J338" s="1815" t="e">
        <v>#N/A</v>
      </c>
      <c r="K338" s="3011" t="e">
        <v>#N/A</v>
      </c>
      <c r="L338" s="3011" t="e">
        <v>#N/A</v>
      </c>
      <c r="M338" s="3011" t="e">
        <v>#N/A</v>
      </c>
      <c r="N338" s="3011" t="e">
        <v>#N/A</v>
      </c>
      <c r="O338" s="3011" t="e">
        <v>#N/A</v>
      </c>
      <c r="P338" s="3012" t="e">
        <v>#N/A</v>
      </c>
    </row>
    <row r="339" spans="1:16">
      <c r="A339" s="483">
        <f t="shared" si="3"/>
        <v>2025.06</v>
      </c>
      <c r="B339" s="1230" t="e">
        <v>#N/A</v>
      </c>
      <c r="C339" s="3010" t="e">
        <v>#N/A</v>
      </c>
      <c r="D339" s="1703" t="e">
        <v>#N/A</v>
      </c>
      <c r="E339" s="1216" t="e">
        <v>#N/A</v>
      </c>
      <c r="F339" s="3011" t="e">
        <v>#N/A</v>
      </c>
      <c r="G339" s="3011" t="e">
        <v>#N/A</v>
      </c>
      <c r="H339" s="3011" t="e">
        <v>#N/A</v>
      </c>
      <c r="I339" s="3011" t="e">
        <v>#N/A</v>
      </c>
      <c r="J339" s="1815" t="e">
        <v>#N/A</v>
      </c>
      <c r="K339" s="3011" t="e">
        <v>#N/A</v>
      </c>
      <c r="L339" s="3011" t="e">
        <v>#N/A</v>
      </c>
      <c r="M339" s="3011" t="e">
        <v>#N/A</v>
      </c>
      <c r="N339" s="3011" t="e">
        <v>#N/A</v>
      </c>
      <c r="O339" s="3011" t="e">
        <v>#N/A</v>
      </c>
      <c r="P339" s="3012" t="e">
        <v>#N/A</v>
      </c>
    </row>
    <row r="340" spans="1:16">
      <c r="A340" s="483">
        <f t="shared" si="3"/>
        <v>2025.07</v>
      </c>
      <c r="B340" s="1230" t="e">
        <v>#N/A</v>
      </c>
      <c r="C340" s="3010" t="e">
        <v>#N/A</v>
      </c>
      <c r="D340" s="1703" t="e">
        <v>#N/A</v>
      </c>
      <c r="E340" s="1216" t="e">
        <v>#N/A</v>
      </c>
      <c r="F340" s="3011" t="e">
        <v>#N/A</v>
      </c>
      <c r="G340" s="3011" t="e">
        <v>#N/A</v>
      </c>
      <c r="H340" s="3011" t="e">
        <v>#N/A</v>
      </c>
      <c r="I340" s="3011" t="e">
        <v>#N/A</v>
      </c>
      <c r="J340" s="1815" t="e">
        <v>#N/A</v>
      </c>
      <c r="K340" s="3011" t="e">
        <v>#N/A</v>
      </c>
      <c r="L340" s="3011" t="e">
        <v>#N/A</v>
      </c>
      <c r="M340" s="3011" t="e">
        <v>#N/A</v>
      </c>
      <c r="N340" s="3011" t="e">
        <v>#N/A</v>
      </c>
      <c r="O340" s="3011" t="e">
        <v>#N/A</v>
      </c>
      <c r="P340" s="3012" t="e">
        <v>#N/A</v>
      </c>
    </row>
    <row r="341" spans="1:16">
      <c r="A341" s="483">
        <f t="shared" si="3"/>
        <v>2025.08</v>
      </c>
      <c r="B341" s="1230" t="e">
        <v>#N/A</v>
      </c>
      <c r="C341" s="3010" t="e">
        <v>#N/A</v>
      </c>
      <c r="D341" s="1703" t="e">
        <v>#N/A</v>
      </c>
      <c r="E341" s="1216" t="e">
        <v>#N/A</v>
      </c>
      <c r="F341" s="3011" t="e">
        <v>#N/A</v>
      </c>
      <c r="G341" s="3011" t="e">
        <v>#N/A</v>
      </c>
      <c r="H341" s="3011" t="e">
        <v>#N/A</v>
      </c>
      <c r="I341" s="3011" t="e">
        <v>#N/A</v>
      </c>
      <c r="J341" s="1815" t="e">
        <v>#N/A</v>
      </c>
      <c r="K341" s="3011" t="e">
        <v>#N/A</v>
      </c>
      <c r="L341" s="3011" t="e">
        <v>#N/A</v>
      </c>
      <c r="M341" s="3011" t="e">
        <v>#N/A</v>
      </c>
      <c r="N341" s="3011" t="e">
        <v>#N/A</v>
      </c>
      <c r="O341" s="3011" t="e">
        <v>#N/A</v>
      </c>
      <c r="P341" s="3012" t="e">
        <v>#N/A</v>
      </c>
    </row>
    <row r="342" spans="1:16">
      <c r="A342" s="483">
        <f t="shared" si="3"/>
        <v>2025.09</v>
      </c>
      <c r="B342" s="1230" t="e">
        <v>#N/A</v>
      </c>
      <c r="C342" s="3010" t="e">
        <v>#N/A</v>
      </c>
      <c r="D342" s="1703" t="e">
        <v>#N/A</v>
      </c>
      <c r="E342" s="1216" t="e">
        <v>#N/A</v>
      </c>
      <c r="F342" s="3011" t="e">
        <v>#N/A</v>
      </c>
      <c r="G342" s="3011" t="e">
        <v>#N/A</v>
      </c>
      <c r="H342" s="3011" t="e">
        <v>#N/A</v>
      </c>
      <c r="I342" s="3011" t="e">
        <v>#N/A</v>
      </c>
      <c r="J342" s="1815" t="e">
        <v>#N/A</v>
      </c>
      <c r="K342" s="3011" t="e">
        <v>#N/A</v>
      </c>
      <c r="L342" s="3011" t="e">
        <v>#N/A</v>
      </c>
      <c r="M342" s="3011" t="e">
        <v>#N/A</v>
      </c>
      <c r="N342" s="3011" t="e">
        <v>#N/A</v>
      </c>
      <c r="O342" s="3011" t="e">
        <v>#N/A</v>
      </c>
      <c r="P342" s="3012" t="e">
        <v>#N/A</v>
      </c>
    </row>
    <row r="343" spans="1:16">
      <c r="A343" s="483">
        <f t="shared" si="3"/>
        <v>2025.1</v>
      </c>
      <c r="B343" s="1230" t="e">
        <v>#N/A</v>
      </c>
      <c r="C343" s="3010" t="e">
        <v>#N/A</v>
      </c>
      <c r="D343" s="1703" t="e">
        <v>#N/A</v>
      </c>
      <c r="E343" s="1216" t="e">
        <v>#N/A</v>
      </c>
      <c r="F343" s="3011" t="e">
        <v>#N/A</v>
      </c>
      <c r="G343" s="3011" t="e">
        <v>#N/A</v>
      </c>
      <c r="H343" s="3011" t="e">
        <v>#N/A</v>
      </c>
      <c r="I343" s="3011" t="e">
        <v>#N/A</v>
      </c>
      <c r="J343" s="1815" t="e">
        <v>#N/A</v>
      </c>
      <c r="K343" s="3011" t="e">
        <v>#N/A</v>
      </c>
      <c r="L343" s="3011" t="e">
        <v>#N/A</v>
      </c>
      <c r="M343" s="3011" t="e">
        <v>#N/A</v>
      </c>
      <c r="N343" s="3011" t="e">
        <v>#N/A</v>
      </c>
      <c r="O343" s="3011" t="e">
        <v>#N/A</v>
      </c>
      <c r="P343" s="3012" t="e">
        <v>#N/A</v>
      </c>
    </row>
    <row r="344" spans="1:16">
      <c r="A344" s="483">
        <f t="shared" si="3"/>
        <v>2025.11</v>
      </c>
      <c r="B344" s="1230" t="e">
        <v>#N/A</v>
      </c>
      <c r="C344" s="3010" t="e">
        <v>#N/A</v>
      </c>
      <c r="D344" s="1703" t="e">
        <v>#N/A</v>
      </c>
      <c r="E344" s="1216" t="e">
        <v>#N/A</v>
      </c>
      <c r="F344" s="3011" t="e">
        <v>#N/A</v>
      </c>
      <c r="G344" s="3011" t="e">
        <v>#N/A</v>
      </c>
      <c r="H344" s="3011" t="e">
        <v>#N/A</v>
      </c>
      <c r="I344" s="3011" t="e">
        <v>#N/A</v>
      </c>
      <c r="J344" s="1815" t="e">
        <v>#N/A</v>
      </c>
      <c r="K344" s="3011" t="e">
        <v>#N/A</v>
      </c>
      <c r="L344" s="3011" t="e">
        <v>#N/A</v>
      </c>
      <c r="M344" s="3011" t="e">
        <v>#N/A</v>
      </c>
      <c r="N344" s="3011" t="e">
        <v>#N/A</v>
      </c>
      <c r="O344" s="3011" t="e">
        <v>#N/A</v>
      </c>
      <c r="P344" s="3012" t="e">
        <v>#N/A</v>
      </c>
    </row>
    <row r="345" spans="1:16">
      <c r="A345" s="483">
        <f t="shared" si="3"/>
        <v>2025.12</v>
      </c>
      <c r="B345" s="1230" t="e">
        <v>#N/A</v>
      </c>
      <c r="C345" s="3010" t="e">
        <v>#N/A</v>
      </c>
      <c r="D345" s="1703" t="e">
        <v>#N/A</v>
      </c>
      <c r="E345" s="1216" t="e">
        <v>#N/A</v>
      </c>
      <c r="F345" s="3011" t="e">
        <v>#N/A</v>
      </c>
      <c r="G345" s="3011" t="e">
        <v>#N/A</v>
      </c>
      <c r="H345" s="3011" t="e">
        <v>#N/A</v>
      </c>
      <c r="I345" s="3011" t="e">
        <v>#N/A</v>
      </c>
      <c r="J345" s="1815" t="e">
        <v>#N/A</v>
      </c>
      <c r="K345" s="3011" t="e">
        <v>#N/A</v>
      </c>
      <c r="L345" s="3011" t="e">
        <v>#N/A</v>
      </c>
      <c r="M345" s="3011" t="e">
        <v>#N/A</v>
      </c>
      <c r="N345" s="3011" t="e">
        <v>#N/A</v>
      </c>
      <c r="O345" s="3011" t="e">
        <v>#N/A</v>
      </c>
      <c r="P345" s="3012" t="e">
        <v>#N/A</v>
      </c>
    </row>
    <row r="346" spans="1:16">
      <c r="A346" s="483">
        <f t="shared" si="3"/>
        <v>2026.01</v>
      </c>
      <c r="B346" s="1230" t="e">
        <v>#N/A</v>
      </c>
      <c r="C346" s="3010" t="e">
        <v>#N/A</v>
      </c>
      <c r="D346" s="1703" t="e">
        <v>#N/A</v>
      </c>
      <c r="E346" s="1216" t="e">
        <v>#N/A</v>
      </c>
      <c r="F346" s="3011" t="e">
        <v>#N/A</v>
      </c>
      <c r="G346" s="3011" t="e">
        <v>#N/A</v>
      </c>
      <c r="H346" s="3011" t="e">
        <v>#N/A</v>
      </c>
      <c r="I346" s="3011" t="e">
        <v>#N/A</v>
      </c>
      <c r="J346" s="1815" t="e">
        <v>#N/A</v>
      </c>
      <c r="K346" s="3011" t="e">
        <v>#N/A</v>
      </c>
      <c r="L346" s="3011" t="e">
        <v>#N/A</v>
      </c>
      <c r="M346" s="3011" t="e">
        <v>#N/A</v>
      </c>
      <c r="N346" s="3011" t="e">
        <v>#N/A</v>
      </c>
      <c r="O346" s="3011" t="e">
        <v>#N/A</v>
      </c>
      <c r="P346" s="3012" t="e">
        <v>#N/A</v>
      </c>
    </row>
    <row r="347" spans="1:16">
      <c r="A347" s="483">
        <f t="shared" si="3"/>
        <v>2026.02</v>
      </c>
      <c r="B347" s="1230" t="e">
        <v>#N/A</v>
      </c>
      <c r="C347" s="3010" t="e">
        <v>#N/A</v>
      </c>
      <c r="D347" s="1703" t="e">
        <v>#N/A</v>
      </c>
      <c r="E347" s="1216" t="e">
        <v>#N/A</v>
      </c>
      <c r="F347" s="3011" t="e">
        <v>#N/A</v>
      </c>
      <c r="G347" s="3011" t="e">
        <v>#N/A</v>
      </c>
      <c r="H347" s="3011" t="e">
        <v>#N/A</v>
      </c>
      <c r="I347" s="3011" t="e">
        <v>#N/A</v>
      </c>
      <c r="J347" s="1815" t="e">
        <v>#N/A</v>
      </c>
      <c r="K347" s="3011" t="e">
        <v>#N/A</v>
      </c>
      <c r="L347" s="3011" t="e">
        <v>#N/A</v>
      </c>
      <c r="M347" s="3011" t="e">
        <v>#N/A</v>
      </c>
      <c r="N347" s="3011" t="e">
        <v>#N/A</v>
      </c>
      <c r="O347" s="3011" t="e">
        <v>#N/A</v>
      </c>
      <c r="P347" s="3012" t="e">
        <v>#N/A</v>
      </c>
    </row>
    <row r="348" spans="1:16">
      <c r="A348" s="483">
        <f t="shared" si="3"/>
        <v>2026.03</v>
      </c>
      <c r="B348" s="1230" t="e">
        <v>#N/A</v>
      </c>
      <c r="C348" s="3010" t="e">
        <v>#N/A</v>
      </c>
      <c r="D348" s="1703" t="e">
        <v>#N/A</v>
      </c>
      <c r="E348" s="1216" t="e">
        <v>#N/A</v>
      </c>
      <c r="F348" s="3011" t="e">
        <v>#N/A</v>
      </c>
      <c r="G348" s="3011" t="e">
        <v>#N/A</v>
      </c>
      <c r="H348" s="3011" t="e">
        <v>#N/A</v>
      </c>
      <c r="I348" s="3011" t="e">
        <v>#N/A</v>
      </c>
      <c r="J348" s="1815" t="e">
        <v>#N/A</v>
      </c>
      <c r="K348" s="3011" t="e">
        <v>#N/A</v>
      </c>
      <c r="L348" s="3011" t="e">
        <v>#N/A</v>
      </c>
      <c r="M348" s="3011" t="e">
        <v>#N/A</v>
      </c>
      <c r="N348" s="3011" t="e">
        <v>#N/A</v>
      </c>
      <c r="O348" s="3011" t="e">
        <v>#N/A</v>
      </c>
      <c r="P348" s="3012" t="e">
        <v>#N/A</v>
      </c>
    </row>
    <row r="349" spans="1:16">
      <c r="A349" s="483">
        <f t="shared" si="3"/>
        <v>2026.04</v>
      </c>
      <c r="B349" s="1230" t="e">
        <v>#N/A</v>
      </c>
      <c r="C349" s="3010" t="e">
        <v>#N/A</v>
      </c>
      <c r="D349" s="1703" t="e">
        <v>#N/A</v>
      </c>
      <c r="E349" s="1216" t="e">
        <v>#N/A</v>
      </c>
      <c r="F349" s="3011" t="e">
        <v>#N/A</v>
      </c>
      <c r="G349" s="3011" t="e">
        <v>#N/A</v>
      </c>
      <c r="H349" s="3011" t="e">
        <v>#N/A</v>
      </c>
      <c r="I349" s="3011" t="e">
        <v>#N/A</v>
      </c>
      <c r="J349" s="1815" t="e">
        <v>#N/A</v>
      </c>
      <c r="K349" s="3011" t="e">
        <v>#N/A</v>
      </c>
      <c r="L349" s="3011" t="e">
        <v>#N/A</v>
      </c>
      <c r="M349" s="3011" t="e">
        <v>#N/A</v>
      </c>
      <c r="N349" s="3011" t="e">
        <v>#N/A</v>
      </c>
      <c r="O349" s="3011" t="e">
        <v>#N/A</v>
      </c>
      <c r="P349" s="3012" t="e">
        <v>#N/A</v>
      </c>
    </row>
    <row r="350" spans="1:16">
      <c r="A350" s="483">
        <f t="shared" si="3"/>
        <v>2026.05</v>
      </c>
      <c r="B350" s="1230" t="e">
        <v>#N/A</v>
      </c>
      <c r="C350" s="3010" t="e">
        <v>#N/A</v>
      </c>
      <c r="D350" s="1703" t="e">
        <v>#N/A</v>
      </c>
      <c r="E350" s="1216" t="e">
        <v>#N/A</v>
      </c>
      <c r="F350" s="3011" t="e">
        <v>#N/A</v>
      </c>
      <c r="G350" s="3011" t="e">
        <v>#N/A</v>
      </c>
      <c r="H350" s="3011" t="e">
        <v>#N/A</v>
      </c>
      <c r="I350" s="3011" t="e">
        <v>#N/A</v>
      </c>
      <c r="J350" s="1815" t="e">
        <v>#N/A</v>
      </c>
      <c r="K350" s="3011" t="e">
        <v>#N/A</v>
      </c>
      <c r="L350" s="3011" t="e">
        <v>#N/A</v>
      </c>
      <c r="M350" s="3011" t="e">
        <v>#N/A</v>
      </c>
      <c r="N350" s="3011" t="e">
        <v>#N/A</v>
      </c>
      <c r="O350" s="3011" t="e">
        <v>#N/A</v>
      </c>
      <c r="P350" s="3012" t="e">
        <v>#N/A</v>
      </c>
    </row>
    <row r="351" spans="1:16">
      <c r="A351" s="483">
        <f t="shared" si="3"/>
        <v>2026.06</v>
      </c>
      <c r="B351" s="1230" t="e">
        <v>#N/A</v>
      </c>
      <c r="C351" s="3010" t="e">
        <v>#N/A</v>
      </c>
      <c r="D351" s="1703" t="e">
        <v>#N/A</v>
      </c>
      <c r="E351" s="1216" t="e">
        <v>#N/A</v>
      </c>
      <c r="F351" s="3011" t="e">
        <v>#N/A</v>
      </c>
      <c r="G351" s="3011" t="e">
        <v>#N/A</v>
      </c>
      <c r="H351" s="3011" t="e">
        <v>#N/A</v>
      </c>
      <c r="I351" s="3011" t="e">
        <v>#N/A</v>
      </c>
      <c r="J351" s="1815" t="e">
        <v>#N/A</v>
      </c>
      <c r="K351" s="3011" t="e">
        <v>#N/A</v>
      </c>
      <c r="L351" s="3011" t="e">
        <v>#N/A</v>
      </c>
      <c r="M351" s="3011" t="e">
        <v>#N/A</v>
      </c>
      <c r="N351" s="3011" t="e">
        <v>#N/A</v>
      </c>
      <c r="O351" s="3011" t="e">
        <v>#N/A</v>
      </c>
      <c r="P351" s="3012" t="e">
        <v>#N/A</v>
      </c>
    </row>
    <row r="352" spans="1:16">
      <c r="A352" s="483">
        <f t="shared" si="3"/>
        <v>2026.07</v>
      </c>
      <c r="B352" s="1230" t="e">
        <v>#N/A</v>
      </c>
      <c r="C352" s="3010" t="e">
        <v>#N/A</v>
      </c>
      <c r="D352" s="1703" t="e">
        <v>#N/A</v>
      </c>
      <c r="E352" s="1216" t="e">
        <v>#N/A</v>
      </c>
      <c r="F352" s="3011" t="e">
        <v>#N/A</v>
      </c>
      <c r="G352" s="3011" t="e">
        <v>#N/A</v>
      </c>
      <c r="H352" s="3011" t="e">
        <v>#N/A</v>
      </c>
      <c r="I352" s="3011" t="e">
        <v>#N/A</v>
      </c>
      <c r="J352" s="1815" t="e">
        <v>#N/A</v>
      </c>
      <c r="K352" s="3011" t="e">
        <v>#N/A</v>
      </c>
      <c r="L352" s="3011" t="e">
        <v>#N/A</v>
      </c>
      <c r="M352" s="3011" t="e">
        <v>#N/A</v>
      </c>
      <c r="N352" s="3011" t="e">
        <v>#N/A</v>
      </c>
      <c r="O352" s="3011" t="e">
        <v>#N/A</v>
      </c>
      <c r="P352" s="3012" t="e">
        <v>#N/A</v>
      </c>
    </row>
    <row r="353" spans="1:16">
      <c r="A353" s="483">
        <f t="shared" si="3"/>
        <v>2026.08</v>
      </c>
      <c r="B353" s="1230" t="e">
        <v>#N/A</v>
      </c>
      <c r="C353" s="3010" t="e">
        <v>#N/A</v>
      </c>
      <c r="D353" s="1703" t="e">
        <v>#N/A</v>
      </c>
      <c r="E353" s="1216" t="e">
        <v>#N/A</v>
      </c>
      <c r="F353" s="3011" t="e">
        <v>#N/A</v>
      </c>
      <c r="G353" s="3011" t="e">
        <v>#N/A</v>
      </c>
      <c r="H353" s="3011" t="e">
        <v>#N/A</v>
      </c>
      <c r="I353" s="3011" t="e">
        <v>#N/A</v>
      </c>
      <c r="J353" s="1815" t="e">
        <v>#N/A</v>
      </c>
      <c r="K353" s="3011" t="e">
        <v>#N/A</v>
      </c>
      <c r="L353" s="3011" t="e">
        <v>#N/A</v>
      </c>
      <c r="M353" s="3011" t="e">
        <v>#N/A</v>
      </c>
      <c r="N353" s="3011" t="e">
        <v>#N/A</v>
      </c>
      <c r="O353" s="3011" t="e">
        <v>#N/A</v>
      </c>
      <c r="P353" s="3012" t="e">
        <v>#N/A</v>
      </c>
    </row>
    <row r="354" spans="1:16">
      <c r="A354" s="483">
        <f t="shared" si="3"/>
        <v>2026.09</v>
      </c>
      <c r="B354" s="1230" t="e">
        <v>#N/A</v>
      </c>
      <c r="C354" s="3010" t="e">
        <v>#N/A</v>
      </c>
      <c r="D354" s="1703" t="e">
        <v>#N/A</v>
      </c>
      <c r="E354" s="1216" t="e">
        <v>#N/A</v>
      </c>
      <c r="F354" s="3011" t="e">
        <v>#N/A</v>
      </c>
      <c r="G354" s="3011" t="e">
        <v>#N/A</v>
      </c>
      <c r="H354" s="3011" t="e">
        <v>#N/A</v>
      </c>
      <c r="I354" s="3011" t="e">
        <v>#N/A</v>
      </c>
      <c r="J354" s="1815" t="e">
        <v>#N/A</v>
      </c>
      <c r="K354" s="3011" t="e">
        <v>#N/A</v>
      </c>
      <c r="L354" s="3011" t="e">
        <v>#N/A</v>
      </c>
      <c r="M354" s="3011" t="e">
        <v>#N/A</v>
      </c>
      <c r="N354" s="3011" t="e">
        <v>#N/A</v>
      </c>
      <c r="O354" s="3011" t="e">
        <v>#N/A</v>
      </c>
      <c r="P354" s="3012" t="e">
        <v>#N/A</v>
      </c>
    </row>
    <row r="355" spans="1:16">
      <c r="A355" s="483">
        <f t="shared" si="3"/>
        <v>2026.1</v>
      </c>
      <c r="B355" s="1230" t="e">
        <v>#N/A</v>
      </c>
      <c r="C355" s="3010" t="e">
        <v>#N/A</v>
      </c>
      <c r="D355" s="1703" t="e">
        <v>#N/A</v>
      </c>
      <c r="E355" s="1216" t="e">
        <v>#N/A</v>
      </c>
      <c r="F355" s="3011" t="e">
        <v>#N/A</v>
      </c>
      <c r="G355" s="3011" t="e">
        <v>#N/A</v>
      </c>
      <c r="H355" s="3011" t="e">
        <v>#N/A</v>
      </c>
      <c r="I355" s="3011" t="e">
        <v>#N/A</v>
      </c>
      <c r="J355" s="1815" t="e">
        <v>#N/A</v>
      </c>
      <c r="K355" s="3011" t="e">
        <v>#N/A</v>
      </c>
      <c r="L355" s="3011" t="e">
        <v>#N/A</v>
      </c>
      <c r="M355" s="3011" t="e">
        <v>#N/A</v>
      </c>
      <c r="N355" s="3011" t="e">
        <v>#N/A</v>
      </c>
      <c r="O355" s="3011" t="e">
        <v>#N/A</v>
      </c>
      <c r="P355" s="3012" t="e">
        <v>#N/A</v>
      </c>
    </row>
    <row r="356" spans="1:16">
      <c r="A356" s="483">
        <f t="shared" si="3"/>
        <v>2026.11</v>
      </c>
      <c r="B356" s="1230" t="e">
        <v>#N/A</v>
      </c>
      <c r="C356" s="3010" t="e">
        <v>#N/A</v>
      </c>
      <c r="D356" s="1703" t="e">
        <v>#N/A</v>
      </c>
      <c r="E356" s="1216" t="e">
        <v>#N/A</v>
      </c>
      <c r="F356" s="3011" t="e">
        <v>#N/A</v>
      </c>
      <c r="G356" s="3011" t="e">
        <v>#N/A</v>
      </c>
      <c r="H356" s="3011" t="e">
        <v>#N/A</v>
      </c>
      <c r="I356" s="3011" t="e">
        <v>#N/A</v>
      </c>
      <c r="J356" s="1815" t="e">
        <v>#N/A</v>
      </c>
      <c r="K356" s="3011" t="e">
        <v>#N/A</v>
      </c>
      <c r="L356" s="3011" t="e">
        <v>#N/A</v>
      </c>
      <c r="M356" s="3011" t="e">
        <v>#N/A</v>
      </c>
      <c r="N356" s="3011" t="e">
        <v>#N/A</v>
      </c>
      <c r="O356" s="3011" t="e">
        <v>#N/A</v>
      </c>
      <c r="P356" s="3012" t="e">
        <v>#N/A</v>
      </c>
    </row>
    <row r="357" spans="1:16">
      <c r="A357" s="483">
        <f t="shared" si="3"/>
        <v>2026.12</v>
      </c>
      <c r="B357" s="1230" t="e">
        <v>#N/A</v>
      </c>
      <c r="C357" s="3010" t="e">
        <v>#N/A</v>
      </c>
      <c r="D357" s="1703" t="e">
        <v>#N/A</v>
      </c>
      <c r="E357" s="1216" t="e">
        <v>#N/A</v>
      </c>
      <c r="F357" s="3011" t="e">
        <v>#N/A</v>
      </c>
      <c r="G357" s="3011" t="e">
        <v>#N/A</v>
      </c>
      <c r="H357" s="3011" t="e">
        <v>#N/A</v>
      </c>
      <c r="I357" s="3011" t="e">
        <v>#N/A</v>
      </c>
      <c r="J357" s="1815" t="e">
        <v>#N/A</v>
      </c>
      <c r="K357" s="3011" t="e">
        <v>#N/A</v>
      </c>
      <c r="L357" s="3011" t="e">
        <v>#N/A</v>
      </c>
      <c r="M357" s="3011" t="e">
        <v>#N/A</v>
      </c>
      <c r="N357" s="3011" t="e">
        <v>#N/A</v>
      </c>
      <c r="O357" s="3011" t="e">
        <v>#N/A</v>
      </c>
      <c r="P357" s="3012" t="e">
        <v>#N/A</v>
      </c>
    </row>
    <row r="358" spans="1:16">
      <c r="A358" s="483">
        <f t="shared" si="3"/>
        <v>2027.01</v>
      </c>
      <c r="B358" s="1230" t="e">
        <v>#N/A</v>
      </c>
      <c r="C358" s="3010" t="e">
        <v>#N/A</v>
      </c>
      <c r="D358" s="1703" t="e">
        <v>#N/A</v>
      </c>
      <c r="E358" s="1216" t="e">
        <v>#N/A</v>
      </c>
      <c r="F358" s="3011" t="e">
        <v>#N/A</v>
      </c>
      <c r="G358" s="3011" t="e">
        <v>#N/A</v>
      </c>
      <c r="H358" s="3011" t="e">
        <v>#N/A</v>
      </c>
      <c r="I358" s="3011" t="e">
        <v>#N/A</v>
      </c>
      <c r="J358" s="1815" t="e">
        <v>#N/A</v>
      </c>
      <c r="K358" s="3011" t="e">
        <v>#N/A</v>
      </c>
      <c r="L358" s="3011" t="e">
        <v>#N/A</v>
      </c>
      <c r="M358" s="3011" t="e">
        <v>#N/A</v>
      </c>
      <c r="N358" s="3011" t="e">
        <v>#N/A</v>
      </c>
      <c r="O358" s="3011" t="e">
        <v>#N/A</v>
      </c>
      <c r="P358" s="3012" t="e">
        <v>#N/A</v>
      </c>
    </row>
    <row r="359" spans="1:16">
      <c r="A359" s="483">
        <f t="shared" si="3"/>
        <v>2027.02</v>
      </c>
      <c r="B359" s="1230" t="e">
        <v>#N/A</v>
      </c>
      <c r="C359" s="3010" t="e">
        <v>#N/A</v>
      </c>
      <c r="D359" s="1703" t="e">
        <v>#N/A</v>
      </c>
      <c r="E359" s="1216" t="e">
        <v>#N/A</v>
      </c>
      <c r="F359" s="3011" t="e">
        <v>#N/A</v>
      </c>
      <c r="G359" s="3011" t="e">
        <v>#N/A</v>
      </c>
      <c r="H359" s="3011" t="e">
        <v>#N/A</v>
      </c>
      <c r="I359" s="3011" t="e">
        <v>#N/A</v>
      </c>
      <c r="J359" s="1815" t="e">
        <v>#N/A</v>
      </c>
      <c r="K359" s="3011" t="e">
        <v>#N/A</v>
      </c>
      <c r="L359" s="3011" t="e">
        <v>#N/A</v>
      </c>
      <c r="M359" s="3011" t="e">
        <v>#N/A</v>
      </c>
      <c r="N359" s="3011" t="e">
        <v>#N/A</v>
      </c>
      <c r="O359" s="3011" t="e">
        <v>#N/A</v>
      </c>
      <c r="P359" s="3012" t="e">
        <v>#N/A</v>
      </c>
    </row>
    <row r="360" spans="1:16">
      <c r="A360" s="483">
        <f t="shared" si="3"/>
        <v>2027.03</v>
      </c>
      <c r="B360" s="1230" t="e">
        <v>#N/A</v>
      </c>
      <c r="C360" s="3010" t="e">
        <v>#N/A</v>
      </c>
      <c r="D360" s="1703" t="e">
        <v>#N/A</v>
      </c>
      <c r="E360" s="1216" t="e">
        <v>#N/A</v>
      </c>
      <c r="F360" s="3011" t="e">
        <v>#N/A</v>
      </c>
      <c r="G360" s="3011" t="e">
        <v>#N/A</v>
      </c>
      <c r="H360" s="3011" t="e">
        <v>#N/A</v>
      </c>
      <c r="I360" s="3011" t="e">
        <v>#N/A</v>
      </c>
      <c r="J360" s="1815" t="e">
        <v>#N/A</v>
      </c>
      <c r="K360" s="3011" t="e">
        <v>#N/A</v>
      </c>
      <c r="L360" s="3011" t="e">
        <v>#N/A</v>
      </c>
      <c r="M360" s="3011" t="e">
        <v>#N/A</v>
      </c>
      <c r="N360" s="3011" t="e">
        <v>#N/A</v>
      </c>
      <c r="O360" s="3011" t="e">
        <v>#N/A</v>
      </c>
      <c r="P360" s="3012" t="e">
        <v>#N/A</v>
      </c>
    </row>
    <row r="361" spans="1:16">
      <c r="A361" s="483">
        <f t="shared" si="3"/>
        <v>2027.04</v>
      </c>
      <c r="B361" s="1230" t="e">
        <v>#N/A</v>
      </c>
      <c r="C361" s="3010" t="e">
        <v>#N/A</v>
      </c>
      <c r="D361" s="1703" t="e">
        <v>#N/A</v>
      </c>
      <c r="E361" s="1216" t="e">
        <v>#N/A</v>
      </c>
      <c r="F361" s="3011" t="e">
        <v>#N/A</v>
      </c>
      <c r="G361" s="3011" t="e">
        <v>#N/A</v>
      </c>
      <c r="H361" s="3011" t="e">
        <v>#N/A</v>
      </c>
      <c r="I361" s="3011" t="e">
        <v>#N/A</v>
      </c>
      <c r="J361" s="1815" t="e">
        <v>#N/A</v>
      </c>
      <c r="K361" s="3011" t="e">
        <v>#N/A</v>
      </c>
      <c r="L361" s="3011" t="e">
        <v>#N/A</v>
      </c>
      <c r="M361" s="3011" t="e">
        <v>#N/A</v>
      </c>
      <c r="N361" s="3011" t="e">
        <v>#N/A</v>
      </c>
      <c r="O361" s="3011" t="e">
        <v>#N/A</v>
      </c>
      <c r="P361" s="3012" t="e">
        <v>#N/A</v>
      </c>
    </row>
    <row r="362" spans="1:16">
      <c r="A362" s="483">
        <f t="shared" si="3"/>
        <v>2027.05</v>
      </c>
      <c r="B362" s="1230" t="e">
        <v>#N/A</v>
      </c>
      <c r="C362" s="3010" t="e">
        <v>#N/A</v>
      </c>
      <c r="D362" s="1703" t="e">
        <v>#N/A</v>
      </c>
      <c r="E362" s="1216" t="e">
        <v>#N/A</v>
      </c>
      <c r="F362" s="3011" t="e">
        <v>#N/A</v>
      </c>
      <c r="G362" s="3011" t="e">
        <v>#N/A</v>
      </c>
      <c r="H362" s="3011" t="e">
        <v>#N/A</v>
      </c>
      <c r="I362" s="3011" t="e">
        <v>#N/A</v>
      </c>
      <c r="J362" s="1815" t="e">
        <v>#N/A</v>
      </c>
      <c r="K362" s="3011" t="e">
        <v>#N/A</v>
      </c>
      <c r="L362" s="3011" t="e">
        <v>#N/A</v>
      </c>
      <c r="M362" s="3011" t="e">
        <v>#N/A</v>
      </c>
      <c r="N362" s="3011" t="e">
        <v>#N/A</v>
      </c>
      <c r="O362" s="3011" t="e">
        <v>#N/A</v>
      </c>
      <c r="P362" s="3012" t="e">
        <v>#N/A</v>
      </c>
    </row>
    <row r="363" spans="1:16">
      <c r="A363" s="483">
        <f t="shared" si="3"/>
        <v>2027.06</v>
      </c>
      <c r="B363" s="1230" t="e">
        <v>#N/A</v>
      </c>
      <c r="C363" s="3010" t="e">
        <v>#N/A</v>
      </c>
      <c r="D363" s="1703" t="e">
        <v>#N/A</v>
      </c>
      <c r="E363" s="1216" t="e">
        <v>#N/A</v>
      </c>
      <c r="F363" s="3011" t="e">
        <v>#N/A</v>
      </c>
      <c r="G363" s="3011" t="e">
        <v>#N/A</v>
      </c>
      <c r="H363" s="3011" t="e">
        <v>#N/A</v>
      </c>
      <c r="I363" s="3011" t="e">
        <v>#N/A</v>
      </c>
      <c r="J363" s="1815" t="e">
        <v>#N/A</v>
      </c>
      <c r="K363" s="3011" t="e">
        <v>#N/A</v>
      </c>
      <c r="L363" s="3011" t="e">
        <v>#N/A</v>
      </c>
      <c r="M363" s="3011" t="e">
        <v>#N/A</v>
      </c>
      <c r="N363" s="3011" t="e">
        <v>#N/A</v>
      </c>
      <c r="O363" s="3011" t="e">
        <v>#N/A</v>
      </c>
      <c r="P363" s="3012" t="e">
        <v>#N/A</v>
      </c>
    </row>
    <row r="364" spans="1:16">
      <c r="A364" s="483">
        <f t="shared" si="3"/>
        <v>2027.07</v>
      </c>
      <c r="B364" s="1230" t="e">
        <v>#N/A</v>
      </c>
      <c r="C364" s="3010" t="e">
        <v>#N/A</v>
      </c>
      <c r="D364" s="1703" t="e">
        <v>#N/A</v>
      </c>
      <c r="E364" s="1216" t="e">
        <v>#N/A</v>
      </c>
      <c r="F364" s="3011" t="e">
        <v>#N/A</v>
      </c>
      <c r="G364" s="3011" t="e">
        <v>#N/A</v>
      </c>
      <c r="H364" s="3011" t="e">
        <v>#N/A</v>
      </c>
      <c r="I364" s="3011" t="e">
        <v>#N/A</v>
      </c>
      <c r="J364" s="1815" t="e">
        <v>#N/A</v>
      </c>
      <c r="K364" s="3011" t="e">
        <v>#N/A</v>
      </c>
      <c r="L364" s="3011" t="e">
        <v>#N/A</v>
      </c>
      <c r="M364" s="3011" t="e">
        <v>#N/A</v>
      </c>
      <c r="N364" s="3011" t="e">
        <v>#N/A</v>
      </c>
      <c r="O364" s="3011" t="e">
        <v>#N/A</v>
      </c>
      <c r="P364" s="3012" t="e">
        <v>#N/A</v>
      </c>
    </row>
    <row r="365" spans="1:16">
      <c r="A365" s="483">
        <f t="shared" si="3"/>
        <v>2027.08</v>
      </c>
      <c r="B365" s="1230" t="e">
        <v>#N/A</v>
      </c>
      <c r="C365" s="3010" t="e">
        <v>#N/A</v>
      </c>
      <c r="D365" s="1703" t="e">
        <v>#N/A</v>
      </c>
      <c r="E365" s="1216" t="e">
        <v>#N/A</v>
      </c>
      <c r="F365" s="3011" t="e">
        <v>#N/A</v>
      </c>
      <c r="G365" s="3011" t="e">
        <v>#N/A</v>
      </c>
      <c r="H365" s="3011" t="e">
        <v>#N/A</v>
      </c>
      <c r="I365" s="3011" t="e">
        <v>#N/A</v>
      </c>
      <c r="J365" s="1815" t="e">
        <v>#N/A</v>
      </c>
      <c r="K365" s="3011" t="e">
        <v>#N/A</v>
      </c>
      <c r="L365" s="3011" t="e">
        <v>#N/A</v>
      </c>
      <c r="M365" s="3011" t="e">
        <v>#N/A</v>
      </c>
      <c r="N365" s="3011" t="e">
        <v>#N/A</v>
      </c>
      <c r="O365" s="3011" t="e">
        <v>#N/A</v>
      </c>
      <c r="P365" s="3012" t="e">
        <v>#N/A</v>
      </c>
    </row>
    <row r="366" spans="1:16">
      <c r="A366" s="483">
        <f t="shared" si="3"/>
        <v>2027.09</v>
      </c>
      <c r="B366" s="1230" t="e">
        <v>#N/A</v>
      </c>
      <c r="C366" s="3010" t="e">
        <v>#N/A</v>
      </c>
      <c r="D366" s="1703" t="e">
        <v>#N/A</v>
      </c>
      <c r="E366" s="1216" t="e">
        <v>#N/A</v>
      </c>
      <c r="F366" s="3011" t="e">
        <v>#N/A</v>
      </c>
      <c r="G366" s="3011" t="e">
        <v>#N/A</v>
      </c>
      <c r="H366" s="3011" t="e">
        <v>#N/A</v>
      </c>
      <c r="I366" s="3011" t="e">
        <v>#N/A</v>
      </c>
      <c r="J366" s="1815" t="e">
        <v>#N/A</v>
      </c>
      <c r="K366" s="3011" t="e">
        <v>#N/A</v>
      </c>
      <c r="L366" s="3011" t="e">
        <v>#N/A</v>
      </c>
      <c r="M366" s="3011" t="e">
        <v>#N/A</v>
      </c>
      <c r="N366" s="3011" t="e">
        <v>#N/A</v>
      </c>
      <c r="O366" s="3011" t="e">
        <v>#N/A</v>
      </c>
      <c r="P366" s="3012" t="e">
        <v>#N/A</v>
      </c>
    </row>
    <row r="367" spans="1:16">
      <c r="A367" s="483">
        <f t="shared" si="3"/>
        <v>2027.1</v>
      </c>
      <c r="B367" s="1230" t="e">
        <v>#N/A</v>
      </c>
      <c r="C367" s="3010" t="e">
        <v>#N/A</v>
      </c>
      <c r="D367" s="1703" t="e">
        <v>#N/A</v>
      </c>
      <c r="E367" s="1216" t="e">
        <v>#N/A</v>
      </c>
      <c r="F367" s="3011" t="e">
        <v>#N/A</v>
      </c>
      <c r="G367" s="3011" t="e">
        <v>#N/A</v>
      </c>
      <c r="H367" s="3011" t="e">
        <v>#N/A</v>
      </c>
      <c r="I367" s="3011" t="e">
        <v>#N/A</v>
      </c>
      <c r="J367" s="1815" t="e">
        <v>#N/A</v>
      </c>
      <c r="K367" s="3011" t="e">
        <v>#N/A</v>
      </c>
      <c r="L367" s="3011" t="e">
        <v>#N/A</v>
      </c>
      <c r="M367" s="3011" t="e">
        <v>#N/A</v>
      </c>
      <c r="N367" s="3011" t="e">
        <v>#N/A</v>
      </c>
      <c r="O367" s="3011" t="e">
        <v>#N/A</v>
      </c>
      <c r="P367" s="3012" t="e">
        <v>#N/A</v>
      </c>
    </row>
    <row r="368" spans="1:16">
      <c r="A368" s="483">
        <f t="shared" si="3"/>
        <v>2027.11</v>
      </c>
      <c r="B368" s="1230" t="e">
        <v>#N/A</v>
      </c>
      <c r="C368" s="3010" t="e">
        <v>#N/A</v>
      </c>
      <c r="D368" s="1703" t="e">
        <v>#N/A</v>
      </c>
      <c r="E368" s="1216" t="e">
        <v>#N/A</v>
      </c>
      <c r="F368" s="3011" t="e">
        <v>#N/A</v>
      </c>
      <c r="G368" s="3011" t="e">
        <v>#N/A</v>
      </c>
      <c r="H368" s="3011" t="e">
        <v>#N/A</v>
      </c>
      <c r="I368" s="3011" t="e">
        <v>#N/A</v>
      </c>
      <c r="J368" s="1815" t="e">
        <v>#N/A</v>
      </c>
      <c r="K368" s="3011" t="e">
        <v>#N/A</v>
      </c>
      <c r="L368" s="3011" t="e">
        <v>#N/A</v>
      </c>
      <c r="M368" s="3011" t="e">
        <v>#N/A</v>
      </c>
      <c r="N368" s="3011" t="e">
        <v>#N/A</v>
      </c>
      <c r="O368" s="3011" t="e">
        <v>#N/A</v>
      </c>
      <c r="P368" s="3012" t="e">
        <v>#N/A</v>
      </c>
    </row>
    <row r="369" spans="1:16">
      <c r="A369" s="483">
        <f t="shared" si="3"/>
        <v>2027.12</v>
      </c>
      <c r="B369" s="1230" t="e">
        <v>#N/A</v>
      </c>
      <c r="C369" s="3010" t="e">
        <v>#N/A</v>
      </c>
      <c r="D369" s="1703" t="e">
        <v>#N/A</v>
      </c>
      <c r="E369" s="1216" t="e">
        <v>#N/A</v>
      </c>
      <c r="F369" s="3011" t="e">
        <v>#N/A</v>
      </c>
      <c r="G369" s="3011" t="e">
        <v>#N/A</v>
      </c>
      <c r="H369" s="3011" t="e">
        <v>#N/A</v>
      </c>
      <c r="I369" s="3011" t="e">
        <v>#N/A</v>
      </c>
      <c r="J369" s="1815" t="e">
        <v>#N/A</v>
      </c>
      <c r="K369" s="3011" t="e">
        <v>#N/A</v>
      </c>
      <c r="L369" s="3011" t="e">
        <v>#N/A</v>
      </c>
      <c r="M369" s="3011" t="e">
        <v>#N/A</v>
      </c>
      <c r="N369" s="3011" t="e">
        <v>#N/A</v>
      </c>
      <c r="O369" s="3011" t="e">
        <v>#N/A</v>
      </c>
      <c r="P369" s="3012" t="e">
        <v>#N/A</v>
      </c>
    </row>
    <row r="370" spans="1:16">
      <c r="A370" s="483">
        <f t="shared" si="3"/>
        <v>2028.01</v>
      </c>
      <c r="B370" s="1230" t="e">
        <v>#N/A</v>
      </c>
      <c r="C370" s="3010" t="e">
        <v>#N/A</v>
      </c>
      <c r="D370" s="1703" t="e">
        <v>#N/A</v>
      </c>
      <c r="E370" s="1216" t="e">
        <v>#N/A</v>
      </c>
      <c r="F370" s="3011" t="e">
        <v>#N/A</v>
      </c>
      <c r="G370" s="3011" t="e">
        <v>#N/A</v>
      </c>
      <c r="H370" s="3011" t="e">
        <v>#N/A</v>
      </c>
      <c r="I370" s="3011" t="e">
        <v>#N/A</v>
      </c>
      <c r="J370" s="1815" t="e">
        <v>#N/A</v>
      </c>
      <c r="K370" s="3011" t="e">
        <v>#N/A</v>
      </c>
      <c r="L370" s="3011" t="e">
        <v>#N/A</v>
      </c>
      <c r="M370" s="3011" t="e">
        <v>#N/A</v>
      </c>
      <c r="N370" s="3011" t="e">
        <v>#N/A</v>
      </c>
      <c r="O370" s="3011" t="e">
        <v>#N/A</v>
      </c>
      <c r="P370" s="3012" t="e">
        <v>#N/A</v>
      </c>
    </row>
    <row r="371" spans="1:16">
      <c r="A371" s="483">
        <f t="shared" si="3"/>
        <v>2028.02</v>
      </c>
      <c r="B371" s="1230" t="e">
        <v>#N/A</v>
      </c>
      <c r="C371" s="3010" t="e">
        <v>#N/A</v>
      </c>
      <c r="D371" s="1703" t="e">
        <v>#N/A</v>
      </c>
      <c r="E371" s="1216" t="e">
        <v>#N/A</v>
      </c>
      <c r="F371" s="3011" t="e">
        <v>#N/A</v>
      </c>
      <c r="G371" s="3011" t="e">
        <v>#N/A</v>
      </c>
      <c r="H371" s="3011" t="e">
        <v>#N/A</v>
      </c>
      <c r="I371" s="3011" t="e">
        <v>#N/A</v>
      </c>
      <c r="J371" s="1815" t="e">
        <v>#N/A</v>
      </c>
      <c r="K371" s="3011" t="e">
        <v>#N/A</v>
      </c>
      <c r="L371" s="3011" t="e">
        <v>#N/A</v>
      </c>
      <c r="M371" s="3011" t="e">
        <v>#N/A</v>
      </c>
      <c r="N371" s="3011" t="e">
        <v>#N/A</v>
      </c>
      <c r="O371" s="3011" t="e">
        <v>#N/A</v>
      </c>
      <c r="P371" s="3012" t="e">
        <v>#N/A</v>
      </c>
    </row>
    <row r="372" spans="1:16">
      <c r="A372" s="483">
        <f t="shared" si="3"/>
        <v>2028.03</v>
      </c>
      <c r="B372" s="1230" t="e">
        <v>#N/A</v>
      </c>
      <c r="C372" s="3010" t="e">
        <v>#N/A</v>
      </c>
      <c r="D372" s="1703" t="e">
        <v>#N/A</v>
      </c>
      <c r="E372" s="1216" t="e">
        <v>#N/A</v>
      </c>
      <c r="F372" s="3011" t="e">
        <v>#N/A</v>
      </c>
      <c r="G372" s="3011" t="e">
        <v>#N/A</v>
      </c>
      <c r="H372" s="3011" t="e">
        <v>#N/A</v>
      </c>
      <c r="I372" s="3011" t="e">
        <v>#N/A</v>
      </c>
      <c r="J372" s="1815" t="e">
        <v>#N/A</v>
      </c>
      <c r="K372" s="3011" t="e">
        <v>#N/A</v>
      </c>
      <c r="L372" s="3011" t="e">
        <v>#N/A</v>
      </c>
      <c r="M372" s="3011" t="e">
        <v>#N/A</v>
      </c>
      <c r="N372" s="3011" t="e">
        <v>#N/A</v>
      </c>
      <c r="O372" s="3011" t="e">
        <v>#N/A</v>
      </c>
      <c r="P372" s="3012" t="e">
        <v>#N/A</v>
      </c>
    </row>
    <row r="373" spans="1:16">
      <c r="A373" s="483">
        <f t="shared" si="3"/>
        <v>2028.04</v>
      </c>
      <c r="B373" s="1230" t="e">
        <v>#N/A</v>
      </c>
      <c r="C373" s="3010" t="e">
        <v>#N/A</v>
      </c>
      <c r="D373" s="1703" t="e">
        <v>#N/A</v>
      </c>
      <c r="E373" s="1216" t="e">
        <v>#N/A</v>
      </c>
      <c r="F373" s="3011" t="e">
        <v>#N/A</v>
      </c>
      <c r="G373" s="3011" t="e">
        <v>#N/A</v>
      </c>
      <c r="H373" s="3011" t="e">
        <v>#N/A</v>
      </c>
      <c r="I373" s="3011" t="e">
        <v>#N/A</v>
      </c>
      <c r="J373" s="1815" t="e">
        <v>#N/A</v>
      </c>
      <c r="K373" s="3011" t="e">
        <v>#N/A</v>
      </c>
      <c r="L373" s="3011" t="e">
        <v>#N/A</v>
      </c>
      <c r="M373" s="3011" t="e">
        <v>#N/A</v>
      </c>
      <c r="N373" s="3011" t="e">
        <v>#N/A</v>
      </c>
      <c r="O373" s="3011" t="e">
        <v>#N/A</v>
      </c>
      <c r="P373" s="3012" t="e">
        <v>#N/A</v>
      </c>
    </row>
    <row r="374" spans="1:16">
      <c r="A374" s="483">
        <f t="shared" si="3"/>
        <v>2028.05</v>
      </c>
      <c r="B374" s="1230" t="e">
        <v>#N/A</v>
      </c>
      <c r="C374" s="3010" t="e">
        <v>#N/A</v>
      </c>
      <c r="D374" s="1703" t="e">
        <v>#N/A</v>
      </c>
      <c r="E374" s="1216" t="e">
        <v>#N/A</v>
      </c>
      <c r="F374" s="3011" t="e">
        <v>#N/A</v>
      </c>
      <c r="G374" s="3011" t="e">
        <v>#N/A</v>
      </c>
      <c r="H374" s="3011" t="e">
        <v>#N/A</v>
      </c>
      <c r="I374" s="3011" t="e">
        <v>#N/A</v>
      </c>
      <c r="J374" s="1815" t="e">
        <v>#N/A</v>
      </c>
      <c r="K374" s="3011" t="e">
        <v>#N/A</v>
      </c>
      <c r="L374" s="3011" t="e">
        <v>#N/A</v>
      </c>
      <c r="M374" s="3011" t="e">
        <v>#N/A</v>
      </c>
      <c r="N374" s="3011" t="e">
        <v>#N/A</v>
      </c>
      <c r="O374" s="3011" t="e">
        <v>#N/A</v>
      </c>
      <c r="P374" s="3012" t="e">
        <v>#N/A</v>
      </c>
    </row>
    <row r="375" spans="1:16">
      <c r="A375" s="483">
        <f t="shared" si="3"/>
        <v>2028.06</v>
      </c>
      <c r="B375" s="1230" t="e">
        <v>#N/A</v>
      </c>
      <c r="C375" s="3010" t="e">
        <v>#N/A</v>
      </c>
      <c r="D375" s="1703" t="e">
        <v>#N/A</v>
      </c>
      <c r="E375" s="1216" t="e">
        <v>#N/A</v>
      </c>
      <c r="F375" s="3011" t="e">
        <v>#N/A</v>
      </c>
      <c r="G375" s="3011" t="e">
        <v>#N/A</v>
      </c>
      <c r="H375" s="3011" t="e">
        <v>#N/A</v>
      </c>
      <c r="I375" s="3011" t="e">
        <v>#N/A</v>
      </c>
      <c r="J375" s="1815" t="e">
        <v>#N/A</v>
      </c>
      <c r="K375" s="3011" t="e">
        <v>#N/A</v>
      </c>
      <c r="L375" s="3011" t="e">
        <v>#N/A</v>
      </c>
      <c r="M375" s="3011" t="e">
        <v>#N/A</v>
      </c>
      <c r="N375" s="3011" t="e">
        <v>#N/A</v>
      </c>
      <c r="O375" s="3011" t="e">
        <v>#N/A</v>
      </c>
      <c r="P375" s="3012" t="e">
        <v>#N/A</v>
      </c>
    </row>
    <row r="376" spans="1:16">
      <c r="A376" s="483">
        <f t="shared" si="3"/>
        <v>2028.07</v>
      </c>
      <c r="B376" s="1230" t="e">
        <v>#N/A</v>
      </c>
      <c r="C376" s="3010" t="e">
        <v>#N/A</v>
      </c>
      <c r="D376" s="1703" t="e">
        <v>#N/A</v>
      </c>
      <c r="E376" s="1216" t="e">
        <v>#N/A</v>
      </c>
      <c r="F376" s="3011" t="e">
        <v>#N/A</v>
      </c>
      <c r="G376" s="3011" t="e">
        <v>#N/A</v>
      </c>
      <c r="H376" s="3011" t="e">
        <v>#N/A</v>
      </c>
      <c r="I376" s="3011" t="e">
        <v>#N/A</v>
      </c>
      <c r="J376" s="1815" t="e">
        <v>#N/A</v>
      </c>
      <c r="K376" s="3011" t="e">
        <v>#N/A</v>
      </c>
      <c r="L376" s="3011" t="e">
        <v>#N/A</v>
      </c>
      <c r="M376" s="3011" t="e">
        <v>#N/A</v>
      </c>
      <c r="N376" s="3011" t="e">
        <v>#N/A</v>
      </c>
      <c r="O376" s="3011" t="e">
        <v>#N/A</v>
      </c>
      <c r="P376" s="3012" t="e">
        <v>#N/A</v>
      </c>
    </row>
    <row r="377" spans="1:16">
      <c r="A377" s="483">
        <f t="shared" si="3"/>
        <v>2028.08</v>
      </c>
      <c r="B377" s="1230" t="e">
        <v>#N/A</v>
      </c>
      <c r="C377" s="3010" t="e">
        <v>#N/A</v>
      </c>
      <c r="D377" s="1703" t="e">
        <v>#N/A</v>
      </c>
      <c r="E377" s="1216" t="e">
        <v>#N/A</v>
      </c>
      <c r="F377" s="3011" t="e">
        <v>#N/A</v>
      </c>
      <c r="G377" s="3011" t="e">
        <v>#N/A</v>
      </c>
      <c r="H377" s="3011" t="e">
        <v>#N/A</v>
      </c>
      <c r="I377" s="3011" t="e">
        <v>#N/A</v>
      </c>
      <c r="J377" s="1815" t="e">
        <v>#N/A</v>
      </c>
      <c r="K377" s="3011" t="e">
        <v>#N/A</v>
      </c>
      <c r="L377" s="3011" t="e">
        <v>#N/A</v>
      </c>
      <c r="M377" s="3011" t="e">
        <v>#N/A</v>
      </c>
      <c r="N377" s="3011" t="e">
        <v>#N/A</v>
      </c>
      <c r="O377" s="3011" t="e">
        <v>#N/A</v>
      </c>
      <c r="P377" s="3012" t="e">
        <v>#N/A</v>
      </c>
    </row>
    <row r="378" spans="1:16">
      <c r="A378" s="483">
        <f t="shared" si="3"/>
        <v>2028.09</v>
      </c>
      <c r="B378" s="1230" t="e">
        <v>#N/A</v>
      </c>
      <c r="C378" s="3010" t="e">
        <v>#N/A</v>
      </c>
      <c r="D378" s="1703" t="e">
        <v>#N/A</v>
      </c>
      <c r="E378" s="1216" t="e">
        <v>#N/A</v>
      </c>
      <c r="F378" s="3011" t="e">
        <v>#N/A</v>
      </c>
      <c r="G378" s="3011" t="e">
        <v>#N/A</v>
      </c>
      <c r="H378" s="3011" t="e">
        <v>#N/A</v>
      </c>
      <c r="I378" s="3011" t="e">
        <v>#N/A</v>
      </c>
      <c r="J378" s="1815" t="e">
        <v>#N/A</v>
      </c>
      <c r="K378" s="3011" t="e">
        <v>#N/A</v>
      </c>
      <c r="L378" s="3011" t="e">
        <v>#N/A</v>
      </c>
      <c r="M378" s="3011" t="e">
        <v>#N/A</v>
      </c>
      <c r="N378" s="3011" t="e">
        <v>#N/A</v>
      </c>
      <c r="O378" s="3011" t="e">
        <v>#N/A</v>
      </c>
      <c r="P378" s="3012" t="e">
        <v>#N/A</v>
      </c>
    </row>
    <row r="379" spans="1:16">
      <c r="A379" s="483">
        <f t="shared" si="3"/>
        <v>2028.1</v>
      </c>
      <c r="B379" s="1230" t="e">
        <v>#N/A</v>
      </c>
      <c r="C379" s="3010" t="e">
        <v>#N/A</v>
      </c>
      <c r="D379" s="1703" t="e">
        <v>#N/A</v>
      </c>
      <c r="E379" s="1216" t="e">
        <v>#N/A</v>
      </c>
      <c r="F379" s="3011" t="e">
        <v>#N/A</v>
      </c>
      <c r="G379" s="3011" t="e">
        <v>#N/A</v>
      </c>
      <c r="H379" s="3011" t="e">
        <v>#N/A</v>
      </c>
      <c r="I379" s="3011" t="e">
        <v>#N/A</v>
      </c>
      <c r="J379" s="1815" t="e">
        <v>#N/A</v>
      </c>
      <c r="K379" s="3011" t="e">
        <v>#N/A</v>
      </c>
      <c r="L379" s="3011" t="e">
        <v>#N/A</v>
      </c>
      <c r="M379" s="3011" t="e">
        <v>#N/A</v>
      </c>
      <c r="N379" s="3011" t="e">
        <v>#N/A</v>
      </c>
      <c r="O379" s="3011" t="e">
        <v>#N/A</v>
      </c>
      <c r="P379" s="3012" t="e">
        <v>#N/A</v>
      </c>
    </row>
    <row r="380" spans="1:16">
      <c r="A380" s="483">
        <f t="shared" si="3"/>
        <v>2028.11</v>
      </c>
      <c r="B380" s="1230" t="e">
        <v>#N/A</v>
      </c>
      <c r="C380" s="3010" t="e">
        <v>#N/A</v>
      </c>
      <c r="D380" s="1703" t="e">
        <v>#N/A</v>
      </c>
      <c r="E380" s="1216" t="e">
        <v>#N/A</v>
      </c>
      <c r="F380" s="3011" t="e">
        <v>#N/A</v>
      </c>
      <c r="G380" s="3011" t="e">
        <v>#N/A</v>
      </c>
      <c r="H380" s="3011" t="e">
        <v>#N/A</v>
      </c>
      <c r="I380" s="3011" t="e">
        <v>#N/A</v>
      </c>
      <c r="J380" s="1815" t="e">
        <v>#N/A</v>
      </c>
      <c r="K380" s="3011" t="e">
        <v>#N/A</v>
      </c>
      <c r="L380" s="3011" t="e">
        <v>#N/A</v>
      </c>
      <c r="M380" s="3011" t="e">
        <v>#N/A</v>
      </c>
      <c r="N380" s="3011" t="e">
        <v>#N/A</v>
      </c>
      <c r="O380" s="3011" t="e">
        <v>#N/A</v>
      </c>
      <c r="P380" s="3012" t="e">
        <v>#N/A</v>
      </c>
    </row>
    <row r="381" spans="1:16">
      <c r="A381" s="483">
        <f t="shared" si="3"/>
        <v>2028.12</v>
      </c>
      <c r="B381" s="1230" t="e">
        <v>#N/A</v>
      </c>
      <c r="C381" s="3010" t="e">
        <v>#N/A</v>
      </c>
      <c r="D381" s="1703" t="e">
        <v>#N/A</v>
      </c>
      <c r="E381" s="1216" t="e">
        <v>#N/A</v>
      </c>
      <c r="F381" s="3011" t="e">
        <v>#N/A</v>
      </c>
      <c r="G381" s="3011" t="e">
        <v>#N/A</v>
      </c>
      <c r="H381" s="3011" t="e">
        <v>#N/A</v>
      </c>
      <c r="I381" s="3011" t="e">
        <v>#N/A</v>
      </c>
      <c r="J381" s="1815" t="e">
        <v>#N/A</v>
      </c>
      <c r="K381" s="3011" t="e">
        <v>#N/A</v>
      </c>
      <c r="L381" s="3011" t="e">
        <v>#N/A</v>
      </c>
      <c r="M381" s="3011" t="e">
        <v>#N/A</v>
      </c>
      <c r="N381" s="3011" t="e">
        <v>#N/A</v>
      </c>
      <c r="O381" s="3011" t="e">
        <v>#N/A</v>
      </c>
      <c r="P381" s="3012" t="e">
        <v>#N/A</v>
      </c>
    </row>
    <row r="382" spans="1:16">
      <c r="A382" s="483">
        <f t="shared" si="3"/>
        <v>2029.01</v>
      </c>
      <c r="B382" s="1230" t="e">
        <v>#N/A</v>
      </c>
      <c r="C382" s="3010" t="e">
        <v>#N/A</v>
      </c>
      <c r="D382" s="1703" t="e">
        <v>#N/A</v>
      </c>
      <c r="E382" s="1216" t="e">
        <v>#N/A</v>
      </c>
      <c r="F382" s="3011" t="e">
        <v>#N/A</v>
      </c>
      <c r="G382" s="3011" t="e">
        <v>#N/A</v>
      </c>
      <c r="H382" s="3011" t="e">
        <v>#N/A</v>
      </c>
      <c r="I382" s="3011" t="e">
        <v>#N/A</v>
      </c>
      <c r="J382" s="1815" t="e">
        <v>#N/A</v>
      </c>
      <c r="K382" s="3011" t="e">
        <v>#N/A</v>
      </c>
      <c r="L382" s="3011" t="e">
        <v>#N/A</v>
      </c>
      <c r="M382" s="3011" t="e">
        <v>#N/A</v>
      </c>
      <c r="N382" s="3011" t="e">
        <v>#N/A</v>
      </c>
      <c r="O382" s="3011" t="e">
        <v>#N/A</v>
      </c>
      <c r="P382" s="3012" t="e">
        <v>#N/A</v>
      </c>
    </row>
    <row r="383" spans="1:16">
      <c r="A383" s="483">
        <f t="shared" si="3"/>
        <v>2029.02</v>
      </c>
      <c r="B383" s="1230" t="e">
        <v>#N/A</v>
      </c>
      <c r="C383" s="3010" t="e">
        <v>#N/A</v>
      </c>
      <c r="D383" s="1703" t="e">
        <v>#N/A</v>
      </c>
      <c r="E383" s="1216" t="e">
        <v>#N/A</v>
      </c>
      <c r="F383" s="3011" t="e">
        <v>#N/A</v>
      </c>
      <c r="G383" s="3011" t="e">
        <v>#N/A</v>
      </c>
      <c r="H383" s="3011" t="e">
        <v>#N/A</v>
      </c>
      <c r="I383" s="3011" t="e">
        <v>#N/A</v>
      </c>
      <c r="J383" s="1815" t="e">
        <v>#N/A</v>
      </c>
      <c r="K383" s="3011" t="e">
        <v>#N/A</v>
      </c>
      <c r="L383" s="3011" t="e">
        <v>#N/A</v>
      </c>
      <c r="M383" s="3011" t="e">
        <v>#N/A</v>
      </c>
      <c r="N383" s="3011" t="e">
        <v>#N/A</v>
      </c>
      <c r="O383" s="3011" t="e">
        <v>#N/A</v>
      </c>
      <c r="P383" s="3012" t="e">
        <v>#N/A</v>
      </c>
    </row>
    <row r="384" spans="1:16">
      <c r="A384" s="483">
        <f t="shared" si="3"/>
        <v>2029.03</v>
      </c>
      <c r="B384" s="1230" t="e">
        <v>#N/A</v>
      </c>
      <c r="C384" s="3010" t="e">
        <v>#N/A</v>
      </c>
      <c r="D384" s="1703" t="e">
        <v>#N/A</v>
      </c>
      <c r="E384" s="1216" t="e">
        <v>#N/A</v>
      </c>
      <c r="F384" s="3011" t="e">
        <v>#N/A</v>
      </c>
      <c r="G384" s="3011" t="e">
        <v>#N/A</v>
      </c>
      <c r="H384" s="3011" t="e">
        <v>#N/A</v>
      </c>
      <c r="I384" s="3011" t="e">
        <v>#N/A</v>
      </c>
      <c r="J384" s="1815" t="e">
        <v>#N/A</v>
      </c>
      <c r="K384" s="3011" t="e">
        <v>#N/A</v>
      </c>
      <c r="L384" s="3011" t="e">
        <v>#N/A</v>
      </c>
      <c r="M384" s="3011" t="e">
        <v>#N/A</v>
      </c>
      <c r="N384" s="3011" t="e">
        <v>#N/A</v>
      </c>
      <c r="O384" s="3011" t="e">
        <v>#N/A</v>
      </c>
      <c r="P384" s="3012" t="e">
        <v>#N/A</v>
      </c>
    </row>
    <row r="385" spans="1:16">
      <c r="A385" s="483">
        <f t="shared" si="3"/>
        <v>2029.04</v>
      </c>
      <c r="B385" s="1230" t="e">
        <v>#N/A</v>
      </c>
      <c r="C385" s="3010" t="e">
        <v>#N/A</v>
      </c>
      <c r="D385" s="1703" t="e">
        <v>#N/A</v>
      </c>
      <c r="E385" s="1216" t="e">
        <v>#N/A</v>
      </c>
      <c r="F385" s="3011" t="e">
        <v>#N/A</v>
      </c>
      <c r="G385" s="3011" t="e">
        <v>#N/A</v>
      </c>
      <c r="H385" s="3011" t="e">
        <v>#N/A</v>
      </c>
      <c r="I385" s="3011" t="e">
        <v>#N/A</v>
      </c>
      <c r="J385" s="1815" t="e">
        <v>#N/A</v>
      </c>
      <c r="K385" s="3011" t="e">
        <v>#N/A</v>
      </c>
      <c r="L385" s="3011" t="e">
        <v>#N/A</v>
      </c>
      <c r="M385" s="3011" t="e">
        <v>#N/A</v>
      </c>
      <c r="N385" s="3011" t="e">
        <v>#N/A</v>
      </c>
      <c r="O385" s="3011" t="e">
        <v>#N/A</v>
      </c>
      <c r="P385" s="3012" t="e">
        <v>#N/A</v>
      </c>
    </row>
    <row r="386" spans="1:16">
      <c r="A386" s="483">
        <f t="shared" ref="A386:A405" si="4">A374+1</f>
        <v>2029.05</v>
      </c>
      <c r="B386" s="1230" t="e">
        <v>#N/A</v>
      </c>
      <c r="C386" s="3010" t="e">
        <v>#N/A</v>
      </c>
      <c r="D386" s="1703" t="e">
        <v>#N/A</v>
      </c>
      <c r="E386" s="1216" t="e">
        <v>#N/A</v>
      </c>
      <c r="F386" s="3011" t="e">
        <v>#N/A</v>
      </c>
      <c r="G386" s="3011" t="e">
        <v>#N/A</v>
      </c>
      <c r="H386" s="3011" t="e">
        <v>#N/A</v>
      </c>
      <c r="I386" s="3011" t="e">
        <v>#N/A</v>
      </c>
      <c r="J386" s="1815" t="e">
        <v>#N/A</v>
      </c>
      <c r="K386" s="3011" t="e">
        <v>#N/A</v>
      </c>
      <c r="L386" s="3011" t="e">
        <v>#N/A</v>
      </c>
      <c r="M386" s="3011" t="e">
        <v>#N/A</v>
      </c>
      <c r="N386" s="3011" t="e">
        <v>#N/A</v>
      </c>
      <c r="O386" s="3011" t="e">
        <v>#N/A</v>
      </c>
      <c r="P386" s="3012" t="e">
        <v>#N/A</v>
      </c>
    </row>
    <row r="387" spans="1:16">
      <c r="A387" s="483">
        <f t="shared" si="4"/>
        <v>2029.06</v>
      </c>
      <c r="B387" s="1230" t="e">
        <v>#N/A</v>
      </c>
      <c r="C387" s="3010" t="e">
        <v>#N/A</v>
      </c>
      <c r="D387" s="1703" t="e">
        <v>#N/A</v>
      </c>
      <c r="E387" s="1216" t="e">
        <v>#N/A</v>
      </c>
      <c r="F387" s="3011" t="e">
        <v>#N/A</v>
      </c>
      <c r="G387" s="3011" t="e">
        <v>#N/A</v>
      </c>
      <c r="H387" s="3011" t="e">
        <v>#N/A</v>
      </c>
      <c r="I387" s="3011" t="e">
        <v>#N/A</v>
      </c>
      <c r="J387" s="1815" t="e">
        <v>#N/A</v>
      </c>
      <c r="K387" s="3011" t="e">
        <v>#N/A</v>
      </c>
      <c r="L387" s="3011" t="e">
        <v>#N/A</v>
      </c>
      <c r="M387" s="3011" t="e">
        <v>#N/A</v>
      </c>
      <c r="N387" s="3011" t="e">
        <v>#N/A</v>
      </c>
      <c r="O387" s="3011" t="e">
        <v>#N/A</v>
      </c>
      <c r="P387" s="3012" t="e">
        <v>#N/A</v>
      </c>
    </row>
    <row r="388" spans="1:16">
      <c r="A388" s="483">
        <f t="shared" si="4"/>
        <v>2029.07</v>
      </c>
      <c r="B388" s="1230" t="e">
        <v>#N/A</v>
      </c>
      <c r="C388" s="3010" t="e">
        <v>#N/A</v>
      </c>
      <c r="D388" s="1703" t="e">
        <v>#N/A</v>
      </c>
      <c r="E388" s="1216" t="e">
        <v>#N/A</v>
      </c>
      <c r="F388" s="3011" t="e">
        <v>#N/A</v>
      </c>
      <c r="G388" s="3011" t="e">
        <v>#N/A</v>
      </c>
      <c r="H388" s="3011" t="e">
        <v>#N/A</v>
      </c>
      <c r="I388" s="3011" t="e">
        <v>#N/A</v>
      </c>
      <c r="J388" s="1815" t="e">
        <v>#N/A</v>
      </c>
      <c r="K388" s="3011" t="e">
        <v>#N/A</v>
      </c>
      <c r="L388" s="3011" t="e">
        <v>#N/A</v>
      </c>
      <c r="M388" s="3011" t="e">
        <v>#N/A</v>
      </c>
      <c r="N388" s="3011" t="e">
        <v>#N/A</v>
      </c>
      <c r="O388" s="3011" t="e">
        <v>#N/A</v>
      </c>
      <c r="P388" s="3012" t="e">
        <v>#N/A</v>
      </c>
    </row>
    <row r="389" spans="1:16">
      <c r="A389" s="483">
        <f t="shared" si="4"/>
        <v>2029.08</v>
      </c>
      <c r="B389" s="1230" t="e">
        <v>#N/A</v>
      </c>
      <c r="C389" s="3010" t="e">
        <v>#N/A</v>
      </c>
      <c r="D389" s="1703" t="e">
        <v>#N/A</v>
      </c>
      <c r="E389" s="1216" t="e">
        <v>#N/A</v>
      </c>
      <c r="F389" s="3011" t="e">
        <v>#N/A</v>
      </c>
      <c r="G389" s="3011" t="e">
        <v>#N/A</v>
      </c>
      <c r="H389" s="3011" t="e">
        <v>#N/A</v>
      </c>
      <c r="I389" s="3011" t="e">
        <v>#N/A</v>
      </c>
      <c r="J389" s="1815" t="e">
        <v>#N/A</v>
      </c>
      <c r="K389" s="3011" t="e">
        <v>#N/A</v>
      </c>
      <c r="L389" s="3011" t="e">
        <v>#N/A</v>
      </c>
      <c r="M389" s="3011" t="e">
        <v>#N/A</v>
      </c>
      <c r="N389" s="3011" t="e">
        <v>#N/A</v>
      </c>
      <c r="O389" s="3011" t="e">
        <v>#N/A</v>
      </c>
      <c r="P389" s="3012" t="e">
        <v>#N/A</v>
      </c>
    </row>
    <row r="390" spans="1:16">
      <c r="A390" s="483">
        <f t="shared" si="4"/>
        <v>2029.09</v>
      </c>
      <c r="B390" s="1230" t="e">
        <v>#N/A</v>
      </c>
      <c r="C390" s="3010" t="e">
        <v>#N/A</v>
      </c>
      <c r="D390" s="1703" t="e">
        <v>#N/A</v>
      </c>
      <c r="E390" s="1216" t="e">
        <v>#N/A</v>
      </c>
      <c r="F390" s="3011" t="e">
        <v>#N/A</v>
      </c>
      <c r="G390" s="3011" t="e">
        <v>#N/A</v>
      </c>
      <c r="H390" s="3011" t="e">
        <v>#N/A</v>
      </c>
      <c r="I390" s="3011" t="e">
        <v>#N/A</v>
      </c>
      <c r="J390" s="1815" t="e">
        <v>#N/A</v>
      </c>
      <c r="K390" s="3011" t="e">
        <v>#N/A</v>
      </c>
      <c r="L390" s="3011" t="e">
        <v>#N/A</v>
      </c>
      <c r="M390" s="3011" t="e">
        <v>#N/A</v>
      </c>
      <c r="N390" s="3011" t="e">
        <v>#N/A</v>
      </c>
      <c r="O390" s="3011" t="e">
        <v>#N/A</v>
      </c>
      <c r="P390" s="3012" t="e">
        <v>#N/A</v>
      </c>
    </row>
    <row r="391" spans="1:16">
      <c r="A391" s="483">
        <f t="shared" si="4"/>
        <v>2029.1</v>
      </c>
      <c r="B391" s="1230" t="e">
        <v>#N/A</v>
      </c>
      <c r="C391" s="3010" t="e">
        <v>#N/A</v>
      </c>
      <c r="D391" s="1703" t="e">
        <v>#N/A</v>
      </c>
      <c r="E391" s="1216" t="e">
        <v>#N/A</v>
      </c>
      <c r="F391" s="3011" t="e">
        <v>#N/A</v>
      </c>
      <c r="G391" s="3011" t="e">
        <v>#N/A</v>
      </c>
      <c r="H391" s="3011" t="e">
        <v>#N/A</v>
      </c>
      <c r="I391" s="3011" t="e">
        <v>#N/A</v>
      </c>
      <c r="J391" s="1815" t="e">
        <v>#N/A</v>
      </c>
      <c r="K391" s="3011" t="e">
        <v>#N/A</v>
      </c>
      <c r="L391" s="3011" t="e">
        <v>#N/A</v>
      </c>
      <c r="M391" s="3011" t="e">
        <v>#N/A</v>
      </c>
      <c r="N391" s="3011" t="e">
        <v>#N/A</v>
      </c>
      <c r="O391" s="3011" t="e">
        <v>#N/A</v>
      </c>
      <c r="P391" s="3012" t="e">
        <v>#N/A</v>
      </c>
    </row>
    <row r="392" spans="1:16">
      <c r="A392" s="483">
        <f t="shared" si="4"/>
        <v>2029.11</v>
      </c>
      <c r="B392" s="1230" t="e">
        <v>#N/A</v>
      </c>
      <c r="C392" s="3010" t="e">
        <v>#N/A</v>
      </c>
      <c r="D392" s="1703" t="e">
        <v>#N/A</v>
      </c>
      <c r="E392" s="1216" t="e">
        <v>#N/A</v>
      </c>
      <c r="F392" s="3011" t="e">
        <v>#N/A</v>
      </c>
      <c r="G392" s="3011" t="e">
        <v>#N/A</v>
      </c>
      <c r="H392" s="3011" t="e">
        <v>#N/A</v>
      </c>
      <c r="I392" s="3011" t="e">
        <v>#N/A</v>
      </c>
      <c r="J392" s="1815" t="e">
        <v>#N/A</v>
      </c>
      <c r="K392" s="3011" t="e">
        <v>#N/A</v>
      </c>
      <c r="L392" s="3011" t="e">
        <v>#N/A</v>
      </c>
      <c r="M392" s="3011" t="e">
        <v>#N/A</v>
      </c>
      <c r="N392" s="3011" t="e">
        <v>#N/A</v>
      </c>
      <c r="O392" s="3011" t="e">
        <v>#N/A</v>
      </c>
      <c r="P392" s="3012" t="e">
        <v>#N/A</v>
      </c>
    </row>
    <row r="393" spans="1:16">
      <c r="A393" s="483">
        <f t="shared" si="4"/>
        <v>2029.12</v>
      </c>
      <c r="B393" s="1230" t="e">
        <v>#N/A</v>
      </c>
      <c r="C393" s="3010" t="e">
        <v>#N/A</v>
      </c>
      <c r="D393" s="1703" t="e">
        <v>#N/A</v>
      </c>
      <c r="E393" s="1216" t="e">
        <v>#N/A</v>
      </c>
      <c r="F393" s="3011" t="e">
        <v>#N/A</v>
      </c>
      <c r="G393" s="3011" t="e">
        <v>#N/A</v>
      </c>
      <c r="H393" s="3011" t="e">
        <v>#N/A</v>
      </c>
      <c r="I393" s="3011" t="e">
        <v>#N/A</v>
      </c>
      <c r="J393" s="1815" t="e">
        <v>#N/A</v>
      </c>
      <c r="K393" s="3011" t="e">
        <v>#N/A</v>
      </c>
      <c r="L393" s="3011" t="e">
        <v>#N/A</v>
      </c>
      <c r="M393" s="3011" t="e">
        <v>#N/A</v>
      </c>
      <c r="N393" s="3011" t="e">
        <v>#N/A</v>
      </c>
      <c r="O393" s="3011" t="e">
        <v>#N/A</v>
      </c>
      <c r="P393" s="3012" t="e">
        <v>#N/A</v>
      </c>
    </row>
    <row r="394" spans="1:16">
      <c r="A394" s="483">
        <f t="shared" si="4"/>
        <v>2030.01</v>
      </c>
      <c r="B394" s="1230" t="e">
        <v>#N/A</v>
      </c>
      <c r="C394" s="3010" t="e">
        <v>#N/A</v>
      </c>
      <c r="D394" s="1703" t="e">
        <v>#N/A</v>
      </c>
      <c r="E394" s="1216" t="e">
        <v>#N/A</v>
      </c>
      <c r="F394" s="3011" t="e">
        <v>#N/A</v>
      </c>
      <c r="G394" s="3011" t="e">
        <v>#N/A</v>
      </c>
      <c r="H394" s="3011" t="e">
        <v>#N/A</v>
      </c>
      <c r="I394" s="3011" t="e">
        <v>#N/A</v>
      </c>
      <c r="J394" s="1815" t="e">
        <v>#N/A</v>
      </c>
      <c r="K394" s="3011" t="e">
        <v>#N/A</v>
      </c>
      <c r="L394" s="3011" t="e">
        <v>#N/A</v>
      </c>
      <c r="M394" s="3011" t="e">
        <v>#N/A</v>
      </c>
      <c r="N394" s="3011" t="e">
        <v>#N/A</v>
      </c>
      <c r="O394" s="3011" t="e">
        <v>#N/A</v>
      </c>
      <c r="P394" s="3012" t="e">
        <v>#N/A</v>
      </c>
    </row>
    <row r="395" spans="1:16">
      <c r="A395" s="483">
        <f t="shared" si="4"/>
        <v>2030.02</v>
      </c>
      <c r="B395" s="1230" t="e">
        <v>#N/A</v>
      </c>
      <c r="C395" s="3010" t="e">
        <v>#N/A</v>
      </c>
      <c r="D395" s="1703" t="e">
        <v>#N/A</v>
      </c>
      <c r="E395" s="1216" t="e">
        <v>#N/A</v>
      </c>
      <c r="F395" s="3011" t="e">
        <v>#N/A</v>
      </c>
      <c r="G395" s="3011" t="e">
        <v>#N/A</v>
      </c>
      <c r="H395" s="3011" t="e">
        <v>#N/A</v>
      </c>
      <c r="I395" s="3011" t="e">
        <v>#N/A</v>
      </c>
      <c r="J395" s="1815" t="e">
        <v>#N/A</v>
      </c>
      <c r="K395" s="3011" t="e">
        <v>#N/A</v>
      </c>
      <c r="L395" s="3011" t="e">
        <v>#N/A</v>
      </c>
      <c r="M395" s="3011" t="e">
        <v>#N/A</v>
      </c>
      <c r="N395" s="3011" t="e">
        <v>#N/A</v>
      </c>
      <c r="O395" s="3011" t="e">
        <v>#N/A</v>
      </c>
      <c r="P395" s="3012" t="e">
        <v>#N/A</v>
      </c>
    </row>
    <row r="396" spans="1:16">
      <c r="A396" s="483">
        <f t="shared" si="4"/>
        <v>2030.03</v>
      </c>
      <c r="B396" s="1230" t="e">
        <v>#N/A</v>
      </c>
      <c r="C396" s="3010" t="e">
        <v>#N/A</v>
      </c>
      <c r="D396" s="1703" t="e">
        <v>#N/A</v>
      </c>
      <c r="E396" s="1216" t="e">
        <v>#N/A</v>
      </c>
      <c r="F396" s="3011" t="e">
        <v>#N/A</v>
      </c>
      <c r="G396" s="3011" t="e">
        <v>#N/A</v>
      </c>
      <c r="H396" s="3011" t="e">
        <v>#N/A</v>
      </c>
      <c r="I396" s="3011" t="e">
        <v>#N/A</v>
      </c>
      <c r="J396" s="1815" t="e">
        <v>#N/A</v>
      </c>
      <c r="K396" s="3011" t="e">
        <v>#N/A</v>
      </c>
      <c r="L396" s="3011" t="e">
        <v>#N/A</v>
      </c>
      <c r="M396" s="3011" t="e">
        <v>#N/A</v>
      </c>
      <c r="N396" s="3011" t="e">
        <v>#N/A</v>
      </c>
      <c r="O396" s="3011" t="e">
        <v>#N/A</v>
      </c>
      <c r="P396" s="3012" t="e">
        <v>#N/A</v>
      </c>
    </row>
    <row r="397" spans="1:16">
      <c r="A397" s="483">
        <f t="shared" si="4"/>
        <v>2030.04</v>
      </c>
      <c r="B397" s="1230" t="e">
        <v>#N/A</v>
      </c>
      <c r="C397" s="3010" t="e">
        <v>#N/A</v>
      </c>
      <c r="D397" s="1703" t="e">
        <v>#N/A</v>
      </c>
      <c r="E397" s="1216" t="e">
        <v>#N/A</v>
      </c>
      <c r="F397" s="3011" t="e">
        <v>#N/A</v>
      </c>
      <c r="G397" s="3011" t="e">
        <v>#N/A</v>
      </c>
      <c r="H397" s="3011" t="e">
        <v>#N/A</v>
      </c>
      <c r="I397" s="3011" t="e">
        <v>#N/A</v>
      </c>
      <c r="J397" s="1815" t="e">
        <v>#N/A</v>
      </c>
      <c r="K397" s="3011" t="e">
        <v>#N/A</v>
      </c>
      <c r="L397" s="3011" t="e">
        <v>#N/A</v>
      </c>
      <c r="M397" s="3011" t="e">
        <v>#N/A</v>
      </c>
      <c r="N397" s="3011" t="e">
        <v>#N/A</v>
      </c>
      <c r="O397" s="3011" t="e">
        <v>#N/A</v>
      </c>
      <c r="P397" s="3012" t="e">
        <v>#N/A</v>
      </c>
    </row>
    <row r="398" spans="1:16">
      <c r="A398" s="483">
        <f t="shared" si="4"/>
        <v>2030.05</v>
      </c>
      <c r="B398" s="1230" t="e">
        <v>#N/A</v>
      </c>
      <c r="C398" s="3010" t="e">
        <v>#N/A</v>
      </c>
      <c r="D398" s="1703" t="e">
        <v>#N/A</v>
      </c>
      <c r="E398" s="1216" t="e">
        <v>#N/A</v>
      </c>
      <c r="F398" s="3011" t="e">
        <v>#N/A</v>
      </c>
      <c r="G398" s="3011" t="e">
        <v>#N/A</v>
      </c>
      <c r="H398" s="3011" t="e">
        <v>#N/A</v>
      </c>
      <c r="I398" s="3011" t="e">
        <v>#N/A</v>
      </c>
      <c r="J398" s="1815" t="e">
        <v>#N/A</v>
      </c>
      <c r="K398" s="3011" t="e">
        <v>#N/A</v>
      </c>
      <c r="L398" s="3011" t="e">
        <v>#N/A</v>
      </c>
      <c r="M398" s="3011" t="e">
        <v>#N/A</v>
      </c>
      <c r="N398" s="3011" t="e">
        <v>#N/A</v>
      </c>
      <c r="O398" s="3011" t="e">
        <v>#N/A</v>
      </c>
      <c r="P398" s="3012" t="e">
        <v>#N/A</v>
      </c>
    </row>
    <row r="399" spans="1:16">
      <c r="A399" s="483">
        <f t="shared" si="4"/>
        <v>2030.06</v>
      </c>
      <c r="B399" s="1230" t="e">
        <v>#N/A</v>
      </c>
      <c r="C399" s="3010" t="e">
        <v>#N/A</v>
      </c>
      <c r="D399" s="1703" t="e">
        <v>#N/A</v>
      </c>
      <c r="E399" s="1216" t="e">
        <v>#N/A</v>
      </c>
      <c r="F399" s="3011" t="e">
        <v>#N/A</v>
      </c>
      <c r="G399" s="3011" t="e">
        <v>#N/A</v>
      </c>
      <c r="H399" s="3011" t="e">
        <v>#N/A</v>
      </c>
      <c r="I399" s="3011" t="e">
        <v>#N/A</v>
      </c>
      <c r="J399" s="1815" t="e">
        <v>#N/A</v>
      </c>
      <c r="K399" s="3011" t="e">
        <v>#N/A</v>
      </c>
      <c r="L399" s="3011" t="e">
        <v>#N/A</v>
      </c>
      <c r="M399" s="3011" t="e">
        <v>#N/A</v>
      </c>
      <c r="N399" s="3011" t="e">
        <v>#N/A</v>
      </c>
      <c r="O399" s="3011" t="e">
        <v>#N/A</v>
      </c>
      <c r="P399" s="3012" t="e">
        <v>#N/A</v>
      </c>
    </row>
    <row r="400" spans="1:16">
      <c r="A400" s="483">
        <f t="shared" si="4"/>
        <v>2030.07</v>
      </c>
      <c r="B400" s="1230" t="e">
        <v>#N/A</v>
      </c>
      <c r="C400" s="3010" t="e">
        <v>#N/A</v>
      </c>
      <c r="D400" s="1703" t="e">
        <v>#N/A</v>
      </c>
      <c r="E400" s="1216" t="e">
        <v>#N/A</v>
      </c>
      <c r="F400" s="3011" t="e">
        <v>#N/A</v>
      </c>
      <c r="G400" s="3011" t="e">
        <v>#N/A</v>
      </c>
      <c r="H400" s="3011" t="e">
        <v>#N/A</v>
      </c>
      <c r="I400" s="3011" t="e">
        <v>#N/A</v>
      </c>
      <c r="J400" s="1815" t="e">
        <v>#N/A</v>
      </c>
      <c r="K400" s="3011" t="e">
        <v>#N/A</v>
      </c>
      <c r="L400" s="3011" t="e">
        <v>#N/A</v>
      </c>
      <c r="M400" s="3011" t="e">
        <v>#N/A</v>
      </c>
      <c r="N400" s="3011" t="e">
        <v>#N/A</v>
      </c>
      <c r="O400" s="3011" t="e">
        <v>#N/A</v>
      </c>
      <c r="P400" s="3012" t="e">
        <v>#N/A</v>
      </c>
    </row>
    <row r="401" spans="1:16">
      <c r="A401" s="483">
        <f t="shared" si="4"/>
        <v>2030.08</v>
      </c>
      <c r="B401" s="1230" t="e">
        <v>#N/A</v>
      </c>
      <c r="C401" s="3010" t="e">
        <v>#N/A</v>
      </c>
      <c r="D401" s="1703" t="e">
        <v>#N/A</v>
      </c>
      <c r="E401" s="1216" t="e">
        <v>#N/A</v>
      </c>
      <c r="F401" s="3011" t="e">
        <v>#N/A</v>
      </c>
      <c r="G401" s="3011" t="e">
        <v>#N/A</v>
      </c>
      <c r="H401" s="3011" t="e">
        <v>#N/A</v>
      </c>
      <c r="I401" s="3011" t="e">
        <v>#N/A</v>
      </c>
      <c r="J401" s="1815" t="e">
        <v>#N/A</v>
      </c>
      <c r="K401" s="3011" t="e">
        <v>#N/A</v>
      </c>
      <c r="L401" s="3011" t="e">
        <v>#N/A</v>
      </c>
      <c r="M401" s="3011" t="e">
        <v>#N/A</v>
      </c>
      <c r="N401" s="3011" t="e">
        <v>#N/A</v>
      </c>
      <c r="O401" s="3011" t="e">
        <v>#N/A</v>
      </c>
      <c r="P401" s="3012" t="e">
        <v>#N/A</v>
      </c>
    </row>
    <row r="402" spans="1:16">
      <c r="A402" s="483">
        <f t="shared" si="4"/>
        <v>2030.09</v>
      </c>
      <c r="B402" s="1230" t="e">
        <v>#N/A</v>
      </c>
      <c r="C402" s="3010" t="e">
        <v>#N/A</v>
      </c>
      <c r="D402" s="1703" t="e">
        <v>#N/A</v>
      </c>
      <c r="E402" s="1216" t="e">
        <v>#N/A</v>
      </c>
      <c r="F402" s="3011" t="e">
        <v>#N/A</v>
      </c>
      <c r="G402" s="3011" t="e">
        <v>#N/A</v>
      </c>
      <c r="H402" s="3011" t="e">
        <v>#N/A</v>
      </c>
      <c r="I402" s="3011" t="e">
        <v>#N/A</v>
      </c>
      <c r="J402" s="1815" t="e">
        <v>#N/A</v>
      </c>
      <c r="K402" s="3011" t="e">
        <v>#N/A</v>
      </c>
      <c r="L402" s="3011" t="e">
        <v>#N/A</v>
      </c>
      <c r="M402" s="3011" t="e">
        <v>#N/A</v>
      </c>
      <c r="N402" s="3011" t="e">
        <v>#N/A</v>
      </c>
      <c r="O402" s="3011" t="e">
        <v>#N/A</v>
      </c>
      <c r="P402" s="3012" t="e">
        <v>#N/A</v>
      </c>
    </row>
    <row r="403" spans="1:16">
      <c r="A403" s="483">
        <f t="shared" si="4"/>
        <v>2030.1</v>
      </c>
      <c r="B403" s="1230" t="e">
        <v>#N/A</v>
      </c>
      <c r="C403" s="3010" t="e">
        <v>#N/A</v>
      </c>
      <c r="D403" s="1703" t="e">
        <v>#N/A</v>
      </c>
      <c r="E403" s="1216" t="e">
        <v>#N/A</v>
      </c>
      <c r="F403" s="3011" t="e">
        <v>#N/A</v>
      </c>
      <c r="G403" s="3011" t="e">
        <v>#N/A</v>
      </c>
      <c r="H403" s="3011" t="e">
        <v>#N/A</v>
      </c>
      <c r="I403" s="3011" t="e">
        <v>#N/A</v>
      </c>
      <c r="J403" s="1815" t="e">
        <v>#N/A</v>
      </c>
      <c r="K403" s="3011" t="e">
        <v>#N/A</v>
      </c>
      <c r="L403" s="3011" t="e">
        <v>#N/A</v>
      </c>
      <c r="M403" s="3011" t="e">
        <v>#N/A</v>
      </c>
      <c r="N403" s="3011" t="e">
        <v>#N/A</v>
      </c>
      <c r="O403" s="3011" t="e">
        <v>#N/A</v>
      </c>
      <c r="P403" s="3012" t="e">
        <v>#N/A</v>
      </c>
    </row>
    <row r="404" spans="1:16">
      <c r="A404" s="483">
        <f t="shared" si="4"/>
        <v>2030.11</v>
      </c>
      <c r="B404" s="1230" t="e">
        <v>#N/A</v>
      </c>
      <c r="C404" s="3010" t="e">
        <v>#N/A</v>
      </c>
      <c r="D404" s="1703" t="e">
        <v>#N/A</v>
      </c>
      <c r="E404" s="1216" t="e">
        <v>#N/A</v>
      </c>
      <c r="F404" s="3011" t="e">
        <v>#N/A</v>
      </c>
      <c r="G404" s="3011" t="e">
        <v>#N/A</v>
      </c>
      <c r="H404" s="3011" t="e">
        <v>#N/A</v>
      </c>
      <c r="I404" s="3011" t="e">
        <v>#N/A</v>
      </c>
      <c r="J404" s="1815" t="e">
        <v>#N/A</v>
      </c>
      <c r="K404" s="3011" t="e">
        <v>#N/A</v>
      </c>
      <c r="L404" s="3011" t="e">
        <v>#N/A</v>
      </c>
      <c r="M404" s="3011" t="e">
        <v>#N/A</v>
      </c>
      <c r="N404" s="3011" t="e">
        <v>#N/A</v>
      </c>
      <c r="O404" s="3011" t="e">
        <v>#N/A</v>
      </c>
      <c r="P404" s="3012" t="e">
        <v>#N/A</v>
      </c>
    </row>
    <row r="405" spans="1:16">
      <c r="A405" s="483">
        <f t="shared" si="4"/>
        <v>2030.12</v>
      </c>
      <c r="B405" s="1230" t="e">
        <v>#N/A</v>
      </c>
      <c r="C405" s="3010" t="e">
        <v>#N/A</v>
      </c>
      <c r="D405" s="1703" t="e">
        <v>#N/A</v>
      </c>
      <c r="E405" s="1216" t="e">
        <v>#N/A</v>
      </c>
      <c r="F405" s="3011" t="e">
        <v>#N/A</v>
      </c>
      <c r="G405" s="3011" t="e">
        <v>#N/A</v>
      </c>
      <c r="H405" s="3011" t="e">
        <v>#N/A</v>
      </c>
      <c r="I405" s="3011" t="e">
        <v>#N/A</v>
      </c>
      <c r="J405" s="1815" t="e">
        <v>#N/A</v>
      </c>
      <c r="K405" s="3011" t="e">
        <v>#N/A</v>
      </c>
      <c r="L405" s="3011" t="e">
        <v>#N/A</v>
      </c>
      <c r="M405" s="3011" t="e">
        <v>#N/A</v>
      </c>
      <c r="N405" s="3011" t="e">
        <v>#N/A</v>
      </c>
      <c r="O405" s="3011" t="e">
        <v>#N/A</v>
      </c>
      <c r="P405" s="3012" t="e">
        <v>#N/A</v>
      </c>
    </row>
    <row r="406" spans="1:16">
      <c r="A406" s="1797"/>
      <c r="B406" s="1796"/>
      <c r="C406" s="1796"/>
      <c r="D406" s="1796"/>
      <c r="E406" s="1796"/>
      <c r="F406" s="1796"/>
      <c r="G406" s="1796"/>
      <c r="H406" s="1796"/>
      <c r="I406" s="1796"/>
      <c r="J406" s="1796"/>
      <c r="K406" s="1796"/>
      <c r="L406" s="1796"/>
      <c r="M406" s="1796"/>
      <c r="N406" s="1796"/>
      <c r="O406" s="1796"/>
      <c r="P406" s="1796"/>
    </row>
    <row r="407" spans="1:16">
      <c r="A407" s="1796"/>
      <c r="B407" s="1796"/>
      <c r="C407" s="1796"/>
      <c r="D407" s="1796"/>
      <c r="E407" s="1796"/>
      <c r="F407" s="1796"/>
      <c r="G407" s="1796"/>
      <c r="H407" s="1796"/>
      <c r="I407" s="1796"/>
      <c r="J407" s="1796"/>
      <c r="K407" s="1796"/>
      <c r="L407" s="1796"/>
      <c r="M407" s="1796"/>
      <c r="N407" s="1796"/>
      <c r="O407" s="1796"/>
      <c r="P407" s="1796"/>
    </row>
    <row r="408" spans="1:16">
      <c r="A408" s="1796"/>
      <c r="B408" s="1796"/>
      <c r="C408" s="1796"/>
      <c r="D408" s="1796"/>
      <c r="E408" s="1796"/>
      <c r="F408" s="1796"/>
      <c r="G408" s="1796"/>
      <c r="H408" s="1796"/>
      <c r="I408" s="1796"/>
      <c r="J408" s="1796"/>
      <c r="K408" s="1796"/>
      <c r="L408" s="1796"/>
      <c r="M408" s="1796"/>
      <c r="N408" s="1796"/>
      <c r="O408" s="1796"/>
      <c r="P408" s="1796"/>
    </row>
    <row r="409" spans="1:16">
      <c r="A409" s="1796"/>
      <c r="B409" s="1796"/>
      <c r="C409" s="1796"/>
      <c r="D409" s="1796"/>
      <c r="E409" s="1796"/>
      <c r="F409" s="1796"/>
      <c r="G409" s="1796"/>
      <c r="H409" s="1796"/>
      <c r="I409" s="1796"/>
      <c r="J409" s="1796"/>
      <c r="K409" s="1796"/>
      <c r="L409" s="1796"/>
      <c r="M409" s="1796"/>
      <c r="N409" s="1796"/>
      <c r="O409" s="1796"/>
      <c r="P409" s="1796"/>
    </row>
    <row r="410" spans="1:16">
      <c r="A410" s="1796"/>
      <c r="B410" s="1796"/>
      <c r="C410" s="1796"/>
      <c r="D410" s="1796"/>
      <c r="E410" s="1796"/>
      <c r="F410" s="1796"/>
      <c r="G410" s="1796"/>
      <c r="H410" s="1796"/>
      <c r="I410" s="1796"/>
      <c r="J410" s="1796"/>
      <c r="K410" s="1796"/>
      <c r="L410" s="1796"/>
      <c r="M410" s="1796"/>
      <c r="N410" s="1796"/>
      <c r="O410" s="1796"/>
      <c r="P410" s="1796"/>
    </row>
    <row r="411" spans="1:16">
      <c r="A411" s="1796"/>
      <c r="B411" s="1796"/>
      <c r="C411" s="1796"/>
      <c r="D411" s="1796"/>
      <c r="E411" s="1796"/>
      <c r="F411" s="1796"/>
      <c r="G411" s="1796"/>
      <c r="H411" s="1796"/>
      <c r="I411" s="1796"/>
      <c r="J411" s="1796"/>
      <c r="K411" s="1796"/>
      <c r="L411" s="1796"/>
      <c r="M411" s="1796"/>
      <c r="N411" s="1796"/>
      <c r="O411" s="1796"/>
      <c r="P411" s="1796"/>
    </row>
    <row r="412" spans="1:16">
      <c r="A412" s="1796"/>
      <c r="B412" s="1796"/>
      <c r="C412" s="1796"/>
      <c r="D412" s="1796"/>
      <c r="E412" s="1796"/>
      <c r="F412" s="1796"/>
      <c r="G412" s="1796"/>
      <c r="H412" s="1796"/>
      <c r="I412" s="1796"/>
      <c r="J412" s="1796"/>
      <c r="K412" s="1796"/>
      <c r="L412" s="1796"/>
      <c r="M412" s="1796"/>
      <c r="N412" s="1796"/>
      <c r="O412" s="1796"/>
      <c r="P412" s="1796"/>
    </row>
    <row r="413" spans="1:16">
      <c r="A413" s="1796"/>
      <c r="B413" s="1796"/>
      <c r="C413" s="1796"/>
      <c r="D413" s="1796"/>
      <c r="E413" s="1796"/>
      <c r="F413" s="1796"/>
      <c r="G413" s="1796"/>
      <c r="H413" s="1796"/>
      <c r="I413" s="1796"/>
      <c r="J413" s="1796"/>
      <c r="K413" s="1796"/>
      <c r="L413" s="1796"/>
      <c r="M413" s="1796"/>
      <c r="N413" s="1796"/>
      <c r="O413" s="1796"/>
      <c r="P413" s="1796"/>
    </row>
    <row r="414" spans="1:16">
      <c r="A414" s="1796"/>
      <c r="B414" s="1796"/>
      <c r="C414" s="1796"/>
      <c r="D414" s="1796"/>
      <c r="E414" s="1796"/>
      <c r="F414" s="1796"/>
      <c r="G414" s="1796"/>
      <c r="H414" s="1796"/>
      <c r="I414" s="1796"/>
      <c r="J414" s="1796"/>
      <c r="K414" s="1796"/>
      <c r="L414" s="1796"/>
      <c r="M414" s="1796"/>
      <c r="N414" s="1796"/>
      <c r="O414" s="1796"/>
      <c r="P414" s="1796"/>
    </row>
    <row r="415" spans="1:16">
      <c r="A415" s="1796"/>
      <c r="B415" s="1796"/>
      <c r="C415" s="1796"/>
      <c r="D415" s="1796"/>
      <c r="E415" s="1796"/>
      <c r="F415" s="1796"/>
      <c r="G415" s="1796"/>
      <c r="H415" s="1796"/>
      <c r="I415" s="1796"/>
      <c r="J415" s="1796"/>
      <c r="K415" s="1796"/>
      <c r="L415" s="1796"/>
      <c r="M415" s="1796"/>
      <c r="N415" s="1796"/>
      <c r="O415" s="1796"/>
      <c r="P415" s="1796"/>
    </row>
    <row r="416" spans="1:16">
      <c r="A416" s="1796"/>
      <c r="B416" s="1796"/>
      <c r="C416" s="1796"/>
      <c r="D416" s="1796"/>
      <c r="E416" s="1796"/>
      <c r="F416" s="1796"/>
      <c r="G416" s="1796"/>
      <c r="H416" s="1796"/>
      <c r="I416" s="1796"/>
      <c r="J416" s="1796"/>
      <c r="K416" s="1796"/>
      <c r="L416" s="1796"/>
      <c r="M416" s="1796"/>
      <c r="N416" s="1796"/>
      <c r="O416" s="1796"/>
      <c r="P416" s="1796"/>
    </row>
    <row r="417" s="265" customFormat="1"/>
    <row r="418" s="265" customFormat="1"/>
    <row r="419" s="265" customFormat="1"/>
    <row r="420" s="265" customFormat="1"/>
    <row r="421" s="265" customFormat="1"/>
    <row r="422" s="265" customFormat="1"/>
    <row r="423" s="265" customFormat="1"/>
    <row r="424" s="265" customFormat="1"/>
    <row r="425" s="265" customFormat="1"/>
    <row r="426" s="265" customFormat="1"/>
    <row r="427" s="265" customFormat="1"/>
    <row r="428" s="265" customFormat="1"/>
    <row r="429" s="265" customFormat="1"/>
    <row r="430" s="265" customFormat="1"/>
    <row r="431" s="265" customFormat="1"/>
  </sheetData>
  <phoneticPr fontId="62" type="noConversion"/>
  <hyperlinks>
    <hyperlink ref="A5" location="INDICE!A13" display="VOLVER AL INDICE"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AC0D-E7BE-4F07-A733-C898CEDF4276}">
  <sheetPr codeName="Hoja10"/>
  <dimension ref="A1:T359"/>
  <sheetViews>
    <sheetView zoomScale="130" zoomScaleNormal="130" workbookViewId="0">
      <pane xSplit="1" ySplit="9" topLeftCell="B249"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61" bestFit="1" customWidth="1"/>
    <col min="2" max="3" width="15.5703125" style="1770" customWidth="1"/>
    <col min="4" max="4" width="15.5703125" style="1769" customWidth="1"/>
    <col min="5" max="20" width="15.5703125" style="265" customWidth="1"/>
    <col min="21" max="16384" width="11.42578125" style="265"/>
  </cols>
  <sheetData>
    <row r="1" spans="1:20" s="1765" customFormat="1" ht="3" customHeight="1">
      <c r="A1" s="34"/>
      <c r="B1" s="3013"/>
      <c r="C1" s="3014"/>
      <c r="D1" s="3015"/>
      <c r="E1" s="1214"/>
      <c r="F1" s="82"/>
      <c r="G1" s="82"/>
      <c r="H1" s="82"/>
      <c r="I1" s="82"/>
      <c r="J1" s="82"/>
      <c r="K1" s="82"/>
      <c r="L1" s="82"/>
      <c r="M1" s="82"/>
      <c r="N1" s="82"/>
      <c r="O1" s="82"/>
      <c r="P1" s="82"/>
      <c r="Q1" s="82"/>
      <c r="R1" s="82"/>
      <c r="S1" s="82"/>
      <c r="T1" s="1550"/>
    </row>
    <row r="2" spans="1:20" s="1765" customFormat="1" ht="41.25" customHeight="1">
      <c r="A2" s="1059" t="s">
        <v>105</v>
      </c>
      <c r="B2" s="1816" t="s">
        <v>170</v>
      </c>
      <c r="C2" s="1817"/>
      <c r="D2" s="1818"/>
      <c r="E2" s="2379" t="s">
        <v>171</v>
      </c>
      <c r="F2" s="382"/>
      <c r="G2" s="382"/>
      <c r="H2" s="382"/>
      <c r="I2" s="382"/>
      <c r="J2" s="382"/>
      <c r="K2" s="382"/>
      <c r="L2" s="382"/>
      <c r="M2" s="382"/>
      <c r="N2" s="382"/>
      <c r="O2" s="382"/>
      <c r="P2" s="382"/>
      <c r="Q2" s="382"/>
      <c r="R2" s="382"/>
      <c r="S2" s="382"/>
      <c r="T2" s="378"/>
    </row>
    <row r="3" spans="1:20" s="1765" customFormat="1">
      <c r="A3" s="59" t="s">
        <v>109</v>
      </c>
      <c r="B3" s="1819" t="s">
        <v>147</v>
      </c>
      <c r="C3" s="1820"/>
      <c r="D3" s="2385"/>
      <c r="E3" s="1801" t="s">
        <v>147</v>
      </c>
      <c r="F3" s="1538"/>
      <c r="G3" s="1538"/>
      <c r="H3" s="1538"/>
      <c r="I3" s="1538"/>
      <c r="J3" s="1538"/>
      <c r="K3" s="1538"/>
      <c r="L3" s="1538"/>
      <c r="M3" s="1538"/>
      <c r="N3" s="1538"/>
      <c r="O3" s="1538"/>
      <c r="P3" s="1538"/>
      <c r="Q3" s="1538"/>
      <c r="R3" s="1538"/>
      <c r="S3" s="1538"/>
      <c r="T3" s="1541"/>
    </row>
    <row r="4" spans="1:20" s="1765" customFormat="1" ht="42" customHeight="1">
      <c r="A4" s="1060"/>
      <c r="B4" s="1771"/>
      <c r="C4" s="1772"/>
      <c r="D4" s="1773"/>
      <c r="E4" s="2735" t="s">
        <v>172</v>
      </c>
      <c r="F4" s="2736" t="s">
        <v>173</v>
      </c>
      <c r="G4" s="2736" t="s">
        <v>174</v>
      </c>
      <c r="H4" s="2737" t="s">
        <v>175</v>
      </c>
      <c r="I4" s="2736" t="s">
        <v>176</v>
      </c>
      <c r="J4" s="2736" t="s">
        <v>177</v>
      </c>
      <c r="K4" s="2736" t="s">
        <v>178</v>
      </c>
      <c r="L4" s="1539" t="s">
        <v>179</v>
      </c>
      <c r="M4" s="1539" t="s">
        <v>180</v>
      </c>
      <c r="N4" s="1539" t="s">
        <v>181</v>
      </c>
      <c r="O4" s="1539" t="s">
        <v>182</v>
      </c>
      <c r="P4" s="1539" t="s">
        <v>183</v>
      </c>
      <c r="Q4" s="1539" t="s">
        <v>184</v>
      </c>
      <c r="R4" s="1539" t="s">
        <v>185</v>
      </c>
      <c r="S4" s="1539" t="s">
        <v>186</v>
      </c>
      <c r="T4" s="2738" t="s">
        <v>187</v>
      </c>
    </row>
    <row r="5" spans="1:20" s="1765" customFormat="1" ht="22.5">
      <c r="A5" s="2375" t="s">
        <v>137</v>
      </c>
      <c r="B5" s="1821" t="s">
        <v>188</v>
      </c>
      <c r="C5" s="1822" t="s">
        <v>139</v>
      </c>
      <c r="D5" s="1823" t="s">
        <v>140</v>
      </c>
      <c r="E5" s="2998" t="s">
        <v>189</v>
      </c>
      <c r="F5" s="2999"/>
      <c r="G5" s="2999"/>
      <c r="H5" s="2999"/>
      <c r="I5" s="2999"/>
      <c r="J5" s="2999"/>
      <c r="K5" s="2999"/>
      <c r="L5" s="2999"/>
      <c r="M5" s="2999"/>
      <c r="N5" s="2999"/>
      <c r="O5" s="2999"/>
      <c r="P5" s="2999"/>
      <c r="Q5" s="2999"/>
      <c r="R5" s="2999"/>
      <c r="S5" s="2999"/>
      <c r="T5" s="3001"/>
    </row>
    <row r="6" spans="1:20" s="1765" customFormat="1" ht="3" hidden="1" customHeight="1">
      <c r="A6" s="2376"/>
      <c r="B6" s="1774"/>
      <c r="C6" s="1775"/>
      <c r="D6" s="1776"/>
      <c r="E6" s="2381"/>
      <c r="F6" s="70"/>
      <c r="G6" s="358"/>
      <c r="H6" s="358"/>
      <c r="I6" s="358"/>
      <c r="J6" s="358"/>
      <c r="K6" s="358"/>
      <c r="L6" s="358"/>
      <c r="M6" s="358"/>
      <c r="N6" s="358"/>
      <c r="O6" s="358"/>
      <c r="P6" s="358"/>
      <c r="Q6" s="358"/>
      <c r="R6" s="358"/>
      <c r="S6" s="358"/>
      <c r="T6" s="360"/>
    </row>
    <row r="7" spans="1:20" s="1765" customFormat="1" ht="22.5">
      <c r="A7" s="2377" t="s">
        <v>123</v>
      </c>
      <c r="B7" s="1821" t="s">
        <v>154</v>
      </c>
      <c r="C7" s="1824" t="s">
        <v>124</v>
      </c>
      <c r="D7" s="1825" t="s">
        <v>124</v>
      </c>
      <c r="E7" s="2382" t="s">
        <v>154</v>
      </c>
      <c r="F7" s="1208"/>
      <c r="G7" s="1208"/>
      <c r="H7" s="1208"/>
      <c r="I7" s="1208"/>
      <c r="J7" s="1209"/>
      <c r="K7" s="1208"/>
      <c r="L7" s="1208"/>
      <c r="M7" s="1208"/>
      <c r="N7" s="1208"/>
      <c r="O7" s="1208"/>
      <c r="P7" s="1208"/>
      <c r="Q7" s="1208"/>
      <c r="R7" s="1208"/>
      <c r="S7" s="1208"/>
      <c r="T7" s="1210"/>
    </row>
    <row r="8" spans="1:20" s="1765" customFormat="1" ht="13.5" thickBot="1">
      <c r="A8" s="1061" t="s">
        <v>141</v>
      </c>
      <c r="B8" s="2386" t="s">
        <v>190</v>
      </c>
      <c r="C8" s="1777" t="s">
        <v>191</v>
      </c>
      <c r="D8" s="1778" t="s">
        <v>192</v>
      </c>
      <c r="E8" s="2384" t="s">
        <v>193</v>
      </c>
      <c r="F8" s="649" t="s">
        <v>194</v>
      </c>
      <c r="G8" s="649" t="s">
        <v>195</v>
      </c>
      <c r="H8" s="649" t="s">
        <v>196</v>
      </c>
      <c r="I8" s="649" t="s">
        <v>197</v>
      </c>
      <c r="J8" s="1540" t="s">
        <v>198</v>
      </c>
      <c r="K8" s="3303" t="s">
        <v>199</v>
      </c>
      <c r="L8" s="3304" t="s">
        <v>200</v>
      </c>
      <c r="M8" s="3303" t="s">
        <v>201</v>
      </c>
      <c r="N8" s="3304" t="s">
        <v>202</v>
      </c>
      <c r="O8" s="3303" t="s">
        <v>203</v>
      </c>
      <c r="P8" s="3304" t="s">
        <v>204</v>
      </c>
      <c r="Q8" s="3303" t="s">
        <v>205</v>
      </c>
      <c r="R8" s="3304" t="s">
        <v>206</v>
      </c>
      <c r="S8" s="3303" t="s">
        <v>207</v>
      </c>
      <c r="T8" s="3305" t="s">
        <v>208</v>
      </c>
    </row>
    <row r="9" spans="1:20" s="1766" customFormat="1" ht="13.5" hidden="1" thickBot="1">
      <c r="A9" s="1062"/>
      <c r="B9" s="1802"/>
      <c r="C9" s="1803"/>
      <c r="D9" s="1804"/>
      <c r="E9" s="1693"/>
      <c r="F9" s="1694"/>
      <c r="G9" s="1694"/>
      <c r="H9" s="1694"/>
      <c r="I9" s="1694"/>
      <c r="J9" s="1694"/>
      <c r="K9" s="1694"/>
      <c r="L9" s="1694"/>
      <c r="M9" s="1694"/>
      <c r="N9" s="1694"/>
      <c r="O9" s="1694"/>
      <c r="P9" s="1694"/>
      <c r="Q9" s="1694"/>
      <c r="R9" s="1694"/>
      <c r="S9" s="1694"/>
      <c r="T9" s="1697"/>
    </row>
    <row r="10" spans="1:20">
      <c r="A10" s="2676">
        <v>2004.01</v>
      </c>
      <c r="B10" s="2728">
        <v>78.599999999999994</v>
      </c>
      <c r="C10" s="844"/>
      <c r="D10" s="2729"/>
      <c r="E10" s="2730">
        <v>41.465990488107593</v>
      </c>
      <c r="F10" s="2731">
        <v>75.456413982113673</v>
      </c>
      <c r="G10" s="2731">
        <v>109.38200034258278</v>
      </c>
      <c r="H10" s="2731">
        <v>81.311449271513126</v>
      </c>
      <c r="I10" s="2731">
        <v>98.533781691552605</v>
      </c>
      <c r="J10" s="1546">
        <v>75.650532470601291</v>
      </c>
      <c r="K10" s="2732">
        <v>89.059489865966981</v>
      </c>
      <c r="L10" s="2733">
        <v>96.158531463122884</v>
      </c>
      <c r="M10" s="2733">
        <v>75.785679216361643</v>
      </c>
      <c r="N10" s="2733">
        <v>107.69397052834732</v>
      </c>
      <c r="O10" s="2733">
        <v>95.711816641173186</v>
      </c>
      <c r="P10" s="2733">
        <v>100.52445858593914</v>
      </c>
      <c r="Q10" s="2733">
        <v>100.0278405813844</v>
      </c>
      <c r="R10" s="2733">
        <v>99.736142905796896</v>
      </c>
      <c r="S10" s="2733">
        <v>95.851135102922228</v>
      </c>
      <c r="T10" s="2734">
        <v>92.726570647571251</v>
      </c>
    </row>
    <row r="11" spans="1:20">
      <c r="A11" s="483">
        <v>2004.02</v>
      </c>
      <c r="B11" s="1230">
        <v>78.099999999999994</v>
      </c>
      <c r="C11" s="3016">
        <f>B11/B10-1</f>
        <v>-6.3613231552163141E-3</v>
      </c>
      <c r="D11" s="1779"/>
      <c r="E11" s="1542">
        <v>46.838570465979181</v>
      </c>
      <c r="F11" s="3017">
        <v>81.563620302318839</v>
      </c>
      <c r="G11" s="3017">
        <v>105.04424591252253</v>
      </c>
      <c r="H11" s="3017">
        <v>79.797070686128606</v>
      </c>
      <c r="I11" s="3017">
        <v>93.337075251163114</v>
      </c>
      <c r="J11" s="2530">
        <v>76.60277668655803</v>
      </c>
      <c r="K11" s="1543">
        <v>83.624295580005324</v>
      </c>
      <c r="L11" s="1826">
        <v>96.819096678122094</v>
      </c>
      <c r="M11" s="1826">
        <v>75.811596919460499</v>
      </c>
      <c r="N11" s="1826">
        <v>96.944150195104655</v>
      </c>
      <c r="O11" s="1826">
        <v>96.522651687511313</v>
      </c>
      <c r="P11" s="1826">
        <v>100.26880058647858</v>
      </c>
      <c r="Q11" s="1826">
        <v>99.836903543118467</v>
      </c>
      <c r="R11" s="1826">
        <v>98.575059793585467</v>
      </c>
      <c r="S11" s="1826">
        <v>96.111306637135087</v>
      </c>
      <c r="T11" s="3018">
        <v>92.839940417310387</v>
      </c>
    </row>
    <row r="12" spans="1:20">
      <c r="A12" s="483">
        <v>2004.03</v>
      </c>
      <c r="B12" s="1230">
        <v>130</v>
      </c>
      <c r="C12" s="1780">
        <f>B12/B11-1</f>
        <v>0.66453265044814347</v>
      </c>
      <c r="D12" s="1779"/>
      <c r="E12" s="1542">
        <v>233.3971610542792</v>
      </c>
      <c r="F12" s="3017">
        <v>151.77889101835734</v>
      </c>
      <c r="G12" s="3017">
        <v>106.35914848877228</v>
      </c>
      <c r="H12" s="3017">
        <v>108.0150811515954</v>
      </c>
      <c r="I12" s="3017">
        <v>124.96339559973981</v>
      </c>
      <c r="J12" s="2530">
        <v>99.247892015506906</v>
      </c>
      <c r="K12" s="1543">
        <v>97.679819475498491</v>
      </c>
      <c r="L12" s="1826">
        <v>95.613961405563515</v>
      </c>
      <c r="M12" s="1826">
        <v>120.42887439605276</v>
      </c>
      <c r="N12" s="1826">
        <v>97.604459384992452</v>
      </c>
      <c r="O12" s="1826">
        <v>102.96159208452855</v>
      </c>
      <c r="P12" s="1826">
        <v>100.43358922543024</v>
      </c>
      <c r="Q12" s="1826">
        <v>99.618699993201119</v>
      </c>
      <c r="R12" s="1826">
        <v>98.263953365144346</v>
      </c>
      <c r="S12" s="1826">
        <v>96.400575873137939</v>
      </c>
      <c r="T12" s="3018">
        <v>87.670256229013091</v>
      </c>
    </row>
    <row r="13" spans="1:20">
      <c r="A13" s="483">
        <v>2004.04</v>
      </c>
      <c r="B13" s="1230">
        <v>145.1</v>
      </c>
      <c r="C13" s="1780">
        <f t="shared" ref="C13:C76" si="0">B13/B12-1</f>
        <v>0.11615384615384605</v>
      </c>
      <c r="D13" s="1779"/>
      <c r="E13" s="1542">
        <v>327.65217700857636</v>
      </c>
      <c r="F13" s="3017">
        <v>71.856918310381047</v>
      </c>
      <c r="G13" s="3017">
        <v>79.991777280199159</v>
      </c>
      <c r="H13" s="3017">
        <v>96.570089778129329</v>
      </c>
      <c r="I13" s="3017">
        <v>113.21113882904135</v>
      </c>
      <c r="J13" s="2530">
        <v>80.410628640994503</v>
      </c>
      <c r="K13" s="1543">
        <v>100.02977807822944</v>
      </c>
      <c r="L13" s="1826">
        <v>90.313368151612309</v>
      </c>
      <c r="M13" s="1826">
        <v>129.0182933848771</v>
      </c>
      <c r="N13" s="1826">
        <v>89.67420349150818</v>
      </c>
      <c r="O13" s="1826">
        <v>97.983898009402139</v>
      </c>
      <c r="P13" s="1826">
        <v>100.29169169537627</v>
      </c>
      <c r="Q13" s="1826">
        <v>99.444467276199092</v>
      </c>
      <c r="R13" s="1826">
        <v>98.614638193515418</v>
      </c>
      <c r="S13" s="1826">
        <v>96.648195863812134</v>
      </c>
      <c r="T13" s="3018">
        <v>86.309553863850908</v>
      </c>
    </row>
    <row r="14" spans="1:20">
      <c r="A14" s="483">
        <v>2004.05</v>
      </c>
      <c r="B14" s="1230">
        <v>120.4</v>
      </c>
      <c r="C14" s="1780">
        <f>B14/B13-1</f>
        <v>-0.17022742935906265</v>
      </c>
      <c r="D14" s="1779"/>
      <c r="E14" s="1542">
        <v>203.054887903544</v>
      </c>
      <c r="F14" s="3017">
        <v>81.605524410556043</v>
      </c>
      <c r="G14" s="3017">
        <v>93.621601648806333</v>
      </c>
      <c r="H14" s="3017">
        <v>98.458591696409442</v>
      </c>
      <c r="I14" s="3017">
        <v>99.051753966737849</v>
      </c>
      <c r="J14" s="2530">
        <v>93.417772613964416</v>
      </c>
      <c r="K14" s="1543">
        <v>101.95770825570453</v>
      </c>
      <c r="L14" s="1826">
        <v>91.551296377423753</v>
      </c>
      <c r="M14" s="1826">
        <v>113.33598269672959</v>
      </c>
      <c r="N14" s="1826">
        <v>90.362517065277871</v>
      </c>
      <c r="O14" s="1826">
        <v>97.244834616195078</v>
      </c>
      <c r="P14" s="1826">
        <v>100.18830187621288</v>
      </c>
      <c r="Q14" s="1826">
        <v>99.602064372537171</v>
      </c>
      <c r="R14" s="1826">
        <v>98.948555929780355</v>
      </c>
      <c r="S14" s="1826">
        <v>96.872587350715435</v>
      </c>
      <c r="T14" s="3018">
        <v>89.986590735714728</v>
      </c>
    </row>
    <row r="15" spans="1:20">
      <c r="A15" s="483">
        <v>2004.06</v>
      </c>
      <c r="B15" s="1230">
        <v>93.5</v>
      </c>
      <c r="C15" s="3019">
        <f t="shared" si="0"/>
        <v>-0.22342192691029905</v>
      </c>
      <c r="D15" s="1779"/>
      <c r="E15" s="1542">
        <v>59.715033610057787</v>
      </c>
      <c r="F15" s="3017">
        <v>118.81607374366136</v>
      </c>
      <c r="G15" s="3017">
        <v>107.53253836040484</v>
      </c>
      <c r="H15" s="3017">
        <v>106.20800233371259</v>
      </c>
      <c r="I15" s="3017">
        <v>93.782994376252688</v>
      </c>
      <c r="J15" s="2530">
        <v>107.48233104853799</v>
      </c>
      <c r="K15" s="1543">
        <v>101.69490035055415</v>
      </c>
      <c r="L15" s="1826">
        <v>92.94825221563724</v>
      </c>
      <c r="M15" s="1826">
        <v>95.167407414172089</v>
      </c>
      <c r="N15" s="1826">
        <v>91.054040322813194</v>
      </c>
      <c r="O15" s="1826">
        <v>99.566503348657022</v>
      </c>
      <c r="P15" s="1826">
        <v>99.90469185308406</v>
      </c>
      <c r="Q15" s="1826">
        <v>99.684406420882794</v>
      </c>
      <c r="R15" s="1826">
        <v>99.335066589074927</v>
      </c>
      <c r="S15" s="1826">
        <v>97.527382716133673</v>
      </c>
      <c r="T15" s="3018">
        <v>94.87118225548511</v>
      </c>
    </row>
    <row r="16" spans="1:20">
      <c r="A16" s="483">
        <v>2004.07</v>
      </c>
      <c r="B16" s="1230">
        <v>88.4</v>
      </c>
      <c r="C16" s="3019">
        <f t="shared" si="0"/>
        <v>-5.4545454545454453E-2</v>
      </c>
      <c r="D16" s="2125"/>
      <c r="E16" s="1542">
        <v>40.151537078091252</v>
      </c>
      <c r="F16" s="3017">
        <v>127.77578458688967</v>
      </c>
      <c r="G16" s="3017">
        <v>133.37892012271749</v>
      </c>
      <c r="H16" s="3017">
        <v>103.1658974247722</v>
      </c>
      <c r="I16" s="3017">
        <v>98.932570223501983</v>
      </c>
      <c r="J16" s="2530">
        <v>99.170460905656029</v>
      </c>
      <c r="K16" s="1543">
        <v>99.22123246260017</v>
      </c>
      <c r="L16" s="1826">
        <v>98.771003841581816</v>
      </c>
      <c r="M16" s="1826">
        <v>93.349986219045874</v>
      </c>
      <c r="N16" s="1826">
        <v>96.024942786918672</v>
      </c>
      <c r="O16" s="1826">
        <v>101.34040094696333</v>
      </c>
      <c r="P16" s="1826">
        <v>99.979502196940658</v>
      </c>
      <c r="Q16" s="1826">
        <v>99.704467575442166</v>
      </c>
      <c r="R16" s="1826">
        <v>99.916971627938423</v>
      </c>
      <c r="S16" s="1826">
        <v>98.74829659580729</v>
      </c>
      <c r="T16" s="3018">
        <v>98.522816250918353</v>
      </c>
    </row>
    <row r="17" spans="1:20">
      <c r="A17" s="483">
        <v>2004.08</v>
      </c>
      <c r="B17" s="1230">
        <v>92</v>
      </c>
      <c r="C17" s="3019">
        <f t="shared" si="0"/>
        <v>4.0723981900452344E-2</v>
      </c>
      <c r="D17" s="1779"/>
      <c r="E17" s="1542">
        <v>41.088133590005008</v>
      </c>
      <c r="F17" s="3017">
        <v>122.97772684604125</v>
      </c>
      <c r="G17" s="3017">
        <v>100.98849746944751</v>
      </c>
      <c r="H17" s="3017">
        <v>115.07515973412596</v>
      </c>
      <c r="I17" s="3017">
        <v>98.382968417166154</v>
      </c>
      <c r="J17" s="2530">
        <v>101.12744868547081</v>
      </c>
      <c r="K17" s="1543">
        <v>96.355917971428681</v>
      </c>
      <c r="L17" s="1826">
        <v>100.94242839059717</v>
      </c>
      <c r="M17" s="1826">
        <v>97.669688182416508</v>
      </c>
      <c r="N17" s="1826">
        <v>101.0184458830101</v>
      </c>
      <c r="O17" s="1826">
        <v>103.16390278902571</v>
      </c>
      <c r="P17" s="1826">
        <v>100.04159893746642</v>
      </c>
      <c r="Q17" s="1826">
        <v>100.18823011457519</v>
      </c>
      <c r="R17" s="1826">
        <v>100.50688956097927</v>
      </c>
      <c r="S17" s="1826">
        <v>100.69357805180556</v>
      </c>
      <c r="T17" s="3018">
        <v>102.69626817408941</v>
      </c>
    </row>
    <row r="18" spans="1:20">
      <c r="A18" s="483">
        <v>2004.09</v>
      </c>
      <c r="B18" s="1230">
        <v>89.8</v>
      </c>
      <c r="C18" s="3019">
        <f t="shared" si="0"/>
        <v>-2.3913043478260954E-2</v>
      </c>
      <c r="D18" s="1779"/>
      <c r="E18" s="1542">
        <v>39.432615412796778</v>
      </c>
      <c r="F18" s="3017">
        <v>82.156328143427785</v>
      </c>
      <c r="G18" s="3017">
        <v>118.32769401285633</v>
      </c>
      <c r="H18" s="3017">
        <v>104.53593716110909</v>
      </c>
      <c r="I18" s="3017">
        <v>95.437752801725608</v>
      </c>
      <c r="J18" s="2530">
        <v>118.85927681080837</v>
      </c>
      <c r="K18" s="1543">
        <v>100.50057584747348</v>
      </c>
      <c r="L18" s="1826">
        <v>104.70292477288908</v>
      </c>
      <c r="M18" s="1826">
        <v>94.248965173157501</v>
      </c>
      <c r="N18" s="1826">
        <v>102.25160425791839</v>
      </c>
      <c r="O18" s="1826">
        <v>101.4814096183369</v>
      </c>
      <c r="P18" s="1826">
        <v>99.87791165456656</v>
      </c>
      <c r="Q18" s="1826">
        <v>100.21138343028608</v>
      </c>
      <c r="R18" s="1826">
        <v>101.04215833146134</v>
      </c>
      <c r="S18" s="1826">
        <v>102.78100378674995</v>
      </c>
      <c r="T18" s="3018">
        <v>108.88621218890178</v>
      </c>
    </row>
    <row r="19" spans="1:20">
      <c r="A19" s="483">
        <v>2004.1</v>
      </c>
      <c r="B19" s="1230">
        <v>92.2</v>
      </c>
      <c r="C19" s="3019">
        <f t="shared" si="0"/>
        <v>2.6726057906458767E-2</v>
      </c>
      <c r="D19" s="1779"/>
      <c r="E19" s="1542">
        <v>38.330402029172639</v>
      </c>
      <c r="F19" s="3017">
        <v>83.562468673846908</v>
      </c>
      <c r="G19" s="3017">
        <v>106.73669835286429</v>
      </c>
      <c r="H19" s="3017">
        <v>111.88034664434916</v>
      </c>
      <c r="I19" s="3017">
        <v>92.097329774599274</v>
      </c>
      <c r="J19" s="2530">
        <v>122.30289454031077</v>
      </c>
      <c r="K19" s="1543">
        <v>102.24562729658903</v>
      </c>
      <c r="L19" s="1826">
        <v>110.8680909607186</v>
      </c>
      <c r="M19" s="1826">
        <v>98.954394242677182</v>
      </c>
      <c r="N19" s="1826">
        <v>105.74115816345898</v>
      </c>
      <c r="O19" s="1826">
        <v>98.803022331308696</v>
      </c>
      <c r="P19" s="1826">
        <v>99.620926113479527</v>
      </c>
      <c r="Q19" s="1826">
        <v>100.48613435409922</v>
      </c>
      <c r="R19" s="1826">
        <v>101.3143257760093</v>
      </c>
      <c r="S19" s="1826">
        <v>105.07497280285753</v>
      </c>
      <c r="T19" s="3018">
        <v>116.01982650424986</v>
      </c>
    </row>
    <row r="20" spans="1:20">
      <c r="A20" s="483">
        <v>2004.11</v>
      </c>
      <c r="B20" s="1230">
        <v>94.9</v>
      </c>
      <c r="C20" s="3019">
        <f t="shared" si="0"/>
        <v>2.9284164859002093E-2</v>
      </c>
      <c r="D20" s="1779"/>
      <c r="E20" s="1542">
        <v>70.412704745255397</v>
      </c>
      <c r="F20" s="3017">
        <v>94.587880253794481</v>
      </c>
      <c r="G20" s="3017">
        <v>96.538287925003573</v>
      </c>
      <c r="H20" s="3017">
        <v>96.437039416962193</v>
      </c>
      <c r="I20" s="3017">
        <v>94.555337815573807</v>
      </c>
      <c r="J20" s="2530">
        <v>114.7510454508726</v>
      </c>
      <c r="K20" s="1543">
        <v>103.47541299274091</v>
      </c>
      <c r="L20" s="1826">
        <v>111.90238017648626</v>
      </c>
      <c r="M20" s="1826">
        <v>102.40825264515519</v>
      </c>
      <c r="N20" s="1826">
        <v>108.40735272748736</v>
      </c>
      <c r="O20" s="1826">
        <v>100.95793530915526</v>
      </c>
      <c r="P20" s="1826">
        <v>99.481009650514522</v>
      </c>
      <c r="Q20" s="1826">
        <v>100.56365603012365</v>
      </c>
      <c r="R20" s="1826">
        <v>101.70731965845593</v>
      </c>
      <c r="S20" s="1826">
        <v>106.55463407104244</v>
      </c>
      <c r="T20" s="3018">
        <v>117.14557448335852</v>
      </c>
    </row>
    <row r="21" spans="1:20">
      <c r="A21" s="483">
        <v>2004.12</v>
      </c>
      <c r="B21" s="1230">
        <v>97.1</v>
      </c>
      <c r="C21" s="3019">
        <f t="shared" si="0"/>
        <v>2.3182297154899834E-2</v>
      </c>
      <c r="D21" s="1779"/>
      <c r="E21" s="1542">
        <v>58.46078661413484</v>
      </c>
      <c r="F21" s="3017">
        <v>107.86236972861165</v>
      </c>
      <c r="G21" s="3017">
        <v>42.098590083822984</v>
      </c>
      <c r="H21" s="3017">
        <v>98.545334701192999</v>
      </c>
      <c r="I21" s="3017">
        <v>97.713901252945789</v>
      </c>
      <c r="J21" s="2530">
        <v>110.97694013071813</v>
      </c>
      <c r="K21" s="1543">
        <v>124.15524182320874</v>
      </c>
      <c r="L21" s="1826">
        <v>109.40866556624533</v>
      </c>
      <c r="M21" s="1826">
        <v>103.82087950989413</v>
      </c>
      <c r="N21" s="1826">
        <v>113.22315519316291</v>
      </c>
      <c r="O21" s="1826">
        <v>104.26203261774282</v>
      </c>
      <c r="P21" s="1826">
        <v>99.387517624511077</v>
      </c>
      <c r="Q21" s="1826">
        <v>100.63174630815057</v>
      </c>
      <c r="R21" s="1826">
        <v>102.03891826825827</v>
      </c>
      <c r="S21" s="1826">
        <v>106.73633114788061</v>
      </c>
      <c r="T21" s="3018">
        <v>112.32520824953664</v>
      </c>
    </row>
    <row r="22" spans="1:20">
      <c r="A22" s="483">
        <v>2005.01</v>
      </c>
      <c r="B22" s="1230">
        <v>85.8</v>
      </c>
      <c r="C22" s="3019">
        <f t="shared" si="0"/>
        <v>-0.11637487126673529</v>
      </c>
      <c r="D22" s="3507">
        <v>9.172243851844053E-2</v>
      </c>
      <c r="E22" s="1542">
        <v>42.824522436060455</v>
      </c>
      <c r="F22" s="3017">
        <v>126.63523168719576</v>
      </c>
      <c r="G22" s="3017">
        <v>143.38327012700719</v>
      </c>
      <c r="H22" s="3017">
        <v>91.144926915546634</v>
      </c>
      <c r="I22" s="3017">
        <v>121.60912136380351</v>
      </c>
      <c r="J22" s="2530">
        <v>95.167134856510145</v>
      </c>
      <c r="K22" s="1543">
        <v>99.427401997338421</v>
      </c>
      <c r="L22" s="1826">
        <v>112.64994934714375</v>
      </c>
      <c r="M22" s="1826">
        <v>88.147442265271124</v>
      </c>
      <c r="N22" s="1826">
        <v>112.18088134317561</v>
      </c>
      <c r="O22" s="1826">
        <v>97.142388327435029</v>
      </c>
      <c r="P22" s="1826">
        <v>101.67544261763544</v>
      </c>
      <c r="Q22" s="1826">
        <v>102.69852235930898</v>
      </c>
      <c r="R22" s="1826">
        <v>97.87562239512728</v>
      </c>
      <c r="S22" s="1826">
        <v>107.1896793452388</v>
      </c>
      <c r="T22" s="3018">
        <v>102.88548257413686</v>
      </c>
    </row>
    <row r="23" spans="1:20">
      <c r="A23" s="483">
        <v>2005.02</v>
      </c>
      <c r="B23" s="1230">
        <v>85</v>
      </c>
      <c r="C23" s="3019">
        <f t="shared" si="0"/>
        <v>-9.3240093240093413E-3</v>
      </c>
      <c r="D23" s="3504">
        <v>8.850404046753324E-2</v>
      </c>
      <c r="E23" s="1542">
        <v>50.29801764277633</v>
      </c>
      <c r="F23" s="3017">
        <v>134.88746698786446</v>
      </c>
      <c r="G23" s="3017">
        <v>133.36835312796808</v>
      </c>
      <c r="H23" s="3017">
        <v>90.706918718368399</v>
      </c>
      <c r="I23" s="3017">
        <v>107.23329712944216</v>
      </c>
      <c r="J23" s="2530">
        <v>95.530871950208166</v>
      </c>
      <c r="K23" s="1543">
        <v>85.672753721938676</v>
      </c>
      <c r="L23" s="1826">
        <v>114.34043858347727</v>
      </c>
      <c r="M23" s="1826">
        <v>90.795413192295939</v>
      </c>
      <c r="N23" s="1826">
        <v>108.42653169751846</v>
      </c>
      <c r="O23" s="1826">
        <v>101.11834517254304</v>
      </c>
      <c r="P23" s="1826">
        <v>101.47452545618384</v>
      </c>
      <c r="Q23" s="1826">
        <v>102.68889072696993</v>
      </c>
      <c r="R23" s="1826">
        <v>98.188950540942798</v>
      </c>
      <c r="S23" s="1826">
        <v>105.53156002031531</v>
      </c>
      <c r="T23" s="3018">
        <v>99.289367155051195</v>
      </c>
    </row>
    <row r="24" spans="1:20">
      <c r="A24" s="483">
        <v>2005.03</v>
      </c>
      <c r="B24" s="1230">
        <v>136.6</v>
      </c>
      <c r="C24" s="3019">
        <f t="shared" si="0"/>
        <v>0.60705882352941165</v>
      </c>
      <c r="D24" s="3504">
        <v>5.0536929806320741E-2</v>
      </c>
      <c r="E24" s="1542">
        <v>257.84817741004787</v>
      </c>
      <c r="F24" s="3017">
        <v>134.39551675335147</v>
      </c>
      <c r="G24" s="3017">
        <v>112.54756837843168</v>
      </c>
      <c r="H24" s="3017">
        <v>104.20361051450185</v>
      </c>
      <c r="I24" s="3017">
        <v>115.46412268629136</v>
      </c>
      <c r="J24" s="2530">
        <v>120.68585028076274</v>
      </c>
      <c r="K24" s="1543">
        <v>99.470382707149824</v>
      </c>
      <c r="L24" s="1826">
        <v>114.21766236480545</v>
      </c>
      <c r="M24" s="1826">
        <v>134.7020805290669</v>
      </c>
      <c r="N24" s="1826">
        <v>114.30040824649564</v>
      </c>
      <c r="O24" s="1826">
        <v>105.00157238270982</v>
      </c>
      <c r="P24" s="1826">
        <v>101.70023589958795</v>
      </c>
      <c r="Q24" s="1826">
        <v>102.61995272092838</v>
      </c>
      <c r="R24" s="1826">
        <v>98.392079015264329</v>
      </c>
      <c r="S24" s="1826">
        <v>105.61852415567787</v>
      </c>
      <c r="T24" s="3018">
        <v>97.258349604541678</v>
      </c>
    </row>
    <row r="25" spans="1:20">
      <c r="A25" s="483">
        <v>2005.04</v>
      </c>
      <c r="B25" s="1230">
        <v>161.30000000000001</v>
      </c>
      <c r="C25" s="3019">
        <f t="shared" si="0"/>
        <v>0.18081991215226956</v>
      </c>
      <c r="D25" s="3504">
        <v>0.11159084491134565</v>
      </c>
      <c r="E25" s="1542">
        <v>370.77318208514043</v>
      </c>
      <c r="F25" s="3017">
        <v>101.6532401637772</v>
      </c>
      <c r="G25" s="3017">
        <v>126.30396849248322</v>
      </c>
      <c r="H25" s="3017">
        <v>106.50007831962074</v>
      </c>
      <c r="I25" s="3017">
        <v>115.95167877883618</v>
      </c>
      <c r="J25" s="2530">
        <v>108.22724694118209</v>
      </c>
      <c r="K25" s="1543">
        <v>105.7707902457567</v>
      </c>
      <c r="L25" s="1826">
        <v>110.01709533522299</v>
      </c>
      <c r="M25" s="1826">
        <v>151.85949492513959</v>
      </c>
      <c r="N25" s="1826">
        <v>114.72209135613321</v>
      </c>
      <c r="O25" s="1826">
        <v>102.05420591103031</v>
      </c>
      <c r="P25" s="1826">
        <v>101.60156738739971</v>
      </c>
      <c r="Q25" s="1826">
        <v>102.56738639226631</v>
      </c>
      <c r="R25" s="1826">
        <v>98.375962775004297</v>
      </c>
      <c r="S25" s="1826">
        <v>107.55856918591567</v>
      </c>
      <c r="T25" s="3018">
        <v>104.86640071301888</v>
      </c>
    </row>
    <row r="26" spans="1:20">
      <c r="A26" s="483">
        <v>2005.05</v>
      </c>
      <c r="B26" s="1230">
        <v>130.4</v>
      </c>
      <c r="C26" s="3019">
        <f t="shared" si="0"/>
        <v>-0.19156850588964669</v>
      </c>
      <c r="D26" s="3504">
        <v>8.3222458885579886E-2</v>
      </c>
      <c r="E26" s="1542">
        <v>227.12327902713815</v>
      </c>
      <c r="F26" s="3017">
        <v>136.10584840978925</v>
      </c>
      <c r="G26" s="3017">
        <v>135.87269043489724</v>
      </c>
      <c r="H26" s="3017">
        <v>99.818798503582613</v>
      </c>
      <c r="I26" s="3017">
        <v>113.04959051887771</v>
      </c>
      <c r="J26" s="2530">
        <v>126.93323339072215</v>
      </c>
      <c r="K26" s="1543">
        <v>107.93439503242497</v>
      </c>
      <c r="L26" s="1826">
        <v>110.40599242574692</v>
      </c>
      <c r="M26" s="1826">
        <v>129.29413098605937</v>
      </c>
      <c r="N26" s="1826">
        <v>118.34050759079584</v>
      </c>
      <c r="O26" s="1826">
        <v>100.55933486977797</v>
      </c>
      <c r="P26" s="1826">
        <v>101.5659333676449</v>
      </c>
      <c r="Q26" s="1826">
        <v>102.8618492395249</v>
      </c>
      <c r="R26" s="1826">
        <v>98.526279804130084</v>
      </c>
      <c r="S26" s="1826">
        <v>109.64112692285602</v>
      </c>
      <c r="T26" s="3018">
        <v>111.92285428432609</v>
      </c>
    </row>
    <row r="27" spans="1:20">
      <c r="A27" s="483">
        <v>2005.06</v>
      </c>
      <c r="B27" s="1230">
        <v>101</v>
      </c>
      <c r="C27" s="3019">
        <f t="shared" si="0"/>
        <v>-0.22546012269938653</v>
      </c>
      <c r="D27" s="3505">
        <v>8.0818304538314192E-2</v>
      </c>
      <c r="E27" s="1542">
        <v>63.380908590629247</v>
      </c>
      <c r="F27" s="3017">
        <v>123.43353220533595</v>
      </c>
      <c r="G27" s="3017">
        <v>129.84153313347105</v>
      </c>
      <c r="H27" s="3017">
        <v>117.30234974548084</v>
      </c>
      <c r="I27" s="3017">
        <v>103.18890338788721</v>
      </c>
      <c r="J27" s="2530">
        <v>139.17613065710503</v>
      </c>
      <c r="K27" s="1543">
        <v>104.14640018578645</v>
      </c>
      <c r="L27" s="1826">
        <v>110.5372059203311</v>
      </c>
      <c r="M27" s="1826">
        <v>109.79762704446151</v>
      </c>
      <c r="N27" s="1826">
        <v>117.78297346608622</v>
      </c>
      <c r="O27" s="1826">
        <v>100.60214223810689</v>
      </c>
      <c r="P27" s="1826">
        <v>101.3364236874128</v>
      </c>
      <c r="Q27" s="1826">
        <v>103.05287161776872</v>
      </c>
      <c r="R27" s="1826">
        <v>98.799681366316733</v>
      </c>
      <c r="S27" s="1826">
        <v>110.79691596063024</v>
      </c>
      <c r="T27" s="3018">
        <v>112.61198454803817</v>
      </c>
    </row>
    <row r="28" spans="1:20">
      <c r="A28" s="483">
        <v>2005.07</v>
      </c>
      <c r="B28" s="1230">
        <v>94.1</v>
      </c>
      <c r="C28" s="3019">
        <f t="shared" si="0"/>
        <v>-6.8316831683168378E-2</v>
      </c>
      <c r="D28" s="3505">
        <v>6.5142734044470352E-2</v>
      </c>
      <c r="E28" s="1542">
        <v>40.87602803661995</v>
      </c>
      <c r="F28" s="3017">
        <v>127.43120256897207</v>
      </c>
      <c r="G28" s="3017">
        <v>167.31238742308548</v>
      </c>
      <c r="H28" s="3017">
        <v>108.60429765517456</v>
      </c>
      <c r="I28" s="3017">
        <v>109.21761872532404</v>
      </c>
      <c r="J28" s="2530">
        <v>124.06177383661128</v>
      </c>
      <c r="K28" s="1543">
        <v>104.79243434138418</v>
      </c>
      <c r="L28" s="1826">
        <v>114.76327258845315</v>
      </c>
      <c r="M28" s="1826">
        <v>106.29878992450085</v>
      </c>
      <c r="N28" s="1826">
        <v>118.63203472437213</v>
      </c>
      <c r="O28" s="1826">
        <v>105.48254479443663</v>
      </c>
      <c r="P28" s="1826">
        <v>101.47192474535144</v>
      </c>
      <c r="Q28" s="1826">
        <v>103.15567456386543</v>
      </c>
      <c r="R28" s="1826">
        <v>99.314829523336286</v>
      </c>
      <c r="S28" s="1826">
        <v>111.07916597152939</v>
      </c>
      <c r="T28" s="3018">
        <v>104.80322568392573</v>
      </c>
    </row>
    <row r="29" spans="1:20">
      <c r="A29" s="483">
        <v>2005.08</v>
      </c>
      <c r="B29" s="1230">
        <v>101.6</v>
      </c>
      <c r="C29" s="3019">
        <f t="shared" si="0"/>
        <v>7.9702444208288981E-2</v>
      </c>
      <c r="D29" s="3505">
        <v>0.10349909582379313</v>
      </c>
      <c r="E29" s="1542">
        <v>44.433346611927796</v>
      </c>
      <c r="F29" s="3017">
        <v>88.597018869774033</v>
      </c>
      <c r="G29" s="3017">
        <v>140.60114734245124</v>
      </c>
      <c r="H29" s="3017">
        <v>130.62067866206709</v>
      </c>
      <c r="I29" s="3017">
        <v>101.6915308810829</v>
      </c>
      <c r="J29" s="2530">
        <v>131.68167439193513</v>
      </c>
      <c r="K29" s="1543">
        <v>103.00780367762374</v>
      </c>
      <c r="L29" s="1826">
        <v>116.36091063469325</v>
      </c>
      <c r="M29" s="1826">
        <v>115.88215880194059</v>
      </c>
      <c r="N29" s="1826">
        <v>114.38632813811822</v>
      </c>
      <c r="O29" s="1826">
        <v>108.63718738594636</v>
      </c>
      <c r="P29" s="1826">
        <v>101.59616531900485</v>
      </c>
      <c r="Q29" s="1826">
        <v>103.69832403560702</v>
      </c>
      <c r="R29" s="1826">
        <v>99.863877401247706</v>
      </c>
      <c r="S29" s="1826">
        <v>111.79663824461434</v>
      </c>
      <c r="T29" s="3018">
        <v>100.57555834053899</v>
      </c>
    </row>
    <row r="30" spans="1:20">
      <c r="A30" s="483">
        <v>2005.09</v>
      </c>
      <c r="B30" s="1230">
        <v>97.4</v>
      </c>
      <c r="C30" s="3019">
        <f t="shared" si="0"/>
        <v>-4.1338582677165281E-2</v>
      </c>
      <c r="D30" s="3505">
        <v>8.4418239492142888E-2</v>
      </c>
      <c r="E30" s="1542">
        <v>41.308849737790041</v>
      </c>
      <c r="F30" s="3017">
        <v>120.72320824977123</v>
      </c>
      <c r="G30" s="3017">
        <v>175.01491352237093</v>
      </c>
      <c r="H30" s="3017">
        <v>114.25499585387419</v>
      </c>
      <c r="I30" s="3017">
        <v>105.40658642367424</v>
      </c>
      <c r="J30" s="2530">
        <v>148.06336088961896</v>
      </c>
      <c r="K30" s="1543">
        <v>107.66982863383549</v>
      </c>
      <c r="L30" s="1826">
        <v>119.65602163236954</v>
      </c>
      <c r="M30" s="1826">
        <v>107.24344816764143</v>
      </c>
      <c r="N30" s="1826">
        <v>113.91502323108649</v>
      </c>
      <c r="O30" s="1826">
        <v>108.89705430965149</v>
      </c>
      <c r="P30" s="1826">
        <v>101.50137611087345</v>
      </c>
      <c r="Q30" s="1826">
        <v>103.74258698257256</v>
      </c>
      <c r="R30" s="1826">
        <v>100.50526019178365</v>
      </c>
      <c r="S30" s="1826">
        <v>113.03467737563955</v>
      </c>
      <c r="T30" s="3018">
        <v>102.57231691078287</v>
      </c>
    </row>
    <row r="31" spans="1:20">
      <c r="A31" s="483">
        <v>2005.1</v>
      </c>
      <c r="B31" s="1230">
        <v>101.8</v>
      </c>
      <c r="C31" s="3019">
        <f t="shared" si="0"/>
        <v>4.5174537987679564E-2</v>
      </c>
      <c r="D31" s="3505">
        <v>0.10357806639335809</v>
      </c>
      <c r="E31" s="1542">
        <v>40.901000819853287</v>
      </c>
      <c r="F31" s="3017">
        <v>138.92076926100972</v>
      </c>
      <c r="G31" s="3017">
        <v>148.69731305465399</v>
      </c>
      <c r="H31" s="3017">
        <v>129.73607318225976</v>
      </c>
      <c r="I31" s="3017">
        <v>99.865314006463379</v>
      </c>
      <c r="J31" s="2530">
        <v>163.50795336119242</v>
      </c>
      <c r="K31" s="1543">
        <v>105.56074133088001</v>
      </c>
      <c r="L31" s="1826">
        <v>125.47594904069152</v>
      </c>
      <c r="M31" s="1826">
        <v>115.30776569565458</v>
      </c>
      <c r="N31" s="1826">
        <v>114.71905083666887</v>
      </c>
      <c r="O31" s="1826">
        <v>103.88257756279401</v>
      </c>
      <c r="P31" s="1826">
        <v>101.30491884179673</v>
      </c>
      <c r="Q31" s="1826">
        <v>104.02806163382546</v>
      </c>
      <c r="R31" s="1826">
        <v>101.03530802834248</v>
      </c>
      <c r="S31" s="1826">
        <v>114.80564912017323</v>
      </c>
      <c r="T31" s="3018">
        <v>108.74027896996994</v>
      </c>
    </row>
    <row r="32" spans="1:20">
      <c r="A32" s="483">
        <v>2005.11</v>
      </c>
      <c r="B32" s="1230">
        <v>101.5</v>
      </c>
      <c r="C32" s="3019">
        <f t="shared" si="0"/>
        <v>-2.9469548133594925E-3</v>
      </c>
      <c r="D32" s="3505">
        <v>7.0318493588349407E-2</v>
      </c>
      <c r="E32" s="1542">
        <v>72.566187410004957</v>
      </c>
      <c r="F32" s="3017">
        <v>182.13417498324151</v>
      </c>
      <c r="G32" s="3017">
        <v>138.62678217737988</v>
      </c>
      <c r="H32" s="3017">
        <v>107.89708162776013</v>
      </c>
      <c r="I32" s="3017">
        <v>104.64748486539457</v>
      </c>
      <c r="J32" s="2530">
        <v>149.8608093286102</v>
      </c>
      <c r="K32" s="1543">
        <v>104.47741851922049</v>
      </c>
      <c r="L32" s="1826">
        <v>126.58092202906909</v>
      </c>
      <c r="M32" s="1826">
        <v>114.13480693203846</v>
      </c>
      <c r="N32" s="1826">
        <v>120.04042247644846</v>
      </c>
      <c r="O32" s="1826">
        <v>103.27706542033469</v>
      </c>
      <c r="P32" s="1826">
        <v>101.23095257939855</v>
      </c>
      <c r="Q32" s="1826">
        <v>104.0907801750248</v>
      </c>
      <c r="R32" s="1826">
        <v>101.66430402318937</v>
      </c>
      <c r="S32" s="1826">
        <v>116.06590820668883</v>
      </c>
      <c r="T32" s="3018">
        <v>112.19487756197546</v>
      </c>
    </row>
    <row r="33" spans="1:20">
      <c r="A33" s="483">
        <v>2005.12</v>
      </c>
      <c r="B33" s="1230">
        <v>104.2</v>
      </c>
      <c r="C33" s="3019">
        <f t="shared" si="0"/>
        <v>2.6600985221674867E-2</v>
      </c>
      <c r="D33" s="3505">
        <v>7.3049526564768374E-2</v>
      </c>
      <c r="E33" s="1542">
        <v>60.788965365854054</v>
      </c>
      <c r="F33" s="3017">
        <v>176.14921819942583</v>
      </c>
      <c r="G33" s="3017">
        <v>135.36911859880348</v>
      </c>
      <c r="H33" s="3017">
        <v>112.30543735659384</v>
      </c>
      <c r="I33" s="3017">
        <v>111.62204408289843</v>
      </c>
      <c r="J33" s="2530">
        <v>182.6793415825947</v>
      </c>
      <c r="K33" s="1543">
        <v>112.21689460460165</v>
      </c>
      <c r="L33" s="1826">
        <v>124.13157065425126</v>
      </c>
      <c r="M33" s="1826">
        <v>117.70620889234434</v>
      </c>
      <c r="N33" s="1826">
        <v>129.2487050782685</v>
      </c>
      <c r="O33" s="1826">
        <v>112.01563836668494</v>
      </c>
      <c r="P33" s="1826">
        <v>101.20615755089221</v>
      </c>
      <c r="Q33" s="1826">
        <v>104.12783710221554</v>
      </c>
      <c r="R33" s="1826">
        <v>102.06873845034971</v>
      </c>
      <c r="S33" s="1826">
        <v>116.7052623459788</v>
      </c>
      <c r="T33" s="3018">
        <v>112.16706181874176</v>
      </c>
    </row>
    <row r="34" spans="1:20">
      <c r="A34" s="483">
        <v>2006.01</v>
      </c>
      <c r="B34" s="1230">
        <v>97.1</v>
      </c>
      <c r="C34" s="3019">
        <f t="shared" si="0"/>
        <v>-6.8138195777351362E-2</v>
      </c>
      <c r="D34" s="3505">
        <v>0.13151229106170992</v>
      </c>
      <c r="E34" s="1542">
        <v>44.463703078835088</v>
      </c>
      <c r="F34" s="3017">
        <v>124.14289494164457</v>
      </c>
      <c r="G34" s="3017">
        <v>155.30583823546712</v>
      </c>
      <c r="H34" s="3017">
        <v>108.96753907143575</v>
      </c>
      <c r="I34" s="3017">
        <v>113.06776973987496</v>
      </c>
      <c r="J34" s="2530">
        <v>115.96411615877686</v>
      </c>
      <c r="K34" s="1543">
        <v>118.35018909080807</v>
      </c>
      <c r="L34" s="1826">
        <v>127.58118464199359</v>
      </c>
      <c r="M34" s="1826">
        <v>103.84024177077401</v>
      </c>
      <c r="N34" s="1826">
        <v>131.23126218941084</v>
      </c>
      <c r="O34" s="1826">
        <v>100.31615545631402</v>
      </c>
      <c r="P34" s="1826">
        <v>101.25900858068923</v>
      </c>
      <c r="Q34" s="1826">
        <v>105.20784655493874</v>
      </c>
      <c r="R34" s="1826">
        <v>100.16121517045308</v>
      </c>
      <c r="S34" s="1826">
        <v>117.42943884653636</v>
      </c>
      <c r="T34" s="3018">
        <v>109.93557862781473</v>
      </c>
    </row>
    <row r="35" spans="1:20">
      <c r="A35" s="483">
        <v>2006.02</v>
      </c>
      <c r="B35" s="1230">
        <v>94.7</v>
      </c>
      <c r="C35" s="3019">
        <f t="shared" si="0"/>
        <v>-2.471678681771361E-2</v>
      </c>
      <c r="D35" s="3505">
        <v>0.11382801131894137</v>
      </c>
      <c r="E35" s="1542">
        <v>44.584758398144572</v>
      </c>
      <c r="F35" s="3017">
        <v>145.7979677370644</v>
      </c>
      <c r="G35" s="3017">
        <v>153.9004433308489</v>
      </c>
      <c r="H35" s="3017">
        <v>104.09164526982966</v>
      </c>
      <c r="I35" s="3017">
        <v>109.06314338260484</v>
      </c>
      <c r="J35" s="2530">
        <v>129.06727682278728</v>
      </c>
      <c r="K35" s="1543">
        <v>108.4527063235733</v>
      </c>
      <c r="L35" s="1826">
        <v>129.8322148240386</v>
      </c>
      <c r="M35" s="1826">
        <v>100.83107724518311</v>
      </c>
      <c r="N35" s="1826">
        <v>124.99802462508667</v>
      </c>
      <c r="O35" s="1826">
        <v>106.39060564312013</v>
      </c>
      <c r="P35" s="1826">
        <v>101.1317839621498</v>
      </c>
      <c r="Q35" s="1826">
        <v>104.90860394096251</v>
      </c>
      <c r="R35" s="1826">
        <v>100.27346463785662</v>
      </c>
      <c r="S35" s="1826">
        <v>116.77890973805643</v>
      </c>
      <c r="T35" s="3018">
        <v>109.58475080390855</v>
      </c>
    </row>
    <row r="36" spans="1:20">
      <c r="A36" s="483">
        <v>2006.03</v>
      </c>
      <c r="B36" s="1230">
        <v>147.69999999999999</v>
      </c>
      <c r="C36" s="3019">
        <f t="shared" si="0"/>
        <v>0.55966209081309382</v>
      </c>
      <c r="D36" s="3505">
        <v>8.1450568846524588E-2</v>
      </c>
      <c r="E36" s="1542">
        <v>247.73660234731798</v>
      </c>
      <c r="F36" s="3017">
        <v>163.6085818427936</v>
      </c>
      <c r="G36" s="3017">
        <v>142.36249813991958</v>
      </c>
      <c r="H36" s="3017">
        <v>123.43716093118802</v>
      </c>
      <c r="I36" s="3017">
        <v>114.37766527061082</v>
      </c>
      <c r="J36" s="2530">
        <v>151.64872403899582</v>
      </c>
      <c r="K36" s="1543">
        <v>125.67187689230417</v>
      </c>
      <c r="L36" s="1826">
        <v>128.44548038769457</v>
      </c>
      <c r="M36" s="1826">
        <v>145.69568936464623</v>
      </c>
      <c r="N36" s="1826">
        <v>132.56701692554839</v>
      </c>
      <c r="O36" s="1826">
        <v>111.16987161942691</v>
      </c>
      <c r="P36" s="1826">
        <v>101.43276388047394</v>
      </c>
      <c r="Q36" s="1826">
        <v>104.95318349010603</v>
      </c>
      <c r="R36" s="1826">
        <v>100.25389287416002</v>
      </c>
      <c r="S36" s="1826">
        <v>118.90549673511815</v>
      </c>
      <c r="T36" s="3018">
        <v>105.93272852555828</v>
      </c>
    </row>
    <row r="37" spans="1:20">
      <c r="A37" s="483">
        <v>2006.04</v>
      </c>
      <c r="B37" s="1230">
        <v>169.4</v>
      </c>
      <c r="C37" s="3019">
        <f t="shared" si="0"/>
        <v>0.14691943127962093</v>
      </c>
      <c r="D37" s="3505">
        <v>5.0203934056361144E-2</v>
      </c>
      <c r="E37" s="1542">
        <v>352.7449881156889</v>
      </c>
      <c r="F37" s="3017">
        <v>55.527035502252012</v>
      </c>
      <c r="G37" s="3017">
        <v>152.53185355329225</v>
      </c>
      <c r="H37" s="3017">
        <v>125.32221550339536</v>
      </c>
      <c r="I37" s="3017">
        <v>109.89225711971712</v>
      </c>
      <c r="J37" s="2530">
        <v>139.15603843675902</v>
      </c>
      <c r="K37" s="1543">
        <v>127.78581945448184</v>
      </c>
      <c r="L37" s="1826">
        <v>124.9427213453435</v>
      </c>
      <c r="M37" s="1826">
        <v>161.80764541000531</v>
      </c>
      <c r="N37" s="1826">
        <v>132.05232610267385</v>
      </c>
      <c r="O37" s="1826">
        <v>104.56876297487327</v>
      </c>
      <c r="P37" s="1826">
        <v>101.41450885709338</v>
      </c>
      <c r="Q37" s="1826">
        <v>105.0766812267984</v>
      </c>
      <c r="R37" s="1826">
        <v>99.905723477819166</v>
      </c>
      <c r="S37" s="1826">
        <v>118.41366285161712</v>
      </c>
      <c r="T37" s="3018">
        <v>107.82115113583208</v>
      </c>
    </row>
    <row r="38" spans="1:20">
      <c r="A38" s="483">
        <v>2006.05</v>
      </c>
      <c r="B38" s="1230">
        <v>147.4</v>
      </c>
      <c r="C38" s="3019">
        <f t="shared" si="0"/>
        <v>-0.12987012987012991</v>
      </c>
      <c r="D38" s="3505">
        <v>0.13048682888752583</v>
      </c>
      <c r="E38" s="1542">
        <v>214.79344917196542</v>
      </c>
      <c r="F38" s="3017">
        <v>142.23663000001599</v>
      </c>
      <c r="G38" s="3017">
        <v>160.72533489028797</v>
      </c>
      <c r="H38" s="3017">
        <v>135.90865918576631</v>
      </c>
      <c r="I38" s="3017">
        <v>116.3614157745652</v>
      </c>
      <c r="J38" s="2530">
        <v>166.27187755960026</v>
      </c>
      <c r="K38" s="1543">
        <v>141.53294715860423</v>
      </c>
      <c r="L38" s="1826">
        <v>126.86741308035356</v>
      </c>
      <c r="M38" s="1826">
        <v>146.16042432155103</v>
      </c>
      <c r="N38" s="1826">
        <v>137.24792923756891</v>
      </c>
      <c r="O38" s="1826">
        <v>104.22306622262816</v>
      </c>
      <c r="P38" s="1826">
        <v>101.46064856362851</v>
      </c>
      <c r="Q38" s="1826">
        <v>105.34750008579434</v>
      </c>
      <c r="R38" s="1826">
        <v>100.0498626604022</v>
      </c>
      <c r="S38" s="1826">
        <v>119.23000130724535</v>
      </c>
      <c r="T38" s="3018">
        <v>113.11495003308652</v>
      </c>
    </row>
    <row r="39" spans="1:20">
      <c r="A39" s="483">
        <v>2006.06</v>
      </c>
      <c r="B39" s="1230">
        <v>109.2</v>
      </c>
      <c r="C39" s="3019">
        <f t="shared" si="0"/>
        <v>-0.25915875169606517</v>
      </c>
      <c r="D39" s="3505">
        <v>8.0714206437059163E-2</v>
      </c>
      <c r="E39" s="1542">
        <v>57.230402145338758</v>
      </c>
      <c r="F39" s="3017">
        <v>112.40735971747998</v>
      </c>
      <c r="G39" s="3017">
        <v>158.28986822111034</v>
      </c>
      <c r="H39" s="3017">
        <v>121.59308258557913</v>
      </c>
      <c r="I39" s="3017">
        <v>114.19339145223697</v>
      </c>
      <c r="J39" s="2530">
        <v>161.93795037655022</v>
      </c>
      <c r="K39" s="1543">
        <v>134.21219900589477</v>
      </c>
      <c r="L39" s="1826">
        <v>127.96994279944336</v>
      </c>
      <c r="M39" s="1826">
        <v>116.28248592821328</v>
      </c>
      <c r="N39" s="1826">
        <v>138.31607262499895</v>
      </c>
      <c r="O39" s="1826">
        <v>107.77971936002281</v>
      </c>
      <c r="P39" s="1826">
        <v>101.31892071794779</v>
      </c>
      <c r="Q39" s="1826">
        <v>105.63225010078182</v>
      </c>
      <c r="R39" s="1826">
        <v>100.14574518573173</v>
      </c>
      <c r="S39" s="1826">
        <v>120.95097655272167</v>
      </c>
      <c r="T39" s="3018">
        <v>119.0242286702217</v>
      </c>
    </row>
    <row r="40" spans="1:20">
      <c r="A40" s="483">
        <v>2006.07</v>
      </c>
      <c r="B40" s="1230">
        <v>105.8</v>
      </c>
      <c r="C40" s="3019">
        <f t="shared" si="0"/>
        <v>-3.1135531135531136E-2</v>
      </c>
      <c r="D40" s="3505">
        <v>0.12418529941723101</v>
      </c>
      <c r="E40" s="1542">
        <v>37.919111832034893</v>
      </c>
      <c r="F40" s="3017">
        <v>45.759607974877319</v>
      </c>
      <c r="G40" s="3017">
        <v>190.3882571940803</v>
      </c>
      <c r="H40" s="3017">
        <v>127.12725807455958</v>
      </c>
      <c r="I40" s="3017">
        <v>118.11526872615613</v>
      </c>
      <c r="J40" s="2530">
        <v>150.36513490692164</v>
      </c>
      <c r="K40" s="1543">
        <v>130.14605121619712</v>
      </c>
      <c r="L40" s="1826">
        <v>132.47566823421539</v>
      </c>
      <c r="M40" s="1826">
        <v>118.37519145273899</v>
      </c>
      <c r="N40" s="1826">
        <v>131.06588133939334</v>
      </c>
      <c r="O40" s="1826">
        <v>107.58322935061612</v>
      </c>
      <c r="P40" s="1826">
        <v>101.54666492249513</v>
      </c>
      <c r="Q40" s="1826">
        <v>105.54729632408394</v>
      </c>
      <c r="R40" s="1826">
        <v>100.56562289790878</v>
      </c>
      <c r="S40" s="1826">
        <v>120.3679092287001</v>
      </c>
      <c r="T40" s="3018">
        <v>120.34677575073802</v>
      </c>
    </row>
    <row r="41" spans="1:20">
      <c r="A41" s="483">
        <v>2006.08</v>
      </c>
      <c r="B41" s="1230">
        <v>112.9</v>
      </c>
      <c r="C41" s="3019">
        <f t="shared" si="0"/>
        <v>6.7107750472589878E-2</v>
      </c>
      <c r="D41" s="3505">
        <v>0.11197513549142822</v>
      </c>
      <c r="E41" s="1542">
        <v>41.444092389199341</v>
      </c>
      <c r="F41" s="3017">
        <v>69.344515617336469</v>
      </c>
      <c r="G41" s="3017">
        <v>156.42616641520638</v>
      </c>
      <c r="H41" s="3017">
        <v>142.41501987434091</v>
      </c>
      <c r="I41" s="3017">
        <v>118.53152526302996</v>
      </c>
      <c r="J41" s="2530">
        <v>187.89860027867792</v>
      </c>
      <c r="K41" s="1543">
        <v>130.77193369516601</v>
      </c>
      <c r="L41" s="1826">
        <v>132.96522853882144</v>
      </c>
      <c r="M41" s="1826">
        <v>124.78371561062315</v>
      </c>
      <c r="N41" s="1826">
        <v>132.462124244291</v>
      </c>
      <c r="O41" s="1826">
        <v>112.23794967934133</v>
      </c>
      <c r="P41" s="1826">
        <v>101.76992030504077</v>
      </c>
      <c r="Q41" s="1826">
        <v>106.02339821487219</v>
      </c>
      <c r="R41" s="1826">
        <v>100.79200428140079</v>
      </c>
      <c r="S41" s="1826">
        <v>120.51260006579831</v>
      </c>
      <c r="T41" s="3018">
        <v>119.31749515933194</v>
      </c>
    </row>
    <row r="42" spans="1:20">
      <c r="A42" s="483">
        <v>2006.09</v>
      </c>
      <c r="B42" s="1230">
        <v>110.6</v>
      </c>
      <c r="C42" s="3019">
        <f t="shared" si="0"/>
        <v>-2.037201062887517E-2</v>
      </c>
      <c r="D42" s="3505">
        <v>0.1350296191001128</v>
      </c>
      <c r="E42" s="1542">
        <v>39.792218006794783</v>
      </c>
      <c r="F42" s="3017">
        <v>60.256185834254275</v>
      </c>
      <c r="G42" s="3017">
        <v>173.6343286259717</v>
      </c>
      <c r="H42" s="3017">
        <v>137.83467783280804</v>
      </c>
      <c r="I42" s="3017">
        <v>110.7428295564236</v>
      </c>
      <c r="J42" s="2530">
        <v>171.58931898976985</v>
      </c>
      <c r="K42" s="1543">
        <v>131.59603172312828</v>
      </c>
      <c r="L42" s="1826">
        <v>132.75560008840807</v>
      </c>
      <c r="M42" s="1826">
        <v>121.33188102172227</v>
      </c>
      <c r="N42" s="1826">
        <v>133.21048705607069</v>
      </c>
      <c r="O42" s="1826">
        <v>110.54469365165292</v>
      </c>
      <c r="P42" s="1826">
        <v>101.78231834029432</v>
      </c>
      <c r="Q42" s="1826">
        <v>106.13102792948524</v>
      </c>
      <c r="R42" s="1826">
        <v>101.57356194583751</v>
      </c>
      <c r="S42" s="1826">
        <v>121.15969512667425</v>
      </c>
      <c r="T42" s="3018">
        <v>117.97458936738573</v>
      </c>
    </row>
    <row r="43" spans="1:20">
      <c r="A43" s="483">
        <v>2006.1</v>
      </c>
      <c r="B43" s="1230">
        <v>112.5</v>
      </c>
      <c r="C43" s="3019">
        <f t="shared" si="0"/>
        <v>1.7179023508137492E-2</v>
      </c>
      <c r="D43" s="3505">
        <v>0.10501634898327537</v>
      </c>
      <c r="E43" s="1542">
        <v>39.993632430670296</v>
      </c>
      <c r="F43" s="3017">
        <v>88.798408874536506</v>
      </c>
      <c r="G43" s="3017">
        <v>159.75362914046667</v>
      </c>
      <c r="H43" s="3017">
        <v>139.16450294881281</v>
      </c>
      <c r="I43" s="3017">
        <v>107.80344112159256</v>
      </c>
      <c r="J43" s="2530">
        <v>164.31020507568351</v>
      </c>
      <c r="K43" s="1543">
        <v>139.6801719772632</v>
      </c>
      <c r="L43" s="1826">
        <v>135.87517726001295</v>
      </c>
      <c r="M43" s="1826">
        <v>126.1914661589651</v>
      </c>
      <c r="N43" s="1826">
        <v>145.58295798392464</v>
      </c>
      <c r="O43" s="1826">
        <v>108.15782750800037</v>
      </c>
      <c r="P43" s="1826">
        <v>101.70431944567596</v>
      </c>
      <c r="Q43" s="1826">
        <v>106.45237155421324</v>
      </c>
      <c r="R43" s="1826">
        <v>102.21307453765243</v>
      </c>
      <c r="S43" s="1826">
        <v>122.38122289092692</v>
      </c>
      <c r="T43" s="3018">
        <v>114.90990072900857</v>
      </c>
    </row>
    <row r="44" spans="1:20">
      <c r="A44" s="483">
        <v>2006.11</v>
      </c>
      <c r="B44" s="1230">
        <v>115.9</v>
      </c>
      <c r="C44" s="3019">
        <f t="shared" si="0"/>
        <v>3.0222222222222372E-2</v>
      </c>
      <c r="D44" s="3505">
        <v>0.14185687521275137</v>
      </c>
      <c r="E44" s="1542">
        <v>75.814114382859714</v>
      </c>
      <c r="F44" s="3017">
        <v>96.962792810434578</v>
      </c>
      <c r="G44" s="3017">
        <v>146.2028670572719</v>
      </c>
      <c r="H44" s="3017">
        <v>122.71185807510446</v>
      </c>
      <c r="I44" s="3017">
        <v>112.44469067467293</v>
      </c>
      <c r="J44" s="2530">
        <v>184.44076320632567</v>
      </c>
      <c r="K44" s="1543">
        <v>137.9984248146107</v>
      </c>
      <c r="L44" s="1826">
        <v>137.91059672993592</v>
      </c>
      <c r="M44" s="1826">
        <v>131.27885042875349</v>
      </c>
      <c r="N44" s="1826">
        <v>151.9363434398856</v>
      </c>
      <c r="O44" s="1826">
        <v>108.40740464243414</v>
      </c>
      <c r="P44" s="1826">
        <v>101.76072472050453</v>
      </c>
      <c r="Q44" s="1826">
        <v>106.5466025316848</v>
      </c>
      <c r="R44" s="1826">
        <v>103.10884923462737</v>
      </c>
      <c r="S44" s="1826">
        <v>122.22618795110873</v>
      </c>
      <c r="T44" s="3018">
        <v>113.72389096916129</v>
      </c>
    </row>
    <row r="45" spans="1:20">
      <c r="A45" s="483">
        <v>2006.12</v>
      </c>
      <c r="B45" s="1230">
        <v>119</v>
      </c>
      <c r="C45" s="3019">
        <f t="shared" si="0"/>
        <v>2.6747195858498607E-2</v>
      </c>
      <c r="D45" s="3505">
        <v>0.14236023788670904</v>
      </c>
      <c r="E45" s="1542">
        <v>58.047733676161229</v>
      </c>
      <c r="F45" s="3017">
        <v>91.526085435607342</v>
      </c>
      <c r="G45" s="3017">
        <v>118.13012571832569</v>
      </c>
      <c r="H45" s="3017">
        <v>127.45175605833148</v>
      </c>
      <c r="I45" s="3017">
        <v>125.37986968601091</v>
      </c>
      <c r="J45" s="2530">
        <v>247.84072082043852</v>
      </c>
      <c r="K45" s="1543">
        <v>149.47226195194835</v>
      </c>
      <c r="L45" s="1826">
        <v>138.95308205980103</v>
      </c>
      <c r="M45" s="1826">
        <v>131.43768129633935</v>
      </c>
      <c r="N45" s="1826">
        <v>159.29092829115382</v>
      </c>
      <c r="O45" s="1826">
        <v>117.51945660839544</v>
      </c>
      <c r="P45" s="1826">
        <v>101.88111270786038</v>
      </c>
      <c r="Q45" s="1826">
        <v>106.79768775190594</v>
      </c>
      <c r="R45" s="1826">
        <v>103.06671880316431</v>
      </c>
      <c r="S45" s="1826">
        <v>122.67876449301629</v>
      </c>
      <c r="T45" s="3018">
        <v>114.61080368384536</v>
      </c>
    </row>
    <row r="46" spans="1:20">
      <c r="A46" s="483">
        <v>2007.01</v>
      </c>
      <c r="B46" s="1230">
        <v>103.3</v>
      </c>
      <c r="C46" s="3019">
        <f t="shared" si="0"/>
        <v>-0.13193277310924367</v>
      </c>
      <c r="D46" s="3505">
        <v>6.3812340797649414E-2</v>
      </c>
      <c r="E46" s="1542">
        <v>38.577684892169643</v>
      </c>
      <c r="F46" s="3017">
        <v>54.754926299670046</v>
      </c>
      <c r="G46" s="3017">
        <v>156.61522111254459</v>
      </c>
      <c r="H46" s="3017">
        <v>112.3058859708797</v>
      </c>
      <c r="I46" s="3017">
        <v>136.12137501906136</v>
      </c>
      <c r="J46" s="2530">
        <v>137.88270321696447</v>
      </c>
      <c r="K46" s="1543">
        <v>134.31935711445229</v>
      </c>
      <c r="L46" s="1826">
        <v>133.386505256904</v>
      </c>
      <c r="M46" s="1826">
        <v>110.62047547555876</v>
      </c>
      <c r="N46" s="1826">
        <v>163.22738646221288</v>
      </c>
      <c r="O46" s="1826">
        <v>109.04960060614546</v>
      </c>
      <c r="P46" s="1826">
        <v>104.61773183818242</v>
      </c>
      <c r="Q46" s="1826">
        <v>107.79231127786205</v>
      </c>
      <c r="R46" s="1826">
        <v>107.15798907174086</v>
      </c>
      <c r="S46" s="1826">
        <v>129.21596023831603</v>
      </c>
      <c r="T46" s="3018">
        <v>119.43655066018249</v>
      </c>
    </row>
    <row r="47" spans="1:20">
      <c r="A47" s="483">
        <v>2007.02</v>
      </c>
      <c r="B47" s="1230">
        <v>101.5</v>
      </c>
      <c r="C47" s="3019">
        <f t="shared" si="0"/>
        <v>-1.742497579864466E-2</v>
      </c>
      <c r="D47" s="3505">
        <v>7.2716985717804272E-2</v>
      </c>
      <c r="E47" s="1542">
        <v>41.586183462530329</v>
      </c>
      <c r="F47" s="3017">
        <v>26.187749115494483</v>
      </c>
      <c r="G47" s="3017">
        <v>154.32083481308294</v>
      </c>
      <c r="H47" s="3017">
        <v>110.7067161547218</v>
      </c>
      <c r="I47" s="3017">
        <v>108.58629435038392</v>
      </c>
      <c r="J47" s="2530">
        <v>162.95343395830227</v>
      </c>
      <c r="K47" s="1543">
        <v>120.3107784129987</v>
      </c>
      <c r="L47" s="1826">
        <v>133.82818515423898</v>
      </c>
      <c r="M47" s="1826">
        <v>107.96539548045972</v>
      </c>
      <c r="N47" s="1826">
        <v>154.38891864716095</v>
      </c>
      <c r="O47" s="1826">
        <v>113.39078503453067</v>
      </c>
      <c r="P47" s="1826">
        <v>105.02382514982163</v>
      </c>
      <c r="Q47" s="1826">
        <v>107.5696042785833</v>
      </c>
      <c r="R47" s="1826">
        <v>107.14997768845859</v>
      </c>
      <c r="S47" s="1826">
        <v>130.19176851055576</v>
      </c>
      <c r="T47" s="3018">
        <v>121.85903247251798</v>
      </c>
    </row>
    <row r="48" spans="1:20">
      <c r="A48" s="483">
        <v>2007.03</v>
      </c>
      <c r="B48" s="1230">
        <v>159.6</v>
      </c>
      <c r="C48" s="3019">
        <f t="shared" si="0"/>
        <v>0.57241379310344831</v>
      </c>
      <c r="D48" s="3505">
        <v>8.098540071315341E-2</v>
      </c>
      <c r="E48" s="1542">
        <v>263.06026743335343</v>
      </c>
      <c r="F48" s="3017">
        <v>42.938228960044434</v>
      </c>
      <c r="G48" s="3017">
        <v>100.41869023141372</v>
      </c>
      <c r="H48" s="3017">
        <v>136.53049814608377</v>
      </c>
      <c r="I48" s="3017">
        <v>120.77807707861197</v>
      </c>
      <c r="J48" s="2530">
        <v>167.08777729010387</v>
      </c>
      <c r="K48" s="1543">
        <v>135.22573154271896</v>
      </c>
      <c r="L48" s="1826">
        <v>137.61055185036602</v>
      </c>
      <c r="M48" s="1826">
        <v>160.47631649675128</v>
      </c>
      <c r="N48" s="1826">
        <v>163.85839487104585</v>
      </c>
      <c r="O48" s="1826">
        <v>119.29218423463224</v>
      </c>
      <c r="P48" s="1826">
        <v>104.90982790797398</v>
      </c>
      <c r="Q48" s="1826">
        <v>107.69715496905656</v>
      </c>
      <c r="R48" s="1826">
        <v>106.8538176203248</v>
      </c>
      <c r="S48" s="1826">
        <v>130.08040269693123</v>
      </c>
      <c r="T48" s="3018">
        <v>117.19789247956469</v>
      </c>
    </row>
    <row r="49" spans="1:20">
      <c r="A49" s="483">
        <v>2007.04</v>
      </c>
      <c r="B49" s="1230">
        <v>178.2</v>
      </c>
      <c r="C49" s="3019">
        <f t="shared" si="0"/>
        <v>0.11654135338345872</v>
      </c>
      <c r="D49" s="3505">
        <v>5.18978810169064E-2</v>
      </c>
      <c r="E49" s="1542">
        <v>381.24491692854383</v>
      </c>
      <c r="F49" s="3017">
        <v>49.13382687744047</v>
      </c>
      <c r="G49" s="3017">
        <v>131.55447635417866</v>
      </c>
      <c r="H49" s="3017">
        <v>122.70566481222195</v>
      </c>
      <c r="I49" s="3017">
        <v>113.56196726820265</v>
      </c>
      <c r="J49" s="2530">
        <v>153.52031034901782</v>
      </c>
      <c r="K49" s="1543">
        <v>134.12496973633966</v>
      </c>
      <c r="L49" s="1826">
        <v>136.75163295894043</v>
      </c>
      <c r="M49" s="1826">
        <v>172.32320539818562</v>
      </c>
      <c r="N49" s="1826">
        <v>163.8890324796082</v>
      </c>
      <c r="O49" s="1826">
        <v>105.74045543393758</v>
      </c>
      <c r="P49" s="1826">
        <v>105.62556931253897</v>
      </c>
      <c r="Q49" s="1826">
        <v>107.9021367179806</v>
      </c>
      <c r="R49" s="1826">
        <v>109.17837030625114</v>
      </c>
      <c r="S49" s="1826">
        <v>129.1838688651099</v>
      </c>
      <c r="T49" s="3018">
        <v>115.58158814689357</v>
      </c>
    </row>
    <row r="50" spans="1:20">
      <c r="A50" s="483">
        <v>2007.05</v>
      </c>
      <c r="B50" s="1230">
        <v>155.1</v>
      </c>
      <c r="C50" s="3019">
        <f t="shared" si="0"/>
        <v>-0.12962962962962965</v>
      </c>
      <c r="D50" s="3505">
        <v>5.2448345285560638E-2</v>
      </c>
      <c r="E50" s="1542">
        <v>231.43234414682436</v>
      </c>
      <c r="F50" s="3017">
        <v>35.176057227766663</v>
      </c>
      <c r="G50" s="3017">
        <v>153.54858358184023</v>
      </c>
      <c r="H50" s="3017">
        <v>133.49214812958166</v>
      </c>
      <c r="I50" s="3017">
        <v>120.98035975257532</v>
      </c>
      <c r="J50" s="2530">
        <v>173.23863310705252</v>
      </c>
      <c r="K50" s="1543">
        <v>155.57901105337106</v>
      </c>
      <c r="L50" s="1826">
        <v>135.54844066513868</v>
      </c>
      <c r="M50" s="1826">
        <v>155.99128036528384</v>
      </c>
      <c r="N50" s="1826">
        <v>169.67051714834182</v>
      </c>
      <c r="O50" s="1826">
        <v>107.84477474906092</v>
      </c>
      <c r="P50" s="1826">
        <v>105.26248682223061</v>
      </c>
      <c r="Q50" s="1826">
        <v>108.04135246352826</v>
      </c>
      <c r="R50" s="1826">
        <v>108.99122319880182</v>
      </c>
      <c r="S50" s="1826">
        <v>129.1067426423914</v>
      </c>
      <c r="T50" s="3018">
        <v>117.49206728815581</v>
      </c>
    </row>
    <row r="51" spans="1:20">
      <c r="A51" s="483">
        <v>2007.06</v>
      </c>
      <c r="B51" s="1230">
        <v>119.8</v>
      </c>
      <c r="C51" s="3019">
        <f t="shared" si="0"/>
        <v>-0.2275950999355254</v>
      </c>
      <c r="D51" s="3505">
        <v>9.7208345126142751E-2</v>
      </c>
      <c r="E51" s="1542">
        <v>55.939178219187156</v>
      </c>
      <c r="F51" s="3017">
        <v>36.310022773861469</v>
      </c>
      <c r="G51" s="3017">
        <v>162.99171268147865</v>
      </c>
      <c r="H51" s="3017">
        <v>134.12619376414969</v>
      </c>
      <c r="I51" s="3017">
        <v>109.3987512499227</v>
      </c>
      <c r="J51" s="2530">
        <v>189.78094175429499</v>
      </c>
      <c r="K51" s="1543">
        <v>156.23671756051738</v>
      </c>
      <c r="L51" s="1826">
        <v>133.03066451446847</v>
      </c>
      <c r="M51" s="1826">
        <v>129.1276391892232</v>
      </c>
      <c r="N51" s="1826">
        <v>168.93600426869006</v>
      </c>
      <c r="O51" s="1826">
        <v>114.16746405017327</v>
      </c>
      <c r="P51" s="1826">
        <v>105.37186240543267</v>
      </c>
      <c r="Q51" s="1826">
        <v>108.49777954225486</v>
      </c>
      <c r="R51" s="1826">
        <v>109.11725000978947</v>
      </c>
      <c r="S51" s="1826">
        <v>129.07078291412097</v>
      </c>
      <c r="T51" s="3018">
        <v>119.95310720907904</v>
      </c>
    </row>
    <row r="52" spans="1:20">
      <c r="A52" s="483">
        <v>2007.07</v>
      </c>
      <c r="B52" s="1230">
        <v>121.4</v>
      </c>
      <c r="C52" s="3019">
        <f t="shared" si="0"/>
        <v>1.3355592654424209E-2</v>
      </c>
      <c r="D52" s="3505">
        <v>0.147199238963307</v>
      </c>
      <c r="E52" s="1542">
        <v>34.087143435161323</v>
      </c>
      <c r="F52" s="3017">
        <v>116.03118686879712</v>
      </c>
      <c r="G52" s="3017">
        <v>195.12766388199034</v>
      </c>
      <c r="H52" s="3017">
        <v>157.02723890206195</v>
      </c>
      <c r="I52" s="3017">
        <v>114.69504949448987</v>
      </c>
      <c r="J52" s="2530">
        <v>170.2800743444962</v>
      </c>
      <c r="K52" s="1543">
        <v>155.97862921475843</v>
      </c>
      <c r="L52" s="1826">
        <v>140.72752249591056</v>
      </c>
      <c r="M52" s="1826">
        <v>135.58240647158681</v>
      </c>
      <c r="N52" s="1826">
        <v>158.74070290489311</v>
      </c>
      <c r="O52" s="1826">
        <v>113.48032781646772</v>
      </c>
      <c r="P52" s="1826">
        <v>105.85866626759994</v>
      </c>
      <c r="Q52" s="1826">
        <v>109.32050724633405</v>
      </c>
      <c r="R52" s="1826">
        <v>109.93052771469297</v>
      </c>
      <c r="S52" s="1826">
        <v>127.38779895552427</v>
      </c>
      <c r="T52" s="3018">
        <v>117.9520429966886</v>
      </c>
    </row>
    <row r="53" spans="1:20">
      <c r="A53" s="483">
        <v>2007.08</v>
      </c>
      <c r="B53" s="1230">
        <v>122.7</v>
      </c>
      <c r="C53" s="3019">
        <f t="shared" si="0"/>
        <v>1.0708401976935678E-2</v>
      </c>
      <c r="D53" s="3505">
        <v>8.6534290824337834E-2</v>
      </c>
      <c r="E53" s="1542">
        <v>36.324895347790502</v>
      </c>
      <c r="F53" s="3017">
        <v>103.81772547356778</v>
      </c>
      <c r="G53" s="3017">
        <v>165.03358531645571</v>
      </c>
      <c r="H53" s="3017">
        <v>151.73114185628117</v>
      </c>
      <c r="I53" s="3017">
        <v>111.61109233601508</v>
      </c>
      <c r="J53" s="2530">
        <v>195.71100403754684</v>
      </c>
      <c r="K53" s="1543">
        <v>161.01200735455055</v>
      </c>
      <c r="L53" s="1826">
        <v>143.56211382207741</v>
      </c>
      <c r="M53" s="1826">
        <v>138.29713258761905</v>
      </c>
      <c r="N53" s="1826">
        <v>158.45944796176124</v>
      </c>
      <c r="O53" s="1826">
        <v>119.3964875330887</v>
      </c>
      <c r="P53" s="1826">
        <v>105.61505230418544</v>
      </c>
      <c r="Q53" s="1826">
        <v>109.39856111182308</v>
      </c>
      <c r="R53" s="1826">
        <v>110.5053096704621</v>
      </c>
      <c r="S53" s="1826">
        <v>127.69049130293197</v>
      </c>
      <c r="T53" s="3018">
        <v>115.21931213870772</v>
      </c>
    </row>
    <row r="54" spans="1:20">
      <c r="A54" s="483">
        <v>2007.09</v>
      </c>
      <c r="B54" s="1230">
        <v>120.6</v>
      </c>
      <c r="C54" s="3019">
        <f t="shared" si="0"/>
        <v>-1.7114914425427896E-2</v>
      </c>
      <c r="D54" s="3505">
        <v>9.040918769269958E-2</v>
      </c>
      <c r="E54" s="1542">
        <v>29.632960593378353</v>
      </c>
      <c r="F54" s="3017">
        <v>47.425073769943843</v>
      </c>
      <c r="G54" s="3017">
        <v>145.14143348914385</v>
      </c>
      <c r="H54" s="3017">
        <v>151.52898411018953</v>
      </c>
      <c r="I54" s="3017">
        <v>108.84794094304874</v>
      </c>
      <c r="J54" s="2530">
        <v>194.86738102388583</v>
      </c>
      <c r="K54" s="1543">
        <v>157.03079589573699</v>
      </c>
      <c r="L54" s="1826">
        <v>142.66354869698304</v>
      </c>
      <c r="M54" s="1826">
        <v>138.36090821873509</v>
      </c>
      <c r="N54" s="1826">
        <v>151.29243676817063</v>
      </c>
      <c r="O54" s="1826">
        <v>119.66779501986952</v>
      </c>
      <c r="P54" s="1826">
        <v>108.16630485120639</v>
      </c>
      <c r="Q54" s="1826">
        <v>109.57545154612475</v>
      </c>
      <c r="R54" s="1826">
        <v>113.05713769614464</v>
      </c>
      <c r="S54" s="1826">
        <v>128.73963749323082</v>
      </c>
      <c r="T54" s="3018">
        <v>112.08382288003105</v>
      </c>
    </row>
    <row r="55" spans="1:20">
      <c r="A55" s="483">
        <v>2007.1</v>
      </c>
      <c r="B55" s="1230">
        <v>127.6</v>
      </c>
      <c r="C55" s="3019">
        <f t="shared" si="0"/>
        <v>5.8043117744610351E-2</v>
      </c>
      <c r="D55" s="3505">
        <v>0.13445113651065999</v>
      </c>
      <c r="E55" s="1542">
        <v>34.584312669579987</v>
      </c>
      <c r="F55" s="3017">
        <v>33.461481500386611</v>
      </c>
      <c r="G55" s="3017">
        <v>177.95800030332165</v>
      </c>
      <c r="H55" s="3017">
        <v>162.39091328384637</v>
      </c>
      <c r="I55" s="3017">
        <v>126.11716971991977</v>
      </c>
      <c r="J55" s="2530">
        <v>179.71132996991244</v>
      </c>
      <c r="K55" s="1543">
        <v>175.53270781885175</v>
      </c>
      <c r="L55" s="1826">
        <v>144.76873086595509</v>
      </c>
      <c r="M55" s="1826">
        <v>145.36990481248824</v>
      </c>
      <c r="N55" s="1826">
        <v>160.75082148360804</v>
      </c>
      <c r="O55" s="1826">
        <v>112.22368396358847</v>
      </c>
      <c r="P55" s="1826">
        <v>111.42606608466309</v>
      </c>
      <c r="Q55" s="1826">
        <v>109.73503838574541</v>
      </c>
      <c r="R55" s="1826">
        <v>113.12763175074105</v>
      </c>
      <c r="S55" s="1826">
        <v>129.37301024801113</v>
      </c>
      <c r="T55" s="3018">
        <v>107.25121988320035</v>
      </c>
    </row>
    <row r="56" spans="1:20">
      <c r="A56" s="483">
        <v>2007.11</v>
      </c>
      <c r="B56" s="1230">
        <v>132.69999999999999</v>
      </c>
      <c r="C56" s="3019">
        <f t="shared" si="0"/>
        <v>3.9968652037617458E-2</v>
      </c>
      <c r="D56" s="3505">
        <v>0.1446406646360674</v>
      </c>
      <c r="E56" s="1542">
        <v>83.125072452509201</v>
      </c>
      <c r="F56" s="3017">
        <v>48.433460684368065</v>
      </c>
      <c r="G56" s="3017">
        <v>201.39024351233994</v>
      </c>
      <c r="H56" s="3017">
        <v>145.64430677123059</v>
      </c>
      <c r="I56" s="3017">
        <v>126.93037760046916</v>
      </c>
      <c r="J56" s="2530">
        <v>217.88265973443734</v>
      </c>
      <c r="K56" s="1543">
        <v>168.7759055637938</v>
      </c>
      <c r="L56" s="1826">
        <v>146.04024612456436</v>
      </c>
      <c r="M56" s="1826">
        <v>151.49831575692923</v>
      </c>
      <c r="N56" s="1826">
        <v>164.48084880343833</v>
      </c>
      <c r="O56" s="1826">
        <v>108.21234551594422</v>
      </c>
      <c r="P56" s="1826">
        <v>109.71524775687925</v>
      </c>
      <c r="Q56" s="1826">
        <v>109.91739546500369</v>
      </c>
      <c r="R56" s="1826">
        <v>113.66011660633953</v>
      </c>
      <c r="S56" s="1826">
        <v>129.05327775417982</v>
      </c>
      <c r="T56" s="3018">
        <v>106.56663327741504</v>
      </c>
    </row>
    <row r="57" spans="1:20">
      <c r="A57" s="483">
        <v>2007.12</v>
      </c>
      <c r="B57" s="1230">
        <v>131.9</v>
      </c>
      <c r="C57" s="3019">
        <f t="shared" si="0"/>
        <v>-6.0286360211001533E-3</v>
      </c>
      <c r="D57" s="3505">
        <v>0.10870134123337261</v>
      </c>
      <c r="E57" s="1542">
        <v>62.96268828309708</v>
      </c>
      <c r="F57" s="3017">
        <v>68.080879749225488</v>
      </c>
      <c r="G57" s="3017">
        <v>152.49780068507908</v>
      </c>
      <c r="H57" s="3017">
        <v>142.21557644018924</v>
      </c>
      <c r="I57" s="3017">
        <v>133.5531729107561</v>
      </c>
      <c r="J57" s="2530">
        <v>214.92424911896882</v>
      </c>
      <c r="K57" s="1543">
        <v>181.03503337332529</v>
      </c>
      <c r="L57" s="1826">
        <v>142.58263467728665</v>
      </c>
      <c r="M57" s="1826">
        <v>148.93033712210783</v>
      </c>
      <c r="N57" s="1826">
        <v>172.52181063648214</v>
      </c>
      <c r="O57" s="1826">
        <v>129.15547712320898</v>
      </c>
      <c r="P57" s="1826">
        <v>110.03462694670263</v>
      </c>
      <c r="Q57" s="1826">
        <v>110.20607765991933</v>
      </c>
      <c r="R57" s="1826">
        <v>113.25057930023445</v>
      </c>
      <c r="S57" s="1826">
        <v>130.42866415758951</v>
      </c>
      <c r="T57" s="3018">
        <v>110.42744262928463</v>
      </c>
    </row>
    <row r="58" spans="1:20">
      <c r="A58" s="483">
        <f t="shared" ref="A58:A121" si="1">A46+1</f>
        <v>2008.01</v>
      </c>
      <c r="B58" s="1230">
        <v>118.7</v>
      </c>
      <c r="C58" s="3019">
        <f t="shared" si="0"/>
        <v>-0.1000758150113723</v>
      </c>
      <c r="D58" s="3505">
        <v>0.14895282784867514</v>
      </c>
      <c r="E58" s="1542">
        <v>50.073136715950447</v>
      </c>
      <c r="F58" s="3017">
        <v>25.220768746927991</v>
      </c>
      <c r="G58" s="3017">
        <v>205.03918992499695</v>
      </c>
      <c r="H58" s="3017">
        <v>126.6112311779936</v>
      </c>
      <c r="I58" s="3017">
        <v>128.23672591266904</v>
      </c>
      <c r="J58" s="2530">
        <v>161.46613307035719</v>
      </c>
      <c r="K58" s="1543">
        <v>167.07086699645942</v>
      </c>
      <c r="L58" s="1826">
        <v>143.81789243061618</v>
      </c>
      <c r="M58" s="1826">
        <v>134.1293374494079</v>
      </c>
      <c r="N58" s="1826">
        <v>181.3357473874097</v>
      </c>
      <c r="O58" s="1826">
        <v>109.71799925884704</v>
      </c>
      <c r="P58" s="1826">
        <v>110.57676000538825</v>
      </c>
      <c r="Q58" s="1826">
        <v>110.44084280478184</v>
      </c>
      <c r="R58" s="1826">
        <v>116.25602047539867</v>
      </c>
      <c r="S58" s="1826">
        <v>142.73401554401102</v>
      </c>
      <c r="T58" s="3018">
        <v>119.50129481972753</v>
      </c>
    </row>
    <row r="59" spans="1:20">
      <c r="A59" s="483">
        <f t="shared" si="1"/>
        <v>2008.02</v>
      </c>
      <c r="B59" s="1230">
        <v>116</v>
      </c>
      <c r="C59" s="3019">
        <f t="shared" si="0"/>
        <v>-2.2746419545071617E-2</v>
      </c>
      <c r="D59" s="3505">
        <v>0.14271939538799328</v>
      </c>
      <c r="E59" s="1542">
        <v>51.963104831227326</v>
      </c>
      <c r="F59" s="3017">
        <v>38.157539539469887</v>
      </c>
      <c r="G59" s="3017">
        <v>192.83064245670627</v>
      </c>
      <c r="H59" s="3017">
        <v>119.56574868570509</v>
      </c>
      <c r="I59" s="3017">
        <v>128.18653449825152</v>
      </c>
      <c r="J59" s="2530">
        <v>176.80163306940665</v>
      </c>
      <c r="K59" s="1543">
        <v>155.3130814235104</v>
      </c>
      <c r="L59" s="1826">
        <v>143.30436603655625</v>
      </c>
      <c r="M59" s="1826">
        <v>132.75641601166063</v>
      </c>
      <c r="N59" s="1826">
        <v>173.07264469033802</v>
      </c>
      <c r="O59" s="1826">
        <v>117.27765588926873</v>
      </c>
      <c r="P59" s="1826">
        <v>110.73400910820409</v>
      </c>
      <c r="Q59" s="1826">
        <v>110.3720988825808</v>
      </c>
      <c r="R59" s="1826">
        <v>116.49138377950108</v>
      </c>
      <c r="S59" s="1826">
        <v>142.86582823739275</v>
      </c>
      <c r="T59" s="3018">
        <v>128.1511833732261</v>
      </c>
    </row>
    <row r="60" spans="1:20">
      <c r="A60" s="483">
        <f t="shared" si="1"/>
        <v>2008.03</v>
      </c>
      <c r="B60" s="1230">
        <v>160.30000000000001</v>
      </c>
      <c r="C60" s="3019">
        <f t="shared" si="0"/>
        <v>0.38189655172413794</v>
      </c>
      <c r="D60" s="3505">
        <v>4.136131851042002E-3</v>
      </c>
      <c r="E60" s="1542">
        <v>267.09385056447138</v>
      </c>
      <c r="F60" s="3017">
        <v>41.204403261662414</v>
      </c>
      <c r="G60" s="3017">
        <v>157.43893649575841</v>
      </c>
      <c r="H60" s="3017">
        <v>116.19603002972114</v>
      </c>
      <c r="I60" s="3017">
        <v>122.30706468562209</v>
      </c>
      <c r="J60" s="2530">
        <v>175.69803667569806</v>
      </c>
      <c r="K60" s="1543">
        <v>153.67583800773463</v>
      </c>
      <c r="L60" s="1826">
        <v>148.29977986828553</v>
      </c>
      <c r="M60" s="1826">
        <v>173.65238020001954</v>
      </c>
      <c r="N60" s="1826">
        <v>169.42546432030971</v>
      </c>
      <c r="O60" s="1826">
        <v>119.89060871657017</v>
      </c>
      <c r="P60" s="1826">
        <v>111.00947397624077</v>
      </c>
      <c r="Q60" s="1826">
        <v>110.59312799307445</v>
      </c>
      <c r="R60" s="1826">
        <v>117.33211442944062</v>
      </c>
      <c r="S60" s="1826">
        <v>145.64234197777745</v>
      </c>
      <c r="T60" s="3018">
        <v>132.672534608615</v>
      </c>
    </row>
    <row r="61" spans="1:20">
      <c r="A61" s="483">
        <f t="shared" si="1"/>
        <v>2008.04</v>
      </c>
      <c r="B61" s="1230">
        <v>199.7</v>
      </c>
      <c r="C61" s="3019">
        <f t="shared" si="0"/>
        <v>0.24578914535246388</v>
      </c>
      <c r="D61" s="3505">
        <v>0.12120229463399212</v>
      </c>
      <c r="E61" s="1542">
        <v>400.30733439754351</v>
      </c>
      <c r="F61" s="3017">
        <v>37.807681641136725</v>
      </c>
      <c r="G61" s="3017">
        <v>196.51559992902423</v>
      </c>
      <c r="H61" s="3017">
        <v>145.0244774394977</v>
      </c>
      <c r="I61" s="3017">
        <v>122.01332668163974</v>
      </c>
      <c r="J61" s="2530">
        <v>177.68181472019327</v>
      </c>
      <c r="K61" s="1543">
        <v>172.46766227309499</v>
      </c>
      <c r="L61" s="1826">
        <v>146.27900488988888</v>
      </c>
      <c r="M61" s="1826">
        <v>202.43687995574385</v>
      </c>
      <c r="N61" s="1826">
        <v>173.04391459327334</v>
      </c>
      <c r="O61" s="1826">
        <v>115.86522589686165</v>
      </c>
      <c r="P61" s="1826">
        <v>110.95750850018956</v>
      </c>
      <c r="Q61" s="1826">
        <v>110.83022649132374</v>
      </c>
      <c r="R61" s="1826">
        <v>117.40467310183195</v>
      </c>
      <c r="S61" s="1826">
        <v>144.97545269499528</v>
      </c>
      <c r="T61" s="3018">
        <v>138.33762831851948</v>
      </c>
    </row>
    <row r="62" spans="1:20">
      <c r="A62" s="483">
        <f t="shared" si="1"/>
        <v>2008.05</v>
      </c>
      <c r="B62" s="1230">
        <v>165.6</v>
      </c>
      <c r="C62" s="3019">
        <f t="shared" si="0"/>
        <v>-0.17075613420130198</v>
      </c>
      <c r="D62" s="3505">
        <v>6.7480706192534212E-2</v>
      </c>
      <c r="E62" s="1542">
        <v>237.45831925143196</v>
      </c>
      <c r="F62" s="3017">
        <v>62.492592088086084</v>
      </c>
      <c r="G62" s="3017">
        <v>184.99907770263619</v>
      </c>
      <c r="H62" s="3017">
        <v>145.21650885685688</v>
      </c>
      <c r="I62" s="3017">
        <v>124.93535630718779</v>
      </c>
      <c r="J62" s="2530">
        <v>186.31685585339187</v>
      </c>
      <c r="K62" s="1543">
        <v>168.27642777099499</v>
      </c>
      <c r="L62" s="1826">
        <v>145.90272337973266</v>
      </c>
      <c r="M62" s="1826">
        <v>178.44495032865478</v>
      </c>
      <c r="N62" s="1826">
        <v>171.79207615051337</v>
      </c>
      <c r="O62" s="1826">
        <v>117.20817014476177</v>
      </c>
      <c r="P62" s="1826">
        <v>110.97024109429668</v>
      </c>
      <c r="Q62" s="1826">
        <v>111.33487068894158</v>
      </c>
      <c r="R62" s="1826">
        <v>117.577057017017</v>
      </c>
      <c r="S62" s="1826">
        <v>144.91775069085477</v>
      </c>
      <c r="T62" s="3018">
        <v>144.27457888094349</v>
      </c>
    </row>
    <row r="63" spans="1:20">
      <c r="A63" s="483">
        <f t="shared" si="1"/>
        <v>2008.06</v>
      </c>
      <c r="B63" s="1230">
        <v>117.7</v>
      </c>
      <c r="C63" s="3019">
        <f t="shared" si="0"/>
        <v>-0.28925120772946855</v>
      </c>
      <c r="D63" s="3505">
        <v>-1.7652932830561463E-2</v>
      </c>
      <c r="E63" s="1542">
        <v>55.628066244281129</v>
      </c>
      <c r="F63" s="3017">
        <v>73.563158850785044</v>
      </c>
      <c r="G63" s="3017">
        <v>135.34968884273391</v>
      </c>
      <c r="H63" s="3017">
        <v>124.68713970385859</v>
      </c>
      <c r="I63" s="3017">
        <v>117.54095390892529</v>
      </c>
      <c r="J63" s="2530">
        <v>172.41897603311534</v>
      </c>
      <c r="K63" s="1543">
        <v>150.590459518003</v>
      </c>
      <c r="L63" s="1826">
        <v>147.27295397351494</v>
      </c>
      <c r="M63" s="1826">
        <v>142.61208254796338</v>
      </c>
      <c r="N63" s="1826">
        <v>166.20252047884168</v>
      </c>
      <c r="O63" s="1826">
        <v>117.06619570000036</v>
      </c>
      <c r="P63" s="1826">
        <v>110.92570758344195</v>
      </c>
      <c r="Q63" s="1826">
        <v>111.88645797860318</v>
      </c>
      <c r="R63" s="1826">
        <v>117.67102788128392</v>
      </c>
      <c r="S63" s="1826">
        <v>145.71628470692076</v>
      </c>
      <c r="T63" s="3018">
        <v>144.39175393083843</v>
      </c>
    </row>
    <row r="64" spans="1:20">
      <c r="A64" s="483">
        <f t="shared" si="1"/>
        <v>2008.07</v>
      </c>
      <c r="B64" s="1230">
        <v>128.6</v>
      </c>
      <c r="C64" s="3019">
        <f t="shared" si="0"/>
        <v>9.2608326253186046E-2</v>
      </c>
      <c r="D64" s="3505">
        <v>5.9032588418441945E-2</v>
      </c>
      <c r="E64" s="1542">
        <v>40.861985170806456</v>
      </c>
      <c r="F64" s="3017">
        <v>53.616830064803722</v>
      </c>
      <c r="G64" s="3017">
        <v>244.18573995002797</v>
      </c>
      <c r="H64" s="3017">
        <v>148.82774157843735</v>
      </c>
      <c r="I64" s="3017">
        <v>145.21924973165594</v>
      </c>
      <c r="J64" s="2530">
        <v>187.75151168214478</v>
      </c>
      <c r="K64" s="1543">
        <v>180.63372567340019</v>
      </c>
      <c r="L64" s="1826">
        <v>151.84323788391845</v>
      </c>
      <c r="M64" s="1826">
        <v>152.48229354572209</v>
      </c>
      <c r="N64" s="1826">
        <v>156.53385839683747</v>
      </c>
      <c r="O64" s="1826">
        <v>122.06127755562541</v>
      </c>
      <c r="P64" s="1826">
        <v>111.09149835300293</v>
      </c>
      <c r="Q64" s="1826">
        <v>112.13417926093432</v>
      </c>
      <c r="R64" s="1826">
        <v>118.47897976269164</v>
      </c>
      <c r="S64" s="1826">
        <v>147.99853594437076</v>
      </c>
      <c r="T64" s="3018">
        <v>131.30203318835399</v>
      </c>
    </row>
    <row r="65" spans="1:20">
      <c r="A65" s="483">
        <f t="shared" si="1"/>
        <v>2008.08</v>
      </c>
      <c r="B65" s="1230">
        <v>125</v>
      </c>
      <c r="C65" s="3019">
        <f t="shared" si="0"/>
        <v>-2.7993779160186527E-2</v>
      </c>
      <c r="D65" s="3505">
        <v>1.8218964103622559E-2</v>
      </c>
      <c r="E65" s="1542">
        <v>41.20695643640758</v>
      </c>
      <c r="F65" s="3017">
        <v>37.884738950389846</v>
      </c>
      <c r="G65" s="3017">
        <v>164.38901364533223</v>
      </c>
      <c r="H65" s="3017">
        <v>145.81393796390321</v>
      </c>
      <c r="I65" s="3017">
        <v>123.38210674480655</v>
      </c>
      <c r="J65" s="2530">
        <v>192.21082885539636</v>
      </c>
      <c r="K65" s="1543">
        <v>166.31516895938941</v>
      </c>
      <c r="L65" s="1826">
        <v>153.7498757122965</v>
      </c>
      <c r="M65" s="1826">
        <v>152.95468451853532</v>
      </c>
      <c r="N65" s="1826">
        <v>165.40422155056294</v>
      </c>
      <c r="O65" s="1826">
        <v>118.35042763961799</v>
      </c>
      <c r="P65" s="1826">
        <v>111.6736113421112</v>
      </c>
      <c r="Q65" s="1826">
        <v>113.72950136229836</v>
      </c>
      <c r="R65" s="1826">
        <v>119.10050825600064</v>
      </c>
      <c r="S65" s="1826">
        <v>147.16516541981866</v>
      </c>
      <c r="T65" s="3018">
        <v>124.83319049158627</v>
      </c>
    </row>
    <row r="66" spans="1:20">
      <c r="A66" s="483">
        <f t="shared" si="1"/>
        <v>2008.09</v>
      </c>
      <c r="B66" s="1230">
        <v>124.6</v>
      </c>
      <c r="C66" s="3019">
        <f t="shared" si="0"/>
        <v>-3.2000000000000917E-3</v>
      </c>
      <c r="D66" s="3505">
        <v>3.3650127120456341E-2</v>
      </c>
      <c r="E66" s="1542">
        <v>39.56430469211687</v>
      </c>
      <c r="F66" s="3017">
        <v>46.107856564365179</v>
      </c>
      <c r="G66" s="3017">
        <v>199.50172732054844</v>
      </c>
      <c r="H66" s="3017">
        <v>148.7712553537765</v>
      </c>
      <c r="I66" s="3017">
        <v>129.97845418393044</v>
      </c>
      <c r="J66" s="2530">
        <v>193.27719171090527</v>
      </c>
      <c r="K66" s="1543">
        <v>162.05901247006045</v>
      </c>
      <c r="L66" s="1826">
        <v>154.0022168754561</v>
      </c>
      <c r="M66" s="1826">
        <v>153.29852172344948</v>
      </c>
      <c r="N66" s="1826">
        <v>159.29977381272667</v>
      </c>
      <c r="O66" s="1826">
        <v>116.59039904154118</v>
      </c>
      <c r="P66" s="1826">
        <v>111.60905915341358</v>
      </c>
      <c r="Q66" s="1826">
        <v>114.11255303964512</v>
      </c>
      <c r="R66" s="1826">
        <v>119.54733056182036</v>
      </c>
      <c r="S66" s="1826">
        <v>148.84387924257271</v>
      </c>
      <c r="T66" s="3018">
        <v>123.17978918049322</v>
      </c>
    </row>
    <row r="67" spans="1:20">
      <c r="A67" s="483">
        <f t="shared" si="1"/>
        <v>2008.1</v>
      </c>
      <c r="B67" s="1230">
        <v>123.8</v>
      </c>
      <c r="C67" s="3019">
        <f t="shared" si="0"/>
        <v>-6.4205457463883953E-3</v>
      </c>
      <c r="D67" s="3505">
        <v>-2.985855463557574E-2</v>
      </c>
      <c r="E67" s="1542">
        <v>38.275301268362696</v>
      </c>
      <c r="F67" s="3017">
        <v>40.174315323025809</v>
      </c>
      <c r="G67" s="3017">
        <v>166.58620740887403</v>
      </c>
      <c r="H67" s="3017">
        <v>143.53510904622925</v>
      </c>
      <c r="I67" s="3017">
        <v>120.42368067755484</v>
      </c>
      <c r="J67" s="2530">
        <v>186.25289785346681</v>
      </c>
      <c r="K67" s="1543">
        <v>168.04180092436542</v>
      </c>
      <c r="L67" s="1826">
        <v>160.99028154838794</v>
      </c>
      <c r="M67" s="1826">
        <v>152.66989652242404</v>
      </c>
      <c r="N67" s="1826">
        <v>170.27704275010879</v>
      </c>
      <c r="O67" s="1826">
        <v>115.85335859279145</v>
      </c>
      <c r="P67" s="1826">
        <v>111.09460866329778</v>
      </c>
      <c r="Q67" s="1826">
        <v>114.48511260378136</v>
      </c>
      <c r="R67" s="1826">
        <v>120.07164082610186</v>
      </c>
      <c r="S67" s="1826">
        <v>149.49380822060078</v>
      </c>
      <c r="T67" s="3018">
        <v>126.72131222687713</v>
      </c>
    </row>
    <row r="68" spans="1:20">
      <c r="A68" s="483">
        <f t="shared" si="1"/>
        <v>2008.11</v>
      </c>
      <c r="B68" s="1230">
        <v>119.1</v>
      </c>
      <c r="C68" s="3019">
        <f t="shared" si="0"/>
        <v>-3.7964458804523482E-2</v>
      </c>
      <c r="D68" s="3505">
        <v>-0.10279427689440845</v>
      </c>
      <c r="E68" s="1542">
        <v>74.480094479599401</v>
      </c>
      <c r="F68" s="3017">
        <v>38.508283154001347</v>
      </c>
      <c r="G68" s="3017">
        <v>143.25201944986892</v>
      </c>
      <c r="H68" s="3017">
        <v>112.34050314595314</v>
      </c>
      <c r="I68" s="3017">
        <v>140.2015178218488</v>
      </c>
      <c r="J68" s="2530">
        <v>192.10119494489041</v>
      </c>
      <c r="K68" s="1543">
        <v>148.63706809428004</v>
      </c>
      <c r="L68" s="1826">
        <v>159.17895951999003</v>
      </c>
      <c r="M68" s="1826">
        <v>150.27788071090214</v>
      </c>
      <c r="N68" s="1826">
        <v>163.29525735454325</v>
      </c>
      <c r="O68" s="1826">
        <v>115.03053661282206</v>
      </c>
      <c r="P68" s="1826">
        <v>112.95314868338491</v>
      </c>
      <c r="Q68" s="1826">
        <v>114.8636418544897</v>
      </c>
      <c r="R68" s="1826">
        <v>120.99865530500215</v>
      </c>
      <c r="S68" s="1826">
        <v>148.87585114236396</v>
      </c>
      <c r="T68" s="3018">
        <v>131.18807609871584</v>
      </c>
    </row>
    <row r="69" spans="1:20">
      <c r="A69" s="483">
        <f t="shared" si="1"/>
        <v>2008.12</v>
      </c>
      <c r="B69" s="1230">
        <v>123.8</v>
      </c>
      <c r="C69" s="3019">
        <f t="shared" si="0"/>
        <v>3.9462636439966392E-2</v>
      </c>
      <c r="D69" s="3505">
        <v>-6.1476526301350143E-2</v>
      </c>
      <c r="E69" s="1542">
        <v>60.766417607868263</v>
      </c>
      <c r="F69" s="3017">
        <v>57.478552689443106</v>
      </c>
      <c r="G69" s="3017">
        <v>119.51893638967599</v>
      </c>
      <c r="H69" s="3017">
        <v>117.17497094763365</v>
      </c>
      <c r="I69" s="3017">
        <v>154.98713344784002</v>
      </c>
      <c r="J69" s="2530">
        <v>249.47730627829591</v>
      </c>
      <c r="K69" s="1543">
        <v>167.16119382114334</v>
      </c>
      <c r="L69" s="1826">
        <v>155.17821700459422</v>
      </c>
      <c r="M69" s="1826">
        <v>152.98262455892342</v>
      </c>
      <c r="N69" s="1826">
        <v>170.39500675568326</v>
      </c>
      <c r="O69" s="1826">
        <v>120.58407788720228</v>
      </c>
      <c r="P69" s="1826">
        <v>112.49222455839612</v>
      </c>
      <c r="Q69" s="1826">
        <v>115.18141241679213</v>
      </c>
      <c r="R69" s="1826">
        <v>120.82124145139235</v>
      </c>
      <c r="S69" s="1826">
        <v>150.10483201826821</v>
      </c>
      <c r="T69" s="3018">
        <v>135.21366568820625</v>
      </c>
    </row>
    <row r="70" spans="1:20">
      <c r="A70" s="483">
        <f t="shared" si="1"/>
        <v>2009.01</v>
      </c>
      <c r="B70" s="1230">
        <v>104.9</v>
      </c>
      <c r="C70" s="3019">
        <f t="shared" si="0"/>
        <v>-0.15266558966074306</v>
      </c>
      <c r="D70" s="3505">
        <v>-0.11649152371427496</v>
      </c>
      <c r="E70" s="1542">
        <v>38.876765315531273</v>
      </c>
      <c r="F70" s="3017">
        <v>43.782416009957252</v>
      </c>
      <c r="G70" s="3017">
        <v>167.81981857263773</v>
      </c>
      <c r="H70" s="3017">
        <v>99.090413327120416</v>
      </c>
      <c r="I70" s="3017">
        <v>149.05711891093748</v>
      </c>
      <c r="J70" s="2530">
        <v>154.86686332804129</v>
      </c>
      <c r="K70" s="1543">
        <v>141.68019506362583</v>
      </c>
      <c r="L70" s="1826">
        <v>149.88187106486109</v>
      </c>
      <c r="M70" s="1826">
        <v>136.28453701684222</v>
      </c>
      <c r="N70" s="1826">
        <v>178.8819138356651</v>
      </c>
      <c r="O70" s="1826">
        <v>107.15321447614187</v>
      </c>
      <c r="P70" s="1826">
        <v>113.59702246712958</v>
      </c>
      <c r="Q70" s="1826">
        <v>112.71266287530229</v>
      </c>
      <c r="R70" s="1826">
        <v>118.03612558221722</v>
      </c>
      <c r="S70" s="1826">
        <v>159.97503837298603</v>
      </c>
      <c r="T70" s="3018">
        <v>142.17490968167792</v>
      </c>
    </row>
    <row r="71" spans="1:20">
      <c r="A71" s="483">
        <f t="shared" si="1"/>
        <v>2009.02</v>
      </c>
      <c r="B71" s="1230">
        <v>103.3</v>
      </c>
      <c r="C71" s="3019">
        <f t="shared" si="0"/>
        <v>-1.5252621544328049E-2</v>
      </c>
      <c r="D71" s="3505">
        <v>-0.10955749660556346</v>
      </c>
      <c r="E71" s="1542">
        <v>42.042124837570753</v>
      </c>
      <c r="F71" s="3017">
        <v>38.136658848507103</v>
      </c>
      <c r="G71" s="3017">
        <v>143.90396115653837</v>
      </c>
      <c r="H71" s="3017">
        <v>98.190199317313429</v>
      </c>
      <c r="I71" s="3017">
        <v>135.44006152634057</v>
      </c>
      <c r="J71" s="2530">
        <v>167.97362196287423</v>
      </c>
      <c r="K71" s="1543">
        <v>128.32598729062445</v>
      </c>
      <c r="L71" s="1826">
        <v>151.37543749221851</v>
      </c>
      <c r="M71" s="1826">
        <v>131.69048742010872</v>
      </c>
      <c r="N71" s="1826">
        <v>174.64012927301681</v>
      </c>
      <c r="O71" s="1826">
        <v>113.15553793924644</v>
      </c>
      <c r="P71" s="1826">
        <v>113.15361212746068</v>
      </c>
      <c r="Q71" s="1826">
        <v>112.44098574458123</v>
      </c>
      <c r="R71" s="1826">
        <v>117.99667619927598</v>
      </c>
      <c r="S71" s="1826">
        <v>159.58108969209871</v>
      </c>
      <c r="T71" s="3018">
        <v>142.05374976766564</v>
      </c>
    </row>
    <row r="72" spans="1:20">
      <c r="A72" s="483">
        <f t="shared" si="1"/>
        <v>2009.03</v>
      </c>
      <c r="B72" s="1230">
        <v>145.69999999999999</v>
      </c>
      <c r="C72" s="3019">
        <f t="shared" si="0"/>
        <v>0.4104549854791868</v>
      </c>
      <c r="D72" s="3505">
        <v>-9.0991220314631249E-2</v>
      </c>
      <c r="E72" s="1542">
        <v>202.40102845305259</v>
      </c>
      <c r="F72" s="3017">
        <v>60.986990200660472</v>
      </c>
      <c r="G72" s="3017">
        <v>140.1384672200783</v>
      </c>
      <c r="H72" s="3017">
        <v>115.32357763432934</v>
      </c>
      <c r="I72" s="3017">
        <v>166.75046514017325</v>
      </c>
      <c r="J72" s="2530">
        <v>176.55445525144148</v>
      </c>
      <c r="K72" s="1543">
        <v>140.94327609879514</v>
      </c>
      <c r="L72" s="1826">
        <v>153.89197377843783</v>
      </c>
      <c r="M72" s="1826">
        <v>170.31649774544894</v>
      </c>
      <c r="N72" s="1826">
        <v>182.90755825405677</v>
      </c>
      <c r="O72" s="1826">
        <v>116.6855483534565</v>
      </c>
      <c r="P72" s="1826">
        <v>112.73548163221452</v>
      </c>
      <c r="Q72" s="1826">
        <v>112.82951629061972</v>
      </c>
      <c r="R72" s="1826">
        <v>118.18597518258295</v>
      </c>
      <c r="S72" s="1826">
        <v>158.75255133639078</v>
      </c>
      <c r="T72" s="3018">
        <v>132.14558202068278</v>
      </c>
    </row>
    <row r="73" spans="1:20">
      <c r="A73" s="483">
        <f t="shared" si="1"/>
        <v>2009.04</v>
      </c>
      <c r="B73" s="1230">
        <v>166.1</v>
      </c>
      <c r="C73" s="3019">
        <f t="shared" si="0"/>
        <v>0.14001372683596447</v>
      </c>
      <c r="D73" s="3505">
        <v>-0.16820818634612381</v>
      </c>
      <c r="E73" s="1542">
        <v>290.42544448341255</v>
      </c>
      <c r="F73" s="3017">
        <v>51.318069578719502</v>
      </c>
      <c r="G73" s="3017">
        <v>132.92031746951983</v>
      </c>
      <c r="H73" s="3017">
        <v>121.34050863511499</v>
      </c>
      <c r="I73" s="3017">
        <v>148.06358382807045</v>
      </c>
      <c r="J73" s="2530">
        <v>172.98558713337627</v>
      </c>
      <c r="K73" s="1543">
        <v>149.44457714879138</v>
      </c>
      <c r="L73" s="1826">
        <v>153.95616829415832</v>
      </c>
      <c r="M73" s="1826">
        <v>186.830674426391</v>
      </c>
      <c r="N73" s="1826">
        <v>182.03403006232128</v>
      </c>
      <c r="O73" s="1826">
        <v>108.53492851153133</v>
      </c>
      <c r="P73" s="1826">
        <v>112.29884313860202</v>
      </c>
      <c r="Q73" s="1826">
        <v>113.37554637597081</v>
      </c>
      <c r="R73" s="1826">
        <v>118.221500956518</v>
      </c>
      <c r="S73" s="1826">
        <v>156.03564501828765</v>
      </c>
      <c r="T73" s="3018">
        <v>119.16310297566055</v>
      </c>
    </row>
    <row r="74" spans="1:20">
      <c r="A74" s="483">
        <f t="shared" si="1"/>
        <v>2009.05</v>
      </c>
      <c r="B74" s="1230">
        <v>140.4</v>
      </c>
      <c r="C74" s="3019">
        <f t="shared" si="0"/>
        <v>-0.15472606863335336</v>
      </c>
      <c r="D74" s="3505">
        <v>-0.15222805660688876</v>
      </c>
      <c r="E74" s="1542">
        <v>177.96105264711048</v>
      </c>
      <c r="F74" s="3017">
        <v>40.30011711645291</v>
      </c>
      <c r="G74" s="3017">
        <v>115.98439215105437</v>
      </c>
      <c r="H74" s="3017">
        <v>113.04137557165286</v>
      </c>
      <c r="I74" s="3017">
        <v>134.15358492463412</v>
      </c>
      <c r="J74" s="2530">
        <v>175.2866927176199</v>
      </c>
      <c r="K74" s="1543">
        <v>152.37333356054137</v>
      </c>
      <c r="L74" s="1826">
        <v>151.70251463640597</v>
      </c>
      <c r="M74" s="1826">
        <v>167.82847797029456</v>
      </c>
      <c r="N74" s="1826">
        <v>180.11871086392634</v>
      </c>
      <c r="O74" s="1826">
        <v>107.05049729874708</v>
      </c>
      <c r="P74" s="1826">
        <v>111.78465398373505</v>
      </c>
      <c r="Q74" s="1826">
        <v>113.50851419509235</v>
      </c>
      <c r="R74" s="1826">
        <v>117.9634372292398</v>
      </c>
      <c r="S74" s="1826">
        <v>154.34886736833357</v>
      </c>
      <c r="T74" s="3018">
        <v>116.21660558545989</v>
      </c>
    </row>
    <row r="75" spans="1:20">
      <c r="A75" s="483">
        <f t="shared" si="1"/>
        <v>2009.06</v>
      </c>
      <c r="B75" s="1230">
        <v>121.2</v>
      </c>
      <c r="C75" s="3019">
        <f t="shared" si="0"/>
        <v>-0.13675213675213682</v>
      </c>
      <c r="D75" s="3505">
        <v>3.0280897608722102E-2</v>
      </c>
      <c r="E75" s="1542">
        <v>54.217338629614765</v>
      </c>
      <c r="F75" s="3017">
        <v>51.511366990338217</v>
      </c>
      <c r="G75" s="3017">
        <v>133.08671529037755</v>
      </c>
      <c r="H75" s="3017">
        <v>133.39997809107001</v>
      </c>
      <c r="I75" s="3017">
        <v>137.00740643382051</v>
      </c>
      <c r="J75" s="2530">
        <v>163.93970029768764</v>
      </c>
      <c r="K75" s="1543">
        <v>155.83576388971878</v>
      </c>
      <c r="L75" s="1826">
        <v>148.11318013003427</v>
      </c>
      <c r="M75" s="1826">
        <v>155.47530216096359</v>
      </c>
      <c r="N75" s="1826">
        <v>183.01030909247024</v>
      </c>
      <c r="O75" s="1826">
        <v>109.73373793393759</v>
      </c>
      <c r="P75" s="1826">
        <v>111.46604197754132</v>
      </c>
      <c r="Q75" s="1826">
        <v>114.55787293982006</v>
      </c>
      <c r="R75" s="1826">
        <v>117.99791463892703</v>
      </c>
      <c r="S75" s="1826">
        <v>153.64399809776444</v>
      </c>
      <c r="T75" s="3018">
        <v>117.92957154906047</v>
      </c>
    </row>
    <row r="76" spans="1:20">
      <c r="A76" s="483">
        <f t="shared" si="1"/>
        <v>2009.07</v>
      </c>
      <c r="B76" s="1230">
        <v>115.1</v>
      </c>
      <c r="C76" s="3019">
        <f t="shared" si="0"/>
        <v>-5.0330033003300412E-2</v>
      </c>
      <c r="D76" s="3505">
        <v>-0.1043441079195494</v>
      </c>
      <c r="E76" s="1542">
        <v>37.708070442491341</v>
      </c>
      <c r="F76" s="3017">
        <v>38.822956706140012</v>
      </c>
      <c r="G76" s="3017">
        <v>150.04967059687624</v>
      </c>
      <c r="H76" s="3017">
        <v>121.67471492944503</v>
      </c>
      <c r="I76" s="3017">
        <v>152.86710636818128</v>
      </c>
      <c r="J76" s="2530">
        <v>170.98386843746317</v>
      </c>
      <c r="K76" s="1543">
        <v>155.27669951156918</v>
      </c>
      <c r="L76" s="1826">
        <v>143.75460521228501</v>
      </c>
      <c r="M76" s="1826">
        <v>154.2579523511447</v>
      </c>
      <c r="N76" s="1826">
        <v>169.91078600977875</v>
      </c>
      <c r="O76" s="1826">
        <v>114.59408584895024</v>
      </c>
      <c r="P76" s="1826">
        <v>111.59428446035966</v>
      </c>
      <c r="Q76" s="1826">
        <v>115.31846075440323</v>
      </c>
      <c r="R76" s="1826">
        <v>118.36012003790322</v>
      </c>
      <c r="S76" s="1826">
        <v>153.17943418066849</v>
      </c>
      <c r="T76" s="3018">
        <v>123.64764526903083</v>
      </c>
    </row>
    <row r="77" spans="1:20">
      <c r="A77" s="483">
        <f t="shared" si="1"/>
        <v>2009.08</v>
      </c>
      <c r="B77" s="1230">
        <v>116</v>
      </c>
      <c r="C77" s="3019">
        <f t="shared" ref="C77:C140" si="2">B77/B76-1</f>
        <v>7.8192875760207947E-3</v>
      </c>
      <c r="D77" s="3505">
        <v>-7.1559560685501622E-2</v>
      </c>
      <c r="E77" s="1542">
        <v>38.366464659122741</v>
      </c>
      <c r="F77" s="3017">
        <v>49.548827574812094</v>
      </c>
      <c r="G77" s="3017">
        <v>115.36562560085501</v>
      </c>
      <c r="H77" s="3017">
        <v>127.9231488556611</v>
      </c>
      <c r="I77" s="3017">
        <v>120.98646065397283</v>
      </c>
      <c r="J77" s="2530">
        <v>165.22164868213315</v>
      </c>
      <c r="K77" s="1543">
        <v>150.92862657895904</v>
      </c>
      <c r="L77" s="1826">
        <v>150.70783814392263</v>
      </c>
      <c r="M77" s="1826">
        <v>159.95623961936536</v>
      </c>
      <c r="N77" s="1826">
        <v>169.16576058971577</v>
      </c>
      <c r="O77" s="1826">
        <v>114.15377855723334</v>
      </c>
      <c r="P77" s="1826">
        <v>112.33810830755064</v>
      </c>
      <c r="Q77" s="1826">
        <v>114.33658646397483</v>
      </c>
      <c r="R77" s="1826">
        <v>118.65520329990608</v>
      </c>
      <c r="S77" s="1826">
        <v>156.19013763038348</v>
      </c>
      <c r="T77" s="3018">
        <v>128.28210846490552</v>
      </c>
    </row>
    <row r="78" spans="1:20">
      <c r="A78" s="483">
        <f t="shared" si="1"/>
        <v>2009.09</v>
      </c>
      <c r="B78" s="1230">
        <v>114.8</v>
      </c>
      <c r="C78" s="3019">
        <f t="shared" si="2"/>
        <v>-1.0344827586206917E-2</v>
      </c>
      <c r="D78" s="3505">
        <v>-7.8555528849803435E-2</v>
      </c>
      <c r="E78" s="1542">
        <v>35.432364343497674</v>
      </c>
      <c r="F78" s="3017">
        <v>60.898625669634775</v>
      </c>
      <c r="G78" s="3017">
        <v>125.89049531529137</v>
      </c>
      <c r="H78" s="3017">
        <v>123.75103115699086</v>
      </c>
      <c r="I78" s="3017">
        <v>118.67464375877049</v>
      </c>
      <c r="J78" s="2530">
        <v>169.26491647074977</v>
      </c>
      <c r="K78" s="1543">
        <v>151.83260701409674</v>
      </c>
      <c r="L78" s="1826">
        <v>156.61946381386508</v>
      </c>
      <c r="M78" s="1826">
        <v>157.17241790485366</v>
      </c>
      <c r="N78" s="1826">
        <v>171.91287486050598</v>
      </c>
      <c r="O78" s="1826">
        <v>115.17453866330051</v>
      </c>
      <c r="P78" s="1826">
        <v>111.42689945145739</v>
      </c>
      <c r="Q78" s="1826">
        <v>115.68609478642627</v>
      </c>
      <c r="R78" s="1826">
        <v>118.88536906576354</v>
      </c>
      <c r="S78" s="1826">
        <v>165.98027654583785</v>
      </c>
      <c r="T78" s="3018">
        <v>132.7530909815118</v>
      </c>
    </row>
    <row r="79" spans="1:20">
      <c r="A79" s="483">
        <f t="shared" si="1"/>
        <v>2009.1</v>
      </c>
      <c r="B79" s="1230">
        <v>121.1</v>
      </c>
      <c r="C79" s="3019">
        <f t="shared" si="2"/>
        <v>5.4878048780487854E-2</v>
      </c>
      <c r="D79" s="3505">
        <v>-2.1949530878694223E-2</v>
      </c>
      <c r="E79" s="1542">
        <v>39.619651844805148</v>
      </c>
      <c r="F79" s="3017">
        <v>42.796415117928852</v>
      </c>
      <c r="G79" s="3017">
        <v>135.04120440350468</v>
      </c>
      <c r="H79" s="3017">
        <v>135.09814715394174</v>
      </c>
      <c r="I79" s="3017">
        <v>119.48530919602747</v>
      </c>
      <c r="J79" s="2530">
        <v>175.32237181929025</v>
      </c>
      <c r="K79" s="1543">
        <v>161.85077696340659</v>
      </c>
      <c r="L79" s="1826">
        <v>166.65185943808996</v>
      </c>
      <c r="M79" s="1826">
        <v>163.9100658795129</v>
      </c>
      <c r="N79" s="1826">
        <v>167.98717758337412</v>
      </c>
      <c r="O79" s="1826">
        <v>113.26059986867111</v>
      </c>
      <c r="P79" s="1826">
        <v>110.9872130104236</v>
      </c>
      <c r="Q79" s="1826">
        <v>115.75213285909305</v>
      </c>
      <c r="R79" s="1826">
        <v>119.99394583917405</v>
      </c>
      <c r="S79" s="1826">
        <v>169.0276416128587</v>
      </c>
      <c r="T79" s="3018">
        <v>136.09209461041596</v>
      </c>
    </row>
    <row r="80" spans="1:20">
      <c r="A80" s="483">
        <f t="shared" si="1"/>
        <v>2009.11</v>
      </c>
      <c r="B80" s="1230">
        <v>114.7</v>
      </c>
      <c r="C80" s="3019">
        <f t="shared" si="2"/>
        <v>-5.2848885218827357E-2</v>
      </c>
      <c r="D80" s="3505">
        <v>-3.6488963071248715E-2</v>
      </c>
      <c r="E80" s="1542">
        <v>52.826966438477641</v>
      </c>
      <c r="F80" s="3017">
        <v>34.242654877532182</v>
      </c>
      <c r="G80" s="3017">
        <v>112.18149211552762</v>
      </c>
      <c r="H80" s="3017">
        <v>110.208924367356</v>
      </c>
      <c r="I80" s="3017">
        <v>126.83401311246328</v>
      </c>
      <c r="J80" s="2530">
        <v>160.34790554730171</v>
      </c>
      <c r="K80" s="1543">
        <v>155.12333168322633</v>
      </c>
      <c r="L80" s="1826">
        <v>161.31092701952679</v>
      </c>
      <c r="M80" s="1826">
        <v>158.59970019677561</v>
      </c>
      <c r="N80" s="1826">
        <v>169.83577722216535</v>
      </c>
      <c r="O80" s="1826">
        <v>110.65727643099326</v>
      </c>
      <c r="P80" s="1826">
        <v>111.1646912638586</v>
      </c>
      <c r="Q80" s="1826">
        <v>115.70501219741637</v>
      </c>
      <c r="R80" s="1826">
        <v>120.31113148901073</v>
      </c>
      <c r="S80" s="1826">
        <v>171.3870858904491</v>
      </c>
      <c r="T80" s="3018">
        <v>137.69393221654471</v>
      </c>
    </row>
    <row r="81" spans="1:20">
      <c r="A81" s="483">
        <f t="shared" si="1"/>
        <v>2009.12</v>
      </c>
      <c r="B81" s="1230">
        <v>121.3</v>
      </c>
      <c r="C81" s="3019">
        <f t="shared" si="2"/>
        <v>5.7541412380122114E-2</v>
      </c>
      <c r="D81" s="3505">
        <v>-2.0199775116473528E-2</v>
      </c>
      <c r="E81" s="1542">
        <v>45.720127009322361</v>
      </c>
      <c r="F81" s="3017">
        <v>34.211800928782388</v>
      </c>
      <c r="G81" s="3017">
        <v>93.32915852775686</v>
      </c>
      <c r="H81" s="3017">
        <v>119.38177080323086</v>
      </c>
      <c r="I81" s="3017">
        <v>126.80021593365257</v>
      </c>
      <c r="J81" s="2530">
        <v>194.56369997829231</v>
      </c>
      <c r="K81" s="1543">
        <v>171.7558049845747</v>
      </c>
      <c r="L81" s="1826">
        <v>161.02614513633378</v>
      </c>
      <c r="M81" s="1826">
        <v>165.33978298367364</v>
      </c>
      <c r="N81" s="1826">
        <v>174.94302547233789</v>
      </c>
      <c r="O81" s="1826">
        <v>120.06787221629347</v>
      </c>
      <c r="P81" s="1826">
        <v>111.23380190782203</v>
      </c>
      <c r="Q81" s="1826">
        <v>115.55150053580255</v>
      </c>
      <c r="R81" s="1826">
        <v>120.36438133158416</v>
      </c>
      <c r="S81" s="1826">
        <v>174.26427479192685</v>
      </c>
      <c r="T81" s="3018">
        <v>134.95318012297608</v>
      </c>
    </row>
    <row r="82" spans="1:20">
      <c r="A82" s="483">
        <f t="shared" si="1"/>
        <v>2010.01</v>
      </c>
      <c r="B82" s="1230">
        <v>107.3</v>
      </c>
      <c r="C82" s="3019">
        <f t="shared" si="2"/>
        <v>-0.11541632316570483</v>
      </c>
      <c r="D82" s="3505">
        <v>2.2825251183089534E-2</v>
      </c>
      <c r="E82" s="1542">
        <v>34.739844760096702</v>
      </c>
      <c r="F82" s="3017">
        <v>21.828923745596626</v>
      </c>
      <c r="G82" s="3017">
        <v>136.36893549164211</v>
      </c>
      <c r="H82" s="3017">
        <v>102.88031686539767</v>
      </c>
      <c r="I82" s="3017">
        <v>151.85258520047182</v>
      </c>
      <c r="J82" s="2530">
        <v>153.47668996364962</v>
      </c>
      <c r="K82" s="1543">
        <v>147.54361962053946</v>
      </c>
      <c r="L82" s="1826">
        <v>158.47419256630283</v>
      </c>
      <c r="M82" s="1826">
        <v>151.07583267547949</v>
      </c>
      <c r="N82" s="1826">
        <v>173.71003286350688</v>
      </c>
      <c r="O82" s="1826">
        <v>103.70894881462134</v>
      </c>
      <c r="P82" s="1826">
        <v>116.42120229674779</v>
      </c>
      <c r="Q82" s="1826">
        <v>115.61139207516803</v>
      </c>
      <c r="R82" s="1826">
        <v>121.5340644847565</v>
      </c>
      <c r="S82" s="1826">
        <v>185.02341811645783</v>
      </c>
      <c r="T82" s="3018">
        <v>131.28939434073746</v>
      </c>
    </row>
    <row r="83" spans="1:20">
      <c r="A83" s="483">
        <f t="shared" si="1"/>
        <v>2010.02</v>
      </c>
      <c r="B83" s="1230">
        <v>106.2</v>
      </c>
      <c r="C83" s="3019">
        <f t="shared" si="2"/>
        <v>-1.0251630941286116E-2</v>
      </c>
      <c r="D83" s="3505">
        <v>2.7782777049738749E-2</v>
      </c>
      <c r="E83" s="1542">
        <v>47.0742254731488</v>
      </c>
      <c r="F83" s="3017">
        <v>23.278651119201754</v>
      </c>
      <c r="G83" s="3017">
        <v>117.00871262998014</v>
      </c>
      <c r="H83" s="3017">
        <v>97.344924802596793</v>
      </c>
      <c r="I83" s="3017">
        <v>158.22546330063298</v>
      </c>
      <c r="J83" s="2530">
        <v>150.38387020073543</v>
      </c>
      <c r="K83" s="1543">
        <v>135.2241360852835</v>
      </c>
      <c r="L83" s="1826">
        <v>157.67111773713196</v>
      </c>
      <c r="M83" s="1826">
        <v>148.20884232360768</v>
      </c>
      <c r="N83" s="1826">
        <v>168.25523934549963</v>
      </c>
      <c r="O83" s="1826">
        <v>108.9407820080236</v>
      </c>
      <c r="P83" s="1826">
        <v>116.10710449820562</v>
      </c>
      <c r="Q83" s="1826">
        <v>114.95995012779403</v>
      </c>
      <c r="R83" s="1826">
        <v>121.50010245469343</v>
      </c>
      <c r="S83" s="1826">
        <v>186.06918769009891</v>
      </c>
      <c r="T83" s="3018">
        <v>132.19097904493537</v>
      </c>
    </row>
    <row r="84" spans="1:20">
      <c r="A84" s="483">
        <f t="shared" si="1"/>
        <v>2010.03</v>
      </c>
      <c r="B84" s="1230">
        <v>160.1</v>
      </c>
      <c r="C84" s="3019">
        <f t="shared" si="2"/>
        <v>0.50753295668549891</v>
      </c>
      <c r="D84" s="3505">
        <v>9.8767053496834803E-2</v>
      </c>
      <c r="E84" s="1542">
        <v>257.34075544892733</v>
      </c>
      <c r="F84" s="3017">
        <v>46.146475499733235</v>
      </c>
      <c r="G84" s="3017">
        <v>134.56452123187844</v>
      </c>
      <c r="H84" s="3017">
        <v>115.5527247942042</v>
      </c>
      <c r="I84" s="3017">
        <v>162.9968302726474</v>
      </c>
      <c r="J84" s="2530">
        <v>164.54317062532283</v>
      </c>
      <c r="K84" s="1543">
        <v>153.97245423354093</v>
      </c>
      <c r="L84" s="1826">
        <v>160.34152851635665</v>
      </c>
      <c r="M84" s="1826">
        <v>196.94767891194832</v>
      </c>
      <c r="N84" s="1826">
        <v>177.10302938137434</v>
      </c>
      <c r="O84" s="1826">
        <v>108.76222754954492</v>
      </c>
      <c r="P84" s="1826">
        <v>116.62074552566774</v>
      </c>
      <c r="Q84" s="1826">
        <v>115.01425762811307</v>
      </c>
      <c r="R84" s="1826">
        <v>121.68091499205559</v>
      </c>
      <c r="S84" s="1826">
        <v>185.29611984552452</v>
      </c>
      <c r="T84" s="3018">
        <v>133.37897411669147</v>
      </c>
    </row>
    <row r="85" spans="1:20">
      <c r="A85" s="483">
        <f t="shared" si="1"/>
        <v>2010.04</v>
      </c>
      <c r="B85" s="1230">
        <v>190.3</v>
      </c>
      <c r="C85" s="3019">
        <f t="shared" si="2"/>
        <v>0.18863210493441618</v>
      </c>
      <c r="D85" s="3505">
        <v>0.14525124829583769</v>
      </c>
      <c r="E85" s="1542">
        <v>361.1425631625915</v>
      </c>
      <c r="F85" s="3017">
        <v>16.139874195910831</v>
      </c>
      <c r="G85" s="3017">
        <v>137.73387163216867</v>
      </c>
      <c r="H85" s="3017">
        <v>140.9272051328189</v>
      </c>
      <c r="I85" s="3017">
        <v>149.99249539932339</v>
      </c>
      <c r="J85" s="2530">
        <v>172.94216446758398</v>
      </c>
      <c r="K85" s="1543">
        <v>158.3859195400191</v>
      </c>
      <c r="L85" s="1826">
        <v>160.65519615406987</v>
      </c>
      <c r="M85" s="1826">
        <v>220.74429352360892</v>
      </c>
      <c r="N85" s="1826">
        <v>171.41127865280282</v>
      </c>
      <c r="O85" s="1826">
        <v>110.66422871025193</v>
      </c>
      <c r="P85" s="1826">
        <v>116.24747582547062</v>
      </c>
      <c r="Q85" s="1826">
        <v>115.29280950223527</v>
      </c>
      <c r="R85" s="1826">
        <v>122.33009254295899</v>
      </c>
      <c r="S85" s="1826">
        <v>183.84214736381196</v>
      </c>
      <c r="T85" s="3018">
        <v>142.87196866473576</v>
      </c>
    </row>
    <row r="86" spans="1:20">
      <c r="A86" s="483">
        <f t="shared" si="1"/>
        <v>2010.05</v>
      </c>
      <c r="B86" s="1230">
        <v>154.6</v>
      </c>
      <c r="C86" s="3019">
        <f t="shared" si="2"/>
        <v>-0.18759852863899118</v>
      </c>
      <c r="D86" s="3505">
        <v>0.10098366426699613</v>
      </c>
      <c r="E86" s="1542">
        <v>220.78374126461782</v>
      </c>
      <c r="F86" s="3017">
        <v>20.856315874740687</v>
      </c>
      <c r="G86" s="3017">
        <v>126.18058707968309</v>
      </c>
      <c r="H86" s="3017">
        <v>118.7141537796218</v>
      </c>
      <c r="I86" s="3017">
        <v>175.68020761432334</v>
      </c>
      <c r="J86" s="2530">
        <v>155.34741656947872</v>
      </c>
      <c r="K86" s="1543">
        <v>161.50994957121648</v>
      </c>
      <c r="L86" s="1826">
        <v>160.33052904542126</v>
      </c>
      <c r="M86" s="1826">
        <v>191.77460409517528</v>
      </c>
      <c r="N86" s="1826">
        <v>171.30946217627221</v>
      </c>
      <c r="O86" s="1826">
        <v>108.7286576769053</v>
      </c>
      <c r="P86" s="1826">
        <v>116.3928880746019</v>
      </c>
      <c r="Q86" s="1826">
        <v>115.21499717406557</v>
      </c>
      <c r="R86" s="1826">
        <v>122.64619032774638</v>
      </c>
      <c r="S86" s="1826">
        <v>184.32007707838392</v>
      </c>
      <c r="T86" s="3018">
        <v>150.54844314002943</v>
      </c>
    </row>
    <row r="87" spans="1:20">
      <c r="A87" s="483">
        <f t="shared" si="1"/>
        <v>2010.06</v>
      </c>
      <c r="B87" s="1230">
        <v>127.6</v>
      </c>
      <c r="C87" s="3019">
        <f t="shared" si="2"/>
        <v>-0.17464424320827943</v>
      </c>
      <c r="D87" s="3505">
        <v>5.2808035957143895E-2</v>
      </c>
      <c r="E87" s="1542">
        <v>59.084349278979111</v>
      </c>
      <c r="F87" s="3017">
        <v>28.677802293821269</v>
      </c>
      <c r="G87" s="3017">
        <v>142.52158523558671</v>
      </c>
      <c r="H87" s="3017">
        <v>129.11446822541185</v>
      </c>
      <c r="I87" s="3017">
        <v>165.62767500204566</v>
      </c>
      <c r="J87" s="2530">
        <v>171.91299908856914</v>
      </c>
      <c r="K87" s="1543">
        <v>177.2711620912138</v>
      </c>
      <c r="L87" s="1826">
        <v>158.74287508878109</v>
      </c>
      <c r="M87" s="1826">
        <v>169.00815706435077</v>
      </c>
      <c r="N87" s="1826">
        <v>177.84228046768661</v>
      </c>
      <c r="O87" s="1826">
        <v>113.33351754850263</v>
      </c>
      <c r="P87" s="1826">
        <v>116.31599770528277</v>
      </c>
      <c r="Q87" s="1826">
        <v>116.10826034960246</v>
      </c>
      <c r="R87" s="1826">
        <v>122.79563823217981</v>
      </c>
      <c r="S87" s="1826">
        <v>184.85777722172142</v>
      </c>
      <c r="T87" s="3018">
        <v>148.80417780918057</v>
      </c>
    </row>
    <row r="88" spans="1:20">
      <c r="A88" s="483">
        <f t="shared" si="1"/>
        <v>2010.07</v>
      </c>
      <c r="B88" s="1230">
        <v>123.7</v>
      </c>
      <c r="C88" s="3019">
        <f t="shared" si="2"/>
        <v>-3.0564263322883978E-2</v>
      </c>
      <c r="D88" s="3505">
        <v>7.3928247326157104E-2</v>
      </c>
      <c r="E88" s="1542">
        <v>36.485681817256861</v>
      </c>
      <c r="F88" s="3017">
        <v>41.6360948104915</v>
      </c>
      <c r="G88" s="3017">
        <v>171.77969687533405</v>
      </c>
      <c r="H88" s="3017">
        <v>129.66779080334155</v>
      </c>
      <c r="I88" s="3017">
        <v>179.26894194002185</v>
      </c>
      <c r="J88" s="2530">
        <v>182.08567737928729</v>
      </c>
      <c r="K88" s="1543">
        <v>172.65335279083769</v>
      </c>
      <c r="L88" s="1826">
        <v>164.11463681804733</v>
      </c>
      <c r="M88" s="1826">
        <v>171.71364057274479</v>
      </c>
      <c r="N88" s="1826">
        <v>160.99369598782047</v>
      </c>
      <c r="O88" s="1826">
        <v>122.88460041559208</v>
      </c>
      <c r="P88" s="1826">
        <v>116.10129079575772</v>
      </c>
      <c r="Q88" s="1826">
        <v>116.7666858764625</v>
      </c>
      <c r="R88" s="1826">
        <v>122.62933171506636</v>
      </c>
      <c r="S88" s="1826">
        <v>185.1707151124503</v>
      </c>
      <c r="T88" s="3018">
        <v>136.20078074609086</v>
      </c>
    </row>
    <row r="89" spans="1:20">
      <c r="A89" s="483">
        <f t="shared" si="1"/>
        <v>2010.08</v>
      </c>
      <c r="B89" s="1230">
        <v>125.1</v>
      </c>
      <c r="C89" s="3019">
        <f t="shared" si="2"/>
        <v>1.1317704122877803E-2</v>
      </c>
      <c r="D89" s="3505">
        <v>7.8402178976153092E-2</v>
      </c>
      <c r="E89" s="1542">
        <v>38.76924818494885</v>
      </c>
      <c r="F89" s="3017">
        <v>63.94896750877794</v>
      </c>
      <c r="G89" s="3017">
        <v>129.64511935632916</v>
      </c>
      <c r="H89" s="3017">
        <v>137.27224220009998</v>
      </c>
      <c r="I89" s="3017">
        <v>160.73143606529504</v>
      </c>
      <c r="J89" s="2530">
        <v>170.4193348174008</v>
      </c>
      <c r="K89" s="1543">
        <v>168.92103546408313</v>
      </c>
      <c r="L89" s="1826">
        <v>163.70065413292167</v>
      </c>
      <c r="M89" s="1826">
        <v>177.87956909138396</v>
      </c>
      <c r="N89" s="1826">
        <v>167.98833400846928</v>
      </c>
      <c r="O89" s="1826">
        <v>121.4623418621612</v>
      </c>
      <c r="P89" s="1826">
        <v>111.69321753731222</v>
      </c>
      <c r="Q89" s="1826">
        <v>115.81523331991696</v>
      </c>
      <c r="R89" s="1826">
        <v>122.86086018730137</v>
      </c>
      <c r="S89" s="1826">
        <v>186.5455195586834</v>
      </c>
      <c r="T89" s="3018">
        <v>129.78775637580341</v>
      </c>
    </row>
    <row r="90" spans="1:20">
      <c r="A90" s="483">
        <f t="shared" si="1"/>
        <v>2010.09</v>
      </c>
      <c r="B90" s="1230">
        <v>125.2</v>
      </c>
      <c r="C90" s="3019">
        <f t="shared" si="2"/>
        <v>7.9936051159079646E-4</v>
      </c>
      <c r="D90" s="3505">
        <v>9.0577810500185318E-2</v>
      </c>
      <c r="E90" s="1542">
        <v>33.350534078525115</v>
      </c>
      <c r="F90" s="3017">
        <v>36.683212864751383</v>
      </c>
      <c r="G90" s="3017">
        <v>145.6773174053059</v>
      </c>
      <c r="H90" s="3017">
        <v>136.55135149834112</v>
      </c>
      <c r="I90" s="3017">
        <v>146.8281424366067</v>
      </c>
      <c r="J90" s="2530">
        <v>175.52356952050218</v>
      </c>
      <c r="K90" s="1543">
        <v>176.72918987606033</v>
      </c>
      <c r="L90" s="1826">
        <v>170.23165828345262</v>
      </c>
      <c r="M90" s="1826">
        <v>176.15237283409991</v>
      </c>
      <c r="N90" s="1826">
        <v>170.07034688485248</v>
      </c>
      <c r="O90" s="1826">
        <v>120.62382475490281</v>
      </c>
      <c r="P90" s="1826">
        <v>112.5580205739017</v>
      </c>
      <c r="Q90" s="1826">
        <v>117.07164276862787</v>
      </c>
      <c r="R90" s="1826">
        <v>123.66030912853203</v>
      </c>
      <c r="S90" s="1826">
        <v>187.76621727241718</v>
      </c>
      <c r="T90" s="3018">
        <v>130.25633489181047</v>
      </c>
    </row>
    <row r="91" spans="1:20">
      <c r="A91" s="483">
        <f t="shared" si="1"/>
        <v>2010.1</v>
      </c>
      <c r="B91" s="1230">
        <v>125</v>
      </c>
      <c r="C91" s="3019">
        <f t="shared" si="2"/>
        <v>-1.5974440894569453E-3</v>
      </c>
      <c r="D91" s="3505">
        <v>3.2497006680155538E-2</v>
      </c>
      <c r="E91" s="1542">
        <v>32.228779192207909</v>
      </c>
      <c r="F91" s="3017">
        <v>45.537123716236927</v>
      </c>
      <c r="G91" s="3017">
        <v>154.20803928473546</v>
      </c>
      <c r="H91" s="3017">
        <v>140.13142356504659</v>
      </c>
      <c r="I91" s="3017">
        <v>154.57677086514968</v>
      </c>
      <c r="J91" s="2530">
        <v>177.64844914592811</v>
      </c>
      <c r="K91" s="1543">
        <v>173.05452060836893</v>
      </c>
      <c r="L91" s="1826">
        <v>171.49957100314882</v>
      </c>
      <c r="M91" s="1826">
        <v>181.48530204179622</v>
      </c>
      <c r="N91" s="1826">
        <v>172.75427933821172</v>
      </c>
      <c r="O91" s="1826">
        <v>110.46454084934027</v>
      </c>
      <c r="P91" s="1826">
        <v>112.53999331700729</v>
      </c>
      <c r="Q91" s="1826">
        <v>117.08593872704949</v>
      </c>
      <c r="R91" s="1826">
        <v>124.81742331297062</v>
      </c>
      <c r="S91" s="1826">
        <v>189.30994912088883</v>
      </c>
      <c r="T91" s="3018">
        <v>137.50270759389906</v>
      </c>
    </row>
    <row r="92" spans="1:20">
      <c r="A92" s="483">
        <f t="shared" si="1"/>
        <v>2010.11</v>
      </c>
      <c r="B92" s="1230">
        <v>128.19999999999999</v>
      </c>
      <c r="C92" s="3019">
        <f t="shared" si="2"/>
        <v>2.5599999999999845E-2</v>
      </c>
      <c r="D92" s="3505">
        <v>0.11780428039961933</v>
      </c>
      <c r="E92" s="1542">
        <v>64.173050394715162</v>
      </c>
      <c r="F92" s="3017">
        <v>43.155647422282769</v>
      </c>
      <c r="G92" s="3017">
        <v>157.46369970846874</v>
      </c>
      <c r="H92" s="3017">
        <v>126.84244820313759</v>
      </c>
      <c r="I92" s="3017">
        <v>140.06112284741184</v>
      </c>
      <c r="J92" s="2530">
        <v>183.85812164080178</v>
      </c>
      <c r="K92" s="1543">
        <v>175.11805538872551</v>
      </c>
      <c r="L92" s="1826">
        <v>169.88897226429256</v>
      </c>
      <c r="M92" s="1826">
        <v>182.9364898324159</v>
      </c>
      <c r="N92" s="1826">
        <v>184.10116563018624</v>
      </c>
      <c r="O92" s="1826">
        <v>108.42596991548186</v>
      </c>
      <c r="P92" s="1826">
        <v>113.7766652434772</v>
      </c>
      <c r="Q92" s="1826">
        <v>117.04556602400216</v>
      </c>
      <c r="R92" s="1826">
        <v>125.2559764744244</v>
      </c>
      <c r="S92" s="1826">
        <v>188.61030672569376</v>
      </c>
      <c r="T92" s="3018">
        <v>136.55047571227632</v>
      </c>
    </row>
    <row r="93" spans="1:20">
      <c r="A93" s="483">
        <f t="shared" si="1"/>
        <v>2010.12</v>
      </c>
      <c r="B93" s="1230">
        <v>133.6</v>
      </c>
      <c r="C93" s="3019">
        <f t="shared" si="2"/>
        <v>4.2121684867394649E-2</v>
      </c>
      <c r="D93" s="3505">
        <v>0.10102362096333618</v>
      </c>
      <c r="E93" s="1542">
        <v>52.095335666905171</v>
      </c>
      <c r="F93" s="3017">
        <v>22.923401973151833</v>
      </c>
      <c r="G93" s="3017">
        <v>138.08479453176531</v>
      </c>
      <c r="H93" s="3017">
        <v>128.6176883853615</v>
      </c>
      <c r="I93" s="3017">
        <v>163.61847203715868</v>
      </c>
      <c r="J93" s="2530">
        <v>220.92533618870581</v>
      </c>
      <c r="K93" s="1543">
        <v>199.77614581916214</v>
      </c>
      <c r="L93" s="1826">
        <v>170.17898068866143</v>
      </c>
      <c r="M93" s="1826">
        <v>187.44700500600379</v>
      </c>
      <c r="N93" s="1826">
        <v>192.76324844043614</v>
      </c>
      <c r="O93" s="1826">
        <v>117.52492547559055</v>
      </c>
      <c r="P93" s="1826">
        <v>115.85294075173113</v>
      </c>
      <c r="Q93" s="1826">
        <v>116.99466969817512</v>
      </c>
      <c r="R93" s="1826">
        <v>125.31246968658547</v>
      </c>
      <c r="S93" s="1826">
        <v>192.88218365846834</v>
      </c>
      <c r="T93" s="3018">
        <v>127.53126881593938</v>
      </c>
    </row>
    <row r="94" spans="1:20">
      <c r="A94" s="483">
        <f t="shared" si="1"/>
        <v>2011.01</v>
      </c>
      <c r="B94" s="1230">
        <v>119.7</v>
      </c>
      <c r="C94" s="3019">
        <f t="shared" si="2"/>
        <v>-0.10404191616766456</v>
      </c>
      <c r="D94" s="3505">
        <v>0.11634433009813838</v>
      </c>
      <c r="E94" s="1542">
        <v>38.42907328341331</v>
      </c>
      <c r="F94" s="3017">
        <v>33.794137863061465</v>
      </c>
      <c r="G94" s="3017">
        <v>179.09359610303989</v>
      </c>
      <c r="H94" s="3017">
        <v>124.52605254508411</v>
      </c>
      <c r="I94" s="3017">
        <v>185.00333148979874</v>
      </c>
      <c r="J94" s="2530">
        <v>162.14372525462755</v>
      </c>
      <c r="K94" s="1543">
        <v>159.24504794027499</v>
      </c>
      <c r="L94" s="1826">
        <v>167.29384695296301</v>
      </c>
      <c r="M94" s="1826">
        <v>174.56333613290116</v>
      </c>
      <c r="N94" s="1826">
        <v>200.65976605668294</v>
      </c>
      <c r="O94" s="1826">
        <v>109.18581068136584</v>
      </c>
      <c r="P94" s="1826">
        <v>115.88138965269596</v>
      </c>
      <c r="Q94" s="1826">
        <v>116.40570514547962</v>
      </c>
      <c r="R94" s="1826">
        <v>133.67692451682981</v>
      </c>
      <c r="S94" s="1826">
        <v>194.69618801829427</v>
      </c>
      <c r="T94" s="3018">
        <v>112.61001588267695</v>
      </c>
    </row>
    <row r="95" spans="1:20">
      <c r="A95" s="483">
        <f t="shared" si="1"/>
        <v>2011.02</v>
      </c>
      <c r="B95" s="1230">
        <v>116.6</v>
      </c>
      <c r="C95" s="3019">
        <f t="shared" si="2"/>
        <v>-2.5898078529657531E-2</v>
      </c>
      <c r="D95" s="3505">
        <v>9.798205981151685E-2</v>
      </c>
      <c r="E95" s="1542">
        <v>49.4294937319697</v>
      </c>
      <c r="F95" s="3017">
        <v>45.394878290982028</v>
      </c>
      <c r="G95" s="3017">
        <v>153.71961923686038</v>
      </c>
      <c r="H95" s="3017">
        <v>111.02159688476665</v>
      </c>
      <c r="I95" s="3017">
        <v>162.78844512577851</v>
      </c>
      <c r="J95" s="2530">
        <v>160.07202494385396</v>
      </c>
      <c r="K95" s="1543">
        <v>151.84857261772456</v>
      </c>
      <c r="L95" s="1826">
        <v>170.39220639105037</v>
      </c>
      <c r="M95" s="1826">
        <v>167.79167915234603</v>
      </c>
      <c r="N95" s="1826">
        <v>200.1293220601105</v>
      </c>
      <c r="O95" s="1826">
        <v>114.32352057830286</v>
      </c>
      <c r="P95" s="1826">
        <v>115.60395566832858</v>
      </c>
      <c r="Q95" s="1826">
        <v>116.31044905240694</v>
      </c>
      <c r="R95" s="1826">
        <v>134.5691119639713</v>
      </c>
      <c r="S95" s="1826">
        <v>195.09339040366245</v>
      </c>
      <c r="T95" s="3018">
        <v>105.93502002167399</v>
      </c>
    </row>
    <row r="96" spans="1:20">
      <c r="A96" s="483">
        <f t="shared" si="1"/>
        <v>2011.03</v>
      </c>
      <c r="B96" s="1230">
        <v>170.6</v>
      </c>
      <c r="C96" s="3019">
        <f t="shared" si="2"/>
        <v>0.46312178387650094</v>
      </c>
      <c r="D96" s="3505">
        <v>6.5599992874290747E-2</v>
      </c>
      <c r="E96" s="1542">
        <v>252.90240767846095</v>
      </c>
      <c r="F96" s="3017">
        <v>62.169870568136353</v>
      </c>
      <c r="G96" s="3017">
        <v>162.90970950804495</v>
      </c>
      <c r="H96" s="3017">
        <v>134.379855151832</v>
      </c>
      <c r="I96" s="3017">
        <v>187.81091252621991</v>
      </c>
      <c r="J96" s="2530">
        <v>179.89487050881087</v>
      </c>
      <c r="K96" s="1543">
        <v>164.98511899773362</v>
      </c>
      <c r="L96" s="1826">
        <v>175.6975283423038</v>
      </c>
      <c r="M96" s="1826">
        <v>219.52066581440101</v>
      </c>
      <c r="N96" s="1826">
        <v>209.86821979572076</v>
      </c>
      <c r="O96" s="1826">
        <v>118.53388752060168</v>
      </c>
      <c r="P96" s="1826">
        <v>116.13816633036726</v>
      </c>
      <c r="Q96" s="1826">
        <v>116.0239402231235</v>
      </c>
      <c r="R96" s="1826">
        <v>134.80613276837457</v>
      </c>
      <c r="S96" s="1826">
        <v>193.59570843663147</v>
      </c>
      <c r="T96" s="3018">
        <v>102.7719547475339</v>
      </c>
    </row>
    <row r="97" spans="1:20">
      <c r="A97" s="483">
        <f t="shared" si="1"/>
        <v>2011.04</v>
      </c>
      <c r="B97" s="1230">
        <v>192.6</v>
      </c>
      <c r="C97" s="3019">
        <f t="shared" si="2"/>
        <v>0.12895662368112548</v>
      </c>
      <c r="D97" s="3505">
        <v>1.1992420150082284E-2</v>
      </c>
      <c r="E97" s="1542">
        <v>353.56872413413652</v>
      </c>
      <c r="F97" s="3017">
        <v>47.007465937885982</v>
      </c>
      <c r="G97" s="3017">
        <v>164.8323741063592</v>
      </c>
      <c r="H97" s="3017">
        <v>135.57945403497936</v>
      </c>
      <c r="I97" s="3017">
        <v>167.61802446892776</v>
      </c>
      <c r="J97" s="2530">
        <v>179.34795251600968</v>
      </c>
      <c r="K97" s="1543">
        <v>170.33992688210895</v>
      </c>
      <c r="L97" s="1826">
        <v>175.6355279440385</v>
      </c>
      <c r="M97" s="1826">
        <v>234.28367516783393</v>
      </c>
      <c r="N97" s="1826">
        <v>211.87268854318364</v>
      </c>
      <c r="O97" s="1826">
        <v>117.24419661068157</v>
      </c>
      <c r="P97" s="1826">
        <v>115.77961854293801</v>
      </c>
      <c r="Q97" s="1826">
        <v>116.4229670734739</v>
      </c>
      <c r="R97" s="1826">
        <v>135.2380762455623</v>
      </c>
      <c r="S97" s="1826">
        <v>193.05914426724632</v>
      </c>
      <c r="T97" s="3018">
        <v>112.20788359247332</v>
      </c>
    </row>
    <row r="98" spans="1:20">
      <c r="A98" s="483">
        <f t="shared" si="1"/>
        <v>2011.05</v>
      </c>
      <c r="B98" s="1230">
        <v>168.5</v>
      </c>
      <c r="C98" s="3019">
        <f t="shared" si="2"/>
        <v>-0.12512980269989615</v>
      </c>
      <c r="D98" s="3505">
        <v>9.0061813205967844E-2</v>
      </c>
      <c r="E98" s="1542">
        <v>217.14008417098717</v>
      </c>
      <c r="F98" s="3017">
        <v>35.202342216094479</v>
      </c>
      <c r="G98" s="3017">
        <v>168.27780397367883</v>
      </c>
      <c r="H98" s="3017">
        <v>144.35201472162925</v>
      </c>
      <c r="I98" s="3017">
        <v>175.45740678960399</v>
      </c>
      <c r="J98" s="2530">
        <v>175.74710382239215</v>
      </c>
      <c r="K98" s="1543">
        <v>179.09783038847172</v>
      </c>
      <c r="L98" s="1826">
        <v>170.30989167121584</v>
      </c>
      <c r="M98" s="1826">
        <v>218.10022733754124</v>
      </c>
      <c r="N98" s="1826">
        <v>215.3671467961706</v>
      </c>
      <c r="O98" s="1826">
        <v>117.69101055793385</v>
      </c>
      <c r="P98" s="1826">
        <v>115.92368281840032</v>
      </c>
      <c r="Q98" s="1826">
        <v>117.06802611799466</v>
      </c>
      <c r="R98" s="1826">
        <v>135.74390082608818</v>
      </c>
      <c r="S98" s="1826">
        <v>191.42112943101139</v>
      </c>
      <c r="T98" s="3018">
        <v>120.54964767262142</v>
      </c>
    </row>
    <row r="99" spans="1:20">
      <c r="A99" s="483">
        <f t="shared" si="1"/>
        <v>2011.06</v>
      </c>
      <c r="B99" s="1230">
        <v>135.6</v>
      </c>
      <c r="C99" s="3019">
        <f t="shared" si="2"/>
        <v>-0.19525222551928789</v>
      </c>
      <c r="D99" s="3505">
        <v>6.2076178359880663E-2</v>
      </c>
      <c r="E99" s="1542">
        <v>59.171675351354878</v>
      </c>
      <c r="F99" s="3017">
        <v>50.099843964610244</v>
      </c>
      <c r="G99" s="3017">
        <v>164.33912265963292</v>
      </c>
      <c r="H99" s="3017">
        <v>139.14919843670273</v>
      </c>
      <c r="I99" s="3017">
        <v>169.29735592883583</v>
      </c>
      <c r="J99" s="2530">
        <v>175.19909040571281</v>
      </c>
      <c r="K99" s="1543">
        <v>186.92793135245131</v>
      </c>
      <c r="L99" s="1826">
        <v>171.48447329198228</v>
      </c>
      <c r="M99" s="1826">
        <v>190.29325226668922</v>
      </c>
      <c r="N99" s="1826">
        <v>211.41854262736723</v>
      </c>
      <c r="O99" s="1826">
        <v>122.22542397947663</v>
      </c>
      <c r="P99" s="1826">
        <v>115.83372490559034</v>
      </c>
      <c r="Q99" s="1826">
        <v>116.93838015164073</v>
      </c>
      <c r="R99" s="1826">
        <v>136.19655914090183</v>
      </c>
      <c r="S99" s="1826">
        <v>193.14843925439905</v>
      </c>
      <c r="T99" s="3018">
        <v>124.01047037353645</v>
      </c>
    </row>
    <row r="100" spans="1:20">
      <c r="A100" s="483">
        <f t="shared" si="1"/>
        <v>2011.07</v>
      </c>
      <c r="B100" s="1230">
        <v>136.5</v>
      </c>
      <c r="C100" s="3019">
        <f t="shared" si="2"/>
        <v>6.6371681415928752E-3</v>
      </c>
      <c r="D100" s="3505">
        <v>0.10382347746295227</v>
      </c>
      <c r="E100" s="1542">
        <v>36.622281758294932</v>
      </c>
      <c r="F100" s="3017">
        <v>71.275474844992758</v>
      </c>
      <c r="G100" s="3017">
        <v>200.26767217471863</v>
      </c>
      <c r="H100" s="3017">
        <v>156.15691231867436</v>
      </c>
      <c r="I100" s="3017">
        <v>194.26071381427835</v>
      </c>
      <c r="J100" s="2530">
        <v>178.2963997178592</v>
      </c>
      <c r="K100" s="1543">
        <v>183.93553278762667</v>
      </c>
      <c r="L100" s="1826">
        <v>177.82001065320085</v>
      </c>
      <c r="M100" s="1826">
        <v>201.11477216313799</v>
      </c>
      <c r="N100" s="1826">
        <v>184.01905291265834</v>
      </c>
      <c r="O100" s="1826">
        <v>130.04624305408618</v>
      </c>
      <c r="P100" s="1826">
        <v>115.5930694481595</v>
      </c>
      <c r="Q100" s="1826">
        <v>116.82202824141889</v>
      </c>
      <c r="R100" s="1826">
        <v>136.34866224876629</v>
      </c>
      <c r="S100" s="1826">
        <v>193.9780370701456</v>
      </c>
      <c r="T100" s="3018">
        <v>118.24552593255952</v>
      </c>
    </row>
    <row r="101" spans="1:20">
      <c r="A101" s="483">
        <f t="shared" si="1"/>
        <v>2011.08</v>
      </c>
      <c r="B101" s="1230">
        <v>135</v>
      </c>
      <c r="C101" s="3019">
        <f t="shared" si="2"/>
        <v>-1.098901098901095E-2</v>
      </c>
      <c r="D101" s="3505">
        <v>7.8739754110409788E-2</v>
      </c>
      <c r="E101" s="1542">
        <v>39.484445349760193</v>
      </c>
      <c r="F101" s="3017">
        <v>20.554526995793299</v>
      </c>
      <c r="G101" s="3017">
        <v>158.25286102785509</v>
      </c>
      <c r="H101" s="3017">
        <v>147.29704615570992</v>
      </c>
      <c r="I101" s="3017">
        <v>173.25213178328664</v>
      </c>
      <c r="J101" s="2530">
        <v>183.67277896015418</v>
      </c>
      <c r="K101" s="1543">
        <v>183.58040787663307</v>
      </c>
      <c r="L101" s="1826">
        <v>177.45802430712899</v>
      </c>
      <c r="M101" s="1826">
        <v>204.26814199217097</v>
      </c>
      <c r="N101" s="1826">
        <v>186.67198609031877</v>
      </c>
      <c r="O101" s="1826">
        <v>133.3542373052297</v>
      </c>
      <c r="P101" s="1826">
        <v>115.52059693295624</v>
      </c>
      <c r="Q101" s="1826">
        <v>116.50872944867569</v>
      </c>
      <c r="R101" s="1826">
        <v>136.91928944640696</v>
      </c>
      <c r="S101" s="1826">
        <v>195.73043800686219</v>
      </c>
      <c r="T101" s="3018">
        <v>117.71473939409753</v>
      </c>
    </row>
    <row r="102" spans="1:20">
      <c r="A102" s="483">
        <f t="shared" si="1"/>
        <v>2011.09</v>
      </c>
      <c r="B102" s="1230">
        <v>132.19999999999999</v>
      </c>
      <c r="C102" s="3019">
        <f t="shared" si="2"/>
        <v>-2.0740740740740837E-2</v>
      </c>
      <c r="D102" s="3505">
        <v>5.5821112141623441E-2</v>
      </c>
      <c r="E102" s="1542">
        <v>36.61389172621918</v>
      </c>
      <c r="F102" s="3017">
        <v>32.248294675915687</v>
      </c>
      <c r="G102" s="3017">
        <v>194.55237405921787</v>
      </c>
      <c r="H102" s="3017">
        <v>145.21862109792997</v>
      </c>
      <c r="I102" s="3017">
        <v>161.25441363354233</v>
      </c>
      <c r="J102" s="2530">
        <v>182.36234233687293</v>
      </c>
      <c r="K102" s="1543">
        <v>180.2575250952105</v>
      </c>
      <c r="L102" s="1826">
        <v>179.00365965731876</v>
      </c>
      <c r="M102" s="1826">
        <v>202.18482058870578</v>
      </c>
      <c r="N102" s="1826">
        <v>185.6936302093298</v>
      </c>
      <c r="O102" s="1826">
        <v>125.08379351545474</v>
      </c>
      <c r="P102" s="1826">
        <v>115.53924824550035</v>
      </c>
      <c r="Q102" s="1826">
        <v>116.27010863935887</v>
      </c>
      <c r="R102" s="1826">
        <v>138.13557097643604</v>
      </c>
      <c r="S102" s="1826">
        <v>197.53766919924402</v>
      </c>
      <c r="T102" s="3018">
        <v>122.29189570050606</v>
      </c>
    </row>
    <row r="103" spans="1:20">
      <c r="A103" s="483">
        <f t="shared" si="1"/>
        <v>2011.1</v>
      </c>
      <c r="B103" s="1230">
        <v>129.4</v>
      </c>
      <c r="C103" s="3019">
        <f t="shared" si="2"/>
        <v>-2.1180030257185956E-2</v>
      </c>
      <c r="D103" s="3505">
        <v>3.4990843779763692E-2</v>
      </c>
      <c r="E103" s="1542">
        <v>35.859273561132973</v>
      </c>
      <c r="F103" s="3017">
        <v>45.113029924645595</v>
      </c>
      <c r="G103" s="3017">
        <v>153.89401253282134</v>
      </c>
      <c r="H103" s="3017">
        <v>139.9305358060698</v>
      </c>
      <c r="I103" s="3017">
        <v>129.9251423609366</v>
      </c>
      <c r="J103" s="2530">
        <v>180.85528257025803</v>
      </c>
      <c r="K103" s="1543">
        <v>180.42893086901825</v>
      </c>
      <c r="L103" s="1826">
        <v>179.81302532254983</v>
      </c>
      <c r="M103" s="1826">
        <v>203.27017264453002</v>
      </c>
      <c r="N103" s="1826">
        <v>189.86824672393553</v>
      </c>
      <c r="O103" s="1826">
        <v>114.9881291936361</v>
      </c>
      <c r="P103" s="1826">
        <v>115.38366969466665</v>
      </c>
      <c r="Q103" s="1826">
        <v>115.82807064634108</v>
      </c>
      <c r="R103" s="1826">
        <v>138.88696490926864</v>
      </c>
      <c r="S103" s="1826">
        <v>198.5015231599223</v>
      </c>
      <c r="T103" s="3018">
        <v>131.8611512131221</v>
      </c>
    </row>
    <row r="104" spans="1:20">
      <c r="A104" s="483">
        <f t="shared" si="1"/>
        <v>2011.11</v>
      </c>
      <c r="B104" s="1230">
        <v>133.5</v>
      </c>
      <c r="C104" s="3019">
        <f t="shared" si="2"/>
        <v>3.1684698608964501E-2</v>
      </c>
      <c r="D104" s="3505">
        <v>4.1261204435367516E-2</v>
      </c>
      <c r="E104" s="1542">
        <v>62.074598347698938</v>
      </c>
      <c r="F104" s="3017">
        <v>39.128161424255275</v>
      </c>
      <c r="G104" s="3017">
        <v>155.72978973091546</v>
      </c>
      <c r="H104" s="3017">
        <v>132.99347681499322</v>
      </c>
      <c r="I104" s="3017">
        <v>155.70947438661619</v>
      </c>
      <c r="J104" s="2530">
        <v>185.92884346133349</v>
      </c>
      <c r="K104" s="1543">
        <v>180.54099622219974</v>
      </c>
      <c r="L104" s="1826">
        <v>182.93645289570773</v>
      </c>
      <c r="M104" s="1826">
        <v>207.52144065827821</v>
      </c>
      <c r="N104" s="1826">
        <v>195.41146393708712</v>
      </c>
      <c r="O104" s="1826">
        <v>114.00875909163307</v>
      </c>
      <c r="P104" s="1826">
        <v>115.12039638262003</v>
      </c>
      <c r="Q104" s="1826">
        <v>115.33481829996161</v>
      </c>
      <c r="R104" s="1826">
        <v>139.73980034843211</v>
      </c>
      <c r="S104" s="1826">
        <v>197.9585138362273</v>
      </c>
      <c r="T104" s="3018">
        <v>136.33388175663336</v>
      </c>
    </row>
    <row r="105" spans="1:20">
      <c r="A105" s="483">
        <f t="shared" si="1"/>
        <v>2011.12</v>
      </c>
      <c r="B105" s="1230">
        <v>135.4</v>
      </c>
      <c r="C105" s="3019">
        <f t="shared" si="2"/>
        <v>1.4232209737827795E-2</v>
      </c>
      <c r="D105" s="3505">
        <v>1.399609421104886E-2</v>
      </c>
      <c r="E105" s="1542">
        <v>55.0827399695469</v>
      </c>
      <c r="F105" s="3017">
        <v>43.776065772183522</v>
      </c>
      <c r="G105" s="3017">
        <v>138.90806356729962</v>
      </c>
      <c r="H105" s="3017">
        <v>130.21180382364088</v>
      </c>
      <c r="I105" s="3017">
        <v>158.90926444550524</v>
      </c>
      <c r="J105" s="2530">
        <v>206.8961108760985</v>
      </c>
      <c r="K105" s="1543">
        <v>194.14045796025377</v>
      </c>
      <c r="L105" s="1826">
        <v>182.45060485114334</v>
      </c>
      <c r="M105" s="1826">
        <v>211.01788585441273</v>
      </c>
      <c r="N105" s="1826">
        <v>207.21592497200368</v>
      </c>
      <c r="O105" s="1826">
        <v>119.66431537543758</v>
      </c>
      <c r="P105" s="1826">
        <v>115.09648175481345</v>
      </c>
      <c r="Q105" s="1826">
        <v>114.74114735090484</v>
      </c>
      <c r="R105" s="1826">
        <v>138.6769398886012</v>
      </c>
      <c r="S105" s="1826">
        <v>199.69615683043304</v>
      </c>
      <c r="T105" s="3018">
        <v>136.64285142354578</v>
      </c>
    </row>
    <row r="106" spans="1:20">
      <c r="A106" s="483">
        <f t="shared" si="1"/>
        <v>2012.01</v>
      </c>
      <c r="B106" s="1230">
        <v>119.3</v>
      </c>
      <c r="C106" s="3019">
        <f t="shared" si="2"/>
        <v>-0.11890694239291</v>
      </c>
      <c r="D106" s="3505">
        <v>-3.8186877209530623E-3</v>
      </c>
      <c r="E106" s="1544">
        <v>40.516811224172436</v>
      </c>
      <c r="F106" s="3020">
        <v>17.197062439013624</v>
      </c>
      <c r="G106" s="3020">
        <v>163.37481996341131</v>
      </c>
      <c r="H106" s="3020">
        <v>108.64420257416074</v>
      </c>
      <c r="I106" s="3020">
        <v>172.52387412731713</v>
      </c>
      <c r="J106" s="2531">
        <v>154.49994975721481</v>
      </c>
      <c r="K106" s="1543">
        <v>170.46385020407669</v>
      </c>
      <c r="L106" s="1826">
        <v>180.50987923968648</v>
      </c>
      <c r="M106" s="1826">
        <v>183.36601215420166</v>
      </c>
      <c r="N106" s="1826">
        <v>212.40796220608073</v>
      </c>
      <c r="O106" s="1826">
        <v>114.92083404650656</v>
      </c>
      <c r="P106" s="1826">
        <v>118.99080841259848</v>
      </c>
      <c r="Q106" s="1826">
        <v>113.41913180388462</v>
      </c>
      <c r="R106" s="1826">
        <v>150.27015949629245</v>
      </c>
      <c r="S106" s="1826">
        <v>198.56558928866309</v>
      </c>
      <c r="T106" s="3018">
        <v>134.39996802401083</v>
      </c>
    </row>
    <row r="107" spans="1:20">
      <c r="A107" s="483">
        <f t="shared" si="1"/>
        <v>2012.02</v>
      </c>
      <c r="B107" s="1230">
        <v>122.1</v>
      </c>
      <c r="C107" s="3019">
        <f t="shared" si="2"/>
        <v>2.3470243084660503E-2</v>
      </c>
      <c r="D107" s="3505">
        <v>4.7051295043323726E-2</v>
      </c>
      <c r="E107" s="1544">
        <v>51.205472667465088</v>
      </c>
      <c r="F107" s="3020">
        <v>51.079078604164643</v>
      </c>
      <c r="G107" s="3020">
        <v>145.11385318723916</v>
      </c>
      <c r="H107" s="3020">
        <v>121.53528798011513</v>
      </c>
      <c r="I107" s="3020">
        <v>173.01523207916503</v>
      </c>
      <c r="J107" s="2531">
        <v>159.9227867598627</v>
      </c>
      <c r="K107" s="1543">
        <v>151.2495227364326</v>
      </c>
      <c r="L107" s="1826">
        <v>179.92370749145124</v>
      </c>
      <c r="M107" s="1826">
        <v>184.18452400799998</v>
      </c>
      <c r="N107" s="1826">
        <v>209.39808802318828</v>
      </c>
      <c r="O107" s="1826">
        <v>119.90416576473805</v>
      </c>
      <c r="P107" s="1826">
        <v>118.57463989391985</v>
      </c>
      <c r="Q107" s="1826">
        <v>112.63323746631455</v>
      </c>
      <c r="R107" s="1826">
        <v>147.77022341070159</v>
      </c>
      <c r="S107" s="1826">
        <v>196.53050028942098</v>
      </c>
      <c r="T107" s="3018">
        <v>128.88735937393298</v>
      </c>
    </row>
    <row r="108" spans="1:20">
      <c r="A108" s="483">
        <f t="shared" si="1"/>
        <v>2012.03</v>
      </c>
      <c r="B108" s="1230">
        <v>171.5</v>
      </c>
      <c r="C108" s="3019">
        <f t="shared" si="2"/>
        <v>0.40458640458640471</v>
      </c>
      <c r="D108" s="3505">
        <v>5.133421183595388E-3</v>
      </c>
      <c r="E108" s="1544">
        <v>223.01070777061858</v>
      </c>
      <c r="F108" s="3020">
        <v>55.626302734086444</v>
      </c>
      <c r="G108" s="3020">
        <v>146.37605870827664</v>
      </c>
      <c r="H108" s="3020">
        <v>145.55736084832228</v>
      </c>
      <c r="I108" s="3020">
        <v>194.86345393759018</v>
      </c>
      <c r="J108" s="2531">
        <v>172.52386356857207</v>
      </c>
      <c r="K108" s="1543">
        <v>174.62993721499777</v>
      </c>
      <c r="L108" s="1826">
        <v>177.51487565097315</v>
      </c>
      <c r="M108" s="1826">
        <v>229.51258434775474</v>
      </c>
      <c r="N108" s="1826">
        <v>224.52526704321184</v>
      </c>
      <c r="O108" s="1826">
        <v>126.87326895735339</v>
      </c>
      <c r="P108" s="1826">
        <v>120.18619148546298</v>
      </c>
      <c r="Q108" s="1826">
        <v>112.48300637386585</v>
      </c>
      <c r="R108" s="1826">
        <v>149.03393845901235</v>
      </c>
      <c r="S108" s="1826">
        <v>195.90850930426433</v>
      </c>
      <c r="T108" s="3018">
        <v>117.28705490403277</v>
      </c>
    </row>
    <row r="109" spans="1:20">
      <c r="A109" s="483">
        <f t="shared" si="1"/>
        <v>2012.04</v>
      </c>
      <c r="B109" s="1230">
        <v>181.3</v>
      </c>
      <c r="C109" s="3019">
        <f t="shared" si="2"/>
        <v>5.7142857142857162E-2</v>
      </c>
      <c r="D109" s="3505">
        <v>-5.8399550699940066E-2</v>
      </c>
      <c r="E109" s="1544">
        <v>304.45486974226856</v>
      </c>
      <c r="F109" s="3020">
        <v>23.20982120901953</v>
      </c>
      <c r="G109" s="3020">
        <v>149.02206431094734</v>
      </c>
      <c r="H109" s="3020">
        <v>134.96055632689047</v>
      </c>
      <c r="I109" s="3020">
        <v>180.62283547888512</v>
      </c>
      <c r="J109" s="2531">
        <v>158.2883614062587</v>
      </c>
      <c r="K109" s="1543">
        <v>161.96919499079939</v>
      </c>
      <c r="L109" s="1826">
        <v>181.11943316657087</v>
      </c>
      <c r="M109" s="1826">
        <v>234.83042116971976</v>
      </c>
      <c r="N109" s="1826">
        <v>216.32526753793383</v>
      </c>
      <c r="O109" s="1826">
        <v>118.50618792289514</v>
      </c>
      <c r="P109" s="1826">
        <v>121.34504428244375</v>
      </c>
      <c r="Q109" s="1826">
        <v>114.40467397708379</v>
      </c>
      <c r="R109" s="1826">
        <v>149.16557635255862</v>
      </c>
      <c r="S109" s="1826">
        <v>194.65947506771596</v>
      </c>
      <c r="T109" s="3018">
        <v>108.37644557654501</v>
      </c>
    </row>
    <row r="110" spans="1:20">
      <c r="A110" s="483">
        <f t="shared" si="1"/>
        <v>2012.05</v>
      </c>
      <c r="B110" s="1230">
        <v>162.80000000000001</v>
      </c>
      <c r="C110" s="3019">
        <f t="shared" si="2"/>
        <v>-0.10204081632653061</v>
      </c>
      <c r="D110" s="3505">
        <v>-3.3468283618997341E-2</v>
      </c>
      <c r="E110" s="1544">
        <v>190.43622376325021</v>
      </c>
      <c r="F110" s="3020">
        <v>28.104601472753671</v>
      </c>
      <c r="G110" s="3020">
        <v>149.17866577164193</v>
      </c>
      <c r="H110" s="3020">
        <v>139.16877807733206</v>
      </c>
      <c r="I110" s="3020">
        <v>188.5181380338378</v>
      </c>
      <c r="J110" s="2531">
        <v>178.0945815921194</v>
      </c>
      <c r="K110" s="1543">
        <v>178.03353602883226</v>
      </c>
      <c r="L110" s="1826">
        <v>176.88821269152459</v>
      </c>
      <c r="M110" s="1826">
        <v>220.84323208777693</v>
      </c>
      <c r="N110" s="1826">
        <v>219.13895648469386</v>
      </c>
      <c r="O110" s="1826">
        <v>122.38212049305307</v>
      </c>
      <c r="P110" s="1826">
        <v>121.3817136535697</v>
      </c>
      <c r="Q110" s="1826">
        <v>113.80798405635049</v>
      </c>
      <c r="R110" s="1826">
        <v>149.24263272309184</v>
      </c>
      <c r="S110" s="1826">
        <v>194.36177874785437</v>
      </c>
      <c r="T110" s="3018">
        <v>107.00334095659449</v>
      </c>
    </row>
    <row r="111" spans="1:20">
      <c r="A111" s="483">
        <f t="shared" si="1"/>
        <v>2012.06</v>
      </c>
      <c r="B111" s="1230">
        <v>136.1</v>
      </c>
      <c r="C111" s="3019">
        <f t="shared" si="2"/>
        <v>-0.16400491400491413</v>
      </c>
      <c r="D111" s="3505">
        <v>3.8140782034745691E-3</v>
      </c>
      <c r="E111" s="1544">
        <v>55.092856579305639</v>
      </c>
      <c r="F111" s="3020">
        <v>34.701013555228826</v>
      </c>
      <c r="G111" s="3020">
        <v>166.21129760401746</v>
      </c>
      <c r="H111" s="3020">
        <v>146.59096064377118</v>
      </c>
      <c r="I111" s="3020">
        <v>190.79484095520212</v>
      </c>
      <c r="J111" s="2531">
        <v>176.08638211127962</v>
      </c>
      <c r="K111" s="1543">
        <v>174.26695718602221</v>
      </c>
      <c r="L111" s="1826">
        <v>177.78126932367104</v>
      </c>
      <c r="M111" s="1826">
        <v>199.43466949788598</v>
      </c>
      <c r="N111" s="1826">
        <v>212.57674924037272</v>
      </c>
      <c r="O111" s="1826">
        <v>124.65464786800221</v>
      </c>
      <c r="P111" s="1826">
        <v>121.17651222550278</v>
      </c>
      <c r="Q111" s="1826">
        <v>114.44848290070593</v>
      </c>
      <c r="R111" s="1826">
        <v>148.7997341122616</v>
      </c>
      <c r="S111" s="1826">
        <v>195.4302333236156</v>
      </c>
      <c r="T111" s="3018">
        <v>111.12999649002039</v>
      </c>
    </row>
    <row r="112" spans="1:20">
      <c r="A112" s="483">
        <f t="shared" si="1"/>
        <v>2012.07</v>
      </c>
      <c r="B112" s="1230">
        <v>132.1</v>
      </c>
      <c r="C112" s="3019">
        <f t="shared" si="2"/>
        <v>-2.9390154298310045E-2</v>
      </c>
      <c r="D112" s="3505">
        <v>-3.2454486061849863E-2</v>
      </c>
      <c r="E112" s="1544">
        <v>38.255441038733032</v>
      </c>
      <c r="F112" s="3020">
        <v>36.60504128071323</v>
      </c>
      <c r="G112" s="3020">
        <v>193.06260830796302</v>
      </c>
      <c r="H112" s="3020">
        <v>138.38566204990215</v>
      </c>
      <c r="I112" s="3020">
        <v>199.9508231740912</v>
      </c>
      <c r="J112" s="2531">
        <v>168.32042050636463</v>
      </c>
      <c r="K112" s="1543">
        <v>182.31507896516104</v>
      </c>
      <c r="L112" s="1826">
        <v>183.70509226952959</v>
      </c>
      <c r="M112" s="1826">
        <v>200.09193306060695</v>
      </c>
      <c r="N112" s="1826">
        <v>197.67608184222166</v>
      </c>
      <c r="O112" s="1826">
        <v>130.60217109517038</v>
      </c>
      <c r="P112" s="1826">
        <v>121.0875025023209</v>
      </c>
      <c r="Q112" s="1826">
        <v>114.59057318430609</v>
      </c>
      <c r="R112" s="1826">
        <v>148.47030967370762</v>
      </c>
      <c r="S112" s="1826">
        <v>194.65370544360894</v>
      </c>
      <c r="T112" s="3018">
        <v>117.59797585652856</v>
      </c>
    </row>
    <row r="113" spans="1:20">
      <c r="A113" s="483">
        <f t="shared" si="1"/>
        <v>2012.08</v>
      </c>
      <c r="B113" s="1230">
        <v>140.30000000000001</v>
      </c>
      <c r="C113" s="3019">
        <f t="shared" si="2"/>
        <v>6.2074186222558891E-2</v>
      </c>
      <c r="D113" s="3505">
        <v>3.9592625364999412E-2</v>
      </c>
      <c r="E113" s="1544">
        <v>37.738677231383768</v>
      </c>
      <c r="F113" s="3020">
        <v>45.43571589837314</v>
      </c>
      <c r="G113" s="3020">
        <v>126.67597596155329</v>
      </c>
      <c r="H113" s="3020">
        <v>162.34226902962467</v>
      </c>
      <c r="I113" s="3020">
        <v>187.92002567504898</v>
      </c>
      <c r="J113" s="2531">
        <v>180.75136980477726</v>
      </c>
      <c r="K113" s="1543">
        <v>183.57500462568424</v>
      </c>
      <c r="L113" s="1826">
        <v>184.51497485236939</v>
      </c>
      <c r="M113" s="1826">
        <v>212.86706069123389</v>
      </c>
      <c r="N113" s="1826">
        <v>199.65203953880498</v>
      </c>
      <c r="O113" s="1826">
        <v>134.53361485266234</v>
      </c>
      <c r="P113" s="1826">
        <v>121.16670345027137</v>
      </c>
      <c r="Q113" s="1826">
        <v>114.633321480219</v>
      </c>
      <c r="R113" s="1826">
        <v>152.56096979589552</v>
      </c>
      <c r="S113" s="1826">
        <v>193.68535692898269</v>
      </c>
      <c r="T113" s="3018">
        <v>120.32588226092928</v>
      </c>
    </row>
    <row r="114" spans="1:20">
      <c r="A114" s="483">
        <f t="shared" si="1"/>
        <v>2012.09</v>
      </c>
      <c r="B114" s="1230">
        <v>127.8</v>
      </c>
      <c r="C114" s="3019">
        <f t="shared" si="2"/>
        <v>-8.9094796863863235E-2</v>
      </c>
      <c r="D114" s="3505">
        <v>-3.3065147112063764E-2</v>
      </c>
      <c r="E114" s="1544">
        <v>34.577329838137381</v>
      </c>
      <c r="F114" s="3020">
        <v>46.375962557234899</v>
      </c>
      <c r="G114" s="3020">
        <v>139.85414342058544</v>
      </c>
      <c r="H114" s="3020">
        <v>134.01718143822484</v>
      </c>
      <c r="I114" s="3020">
        <v>181.44893486031893</v>
      </c>
      <c r="J114" s="2531">
        <v>160.83832558972816</v>
      </c>
      <c r="K114" s="1543">
        <v>174.56289173786752</v>
      </c>
      <c r="L114" s="1826">
        <v>186.68122249273333</v>
      </c>
      <c r="M114" s="1826">
        <v>202.88814105736901</v>
      </c>
      <c r="N114" s="1826">
        <v>187.77132204495697</v>
      </c>
      <c r="O114" s="1826">
        <v>125.88195319016046</v>
      </c>
      <c r="P114" s="1826">
        <v>121.24786379486332</v>
      </c>
      <c r="Q114" s="1826">
        <v>114.63764942388319</v>
      </c>
      <c r="R114" s="1826">
        <v>152.63525976742585</v>
      </c>
      <c r="S114" s="1826">
        <v>194.0100803070271</v>
      </c>
      <c r="T114" s="3018">
        <v>122.67057382628683</v>
      </c>
    </row>
    <row r="115" spans="1:20">
      <c r="A115" s="483">
        <f t="shared" si="1"/>
        <v>2012.1</v>
      </c>
      <c r="B115" s="1230">
        <v>134</v>
      </c>
      <c r="C115" s="3019">
        <f t="shared" si="2"/>
        <v>4.8513302034428829E-2</v>
      </c>
      <c r="D115" s="3505">
        <v>3.5861372734141916E-2</v>
      </c>
      <c r="E115" s="1544">
        <v>36.635131717098432</v>
      </c>
      <c r="F115" s="3020">
        <v>49.799559923022343</v>
      </c>
      <c r="G115" s="3020">
        <v>141.32706230752677</v>
      </c>
      <c r="H115" s="3020">
        <v>145.93062126477508</v>
      </c>
      <c r="I115" s="3020">
        <v>188.55022998629534</v>
      </c>
      <c r="J115" s="2531">
        <v>164.07407031063278</v>
      </c>
      <c r="K115" s="1543">
        <v>188.04104312914919</v>
      </c>
      <c r="L115" s="1826">
        <v>189.58150855879938</v>
      </c>
      <c r="M115" s="1826">
        <v>213.49438090740176</v>
      </c>
      <c r="N115" s="1826">
        <v>196.20402770498615</v>
      </c>
      <c r="O115" s="1826">
        <v>115.49064026635688</v>
      </c>
      <c r="P115" s="1826">
        <v>122.74668007990797</v>
      </c>
      <c r="Q115" s="1826">
        <v>114.8197028279575</v>
      </c>
      <c r="R115" s="1826">
        <v>152.92676216867224</v>
      </c>
      <c r="S115" s="1826">
        <v>195.20970540809114</v>
      </c>
      <c r="T115" s="3018">
        <v>120.62515780125743</v>
      </c>
    </row>
    <row r="116" spans="1:20">
      <c r="A116" s="483">
        <f t="shared" si="1"/>
        <v>2012.11</v>
      </c>
      <c r="B116" s="1230">
        <v>132.4</v>
      </c>
      <c r="C116" s="3019">
        <f t="shared" si="2"/>
        <v>-1.1940298507462699E-2</v>
      </c>
      <c r="D116" s="3505">
        <v>-8.114662788063387E-3</v>
      </c>
      <c r="E116" s="1544">
        <v>59.193503136415728</v>
      </c>
      <c r="F116" s="3020">
        <v>43.578945263672544</v>
      </c>
      <c r="G116" s="3020">
        <v>144.7170916597</v>
      </c>
      <c r="H116" s="3020">
        <v>126.46573537136263</v>
      </c>
      <c r="I116" s="3020">
        <v>180.61396955230765</v>
      </c>
      <c r="J116" s="2531">
        <v>178.24742092681589</v>
      </c>
      <c r="K116" s="1543">
        <v>183.37278787688248</v>
      </c>
      <c r="L116" s="1826">
        <v>189.5144212414871</v>
      </c>
      <c r="M116" s="1826">
        <v>211.21495779519387</v>
      </c>
      <c r="N116" s="1826">
        <v>198.83970060521526</v>
      </c>
      <c r="O116" s="1826">
        <v>113.63617667143706</v>
      </c>
      <c r="P116" s="1826">
        <v>122.75501450695052</v>
      </c>
      <c r="Q116" s="1826">
        <v>115.16111645935801</v>
      </c>
      <c r="R116" s="1826">
        <v>153.31509513292741</v>
      </c>
      <c r="S116" s="1826">
        <v>196.39892648117046</v>
      </c>
      <c r="T116" s="3018">
        <v>120.76626258239746</v>
      </c>
    </row>
    <row r="117" spans="1:20">
      <c r="A117" s="483">
        <f t="shared" si="1"/>
        <v>2012.12</v>
      </c>
      <c r="B117" s="1230">
        <v>142.19999999999999</v>
      </c>
      <c r="C117" s="3019">
        <f t="shared" si="2"/>
        <v>7.4018126888217406E-2</v>
      </c>
      <c r="D117" s="3505">
        <v>5.0221398049772104E-2</v>
      </c>
      <c r="E117" s="1544">
        <v>60.792203132898038</v>
      </c>
      <c r="F117" s="3020">
        <v>32.906750307541095</v>
      </c>
      <c r="G117" s="3020">
        <v>102.52841263427661</v>
      </c>
      <c r="H117" s="3020">
        <v>144.13247556099375</v>
      </c>
      <c r="I117" s="3020">
        <v>192.14693791995001</v>
      </c>
      <c r="J117" s="2531">
        <v>167.90567983187103</v>
      </c>
      <c r="K117" s="1543">
        <v>201.14428952658068</v>
      </c>
      <c r="L117" s="1826">
        <v>189.04056082228698</v>
      </c>
      <c r="M117" s="1826">
        <v>223.89835114487889</v>
      </c>
      <c r="N117" s="1826">
        <v>213.93505672553363</v>
      </c>
      <c r="O117" s="1826">
        <v>118.8024965012951</v>
      </c>
      <c r="P117" s="1826">
        <v>122.79577929889459</v>
      </c>
      <c r="Q117" s="1826">
        <v>115.51468228652635</v>
      </c>
      <c r="R117" s="1826">
        <v>153.92728075580948</v>
      </c>
      <c r="S117" s="1826">
        <v>198.59791865798692</v>
      </c>
      <c r="T117" s="3018">
        <v>121.1409575647773</v>
      </c>
    </row>
    <row r="118" spans="1:20">
      <c r="A118" s="483">
        <f t="shared" si="1"/>
        <v>2013.01</v>
      </c>
      <c r="B118" s="1230">
        <v>117.3</v>
      </c>
      <c r="C118" s="3019">
        <f t="shared" si="2"/>
        <v>-0.17510548523206748</v>
      </c>
      <c r="D118" s="3505">
        <v>-1.6423135636535524E-2</v>
      </c>
      <c r="E118" s="1544">
        <v>39.436367235109735</v>
      </c>
      <c r="F118" s="3020">
        <v>10.220358353199382</v>
      </c>
      <c r="G118" s="3020">
        <v>185.28418230363712</v>
      </c>
      <c r="H118" s="3020">
        <v>101.52930293049131</v>
      </c>
      <c r="I118" s="3020">
        <v>207.07971963566365</v>
      </c>
      <c r="J118" s="2531">
        <v>155.22959702359</v>
      </c>
      <c r="K118" s="1543">
        <v>164.77469389572309</v>
      </c>
      <c r="L118" s="1826">
        <v>187.2712910931503</v>
      </c>
      <c r="M118" s="1826">
        <v>194.78015331293287</v>
      </c>
      <c r="N118" s="1826">
        <v>215.8908436164723</v>
      </c>
      <c r="O118" s="1826">
        <v>113.1660546202087</v>
      </c>
      <c r="P118" s="1826">
        <v>122.99725854180674</v>
      </c>
      <c r="Q118" s="1826">
        <v>115.62978343082789</v>
      </c>
      <c r="R118" s="1826">
        <v>154.9076340167241</v>
      </c>
      <c r="S118" s="1826">
        <v>194.38644895717761</v>
      </c>
      <c r="T118" s="3018">
        <v>126.44117616138392</v>
      </c>
    </row>
    <row r="119" spans="1:20">
      <c r="A119" s="483">
        <f t="shared" si="1"/>
        <v>2013.02</v>
      </c>
      <c r="B119" s="1230">
        <v>118.9</v>
      </c>
      <c r="C119" s="3019">
        <f t="shared" si="2"/>
        <v>1.364023870417741E-2</v>
      </c>
      <c r="D119" s="3505">
        <v>-2.5748650568252707E-2</v>
      </c>
      <c r="E119" s="1544">
        <v>56.726957326000885</v>
      </c>
      <c r="F119" s="3020">
        <v>13.344701109007751</v>
      </c>
      <c r="G119" s="3020">
        <v>157.00666958631848</v>
      </c>
      <c r="H119" s="3020">
        <v>105.54058256203854</v>
      </c>
      <c r="I119" s="3020">
        <v>199.58201174165393</v>
      </c>
      <c r="J119" s="2531">
        <v>165.350368444097</v>
      </c>
      <c r="K119" s="1543">
        <v>145.57812133565716</v>
      </c>
      <c r="L119" s="1826">
        <v>187.56726060109426</v>
      </c>
      <c r="M119" s="1826">
        <v>192.52427566314117</v>
      </c>
      <c r="N119" s="1826">
        <v>210.43359632187429</v>
      </c>
      <c r="O119" s="1826">
        <v>117.80296793884303</v>
      </c>
      <c r="P119" s="1826">
        <v>123.19708034656776</v>
      </c>
      <c r="Q119" s="1826">
        <v>115.88922373050741</v>
      </c>
      <c r="R119" s="1826">
        <v>155.04886105374243</v>
      </c>
      <c r="S119" s="1826">
        <v>194.00867257630557</v>
      </c>
      <c r="T119" s="3018">
        <v>126.57438401456248</v>
      </c>
    </row>
    <row r="120" spans="1:20">
      <c r="A120" s="483">
        <f t="shared" si="1"/>
        <v>2013.03</v>
      </c>
      <c r="B120" s="1230">
        <v>179.1</v>
      </c>
      <c r="C120" s="3019">
        <f t="shared" si="2"/>
        <v>0.50630782169890653</v>
      </c>
      <c r="D120" s="3505">
        <v>4.4337468630777366E-2</v>
      </c>
      <c r="E120" s="1544">
        <v>276.24321170636273</v>
      </c>
      <c r="F120" s="3020">
        <v>19.571660563221872</v>
      </c>
      <c r="G120" s="3020">
        <v>155.72741600141254</v>
      </c>
      <c r="H120" s="3020">
        <v>135.04691479572236</v>
      </c>
      <c r="I120" s="3020">
        <v>180.72732391573379</v>
      </c>
      <c r="J120" s="2531">
        <v>165.9524917203172</v>
      </c>
      <c r="K120" s="1543">
        <v>167.23701540404264</v>
      </c>
      <c r="L120" s="1826">
        <v>189.9590538395781</v>
      </c>
      <c r="M120" s="1826">
        <v>252.36605819574109</v>
      </c>
      <c r="N120" s="1826">
        <v>219.40113469555754</v>
      </c>
      <c r="O120" s="1826">
        <v>127.18960911938534</v>
      </c>
      <c r="P120" s="1826">
        <v>123.18661348373027</v>
      </c>
      <c r="Q120" s="1826">
        <v>116.35581653268216</v>
      </c>
      <c r="R120" s="1826">
        <v>155.19949802410702</v>
      </c>
      <c r="S120" s="1826">
        <v>193.22266438205384</v>
      </c>
      <c r="T120" s="3018">
        <v>118.2791570417356</v>
      </c>
    </row>
    <row r="121" spans="1:20">
      <c r="A121" s="483">
        <f t="shared" si="1"/>
        <v>2013.04</v>
      </c>
      <c r="B121" s="1230">
        <v>200.5</v>
      </c>
      <c r="C121" s="3019">
        <f t="shared" si="2"/>
        <v>0.11948632049134567</v>
      </c>
      <c r="D121" s="3505">
        <v>0.1059205198237958</v>
      </c>
      <c r="E121" s="1544">
        <v>386.24504920677828</v>
      </c>
      <c r="F121" s="3020">
        <v>12.13363611191957</v>
      </c>
      <c r="G121" s="3020">
        <v>177.41089034567986</v>
      </c>
      <c r="H121" s="3020">
        <v>132.26781525812174</v>
      </c>
      <c r="I121" s="3020">
        <v>195.41908425732984</v>
      </c>
      <c r="J121" s="2531">
        <v>170.25469661070406</v>
      </c>
      <c r="K121" s="1543">
        <v>166.54349592881022</v>
      </c>
      <c r="L121" s="1826">
        <v>183.19271245595419</v>
      </c>
      <c r="M121" s="1826">
        <v>264.37091504041337</v>
      </c>
      <c r="N121" s="1826">
        <v>216.45981139468216</v>
      </c>
      <c r="O121" s="1826">
        <v>120.67504632991498</v>
      </c>
      <c r="P121" s="1826">
        <v>123.73845611483367</v>
      </c>
      <c r="Q121" s="1826">
        <v>116.68510356702964</v>
      </c>
      <c r="R121" s="1826">
        <v>155.44266205915122</v>
      </c>
      <c r="S121" s="1826">
        <v>194.81729462819808</v>
      </c>
      <c r="T121" s="3018">
        <v>111.46058912370809</v>
      </c>
    </row>
    <row r="122" spans="1:20">
      <c r="A122" s="483">
        <f t="shared" ref="A122:A185" si="3">A110+1</f>
        <v>2013.05</v>
      </c>
      <c r="B122" s="1230">
        <v>177.5</v>
      </c>
      <c r="C122" s="3019">
        <f t="shared" si="2"/>
        <v>-0.11471321695760595</v>
      </c>
      <c r="D122" s="3505">
        <v>9.0188106932656442E-2</v>
      </c>
      <c r="E122" s="1544">
        <v>236.52316784914805</v>
      </c>
      <c r="F122" s="3020">
        <v>15.948781641278526</v>
      </c>
      <c r="G122" s="3020">
        <v>170.01723691000689</v>
      </c>
      <c r="H122" s="3020">
        <v>141.73610249709168</v>
      </c>
      <c r="I122" s="3020">
        <v>212.36589464977061</v>
      </c>
      <c r="J122" s="2531">
        <v>198.7133526310468</v>
      </c>
      <c r="K122" s="1543">
        <v>185.8810426954588</v>
      </c>
      <c r="L122" s="1826">
        <v>185.45324283195913</v>
      </c>
      <c r="M122" s="1826">
        <v>246.51005055951589</v>
      </c>
      <c r="N122" s="1826">
        <v>213.97999246544015</v>
      </c>
      <c r="O122" s="1826">
        <v>125.39750774779199</v>
      </c>
      <c r="P122" s="1826">
        <v>126.80857456095841</v>
      </c>
      <c r="Q122" s="1826">
        <v>120.64388648554724</v>
      </c>
      <c r="R122" s="1826">
        <v>155.72251445849753</v>
      </c>
      <c r="S122" s="1826">
        <v>200.74202116620376</v>
      </c>
      <c r="T122" s="3018">
        <v>111.75573262909771</v>
      </c>
    </row>
    <row r="123" spans="1:20">
      <c r="A123" s="483">
        <f t="shared" si="3"/>
        <v>2013.06</v>
      </c>
      <c r="B123" s="1230">
        <v>145.19999999999999</v>
      </c>
      <c r="C123" s="3019">
        <f t="shared" si="2"/>
        <v>-0.18197183098591552</v>
      </c>
      <c r="D123" s="3505">
        <v>6.7218303737829999E-2</v>
      </c>
      <c r="E123" s="1544">
        <v>64.430268765038051</v>
      </c>
      <c r="F123" s="3020">
        <v>15.062568974760762</v>
      </c>
      <c r="G123" s="3020">
        <v>175.77725702874852</v>
      </c>
      <c r="H123" s="3020">
        <v>163.26216288697606</v>
      </c>
      <c r="I123" s="3020">
        <v>189.2060384744</v>
      </c>
      <c r="J123" s="2531">
        <v>168.59011432020759</v>
      </c>
      <c r="K123" s="1543">
        <v>177.6971612361144</v>
      </c>
      <c r="L123" s="1826">
        <v>185.49619447692919</v>
      </c>
      <c r="M123" s="1826">
        <v>224.23351257132697</v>
      </c>
      <c r="N123" s="1826">
        <v>223.96149313919906</v>
      </c>
      <c r="O123" s="1826">
        <v>124.83338828050385</v>
      </c>
      <c r="P123" s="1826">
        <v>124.72710767287268</v>
      </c>
      <c r="Q123" s="1826">
        <v>122.44887962734515</v>
      </c>
      <c r="R123" s="1826">
        <v>156.3179016946541</v>
      </c>
      <c r="S123" s="1826">
        <v>194.77723972610744</v>
      </c>
      <c r="T123" s="3018">
        <v>115.58943866060422</v>
      </c>
    </row>
    <row r="124" spans="1:20">
      <c r="A124" s="483">
        <f t="shared" si="3"/>
        <v>2013.07</v>
      </c>
      <c r="B124" s="1230">
        <v>140.4</v>
      </c>
      <c r="C124" s="3019">
        <f t="shared" si="2"/>
        <v>-3.3057851239669311E-2</v>
      </c>
      <c r="D124" s="3505">
        <v>6.280902335813443E-2</v>
      </c>
      <c r="E124" s="1544">
        <v>41.242677851235065</v>
      </c>
      <c r="F124" s="3020">
        <v>16.597101595127928</v>
      </c>
      <c r="G124" s="3020">
        <v>213.6623870504288</v>
      </c>
      <c r="H124" s="3020">
        <v>150.56026872468621</v>
      </c>
      <c r="I124" s="3020">
        <v>204.53026385039516</v>
      </c>
      <c r="J124" s="2531">
        <v>180.29605055105597</v>
      </c>
      <c r="K124" s="1543">
        <v>190.59027899913104</v>
      </c>
      <c r="L124" s="1826">
        <v>190.82367439325031</v>
      </c>
      <c r="M124" s="1826">
        <v>222.72228627485367</v>
      </c>
      <c r="N124" s="1826">
        <v>215.52882935216235</v>
      </c>
      <c r="O124" s="1826">
        <v>132.66618525341119</v>
      </c>
      <c r="P124" s="1826">
        <v>126.57702116498376</v>
      </c>
      <c r="Q124" s="1826">
        <v>121.02851253827289</v>
      </c>
      <c r="R124" s="1826">
        <v>156.74372363948123</v>
      </c>
      <c r="S124" s="1826">
        <v>189.13513930458711</v>
      </c>
      <c r="T124" s="3018">
        <v>119.22227092855762</v>
      </c>
    </row>
    <row r="125" spans="1:20">
      <c r="A125" s="483">
        <f t="shared" si="3"/>
        <v>2013.08</v>
      </c>
      <c r="B125" s="1230">
        <v>139.6</v>
      </c>
      <c r="C125" s="3019">
        <f t="shared" si="2"/>
        <v>-5.6980056980058258E-3</v>
      </c>
      <c r="D125" s="3505">
        <v>-4.6949442606480929E-3</v>
      </c>
      <c r="E125" s="1544">
        <v>39.974598660436804</v>
      </c>
      <c r="F125" s="3020">
        <v>20.024529082885362</v>
      </c>
      <c r="G125" s="3020">
        <v>178.44551450143652</v>
      </c>
      <c r="H125" s="3020">
        <v>149.25320131468757</v>
      </c>
      <c r="I125" s="3020">
        <v>195.06554268057829</v>
      </c>
      <c r="J125" s="2531">
        <v>206.1510762651867</v>
      </c>
      <c r="K125" s="1543">
        <v>182.23445907095027</v>
      </c>
      <c r="L125" s="1826">
        <v>190.80549781925836</v>
      </c>
      <c r="M125" s="1826">
        <v>225.17771047670169</v>
      </c>
      <c r="N125" s="1826">
        <v>221.58394646491334</v>
      </c>
      <c r="O125" s="1826">
        <v>137.2010568038659</v>
      </c>
      <c r="P125" s="1826">
        <v>126.58132299606939</v>
      </c>
      <c r="Q125" s="1826">
        <v>121.11937916571551</v>
      </c>
      <c r="R125" s="1826">
        <v>157.4322046337152</v>
      </c>
      <c r="S125" s="1826">
        <v>187.88039582168662</v>
      </c>
      <c r="T125" s="3018">
        <v>121.76910313228811</v>
      </c>
    </row>
    <row r="126" spans="1:20">
      <c r="A126" s="483">
        <f t="shared" si="3"/>
        <v>2013.09</v>
      </c>
      <c r="B126" s="1230">
        <v>134.5</v>
      </c>
      <c r="C126" s="3019">
        <f t="shared" si="2"/>
        <v>-3.6532951289398263E-2</v>
      </c>
      <c r="D126" s="3505">
        <v>5.1994493418318743E-2</v>
      </c>
      <c r="E126" s="1544">
        <v>35.14833297576299</v>
      </c>
      <c r="F126" s="3020">
        <v>21.680915944898707</v>
      </c>
      <c r="G126" s="3020">
        <v>203.28528508069758</v>
      </c>
      <c r="H126" s="3020">
        <v>141.43161781274662</v>
      </c>
      <c r="I126" s="3020">
        <v>182.01543503937322</v>
      </c>
      <c r="J126" s="2531">
        <v>184.51206245632591</v>
      </c>
      <c r="K126" s="1543">
        <v>180.87412735154632</v>
      </c>
      <c r="L126" s="1826">
        <v>189.34723676250229</v>
      </c>
      <c r="M126" s="1826">
        <v>220.18524904726314</v>
      </c>
      <c r="N126" s="1826">
        <v>218.31039886989396</v>
      </c>
      <c r="O126" s="1826">
        <v>130.16963640242054</v>
      </c>
      <c r="P126" s="1826">
        <v>126.46122990476816</v>
      </c>
      <c r="Q126" s="1826">
        <v>120.98613004793825</v>
      </c>
      <c r="R126" s="1826">
        <v>158.46013015119172</v>
      </c>
      <c r="S126" s="1826">
        <v>191.82259103542862</v>
      </c>
      <c r="T126" s="3018">
        <v>124.10647458827438</v>
      </c>
    </row>
    <row r="127" spans="1:20">
      <c r="A127" s="483">
        <f t="shared" si="3"/>
        <v>2013.1</v>
      </c>
      <c r="B127" s="1230">
        <v>142.69999999999999</v>
      </c>
      <c r="C127" s="3019">
        <f t="shared" si="2"/>
        <v>6.0966542750929387E-2</v>
      </c>
      <c r="D127" s="3505">
        <v>6.469175850919151E-2</v>
      </c>
      <c r="E127" s="1544">
        <v>37.150069781792276</v>
      </c>
      <c r="F127" s="3020">
        <v>24.866573539571775</v>
      </c>
      <c r="G127" s="3020">
        <v>205.29015395599762</v>
      </c>
      <c r="H127" s="3020">
        <v>158.73973030446939</v>
      </c>
      <c r="I127" s="3020">
        <v>200.6943271470154</v>
      </c>
      <c r="J127" s="2531">
        <v>186.95169937460821</v>
      </c>
      <c r="K127" s="1543">
        <v>196.41602042590489</v>
      </c>
      <c r="L127" s="1826">
        <v>195.83855551704258</v>
      </c>
      <c r="M127" s="1826">
        <v>233.44346281028035</v>
      </c>
      <c r="N127" s="1826">
        <v>217.56361901953403</v>
      </c>
      <c r="O127" s="1826">
        <v>120.54752659150154</v>
      </c>
      <c r="P127" s="1826">
        <v>127.79402854670346</v>
      </c>
      <c r="Q127" s="1826">
        <v>120.83047668964397</v>
      </c>
      <c r="R127" s="1826">
        <v>159.5000431707202</v>
      </c>
      <c r="S127" s="1826">
        <v>191.89765057333565</v>
      </c>
      <c r="T127" s="3018">
        <v>124.42090341824428</v>
      </c>
    </row>
    <row r="128" spans="1:20">
      <c r="A128" s="483">
        <f t="shared" si="3"/>
        <v>2013.11</v>
      </c>
      <c r="B128" s="1230">
        <v>134.5</v>
      </c>
      <c r="C128" s="3019">
        <f t="shared" si="2"/>
        <v>-5.746320953048345E-2</v>
      </c>
      <c r="D128" s="3505">
        <v>1.5565264781619126E-2</v>
      </c>
      <c r="E128" s="1544">
        <v>57.701301245462254</v>
      </c>
      <c r="F128" s="3020">
        <v>13.58591711917555</v>
      </c>
      <c r="G128" s="3020">
        <v>165.79626580236013</v>
      </c>
      <c r="H128" s="3020">
        <v>128.01626875271666</v>
      </c>
      <c r="I128" s="3020">
        <v>188.70849352345471</v>
      </c>
      <c r="J128" s="2531">
        <v>188.25938585826069</v>
      </c>
      <c r="K128" s="1543">
        <v>181.66406761965703</v>
      </c>
      <c r="L128" s="1826">
        <v>196.25594281532202</v>
      </c>
      <c r="M128" s="1826">
        <v>223.89425827318604</v>
      </c>
      <c r="N128" s="1826">
        <v>214.30322481075751</v>
      </c>
      <c r="O128" s="1826">
        <v>116.10104393550914</v>
      </c>
      <c r="P128" s="1826">
        <v>127.84463044057198</v>
      </c>
      <c r="Q128" s="1826">
        <v>120.42358403667808</v>
      </c>
      <c r="R128" s="1826">
        <v>160.24725505822002</v>
      </c>
      <c r="S128" s="1826">
        <v>192.09766136125586</v>
      </c>
      <c r="T128" s="3018">
        <v>129.39661049988274</v>
      </c>
    </row>
    <row r="129" spans="1:20">
      <c r="A129" s="483">
        <f t="shared" si="3"/>
        <v>2013.12</v>
      </c>
      <c r="B129" s="1230">
        <v>150.6</v>
      </c>
      <c r="C129" s="3019">
        <f t="shared" si="2"/>
        <v>0.11970260223048323</v>
      </c>
      <c r="D129" s="3505">
        <v>5.8571847727111548E-2</v>
      </c>
      <c r="E129" s="1544">
        <v>53.683516718882018</v>
      </c>
      <c r="F129" s="3020">
        <v>10.847796921093963</v>
      </c>
      <c r="G129" s="3020">
        <v>144.93179029620674</v>
      </c>
      <c r="H129" s="3020">
        <v>159.2177737693828</v>
      </c>
      <c r="I129" s="3020">
        <v>216.49870801988232</v>
      </c>
      <c r="J129" s="2531">
        <v>193.41190594968799</v>
      </c>
      <c r="K129" s="1543">
        <v>211.62956469654165</v>
      </c>
      <c r="L129" s="1826">
        <v>193.00153209565974</v>
      </c>
      <c r="M129" s="1826">
        <v>241.22799177545613</v>
      </c>
      <c r="N129" s="1826">
        <v>238.12993514312714</v>
      </c>
      <c r="O129" s="1826">
        <v>124.02348405284704</v>
      </c>
      <c r="P129" s="1826">
        <v>128.06539553331436</v>
      </c>
      <c r="Q129" s="1826">
        <v>120.11234216402583</v>
      </c>
      <c r="R129" s="1826">
        <v>161.07673269362346</v>
      </c>
      <c r="S129" s="1826">
        <v>195.05826863813684</v>
      </c>
      <c r="T129" s="3018">
        <v>134.89028503538452</v>
      </c>
    </row>
    <row r="130" spans="1:20">
      <c r="A130" s="483">
        <f t="shared" si="3"/>
        <v>2014.01</v>
      </c>
      <c r="B130" s="1230">
        <v>129.30000000000001</v>
      </c>
      <c r="C130" s="3019">
        <f t="shared" si="2"/>
        <v>-0.14143426294820705</v>
      </c>
      <c r="D130" s="3505">
        <v>0.10228922976547983</v>
      </c>
      <c r="E130" s="1544">
        <v>41.250752414153588</v>
      </c>
      <c r="F130" s="3020">
        <v>12.816370017522475</v>
      </c>
      <c r="G130" s="3020">
        <v>162.15379733523798</v>
      </c>
      <c r="H130" s="3020">
        <v>113.04098697285254</v>
      </c>
      <c r="I130" s="3020">
        <v>223.96020269197416</v>
      </c>
      <c r="J130" s="2531">
        <v>162.11404782289085</v>
      </c>
      <c r="K130" s="1543">
        <v>195.28186563767224</v>
      </c>
      <c r="L130" s="1826">
        <v>193.78690337409654</v>
      </c>
      <c r="M130" s="1826">
        <v>206.21575625770549</v>
      </c>
      <c r="N130" s="1826">
        <v>259.85427390789988</v>
      </c>
      <c r="O130" s="1826">
        <v>117.83523214453162</v>
      </c>
      <c r="P130" s="1826">
        <v>128.65510303758549</v>
      </c>
      <c r="Q130" s="1826">
        <v>119.29584653091712</v>
      </c>
      <c r="R130" s="1826">
        <v>158.55697311521726</v>
      </c>
      <c r="S130" s="1826">
        <v>194.2120813167231</v>
      </c>
      <c r="T130" s="3018">
        <v>147.16986031120911</v>
      </c>
    </row>
    <row r="131" spans="1:20">
      <c r="A131" s="483">
        <f t="shared" si="3"/>
        <v>2014.02</v>
      </c>
      <c r="B131" s="1230">
        <v>124.8</v>
      </c>
      <c r="C131" s="3019">
        <f t="shared" si="2"/>
        <v>-3.480278422273797E-2</v>
      </c>
      <c r="D131" s="3505">
        <v>4.9389709464781717E-2</v>
      </c>
      <c r="E131" s="1544">
        <v>50.979363000352762</v>
      </c>
      <c r="F131" s="3020">
        <v>16.967699548101429</v>
      </c>
      <c r="G131" s="3020">
        <v>123.94105059443361</v>
      </c>
      <c r="H131" s="3020">
        <v>115.55756113486959</v>
      </c>
      <c r="I131" s="3020">
        <v>207.92148854730354</v>
      </c>
      <c r="J131" s="2531">
        <v>157.53497517297922</v>
      </c>
      <c r="K131" s="1543">
        <v>156.10506554991764</v>
      </c>
      <c r="L131" s="1826">
        <v>191.33872435366121</v>
      </c>
      <c r="M131" s="1826">
        <v>201.61730584310763</v>
      </c>
      <c r="N131" s="1826">
        <v>250.5444579882124</v>
      </c>
      <c r="O131" s="1826">
        <v>122.95816643472359</v>
      </c>
      <c r="P131" s="1826">
        <v>129.24798488057763</v>
      </c>
      <c r="Q131" s="1826">
        <v>120.78635319252147</v>
      </c>
      <c r="R131" s="1826">
        <v>159.80023690577508</v>
      </c>
      <c r="S131" s="1826">
        <v>193.88675823873393</v>
      </c>
      <c r="T131" s="3018">
        <v>152.0857490621155</v>
      </c>
    </row>
    <row r="132" spans="1:20">
      <c r="A132" s="483">
        <f t="shared" si="3"/>
        <v>2014.03</v>
      </c>
      <c r="B132" s="1230">
        <v>174.8</v>
      </c>
      <c r="C132" s="3019">
        <f t="shared" si="2"/>
        <v>0.40064102564102577</v>
      </c>
      <c r="D132" s="3505">
        <v>-2.3975594959082414E-2</v>
      </c>
      <c r="E132" s="1544">
        <v>247.98688163371506</v>
      </c>
      <c r="F132" s="3020">
        <v>25.941283733802479</v>
      </c>
      <c r="G132" s="3020">
        <v>139.98878507993126</v>
      </c>
      <c r="H132" s="3020">
        <v>138.5195234722045</v>
      </c>
      <c r="I132" s="3020">
        <v>203.63760535233536</v>
      </c>
      <c r="J132" s="2531">
        <v>161.32675705322964</v>
      </c>
      <c r="K132" s="1543">
        <v>162.12717330520729</v>
      </c>
      <c r="L132" s="1826">
        <v>195.82874917813587</v>
      </c>
      <c r="M132" s="1826">
        <v>252.08700577569377</v>
      </c>
      <c r="N132" s="1826">
        <v>250.38322202064722</v>
      </c>
      <c r="O132" s="1826">
        <v>126.08638272281425</v>
      </c>
      <c r="P132" s="1826">
        <v>128.8958036203023</v>
      </c>
      <c r="Q132" s="1826">
        <v>120.20223294688043</v>
      </c>
      <c r="R132" s="1826">
        <v>158.85226010845236</v>
      </c>
      <c r="S132" s="1826">
        <v>192.7236103669045</v>
      </c>
      <c r="T132" s="3018">
        <v>145.79058764092545</v>
      </c>
    </row>
    <row r="133" spans="1:20">
      <c r="A133" s="483">
        <f t="shared" si="3"/>
        <v>2014.04</v>
      </c>
      <c r="B133" s="1230">
        <v>197.6</v>
      </c>
      <c r="C133" s="3019">
        <f t="shared" si="2"/>
        <v>0.13043478260869557</v>
      </c>
      <c r="D133" s="3505">
        <v>-1.4485046220605424E-2</v>
      </c>
      <c r="E133" s="1544">
        <v>347.42326842433755</v>
      </c>
      <c r="F133" s="3020">
        <v>23.524253146698875</v>
      </c>
      <c r="G133" s="3020">
        <v>150.95895160839186</v>
      </c>
      <c r="H133" s="3020">
        <v>144.76514400020966</v>
      </c>
      <c r="I133" s="3020">
        <v>168.16830315360463</v>
      </c>
      <c r="J133" s="2531">
        <v>170.28065554109034</v>
      </c>
      <c r="K133" s="1543">
        <v>168.33738861516065</v>
      </c>
      <c r="L133" s="1826">
        <v>195.88506366140234</v>
      </c>
      <c r="M133" s="1826">
        <v>267.00826884472326</v>
      </c>
      <c r="N133" s="1826">
        <v>244.67118576359539</v>
      </c>
      <c r="O133" s="1826">
        <v>122.15370959599274</v>
      </c>
      <c r="P133" s="1826">
        <v>128.56292239295612</v>
      </c>
      <c r="Q133" s="1826">
        <v>120.24737933550408</v>
      </c>
      <c r="R133" s="1826">
        <v>157.50810177406075</v>
      </c>
      <c r="S133" s="1826">
        <v>193.1461787419027</v>
      </c>
      <c r="T133" s="3018">
        <v>136.60132917067526</v>
      </c>
    </row>
    <row r="134" spans="1:20">
      <c r="A134" s="483">
        <f t="shared" si="3"/>
        <v>2014.05</v>
      </c>
      <c r="B134" s="1230">
        <v>176</v>
      </c>
      <c r="C134" s="3019">
        <f t="shared" si="2"/>
        <v>-0.10931174089068818</v>
      </c>
      <c r="D134" s="3505">
        <v>-8.5081670634488127E-3</v>
      </c>
      <c r="E134" s="1544">
        <v>213.34946925480881</v>
      </c>
      <c r="F134" s="3020">
        <v>20.672427816754304</v>
      </c>
      <c r="G134" s="3020">
        <v>149.55902737229727</v>
      </c>
      <c r="H134" s="3020">
        <v>148.01089163541013</v>
      </c>
      <c r="I134" s="3020">
        <v>156.92232935558303</v>
      </c>
      <c r="J134" s="2531">
        <v>178.84097959992593</v>
      </c>
      <c r="K134" s="1543">
        <v>199.51191815710047</v>
      </c>
      <c r="L134" s="1826">
        <v>194.0684429204511</v>
      </c>
      <c r="M134" s="1826">
        <v>249.9359467895527</v>
      </c>
      <c r="N134" s="1826">
        <v>239.80566650991068</v>
      </c>
      <c r="O134" s="1826">
        <v>121.22948217463201</v>
      </c>
      <c r="P134" s="1826">
        <v>129.09797888659921</v>
      </c>
      <c r="Q134" s="1826">
        <v>120.1568668724293</v>
      </c>
      <c r="R134" s="1826">
        <v>155.41119405771661</v>
      </c>
      <c r="S134" s="1826">
        <v>188.74452325075566</v>
      </c>
      <c r="T134" s="3018">
        <v>133.81836501972347</v>
      </c>
    </row>
    <row r="135" spans="1:20">
      <c r="A135" s="483">
        <f t="shared" si="3"/>
        <v>2014.06</v>
      </c>
      <c r="B135" s="1230">
        <v>144.1</v>
      </c>
      <c r="C135" s="3019">
        <f t="shared" si="2"/>
        <v>-0.18125000000000002</v>
      </c>
      <c r="D135" s="3505">
        <v>-7.4743604390323792E-3</v>
      </c>
      <c r="E135" s="1544">
        <v>60.86474132714109</v>
      </c>
      <c r="F135" s="3020">
        <v>20.849053342267531</v>
      </c>
      <c r="G135" s="3020">
        <v>159.91428241043945</v>
      </c>
      <c r="H135" s="3020">
        <v>153.35704585932612</v>
      </c>
      <c r="I135" s="3020">
        <v>190.5430896212153</v>
      </c>
      <c r="J135" s="2531">
        <v>170.21794845456262</v>
      </c>
      <c r="K135" s="1543">
        <v>187.85878760414801</v>
      </c>
      <c r="L135" s="1826">
        <v>189.48746672371055</v>
      </c>
      <c r="M135" s="1826">
        <v>226.92677146343348</v>
      </c>
      <c r="N135" s="1826">
        <v>239.27978511245817</v>
      </c>
      <c r="O135" s="1826">
        <v>124.83953611807183</v>
      </c>
      <c r="P135" s="1826">
        <v>128.86397767100422</v>
      </c>
      <c r="Q135" s="1826">
        <v>120.7679763114664</v>
      </c>
      <c r="R135" s="1826">
        <v>156.12658601116911</v>
      </c>
      <c r="S135" s="1826">
        <v>187.88585812649254</v>
      </c>
      <c r="T135" s="3018">
        <v>133.96576112324166</v>
      </c>
    </row>
    <row r="136" spans="1:20">
      <c r="A136" s="483">
        <f t="shared" si="3"/>
        <v>2014.07</v>
      </c>
      <c r="B136" s="1230">
        <v>138.4</v>
      </c>
      <c r="C136" s="3019">
        <f t="shared" si="2"/>
        <v>-3.9555863983344874E-2</v>
      </c>
      <c r="D136" s="3505">
        <v>-1.3814552302153116E-2</v>
      </c>
      <c r="E136" s="1544">
        <v>40.454426613256246</v>
      </c>
      <c r="F136" s="3020">
        <v>22.531561022022871</v>
      </c>
      <c r="G136" s="3020">
        <v>182.84975329340844</v>
      </c>
      <c r="H136" s="3020">
        <v>145.77565815818318</v>
      </c>
      <c r="I136" s="3020">
        <v>207.29036660634981</v>
      </c>
      <c r="J136" s="2531">
        <v>184.48727215423412</v>
      </c>
      <c r="K136" s="1543">
        <v>180.81307474365298</v>
      </c>
      <c r="L136" s="1826">
        <v>192.46536848538156</v>
      </c>
      <c r="M136" s="1826">
        <v>227.73284049189647</v>
      </c>
      <c r="N136" s="1826">
        <v>229.70896046270514</v>
      </c>
      <c r="O136" s="1826">
        <v>136.96576834383754</v>
      </c>
      <c r="P136" s="1826">
        <v>129.24656494761561</v>
      </c>
      <c r="Q136" s="1826">
        <v>120.3407292529386</v>
      </c>
      <c r="R136" s="1826">
        <v>156.2251001092805</v>
      </c>
      <c r="S136" s="1826">
        <v>189.02910786142647</v>
      </c>
      <c r="T136" s="3018">
        <v>133.33548301247188</v>
      </c>
    </row>
    <row r="137" spans="1:20">
      <c r="A137" s="483">
        <f t="shared" si="3"/>
        <v>2014.08</v>
      </c>
      <c r="B137" s="1230">
        <v>138.80000000000001</v>
      </c>
      <c r="C137" s="3019">
        <f t="shared" si="2"/>
        <v>2.8901734104047616E-3</v>
      </c>
      <c r="D137" s="3505">
        <v>-6.4330422824570022E-3</v>
      </c>
      <c r="E137" s="1544">
        <v>39.197702396496396</v>
      </c>
      <c r="F137" s="3020">
        <v>24.01131141402325</v>
      </c>
      <c r="G137" s="3020">
        <v>149.70183965629133</v>
      </c>
      <c r="H137" s="3020">
        <v>148.39094213468459</v>
      </c>
      <c r="I137" s="3020">
        <v>195.99339684362792</v>
      </c>
      <c r="J137" s="2531">
        <v>176.21685441408843</v>
      </c>
      <c r="K137" s="1543">
        <v>180.64492139155379</v>
      </c>
      <c r="L137" s="1826">
        <v>195.71953860794954</v>
      </c>
      <c r="M137" s="1826">
        <v>231.16703589684465</v>
      </c>
      <c r="N137" s="1826">
        <v>226.13957377433977</v>
      </c>
      <c r="O137" s="1826">
        <v>137.66112120153531</v>
      </c>
      <c r="P137" s="1826">
        <v>130.50241173889407</v>
      </c>
      <c r="Q137" s="1826">
        <v>120.33825395065281</v>
      </c>
      <c r="R137" s="1826">
        <v>157.84806863162891</v>
      </c>
      <c r="S137" s="1826">
        <v>190.99141868666177</v>
      </c>
      <c r="T137" s="3018">
        <v>132.75503130879548</v>
      </c>
    </row>
    <row r="138" spans="1:20">
      <c r="A138" s="483">
        <f t="shared" si="3"/>
        <v>2014.09</v>
      </c>
      <c r="B138" s="1230">
        <v>140.6</v>
      </c>
      <c r="C138" s="3019">
        <f t="shared" si="2"/>
        <v>1.2968299711815456E-2</v>
      </c>
      <c r="D138" s="3505">
        <v>4.5308499333690522E-2</v>
      </c>
      <c r="E138" s="1544">
        <v>37.718006245327082</v>
      </c>
      <c r="F138" s="3020">
        <v>18.248155897945161</v>
      </c>
      <c r="G138" s="3020">
        <v>172.27800574831983</v>
      </c>
      <c r="H138" s="3020">
        <v>153.56744207784246</v>
      </c>
      <c r="I138" s="3020">
        <v>177.19245819561118</v>
      </c>
      <c r="J138" s="2531">
        <v>177.1760989017865</v>
      </c>
      <c r="K138" s="1543">
        <v>188.90967892819083</v>
      </c>
      <c r="L138" s="1826">
        <v>191.843475967573</v>
      </c>
      <c r="M138" s="1826">
        <v>231.61973435397169</v>
      </c>
      <c r="N138" s="1826">
        <v>226.59593386959611</v>
      </c>
      <c r="O138" s="1826">
        <v>131.98006446845633</v>
      </c>
      <c r="P138" s="1826">
        <v>130.65153911009119</v>
      </c>
      <c r="Q138" s="1826">
        <v>120.41625715772658</v>
      </c>
      <c r="R138" s="1826">
        <v>157.46344613577219</v>
      </c>
      <c r="S138" s="1826">
        <v>189.20353718392835</v>
      </c>
      <c r="T138" s="3018">
        <v>132.687959533998</v>
      </c>
    </row>
    <row r="139" spans="1:20">
      <c r="A139" s="483">
        <f t="shared" si="3"/>
        <v>2014.1</v>
      </c>
      <c r="B139" s="1230">
        <v>144.80000000000001</v>
      </c>
      <c r="C139" s="3019">
        <f t="shared" si="2"/>
        <v>2.9871977240398362E-2</v>
      </c>
      <c r="D139" s="3505">
        <v>1.4654943833297907E-2</v>
      </c>
      <c r="E139" s="1544">
        <v>37.60923386173576</v>
      </c>
      <c r="F139" s="3020">
        <v>20.75869411620284</v>
      </c>
      <c r="G139" s="3020">
        <v>170.02575597017147</v>
      </c>
      <c r="H139" s="3020">
        <v>159.8804330172398</v>
      </c>
      <c r="I139" s="3020">
        <v>171.50622676723614</v>
      </c>
      <c r="J139" s="2531">
        <v>193.80352239111312</v>
      </c>
      <c r="K139" s="1543">
        <v>199.84366207478291</v>
      </c>
      <c r="L139" s="1826">
        <v>203.36691704018352</v>
      </c>
      <c r="M139" s="1826">
        <v>241.22148608591715</v>
      </c>
      <c r="N139" s="1826">
        <v>226.63296467335178</v>
      </c>
      <c r="O139" s="1826">
        <v>125.75678026860923</v>
      </c>
      <c r="P139" s="1826">
        <v>130.7838149825285</v>
      </c>
      <c r="Q139" s="1826">
        <v>121.00757976901812</v>
      </c>
      <c r="R139" s="1826">
        <v>158.0831057127273</v>
      </c>
      <c r="S139" s="1826">
        <v>190.63065831515556</v>
      </c>
      <c r="T139" s="3018">
        <v>133.04596360667912</v>
      </c>
    </row>
    <row r="140" spans="1:20">
      <c r="A140" s="483">
        <f t="shared" si="3"/>
        <v>2014.11</v>
      </c>
      <c r="B140" s="1230">
        <v>141.80000000000001</v>
      </c>
      <c r="C140" s="3019">
        <f t="shared" si="2"/>
        <v>-2.071823204419887E-2</v>
      </c>
      <c r="D140" s="3505">
        <v>5.4292165875141185E-2</v>
      </c>
      <c r="E140" s="1544">
        <v>77.74514154301184</v>
      </c>
      <c r="F140" s="3020">
        <v>18.378814709153708</v>
      </c>
      <c r="G140" s="3020">
        <v>143.55454401787202</v>
      </c>
      <c r="H140" s="3020">
        <v>140.69096591757071</v>
      </c>
      <c r="I140" s="3020">
        <v>187.8051644194515</v>
      </c>
      <c r="J140" s="2531">
        <v>174.78668330242058</v>
      </c>
      <c r="K140" s="1543">
        <v>178.57188326998232</v>
      </c>
      <c r="L140" s="1826">
        <v>202.67697568695411</v>
      </c>
      <c r="M140" s="1826">
        <v>234.9545813143182</v>
      </c>
      <c r="N140" s="1826">
        <v>217.65850773023544</v>
      </c>
      <c r="O140" s="1826">
        <v>114.90821810035463</v>
      </c>
      <c r="P140" s="1826">
        <v>131.03828888690995</v>
      </c>
      <c r="Q140" s="1826">
        <v>121.22778872823412</v>
      </c>
      <c r="R140" s="1826">
        <v>158.75831939219913</v>
      </c>
      <c r="S140" s="1826">
        <v>193.41818452910192</v>
      </c>
      <c r="T140" s="3018">
        <v>132.5501652582156</v>
      </c>
    </row>
    <row r="141" spans="1:20">
      <c r="A141" s="483">
        <f t="shared" si="3"/>
        <v>2014.12</v>
      </c>
      <c r="B141" s="1230">
        <v>146</v>
      </c>
      <c r="C141" s="3019">
        <f t="shared" ref="C141:C204" si="4">B141/B140-1</f>
        <v>2.9619181946403339E-2</v>
      </c>
      <c r="D141" s="3505">
        <v>-3.0291820164854877E-2</v>
      </c>
      <c r="E141" s="1544">
        <v>68.417710133206739</v>
      </c>
      <c r="F141" s="3020">
        <v>19.402990884723341</v>
      </c>
      <c r="G141" s="3020">
        <v>125.43466696588739</v>
      </c>
      <c r="H141" s="3020">
        <v>139.06799610236985</v>
      </c>
      <c r="I141" s="3020">
        <v>207.19877704349264</v>
      </c>
      <c r="J141" s="2531">
        <v>189.16797499684125</v>
      </c>
      <c r="K141" s="1543">
        <v>205.44382809860514</v>
      </c>
      <c r="L141" s="1826">
        <v>196.70769334248541</v>
      </c>
      <c r="M141" s="1826">
        <v>238.89367898460546</v>
      </c>
      <c r="N141" s="1826">
        <v>231.76995819985038</v>
      </c>
      <c r="O141" s="1826">
        <v>121.27629140843032</v>
      </c>
      <c r="P141" s="1826">
        <v>130.91660113764343</v>
      </c>
      <c r="Q141" s="1826">
        <v>121.1835714713515</v>
      </c>
      <c r="R141" s="1826">
        <v>158.17240479205387</v>
      </c>
      <c r="S141" s="1826">
        <v>193.80687444834962</v>
      </c>
      <c r="T141" s="3018">
        <v>129.73367528019034</v>
      </c>
    </row>
    <row r="142" spans="1:20">
      <c r="A142" s="483">
        <f t="shared" si="3"/>
        <v>2015.01</v>
      </c>
      <c r="B142" s="1230">
        <v>122.6</v>
      </c>
      <c r="C142" s="3019">
        <f t="shared" si="4"/>
        <v>-0.16027397260273979</v>
      </c>
      <c r="D142" s="3505">
        <v>-5.1886112865573875E-2</v>
      </c>
      <c r="E142" s="1544">
        <v>34.808931727304419</v>
      </c>
      <c r="F142" s="3020">
        <v>27.046213322473484</v>
      </c>
      <c r="G142" s="3020">
        <v>131.21960174886499</v>
      </c>
      <c r="H142" s="3020">
        <v>108.22235164504903</v>
      </c>
      <c r="I142" s="3020">
        <v>214.68526467860121</v>
      </c>
      <c r="J142" s="2531">
        <v>177.53833572063192</v>
      </c>
      <c r="K142" s="1543">
        <v>175.5506133916474</v>
      </c>
      <c r="L142" s="1826">
        <v>195.75549776377133</v>
      </c>
      <c r="M142" s="1826">
        <v>199.2644690123208</v>
      </c>
      <c r="N142" s="1826">
        <v>244.50086510020049</v>
      </c>
      <c r="O142" s="1826">
        <v>116.72776712998689</v>
      </c>
      <c r="P142" s="1826">
        <v>130.30679841608483</v>
      </c>
      <c r="Q142" s="1826">
        <v>122.015776199321</v>
      </c>
      <c r="R142" s="1826">
        <v>154.83664272700668</v>
      </c>
      <c r="S142" s="1826">
        <v>191.24129688442082</v>
      </c>
      <c r="T142" s="3018">
        <v>128.13705768022072</v>
      </c>
    </row>
    <row r="143" spans="1:20">
      <c r="A143" s="483">
        <f t="shared" si="3"/>
        <v>2015.02</v>
      </c>
      <c r="B143" s="1230">
        <v>126.5</v>
      </c>
      <c r="C143" s="3019">
        <f t="shared" si="4"/>
        <v>3.1810766721044104E-2</v>
      </c>
      <c r="D143" s="3505">
        <v>1.3836200972901391E-2</v>
      </c>
      <c r="E143" s="1544">
        <v>47.84845738661005</v>
      </c>
      <c r="F143" s="3020">
        <v>40.074855643057703</v>
      </c>
      <c r="G143" s="3020">
        <v>146.52685216775356</v>
      </c>
      <c r="H143" s="3020">
        <v>120.43773946511844</v>
      </c>
      <c r="I143" s="3020">
        <v>214.74901944960794</v>
      </c>
      <c r="J143" s="2531">
        <v>163.79856516760179</v>
      </c>
      <c r="K143" s="1543">
        <v>160.65218840789407</v>
      </c>
      <c r="L143" s="1826">
        <v>195.40309969166486</v>
      </c>
      <c r="M143" s="1826">
        <v>207.71726712871788</v>
      </c>
      <c r="N143" s="1826">
        <v>243.65026181104531</v>
      </c>
      <c r="O143" s="1826">
        <v>120.91323236609901</v>
      </c>
      <c r="P143" s="1826">
        <v>132.14461564945185</v>
      </c>
      <c r="Q143" s="1826">
        <v>122.09776276212219</v>
      </c>
      <c r="R143" s="1826">
        <v>155.33256411673196</v>
      </c>
      <c r="S143" s="1826">
        <v>193.76959196962315</v>
      </c>
      <c r="T143" s="3018">
        <v>125.15101426049459</v>
      </c>
    </row>
    <row r="144" spans="1:20">
      <c r="A144" s="483">
        <f t="shared" si="3"/>
        <v>2015.03</v>
      </c>
      <c r="B144" s="1230">
        <v>190.3</v>
      </c>
      <c r="C144" s="3019">
        <f t="shared" si="4"/>
        <v>0.50434782608695672</v>
      </c>
      <c r="D144" s="3505">
        <v>8.8748455511786548E-2</v>
      </c>
      <c r="E144" s="1544">
        <v>291.2527867869411</v>
      </c>
      <c r="F144" s="3020">
        <v>54.215455759145435</v>
      </c>
      <c r="G144" s="3020">
        <v>137.39151388153962</v>
      </c>
      <c r="H144" s="3020">
        <v>145.49690766115268</v>
      </c>
      <c r="I144" s="3020">
        <v>233.44076705689946</v>
      </c>
      <c r="J144" s="2531">
        <v>184.72428325101151</v>
      </c>
      <c r="K144" s="1543">
        <v>178.9723535075986</v>
      </c>
      <c r="L144" s="1826">
        <v>194.7592486473321</v>
      </c>
      <c r="M144" s="1826">
        <v>265.6852514111124</v>
      </c>
      <c r="N144" s="1826">
        <v>249.72133156129379</v>
      </c>
      <c r="O144" s="1826">
        <v>127.42457049539168</v>
      </c>
      <c r="P144" s="1826">
        <v>131.92178850735843</v>
      </c>
      <c r="Q144" s="1826">
        <v>122.11568100426842</v>
      </c>
      <c r="R144" s="1826">
        <v>155.26133569061489</v>
      </c>
      <c r="S144" s="1826">
        <v>193.86752490364398</v>
      </c>
      <c r="T144" s="3018">
        <v>117.46128098132968</v>
      </c>
    </row>
    <row r="145" spans="1:20">
      <c r="A145" s="483">
        <f t="shared" si="3"/>
        <v>2015.04</v>
      </c>
      <c r="B145" s="1230">
        <v>221.5</v>
      </c>
      <c r="C145" s="3019">
        <f t="shared" si="4"/>
        <v>0.16395165528113509</v>
      </c>
      <c r="D145" s="3505">
        <v>0.12062387485333993</v>
      </c>
      <c r="E145" s="1544">
        <v>415.68507224635096</v>
      </c>
      <c r="F145" s="3020">
        <v>23.548805526480947</v>
      </c>
      <c r="G145" s="3020">
        <v>167.02104453226869</v>
      </c>
      <c r="H145" s="3020">
        <v>159.55380768080926</v>
      </c>
      <c r="I145" s="3020">
        <v>228.84767734411827</v>
      </c>
      <c r="J145" s="2531">
        <v>196.22777891800297</v>
      </c>
      <c r="K145" s="1543">
        <v>184.903744849465</v>
      </c>
      <c r="L145" s="1826">
        <v>191.40670744415502</v>
      </c>
      <c r="M145" s="1826">
        <v>288.46064955120039</v>
      </c>
      <c r="N145" s="1826">
        <v>243.3970504860406</v>
      </c>
      <c r="O145" s="1826">
        <v>125.89413508196043</v>
      </c>
      <c r="P145" s="1826">
        <v>131.66086010158972</v>
      </c>
      <c r="Q145" s="1826">
        <v>123.80269032217274</v>
      </c>
      <c r="R145" s="1826">
        <v>154.84544370166114</v>
      </c>
      <c r="S145" s="1826">
        <v>191.6151826580984</v>
      </c>
      <c r="T145" s="3018">
        <v>114.48569121046121</v>
      </c>
    </row>
    <row r="146" spans="1:20">
      <c r="A146" s="483">
        <f t="shared" si="3"/>
        <v>2015.05</v>
      </c>
      <c r="B146" s="1230">
        <v>180.3</v>
      </c>
      <c r="C146" s="3019">
        <f t="shared" si="4"/>
        <v>-0.18600451467268619</v>
      </c>
      <c r="D146" s="3505">
        <v>2.4278459468188629E-2</v>
      </c>
      <c r="E146" s="1544">
        <v>250.42560118233274</v>
      </c>
      <c r="F146" s="3020">
        <v>40.160318615516154</v>
      </c>
      <c r="G146" s="3020">
        <v>149.43256152839183</v>
      </c>
      <c r="H146" s="3020">
        <v>136.20737029037139</v>
      </c>
      <c r="I146" s="3020">
        <v>222.94497045533441</v>
      </c>
      <c r="J146" s="2531">
        <v>193.58126989304111</v>
      </c>
      <c r="K146" s="1543">
        <v>188.36638582664062</v>
      </c>
      <c r="L146" s="1826">
        <v>196.10402698258099</v>
      </c>
      <c r="M146" s="1826">
        <v>257.6838494657228</v>
      </c>
      <c r="N146" s="1826">
        <v>233.48202515280065</v>
      </c>
      <c r="O146" s="1826">
        <v>123.1211141173514</v>
      </c>
      <c r="P146" s="1826">
        <v>133.89958877321527</v>
      </c>
      <c r="Q146" s="1826">
        <v>123.73403925605942</v>
      </c>
      <c r="R146" s="1826">
        <v>155.42467235935584</v>
      </c>
      <c r="S146" s="1826">
        <v>194.41133986379748</v>
      </c>
      <c r="T146" s="3018">
        <v>118.60053404268012</v>
      </c>
    </row>
    <row r="147" spans="1:20">
      <c r="A147" s="483">
        <f t="shared" si="3"/>
        <v>2015.06</v>
      </c>
      <c r="B147" s="1230">
        <v>159.19999999999999</v>
      </c>
      <c r="C147" s="3019">
        <f t="shared" si="4"/>
        <v>-0.11702717692734343</v>
      </c>
      <c r="D147" s="3505">
        <v>0.10435493064327982</v>
      </c>
      <c r="E147" s="1544">
        <v>62.670849276505649</v>
      </c>
      <c r="F147" s="3020">
        <v>29.584745350552922</v>
      </c>
      <c r="G147" s="3020">
        <v>172.9800668550626</v>
      </c>
      <c r="H147" s="3020">
        <v>179.67513787244357</v>
      </c>
      <c r="I147" s="3020">
        <v>223.12462070413409</v>
      </c>
      <c r="J147" s="2531">
        <v>192.46950298151177</v>
      </c>
      <c r="K147" s="1543">
        <v>208.75414722307181</v>
      </c>
      <c r="L147" s="1826">
        <v>193.31846968138811</v>
      </c>
      <c r="M147" s="1826">
        <v>255.02035878562185</v>
      </c>
      <c r="N147" s="1826">
        <v>243.83406424106204</v>
      </c>
      <c r="O147" s="1826">
        <v>129.61496352429984</v>
      </c>
      <c r="P147" s="1826">
        <v>136.53341761760197</v>
      </c>
      <c r="Q147" s="1826">
        <v>124.05257729911766</v>
      </c>
      <c r="R147" s="1826">
        <v>156.11903684536196</v>
      </c>
      <c r="S147" s="1826">
        <v>191.65078564597351</v>
      </c>
      <c r="T147" s="3018">
        <v>120.40242004220362</v>
      </c>
    </row>
    <row r="148" spans="1:20">
      <c r="A148" s="483">
        <f t="shared" si="3"/>
        <v>2015.07</v>
      </c>
      <c r="B148" s="1230">
        <v>148.6</v>
      </c>
      <c r="C148" s="3019">
        <f t="shared" si="4"/>
        <v>-6.6582914572864249E-2</v>
      </c>
      <c r="D148" s="3505">
        <v>7.331101982152699E-2</v>
      </c>
      <c r="E148" s="1544">
        <v>34.856121877401876</v>
      </c>
      <c r="F148" s="3020">
        <v>36.943482940644117</v>
      </c>
      <c r="G148" s="3020">
        <v>175.8744220925073</v>
      </c>
      <c r="H148" s="3020">
        <v>165.64148656614324</v>
      </c>
      <c r="I148" s="3020">
        <v>219.49719820961059</v>
      </c>
      <c r="J148" s="2531">
        <v>197.28974009244428</v>
      </c>
      <c r="K148" s="1543">
        <v>198.04539898309218</v>
      </c>
      <c r="L148" s="1826">
        <v>197.31708762741502</v>
      </c>
      <c r="M148" s="1826">
        <v>251.02764652075496</v>
      </c>
      <c r="N148" s="1826">
        <v>233.8833742122624</v>
      </c>
      <c r="O148" s="1826">
        <v>138.80852725025741</v>
      </c>
      <c r="P148" s="1826">
        <v>137.61163215396246</v>
      </c>
      <c r="Q148" s="1826">
        <v>124.8757821510341</v>
      </c>
      <c r="R148" s="1826">
        <v>158.41305506120645</v>
      </c>
      <c r="S148" s="1826">
        <v>194.79739011631366</v>
      </c>
      <c r="T148" s="3018">
        <v>120.86621983634556</v>
      </c>
    </row>
    <row r="149" spans="1:20">
      <c r="A149" s="483">
        <f t="shared" si="3"/>
        <v>2015.08</v>
      </c>
      <c r="B149" s="1230">
        <v>144.19999999999999</v>
      </c>
      <c r="C149" s="3019">
        <f t="shared" si="4"/>
        <v>-2.9609690444145409E-2</v>
      </c>
      <c r="D149" s="3505">
        <v>3.9130046927969619E-2</v>
      </c>
      <c r="E149" s="1544">
        <v>35.007854945893456</v>
      </c>
      <c r="F149" s="3020">
        <v>27.758913467796752</v>
      </c>
      <c r="G149" s="3020">
        <v>135.06202627297841</v>
      </c>
      <c r="H149" s="3020">
        <v>162.12811180329231</v>
      </c>
      <c r="I149" s="3020">
        <v>200.02806082695784</v>
      </c>
      <c r="J149" s="2531">
        <v>178.00446352049383</v>
      </c>
      <c r="K149" s="1543">
        <v>188.12281102812767</v>
      </c>
      <c r="L149" s="1826">
        <v>198.25819838712181</v>
      </c>
      <c r="M149" s="1826">
        <v>249.29074271057914</v>
      </c>
      <c r="N149" s="1826">
        <v>229.51277095460827</v>
      </c>
      <c r="O149" s="1826">
        <v>132.66360161421204</v>
      </c>
      <c r="P149" s="1826">
        <v>137.52053856034235</v>
      </c>
      <c r="Q149" s="1826">
        <v>125.04578885102168</v>
      </c>
      <c r="R149" s="1826">
        <v>158.01767275469359</v>
      </c>
      <c r="S149" s="1826">
        <v>194.91857708988479</v>
      </c>
      <c r="T149" s="3018">
        <v>120.8567077563299</v>
      </c>
    </row>
    <row r="150" spans="1:20">
      <c r="A150" s="483">
        <f t="shared" si="3"/>
        <v>2015.09</v>
      </c>
      <c r="B150" s="1230">
        <v>145.80000000000001</v>
      </c>
      <c r="C150" s="3019">
        <f t="shared" si="4"/>
        <v>1.1095700416088983E-2</v>
      </c>
      <c r="D150" s="3505">
        <v>3.7138134165214165E-2</v>
      </c>
      <c r="E150" s="1544">
        <v>32.750793816513188</v>
      </c>
      <c r="F150" s="3020">
        <v>31.571994248598095</v>
      </c>
      <c r="G150" s="3020">
        <v>176.79315989425911</v>
      </c>
      <c r="H150" s="3020">
        <v>164.41509709793996</v>
      </c>
      <c r="I150" s="3020">
        <v>204.09068395860567</v>
      </c>
      <c r="J150" s="2531">
        <v>191.17352547544294</v>
      </c>
      <c r="K150" s="1543">
        <v>194.39117271359757</v>
      </c>
      <c r="L150" s="1826">
        <v>197.94733243682572</v>
      </c>
      <c r="M150" s="1826">
        <v>247.96410398663409</v>
      </c>
      <c r="N150" s="1826">
        <v>227.75405086951656</v>
      </c>
      <c r="O150" s="1826">
        <v>131.68649507762862</v>
      </c>
      <c r="P150" s="1826">
        <v>137.38830019951592</v>
      </c>
      <c r="Q150" s="1826">
        <v>125.28609507439113</v>
      </c>
      <c r="R150" s="1826">
        <v>158.53295874503391</v>
      </c>
      <c r="S150" s="1826">
        <v>195.95056989892663</v>
      </c>
      <c r="T150" s="3018">
        <v>120.39607151602866</v>
      </c>
    </row>
    <row r="151" spans="1:20">
      <c r="A151" s="483">
        <f t="shared" si="3"/>
        <v>2015.1</v>
      </c>
      <c r="B151" s="1230">
        <v>151.1</v>
      </c>
      <c r="C151" s="3019">
        <f t="shared" si="4"/>
        <v>3.6351165980795574E-2</v>
      </c>
      <c r="D151" s="3505">
        <v>4.3489986910578038E-2</v>
      </c>
      <c r="E151" s="1544">
        <v>32.117785042065037</v>
      </c>
      <c r="F151" s="3020">
        <v>32.327425880150614</v>
      </c>
      <c r="G151" s="3020">
        <v>165.91874840555306</v>
      </c>
      <c r="H151" s="3020">
        <v>177.44250792609211</v>
      </c>
      <c r="I151" s="3020">
        <v>203.78437648147471</v>
      </c>
      <c r="J151" s="2531">
        <v>187.78819934722398</v>
      </c>
      <c r="K151" s="1543">
        <v>205.54269664710426</v>
      </c>
      <c r="L151" s="1826">
        <v>199.6008369317272</v>
      </c>
      <c r="M151" s="1826">
        <v>258.74651677566828</v>
      </c>
      <c r="N151" s="1826">
        <v>234.62254479152861</v>
      </c>
      <c r="O151" s="1826">
        <v>122.16577487222237</v>
      </c>
      <c r="P151" s="1826">
        <v>137.1305409935664</v>
      </c>
      <c r="Q151" s="1826">
        <v>125.46846808004706</v>
      </c>
      <c r="R151" s="1826">
        <v>159.28145640210388</v>
      </c>
      <c r="S151" s="1826">
        <v>199.05669355836022</v>
      </c>
      <c r="T151" s="3018">
        <v>119.72456500817523</v>
      </c>
    </row>
    <row r="152" spans="1:20">
      <c r="A152" s="483">
        <f t="shared" si="3"/>
        <v>2015.11</v>
      </c>
      <c r="B152" s="1230">
        <v>145.1</v>
      </c>
      <c r="C152" s="3019">
        <f t="shared" si="4"/>
        <v>-3.9708802117802811E-2</v>
      </c>
      <c r="D152" s="3505">
        <v>2.3360149415260878E-2</v>
      </c>
      <c r="E152" s="1544">
        <v>63.803841969820951</v>
      </c>
      <c r="F152" s="3020">
        <v>34.588320641932967</v>
      </c>
      <c r="G152" s="3020">
        <v>151.48765782644017</v>
      </c>
      <c r="H152" s="3020">
        <v>146.13115879356516</v>
      </c>
      <c r="I152" s="3020">
        <v>185.20249284010586</v>
      </c>
      <c r="J152" s="2531">
        <v>177.09076786445362</v>
      </c>
      <c r="K152" s="1543">
        <v>195.26154089928832</v>
      </c>
      <c r="L152" s="1826">
        <v>202.31634087962803</v>
      </c>
      <c r="M152" s="1826">
        <v>246.75965856610193</v>
      </c>
      <c r="N152" s="1826">
        <v>236.49545267802048</v>
      </c>
      <c r="O152" s="1826">
        <v>117.96233053469861</v>
      </c>
      <c r="P152" s="1826">
        <v>136.85518327938101</v>
      </c>
      <c r="Q152" s="1826">
        <v>125.35464021000405</v>
      </c>
      <c r="R152" s="1826">
        <v>157.48504210366531</v>
      </c>
      <c r="S152" s="1826">
        <v>193.93599087801877</v>
      </c>
      <c r="T152" s="3018">
        <v>120.92524879722845</v>
      </c>
    </row>
    <row r="153" spans="1:20">
      <c r="A153" s="483">
        <f t="shared" si="3"/>
        <v>2015.12</v>
      </c>
      <c r="B153" s="1230">
        <v>152.69999999999999</v>
      </c>
      <c r="C153" s="3019">
        <f t="shared" si="4"/>
        <v>5.2377670572019364E-2</v>
      </c>
      <c r="D153" s="3505">
        <v>4.5877166464767472E-2</v>
      </c>
      <c r="E153" s="1544">
        <v>55.015030359215487</v>
      </c>
      <c r="F153" s="3020">
        <v>31.781425488798533</v>
      </c>
      <c r="G153" s="3020">
        <v>113.74655233079018</v>
      </c>
      <c r="H153" s="3020">
        <v>154.75402332711337</v>
      </c>
      <c r="I153" s="3020">
        <v>211.40012900289403</v>
      </c>
      <c r="J153" s="2531">
        <v>203.15573128331863</v>
      </c>
      <c r="K153" s="1543">
        <v>216.27279190034682</v>
      </c>
      <c r="L153" s="1826">
        <v>201.53796062375974</v>
      </c>
      <c r="M153" s="1826">
        <v>267.9204791784498</v>
      </c>
      <c r="N153" s="1826">
        <v>246.53376585238451</v>
      </c>
      <c r="O153" s="1826">
        <v>123.0483079990187</v>
      </c>
      <c r="P153" s="1826">
        <v>139.75766388288415</v>
      </c>
      <c r="Q153" s="1826">
        <v>125.38829689320612</v>
      </c>
      <c r="R153" s="1826">
        <v>158.56037210818698</v>
      </c>
      <c r="S153" s="1826">
        <v>197.87253211104741</v>
      </c>
      <c r="T153" s="3018">
        <v>121.46918530329215</v>
      </c>
    </row>
    <row r="154" spans="1:20">
      <c r="A154" s="483">
        <f t="shared" si="3"/>
        <v>2016.01</v>
      </c>
      <c r="B154" s="1230">
        <v>130.30000000000001</v>
      </c>
      <c r="C154" s="3019">
        <f t="shared" si="4"/>
        <v>-0.14669286182056307</v>
      </c>
      <c r="D154" s="3505">
        <v>6.2634438968135031E-2</v>
      </c>
      <c r="E154" s="1544">
        <v>35.617731559725819</v>
      </c>
      <c r="F154" s="3020">
        <v>14.961621881371995</v>
      </c>
      <c r="G154" s="3020">
        <v>148.53706993306906</v>
      </c>
      <c r="H154" s="3020">
        <v>129.3264394513487</v>
      </c>
      <c r="I154" s="3020">
        <v>246.73915898422533</v>
      </c>
      <c r="J154" s="2531">
        <v>156.3062244150054</v>
      </c>
      <c r="K154" s="1543">
        <v>172.88533191239139</v>
      </c>
      <c r="L154" s="1826">
        <v>200.31793508452859</v>
      </c>
      <c r="M154" s="1826">
        <v>228.06423520407287</v>
      </c>
      <c r="N154" s="1826">
        <v>250.23739289944257</v>
      </c>
      <c r="O154" s="1826">
        <v>115.14204152352266</v>
      </c>
      <c r="P154" s="1826">
        <v>138.18517643049998</v>
      </c>
      <c r="Q154" s="1826">
        <v>125.11274804054186</v>
      </c>
      <c r="R154" s="1826">
        <v>165.15377803900722</v>
      </c>
      <c r="S154" s="1826">
        <v>198.24774625583728</v>
      </c>
      <c r="T154" s="3018">
        <v>125.7903188772859</v>
      </c>
    </row>
    <row r="155" spans="1:20">
      <c r="A155" s="483">
        <f t="shared" si="3"/>
        <v>2016.02</v>
      </c>
      <c r="B155" s="1230">
        <v>133.6</v>
      </c>
      <c r="C155" s="3019">
        <f t="shared" si="4"/>
        <v>2.5326170376055224E-2</v>
      </c>
      <c r="D155" s="3505">
        <v>5.6165822806472976E-2</v>
      </c>
      <c r="E155" s="1544">
        <v>48.015027468840167</v>
      </c>
      <c r="F155" s="3020">
        <v>37.498925635321612</v>
      </c>
      <c r="G155" s="3020">
        <v>134.53730985195679</v>
      </c>
      <c r="H155" s="3020">
        <v>136.70530531096497</v>
      </c>
      <c r="I155" s="3020">
        <v>225.73985775721167</v>
      </c>
      <c r="J155" s="2531">
        <v>157.26302860977847</v>
      </c>
      <c r="K155" s="1543">
        <v>163.33293205365649</v>
      </c>
      <c r="L155" s="1826">
        <v>195.52796357936307</v>
      </c>
      <c r="M155" s="1826">
        <v>232.50332902244315</v>
      </c>
      <c r="N155" s="1826">
        <v>246.4226864450163</v>
      </c>
      <c r="O155" s="1826">
        <v>123.11153654439477</v>
      </c>
      <c r="P155" s="1826">
        <v>138.05610441565429</v>
      </c>
      <c r="Q155" s="1826">
        <v>125.02101053591267</v>
      </c>
      <c r="R155" s="1826">
        <v>164.42068255421421</v>
      </c>
      <c r="S155" s="1826">
        <v>192.70760194559381</v>
      </c>
      <c r="T155" s="3018">
        <v>124.61540955405994</v>
      </c>
    </row>
    <row r="156" spans="1:20">
      <c r="A156" s="483">
        <f t="shared" si="3"/>
        <v>2016.03</v>
      </c>
      <c r="B156" s="1230">
        <v>182.8</v>
      </c>
      <c r="C156" s="3019">
        <f t="shared" si="4"/>
        <v>0.36826347305389229</v>
      </c>
      <c r="D156" s="3505">
        <v>-3.9252839937952699E-2</v>
      </c>
      <c r="E156" s="1544">
        <v>213.54681741307081</v>
      </c>
      <c r="F156" s="3020">
        <v>37.49311197653342</v>
      </c>
      <c r="G156" s="3020">
        <v>148.07662286229794</v>
      </c>
      <c r="H156" s="3020">
        <v>169.13034830940254</v>
      </c>
      <c r="I156" s="3020">
        <v>198.84823443856831</v>
      </c>
      <c r="J156" s="2531">
        <v>175.32867348892603</v>
      </c>
      <c r="K156" s="1543">
        <v>181.17079539041242</v>
      </c>
      <c r="L156" s="1826">
        <v>196.03968337307114</v>
      </c>
      <c r="M156" s="1826">
        <v>284.45555389956797</v>
      </c>
      <c r="N156" s="1826">
        <v>259.02961381525256</v>
      </c>
      <c r="O156" s="1826">
        <v>128.08117587471062</v>
      </c>
      <c r="P156" s="1826">
        <v>138.69106282456346</v>
      </c>
      <c r="Q156" s="1826">
        <v>125.06195491437073</v>
      </c>
      <c r="R156" s="1826">
        <v>163.57388400250474</v>
      </c>
      <c r="S156" s="1826">
        <v>194.77362299825757</v>
      </c>
      <c r="T156" s="3018">
        <v>115.89777231956747</v>
      </c>
    </row>
    <row r="157" spans="1:20">
      <c r="A157" s="483">
        <f t="shared" si="3"/>
        <v>2016.04</v>
      </c>
      <c r="B157" s="1230">
        <v>189</v>
      </c>
      <c r="C157" s="3019">
        <f t="shared" si="4"/>
        <v>3.3916849015317219E-2</v>
      </c>
      <c r="D157" s="3505">
        <v>-0.14655431409500619</v>
      </c>
      <c r="E157" s="1544">
        <v>290.75400153807624</v>
      </c>
      <c r="F157" s="3020">
        <v>22.090382296898404</v>
      </c>
      <c r="G157" s="3020">
        <v>110.07347105115686</v>
      </c>
      <c r="H157" s="3020">
        <v>145.43588065274514</v>
      </c>
      <c r="I157" s="3020">
        <v>218.66540878203591</v>
      </c>
      <c r="J157" s="2531">
        <v>161.3065353599452</v>
      </c>
      <c r="K157" s="1543">
        <v>171.19360151869239</v>
      </c>
      <c r="L157" s="1826">
        <v>194.94255384249243</v>
      </c>
      <c r="M157" s="1826">
        <v>281.48908543260558</v>
      </c>
      <c r="N157" s="1826">
        <v>258.34278753592821</v>
      </c>
      <c r="O157" s="1826">
        <v>122.7951026106072</v>
      </c>
      <c r="P157" s="1826">
        <v>138.59962662294842</v>
      </c>
      <c r="Q157" s="1826">
        <v>125.0828269103954</v>
      </c>
      <c r="R157" s="1826">
        <v>165.24061133352623</v>
      </c>
      <c r="S157" s="1826">
        <v>194.6178142234491</v>
      </c>
      <c r="T157" s="3018">
        <v>108.68899962880027</v>
      </c>
    </row>
    <row r="158" spans="1:20">
      <c r="A158" s="483">
        <f t="shared" si="3"/>
        <v>2016.05</v>
      </c>
      <c r="B158" s="1230">
        <v>168.3</v>
      </c>
      <c r="C158" s="3019">
        <f t="shared" si="4"/>
        <v>-0.10952380952380947</v>
      </c>
      <c r="D158" s="3505">
        <v>-6.6662810323745658E-2</v>
      </c>
      <c r="E158" s="1544">
        <v>180.13028403248609</v>
      </c>
      <c r="F158" s="3020">
        <v>55.797833459188581</v>
      </c>
      <c r="G158" s="3020">
        <v>147.74730953973358</v>
      </c>
      <c r="H158" s="3020">
        <v>145.24651687929781</v>
      </c>
      <c r="I158" s="3020">
        <v>221.60298157000352</v>
      </c>
      <c r="J158" s="2531">
        <v>184.55451149164577</v>
      </c>
      <c r="K158" s="1543">
        <v>181.26473930797459</v>
      </c>
      <c r="L158" s="1826">
        <v>188.60907715729189</v>
      </c>
      <c r="M158" s="1826">
        <v>265.72228909945977</v>
      </c>
      <c r="N158" s="1826">
        <v>251.20421194251898</v>
      </c>
      <c r="O158" s="1826">
        <v>122.99125548094111</v>
      </c>
      <c r="P158" s="1826">
        <v>138.75074136235236</v>
      </c>
      <c r="Q158" s="1826">
        <v>125.9323084810551</v>
      </c>
      <c r="R158" s="1826">
        <v>164.19129309319311</v>
      </c>
      <c r="S158" s="1826">
        <v>191.01383886129389</v>
      </c>
      <c r="T158" s="3018">
        <v>109.13591260117961</v>
      </c>
    </row>
    <row r="159" spans="1:20">
      <c r="A159" s="483">
        <f t="shared" si="3"/>
        <v>2016.06</v>
      </c>
      <c r="B159" s="1230">
        <v>147.1</v>
      </c>
      <c r="C159" s="3019">
        <f t="shared" si="4"/>
        <v>-0.12596553773024366</v>
      </c>
      <c r="D159" s="3505">
        <v>-7.5710760318411729E-2</v>
      </c>
      <c r="E159" s="1544">
        <v>52.184760399882698</v>
      </c>
      <c r="F159" s="3020">
        <v>66.882012100656979</v>
      </c>
      <c r="G159" s="3020">
        <v>152.44939108257634</v>
      </c>
      <c r="H159" s="3020">
        <v>160.52219977605492</v>
      </c>
      <c r="I159" s="3020">
        <v>234.92559576130839</v>
      </c>
      <c r="J159" s="2531">
        <v>188.40956414374307</v>
      </c>
      <c r="K159" s="1543">
        <v>186.09159255566348</v>
      </c>
      <c r="L159" s="1826">
        <v>192.47509074585838</v>
      </c>
      <c r="M159" s="1826">
        <v>250.37103899368907</v>
      </c>
      <c r="N159" s="1826">
        <v>241.80436558569576</v>
      </c>
      <c r="O159" s="1826">
        <v>123.53360354353276</v>
      </c>
      <c r="P159" s="1826">
        <v>138.64363052892577</v>
      </c>
      <c r="Q159" s="1826">
        <v>126.0771430540581</v>
      </c>
      <c r="R159" s="1826">
        <v>164.02541100976902</v>
      </c>
      <c r="S159" s="1826">
        <v>190.89010770533898</v>
      </c>
      <c r="T159" s="3018">
        <v>114.54352426967532</v>
      </c>
    </row>
    <row r="160" spans="1:20">
      <c r="A160" s="483">
        <f t="shared" si="3"/>
        <v>2016.07</v>
      </c>
      <c r="B160" s="1230">
        <v>142.4</v>
      </c>
      <c r="C160" s="3019">
        <f t="shared" si="4"/>
        <v>-3.195105370496254E-2</v>
      </c>
      <c r="D160" s="3505">
        <v>-4.1660223028452625E-2</v>
      </c>
      <c r="E160" s="1544">
        <v>33.335934002943269</v>
      </c>
      <c r="F160" s="3020">
        <v>61.499860736689186</v>
      </c>
      <c r="G160" s="3020">
        <v>162.84346607201826</v>
      </c>
      <c r="H160" s="3020">
        <v>159.86036961529081</v>
      </c>
      <c r="I160" s="3020">
        <v>230.32798713232677</v>
      </c>
      <c r="J160" s="2531">
        <v>177.73811952301108</v>
      </c>
      <c r="K160" s="1543">
        <v>182.88476902210971</v>
      </c>
      <c r="L160" s="1826">
        <v>199.77358149291877</v>
      </c>
      <c r="M160" s="1826">
        <v>247.94493050628461</v>
      </c>
      <c r="N160" s="1826">
        <v>219.72670976255105</v>
      </c>
      <c r="O160" s="1826">
        <v>130.1008450948658</v>
      </c>
      <c r="P160" s="1826">
        <v>138.43862804767841</v>
      </c>
      <c r="Q160" s="1826">
        <v>126.03337727652064</v>
      </c>
      <c r="R160" s="1826">
        <v>164.80211418030342</v>
      </c>
      <c r="S160" s="1826">
        <v>192.76654982072461</v>
      </c>
      <c r="T160" s="3018">
        <v>123.20244080272145</v>
      </c>
    </row>
    <row r="161" spans="1:20">
      <c r="A161" s="483">
        <f t="shared" si="3"/>
        <v>2016.08</v>
      </c>
      <c r="B161" s="1230">
        <v>150.80000000000001</v>
      </c>
      <c r="C161" s="3019">
        <f t="shared" si="4"/>
        <v>5.8988764044943798E-2</v>
      </c>
      <c r="D161" s="3505">
        <v>4.6152242578355152E-2</v>
      </c>
      <c r="E161" s="1544">
        <v>37.004137715456707</v>
      </c>
      <c r="F161" s="3020">
        <v>41.500689266186626</v>
      </c>
      <c r="G161" s="3020">
        <v>185.98709367846581</v>
      </c>
      <c r="H161" s="3020">
        <v>174.47641564895994</v>
      </c>
      <c r="I161" s="3020">
        <v>202.09017765426819</v>
      </c>
      <c r="J161" s="2531">
        <v>195.47238494337591</v>
      </c>
      <c r="K161" s="1543">
        <v>196.13206880295979</v>
      </c>
      <c r="L161" s="1826">
        <v>196.8185494683346</v>
      </c>
      <c r="M161" s="1826">
        <v>259.89858711918873</v>
      </c>
      <c r="N161" s="1826">
        <v>224.23361354855246</v>
      </c>
      <c r="O161" s="1826">
        <v>134.73913432826538</v>
      </c>
      <c r="P161" s="1826">
        <v>138.14817819158839</v>
      </c>
      <c r="Q161" s="1826">
        <v>124.73574104757462</v>
      </c>
      <c r="R161" s="1826">
        <v>164.76324522993124</v>
      </c>
      <c r="S161" s="1826">
        <v>189.41825190663189</v>
      </c>
      <c r="T161" s="3018">
        <v>127.70699851269146</v>
      </c>
    </row>
    <row r="162" spans="1:20">
      <c r="A162" s="483">
        <f t="shared" si="3"/>
        <v>2016.09</v>
      </c>
      <c r="B162" s="1230">
        <v>146.80000000000001</v>
      </c>
      <c r="C162" s="3019">
        <f t="shared" si="4"/>
        <v>-2.6525198938992078E-2</v>
      </c>
      <c r="D162" s="3505">
        <v>6.5759344635050176E-3</v>
      </c>
      <c r="E162" s="1544">
        <v>33.119718501920943</v>
      </c>
      <c r="F162" s="3020">
        <v>52.543791131008803</v>
      </c>
      <c r="G162" s="3020">
        <v>186.93263702079886</v>
      </c>
      <c r="H162" s="3020">
        <v>167.62229508879872</v>
      </c>
      <c r="I162" s="3020">
        <v>197.74096163451856</v>
      </c>
      <c r="J162" s="2531">
        <v>198.71829053087842</v>
      </c>
      <c r="K162" s="1543">
        <v>194.20322695355938</v>
      </c>
      <c r="L162" s="1826">
        <v>202.86919264818098</v>
      </c>
      <c r="M162" s="1826">
        <v>247.90270734122186</v>
      </c>
      <c r="N162" s="1826">
        <v>222.33979097767849</v>
      </c>
      <c r="O162" s="1826">
        <v>129.28435876615424</v>
      </c>
      <c r="P162" s="1826">
        <v>138.51877934421913</v>
      </c>
      <c r="Q162" s="1826">
        <v>124.81053475450912</v>
      </c>
      <c r="R162" s="1826">
        <v>165.59516104278856</v>
      </c>
      <c r="S162" s="1826">
        <v>191.73763526975029</v>
      </c>
      <c r="T162" s="3018">
        <v>130.67776321603168</v>
      </c>
    </row>
    <row r="163" spans="1:20">
      <c r="A163" s="483">
        <f t="shared" si="3"/>
        <v>2016.1</v>
      </c>
      <c r="B163" s="1230">
        <v>146.69999999999999</v>
      </c>
      <c r="C163" s="3019">
        <f t="shared" si="4"/>
        <v>-6.8119891008189271E-4</v>
      </c>
      <c r="D163" s="3505">
        <v>-2.9251708544506982E-2</v>
      </c>
      <c r="E163" s="1544">
        <v>33.367676103300845</v>
      </c>
      <c r="F163" s="3020">
        <v>48.847914297217528</v>
      </c>
      <c r="G163" s="3020">
        <v>171.25771725394742</v>
      </c>
      <c r="H163" s="3020">
        <v>170.05753482355394</v>
      </c>
      <c r="I163" s="3020">
        <v>185.52520977952813</v>
      </c>
      <c r="J163" s="2531">
        <v>183.60611936771076</v>
      </c>
      <c r="K163" s="1543">
        <v>194.47941203962756</v>
      </c>
      <c r="L163" s="1826">
        <v>201.71661577065549</v>
      </c>
      <c r="M163" s="1826">
        <v>251.07599997225611</v>
      </c>
      <c r="N163" s="1826">
        <v>247.43132968721295</v>
      </c>
      <c r="O163" s="1826">
        <v>118.20856851998664</v>
      </c>
      <c r="P163" s="1826">
        <v>138.81644682139552</v>
      </c>
      <c r="Q163" s="1826">
        <v>125.78098462695085</v>
      </c>
      <c r="R163" s="1826">
        <v>167.07894763145083</v>
      </c>
      <c r="S163" s="1826">
        <v>194.07240275521798</v>
      </c>
      <c r="T163" s="3018">
        <v>130.43510868529626</v>
      </c>
    </row>
    <row r="164" spans="1:20">
      <c r="A164" s="483">
        <f t="shared" si="3"/>
        <v>2016.11</v>
      </c>
      <c r="B164" s="1230">
        <v>155.19999999999999</v>
      </c>
      <c r="C164" s="3019">
        <f t="shared" si="4"/>
        <v>5.7941376959781854E-2</v>
      </c>
      <c r="D164" s="3505">
        <v>6.9579098758983049E-2</v>
      </c>
      <c r="E164" s="1544">
        <v>83.710721090465185</v>
      </c>
      <c r="F164" s="3020">
        <v>50.495473849630514</v>
      </c>
      <c r="G164" s="3020">
        <v>178.33696772104977</v>
      </c>
      <c r="H164" s="3020">
        <v>159.43218981002514</v>
      </c>
      <c r="I164" s="3020">
        <v>199.05999069599216</v>
      </c>
      <c r="J164" s="2531">
        <v>200.52991406804125</v>
      </c>
      <c r="K164" s="1543">
        <v>196.3195721279518</v>
      </c>
      <c r="L164" s="1826">
        <v>208.28040906365251</v>
      </c>
      <c r="M164" s="1826">
        <v>256.54890385664049</v>
      </c>
      <c r="N164" s="1826">
        <v>258.50507540664108</v>
      </c>
      <c r="O164" s="1826">
        <v>115.11416637011689</v>
      </c>
      <c r="P164" s="1826">
        <v>139.0004716401356</v>
      </c>
      <c r="Q164" s="1826">
        <v>125.85902244846356</v>
      </c>
      <c r="R164" s="1826">
        <v>166.82897055032981</v>
      </c>
      <c r="S164" s="1826">
        <v>198.48574918655245</v>
      </c>
      <c r="T164" s="3018">
        <v>128.53816608369647</v>
      </c>
    </row>
    <row r="165" spans="1:20">
      <c r="A165" s="483">
        <f t="shared" si="3"/>
        <v>2016.12</v>
      </c>
      <c r="B165" s="1230">
        <v>162.6</v>
      </c>
      <c r="C165" s="3019">
        <f t="shared" si="4"/>
        <v>4.7680412371134073E-2</v>
      </c>
      <c r="D165" s="3505">
        <v>6.4836241966887309E-2</v>
      </c>
      <c r="E165" s="1544">
        <v>69.867264593882155</v>
      </c>
      <c r="F165" s="3020">
        <v>50.416953833080711</v>
      </c>
      <c r="G165" s="3020">
        <v>156.34002093538774</v>
      </c>
      <c r="H165" s="3020">
        <v>164.16560589899126</v>
      </c>
      <c r="I165" s="3020">
        <v>223.14991104975491</v>
      </c>
      <c r="J165" s="2531">
        <v>247.539472649213</v>
      </c>
      <c r="K165" s="1543">
        <v>227.6821907790395</v>
      </c>
      <c r="L165" s="1826">
        <v>203.32510984852362</v>
      </c>
      <c r="M165" s="1826">
        <v>265.13220589073308</v>
      </c>
      <c r="N165" s="1826">
        <v>274.39541312576267</v>
      </c>
      <c r="O165" s="1826">
        <v>122.33951769920131</v>
      </c>
      <c r="P165" s="1826">
        <v>139.15262010130715</v>
      </c>
      <c r="Q165" s="1826">
        <v>125.80152997955057</v>
      </c>
      <c r="R165" s="1826">
        <v>168.3848389281103</v>
      </c>
      <c r="S165" s="1826">
        <v>197.61659480473978</v>
      </c>
      <c r="T165" s="3018">
        <v>125.98158845263032</v>
      </c>
    </row>
    <row r="166" spans="1:20">
      <c r="A166" s="483">
        <f t="shared" si="3"/>
        <v>2017.01</v>
      </c>
      <c r="B166" s="1230">
        <v>133.5</v>
      </c>
      <c r="C166" s="3019">
        <f t="shared" si="4"/>
        <v>-0.1789667896678967</v>
      </c>
      <c r="D166" s="3505">
        <v>2.4898416607415097E-2</v>
      </c>
      <c r="E166" s="1544">
        <v>33.686111063382441</v>
      </c>
      <c r="F166" s="3020">
        <v>44.858148462184964</v>
      </c>
      <c r="G166" s="3020">
        <v>137.21871605724726</v>
      </c>
      <c r="H166" s="3020">
        <v>134.7428792306074</v>
      </c>
      <c r="I166" s="3020">
        <v>233.99439755021203</v>
      </c>
      <c r="J166" s="2531">
        <v>165.63063983181593</v>
      </c>
      <c r="K166" s="1543">
        <v>183.375648370406</v>
      </c>
      <c r="L166" s="1826">
        <v>205.40897331344323</v>
      </c>
      <c r="M166" s="1826">
        <v>224.42652642827071</v>
      </c>
      <c r="N166" s="1826">
        <v>256.06546054303243</v>
      </c>
      <c r="O166" s="1826">
        <v>117.02536838896519</v>
      </c>
      <c r="P166" s="1826">
        <v>139.83714442443784</v>
      </c>
      <c r="Q166" s="1826">
        <v>126.51809565633228</v>
      </c>
      <c r="R166" s="1826">
        <v>167.14104947133112</v>
      </c>
      <c r="S166" s="1826">
        <v>190.36652129702836</v>
      </c>
      <c r="T166" s="3018">
        <v>126.35892607335913</v>
      </c>
    </row>
    <row r="167" spans="1:20">
      <c r="A167" s="483">
        <f t="shared" si="3"/>
        <v>2017.02</v>
      </c>
      <c r="B167" s="1230">
        <v>132.69999999999999</v>
      </c>
      <c r="C167" s="3019">
        <f t="shared" si="4"/>
        <v>-5.9925093632959836E-3</v>
      </c>
      <c r="D167" s="3505">
        <v>-7.0205634489040047E-3</v>
      </c>
      <c r="E167" s="1544">
        <v>48.705793681347551</v>
      </c>
      <c r="F167" s="3020">
        <v>55.723135780800384</v>
      </c>
      <c r="G167" s="3020">
        <v>134.85549775129343</v>
      </c>
      <c r="H167" s="3020">
        <v>136.86973114604353</v>
      </c>
      <c r="I167" s="3020">
        <v>201.68649145599466</v>
      </c>
      <c r="J167" s="2531">
        <v>184.51889777854072</v>
      </c>
      <c r="K167" s="1543">
        <v>157.80139509704469</v>
      </c>
      <c r="L167" s="1826">
        <v>206.4591404863686</v>
      </c>
      <c r="M167" s="1826">
        <v>216.83514736262833</v>
      </c>
      <c r="N167" s="1826">
        <v>236.97867302384981</v>
      </c>
      <c r="O167" s="1826">
        <v>123.17097570892979</v>
      </c>
      <c r="P167" s="1826">
        <v>139.79568181285379</v>
      </c>
      <c r="Q167" s="1826">
        <v>126.57520700580953</v>
      </c>
      <c r="R167" s="1826">
        <v>168.51456182320425</v>
      </c>
      <c r="S167" s="1826">
        <v>196.04758323701179</v>
      </c>
      <c r="T167" s="3018">
        <v>124.46539103392023</v>
      </c>
    </row>
    <row r="168" spans="1:20">
      <c r="A168" s="483">
        <f t="shared" si="3"/>
        <v>2017.03</v>
      </c>
      <c r="B168" s="1230">
        <v>196.6</v>
      </c>
      <c r="C168" s="3019">
        <f t="shared" si="4"/>
        <v>0.4815373021853806</v>
      </c>
      <c r="D168" s="3505">
        <v>7.543633109491199E-2</v>
      </c>
      <c r="E168" s="1544">
        <v>249.99952176756995</v>
      </c>
      <c r="F168" s="3020">
        <v>67.594470285484249</v>
      </c>
      <c r="G168" s="3020">
        <v>157.68718843322375</v>
      </c>
      <c r="H168" s="3020">
        <v>179.46770368102634</v>
      </c>
      <c r="I168" s="3020">
        <v>209.1223461620875</v>
      </c>
      <c r="J168" s="2531">
        <v>213.35744115474506</v>
      </c>
      <c r="K168" s="1543">
        <v>192.70379600400935</v>
      </c>
      <c r="L168" s="1826">
        <v>209.55486558807382</v>
      </c>
      <c r="M168" s="1826">
        <v>288.51632385609889</v>
      </c>
      <c r="N168" s="1826">
        <v>255.37721756554609</v>
      </c>
      <c r="O168" s="1826">
        <v>126.61511595733346</v>
      </c>
      <c r="P168" s="1826">
        <v>139.71063182650931</v>
      </c>
      <c r="Q168" s="1826">
        <v>126.82886675713237</v>
      </c>
      <c r="R168" s="1826">
        <v>167.13481263049468</v>
      </c>
      <c r="S168" s="1826">
        <v>191.00585432816777</v>
      </c>
      <c r="T168" s="3018">
        <v>116.58052055891052</v>
      </c>
    </row>
    <row r="169" spans="1:20">
      <c r="A169" s="483">
        <f t="shared" si="3"/>
        <v>2017.04</v>
      </c>
      <c r="B169" s="1230">
        <v>207.1</v>
      </c>
      <c r="C169" s="3019">
        <f t="shared" si="4"/>
        <v>5.3407934893184184E-2</v>
      </c>
      <c r="D169" s="3505">
        <v>9.5654211946039749E-2</v>
      </c>
      <c r="E169" s="1544">
        <v>344.92136863647238</v>
      </c>
      <c r="F169" s="3020">
        <v>46.761245391749966</v>
      </c>
      <c r="G169" s="3020">
        <v>142.92124325214547</v>
      </c>
      <c r="H169" s="3020">
        <v>166.87557765477885</v>
      </c>
      <c r="I169" s="3020">
        <v>173.99668107179821</v>
      </c>
      <c r="J169" s="2531">
        <v>185.78728310639295</v>
      </c>
      <c r="K169" s="1543">
        <v>176.84690710782263</v>
      </c>
      <c r="L169" s="1826">
        <v>207.3841192158585</v>
      </c>
      <c r="M169" s="1826">
        <v>284.82311055539981</v>
      </c>
      <c r="N169" s="1826">
        <v>244.8815857523046</v>
      </c>
      <c r="O169" s="1826">
        <v>121.33211396880485</v>
      </c>
      <c r="P169" s="1826">
        <v>139.7089547664865</v>
      </c>
      <c r="Q169" s="1826">
        <v>126.33146960009594</v>
      </c>
      <c r="R169" s="1826">
        <v>167.95655396842423</v>
      </c>
      <c r="S169" s="1826">
        <v>194.30999253644313</v>
      </c>
      <c r="T169" s="3018">
        <v>114.74507009993386</v>
      </c>
    </row>
    <row r="170" spans="1:20">
      <c r="A170" s="483">
        <f t="shared" si="3"/>
        <v>2017.05</v>
      </c>
      <c r="B170" s="1230">
        <v>188.4</v>
      </c>
      <c r="C170" s="3019">
        <f t="shared" si="4"/>
        <v>-9.0294543698696272E-2</v>
      </c>
      <c r="D170" s="3505">
        <v>0.1196181724230614</v>
      </c>
      <c r="E170" s="1544">
        <v>210.91093041357283</v>
      </c>
      <c r="F170" s="3020">
        <v>34.380649338842517</v>
      </c>
      <c r="G170" s="3020">
        <v>160.08277959268386</v>
      </c>
      <c r="H170" s="3020">
        <v>180.11237739041442</v>
      </c>
      <c r="I170" s="3020">
        <v>195.55462326735912</v>
      </c>
      <c r="J170" s="2531">
        <v>213.03309560064446</v>
      </c>
      <c r="K170" s="1543">
        <v>198.59705141885598</v>
      </c>
      <c r="L170" s="1826">
        <v>204.20905870026002</v>
      </c>
      <c r="M170" s="1826">
        <v>271.73420530864615</v>
      </c>
      <c r="N170" s="1826">
        <v>247.60048955435866</v>
      </c>
      <c r="O170" s="1826">
        <v>123.25206071544751</v>
      </c>
      <c r="P170" s="1826">
        <v>139.73314837801374</v>
      </c>
      <c r="Q170" s="1826">
        <v>126.63679928114902</v>
      </c>
      <c r="R170" s="1826">
        <v>167.54338886220603</v>
      </c>
      <c r="S170" s="1826">
        <v>190.50395060979869</v>
      </c>
      <c r="T170" s="3018">
        <v>118.99203617853965</v>
      </c>
    </row>
    <row r="171" spans="1:20">
      <c r="A171" s="483">
        <f t="shared" si="3"/>
        <v>2017.06</v>
      </c>
      <c r="B171" s="1230">
        <v>155.9</v>
      </c>
      <c r="C171" s="3019">
        <f t="shared" si="4"/>
        <v>-0.17250530785562634</v>
      </c>
      <c r="D171" s="3505">
        <v>5.9878768805573745E-2</v>
      </c>
      <c r="E171" s="1544">
        <v>55.585833724241049</v>
      </c>
      <c r="F171" s="3020">
        <v>42.39126199722066</v>
      </c>
      <c r="G171" s="3020">
        <v>164.19805597021661</v>
      </c>
      <c r="H171" s="3020">
        <v>172.10695919871773</v>
      </c>
      <c r="I171" s="3020">
        <v>225.08271148753374</v>
      </c>
      <c r="J171" s="2531">
        <v>229.74996840988337</v>
      </c>
      <c r="K171" s="1543">
        <v>203.36555184315998</v>
      </c>
      <c r="L171" s="1826">
        <v>207.72523021467492</v>
      </c>
      <c r="M171" s="1826">
        <v>246.8203034082666</v>
      </c>
      <c r="N171" s="1826">
        <v>245.99998451939001</v>
      </c>
      <c r="O171" s="1826">
        <v>127.90176229742198</v>
      </c>
      <c r="P171" s="1826">
        <v>139.81358469466105</v>
      </c>
      <c r="Q171" s="1826">
        <v>126.80807650867763</v>
      </c>
      <c r="R171" s="1826">
        <v>167.47138384312103</v>
      </c>
      <c r="S171" s="1826">
        <v>190.40507006615115</v>
      </c>
      <c r="T171" s="3018">
        <v>127.75985928351872</v>
      </c>
    </row>
    <row r="172" spans="1:20">
      <c r="A172" s="483">
        <f t="shared" si="3"/>
        <v>2017.07</v>
      </c>
      <c r="B172" s="1230">
        <v>151.9</v>
      </c>
      <c r="C172" s="3019">
        <f t="shared" si="4"/>
        <v>-2.5657472738935261E-2</v>
      </c>
      <c r="D172" s="3505">
        <v>6.6569075746889972E-2</v>
      </c>
      <c r="E172" s="1544">
        <v>30.726219726891856</v>
      </c>
      <c r="F172" s="3020">
        <v>54.250776820618249</v>
      </c>
      <c r="G172" s="3020">
        <v>145.61505706208709</v>
      </c>
      <c r="H172" s="3020">
        <v>176.81431542148221</v>
      </c>
      <c r="I172" s="3020">
        <v>235.98709143831138</v>
      </c>
      <c r="J172" s="2531">
        <v>210.01328110242801</v>
      </c>
      <c r="K172" s="1543">
        <v>202.20551912444338</v>
      </c>
      <c r="L172" s="1826">
        <v>213.61766699847388</v>
      </c>
      <c r="M172" s="1826">
        <v>246.55902548746741</v>
      </c>
      <c r="N172" s="1826">
        <v>230.02805251877439</v>
      </c>
      <c r="O172" s="1826">
        <v>132.8368186703126</v>
      </c>
      <c r="P172" s="1826">
        <v>139.62034174513397</v>
      </c>
      <c r="Q172" s="1826">
        <v>127.03410399531332</v>
      </c>
      <c r="R172" s="1826">
        <v>168.31723454105079</v>
      </c>
      <c r="S172" s="1826">
        <v>192.87026366038444</v>
      </c>
      <c r="T172" s="3018">
        <v>136.75779825671978</v>
      </c>
    </row>
    <row r="173" spans="1:20">
      <c r="A173" s="483">
        <f t="shared" si="3"/>
        <v>2017.08</v>
      </c>
      <c r="B173" s="1230">
        <v>155.80000000000001</v>
      </c>
      <c r="C173" s="3019">
        <f t="shared" si="4"/>
        <v>2.5674786043449638E-2</v>
      </c>
      <c r="D173" s="3505">
        <v>3.264486848470205E-2</v>
      </c>
      <c r="E173" s="1544">
        <v>32.426098077964269</v>
      </c>
      <c r="F173" s="3020">
        <v>66.882012100656979</v>
      </c>
      <c r="G173" s="3020">
        <v>172.47962049444351</v>
      </c>
      <c r="H173" s="3020">
        <v>181.64793118014586</v>
      </c>
      <c r="I173" s="3020">
        <v>214.40160828707292</v>
      </c>
      <c r="J173" s="2531">
        <v>220.77337821201479</v>
      </c>
      <c r="K173" s="1543">
        <v>211.01577419593752</v>
      </c>
      <c r="L173" s="1826">
        <v>210.11049206475994</v>
      </c>
      <c r="M173" s="1826">
        <v>247.63200103053089</v>
      </c>
      <c r="N173" s="1826">
        <v>232.15315512907719</v>
      </c>
      <c r="O173" s="1826">
        <v>137.56003557285877</v>
      </c>
      <c r="P173" s="1826">
        <v>139.68763387772168</v>
      </c>
      <c r="Q173" s="1826">
        <v>127.28457017831427</v>
      </c>
      <c r="R173" s="1826">
        <v>168.12694536151523</v>
      </c>
      <c r="S173" s="1826">
        <v>193.40305085473153</v>
      </c>
      <c r="T173" s="3018">
        <v>139.96793348314296</v>
      </c>
    </row>
    <row r="174" spans="1:20">
      <c r="A174" s="483">
        <f t="shared" si="3"/>
        <v>2017.09</v>
      </c>
      <c r="B174" s="1230">
        <v>150.9</v>
      </c>
      <c r="C174" s="3019">
        <f t="shared" si="4"/>
        <v>-3.1450577663671431E-2</v>
      </c>
      <c r="D174" s="3505">
        <v>2.8330527787962412E-2</v>
      </c>
      <c r="E174" s="1544">
        <v>26.602831711028262</v>
      </c>
      <c r="F174" s="3020">
        <v>63.943122088244607</v>
      </c>
      <c r="G174" s="3020">
        <v>168.30744637438465</v>
      </c>
      <c r="H174" s="3020">
        <v>172.58278412394594</v>
      </c>
      <c r="I174" s="3020">
        <v>206.40808152215195</v>
      </c>
      <c r="J174" s="2531">
        <v>232.44245436405046</v>
      </c>
      <c r="K174" s="1543">
        <v>209.6937910703117</v>
      </c>
      <c r="L174" s="1826">
        <v>218.37788342506474</v>
      </c>
      <c r="M174" s="1826">
        <v>231.0794498808603</v>
      </c>
      <c r="N174" s="1826">
        <v>229.600944681085</v>
      </c>
      <c r="O174" s="1826">
        <v>133.28524186798279</v>
      </c>
      <c r="P174" s="1826">
        <v>139.63828422801635</v>
      </c>
      <c r="Q174" s="1826">
        <v>127.50307978676096</v>
      </c>
      <c r="R174" s="1826">
        <v>170.21205963258524</v>
      </c>
      <c r="S174" s="1826">
        <v>198.2425667514446</v>
      </c>
      <c r="T174" s="3018">
        <v>139.09356811630516</v>
      </c>
    </row>
    <row r="175" spans="1:20">
      <c r="A175" s="483">
        <f t="shared" si="3"/>
        <v>2017.1</v>
      </c>
      <c r="B175" s="1230">
        <v>156.9</v>
      </c>
      <c r="C175" s="3019">
        <f t="shared" si="4"/>
        <v>3.9761431411530879E-2</v>
      </c>
      <c r="D175" s="3505">
        <v>6.9535261718560504E-2</v>
      </c>
      <c r="E175" s="1544">
        <v>28.916929589171055</v>
      </c>
      <c r="F175" s="3020">
        <v>46.933182925494322</v>
      </c>
      <c r="G175" s="3020">
        <v>168.66354776295302</v>
      </c>
      <c r="H175" s="3020">
        <v>191.7681254627592</v>
      </c>
      <c r="I175" s="3020">
        <v>207.72054901086946</v>
      </c>
      <c r="J175" s="2531">
        <v>203.70436390297129</v>
      </c>
      <c r="K175" s="1543">
        <v>217.33393939324409</v>
      </c>
      <c r="L175" s="1826">
        <v>218.33383665458007</v>
      </c>
      <c r="M175" s="1826">
        <v>240.24041065934907</v>
      </c>
      <c r="N175" s="1826">
        <v>248.22544592885941</v>
      </c>
      <c r="O175" s="1826">
        <v>121.50703886605949</v>
      </c>
      <c r="P175" s="1826">
        <v>139.53895938001509</v>
      </c>
      <c r="Q175" s="1826">
        <v>127.99255945156081</v>
      </c>
      <c r="R175" s="1826">
        <v>169.28586522417669</v>
      </c>
      <c r="S175" s="1826">
        <v>195.31941844558219</v>
      </c>
      <c r="T175" s="3018">
        <v>132.14770152510121</v>
      </c>
    </row>
    <row r="176" spans="1:20">
      <c r="A176" s="483">
        <f t="shared" si="3"/>
        <v>2017.11</v>
      </c>
      <c r="B176" s="1230">
        <v>159</v>
      </c>
      <c r="C176" s="3019">
        <f t="shared" si="4"/>
        <v>1.338432122370925E-2</v>
      </c>
      <c r="D176" s="3505">
        <v>2.4497820756878896E-2</v>
      </c>
      <c r="E176" s="1544">
        <v>85.972281896041835</v>
      </c>
      <c r="F176" s="3020">
        <v>38.739913799981082</v>
      </c>
      <c r="G176" s="3020">
        <v>182.07964305237812</v>
      </c>
      <c r="H176" s="3020">
        <v>157.13508955830844</v>
      </c>
      <c r="I176" s="3020">
        <v>214.00261461413663</v>
      </c>
      <c r="J176" s="2531">
        <v>211.77414674776051</v>
      </c>
      <c r="K176" s="1543">
        <v>214.38495035346227</v>
      </c>
      <c r="L176" s="1826">
        <v>222.46137134100218</v>
      </c>
      <c r="M176" s="1826">
        <v>253.12083926326795</v>
      </c>
      <c r="N176" s="1826">
        <v>257.76626758484002</v>
      </c>
      <c r="O176" s="1826">
        <v>117.85014534204839</v>
      </c>
      <c r="P176" s="1826">
        <v>139.85513736535174</v>
      </c>
      <c r="Q176" s="1826">
        <v>128.12464064491758</v>
      </c>
      <c r="R176" s="1826">
        <v>169.55687014463044</v>
      </c>
      <c r="S176" s="1826">
        <v>195.04190137339737</v>
      </c>
      <c r="T176" s="3018">
        <v>126.35567738796529</v>
      </c>
    </row>
    <row r="177" spans="1:20">
      <c r="A177" s="483">
        <f t="shared" si="3"/>
        <v>2017.12</v>
      </c>
      <c r="B177" s="1230">
        <v>161.19999999999999</v>
      </c>
      <c r="C177" s="3019">
        <f t="shared" si="4"/>
        <v>1.3836477987421381E-2</v>
      </c>
      <c r="D177" s="3505">
        <v>-8.2971023819573553E-3</v>
      </c>
      <c r="E177" s="1544">
        <v>64.957853172757666</v>
      </c>
      <c r="F177" s="3020">
        <v>57.542645334975973</v>
      </c>
      <c r="G177" s="3020">
        <v>156.9857766072557</v>
      </c>
      <c r="H177" s="3020">
        <v>155.08750585828957</v>
      </c>
      <c r="I177" s="3020">
        <v>208.49763285492239</v>
      </c>
      <c r="J177" s="2531">
        <v>285.29609752287752</v>
      </c>
      <c r="K177" s="1543">
        <v>235.27304187154508</v>
      </c>
      <c r="L177" s="1826">
        <v>220.84910420537133</v>
      </c>
      <c r="M177" s="1826">
        <v>250.10948612042722</v>
      </c>
      <c r="N177" s="1826">
        <v>273.93379730647274</v>
      </c>
      <c r="O177" s="1826">
        <v>124.71895084250477</v>
      </c>
      <c r="P177" s="1826">
        <v>140.04440742642089</v>
      </c>
      <c r="Q177" s="1826">
        <v>128.0946362890034</v>
      </c>
      <c r="R177" s="1826">
        <v>171.95786665998392</v>
      </c>
      <c r="S177" s="1826">
        <v>204.00093088349797</v>
      </c>
      <c r="T177" s="3018">
        <v>121.31898425328832</v>
      </c>
    </row>
    <row r="178" spans="1:20">
      <c r="A178" s="483">
        <f t="shared" si="3"/>
        <v>2018.01</v>
      </c>
      <c r="B178" s="1230">
        <v>139.9</v>
      </c>
      <c r="C178" s="3019">
        <f t="shared" si="4"/>
        <v>-0.13213399503722079</v>
      </c>
      <c r="D178" s="3505">
        <v>4.7499865481364978E-2</v>
      </c>
      <c r="E178" s="1544">
        <v>41.215148926684037</v>
      </c>
      <c r="F178" s="3020">
        <v>41.144460173772998</v>
      </c>
      <c r="G178" s="3020">
        <v>168.09511550077542</v>
      </c>
      <c r="H178" s="3020">
        <v>133.73155911962834</v>
      </c>
      <c r="I178" s="3020">
        <v>221.4092451792194</v>
      </c>
      <c r="J178" s="2531">
        <v>182.78782881592645</v>
      </c>
      <c r="K178" s="1543">
        <v>201.01528850314401</v>
      </c>
      <c r="L178" s="1826">
        <v>216.58915369776815</v>
      </c>
      <c r="M178" s="1826">
        <v>225.14565240903016</v>
      </c>
      <c r="N178" s="1826">
        <v>284.4702424529853</v>
      </c>
      <c r="O178" s="1826">
        <v>124.07467116138666</v>
      </c>
      <c r="P178" s="1826">
        <v>140.86179832138527</v>
      </c>
      <c r="Q178" s="1826">
        <v>127.60228182581133</v>
      </c>
      <c r="R178" s="1826">
        <v>167.69061694120569</v>
      </c>
      <c r="S178" s="1826">
        <v>196.97296242362984</v>
      </c>
      <c r="T178" s="3018">
        <v>119.45040825282204</v>
      </c>
    </row>
    <row r="179" spans="1:20">
      <c r="A179" s="483">
        <f t="shared" si="3"/>
        <v>2018.02</v>
      </c>
      <c r="B179" s="1230">
        <v>135.5</v>
      </c>
      <c r="C179" s="3019">
        <f t="shared" si="4"/>
        <v>-3.1451036454610448E-2</v>
      </c>
      <c r="D179" s="3505">
        <v>2.0901517622984755E-2</v>
      </c>
      <c r="E179" s="1544">
        <v>52.4490051869507</v>
      </c>
      <c r="F179" s="3020">
        <v>54.891340850014579</v>
      </c>
      <c r="G179" s="3020">
        <v>145.39807960461999</v>
      </c>
      <c r="H179" s="3020">
        <v>123.50944759097149</v>
      </c>
      <c r="I179" s="3020">
        <v>218.04030914633518</v>
      </c>
      <c r="J179" s="2531">
        <v>204.67373257087749</v>
      </c>
      <c r="K179" s="1543">
        <v>177.78131945041639</v>
      </c>
      <c r="L179" s="1826">
        <v>225.35592183428315</v>
      </c>
      <c r="M179" s="1826">
        <v>214.89779837040987</v>
      </c>
      <c r="N179" s="1826">
        <v>278.27974218816269</v>
      </c>
      <c r="O179" s="1826">
        <v>125.34514122056427</v>
      </c>
      <c r="P179" s="1826">
        <v>141.11475227528564</v>
      </c>
      <c r="Q179" s="1826">
        <v>127.99359927051997</v>
      </c>
      <c r="R179" s="1826">
        <v>169.80927960695993</v>
      </c>
      <c r="S179" s="1826">
        <v>202.61229222334893</v>
      </c>
      <c r="T179" s="3018">
        <v>119.23743704263759</v>
      </c>
    </row>
    <row r="180" spans="1:20">
      <c r="A180" s="483">
        <f t="shared" si="3"/>
        <v>2018.03</v>
      </c>
      <c r="B180" s="1230">
        <v>182.3</v>
      </c>
      <c r="C180" s="3019">
        <f t="shared" si="4"/>
        <v>0.34538745387453873</v>
      </c>
      <c r="D180" s="3505">
        <v>-7.3162319635798334E-2</v>
      </c>
      <c r="E180" s="1544">
        <v>196.5742209938708</v>
      </c>
      <c r="F180" s="3020">
        <v>54.770222958593948</v>
      </c>
      <c r="G180" s="3020">
        <v>160.10579830414002</v>
      </c>
      <c r="H180" s="3020">
        <v>154.17547279971026</v>
      </c>
      <c r="I180" s="3020">
        <v>235.36512580177828</v>
      </c>
      <c r="J180" s="2531">
        <v>232.4919342406302</v>
      </c>
      <c r="K180" s="1543">
        <v>206.53667166137978</v>
      </c>
      <c r="L180" s="1826">
        <v>229.34049176670499</v>
      </c>
      <c r="M180" s="1826">
        <v>261.12883313146426</v>
      </c>
      <c r="N180" s="1826">
        <v>283.97138780778295</v>
      </c>
      <c r="O180" s="1826">
        <v>129.88034002928055</v>
      </c>
      <c r="P180" s="1826">
        <v>139.79689560911075</v>
      </c>
      <c r="Q180" s="1826">
        <v>128.00143645146855</v>
      </c>
      <c r="R180" s="1826">
        <v>170.96667012915216</v>
      </c>
      <c r="S180" s="1826">
        <v>204.01260587656276</v>
      </c>
      <c r="T180" s="3018">
        <v>117.1968440340343</v>
      </c>
    </row>
    <row r="181" spans="1:20">
      <c r="A181" s="483">
        <f t="shared" si="3"/>
        <v>2018.04</v>
      </c>
      <c r="B181" s="1230">
        <v>191.7</v>
      </c>
      <c r="C181" s="3019">
        <f t="shared" si="4"/>
        <v>5.15633571036751E-2</v>
      </c>
      <c r="D181" s="3505">
        <v>-7.4098422543706022E-2</v>
      </c>
      <c r="E181" s="1544">
        <v>261.48067698893971</v>
      </c>
      <c r="F181" s="3020">
        <v>26.004723746194198</v>
      </c>
      <c r="G181" s="3020">
        <v>151.28629412989545</v>
      </c>
      <c r="H181" s="3020">
        <v>153.55001747371193</v>
      </c>
      <c r="I181" s="3020">
        <v>217.5680275897667</v>
      </c>
      <c r="J181" s="2531">
        <v>206.82787469521676</v>
      </c>
      <c r="K181" s="1543">
        <v>196.96785740986195</v>
      </c>
      <c r="L181" s="1826">
        <v>225.70617564922117</v>
      </c>
      <c r="M181" s="1826">
        <v>262.7100210817577</v>
      </c>
      <c r="N181" s="1826">
        <v>280.34949011923766</v>
      </c>
      <c r="O181" s="1826">
        <v>126.13238591092718</v>
      </c>
      <c r="P181" s="1826">
        <v>139.66305181930841</v>
      </c>
      <c r="Q181" s="1826">
        <v>127.53465009757002</v>
      </c>
      <c r="R181" s="1826">
        <v>168.72002871287305</v>
      </c>
      <c r="S181" s="1826">
        <v>196.14419945469052</v>
      </c>
      <c r="T181" s="3018">
        <v>122.33604230269893</v>
      </c>
    </row>
    <row r="182" spans="1:20">
      <c r="A182" s="483">
        <f t="shared" si="3"/>
        <v>2018.05</v>
      </c>
      <c r="B182" s="1230">
        <v>177.9</v>
      </c>
      <c r="C182" s="3019">
        <f t="shared" si="4"/>
        <v>-7.1987480438184592E-2</v>
      </c>
      <c r="D182" s="3505">
        <v>-5.5790784590360687E-2</v>
      </c>
      <c r="E182" s="1544">
        <v>163.15418480545364</v>
      </c>
      <c r="F182" s="3020">
        <v>49.961130211010087</v>
      </c>
      <c r="G182" s="3020">
        <v>125.26752435302116</v>
      </c>
      <c r="H182" s="3020">
        <v>163.75593550401325</v>
      </c>
      <c r="I182" s="3020">
        <v>244.09179443215828</v>
      </c>
      <c r="J182" s="2531">
        <v>211.81638003748623</v>
      </c>
      <c r="K182" s="1543">
        <v>212.96450697815732</v>
      </c>
      <c r="L182" s="1826">
        <v>220.01725058418077</v>
      </c>
      <c r="M182" s="1826">
        <v>255.0745851691359</v>
      </c>
      <c r="N182" s="1826">
        <v>280.053402322213</v>
      </c>
      <c r="O182" s="1826">
        <v>126.98963277262376</v>
      </c>
      <c r="P182" s="1826">
        <v>140.25126533783049</v>
      </c>
      <c r="Q182" s="1826">
        <v>127.758033245946</v>
      </c>
      <c r="R182" s="1826">
        <v>169.65122100861066</v>
      </c>
      <c r="S182" s="1826">
        <v>195.76036661960646</v>
      </c>
      <c r="T182" s="3018">
        <v>124.69691516438506</v>
      </c>
    </row>
    <row r="183" spans="1:20">
      <c r="A183" s="483">
        <f t="shared" si="3"/>
        <v>2018.06</v>
      </c>
      <c r="B183" s="1230">
        <v>151.9</v>
      </c>
      <c r="C183" s="3019">
        <f t="shared" si="4"/>
        <v>-0.14614952220348509</v>
      </c>
      <c r="D183" s="3505">
        <v>-2.5985107182206924E-2</v>
      </c>
      <c r="E183" s="1544">
        <v>51.38884300346318</v>
      </c>
      <c r="F183" s="3020">
        <v>52.454733857905389</v>
      </c>
      <c r="G183" s="3020">
        <v>146.06952536679557</v>
      </c>
      <c r="H183" s="3020">
        <v>154.02806611177527</v>
      </c>
      <c r="I183" s="3020">
        <v>247.46895891474961</v>
      </c>
      <c r="J183" s="2531">
        <v>224.55202969944509</v>
      </c>
      <c r="K183" s="1543">
        <v>215.35221816940913</v>
      </c>
      <c r="L183" s="1826">
        <v>222.00223854686945</v>
      </c>
      <c r="M183" s="1826">
        <v>220.92446205720745</v>
      </c>
      <c r="N183" s="1826">
        <v>267.09218881615891</v>
      </c>
      <c r="O183" s="1826">
        <v>129.94665557135153</v>
      </c>
      <c r="P183" s="1826">
        <v>140.33335831807119</v>
      </c>
      <c r="Q183" s="1826">
        <v>127.83606658723394</v>
      </c>
      <c r="R183" s="1826">
        <v>171.20010108671991</v>
      </c>
      <c r="S183" s="1826">
        <v>197.74527468272217</v>
      </c>
      <c r="T183" s="3018">
        <v>123.14192782399854</v>
      </c>
    </row>
    <row r="184" spans="1:20">
      <c r="A184" s="483">
        <f t="shared" si="3"/>
        <v>2018.07</v>
      </c>
      <c r="B184" s="1230">
        <v>150</v>
      </c>
      <c r="C184" s="3019">
        <f t="shared" si="4"/>
        <v>-1.2508229098090906E-2</v>
      </c>
      <c r="D184" s="3505">
        <v>-1.1975131066179978E-2</v>
      </c>
      <c r="E184" s="1544">
        <v>34.618931329765168</v>
      </c>
      <c r="F184" s="3020">
        <v>67.861642104794441</v>
      </c>
      <c r="G184" s="3020">
        <v>170.85681826120685</v>
      </c>
      <c r="H184" s="3020">
        <v>162.77302686287695</v>
      </c>
      <c r="I184" s="3020">
        <v>244.64622659307759</v>
      </c>
      <c r="J184" s="2531">
        <v>230.94769239796781</v>
      </c>
      <c r="K184" s="1543">
        <v>208.33811161297592</v>
      </c>
      <c r="L184" s="1826">
        <v>228.98716707603595</v>
      </c>
      <c r="M184" s="1826">
        <v>222.61478891553827</v>
      </c>
      <c r="N184" s="1826">
        <v>264.88753609254218</v>
      </c>
      <c r="O184" s="1826">
        <v>131.44433885838916</v>
      </c>
      <c r="P184" s="1826">
        <v>140.1779830927664</v>
      </c>
      <c r="Q184" s="1826">
        <v>127.75398981368204</v>
      </c>
      <c r="R184" s="1826">
        <v>170.50563960817937</v>
      </c>
      <c r="S184" s="1826">
        <v>195.4381601749742</v>
      </c>
      <c r="T184" s="3018">
        <v>113.97606576852885</v>
      </c>
    </row>
    <row r="185" spans="1:20">
      <c r="A185" s="483">
        <f t="shared" si="3"/>
        <v>2018.08</v>
      </c>
      <c r="B185" s="1230">
        <v>152.4</v>
      </c>
      <c r="C185" s="3019">
        <f t="shared" si="4"/>
        <v>1.6000000000000014E-2</v>
      </c>
      <c r="D185" s="3505">
        <v>-2.149644879835011E-2</v>
      </c>
      <c r="E185" s="1544">
        <v>36.654362828004224</v>
      </c>
      <c r="F185" s="3020">
        <v>66.169553915829752</v>
      </c>
      <c r="G185" s="3020">
        <v>160.76935630405802</v>
      </c>
      <c r="H185" s="3020">
        <v>168.37747292998338</v>
      </c>
      <c r="I185" s="3020">
        <v>222.97379911629048</v>
      </c>
      <c r="J185" s="2531">
        <v>217.19489263135503</v>
      </c>
      <c r="K185" s="1543">
        <v>210.39920786195819</v>
      </c>
      <c r="L185" s="1826">
        <v>236.01951234298906</v>
      </c>
      <c r="M185" s="1826">
        <v>229.34439381666468</v>
      </c>
      <c r="N185" s="1826">
        <v>267.22813445120954</v>
      </c>
      <c r="O185" s="1826">
        <v>133.94509997995505</v>
      </c>
      <c r="P185" s="1826">
        <v>140.80269061384828</v>
      </c>
      <c r="Q185" s="1826">
        <v>128.14659769118776</v>
      </c>
      <c r="R185" s="1826">
        <v>169.89613214433615</v>
      </c>
      <c r="S185" s="1826">
        <v>198.51563802251323</v>
      </c>
      <c r="T185" s="3018">
        <v>109.75735502781991</v>
      </c>
    </row>
    <row r="186" spans="1:20">
      <c r="A186" s="483">
        <f t="shared" ref="A186:A249" si="5">A174+1</f>
        <v>2018.09</v>
      </c>
      <c r="B186" s="1230">
        <v>142</v>
      </c>
      <c r="C186" s="3019">
        <f t="shared" si="4"/>
        <v>-6.8241469816272993E-2</v>
      </c>
      <c r="D186" s="3505">
        <v>-5.9441880844007144E-2</v>
      </c>
      <c r="E186" s="1544">
        <v>28.968973240305363</v>
      </c>
      <c r="F186" s="3020">
        <v>54.503051139283698</v>
      </c>
      <c r="G186" s="3020">
        <v>145.53907335497402</v>
      </c>
      <c r="H186" s="3020">
        <v>152.88527592820685</v>
      </c>
      <c r="I186" s="3020">
        <v>199.79176376633123</v>
      </c>
      <c r="J186" s="2531">
        <v>236.24546500326588</v>
      </c>
      <c r="K186" s="1543">
        <v>191.71975641537858</v>
      </c>
      <c r="L186" s="1826">
        <v>231.31182740691764</v>
      </c>
      <c r="M186" s="1826">
        <v>217.23732671564818</v>
      </c>
      <c r="N186" s="1826">
        <v>246.35667057619131</v>
      </c>
      <c r="O186" s="1826">
        <v>129.08705363577096</v>
      </c>
      <c r="P186" s="1826">
        <v>140.53408613717255</v>
      </c>
      <c r="Q186" s="1826">
        <v>128.26835398589816</v>
      </c>
      <c r="R186" s="1826">
        <v>170.0898860471568</v>
      </c>
      <c r="S186" s="1826">
        <v>200.04631086839285</v>
      </c>
      <c r="T186" s="3018">
        <v>112.22259898466119</v>
      </c>
    </row>
    <row r="187" spans="1:20">
      <c r="A187" s="483">
        <f t="shared" si="5"/>
        <v>2018.1</v>
      </c>
      <c r="B187" s="1230">
        <v>144.80000000000001</v>
      </c>
      <c r="C187" s="3019">
        <f t="shared" si="4"/>
        <v>1.9718309859154903E-2</v>
      </c>
      <c r="D187" s="3505">
        <v>-7.6928599154352351E-2</v>
      </c>
      <c r="E187" s="1544">
        <v>33.321743389777829</v>
      </c>
      <c r="F187" s="3020">
        <v>65.546153004105918</v>
      </c>
      <c r="G187" s="3020">
        <v>132.8220286552081</v>
      </c>
      <c r="H187" s="3020">
        <v>161.61754580884946</v>
      </c>
      <c r="I187" s="3020">
        <v>192.35297868155263</v>
      </c>
      <c r="J187" s="2531">
        <v>208.8361965641576</v>
      </c>
      <c r="K187" s="1543">
        <v>198.31510643640439</v>
      </c>
      <c r="L187" s="1826">
        <v>227.65886912226028</v>
      </c>
      <c r="M187" s="1826">
        <v>227.7747772430065</v>
      </c>
      <c r="N187" s="1826">
        <v>238.69224623475779</v>
      </c>
      <c r="O187" s="1826">
        <v>118.27126703594877</v>
      </c>
      <c r="P187" s="1826">
        <v>140.32702374647258</v>
      </c>
      <c r="Q187" s="1826">
        <v>128.54814399177755</v>
      </c>
      <c r="R187" s="1826">
        <v>170.91876303673169</v>
      </c>
      <c r="S187" s="1826">
        <v>197.33098769663695</v>
      </c>
      <c r="T187" s="3018">
        <v>118.71088697031192</v>
      </c>
    </row>
    <row r="188" spans="1:20">
      <c r="A188" s="483">
        <f t="shared" si="5"/>
        <v>2018.11</v>
      </c>
      <c r="B188" s="1230">
        <v>144.30000000000001</v>
      </c>
      <c r="C188" s="3019">
        <f t="shared" si="4"/>
        <v>-3.4530386740331265E-3</v>
      </c>
      <c r="D188" s="3505">
        <v>-9.2743779506941029E-2</v>
      </c>
      <c r="E188" s="1544">
        <v>89.533827583927788</v>
      </c>
      <c r="F188" s="3020">
        <v>45.419209282736446</v>
      </c>
      <c r="G188" s="3020">
        <v>120.38992936699677</v>
      </c>
      <c r="H188" s="3020">
        <v>132.07185547256742</v>
      </c>
      <c r="I188" s="3020">
        <v>184.67425026399357</v>
      </c>
      <c r="J188" s="2531">
        <v>193.7093826409666</v>
      </c>
      <c r="K188" s="1543">
        <v>184.10567664833724</v>
      </c>
      <c r="L188" s="1826">
        <v>229.87800172164074</v>
      </c>
      <c r="M188" s="1826">
        <v>230.29336665953377</v>
      </c>
      <c r="N188" s="1826">
        <v>229.91185992244061</v>
      </c>
      <c r="O188" s="1826">
        <v>114.2481705068997</v>
      </c>
      <c r="P188" s="1826">
        <v>140.39199709631524</v>
      </c>
      <c r="Q188" s="1826">
        <v>128.7287706175822</v>
      </c>
      <c r="R188" s="1826">
        <v>169.91915398840209</v>
      </c>
      <c r="S188" s="1826">
        <v>197.39172227197915</v>
      </c>
      <c r="T188" s="3018">
        <v>121.12002843846604</v>
      </c>
    </row>
    <row r="189" spans="1:20">
      <c r="A189" s="483">
        <f t="shared" si="5"/>
        <v>2018.12</v>
      </c>
      <c r="B189" s="1230">
        <v>152.5</v>
      </c>
      <c r="C189" s="3019">
        <f t="shared" si="4"/>
        <v>5.6826056826056792E-2</v>
      </c>
      <c r="D189" s="3505">
        <v>-5.4354363169484277E-2</v>
      </c>
      <c r="E189" s="1544">
        <v>68.142071868972238</v>
      </c>
      <c r="F189" s="3020">
        <v>43.816178366875164</v>
      </c>
      <c r="G189" s="3020">
        <v>101.20590558630627</v>
      </c>
      <c r="H189" s="3020">
        <v>147.46180137961173</v>
      </c>
      <c r="I189" s="3020">
        <v>172.22388605686183</v>
      </c>
      <c r="J189" s="2531">
        <v>264.05242237473249</v>
      </c>
      <c r="K189" s="1543">
        <v>211.47527968765166</v>
      </c>
      <c r="L189" s="1826">
        <v>229.00168884607615</v>
      </c>
      <c r="M189" s="1826">
        <v>236.3499440839912</v>
      </c>
      <c r="N189" s="1826">
        <v>254.15869843315795</v>
      </c>
      <c r="O189" s="1826">
        <v>118.11110064129434</v>
      </c>
      <c r="P189" s="1826">
        <v>140.47994088630614</v>
      </c>
      <c r="Q189" s="1826">
        <v>128.92648790183415</v>
      </c>
      <c r="R189" s="1826">
        <v>171.27486257599929</v>
      </c>
      <c r="S189" s="1826">
        <v>198.85495393234032</v>
      </c>
      <c r="T189" s="3018">
        <v>118.21215735826956</v>
      </c>
    </row>
    <row r="190" spans="1:20">
      <c r="A190" s="483">
        <f t="shared" si="5"/>
        <v>2019.01</v>
      </c>
      <c r="B190" s="1230">
        <v>133.9</v>
      </c>
      <c r="C190" s="3019">
        <f t="shared" si="4"/>
        <v>-0.12196721311475411</v>
      </c>
      <c r="D190" s="3505">
        <v>-4.305223900490452E-2</v>
      </c>
      <c r="E190" s="1544">
        <v>36.193466150268847</v>
      </c>
      <c r="F190" s="3020">
        <v>54.057764773766678</v>
      </c>
      <c r="G190" s="3020">
        <v>130.63879225489234</v>
      </c>
      <c r="H190" s="3020">
        <v>136.73163001505523</v>
      </c>
      <c r="I190" s="3020">
        <v>186.64962314683368</v>
      </c>
      <c r="J190" s="2531">
        <v>200.14631229984894</v>
      </c>
      <c r="K190" s="1543">
        <v>176.88231176975756</v>
      </c>
      <c r="L190" s="1826">
        <v>224.25853945431174</v>
      </c>
      <c r="M190" s="1826">
        <v>208.91662211471419</v>
      </c>
      <c r="N190" s="1826">
        <v>266.20146550348107</v>
      </c>
      <c r="O190" s="1826">
        <v>117.4960788903937</v>
      </c>
      <c r="P190" s="1826">
        <v>141.87617439086767</v>
      </c>
      <c r="Q190" s="1826">
        <v>129.42058880502256</v>
      </c>
      <c r="R190" s="1826">
        <v>171.16612029257081</v>
      </c>
      <c r="S190" s="1826">
        <v>199.61298755384706</v>
      </c>
      <c r="T190" s="3018">
        <v>113.61191649395461</v>
      </c>
    </row>
    <row r="191" spans="1:20">
      <c r="A191" s="483">
        <f t="shared" si="5"/>
        <v>2019.02</v>
      </c>
      <c r="B191" s="1230">
        <v>129.6</v>
      </c>
      <c r="C191" s="3019">
        <f t="shared" si="4"/>
        <v>-3.2113517550410808E-2</v>
      </c>
      <c r="D191" s="3505">
        <v>-4.3136855160649128E-2</v>
      </c>
      <c r="E191" s="1544">
        <v>49.139585494043523</v>
      </c>
      <c r="F191" s="3020">
        <v>54.592108412387141</v>
      </c>
      <c r="G191" s="3020">
        <v>170.64345917024204</v>
      </c>
      <c r="H191" s="3020">
        <v>119.42368241913763</v>
      </c>
      <c r="I191" s="3020">
        <v>191.50831800887153</v>
      </c>
      <c r="J191" s="2531">
        <v>199.69963484320635</v>
      </c>
      <c r="K191" s="1543">
        <v>167.48568132594477</v>
      </c>
      <c r="L191" s="1826">
        <v>222.4095660577095</v>
      </c>
      <c r="M191" s="1826">
        <v>199.52152859517605</v>
      </c>
      <c r="N191" s="1826">
        <v>258.97365400638722</v>
      </c>
      <c r="O191" s="1826">
        <v>121.18459114265741</v>
      </c>
      <c r="P191" s="1826">
        <v>141.70504247869692</v>
      </c>
      <c r="Q191" s="1826">
        <v>128.43330658963683</v>
      </c>
      <c r="R191" s="1826">
        <v>171.4482092420219</v>
      </c>
      <c r="S191" s="1826">
        <v>199.62203676660249</v>
      </c>
      <c r="T191" s="3018">
        <v>108.97669055412956</v>
      </c>
    </row>
    <row r="192" spans="1:20">
      <c r="A192" s="483">
        <f t="shared" si="5"/>
        <v>2019.03</v>
      </c>
      <c r="B192" s="1230">
        <v>182.1</v>
      </c>
      <c r="C192" s="3019">
        <f t="shared" si="4"/>
        <v>0.40509259259259256</v>
      </c>
      <c r="D192" s="3505">
        <v>-9.6393018393980956E-4</v>
      </c>
      <c r="E192" s="1544">
        <v>254.33099964985627</v>
      </c>
      <c r="F192" s="3020">
        <v>84.729980203310362</v>
      </c>
      <c r="G192" s="3020">
        <v>141.69050792143136</v>
      </c>
      <c r="H192" s="3020">
        <v>137.11198613755161</v>
      </c>
      <c r="I192" s="3020">
        <v>199.6419756980232</v>
      </c>
      <c r="J192" s="2531">
        <v>215.34263600209465</v>
      </c>
      <c r="K192" s="1543">
        <v>181.95817066474467</v>
      </c>
      <c r="L192" s="1826">
        <v>229.33606328155903</v>
      </c>
      <c r="M192" s="1826">
        <v>255.98380253958695</v>
      </c>
      <c r="N192" s="1826">
        <v>260.08734865675569</v>
      </c>
      <c r="O192" s="1826">
        <v>122.25635605146519</v>
      </c>
      <c r="P192" s="1826">
        <v>140.38784815162461</v>
      </c>
      <c r="Q192" s="1826">
        <v>128.90599744940704</v>
      </c>
      <c r="R192" s="1826">
        <v>173.54942855377146</v>
      </c>
      <c r="S192" s="1826">
        <v>200.32908462656104</v>
      </c>
      <c r="T192" s="3018">
        <v>100.00319800469164</v>
      </c>
    </row>
    <row r="193" spans="1:20">
      <c r="A193" s="483">
        <f t="shared" si="5"/>
        <v>2019.04</v>
      </c>
      <c r="B193" s="1230">
        <v>202.8</v>
      </c>
      <c r="C193" s="3019">
        <f t="shared" si="4"/>
        <v>0.11367380560131801</v>
      </c>
      <c r="D193" s="3505">
        <v>5.775326569873096E-2</v>
      </c>
      <c r="E193" s="1544">
        <v>357.98921255426188</v>
      </c>
      <c r="F193" s="3020">
        <v>68.48504301651829</v>
      </c>
      <c r="G193" s="3020">
        <v>182.0599830084841</v>
      </c>
      <c r="H193" s="3020">
        <v>142.16416597698398</v>
      </c>
      <c r="I193" s="3020">
        <v>206.13143421057836</v>
      </c>
      <c r="J193" s="2531">
        <v>203.42580262810932</v>
      </c>
      <c r="K193" s="1543">
        <v>175.85540268711216</v>
      </c>
      <c r="L193" s="1826">
        <v>217.97798611818084</v>
      </c>
      <c r="M193" s="1826">
        <v>266.0414594341795</v>
      </c>
      <c r="N193" s="1826">
        <v>252.68016812731435</v>
      </c>
      <c r="O193" s="1826">
        <v>120.37225478248294</v>
      </c>
      <c r="P193" s="1826">
        <v>140.11275890740953</v>
      </c>
      <c r="Q193" s="1826">
        <v>129.15278439192818</v>
      </c>
      <c r="R193" s="1826">
        <v>171.70917359488101</v>
      </c>
      <c r="S193" s="1826">
        <v>192.94023002706251</v>
      </c>
      <c r="T193" s="3018">
        <v>95.689668817263311</v>
      </c>
    </row>
    <row r="194" spans="1:20">
      <c r="A194" s="483">
        <f t="shared" si="5"/>
        <v>2019.05</v>
      </c>
      <c r="B194" s="1230">
        <v>186.2</v>
      </c>
      <c r="C194" s="3019">
        <f t="shared" si="4"/>
        <v>-8.1854043392505016E-2</v>
      </c>
      <c r="D194" s="3505">
        <v>4.6746357873752808E-2</v>
      </c>
      <c r="E194" s="1544">
        <v>218.00003095492451</v>
      </c>
      <c r="F194" s="3020">
        <v>60.915174802728863</v>
      </c>
      <c r="G194" s="3020">
        <v>181.99096524627001</v>
      </c>
      <c r="H194" s="3020">
        <v>173.18487198739035</v>
      </c>
      <c r="I194" s="3020">
        <v>194.11849626153338</v>
      </c>
      <c r="J194" s="2531">
        <v>215.08052209124139</v>
      </c>
      <c r="K194" s="1543">
        <v>195.99728574262977</v>
      </c>
      <c r="L194" s="1826">
        <v>218.42162593094918</v>
      </c>
      <c r="M194" s="1826">
        <v>255.1525189751996</v>
      </c>
      <c r="N194" s="1826">
        <v>232.25653196615187</v>
      </c>
      <c r="O194" s="1826">
        <v>120.43901354951829</v>
      </c>
      <c r="P194" s="1826">
        <v>140.99555329961251</v>
      </c>
      <c r="Q194" s="1826">
        <v>129.29993990499696</v>
      </c>
      <c r="R194" s="1826">
        <v>171.84362028553358</v>
      </c>
      <c r="S194" s="1826">
        <v>191.33626032586298</v>
      </c>
      <c r="T194" s="3018">
        <v>98.019569201007144</v>
      </c>
    </row>
    <row r="195" spans="1:20">
      <c r="A195" s="483">
        <f t="shared" si="5"/>
        <v>2019.06</v>
      </c>
      <c r="B195" s="1230">
        <v>144.5</v>
      </c>
      <c r="C195" s="3019">
        <f t="shared" si="4"/>
        <v>-0.22395273899033297</v>
      </c>
      <c r="D195" s="3505">
        <v>-4.8371193415496005E-2</v>
      </c>
      <c r="E195" s="1544">
        <v>55.45859775274041</v>
      </c>
      <c r="F195" s="3020">
        <v>74.629994860653184</v>
      </c>
      <c r="G195" s="3020">
        <v>229.07488262872201</v>
      </c>
      <c r="H195" s="3020">
        <v>151.08227962208764</v>
      </c>
      <c r="I195" s="3020">
        <v>202.81874986801782</v>
      </c>
      <c r="J195" s="2531">
        <v>211.40743709765962</v>
      </c>
      <c r="K195" s="1543">
        <v>187.52377537810892</v>
      </c>
      <c r="L195" s="1826">
        <v>224.69170379058136</v>
      </c>
      <c r="M195" s="1826">
        <v>230.02073718441807</v>
      </c>
      <c r="N195" s="1826">
        <v>213.3672997783726</v>
      </c>
      <c r="O195" s="1826">
        <v>122.13268657587589</v>
      </c>
      <c r="P195" s="1826">
        <v>140.96566825875445</v>
      </c>
      <c r="Q195" s="1826">
        <v>129.22667111942445</v>
      </c>
      <c r="R195" s="1826">
        <v>172.66109390289435</v>
      </c>
      <c r="S195" s="1826">
        <v>194.68940376179975</v>
      </c>
      <c r="T195" s="3018">
        <v>105.74330485366353</v>
      </c>
    </row>
    <row r="196" spans="1:20">
      <c r="A196" s="483">
        <f t="shared" si="5"/>
        <v>2019.07</v>
      </c>
      <c r="B196" s="1230">
        <v>146.1</v>
      </c>
      <c r="C196" s="3019">
        <f t="shared" si="4"/>
        <v>1.1072664359861539E-2</v>
      </c>
      <c r="D196" s="3505">
        <v>-2.6247929399552894E-2</v>
      </c>
      <c r="E196" s="1544">
        <v>32.431701066722361</v>
      </c>
      <c r="F196" s="3020">
        <v>76.143968503411088</v>
      </c>
      <c r="G196" s="3020">
        <v>175.65710661107983</v>
      </c>
      <c r="H196" s="3020">
        <v>163.58320341732534</v>
      </c>
      <c r="I196" s="3020">
        <v>220.75143922866201</v>
      </c>
      <c r="J196" s="2531">
        <v>203.83894811989052</v>
      </c>
      <c r="K196" s="1543">
        <v>198.96006923863149</v>
      </c>
      <c r="L196" s="1826">
        <v>225.08150416837776</v>
      </c>
      <c r="M196" s="1826">
        <v>238.04307173537555</v>
      </c>
      <c r="N196" s="1826">
        <v>205.68124303814551</v>
      </c>
      <c r="O196" s="1826">
        <v>127.64839709775924</v>
      </c>
      <c r="P196" s="1826">
        <v>140.71717845517486</v>
      </c>
      <c r="Q196" s="1826">
        <v>128.66583387480455</v>
      </c>
      <c r="R196" s="1826">
        <v>170.51983001557352</v>
      </c>
      <c r="S196" s="1826">
        <v>191.46935779780659</v>
      </c>
      <c r="T196" s="3018">
        <v>111.91004903822767</v>
      </c>
    </row>
    <row r="197" spans="1:20">
      <c r="A197" s="483">
        <f t="shared" si="5"/>
        <v>2019.08</v>
      </c>
      <c r="B197" s="1230">
        <v>144.5</v>
      </c>
      <c r="C197" s="3019">
        <f t="shared" si="4"/>
        <v>-1.0951403148528382E-2</v>
      </c>
      <c r="D197" s="3505">
        <v>-5.1635286530881681E-2</v>
      </c>
      <c r="E197" s="1544">
        <v>32.826608500786456</v>
      </c>
      <c r="F197" s="3020">
        <v>68.574100289621668</v>
      </c>
      <c r="G197" s="3020">
        <v>246.38059351988923</v>
      </c>
      <c r="H197" s="3020">
        <v>158.33783213744357</v>
      </c>
      <c r="I197" s="3020">
        <v>195.09482879371566</v>
      </c>
      <c r="J197" s="2531">
        <v>204.61391997621968</v>
      </c>
      <c r="K197" s="1543">
        <v>197.81826382087337</v>
      </c>
      <c r="L197" s="1826">
        <v>227.28304744065372</v>
      </c>
      <c r="M197" s="1826">
        <v>234.74093509963717</v>
      </c>
      <c r="N197" s="1826">
        <v>202.46800965761261</v>
      </c>
      <c r="O197" s="1826">
        <v>130.75100698618036</v>
      </c>
      <c r="P197" s="1826">
        <v>142.42231905325275</v>
      </c>
      <c r="Q197" s="1826">
        <v>131.02457070071043</v>
      </c>
      <c r="R197" s="1826">
        <v>170.00097932494754</v>
      </c>
      <c r="S197" s="1826">
        <v>194.93475553336134</v>
      </c>
      <c r="T197" s="3018">
        <v>118.62876894483894</v>
      </c>
    </row>
    <row r="198" spans="1:20">
      <c r="A198" s="483">
        <f t="shared" si="5"/>
        <v>2019.09</v>
      </c>
      <c r="B198" s="1230">
        <v>141.9</v>
      </c>
      <c r="C198" s="3019">
        <f t="shared" si="4"/>
        <v>-1.7993079584775029E-2</v>
      </c>
      <c r="D198" s="3505">
        <v>-6.7602420723844592E-4</v>
      </c>
      <c r="E198" s="1544">
        <v>28.822145115770674</v>
      </c>
      <c r="F198" s="3020">
        <v>56.827445967282564</v>
      </c>
      <c r="G198" s="3020">
        <v>176.88069293833249</v>
      </c>
      <c r="H198" s="3020">
        <v>162.33804731462865</v>
      </c>
      <c r="I198" s="3020">
        <v>173.94399265212837</v>
      </c>
      <c r="J198" s="2531">
        <v>199.95531071552884</v>
      </c>
      <c r="K198" s="1543">
        <v>191.21064841414977</v>
      </c>
      <c r="L198" s="1826">
        <v>225.95492794626165</v>
      </c>
      <c r="M198" s="1826">
        <v>225.18986258625088</v>
      </c>
      <c r="N198" s="1826">
        <v>195.06132355527478</v>
      </c>
      <c r="O198" s="1826">
        <v>124.2570971021719</v>
      </c>
      <c r="P198" s="1826">
        <v>142.30490422079717</v>
      </c>
      <c r="Q198" s="1826">
        <v>130.41731125897587</v>
      </c>
      <c r="R198" s="1826">
        <v>171.09605290824135</v>
      </c>
      <c r="S198" s="1826">
        <v>190.94268807474828</v>
      </c>
      <c r="T198" s="3018">
        <v>125.69719036329495</v>
      </c>
    </row>
    <row r="199" spans="1:20">
      <c r="A199" s="483">
        <f t="shared" si="5"/>
        <v>2019.1</v>
      </c>
      <c r="B199" s="1230">
        <v>142.4</v>
      </c>
      <c r="C199" s="3019">
        <f t="shared" si="4"/>
        <v>3.5236081747709314E-3</v>
      </c>
      <c r="D199" s="3505">
        <v>-1.6447738117090882E-2</v>
      </c>
      <c r="E199" s="1544">
        <v>31.644522294988104</v>
      </c>
      <c r="F199" s="3020">
        <v>50.050187484113486</v>
      </c>
      <c r="G199" s="3020">
        <v>227.1966135284672</v>
      </c>
      <c r="H199" s="3020">
        <v>157.32204562849589</v>
      </c>
      <c r="I199" s="3020">
        <v>181.1559822466873</v>
      </c>
      <c r="J199" s="2531">
        <v>171.97448349396075</v>
      </c>
      <c r="K199" s="1543">
        <v>207.65067292126596</v>
      </c>
      <c r="L199" s="1826">
        <v>221.1072712792857</v>
      </c>
      <c r="M199" s="1826">
        <v>220.83922343734417</v>
      </c>
      <c r="N199" s="1826">
        <v>224.31392906489211</v>
      </c>
      <c r="O199" s="1826">
        <v>112.75748957614579</v>
      </c>
      <c r="P199" s="1826">
        <v>142.53501381205965</v>
      </c>
      <c r="Q199" s="1826">
        <v>130.39645710317993</v>
      </c>
      <c r="R199" s="1826">
        <v>171.14501466377376</v>
      </c>
      <c r="S199" s="1826">
        <v>188.24904228385668</v>
      </c>
      <c r="T199" s="3018">
        <v>132.67034376403527</v>
      </c>
    </row>
    <row r="200" spans="1:20">
      <c r="A200" s="483">
        <f t="shared" si="5"/>
        <v>2019.11</v>
      </c>
      <c r="B200" s="1230">
        <v>149.9</v>
      </c>
      <c r="C200" s="3019">
        <f t="shared" si="4"/>
        <v>5.2668539325842589E-2</v>
      </c>
      <c r="D200" s="3505">
        <v>3.9218987395615468E-2</v>
      </c>
      <c r="E200" s="1544">
        <v>100.56098980116637</v>
      </c>
      <c r="F200" s="3020">
        <v>65.978080778657443</v>
      </c>
      <c r="G200" s="3020">
        <v>157.26978878921469</v>
      </c>
      <c r="H200" s="3020">
        <v>141.5541493027753</v>
      </c>
      <c r="I200" s="3020">
        <v>185.87061119754006</v>
      </c>
      <c r="J200" s="2531">
        <v>215.94257255435792</v>
      </c>
      <c r="K200" s="1543">
        <v>189.78338869075478</v>
      </c>
      <c r="L200" s="1826">
        <v>229.34371936831849</v>
      </c>
      <c r="M200" s="1826">
        <v>225.04565209192293</v>
      </c>
      <c r="N200" s="1826">
        <v>226.76904958304465</v>
      </c>
      <c r="O200" s="1826">
        <v>106.83907930604444</v>
      </c>
      <c r="P200" s="1826">
        <v>142.73591328831859</v>
      </c>
      <c r="Q200" s="1826">
        <v>130.19126074687188</v>
      </c>
      <c r="R200" s="1826">
        <v>173.07545653927556</v>
      </c>
      <c r="S200" s="1826">
        <v>189.12686263811739</v>
      </c>
      <c r="T200" s="3018">
        <v>133.70648951332618</v>
      </c>
    </row>
    <row r="201" spans="1:20">
      <c r="A201" s="483">
        <f t="shared" si="5"/>
        <v>2019.12</v>
      </c>
      <c r="B201" s="1230">
        <v>143.5</v>
      </c>
      <c r="C201" s="3019">
        <f t="shared" si="4"/>
        <v>-4.2695130086724542E-2</v>
      </c>
      <c r="D201" s="3505">
        <v>-5.8927818622200867E-2</v>
      </c>
      <c r="E201" s="1544">
        <v>75.91873560507598</v>
      </c>
      <c r="F201" s="3020">
        <v>73.579119038033042</v>
      </c>
      <c r="G201" s="3020">
        <v>213.57250726740585</v>
      </c>
      <c r="H201" s="3020">
        <v>117.63516042217039</v>
      </c>
      <c r="I201" s="3020">
        <v>181.66587209827685</v>
      </c>
      <c r="J201" s="2531">
        <v>220.94297451646619</v>
      </c>
      <c r="K201" s="1543">
        <v>214.76620856175245</v>
      </c>
      <c r="L201" s="1826">
        <v>223.68662372684065</v>
      </c>
      <c r="M201" s="1826">
        <v>214.81026977331607</v>
      </c>
      <c r="N201" s="1826">
        <v>243.63464022140516</v>
      </c>
      <c r="O201" s="1826">
        <v>114.84744898787721</v>
      </c>
      <c r="P201" s="1826">
        <v>141.53956022757041</v>
      </c>
      <c r="Q201" s="1826">
        <v>128.31679195620023</v>
      </c>
      <c r="R201" s="1826">
        <v>176.4910077896528</v>
      </c>
      <c r="S201" s="1826">
        <v>195.34513008383183</v>
      </c>
      <c r="T201" s="3018">
        <v>130.92843368494343</v>
      </c>
    </row>
    <row r="202" spans="1:20">
      <c r="A202" s="483">
        <f t="shared" si="5"/>
        <v>2020.01</v>
      </c>
      <c r="B202" s="1230">
        <v>126.2</v>
      </c>
      <c r="C202" s="3019">
        <f t="shared" si="4"/>
        <v>-0.12055749128919857</v>
      </c>
      <c r="D202" s="3505">
        <v>-5.7518593405339491E-2</v>
      </c>
      <c r="E202" s="1544">
        <v>40.589965464866765</v>
      </c>
      <c r="F202" s="3020">
        <v>62.591685642450798</v>
      </c>
      <c r="G202" s="3020">
        <v>152.28670635735736</v>
      </c>
      <c r="H202" s="3020">
        <v>123.53735547906494</v>
      </c>
      <c r="I202" s="3020">
        <v>204.74014644535993</v>
      </c>
      <c r="J202" s="2531">
        <v>130.79626845020445</v>
      </c>
      <c r="K202" s="1543">
        <v>173.03190512765559</v>
      </c>
      <c r="L202" s="1826">
        <v>218.90501584622069</v>
      </c>
      <c r="M202" s="1826">
        <v>195.95713443946005</v>
      </c>
      <c r="N202" s="1826">
        <v>227.53506981915987</v>
      </c>
      <c r="O202" s="1826">
        <v>118.14350268407844</v>
      </c>
      <c r="P202" s="1826">
        <v>134.13887873108854</v>
      </c>
      <c r="Q202" s="1826">
        <v>127.02059412662757</v>
      </c>
      <c r="R202" s="1826">
        <v>144.37855539655715</v>
      </c>
      <c r="S202" s="1826">
        <v>210.9215453116372</v>
      </c>
      <c r="T202" s="3018">
        <v>124.02943112599029</v>
      </c>
    </row>
    <row r="203" spans="1:20">
      <c r="A203" s="483">
        <f t="shared" si="5"/>
        <v>2020.02</v>
      </c>
      <c r="B203" s="1230">
        <v>126.7</v>
      </c>
      <c r="C203" s="3019">
        <f t="shared" si="4"/>
        <v>3.961965134706924E-3</v>
      </c>
      <c r="D203" s="3505">
        <v>-2.2883258491475877E-2</v>
      </c>
      <c r="E203" s="1544">
        <v>59.007877606024358</v>
      </c>
      <c r="F203" s="3020">
        <v>43.804879550660246</v>
      </c>
      <c r="G203" s="3020">
        <v>128.3661359419855</v>
      </c>
      <c r="H203" s="3020">
        <v>116.99080525435362</v>
      </c>
      <c r="I203" s="3020">
        <v>206.59730464066035</v>
      </c>
      <c r="J203" s="2531">
        <v>141.3612928131449</v>
      </c>
      <c r="K203" s="1543">
        <v>162.41960871872789</v>
      </c>
      <c r="L203" s="1826">
        <v>219.60756326955777</v>
      </c>
      <c r="M203" s="1826">
        <v>192.71050021330271</v>
      </c>
      <c r="N203" s="1826">
        <v>242.69809587472778</v>
      </c>
      <c r="O203" s="1826">
        <v>122.07751315220271</v>
      </c>
      <c r="P203" s="1826">
        <v>134.95224338512151</v>
      </c>
      <c r="Q203" s="1826">
        <v>126.16400733650097</v>
      </c>
      <c r="R203" s="1826">
        <v>141.46968790923151</v>
      </c>
      <c r="S203" s="1826">
        <v>201.75174343957656</v>
      </c>
      <c r="T203" s="3018">
        <v>109.91459213168915</v>
      </c>
    </row>
    <row r="204" spans="1:20">
      <c r="A204" s="483">
        <f t="shared" si="5"/>
        <v>2020.03</v>
      </c>
      <c r="B204" s="1230">
        <v>167.1</v>
      </c>
      <c r="C204" s="3019">
        <f t="shared" si="4"/>
        <v>0.31886345698500396</v>
      </c>
      <c r="D204" s="3505">
        <v>-8.2437126134067729E-2</v>
      </c>
      <c r="E204" s="1544">
        <v>255.65787701465715</v>
      </c>
      <c r="F204" s="3020">
        <v>46.68288803833579</v>
      </c>
      <c r="G204" s="3020">
        <v>102.38292040444399</v>
      </c>
      <c r="H204" s="3020">
        <v>124.98428719123676</v>
      </c>
      <c r="I204" s="3020">
        <v>198.78672052698454</v>
      </c>
      <c r="J204" s="2531">
        <v>141.2718753017852</v>
      </c>
      <c r="K204" s="1543">
        <v>147.91805650257533</v>
      </c>
      <c r="L204" s="1826">
        <v>199.72933110495805</v>
      </c>
      <c r="M204" s="1826">
        <v>219.03443365214792</v>
      </c>
      <c r="N204" s="1826">
        <v>314.56302334103771</v>
      </c>
      <c r="O204" s="1826">
        <v>120.27454137015459</v>
      </c>
      <c r="P204" s="1826">
        <v>134.00308816426647</v>
      </c>
      <c r="Q204" s="1826">
        <v>125.61886575302921</v>
      </c>
      <c r="R204" s="1826">
        <v>133.14670227273319</v>
      </c>
      <c r="S204" s="1826">
        <v>161.06722642870804</v>
      </c>
      <c r="T204" s="3018">
        <v>86.339432563943674</v>
      </c>
    </row>
    <row r="205" spans="1:20">
      <c r="A205" s="483">
        <f t="shared" si="5"/>
        <v>2020.04</v>
      </c>
      <c r="B205" s="1230">
        <v>177.9</v>
      </c>
      <c r="C205" s="3019">
        <f t="shared" ref="C205:C268" si="6">B205/B204-1</f>
        <v>6.4631956912028832E-2</v>
      </c>
      <c r="D205" s="3505">
        <v>-0.12273712832522567</v>
      </c>
      <c r="E205" s="1544">
        <v>350.18607705112515</v>
      </c>
      <c r="F205" s="3020">
        <v>63.893741510198687</v>
      </c>
      <c r="G205" s="3020">
        <v>75.770657262722608</v>
      </c>
      <c r="H205" s="3020">
        <v>124.26513033844198</v>
      </c>
      <c r="I205" s="3020">
        <v>189.34426120665569</v>
      </c>
      <c r="J205" s="2531">
        <v>107.80805158394531</v>
      </c>
      <c r="K205" s="1543">
        <v>138.20286827205905</v>
      </c>
      <c r="L205" s="1826">
        <v>142.82626306257831</v>
      </c>
      <c r="M205" s="1826">
        <v>216.32122912209425</v>
      </c>
      <c r="N205" s="1826">
        <v>378.79246214819528</v>
      </c>
      <c r="O205" s="1826">
        <v>103.3806086884772</v>
      </c>
      <c r="P205" s="1826">
        <v>69.09812736666494</v>
      </c>
      <c r="Q205" s="1826">
        <v>124.91192894526444</v>
      </c>
      <c r="R205" s="1826">
        <v>114.27132268855826</v>
      </c>
      <c r="S205" s="1826">
        <v>90.18089957164625</v>
      </c>
      <c r="T205" s="3018">
        <v>60.374135467927736</v>
      </c>
    </row>
    <row r="206" spans="1:20">
      <c r="A206" s="483">
        <f t="shared" si="5"/>
        <v>2020.05</v>
      </c>
      <c r="B206" s="1230">
        <v>165.3</v>
      </c>
      <c r="C206" s="3019">
        <f t="shared" si="6"/>
        <v>-7.0826306913996606E-2</v>
      </c>
      <c r="D206" s="3505">
        <v>-0.1122007796539366</v>
      </c>
      <c r="E206" s="1544">
        <v>216.41779031142741</v>
      </c>
      <c r="F206" s="3020">
        <v>57.759198293295178</v>
      </c>
      <c r="G206" s="3020">
        <v>129.75043505839383</v>
      </c>
      <c r="H206" s="3020">
        <v>143.22283399214894</v>
      </c>
      <c r="I206" s="3020">
        <v>208.09178054616768</v>
      </c>
      <c r="J206" s="2531">
        <v>136.84235009701314</v>
      </c>
      <c r="K206" s="1543">
        <v>177.80045746166724</v>
      </c>
      <c r="L206" s="1826">
        <v>128.99369811843496</v>
      </c>
      <c r="M206" s="1826">
        <v>210.49218088491034</v>
      </c>
      <c r="N206" s="1826">
        <v>386.96878213285027</v>
      </c>
      <c r="O206" s="1826">
        <v>105.06250111018271</v>
      </c>
      <c r="P206" s="1826">
        <v>113.69785908205014</v>
      </c>
      <c r="Q206" s="1826">
        <v>124.54353230853164</v>
      </c>
      <c r="R206" s="1826">
        <v>106.67084911925878</v>
      </c>
      <c r="S206" s="1826">
        <v>68.960478377956235</v>
      </c>
      <c r="T206" s="3018">
        <v>54.482906799292145</v>
      </c>
    </row>
    <row r="207" spans="1:20">
      <c r="A207" s="483">
        <f t="shared" si="5"/>
        <v>2020.06</v>
      </c>
      <c r="B207" s="1230">
        <v>143.9</v>
      </c>
      <c r="C207" s="3019">
        <f t="shared" si="6"/>
        <v>-0.12946158499697524</v>
      </c>
      <c r="D207" s="3505">
        <v>-4.7684573422771548E-3</v>
      </c>
      <c r="E207" s="1544">
        <v>65.082351174685414</v>
      </c>
      <c r="F207" s="3020">
        <v>56.73243423758543</v>
      </c>
      <c r="G207" s="3020">
        <v>179.97663255765016</v>
      </c>
      <c r="H207" s="3020">
        <v>152.34890941451755</v>
      </c>
      <c r="I207" s="3020">
        <v>212.20082955418331</v>
      </c>
      <c r="J207" s="2531">
        <v>154.35962274423579</v>
      </c>
      <c r="K207" s="1543">
        <v>209.64510771994753</v>
      </c>
      <c r="L207" s="1826">
        <v>128.88440520982775</v>
      </c>
      <c r="M207" s="1826">
        <v>195.84548612820265</v>
      </c>
      <c r="N207" s="1826">
        <v>372.49559609965212</v>
      </c>
      <c r="O207" s="1826">
        <v>114.61318166250251</v>
      </c>
      <c r="P207" s="1826">
        <v>114.32633872726748</v>
      </c>
      <c r="Q207" s="1826">
        <v>124.84314491937548</v>
      </c>
      <c r="R207" s="1826">
        <v>109.0669934662422</v>
      </c>
      <c r="S207" s="1826">
        <v>71.861702278064058</v>
      </c>
      <c r="T207" s="3018">
        <v>67.179852437507506</v>
      </c>
    </row>
    <row r="208" spans="1:20">
      <c r="A208" s="483">
        <f t="shared" si="5"/>
        <v>2020.07</v>
      </c>
      <c r="B208" s="1230">
        <v>136.6</v>
      </c>
      <c r="C208" s="3019">
        <f t="shared" si="6"/>
        <v>-5.0729673384294682E-2</v>
      </c>
      <c r="D208" s="3505">
        <v>-6.4839210419545212E-2</v>
      </c>
      <c r="E208" s="1544">
        <v>41.096887654288068</v>
      </c>
      <c r="F208" s="3020">
        <v>54.40733447374997</v>
      </c>
      <c r="G208" s="3020">
        <v>204.42863974207057</v>
      </c>
      <c r="H208" s="3020">
        <v>144.46259055150412</v>
      </c>
      <c r="I208" s="3020">
        <v>215.98097303195058</v>
      </c>
      <c r="J208" s="2531">
        <v>150.71527374688577</v>
      </c>
      <c r="K208" s="1543">
        <v>206.0596168330249</v>
      </c>
      <c r="L208" s="1826">
        <v>140.38646366770536</v>
      </c>
      <c r="M208" s="1826">
        <v>189.50266596500342</v>
      </c>
      <c r="N208" s="1826">
        <v>290.51805506943668</v>
      </c>
      <c r="O208" s="1826">
        <v>126.36549555654372</v>
      </c>
      <c r="P208" s="1826">
        <v>117.40941860893244</v>
      </c>
      <c r="Q208" s="1826">
        <v>124.85301838111167</v>
      </c>
      <c r="R208" s="1826">
        <v>121.92034620798724</v>
      </c>
      <c r="S208" s="1826">
        <v>110.64108913972328</v>
      </c>
      <c r="T208" s="3018">
        <v>96.115191776808686</v>
      </c>
    </row>
    <row r="209" spans="1:20">
      <c r="A209" s="483">
        <f t="shared" si="5"/>
        <v>2020.08</v>
      </c>
      <c r="B209" s="1230">
        <v>132.19999999999999</v>
      </c>
      <c r="C209" s="3019">
        <f t="shared" si="6"/>
        <v>-3.2210834553440759E-2</v>
      </c>
      <c r="D209" s="3505">
        <v>-8.5587011672716318E-2</v>
      </c>
      <c r="E209" s="1544">
        <v>39.848785925757547</v>
      </c>
      <c r="F209" s="3020">
        <v>44.146948227915701</v>
      </c>
      <c r="G209" s="3020">
        <v>226.7263067773797</v>
      </c>
      <c r="H209" s="3020">
        <v>135.27334592292831</v>
      </c>
      <c r="I209" s="3020">
        <v>183.97351838795865</v>
      </c>
      <c r="J209" s="2531">
        <v>157.77656633683304</v>
      </c>
      <c r="K209" s="1543">
        <v>196.59375425926191</v>
      </c>
      <c r="L209" s="1826">
        <v>149.33905903155548</v>
      </c>
      <c r="M209" s="1826">
        <v>183.9999759090592</v>
      </c>
      <c r="N209" s="1826">
        <v>253.39927678317235</v>
      </c>
      <c r="O209" s="1826">
        <v>131.10716333492411</v>
      </c>
      <c r="P209" s="1826">
        <v>116.55062826250523</v>
      </c>
      <c r="Q209" s="1826">
        <v>124.97267866793436</v>
      </c>
      <c r="R209" s="1826">
        <v>130.30202537800645</v>
      </c>
      <c r="S209" s="1826">
        <v>135.45683418418795</v>
      </c>
      <c r="T209" s="3018">
        <v>115.07108203601898</v>
      </c>
    </row>
    <row r="210" spans="1:20">
      <c r="A210" s="483">
        <f t="shared" si="5"/>
        <v>2020.09</v>
      </c>
      <c r="B210" s="1230">
        <v>134.9</v>
      </c>
      <c r="C210" s="3019">
        <f t="shared" si="6"/>
        <v>2.0423600605143921E-2</v>
      </c>
      <c r="D210" s="3505">
        <v>-4.8881174920213155E-2</v>
      </c>
      <c r="E210" s="1544">
        <v>32.110218700162697</v>
      </c>
      <c r="F210" s="3020">
        <v>50.408162879952947</v>
      </c>
      <c r="G210" s="3020">
        <v>215.69233853540996</v>
      </c>
      <c r="H210" s="3020">
        <v>147.31184670027721</v>
      </c>
      <c r="I210" s="3020">
        <v>182.83862269302278</v>
      </c>
      <c r="J210" s="2531">
        <v>166.74865151482118</v>
      </c>
      <c r="K210" s="1543">
        <v>197.34719679625482</v>
      </c>
      <c r="L210" s="1826">
        <v>153.54809278742906</v>
      </c>
      <c r="M210" s="1826">
        <v>186.35852974150171</v>
      </c>
      <c r="N210" s="1826">
        <v>242.55929475654733</v>
      </c>
      <c r="O210" s="1826">
        <v>128.49141977164618</v>
      </c>
      <c r="P210" s="1826">
        <v>124.38519092728819</v>
      </c>
      <c r="Q210" s="1826">
        <v>126.05088764432936</v>
      </c>
      <c r="R210" s="1826">
        <v>136.03434929145567</v>
      </c>
      <c r="S210" s="1826">
        <v>153.95877875325195</v>
      </c>
      <c r="T210" s="3018">
        <v>123.59591266493338</v>
      </c>
    </row>
    <row r="211" spans="1:20">
      <c r="A211" s="483">
        <f t="shared" si="5"/>
        <v>2020.1</v>
      </c>
      <c r="B211" s="1230">
        <v>136.5</v>
      </c>
      <c r="C211" s="3019">
        <f t="shared" si="6"/>
        <v>1.1860637509266025E-2</v>
      </c>
      <c r="D211" s="3505">
        <v>-4.1638613642349116E-2</v>
      </c>
      <c r="E211" s="1544">
        <v>34.393293855241595</v>
      </c>
      <c r="F211" s="3020">
        <v>42.595827673465784</v>
      </c>
      <c r="G211" s="3020">
        <v>168.27516395826706</v>
      </c>
      <c r="H211" s="3020">
        <v>143.16181485467075</v>
      </c>
      <c r="I211" s="3020">
        <v>175.76084337280435</v>
      </c>
      <c r="J211" s="2531">
        <v>159.35042187258068</v>
      </c>
      <c r="K211" s="1543">
        <v>210.88630148426824</v>
      </c>
      <c r="L211" s="1826">
        <v>157.21011182454873</v>
      </c>
      <c r="M211" s="1826">
        <v>190.9143061774372</v>
      </c>
      <c r="N211" s="1826">
        <v>281.46784973644299</v>
      </c>
      <c r="O211" s="1826">
        <v>114.75284090609654</v>
      </c>
      <c r="P211" s="1826">
        <v>124.67223359833078</v>
      </c>
      <c r="Q211" s="1826">
        <v>125.82562544276233</v>
      </c>
      <c r="R211" s="1826">
        <v>139.01815253026913</v>
      </c>
      <c r="S211" s="1826">
        <v>171.33127741244931</v>
      </c>
      <c r="T211" s="3018">
        <v>122.54446690083978</v>
      </c>
    </row>
    <row r="212" spans="1:20">
      <c r="A212" s="483">
        <f t="shared" si="5"/>
        <v>2020.11</v>
      </c>
      <c r="B212" s="1230">
        <v>143.5</v>
      </c>
      <c r="C212" s="3019">
        <f t="shared" si="6"/>
        <v>5.1282051282051322E-2</v>
      </c>
      <c r="D212" s="3505">
        <v>-4.2521058940362282E-2</v>
      </c>
      <c r="E212" s="1544">
        <v>79.780839091415729</v>
      </c>
      <c r="F212" s="3020">
        <v>28.924241062113236</v>
      </c>
      <c r="G212" s="3020">
        <v>150.62337828799781</v>
      </c>
      <c r="H212" s="3020">
        <v>139.0566290322958</v>
      </c>
      <c r="I212" s="3020">
        <v>198.49326031875651</v>
      </c>
      <c r="J212" s="2531">
        <v>160.62664476008075</v>
      </c>
      <c r="K212" s="1543">
        <v>196.84614120625861</v>
      </c>
      <c r="L212" s="1826">
        <v>162.11407933788018</v>
      </c>
      <c r="M212" s="1826">
        <v>200.28212887003821</v>
      </c>
      <c r="N212" s="1826">
        <v>300.31939701911654</v>
      </c>
      <c r="O212" s="1826">
        <v>115.5415405954022</v>
      </c>
      <c r="P212" s="1826">
        <v>124.57837861635531</v>
      </c>
      <c r="Q212" s="1826">
        <v>126.41558966988694</v>
      </c>
      <c r="R212" s="1826">
        <v>140.16113719220115</v>
      </c>
      <c r="S212" s="1826">
        <v>180.75420652928921</v>
      </c>
      <c r="T212" s="3018">
        <v>120.68782943524086</v>
      </c>
    </row>
    <row r="213" spans="1:20">
      <c r="A213" s="483">
        <f t="shared" si="5"/>
        <v>2020.12</v>
      </c>
      <c r="B213" s="1230">
        <v>139.5</v>
      </c>
      <c r="C213" s="3019">
        <f t="shared" si="6"/>
        <v>-2.7874564459930307E-2</v>
      </c>
      <c r="D213" s="3505">
        <v>-2.7852683842454096E-2</v>
      </c>
      <c r="E213" s="1544">
        <v>62.221578800086128</v>
      </c>
      <c r="F213" s="3020">
        <v>39.445317493468735</v>
      </c>
      <c r="G213" s="3020">
        <v>168.19431457967343</v>
      </c>
      <c r="H213" s="3020">
        <v>112.93203269881786</v>
      </c>
      <c r="I213" s="3020">
        <v>192.59164768100993</v>
      </c>
      <c r="J213" s="2531">
        <v>213.97393919538285</v>
      </c>
      <c r="K213" s="1543">
        <v>222.36622557471566</v>
      </c>
      <c r="L213" s="1826">
        <v>169.15053666230915</v>
      </c>
      <c r="M213" s="1826">
        <v>191.3253521681313</v>
      </c>
      <c r="N213" s="1826">
        <v>324.21074515130579</v>
      </c>
      <c r="O213" s="1826">
        <v>119.66993239114099</v>
      </c>
      <c r="P213" s="1826">
        <v>123.69188664946074</v>
      </c>
      <c r="Q213" s="1826">
        <v>127.34791787729377</v>
      </c>
      <c r="R213" s="1826">
        <v>140.6312349336483</v>
      </c>
      <c r="S213" s="1826">
        <v>187.46501998365642</v>
      </c>
      <c r="T213" s="3018">
        <v>119.71395019901232</v>
      </c>
    </row>
    <row r="214" spans="1:20">
      <c r="A214" s="483">
        <f t="shared" si="5"/>
        <v>2021.01</v>
      </c>
      <c r="B214" s="1230">
        <v>131.19999999999999</v>
      </c>
      <c r="C214" s="3019">
        <f t="shared" si="6"/>
        <v>-5.9498207885304688E-2</v>
      </c>
      <c r="D214" s="3505">
        <v>4.0358968222484526E-2</v>
      </c>
      <c r="E214" s="1544">
        <v>38.106246799719848</v>
      </c>
      <c r="F214" s="3020">
        <v>12.289903688269854</v>
      </c>
      <c r="G214" s="3020">
        <v>191.96501785423757</v>
      </c>
      <c r="H214" s="3020">
        <v>127.40497665201606</v>
      </c>
      <c r="I214" s="3020">
        <v>211.31108974871881</v>
      </c>
      <c r="J214" s="2531">
        <v>137.17911403623921</v>
      </c>
      <c r="K214" s="1543">
        <v>181.12101513994537</v>
      </c>
      <c r="L214" s="1826">
        <v>169.14505366921151</v>
      </c>
      <c r="M214" s="1826">
        <v>189.62197055004583</v>
      </c>
      <c r="N214" s="1826">
        <v>324.40713603863787</v>
      </c>
      <c r="O214" s="1826">
        <v>122.31169731495052</v>
      </c>
      <c r="P214" s="1826">
        <v>144.32030267061441</v>
      </c>
      <c r="Q214" s="1826">
        <v>129.14393450457055</v>
      </c>
      <c r="R214" s="1826">
        <v>194.840334942434</v>
      </c>
      <c r="S214" s="1826">
        <v>175.55422183899123</v>
      </c>
      <c r="T214" s="3018">
        <v>118.9213748764794</v>
      </c>
    </row>
    <row r="215" spans="1:20">
      <c r="A215" s="483">
        <f t="shared" si="5"/>
        <v>2021.02</v>
      </c>
      <c r="B215" s="1230">
        <v>135.6</v>
      </c>
      <c r="C215" s="3019">
        <f t="shared" si="6"/>
        <v>3.3536585365853799E-2</v>
      </c>
      <c r="D215" s="3505">
        <v>7.0633571974526133E-2</v>
      </c>
      <c r="E215" s="1544">
        <v>58.251300960905773</v>
      </c>
      <c r="F215" s="3020">
        <v>22.976776460678437</v>
      </c>
      <c r="G215" s="3020">
        <v>168.02177017413825</v>
      </c>
      <c r="H215" s="3020">
        <v>132.91178257796727</v>
      </c>
      <c r="I215" s="3020">
        <v>188.1846840855427</v>
      </c>
      <c r="J215" s="2531">
        <v>143.70575300638859</v>
      </c>
      <c r="K215" s="1543">
        <v>171.52217573643961</v>
      </c>
      <c r="L215" s="1826">
        <v>171.43904432307156</v>
      </c>
      <c r="M215" s="1826">
        <v>189.09603425310183</v>
      </c>
      <c r="N215" s="1826">
        <v>341.29791177155556</v>
      </c>
      <c r="O215" s="1826">
        <v>124.8964674974095</v>
      </c>
      <c r="P215" s="1826">
        <v>144.70352095301226</v>
      </c>
      <c r="Q215" s="1826">
        <v>130.33294195697272</v>
      </c>
      <c r="R215" s="1826">
        <v>193.35742918080086</v>
      </c>
      <c r="S215" s="1826">
        <v>175.22548853433494</v>
      </c>
      <c r="T215" s="3018">
        <v>115.92215755343291</v>
      </c>
    </row>
    <row r="216" spans="1:20">
      <c r="A216" s="483">
        <f t="shared" si="5"/>
        <v>2021.03</v>
      </c>
      <c r="B216" s="1230">
        <v>192</v>
      </c>
      <c r="C216" s="3019">
        <f t="shared" si="6"/>
        <v>0.41592920353982299</v>
      </c>
      <c r="D216" s="3505">
        <v>0.14917378960495253</v>
      </c>
      <c r="E216" s="1544">
        <v>254.96458461638062</v>
      </c>
      <c r="F216" s="3020">
        <v>75.553696897281739</v>
      </c>
      <c r="G216" s="3020">
        <v>194.57783313805669</v>
      </c>
      <c r="H216" s="3020">
        <v>152.65711576548659</v>
      </c>
      <c r="I216" s="3020">
        <v>206.03006507507527</v>
      </c>
      <c r="J216" s="2531">
        <v>166.41130703553856</v>
      </c>
      <c r="K216" s="1543">
        <v>203.93255920295471</v>
      </c>
      <c r="L216" s="1826">
        <v>173.72291586720303</v>
      </c>
      <c r="M216" s="1826">
        <v>233.04428162694936</v>
      </c>
      <c r="N216" s="1826">
        <v>414.25700194943937</v>
      </c>
      <c r="O216" s="1826">
        <v>134.05442436578949</v>
      </c>
      <c r="P216" s="1826">
        <v>144.05787481094612</v>
      </c>
      <c r="Q216" s="1826">
        <v>130.94085895735762</v>
      </c>
      <c r="R216" s="1826">
        <v>194.46256906451029</v>
      </c>
      <c r="S216" s="1826">
        <v>168.71801637934109</v>
      </c>
      <c r="T216" s="3018">
        <v>106.70630268928034</v>
      </c>
    </row>
    <row r="217" spans="1:20">
      <c r="A217" s="483">
        <f t="shared" si="5"/>
        <v>2021.04</v>
      </c>
      <c r="B217" s="1230">
        <v>207.5</v>
      </c>
      <c r="C217" s="3019">
        <f t="shared" si="6"/>
        <v>8.0729166666666741E-2</v>
      </c>
      <c r="D217" s="3505">
        <v>0.16616433794296692</v>
      </c>
      <c r="E217" s="1544">
        <v>343.07581842953635</v>
      </c>
      <c r="F217" s="3020">
        <v>23.644706008953971</v>
      </c>
      <c r="G217" s="3020">
        <v>174.64550341062758</v>
      </c>
      <c r="H217" s="3020">
        <v>156.24980204573245</v>
      </c>
      <c r="I217" s="3020">
        <v>207.74899763370456</v>
      </c>
      <c r="J217" s="2531">
        <v>157.30805263075558</v>
      </c>
      <c r="K217" s="1543">
        <v>187.85227360995344</v>
      </c>
      <c r="L217" s="1826">
        <v>165.65515577301716</v>
      </c>
      <c r="M217" s="1826">
        <v>236.2452202794922</v>
      </c>
      <c r="N217" s="1826">
        <v>463.59776927695862</v>
      </c>
      <c r="O217" s="1826">
        <v>121.51219046552696</v>
      </c>
      <c r="P217" s="1826">
        <v>143.64376362587933</v>
      </c>
      <c r="Q217" s="1826">
        <v>131.45315830349631</v>
      </c>
      <c r="R217" s="1826">
        <v>195.19436370453565</v>
      </c>
      <c r="S217" s="1826">
        <v>167.71590831868156</v>
      </c>
      <c r="T217" s="3018">
        <v>100.7318327745528</v>
      </c>
    </row>
    <row r="218" spans="1:20">
      <c r="A218" s="483">
        <f t="shared" si="5"/>
        <v>2021.05</v>
      </c>
      <c r="B218" s="1230">
        <v>175.6</v>
      </c>
      <c r="C218" s="3019">
        <f t="shared" si="6"/>
        <v>-0.15373493975903618</v>
      </c>
      <c r="D218" s="3505">
        <v>6.2353652323188458E-2</v>
      </c>
      <c r="E218" s="1544">
        <v>209.36756965945679</v>
      </c>
      <c r="F218" s="3020">
        <v>26.004723746194198</v>
      </c>
      <c r="G218" s="3020">
        <v>168.41517141875855</v>
      </c>
      <c r="H218" s="3020">
        <v>141.87161280555998</v>
      </c>
      <c r="I218" s="3020">
        <v>214.46852191025357</v>
      </c>
      <c r="J218" s="2531">
        <v>159.10513724027891</v>
      </c>
      <c r="K218" s="1543">
        <v>192.80918316630226</v>
      </c>
      <c r="L218" s="1826">
        <v>155.23453613214633</v>
      </c>
      <c r="M218" s="1826">
        <v>207.58513817513801</v>
      </c>
      <c r="N218" s="1826">
        <v>443.44007240859924</v>
      </c>
      <c r="O218" s="1826">
        <v>120.29852385122477</v>
      </c>
      <c r="P218" s="1826">
        <v>144.5309074823561</v>
      </c>
      <c r="Q218" s="1826">
        <v>131.84778130798918</v>
      </c>
      <c r="R218" s="1826">
        <v>193.6496143294591</v>
      </c>
      <c r="S218" s="1826">
        <v>172.53408285387044</v>
      </c>
      <c r="T218" s="3018">
        <v>104.69951914117746</v>
      </c>
    </row>
    <row r="219" spans="1:20">
      <c r="A219" s="483">
        <f t="shared" si="5"/>
        <v>2021.06</v>
      </c>
      <c r="B219" s="1230">
        <v>151.9</v>
      </c>
      <c r="C219" s="3019">
        <f t="shared" si="6"/>
        <v>-0.13496583143507968</v>
      </c>
      <c r="D219" s="3505">
        <v>5.61219685067329E-2</v>
      </c>
      <c r="E219" s="1544">
        <v>61.675320441415451</v>
      </c>
      <c r="F219" s="3020">
        <v>45.463737919288135</v>
      </c>
      <c r="G219" s="3020">
        <v>196.66414149298546</v>
      </c>
      <c r="H219" s="3020">
        <v>154.10200334235611</v>
      </c>
      <c r="I219" s="3020">
        <v>220.72648628845238</v>
      </c>
      <c r="J219" s="2531">
        <v>178.8095858152073</v>
      </c>
      <c r="K219" s="1543">
        <v>213.29154562627488</v>
      </c>
      <c r="L219" s="1826">
        <v>151.12843322022371</v>
      </c>
      <c r="M219" s="1826">
        <v>187.34423553076928</v>
      </c>
      <c r="N219" s="1826">
        <v>391.94656791636402</v>
      </c>
      <c r="O219" s="1826">
        <v>124.2959057385159</v>
      </c>
      <c r="P219" s="1826">
        <v>143.25355548039104</v>
      </c>
      <c r="Q219" s="1826">
        <v>132.60534299460991</v>
      </c>
      <c r="R219" s="1826">
        <v>194.77137863672755</v>
      </c>
      <c r="S219" s="1826">
        <v>169.33749840188551</v>
      </c>
      <c r="T219" s="3018">
        <v>112.95740356101801</v>
      </c>
    </row>
    <row r="220" spans="1:20">
      <c r="A220" s="483">
        <f t="shared" si="5"/>
        <v>2021.07</v>
      </c>
      <c r="B220" s="1230">
        <v>145.30000000000001</v>
      </c>
      <c r="C220" s="3019">
        <f t="shared" si="6"/>
        <v>-4.3449637919683926E-2</v>
      </c>
      <c r="D220" s="3505">
        <v>6.3219393628453968E-2</v>
      </c>
      <c r="E220" s="1544">
        <v>38.141192594549182</v>
      </c>
      <c r="F220" s="3020">
        <v>29.923243762744008</v>
      </c>
      <c r="G220" s="3020">
        <v>209.93428523069167</v>
      </c>
      <c r="H220" s="3020">
        <v>155.92230085914284</v>
      </c>
      <c r="I220" s="3020">
        <v>223.73085799605425</v>
      </c>
      <c r="J220" s="2531">
        <v>169.24923830207584</v>
      </c>
      <c r="K220" s="1543">
        <v>213.26745389721279</v>
      </c>
      <c r="L220" s="1826">
        <v>164.57489211308769</v>
      </c>
      <c r="M220" s="1826">
        <v>177.98620223747741</v>
      </c>
      <c r="N220" s="1826">
        <v>266.18056753077371</v>
      </c>
      <c r="O220" s="1826">
        <v>134.01515316314402</v>
      </c>
      <c r="P220" s="1826">
        <v>143.35523568464362</v>
      </c>
      <c r="Q220" s="1826">
        <v>133.0102592993606</v>
      </c>
      <c r="R220" s="1826">
        <v>194.51890575506488</v>
      </c>
      <c r="S220" s="1826">
        <v>167.9684157468464</v>
      </c>
      <c r="T220" s="3018">
        <v>124.60374628088385</v>
      </c>
    </row>
    <row r="221" spans="1:20">
      <c r="A221" s="483">
        <f t="shared" si="5"/>
        <v>2021.08</v>
      </c>
      <c r="B221" s="1230">
        <v>145.4</v>
      </c>
      <c r="C221" s="3019">
        <f t="shared" si="6"/>
        <v>6.8823124569861172E-4</v>
      </c>
      <c r="D221" s="3505">
        <v>0.10012520148022495</v>
      </c>
      <c r="E221" s="1544">
        <v>38.677543586218214</v>
      </c>
      <c r="F221" s="3020">
        <v>30.902873766881456</v>
      </c>
      <c r="G221" s="3020">
        <v>162.87698898509367</v>
      </c>
      <c r="H221" s="3020">
        <v>155.17288585660575</v>
      </c>
      <c r="I221" s="3020">
        <v>217.08681442612243</v>
      </c>
      <c r="J221" s="2531">
        <v>178.30650313169468</v>
      </c>
      <c r="K221" s="1543">
        <v>213.60523876609454</v>
      </c>
      <c r="L221" s="1826">
        <v>167.68610190796514</v>
      </c>
      <c r="M221" s="1826">
        <v>195.18278837474821</v>
      </c>
      <c r="N221" s="1826">
        <v>216.05107477830808</v>
      </c>
      <c r="O221" s="1826">
        <v>135.64245787486124</v>
      </c>
      <c r="P221" s="1826">
        <v>143.70645154891656</v>
      </c>
      <c r="Q221" s="1826">
        <v>133.30239308091305</v>
      </c>
      <c r="R221" s="1826">
        <v>192.9567009754843</v>
      </c>
      <c r="S221" s="1826">
        <v>167.7456397143398</v>
      </c>
      <c r="T221" s="3018">
        <v>128.44539062310122</v>
      </c>
    </row>
    <row r="222" spans="1:20">
      <c r="A222" s="483">
        <f t="shared" si="5"/>
        <v>2021.09</v>
      </c>
      <c r="B222" s="1230">
        <v>148.4</v>
      </c>
      <c r="C222" s="3019">
        <f t="shared" si="6"/>
        <v>2.0632737276478741E-2</v>
      </c>
      <c r="D222" s="3505">
        <v>0.1001738421261078</v>
      </c>
      <c r="E222" s="1544">
        <v>31.930871573482456</v>
      </c>
      <c r="F222" s="3020">
        <v>33.36619794092163</v>
      </c>
      <c r="G222" s="3020">
        <v>206.57706408299202</v>
      </c>
      <c r="H222" s="3020">
        <v>169.78798746818606</v>
      </c>
      <c r="I222" s="3020">
        <v>194.72016057662324</v>
      </c>
      <c r="J222" s="2531">
        <v>195.37558477445251</v>
      </c>
      <c r="K222" s="1543">
        <v>216.14087840972439</v>
      </c>
      <c r="L222" s="1826">
        <v>176.69644109049324</v>
      </c>
      <c r="M222" s="1826">
        <v>198.03872012024186</v>
      </c>
      <c r="N222" s="1826">
        <v>215.90091572388977</v>
      </c>
      <c r="O222" s="1826">
        <v>129.36136286176878</v>
      </c>
      <c r="P222" s="1826">
        <v>143.64420617099302</v>
      </c>
      <c r="Q222" s="1826">
        <v>133.49972846123836</v>
      </c>
      <c r="R222" s="1826">
        <v>192.73703485569879</v>
      </c>
      <c r="S222" s="1826">
        <v>166.67221373118085</v>
      </c>
      <c r="T222" s="3018">
        <v>124.88048216277406</v>
      </c>
    </row>
    <row r="223" spans="1:20">
      <c r="A223" s="483">
        <f t="shared" si="5"/>
        <v>2021.1</v>
      </c>
      <c r="B223" s="1230">
        <v>146</v>
      </c>
      <c r="C223" s="3019">
        <f t="shared" si="6"/>
        <v>-1.6172506738544534E-2</v>
      </c>
      <c r="D223" s="3505">
        <v>6.9444709674254312E-2</v>
      </c>
      <c r="E223" s="1544">
        <v>32.130182182890273</v>
      </c>
      <c r="F223" s="3020">
        <v>51.831332946181575</v>
      </c>
      <c r="G223" s="3020">
        <v>181.03457625558906</v>
      </c>
      <c r="H223" s="3020">
        <v>158.52970347617935</v>
      </c>
      <c r="I223" s="3020">
        <v>193.82647359241662</v>
      </c>
      <c r="J223" s="2531">
        <v>171.56354124685939</v>
      </c>
      <c r="K223" s="1543">
        <v>222.56181518352258</v>
      </c>
      <c r="L223" s="1826">
        <v>185.15395738734583</v>
      </c>
      <c r="M223" s="1826">
        <v>192.99276889328058</v>
      </c>
      <c r="N223" s="1826">
        <v>289.61556543924291</v>
      </c>
      <c r="O223" s="1826">
        <v>117.85257446399498</v>
      </c>
      <c r="P223" s="1826">
        <v>143.59921410640686</v>
      </c>
      <c r="Q223" s="1826">
        <v>133.71368158795426</v>
      </c>
      <c r="R223" s="1826">
        <v>193.79122143849889</v>
      </c>
      <c r="S223" s="1826">
        <v>167.96975963484348</v>
      </c>
      <c r="T223" s="3018">
        <v>114.76446498703898</v>
      </c>
    </row>
    <row r="224" spans="1:20">
      <c r="A224" s="483">
        <f t="shared" si="5"/>
        <v>2021.11</v>
      </c>
      <c r="B224" s="1230">
        <v>163.4</v>
      </c>
      <c r="C224" s="3019">
        <f t="shared" si="6"/>
        <v>0.11917808219178094</v>
      </c>
      <c r="D224" s="3505">
        <v>0.1385540962880365</v>
      </c>
      <c r="E224" s="1544">
        <v>120.41912179001095</v>
      </c>
      <c r="F224" s="3020">
        <v>43.816178366875157</v>
      </c>
      <c r="G224" s="3020">
        <v>190.44859902159087</v>
      </c>
      <c r="H224" s="3020">
        <v>149.47652985505979</v>
      </c>
      <c r="I224" s="3020">
        <v>190.6078330984804</v>
      </c>
      <c r="J224" s="2531">
        <v>186.22656012123954</v>
      </c>
      <c r="K224" s="1543">
        <v>228.12827032545064</v>
      </c>
      <c r="L224" s="1826">
        <v>186.88739679406385</v>
      </c>
      <c r="M224" s="1826">
        <v>205.63032454619889</v>
      </c>
      <c r="N224" s="1826">
        <v>325.80646818732248</v>
      </c>
      <c r="O224" s="1826">
        <v>114.35360005302826</v>
      </c>
      <c r="P224" s="1826">
        <v>143.53170777345906</v>
      </c>
      <c r="Q224" s="1826">
        <v>128.19390099901753</v>
      </c>
      <c r="R224" s="1826">
        <v>192.62521219809835</v>
      </c>
      <c r="S224" s="1826">
        <v>168.19774968890414</v>
      </c>
      <c r="T224" s="3018">
        <v>105.50456896460693</v>
      </c>
    </row>
    <row r="225" spans="1:20">
      <c r="A225" s="483">
        <f t="shared" si="5"/>
        <v>2021.12</v>
      </c>
      <c r="B225" s="1230">
        <v>160.80000000000001</v>
      </c>
      <c r="C225" s="3019">
        <f t="shared" si="6"/>
        <v>-1.5911872705018371E-2</v>
      </c>
      <c r="D225" s="3505">
        <v>0.15273627985734328</v>
      </c>
      <c r="E225" s="1544">
        <v>93.234506766411215</v>
      </c>
      <c r="F225" s="3020">
        <v>30.99193103998487</v>
      </c>
      <c r="G225" s="3020">
        <v>188.73301464655492</v>
      </c>
      <c r="H225" s="3020">
        <v>144.46988506890742</v>
      </c>
      <c r="I225" s="3020">
        <v>206.2844674522967</v>
      </c>
      <c r="J225" s="2531">
        <v>194.62748846124904</v>
      </c>
      <c r="K225" s="1543">
        <v>249.807498086637</v>
      </c>
      <c r="L225" s="1826">
        <v>188.63477564643063</v>
      </c>
      <c r="M225" s="1826">
        <v>195.83659730452007</v>
      </c>
      <c r="N225" s="1826">
        <v>323.37345847305926</v>
      </c>
      <c r="O225" s="1826">
        <v>115.57333125784731</v>
      </c>
      <c r="P225" s="1826">
        <v>143.70798898312435</v>
      </c>
      <c r="Q225" s="1826">
        <v>133.66605464636612</v>
      </c>
      <c r="R225" s="1826">
        <v>193.99693884434313</v>
      </c>
      <c r="S225" s="1826">
        <v>176.37437872090584</v>
      </c>
      <c r="T225" s="3018">
        <v>101.17524143666559</v>
      </c>
    </row>
    <row r="226" spans="1:20">
      <c r="A226" s="483">
        <f t="shared" si="5"/>
        <v>2022.01</v>
      </c>
      <c r="B226" s="1230">
        <v>129.19999999999999</v>
      </c>
      <c r="C226" s="3019">
        <f t="shared" si="6"/>
        <v>-0.19651741293532354</v>
      </c>
      <c r="D226" s="3505">
        <v>-1.5802020949429174E-2</v>
      </c>
      <c r="E226" s="1544">
        <v>38.604921298438157</v>
      </c>
      <c r="F226" s="3020">
        <v>17.188053708957117</v>
      </c>
      <c r="G226" s="3020">
        <v>108.07491385104314</v>
      </c>
      <c r="H226" s="3020">
        <v>116.0760717780164</v>
      </c>
      <c r="I226" s="3020">
        <v>220.31304166289476</v>
      </c>
      <c r="J226" s="2531">
        <v>136.51240191052378</v>
      </c>
      <c r="K226" s="1543">
        <v>196.51781016315422</v>
      </c>
      <c r="L226" s="1826">
        <v>186.51806059777806</v>
      </c>
      <c r="M226" s="1826">
        <v>173.50702804170237</v>
      </c>
      <c r="N226" s="1826">
        <v>265.57519293028264</v>
      </c>
      <c r="O226" s="1826">
        <v>124.71721070416086</v>
      </c>
      <c r="P226" s="1826">
        <v>144.41307078427397</v>
      </c>
      <c r="Q226" s="1826">
        <v>131.55702822098561</v>
      </c>
      <c r="R226" s="1826">
        <v>197.51148587613977</v>
      </c>
      <c r="S226" s="1826">
        <v>175.8097367352438</v>
      </c>
      <c r="T226" s="3018">
        <v>102.70345102985546</v>
      </c>
    </row>
    <row r="227" spans="1:20">
      <c r="A227" s="483">
        <f t="shared" si="5"/>
        <v>2022.02</v>
      </c>
      <c r="B227" s="1230">
        <v>136.80000000000001</v>
      </c>
      <c r="C227" s="3019">
        <f t="shared" si="6"/>
        <v>5.8823529411764941E-2</v>
      </c>
      <c r="D227" s="3506">
        <v>8.4022707894910731E-3</v>
      </c>
      <c r="E227" s="1544">
        <v>55.066430780948693</v>
      </c>
      <c r="F227" s="3020">
        <v>22.19307245736848</v>
      </c>
      <c r="G227" s="3020">
        <v>150.95762145072035</v>
      </c>
      <c r="H227" s="3020">
        <v>131.76288992491533</v>
      </c>
      <c r="I227" s="3020">
        <v>199.81384576886015</v>
      </c>
      <c r="J227" s="2531">
        <v>166.45331557763245</v>
      </c>
      <c r="K227" s="1543">
        <v>191.45622924349937</v>
      </c>
      <c r="L227" s="1826">
        <v>190.86613708179559</v>
      </c>
      <c r="M227" s="1826">
        <v>179.91755699054886</v>
      </c>
      <c r="N227" s="1826">
        <v>248.57684856650283</v>
      </c>
      <c r="O227" s="1826">
        <v>124.61732685432418</v>
      </c>
      <c r="P227" s="1826">
        <v>144.50319577675964</v>
      </c>
      <c r="Q227" s="1826">
        <v>131.12508761264908</v>
      </c>
      <c r="R227" s="1826">
        <v>196.43507225922934</v>
      </c>
      <c r="S227" s="1826">
        <v>180.13009956939405</v>
      </c>
      <c r="T227" s="3018">
        <v>105.96663235173736</v>
      </c>
    </row>
    <row r="228" spans="1:20">
      <c r="A228" s="483">
        <f t="shared" si="5"/>
        <v>2022.03</v>
      </c>
      <c r="B228" s="1230">
        <v>185.9</v>
      </c>
      <c r="C228" s="3019">
        <f t="shared" si="6"/>
        <v>0.35891812865497075</v>
      </c>
      <c r="D228" s="3506">
        <v>-3.1775261978340574E-2</v>
      </c>
      <c r="E228" s="1544">
        <v>226.77971850610442</v>
      </c>
      <c r="F228" s="3020">
        <v>35.552553995610232</v>
      </c>
      <c r="G228" s="3020">
        <v>145.63240811188754</v>
      </c>
      <c r="H228" s="3020">
        <v>150.55187944002341</v>
      </c>
      <c r="I228" s="3020">
        <v>209.23992111446839</v>
      </c>
      <c r="J228" s="2531">
        <v>180.05714861545093</v>
      </c>
      <c r="K228" s="1543">
        <v>224.25580968242645</v>
      </c>
      <c r="L228" s="1826">
        <v>203.00259388099843</v>
      </c>
      <c r="M228" s="1826">
        <v>217.40728845788914</v>
      </c>
      <c r="N228" s="1826">
        <v>274.63070014735473</v>
      </c>
      <c r="O228" s="1826">
        <v>131.07697007059016</v>
      </c>
      <c r="P228" s="1826">
        <v>143.36132250298925</v>
      </c>
      <c r="Q228" s="1826">
        <v>131.17623939618562</v>
      </c>
      <c r="R228" s="1826">
        <v>196.89813945372458</v>
      </c>
      <c r="S228" s="1826">
        <v>170.72189435517669</v>
      </c>
      <c r="T228" s="3018">
        <v>110.82288418632925</v>
      </c>
    </row>
    <row r="229" spans="1:20">
      <c r="A229" s="483">
        <f t="shared" si="5"/>
        <v>2022.04</v>
      </c>
      <c r="B229" s="1230">
        <v>202.9</v>
      </c>
      <c r="C229" s="3019">
        <f t="shared" si="6"/>
        <v>9.1447014523937664E-2</v>
      </c>
      <c r="D229" s="3506">
        <v>-2.2030971575186631E-2</v>
      </c>
      <c r="E229" s="1544">
        <v>306.63098762131187</v>
      </c>
      <c r="F229" s="3020">
        <v>49.783015664803273</v>
      </c>
      <c r="G229" s="3020">
        <v>148.73524950742666</v>
      </c>
      <c r="H229" s="3020">
        <v>156.01629225207003</v>
      </c>
      <c r="I229" s="3020">
        <v>227.87185926330346</v>
      </c>
      <c r="J229" s="2531">
        <v>168.35708094640816</v>
      </c>
      <c r="K229" s="1543">
        <v>211.84694407414719</v>
      </c>
      <c r="L229" s="1826">
        <v>205.485362912119</v>
      </c>
      <c r="M229" s="1826">
        <v>229.30241330133612</v>
      </c>
      <c r="N229" s="1826">
        <v>331.90330123897104</v>
      </c>
      <c r="O229" s="1826">
        <v>128.8407450241464</v>
      </c>
      <c r="P229" s="1826">
        <v>143.23340123773579</v>
      </c>
      <c r="Q229" s="1826">
        <v>131.3803039117455</v>
      </c>
      <c r="R229" s="1826">
        <v>197.80897224502849</v>
      </c>
      <c r="S229" s="1826">
        <v>170.68108507341481</v>
      </c>
      <c r="T229" s="3018">
        <v>124.77310115265058</v>
      </c>
    </row>
    <row r="230" spans="1:20">
      <c r="A230" s="483">
        <f t="shared" si="5"/>
        <v>2022.05</v>
      </c>
      <c r="B230" s="1230">
        <v>184.3</v>
      </c>
      <c r="C230" s="3019">
        <f t="shared" si="6"/>
        <v>-9.1670773780187287E-2</v>
      </c>
      <c r="D230" s="3506">
        <v>4.9555836878397042E-2</v>
      </c>
      <c r="E230" s="1544">
        <v>192.11154180550406</v>
      </c>
      <c r="F230" s="3020">
        <v>19.414485536542241</v>
      </c>
      <c r="G230" s="3020">
        <v>140.11295907082359</v>
      </c>
      <c r="H230" s="3020">
        <v>160.51957919725322</v>
      </c>
      <c r="I230" s="3020">
        <v>222.70186633255341</v>
      </c>
      <c r="J230" s="2531">
        <v>185.12501087021218</v>
      </c>
      <c r="K230" s="1543">
        <v>224.64703342608644</v>
      </c>
      <c r="L230" s="1826">
        <v>206.81412468420348</v>
      </c>
      <c r="M230" s="1826">
        <v>226.86798321776581</v>
      </c>
      <c r="N230" s="1826">
        <v>346.19117329071111</v>
      </c>
      <c r="O230" s="1826">
        <v>129.20327836970858</v>
      </c>
      <c r="P230" s="1826">
        <v>143.82846372670269</v>
      </c>
      <c r="Q230" s="1826">
        <v>131.40814987189839</v>
      </c>
      <c r="R230" s="1826">
        <v>196.28966866077116</v>
      </c>
      <c r="S230" s="1826">
        <v>176.18857903218054</v>
      </c>
      <c r="T230" s="3018">
        <v>134.12587304090812</v>
      </c>
    </row>
    <row r="231" spans="1:20">
      <c r="A231" s="483">
        <f t="shared" si="5"/>
        <v>2022.06</v>
      </c>
      <c r="B231" s="1230">
        <v>162</v>
      </c>
      <c r="C231" s="3019">
        <f t="shared" si="6"/>
        <v>-0.12099837221920784</v>
      </c>
      <c r="D231" s="3506">
        <v>6.6026077663259963E-2</v>
      </c>
      <c r="E231" s="1544">
        <v>57.809475851202663</v>
      </c>
      <c r="F231" s="3020">
        <v>14.071049150337952</v>
      </c>
      <c r="G231" s="3020">
        <v>200.57646264249277</v>
      </c>
      <c r="H231" s="3020">
        <v>174.29465010021931</v>
      </c>
      <c r="I231" s="3020">
        <v>227.29803107506243</v>
      </c>
      <c r="J231" s="2531">
        <v>188.23122195916861</v>
      </c>
      <c r="K231" s="1543">
        <v>235.59318915488052</v>
      </c>
      <c r="L231" s="1826">
        <v>203.74138151648438</v>
      </c>
      <c r="M231" s="1826">
        <v>209.78544207261223</v>
      </c>
      <c r="N231" s="1826">
        <v>321.78939799847979</v>
      </c>
      <c r="O231" s="1826">
        <v>130.02698564846796</v>
      </c>
      <c r="P231" s="1826">
        <v>143.84182915865944</v>
      </c>
      <c r="Q231" s="1826">
        <v>131.35634841755831</v>
      </c>
      <c r="R231" s="1826">
        <v>195.13768663482699</v>
      </c>
      <c r="S231" s="1826">
        <v>175.14361756388627</v>
      </c>
      <c r="T231" s="3018">
        <v>135.64124149795495</v>
      </c>
    </row>
    <row r="232" spans="1:20">
      <c r="A232" s="483">
        <f t="shared" si="5"/>
        <v>2022.07</v>
      </c>
      <c r="B232" s="1230">
        <v>149.4</v>
      </c>
      <c r="C232" s="3019">
        <f t="shared" si="6"/>
        <v>-7.7777777777777724E-2</v>
      </c>
      <c r="D232" s="3506">
        <v>2.8550367694192724E-2</v>
      </c>
      <c r="E232" s="1544">
        <v>36.677870197069431</v>
      </c>
      <c r="F232" s="3020">
        <v>22.70960464136822</v>
      </c>
      <c r="G232" s="3020">
        <v>218.94307513569368</v>
      </c>
      <c r="H232" s="3020">
        <v>158.28324168348297</v>
      </c>
      <c r="I232" s="3020">
        <v>232.90875786173169</v>
      </c>
      <c r="J232" s="2531">
        <v>186.81111164425602</v>
      </c>
      <c r="K232" s="1543">
        <v>225.98429042082503</v>
      </c>
      <c r="L232" s="1826">
        <v>210.30490761272549</v>
      </c>
      <c r="M232" s="1826">
        <v>196.8989348621952</v>
      </c>
      <c r="N232" s="1826">
        <v>251.7490998278879</v>
      </c>
      <c r="O232" s="1826">
        <v>129.7950653240357</v>
      </c>
      <c r="P232" s="1826">
        <v>143.87244382072734</v>
      </c>
      <c r="Q232" s="1826">
        <v>131.29119170077274</v>
      </c>
      <c r="R232" s="1826">
        <v>197.34661317684026</v>
      </c>
      <c r="S232" s="1826">
        <v>176.49043042267073</v>
      </c>
      <c r="T232" s="3018">
        <v>127.93554521494536</v>
      </c>
    </row>
    <row r="233" spans="1:20">
      <c r="A233" s="483">
        <f t="shared" si="5"/>
        <v>2022.08</v>
      </c>
      <c r="B233" s="1230">
        <v>151.19999999999999</v>
      </c>
      <c r="C233" s="3019">
        <f t="shared" si="6"/>
        <v>1.2048192771084265E-2</v>
      </c>
      <c r="D233" s="3506">
        <v>3.9706379635284117E-2</v>
      </c>
      <c r="E233" s="1544">
        <v>38.445442605998863</v>
      </c>
      <c r="F233" s="3020">
        <v>23.33300555309205</v>
      </c>
      <c r="G233" s="3020">
        <v>221.01853784227453</v>
      </c>
      <c r="H233" s="3020">
        <v>169.46063402260413</v>
      </c>
      <c r="I233" s="3020">
        <v>214.27801436115863</v>
      </c>
      <c r="J233" s="2531">
        <v>179.53041220847956</v>
      </c>
      <c r="K233" s="1543">
        <v>219.93501037742385</v>
      </c>
      <c r="L233" s="1826">
        <v>208.08133858176177</v>
      </c>
      <c r="M233" s="1826">
        <v>202.72509063086784</v>
      </c>
      <c r="N233" s="1826">
        <v>229.81558231288969</v>
      </c>
      <c r="O233" s="1826">
        <v>130.88333162466708</v>
      </c>
      <c r="P233" s="1826">
        <v>143.54680418159398</v>
      </c>
      <c r="Q233" s="1826">
        <v>131.34607919087696</v>
      </c>
      <c r="R233" s="1826">
        <v>197.13455378636723</v>
      </c>
      <c r="S233" s="1826">
        <v>173.3861964984155</v>
      </c>
      <c r="T233" s="3018">
        <v>124.67239494278229</v>
      </c>
    </row>
    <row r="234" spans="1:20">
      <c r="A234" s="483">
        <f t="shared" si="5"/>
        <v>2022.09</v>
      </c>
      <c r="B234" s="1230">
        <v>147.1</v>
      </c>
      <c r="C234" s="3019">
        <f t="shared" si="6"/>
        <v>-2.7116402116402094E-2</v>
      </c>
      <c r="D234" s="3506">
        <v>-9.0271832879212921E-3</v>
      </c>
      <c r="E234" s="1544">
        <v>32.372610467007291</v>
      </c>
      <c r="F234" s="3020">
        <v>9.7072427682711204</v>
      </c>
      <c r="G234" s="3020">
        <v>224.80564105176475</v>
      </c>
      <c r="H234" s="3020">
        <v>157.78420500741021</v>
      </c>
      <c r="I234" s="3020">
        <v>193.24816840884364</v>
      </c>
      <c r="J234" s="2531">
        <v>211.75211863987053</v>
      </c>
      <c r="K234" s="1543">
        <v>221.29123662046931</v>
      </c>
      <c r="L234" s="1826">
        <v>211.18541512044641</v>
      </c>
      <c r="M234" s="1826">
        <v>182.13948769460035</v>
      </c>
      <c r="N234" s="1826">
        <v>251.38418987602503</v>
      </c>
      <c r="O234" s="1826">
        <v>130.36089973503243</v>
      </c>
      <c r="P234" s="1826">
        <v>143.47975978749244</v>
      </c>
      <c r="Q234" s="1826">
        <v>131.57986445422961</v>
      </c>
      <c r="R234" s="1826">
        <v>198.13175799989278</v>
      </c>
      <c r="S234" s="1826">
        <v>175.47799229496505</v>
      </c>
      <c r="T234" s="3018">
        <v>127.904363822942</v>
      </c>
    </row>
    <row r="235" spans="1:20">
      <c r="A235" s="483">
        <f t="shared" si="5"/>
        <v>2022.1</v>
      </c>
      <c r="B235" s="1230">
        <v>143.80000000000001</v>
      </c>
      <c r="C235" s="3019">
        <f t="shared" si="6"/>
        <v>-2.2433718558803384E-2</v>
      </c>
      <c r="D235" s="3506">
        <v>-1.4570867119579001E-2</v>
      </c>
      <c r="E235" s="1544">
        <v>29.24634072256757</v>
      </c>
      <c r="F235" s="3020">
        <v>6.5902382096519521</v>
      </c>
      <c r="G235" s="3020">
        <v>193.2388885511034</v>
      </c>
      <c r="H235" s="3020">
        <v>156.81542572250643</v>
      </c>
      <c r="I235" s="3020">
        <v>167.92726592056511</v>
      </c>
      <c r="J235" s="2531">
        <v>174.53966906422914</v>
      </c>
      <c r="K235" s="1543">
        <v>208.17091937744249</v>
      </c>
      <c r="L235" s="1826">
        <v>215.61870011841327</v>
      </c>
      <c r="M235" s="1826">
        <v>178.01512930097974</v>
      </c>
      <c r="N235" s="1826">
        <v>321.02996614120343</v>
      </c>
      <c r="O235" s="1826">
        <v>130.20888882213006</v>
      </c>
      <c r="P235" s="1826">
        <v>143.58365396737352</v>
      </c>
      <c r="Q235" s="1826">
        <v>131.73715016706348</v>
      </c>
      <c r="R235" s="1826">
        <v>198.74644381538269</v>
      </c>
      <c r="S235" s="1826">
        <v>180.70523073284525</v>
      </c>
      <c r="T235" s="3018">
        <v>136.95300257083636</v>
      </c>
    </row>
    <row r="236" spans="1:20">
      <c r="A236" s="483">
        <f t="shared" si="5"/>
        <v>2022.11</v>
      </c>
      <c r="B236" s="1230">
        <v>154.4</v>
      </c>
      <c r="C236" s="3019">
        <f t="shared" si="6"/>
        <v>7.3713490959666172E-2</v>
      </c>
      <c r="D236" s="3506">
        <v>-5.5520347607145852E-2</v>
      </c>
      <c r="E236" s="1544">
        <v>64.816107886437905</v>
      </c>
      <c r="F236" s="3020">
        <v>15.228793700682216</v>
      </c>
      <c r="G236" s="3020">
        <v>198.83228519453954</v>
      </c>
      <c r="H236" s="3020">
        <v>155.75936015885767</v>
      </c>
      <c r="I236" s="3020">
        <v>173.2576835318101</v>
      </c>
      <c r="J236" s="2531">
        <v>199.55230735786105</v>
      </c>
      <c r="K236" s="1543">
        <v>216.10551377199141</v>
      </c>
      <c r="L236" s="1826">
        <v>223.04563105481293</v>
      </c>
      <c r="M236" s="1826">
        <v>186.43356953171337</v>
      </c>
      <c r="N236" s="1826">
        <v>356.08904971891747</v>
      </c>
      <c r="O236" s="1826">
        <v>131.15327511837089</v>
      </c>
      <c r="P236" s="1826">
        <v>143.93589935099013</v>
      </c>
      <c r="Q236" s="1826">
        <v>131.86334887246076</v>
      </c>
      <c r="R236" s="1826">
        <v>200.02382299432139</v>
      </c>
      <c r="S236" s="1826">
        <v>179.3792307098706</v>
      </c>
      <c r="T236" s="3018">
        <v>139.90511503964839</v>
      </c>
    </row>
    <row r="237" spans="1:20">
      <c r="A237" s="483">
        <f t="shared" si="5"/>
        <v>2022.12</v>
      </c>
      <c r="B237" s="1230">
        <v>152.9</v>
      </c>
      <c r="C237" s="3019">
        <f t="shared" si="6"/>
        <v>-9.7150259067357858E-3</v>
      </c>
      <c r="D237" s="3506">
        <v>-4.9449481499657215E-2</v>
      </c>
      <c r="E237" s="1544">
        <v>54.313709291353348</v>
      </c>
      <c r="F237" s="3020">
        <v>11.221216411029005</v>
      </c>
      <c r="G237" s="3020">
        <v>190.3578899626809</v>
      </c>
      <c r="H237" s="3020">
        <v>144.75133945401274</v>
      </c>
      <c r="I237" s="3020">
        <v>194.45507638989375</v>
      </c>
      <c r="J237" s="2531">
        <v>195.89030867865719</v>
      </c>
      <c r="K237" s="1543">
        <v>237.4895492155832</v>
      </c>
      <c r="L237" s="1826">
        <v>216.55104722815841</v>
      </c>
      <c r="M237" s="1826">
        <v>175.90802041565479</v>
      </c>
      <c r="N237" s="1826">
        <v>359.43191448266674</v>
      </c>
      <c r="O237" s="1826">
        <v>132.83968650411882</v>
      </c>
      <c r="P237" s="1826">
        <v>144.24438357588639</v>
      </c>
      <c r="Q237" s="1826">
        <v>132.45640243560678</v>
      </c>
      <c r="R237" s="1826">
        <v>200.92027858831975</v>
      </c>
      <c r="S237" s="1826">
        <v>182.90547821951952</v>
      </c>
      <c r="T237" s="3018">
        <v>139.38644432407827</v>
      </c>
    </row>
    <row r="238" spans="1:20">
      <c r="A238" s="483">
        <f t="shared" si="5"/>
        <v>2023.01</v>
      </c>
      <c r="B238" s="1230">
        <v>134.9</v>
      </c>
      <c r="C238" s="3019">
        <f t="shared" si="6"/>
        <v>-0.11772400261608895</v>
      </c>
      <c r="D238" s="3506">
        <v>4.4562790448884559E-2</v>
      </c>
      <c r="E238" s="1544">
        <v>47.486270883272638</v>
      </c>
      <c r="F238" s="3020">
        <v>21.106573725506923</v>
      </c>
      <c r="G238" s="3020">
        <v>169.20098793996755</v>
      </c>
      <c r="H238" s="3020">
        <v>120.90070447735543</v>
      </c>
      <c r="I238" s="3020">
        <v>224.79654438608844</v>
      </c>
      <c r="J238" s="2531">
        <v>185.73871779844788</v>
      </c>
      <c r="K238" s="1543">
        <v>194.76167300974646</v>
      </c>
      <c r="L238" s="1826">
        <v>221.86545800899233</v>
      </c>
      <c r="M238" s="1826">
        <v>165.40206485898347</v>
      </c>
      <c r="N238" s="1826">
        <v>293.49223327468047</v>
      </c>
      <c r="O238" s="1826">
        <v>130.525415449842</v>
      </c>
      <c r="P238" s="1826">
        <v>141.76738276763308</v>
      </c>
      <c r="Q238" s="1826">
        <v>132.16264223230667</v>
      </c>
      <c r="R238" s="1826">
        <v>197.34054450321037</v>
      </c>
      <c r="S238" s="1826">
        <v>184.10600417054889</v>
      </c>
      <c r="T238" s="3018">
        <v>135.84387595220574</v>
      </c>
    </row>
    <row r="239" spans="1:20">
      <c r="A239" s="483">
        <f t="shared" si="5"/>
        <v>2023.02</v>
      </c>
      <c r="B239" s="1230">
        <v>130</v>
      </c>
      <c r="C239" s="3019">
        <f t="shared" si="6"/>
        <v>-3.6323202372127494E-2</v>
      </c>
      <c r="D239" s="3506">
        <v>-4.9717636290711568E-2</v>
      </c>
      <c r="E239" s="1545">
        <v>46.776928664629374</v>
      </c>
      <c r="F239" s="3020">
        <v>21.106573725506937</v>
      </c>
      <c r="G239" s="3020">
        <v>145.9351002975979</v>
      </c>
      <c r="H239" s="3020">
        <v>118.71779761890775</v>
      </c>
      <c r="I239" s="3020">
        <v>204.19373436662545</v>
      </c>
      <c r="J239" s="2531">
        <v>165.90914453071792</v>
      </c>
      <c r="K239" s="1543">
        <v>176.37974693317972</v>
      </c>
      <c r="L239" s="1826">
        <v>220.00308195266632</v>
      </c>
      <c r="M239" s="1826">
        <v>164.8819160966716</v>
      </c>
      <c r="N239" s="1826">
        <v>295.39890832908515</v>
      </c>
      <c r="O239" s="1826">
        <v>129.24408231932409</v>
      </c>
      <c r="P239" s="1826">
        <v>142.40580850541309</v>
      </c>
      <c r="Q239" s="1826">
        <v>131.70550939481154</v>
      </c>
      <c r="R239" s="1826">
        <v>197.48772054068496</v>
      </c>
      <c r="S239" s="1826">
        <v>187.66849545307619</v>
      </c>
      <c r="T239" s="3018">
        <v>133.12188339101209</v>
      </c>
    </row>
    <row r="240" spans="1:20">
      <c r="A240" s="483">
        <f t="shared" si="5"/>
        <v>2023.03</v>
      </c>
      <c r="B240" s="1230">
        <v>163.9</v>
      </c>
      <c r="C240" s="3019">
        <f t="shared" si="6"/>
        <v>0.26076923076923086</v>
      </c>
      <c r="D240" s="3506">
        <v>-0.11813436308923764</v>
      </c>
      <c r="E240" s="1545">
        <v>130.48795995155166</v>
      </c>
      <c r="F240" s="3020">
        <v>26.271895565504416</v>
      </c>
      <c r="G240" s="3020">
        <v>176.75547499831546</v>
      </c>
      <c r="H240" s="3020">
        <v>141.4379270881513</v>
      </c>
      <c r="I240" s="3020">
        <v>237.91158759362071</v>
      </c>
      <c r="J240" s="2531">
        <v>224.34259430532725</v>
      </c>
      <c r="K240" s="1543">
        <v>210.20330722782433</v>
      </c>
      <c r="L240" s="1826">
        <v>230.07259570741951</v>
      </c>
      <c r="M240" s="1826">
        <v>188.32676538532024</v>
      </c>
      <c r="N240" s="1826">
        <v>335.30289407437311</v>
      </c>
      <c r="O240" s="1826">
        <v>134.77947286141813</v>
      </c>
      <c r="P240" s="1826">
        <v>141.73086648688542</v>
      </c>
      <c r="Q240" s="1826">
        <v>132.18578798255143</v>
      </c>
      <c r="R240" s="1826">
        <v>198.35636314380213</v>
      </c>
      <c r="S240" s="1826">
        <v>177.83421748715972</v>
      </c>
      <c r="T240" s="3018">
        <v>128.57251784959359</v>
      </c>
    </row>
    <row r="241" spans="1:20">
      <c r="A241" s="483">
        <f t="shared" si="5"/>
        <v>2023.04</v>
      </c>
      <c r="B241" s="1230">
        <v>169.6</v>
      </c>
      <c r="C241" s="3019">
        <f t="shared" si="6"/>
        <v>3.4777303233678891E-2</v>
      </c>
      <c r="D241" s="3506">
        <v>-0.16432404741318052</v>
      </c>
      <c r="E241" s="1545">
        <v>167.64242468456177</v>
      </c>
      <c r="F241" s="3020">
        <v>4.0966345627566199</v>
      </c>
      <c r="G241" s="3020">
        <v>162.92234351454863</v>
      </c>
      <c r="H241" s="3020">
        <v>142.00649008683666</v>
      </c>
      <c r="I241" s="3020">
        <v>202.79690239060898</v>
      </c>
      <c r="J241" s="2531">
        <v>186.49638497938915</v>
      </c>
      <c r="K241" s="1543">
        <v>202.33687490525031</v>
      </c>
      <c r="L241" s="1826">
        <v>220.38236402196299</v>
      </c>
      <c r="M241" s="1826">
        <v>188.76882414513176</v>
      </c>
      <c r="N241" s="1826">
        <v>399.5125134855212</v>
      </c>
      <c r="O241" s="1826">
        <v>132.28671337011949</v>
      </c>
      <c r="P241" s="1826">
        <v>141.46350808802595</v>
      </c>
      <c r="Q241" s="1826">
        <v>132.73306660781174</v>
      </c>
      <c r="R241" s="1826">
        <v>197.75401346848565</v>
      </c>
      <c r="S241" s="1826">
        <v>176.90459397963951</v>
      </c>
      <c r="T241" s="3018">
        <v>129.04684538924556</v>
      </c>
    </row>
    <row r="242" spans="1:20">
      <c r="A242" s="483">
        <f t="shared" si="5"/>
        <v>2023.05</v>
      </c>
      <c r="B242" s="1230">
        <v>164</v>
      </c>
      <c r="C242" s="3019">
        <f t="shared" si="6"/>
        <v>-3.3018867924528239E-2</v>
      </c>
      <c r="D242" s="3506">
        <v>-0.11029563065911796</v>
      </c>
      <c r="E242" s="1545">
        <v>110.43249863205118</v>
      </c>
      <c r="F242" s="3020">
        <v>7.8370400330996199</v>
      </c>
      <c r="G242" s="3020">
        <v>171.72013626078183</v>
      </c>
      <c r="H242" s="3020">
        <v>155.37685449751578</v>
      </c>
      <c r="I242" s="3020">
        <v>218.40437435167254</v>
      </c>
      <c r="J242" s="2531">
        <v>179.40492262120807</v>
      </c>
      <c r="K242" s="1543">
        <v>214.7747028998869</v>
      </c>
      <c r="L242" s="1826">
        <v>221.22220622784283</v>
      </c>
      <c r="M242" s="1826">
        <v>188.66703200949041</v>
      </c>
      <c r="N242" s="1826">
        <v>392.37523747473193</v>
      </c>
      <c r="O242" s="1826">
        <v>131.90486503812846</v>
      </c>
      <c r="P242" s="1826">
        <v>142.9751976144463</v>
      </c>
      <c r="Q242" s="1826">
        <v>134.38481168849012</v>
      </c>
      <c r="R242" s="1826">
        <v>196.27677884236411</v>
      </c>
      <c r="S242" s="1826">
        <v>181.02575088649405</v>
      </c>
      <c r="T242" s="3018">
        <v>129.82409680958443</v>
      </c>
    </row>
    <row r="243" spans="1:20">
      <c r="A243" s="483">
        <f t="shared" si="5"/>
        <v>2023.06</v>
      </c>
      <c r="B243" s="1230">
        <v>146.19999999999999</v>
      </c>
      <c r="C243" s="3019">
        <f t="shared" si="6"/>
        <v>-0.10853658536585375</v>
      </c>
      <c r="D243" s="3506">
        <v>-9.7026263064320842E-2</v>
      </c>
      <c r="E243" s="1545">
        <v>44.706315318021865</v>
      </c>
      <c r="F243" s="3020">
        <v>9.7963000413745238</v>
      </c>
      <c r="G243" s="3020">
        <v>175.37709169009696</v>
      </c>
      <c r="H243" s="3020">
        <v>146.22093687692745</v>
      </c>
      <c r="I243" s="3020">
        <v>220.76419966512367</v>
      </c>
      <c r="J243" s="2531">
        <v>175.30521039954479</v>
      </c>
      <c r="K243" s="1543">
        <v>212.82386299969028</v>
      </c>
      <c r="L243" s="1826">
        <v>219.51388963472974</v>
      </c>
      <c r="M243" s="1826">
        <v>177.91306375041108</v>
      </c>
      <c r="N243" s="1826">
        <v>342.77959535297884</v>
      </c>
      <c r="O243" s="1826">
        <v>132.51885736792229</v>
      </c>
      <c r="P243" s="1826">
        <v>143.68039893606982</v>
      </c>
      <c r="Q243" s="1826">
        <v>135.08026241725429</v>
      </c>
      <c r="R243" s="1826">
        <v>196.51841609809813</v>
      </c>
      <c r="S243" s="1826">
        <v>180.6814381711464</v>
      </c>
      <c r="T243" s="3018">
        <v>131.00296231029137</v>
      </c>
    </row>
    <row r="244" spans="1:20">
      <c r="A244" s="483">
        <f t="shared" si="5"/>
        <v>2023.07</v>
      </c>
      <c r="B244" s="1230">
        <v>141.5</v>
      </c>
      <c r="C244" s="3019">
        <f t="shared" si="6"/>
        <v>-3.2147742818057434E-2</v>
      </c>
      <c r="D244" s="3506">
        <v>-5.2792578217777164E-2</v>
      </c>
      <c r="E244" s="1544">
        <v>35.254405978436999</v>
      </c>
      <c r="F244" s="3020">
        <v>21.908089183437575</v>
      </c>
      <c r="G244" s="3020">
        <v>178.23639898182356</v>
      </c>
      <c r="H244" s="3020">
        <v>141.20890379047975</v>
      </c>
      <c r="I244" s="3020">
        <v>214.29054363967145</v>
      </c>
      <c r="J244" s="2531">
        <v>169.99104985525565</v>
      </c>
      <c r="K244" s="1543">
        <v>217.73508483331022</v>
      </c>
      <c r="L244" s="1826">
        <v>223.93426373121403</v>
      </c>
      <c r="M244" s="1826">
        <v>181.87268480189167</v>
      </c>
      <c r="N244" s="1826">
        <v>238.02756762383376</v>
      </c>
      <c r="O244" s="1826">
        <v>130.82653370640946</v>
      </c>
      <c r="P244" s="1826">
        <v>149.23514059750619</v>
      </c>
      <c r="Q244" s="1826">
        <v>135.06315556228932</v>
      </c>
      <c r="R244" s="1826">
        <v>196.95007549402882</v>
      </c>
      <c r="S244" s="1826">
        <v>180.08298949070112</v>
      </c>
      <c r="T244" s="3018">
        <v>130.01794417962742</v>
      </c>
    </row>
    <row r="245" spans="1:20">
      <c r="A245" s="483">
        <f t="shared" si="5"/>
        <v>2023.08</v>
      </c>
      <c r="B245" s="1230">
        <v>143.1</v>
      </c>
      <c r="C245" s="3019">
        <f t="shared" si="6"/>
        <v>1.1307420494699683E-2</v>
      </c>
      <c r="D245" s="3506">
        <v>-5.352348994672395E-2</v>
      </c>
      <c r="E245" s="1544">
        <v>33.398536351804445</v>
      </c>
      <c r="F245" s="3020">
        <v>9.7072427682711204</v>
      </c>
      <c r="G245" s="3020">
        <v>152.16740422553022</v>
      </c>
      <c r="H245" s="3020">
        <v>145.3514729209551</v>
      </c>
      <c r="I245" s="3020">
        <v>189.19867029020926</v>
      </c>
      <c r="J245" s="2531">
        <v>194.11694799964661</v>
      </c>
      <c r="K245" s="1543">
        <v>219.08314999108774</v>
      </c>
      <c r="L245" s="1826">
        <v>221.33710898761001</v>
      </c>
      <c r="M245" s="1826">
        <v>189.81177108996093</v>
      </c>
      <c r="N245" s="1826">
        <v>205.95006227902627</v>
      </c>
      <c r="O245" s="1826">
        <v>134.78763713964068</v>
      </c>
      <c r="P245" s="1826">
        <v>150.31362590916041</v>
      </c>
      <c r="Q245" s="1826">
        <v>135.01825786500527</v>
      </c>
      <c r="R245" s="1826">
        <v>197.94211396647668</v>
      </c>
      <c r="S245" s="1826">
        <v>178.57796660020315</v>
      </c>
      <c r="T245" s="3018">
        <v>129.40805980602113</v>
      </c>
    </row>
    <row r="246" spans="1:20">
      <c r="A246" s="483">
        <f t="shared" si="5"/>
        <v>2023.09</v>
      </c>
      <c r="B246" s="1230">
        <v>139.4</v>
      </c>
      <c r="C246" s="3019">
        <f t="shared" si="6"/>
        <v>-2.5856044723969185E-2</v>
      </c>
      <c r="D246" s="3506">
        <v>-5.2218307312342338E-2</v>
      </c>
      <c r="E246" s="1544">
        <v>30.117651715991411</v>
      </c>
      <c r="F246" s="3020">
        <v>20.304167694845251</v>
      </c>
      <c r="G246" s="3020">
        <v>161.1150641125711</v>
      </c>
      <c r="H246" s="3020">
        <v>141.05660030920384</v>
      </c>
      <c r="I246" s="3020">
        <v>158.69731752457173</v>
      </c>
      <c r="J246" s="2531">
        <v>193.28242085078898</v>
      </c>
      <c r="K246" s="1543">
        <v>211.42577109523552</v>
      </c>
      <c r="L246" s="1826">
        <v>223.16279849065162</v>
      </c>
      <c r="M246" s="1826">
        <v>171.78981019840847</v>
      </c>
      <c r="N246" s="1826">
        <v>244.28125917232038</v>
      </c>
      <c r="O246" s="1826">
        <v>133.36102981482739</v>
      </c>
      <c r="P246" s="1826">
        <v>154.2964469159061</v>
      </c>
      <c r="Q246" s="1826">
        <v>134.97613838312776</v>
      </c>
      <c r="R246" s="1826">
        <v>199.29634341282673</v>
      </c>
      <c r="S246" s="1826">
        <v>181.72988169793464</v>
      </c>
      <c r="T246" s="3018">
        <v>130.34578897516732</v>
      </c>
    </row>
    <row r="247" spans="1:20">
      <c r="A247" s="483">
        <f t="shared" si="5"/>
        <v>2023.1</v>
      </c>
      <c r="B247" s="1230">
        <v>140.69999999999999</v>
      </c>
      <c r="C247" s="3019">
        <f t="shared" si="6"/>
        <v>9.3256814921089948E-3</v>
      </c>
      <c r="D247" s="3506">
        <v>-2.1813456813513654E-2</v>
      </c>
      <c r="E247" s="1544">
        <v>29.246447974843242</v>
      </c>
      <c r="F247" s="3020">
        <v>13.447648238614118</v>
      </c>
      <c r="G247" s="3020">
        <v>171.92324567529761</v>
      </c>
      <c r="H247" s="3020">
        <v>133.09713134086849</v>
      </c>
      <c r="I247" s="3020">
        <v>152.45742197543785</v>
      </c>
      <c r="J247" s="2531">
        <v>173.60972855312315</v>
      </c>
      <c r="K247" s="1543">
        <v>223.07956383354812</v>
      </c>
      <c r="L247" s="1826">
        <v>222.41734361985502</v>
      </c>
      <c r="M247" s="1826">
        <v>167.71596288344819</v>
      </c>
      <c r="N247" s="1826">
        <v>359.06868562168393</v>
      </c>
      <c r="O247" s="1826">
        <v>132.52776372109605</v>
      </c>
      <c r="P247" s="1826">
        <v>154.28194110274495</v>
      </c>
      <c r="Q247" s="1826">
        <v>136.0819863738046</v>
      </c>
      <c r="R247" s="1826">
        <v>199.38188277361769</v>
      </c>
      <c r="S247" s="1826">
        <v>185.25215041014121</v>
      </c>
      <c r="T247" s="3018">
        <v>131.79431245689941</v>
      </c>
    </row>
    <row r="248" spans="1:20">
      <c r="A248" s="483">
        <f t="shared" si="5"/>
        <v>2023.11</v>
      </c>
      <c r="B248" s="1230">
        <v>145.5</v>
      </c>
      <c r="C248" s="3019">
        <f t="shared" si="6"/>
        <v>3.4115138592750727E-2</v>
      </c>
      <c r="D248" s="3506">
        <v>-5.727276961981298E-2</v>
      </c>
      <c r="E248" s="1544">
        <v>82.958294696762835</v>
      </c>
      <c r="F248" s="3020">
        <v>34.821393783431269</v>
      </c>
      <c r="G248" s="3020">
        <v>129.14307875090984</v>
      </c>
      <c r="H248" s="3020">
        <v>115.88647675859927</v>
      </c>
      <c r="I248" s="3020">
        <v>155.65115693919751</v>
      </c>
      <c r="J248" s="2531">
        <v>160.67482520213144</v>
      </c>
      <c r="K248" s="1543">
        <v>210.11190143379065</v>
      </c>
      <c r="L248" s="1826">
        <v>221.29974332423322</v>
      </c>
      <c r="M248" s="1826">
        <v>173.96877949903578</v>
      </c>
      <c r="N248" s="1826">
        <v>428.39797682334677</v>
      </c>
      <c r="O248" s="1826">
        <v>129.41685258798336</v>
      </c>
      <c r="P248" s="1826">
        <v>154.56842159145384</v>
      </c>
      <c r="Q248" s="1826">
        <v>136.08450289239681</v>
      </c>
      <c r="R248" s="1826">
        <v>200.56205791323049</v>
      </c>
      <c r="S248" s="1826">
        <v>182.6543040180814</v>
      </c>
      <c r="T248" s="3018">
        <v>134.64183139081402</v>
      </c>
    </row>
    <row r="249" spans="1:20">
      <c r="A249" s="483">
        <f t="shared" si="5"/>
        <v>2023.12</v>
      </c>
      <c r="B249" s="1230">
        <v>141.80000000000001</v>
      </c>
      <c r="C249" s="3019">
        <f t="shared" si="6"/>
        <v>-2.5429553264604721E-2</v>
      </c>
      <c r="D249" s="3506">
        <v>-7.2475402831922886E-2</v>
      </c>
      <c r="E249" s="1544">
        <v>62.415950964342272</v>
      </c>
      <c r="F249" s="3020">
        <v>27.607754662055484</v>
      </c>
      <c r="G249" s="3020">
        <v>133.42513791227827</v>
      </c>
      <c r="H249" s="3020">
        <v>116.10967613561711</v>
      </c>
      <c r="I249" s="3020">
        <v>168.45110107786905</v>
      </c>
      <c r="J249" s="2531">
        <v>204.90685805499456</v>
      </c>
      <c r="K249" s="1543">
        <v>195.9808909790116</v>
      </c>
      <c r="L249" s="1826">
        <v>219.97112422330719</v>
      </c>
      <c r="M249" s="1826">
        <v>172.93657529192785</v>
      </c>
      <c r="N249" s="1826">
        <v>457.82321858534925</v>
      </c>
      <c r="O249" s="1826">
        <v>134.00538475704204</v>
      </c>
      <c r="P249" s="1826">
        <v>154.96559541881749</v>
      </c>
      <c r="Q249" s="1826">
        <v>135.70395380604441</v>
      </c>
      <c r="R249" s="1826">
        <v>201.80401349930503</v>
      </c>
      <c r="S249" s="1826">
        <v>189.2020632726653</v>
      </c>
      <c r="T249" s="3018">
        <v>140.11798240326783</v>
      </c>
    </row>
    <row r="250" spans="1:20">
      <c r="A250" s="483">
        <f t="shared" ref="A250:A313" si="7">A238+1</f>
        <v>2024.01</v>
      </c>
      <c r="B250" s="1230">
        <v>124.2</v>
      </c>
      <c r="C250" s="3019">
        <f t="shared" si="6"/>
        <v>-0.12411847672778564</v>
      </c>
      <c r="D250" s="3506">
        <v>-7.9533265060748648E-2</v>
      </c>
      <c r="E250" s="1544">
        <v>40.020988503311095</v>
      </c>
      <c r="F250" s="3020">
        <v>20.394115540679685</v>
      </c>
      <c r="G250" s="3020">
        <v>92.809170817318119</v>
      </c>
      <c r="H250" s="3020">
        <v>117.40613929017438</v>
      </c>
      <c r="I250" s="3020">
        <v>192.8988850456191</v>
      </c>
      <c r="J250" s="2531">
        <v>128.97806069277689</v>
      </c>
      <c r="K250" s="1543">
        <v>168.28079917311894</v>
      </c>
      <c r="L250" s="1826">
        <v>215.63842314920666</v>
      </c>
      <c r="M250" s="1826">
        <v>158.26134127183374</v>
      </c>
      <c r="N250" s="1826">
        <v>238.07402336482886</v>
      </c>
      <c r="O250" s="1826">
        <v>125.0528426580747</v>
      </c>
      <c r="P250" s="1826">
        <v>159.34006042737229</v>
      </c>
      <c r="Q250" s="1826">
        <v>135.79134412971453</v>
      </c>
      <c r="R250" s="1826">
        <v>201.40789206220887</v>
      </c>
      <c r="S250" s="1826">
        <v>184.91343718860372</v>
      </c>
      <c r="T250" s="3018">
        <v>148.70739611568092</v>
      </c>
    </row>
    <row r="251" spans="1:20">
      <c r="A251" s="483">
        <f t="shared" si="7"/>
        <v>2024.02</v>
      </c>
      <c r="B251" s="1230">
        <v>128</v>
      </c>
      <c r="C251" s="3019">
        <f t="shared" si="6"/>
        <v>3.0595813204508771E-2</v>
      </c>
      <c r="D251" s="3506">
        <v>-1.5099218063641451E-2</v>
      </c>
      <c r="E251" s="1544">
        <v>58.751883699440469</v>
      </c>
      <c r="F251" s="3020">
        <v>43.014662908944516</v>
      </c>
      <c r="G251" s="3020">
        <v>97.439276693851923</v>
      </c>
      <c r="H251" s="3020">
        <v>117.09481507658286</v>
      </c>
      <c r="I251" s="3020">
        <v>212.56257186546571</v>
      </c>
      <c r="J251" s="2531">
        <v>134.88347866674039</v>
      </c>
      <c r="K251" s="1543">
        <v>158.8832720919807</v>
      </c>
      <c r="L251" s="1826">
        <v>216.58108123381794</v>
      </c>
      <c r="M251" s="1826">
        <v>180.2000253252412</v>
      </c>
      <c r="N251" s="1826">
        <v>236.83099317680495</v>
      </c>
      <c r="O251" s="1826">
        <v>127.79671942658474</v>
      </c>
      <c r="P251" s="1826">
        <v>158.91370169598608</v>
      </c>
      <c r="Q251" s="1826">
        <v>135.9452474842515</v>
      </c>
      <c r="R251" s="1826">
        <v>200.3177214887595</v>
      </c>
      <c r="S251" s="1826">
        <v>181.38952248865914</v>
      </c>
      <c r="T251" s="3018">
        <v>149.83760451278792</v>
      </c>
    </row>
    <row r="252" spans="1:20">
      <c r="A252" s="483">
        <f t="shared" si="7"/>
        <v>2024.03</v>
      </c>
      <c r="B252" s="1230">
        <v>181.3</v>
      </c>
      <c r="C252" s="3019">
        <f t="shared" si="6"/>
        <v>0.41640625000000009</v>
      </c>
      <c r="D252" s="3506">
        <v>0.10589076728890134</v>
      </c>
      <c r="E252" s="1544">
        <v>295.59813304525755</v>
      </c>
      <c r="F252" s="3020">
        <v>30.101358308950825</v>
      </c>
      <c r="G252" s="3020">
        <v>140.28353154029557</v>
      </c>
      <c r="H252" s="3020">
        <v>128.25494544104217</v>
      </c>
      <c r="I252" s="3020">
        <v>221.08220829881142</v>
      </c>
      <c r="J252" s="2531">
        <v>162.99833685253142</v>
      </c>
      <c r="K252" s="1543">
        <v>163.2779939121898</v>
      </c>
      <c r="L252" s="1826">
        <v>217.12694427451302</v>
      </c>
      <c r="M252" s="1826">
        <v>197.93470957287292</v>
      </c>
      <c r="N252" s="1826">
        <v>259.28693408508673</v>
      </c>
      <c r="O252" s="1826">
        <v>124.18993960895467</v>
      </c>
      <c r="P252" s="1826">
        <v>158.74782808221397</v>
      </c>
      <c r="Q252" s="1826">
        <v>136.05101488465476</v>
      </c>
      <c r="R252" s="1826">
        <v>201.64154136262189</v>
      </c>
      <c r="S252" s="1826">
        <v>172.73404790661991</v>
      </c>
      <c r="T252" s="3018">
        <v>140.51506220496017</v>
      </c>
    </row>
    <row r="253" spans="1:20">
      <c r="A253" s="483">
        <f t="shared" si="7"/>
        <v>2024.04</v>
      </c>
      <c r="B253" s="1230">
        <v>208.8</v>
      </c>
      <c r="C253" s="3019">
        <f t="shared" si="6"/>
        <v>0.15168229453943738</v>
      </c>
      <c r="D253" s="3506">
        <v>0.2313916918255321</v>
      </c>
      <c r="E253" s="1544">
        <v>408.53730805715031</v>
      </c>
      <c r="F253" s="3020">
        <v>8.6385554910302638</v>
      </c>
      <c r="G253" s="3020">
        <v>112.84798509216327</v>
      </c>
      <c r="H253" s="3020">
        <v>136.0775794548135</v>
      </c>
      <c r="I253" s="3020">
        <v>219.02778929398735</v>
      </c>
      <c r="J253" s="2531">
        <v>142.77412753291654</v>
      </c>
      <c r="K253" s="1543">
        <v>168.54183541864489</v>
      </c>
      <c r="L253" s="1826">
        <v>205.54160004161966</v>
      </c>
      <c r="M253" s="1826">
        <v>212.84868471799393</v>
      </c>
      <c r="N253" s="1826">
        <v>340.18905208398689</v>
      </c>
      <c r="O253" s="1826">
        <v>124.58851794882447</v>
      </c>
      <c r="P253" s="1826">
        <v>158.31608557382927</v>
      </c>
      <c r="Q253" s="1826">
        <v>136.14011439741677</v>
      </c>
      <c r="R253" s="1826">
        <v>199.67172631942211</v>
      </c>
      <c r="S253" s="1826">
        <v>175.06386889430701</v>
      </c>
      <c r="T253" s="3018">
        <v>128.40468600587465</v>
      </c>
    </row>
    <row r="254" spans="1:20">
      <c r="A254" s="483">
        <f t="shared" si="7"/>
        <v>2024.05</v>
      </c>
      <c r="B254" s="1230">
        <v>185.8</v>
      </c>
      <c r="C254" s="3019">
        <f t="shared" si="6"/>
        <v>-0.11015325670498088</v>
      </c>
      <c r="D254" s="3506">
        <v>0.13284232025560905</v>
      </c>
      <c r="E254" s="1544">
        <v>250.87692848601168</v>
      </c>
      <c r="F254" s="3020">
        <v>11.942580323166581</v>
      </c>
      <c r="G254" s="3020">
        <v>133.26836899524918</v>
      </c>
      <c r="H254" s="3020">
        <v>148.88614203935688</v>
      </c>
      <c r="I254" s="3020">
        <v>218.01012455408744</v>
      </c>
      <c r="J254" s="2531">
        <v>156.14050579754462</v>
      </c>
      <c r="K254" s="1543">
        <v>195.87945958997179</v>
      </c>
      <c r="L254" s="1826">
        <v>206.57279197193878</v>
      </c>
      <c r="M254" s="1826">
        <v>198.74914450157956</v>
      </c>
      <c r="N254" s="1826">
        <v>338.64950580495571</v>
      </c>
      <c r="O254" s="1826">
        <v>128.76506439754539</v>
      </c>
      <c r="P254" s="1826">
        <v>159.96756360109828</v>
      </c>
      <c r="Q254" s="1826">
        <v>136.16966820177541</v>
      </c>
      <c r="R254" s="1826">
        <v>198.87248332005572</v>
      </c>
      <c r="S254" s="1826">
        <v>180.44464814116961</v>
      </c>
      <c r="T254" s="3018">
        <v>122.21559910155865</v>
      </c>
    </row>
    <row r="255" spans="1:20">
      <c r="A255" s="483">
        <f t="shared" si="7"/>
        <v>2024.06</v>
      </c>
      <c r="B255" s="1230">
        <v>139.1</v>
      </c>
      <c r="C255" s="3019">
        <f t="shared" si="6"/>
        <v>-0.25134553283100114</v>
      </c>
      <c r="D255" s="3506">
        <v>-4.9010992190330678E-2</v>
      </c>
      <c r="E255" s="1544">
        <v>66.248534878865001</v>
      </c>
      <c r="F255" s="3020">
        <v>26.182838292400994</v>
      </c>
      <c r="G255" s="3020">
        <v>121.69507623997795</v>
      </c>
      <c r="H255" s="3020">
        <v>132.21147801546542</v>
      </c>
      <c r="I255" s="3020">
        <v>207.11308106450412</v>
      </c>
      <c r="J255" s="2531">
        <v>144.78351805494296</v>
      </c>
      <c r="K255" s="1543">
        <v>184.49601107489573</v>
      </c>
      <c r="L255" s="1826">
        <v>202.54370052565824</v>
      </c>
      <c r="M255" s="1826">
        <v>161.94154286196397</v>
      </c>
      <c r="N255" s="1826">
        <v>290.95730289642228</v>
      </c>
      <c r="O255" s="1826">
        <v>134.14486105333361</v>
      </c>
      <c r="P255" s="1826">
        <v>162.78695521185031</v>
      </c>
      <c r="Q255" s="1826">
        <v>136.06203446892792</v>
      </c>
      <c r="R255" s="1826">
        <v>199.32829223126066</v>
      </c>
      <c r="S255" s="1826">
        <v>178.54107753302299</v>
      </c>
      <c r="T255" s="3018">
        <v>119.2135334023486</v>
      </c>
    </row>
    <row r="256" spans="1:20">
      <c r="A256" s="483">
        <f t="shared" si="7"/>
        <v>2024.07</v>
      </c>
      <c r="B256" s="1230">
        <v>139.69999999999999</v>
      </c>
      <c r="C256" s="3019">
        <f t="shared" si="6"/>
        <v>4.3134435657798953E-3</v>
      </c>
      <c r="D256" s="3506">
        <v>-1.2748434461257507E-2</v>
      </c>
      <c r="E256" s="1544">
        <v>40.138452276438336</v>
      </c>
      <c r="F256" s="3020">
        <v>15.798760248544008</v>
      </c>
      <c r="G256" s="3020">
        <v>130.1744013119947</v>
      </c>
      <c r="H256" s="3021">
        <v>141.76881115396412</v>
      </c>
      <c r="I256" s="3021">
        <v>202.83989228721265</v>
      </c>
      <c r="J256" s="2531">
        <v>168.91075339935486</v>
      </c>
      <c r="K256" s="1543">
        <v>204.95251811514919</v>
      </c>
      <c r="L256" s="1826">
        <v>205.71088166451148</v>
      </c>
      <c r="M256" s="1826">
        <v>170.23948658784508</v>
      </c>
      <c r="N256" s="1826">
        <v>219.95371003213114</v>
      </c>
      <c r="O256" s="1826">
        <v>135.15510906457874</v>
      </c>
      <c r="P256" s="1826">
        <v>159.541596193007</v>
      </c>
      <c r="Q256" s="1826">
        <v>135.99668908079235</v>
      </c>
      <c r="R256" s="1826">
        <v>199.24080007350787</v>
      </c>
      <c r="S256" s="1826">
        <v>178.32716185675145</v>
      </c>
      <c r="T256" s="3018">
        <v>112.16792240445099</v>
      </c>
    </row>
    <row r="257" spans="1:20">
      <c r="A257" s="483">
        <f t="shared" si="7"/>
        <v>2024.08</v>
      </c>
      <c r="B257" s="1230">
        <v>145.5</v>
      </c>
      <c r="C257" s="3019">
        <f t="shared" si="6"/>
        <v>4.1517537580529895E-2</v>
      </c>
      <c r="D257" s="3506">
        <v>1.66651334897856E-2</v>
      </c>
      <c r="E257" s="1544">
        <v>37.395489117744141</v>
      </c>
      <c r="F257" s="3020">
        <v>24.134521011022695</v>
      </c>
      <c r="G257" s="3020">
        <v>139.36756723891145</v>
      </c>
      <c r="H257" s="3021">
        <v>163.51785540465863</v>
      </c>
      <c r="I257" s="3020">
        <v>186.69164871566323</v>
      </c>
      <c r="J257" s="2531">
        <v>173.30236287593274</v>
      </c>
      <c r="K257" s="1543">
        <v>205.35879202897075</v>
      </c>
      <c r="L257" s="1826">
        <v>205.53563289970768</v>
      </c>
      <c r="M257" s="1826">
        <v>177.32591344469262</v>
      </c>
      <c r="N257" s="1826">
        <v>188.98988017166664</v>
      </c>
      <c r="O257" s="1826">
        <v>141.56350072785111</v>
      </c>
      <c r="P257" s="1826">
        <v>158.50702274355729</v>
      </c>
      <c r="Q257" s="1826">
        <v>135.83210374631054</v>
      </c>
      <c r="R257" s="1826">
        <v>199.7247342822495</v>
      </c>
      <c r="S257" s="1826">
        <v>174.32107053839943</v>
      </c>
      <c r="T257" s="3018">
        <v>111.31008348890282</v>
      </c>
    </row>
    <row r="258" spans="1:20">
      <c r="A258" s="483">
        <f t="shared" si="7"/>
        <v>2024.09</v>
      </c>
      <c r="B258" s="1230">
        <v>140.69999999999999</v>
      </c>
      <c r="C258" s="3019">
        <f t="shared" si="6"/>
        <v>-3.2989690721649589E-2</v>
      </c>
      <c r="D258" s="3506">
        <v>8.8498524640168164E-3</v>
      </c>
      <c r="E258" s="1544">
        <v>29.441314644285217</v>
      </c>
      <c r="F258" s="3020">
        <v>29.317654305640843</v>
      </c>
      <c r="G258" s="3020">
        <v>151.1400255365719</v>
      </c>
      <c r="H258" s="3020">
        <v>159.26784527646075</v>
      </c>
      <c r="I258" s="3020">
        <v>190.57436192939696</v>
      </c>
      <c r="J258" s="2531">
        <v>170.64566360462635</v>
      </c>
      <c r="K258" s="1543">
        <v>196.31057197932086</v>
      </c>
      <c r="L258" s="1826">
        <v>207.83769057739124</v>
      </c>
      <c r="M258" s="1826">
        <v>163.78818577798205</v>
      </c>
      <c r="N258" s="1826">
        <v>236.18491690544437</v>
      </c>
      <c r="O258" s="1826">
        <v>134.80447889318341</v>
      </c>
      <c r="P258" s="1826">
        <v>155.79425992057656</v>
      </c>
      <c r="Q258" s="1826">
        <v>135.77716947063143</v>
      </c>
      <c r="R258" s="1826">
        <v>199.66661671641901</v>
      </c>
      <c r="S258" s="1826">
        <v>173.15548301448223</v>
      </c>
      <c r="T258" s="3018">
        <v>118.23646893292548</v>
      </c>
    </row>
    <row r="259" spans="1:20">
      <c r="A259" s="483">
        <f>A247+1</f>
        <v>2024.1</v>
      </c>
      <c r="B259" s="1230">
        <v>142.80000000000001</v>
      </c>
      <c r="C259" s="3019">
        <f t="shared" si="6"/>
        <v>1.4925373134328623E-2</v>
      </c>
      <c r="D259" s="3506">
        <v>1.5057493225663299E-2</v>
      </c>
      <c r="E259" s="1544">
        <v>31.691564849518389</v>
      </c>
      <c r="F259" s="3020">
        <v>34.358295963293557</v>
      </c>
      <c r="G259" s="3020">
        <v>157.55867742248228</v>
      </c>
      <c r="H259" s="3020">
        <v>147.60488492297276</v>
      </c>
      <c r="I259" s="3020">
        <v>193.52780554508632</v>
      </c>
      <c r="J259" s="2531">
        <v>175.11065935665115</v>
      </c>
      <c r="K259" s="1543">
        <v>211.65204637882087</v>
      </c>
      <c r="L259" s="1826">
        <v>210.70924360224961</v>
      </c>
      <c r="M259" s="1826">
        <v>161.11034832420972</v>
      </c>
      <c r="N259" s="1826">
        <v>355.67874984074575</v>
      </c>
      <c r="O259" s="1826">
        <v>127.43425845336638</v>
      </c>
      <c r="P259" s="1826">
        <v>155.94358162524475</v>
      </c>
      <c r="Q259" s="1826">
        <v>135.70498359277681</v>
      </c>
      <c r="R259" s="1826">
        <v>201.15292254095689</v>
      </c>
      <c r="S259" s="1826">
        <v>181.90796844074899</v>
      </c>
      <c r="T259" s="3018">
        <v>131.1591840422646</v>
      </c>
    </row>
    <row r="260" spans="1:20">
      <c r="A260" s="483">
        <f t="shared" si="7"/>
        <v>2024.11</v>
      </c>
      <c r="B260" s="1230">
        <v>158.80000000000001</v>
      </c>
      <c r="C260" s="3019">
        <f t="shared" si="6"/>
        <v>0.11204481792717091</v>
      </c>
      <c r="D260" s="3506">
        <v>9.1221918044015027E-2</v>
      </c>
      <c r="E260" s="1544">
        <v>94.906945439668547</v>
      </c>
      <c r="F260" s="3020">
        <v>26.832956386055866</v>
      </c>
      <c r="G260" s="3020">
        <v>140.37522656723712</v>
      </c>
      <c r="H260" s="3020">
        <v>155.09660631108787</v>
      </c>
      <c r="I260" s="3020">
        <v>176.58488390960252</v>
      </c>
      <c r="J260" s="2531">
        <v>179.17979798324285</v>
      </c>
      <c r="K260" s="1543">
        <v>205.88118648707598</v>
      </c>
      <c r="L260" s="1826">
        <v>214.60382228451965</v>
      </c>
      <c r="M260" s="1826">
        <v>174.74174449472216</v>
      </c>
      <c r="N260" s="1826">
        <v>461.87644364787997</v>
      </c>
      <c r="O260" s="1826">
        <v>120.24397228910726</v>
      </c>
      <c r="P260" s="1826">
        <v>156.25785592140835</v>
      </c>
      <c r="Q260" s="1826">
        <v>133.06899218661431</v>
      </c>
      <c r="R260" s="1826">
        <v>202.05402741076134</v>
      </c>
      <c r="S260" s="1826">
        <v>178.69574271119313</v>
      </c>
      <c r="T260" s="3018">
        <v>138.32064410201147</v>
      </c>
    </row>
    <row r="261" spans="1:20">
      <c r="A261" s="483">
        <f t="shared" si="7"/>
        <v>2024.12</v>
      </c>
      <c r="B261" s="1230">
        <v>159.1</v>
      </c>
      <c r="C261" s="3019">
        <f t="shared" si="6"/>
        <v>1.8891687657429657E-3</v>
      </c>
      <c r="D261" s="3506">
        <v>0.12220010327125586</v>
      </c>
      <c r="E261" s="1544">
        <v>75.77327507273246</v>
      </c>
      <c r="F261" s="3020">
        <v>20.153660903300505</v>
      </c>
      <c r="G261" s="3020">
        <v>128.85419011764228</v>
      </c>
      <c r="H261" s="3020">
        <v>145.35086574847986</v>
      </c>
      <c r="I261" s="3020">
        <v>173.6330357235187</v>
      </c>
      <c r="J261" s="2531">
        <v>220.40265111969114</v>
      </c>
      <c r="K261" s="1543">
        <v>226.92054117481564</v>
      </c>
      <c r="L261" s="1826">
        <v>203.36217781688998</v>
      </c>
      <c r="M261" s="1826">
        <v>168.3520877901571</v>
      </c>
      <c r="N261" s="1826">
        <v>543.83494380867887</v>
      </c>
      <c r="O261" s="1826">
        <v>126.10556901693943</v>
      </c>
      <c r="P261" s="1826">
        <v>156.38815125235675</v>
      </c>
      <c r="Q261" s="1826">
        <v>132.20016390103436</v>
      </c>
      <c r="R261" s="1826">
        <v>201.15664694537264</v>
      </c>
      <c r="S261" s="1826">
        <v>176.75413603361505</v>
      </c>
      <c r="T261" s="3018">
        <v>142.7193278509024</v>
      </c>
    </row>
    <row r="262" spans="1:20">
      <c r="A262" s="483">
        <f t="shared" si="7"/>
        <v>2025.01</v>
      </c>
      <c r="B262" s="1230">
        <v>137.69999999999999</v>
      </c>
      <c r="C262" s="3019">
        <f t="shared" si="6"/>
        <v>-0.1345065996228787</v>
      </c>
      <c r="D262" s="3506">
        <v>0.10881704633139933</v>
      </c>
      <c r="E262" s="1544">
        <v>46.139103518574679</v>
      </c>
      <c r="F262" s="3020">
        <v>20.732533178472622</v>
      </c>
      <c r="G262" s="3020">
        <v>100.65446829686337</v>
      </c>
      <c r="H262" s="3020">
        <v>135.82262109369819</v>
      </c>
      <c r="I262" s="3020">
        <v>217.9608310394762</v>
      </c>
      <c r="J262" s="2531">
        <v>165.78929687528625</v>
      </c>
      <c r="K262" s="1543">
        <v>189.10412408896804</v>
      </c>
      <c r="L262" s="1826">
        <v>198.11185925409305</v>
      </c>
      <c r="M262" s="1826">
        <v>158.48715226781809</v>
      </c>
      <c r="N262" s="1826">
        <v>298.93008528961468</v>
      </c>
      <c r="O262" s="1826">
        <v>133.52062602060599</v>
      </c>
      <c r="P262" s="1826">
        <v>161.50955204908317</v>
      </c>
      <c r="Q262" s="1826">
        <v>131.26224439692004</v>
      </c>
      <c r="R262" s="1826">
        <v>202.85289109159072</v>
      </c>
      <c r="S262" s="1826">
        <v>177.55356721916621</v>
      </c>
      <c r="T262" s="3018">
        <v>165.88316631279889</v>
      </c>
    </row>
    <row r="263" spans="1:20">
      <c r="A263" s="483">
        <f t="shared" si="7"/>
        <v>2025.02</v>
      </c>
      <c r="B263" s="1230">
        <v>135.5</v>
      </c>
      <c r="C263" s="3019">
        <f t="shared" si="6"/>
        <v>-1.5976761074800172E-2</v>
      </c>
      <c r="D263" s="3506">
        <v>5.8865458668069026E-2</v>
      </c>
      <c r="E263" s="1544">
        <v>59.868296980987566</v>
      </c>
      <c r="F263" s="3020">
        <v>13.447648238614123</v>
      </c>
      <c r="G263" s="3020">
        <v>104.86870410582934</v>
      </c>
      <c r="H263" s="3020">
        <v>126.1920844365642</v>
      </c>
      <c r="I263" s="3020">
        <v>202.88747242488921</v>
      </c>
      <c r="J263" s="2531">
        <v>155.74703300799845</v>
      </c>
      <c r="K263" s="1543">
        <v>178.21547482108548</v>
      </c>
      <c r="L263" s="1826">
        <v>197.00576023533375</v>
      </c>
      <c r="M263" s="1826">
        <v>154.20391136158594</v>
      </c>
      <c r="N263" s="1826">
        <v>308.56764102796103</v>
      </c>
      <c r="O263" s="1826">
        <v>138.33196741098538</v>
      </c>
      <c r="P263" s="1826">
        <v>159.52737044371514</v>
      </c>
      <c r="Q263" s="1826">
        <v>130.9205059438743</v>
      </c>
      <c r="R263" s="1826">
        <v>201.18581434773955</v>
      </c>
      <c r="S263" s="1826">
        <v>173.86648983602393</v>
      </c>
      <c r="T263" s="3018">
        <v>159.18951808336433</v>
      </c>
    </row>
    <row r="264" spans="1:20">
      <c r="A264" s="483">
        <f t="shared" si="7"/>
        <v>2025.03</v>
      </c>
      <c r="B264" s="1230">
        <v>192.6</v>
      </c>
      <c r="C264" s="3019">
        <f t="shared" si="6"/>
        <v>0.42140221402214029</v>
      </c>
      <c r="D264" s="3506">
        <v>6.3E-2</v>
      </c>
      <c r="E264" s="1544">
        <v>302.41028286215283</v>
      </c>
      <c r="F264" s="3020">
        <v>19.904300538610975</v>
      </c>
      <c r="G264" s="3020">
        <v>163.74918791908962</v>
      </c>
      <c r="H264" s="3020">
        <v>135.79502165014139</v>
      </c>
      <c r="I264" s="3020">
        <v>216.8307829996551</v>
      </c>
      <c r="J264" s="2531">
        <v>170.61369258173949</v>
      </c>
      <c r="K264" s="1543">
        <v>192.06704308651581</v>
      </c>
      <c r="L264" s="1826">
        <v>206.01132847327278</v>
      </c>
      <c r="M264" s="1826">
        <v>191.95417849670929</v>
      </c>
      <c r="N264" s="1826">
        <v>335.32687144432754</v>
      </c>
      <c r="O264" s="1826">
        <v>140.16760585163573</v>
      </c>
      <c r="P264" s="1826">
        <v>160.30091512831589</v>
      </c>
      <c r="Q264" s="1826">
        <v>131.30790219740405</v>
      </c>
      <c r="R264" s="1826">
        <v>202.19797243419686</v>
      </c>
      <c r="S264" s="1826">
        <v>163.67266768918174</v>
      </c>
      <c r="T264" s="3018">
        <v>149.61351625813322</v>
      </c>
    </row>
    <row r="265" spans="1:20">
      <c r="A265" s="483">
        <f t="shared" si="7"/>
        <v>2025.04</v>
      </c>
      <c r="B265" s="1230" t="e">
        <v>#N/A</v>
      </c>
      <c r="C265" s="3019" t="e">
        <f t="shared" si="6"/>
        <v>#N/A</v>
      </c>
      <c r="D265" s="1703" t="e">
        <v>#N/A</v>
      </c>
      <c r="E265" s="1544" t="e">
        <v>#N/A</v>
      </c>
      <c r="F265" s="3020" t="e">
        <v>#N/A</v>
      </c>
      <c r="G265" s="3020" t="e">
        <v>#N/A</v>
      </c>
      <c r="H265" s="3020" t="e">
        <v>#N/A</v>
      </c>
      <c r="I265" s="3020" t="e">
        <v>#N/A</v>
      </c>
      <c r="J265" s="2531" t="e">
        <v>#N/A</v>
      </c>
      <c r="K265" s="1543" t="e">
        <v>#N/A</v>
      </c>
      <c r="L265" s="1826" t="e">
        <v>#N/A</v>
      </c>
      <c r="M265" s="1826" t="e">
        <v>#N/A</v>
      </c>
      <c r="N265" s="1826" t="e">
        <v>#N/A</v>
      </c>
      <c r="O265" s="1826" t="e">
        <v>#N/A</v>
      </c>
      <c r="P265" s="1826" t="e">
        <v>#N/A</v>
      </c>
      <c r="Q265" s="1826" t="e">
        <v>#N/A</v>
      </c>
      <c r="R265" s="1826" t="e">
        <v>#N/A</v>
      </c>
      <c r="S265" s="1826" t="e">
        <v>#N/A</v>
      </c>
      <c r="T265" s="3018" t="e">
        <v>#N/A</v>
      </c>
    </row>
    <row r="266" spans="1:20">
      <c r="A266" s="483">
        <f t="shared" si="7"/>
        <v>2025.05</v>
      </c>
      <c r="B266" s="1230" t="e">
        <v>#N/A</v>
      </c>
      <c r="C266" s="3019" t="e">
        <f t="shared" si="6"/>
        <v>#N/A</v>
      </c>
      <c r="D266" s="1703" t="e">
        <v>#N/A</v>
      </c>
      <c r="E266" s="1544" t="e">
        <v>#N/A</v>
      </c>
      <c r="F266" s="3020" t="e">
        <v>#N/A</v>
      </c>
      <c r="G266" s="3020" t="e">
        <v>#N/A</v>
      </c>
      <c r="H266" s="3020" t="e">
        <v>#N/A</v>
      </c>
      <c r="I266" s="3020" t="e">
        <v>#N/A</v>
      </c>
      <c r="J266" s="2531" t="e">
        <v>#N/A</v>
      </c>
      <c r="K266" s="1543" t="e">
        <v>#N/A</v>
      </c>
      <c r="L266" s="1826" t="e">
        <v>#N/A</v>
      </c>
      <c r="M266" s="1826" t="e">
        <v>#N/A</v>
      </c>
      <c r="N266" s="1826" t="e">
        <v>#N/A</v>
      </c>
      <c r="O266" s="1826" t="e">
        <v>#N/A</v>
      </c>
      <c r="P266" s="1826" t="e">
        <v>#N/A</v>
      </c>
      <c r="Q266" s="1826" t="e">
        <v>#N/A</v>
      </c>
      <c r="R266" s="1826" t="e">
        <v>#N/A</v>
      </c>
      <c r="S266" s="1826" t="e">
        <v>#N/A</v>
      </c>
      <c r="T266" s="3018" t="e">
        <v>#N/A</v>
      </c>
    </row>
    <row r="267" spans="1:20">
      <c r="A267" s="483">
        <f t="shared" si="7"/>
        <v>2025.06</v>
      </c>
      <c r="B267" s="1230" t="e">
        <v>#N/A</v>
      </c>
      <c r="C267" s="3019" t="e">
        <f t="shared" si="6"/>
        <v>#N/A</v>
      </c>
      <c r="D267" s="1703" t="e">
        <v>#N/A</v>
      </c>
      <c r="E267" s="1544" t="e">
        <v>#N/A</v>
      </c>
      <c r="F267" s="3020" t="e">
        <v>#N/A</v>
      </c>
      <c r="G267" s="3020" t="e">
        <v>#N/A</v>
      </c>
      <c r="H267" s="3020" t="e">
        <v>#N/A</v>
      </c>
      <c r="I267" s="3020" t="e">
        <v>#N/A</v>
      </c>
      <c r="J267" s="2531" t="e">
        <v>#N/A</v>
      </c>
      <c r="K267" s="1543" t="e">
        <v>#N/A</v>
      </c>
      <c r="L267" s="1826" t="e">
        <v>#N/A</v>
      </c>
      <c r="M267" s="1826" t="e">
        <v>#N/A</v>
      </c>
      <c r="N267" s="1826" t="e">
        <v>#N/A</v>
      </c>
      <c r="O267" s="1826" t="e">
        <v>#N/A</v>
      </c>
      <c r="P267" s="1826" t="e">
        <v>#N/A</v>
      </c>
      <c r="Q267" s="1826" t="e">
        <v>#N/A</v>
      </c>
      <c r="R267" s="1826" t="e">
        <v>#N/A</v>
      </c>
      <c r="S267" s="1826" t="e">
        <v>#N/A</v>
      </c>
      <c r="T267" s="3018" t="e">
        <v>#N/A</v>
      </c>
    </row>
    <row r="268" spans="1:20">
      <c r="A268" s="483">
        <f t="shared" si="7"/>
        <v>2025.07</v>
      </c>
      <c r="B268" s="1230" t="e">
        <v>#N/A</v>
      </c>
      <c r="C268" s="3019" t="e">
        <f t="shared" si="6"/>
        <v>#N/A</v>
      </c>
      <c r="D268" s="1703" t="e">
        <v>#N/A</v>
      </c>
      <c r="E268" s="1544" t="e">
        <v>#N/A</v>
      </c>
      <c r="F268" s="3020" t="e">
        <v>#N/A</v>
      </c>
      <c r="G268" s="3020" t="e">
        <v>#N/A</v>
      </c>
      <c r="H268" s="3020" t="e">
        <v>#N/A</v>
      </c>
      <c r="I268" s="3020" t="e">
        <v>#N/A</v>
      </c>
      <c r="J268" s="2531" t="e">
        <v>#N/A</v>
      </c>
      <c r="K268" s="1543" t="e">
        <v>#N/A</v>
      </c>
      <c r="L268" s="1826" t="e">
        <v>#N/A</v>
      </c>
      <c r="M268" s="1826" t="e">
        <v>#N/A</v>
      </c>
      <c r="N268" s="1826" t="e">
        <v>#N/A</v>
      </c>
      <c r="O268" s="1826" t="e">
        <v>#N/A</v>
      </c>
      <c r="P268" s="1826" t="e">
        <v>#N/A</v>
      </c>
      <c r="Q268" s="1826" t="e">
        <v>#N/A</v>
      </c>
      <c r="R268" s="1826" t="e">
        <v>#N/A</v>
      </c>
      <c r="S268" s="1826" t="e">
        <v>#N/A</v>
      </c>
      <c r="T268" s="3018" t="e">
        <v>#N/A</v>
      </c>
    </row>
    <row r="269" spans="1:20">
      <c r="A269" s="483">
        <f t="shared" si="7"/>
        <v>2025.08</v>
      </c>
      <c r="B269" s="1230" t="e">
        <v>#N/A</v>
      </c>
      <c r="C269" s="3019" t="e">
        <f t="shared" ref="C269:C332" si="8">B269/B268-1</f>
        <v>#N/A</v>
      </c>
      <c r="D269" s="1703" t="e">
        <v>#N/A</v>
      </c>
      <c r="E269" s="1544" t="e">
        <v>#N/A</v>
      </c>
      <c r="F269" s="3020" t="e">
        <v>#N/A</v>
      </c>
      <c r="G269" s="3020" t="e">
        <v>#N/A</v>
      </c>
      <c r="H269" s="3020" t="e">
        <v>#N/A</v>
      </c>
      <c r="I269" s="3020" t="e">
        <v>#N/A</v>
      </c>
      <c r="J269" s="2531" t="e">
        <v>#N/A</v>
      </c>
      <c r="K269" s="1543" t="e">
        <v>#N/A</v>
      </c>
      <c r="L269" s="1826" t="e">
        <v>#N/A</v>
      </c>
      <c r="M269" s="1826" t="e">
        <v>#N/A</v>
      </c>
      <c r="N269" s="1826" t="e">
        <v>#N/A</v>
      </c>
      <c r="O269" s="1826" t="e">
        <v>#N/A</v>
      </c>
      <c r="P269" s="1826" t="e">
        <v>#N/A</v>
      </c>
      <c r="Q269" s="1826" t="e">
        <v>#N/A</v>
      </c>
      <c r="R269" s="1826" t="e">
        <v>#N/A</v>
      </c>
      <c r="S269" s="1826" t="e">
        <v>#N/A</v>
      </c>
      <c r="T269" s="3018" t="e">
        <v>#N/A</v>
      </c>
    </row>
    <row r="270" spans="1:20">
      <c r="A270" s="483">
        <f t="shared" si="7"/>
        <v>2025.09</v>
      </c>
      <c r="B270" s="1230" t="e">
        <v>#N/A</v>
      </c>
      <c r="C270" s="3019" t="e">
        <f t="shared" si="8"/>
        <v>#N/A</v>
      </c>
      <c r="D270" s="1703" t="e">
        <v>#N/A</v>
      </c>
      <c r="E270" s="1544" t="e">
        <v>#N/A</v>
      </c>
      <c r="F270" s="3020" t="e">
        <v>#N/A</v>
      </c>
      <c r="G270" s="3020" t="e">
        <v>#N/A</v>
      </c>
      <c r="H270" s="3020" t="e">
        <v>#N/A</v>
      </c>
      <c r="I270" s="3020" t="e">
        <v>#N/A</v>
      </c>
      <c r="J270" s="2531" t="e">
        <v>#N/A</v>
      </c>
      <c r="K270" s="1543" t="e">
        <v>#N/A</v>
      </c>
      <c r="L270" s="1826" t="e">
        <v>#N/A</v>
      </c>
      <c r="M270" s="1826" t="e">
        <v>#N/A</v>
      </c>
      <c r="N270" s="1826" t="e">
        <v>#N/A</v>
      </c>
      <c r="O270" s="1826" t="e">
        <v>#N/A</v>
      </c>
      <c r="P270" s="1826" t="e">
        <v>#N/A</v>
      </c>
      <c r="Q270" s="1826" t="e">
        <v>#N/A</v>
      </c>
      <c r="R270" s="1826" t="e">
        <v>#N/A</v>
      </c>
      <c r="S270" s="1826" t="e">
        <v>#N/A</v>
      </c>
      <c r="T270" s="3018" t="e">
        <v>#N/A</v>
      </c>
    </row>
    <row r="271" spans="1:20">
      <c r="A271" s="483">
        <f t="shared" si="7"/>
        <v>2025.1</v>
      </c>
      <c r="B271" s="1230" t="e">
        <v>#N/A</v>
      </c>
      <c r="C271" s="3019" t="e">
        <f t="shared" si="8"/>
        <v>#N/A</v>
      </c>
      <c r="D271" s="1703" t="e">
        <v>#N/A</v>
      </c>
      <c r="E271" s="1544" t="e">
        <v>#N/A</v>
      </c>
      <c r="F271" s="3020" t="e">
        <v>#N/A</v>
      </c>
      <c r="G271" s="3020" t="e">
        <v>#N/A</v>
      </c>
      <c r="H271" s="3020" t="e">
        <v>#N/A</v>
      </c>
      <c r="I271" s="3020" t="e">
        <v>#N/A</v>
      </c>
      <c r="J271" s="2531" t="e">
        <v>#N/A</v>
      </c>
      <c r="K271" s="1543" t="e">
        <v>#N/A</v>
      </c>
      <c r="L271" s="1826" t="e">
        <v>#N/A</v>
      </c>
      <c r="M271" s="1826" t="e">
        <v>#N/A</v>
      </c>
      <c r="N271" s="1826" t="e">
        <v>#N/A</v>
      </c>
      <c r="O271" s="1826" t="e">
        <v>#N/A</v>
      </c>
      <c r="P271" s="1826" t="e">
        <v>#N/A</v>
      </c>
      <c r="Q271" s="1826" t="e">
        <v>#N/A</v>
      </c>
      <c r="R271" s="1826" t="e">
        <v>#N/A</v>
      </c>
      <c r="S271" s="1826" t="e">
        <v>#N/A</v>
      </c>
      <c r="T271" s="3018" t="e">
        <v>#N/A</v>
      </c>
    </row>
    <row r="272" spans="1:20">
      <c r="A272" s="483">
        <f t="shared" si="7"/>
        <v>2025.11</v>
      </c>
      <c r="B272" s="1230" t="e">
        <v>#N/A</v>
      </c>
      <c r="C272" s="3019" t="e">
        <f t="shared" si="8"/>
        <v>#N/A</v>
      </c>
      <c r="D272" s="1703" t="e">
        <v>#N/A</v>
      </c>
      <c r="E272" s="1544" t="e">
        <v>#N/A</v>
      </c>
      <c r="F272" s="3020" t="e">
        <v>#N/A</v>
      </c>
      <c r="G272" s="3020" t="e">
        <v>#N/A</v>
      </c>
      <c r="H272" s="3020" t="e">
        <v>#N/A</v>
      </c>
      <c r="I272" s="3020" t="e">
        <v>#N/A</v>
      </c>
      <c r="J272" s="2531" t="e">
        <v>#N/A</v>
      </c>
      <c r="K272" s="1543" t="e">
        <v>#N/A</v>
      </c>
      <c r="L272" s="1826" t="e">
        <v>#N/A</v>
      </c>
      <c r="M272" s="1826" t="e">
        <v>#N/A</v>
      </c>
      <c r="N272" s="1826" t="e">
        <v>#N/A</v>
      </c>
      <c r="O272" s="1826" t="e">
        <v>#N/A</v>
      </c>
      <c r="P272" s="1826" t="e">
        <v>#N/A</v>
      </c>
      <c r="Q272" s="1826" t="e">
        <v>#N/A</v>
      </c>
      <c r="R272" s="1826" t="e">
        <v>#N/A</v>
      </c>
      <c r="S272" s="1826" t="e">
        <v>#N/A</v>
      </c>
      <c r="T272" s="3018" t="e">
        <v>#N/A</v>
      </c>
    </row>
    <row r="273" spans="1:20">
      <c r="A273" s="483">
        <f t="shared" si="7"/>
        <v>2025.12</v>
      </c>
      <c r="B273" s="1230" t="e">
        <v>#N/A</v>
      </c>
      <c r="C273" s="3019" t="e">
        <f t="shared" si="8"/>
        <v>#N/A</v>
      </c>
      <c r="D273" s="1703" t="e">
        <v>#N/A</v>
      </c>
      <c r="E273" s="1544" t="e">
        <v>#N/A</v>
      </c>
      <c r="F273" s="3020" t="e">
        <v>#N/A</v>
      </c>
      <c r="G273" s="3020" t="e">
        <v>#N/A</v>
      </c>
      <c r="H273" s="3020" t="e">
        <v>#N/A</v>
      </c>
      <c r="I273" s="3020" t="e">
        <v>#N/A</v>
      </c>
      <c r="J273" s="2531" t="e">
        <v>#N/A</v>
      </c>
      <c r="K273" s="1543" t="e">
        <v>#N/A</v>
      </c>
      <c r="L273" s="1826" t="e">
        <v>#N/A</v>
      </c>
      <c r="M273" s="1826" t="e">
        <v>#N/A</v>
      </c>
      <c r="N273" s="1826" t="e">
        <v>#N/A</v>
      </c>
      <c r="O273" s="1826" t="e">
        <v>#N/A</v>
      </c>
      <c r="P273" s="1826" t="e">
        <v>#N/A</v>
      </c>
      <c r="Q273" s="1826" t="e">
        <v>#N/A</v>
      </c>
      <c r="R273" s="1826" t="e">
        <v>#N/A</v>
      </c>
      <c r="S273" s="1826" t="e">
        <v>#N/A</v>
      </c>
      <c r="T273" s="3018" t="e">
        <v>#N/A</v>
      </c>
    </row>
    <row r="274" spans="1:20">
      <c r="A274" s="483">
        <f t="shared" si="7"/>
        <v>2026.01</v>
      </c>
      <c r="B274" s="1230" t="e">
        <v>#N/A</v>
      </c>
      <c r="C274" s="3019" t="e">
        <f t="shared" si="8"/>
        <v>#N/A</v>
      </c>
      <c r="D274" s="1703" t="e">
        <v>#N/A</v>
      </c>
      <c r="E274" s="1544" t="e">
        <v>#N/A</v>
      </c>
      <c r="F274" s="3020" t="e">
        <v>#N/A</v>
      </c>
      <c r="G274" s="3020" t="e">
        <v>#N/A</v>
      </c>
      <c r="H274" s="3020" t="e">
        <v>#N/A</v>
      </c>
      <c r="I274" s="3020" t="e">
        <v>#N/A</v>
      </c>
      <c r="J274" s="2531" t="e">
        <v>#N/A</v>
      </c>
      <c r="K274" s="1543" t="e">
        <v>#N/A</v>
      </c>
      <c r="L274" s="1826" t="e">
        <v>#N/A</v>
      </c>
      <c r="M274" s="1826" t="e">
        <v>#N/A</v>
      </c>
      <c r="N274" s="1826" t="e">
        <v>#N/A</v>
      </c>
      <c r="O274" s="1826" t="e">
        <v>#N/A</v>
      </c>
      <c r="P274" s="1826" t="e">
        <v>#N/A</v>
      </c>
      <c r="Q274" s="1826" t="e">
        <v>#N/A</v>
      </c>
      <c r="R274" s="1826" t="e">
        <v>#N/A</v>
      </c>
      <c r="S274" s="1826" t="e">
        <v>#N/A</v>
      </c>
      <c r="T274" s="3018" t="e">
        <v>#N/A</v>
      </c>
    </row>
    <row r="275" spans="1:20">
      <c r="A275" s="483">
        <f t="shared" si="7"/>
        <v>2026.02</v>
      </c>
      <c r="B275" s="1230" t="e">
        <v>#N/A</v>
      </c>
      <c r="C275" s="3019" t="e">
        <f t="shared" si="8"/>
        <v>#N/A</v>
      </c>
      <c r="D275" s="1703" t="e">
        <v>#N/A</v>
      </c>
      <c r="E275" s="1544" t="e">
        <v>#N/A</v>
      </c>
      <c r="F275" s="3020" t="e">
        <v>#N/A</v>
      </c>
      <c r="G275" s="3020" t="e">
        <v>#N/A</v>
      </c>
      <c r="H275" s="3020" t="e">
        <v>#N/A</v>
      </c>
      <c r="I275" s="3020" t="e">
        <v>#N/A</v>
      </c>
      <c r="J275" s="2531" t="e">
        <v>#N/A</v>
      </c>
      <c r="K275" s="1543" t="e">
        <v>#N/A</v>
      </c>
      <c r="L275" s="1826" t="e">
        <v>#N/A</v>
      </c>
      <c r="M275" s="1826" t="e">
        <v>#N/A</v>
      </c>
      <c r="N275" s="1826" t="e">
        <v>#N/A</v>
      </c>
      <c r="O275" s="1826" t="e">
        <v>#N/A</v>
      </c>
      <c r="P275" s="1826" t="e">
        <v>#N/A</v>
      </c>
      <c r="Q275" s="1826" t="e">
        <v>#N/A</v>
      </c>
      <c r="R275" s="1826" t="e">
        <v>#N/A</v>
      </c>
      <c r="S275" s="1826" t="e">
        <v>#N/A</v>
      </c>
      <c r="T275" s="3018" t="e">
        <v>#N/A</v>
      </c>
    </row>
    <row r="276" spans="1:20">
      <c r="A276" s="483">
        <f t="shared" si="7"/>
        <v>2026.03</v>
      </c>
      <c r="B276" s="1230" t="e">
        <v>#N/A</v>
      </c>
      <c r="C276" s="3019" t="e">
        <f t="shared" si="8"/>
        <v>#N/A</v>
      </c>
      <c r="D276" s="1703" t="e">
        <v>#N/A</v>
      </c>
      <c r="E276" s="1544" t="e">
        <v>#N/A</v>
      </c>
      <c r="F276" s="3020" t="e">
        <v>#N/A</v>
      </c>
      <c r="G276" s="3020" t="e">
        <v>#N/A</v>
      </c>
      <c r="H276" s="3020" t="e">
        <v>#N/A</v>
      </c>
      <c r="I276" s="3020" t="e">
        <v>#N/A</v>
      </c>
      <c r="J276" s="2531" t="e">
        <v>#N/A</v>
      </c>
      <c r="K276" s="1543" t="e">
        <v>#N/A</v>
      </c>
      <c r="L276" s="1826" t="e">
        <v>#N/A</v>
      </c>
      <c r="M276" s="1826" t="e">
        <v>#N/A</v>
      </c>
      <c r="N276" s="1826" t="e">
        <v>#N/A</v>
      </c>
      <c r="O276" s="1826" t="e">
        <v>#N/A</v>
      </c>
      <c r="P276" s="1826" t="e">
        <v>#N/A</v>
      </c>
      <c r="Q276" s="1826" t="e">
        <v>#N/A</v>
      </c>
      <c r="R276" s="1826" t="e">
        <v>#N/A</v>
      </c>
      <c r="S276" s="1826" t="e">
        <v>#N/A</v>
      </c>
      <c r="T276" s="3018" t="e">
        <v>#N/A</v>
      </c>
    </row>
    <row r="277" spans="1:20">
      <c r="A277" s="483">
        <f t="shared" si="7"/>
        <v>2026.04</v>
      </c>
      <c r="B277" s="1230" t="e">
        <v>#N/A</v>
      </c>
      <c r="C277" s="3019" t="e">
        <f t="shared" si="8"/>
        <v>#N/A</v>
      </c>
      <c r="D277" s="1703" t="e">
        <v>#N/A</v>
      </c>
      <c r="E277" s="1544" t="e">
        <v>#N/A</v>
      </c>
      <c r="F277" s="3020" t="e">
        <v>#N/A</v>
      </c>
      <c r="G277" s="3020" t="e">
        <v>#N/A</v>
      </c>
      <c r="H277" s="3020" t="e">
        <v>#N/A</v>
      </c>
      <c r="I277" s="3020" t="e">
        <v>#N/A</v>
      </c>
      <c r="J277" s="2531" t="e">
        <v>#N/A</v>
      </c>
      <c r="K277" s="1543" t="e">
        <v>#N/A</v>
      </c>
      <c r="L277" s="1826" t="e">
        <v>#N/A</v>
      </c>
      <c r="M277" s="1826" t="e">
        <v>#N/A</v>
      </c>
      <c r="N277" s="1826" t="e">
        <v>#N/A</v>
      </c>
      <c r="O277" s="1826" t="e">
        <v>#N/A</v>
      </c>
      <c r="P277" s="1826" t="e">
        <v>#N/A</v>
      </c>
      <c r="Q277" s="1826" t="e">
        <v>#N/A</v>
      </c>
      <c r="R277" s="1826" t="e">
        <v>#N/A</v>
      </c>
      <c r="S277" s="1826" t="e">
        <v>#N/A</v>
      </c>
      <c r="T277" s="3018" t="e">
        <v>#N/A</v>
      </c>
    </row>
    <row r="278" spans="1:20">
      <c r="A278" s="483">
        <f t="shared" si="7"/>
        <v>2026.05</v>
      </c>
      <c r="B278" s="1230" t="e">
        <v>#N/A</v>
      </c>
      <c r="C278" s="3019" t="e">
        <f t="shared" si="8"/>
        <v>#N/A</v>
      </c>
      <c r="D278" s="1703" t="e">
        <v>#N/A</v>
      </c>
      <c r="E278" s="1544" t="e">
        <v>#N/A</v>
      </c>
      <c r="F278" s="3020" t="e">
        <v>#N/A</v>
      </c>
      <c r="G278" s="3020" t="e">
        <v>#N/A</v>
      </c>
      <c r="H278" s="3020" t="e">
        <v>#N/A</v>
      </c>
      <c r="I278" s="3020" t="e">
        <v>#N/A</v>
      </c>
      <c r="J278" s="2531" t="e">
        <v>#N/A</v>
      </c>
      <c r="K278" s="1543" t="e">
        <v>#N/A</v>
      </c>
      <c r="L278" s="1826" t="e">
        <v>#N/A</v>
      </c>
      <c r="M278" s="1826" t="e">
        <v>#N/A</v>
      </c>
      <c r="N278" s="1826" t="e">
        <v>#N/A</v>
      </c>
      <c r="O278" s="1826" t="e">
        <v>#N/A</v>
      </c>
      <c r="P278" s="1826" t="e">
        <v>#N/A</v>
      </c>
      <c r="Q278" s="1826" t="e">
        <v>#N/A</v>
      </c>
      <c r="R278" s="1826" t="e">
        <v>#N/A</v>
      </c>
      <c r="S278" s="1826" t="e">
        <v>#N/A</v>
      </c>
      <c r="T278" s="3018" t="e">
        <v>#N/A</v>
      </c>
    </row>
    <row r="279" spans="1:20">
      <c r="A279" s="483">
        <f t="shared" si="7"/>
        <v>2026.06</v>
      </c>
      <c r="B279" s="1230" t="e">
        <v>#N/A</v>
      </c>
      <c r="C279" s="3019" t="e">
        <f t="shared" si="8"/>
        <v>#N/A</v>
      </c>
      <c r="D279" s="1703" t="e">
        <v>#N/A</v>
      </c>
      <c r="E279" s="1544" t="e">
        <v>#N/A</v>
      </c>
      <c r="F279" s="3020" t="e">
        <v>#N/A</v>
      </c>
      <c r="G279" s="3020" t="e">
        <v>#N/A</v>
      </c>
      <c r="H279" s="3020" t="e">
        <v>#N/A</v>
      </c>
      <c r="I279" s="3020" t="e">
        <v>#N/A</v>
      </c>
      <c r="J279" s="2531" t="e">
        <v>#N/A</v>
      </c>
      <c r="K279" s="1543" t="e">
        <v>#N/A</v>
      </c>
      <c r="L279" s="1826" t="e">
        <v>#N/A</v>
      </c>
      <c r="M279" s="1826" t="e">
        <v>#N/A</v>
      </c>
      <c r="N279" s="1826" t="e">
        <v>#N/A</v>
      </c>
      <c r="O279" s="1826" t="e">
        <v>#N/A</v>
      </c>
      <c r="P279" s="1826" t="e">
        <v>#N/A</v>
      </c>
      <c r="Q279" s="1826" t="e">
        <v>#N/A</v>
      </c>
      <c r="R279" s="1826" t="e">
        <v>#N/A</v>
      </c>
      <c r="S279" s="1826" t="e">
        <v>#N/A</v>
      </c>
      <c r="T279" s="3018" t="e">
        <v>#N/A</v>
      </c>
    </row>
    <row r="280" spans="1:20">
      <c r="A280" s="483">
        <f t="shared" si="7"/>
        <v>2026.07</v>
      </c>
      <c r="B280" s="1230" t="e">
        <v>#N/A</v>
      </c>
      <c r="C280" s="3019" t="e">
        <f t="shared" si="8"/>
        <v>#N/A</v>
      </c>
      <c r="D280" s="1703" t="e">
        <v>#N/A</v>
      </c>
      <c r="E280" s="1544" t="e">
        <v>#N/A</v>
      </c>
      <c r="F280" s="3020" t="e">
        <v>#N/A</v>
      </c>
      <c r="G280" s="3020" t="e">
        <v>#N/A</v>
      </c>
      <c r="H280" s="3020" t="e">
        <v>#N/A</v>
      </c>
      <c r="I280" s="3020" t="e">
        <v>#N/A</v>
      </c>
      <c r="J280" s="2531" t="e">
        <v>#N/A</v>
      </c>
      <c r="K280" s="1543" t="e">
        <v>#N/A</v>
      </c>
      <c r="L280" s="1826" t="e">
        <v>#N/A</v>
      </c>
      <c r="M280" s="1826" t="e">
        <v>#N/A</v>
      </c>
      <c r="N280" s="1826" t="e">
        <v>#N/A</v>
      </c>
      <c r="O280" s="1826" t="e">
        <v>#N/A</v>
      </c>
      <c r="P280" s="1826" t="e">
        <v>#N/A</v>
      </c>
      <c r="Q280" s="1826" t="e">
        <v>#N/A</v>
      </c>
      <c r="R280" s="1826" t="e">
        <v>#N/A</v>
      </c>
      <c r="S280" s="1826" t="e">
        <v>#N/A</v>
      </c>
      <c r="T280" s="3018" t="e">
        <v>#N/A</v>
      </c>
    </row>
    <row r="281" spans="1:20">
      <c r="A281" s="483">
        <f t="shared" si="7"/>
        <v>2026.08</v>
      </c>
      <c r="B281" s="1230" t="e">
        <v>#N/A</v>
      </c>
      <c r="C281" s="3019" t="e">
        <f t="shared" si="8"/>
        <v>#N/A</v>
      </c>
      <c r="D281" s="1703" t="e">
        <v>#N/A</v>
      </c>
      <c r="E281" s="1544" t="e">
        <v>#N/A</v>
      </c>
      <c r="F281" s="3020" t="e">
        <v>#N/A</v>
      </c>
      <c r="G281" s="3020" t="e">
        <v>#N/A</v>
      </c>
      <c r="H281" s="3020" t="e">
        <v>#N/A</v>
      </c>
      <c r="I281" s="3020" t="e">
        <v>#N/A</v>
      </c>
      <c r="J281" s="2531" t="e">
        <v>#N/A</v>
      </c>
      <c r="K281" s="1543" t="e">
        <v>#N/A</v>
      </c>
      <c r="L281" s="1826" t="e">
        <v>#N/A</v>
      </c>
      <c r="M281" s="1826" t="e">
        <v>#N/A</v>
      </c>
      <c r="N281" s="1826" t="e">
        <v>#N/A</v>
      </c>
      <c r="O281" s="1826" t="e">
        <v>#N/A</v>
      </c>
      <c r="P281" s="1826" t="e">
        <v>#N/A</v>
      </c>
      <c r="Q281" s="1826" t="e">
        <v>#N/A</v>
      </c>
      <c r="R281" s="1826" t="e">
        <v>#N/A</v>
      </c>
      <c r="S281" s="1826" t="e">
        <v>#N/A</v>
      </c>
      <c r="T281" s="3018" t="e">
        <v>#N/A</v>
      </c>
    </row>
    <row r="282" spans="1:20">
      <c r="A282" s="483">
        <f t="shared" si="7"/>
        <v>2026.09</v>
      </c>
      <c r="B282" s="1230" t="e">
        <v>#N/A</v>
      </c>
      <c r="C282" s="3019" t="e">
        <f t="shared" si="8"/>
        <v>#N/A</v>
      </c>
      <c r="D282" s="1703" t="e">
        <v>#N/A</v>
      </c>
      <c r="E282" s="1544" t="e">
        <v>#N/A</v>
      </c>
      <c r="F282" s="3020" t="e">
        <v>#N/A</v>
      </c>
      <c r="G282" s="3020" t="e">
        <v>#N/A</v>
      </c>
      <c r="H282" s="3020" t="e">
        <v>#N/A</v>
      </c>
      <c r="I282" s="3020" t="e">
        <v>#N/A</v>
      </c>
      <c r="J282" s="2531" t="e">
        <v>#N/A</v>
      </c>
      <c r="K282" s="1543" t="e">
        <v>#N/A</v>
      </c>
      <c r="L282" s="1826" t="e">
        <v>#N/A</v>
      </c>
      <c r="M282" s="1826" t="e">
        <v>#N/A</v>
      </c>
      <c r="N282" s="1826" t="e">
        <v>#N/A</v>
      </c>
      <c r="O282" s="1826" t="e">
        <v>#N/A</v>
      </c>
      <c r="P282" s="1826" t="e">
        <v>#N/A</v>
      </c>
      <c r="Q282" s="1826" t="e">
        <v>#N/A</v>
      </c>
      <c r="R282" s="1826" t="e">
        <v>#N/A</v>
      </c>
      <c r="S282" s="1826" t="e">
        <v>#N/A</v>
      </c>
      <c r="T282" s="3018" t="e">
        <v>#N/A</v>
      </c>
    </row>
    <row r="283" spans="1:20">
      <c r="A283" s="483">
        <f t="shared" si="7"/>
        <v>2026.1</v>
      </c>
      <c r="B283" s="1230" t="e">
        <v>#N/A</v>
      </c>
      <c r="C283" s="3019" t="e">
        <f t="shared" si="8"/>
        <v>#N/A</v>
      </c>
      <c r="D283" s="1703" t="e">
        <v>#N/A</v>
      </c>
      <c r="E283" s="1544" t="e">
        <v>#N/A</v>
      </c>
      <c r="F283" s="3020" t="e">
        <v>#N/A</v>
      </c>
      <c r="G283" s="3020" t="e">
        <v>#N/A</v>
      </c>
      <c r="H283" s="3020" t="e">
        <v>#N/A</v>
      </c>
      <c r="I283" s="3020" t="e">
        <v>#N/A</v>
      </c>
      <c r="J283" s="2531" t="e">
        <v>#N/A</v>
      </c>
      <c r="K283" s="1543" t="e">
        <v>#N/A</v>
      </c>
      <c r="L283" s="1826" t="e">
        <v>#N/A</v>
      </c>
      <c r="M283" s="1826" t="e">
        <v>#N/A</v>
      </c>
      <c r="N283" s="1826" t="e">
        <v>#N/A</v>
      </c>
      <c r="O283" s="1826" t="e">
        <v>#N/A</v>
      </c>
      <c r="P283" s="1826" t="e">
        <v>#N/A</v>
      </c>
      <c r="Q283" s="1826" t="e">
        <v>#N/A</v>
      </c>
      <c r="R283" s="1826" t="e">
        <v>#N/A</v>
      </c>
      <c r="S283" s="1826" t="e">
        <v>#N/A</v>
      </c>
      <c r="T283" s="3018" t="e">
        <v>#N/A</v>
      </c>
    </row>
    <row r="284" spans="1:20">
      <c r="A284" s="483">
        <f t="shared" si="7"/>
        <v>2026.11</v>
      </c>
      <c r="B284" s="1230" t="e">
        <v>#N/A</v>
      </c>
      <c r="C284" s="3019" t="e">
        <f t="shared" si="8"/>
        <v>#N/A</v>
      </c>
      <c r="D284" s="1703" t="e">
        <v>#N/A</v>
      </c>
      <c r="E284" s="1544" t="e">
        <v>#N/A</v>
      </c>
      <c r="F284" s="3020" t="e">
        <v>#N/A</v>
      </c>
      <c r="G284" s="3020" t="e">
        <v>#N/A</v>
      </c>
      <c r="H284" s="3020" t="e">
        <v>#N/A</v>
      </c>
      <c r="I284" s="3020" t="e">
        <v>#N/A</v>
      </c>
      <c r="J284" s="2531" t="e">
        <v>#N/A</v>
      </c>
      <c r="K284" s="1543" t="e">
        <v>#N/A</v>
      </c>
      <c r="L284" s="1826" t="e">
        <v>#N/A</v>
      </c>
      <c r="M284" s="1826" t="e">
        <v>#N/A</v>
      </c>
      <c r="N284" s="1826" t="e">
        <v>#N/A</v>
      </c>
      <c r="O284" s="1826" t="e">
        <v>#N/A</v>
      </c>
      <c r="P284" s="1826" t="e">
        <v>#N/A</v>
      </c>
      <c r="Q284" s="1826" t="e">
        <v>#N/A</v>
      </c>
      <c r="R284" s="1826" t="e">
        <v>#N/A</v>
      </c>
      <c r="S284" s="1826" t="e">
        <v>#N/A</v>
      </c>
      <c r="T284" s="3018" t="e">
        <v>#N/A</v>
      </c>
    </row>
    <row r="285" spans="1:20">
      <c r="A285" s="483">
        <f t="shared" si="7"/>
        <v>2026.12</v>
      </c>
      <c r="B285" s="1230" t="e">
        <v>#N/A</v>
      </c>
      <c r="C285" s="3019" t="e">
        <f t="shared" si="8"/>
        <v>#N/A</v>
      </c>
      <c r="D285" s="1703" t="e">
        <v>#N/A</v>
      </c>
      <c r="E285" s="1544" t="e">
        <v>#N/A</v>
      </c>
      <c r="F285" s="3020" t="e">
        <v>#N/A</v>
      </c>
      <c r="G285" s="3020" t="e">
        <v>#N/A</v>
      </c>
      <c r="H285" s="3020" t="e">
        <v>#N/A</v>
      </c>
      <c r="I285" s="3020" t="e">
        <v>#N/A</v>
      </c>
      <c r="J285" s="2531" t="e">
        <v>#N/A</v>
      </c>
      <c r="K285" s="1543" t="e">
        <v>#N/A</v>
      </c>
      <c r="L285" s="1826" t="e">
        <v>#N/A</v>
      </c>
      <c r="M285" s="1826" t="e">
        <v>#N/A</v>
      </c>
      <c r="N285" s="1826" t="e">
        <v>#N/A</v>
      </c>
      <c r="O285" s="1826" t="e">
        <v>#N/A</v>
      </c>
      <c r="P285" s="1826" t="e">
        <v>#N/A</v>
      </c>
      <c r="Q285" s="1826" t="e">
        <v>#N/A</v>
      </c>
      <c r="R285" s="1826" t="e">
        <v>#N/A</v>
      </c>
      <c r="S285" s="1826" t="e">
        <v>#N/A</v>
      </c>
      <c r="T285" s="3018" t="e">
        <v>#N/A</v>
      </c>
    </row>
    <row r="286" spans="1:20">
      <c r="A286" s="483">
        <f t="shared" si="7"/>
        <v>2027.01</v>
      </c>
      <c r="B286" s="1230" t="e">
        <v>#N/A</v>
      </c>
      <c r="C286" s="3019" t="e">
        <f t="shared" si="8"/>
        <v>#N/A</v>
      </c>
      <c r="D286" s="1703" t="e">
        <v>#N/A</v>
      </c>
      <c r="E286" s="1544" t="e">
        <v>#N/A</v>
      </c>
      <c r="F286" s="3020" t="e">
        <v>#N/A</v>
      </c>
      <c r="G286" s="3020" t="e">
        <v>#N/A</v>
      </c>
      <c r="H286" s="3020" t="e">
        <v>#N/A</v>
      </c>
      <c r="I286" s="3020" t="e">
        <v>#N/A</v>
      </c>
      <c r="J286" s="2531" t="e">
        <v>#N/A</v>
      </c>
      <c r="K286" s="1543" t="e">
        <v>#N/A</v>
      </c>
      <c r="L286" s="1826" t="e">
        <v>#N/A</v>
      </c>
      <c r="M286" s="1826" t="e">
        <v>#N/A</v>
      </c>
      <c r="N286" s="1826" t="e">
        <v>#N/A</v>
      </c>
      <c r="O286" s="1826" t="e">
        <v>#N/A</v>
      </c>
      <c r="P286" s="1826" t="e">
        <v>#N/A</v>
      </c>
      <c r="Q286" s="1826" t="e">
        <v>#N/A</v>
      </c>
      <c r="R286" s="1826" t="e">
        <v>#N/A</v>
      </c>
      <c r="S286" s="1826" t="e">
        <v>#N/A</v>
      </c>
      <c r="T286" s="3018" t="e">
        <v>#N/A</v>
      </c>
    </row>
    <row r="287" spans="1:20">
      <c r="A287" s="483">
        <f t="shared" si="7"/>
        <v>2027.02</v>
      </c>
      <c r="B287" s="1230" t="e">
        <v>#N/A</v>
      </c>
      <c r="C287" s="3019" t="e">
        <f t="shared" si="8"/>
        <v>#N/A</v>
      </c>
      <c r="D287" s="1703" t="e">
        <v>#N/A</v>
      </c>
      <c r="E287" s="1544" t="e">
        <v>#N/A</v>
      </c>
      <c r="F287" s="3020" t="e">
        <v>#N/A</v>
      </c>
      <c r="G287" s="3020" t="e">
        <v>#N/A</v>
      </c>
      <c r="H287" s="3020" t="e">
        <v>#N/A</v>
      </c>
      <c r="I287" s="3020" t="e">
        <v>#N/A</v>
      </c>
      <c r="J287" s="2531" t="e">
        <v>#N/A</v>
      </c>
      <c r="K287" s="1543" t="e">
        <v>#N/A</v>
      </c>
      <c r="L287" s="1826" t="e">
        <v>#N/A</v>
      </c>
      <c r="M287" s="1826" t="e">
        <v>#N/A</v>
      </c>
      <c r="N287" s="1826" t="e">
        <v>#N/A</v>
      </c>
      <c r="O287" s="1826" t="e">
        <v>#N/A</v>
      </c>
      <c r="P287" s="1826" t="e">
        <v>#N/A</v>
      </c>
      <c r="Q287" s="1826" t="e">
        <v>#N/A</v>
      </c>
      <c r="R287" s="1826" t="e">
        <v>#N/A</v>
      </c>
      <c r="S287" s="1826" t="e">
        <v>#N/A</v>
      </c>
      <c r="T287" s="3018" t="e">
        <v>#N/A</v>
      </c>
    </row>
    <row r="288" spans="1:20">
      <c r="A288" s="483">
        <f t="shared" si="7"/>
        <v>2027.03</v>
      </c>
      <c r="B288" s="1230" t="e">
        <v>#N/A</v>
      </c>
      <c r="C288" s="3019" t="e">
        <f t="shared" si="8"/>
        <v>#N/A</v>
      </c>
      <c r="D288" s="1703" t="e">
        <v>#N/A</v>
      </c>
      <c r="E288" s="1544" t="e">
        <v>#N/A</v>
      </c>
      <c r="F288" s="3020" t="e">
        <v>#N/A</v>
      </c>
      <c r="G288" s="3020" t="e">
        <v>#N/A</v>
      </c>
      <c r="H288" s="3020" t="e">
        <v>#N/A</v>
      </c>
      <c r="I288" s="3020" t="e">
        <v>#N/A</v>
      </c>
      <c r="J288" s="2531" t="e">
        <v>#N/A</v>
      </c>
      <c r="K288" s="1543" t="e">
        <v>#N/A</v>
      </c>
      <c r="L288" s="1826" t="e">
        <v>#N/A</v>
      </c>
      <c r="M288" s="1826" t="e">
        <v>#N/A</v>
      </c>
      <c r="N288" s="1826" t="e">
        <v>#N/A</v>
      </c>
      <c r="O288" s="1826" t="e">
        <v>#N/A</v>
      </c>
      <c r="P288" s="1826" t="e">
        <v>#N/A</v>
      </c>
      <c r="Q288" s="1826" t="e">
        <v>#N/A</v>
      </c>
      <c r="R288" s="1826" t="e">
        <v>#N/A</v>
      </c>
      <c r="S288" s="1826" t="e">
        <v>#N/A</v>
      </c>
      <c r="T288" s="3018" t="e">
        <v>#N/A</v>
      </c>
    </row>
    <row r="289" spans="1:20">
      <c r="A289" s="483">
        <f t="shared" si="7"/>
        <v>2027.04</v>
      </c>
      <c r="B289" s="1230" t="e">
        <v>#N/A</v>
      </c>
      <c r="C289" s="3019" t="e">
        <f t="shared" si="8"/>
        <v>#N/A</v>
      </c>
      <c r="D289" s="1703" t="e">
        <v>#N/A</v>
      </c>
      <c r="E289" s="1544" t="e">
        <v>#N/A</v>
      </c>
      <c r="F289" s="3020" t="e">
        <v>#N/A</v>
      </c>
      <c r="G289" s="3020" t="e">
        <v>#N/A</v>
      </c>
      <c r="H289" s="3020" t="e">
        <v>#N/A</v>
      </c>
      <c r="I289" s="3020" t="e">
        <v>#N/A</v>
      </c>
      <c r="J289" s="2531" t="e">
        <v>#N/A</v>
      </c>
      <c r="K289" s="1543" t="e">
        <v>#N/A</v>
      </c>
      <c r="L289" s="1826" t="e">
        <v>#N/A</v>
      </c>
      <c r="M289" s="1826" t="e">
        <v>#N/A</v>
      </c>
      <c r="N289" s="1826" t="e">
        <v>#N/A</v>
      </c>
      <c r="O289" s="1826" t="e">
        <v>#N/A</v>
      </c>
      <c r="P289" s="1826" t="e">
        <v>#N/A</v>
      </c>
      <c r="Q289" s="1826" t="e">
        <v>#N/A</v>
      </c>
      <c r="R289" s="1826" t="e">
        <v>#N/A</v>
      </c>
      <c r="S289" s="1826" t="e">
        <v>#N/A</v>
      </c>
      <c r="T289" s="3018" t="e">
        <v>#N/A</v>
      </c>
    </row>
    <row r="290" spans="1:20">
      <c r="A290" s="483">
        <f t="shared" si="7"/>
        <v>2027.05</v>
      </c>
      <c r="B290" s="1230" t="e">
        <v>#N/A</v>
      </c>
      <c r="C290" s="3019" t="e">
        <f t="shared" si="8"/>
        <v>#N/A</v>
      </c>
      <c r="D290" s="1703" t="e">
        <v>#N/A</v>
      </c>
      <c r="E290" s="1544" t="e">
        <v>#N/A</v>
      </c>
      <c r="F290" s="3020" t="e">
        <v>#N/A</v>
      </c>
      <c r="G290" s="3020" t="e">
        <v>#N/A</v>
      </c>
      <c r="H290" s="3020" t="e">
        <v>#N/A</v>
      </c>
      <c r="I290" s="3020" t="e">
        <v>#N/A</v>
      </c>
      <c r="J290" s="2531" t="e">
        <v>#N/A</v>
      </c>
      <c r="K290" s="1543" t="e">
        <v>#N/A</v>
      </c>
      <c r="L290" s="1826" t="e">
        <v>#N/A</v>
      </c>
      <c r="M290" s="1826" t="e">
        <v>#N/A</v>
      </c>
      <c r="N290" s="1826" t="e">
        <v>#N/A</v>
      </c>
      <c r="O290" s="1826" t="e">
        <v>#N/A</v>
      </c>
      <c r="P290" s="1826" t="e">
        <v>#N/A</v>
      </c>
      <c r="Q290" s="1826" t="e">
        <v>#N/A</v>
      </c>
      <c r="R290" s="1826" t="e">
        <v>#N/A</v>
      </c>
      <c r="S290" s="1826" t="e">
        <v>#N/A</v>
      </c>
      <c r="T290" s="3018" t="e">
        <v>#N/A</v>
      </c>
    </row>
    <row r="291" spans="1:20">
      <c r="A291" s="483">
        <f t="shared" si="7"/>
        <v>2027.06</v>
      </c>
      <c r="B291" s="1230" t="e">
        <v>#N/A</v>
      </c>
      <c r="C291" s="3019" t="e">
        <f t="shared" si="8"/>
        <v>#N/A</v>
      </c>
      <c r="D291" s="1703" t="e">
        <v>#N/A</v>
      </c>
      <c r="E291" s="1544" t="e">
        <v>#N/A</v>
      </c>
      <c r="F291" s="3020" t="e">
        <v>#N/A</v>
      </c>
      <c r="G291" s="3020" t="e">
        <v>#N/A</v>
      </c>
      <c r="H291" s="3020" t="e">
        <v>#N/A</v>
      </c>
      <c r="I291" s="3020" t="e">
        <v>#N/A</v>
      </c>
      <c r="J291" s="2531" t="e">
        <v>#N/A</v>
      </c>
      <c r="K291" s="1543" t="e">
        <v>#N/A</v>
      </c>
      <c r="L291" s="1826" t="e">
        <v>#N/A</v>
      </c>
      <c r="M291" s="1826" t="e">
        <v>#N/A</v>
      </c>
      <c r="N291" s="1826" t="e">
        <v>#N/A</v>
      </c>
      <c r="O291" s="1826" t="e">
        <v>#N/A</v>
      </c>
      <c r="P291" s="1826" t="e">
        <v>#N/A</v>
      </c>
      <c r="Q291" s="1826" t="e">
        <v>#N/A</v>
      </c>
      <c r="R291" s="1826" t="e">
        <v>#N/A</v>
      </c>
      <c r="S291" s="1826" t="e">
        <v>#N/A</v>
      </c>
      <c r="T291" s="3018" t="e">
        <v>#N/A</v>
      </c>
    </row>
    <row r="292" spans="1:20">
      <c r="A292" s="483">
        <f t="shared" si="7"/>
        <v>2027.07</v>
      </c>
      <c r="B292" s="1230" t="e">
        <v>#N/A</v>
      </c>
      <c r="C292" s="3019" t="e">
        <f t="shared" si="8"/>
        <v>#N/A</v>
      </c>
      <c r="D292" s="1703" t="e">
        <v>#N/A</v>
      </c>
      <c r="E292" s="1544" t="e">
        <v>#N/A</v>
      </c>
      <c r="F292" s="3020" t="e">
        <v>#N/A</v>
      </c>
      <c r="G292" s="3020" t="e">
        <v>#N/A</v>
      </c>
      <c r="H292" s="3020" t="e">
        <v>#N/A</v>
      </c>
      <c r="I292" s="3020" t="e">
        <v>#N/A</v>
      </c>
      <c r="J292" s="2531" t="e">
        <v>#N/A</v>
      </c>
      <c r="K292" s="1543" t="e">
        <v>#N/A</v>
      </c>
      <c r="L292" s="1826" t="e">
        <v>#N/A</v>
      </c>
      <c r="M292" s="1826" t="e">
        <v>#N/A</v>
      </c>
      <c r="N292" s="1826" t="e">
        <v>#N/A</v>
      </c>
      <c r="O292" s="1826" t="e">
        <v>#N/A</v>
      </c>
      <c r="P292" s="1826" t="e">
        <v>#N/A</v>
      </c>
      <c r="Q292" s="1826" t="e">
        <v>#N/A</v>
      </c>
      <c r="R292" s="1826" t="e">
        <v>#N/A</v>
      </c>
      <c r="S292" s="1826" t="e">
        <v>#N/A</v>
      </c>
      <c r="T292" s="3018" t="e">
        <v>#N/A</v>
      </c>
    </row>
    <row r="293" spans="1:20">
      <c r="A293" s="483">
        <f t="shared" si="7"/>
        <v>2027.08</v>
      </c>
      <c r="B293" s="1230" t="e">
        <v>#N/A</v>
      </c>
      <c r="C293" s="3019" t="e">
        <f t="shared" si="8"/>
        <v>#N/A</v>
      </c>
      <c r="D293" s="1703" t="e">
        <v>#N/A</v>
      </c>
      <c r="E293" s="1544" t="e">
        <v>#N/A</v>
      </c>
      <c r="F293" s="3020" t="e">
        <v>#N/A</v>
      </c>
      <c r="G293" s="3020" t="e">
        <v>#N/A</v>
      </c>
      <c r="H293" s="3020" t="e">
        <v>#N/A</v>
      </c>
      <c r="I293" s="3020" t="e">
        <v>#N/A</v>
      </c>
      <c r="J293" s="2531" t="e">
        <v>#N/A</v>
      </c>
      <c r="K293" s="1543" t="e">
        <v>#N/A</v>
      </c>
      <c r="L293" s="1826" t="e">
        <v>#N/A</v>
      </c>
      <c r="M293" s="1826" t="e">
        <v>#N/A</v>
      </c>
      <c r="N293" s="1826" t="e">
        <v>#N/A</v>
      </c>
      <c r="O293" s="1826" t="e">
        <v>#N/A</v>
      </c>
      <c r="P293" s="1826" t="e">
        <v>#N/A</v>
      </c>
      <c r="Q293" s="1826" t="e">
        <v>#N/A</v>
      </c>
      <c r="R293" s="1826" t="e">
        <v>#N/A</v>
      </c>
      <c r="S293" s="1826" t="e">
        <v>#N/A</v>
      </c>
      <c r="T293" s="3018" t="e">
        <v>#N/A</v>
      </c>
    </row>
    <row r="294" spans="1:20">
      <c r="A294" s="483">
        <f t="shared" si="7"/>
        <v>2027.09</v>
      </c>
      <c r="B294" s="1230" t="e">
        <v>#N/A</v>
      </c>
      <c r="C294" s="3019" t="e">
        <f t="shared" si="8"/>
        <v>#N/A</v>
      </c>
      <c r="D294" s="1703" t="e">
        <v>#N/A</v>
      </c>
      <c r="E294" s="1544" t="e">
        <v>#N/A</v>
      </c>
      <c r="F294" s="3020" t="e">
        <v>#N/A</v>
      </c>
      <c r="G294" s="3020" t="e">
        <v>#N/A</v>
      </c>
      <c r="H294" s="3020" t="e">
        <v>#N/A</v>
      </c>
      <c r="I294" s="3020" t="e">
        <v>#N/A</v>
      </c>
      <c r="J294" s="2531" t="e">
        <v>#N/A</v>
      </c>
      <c r="K294" s="1543" t="e">
        <v>#N/A</v>
      </c>
      <c r="L294" s="1826" t="e">
        <v>#N/A</v>
      </c>
      <c r="M294" s="1826" t="e">
        <v>#N/A</v>
      </c>
      <c r="N294" s="1826" t="e">
        <v>#N/A</v>
      </c>
      <c r="O294" s="1826" t="e">
        <v>#N/A</v>
      </c>
      <c r="P294" s="1826" t="e">
        <v>#N/A</v>
      </c>
      <c r="Q294" s="1826" t="e">
        <v>#N/A</v>
      </c>
      <c r="R294" s="1826" t="e">
        <v>#N/A</v>
      </c>
      <c r="S294" s="1826" t="e">
        <v>#N/A</v>
      </c>
      <c r="T294" s="3018" t="e">
        <v>#N/A</v>
      </c>
    </row>
    <row r="295" spans="1:20">
      <c r="A295" s="483">
        <f t="shared" si="7"/>
        <v>2027.1</v>
      </c>
      <c r="B295" s="1230" t="e">
        <v>#N/A</v>
      </c>
      <c r="C295" s="3019" t="e">
        <f t="shared" si="8"/>
        <v>#N/A</v>
      </c>
      <c r="D295" s="1703" t="e">
        <v>#N/A</v>
      </c>
      <c r="E295" s="1544" t="e">
        <v>#N/A</v>
      </c>
      <c r="F295" s="3020" t="e">
        <v>#N/A</v>
      </c>
      <c r="G295" s="3020" t="e">
        <v>#N/A</v>
      </c>
      <c r="H295" s="3020" t="e">
        <v>#N/A</v>
      </c>
      <c r="I295" s="3020" t="e">
        <v>#N/A</v>
      </c>
      <c r="J295" s="2531" t="e">
        <v>#N/A</v>
      </c>
      <c r="K295" s="1543" t="e">
        <v>#N/A</v>
      </c>
      <c r="L295" s="1826" t="e">
        <v>#N/A</v>
      </c>
      <c r="M295" s="1826" t="e">
        <v>#N/A</v>
      </c>
      <c r="N295" s="1826" t="e">
        <v>#N/A</v>
      </c>
      <c r="O295" s="1826" t="e">
        <v>#N/A</v>
      </c>
      <c r="P295" s="1826" t="e">
        <v>#N/A</v>
      </c>
      <c r="Q295" s="1826" t="e">
        <v>#N/A</v>
      </c>
      <c r="R295" s="1826" t="e">
        <v>#N/A</v>
      </c>
      <c r="S295" s="1826" t="e">
        <v>#N/A</v>
      </c>
      <c r="T295" s="3018" t="e">
        <v>#N/A</v>
      </c>
    </row>
    <row r="296" spans="1:20">
      <c r="A296" s="483">
        <f t="shared" si="7"/>
        <v>2027.11</v>
      </c>
      <c r="B296" s="1230" t="e">
        <v>#N/A</v>
      </c>
      <c r="C296" s="3019" t="e">
        <f t="shared" si="8"/>
        <v>#N/A</v>
      </c>
      <c r="D296" s="1703" t="e">
        <v>#N/A</v>
      </c>
      <c r="E296" s="1544" t="e">
        <v>#N/A</v>
      </c>
      <c r="F296" s="3020" t="e">
        <v>#N/A</v>
      </c>
      <c r="G296" s="3020" t="e">
        <v>#N/A</v>
      </c>
      <c r="H296" s="3020" t="e">
        <v>#N/A</v>
      </c>
      <c r="I296" s="3020" t="e">
        <v>#N/A</v>
      </c>
      <c r="J296" s="2531" t="e">
        <v>#N/A</v>
      </c>
      <c r="K296" s="1543" t="e">
        <v>#N/A</v>
      </c>
      <c r="L296" s="1826" t="e">
        <v>#N/A</v>
      </c>
      <c r="M296" s="1826" t="e">
        <v>#N/A</v>
      </c>
      <c r="N296" s="1826" t="e">
        <v>#N/A</v>
      </c>
      <c r="O296" s="1826" t="e">
        <v>#N/A</v>
      </c>
      <c r="P296" s="1826" t="e">
        <v>#N/A</v>
      </c>
      <c r="Q296" s="1826" t="e">
        <v>#N/A</v>
      </c>
      <c r="R296" s="1826" t="e">
        <v>#N/A</v>
      </c>
      <c r="S296" s="1826" t="e">
        <v>#N/A</v>
      </c>
      <c r="T296" s="3018" t="e">
        <v>#N/A</v>
      </c>
    </row>
    <row r="297" spans="1:20">
      <c r="A297" s="483">
        <f t="shared" si="7"/>
        <v>2027.12</v>
      </c>
      <c r="B297" s="1230" t="e">
        <v>#N/A</v>
      </c>
      <c r="C297" s="3019" t="e">
        <f t="shared" si="8"/>
        <v>#N/A</v>
      </c>
      <c r="D297" s="1703" t="e">
        <v>#N/A</v>
      </c>
      <c r="E297" s="1544" t="e">
        <v>#N/A</v>
      </c>
      <c r="F297" s="3020" t="e">
        <v>#N/A</v>
      </c>
      <c r="G297" s="3020" t="e">
        <v>#N/A</v>
      </c>
      <c r="H297" s="3020" t="e">
        <v>#N/A</v>
      </c>
      <c r="I297" s="3020" t="e">
        <v>#N/A</v>
      </c>
      <c r="J297" s="2531" t="e">
        <v>#N/A</v>
      </c>
      <c r="K297" s="1543" t="e">
        <v>#N/A</v>
      </c>
      <c r="L297" s="1826" t="e">
        <v>#N/A</v>
      </c>
      <c r="M297" s="1826" t="e">
        <v>#N/A</v>
      </c>
      <c r="N297" s="1826" t="e">
        <v>#N/A</v>
      </c>
      <c r="O297" s="1826" t="e">
        <v>#N/A</v>
      </c>
      <c r="P297" s="1826" t="e">
        <v>#N/A</v>
      </c>
      <c r="Q297" s="1826" t="e">
        <v>#N/A</v>
      </c>
      <c r="R297" s="1826" t="e">
        <v>#N/A</v>
      </c>
      <c r="S297" s="1826" t="e">
        <v>#N/A</v>
      </c>
      <c r="T297" s="3018" t="e">
        <v>#N/A</v>
      </c>
    </row>
    <row r="298" spans="1:20">
      <c r="A298" s="483">
        <f t="shared" si="7"/>
        <v>2028.01</v>
      </c>
      <c r="B298" s="1230" t="e">
        <v>#N/A</v>
      </c>
      <c r="C298" s="3019" t="e">
        <f t="shared" si="8"/>
        <v>#N/A</v>
      </c>
      <c r="D298" s="1703" t="e">
        <v>#N/A</v>
      </c>
      <c r="E298" s="1544" t="e">
        <v>#N/A</v>
      </c>
      <c r="F298" s="3020" t="e">
        <v>#N/A</v>
      </c>
      <c r="G298" s="3020" t="e">
        <v>#N/A</v>
      </c>
      <c r="H298" s="3020" t="e">
        <v>#N/A</v>
      </c>
      <c r="I298" s="3020" t="e">
        <v>#N/A</v>
      </c>
      <c r="J298" s="2531" t="e">
        <v>#N/A</v>
      </c>
      <c r="K298" s="1543" t="e">
        <v>#N/A</v>
      </c>
      <c r="L298" s="1826" t="e">
        <v>#N/A</v>
      </c>
      <c r="M298" s="1826" t="e">
        <v>#N/A</v>
      </c>
      <c r="N298" s="1826" t="e">
        <v>#N/A</v>
      </c>
      <c r="O298" s="1826" t="e">
        <v>#N/A</v>
      </c>
      <c r="P298" s="1826" t="e">
        <v>#N/A</v>
      </c>
      <c r="Q298" s="1826" t="e">
        <v>#N/A</v>
      </c>
      <c r="R298" s="1826" t="e">
        <v>#N/A</v>
      </c>
      <c r="S298" s="1826" t="e">
        <v>#N/A</v>
      </c>
      <c r="T298" s="3018" t="e">
        <v>#N/A</v>
      </c>
    </row>
    <row r="299" spans="1:20">
      <c r="A299" s="483">
        <f t="shared" si="7"/>
        <v>2028.02</v>
      </c>
      <c r="B299" s="1230" t="e">
        <v>#N/A</v>
      </c>
      <c r="C299" s="3019" t="e">
        <f t="shared" si="8"/>
        <v>#N/A</v>
      </c>
      <c r="D299" s="1703" t="e">
        <v>#N/A</v>
      </c>
      <c r="E299" s="1544" t="e">
        <v>#N/A</v>
      </c>
      <c r="F299" s="3020" t="e">
        <v>#N/A</v>
      </c>
      <c r="G299" s="3020" t="e">
        <v>#N/A</v>
      </c>
      <c r="H299" s="3020" t="e">
        <v>#N/A</v>
      </c>
      <c r="I299" s="3020" t="e">
        <v>#N/A</v>
      </c>
      <c r="J299" s="2531" t="e">
        <v>#N/A</v>
      </c>
      <c r="K299" s="1543" t="e">
        <v>#N/A</v>
      </c>
      <c r="L299" s="1826" t="e">
        <v>#N/A</v>
      </c>
      <c r="M299" s="1826" t="e">
        <v>#N/A</v>
      </c>
      <c r="N299" s="1826" t="e">
        <v>#N/A</v>
      </c>
      <c r="O299" s="1826" t="e">
        <v>#N/A</v>
      </c>
      <c r="P299" s="1826" t="e">
        <v>#N/A</v>
      </c>
      <c r="Q299" s="1826" t="e">
        <v>#N/A</v>
      </c>
      <c r="R299" s="1826" t="e">
        <v>#N/A</v>
      </c>
      <c r="S299" s="1826" t="e">
        <v>#N/A</v>
      </c>
      <c r="T299" s="3018" t="e">
        <v>#N/A</v>
      </c>
    </row>
    <row r="300" spans="1:20">
      <c r="A300" s="483">
        <f t="shared" si="7"/>
        <v>2028.03</v>
      </c>
      <c r="B300" s="1230" t="e">
        <v>#N/A</v>
      </c>
      <c r="C300" s="3019" t="e">
        <f t="shared" si="8"/>
        <v>#N/A</v>
      </c>
      <c r="D300" s="1703" t="e">
        <v>#N/A</v>
      </c>
      <c r="E300" s="1544" t="e">
        <v>#N/A</v>
      </c>
      <c r="F300" s="3020" t="e">
        <v>#N/A</v>
      </c>
      <c r="G300" s="3020" t="e">
        <v>#N/A</v>
      </c>
      <c r="H300" s="3020" t="e">
        <v>#N/A</v>
      </c>
      <c r="I300" s="3020" t="e">
        <v>#N/A</v>
      </c>
      <c r="J300" s="2531" t="e">
        <v>#N/A</v>
      </c>
      <c r="K300" s="1543" t="e">
        <v>#N/A</v>
      </c>
      <c r="L300" s="1826" t="e">
        <v>#N/A</v>
      </c>
      <c r="M300" s="1826" t="e">
        <v>#N/A</v>
      </c>
      <c r="N300" s="1826" t="e">
        <v>#N/A</v>
      </c>
      <c r="O300" s="1826" t="e">
        <v>#N/A</v>
      </c>
      <c r="P300" s="1826" t="e">
        <v>#N/A</v>
      </c>
      <c r="Q300" s="1826" t="e">
        <v>#N/A</v>
      </c>
      <c r="R300" s="1826" t="e">
        <v>#N/A</v>
      </c>
      <c r="S300" s="1826" t="e">
        <v>#N/A</v>
      </c>
      <c r="T300" s="3018" t="e">
        <v>#N/A</v>
      </c>
    </row>
    <row r="301" spans="1:20">
      <c r="A301" s="483">
        <f t="shared" si="7"/>
        <v>2028.04</v>
      </c>
      <c r="B301" s="1230" t="e">
        <v>#N/A</v>
      </c>
      <c r="C301" s="3019" t="e">
        <f t="shared" si="8"/>
        <v>#N/A</v>
      </c>
      <c r="D301" s="1703" t="e">
        <v>#N/A</v>
      </c>
      <c r="E301" s="1544" t="e">
        <v>#N/A</v>
      </c>
      <c r="F301" s="3020" t="e">
        <v>#N/A</v>
      </c>
      <c r="G301" s="3020" t="e">
        <v>#N/A</v>
      </c>
      <c r="H301" s="3020" t="e">
        <v>#N/A</v>
      </c>
      <c r="I301" s="3020" t="e">
        <v>#N/A</v>
      </c>
      <c r="J301" s="2531" t="e">
        <v>#N/A</v>
      </c>
      <c r="K301" s="1543" t="e">
        <v>#N/A</v>
      </c>
      <c r="L301" s="1826" t="e">
        <v>#N/A</v>
      </c>
      <c r="M301" s="1826" t="e">
        <v>#N/A</v>
      </c>
      <c r="N301" s="1826" t="e">
        <v>#N/A</v>
      </c>
      <c r="O301" s="1826" t="e">
        <v>#N/A</v>
      </c>
      <c r="P301" s="1826" t="e">
        <v>#N/A</v>
      </c>
      <c r="Q301" s="1826" t="e">
        <v>#N/A</v>
      </c>
      <c r="R301" s="1826" t="e">
        <v>#N/A</v>
      </c>
      <c r="S301" s="1826" t="e">
        <v>#N/A</v>
      </c>
      <c r="T301" s="3018" t="e">
        <v>#N/A</v>
      </c>
    </row>
    <row r="302" spans="1:20">
      <c r="A302" s="483">
        <f t="shared" si="7"/>
        <v>2028.05</v>
      </c>
      <c r="B302" s="1230" t="e">
        <v>#N/A</v>
      </c>
      <c r="C302" s="3019" t="e">
        <f t="shared" si="8"/>
        <v>#N/A</v>
      </c>
      <c r="D302" s="1703" t="e">
        <v>#N/A</v>
      </c>
      <c r="E302" s="1544" t="e">
        <v>#N/A</v>
      </c>
      <c r="F302" s="3020" t="e">
        <v>#N/A</v>
      </c>
      <c r="G302" s="3020" t="e">
        <v>#N/A</v>
      </c>
      <c r="H302" s="3020" t="e">
        <v>#N/A</v>
      </c>
      <c r="I302" s="3020" t="e">
        <v>#N/A</v>
      </c>
      <c r="J302" s="2531" t="e">
        <v>#N/A</v>
      </c>
      <c r="K302" s="1543" t="e">
        <v>#N/A</v>
      </c>
      <c r="L302" s="1826" t="e">
        <v>#N/A</v>
      </c>
      <c r="M302" s="1826" t="e">
        <v>#N/A</v>
      </c>
      <c r="N302" s="1826" t="e">
        <v>#N/A</v>
      </c>
      <c r="O302" s="1826" t="e">
        <v>#N/A</v>
      </c>
      <c r="P302" s="1826" t="e">
        <v>#N/A</v>
      </c>
      <c r="Q302" s="1826" t="e">
        <v>#N/A</v>
      </c>
      <c r="R302" s="1826" t="e">
        <v>#N/A</v>
      </c>
      <c r="S302" s="1826" t="e">
        <v>#N/A</v>
      </c>
      <c r="T302" s="3018" t="e">
        <v>#N/A</v>
      </c>
    </row>
    <row r="303" spans="1:20">
      <c r="A303" s="483">
        <f t="shared" si="7"/>
        <v>2028.06</v>
      </c>
      <c r="B303" s="1230" t="e">
        <v>#N/A</v>
      </c>
      <c r="C303" s="3019" t="e">
        <f t="shared" si="8"/>
        <v>#N/A</v>
      </c>
      <c r="D303" s="1703" t="e">
        <v>#N/A</v>
      </c>
      <c r="E303" s="1544" t="e">
        <v>#N/A</v>
      </c>
      <c r="F303" s="3020" t="e">
        <v>#N/A</v>
      </c>
      <c r="G303" s="3020" t="e">
        <v>#N/A</v>
      </c>
      <c r="H303" s="3020" t="e">
        <v>#N/A</v>
      </c>
      <c r="I303" s="3020" t="e">
        <v>#N/A</v>
      </c>
      <c r="J303" s="2531" t="e">
        <v>#N/A</v>
      </c>
      <c r="K303" s="1543" t="e">
        <v>#N/A</v>
      </c>
      <c r="L303" s="1826" t="e">
        <v>#N/A</v>
      </c>
      <c r="M303" s="1826" t="e">
        <v>#N/A</v>
      </c>
      <c r="N303" s="1826" t="e">
        <v>#N/A</v>
      </c>
      <c r="O303" s="1826" t="e">
        <v>#N/A</v>
      </c>
      <c r="P303" s="1826" t="e">
        <v>#N/A</v>
      </c>
      <c r="Q303" s="1826" t="e">
        <v>#N/A</v>
      </c>
      <c r="R303" s="1826" t="e">
        <v>#N/A</v>
      </c>
      <c r="S303" s="1826" t="e">
        <v>#N/A</v>
      </c>
      <c r="T303" s="3018" t="e">
        <v>#N/A</v>
      </c>
    </row>
    <row r="304" spans="1:20">
      <c r="A304" s="483">
        <f t="shared" si="7"/>
        <v>2028.07</v>
      </c>
      <c r="B304" s="1230" t="e">
        <v>#N/A</v>
      </c>
      <c r="C304" s="3019" t="e">
        <f t="shared" si="8"/>
        <v>#N/A</v>
      </c>
      <c r="D304" s="1703" t="e">
        <v>#N/A</v>
      </c>
      <c r="E304" s="1544" t="e">
        <v>#N/A</v>
      </c>
      <c r="F304" s="3020" t="e">
        <v>#N/A</v>
      </c>
      <c r="G304" s="3020" t="e">
        <v>#N/A</v>
      </c>
      <c r="H304" s="3020" t="e">
        <v>#N/A</v>
      </c>
      <c r="I304" s="3020" t="e">
        <v>#N/A</v>
      </c>
      <c r="J304" s="2531" t="e">
        <v>#N/A</v>
      </c>
      <c r="K304" s="1543" t="e">
        <v>#N/A</v>
      </c>
      <c r="L304" s="1826" t="e">
        <v>#N/A</v>
      </c>
      <c r="M304" s="1826" t="e">
        <v>#N/A</v>
      </c>
      <c r="N304" s="1826" t="e">
        <v>#N/A</v>
      </c>
      <c r="O304" s="1826" t="e">
        <v>#N/A</v>
      </c>
      <c r="P304" s="1826" t="e">
        <v>#N/A</v>
      </c>
      <c r="Q304" s="1826" t="e">
        <v>#N/A</v>
      </c>
      <c r="R304" s="1826" t="e">
        <v>#N/A</v>
      </c>
      <c r="S304" s="1826" t="e">
        <v>#N/A</v>
      </c>
      <c r="T304" s="3018" t="e">
        <v>#N/A</v>
      </c>
    </row>
    <row r="305" spans="1:20">
      <c r="A305" s="483">
        <f t="shared" si="7"/>
        <v>2028.08</v>
      </c>
      <c r="B305" s="1230" t="e">
        <v>#N/A</v>
      </c>
      <c r="C305" s="3019" t="e">
        <f t="shared" si="8"/>
        <v>#N/A</v>
      </c>
      <c r="D305" s="1703" t="e">
        <v>#N/A</v>
      </c>
      <c r="E305" s="1544" t="e">
        <v>#N/A</v>
      </c>
      <c r="F305" s="3020" t="e">
        <v>#N/A</v>
      </c>
      <c r="G305" s="3020" t="e">
        <v>#N/A</v>
      </c>
      <c r="H305" s="3020" t="e">
        <v>#N/A</v>
      </c>
      <c r="I305" s="3020" t="e">
        <v>#N/A</v>
      </c>
      <c r="J305" s="2531" t="e">
        <v>#N/A</v>
      </c>
      <c r="K305" s="1543" t="e">
        <v>#N/A</v>
      </c>
      <c r="L305" s="1826" t="e">
        <v>#N/A</v>
      </c>
      <c r="M305" s="1826" t="e">
        <v>#N/A</v>
      </c>
      <c r="N305" s="1826" t="e">
        <v>#N/A</v>
      </c>
      <c r="O305" s="1826" t="e">
        <v>#N/A</v>
      </c>
      <c r="P305" s="1826" t="e">
        <v>#N/A</v>
      </c>
      <c r="Q305" s="1826" t="e">
        <v>#N/A</v>
      </c>
      <c r="R305" s="1826" t="e">
        <v>#N/A</v>
      </c>
      <c r="S305" s="1826" t="e">
        <v>#N/A</v>
      </c>
      <c r="T305" s="3018" t="e">
        <v>#N/A</v>
      </c>
    </row>
    <row r="306" spans="1:20">
      <c r="A306" s="483">
        <f t="shared" si="7"/>
        <v>2028.09</v>
      </c>
      <c r="B306" s="1230" t="e">
        <v>#N/A</v>
      </c>
      <c r="C306" s="3019" t="e">
        <f t="shared" si="8"/>
        <v>#N/A</v>
      </c>
      <c r="D306" s="1703" t="e">
        <v>#N/A</v>
      </c>
      <c r="E306" s="1544" t="e">
        <v>#N/A</v>
      </c>
      <c r="F306" s="3020" t="e">
        <v>#N/A</v>
      </c>
      <c r="G306" s="3020" t="e">
        <v>#N/A</v>
      </c>
      <c r="H306" s="3020" t="e">
        <v>#N/A</v>
      </c>
      <c r="I306" s="3020" t="e">
        <v>#N/A</v>
      </c>
      <c r="J306" s="2531" t="e">
        <v>#N/A</v>
      </c>
      <c r="K306" s="1543" t="e">
        <v>#N/A</v>
      </c>
      <c r="L306" s="1826" t="e">
        <v>#N/A</v>
      </c>
      <c r="M306" s="1826" t="e">
        <v>#N/A</v>
      </c>
      <c r="N306" s="1826" t="e">
        <v>#N/A</v>
      </c>
      <c r="O306" s="1826" t="e">
        <v>#N/A</v>
      </c>
      <c r="P306" s="1826" t="e">
        <v>#N/A</v>
      </c>
      <c r="Q306" s="1826" t="e">
        <v>#N/A</v>
      </c>
      <c r="R306" s="1826" t="e">
        <v>#N/A</v>
      </c>
      <c r="S306" s="1826" t="e">
        <v>#N/A</v>
      </c>
      <c r="T306" s="3018" t="e">
        <v>#N/A</v>
      </c>
    </row>
    <row r="307" spans="1:20">
      <c r="A307" s="483">
        <f t="shared" si="7"/>
        <v>2028.1</v>
      </c>
      <c r="B307" s="1230" t="e">
        <v>#N/A</v>
      </c>
      <c r="C307" s="3019" t="e">
        <f t="shared" si="8"/>
        <v>#N/A</v>
      </c>
      <c r="D307" s="1703" t="e">
        <v>#N/A</v>
      </c>
      <c r="E307" s="1544" t="e">
        <v>#N/A</v>
      </c>
      <c r="F307" s="3020" t="e">
        <v>#N/A</v>
      </c>
      <c r="G307" s="3020" t="e">
        <v>#N/A</v>
      </c>
      <c r="H307" s="3020" t="e">
        <v>#N/A</v>
      </c>
      <c r="I307" s="3020" t="e">
        <v>#N/A</v>
      </c>
      <c r="J307" s="2531" t="e">
        <v>#N/A</v>
      </c>
      <c r="K307" s="1543" t="e">
        <v>#N/A</v>
      </c>
      <c r="L307" s="1826" t="e">
        <v>#N/A</v>
      </c>
      <c r="M307" s="1826" t="e">
        <v>#N/A</v>
      </c>
      <c r="N307" s="1826" t="e">
        <v>#N/A</v>
      </c>
      <c r="O307" s="1826" t="e">
        <v>#N/A</v>
      </c>
      <c r="P307" s="1826" t="e">
        <v>#N/A</v>
      </c>
      <c r="Q307" s="1826" t="e">
        <v>#N/A</v>
      </c>
      <c r="R307" s="1826" t="e">
        <v>#N/A</v>
      </c>
      <c r="S307" s="1826" t="e">
        <v>#N/A</v>
      </c>
      <c r="T307" s="3018" t="e">
        <v>#N/A</v>
      </c>
    </row>
    <row r="308" spans="1:20">
      <c r="A308" s="483">
        <f t="shared" si="7"/>
        <v>2028.11</v>
      </c>
      <c r="B308" s="1230" t="e">
        <v>#N/A</v>
      </c>
      <c r="C308" s="3019" t="e">
        <f t="shared" si="8"/>
        <v>#N/A</v>
      </c>
      <c r="D308" s="1703" t="e">
        <v>#N/A</v>
      </c>
      <c r="E308" s="1544" t="e">
        <v>#N/A</v>
      </c>
      <c r="F308" s="3020" t="e">
        <v>#N/A</v>
      </c>
      <c r="G308" s="3020" t="e">
        <v>#N/A</v>
      </c>
      <c r="H308" s="3020" t="e">
        <v>#N/A</v>
      </c>
      <c r="I308" s="3020" t="e">
        <v>#N/A</v>
      </c>
      <c r="J308" s="2531" t="e">
        <v>#N/A</v>
      </c>
      <c r="K308" s="1543" t="e">
        <v>#N/A</v>
      </c>
      <c r="L308" s="1826" t="e">
        <v>#N/A</v>
      </c>
      <c r="M308" s="1826" t="e">
        <v>#N/A</v>
      </c>
      <c r="N308" s="1826" t="e">
        <v>#N/A</v>
      </c>
      <c r="O308" s="1826" t="e">
        <v>#N/A</v>
      </c>
      <c r="P308" s="1826" t="e">
        <v>#N/A</v>
      </c>
      <c r="Q308" s="1826" t="e">
        <v>#N/A</v>
      </c>
      <c r="R308" s="1826" t="e">
        <v>#N/A</v>
      </c>
      <c r="S308" s="1826" t="e">
        <v>#N/A</v>
      </c>
      <c r="T308" s="3018" t="e">
        <v>#N/A</v>
      </c>
    </row>
    <row r="309" spans="1:20">
      <c r="A309" s="483">
        <f t="shared" si="7"/>
        <v>2028.12</v>
      </c>
      <c r="B309" s="1230" t="e">
        <v>#N/A</v>
      </c>
      <c r="C309" s="3019" t="e">
        <f t="shared" si="8"/>
        <v>#N/A</v>
      </c>
      <c r="D309" s="1703" t="e">
        <v>#N/A</v>
      </c>
      <c r="E309" s="1544" t="e">
        <v>#N/A</v>
      </c>
      <c r="F309" s="3020" t="e">
        <v>#N/A</v>
      </c>
      <c r="G309" s="3020" t="e">
        <v>#N/A</v>
      </c>
      <c r="H309" s="3020" t="e">
        <v>#N/A</v>
      </c>
      <c r="I309" s="3020" t="e">
        <v>#N/A</v>
      </c>
      <c r="J309" s="2531" t="e">
        <v>#N/A</v>
      </c>
      <c r="K309" s="1543" t="e">
        <v>#N/A</v>
      </c>
      <c r="L309" s="1826" t="e">
        <v>#N/A</v>
      </c>
      <c r="M309" s="1826" t="e">
        <v>#N/A</v>
      </c>
      <c r="N309" s="1826" t="e">
        <v>#N/A</v>
      </c>
      <c r="O309" s="1826" t="e">
        <v>#N/A</v>
      </c>
      <c r="P309" s="1826" t="e">
        <v>#N/A</v>
      </c>
      <c r="Q309" s="1826" t="e">
        <v>#N/A</v>
      </c>
      <c r="R309" s="1826" t="e">
        <v>#N/A</v>
      </c>
      <c r="S309" s="1826" t="e">
        <v>#N/A</v>
      </c>
      <c r="T309" s="3018" t="e">
        <v>#N/A</v>
      </c>
    </row>
    <row r="310" spans="1:20">
      <c r="A310" s="483">
        <f t="shared" si="7"/>
        <v>2029.01</v>
      </c>
      <c r="B310" s="1230" t="e">
        <v>#N/A</v>
      </c>
      <c r="C310" s="3019" t="e">
        <f t="shared" si="8"/>
        <v>#N/A</v>
      </c>
      <c r="D310" s="1703" t="e">
        <v>#N/A</v>
      </c>
      <c r="E310" s="1544" t="e">
        <v>#N/A</v>
      </c>
      <c r="F310" s="3020" t="e">
        <v>#N/A</v>
      </c>
      <c r="G310" s="3020" t="e">
        <v>#N/A</v>
      </c>
      <c r="H310" s="3020" t="e">
        <v>#N/A</v>
      </c>
      <c r="I310" s="3020" t="e">
        <v>#N/A</v>
      </c>
      <c r="J310" s="2531" t="e">
        <v>#N/A</v>
      </c>
      <c r="K310" s="1543" t="e">
        <v>#N/A</v>
      </c>
      <c r="L310" s="1826" t="e">
        <v>#N/A</v>
      </c>
      <c r="M310" s="1826" t="e">
        <v>#N/A</v>
      </c>
      <c r="N310" s="1826" t="e">
        <v>#N/A</v>
      </c>
      <c r="O310" s="1826" t="e">
        <v>#N/A</v>
      </c>
      <c r="P310" s="1826" t="e">
        <v>#N/A</v>
      </c>
      <c r="Q310" s="1826" t="e">
        <v>#N/A</v>
      </c>
      <c r="R310" s="1826" t="e">
        <v>#N/A</v>
      </c>
      <c r="S310" s="1826" t="e">
        <v>#N/A</v>
      </c>
      <c r="T310" s="3018" t="e">
        <v>#N/A</v>
      </c>
    </row>
    <row r="311" spans="1:20">
      <c r="A311" s="483">
        <f t="shared" si="7"/>
        <v>2029.02</v>
      </c>
      <c r="B311" s="1230" t="e">
        <v>#N/A</v>
      </c>
      <c r="C311" s="3019" t="e">
        <f t="shared" si="8"/>
        <v>#N/A</v>
      </c>
      <c r="D311" s="1703" t="e">
        <v>#N/A</v>
      </c>
      <c r="E311" s="1544" t="e">
        <v>#N/A</v>
      </c>
      <c r="F311" s="3020" t="e">
        <v>#N/A</v>
      </c>
      <c r="G311" s="3020" t="e">
        <v>#N/A</v>
      </c>
      <c r="H311" s="3020" t="e">
        <v>#N/A</v>
      </c>
      <c r="I311" s="3020" t="e">
        <v>#N/A</v>
      </c>
      <c r="J311" s="2531" t="e">
        <v>#N/A</v>
      </c>
      <c r="K311" s="1543" t="e">
        <v>#N/A</v>
      </c>
      <c r="L311" s="1826" t="e">
        <v>#N/A</v>
      </c>
      <c r="M311" s="1826" t="e">
        <v>#N/A</v>
      </c>
      <c r="N311" s="1826" t="e">
        <v>#N/A</v>
      </c>
      <c r="O311" s="1826" t="e">
        <v>#N/A</v>
      </c>
      <c r="P311" s="1826" t="e">
        <v>#N/A</v>
      </c>
      <c r="Q311" s="1826" t="e">
        <v>#N/A</v>
      </c>
      <c r="R311" s="1826" t="e">
        <v>#N/A</v>
      </c>
      <c r="S311" s="1826" t="e">
        <v>#N/A</v>
      </c>
      <c r="T311" s="3018" t="e">
        <v>#N/A</v>
      </c>
    </row>
    <row r="312" spans="1:20">
      <c r="A312" s="483">
        <f t="shared" si="7"/>
        <v>2029.03</v>
      </c>
      <c r="B312" s="1230" t="e">
        <v>#N/A</v>
      </c>
      <c r="C312" s="3019" t="e">
        <f t="shared" si="8"/>
        <v>#N/A</v>
      </c>
      <c r="D312" s="1703" t="e">
        <v>#N/A</v>
      </c>
      <c r="E312" s="1544" t="e">
        <v>#N/A</v>
      </c>
      <c r="F312" s="3020" t="e">
        <v>#N/A</v>
      </c>
      <c r="G312" s="3020" t="e">
        <v>#N/A</v>
      </c>
      <c r="H312" s="3020" t="e">
        <v>#N/A</v>
      </c>
      <c r="I312" s="3020" t="e">
        <v>#N/A</v>
      </c>
      <c r="J312" s="2531" t="e">
        <v>#N/A</v>
      </c>
      <c r="K312" s="1543" t="e">
        <v>#N/A</v>
      </c>
      <c r="L312" s="1826" t="e">
        <v>#N/A</v>
      </c>
      <c r="M312" s="1826" t="e">
        <v>#N/A</v>
      </c>
      <c r="N312" s="1826" t="e">
        <v>#N/A</v>
      </c>
      <c r="O312" s="1826" t="e">
        <v>#N/A</v>
      </c>
      <c r="P312" s="1826" t="e">
        <v>#N/A</v>
      </c>
      <c r="Q312" s="1826" t="e">
        <v>#N/A</v>
      </c>
      <c r="R312" s="1826" t="e">
        <v>#N/A</v>
      </c>
      <c r="S312" s="1826" t="e">
        <v>#N/A</v>
      </c>
      <c r="T312" s="3018" t="e">
        <v>#N/A</v>
      </c>
    </row>
    <row r="313" spans="1:20">
      <c r="A313" s="483">
        <f t="shared" si="7"/>
        <v>2029.04</v>
      </c>
      <c r="B313" s="1230" t="e">
        <v>#N/A</v>
      </c>
      <c r="C313" s="3019" t="e">
        <f t="shared" si="8"/>
        <v>#N/A</v>
      </c>
      <c r="D313" s="1703" t="e">
        <v>#N/A</v>
      </c>
      <c r="E313" s="1544" t="e">
        <v>#N/A</v>
      </c>
      <c r="F313" s="3020" t="e">
        <v>#N/A</v>
      </c>
      <c r="G313" s="3020" t="e">
        <v>#N/A</v>
      </c>
      <c r="H313" s="3020" t="e">
        <v>#N/A</v>
      </c>
      <c r="I313" s="3020" t="e">
        <v>#N/A</v>
      </c>
      <c r="J313" s="2531" t="e">
        <v>#N/A</v>
      </c>
      <c r="K313" s="1543" t="e">
        <v>#N/A</v>
      </c>
      <c r="L313" s="1826" t="e">
        <v>#N/A</v>
      </c>
      <c r="M313" s="1826" t="e">
        <v>#N/A</v>
      </c>
      <c r="N313" s="1826" t="e">
        <v>#N/A</v>
      </c>
      <c r="O313" s="1826" t="e">
        <v>#N/A</v>
      </c>
      <c r="P313" s="1826" t="e">
        <v>#N/A</v>
      </c>
      <c r="Q313" s="1826" t="e">
        <v>#N/A</v>
      </c>
      <c r="R313" s="1826" t="e">
        <v>#N/A</v>
      </c>
      <c r="S313" s="1826" t="e">
        <v>#N/A</v>
      </c>
      <c r="T313" s="3018" t="e">
        <v>#N/A</v>
      </c>
    </row>
    <row r="314" spans="1:20">
      <c r="A314" s="483">
        <f t="shared" ref="A314:A333" si="9">A302+1</f>
        <v>2029.05</v>
      </c>
      <c r="B314" s="1230" t="e">
        <v>#N/A</v>
      </c>
      <c r="C314" s="3019" t="e">
        <f t="shared" si="8"/>
        <v>#N/A</v>
      </c>
      <c r="D314" s="1703" t="e">
        <v>#N/A</v>
      </c>
      <c r="E314" s="1544" t="e">
        <v>#N/A</v>
      </c>
      <c r="F314" s="3020" t="e">
        <v>#N/A</v>
      </c>
      <c r="G314" s="3020" t="e">
        <v>#N/A</v>
      </c>
      <c r="H314" s="3020" t="e">
        <v>#N/A</v>
      </c>
      <c r="I314" s="3020" t="e">
        <v>#N/A</v>
      </c>
      <c r="J314" s="2531" t="e">
        <v>#N/A</v>
      </c>
      <c r="K314" s="1543" t="e">
        <v>#N/A</v>
      </c>
      <c r="L314" s="1826" t="e">
        <v>#N/A</v>
      </c>
      <c r="M314" s="1826" t="e">
        <v>#N/A</v>
      </c>
      <c r="N314" s="1826" t="e">
        <v>#N/A</v>
      </c>
      <c r="O314" s="1826" t="e">
        <v>#N/A</v>
      </c>
      <c r="P314" s="1826" t="e">
        <v>#N/A</v>
      </c>
      <c r="Q314" s="1826" t="e">
        <v>#N/A</v>
      </c>
      <c r="R314" s="1826" t="e">
        <v>#N/A</v>
      </c>
      <c r="S314" s="1826" t="e">
        <v>#N/A</v>
      </c>
      <c r="T314" s="3018" t="e">
        <v>#N/A</v>
      </c>
    </row>
    <row r="315" spans="1:20">
      <c r="A315" s="483">
        <f t="shared" si="9"/>
        <v>2029.06</v>
      </c>
      <c r="B315" s="1230" t="e">
        <v>#N/A</v>
      </c>
      <c r="C315" s="3019" t="e">
        <f t="shared" si="8"/>
        <v>#N/A</v>
      </c>
      <c r="D315" s="1703" t="e">
        <v>#N/A</v>
      </c>
      <c r="E315" s="1544" t="e">
        <v>#N/A</v>
      </c>
      <c r="F315" s="3020" t="e">
        <v>#N/A</v>
      </c>
      <c r="G315" s="3020" t="e">
        <v>#N/A</v>
      </c>
      <c r="H315" s="3020" t="e">
        <v>#N/A</v>
      </c>
      <c r="I315" s="3020" t="e">
        <v>#N/A</v>
      </c>
      <c r="J315" s="2531" t="e">
        <v>#N/A</v>
      </c>
      <c r="K315" s="1543" t="e">
        <v>#N/A</v>
      </c>
      <c r="L315" s="1826" t="e">
        <v>#N/A</v>
      </c>
      <c r="M315" s="1826" t="e">
        <v>#N/A</v>
      </c>
      <c r="N315" s="1826" t="e">
        <v>#N/A</v>
      </c>
      <c r="O315" s="1826" t="e">
        <v>#N/A</v>
      </c>
      <c r="P315" s="1826" t="e">
        <v>#N/A</v>
      </c>
      <c r="Q315" s="1826" t="e">
        <v>#N/A</v>
      </c>
      <c r="R315" s="1826" t="e">
        <v>#N/A</v>
      </c>
      <c r="S315" s="1826" t="e">
        <v>#N/A</v>
      </c>
      <c r="T315" s="3018" t="e">
        <v>#N/A</v>
      </c>
    </row>
    <row r="316" spans="1:20">
      <c r="A316" s="483">
        <f t="shared" si="9"/>
        <v>2029.07</v>
      </c>
      <c r="B316" s="1230" t="e">
        <v>#N/A</v>
      </c>
      <c r="C316" s="3019" t="e">
        <f t="shared" si="8"/>
        <v>#N/A</v>
      </c>
      <c r="D316" s="1703" t="e">
        <v>#N/A</v>
      </c>
      <c r="E316" s="1544" t="e">
        <v>#N/A</v>
      </c>
      <c r="F316" s="3020" t="e">
        <v>#N/A</v>
      </c>
      <c r="G316" s="3020" t="e">
        <v>#N/A</v>
      </c>
      <c r="H316" s="3020" t="e">
        <v>#N/A</v>
      </c>
      <c r="I316" s="3020" t="e">
        <v>#N/A</v>
      </c>
      <c r="J316" s="2531" t="e">
        <v>#N/A</v>
      </c>
      <c r="K316" s="1543" t="e">
        <v>#N/A</v>
      </c>
      <c r="L316" s="1826" t="e">
        <v>#N/A</v>
      </c>
      <c r="M316" s="1826" t="e">
        <v>#N/A</v>
      </c>
      <c r="N316" s="1826" t="e">
        <v>#N/A</v>
      </c>
      <c r="O316" s="1826" t="e">
        <v>#N/A</v>
      </c>
      <c r="P316" s="1826" t="e">
        <v>#N/A</v>
      </c>
      <c r="Q316" s="1826" t="e">
        <v>#N/A</v>
      </c>
      <c r="R316" s="1826" t="e">
        <v>#N/A</v>
      </c>
      <c r="S316" s="1826" t="e">
        <v>#N/A</v>
      </c>
      <c r="T316" s="3018" t="e">
        <v>#N/A</v>
      </c>
    </row>
    <row r="317" spans="1:20">
      <c r="A317" s="483">
        <f t="shared" si="9"/>
        <v>2029.08</v>
      </c>
      <c r="B317" s="1230" t="e">
        <v>#N/A</v>
      </c>
      <c r="C317" s="3019" t="e">
        <f t="shared" si="8"/>
        <v>#N/A</v>
      </c>
      <c r="D317" s="1703" t="e">
        <v>#N/A</v>
      </c>
      <c r="E317" s="1544" t="e">
        <v>#N/A</v>
      </c>
      <c r="F317" s="3020" t="e">
        <v>#N/A</v>
      </c>
      <c r="G317" s="3020" t="e">
        <v>#N/A</v>
      </c>
      <c r="H317" s="3020" t="e">
        <v>#N/A</v>
      </c>
      <c r="I317" s="3020" t="e">
        <v>#N/A</v>
      </c>
      <c r="J317" s="2531" t="e">
        <v>#N/A</v>
      </c>
      <c r="K317" s="1543" t="e">
        <v>#N/A</v>
      </c>
      <c r="L317" s="1826" t="e">
        <v>#N/A</v>
      </c>
      <c r="M317" s="1826" t="e">
        <v>#N/A</v>
      </c>
      <c r="N317" s="1826" t="e">
        <v>#N/A</v>
      </c>
      <c r="O317" s="1826" t="e">
        <v>#N/A</v>
      </c>
      <c r="P317" s="1826" t="e">
        <v>#N/A</v>
      </c>
      <c r="Q317" s="1826" t="e">
        <v>#N/A</v>
      </c>
      <c r="R317" s="1826" t="e">
        <v>#N/A</v>
      </c>
      <c r="S317" s="1826" t="e">
        <v>#N/A</v>
      </c>
      <c r="T317" s="3018" t="e">
        <v>#N/A</v>
      </c>
    </row>
    <row r="318" spans="1:20">
      <c r="A318" s="483">
        <f t="shared" si="9"/>
        <v>2029.09</v>
      </c>
      <c r="B318" s="1230" t="e">
        <v>#N/A</v>
      </c>
      <c r="C318" s="3019" t="e">
        <f t="shared" si="8"/>
        <v>#N/A</v>
      </c>
      <c r="D318" s="1703" t="e">
        <v>#N/A</v>
      </c>
      <c r="E318" s="1544" t="e">
        <v>#N/A</v>
      </c>
      <c r="F318" s="3020" t="e">
        <v>#N/A</v>
      </c>
      <c r="G318" s="3020" t="e">
        <v>#N/A</v>
      </c>
      <c r="H318" s="3020" t="e">
        <v>#N/A</v>
      </c>
      <c r="I318" s="3020" t="e">
        <v>#N/A</v>
      </c>
      <c r="J318" s="2531" t="e">
        <v>#N/A</v>
      </c>
      <c r="K318" s="1543" t="e">
        <v>#N/A</v>
      </c>
      <c r="L318" s="1826" t="e">
        <v>#N/A</v>
      </c>
      <c r="M318" s="1826" t="e">
        <v>#N/A</v>
      </c>
      <c r="N318" s="1826" t="e">
        <v>#N/A</v>
      </c>
      <c r="O318" s="1826" t="e">
        <v>#N/A</v>
      </c>
      <c r="P318" s="1826" t="e">
        <v>#N/A</v>
      </c>
      <c r="Q318" s="1826" t="e">
        <v>#N/A</v>
      </c>
      <c r="R318" s="1826" t="e">
        <v>#N/A</v>
      </c>
      <c r="S318" s="1826" t="e">
        <v>#N/A</v>
      </c>
      <c r="T318" s="3018" t="e">
        <v>#N/A</v>
      </c>
    </row>
    <row r="319" spans="1:20">
      <c r="A319" s="483">
        <f t="shared" si="9"/>
        <v>2029.1</v>
      </c>
      <c r="B319" s="1230" t="e">
        <v>#N/A</v>
      </c>
      <c r="C319" s="3019" t="e">
        <f t="shared" si="8"/>
        <v>#N/A</v>
      </c>
      <c r="D319" s="1703" t="e">
        <v>#N/A</v>
      </c>
      <c r="E319" s="1544" t="e">
        <v>#N/A</v>
      </c>
      <c r="F319" s="3020" t="e">
        <v>#N/A</v>
      </c>
      <c r="G319" s="3020" t="e">
        <v>#N/A</v>
      </c>
      <c r="H319" s="3020" t="e">
        <v>#N/A</v>
      </c>
      <c r="I319" s="3020" t="e">
        <v>#N/A</v>
      </c>
      <c r="J319" s="2531" t="e">
        <v>#N/A</v>
      </c>
      <c r="K319" s="1543" t="e">
        <v>#N/A</v>
      </c>
      <c r="L319" s="1826" t="e">
        <v>#N/A</v>
      </c>
      <c r="M319" s="1826" t="e">
        <v>#N/A</v>
      </c>
      <c r="N319" s="1826" t="e">
        <v>#N/A</v>
      </c>
      <c r="O319" s="1826" t="e">
        <v>#N/A</v>
      </c>
      <c r="P319" s="1826" t="e">
        <v>#N/A</v>
      </c>
      <c r="Q319" s="1826" t="e">
        <v>#N/A</v>
      </c>
      <c r="R319" s="1826" t="e">
        <v>#N/A</v>
      </c>
      <c r="S319" s="1826" t="e">
        <v>#N/A</v>
      </c>
      <c r="T319" s="3018" t="e">
        <v>#N/A</v>
      </c>
    </row>
    <row r="320" spans="1:20">
      <c r="A320" s="483">
        <f t="shared" si="9"/>
        <v>2029.11</v>
      </c>
      <c r="B320" s="1230" t="e">
        <v>#N/A</v>
      </c>
      <c r="C320" s="3019" t="e">
        <f t="shared" si="8"/>
        <v>#N/A</v>
      </c>
      <c r="D320" s="1703" t="e">
        <v>#N/A</v>
      </c>
      <c r="E320" s="1544" t="e">
        <v>#N/A</v>
      </c>
      <c r="F320" s="3020" t="e">
        <v>#N/A</v>
      </c>
      <c r="G320" s="3020" t="e">
        <v>#N/A</v>
      </c>
      <c r="H320" s="3020" t="e">
        <v>#N/A</v>
      </c>
      <c r="I320" s="3020" t="e">
        <v>#N/A</v>
      </c>
      <c r="J320" s="2531" t="e">
        <v>#N/A</v>
      </c>
      <c r="K320" s="1543" t="e">
        <v>#N/A</v>
      </c>
      <c r="L320" s="1826" t="e">
        <v>#N/A</v>
      </c>
      <c r="M320" s="1826" t="e">
        <v>#N/A</v>
      </c>
      <c r="N320" s="1826" t="e">
        <v>#N/A</v>
      </c>
      <c r="O320" s="1826" t="e">
        <v>#N/A</v>
      </c>
      <c r="P320" s="1826" t="e">
        <v>#N/A</v>
      </c>
      <c r="Q320" s="1826" t="e">
        <v>#N/A</v>
      </c>
      <c r="R320" s="1826" t="e">
        <v>#N/A</v>
      </c>
      <c r="S320" s="1826" t="e">
        <v>#N/A</v>
      </c>
      <c r="T320" s="3018" t="e">
        <v>#N/A</v>
      </c>
    </row>
    <row r="321" spans="1:20">
      <c r="A321" s="483">
        <f t="shared" si="9"/>
        <v>2029.12</v>
      </c>
      <c r="B321" s="1230" t="e">
        <v>#N/A</v>
      </c>
      <c r="C321" s="3019" t="e">
        <f t="shared" si="8"/>
        <v>#N/A</v>
      </c>
      <c r="D321" s="1703" t="e">
        <v>#N/A</v>
      </c>
      <c r="E321" s="1544" t="e">
        <v>#N/A</v>
      </c>
      <c r="F321" s="3020" t="e">
        <v>#N/A</v>
      </c>
      <c r="G321" s="3020" t="e">
        <v>#N/A</v>
      </c>
      <c r="H321" s="3020" t="e">
        <v>#N/A</v>
      </c>
      <c r="I321" s="3020" t="e">
        <v>#N/A</v>
      </c>
      <c r="J321" s="2531" t="e">
        <v>#N/A</v>
      </c>
      <c r="K321" s="1543" t="e">
        <v>#N/A</v>
      </c>
      <c r="L321" s="1826" t="e">
        <v>#N/A</v>
      </c>
      <c r="M321" s="1826" t="e">
        <v>#N/A</v>
      </c>
      <c r="N321" s="1826" t="e">
        <v>#N/A</v>
      </c>
      <c r="O321" s="1826" t="e">
        <v>#N/A</v>
      </c>
      <c r="P321" s="1826" t="e">
        <v>#N/A</v>
      </c>
      <c r="Q321" s="1826" t="e">
        <v>#N/A</v>
      </c>
      <c r="R321" s="1826" t="e">
        <v>#N/A</v>
      </c>
      <c r="S321" s="1826" t="e">
        <v>#N/A</v>
      </c>
      <c r="T321" s="3018" t="e">
        <v>#N/A</v>
      </c>
    </row>
    <row r="322" spans="1:20">
      <c r="A322" s="483">
        <f t="shared" si="9"/>
        <v>2030.01</v>
      </c>
      <c r="B322" s="1230" t="e">
        <v>#N/A</v>
      </c>
      <c r="C322" s="3019" t="e">
        <f t="shared" si="8"/>
        <v>#N/A</v>
      </c>
      <c r="D322" s="1703" t="e">
        <v>#N/A</v>
      </c>
      <c r="E322" s="1544" t="e">
        <v>#N/A</v>
      </c>
      <c r="F322" s="3020" t="e">
        <v>#N/A</v>
      </c>
      <c r="G322" s="3020" t="e">
        <v>#N/A</v>
      </c>
      <c r="H322" s="3020" t="e">
        <v>#N/A</v>
      </c>
      <c r="I322" s="3020" t="e">
        <v>#N/A</v>
      </c>
      <c r="J322" s="2531" t="e">
        <v>#N/A</v>
      </c>
      <c r="K322" s="1543" t="e">
        <v>#N/A</v>
      </c>
      <c r="L322" s="1826" t="e">
        <v>#N/A</v>
      </c>
      <c r="M322" s="1826" t="e">
        <v>#N/A</v>
      </c>
      <c r="N322" s="1826" t="e">
        <v>#N/A</v>
      </c>
      <c r="O322" s="1826" t="e">
        <v>#N/A</v>
      </c>
      <c r="P322" s="1826" t="e">
        <v>#N/A</v>
      </c>
      <c r="Q322" s="1826" t="e">
        <v>#N/A</v>
      </c>
      <c r="R322" s="1826" t="e">
        <v>#N/A</v>
      </c>
      <c r="S322" s="1826" t="e">
        <v>#N/A</v>
      </c>
      <c r="T322" s="3018" t="e">
        <v>#N/A</v>
      </c>
    </row>
    <row r="323" spans="1:20">
      <c r="A323" s="483">
        <f t="shared" si="9"/>
        <v>2030.02</v>
      </c>
      <c r="B323" s="1230" t="e">
        <v>#N/A</v>
      </c>
      <c r="C323" s="3019" t="e">
        <f t="shared" si="8"/>
        <v>#N/A</v>
      </c>
      <c r="D323" s="1703" t="e">
        <v>#N/A</v>
      </c>
      <c r="E323" s="1544" t="e">
        <v>#N/A</v>
      </c>
      <c r="F323" s="3020" t="e">
        <v>#N/A</v>
      </c>
      <c r="G323" s="3020" t="e">
        <v>#N/A</v>
      </c>
      <c r="H323" s="3020" t="e">
        <v>#N/A</v>
      </c>
      <c r="I323" s="3020" t="e">
        <v>#N/A</v>
      </c>
      <c r="J323" s="2531" t="e">
        <v>#N/A</v>
      </c>
      <c r="K323" s="1543" t="e">
        <v>#N/A</v>
      </c>
      <c r="L323" s="1826" t="e">
        <v>#N/A</v>
      </c>
      <c r="M323" s="1826" t="e">
        <v>#N/A</v>
      </c>
      <c r="N323" s="1826" t="e">
        <v>#N/A</v>
      </c>
      <c r="O323" s="1826" t="e">
        <v>#N/A</v>
      </c>
      <c r="P323" s="1826" t="e">
        <v>#N/A</v>
      </c>
      <c r="Q323" s="1826" t="e">
        <v>#N/A</v>
      </c>
      <c r="R323" s="1826" t="e">
        <v>#N/A</v>
      </c>
      <c r="S323" s="1826" t="e">
        <v>#N/A</v>
      </c>
      <c r="T323" s="3018" t="e">
        <v>#N/A</v>
      </c>
    </row>
    <row r="324" spans="1:20">
      <c r="A324" s="483">
        <f t="shared" si="9"/>
        <v>2030.03</v>
      </c>
      <c r="B324" s="1230" t="e">
        <v>#N/A</v>
      </c>
      <c r="C324" s="3019" t="e">
        <f t="shared" si="8"/>
        <v>#N/A</v>
      </c>
      <c r="D324" s="1703" t="e">
        <v>#N/A</v>
      </c>
      <c r="E324" s="1544" t="e">
        <v>#N/A</v>
      </c>
      <c r="F324" s="3020" t="e">
        <v>#N/A</v>
      </c>
      <c r="G324" s="3020" t="e">
        <v>#N/A</v>
      </c>
      <c r="H324" s="3020" t="e">
        <v>#N/A</v>
      </c>
      <c r="I324" s="3020" t="e">
        <v>#N/A</v>
      </c>
      <c r="J324" s="2531" t="e">
        <v>#N/A</v>
      </c>
      <c r="K324" s="1543" t="e">
        <v>#N/A</v>
      </c>
      <c r="L324" s="1826" t="e">
        <v>#N/A</v>
      </c>
      <c r="M324" s="1826" t="e">
        <v>#N/A</v>
      </c>
      <c r="N324" s="1826" t="e">
        <v>#N/A</v>
      </c>
      <c r="O324" s="1826" t="e">
        <v>#N/A</v>
      </c>
      <c r="P324" s="1826" t="e">
        <v>#N/A</v>
      </c>
      <c r="Q324" s="1826" t="e">
        <v>#N/A</v>
      </c>
      <c r="R324" s="1826" t="e">
        <v>#N/A</v>
      </c>
      <c r="S324" s="1826" t="e">
        <v>#N/A</v>
      </c>
      <c r="T324" s="3018" t="e">
        <v>#N/A</v>
      </c>
    </row>
    <row r="325" spans="1:20">
      <c r="A325" s="483">
        <f t="shared" si="9"/>
        <v>2030.04</v>
      </c>
      <c r="B325" s="1230" t="e">
        <v>#N/A</v>
      </c>
      <c r="C325" s="3019" t="e">
        <f t="shared" si="8"/>
        <v>#N/A</v>
      </c>
      <c r="D325" s="1703" t="e">
        <v>#N/A</v>
      </c>
      <c r="E325" s="1544" t="e">
        <v>#N/A</v>
      </c>
      <c r="F325" s="3020" t="e">
        <v>#N/A</v>
      </c>
      <c r="G325" s="3020" t="e">
        <v>#N/A</v>
      </c>
      <c r="H325" s="3020" t="e">
        <v>#N/A</v>
      </c>
      <c r="I325" s="3020" t="e">
        <v>#N/A</v>
      </c>
      <c r="J325" s="2531" t="e">
        <v>#N/A</v>
      </c>
      <c r="K325" s="1543" t="e">
        <v>#N/A</v>
      </c>
      <c r="L325" s="1826" t="e">
        <v>#N/A</v>
      </c>
      <c r="M325" s="1826" t="e">
        <v>#N/A</v>
      </c>
      <c r="N325" s="1826" t="e">
        <v>#N/A</v>
      </c>
      <c r="O325" s="1826" t="e">
        <v>#N/A</v>
      </c>
      <c r="P325" s="1826" t="e">
        <v>#N/A</v>
      </c>
      <c r="Q325" s="1826" t="e">
        <v>#N/A</v>
      </c>
      <c r="R325" s="1826" t="e">
        <v>#N/A</v>
      </c>
      <c r="S325" s="1826" t="e">
        <v>#N/A</v>
      </c>
      <c r="T325" s="3018" t="e">
        <v>#N/A</v>
      </c>
    </row>
    <row r="326" spans="1:20">
      <c r="A326" s="483">
        <f t="shared" si="9"/>
        <v>2030.05</v>
      </c>
      <c r="B326" s="1230" t="e">
        <v>#N/A</v>
      </c>
      <c r="C326" s="3019" t="e">
        <f t="shared" si="8"/>
        <v>#N/A</v>
      </c>
      <c r="D326" s="1703" t="e">
        <v>#N/A</v>
      </c>
      <c r="E326" s="1544" t="e">
        <v>#N/A</v>
      </c>
      <c r="F326" s="3020" t="e">
        <v>#N/A</v>
      </c>
      <c r="G326" s="3020" t="e">
        <v>#N/A</v>
      </c>
      <c r="H326" s="3020" t="e">
        <v>#N/A</v>
      </c>
      <c r="I326" s="3020" t="e">
        <v>#N/A</v>
      </c>
      <c r="J326" s="2531" t="e">
        <v>#N/A</v>
      </c>
      <c r="K326" s="1543" t="e">
        <v>#N/A</v>
      </c>
      <c r="L326" s="1826" t="e">
        <v>#N/A</v>
      </c>
      <c r="M326" s="1826" t="e">
        <v>#N/A</v>
      </c>
      <c r="N326" s="1826" t="e">
        <v>#N/A</v>
      </c>
      <c r="O326" s="1826" t="e">
        <v>#N/A</v>
      </c>
      <c r="P326" s="1826" t="e">
        <v>#N/A</v>
      </c>
      <c r="Q326" s="1826" t="e">
        <v>#N/A</v>
      </c>
      <c r="R326" s="1826" t="e">
        <v>#N/A</v>
      </c>
      <c r="S326" s="1826" t="e">
        <v>#N/A</v>
      </c>
      <c r="T326" s="3018" t="e">
        <v>#N/A</v>
      </c>
    </row>
    <row r="327" spans="1:20">
      <c r="A327" s="483">
        <f t="shared" si="9"/>
        <v>2030.06</v>
      </c>
      <c r="B327" s="1230" t="e">
        <v>#N/A</v>
      </c>
      <c r="C327" s="3019" t="e">
        <f t="shared" si="8"/>
        <v>#N/A</v>
      </c>
      <c r="D327" s="1703" t="e">
        <v>#N/A</v>
      </c>
      <c r="E327" s="1544" t="e">
        <v>#N/A</v>
      </c>
      <c r="F327" s="3020" t="e">
        <v>#N/A</v>
      </c>
      <c r="G327" s="3020" t="e">
        <v>#N/A</v>
      </c>
      <c r="H327" s="3020" t="e">
        <v>#N/A</v>
      </c>
      <c r="I327" s="3020" t="e">
        <v>#N/A</v>
      </c>
      <c r="J327" s="2531" t="e">
        <v>#N/A</v>
      </c>
      <c r="K327" s="1543" t="e">
        <v>#N/A</v>
      </c>
      <c r="L327" s="1826" t="e">
        <v>#N/A</v>
      </c>
      <c r="M327" s="1826" t="e">
        <v>#N/A</v>
      </c>
      <c r="N327" s="1826" t="e">
        <v>#N/A</v>
      </c>
      <c r="O327" s="1826" t="e">
        <v>#N/A</v>
      </c>
      <c r="P327" s="1826" t="e">
        <v>#N/A</v>
      </c>
      <c r="Q327" s="1826" t="e">
        <v>#N/A</v>
      </c>
      <c r="R327" s="1826" t="e">
        <v>#N/A</v>
      </c>
      <c r="S327" s="1826" t="e">
        <v>#N/A</v>
      </c>
      <c r="T327" s="3018" t="e">
        <v>#N/A</v>
      </c>
    </row>
    <row r="328" spans="1:20">
      <c r="A328" s="483">
        <f t="shared" si="9"/>
        <v>2030.07</v>
      </c>
      <c r="B328" s="1230" t="e">
        <v>#N/A</v>
      </c>
      <c r="C328" s="3019" t="e">
        <f t="shared" si="8"/>
        <v>#N/A</v>
      </c>
      <c r="D328" s="1703" t="e">
        <v>#N/A</v>
      </c>
      <c r="E328" s="1544" t="e">
        <v>#N/A</v>
      </c>
      <c r="F328" s="3020" t="e">
        <v>#N/A</v>
      </c>
      <c r="G328" s="3020" t="e">
        <v>#N/A</v>
      </c>
      <c r="H328" s="3020" t="e">
        <v>#N/A</v>
      </c>
      <c r="I328" s="3020" t="e">
        <v>#N/A</v>
      </c>
      <c r="J328" s="2531" t="e">
        <v>#N/A</v>
      </c>
      <c r="K328" s="1543" t="e">
        <v>#N/A</v>
      </c>
      <c r="L328" s="1826" t="e">
        <v>#N/A</v>
      </c>
      <c r="M328" s="1826" t="e">
        <v>#N/A</v>
      </c>
      <c r="N328" s="1826" t="e">
        <v>#N/A</v>
      </c>
      <c r="O328" s="1826" t="e">
        <v>#N/A</v>
      </c>
      <c r="P328" s="1826" t="e">
        <v>#N/A</v>
      </c>
      <c r="Q328" s="1826" t="e">
        <v>#N/A</v>
      </c>
      <c r="R328" s="1826" t="e">
        <v>#N/A</v>
      </c>
      <c r="S328" s="1826" t="e">
        <v>#N/A</v>
      </c>
      <c r="T328" s="3018" t="e">
        <v>#N/A</v>
      </c>
    </row>
    <row r="329" spans="1:20">
      <c r="A329" s="483">
        <f t="shared" si="9"/>
        <v>2030.08</v>
      </c>
      <c r="B329" s="1230" t="e">
        <v>#N/A</v>
      </c>
      <c r="C329" s="3019" t="e">
        <f t="shared" si="8"/>
        <v>#N/A</v>
      </c>
      <c r="D329" s="1703" t="e">
        <v>#N/A</v>
      </c>
      <c r="E329" s="1544" t="e">
        <v>#N/A</v>
      </c>
      <c r="F329" s="3020" t="e">
        <v>#N/A</v>
      </c>
      <c r="G329" s="3020" t="e">
        <v>#N/A</v>
      </c>
      <c r="H329" s="3020" t="e">
        <v>#N/A</v>
      </c>
      <c r="I329" s="3020" t="e">
        <v>#N/A</v>
      </c>
      <c r="J329" s="2531" t="e">
        <v>#N/A</v>
      </c>
      <c r="K329" s="1543" t="e">
        <v>#N/A</v>
      </c>
      <c r="L329" s="1826" t="e">
        <v>#N/A</v>
      </c>
      <c r="M329" s="1826" t="e">
        <v>#N/A</v>
      </c>
      <c r="N329" s="1826" t="e">
        <v>#N/A</v>
      </c>
      <c r="O329" s="1826" t="e">
        <v>#N/A</v>
      </c>
      <c r="P329" s="1826" t="e">
        <v>#N/A</v>
      </c>
      <c r="Q329" s="1826" t="e">
        <v>#N/A</v>
      </c>
      <c r="R329" s="1826" t="e">
        <v>#N/A</v>
      </c>
      <c r="S329" s="1826" t="e">
        <v>#N/A</v>
      </c>
      <c r="T329" s="3018" t="e">
        <v>#N/A</v>
      </c>
    </row>
    <row r="330" spans="1:20">
      <c r="A330" s="483">
        <f t="shared" si="9"/>
        <v>2030.09</v>
      </c>
      <c r="B330" s="1230" t="e">
        <v>#N/A</v>
      </c>
      <c r="C330" s="3019" t="e">
        <f t="shared" si="8"/>
        <v>#N/A</v>
      </c>
      <c r="D330" s="1703" t="e">
        <v>#N/A</v>
      </c>
      <c r="E330" s="1544" t="e">
        <v>#N/A</v>
      </c>
      <c r="F330" s="3020" t="e">
        <v>#N/A</v>
      </c>
      <c r="G330" s="3020" t="e">
        <v>#N/A</v>
      </c>
      <c r="H330" s="3020" t="e">
        <v>#N/A</v>
      </c>
      <c r="I330" s="3020" t="e">
        <v>#N/A</v>
      </c>
      <c r="J330" s="2531" t="e">
        <v>#N/A</v>
      </c>
      <c r="K330" s="1543" t="e">
        <v>#N/A</v>
      </c>
      <c r="L330" s="1826" t="e">
        <v>#N/A</v>
      </c>
      <c r="M330" s="1826" t="e">
        <v>#N/A</v>
      </c>
      <c r="N330" s="1826" t="e">
        <v>#N/A</v>
      </c>
      <c r="O330" s="1826" t="e">
        <v>#N/A</v>
      </c>
      <c r="P330" s="1826" t="e">
        <v>#N/A</v>
      </c>
      <c r="Q330" s="1826" t="e">
        <v>#N/A</v>
      </c>
      <c r="R330" s="1826" t="e">
        <v>#N/A</v>
      </c>
      <c r="S330" s="1826" t="e">
        <v>#N/A</v>
      </c>
      <c r="T330" s="3018" t="e">
        <v>#N/A</v>
      </c>
    </row>
    <row r="331" spans="1:20">
      <c r="A331" s="483">
        <f t="shared" si="9"/>
        <v>2030.1</v>
      </c>
      <c r="B331" s="1230" t="e">
        <v>#N/A</v>
      </c>
      <c r="C331" s="3019" t="e">
        <f t="shared" si="8"/>
        <v>#N/A</v>
      </c>
      <c r="D331" s="1703" t="e">
        <v>#N/A</v>
      </c>
      <c r="E331" s="1544" t="e">
        <v>#N/A</v>
      </c>
      <c r="F331" s="3020" t="e">
        <v>#N/A</v>
      </c>
      <c r="G331" s="3020" t="e">
        <v>#N/A</v>
      </c>
      <c r="H331" s="3020" t="e">
        <v>#N/A</v>
      </c>
      <c r="I331" s="3020" t="e">
        <v>#N/A</v>
      </c>
      <c r="J331" s="2531" t="e">
        <v>#N/A</v>
      </c>
      <c r="K331" s="1543" t="e">
        <v>#N/A</v>
      </c>
      <c r="L331" s="1826" t="e">
        <v>#N/A</v>
      </c>
      <c r="M331" s="1826" t="e">
        <v>#N/A</v>
      </c>
      <c r="N331" s="1826" t="e">
        <v>#N/A</v>
      </c>
      <c r="O331" s="1826" t="e">
        <v>#N/A</v>
      </c>
      <c r="P331" s="1826" t="e">
        <v>#N/A</v>
      </c>
      <c r="Q331" s="1826" t="e">
        <v>#N/A</v>
      </c>
      <c r="R331" s="1826" t="e">
        <v>#N/A</v>
      </c>
      <c r="S331" s="1826" t="e">
        <v>#N/A</v>
      </c>
      <c r="T331" s="3018" t="e">
        <v>#N/A</v>
      </c>
    </row>
    <row r="332" spans="1:20">
      <c r="A332" s="483">
        <f t="shared" si="9"/>
        <v>2030.11</v>
      </c>
      <c r="B332" s="1230" t="e">
        <v>#N/A</v>
      </c>
      <c r="C332" s="3019" t="e">
        <f t="shared" si="8"/>
        <v>#N/A</v>
      </c>
      <c r="D332" s="1703" t="e">
        <v>#N/A</v>
      </c>
      <c r="E332" s="1544" t="e">
        <v>#N/A</v>
      </c>
      <c r="F332" s="3020" t="e">
        <v>#N/A</v>
      </c>
      <c r="G332" s="3020" t="e">
        <v>#N/A</v>
      </c>
      <c r="H332" s="3020" t="e">
        <v>#N/A</v>
      </c>
      <c r="I332" s="3020" t="e">
        <v>#N/A</v>
      </c>
      <c r="J332" s="2531" t="e">
        <v>#N/A</v>
      </c>
      <c r="K332" s="1543" t="e">
        <v>#N/A</v>
      </c>
      <c r="L332" s="1826" t="e">
        <v>#N/A</v>
      </c>
      <c r="M332" s="1826" t="e">
        <v>#N/A</v>
      </c>
      <c r="N332" s="1826" t="e">
        <v>#N/A</v>
      </c>
      <c r="O332" s="1826" t="e">
        <v>#N/A</v>
      </c>
      <c r="P332" s="1826" t="e">
        <v>#N/A</v>
      </c>
      <c r="Q332" s="1826" t="e">
        <v>#N/A</v>
      </c>
      <c r="R332" s="1826" t="e">
        <v>#N/A</v>
      </c>
      <c r="S332" s="1826" t="e">
        <v>#N/A</v>
      </c>
      <c r="T332" s="3018" t="e">
        <v>#N/A</v>
      </c>
    </row>
    <row r="333" spans="1:20">
      <c r="A333" s="483">
        <f t="shared" si="9"/>
        <v>2030.12</v>
      </c>
      <c r="B333" s="1230" t="e">
        <v>#N/A</v>
      </c>
      <c r="C333" s="3019" t="e">
        <f t="shared" ref="C333" si="10">B333/B332-1</f>
        <v>#N/A</v>
      </c>
      <c r="D333" s="1703" t="e">
        <v>#N/A</v>
      </c>
      <c r="E333" s="1544" t="e">
        <v>#N/A</v>
      </c>
      <c r="F333" s="3020" t="e">
        <v>#N/A</v>
      </c>
      <c r="G333" s="3020" t="e">
        <v>#N/A</v>
      </c>
      <c r="H333" s="3020" t="e">
        <v>#N/A</v>
      </c>
      <c r="I333" s="3020" t="e">
        <v>#N/A</v>
      </c>
      <c r="J333" s="2531" t="e">
        <v>#N/A</v>
      </c>
      <c r="K333" s="1543" t="e">
        <v>#N/A</v>
      </c>
      <c r="L333" s="1826" t="e">
        <v>#N/A</v>
      </c>
      <c r="M333" s="1826" t="e">
        <v>#N/A</v>
      </c>
      <c r="N333" s="1826" t="e">
        <v>#N/A</v>
      </c>
      <c r="O333" s="1826" t="e">
        <v>#N/A</v>
      </c>
      <c r="P333" s="1826" t="e">
        <v>#N/A</v>
      </c>
      <c r="Q333" s="1826" t="e">
        <v>#N/A</v>
      </c>
      <c r="R333" s="1826" t="e">
        <v>#N/A</v>
      </c>
      <c r="S333" s="1826" t="e">
        <v>#N/A</v>
      </c>
      <c r="T333" s="3018" t="e">
        <v>#N/A</v>
      </c>
    </row>
    <row r="334" spans="1:20">
      <c r="A334" s="1797"/>
      <c r="B334" s="1796"/>
      <c r="C334" s="1796"/>
      <c r="D334" s="1796"/>
      <c r="E334" s="1796"/>
      <c r="F334" s="1796"/>
      <c r="G334" s="1796"/>
      <c r="H334" s="1796"/>
      <c r="I334" s="1796"/>
      <c r="J334" s="1796"/>
      <c r="K334" s="1796"/>
      <c r="L334" s="1796"/>
      <c r="M334" s="1796"/>
      <c r="N334" s="1796"/>
      <c r="O334" s="1796"/>
      <c r="P334" s="1796"/>
      <c r="Q334" s="1796"/>
      <c r="R334" s="1796"/>
      <c r="S334" s="1796"/>
      <c r="T334" s="1796"/>
    </row>
    <row r="335" spans="1:20">
      <c r="A335" s="1796"/>
      <c r="B335" s="1796"/>
      <c r="C335" s="1796"/>
      <c r="D335" s="1796"/>
      <c r="E335" s="1796"/>
      <c r="F335" s="1796"/>
      <c r="G335" s="1796"/>
      <c r="H335" s="1796"/>
      <c r="I335" s="1796"/>
      <c r="J335" s="1796"/>
      <c r="K335" s="1796"/>
      <c r="L335" s="1796"/>
      <c r="M335" s="1796"/>
      <c r="N335" s="1796"/>
      <c r="O335" s="1796"/>
      <c r="P335" s="1796"/>
      <c r="Q335" s="1796"/>
      <c r="R335" s="1796"/>
      <c r="S335" s="1796"/>
      <c r="T335" s="1796"/>
    </row>
    <row r="336" spans="1:20">
      <c r="A336" s="1796"/>
      <c r="B336" s="1796"/>
      <c r="C336" s="1796"/>
      <c r="D336" s="1796"/>
      <c r="E336" s="1796"/>
      <c r="F336" s="1796"/>
      <c r="G336" s="1796"/>
      <c r="H336" s="1796"/>
      <c r="I336" s="1796"/>
      <c r="J336" s="1796"/>
      <c r="K336" s="1796"/>
      <c r="L336" s="1796"/>
      <c r="M336" s="1796"/>
      <c r="N336" s="1796"/>
      <c r="O336" s="1796"/>
      <c r="P336" s="1796"/>
      <c r="Q336" s="1796"/>
      <c r="R336" s="1796"/>
      <c r="S336" s="1796"/>
      <c r="T336" s="1796"/>
    </row>
    <row r="337" s="265" customFormat="1"/>
    <row r="338" s="265" customFormat="1"/>
    <row r="339" s="265" customFormat="1"/>
    <row r="340" s="265" customFormat="1"/>
    <row r="341" s="265" customFormat="1"/>
    <row r="342" s="265" customFormat="1"/>
    <row r="343" s="265" customFormat="1"/>
    <row r="344" s="265" customFormat="1"/>
    <row r="345" s="265" customFormat="1"/>
    <row r="346" s="265" customFormat="1"/>
    <row r="347" s="265" customFormat="1"/>
    <row r="348" s="265" customFormat="1"/>
    <row r="349" s="265" customFormat="1"/>
    <row r="350" s="265" customFormat="1"/>
    <row r="351" s="265" customFormat="1"/>
    <row r="352" s="265" customFormat="1"/>
    <row r="353" s="265" customFormat="1"/>
    <row r="354" s="265" customFormat="1"/>
    <row r="355" s="265" customFormat="1"/>
    <row r="356" s="265" customFormat="1"/>
    <row r="357" s="265" customFormat="1"/>
    <row r="358" s="265" customFormat="1"/>
    <row r="359" s="265" customFormat="1"/>
  </sheetData>
  <phoneticPr fontId="62" type="noConversion"/>
  <hyperlinks>
    <hyperlink ref="A5" location="INDICE!A13" display="VOLVER AL INDICE" xr:uid="{F7F3F2B5-6693-4640-AC42-DBDFE0558E8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fitToPage="1"/>
  </sheetPr>
  <dimension ref="A1:M470"/>
  <sheetViews>
    <sheetView zoomScale="130" zoomScaleNormal="130" workbookViewId="0">
      <pane xSplit="1" ySplit="9" topLeftCell="B387" activePane="bottomRight" state="frozen"/>
      <selection pane="topRight" activeCell="A5" sqref="A5"/>
      <selection pane="bottomLeft" activeCell="A5" sqref="A5"/>
      <selection pane="bottomRight" activeCell="B397" sqref="B397"/>
    </sheetView>
  </sheetViews>
  <sheetFormatPr baseColWidth="10" defaultColWidth="11.42578125" defaultRowHeight="12.75"/>
  <cols>
    <col min="1" max="1" width="10.5703125" style="461" customWidth="1"/>
    <col min="2" max="2" width="14.5703125" style="461" bestFit="1" customWidth="1"/>
    <col min="3" max="4" width="15.5703125" style="461" customWidth="1"/>
    <col min="5" max="5" width="15.5703125" style="1769" customWidth="1"/>
    <col min="6" max="6" width="15.5703125" style="461" customWidth="1"/>
    <col min="7" max="7" width="15.5703125" style="1769" customWidth="1"/>
    <col min="8" max="8" width="4.140625" style="265" customWidth="1"/>
    <col min="9" max="9" width="12.42578125" style="265" bestFit="1" customWidth="1"/>
    <col min="10" max="16384" width="11.42578125" style="265"/>
  </cols>
  <sheetData>
    <row r="1" spans="1:9" s="1765" customFormat="1" ht="3" customHeight="1">
      <c r="A1" s="34"/>
      <c r="B1" s="77"/>
      <c r="C1" s="78"/>
      <c r="D1" s="78"/>
      <c r="E1" s="168"/>
      <c r="F1" s="2387"/>
      <c r="G1" s="1759"/>
      <c r="H1" s="1787"/>
      <c r="I1" s="1787"/>
    </row>
    <row r="2" spans="1:9" s="1765" customFormat="1" ht="47.25" customHeight="1">
      <c r="A2" s="59" t="s">
        <v>105</v>
      </c>
      <c r="B2" s="66" t="s">
        <v>209</v>
      </c>
      <c r="C2" s="1788"/>
      <c r="D2" s="2379"/>
      <c r="E2" s="2388"/>
      <c r="F2" s="2379" t="s">
        <v>210</v>
      </c>
      <c r="G2" s="1827" t="s">
        <v>211</v>
      </c>
      <c r="H2" s="1787"/>
      <c r="I2" s="1787"/>
    </row>
    <row r="3" spans="1:9" s="1765" customFormat="1" ht="45">
      <c r="A3" s="36" t="s">
        <v>212</v>
      </c>
      <c r="B3" s="66" t="s">
        <v>132</v>
      </c>
      <c r="C3" s="1788"/>
      <c r="D3" s="2379"/>
      <c r="E3" s="2388"/>
      <c r="F3" s="2379" t="s">
        <v>213</v>
      </c>
      <c r="G3" s="1827" t="s">
        <v>214</v>
      </c>
      <c r="H3" s="1787"/>
      <c r="I3" s="1787"/>
    </row>
    <row r="4" spans="1:9" s="1765" customFormat="1" ht="3" hidden="1" customHeight="1">
      <c r="A4" s="34"/>
      <c r="B4" s="77"/>
      <c r="C4" s="78"/>
      <c r="D4" s="78"/>
      <c r="E4" s="168"/>
      <c r="F4" s="2387"/>
      <c r="G4" s="1759"/>
      <c r="H4" s="1787"/>
      <c r="I4" s="1787"/>
    </row>
    <row r="5" spans="1:9" s="1765" customFormat="1" ht="22.5">
      <c r="A5" s="2390" t="s">
        <v>137</v>
      </c>
      <c r="B5" s="7" t="s">
        <v>215</v>
      </c>
      <c r="C5" s="1318" t="s">
        <v>216</v>
      </c>
      <c r="D5" s="1318" t="s">
        <v>217</v>
      </c>
      <c r="E5" s="1684" t="s">
        <v>218</v>
      </c>
      <c r="F5" s="6" t="s">
        <v>215</v>
      </c>
      <c r="G5" s="1828" t="s">
        <v>216</v>
      </c>
      <c r="H5" s="1787"/>
      <c r="I5" s="1787"/>
    </row>
    <row r="6" spans="1:9" s="1765" customFormat="1" ht="3" hidden="1" customHeight="1">
      <c r="A6" s="34"/>
      <c r="B6" s="77"/>
      <c r="C6" s="652"/>
      <c r="D6" s="652"/>
      <c r="E6" s="168"/>
      <c r="F6" s="2387"/>
      <c r="G6" s="1759"/>
      <c r="H6" s="1787"/>
      <c r="I6" s="1787"/>
    </row>
    <row r="7" spans="1:9" s="1765" customFormat="1" ht="22.5">
      <c r="A7" s="2373" t="s">
        <v>123</v>
      </c>
      <c r="B7" s="7" t="s">
        <v>154</v>
      </c>
      <c r="C7" s="1318" t="s">
        <v>154</v>
      </c>
      <c r="D7" s="1318" t="s">
        <v>154</v>
      </c>
      <c r="E7" s="1684" t="s">
        <v>130</v>
      </c>
      <c r="F7" s="6" t="s">
        <v>128</v>
      </c>
      <c r="G7" s="1828" t="s">
        <v>154</v>
      </c>
      <c r="H7" s="1787"/>
      <c r="I7" s="1787"/>
    </row>
    <row r="8" spans="1:9" s="1765" customFormat="1">
      <c r="A8" s="147" t="s">
        <v>141</v>
      </c>
      <c r="B8" s="1203" t="s">
        <v>219</v>
      </c>
      <c r="C8" s="649" t="s">
        <v>220</v>
      </c>
      <c r="D8" s="649" t="s">
        <v>221</v>
      </c>
      <c r="E8" s="1217" t="s">
        <v>222</v>
      </c>
      <c r="F8" s="1203" t="s">
        <v>223</v>
      </c>
      <c r="G8" s="1760" t="s">
        <v>224</v>
      </c>
      <c r="H8" s="1787"/>
      <c r="I8" s="1787"/>
    </row>
    <row r="9" spans="1:9" s="1829" customFormat="1" ht="13.5" thickBot="1">
      <c r="A9" s="2546"/>
      <c r="B9" s="1793"/>
      <c r="C9" s="1794"/>
      <c r="D9" s="1794"/>
      <c r="E9" s="2516">
        <f>100/AVERAGE(D22:D33)</f>
        <v>1.1187370828391254</v>
      </c>
      <c r="F9" s="792"/>
      <c r="G9" s="2547" t="e">
        <f>100/AVERAGE(#REF!)</f>
        <v>#REF!</v>
      </c>
    </row>
    <row r="10" spans="1:9" s="1766" customFormat="1">
      <c r="A10" s="63">
        <v>1993.01</v>
      </c>
      <c r="B10" s="289"/>
      <c r="C10" s="653">
        <v>82.993581575649372</v>
      </c>
      <c r="D10" s="2843">
        <v>81.718263802642298</v>
      </c>
      <c r="E10" s="288">
        <f>D10*$E$9</f>
        <v>91.421252061246136</v>
      </c>
      <c r="F10" s="209">
        <v>94.851038222698165</v>
      </c>
      <c r="G10" s="1761"/>
      <c r="H10" s="1830"/>
      <c r="I10" s="1830"/>
    </row>
    <row r="11" spans="1:9" s="1766" customFormat="1">
      <c r="A11" s="63">
        <v>1993.02</v>
      </c>
      <c r="B11" s="289"/>
      <c r="C11" s="2843">
        <v>80.786689292880126</v>
      </c>
      <c r="D11" s="2843">
        <v>82.115070532034082</v>
      </c>
      <c r="E11" s="288">
        <f t="shared" ref="E11:E73" si="0">D11*$E$9</f>
        <v>91.865174464136842</v>
      </c>
      <c r="F11" s="1668">
        <v>82.608051855394393</v>
      </c>
      <c r="G11" s="1761"/>
      <c r="H11" s="1830"/>
      <c r="I11" s="1830"/>
    </row>
    <row r="12" spans="1:9" s="1766" customFormat="1">
      <c r="A12" s="63">
        <v>1993.03</v>
      </c>
      <c r="B12" s="289"/>
      <c r="C12" s="2843">
        <v>82.522558701424117</v>
      </c>
      <c r="D12" s="2843">
        <v>82.621778401840359</v>
      </c>
      <c r="E12" s="288">
        <f>D12*$E$9</f>
        <v>92.432047348255537</v>
      </c>
      <c r="F12" s="1668">
        <v>97.933247242811262</v>
      </c>
      <c r="G12" s="1761"/>
      <c r="H12" s="1830"/>
      <c r="I12" s="1830"/>
    </row>
    <row r="13" spans="1:9" s="1766" customFormat="1">
      <c r="A13" s="63">
        <v>1993.04</v>
      </c>
      <c r="B13" s="289"/>
      <c r="C13" s="2843">
        <v>83.624011158031152</v>
      </c>
      <c r="D13" s="2843">
        <v>83.202654372459975</v>
      </c>
      <c r="E13" s="288">
        <f t="shared" si="0"/>
        <v>93.081894837117872</v>
      </c>
      <c r="F13" s="1668">
        <v>100.28783177229261</v>
      </c>
      <c r="G13" s="1761"/>
      <c r="H13" s="1830"/>
      <c r="I13" s="1830"/>
    </row>
    <row r="14" spans="1:9" s="1766" customFormat="1">
      <c r="A14" s="63">
        <v>1993.05</v>
      </c>
      <c r="B14" s="289"/>
      <c r="C14" s="2843">
        <v>84.655367787924689</v>
      </c>
      <c r="D14" s="2843">
        <v>83.831898518448355</v>
      </c>
      <c r="E14" s="288">
        <f t="shared" si="0"/>
        <v>93.785853597394521</v>
      </c>
      <c r="F14" s="1668">
        <v>100.35310762332527</v>
      </c>
      <c r="G14" s="1761"/>
      <c r="H14" s="1830"/>
      <c r="I14" s="1830"/>
    </row>
    <row r="15" spans="1:9" s="1766" customFormat="1">
      <c r="A15" s="63">
        <v>1993.06</v>
      </c>
      <c r="B15" s="289"/>
      <c r="C15" s="2843">
        <v>84.647762729732094</v>
      </c>
      <c r="D15" s="2843">
        <v>84.467655598480022</v>
      </c>
      <c r="E15" s="288">
        <f t="shared" si="0"/>
        <v>94.497098618503458</v>
      </c>
      <c r="F15" s="1668">
        <v>102.10758147506452</v>
      </c>
      <c r="G15" s="1761"/>
      <c r="H15" s="1830"/>
      <c r="I15" s="1830"/>
    </row>
    <row r="16" spans="1:9" s="1766" customFormat="1">
      <c r="A16" s="63">
        <v>1993.07</v>
      </c>
      <c r="B16" s="289"/>
      <c r="C16" s="2843">
        <v>85.178847080214837</v>
      </c>
      <c r="D16" s="2843">
        <v>85.055836188539033</v>
      </c>
      <c r="E16" s="288">
        <f t="shared" si="0"/>
        <v>95.155118056008675</v>
      </c>
      <c r="F16" s="1668">
        <v>103.88347279870972</v>
      </c>
      <c r="G16" s="1761"/>
      <c r="H16" s="1830"/>
      <c r="I16" s="1830"/>
    </row>
    <row r="17" spans="1:9" s="1766" customFormat="1">
      <c r="A17" s="63">
        <v>1993.08</v>
      </c>
      <c r="B17" s="289"/>
      <c r="C17" s="2843">
        <v>86.081772394984711</v>
      </c>
      <c r="D17" s="2843">
        <v>85.557322689393146</v>
      </c>
      <c r="E17" s="288">
        <f t="shared" si="0"/>
        <v>95.71614960105741</v>
      </c>
      <c r="F17" s="1668">
        <v>101.74364889416979</v>
      </c>
      <c r="G17" s="1761"/>
      <c r="H17" s="1830"/>
      <c r="I17" s="1830"/>
    </row>
    <row r="18" spans="1:9" s="1766" customFormat="1">
      <c r="A18" s="63">
        <v>1993.09</v>
      </c>
      <c r="B18" s="289"/>
      <c r="C18" s="2843">
        <v>86.718658390005174</v>
      </c>
      <c r="D18" s="2843">
        <v>85.976337073048057</v>
      </c>
      <c r="E18" s="288">
        <f t="shared" si="0"/>
        <v>96.184916530295141</v>
      </c>
      <c r="F18" s="1668">
        <v>103.07673394152368</v>
      </c>
      <c r="G18" s="1761"/>
      <c r="H18" s="1830"/>
      <c r="I18" s="1830"/>
    </row>
    <row r="19" spans="1:9" s="1766" customFormat="1">
      <c r="A19" s="63">
        <v>1993.1</v>
      </c>
      <c r="B19" s="289"/>
      <c r="C19" s="2843">
        <v>86.264253564382329</v>
      </c>
      <c r="D19" s="2843">
        <v>86.336658247342001</v>
      </c>
      <c r="E19" s="288">
        <f t="shared" si="0"/>
        <v>96.588021189709906</v>
      </c>
      <c r="F19" s="1668">
        <v>103.292750571228</v>
      </c>
      <c r="G19" s="1761"/>
      <c r="H19" s="1830"/>
      <c r="I19" s="1830"/>
    </row>
    <row r="20" spans="1:9" s="1766" customFormat="1">
      <c r="A20" s="63">
        <v>1993.11</v>
      </c>
      <c r="B20" s="289"/>
      <c r="C20" s="2843">
        <v>86.64676713821261</v>
      </c>
      <c r="D20" s="2843">
        <v>86.677944581688152</v>
      </c>
      <c r="E20" s="288">
        <f t="shared" si="0"/>
        <v>96.969830867809179</v>
      </c>
      <c r="F20" s="1668">
        <v>104.53856708089914</v>
      </c>
      <c r="G20" s="1761"/>
      <c r="H20" s="1830"/>
      <c r="I20" s="1830"/>
    </row>
    <row r="21" spans="1:9" s="1766" customFormat="1" ht="13.5" thickBot="1">
      <c r="A21" s="63">
        <v>1993.12</v>
      </c>
      <c r="B21" s="289"/>
      <c r="C21" s="2843">
        <v>86.633296824843654</v>
      </c>
      <c r="D21" s="2843">
        <v>87.037664953649767</v>
      </c>
      <c r="E21" s="288">
        <f t="shared" si="0"/>
        <v>97.372263387375327</v>
      </c>
      <c r="F21" s="1668">
        <v>105.32396852188333</v>
      </c>
      <c r="G21" s="1761"/>
      <c r="H21" s="1830"/>
      <c r="I21" s="1830"/>
    </row>
    <row r="22" spans="1:9">
      <c r="A22" s="63">
        <v>1994.01</v>
      </c>
      <c r="B22" s="289"/>
      <c r="C22" s="2843">
        <v>89.925506185270891</v>
      </c>
      <c r="D22" s="2843">
        <v>87.427885696804978</v>
      </c>
      <c r="E22" s="288">
        <f t="shared" si="0"/>
        <v>97.808817803236096</v>
      </c>
      <c r="F22" s="1668">
        <v>102.59241915420699</v>
      </c>
      <c r="G22" s="1762">
        <v>87.113435397086349</v>
      </c>
      <c r="H22" s="1831"/>
      <c r="I22" s="1830"/>
    </row>
    <row r="23" spans="1:9">
      <c r="A23" s="63">
        <v>1994.02</v>
      </c>
      <c r="B23" s="289"/>
      <c r="C23" s="2843">
        <v>86.41966445953544</v>
      </c>
      <c r="D23" s="2843">
        <v>87.841352271099097</v>
      </c>
      <c r="E23" s="288">
        <f t="shared" si="0"/>
        <v>98.271378192413394</v>
      </c>
      <c r="F23" s="1668">
        <v>91.320890535521144</v>
      </c>
      <c r="G23" s="254">
        <v>87.440438343303356</v>
      </c>
      <c r="H23" s="1831"/>
      <c r="I23" s="1830"/>
    </row>
    <row r="24" spans="1:9">
      <c r="A24" s="63">
        <v>1994.03</v>
      </c>
      <c r="B24" s="289"/>
      <c r="C24" s="2843">
        <v>88.179346570737579</v>
      </c>
      <c r="D24" s="2843">
        <v>88.267748637566058</v>
      </c>
      <c r="E24" s="288">
        <f t="shared" si="0"/>
        <v>98.748403619567839</v>
      </c>
      <c r="F24" s="1668">
        <v>104.96222033665941</v>
      </c>
      <c r="G24" s="254">
        <v>87.746513771459846</v>
      </c>
      <c r="H24" s="1831"/>
      <c r="I24" s="1830"/>
    </row>
    <row r="25" spans="1:9">
      <c r="A25" s="63">
        <v>1994.04</v>
      </c>
      <c r="B25" s="289"/>
      <c r="C25" s="2843">
        <v>89.897252811711553</v>
      </c>
      <c r="D25" s="2843">
        <v>88.695699172009952</v>
      </c>
      <c r="E25" s="288">
        <f t="shared" si="0"/>
        <v>99.22716775207104</v>
      </c>
      <c r="F25" s="1668">
        <v>109.00918664694312</v>
      </c>
      <c r="G25" s="254">
        <v>88.300634997987757</v>
      </c>
      <c r="H25" s="1831"/>
      <c r="I25" s="1830"/>
    </row>
    <row r="26" spans="1:9">
      <c r="A26" s="63">
        <v>1994.05</v>
      </c>
      <c r="B26" s="289"/>
      <c r="C26" s="2843">
        <v>89.752047396292539</v>
      </c>
      <c r="D26" s="2843">
        <v>89.113862860704359</v>
      </c>
      <c r="E26" s="288">
        <f t="shared" si="0"/>
        <v>99.694982977310275</v>
      </c>
      <c r="F26" s="1668">
        <v>109.61050859038052</v>
      </c>
      <c r="G26" s="254">
        <v>88.688176644408998</v>
      </c>
      <c r="H26" s="1831"/>
      <c r="I26" s="1830"/>
    </row>
    <row r="27" spans="1:9">
      <c r="A27" s="63">
        <v>1994.06</v>
      </c>
      <c r="B27" s="289"/>
      <c r="C27" s="2843">
        <v>89.415440808340705</v>
      </c>
      <c r="D27" s="2843">
        <v>89.513306681720479</v>
      </c>
      <c r="E27" s="288">
        <f t="shared" si="0"/>
        <v>100.14185559239196</v>
      </c>
      <c r="F27" s="1668">
        <v>106.28950494379687</v>
      </c>
      <c r="G27" s="254">
        <v>88.781433579793344</v>
      </c>
      <c r="H27" s="1831"/>
      <c r="I27" s="1830"/>
    </row>
    <row r="28" spans="1:9">
      <c r="A28" s="63">
        <v>1994.07</v>
      </c>
      <c r="B28" s="289"/>
      <c r="C28" s="2843">
        <v>88.977818107262991</v>
      </c>
      <c r="D28" s="2843">
        <v>89.88244457348047</v>
      </c>
      <c r="E28" s="288">
        <f t="shared" si="0"/>
        <v>100.55482384058492</v>
      </c>
      <c r="F28" s="1668">
        <v>107.87429589886912</v>
      </c>
      <c r="G28" s="254">
        <v>88.827046643423657</v>
      </c>
      <c r="H28" s="1831"/>
      <c r="I28" s="1830"/>
    </row>
    <row r="29" spans="1:9">
      <c r="A29" s="63">
        <v>1994.08</v>
      </c>
      <c r="B29" s="289"/>
      <c r="C29" s="2843">
        <v>89.770275148397971</v>
      </c>
      <c r="D29" s="2843">
        <v>90.196361495090599</v>
      </c>
      <c r="E29" s="288">
        <f t="shared" si="0"/>
        <v>100.90601434172088</v>
      </c>
      <c r="F29" s="1668">
        <v>108.77197462801324</v>
      </c>
      <c r="G29" s="254">
        <v>88.98446234025144</v>
      </c>
      <c r="H29" s="1831"/>
      <c r="I29" s="1830"/>
    </row>
    <row r="30" spans="1:9">
      <c r="A30" s="63">
        <v>1994.09</v>
      </c>
      <c r="B30" s="289"/>
      <c r="C30" s="2843">
        <v>90.505343589044784</v>
      </c>
      <c r="D30" s="2843">
        <v>90.427792489533502</v>
      </c>
      <c r="E30" s="288">
        <f t="shared" si="0"/>
        <v>101.16492477732248</v>
      </c>
      <c r="F30" s="1668">
        <v>109.43373268617469</v>
      </c>
      <c r="G30" s="254">
        <v>89.320542938001111</v>
      </c>
      <c r="H30" s="1831"/>
      <c r="I30" s="1830"/>
    </row>
    <row r="31" spans="1:9">
      <c r="A31" s="63">
        <v>1994.1</v>
      </c>
      <c r="B31" s="289"/>
      <c r="C31" s="2843">
        <v>90.361075646143675</v>
      </c>
      <c r="D31" s="2843">
        <v>90.539338386970783</v>
      </c>
      <c r="E31" s="288">
        <f t="shared" si="0"/>
        <v>101.28971530922414</v>
      </c>
      <c r="F31" s="1668">
        <v>108.12184425985082</v>
      </c>
      <c r="G31" s="254">
        <v>89.655743120977817</v>
      </c>
      <c r="H31" s="1831"/>
      <c r="I31" s="1830"/>
    </row>
    <row r="32" spans="1:9">
      <c r="A32" s="63">
        <v>1994.11</v>
      </c>
      <c r="B32" s="289"/>
      <c r="C32" s="2843">
        <v>91.081119926412299</v>
      </c>
      <c r="D32" s="2843">
        <v>90.489275582320047</v>
      </c>
      <c r="E32" s="288">
        <f t="shared" si="0"/>
        <v>101.23370819319044</v>
      </c>
      <c r="F32" s="1668">
        <v>109.66924851177457</v>
      </c>
      <c r="G32" s="254">
        <v>89.645760732692011</v>
      </c>
      <c r="H32" s="1831"/>
      <c r="I32" s="1830"/>
    </row>
    <row r="33" spans="1:9">
      <c r="A33" s="63">
        <v>1994.12</v>
      </c>
      <c r="B33" s="289"/>
      <c r="C33" s="2843">
        <v>91.808461527196513</v>
      </c>
      <c r="D33" s="2843">
        <v>90.243015226379285</v>
      </c>
      <c r="E33" s="288">
        <f t="shared" si="0"/>
        <v>100.95820760096633</v>
      </c>
      <c r="F33" s="1668">
        <v>108.93432762894489</v>
      </c>
      <c r="G33" s="254">
        <v>89.388113210209326</v>
      </c>
      <c r="H33" s="1831"/>
      <c r="I33" s="1830"/>
    </row>
    <row r="34" spans="1:9">
      <c r="A34" s="63">
        <v>1995.01</v>
      </c>
      <c r="B34" s="289"/>
      <c r="C34" s="2843">
        <v>89.24399364975956</v>
      </c>
      <c r="D34" s="2843">
        <v>89.794278755025331</v>
      </c>
      <c r="E34" s="288">
        <f t="shared" si="0"/>
        <v>100.4561894700403</v>
      </c>
      <c r="F34" s="1668">
        <v>101.00853653191163</v>
      </c>
      <c r="G34" s="254">
        <v>88.744054378906995</v>
      </c>
      <c r="H34" s="1831"/>
      <c r="I34" s="1830"/>
    </row>
    <row r="35" spans="1:9">
      <c r="A35" s="63">
        <v>1995.02</v>
      </c>
      <c r="B35" s="289"/>
      <c r="C35" s="2843">
        <v>90.43670348685626</v>
      </c>
      <c r="D35" s="2843">
        <v>89.180789594235875</v>
      </c>
      <c r="E35" s="288">
        <f t="shared" si="0"/>
        <v>99.769856395945283</v>
      </c>
      <c r="F35" s="1668">
        <v>98.963695689687768</v>
      </c>
      <c r="G35" s="254">
        <v>87.942360499238305</v>
      </c>
      <c r="H35" s="1831"/>
      <c r="I35" s="1830"/>
    </row>
    <row r="36" spans="1:9">
      <c r="A36" s="63">
        <v>1995.03</v>
      </c>
      <c r="B36" s="289"/>
      <c r="C36" s="2843">
        <v>89.051149459170432</v>
      </c>
      <c r="D36" s="2843">
        <v>88.467272045962346</v>
      </c>
      <c r="E36" s="288">
        <f t="shared" si="0"/>
        <v>98.971617855435227</v>
      </c>
      <c r="F36" s="1668">
        <v>106.33810335883939</v>
      </c>
      <c r="G36" s="254">
        <v>86.843163639566313</v>
      </c>
      <c r="H36" s="1831"/>
      <c r="I36" s="1830"/>
    </row>
    <row r="37" spans="1:9">
      <c r="A37" s="63">
        <v>1995.04</v>
      </c>
      <c r="B37" s="289"/>
      <c r="C37" s="2843">
        <v>85.275630767457827</v>
      </c>
      <c r="D37" s="2843">
        <v>87.736922859648629</v>
      </c>
      <c r="E37" s="288">
        <f t="shared" si="0"/>
        <v>98.15454913728469</v>
      </c>
      <c r="F37" s="1668">
        <v>103.6207508449742</v>
      </c>
      <c r="G37" s="254">
        <v>85.819777065747957</v>
      </c>
      <c r="H37" s="1831"/>
      <c r="I37" s="1830"/>
    </row>
    <row r="38" spans="1:9">
      <c r="A38" s="63">
        <v>1995.05</v>
      </c>
      <c r="B38" s="289"/>
      <c r="C38" s="2843">
        <v>86.383778402520846</v>
      </c>
      <c r="D38" s="2843">
        <v>87.073464302655239</v>
      </c>
      <c r="E38" s="288">
        <f t="shared" si="0"/>
        <v>97.41231344664925</v>
      </c>
      <c r="F38" s="1668">
        <v>109.74967862895623</v>
      </c>
      <c r="G38" s="254">
        <v>84.837753766944374</v>
      </c>
      <c r="H38" s="1831"/>
      <c r="I38" s="1830"/>
    </row>
    <row r="39" spans="1:9">
      <c r="A39" s="63">
        <v>1995.06</v>
      </c>
      <c r="B39" s="289"/>
      <c r="C39" s="2843">
        <v>86.945790593461155</v>
      </c>
      <c r="D39" s="2843">
        <v>86.549023190232532</v>
      </c>
      <c r="E39" s="288">
        <f t="shared" si="0"/>
        <v>96.825601726416565</v>
      </c>
      <c r="F39" s="1668">
        <v>101.82207780766292</v>
      </c>
      <c r="G39" s="254">
        <v>84.065276506653802</v>
      </c>
      <c r="H39" s="1831"/>
      <c r="I39" s="1830"/>
    </row>
    <row r="40" spans="1:9">
      <c r="A40" s="63">
        <v>1995.07</v>
      </c>
      <c r="B40" s="289"/>
      <c r="C40" s="2843">
        <v>86.633622403640075</v>
      </c>
      <c r="D40" s="2843">
        <v>86.203196099001417</v>
      </c>
      <c r="E40" s="288">
        <f t="shared" si="0"/>
        <v>96.438712135205918</v>
      </c>
      <c r="F40" s="1668">
        <v>104.27749186380861</v>
      </c>
      <c r="G40" s="254">
        <v>83.469446875564088</v>
      </c>
      <c r="H40" s="1831"/>
      <c r="I40" s="1830"/>
    </row>
    <row r="41" spans="1:9">
      <c r="A41" s="63">
        <v>1995.08</v>
      </c>
      <c r="B41" s="289"/>
      <c r="C41" s="2843">
        <v>85.471906585817109</v>
      </c>
      <c r="D41" s="2843">
        <v>86.048090936876022</v>
      </c>
      <c r="E41" s="288">
        <f t="shared" si="0"/>
        <v>96.265190238596475</v>
      </c>
      <c r="F41" s="1668">
        <v>102.2955495098345</v>
      </c>
      <c r="G41" s="254">
        <v>83.125024798577158</v>
      </c>
      <c r="H41" s="1831"/>
      <c r="I41" s="1830"/>
    </row>
    <row r="42" spans="1:9">
      <c r="A42" s="63">
        <v>1995.09</v>
      </c>
      <c r="B42" s="289"/>
      <c r="C42" s="2843">
        <v>85.856912197179113</v>
      </c>
      <c r="D42" s="2843">
        <v>86.081085299087079</v>
      </c>
      <c r="E42" s="288">
        <f t="shared" si="0"/>
        <v>96.302102255126599</v>
      </c>
      <c r="F42" s="1668">
        <v>100.62237821165996</v>
      </c>
      <c r="G42" s="254">
        <v>82.964413847228911</v>
      </c>
      <c r="H42" s="1831"/>
      <c r="I42" s="1830"/>
    </row>
    <row r="43" spans="1:9">
      <c r="A43" s="63">
        <v>1995.1</v>
      </c>
      <c r="B43" s="289"/>
      <c r="C43" s="2843">
        <v>86.521267545840161</v>
      </c>
      <c r="D43" s="2843">
        <v>86.289215550907727</v>
      </c>
      <c r="E43" s="288">
        <f t="shared" si="0"/>
        <v>96.534945285899013</v>
      </c>
      <c r="F43" s="1668">
        <v>102.57416842773334</v>
      </c>
      <c r="G43" s="254">
        <v>82.950560608985043</v>
      </c>
      <c r="H43" s="1831"/>
      <c r="I43" s="1830"/>
    </row>
    <row r="44" spans="1:9">
      <c r="A44" s="63">
        <v>1995.11</v>
      </c>
      <c r="B44" s="289"/>
      <c r="C44" s="2843">
        <v>86.816251011561533</v>
      </c>
      <c r="D44" s="2843">
        <v>86.659347753262693</v>
      </c>
      <c r="E44" s="288">
        <f t="shared" si="0"/>
        <v>96.949025906226424</v>
      </c>
      <c r="F44" s="1668">
        <v>102.54289393679389</v>
      </c>
      <c r="G44" s="254">
        <v>83.047516846643006</v>
      </c>
      <c r="H44" s="1831"/>
      <c r="I44" s="1830"/>
    </row>
    <row r="45" spans="1:9">
      <c r="A45" s="63">
        <v>1995.12</v>
      </c>
      <c r="B45" s="289"/>
      <c r="C45" s="2843">
        <v>86.839231528744307</v>
      </c>
      <c r="D45" s="2843">
        <v>87.174797765654816</v>
      </c>
      <c r="E45" s="288">
        <f t="shared" si="0"/>
        <v>97.525678949439381</v>
      </c>
      <c r="F45" s="1668">
        <v>100.97623373804365</v>
      </c>
      <c r="G45" s="254">
        <v>83.317722986541469</v>
      </c>
      <c r="H45" s="1831"/>
      <c r="I45" s="1830"/>
    </row>
    <row r="46" spans="1:9">
      <c r="A46" s="63">
        <v>1996.01</v>
      </c>
      <c r="B46" s="289"/>
      <c r="C46" s="2843">
        <v>87.85749305505648</v>
      </c>
      <c r="D46" s="2843">
        <v>87.810341112217529</v>
      </c>
      <c r="E46" s="288">
        <f t="shared" si="0"/>
        <v>98.236684858990756</v>
      </c>
      <c r="F46" s="1668">
        <v>97.116494754494084</v>
      </c>
      <c r="G46" s="254">
        <v>83.940384110748298</v>
      </c>
      <c r="H46" s="1831"/>
      <c r="I46" s="1830"/>
    </row>
    <row r="47" spans="1:9">
      <c r="A47" s="63">
        <v>1996.02</v>
      </c>
      <c r="B47" s="289"/>
      <c r="C47" s="2843">
        <v>90.056159032304251</v>
      </c>
      <c r="D47" s="2843">
        <v>88.533247941597438</v>
      </c>
      <c r="E47" s="288">
        <f t="shared" si="0"/>
        <v>99.045427536455719</v>
      </c>
      <c r="F47" s="1668">
        <v>95.810464800152047</v>
      </c>
      <c r="G47" s="254">
        <v>84.410187030753434</v>
      </c>
      <c r="H47" s="1831"/>
      <c r="I47" s="1830"/>
    </row>
    <row r="48" spans="1:9">
      <c r="A48" s="63">
        <v>1996.03</v>
      </c>
      <c r="B48" s="289"/>
      <c r="C48" s="2843">
        <v>89.998750059329893</v>
      </c>
      <c r="D48" s="2843">
        <v>89.306052034049173</v>
      </c>
      <c r="E48" s="288">
        <f t="shared" si="0"/>
        <v>99.909992132451322</v>
      </c>
      <c r="F48" s="1668">
        <v>105.62517561907691</v>
      </c>
      <c r="G48" s="254">
        <v>85.27285631043118</v>
      </c>
      <c r="H48" s="1831"/>
      <c r="I48" s="1830"/>
    </row>
    <row r="49" spans="1:9">
      <c r="A49" s="63">
        <v>1996.04</v>
      </c>
      <c r="B49" s="289"/>
      <c r="C49" s="2843">
        <v>90.001701079738112</v>
      </c>
      <c r="D49" s="2843">
        <v>90.097650937466938</v>
      </c>
      <c r="E49" s="288">
        <f t="shared" si="0"/>
        <v>100.79558318043955</v>
      </c>
      <c r="F49" s="1668">
        <v>107.47492978359185</v>
      </c>
      <c r="G49" s="254">
        <v>85.763994780856507</v>
      </c>
      <c r="H49" s="1831"/>
      <c r="I49" s="1830"/>
    </row>
    <row r="50" spans="1:9">
      <c r="A50" s="63">
        <v>1996.05</v>
      </c>
      <c r="B50" s="289"/>
      <c r="C50" s="2843">
        <v>91.11249412929476</v>
      </c>
      <c r="D50" s="2843">
        <v>90.878139898860624</v>
      </c>
      <c r="E50" s="288">
        <f t="shared" si="0"/>
        <v>101.66874512429727</v>
      </c>
      <c r="F50" s="1668">
        <v>110.34215513144088</v>
      </c>
      <c r="G50" s="254">
        <v>86.102843067772241</v>
      </c>
      <c r="H50" s="1831"/>
      <c r="I50" s="1830"/>
    </row>
    <row r="51" spans="1:9">
      <c r="A51" s="63">
        <v>1996.06</v>
      </c>
      <c r="B51" s="289"/>
      <c r="C51" s="2843">
        <v>91.755845260322005</v>
      </c>
      <c r="D51" s="2843">
        <v>91.629907058564157</v>
      </c>
      <c r="E51" s="288">
        <f t="shared" si="0"/>
        <v>102.50977492351825</v>
      </c>
      <c r="F51" s="1668">
        <v>107.69834171097111</v>
      </c>
      <c r="G51" s="254">
        <v>86.378446360802954</v>
      </c>
      <c r="H51" s="1831"/>
      <c r="I51" s="1830"/>
    </row>
    <row r="52" spans="1:9">
      <c r="A52" s="63">
        <v>1996.07</v>
      </c>
      <c r="B52" s="289"/>
      <c r="C52" s="2843">
        <v>93.234782766212902</v>
      </c>
      <c r="D52" s="2843">
        <v>92.341791500277353</v>
      </c>
      <c r="E52" s="288">
        <f t="shared" si="0"/>
        <v>103.30618644715904</v>
      </c>
      <c r="F52" s="1668">
        <v>113.10896831576838</v>
      </c>
      <c r="G52" s="254">
        <v>86.484766216329746</v>
      </c>
      <c r="H52" s="1831"/>
      <c r="I52" s="1830"/>
    </row>
    <row r="53" spans="1:9">
      <c r="A53" s="63">
        <v>1996.08</v>
      </c>
      <c r="B53" s="289"/>
      <c r="C53" s="2843">
        <v>93.793991823176256</v>
      </c>
      <c r="D53" s="2843">
        <v>93.021737664161748</v>
      </c>
      <c r="E53" s="288">
        <f t="shared" si="0"/>
        <v>104.06686743503072</v>
      </c>
      <c r="F53" s="1668">
        <v>110.09998622138392</v>
      </c>
      <c r="G53" s="254">
        <v>86.388730265847244</v>
      </c>
      <c r="H53" s="1831"/>
      <c r="I53" s="1830"/>
    </row>
    <row r="54" spans="1:9">
      <c r="A54" s="63">
        <v>1996.09</v>
      </c>
      <c r="B54" s="289"/>
      <c r="C54" s="2843">
        <v>91.596792084184088</v>
      </c>
      <c r="D54" s="2843">
        <v>93.689559793227801</v>
      </c>
      <c r="E54" s="288">
        <f t="shared" si="0"/>
        <v>104.81398481555749</v>
      </c>
      <c r="F54" s="1668">
        <v>107.55813388920284</v>
      </c>
      <c r="G54" s="254">
        <v>86.723535035084325</v>
      </c>
      <c r="H54" s="1831"/>
      <c r="I54" s="1830"/>
    </row>
    <row r="55" spans="1:9">
      <c r="A55" s="63">
        <v>1996.1</v>
      </c>
      <c r="B55" s="289"/>
      <c r="C55" s="2843">
        <v>94.452201502287537</v>
      </c>
      <c r="D55" s="2843">
        <v>94.358141628008866</v>
      </c>
      <c r="E55" s="288">
        <f t="shared" si="0"/>
        <v>105.56195210703969</v>
      </c>
      <c r="F55" s="1668">
        <v>113.4146614287848</v>
      </c>
      <c r="G55" s="254">
        <v>87.433325196409044</v>
      </c>
      <c r="H55" s="1831"/>
      <c r="I55" s="1830"/>
    </row>
    <row r="56" spans="1:9">
      <c r="A56" s="63">
        <v>1996.11</v>
      </c>
      <c r="B56" s="289"/>
      <c r="C56" s="2843">
        <v>94.599112678458241</v>
      </c>
      <c r="D56" s="2843">
        <v>95.03167030361584</v>
      </c>
      <c r="E56" s="288">
        <f t="shared" si="0"/>
        <v>106.31545361279673</v>
      </c>
      <c r="F56" s="1668">
        <v>110.58349700438875</v>
      </c>
      <c r="G56" s="254">
        <v>88.267986052850986</v>
      </c>
      <c r="H56" s="1831"/>
      <c r="I56" s="1830"/>
    </row>
    <row r="57" spans="1:9">
      <c r="A57" s="63">
        <v>1996.12</v>
      </c>
      <c r="B57" s="289"/>
      <c r="C57" s="2843">
        <v>94.797145080925333</v>
      </c>
      <c r="D57" s="2843">
        <v>95.696766494928397</v>
      </c>
      <c r="E57" s="288">
        <f t="shared" si="0"/>
        <v>107.05952138567315</v>
      </c>
      <c r="F57" s="1668">
        <v>109.48848842465803</v>
      </c>
      <c r="G57" s="254">
        <v>88.684668798017483</v>
      </c>
      <c r="H57" s="1831"/>
      <c r="I57" s="1830"/>
    </row>
    <row r="58" spans="1:9">
      <c r="A58" s="63">
        <v>1997.01</v>
      </c>
      <c r="B58" s="289"/>
      <c r="C58" s="2843">
        <v>97.714343031300317</v>
      </c>
      <c r="D58" s="2843">
        <v>96.332025519441686</v>
      </c>
      <c r="E58" s="288">
        <f t="shared" si="0"/>
        <v>107.77020921360437</v>
      </c>
      <c r="F58" s="1668">
        <v>107.49695269742466</v>
      </c>
      <c r="G58" s="254">
        <v>89.355706737266814</v>
      </c>
      <c r="H58" s="1831"/>
      <c r="I58" s="1830"/>
    </row>
    <row r="59" spans="1:9">
      <c r="A59" s="63">
        <v>1997.02</v>
      </c>
      <c r="B59" s="289"/>
      <c r="C59" s="2843">
        <v>97.642543664853591</v>
      </c>
      <c r="D59" s="2843">
        <v>96.926168112580143</v>
      </c>
      <c r="E59" s="288">
        <f t="shared" si="0"/>
        <v>108.43489856504257</v>
      </c>
      <c r="F59" s="1668">
        <v>103.05278312396416</v>
      </c>
      <c r="G59" s="254">
        <v>90.126647003713416</v>
      </c>
      <c r="H59" s="1831"/>
      <c r="I59" s="1830"/>
    </row>
    <row r="60" spans="1:9">
      <c r="A60" s="63">
        <v>1997.03</v>
      </c>
      <c r="B60" s="289"/>
      <c r="C60" s="2843">
        <v>96.07287257219879</v>
      </c>
      <c r="D60" s="2843">
        <v>97.479342787477719</v>
      </c>
      <c r="E60" s="288">
        <f t="shared" si="0"/>
        <v>109.05375558713797</v>
      </c>
      <c r="F60" s="1668">
        <v>111.91848010479906</v>
      </c>
      <c r="G60" s="254">
        <v>90.568234402926635</v>
      </c>
      <c r="H60" s="1831"/>
      <c r="I60" s="1830"/>
    </row>
    <row r="61" spans="1:9">
      <c r="A61" s="63">
        <v>1997.04</v>
      </c>
      <c r="B61" s="289"/>
      <c r="C61" s="2843">
        <v>99.100189174708888</v>
      </c>
      <c r="D61" s="2843">
        <v>98.008272786853851</v>
      </c>
      <c r="E61" s="288">
        <f t="shared" si="0"/>
        <v>109.64548919166612</v>
      </c>
      <c r="F61" s="1668">
        <v>117.96741262003802</v>
      </c>
      <c r="G61" s="254">
        <v>91.14537517235307</v>
      </c>
      <c r="H61" s="1831"/>
      <c r="I61" s="1830"/>
    </row>
    <row r="62" spans="1:9">
      <c r="A62" s="63">
        <v>1997.05</v>
      </c>
      <c r="B62" s="289"/>
      <c r="C62" s="2843">
        <v>97.69245377559956</v>
      </c>
      <c r="D62" s="2843">
        <v>98.535277642803308</v>
      </c>
      <c r="E62" s="288">
        <f t="shared" si="0"/>
        <v>110.23506906685307</v>
      </c>
      <c r="F62" s="1668">
        <v>117.99913969614678</v>
      </c>
      <c r="G62" s="254">
        <v>91.788067016595534</v>
      </c>
      <c r="H62" s="1831"/>
      <c r="I62" s="1830"/>
    </row>
    <row r="63" spans="1:9">
      <c r="A63" s="63">
        <v>1997.06</v>
      </c>
      <c r="B63" s="289"/>
      <c r="C63" s="2843">
        <v>97.336336579439802</v>
      </c>
      <c r="D63" s="2843">
        <v>99.081367045129824</v>
      </c>
      <c r="E63" s="288">
        <f t="shared" si="0"/>
        <v>110.84599953178119</v>
      </c>
      <c r="F63" s="1668">
        <v>115.23467151684983</v>
      </c>
      <c r="G63" s="254">
        <v>92.157333061105305</v>
      </c>
      <c r="H63" s="1831"/>
      <c r="I63" s="1830"/>
    </row>
    <row r="64" spans="1:9">
      <c r="A64" s="63">
        <v>1997.07</v>
      </c>
      <c r="B64" s="289"/>
      <c r="C64" s="2843">
        <v>99.611246307457293</v>
      </c>
      <c r="D64" s="2843">
        <v>99.653857998389867</v>
      </c>
      <c r="E64" s="288">
        <f t="shared" si="0"/>
        <v>111.48646639078312</v>
      </c>
      <c r="F64" s="1668">
        <v>121.86860088746333</v>
      </c>
      <c r="G64" s="254">
        <v>92.787890628295656</v>
      </c>
      <c r="H64" s="1831"/>
      <c r="I64" s="1830"/>
    </row>
    <row r="65" spans="1:9">
      <c r="A65" s="63">
        <v>1997.08</v>
      </c>
      <c r="B65" s="289"/>
      <c r="C65" s="2843">
        <v>100.12727340923571</v>
      </c>
      <c r="D65" s="2843">
        <v>100.23985138278667</v>
      </c>
      <c r="E65" s="288">
        <f t="shared" si="0"/>
        <v>112.14203892020623</v>
      </c>
      <c r="F65" s="1668">
        <v>117.689979147625</v>
      </c>
      <c r="G65" s="254">
        <v>93.628823064719413</v>
      </c>
      <c r="H65" s="1831"/>
      <c r="I65" s="1830"/>
    </row>
    <row r="66" spans="1:9">
      <c r="A66" s="63">
        <v>1997.09</v>
      </c>
      <c r="B66" s="289"/>
      <c r="C66" s="2843">
        <v>101.87728748295893</v>
      </c>
      <c r="D66" s="2843">
        <v>100.81583140316685</v>
      </c>
      <c r="E66" s="288">
        <f t="shared" si="0"/>
        <v>112.78640912797998</v>
      </c>
      <c r="F66" s="1668">
        <v>121.09201421630651</v>
      </c>
      <c r="G66" s="254">
        <v>94.399185058850406</v>
      </c>
      <c r="H66" s="1831"/>
      <c r="I66" s="1830"/>
    </row>
    <row r="67" spans="1:9">
      <c r="A67" s="63">
        <v>1997.1</v>
      </c>
      <c r="B67" s="289"/>
      <c r="C67" s="2843">
        <v>102.27779158620514</v>
      </c>
      <c r="D67" s="2843">
        <v>101.36100948728161</v>
      </c>
      <c r="E67" s="288">
        <f t="shared" si="0"/>
        <v>113.39632006743034</v>
      </c>
      <c r="F67" s="1668">
        <v>125.29961598901964</v>
      </c>
      <c r="G67" s="254">
        <v>95.089688626466355</v>
      </c>
      <c r="H67" s="1831"/>
      <c r="I67" s="1830"/>
    </row>
    <row r="68" spans="1:9">
      <c r="A68" s="63">
        <v>1997.11</v>
      </c>
      <c r="B68" s="289"/>
      <c r="C68" s="2843">
        <v>101.94176941799388</v>
      </c>
      <c r="D68" s="2843">
        <v>101.86625655647165</v>
      </c>
      <c r="E68" s="288">
        <f t="shared" si="0"/>
        <v>113.96155869972904</v>
      </c>
      <c r="F68" s="1668">
        <v>118.40631245221184</v>
      </c>
      <c r="G68" s="254">
        <v>95.611016097986266</v>
      </c>
      <c r="H68" s="1831"/>
      <c r="I68" s="1830"/>
    </row>
    <row r="69" spans="1:9">
      <c r="A69" s="63">
        <v>1997.12</v>
      </c>
      <c r="B69" s="289"/>
      <c r="C69" s="2843">
        <v>101.34800739571095</v>
      </c>
      <c r="D69" s="2843">
        <v>102.33720782175021</v>
      </c>
      <c r="E69" s="288">
        <f t="shared" si="0"/>
        <v>114.48842934440616</v>
      </c>
      <c r="F69" s="1668">
        <v>117.05742832124896</v>
      </c>
      <c r="G69" s="254">
        <v>95.830414181629081</v>
      </c>
      <c r="H69" s="1831"/>
      <c r="I69" s="1830"/>
    </row>
    <row r="70" spans="1:9">
      <c r="A70" s="63">
        <v>1998.01</v>
      </c>
      <c r="B70" s="289"/>
      <c r="C70" s="2843">
        <v>102.2386889594523</v>
      </c>
      <c r="D70" s="2843">
        <v>102.78678837571584</v>
      </c>
      <c r="E70" s="288">
        <f t="shared" si="0"/>
        <v>114.99139178185087</v>
      </c>
      <c r="F70" s="1668">
        <v>112.27478604925581</v>
      </c>
      <c r="G70" s="254">
        <v>95.836362359019816</v>
      </c>
      <c r="H70" s="1831"/>
      <c r="I70" s="1830"/>
    </row>
    <row r="71" spans="1:9">
      <c r="A71" s="63">
        <v>1998.02</v>
      </c>
      <c r="B71" s="289"/>
      <c r="C71" s="2843">
        <v>102.00887891354304</v>
      </c>
      <c r="D71" s="2843">
        <v>103.22015341337254</v>
      </c>
      <c r="E71" s="288">
        <f t="shared" si="0"/>
        <v>115.4762133198834</v>
      </c>
      <c r="F71" s="1668">
        <v>108.88928944151972</v>
      </c>
      <c r="G71" s="254">
        <v>95.906665470081776</v>
      </c>
      <c r="H71" s="1831"/>
      <c r="I71" s="1830"/>
    </row>
    <row r="72" spans="1:9">
      <c r="A72" s="63">
        <v>1998.03</v>
      </c>
      <c r="B72" s="289"/>
      <c r="C72" s="2843">
        <v>103.60998383060416</v>
      </c>
      <c r="D72" s="2843">
        <v>103.62323677788153</v>
      </c>
      <c r="E72" s="288">
        <f t="shared" si="0"/>
        <v>115.92715762723516</v>
      </c>
      <c r="F72" s="1668">
        <v>122.11383703187406</v>
      </c>
      <c r="G72" s="254">
        <v>96.110590745615951</v>
      </c>
      <c r="H72" s="1831"/>
      <c r="I72" s="1830"/>
    </row>
    <row r="73" spans="1:9">
      <c r="A73" s="63">
        <v>1998.04</v>
      </c>
      <c r="B73" s="289"/>
      <c r="C73" s="2843">
        <v>104.07695068590749</v>
      </c>
      <c r="D73" s="2843">
        <v>103.96576629052547</v>
      </c>
      <c r="E73" s="288">
        <f t="shared" si="0"/>
        <v>116.31035809499674</v>
      </c>
      <c r="F73" s="1668">
        <v>124.87091055133673</v>
      </c>
      <c r="G73" s="254">
        <v>96.533486912870643</v>
      </c>
      <c r="H73" s="1831"/>
      <c r="I73" s="1830"/>
    </row>
    <row r="74" spans="1:9">
      <c r="A74" s="63">
        <v>1998.05</v>
      </c>
      <c r="B74" s="289"/>
      <c r="C74" s="2843">
        <v>104.42189068178641</v>
      </c>
      <c r="D74" s="2843">
        <v>104.19804872081659</v>
      </c>
      <c r="E74" s="288">
        <f t="shared" ref="E74:E137" si="1">D74*$E$9</f>
        <v>116.57022106345541</v>
      </c>
      <c r="F74" s="1668">
        <v>125.81617039719167</v>
      </c>
      <c r="G74" s="254">
        <v>96.751827899122944</v>
      </c>
      <c r="H74" s="1831"/>
      <c r="I74" s="1830"/>
    </row>
    <row r="75" spans="1:9">
      <c r="A75" s="63">
        <v>1998.06</v>
      </c>
      <c r="B75" s="289"/>
      <c r="C75" s="2843">
        <v>105.68566312080969</v>
      </c>
      <c r="D75" s="2843">
        <v>104.26135328889973</v>
      </c>
      <c r="E75" s="288">
        <f t="shared" si="1"/>
        <v>116.64104223128314</v>
      </c>
      <c r="F75" s="1668">
        <v>127.64759570674629</v>
      </c>
      <c r="G75" s="254">
        <v>96.869066320666519</v>
      </c>
      <c r="H75" s="1831"/>
      <c r="I75" s="1830"/>
    </row>
    <row r="76" spans="1:9">
      <c r="A76" s="63">
        <v>1998.07</v>
      </c>
      <c r="B76" s="289"/>
      <c r="C76" s="2843">
        <v>104.42093485821741</v>
      </c>
      <c r="D76" s="2843">
        <v>104.11612088608391</v>
      </c>
      <c r="E76" s="288">
        <f t="shared" si="1"/>
        <v>116.47856535662325</v>
      </c>
      <c r="F76" s="1668">
        <v>126.46266710115609</v>
      </c>
      <c r="G76" s="254">
        <v>97.126133839034281</v>
      </c>
      <c r="H76" s="1831"/>
      <c r="I76" s="1830"/>
    </row>
    <row r="77" spans="1:9">
      <c r="A77" s="63">
        <v>1998.08</v>
      </c>
      <c r="B77" s="289"/>
      <c r="C77" s="2843">
        <v>104.0409155192895</v>
      </c>
      <c r="D77" s="2843">
        <v>103.75952072303834</v>
      </c>
      <c r="E77" s="288">
        <f t="shared" si="1"/>
        <v>116.07962353047769</v>
      </c>
      <c r="F77" s="1668">
        <v>123.13274506212628</v>
      </c>
      <c r="G77" s="254">
        <v>97.306426949861503</v>
      </c>
      <c r="H77" s="1831"/>
      <c r="I77" s="1830"/>
    </row>
    <row r="78" spans="1:9">
      <c r="A78" s="63">
        <v>1998.09</v>
      </c>
      <c r="B78" s="289"/>
      <c r="C78" s="2843">
        <v>103.50386272547877</v>
      </c>
      <c r="D78" s="2843">
        <v>103.22666737890249</v>
      </c>
      <c r="E78" s="288">
        <f t="shared" si="1"/>
        <v>115.48350073467809</v>
      </c>
      <c r="F78" s="1668">
        <v>123.62460141132985</v>
      </c>
      <c r="G78" s="254">
        <v>96.828320536375713</v>
      </c>
      <c r="H78" s="1831"/>
      <c r="I78" s="1830"/>
    </row>
    <row r="79" spans="1:9">
      <c r="A79" s="63">
        <v>1998.1</v>
      </c>
      <c r="B79" s="289"/>
      <c r="C79" s="2843">
        <v>102.8660598548163</v>
      </c>
      <c r="D79" s="2843">
        <v>102.5782900156821</v>
      </c>
      <c r="E79" s="288">
        <f t="shared" si="1"/>
        <v>114.75813693476998</v>
      </c>
      <c r="F79" s="1668">
        <v>122.13258485854952</v>
      </c>
      <c r="G79" s="254">
        <v>96.048623563772296</v>
      </c>
      <c r="H79" s="1831"/>
      <c r="I79" s="1830"/>
    </row>
    <row r="80" spans="1:9">
      <c r="A80" s="63">
        <v>1998.11</v>
      </c>
      <c r="B80" s="289"/>
      <c r="C80" s="2843">
        <v>101.94323349027108</v>
      </c>
      <c r="D80" s="2843">
        <v>101.89031097066254</v>
      </c>
      <c r="E80" s="288">
        <f t="shared" si="1"/>
        <v>113.98846926489036</v>
      </c>
      <c r="F80" s="1668">
        <v>119.66985445337195</v>
      </c>
      <c r="G80" s="254">
        <v>95.326380139867084</v>
      </c>
      <c r="H80" s="1831"/>
      <c r="I80" s="1830"/>
    </row>
    <row r="81" spans="1:9">
      <c r="A81" s="63">
        <v>1998.12</v>
      </c>
      <c r="B81" s="289"/>
      <c r="C81" s="2843">
        <v>99.847756706345535</v>
      </c>
      <c r="D81" s="2843">
        <v>101.21734462176052</v>
      </c>
      <c r="E81" s="288">
        <f t="shared" si="1"/>
        <v>113.23559685487081</v>
      </c>
      <c r="F81" s="1668">
        <v>114.66667916032286</v>
      </c>
      <c r="G81" s="254">
        <v>95.255329110144487</v>
      </c>
      <c r="H81" s="1831"/>
      <c r="I81" s="1830"/>
    </row>
    <row r="82" spans="1:9">
      <c r="A82" s="63">
        <v>1999.01</v>
      </c>
      <c r="B82" s="289"/>
      <c r="C82" s="2843">
        <v>100.36135412251524</v>
      </c>
      <c r="D82" s="2843">
        <v>100.59846534007281</v>
      </c>
      <c r="E82" s="288">
        <f t="shared" si="1"/>
        <v>112.54323365264592</v>
      </c>
      <c r="F82" s="1668">
        <v>110.44956903151144</v>
      </c>
      <c r="G82" s="254">
        <v>95.516391028753262</v>
      </c>
      <c r="H82" s="1831"/>
      <c r="I82" s="1830"/>
    </row>
    <row r="83" spans="1:9">
      <c r="A83" s="63">
        <v>1999.02</v>
      </c>
      <c r="B83" s="289"/>
      <c r="C83" s="2843">
        <v>100.82888797750543</v>
      </c>
      <c r="D83" s="2843">
        <v>100.0632610208781</v>
      </c>
      <c r="E83" s="288">
        <f t="shared" si="1"/>
        <v>111.94448073386714</v>
      </c>
      <c r="F83" s="1668">
        <v>105.44709632035689</v>
      </c>
      <c r="G83" s="254">
        <v>95.973951934887907</v>
      </c>
      <c r="H83" s="1831"/>
      <c r="I83" s="1830"/>
    </row>
    <row r="84" spans="1:9">
      <c r="A84" s="63">
        <v>1999.03</v>
      </c>
      <c r="B84" s="289"/>
      <c r="C84" s="2843">
        <v>100.4443316683967</v>
      </c>
      <c r="D84" s="2843">
        <v>99.627771770332757</v>
      </c>
      <c r="E84" s="288">
        <f t="shared" si="1"/>
        <v>111.45728276010423</v>
      </c>
      <c r="F84" s="1668">
        <v>117.25879767548257</v>
      </c>
      <c r="G84" s="254">
        <v>96.077369013508829</v>
      </c>
      <c r="H84" s="1831"/>
      <c r="I84" s="1830"/>
    </row>
    <row r="85" spans="1:9">
      <c r="A85" s="63">
        <v>1999.04</v>
      </c>
      <c r="B85" s="289"/>
      <c r="C85" s="2843">
        <v>99.001964625731944</v>
      </c>
      <c r="D85" s="2843">
        <v>99.296328495160637</v>
      </c>
      <c r="E85" s="288">
        <f t="shared" si="1"/>
        <v>111.08648487731153</v>
      </c>
      <c r="F85" s="1668">
        <v>118.63391999743946</v>
      </c>
      <c r="G85" s="254">
        <v>95.812885442655215</v>
      </c>
      <c r="H85" s="1831"/>
      <c r="I85" s="1830"/>
    </row>
    <row r="86" spans="1:9">
      <c r="A86" s="63">
        <v>1999.05</v>
      </c>
      <c r="B86" s="289"/>
      <c r="C86" s="2843">
        <v>99.314618309676931</v>
      </c>
      <c r="D86" s="2843">
        <v>99.076006806108921</v>
      </c>
      <c r="E86" s="288">
        <f t="shared" si="1"/>
        <v>110.84000283361563</v>
      </c>
      <c r="F86" s="1668">
        <v>119.22334013112606</v>
      </c>
      <c r="G86" s="254">
        <v>95.590754445302011</v>
      </c>
      <c r="H86" s="1831"/>
      <c r="I86" s="1830"/>
    </row>
    <row r="87" spans="1:9">
      <c r="A87" s="63">
        <v>1999.06</v>
      </c>
      <c r="B87" s="289"/>
      <c r="C87" s="2843">
        <v>99.065726081428124</v>
      </c>
      <c r="D87" s="2843">
        <v>98.978471855335897</v>
      </c>
      <c r="E87" s="288">
        <f t="shared" si="1"/>
        <v>110.73088686731296</v>
      </c>
      <c r="F87" s="1668">
        <v>119.7622720566247</v>
      </c>
      <c r="G87" s="254">
        <v>95.960997693916994</v>
      </c>
      <c r="H87" s="1831"/>
      <c r="I87" s="1830"/>
    </row>
    <row r="88" spans="1:9">
      <c r="A88" s="63">
        <v>1999.07</v>
      </c>
      <c r="B88" s="289"/>
      <c r="C88" s="2843">
        <v>97.717966851031122</v>
      </c>
      <c r="D88" s="2843">
        <v>99.00529758063</v>
      </c>
      <c r="E88" s="288">
        <f t="shared" si="1"/>
        <v>110.76089780097352</v>
      </c>
      <c r="F88" s="1668">
        <v>118.38068922843648</v>
      </c>
      <c r="G88" s="254">
        <v>96.074096181192857</v>
      </c>
      <c r="H88" s="1831"/>
      <c r="I88" s="1830"/>
    </row>
    <row r="89" spans="1:9">
      <c r="A89" s="63">
        <v>1999.08</v>
      </c>
      <c r="B89" s="289"/>
      <c r="C89" s="2843">
        <v>99.142174246218801</v>
      </c>
      <c r="D89" s="2843">
        <v>99.142885126126401</v>
      </c>
      <c r="E89" s="288">
        <f t="shared" si="1"/>
        <v>110.91482209025718</v>
      </c>
      <c r="F89" s="1668">
        <v>118.26163701313082</v>
      </c>
      <c r="G89" s="254">
        <v>96.177174859086136</v>
      </c>
      <c r="H89" s="1831"/>
      <c r="I89" s="1830"/>
    </row>
    <row r="90" spans="1:9">
      <c r="A90" s="63">
        <v>1999.09</v>
      </c>
      <c r="B90" s="289"/>
      <c r="C90" s="2843">
        <v>99.303713781828748</v>
      </c>
      <c r="D90" s="2843">
        <v>99.365854566842899</v>
      </c>
      <c r="E90" s="288">
        <f t="shared" si="1"/>
        <v>111.16426627192661</v>
      </c>
      <c r="F90" s="1668">
        <v>118.57433163064742</v>
      </c>
      <c r="G90" s="254">
        <v>96.427821670109722</v>
      </c>
      <c r="H90" s="1831"/>
      <c r="I90" s="1830"/>
    </row>
    <row r="91" spans="1:9">
      <c r="A91" s="63">
        <v>1999.1</v>
      </c>
      <c r="B91" s="289"/>
      <c r="C91" s="2843">
        <v>99.702813654356405</v>
      </c>
      <c r="D91" s="2843">
        <v>99.622652927017171</v>
      </c>
      <c r="E91" s="288">
        <f t="shared" si="1"/>
        <v>111.45155612026585</v>
      </c>
      <c r="F91" s="1668">
        <v>118.81812217430341</v>
      </c>
      <c r="G91" s="254">
        <v>96.500769049540239</v>
      </c>
      <c r="H91" s="1831"/>
      <c r="I91" s="1830"/>
    </row>
    <row r="92" spans="1:9">
      <c r="A92" s="63">
        <v>1999.11</v>
      </c>
      <c r="B92" s="289"/>
      <c r="C92" s="2843">
        <v>100.0331399716214</v>
      </c>
      <c r="D92" s="2843">
        <v>99.852133142454306</v>
      </c>
      <c r="E92" s="288">
        <f t="shared" si="1"/>
        <v>111.70828414705329</v>
      </c>
      <c r="F92" s="1668">
        <v>120.49385107446183</v>
      </c>
      <c r="G92" s="254">
        <v>96.67007599040609</v>
      </c>
      <c r="H92" s="1831"/>
      <c r="I92" s="1830"/>
    </row>
    <row r="93" spans="1:9">
      <c r="A93" s="63">
        <v>1999.12</v>
      </c>
      <c r="B93" s="289"/>
      <c r="C93" s="2843">
        <v>101.81366284194512</v>
      </c>
      <c r="D93" s="2843">
        <v>99.98678155532005</v>
      </c>
      <c r="E93" s="288">
        <f t="shared" si="1"/>
        <v>111.85892031967163</v>
      </c>
      <c r="F93" s="1668">
        <v>119.187323879796</v>
      </c>
      <c r="G93" s="254">
        <v>96.587311261138524</v>
      </c>
      <c r="H93" s="1831"/>
      <c r="I93" s="1830"/>
    </row>
    <row r="94" spans="1:9">
      <c r="A94" s="63">
        <v>2000.01</v>
      </c>
      <c r="B94" s="289"/>
      <c r="C94" s="2843">
        <v>99.979196630423502</v>
      </c>
      <c r="D94" s="2843">
        <v>99.97812052053267</v>
      </c>
      <c r="E94" s="288">
        <f t="shared" si="1"/>
        <v>111.84923089887923</v>
      </c>
      <c r="F94" s="1668">
        <v>111.63562500816859</v>
      </c>
      <c r="G94" s="254">
        <v>96.7730641729502</v>
      </c>
      <c r="H94" s="1831"/>
      <c r="I94" s="1830"/>
    </row>
    <row r="95" spans="1:9">
      <c r="A95" s="63">
        <v>2000.02</v>
      </c>
      <c r="B95" s="289"/>
      <c r="C95" s="2843">
        <v>100.49710469905895</v>
      </c>
      <c r="D95" s="2843">
        <v>99.811641843818862</v>
      </c>
      <c r="E95" s="288">
        <f t="shared" si="1"/>
        <v>111.6629850297375</v>
      </c>
      <c r="F95" s="1668">
        <v>107.09084402891513</v>
      </c>
      <c r="G95" s="254">
        <v>96.629555646877762</v>
      </c>
      <c r="H95" s="1831"/>
      <c r="I95" s="1830"/>
    </row>
    <row r="96" spans="1:9">
      <c r="A96" s="63">
        <v>2000.03</v>
      </c>
      <c r="B96" s="289"/>
      <c r="C96" s="2843">
        <v>100.01936527659656</v>
      </c>
      <c r="D96" s="2843">
        <v>99.516898451721048</v>
      </c>
      <c r="E96" s="288">
        <f t="shared" si="1"/>
        <v>111.33324466707589</v>
      </c>
      <c r="F96" s="1668">
        <v>117.5227217459292</v>
      </c>
      <c r="G96" s="254">
        <v>96.594136536444992</v>
      </c>
      <c r="H96" s="1831"/>
      <c r="I96" s="1830"/>
    </row>
    <row r="97" spans="1:9">
      <c r="A97" s="63">
        <v>2000.04</v>
      </c>
      <c r="B97" s="289"/>
      <c r="C97" s="2843">
        <v>99.276746093772758</v>
      </c>
      <c r="D97" s="2843">
        <v>99.154189487931575</v>
      </c>
      <c r="E97" s="288">
        <f t="shared" si="1"/>
        <v>110.92746869900644</v>
      </c>
      <c r="F97" s="1668">
        <v>117.12083622467287</v>
      </c>
      <c r="G97" s="254">
        <v>96.074774967202259</v>
      </c>
      <c r="H97" s="1831"/>
      <c r="I97" s="1830"/>
    </row>
    <row r="98" spans="1:9">
      <c r="A98" s="63">
        <v>2000.05</v>
      </c>
      <c r="B98" s="289"/>
      <c r="C98" s="2843">
        <v>98.073893970903015</v>
      </c>
      <c r="D98" s="2843">
        <v>98.783757023423647</v>
      </c>
      <c r="E98" s="288">
        <f t="shared" si="1"/>
        <v>110.51305216427394</v>
      </c>
      <c r="F98" s="1668">
        <v>120.0797557064498</v>
      </c>
      <c r="G98" s="254">
        <v>95.723684522258381</v>
      </c>
      <c r="H98" s="1831"/>
      <c r="I98" s="1830"/>
    </row>
    <row r="99" spans="1:9">
      <c r="A99" s="63">
        <v>2000.06</v>
      </c>
      <c r="B99" s="289"/>
      <c r="C99" s="2843">
        <v>98.038883038855857</v>
      </c>
      <c r="D99" s="2843">
        <v>98.451830647477905</v>
      </c>
      <c r="E99" s="288">
        <f t="shared" si="1"/>
        <v>110.14171381873103</v>
      </c>
      <c r="F99" s="1668">
        <v>118.31763415715153</v>
      </c>
      <c r="G99" s="254">
        <v>95.775352854283</v>
      </c>
      <c r="H99" s="1831"/>
      <c r="I99" s="1830"/>
    </row>
    <row r="100" spans="1:9">
      <c r="A100" s="63">
        <v>2000.07</v>
      </c>
      <c r="B100" s="289"/>
      <c r="C100" s="2843">
        <v>98.867225230096807</v>
      </c>
      <c r="D100" s="2843">
        <v>98.202402807026914</v>
      </c>
      <c r="E100" s="288">
        <f t="shared" si="1"/>
        <v>109.86266964412603</v>
      </c>
      <c r="F100" s="1668">
        <v>117.83064230446199</v>
      </c>
      <c r="G100" s="254">
        <v>96.233034563323884</v>
      </c>
      <c r="H100" s="1831"/>
      <c r="I100" s="1830"/>
    </row>
    <row r="101" spans="1:9">
      <c r="A101" s="63">
        <v>2000.08</v>
      </c>
      <c r="B101" s="289"/>
      <c r="C101" s="2843">
        <v>98.050411946447454</v>
      </c>
      <c r="D101" s="2843">
        <v>98.064250626173731</v>
      </c>
      <c r="E101" s="288">
        <f t="shared" si="1"/>
        <v>109.70811367633048</v>
      </c>
      <c r="F101" s="1668">
        <v>119.30484965240606</v>
      </c>
      <c r="G101" s="254">
        <v>96.358158281080165</v>
      </c>
      <c r="H101" s="1831"/>
      <c r="I101" s="1830"/>
    </row>
    <row r="102" spans="1:9">
      <c r="A102" s="63">
        <v>2000.09</v>
      </c>
      <c r="B102" s="289"/>
      <c r="C102" s="2843">
        <v>97.98077515851854</v>
      </c>
      <c r="D102" s="2843">
        <v>98.048492903666968</v>
      </c>
      <c r="E102" s="288">
        <f t="shared" si="1"/>
        <v>109.69048492782107</v>
      </c>
      <c r="F102" s="1668">
        <v>116.64662352328109</v>
      </c>
      <c r="G102" s="254">
        <v>96.473371924988101</v>
      </c>
      <c r="H102" s="1831"/>
      <c r="I102" s="1830"/>
    </row>
    <row r="103" spans="1:9">
      <c r="A103" s="63">
        <v>2000.1</v>
      </c>
      <c r="B103" s="289"/>
      <c r="C103" s="2843">
        <v>97.979290473926724</v>
      </c>
      <c r="D103" s="2843">
        <v>98.139314718125306</v>
      </c>
      <c r="E103" s="288">
        <f t="shared" si="1"/>
        <v>109.79209065958635</v>
      </c>
      <c r="F103" s="1668">
        <v>116.6538482666423</v>
      </c>
      <c r="G103" s="254">
        <v>96.515390920474843</v>
      </c>
      <c r="H103" s="1831"/>
      <c r="I103" s="1830"/>
    </row>
    <row r="104" spans="1:9">
      <c r="A104" s="63">
        <v>2000.11</v>
      </c>
      <c r="B104" s="289"/>
      <c r="C104" s="2843">
        <v>97.268072597742176</v>
      </c>
      <c r="D104" s="2843">
        <v>98.303494363494693</v>
      </c>
      <c r="E104" s="288">
        <f t="shared" si="1"/>
        <v>109.97576451710846</v>
      </c>
      <c r="F104" s="1668">
        <v>117.28100114015406</v>
      </c>
      <c r="G104" s="254">
        <v>96.591315102241907</v>
      </c>
      <c r="H104" s="1831"/>
      <c r="I104" s="1830"/>
    </row>
    <row r="105" spans="1:9">
      <c r="A105" s="63">
        <v>2000.12</v>
      </c>
      <c r="B105" s="289"/>
      <c r="C105" s="2843">
        <v>101.25720308109246</v>
      </c>
      <c r="D105" s="2843">
        <v>98.478876794318822</v>
      </c>
      <c r="E105" s="288">
        <f t="shared" si="1"/>
        <v>110.17197134614989</v>
      </c>
      <c r="F105" s="1668">
        <v>116.66206695193461</v>
      </c>
      <c r="G105" s="254">
        <v>96.631598065718492</v>
      </c>
      <c r="H105" s="1831"/>
      <c r="I105" s="1830"/>
    </row>
    <row r="106" spans="1:9">
      <c r="A106" s="63">
        <v>2001.01</v>
      </c>
      <c r="B106" s="289"/>
      <c r="C106" s="2843">
        <v>98.833349371313645</v>
      </c>
      <c r="D106" s="2843">
        <v>98.600564370864348</v>
      </c>
      <c r="E106" s="288">
        <f t="shared" si="1"/>
        <v>110.30810775055218</v>
      </c>
      <c r="F106" s="1668">
        <v>110.79129434531234</v>
      </c>
      <c r="G106" s="254">
        <v>96.329281354276674</v>
      </c>
      <c r="H106" s="1831"/>
      <c r="I106" s="1830"/>
    </row>
    <row r="107" spans="1:9">
      <c r="A107" s="63">
        <v>2001.02</v>
      </c>
      <c r="B107" s="289"/>
      <c r="C107" s="2843">
        <v>98.657827564636349</v>
      </c>
      <c r="D107" s="2843">
        <v>98.592408193314341</v>
      </c>
      <c r="E107" s="288">
        <f t="shared" si="1"/>
        <v>110.29898313227278</v>
      </c>
      <c r="F107" s="1668">
        <v>103.65794457444555</v>
      </c>
      <c r="G107" s="254">
        <v>95.811801416808123</v>
      </c>
      <c r="H107" s="1831"/>
      <c r="I107" s="1830"/>
    </row>
    <row r="108" spans="1:9">
      <c r="A108" s="63">
        <v>2001.03</v>
      </c>
      <c r="B108" s="289"/>
      <c r="C108" s="2843">
        <v>97.981417053022199</v>
      </c>
      <c r="D108" s="2843">
        <v>98.394669896187423</v>
      </c>
      <c r="E108" s="288">
        <f t="shared" si="1"/>
        <v>110.07776596657943</v>
      </c>
      <c r="F108" s="1668">
        <v>112.50760369725583</v>
      </c>
      <c r="G108" s="254">
        <v>95.194480621814591</v>
      </c>
      <c r="H108" s="1831"/>
      <c r="I108" s="1830"/>
    </row>
    <row r="109" spans="1:9">
      <c r="A109" s="63">
        <v>2001.04</v>
      </c>
      <c r="B109" s="289"/>
      <c r="C109" s="2843">
        <v>98.373517325296064</v>
      </c>
      <c r="D109" s="2843">
        <v>97.964208097989697</v>
      </c>
      <c r="E109" s="288">
        <f t="shared" si="1"/>
        <v>109.59619239019003</v>
      </c>
      <c r="F109" s="1668">
        <v>117.85289630604433</v>
      </c>
      <c r="G109" s="254">
        <v>94.824467074733775</v>
      </c>
      <c r="H109" s="1831"/>
      <c r="I109" s="1830"/>
    </row>
    <row r="110" spans="1:9">
      <c r="A110" s="63">
        <v>2001.05</v>
      </c>
      <c r="B110" s="289"/>
      <c r="C110" s="2843">
        <v>98.125277912884044</v>
      </c>
      <c r="D110" s="2843">
        <v>97.267328663181999</v>
      </c>
      <c r="E110" s="288">
        <f t="shared" si="1"/>
        <v>108.81656752420268</v>
      </c>
      <c r="F110" s="1668">
        <v>120.3642528198136</v>
      </c>
      <c r="G110" s="254">
        <v>94.471358270045087</v>
      </c>
      <c r="H110" s="1831"/>
      <c r="I110" s="1830"/>
    </row>
    <row r="111" spans="1:9">
      <c r="A111" s="63">
        <v>2001.06</v>
      </c>
      <c r="B111" s="289"/>
      <c r="C111" s="2843">
        <v>97.656443816198362</v>
      </c>
      <c r="D111" s="2843">
        <v>96.281196811709208</v>
      </c>
      <c r="E111" s="288">
        <f t="shared" si="1"/>
        <v>107.71334525339127</v>
      </c>
      <c r="F111" s="1668">
        <v>117.51426241386294</v>
      </c>
      <c r="G111" s="254">
        <v>93.851058022892303</v>
      </c>
      <c r="H111" s="1831"/>
      <c r="I111" s="1830"/>
    </row>
    <row r="112" spans="1:9">
      <c r="A112" s="63">
        <v>2001.07</v>
      </c>
      <c r="B112" s="289"/>
      <c r="C112" s="2843">
        <v>95.038569762097467</v>
      </c>
      <c r="D112" s="2843">
        <v>95.006957445459278</v>
      </c>
      <c r="E112" s="288">
        <f t="shared" si="1"/>
        <v>106.28780642195404</v>
      </c>
      <c r="F112" s="1668">
        <v>114.91393668017923</v>
      </c>
      <c r="G112" s="254">
        <v>92.858217821997243</v>
      </c>
      <c r="H112" s="1831"/>
      <c r="I112" s="1830"/>
    </row>
    <row r="113" spans="1:9">
      <c r="A113" s="63">
        <v>2001.08</v>
      </c>
      <c r="B113" s="289"/>
      <c r="C113" s="2843">
        <v>93.778601598985276</v>
      </c>
      <c r="D113" s="2843">
        <v>93.489927309898547</v>
      </c>
      <c r="E113" s="288">
        <f t="shared" si="1"/>
        <v>104.59064855351778</v>
      </c>
      <c r="F113" s="1668">
        <v>112.45287090593874</v>
      </c>
      <c r="G113" s="254">
        <v>91.740782294229163</v>
      </c>
      <c r="H113" s="1831"/>
      <c r="I113" s="1830"/>
    </row>
    <row r="114" spans="1:9">
      <c r="A114" s="63">
        <v>2001.09</v>
      </c>
      <c r="B114" s="289"/>
      <c r="C114" s="2843">
        <v>91.732162463961814</v>
      </c>
      <c r="D114" s="2843">
        <v>91.820411551582737</v>
      </c>
      <c r="E114" s="288">
        <f t="shared" si="1"/>
        <v>102.7228993643056</v>
      </c>
      <c r="F114" s="1668">
        <v>106.1892326087986</v>
      </c>
      <c r="G114" s="254">
        <v>90.526895816169201</v>
      </c>
      <c r="H114" s="1831"/>
      <c r="I114" s="1830"/>
    </row>
    <row r="115" spans="1:9">
      <c r="A115" s="63">
        <v>2001.1</v>
      </c>
      <c r="B115" s="289"/>
      <c r="C115" s="2843">
        <v>89.825308386543853</v>
      </c>
      <c r="D115" s="2843">
        <v>90.109885980857527</v>
      </c>
      <c r="E115" s="288">
        <f t="shared" si="1"/>
        <v>100.80927097719075</v>
      </c>
      <c r="F115" s="1668">
        <v>107.26524070194895</v>
      </c>
      <c r="G115" s="254">
        <v>89.352211493678766</v>
      </c>
      <c r="H115" s="1831"/>
      <c r="I115" s="1830"/>
    </row>
    <row r="116" spans="1:9">
      <c r="A116" s="63">
        <v>2001.11</v>
      </c>
      <c r="B116" s="289"/>
      <c r="C116" s="2843">
        <v>88.807870118854225</v>
      </c>
      <c r="D116" s="2843">
        <v>88.479339897846671</v>
      </c>
      <c r="E116" s="288">
        <f t="shared" si="1"/>
        <v>98.985118608848424</v>
      </c>
      <c r="F116" s="1668">
        <v>106.07481446271802</v>
      </c>
      <c r="G116" s="254">
        <v>87.900607329500986</v>
      </c>
      <c r="H116" s="1831"/>
      <c r="I116" s="1830"/>
    </row>
    <row r="117" spans="1:9">
      <c r="A117" s="63">
        <v>2001.12</v>
      </c>
      <c r="B117" s="289"/>
      <c r="C117" s="2843">
        <v>86.132190458243883</v>
      </c>
      <c r="D117" s="2843">
        <v>87.023935994290113</v>
      </c>
      <c r="E117" s="288">
        <f t="shared" si="1"/>
        <v>97.356904291430894</v>
      </c>
      <c r="F117" s="1668">
        <v>96.960755870789498</v>
      </c>
      <c r="G117" s="254">
        <v>86.441738610451765</v>
      </c>
      <c r="H117" s="1831"/>
      <c r="I117" s="1830"/>
    </row>
    <row r="118" spans="1:9">
      <c r="A118" s="63">
        <v>2002.01</v>
      </c>
      <c r="B118" s="289"/>
      <c r="C118" s="2843">
        <v>83.977127746895476</v>
      </c>
      <c r="D118" s="2843">
        <v>85.812401197839591</v>
      </c>
      <c r="E118" s="288">
        <f t="shared" si="1"/>
        <v>96.001515387491736</v>
      </c>
      <c r="F118" s="1668">
        <v>94.209668556685287</v>
      </c>
      <c r="G118" s="254">
        <v>84.850783196054309</v>
      </c>
      <c r="H118" s="1831"/>
      <c r="I118" s="1830"/>
    </row>
    <row r="119" spans="1:9">
      <c r="A119" s="63">
        <v>2002.02</v>
      </c>
      <c r="B119" s="289"/>
      <c r="C119" s="2843">
        <v>83.992444818147604</v>
      </c>
      <c r="D119" s="2843">
        <v>84.87862286578661</v>
      </c>
      <c r="E119" s="288">
        <f t="shared" si="1"/>
        <v>94.956862940272401</v>
      </c>
      <c r="F119" s="1668">
        <v>89.627785245130795</v>
      </c>
      <c r="G119" s="254">
        <v>83.54553102963844</v>
      </c>
      <c r="H119" s="1831"/>
      <c r="I119" s="1830"/>
    </row>
    <row r="120" spans="1:9">
      <c r="A120" s="63">
        <v>2002.03</v>
      </c>
      <c r="B120" s="289"/>
      <c r="C120" s="2843">
        <v>83.380757005181323</v>
      </c>
      <c r="D120" s="2843">
        <v>84.227322068838632</v>
      </c>
      <c r="E120" s="288">
        <f t="shared" si="1"/>
        <v>94.228228586644022</v>
      </c>
      <c r="F120" s="1668">
        <v>94.905223935756538</v>
      </c>
      <c r="G120" s="254">
        <v>82.574549861652585</v>
      </c>
      <c r="H120" s="1831"/>
      <c r="I120" s="1830"/>
    </row>
    <row r="121" spans="1:9">
      <c r="A121" s="63">
        <v>2002.04</v>
      </c>
      <c r="B121" s="289"/>
      <c r="C121" s="2843">
        <v>83.282458498760946</v>
      </c>
      <c r="D121" s="2843">
        <v>83.83462513740588</v>
      </c>
      <c r="E121" s="288">
        <f t="shared" si="1"/>
        <v>93.788903967133066</v>
      </c>
      <c r="F121" s="1668">
        <v>104.12118264171747</v>
      </c>
      <c r="G121" s="254">
        <v>81.982824661159952</v>
      </c>
      <c r="H121" s="1831"/>
      <c r="I121" s="1830"/>
    </row>
    <row r="122" spans="1:9">
      <c r="A122" s="63">
        <v>2002.05</v>
      </c>
      <c r="B122" s="289"/>
      <c r="C122" s="2843">
        <v>84.205772273502291</v>
      </c>
      <c r="D122" s="2843">
        <v>83.662619807852522</v>
      </c>
      <c r="E122" s="288">
        <f t="shared" si="1"/>
        <v>93.596475226515764</v>
      </c>
      <c r="F122" s="1668">
        <v>107.3491787046183</v>
      </c>
      <c r="G122" s="254">
        <v>81.573322806810225</v>
      </c>
      <c r="H122" s="1831"/>
      <c r="I122" s="1830"/>
    </row>
    <row r="123" spans="1:9">
      <c r="A123" s="63">
        <v>2002.06</v>
      </c>
      <c r="B123" s="289"/>
      <c r="C123" s="2843">
        <v>84.280042452539107</v>
      </c>
      <c r="D123" s="2843">
        <v>83.662470359999318</v>
      </c>
      <c r="E123" s="288">
        <f t="shared" si="1"/>
        <v>93.596308033660435</v>
      </c>
      <c r="F123" s="1668">
        <v>103.60811161246993</v>
      </c>
      <c r="G123" s="254">
        <v>81.171005183674438</v>
      </c>
      <c r="H123" s="1831"/>
      <c r="I123" s="1830"/>
    </row>
    <row r="124" spans="1:9">
      <c r="A124" s="63">
        <v>2002.07</v>
      </c>
      <c r="B124" s="289"/>
      <c r="C124" s="2843">
        <v>84.124887986598821</v>
      </c>
      <c r="D124" s="2843">
        <v>83.786951429543819</v>
      </c>
      <c r="E124" s="288">
        <f t="shared" si="1"/>
        <v>93.735569622271342</v>
      </c>
      <c r="F124" s="1668">
        <v>101.66184181203452</v>
      </c>
      <c r="G124" s="254">
        <v>80.657944666960148</v>
      </c>
      <c r="H124" s="1831"/>
      <c r="I124" s="1830"/>
    </row>
    <row r="125" spans="1:9">
      <c r="A125" s="63">
        <v>2002.08</v>
      </c>
      <c r="B125" s="289"/>
      <c r="C125" s="2843">
        <v>84.109327541550158</v>
      </c>
      <c r="D125" s="2843">
        <v>84.010925101805981</v>
      </c>
      <c r="E125" s="288">
        <f t="shared" si="1"/>
        <v>93.986137275010677</v>
      </c>
      <c r="F125" s="1668">
        <v>99.274556114983895</v>
      </c>
      <c r="G125" s="254">
        <v>80.403747418210898</v>
      </c>
      <c r="H125" s="1831"/>
      <c r="I125" s="1830"/>
    </row>
    <row r="126" spans="1:9">
      <c r="A126" s="63">
        <v>2002.09</v>
      </c>
      <c r="B126" s="289"/>
      <c r="C126" s="2843">
        <v>84.173301134343987</v>
      </c>
      <c r="D126" s="2843">
        <v>84.340234557641224</v>
      </c>
      <c r="E126" s="288">
        <f t="shared" si="1"/>
        <v>94.354547974983134</v>
      </c>
      <c r="F126" s="1668">
        <v>97.412862090223413</v>
      </c>
      <c r="G126" s="254">
        <v>80.529090891452654</v>
      </c>
      <c r="H126" s="1831"/>
      <c r="I126" s="1830"/>
    </row>
    <row r="127" spans="1:9">
      <c r="A127" s="63">
        <v>2002.1</v>
      </c>
      <c r="B127" s="289"/>
      <c r="C127" s="2843">
        <v>84.235308781594327</v>
      </c>
      <c r="D127" s="2843">
        <v>84.791124308004697</v>
      </c>
      <c r="E127" s="288">
        <f t="shared" si="1"/>
        <v>94.858975058986829</v>
      </c>
      <c r="F127" s="1668">
        <v>100.21541285348962</v>
      </c>
      <c r="G127" s="254">
        <v>80.965191956847733</v>
      </c>
      <c r="H127" s="1831"/>
      <c r="I127" s="1830"/>
    </row>
    <row r="128" spans="1:9">
      <c r="A128" s="63">
        <v>2002.11</v>
      </c>
      <c r="B128" s="289"/>
      <c r="C128" s="2843">
        <v>85.357137940359351</v>
      </c>
      <c r="D128" s="2843">
        <v>85.371918657379041</v>
      </c>
      <c r="E128" s="288">
        <f t="shared" si="1"/>
        <v>95.508731235135329</v>
      </c>
      <c r="F128" s="1668">
        <v>99.098474474568107</v>
      </c>
      <c r="G128" s="254">
        <v>81.695544511309492</v>
      </c>
      <c r="H128" s="1831"/>
      <c r="I128" s="1830"/>
    </row>
    <row r="129" spans="1:9">
      <c r="A129" s="63">
        <v>2002.12</v>
      </c>
      <c r="B129" s="289"/>
      <c r="C129" s="2843">
        <v>86.177824933814392</v>
      </c>
      <c r="D129" s="2843">
        <v>86.064572632549414</v>
      </c>
      <c r="E129" s="288">
        <f t="shared" si="1"/>
        <v>96.283628922734366</v>
      </c>
      <c r="F129" s="1668">
        <v>97.384901635230008</v>
      </c>
      <c r="G129" s="254">
        <v>82.608188002615677</v>
      </c>
      <c r="H129" s="1831"/>
      <c r="I129" s="1830"/>
    </row>
    <row r="130" spans="1:9">
      <c r="A130" s="63">
        <v>2003.01</v>
      </c>
      <c r="B130" s="289"/>
      <c r="C130" s="2843">
        <v>87.881710031815345</v>
      </c>
      <c r="D130" s="2843">
        <v>86.837505437304529</v>
      </c>
      <c r="E130" s="288">
        <f t="shared" si="1"/>
        <v>97.148337513956761</v>
      </c>
      <c r="F130" s="1668">
        <v>99.162645455890981</v>
      </c>
      <c r="G130" s="254">
        <v>83.280434055715546</v>
      </c>
      <c r="H130" s="1831"/>
      <c r="I130" s="1830"/>
    </row>
    <row r="131" spans="1:9">
      <c r="A131" s="63">
        <v>2003.02</v>
      </c>
      <c r="B131" s="289"/>
      <c r="C131" s="2843">
        <v>88.635500851525691</v>
      </c>
      <c r="D131" s="2843">
        <v>87.653105729908432</v>
      </c>
      <c r="E131" s="288">
        <f>D131*$E$9</f>
        <v>98.060779806067188</v>
      </c>
      <c r="F131" s="1668">
        <v>94.312172875011171</v>
      </c>
      <c r="G131" s="254">
        <v>84.047985478213548</v>
      </c>
      <c r="H131" s="1831"/>
      <c r="I131" s="1830"/>
    </row>
    <row r="132" spans="1:9">
      <c r="A132" s="63">
        <v>2003.03</v>
      </c>
      <c r="B132" s="289"/>
      <c r="C132" s="2843">
        <v>87.762355876751727</v>
      </c>
      <c r="D132" s="2843">
        <v>88.48505587264097</v>
      </c>
      <c r="E132" s="288">
        <f t="shared" si="1"/>
        <v>98.991513281815386</v>
      </c>
      <c r="F132" s="1668">
        <v>101.87599679617965</v>
      </c>
      <c r="G132" s="254">
        <v>84.865404673991776</v>
      </c>
      <c r="H132" s="1831"/>
      <c r="I132" s="1830"/>
    </row>
    <row r="133" spans="1:9">
      <c r="A133" s="63">
        <v>2003.04</v>
      </c>
      <c r="B133" s="289"/>
      <c r="C133" s="2843">
        <v>90.284141801963997</v>
      </c>
      <c r="D133" s="2843">
        <v>89.318109142514118</v>
      </c>
      <c r="E133" s="288">
        <f t="shared" si="1"/>
        <v>99.923480866802862</v>
      </c>
      <c r="F133" s="1668">
        <v>110.84806484764944</v>
      </c>
      <c r="G133" s="254">
        <v>85.989584801879744</v>
      </c>
      <c r="H133" s="1831"/>
      <c r="I133" s="1830"/>
    </row>
    <row r="134" spans="1:9">
      <c r="A134" s="63">
        <v>2003.05</v>
      </c>
      <c r="B134" s="289"/>
      <c r="C134" s="2843">
        <v>91.016112025066306</v>
      </c>
      <c r="D134" s="2843">
        <v>90.145820446755977</v>
      </c>
      <c r="E134" s="288">
        <f t="shared" si="1"/>
        <v>100.84947219674336</v>
      </c>
      <c r="F134" s="1668">
        <v>114.40653926642133</v>
      </c>
      <c r="G134" s="254">
        <v>86.935997224219093</v>
      </c>
      <c r="H134" s="1831"/>
      <c r="I134" s="1830"/>
    </row>
    <row r="135" spans="1:9">
      <c r="A135" s="63">
        <v>2003.06</v>
      </c>
      <c r="B135" s="289"/>
      <c r="C135" s="2843">
        <v>91.460381031532165</v>
      </c>
      <c r="D135" s="2843">
        <v>90.96821969230551</v>
      </c>
      <c r="E135" s="288">
        <f t="shared" si="1"/>
        <v>101.76952072963856</v>
      </c>
      <c r="F135" s="1668">
        <v>111.89709186127824</v>
      </c>
      <c r="G135" s="254">
        <v>88.027833428048481</v>
      </c>
      <c r="H135" s="1831"/>
      <c r="I135" s="1830"/>
    </row>
    <row r="136" spans="1:9">
      <c r="A136" s="63">
        <v>2003.07</v>
      </c>
      <c r="B136" s="289"/>
      <c r="C136" s="2843">
        <v>92.633938363262871</v>
      </c>
      <c r="D136" s="2843">
        <v>91.782441786425281</v>
      </c>
      <c r="E136" s="288">
        <f t="shared" si="1"/>
        <v>102.68042117999727</v>
      </c>
      <c r="F136" s="1668">
        <v>110.63079515068982</v>
      </c>
      <c r="G136" s="254">
        <v>88.886621909128536</v>
      </c>
      <c r="H136" s="1831"/>
      <c r="I136" s="1830"/>
    </row>
    <row r="137" spans="1:9">
      <c r="A137" s="63">
        <v>2003.08</v>
      </c>
      <c r="B137" s="289"/>
      <c r="C137" s="2843">
        <v>92.319628070224795</v>
      </c>
      <c r="D137" s="2843">
        <v>92.582388640459996</v>
      </c>
      <c r="E137" s="288">
        <f t="shared" si="1"/>
        <v>103.5753513899064</v>
      </c>
      <c r="F137" s="1668">
        <v>107.67044320570943</v>
      </c>
      <c r="G137" s="254">
        <v>89.787550828278455</v>
      </c>
      <c r="H137" s="1831"/>
      <c r="I137" s="1830"/>
    </row>
    <row r="138" spans="1:9">
      <c r="A138" s="63">
        <v>2003.09</v>
      </c>
      <c r="B138" s="289"/>
      <c r="C138" s="2843">
        <v>93.634822262332023</v>
      </c>
      <c r="D138" s="2843">
        <v>93.363787463001231</v>
      </c>
      <c r="E138" s="288">
        <f t="shared" ref="E138:E201" si="2">D138*$E$9</f>
        <v>104.44953122917011</v>
      </c>
      <c r="F138" s="1668">
        <v>108.60365937956736</v>
      </c>
      <c r="G138" s="254">
        <v>90.773238860932622</v>
      </c>
      <c r="H138" s="1831"/>
      <c r="I138" s="1830"/>
    </row>
    <row r="139" spans="1:9">
      <c r="A139" s="63">
        <v>2003.1</v>
      </c>
      <c r="B139" s="289"/>
      <c r="C139" s="2843">
        <v>94.588822612016301</v>
      </c>
      <c r="D139" s="2843">
        <v>94.123157127855677</v>
      </c>
      <c r="E139" s="288">
        <f t="shared" si="2"/>
        <v>105.29906623282589</v>
      </c>
      <c r="F139" s="1668">
        <v>111.8703796379171</v>
      </c>
      <c r="G139" s="254">
        <v>92.080793692315225</v>
      </c>
      <c r="H139" s="1831"/>
      <c r="I139" s="1830"/>
    </row>
    <row r="140" spans="1:9">
      <c r="A140" s="63">
        <v>2003.11</v>
      </c>
      <c r="B140" s="289"/>
      <c r="C140" s="2843">
        <v>94.90145151566314</v>
      </c>
      <c r="D140" s="2843">
        <v>94.860043890421622</v>
      </c>
      <c r="E140" s="288">
        <f t="shared" si="2"/>
        <v>106.12344877996169</v>
      </c>
      <c r="F140" s="1668">
        <v>109.75469561246986</v>
      </c>
      <c r="G140" s="254">
        <v>93.400141078086989</v>
      </c>
      <c r="H140" s="1831"/>
      <c r="I140" s="1830"/>
    </row>
    <row r="141" spans="1:9" ht="13.5" thickBot="1">
      <c r="A141" s="63">
        <v>2003.12</v>
      </c>
      <c r="B141" s="289"/>
      <c r="C141" s="2843">
        <v>95.546200670930105</v>
      </c>
      <c r="D141" s="2843">
        <v>95.557368351469975</v>
      </c>
      <c r="E141" s="288">
        <f t="shared" si="2"/>
        <v>106.90357151330728</v>
      </c>
      <c r="F141" s="1668">
        <v>108.76797601950953</v>
      </c>
      <c r="G141" s="254">
        <v>94.46180331337186</v>
      </c>
      <c r="H141" s="1831"/>
      <c r="I141" s="1830"/>
    </row>
    <row r="142" spans="1:9">
      <c r="A142" s="63">
        <v>2004.01</v>
      </c>
      <c r="B142" s="290">
        <v>92.627506026910524</v>
      </c>
      <c r="C142" s="3022">
        <v>98.473851977118414</v>
      </c>
      <c r="D142" s="3022">
        <v>96.033317303267708</v>
      </c>
      <c r="E142" s="650">
        <f t="shared" si="2"/>
        <v>107.43603325522183</v>
      </c>
      <c r="F142" s="1668">
        <v>109.81685563127817</v>
      </c>
      <c r="G142" s="254">
        <v>95.462961706100984</v>
      </c>
      <c r="H142" s="1831"/>
      <c r="I142" s="1830"/>
    </row>
    <row r="143" spans="1:9">
      <c r="A143" s="63">
        <v>2004.02</v>
      </c>
      <c r="B143" s="651">
        <v>90.186179316559588</v>
      </c>
      <c r="C143" s="3023">
        <v>98.203624990582369</v>
      </c>
      <c r="D143" s="3023">
        <v>96.638832938639467</v>
      </c>
      <c r="E143" s="203">
        <f t="shared" si="2"/>
        <v>108.11344605075111</v>
      </c>
      <c r="F143" s="1668">
        <v>104.67909042212302</v>
      </c>
      <c r="G143" s="254">
        <v>96.539951769917167</v>
      </c>
      <c r="H143" s="1831"/>
      <c r="I143" s="1830"/>
    </row>
    <row r="144" spans="1:9">
      <c r="A144" s="63">
        <v>2004.03</v>
      </c>
      <c r="B144" s="651">
        <v>101.88329804238073</v>
      </c>
      <c r="C144" s="3023">
        <v>97.77707010538083</v>
      </c>
      <c r="D144" s="3023">
        <v>97.312080182245651</v>
      </c>
      <c r="E144" s="203">
        <f>D144*$E$9</f>
        <v>108.86663270809257</v>
      </c>
      <c r="F144" s="1668">
        <v>115.3535632818045</v>
      </c>
      <c r="G144" s="254">
        <v>97.51304380828941</v>
      </c>
      <c r="H144" s="1831"/>
      <c r="I144" s="1830"/>
    </row>
    <row r="145" spans="1:9">
      <c r="A145" s="63">
        <v>2004.04</v>
      </c>
      <c r="B145" s="651">
        <v>102.5674302511826</v>
      </c>
      <c r="C145" s="3023">
        <v>95.419111791641157</v>
      </c>
      <c r="D145" s="3023">
        <v>98.016489478077702</v>
      </c>
      <c r="E145" s="203">
        <f t="shared" si="2"/>
        <v>109.65468150883648</v>
      </c>
      <c r="F145" s="1668">
        <v>116.61613350220657</v>
      </c>
      <c r="G145" s="254">
        <v>98.244951044583374</v>
      </c>
      <c r="H145" s="1831"/>
      <c r="I145" s="1830"/>
    </row>
    <row r="146" spans="1:9">
      <c r="A146" s="63">
        <v>2004.05</v>
      </c>
      <c r="B146" s="651">
        <v>109.87750394051662</v>
      </c>
      <c r="C146" s="3023">
        <v>96.684597350820866</v>
      </c>
      <c r="D146" s="3023">
        <v>98.745623448896666</v>
      </c>
      <c r="E146" s="203">
        <f t="shared" si="2"/>
        <v>110.4703907203494</v>
      </c>
      <c r="F146" s="1668">
        <v>121.58886350093648</v>
      </c>
      <c r="G146" s="254">
        <v>99.138711519704344</v>
      </c>
      <c r="H146" s="1831"/>
      <c r="I146" s="1830"/>
    </row>
    <row r="147" spans="1:9">
      <c r="A147" s="63">
        <v>2004.06</v>
      </c>
      <c r="B147" s="651">
        <v>105.66240620209851</v>
      </c>
      <c r="C147" s="3023">
        <v>98.548078711224861</v>
      </c>
      <c r="D147" s="3023">
        <v>99.499520603391375</v>
      </c>
      <c r="E147" s="203">
        <f t="shared" si="2"/>
        <v>111.31380342372952</v>
      </c>
      <c r="F147" s="1668">
        <v>120.91474465854576</v>
      </c>
      <c r="G147" s="254">
        <v>99.843826139270035</v>
      </c>
      <c r="H147" s="1831"/>
      <c r="I147" s="1830"/>
    </row>
    <row r="148" spans="1:9">
      <c r="A148" s="63">
        <v>2004.07</v>
      </c>
      <c r="B148" s="651">
        <v>101.1069972900212</v>
      </c>
      <c r="C148" s="3023">
        <v>100.78634945024979</v>
      </c>
      <c r="D148" s="3023">
        <v>100.27740603894416</v>
      </c>
      <c r="E148" s="203">
        <f t="shared" si="2"/>
        <v>112.18405270668289</v>
      </c>
      <c r="F148" s="1668">
        <v>119.07828400560459</v>
      </c>
      <c r="G148" s="254">
        <v>100.35605925501734</v>
      </c>
      <c r="H148" s="1831"/>
      <c r="I148" s="1830"/>
    </row>
    <row r="149" spans="1:9">
      <c r="A149" s="63">
        <v>2004.08</v>
      </c>
      <c r="B149" s="651">
        <v>98.355736942437574</v>
      </c>
      <c r="C149" s="3023">
        <v>102.14437224539472</v>
      </c>
      <c r="D149" s="3023">
        <v>101.07693298122558</v>
      </c>
      <c r="E149" s="203">
        <f t="shared" si="2"/>
        <v>113.07851314574209</v>
      </c>
      <c r="F149" s="1668">
        <v>118.29022447531626</v>
      </c>
      <c r="G149" s="254">
        <v>101.02316063524378</v>
      </c>
      <c r="H149" s="1831"/>
      <c r="I149" s="1830"/>
    </row>
    <row r="150" spans="1:9">
      <c r="A150" s="63">
        <v>2004.09</v>
      </c>
      <c r="B150" s="651">
        <v>98.086374534696375</v>
      </c>
      <c r="C150" s="3023">
        <v>102.37232290407265</v>
      </c>
      <c r="D150" s="3023">
        <v>101.89015116159185</v>
      </c>
      <c r="E150" s="203">
        <f t="shared" si="2"/>
        <v>113.98829048055678</v>
      </c>
      <c r="F150" s="1668">
        <v>118.36714364601441</v>
      </c>
      <c r="G150" s="254">
        <v>101.79365399387535</v>
      </c>
      <c r="H150" s="1831"/>
      <c r="I150" s="1830"/>
    </row>
    <row r="151" spans="1:9">
      <c r="A151" s="63">
        <v>2004.1</v>
      </c>
      <c r="B151" s="651">
        <v>97.835665980979897</v>
      </c>
      <c r="C151" s="3023">
        <v>103.14566464521039</v>
      </c>
      <c r="D151" s="3023">
        <v>102.70758028085562</v>
      </c>
      <c r="E151" s="203">
        <f t="shared" si="2"/>
        <v>114.90277874886971</v>
      </c>
      <c r="F151" s="1668">
        <v>119.1544695399046</v>
      </c>
      <c r="G151" s="254">
        <v>102.37012664934538</v>
      </c>
      <c r="H151" s="1831"/>
      <c r="I151" s="1830"/>
    </row>
    <row r="152" spans="1:9">
      <c r="A152" s="63">
        <v>2004.11</v>
      </c>
      <c r="B152" s="651">
        <v>100.13194668122139</v>
      </c>
      <c r="C152" s="3023">
        <v>103.6635526098423</v>
      </c>
      <c r="D152" s="3023">
        <v>103.51199153052733</v>
      </c>
      <c r="E152" s="203">
        <f t="shared" si="2"/>
        <v>115.80270344373039</v>
      </c>
      <c r="F152" s="1668">
        <v>120.33731343369942</v>
      </c>
      <c r="G152" s="254">
        <v>103.21631257708459</v>
      </c>
      <c r="H152" s="1831"/>
      <c r="I152" s="1830"/>
    </row>
    <row r="153" spans="1:9">
      <c r="A153" s="63">
        <v>2004.12</v>
      </c>
      <c r="B153" s="651">
        <v>101.67895479099535</v>
      </c>
      <c r="C153" s="3023">
        <v>102.78140321846145</v>
      </c>
      <c r="D153" s="3023">
        <v>104.29007405233679</v>
      </c>
      <c r="E153" s="203">
        <f t="shared" si="2"/>
        <v>116.67317321438763</v>
      </c>
      <c r="F153" s="1668">
        <v>118.73167507115377</v>
      </c>
      <c r="G153" s="254">
        <v>104.49724090156819</v>
      </c>
      <c r="H153" s="1831"/>
      <c r="I153" s="1830"/>
    </row>
    <row r="154" spans="1:9">
      <c r="A154" s="63">
        <v>2005.01</v>
      </c>
      <c r="B154" s="651">
        <v>98.473359529179007</v>
      </c>
      <c r="C154" s="3023">
        <v>105.7591414185077</v>
      </c>
      <c r="D154" s="3023">
        <v>105.0307360851981</v>
      </c>
      <c r="E154" s="203">
        <f t="shared" si="2"/>
        <v>117.50177929640058</v>
      </c>
      <c r="F154" s="1668">
        <v>118.03159581797222</v>
      </c>
      <c r="G154" s="254">
        <v>105.63109136686168</v>
      </c>
      <c r="H154" s="1831"/>
      <c r="I154" s="1830"/>
    </row>
    <row r="155" spans="1:9">
      <c r="A155" s="63">
        <v>2005.02</v>
      </c>
      <c r="B155" s="651">
        <v>96.118866133434054</v>
      </c>
      <c r="C155" s="3023">
        <v>106.08114384763675</v>
      </c>
      <c r="D155" s="3023">
        <v>105.72808759205405</v>
      </c>
      <c r="E155" s="203">
        <f t="shared" si="2"/>
        <v>118.28193228689409</v>
      </c>
      <c r="F155" s="1668">
        <v>111.2592673270002</v>
      </c>
      <c r="G155" s="254">
        <v>106.26609774789986</v>
      </c>
      <c r="H155" s="1831"/>
      <c r="I155" s="1830"/>
    </row>
    <row r="156" spans="1:9">
      <c r="A156" s="63">
        <v>2005.03</v>
      </c>
      <c r="B156" s="651">
        <v>110.65642586719524</v>
      </c>
      <c r="C156" s="3023">
        <v>106.65916885997822</v>
      </c>
      <c r="D156" s="3023">
        <v>106.38135203091741</v>
      </c>
      <c r="E156" s="203">
        <f t="shared" si="2"/>
        <v>119.01276343955061</v>
      </c>
      <c r="F156" s="1668">
        <v>122.72302043766146</v>
      </c>
      <c r="G156" s="254">
        <v>107.13812633160482</v>
      </c>
      <c r="H156" s="1831"/>
      <c r="I156" s="1830"/>
    </row>
    <row r="157" spans="1:9">
      <c r="A157" s="63">
        <v>2005.04</v>
      </c>
      <c r="B157" s="651">
        <v>116.54519048214907</v>
      </c>
      <c r="C157" s="3023">
        <v>108.57482395222304</v>
      </c>
      <c r="D157" s="3023">
        <v>106.99656512281831</v>
      </c>
      <c r="E157" s="203">
        <f t="shared" si="2"/>
        <v>119.70102513930827</v>
      </c>
      <c r="F157" s="1668">
        <v>129.0099432747445</v>
      </c>
      <c r="G157" s="254">
        <v>108.11862861368984</v>
      </c>
      <c r="H157" s="1831"/>
      <c r="I157" s="1830"/>
    </row>
    <row r="158" spans="1:9">
      <c r="A158" s="63">
        <v>2005.05</v>
      </c>
      <c r="B158" s="651">
        <v>126.66194335502726</v>
      </c>
      <c r="C158" s="3023">
        <v>108.93177238900977</v>
      </c>
      <c r="D158" s="3023">
        <v>107.58372611514605</v>
      </c>
      <c r="E158" s="203">
        <f t="shared" si="2"/>
        <v>120.35790391502192</v>
      </c>
      <c r="F158" s="1668">
        <v>134.84397513513838</v>
      </c>
      <c r="G158" s="254">
        <v>108.96561476622976</v>
      </c>
      <c r="H158" s="1831"/>
      <c r="I158" s="1830"/>
    </row>
    <row r="159" spans="1:9">
      <c r="A159" s="63">
        <v>2005.06</v>
      </c>
      <c r="B159" s="651">
        <v>116.50222321492875</v>
      </c>
      <c r="C159" s="3023">
        <v>108.43867279732876</v>
      </c>
      <c r="D159" s="3023">
        <v>108.15438054951467</v>
      </c>
      <c r="E159" s="203">
        <f t="shared" si="2"/>
        <v>120.99631619223669</v>
      </c>
      <c r="F159" s="1668">
        <v>132.73413534885702</v>
      </c>
      <c r="G159" s="254">
        <v>109.64720849049708</v>
      </c>
      <c r="H159" s="1831"/>
      <c r="I159" s="1830"/>
    </row>
    <row r="160" spans="1:9">
      <c r="A160" s="63">
        <v>2005.07</v>
      </c>
      <c r="B160" s="651">
        <v>107.58113926245956</v>
      </c>
      <c r="C160" s="3023">
        <v>109.07943123955106</v>
      </c>
      <c r="D160" s="3023">
        <v>108.72121281315829</v>
      </c>
      <c r="E160" s="203">
        <f t="shared" si="2"/>
        <v>121.63045246532445</v>
      </c>
      <c r="F160" s="1668">
        <v>127.78357565101183</v>
      </c>
      <c r="G160" s="254">
        <v>110.35812954065072</v>
      </c>
      <c r="H160" s="1831"/>
      <c r="I160" s="1830"/>
    </row>
    <row r="161" spans="1:9">
      <c r="A161" s="63">
        <v>2005.08</v>
      </c>
      <c r="B161" s="651">
        <v>105.82089279310111</v>
      </c>
      <c r="C161" s="3023">
        <v>109.32821812642649</v>
      </c>
      <c r="D161" s="3023">
        <v>109.29607009116251</v>
      </c>
      <c r="E161" s="203">
        <f t="shared" si="2"/>
        <v>122.27356661956773</v>
      </c>
      <c r="F161" s="1668">
        <v>129.2417460544174</v>
      </c>
      <c r="G161" s="254">
        <v>111.15816449357855</v>
      </c>
      <c r="H161" s="1831"/>
      <c r="I161" s="1830"/>
    </row>
    <row r="162" spans="1:9">
      <c r="A162" s="63">
        <v>2005.09</v>
      </c>
      <c r="B162" s="651">
        <v>104.89213472672316</v>
      </c>
      <c r="C162" s="3023">
        <v>109.27482962838582</v>
      </c>
      <c r="D162" s="3023">
        <v>109.89137123143678</v>
      </c>
      <c r="E162" s="203">
        <f t="shared" si="2"/>
        <v>122.93955208064897</v>
      </c>
      <c r="F162" s="1668">
        <v>128.52680527296226</v>
      </c>
      <c r="G162" s="254">
        <v>112.0548652079255</v>
      </c>
      <c r="H162" s="1831"/>
      <c r="I162" s="1830"/>
    </row>
    <row r="163" spans="1:9">
      <c r="A163" s="63">
        <v>2005.1</v>
      </c>
      <c r="B163" s="651">
        <v>104.46066538498441</v>
      </c>
      <c r="C163" s="3023">
        <v>109.90268209830005</v>
      </c>
      <c r="D163" s="3023">
        <v>110.51518992388583</v>
      </c>
      <c r="E163" s="203">
        <f t="shared" si="2"/>
        <v>123.63744118485994</v>
      </c>
      <c r="F163" s="1668">
        <v>128.3650253626702</v>
      </c>
      <c r="G163" s="254">
        <v>113.03265276640536</v>
      </c>
      <c r="H163" s="1831"/>
      <c r="I163" s="1830"/>
    </row>
    <row r="164" spans="1:9">
      <c r="A164" s="63">
        <v>2005.11</v>
      </c>
      <c r="B164" s="651">
        <v>108.00375438454834</v>
      </c>
      <c r="C164" s="3023">
        <v>111.19570209052051</v>
      </c>
      <c r="D164" s="3023">
        <v>111.17581167688174</v>
      </c>
      <c r="E164" s="203">
        <f t="shared" si="2"/>
        <v>124.37650323766665</v>
      </c>
      <c r="F164" s="1668">
        <v>130.78840314665152</v>
      </c>
      <c r="G164" s="254">
        <v>113.78648260448439</v>
      </c>
      <c r="H164" s="1831"/>
      <c r="I164" s="1830"/>
    </row>
    <row r="165" spans="1:9">
      <c r="A165" s="63">
        <v>2005.12</v>
      </c>
      <c r="B165" s="651">
        <v>110.50332389924424</v>
      </c>
      <c r="C165" s="3023">
        <v>112.99433253370476</v>
      </c>
      <c r="D165" s="3023">
        <v>111.87715725702748</v>
      </c>
      <c r="E165" s="203">
        <f t="shared" si="2"/>
        <v>125.16112454606102</v>
      </c>
      <c r="F165" s="1668">
        <v>128.61954925575017</v>
      </c>
      <c r="G165" s="254">
        <v>114.43627026547054</v>
      </c>
      <c r="H165" s="1831"/>
      <c r="I165" s="1830"/>
    </row>
    <row r="166" spans="1:9">
      <c r="A166" s="63">
        <v>2006.01</v>
      </c>
      <c r="B166" s="651">
        <v>106.53094787692405</v>
      </c>
      <c r="C166" s="3023">
        <v>113.86138069351176</v>
      </c>
      <c r="D166" s="3023">
        <v>112.61778396013685</v>
      </c>
      <c r="E166" s="203">
        <f t="shared" si="2"/>
        <v>125.98969110337035</v>
      </c>
      <c r="F166" s="1668">
        <v>126.41972664790062</v>
      </c>
      <c r="G166" s="254">
        <v>115.18808749657256</v>
      </c>
      <c r="H166" s="1831"/>
      <c r="I166" s="1830"/>
    </row>
    <row r="167" spans="1:9">
      <c r="A167" s="63">
        <v>2006.02</v>
      </c>
      <c r="B167" s="651">
        <v>104.0901370432872</v>
      </c>
      <c r="C167" s="3023">
        <v>114.81698214939338</v>
      </c>
      <c r="D167" s="3023">
        <v>113.39408171046317</v>
      </c>
      <c r="E167" s="203">
        <f t="shared" si="2"/>
        <v>126.858164183985</v>
      </c>
      <c r="F167" s="1668">
        <v>121.81184780628678</v>
      </c>
      <c r="G167" s="254">
        <v>116.03597174509243</v>
      </c>
      <c r="H167" s="1831"/>
      <c r="I167" s="1830"/>
    </row>
    <row r="168" spans="1:9">
      <c r="A168" s="63">
        <v>2006.03</v>
      </c>
      <c r="B168" s="651">
        <v>118.58827645043104</v>
      </c>
      <c r="C168" s="3023">
        <v>114.26672311690491</v>
      </c>
      <c r="D168" s="3023">
        <v>114.20123163839277</v>
      </c>
      <c r="E168" s="203">
        <f t="shared" si="2"/>
        <v>127.76115273977076</v>
      </c>
      <c r="F168" s="1668">
        <v>134.24828782891416</v>
      </c>
      <c r="G168" s="254">
        <v>116.89111277579507</v>
      </c>
      <c r="H168" s="1831"/>
      <c r="I168" s="1830"/>
    </row>
    <row r="169" spans="1:9">
      <c r="A169" s="63">
        <v>2006.04</v>
      </c>
      <c r="B169" s="651">
        <v>122.08710730131627</v>
      </c>
      <c r="C169" s="3023">
        <v>115.98520814756928</v>
      </c>
      <c r="D169" s="3023">
        <v>115.03453326903636</v>
      </c>
      <c r="E169" s="203">
        <f t="shared" si="2"/>
        <v>128.69339817516206</v>
      </c>
      <c r="F169" s="1668">
        <v>137.22617646283285</v>
      </c>
      <c r="G169" s="254">
        <v>117.37844972601054</v>
      </c>
      <c r="H169" s="1831"/>
      <c r="I169" s="1830"/>
    </row>
    <row r="170" spans="1:9">
      <c r="A170" s="63">
        <v>2006.05</v>
      </c>
      <c r="B170" s="651">
        <v>133.37101567477424</v>
      </c>
      <c r="C170" s="3023">
        <v>114.9083746014614</v>
      </c>
      <c r="D170" s="3023">
        <v>115.88961604418328</v>
      </c>
      <c r="E170" s="203">
        <f t="shared" si="2"/>
        <v>129.6500109846159</v>
      </c>
      <c r="F170" s="1668">
        <v>144.08010374070111</v>
      </c>
      <c r="G170" s="254">
        <v>117.6463904461629</v>
      </c>
      <c r="H170" s="1831"/>
      <c r="I170" s="1830"/>
    </row>
    <row r="171" spans="1:9">
      <c r="A171" s="63">
        <v>2006.06</v>
      </c>
      <c r="B171" s="651">
        <v>124.29274775102324</v>
      </c>
      <c r="C171" s="3023">
        <v>116.11781019601516</v>
      </c>
      <c r="D171" s="3023">
        <v>116.76229095452889</v>
      </c>
      <c r="E171" s="203">
        <f t="shared" si="2"/>
        <v>130.62630476808286</v>
      </c>
      <c r="F171" s="1668">
        <v>142.55231670039291</v>
      </c>
      <c r="G171" s="254">
        <v>118.09439691157094</v>
      </c>
      <c r="H171" s="1831"/>
      <c r="I171" s="1830"/>
    </row>
    <row r="172" spans="1:9">
      <c r="A172" s="63">
        <v>2006.07</v>
      </c>
      <c r="B172" s="651">
        <v>117.04563185352679</v>
      </c>
      <c r="C172" s="3023">
        <v>118.0790516427198</v>
      </c>
      <c r="D172" s="3023">
        <v>117.64736133312158</v>
      </c>
      <c r="E172" s="203">
        <f t="shared" si="2"/>
        <v>131.61646582153696</v>
      </c>
      <c r="F172" s="1668">
        <v>139.89564373659906</v>
      </c>
      <c r="G172" s="254">
        <v>118.79056780764047</v>
      </c>
      <c r="H172" s="1831"/>
      <c r="I172" s="1830"/>
    </row>
    <row r="173" spans="1:9">
      <c r="A173" s="63">
        <v>2006.08</v>
      </c>
      <c r="B173" s="651">
        <v>116.30360797574892</v>
      </c>
      <c r="C173" s="3023">
        <v>118.77874685373123</v>
      </c>
      <c r="D173" s="3023">
        <v>118.54314378238699</v>
      </c>
      <c r="E173" s="203">
        <f t="shared" si="2"/>
        <v>132.61861086568663</v>
      </c>
      <c r="F173" s="1668">
        <v>140.57128863942538</v>
      </c>
      <c r="G173" s="254">
        <v>119.6152331344371</v>
      </c>
      <c r="H173" s="1831"/>
      <c r="I173" s="1830"/>
    </row>
    <row r="174" spans="1:9">
      <c r="A174" s="63">
        <v>2006.09</v>
      </c>
      <c r="B174" s="651">
        <v>114.80248033323909</v>
      </c>
      <c r="C174" s="3023">
        <v>119.88287435244548</v>
      </c>
      <c r="D174" s="3023">
        <v>119.44936359463787</v>
      </c>
      <c r="E174" s="203">
        <f t="shared" si="2"/>
        <v>133.63243257485522</v>
      </c>
      <c r="F174" s="1668">
        <v>139.66031985883515</v>
      </c>
      <c r="G174" s="254">
        <v>120.41656169221589</v>
      </c>
      <c r="H174" s="1831"/>
      <c r="I174" s="1830"/>
    </row>
    <row r="175" spans="1:9">
      <c r="A175" s="63">
        <v>2006.1</v>
      </c>
      <c r="B175" s="651">
        <v>116.47750825324563</v>
      </c>
      <c r="C175" s="3023">
        <v>120.55004670980939</v>
      </c>
      <c r="D175" s="3023">
        <v>120.36427379874118</v>
      </c>
      <c r="E175" s="203">
        <f t="shared" si="2"/>
        <v>134.65597654765349</v>
      </c>
      <c r="F175" s="1668">
        <v>140.5219452083775</v>
      </c>
      <c r="G175" s="254">
        <v>121.13164138898034</v>
      </c>
      <c r="H175" s="1831"/>
      <c r="I175" s="1830"/>
    </row>
    <row r="176" spans="1:9">
      <c r="A176" s="63">
        <v>2006.11</v>
      </c>
      <c r="B176" s="651">
        <v>118.14078229406633</v>
      </c>
      <c r="C176" s="3023">
        <v>120.65350614821882</v>
      </c>
      <c r="D176" s="3023">
        <v>121.28832583755234</v>
      </c>
      <c r="E176" s="203">
        <f t="shared" si="2"/>
        <v>135.68974782994462</v>
      </c>
      <c r="F176" s="1668">
        <v>142.92761457410944</v>
      </c>
      <c r="G176" s="254">
        <v>121.98609330423437</v>
      </c>
      <c r="H176" s="1831"/>
      <c r="I176" s="1830"/>
    </row>
    <row r="177" spans="1:9">
      <c r="A177" s="63">
        <v>2006.12</v>
      </c>
      <c r="B177" s="651">
        <v>119.60317208093002</v>
      </c>
      <c r="C177" s="3023">
        <v>123.43271022119254</v>
      </c>
      <c r="D177" s="3023">
        <v>122.21774800871192</v>
      </c>
      <c r="E177" s="203">
        <f t="shared" si="2"/>
        <v>136.72952687843372</v>
      </c>
      <c r="F177" s="1668">
        <v>138.96187406665049</v>
      </c>
      <c r="G177" s="254">
        <v>122.97673972992038</v>
      </c>
      <c r="H177" s="1832"/>
      <c r="I177" s="1830"/>
    </row>
    <row r="178" spans="1:9">
      <c r="A178" s="63">
        <v>2007.01</v>
      </c>
      <c r="B178" s="651">
        <v>114.70176482722367</v>
      </c>
      <c r="C178" s="3023">
        <v>122.06717653834323</v>
      </c>
      <c r="D178" s="3023">
        <v>123.14805156593162</v>
      </c>
      <c r="E178" s="203">
        <f t="shared" si="2"/>
        <v>137.77029196619253</v>
      </c>
      <c r="F178" s="1668">
        <v>135.29425851866509</v>
      </c>
      <c r="G178" s="254">
        <v>123.91272762722184</v>
      </c>
      <c r="H178" s="1831"/>
      <c r="I178" s="1830"/>
    </row>
    <row r="179" spans="1:9">
      <c r="A179" s="63">
        <v>2007.02</v>
      </c>
      <c r="B179" s="651">
        <v>112.74324828605302</v>
      </c>
      <c r="C179" s="3023">
        <v>124.6969553138731</v>
      </c>
      <c r="D179" s="3023">
        <v>124.07713400534358</v>
      </c>
      <c r="E179" s="203">
        <f t="shared" si="2"/>
        <v>138.80969094417733</v>
      </c>
      <c r="F179" s="1668">
        <v>130.61486108628864</v>
      </c>
      <c r="G179" s="254">
        <v>124.87245174623534</v>
      </c>
      <c r="H179" s="1831"/>
      <c r="I179" s="1830"/>
    </row>
    <row r="180" spans="1:9">
      <c r="A180" s="63">
        <v>2007.03</v>
      </c>
      <c r="B180" s="651">
        <v>129.28276498944658</v>
      </c>
      <c r="C180" s="3023">
        <v>126.53324842416367</v>
      </c>
      <c r="D180" s="3023">
        <v>125.00563979282848</v>
      </c>
      <c r="E180" s="203">
        <f t="shared" si="2"/>
        <v>139.84844480026743</v>
      </c>
      <c r="F180" s="1668">
        <v>144.2585535765563</v>
      </c>
      <c r="G180" s="254">
        <v>125.75702841222525</v>
      </c>
      <c r="H180" s="1831"/>
      <c r="I180" s="1830"/>
    </row>
    <row r="181" spans="1:9">
      <c r="A181" s="63">
        <v>2007.04</v>
      </c>
      <c r="B181" s="651">
        <v>133.46308313008805</v>
      </c>
      <c r="C181" s="3023">
        <v>125.33254230475436</v>
      </c>
      <c r="D181" s="3023">
        <v>125.93159331070297</v>
      </c>
      <c r="E181" s="203">
        <f t="shared" si="2"/>
        <v>140.88434333769897</v>
      </c>
      <c r="F181" s="1668">
        <v>149.90771319883089</v>
      </c>
      <c r="G181" s="254">
        <v>126.51074527049943</v>
      </c>
      <c r="H181" s="1831"/>
      <c r="I181" s="1830"/>
    </row>
    <row r="182" spans="1:9">
      <c r="A182" s="63">
        <v>2007.05</v>
      </c>
      <c r="B182" s="651">
        <v>147.60791074167543</v>
      </c>
      <c r="C182" s="3023">
        <v>127.1430711935155</v>
      </c>
      <c r="D182" s="3023">
        <v>126.85122236500496</v>
      </c>
      <c r="E182" s="203">
        <f t="shared" si="2"/>
        <v>141.91316646320288</v>
      </c>
      <c r="F182" s="1668">
        <v>157.23565382195972</v>
      </c>
      <c r="G182" s="254">
        <v>127.23337116747709</v>
      </c>
      <c r="H182" s="1831"/>
      <c r="I182" s="1830"/>
    </row>
    <row r="183" spans="1:9">
      <c r="A183" s="63">
        <v>2007.06</v>
      </c>
      <c r="B183" s="651">
        <v>136.12098630494512</v>
      </c>
      <c r="C183" s="3023">
        <v>128.42905273885344</v>
      </c>
      <c r="D183" s="3023">
        <v>127.7639417075311</v>
      </c>
      <c r="E183" s="203">
        <f t="shared" si="2"/>
        <v>142.93425943791141</v>
      </c>
      <c r="F183" s="1668">
        <v>154.25439406948951</v>
      </c>
      <c r="G183" s="254">
        <v>127.87138263578044</v>
      </c>
      <c r="H183" s="1831"/>
      <c r="I183" s="1830"/>
    </row>
    <row r="184" spans="1:9">
      <c r="A184" s="63">
        <v>2007.07</v>
      </c>
      <c r="B184" s="651">
        <v>127.38755189795539</v>
      </c>
      <c r="C184" s="3023">
        <v>127.7399829874397</v>
      </c>
      <c r="D184" s="3023">
        <v>128.66671141803803</v>
      </c>
      <c r="E184" s="203">
        <f t="shared" si="2"/>
        <v>143.94422139031946</v>
      </c>
      <c r="F184" s="1668">
        <v>149.30389042239716</v>
      </c>
      <c r="G184" s="254">
        <v>128.48424954633833</v>
      </c>
      <c r="H184" s="1831"/>
      <c r="I184" s="1830"/>
    </row>
    <row r="185" spans="1:9">
      <c r="A185" s="63">
        <v>2007.08</v>
      </c>
      <c r="B185" s="651">
        <v>126.59522767863001</v>
      </c>
      <c r="C185" s="3023">
        <v>128.66160559142713</v>
      </c>
      <c r="D185" s="3023">
        <v>129.55505541434076</v>
      </c>
      <c r="E185" s="203">
        <f t="shared" si="2"/>
        <v>144.93804476130083</v>
      </c>
      <c r="F185" s="1668">
        <v>153.03316647597615</v>
      </c>
      <c r="G185" s="254">
        <v>129.31349314260845</v>
      </c>
      <c r="H185" s="1831"/>
      <c r="I185" s="1830"/>
    </row>
    <row r="186" spans="1:9">
      <c r="A186" s="63">
        <v>2007.09</v>
      </c>
      <c r="B186" s="651">
        <v>123.5104632944452</v>
      </c>
      <c r="C186" s="3023">
        <v>129.68224217467997</v>
      </c>
      <c r="D186" s="3023">
        <v>130.42282770499156</v>
      </c>
      <c r="E186" s="203">
        <f t="shared" si="2"/>
        <v>145.90885380231214</v>
      </c>
      <c r="F186" s="1668">
        <v>151.55376024908887</v>
      </c>
      <c r="G186" s="254">
        <v>130.06963715377026</v>
      </c>
      <c r="H186" s="1831"/>
      <c r="I186" s="1830"/>
    </row>
    <row r="187" spans="1:9">
      <c r="A187" s="63">
        <v>2007.1</v>
      </c>
      <c r="B187" s="651">
        <v>128.41538266104467</v>
      </c>
      <c r="C187" s="3023">
        <v>131.1999392692766</v>
      </c>
      <c r="D187" s="3023">
        <v>131.25944005843215</v>
      </c>
      <c r="E187" s="203">
        <f t="shared" si="2"/>
        <v>146.84480306606741</v>
      </c>
      <c r="F187" s="1668">
        <v>155.06042309798488</v>
      </c>
      <c r="G187" s="254">
        <v>130.84745048290208</v>
      </c>
      <c r="H187" s="1831"/>
      <c r="I187" s="1830"/>
    </row>
    <row r="188" spans="1:9">
      <c r="A188" s="63">
        <v>2007.11</v>
      </c>
      <c r="B188" s="651">
        <v>129.73508945617357</v>
      </c>
      <c r="C188" s="3023">
        <v>132.64856379141608</v>
      </c>
      <c r="D188" s="3023">
        <v>132.0499589174523</v>
      </c>
      <c r="E188" s="203">
        <f t="shared" si="2"/>
        <v>147.72918582833694</v>
      </c>
      <c r="F188" s="1668">
        <v>156.59831285814724</v>
      </c>
      <c r="G188" s="254">
        <v>131.94261131891855</v>
      </c>
      <c r="H188" s="1831"/>
      <c r="I188" s="1830"/>
    </row>
    <row r="189" spans="1:9">
      <c r="A189" s="63">
        <v>2007.12</v>
      </c>
      <c r="B189" s="651">
        <v>128.89792837498598</v>
      </c>
      <c r="C189" s="3023">
        <v>134.32702125438081</v>
      </c>
      <c r="D189" s="3023">
        <v>132.77199191388772</v>
      </c>
      <c r="E189" s="203">
        <f t="shared" si="2"/>
        <v>148.53695091648268</v>
      </c>
      <c r="F189" s="1668">
        <v>151.71476507215644</v>
      </c>
      <c r="G189" s="254">
        <v>132.80647644393625</v>
      </c>
      <c r="H189" s="1832"/>
      <c r="I189" s="1830"/>
    </row>
    <row r="190" spans="1:9">
      <c r="A190" s="63">
        <f t="shared" ref="A190:A253" si="3">A178+1</f>
        <v>2008.01</v>
      </c>
      <c r="B190" s="651">
        <v>126.22689251081431</v>
      </c>
      <c r="C190" s="3023">
        <v>135.36859833500043</v>
      </c>
      <c r="D190" s="3023">
        <v>133.39727389816892</v>
      </c>
      <c r="E190" s="203">
        <f t="shared" si="2"/>
        <v>149.23647705952931</v>
      </c>
      <c r="F190" s="1668">
        <v>148.6416380514099</v>
      </c>
      <c r="G190" s="254">
        <v>133.24068361324811</v>
      </c>
      <c r="H190" s="1831"/>
      <c r="I190" s="1830"/>
    </row>
    <row r="191" spans="1:9">
      <c r="A191" s="63">
        <f t="shared" si="3"/>
        <v>2008.02</v>
      </c>
      <c r="B191" s="651">
        <v>122.8249045091645</v>
      </c>
      <c r="C191" s="3023">
        <v>133.71483056796706</v>
      </c>
      <c r="D191" s="3023">
        <v>133.89241860657165</v>
      </c>
      <c r="E191" s="203">
        <f t="shared" si="2"/>
        <v>149.790413806191</v>
      </c>
      <c r="F191" s="1668">
        <v>139.71340680672256</v>
      </c>
      <c r="G191" s="254">
        <v>133.50131131790218</v>
      </c>
      <c r="H191" s="1831"/>
      <c r="I191" s="1830"/>
    </row>
    <row r="192" spans="1:9">
      <c r="A192" s="63">
        <f t="shared" si="3"/>
        <v>2008.03</v>
      </c>
      <c r="B192" s="651">
        <v>132.33412728743554</v>
      </c>
      <c r="C192" s="3023">
        <v>133.06321252278269</v>
      </c>
      <c r="D192" s="3023">
        <v>134.22175732677303</v>
      </c>
      <c r="E192" s="203">
        <f t="shared" si="2"/>
        <v>150.15885724529508</v>
      </c>
      <c r="F192" s="1668">
        <v>144.78593258162638</v>
      </c>
      <c r="G192" s="254">
        <v>133.71981939460088</v>
      </c>
      <c r="H192" s="1831"/>
      <c r="I192" s="1830"/>
    </row>
    <row r="193" spans="1:9">
      <c r="A193" s="63">
        <f t="shared" si="3"/>
        <v>2008.04</v>
      </c>
      <c r="B193" s="651">
        <v>145.28049855207212</v>
      </c>
      <c r="C193" s="3023">
        <v>136.11535447648797</v>
      </c>
      <c r="D193" s="3023">
        <v>134.35208463368744</v>
      </c>
      <c r="E193" s="203">
        <f t="shared" si="2"/>
        <v>150.30465923644678</v>
      </c>
      <c r="F193" s="1668">
        <v>160.4323578200908</v>
      </c>
      <c r="G193" s="254">
        <v>134.08835089198018</v>
      </c>
      <c r="H193" s="1831"/>
      <c r="I193" s="1830"/>
    </row>
    <row r="194" spans="1:9">
      <c r="A194" s="63">
        <f t="shared" si="3"/>
        <v>2008.05</v>
      </c>
      <c r="B194" s="651">
        <v>154.15616391286648</v>
      </c>
      <c r="C194" s="3023">
        <v>134.69251903608711</v>
      </c>
      <c r="D194" s="3023">
        <v>134.25309828546199</v>
      </c>
      <c r="E194" s="203">
        <f t="shared" si="2"/>
        <v>150.19391953799214</v>
      </c>
      <c r="F194" s="1668">
        <v>163.85589339868622</v>
      </c>
      <c r="G194" s="254">
        <v>134.08367331105663</v>
      </c>
      <c r="H194" s="1831"/>
      <c r="I194" s="1830"/>
    </row>
    <row r="195" spans="1:9">
      <c r="A195" s="63">
        <f t="shared" si="3"/>
        <v>2008.06</v>
      </c>
      <c r="B195" s="651">
        <v>140.50348421669764</v>
      </c>
      <c r="C195" s="3023">
        <v>133.09207348888313</v>
      </c>
      <c r="D195" s="3023">
        <v>133.90461572471807</v>
      </c>
      <c r="E195" s="203">
        <f t="shared" si="2"/>
        <v>149.80405917456517</v>
      </c>
      <c r="F195" s="1668">
        <v>155.15158678507618</v>
      </c>
      <c r="G195" s="254">
        <v>133.64484561132551</v>
      </c>
      <c r="H195" s="1831"/>
      <c r="I195" s="1830"/>
    </row>
    <row r="196" spans="1:9">
      <c r="A196" s="63">
        <f t="shared" si="3"/>
        <v>2008.07</v>
      </c>
      <c r="B196" s="651">
        <v>136.63868805371584</v>
      </c>
      <c r="C196" s="3023">
        <v>135.20068454555636</v>
      </c>
      <c r="D196" s="3023">
        <v>133.30264112302848</v>
      </c>
      <c r="E196" s="203">
        <f t="shared" si="2"/>
        <v>149.13060786472772</v>
      </c>
      <c r="F196" s="1668">
        <v>161.03061466908193</v>
      </c>
      <c r="G196" s="254">
        <v>133.70707925569062</v>
      </c>
      <c r="H196" s="1831"/>
      <c r="I196" s="1830"/>
    </row>
    <row r="197" spans="1:9">
      <c r="A197" s="63">
        <f t="shared" si="3"/>
        <v>2008.08</v>
      </c>
      <c r="B197" s="651">
        <v>131.34092143552698</v>
      </c>
      <c r="C197" s="3023">
        <v>135.59607475673346</v>
      </c>
      <c r="D197" s="3023">
        <v>132.4633269627229</v>
      </c>
      <c r="E197" s="203">
        <f t="shared" si="2"/>
        <v>148.19163598944189</v>
      </c>
      <c r="F197" s="1668">
        <v>155.9772920559526</v>
      </c>
      <c r="G197" s="254">
        <v>133.41188443361906</v>
      </c>
      <c r="H197" s="1831"/>
      <c r="I197" s="1830"/>
    </row>
    <row r="198" spans="1:9">
      <c r="A198" s="63">
        <f t="shared" si="3"/>
        <v>2008.09</v>
      </c>
      <c r="B198" s="651">
        <v>132.18593848988462</v>
      </c>
      <c r="C198" s="3023">
        <v>135.94226130525681</v>
      </c>
      <c r="D198" s="3023">
        <v>131.42015666663522</v>
      </c>
      <c r="E198" s="203">
        <f t="shared" si="2"/>
        <v>147.02460269549232</v>
      </c>
      <c r="F198" s="1668">
        <v>160.58978113039149</v>
      </c>
      <c r="G198" s="254">
        <v>132.56952240765045</v>
      </c>
      <c r="H198" s="1831"/>
      <c r="I198" s="1830"/>
    </row>
    <row r="199" spans="1:9">
      <c r="A199" s="63">
        <f t="shared" si="3"/>
        <v>2008.1</v>
      </c>
      <c r="B199" s="651">
        <v>130.39517884255912</v>
      </c>
      <c r="C199" s="3023">
        <v>132.4156452026819</v>
      </c>
      <c r="D199" s="3023">
        <v>130.2255404160247</v>
      </c>
      <c r="E199" s="203">
        <f t="shared" si="2"/>
        <v>145.6881411961721</v>
      </c>
      <c r="F199" s="1668">
        <v>154.15100564170871</v>
      </c>
      <c r="G199" s="254">
        <v>131.42619809264849</v>
      </c>
      <c r="H199" s="1831"/>
      <c r="I199" s="1830"/>
    </row>
    <row r="200" spans="1:9">
      <c r="A200" s="63">
        <f t="shared" si="3"/>
        <v>2008.11</v>
      </c>
      <c r="B200" s="651">
        <v>125.52756329262156</v>
      </c>
      <c r="C200" s="3023">
        <v>130.46052472329433</v>
      </c>
      <c r="D200" s="3023">
        <v>128.94782064444675</v>
      </c>
      <c r="E200" s="203">
        <f t="shared" si="2"/>
        <v>144.25870870623112</v>
      </c>
      <c r="F200" s="1668">
        <v>147.12515588118319</v>
      </c>
      <c r="G200" s="254">
        <v>129.75165997136023</v>
      </c>
      <c r="H200" s="1831"/>
      <c r="I200" s="1830"/>
    </row>
    <row r="201" spans="1:9">
      <c r="A201" s="63">
        <f t="shared" si="3"/>
        <v>2008.12</v>
      </c>
      <c r="B201" s="651">
        <v>123.46600579407662</v>
      </c>
      <c r="C201" s="3023">
        <v>125.21858787370915</v>
      </c>
      <c r="D201" s="3023">
        <v>127.66395983086721</v>
      </c>
      <c r="E201" s="203">
        <f t="shared" si="2"/>
        <v>142.82240600487569</v>
      </c>
      <c r="F201" s="1668">
        <v>143.2524957468502</v>
      </c>
      <c r="G201" s="254">
        <v>127.97765135269661</v>
      </c>
      <c r="H201" s="1832"/>
      <c r="I201" s="1830"/>
    </row>
    <row r="202" spans="1:9">
      <c r="A202" s="63">
        <f t="shared" si="3"/>
        <v>2009.01</v>
      </c>
      <c r="B202" s="651">
        <v>116.75841920206521</v>
      </c>
      <c r="C202" s="3023">
        <v>124.38047143124359</v>
      </c>
      <c r="D202" s="3023">
        <v>126.46193584431384</v>
      </c>
      <c r="E202" s="203">
        <f t="shared" ref="E202:E265" si="4">D202*$E$9</f>
        <v>141.47765719665631</v>
      </c>
      <c r="F202" s="1668">
        <v>138.70146205886041</v>
      </c>
      <c r="G202" s="254">
        <v>126.9904726433294</v>
      </c>
      <c r="H202" s="1831"/>
      <c r="I202" s="1830"/>
    </row>
    <row r="203" spans="1:9">
      <c r="A203" s="63">
        <f t="shared" si="3"/>
        <v>2009.02</v>
      </c>
      <c r="B203" s="651">
        <v>114.85886148592792</v>
      </c>
      <c r="C203" s="3023">
        <v>126.37939015312681</v>
      </c>
      <c r="D203" s="3023">
        <v>125.42728084859968</v>
      </c>
      <c r="E203" s="203">
        <f t="shared" si="4"/>
        <v>140.32015028500612</v>
      </c>
      <c r="F203" s="1668">
        <v>130.0216727412519</v>
      </c>
      <c r="G203" s="254">
        <v>126.54107766041663</v>
      </c>
      <c r="H203" s="1831"/>
      <c r="I203" s="1830"/>
    </row>
    <row r="204" spans="1:9">
      <c r="A204" s="63">
        <f t="shared" si="3"/>
        <v>2009.03</v>
      </c>
      <c r="B204" s="651">
        <v>126.16560261026108</v>
      </c>
      <c r="C204" s="3023">
        <v>123.55224859391603</v>
      </c>
      <c r="D204" s="3023">
        <v>124.6329579397399</v>
      </c>
      <c r="E204" s="203">
        <f t="shared" si="4"/>
        <v>139.43151179111604</v>
      </c>
      <c r="F204" s="1668">
        <v>142.64505074643321</v>
      </c>
      <c r="G204" s="254">
        <v>126.22824160334929</v>
      </c>
      <c r="H204" s="1831"/>
      <c r="I204" s="1830"/>
    </row>
    <row r="205" spans="1:9">
      <c r="A205" s="63">
        <f t="shared" si="3"/>
        <v>2009.04</v>
      </c>
      <c r="B205" s="651">
        <v>127.99055887450351</v>
      </c>
      <c r="C205" s="3023">
        <v>121.52387376342044</v>
      </c>
      <c r="D205" s="3023">
        <v>124.13258585317378</v>
      </c>
      <c r="E205" s="203">
        <f t="shared" si="4"/>
        <v>138.87172698265692</v>
      </c>
      <c r="F205" s="1668">
        <v>148.73529744456442</v>
      </c>
      <c r="G205" s="254">
        <v>126.16120101491833</v>
      </c>
      <c r="H205" s="1831"/>
      <c r="I205" s="1830"/>
    </row>
    <row r="206" spans="1:9">
      <c r="A206" s="63">
        <f t="shared" si="3"/>
        <v>2009.05</v>
      </c>
      <c r="B206" s="651">
        <v>133.03567047814315</v>
      </c>
      <c r="C206" s="3023">
        <v>120.93427388255068</v>
      </c>
      <c r="D206" s="3023">
        <v>123.95773114320529</v>
      </c>
      <c r="E206" s="203">
        <f t="shared" si="4"/>
        <v>138.67611053450611</v>
      </c>
      <c r="F206" s="1668">
        <v>150.51533163411526</v>
      </c>
      <c r="G206" s="254">
        <v>126.01618196183777</v>
      </c>
      <c r="H206" s="1831"/>
      <c r="I206" s="1830"/>
    </row>
    <row r="207" spans="1:9">
      <c r="A207" s="63">
        <f t="shared" si="3"/>
        <v>2009.06</v>
      </c>
      <c r="B207" s="651">
        <v>129.31265804805898</v>
      </c>
      <c r="C207" s="3023">
        <v>122.46950944777399</v>
      </c>
      <c r="D207" s="3023">
        <v>124.11530280263457</v>
      </c>
      <c r="E207" s="203">
        <f t="shared" si="4"/>
        <v>138.85239179311412</v>
      </c>
      <c r="F207" s="1668">
        <v>150.59024081452321</v>
      </c>
      <c r="G207" s="254">
        <v>126.18191032281098</v>
      </c>
      <c r="H207" s="1831"/>
      <c r="I207" s="1830"/>
    </row>
    <row r="208" spans="1:9">
      <c r="A208" s="63">
        <f t="shared" si="3"/>
        <v>2009.07</v>
      </c>
      <c r="B208" s="651">
        <v>127.36305837501411</v>
      </c>
      <c r="C208" s="3023">
        <v>124.62255939646501</v>
      </c>
      <c r="D208" s="3023">
        <v>124.58852728217293</v>
      </c>
      <c r="E208" s="203">
        <f t="shared" si="4"/>
        <v>139.38180556688093</v>
      </c>
      <c r="F208" s="1668">
        <v>153.46279131458434</v>
      </c>
      <c r="G208" s="254">
        <v>126.86679623270518</v>
      </c>
      <c r="H208" s="1831"/>
      <c r="I208" s="1830"/>
    </row>
    <row r="209" spans="1:9">
      <c r="A209" s="63">
        <f t="shared" si="3"/>
        <v>2009.08</v>
      </c>
      <c r="B209" s="651">
        <v>124.00328620894652</v>
      </c>
      <c r="C209" s="3023">
        <v>126.76162841650368</v>
      </c>
      <c r="D209" s="3023">
        <v>125.34260823381052</v>
      </c>
      <c r="E209" s="203">
        <f t="shared" si="4"/>
        <v>140.22542389094053</v>
      </c>
      <c r="F209" s="1668">
        <v>150.66802195073348</v>
      </c>
      <c r="G209" s="254">
        <v>127.46759526932675</v>
      </c>
      <c r="H209" s="1831"/>
      <c r="I209" s="1830"/>
    </row>
    <row r="210" spans="1:9">
      <c r="A210" s="63">
        <f t="shared" si="3"/>
        <v>2009.09</v>
      </c>
      <c r="B210" s="651">
        <v>126.18512812472765</v>
      </c>
      <c r="C210" s="3023">
        <v>128.24661979043142</v>
      </c>
      <c r="D210" s="3023">
        <v>126.33124102287221</v>
      </c>
      <c r="E210" s="203">
        <f t="shared" si="4"/>
        <v>141.3314440533745</v>
      </c>
      <c r="F210" s="1668">
        <v>151.81494701715715</v>
      </c>
      <c r="G210" s="254">
        <v>128.091424315593</v>
      </c>
      <c r="H210" s="1831"/>
      <c r="I210" s="1830"/>
    </row>
    <row r="211" spans="1:9">
      <c r="A211" s="63">
        <f t="shared" si="3"/>
        <v>2009.1</v>
      </c>
      <c r="B211" s="651">
        <v>127.07986188269525</v>
      </c>
      <c r="C211" s="3023">
        <v>129.26469964560647</v>
      </c>
      <c r="D211" s="3023">
        <v>127.50096155713754</v>
      </c>
      <c r="E211" s="203">
        <f t="shared" si="4"/>
        <v>142.64005379161554</v>
      </c>
      <c r="F211" s="1668">
        <v>149.7683078899237</v>
      </c>
      <c r="G211" s="254">
        <v>128.91938188737808</v>
      </c>
      <c r="H211" s="1831"/>
      <c r="I211" s="1830"/>
    </row>
    <row r="212" spans="1:9">
      <c r="A212" s="63">
        <f t="shared" si="3"/>
        <v>2009.11</v>
      </c>
      <c r="B212" s="651">
        <v>127.09219178029132</v>
      </c>
      <c r="C212" s="3023">
        <v>129.80199293673391</v>
      </c>
      <c r="D212" s="3023">
        <v>128.79594341122112</v>
      </c>
      <c r="E212" s="203">
        <f t="shared" si="4"/>
        <v>144.08879801338259</v>
      </c>
      <c r="F212" s="1668">
        <v>148.53695400289075</v>
      </c>
      <c r="G212" s="254">
        <v>129.53170609545046</v>
      </c>
      <c r="H212" s="1831"/>
      <c r="I212" s="1830"/>
    </row>
    <row r="213" spans="1:9">
      <c r="A213" s="63">
        <f t="shared" si="3"/>
        <v>2009.12</v>
      </c>
      <c r="B213" s="651">
        <v>126.28656380555832</v>
      </c>
      <c r="C213" s="3023">
        <v>128.19459335914001</v>
      </c>
      <c r="D213" s="3023">
        <v>130.16266970107557</v>
      </c>
      <c r="E213" s="203">
        <f t="shared" si="4"/>
        <v>145.61780539593391</v>
      </c>
      <c r="F213" s="1668">
        <v>145.86392823913701</v>
      </c>
      <c r="G213" s="254">
        <v>130.10416351588034</v>
      </c>
      <c r="H213" s="1832"/>
      <c r="I213" s="1830"/>
    </row>
    <row r="214" spans="1:9">
      <c r="A214" s="63">
        <f t="shared" si="3"/>
        <v>2010.01</v>
      </c>
      <c r="B214" s="651">
        <v>121.50567852923163</v>
      </c>
      <c r="C214" s="3023">
        <v>131.88066145859693</v>
      </c>
      <c r="D214" s="3023">
        <v>131.5525577313083</v>
      </c>
      <c r="E214" s="203">
        <f t="shared" si="4"/>
        <v>147.17272467634947</v>
      </c>
      <c r="F214" s="1668">
        <v>142.92864119315004</v>
      </c>
      <c r="G214" s="254">
        <v>131.17750266910008</v>
      </c>
      <c r="H214" s="1831"/>
      <c r="I214" s="1830"/>
    </row>
    <row r="215" spans="1:9">
      <c r="A215" s="63">
        <f t="shared" si="3"/>
        <v>2010.02</v>
      </c>
      <c r="B215" s="651">
        <v>119.82280209203972</v>
      </c>
      <c r="C215" s="3023">
        <v>133.44123095669963</v>
      </c>
      <c r="D215" s="3023">
        <v>132.92459825885439</v>
      </c>
      <c r="E215" s="203">
        <f t="shared" si="4"/>
        <v>148.70767729367344</v>
      </c>
      <c r="F215" s="1668">
        <v>136.95675203020971</v>
      </c>
      <c r="G215" s="254">
        <v>132.56199735810276</v>
      </c>
      <c r="H215" s="1831"/>
      <c r="I215" s="1830"/>
    </row>
    <row r="216" spans="1:9">
      <c r="A216" s="63">
        <f t="shared" si="3"/>
        <v>2010.03</v>
      </c>
      <c r="B216" s="651">
        <v>136.89550162046118</v>
      </c>
      <c r="C216" s="3023">
        <v>134.15094668339256</v>
      </c>
      <c r="D216" s="3023">
        <v>134.24816170338772</v>
      </c>
      <c r="E216" s="203">
        <f t="shared" si="4"/>
        <v>150.18839680056317</v>
      </c>
      <c r="F216" s="1668">
        <v>152.90706721727901</v>
      </c>
      <c r="G216" s="254">
        <v>133.6267001292876</v>
      </c>
      <c r="H216" s="1831"/>
      <c r="I216" s="1830"/>
    </row>
    <row r="217" spans="1:9">
      <c r="A217" s="63">
        <f t="shared" si="3"/>
        <v>2010.04</v>
      </c>
      <c r="B217" s="651">
        <v>145.77413149301782</v>
      </c>
      <c r="C217" s="3023">
        <v>136.85722872308372</v>
      </c>
      <c r="D217" s="3023">
        <v>135.5019004997379</v>
      </c>
      <c r="E217" s="203">
        <f t="shared" si="4"/>
        <v>151.59100088423421</v>
      </c>
      <c r="F217" s="1668">
        <v>164.12472396462405</v>
      </c>
      <c r="G217" s="254">
        <v>134.52846356769385</v>
      </c>
      <c r="H217" s="1831"/>
      <c r="I217" s="1830"/>
    </row>
    <row r="218" spans="1:9">
      <c r="A218" s="63">
        <f t="shared" si="3"/>
        <v>2010.05</v>
      </c>
      <c r="B218" s="651">
        <v>158.11063153043881</v>
      </c>
      <c r="C218" s="3023">
        <v>139.06233254359205</v>
      </c>
      <c r="D218" s="3023">
        <v>136.67062333731621</v>
      </c>
      <c r="E218" s="203">
        <f t="shared" si="4"/>
        <v>152.89849446219404</v>
      </c>
      <c r="F218" s="1668">
        <v>165.51462357594033</v>
      </c>
      <c r="G218" s="254">
        <v>135.52802325541796</v>
      </c>
      <c r="H218" s="1831"/>
      <c r="I218" s="1830"/>
    </row>
    <row r="219" spans="1:9">
      <c r="A219" s="63">
        <f t="shared" si="3"/>
        <v>2010.06</v>
      </c>
      <c r="B219" s="651">
        <v>149.86155200805445</v>
      </c>
      <c r="C219" s="3023">
        <v>140.54163047148947</v>
      </c>
      <c r="D219" s="3023">
        <v>137.74674391223343</v>
      </c>
      <c r="E219" s="203">
        <f t="shared" si="4"/>
        <v>154.10239045496007</v>
      </c>
      <c r="F219" s="1668">
        <v>165.9667108144809</v>
      </c>
      <c r="G219" s="254">
        <v>136.02618458650878</v>
      </c>
      <c r="H219" s="1831"/>
      <c r="I219" s="1830"/>
    </row>
    <row r="220" spans="1:9">
      <c r="A220" s="63">
        <f t="shared" si="3"/>
        <v>2010.07</v>
      </c>
      <c r="B220" s="651">
        <v>139.50568662872732</v>
      </c>
      <c r="C220" s="3023">
        <v>139.43266811291952</v>
      </c>
      <c r="D220" s="3023">
        <v>138.7297430041485</v>
      </c>
      <c r="E220" s="203">
        <f t="shared" si="4"/>
        <v>155.20210799148268</v>
      </c>
      <c r="F220" s="1668">
        <v>163.3139363424624</v>
      </c>
      <c r="G220" s="254">
        <v>136.18533971316012</v>
      </c>
      <c r="H220" s="1831"/>
      <c r="I220" s="1830"/>
    </row>
    <row r="221" spans="1:9">
      <c r="A221" s="63">
        <f t="shared" si="3"/>
        <v>2010.08</v>
      </c>
      <c r="B221" s="651">
        <v>137.24598068715568</v>
      </c>
      <c r="C221" s="3023">
        <v>140.01589563190771</v>
      </c>
      <c r="D221" s="3023">
        <v>139.62584511715406</v>
      </c>
      <c r="E221" s="203">
        <f t="shared" si="4"/>
        <v>156.20461065531248</v>
      </c>
      <c r="F221" s="1668">
        <v>164.98287379903334</v>
      </c>
      <c r="G221" s="254">
        <v>136.87268737885273</v>
      </c>
      <c r="H221" s="1831"/>
      <c r="I221" s="1830"/>
    </row>
    <row r="222" spans="1:9">
      <c r="A222" s="63">
        <f t="shared" si="3"/>
        <v>2010.09</v>
      </c>
      <c r="B222" s="651">
        <v>136.69642672162283</v>
      </c>
      <c r="C222" s="3023">
        <v>139.3285051323779</v>
      </c>
      <c r="D222" s="3023">
        <v>140.44910852053036</v>
      </c>
      <c r="E222" s="203">
        <f t="shared" si="4"/>
        <v>157.12562595361388</v>
      </c>
      <c r="F222" s="1668">
        <v>165.16515121670707</v>
      </c>
      <c r="G222" s="254">
        <v>137.64371827812667</v>
      </c>
      <c r="H222" s="1831"/>
      <c r="I222" s="1830"/>
    </row>
    <row r="223" spans="1:9">
      <c r="A223" s="63">
        <f t="shared" si="3"/>
        <v>2010.1</v>
      </c>
      <c r="B223" s="651">
        <v>135.13884450692316</v>
      </c>
      <c r="C223" s="3023">
        <v>139.93096174233483</v>
      </c>
      <c r="D223" s="3023">
        <v>141.2161155384988</v>
      </c>
      <c r="E223" s="203">
        <f t="shared" si="4"/>
        <v>157.98370514741305</v>
      </c>
      <c r="F223" s="1668">
        <v>159.43142639156713</v>
      </c>
      <c r="G223" s="254">
        <v>138.17088125874201</v>
      </c>
      <c r="H223" s="1831"/>
      <c r="I223" s="1830"/>
    </row>
    <row r="224" spans="1:9">
      <c r="A224" s="63">
        <f t="shared" si="3"/>
        <v>2010.11</v>
      </c>
      <c r="B224" s="651">
        <v>139.59882328372223</v>
      </c>
      <c r="C224" s="3023">
        <v>142.17333815795328</v>
      </c>
      <c r="D224" s="3023">
        <v>141.94217103481719</v>
      </c>
      <c r="E224" s="203">
        <f t="shared" si="4"/>
        <v>158.7959703553436</v>
      </c>
      <c r="F224" s="1668">
        <v>162.86524281261273</v>
      </c>
      <c r="G224" s="254">
        <v>139.19974437618217</v>
      </c>
      <c r="H224" s="1831"/>
      <c r="I224" s="1830"/>
    </row>
    <row r="225" spans="1:9">
      <c r="A225" s="63">
        <f t="shared" si="3"/>
        <v>2010.12</v>
      </c>
      <c r="B225" s="651">
        <v>138.47764951271685</v>
      </c>
      <c r="C225" s="3023">
        <v>141.81830893447952</v>
      </c>
      <c r="D225" s="3023">
        <v>142.64031553061847</v>
      </c>
      <c r="E225" s="203">
        <f t="shared" si="4"/>
        <v>159.57701049197649</v>
      </c>
      <c r="F225" s="1668">
        <v>158.62955922722685</v>
      </c>
      <c r="G225" s="254">
        <v>140.58018855409779</v>
      </c>
      <c r="H225" s="1832"/>
      <c r="I225" s="1830"/>
    </row>
    <row r="226" spans="1:9">
      <c r="A226" s="63">
        <f t="shared" si="3"/>
        <v>2011.01</v>
      </c>
      <c r="B226" s="651">
        <v>133.07691971855189</v>
      </c>
      <c r="C226" s="3023">
        <v>145.75926376135575</v>
      </c>
      <c r="D226" s="3023">
        <v>143.323422357315</v>
      </c>
      <c r="E226" s="203">
        <f t="shared" si="4"/>
        <v>160.34122743054246</v>
      </c>
      <c r="F226" s="1668">
        <v>154.58413414063867</v>
      </c>
      <c r="G226" s="254">
        <v>141.53259346056268</v>
      </c>
      <c r="H226" s="1831"/>
      <c r="I226" s="1830"/>
    </row>
    <row r="227" spans="1:9">
      <c r="A227" s="63">
        <f t="shared" si="3"/>
        <v>2011.02</v>
      </c>
      <c r="B227" s="651">
        <v>129.50988684262188</v>
      </c>
      <c r="C227" s="3023">
        <v>144.01322782277893</v>
      </c>
      <c r="D227" s="3023">
        <v>143.99422025402069</v>
      </c>
      <c r="E227" s="203">
        <f t="shared" si="4"/>
        <v>161.09167391267761</v>
      </c>
      <c r="F227" s="1668">
        <v>145.20513671069861</v>
      </c>
      <c r="G227" s="254">
        <v>142.0567333624023</v>
      </c>
      <c r="H227" s="1831"/>
      <c r="I227" s="1830"/>
    </row>
    <row r="228" spans="1:9">
      <c r="A228" s="63">
        <f t="shared" si="3"/>
        <v>2011.03</v>
      </c>
      <c r="B228" s="651">
        <v>147.00183909502377</v>
      </c>
      <c r="C228" s="3023">
        <v>144.41394282458003</v>
      </c>
      <c r="D228" s="3023">
        <v>144.64519310930558</v>
      </c>
      <c r="E228" s="203">
        <f t="shared" si="4"/>
        <v>161.81994138580649</v>
      </c>
      <c r="F228" s="1668">
        <v>162.98076991754448</v>
      </c>
      <c r="G228" s="254">
        <v>142.44299042777556</v>
      </c>
      <c r="H228" s="1831"/>
      <c r="I228" s="1830"/>
    </row>
    <row r="229" spans="1:9">
      <c r="A229" s="63">
        <f t="shared" si="3"/>
        <v>2011.04</v>
      </c>
      <c r="B229" s="651">
        <v>151.03582303961804</v>
      </c>
      <c r="C229" s="3023">
        <v>144.76230806169917</v>
      </c>
      <c r="D229" s="3023">
        <v>145.2563393210074</v>
      </c>
      <c r="E229" s="203">
        <f t="shared" si="4"/>
        <v>162.50365331587398</v>
      </c>
      <c r="F229" s="1668">
        <v>169.3827784292059</v>
      </c>
      <c r="G229" s="254">
        <v>143.01070845383845</v>
      </c>
      <c r="H229" s="1831"/>
      <c r="I229" s="1830"/>
    </row>
    <row r="230" spans="1:9">
      <c r="A230" s="63">
        <f t="shared" si="3"/>
        <v>2011.05</v>
      </c>
      <c r="B230" s="651">
        <v>166.17834208101743</v>
      </c>
      <c r="C230" s="3023">
        <v>147.20515948719688</v>
      </c>
      <c r="D230" s="3023">
        <v>145.79697223441312</v>
      </c>
      <c r="E230" s="203">
        <f t="shared" si="4"/>
        <v>163.10847940430429</v>
      </c>
      <c r="F230" s="1668">
        <v>174.97035841880069</v>
      </c>
      <c r="G230" s="254">
        <v>143.57218097906519</v>
      </c>
      <c r="H230" s="1831"/>
      <c r="I230" s="1830"/>
    </row>
    <row r="231" spans="1:9">
      <c r="A231" s="63">
        <f t="shared" si="3"/>
        <v>2011.06</v>
      </c>
      <c r="B231" s="651">
        <v>156.69365851225533</v>
      </c>
      <c r="C231" s="3023">
        <v>146.88367786495942</v>
      </c>
      <c r="D231" s="3023">
        <v>146.23401319932</v>
      </c>
      <c r="E231" s="203">
        <f t="shared" si="4"/>
        <v>163.59741333846543</v>
      </c>
      <c r="F231" s="1668">
        <v>173.22664531921072</v>
      </c>
      <c r="G231" s="254">
        <v>144.13293446386908</v>
      </c>
      <c r="H231" s="1831"/>
      <c r="I231" s="1830"/>
    </row>
    <row r="232" spans="1:9">
      <c r="A232" s="63">
        <f t="shared" si="3"/>
        <v>2011.07</v>
      </c>
      <c r="B232" s="651">
        <v>146.37808828046835</v>
      </c>
      <c r="C232" s="3023">
        <v>147.3267722639799</v>
      </c>
      <c r="D232" s="3023">
        <v>146.5364675677948</v>
      </c>
      <c r="E232" s="203">
        <f t="shared" si="4"/>
        <v>163.93578025634486</v>
      </c>
      <c r="F232" s="1668">
        <v>171.8071366905412</v>
      </c>
      <c r="G232" s="254">
        <v>144.31911638308307</v>
      </c>
      <c r="H232" s="1831"/>
      <c r="I232" s="1830"/>
    </row>
    <row r="233" spans="1:9">
      <c r="A233" s="63">
        <f t="shared" si="3"/>
        <v>2011.08</v>
      </c>
      <c r="B233" s="651">
        <v>146.3985053847187</v>
      </c>
      <c r="C233" s="3023">
        <v>147.09372774651396</v>
      </c>
      <c r="D233" s="3023">
        <v>146.68005557349795</v>
      </c>
      <c r="E233" s="203">
        <f t="shared" si="4"/>
        <v>164.09641748297591</v>
      </c>
      <c r="F233" s="1668">
        <v>173.04065985509783</v>
      </c>
      <c r="G233" s="254">
        <v>144.25356094127733</v>
      </c>
      <c r="H233" s="1831"/>
      <c r="I233" s="1830"/>
    </row>
    <row r="234" spans="1:9">
      <c r="A234" s="63">
        <f t="shared" si="3"/>
        <v>2011.09</v>
      </c>
      <c r="B234" s="651">
        <v>147.17090682127099</v>
      </c>
      <c r="C234" s="3023">
        <v>148.36812566665816</v>
      </c>
      <c r="D234" s="3023">
        <v>146.65558435397739</v>
      </c>
      <c r="E234" s="203">
        <f t="shared" si="4"/>
        <v>164.06904062223595</v>
      </c>
      <c r="F234" s="1668">
        <v>174.5598700565055</v>
      </c>
      <c r="G234" s="254">
        <v>144.39277041791789</v>
      </c>
      <c r="H234" s="1831"/>
      <c r="I234" s="1830"/>
    </row>
    <row r="235" spans="1:9">
      <c r="A235" s="63">
        <f t="shared" si="3"/>
        <v>2011.1</v>
      </c>
      <c r="B235" s="651">
        <v>145.05000242779931</v>
      </c>
      <c r="C235" s="3023">
        <v>147.32297784117307</v>
      </c>
      <c r="D235" s="3023">
        <v>146.47102448962991</v>
      </c>
      <c r="E235" s="203">
        <f t="shared" si="4"/>
        <v>163.86256665798666</v>
      </c>
      <c r="F235" s="1668">
        <v>167.24624558125711</v>
      </c>
      <c r="G235" s="254">
        <v>144.78985951016881</v>
      </c>
      <c r="H235" s="1831"/>
      <c r="I235" s="1830"/>
    </row>
    <row r="236" spans="1:9">
      <c r="A236" s="63">
        <f t="shared" si="3"/>
        <v>2011.11</v>
      </c>
      <c r="B236" s="651">
        <v>146.36164512416551</v>
      </c>
      <c r="C236" s="3023">
        <v>147.2410498177226</v>
      </c>
      <c r="D236" s="3023">
        <v>146.15197420999542</v>
      </c>
      <c r="E236" s="203">
        <f t="shared" si="4"/>
        <v>163.50563327886937</v>
      </c>
      <c r="F236" s="1668">
        <v>167.7034066678186</v>
      </c>
      <c r="G236" s="254">
        <v>145.02813600447996</v>
      </c>
      <c r="H236" s="1831"/>
      <c r="I236" s="1830"/>
    </row>
    <row r="237" spans="1:9">
      <c r="A237" s="63">
        <f t="shared" si="3"/>
        <v>2011.12</v>
      </c>
      <c r="B237" s="651">
        <v>143.36165785374328</v>
      </c>
      <c r="C237" s="3023">
        <v>147.82704195344104</v>
      </c>
      <c r="D237" s="3023">
        <v>145.73708059507655</v>
      </c>
      <c r="E237" s="203">
        <f t="shared" si="4"/>
        <v>163.04147640642645</v>
      </c>
      <c r="F237" s="1668">
        <v>161.93698314622949</v>
      </c>
      <c r="G237" s="254">
        <v>144.97441372134642</v>
      </c>
      <c r="H237" s="1832"/>
      <c r="I237" s="1830"/>
    </row>
    <row r="238" spans="1:9">
      <c r="A238" s="63">
        <f t="shared" si="3"/>
        <v>2012.01</v>
      </c>
      <c r="B238" s="651">
        <v>136.19408129361287</v>
      </c>
      <c r="C238" s="3023">
        <v>147.90771124438402</v>
      </c>
      <c r="D238" s="3023">
        <v>145.27818177339847</v>
      </c>
      <c r="E238" s="203">
        <f t="shared" si="4"/>
        <v>162.52808927734401</v>
      </c>
      <c r="F238" s="1668">
        <v>158.30881315458717</v>
      </c>
      <c r="G238" s="254">
        <v>144.76703489717238</v>
      </c>
      <c r="H238" s="1831"/>
      <c r="I238" s="1830"/>
    </row>
    <row r="239" spans="1:9">
      <c r="A239" s="63">
        <f t="shared" si="3"/>
        <v>2012.02</v>
      </c>
      <c r="B239" s="651">
        <v>132.36052594074121</v>
      </c>
      <c r="C239" s="3023">
        <v>144.73095736565048</v>
      </c>
      <c r="D239" s="3023">
        <v>144.83330993444088</v>
      </c>
      <c r="E239" s="203">
        <f t="shared" si="4"/>
        <v>162.03039465399132</v>
      </c>
      <c r="F239" s="1668">
        <v>150.94885376724463</v>
      </c>
      <c r="G239" s="254">
        <v>144.09565428586561</v>
      </c>
      <c r="H239" s="1831"/>
      <c r="I239" s="1830"/>
    </row>
    <row r="240" spans="1:9">
      <c r="A240" s="63">
        <f t="shared" si="3"/>
        <v>2012.03</v>
      </c>
      <c r="B240" s="651">
        <v>147.44101624495764</v>
      </c>
      <c r="C240" s="3023">
        <v>145.60324096378906</v>
      </c>
      <c r="D240" s="3023">
        <v>144.45649639409513</v>
      </c>
      <c r="E240" s="203">
        <f t="shared" si="4"/>
        <v>161.60883937309063</v>
      </c>
      <c r="F240" s="1668">
        <v>169.18979309082803</v>
      </c>
      <c r="G240" s="254">
        <v>143.3501112849759</v>
      </c>
      <c r="H240" s="1831"/>
      <c r="I240" s="1830"/>
    </row>
    <row r="241" spans="1:9">
      <c r="A241" s="63">
        <f t="shared" si="3"/>
        <v>2012.04</v>
      </c>
      <c r="B241" s="651">
        <v>145.52027831854522</v>
      </c>
      <c r="C241" s="3023">
        <v>141.43136280803077</v>
      </c>
      <c r="D241" s="3023">
        <v>144.1927905215237</v>
      </c>
      <c r="E241" s="203">
        <f t="shared" si="4"/>
        <v>161.31382183448252</v>
      </c>
      <c r="F241" s="1668">
        <v>154.15126902698265</v>
      </c>
      <c r="G241" s="254">
        <v>142.63151271160902</v>
      </c>
      <c r="H241" s="1831"/>
      <c r="I241" s="1830"/>
    </row>
    <row r="242" spans="1:9">
      <c r="A242" s="63">
        <f t="shared" si="3"/>
        <v>2012.05</v>
      </c>
      <c r="B242" s="651">
        <v>157.40418371936033</v>
      </c>
      <c r="C242" s="3023">
        <v>140.2094554558505</v>
      </c>
      <c r="D242" s="3023">
        <v>144.07356275592554</v>
      </c>
      <c r="E242" s="203">
        <f t="shared" si="4"/>
        <v>161.18043731180381</v>
      </c>
      <c r="F242" s="1668">
        <v>171.47712108535649</v>
      </c>
      <c r="G242" s="254">
        <v>142.49474800649654</v>
      </c>
      <c r="H242" s="1831"/>
      <c r="I242" s="1830"/>
    </row>
    <row r="243" spans="1:9">
      <c r="A243" s="63">
        <f t="shared" si="3"/>
        <v>2012.06</v>
      </c>
      <c r="B243" s="651">
        <v>149.03310174150511</v>
      </c>
      <c r="C243" s="3023">
        <v>140.78489930580966</v>
      </c>
      <c r="D243" s="3023">
        <v>144.11386306163527</v>
      </c>
      <c r="E243" s="203">
        <f t="shared" si="4"/>
        <v>161.22552275825103</v>
      </c>
      <c r="F243" s="1668">
        <v>154.83720110920851</v>
      </c>
      <c r="G243" s="254">
        <v>142.91498094548916</v>
      </c>
      <c r="H243" s="1831"/>
      <c r="I243" s="1830"/>
    </row>
    <row r="244" spans="1:9">
      <c r="A244" s="63">
        <f t="shared" si="3"/>
        <v>2012.07</v>
      </c>
      <c r="B244" s="651">
        <v>146.86279961903688</v>
      </c>
      <c r="C244" s="3023">
        <v>144.83071916448986</v>
      </c>
      <c r="D244" s="3023">
        <v>144.31134805533392</v>
      </c>
      <c r="E244" s="203">
        <f t="shared" si="4"/>
        <v>161.44645654400597</v>
      </c>
      <c r="F244" s="1668">
        <v>171.62347232248413</v>
      </c>
      <c r="G244" s="254">
        <v>143.0657756229154</v>
      </c>
      <c r="H244" s="1831"/>
      <c r="I244" s="1830"/>
    </row>
    <row r="245" spans="1:9">
      <c r="A245" s="63">
        <f t="shared" si="3"/>
        <v>2012.08</v>
      </c>
      <c r="B245" s="651">
        <v>145.69325698881013</v>
      </c>
      <c r="C245" s="3023">
        <v>145.00089220275439</v>
      </c>
      <c r="D245" s="3023">
        <v>144.64808365175651</v>
      </c>
      <c r="E245" s="203">
        <f t="shared" si="4"/>
        <v>161.82317514283588</v>
      </c>
      <c r="F245" s="1668">
        <v>171.91683285091923</v>
      </c>
      <c r="G245" s="254">
        <v>142.94445590389739</v>
      </c>
      <c r="H245" s="1831"/>
      <c r="I245" s="1830"/>
    </row>
    <row r="246" spans="1:9">
      <c r="A246" s="63">
        <f t="shared" si="3"/>
        <v>2012.09</v>
      </c>
      <c r="B246" s="651">
        <v>142.47153651731426</v>
      </c>
      <c r="C246" s="3023">
        <v>146.33708058580743</v>
      </c>
      <c r="D246" s="3023">
        <v>145.09370147972021</v>
      </c>
      <c r="E246" s="203">
        <f t="shared" si="4"/>
        <v>162.3217043317531</v>
      </c>
      <c r="F246" s="1668">
        <v>169.18346103446967</v>
      </c>
      <c r="G246" s="254">
        <v>142.98006141440766</v>
      </c>
      <c r="H246" s="1831"/>
      <c r="I246" s="1830"/>
    </row>
    <row r="247" spans="1:9">
      <c r="A247" s="63">
        <f t="shared" si="3"/>
        <v>2012.1</v>
      </c>
      <c r="B247" s="651">
        <v>147.23130295530083</v>
      </c>
      <c r="C247" s="3023">
        <v>147.13687535172238</v>
      </c>
      <c r="D247" s="3023">
        <v>145.60835373685964</v>
      </c>
      <c r="E247" s="203">
        <f t="shared" si="4"/>
        <v>162.89746489658182</v>
      </c>
      <c r="F247" s="1668">
        <v>168.80732369008103</v>
      </c>
      <c r="G247" s="254">
        <v>143.07144565037879</v>
      </c>
      <c r="H247" s="1831"/>
      <c r="I247" s="1830"/>
    </row>
    <row r="248" spans="1:9">
      <c r="A248" s="63">
        <f t="shared" si="3"/>
        <v>2012.11</v>
      </c>
      <c r="B248" s="651">
        <v>146.37343184468628</v>
      </c>
      <c r="C248" s="3023">
        <v>146.94474307833261</v>
      </c>
      <c r="D248" s="3023">
        <v>146.1516839274245</v>
      </c>
      <c r="E248" s="203">
        <f t="shared" si="4"/>
        <v>163.50530852899277</v>
      </c>
      <c r="F248" s="1668">
        <v>165.82614074194692</v>
      </c>
      <c r="G248" s="254">
        <v>143.52605559743483</v>
      </c>
      <c r="H248" s="1831"/>
      <c r="I248" s="1830"/>
    </row>
    <row r="249" spans="1:9">
      <c r="A249" s="63">
        <f t="shared" si="3"/>
        <v>2012.12</v>
      </c>
      <c r="B249" s="651">
        <v>143.58505809958143</v>
      </c>
      <c r="C249" s="3023">
        <v>149.25263568833685</v>
      </c>
      <c r="D249" s="3023">
        <v>146.68756853902534</v>
      </c>
      <c r="E249" s="203">
        <f t="shared" si="4"/>
        <v>164.10482251611347</v>
      </c>
      <c r="F249" s="1668">
        <v>161.48272806255909</v>
      </c>
      <c r="G249" s="254">
        <v>144.40318243896445</v>
      </c>
      <c r="H249" s="1832"/>
      <c r="I249" s="1830"/>
    </row>
    <row r="250" spans="1:9">
      <c r="A250" s="63">
        <f t="shared" si="3"/>
        <v>2013.01</v>
      </c>
      <c r="B250" s="651">
        <v>136.51707182504433</v>
      </c>
      <c r="C250" s="3023">
        <v>146.076580812217</v>
      </c>
      <c r="D250" s="3023">
        <v>147.18808895894136</v>
      </c>
      <c r="E250" s="203">
        <f t="shared" si="4"/>
        <v>164.66477327059175</v>
      </c>
      <c r="F250" s="1668">
        <v>159.12598237253414</v>
      </c>
      <c r="G250" s="254">
        <v>145.03518532532914</v>
      </c>
      <c r="H250" s="1831"/>
      <c r="I250" s="1830"/>
    </row>
    <row r="251" spans="1:9">
      <c r="A251" s="63">
        <f t="shared" si="3"/>
        <v>2013.02</v>
      </c>
      <c r="B251" s="651">
        <v>132.79532196495501</v>
      </c>
      <c r="C251" s="3023">
        <v>148.41709876300976</v>
      </c>
      <c r="D251" s="3023">
        <v>147.63125990406158</v>
      </c>
      <c r="E251" s="203">
        <f t="shared" si="4"/>
        <v>165.16056504093459</v>
      </c>
      <c r="F251" s="1668">
        <v>150.87040413681638</v>
      </c>
      <c r="G251" s="254">
        <v>145.64265364924921</v>
      </c>
      <c r="H251" s="1831"/>
      <c r="I251" s="1830"/>
    </row>
    <row r="252" spans="1:9">
      <c r="A252" s="63">
        <f t="shared" si="3"/>
        <v>2013.03</v>
      </c>
      <c r="B252" s="651">
        <v>149.40394566736484</v>
      </c>
      <c r="C252" s="3023">
        <v>148.38226980179252</v>
      </c>
      <c r="D252" s="3023">
        <v>148.0013061483921</v>
      </c>
      <c r="E252" s="203">
        <f t="shared" si="4"/>
        <v>165.5745494968325</v>
      </c>
      <c r="F252" s="1668">
        <v>169.88527985763693</v>
      </c>
      <c r="G252" s="254">
        <v>146.42087751690477</v>
      </c>
      <c r="H252" s="1831"/>
      <c r="I252" s="1830"/>
    </row>
    <row r="253" spans="1:9">
      <c r="A253" s="63">
        <f t="shared" si="3"/>
        <v>2013.04</v>
      </c>
      <c r="B253" s="651">
        <v>155.94159584157654</v>
      </c>
      <c r="C253" s="3023">
        <v>148.56334331167417</v>
      </c>
      <c r="D253" s="3023">
        <v>148.28726751283639</v>
      </c>
      <c r="E253" s="203">
        <f t="shared" si="4"/>
        <v>165.8944650794956</v>
      </c>
      <c r="F253" s="1668">
        <v>178.14334075854055</v>
      </c>
      <c r="G253" s="254">
        <v>147.19947547307285</v>
      </c>
      <c r="H253" s="1831"/>
      <c r="I253" s="1830"/>
    </row>
    <row r="254" spans="1:9">
      <c r="A254" s="63">
        <f t="shared" ref="A254:A317" si="5">A242+1</f>
        <v>2013.05</v>
      </c>
      <c r="B254" s="651">
        <v>167.97347912253019</v>
      </c>
      <c r="C254" s="3023">
        <v>148.13234648527762</v>
      </c>
      <c r="D254" s="3023">
        <v>148.48222820429058</v>
      </c>
      <c r="E254" s="203">
        <f t="shared" si="4"/>
        <v>166.11257483472136</v>
      </c>
      <c r="F254" s="1668">
        <v>184.13455559735408</v>
      </c>
      <c r="G254" s="254">
        <v>147.60511146582243</v>
      </c>
      <c r="H254" s="1831"/>
      <c r="I254" s="1830"/>
    </row>
    <row r="255" spans="1:9">
      <c r="A255" s="63">
        <f t="shared" si="5"/>
        <v>2013.06</v>
      </c>
      <c r="B255" s="651">
        <v>156.27186443024067</v>
      </c>
      <c r="C255" s="3023">
        <v>148.93260713486109</v>
      </c>
      <c r="D255" s="3023">
        <v>148.5782060699355</v>
      </c>
      <c r="E255" s="203">
        <f t="shared" si="4"/>
        <v>166.2199488321501</v>
      </c>
      <c r="F255" s="1668">
        <v>174.77943143869967</v>
      </c>
      <c r="G255" s="254">
        <v>147.51057159154115</v>
      </c>
      <c r="H255" s="1831"/>
      <c r="I255" s="1830"/>
    </row>
    <row r="256" spans="1:9">
      <c r="A256" s="63">
        <f t="shared" si="5"/>
        <v>2013.07</v>
      </c>
      <c r="B256" s="651">
        <v>150.73100129825897</v>
      </c>
      <c r="C256" s="3023">
        <v>148.11073894756541</v>
      </c>
      <c r="D256" s="3023">
        <v>148.56814629435513</v>
      </c>
      <c r="E256" s="203">
        <f t="shared" si="4"/>
        <v>166.20869458816327</v>
      </c>
      <c r="F256" s="1668">
        <v>178.44905219381036</v>
      </c>
      <c r="G256" s="254">
        <v>147.51199645665596</v>
      </c>
      <c r="H256" s="1831"/>
      <c r="I256" s="1830"/>
    </row>
    <row r="257" spans="1:9">
      <c r="A257" s="63">
        <f t="shared" si="5"/>
        <v>2013.08</v>
      </c>
      <c r="B257" s="651">
        <v>148.42144953050052</v>
      </c>
      <c r="C257" s="3023">
        <v>150.25058699423329</v>
      </c>
      <c r="D257" s="3023">
        <v>148.44957832894318</v>
      </c>
      <c r="E257" s="203">
        <f t="shared" si="4"/>
        <v>166.07604820842013</v>
      </c>
      <c r="F257" s="1668">
        <v>178.52876595502977</v>
      </c>
      <c r="G257" s="254">
        <v>147.58658675500519</v>
      </c>
      <c r="H257" s="1831"/>
      <c r="I257" s="1830"/>
    </row>
    <row r="258" spans="1:9">
      <c r="A258" s="63">
        <f t="shared" si="5"/>
        <v>2013.09</v>
      </c>
      <c r="B258" s="651">
        <v>147.0048441881334</v>
      </c>
      <c r="C258" s="3023">
        <v>150.24364575915666</v>
      </c>
      <c r="D258" s="3023">
        <v>148.22545370517108</v>
      </c>
      <c r="E258" s="203">
        <f t="shared" si="4"/>
        <v>165.82531168062891</v>
      </c>
      <c r="F258" s="1668">
        <v>177.38907617038601</v>
      </c>
      <c r="G258" s="254">
        <v>147.2785320226067</v>
      </c>
      <c r="H258" s="1831"/>
      <c r="I258" s="1830"/>
    </row>
    <row r="259" spans="1:9">
      <c r="A259" s="63">
        <f t="shared" si="5"/>
        <v>2013.1</v>
      </c>
      <c r="B259" s="651">
        <v>148.6939593959755</v>
      </c>
      <c r="C259" s="3023">
        <v>149.11837001557137</v>
      </c>
      <c r="D259" s="3023">
        <v>147.90140935077878</v>
      </c>
      <c r="E259" s="203">
        <f t="shared" si="4"/>
        <v>165.46279124488561</v>
      </c>
      <c r="F259" s="1668">
        <v>175.51819990197191</v>
      </c>
      <c r="G259" s="254">
        <v>146.870009659266</v>
      </c>
      <c r="H259" s="1831"/>
      <c r="I259" s="1830"/>
    </row>
    <row r="260" spans="1:9">
      <c r="A260" s="63">
        <f t="shared" si="5"/>
        <v>2013.11</v>
      </c>
      <c r="B260" s="651">
        <v>145.69589762827002</v>
      </c>
      <c r="C260" s="3023">
        <v>148.2375789641217</v>
      </c>
      <c r="D260" s="3023">
        <v>147.48617167407406</v>
      </c>
      <c r="E260" s="203">
        <f t="shared" si="4"/>
        <v>164.99824945776408</v>
      </c>
      <c r="F260" s="1668">
        <v>169.38196331566459</v>
      </c>
      <c r="G260" s="254">
        <v>146.35353124500224</v>
      </c>
      <c r="H260" s="1831"/>
      <c r="I260" s="1830"/>
    </row>
    <row r="261" spans="1:9">
      <c r="A261" s="63">
        <f t="shared" si="5"/>
        <v>2013.12</v>
      </c>
      <c r="B261" s="651">
        <v>142.5768791271264</v>
      </c>
      <c r="C261" s="3023">
        <v>147.56214296035222</v>
      </c>
      <c r="D261" s="3023">
        <v>146.9951671465634</v>
      </c>
      <c r="E261" s="203">
        <f t="shared" si="4"/>
        <v>164.44894448499599</v>
      </c>
      <c r="F261" s="1668">
        <v>164.04183092520037</v>
      </c>
      <c r="G261" s="254">
        <v>145.80484963735847</v>
      </c>
      <c r="H261" s="1832"/>
      <c r="I261" s="1830"/>
    </row>
    <row r="262" spans="1:9">
      <c r="A262" s="63">
        <f t="shared" si="5"/>
        <v>2014.01</v>
      </c>
      <c r="B262" s="651">
        <v>137.96969739537636</v>
      </c>
      <c r="C262" s="3023">
        <v>145.70223686046012</v>
      </c>
      <c r="D262" s="3023">
        <v>146.45212347130399</v>
      </c>
      <c r="E262" s="203">
        <f t="shared" si="4"/>
        <v>163.84142138788204</v>
      </c>
      <c r="F262" s="1668">
        <v>162.75061549772713</v>
      </c>
      <c r="G262" s="254">
        <v>145.24621270500535</v>
      </c>
      <c r="H262" s="1831"/>
      <c r="I262" s="1830"/>
    </row>
    <row r="263" spans="1:9">
      <c r="A263" s="63">
        <f t="shared" si="5"/>
        <v>2014.02</v>
      </c>
      <c r="B263" s="651">
        <v>132.48630687243056</v>
      </c>
      <c r="C263" s="3023">
        <v>146.98764323934452</v>
      </c>
      <c r="D263" s="3023">
        <v>145.8846847280056</v>
      </c>
      <c r="E263" s="203">
        <f t="shared" si="4"/>
        <v>163.20660662351449</v>
      </c>
      <c r="F263" s="1668">
        <v>153.67157313436329</v>
      </c>
      <c r="G263" s="254">
        <v>144.41210198038749</v>
      </c>
      <c r="H263" s="1831"/>
      <c r="I263" s="1830"/>
    </row>
    <row r="264" spans="1:9">
      <c r="A264" s="63">
        <f t="shared" si="5"/>
        <v>2014.03</v>
      </c>
      <c r="B264" s="651">
        <v>144.53782808347017</v>
      </c>
      <c r="C264" s="3023">
        <v>145.38879394446334</v>
      </c>
      <c r="D264" s="3023">
        <v>145.32596127434121</v>
      </c>
      <c r="E264" s="203">
        <f t="shared" si="4"/>
        <v>162.5815419768482</v>
      </c>
      <c r="F264" s="1668">
        <v>163.94450815780496</v>
      </c>
      <c r="G264" s="254">
        <v>143.68560320402381</v>
      </c>
      <c r="H264" s="1831"/>
      <c r="I264" s="1830"/>
    </row>
    <row r="265" spans="1:9">
      <c r="A265" s="63">
        <f t="shared" si="5"/>
        <v>2014.04</v>
      </c>
      <c r="B265" s="651">
        <v>152.34143546147135</v>
      </c>
      <c r="C265" s="3023">
        <v>144.91330541336276</v>
      </c>
      <c r="D265" s="3023">
        <v>144.81450624733307</v>
      </c>
      <c r="E265" s="203">
        <f t="shared" si="4"/>
        <v>162.0093582719297</v>
      </c>
      <c r="F265" s="1668">
        <v>174.75102087237988</v>
      </c>
      <c r="G265" s="254">
        <v>143.20457037517667</v>
      </c>
      <c r="H265" s="1831"/>
      <c r="I265" s="1830"/>
    </row>
    <row r="266" spans="1:9">
      <c r="A266" s="63">
        <f t="shared" si="5"/>
        <v>2014.05</v>
      </c>
      <c r="B266" s="651">
        <v>164.20324390256107</v>
      </c>
      <c r="C266" s="3023">
        <v>145.1576430672485</v>
      </c>
      <c r="D266" s="3023">
        <v>144.38516372517324</v>
      </c>
      <c r="E266" s="203">
        <f t="shared" ref="E266:E329" si="6">D266*$E$9</f>
        <v>161.52903687114983</v>
      </c>
      <c r="F266" s="1668">
        <v>179.07761760316447</v>
      </c>
      <c r="G266" s="254">
        <v>142.93903326272289</v>
      </c>
      <c r="H266" s="1831"/>
      <c r="I266" s="1830"/>
    </row>
    <row r="267" spans="1:9">
      <c r="A267" s="63">
        <f t="shared" si="5"/>
        <v>2014.06</v>
      </c>
      <c r="B267" s="651">
        <v>153.80352402990053</v>
      </c>
      <c r="C267" s="3023">
        <v>144.53169103579214</v>
      </c>
      <c r="D267" s="3023">
        <v>144.06859706630902</v>
      </c>
      <c r="E267" s="203">
        <f t="shared" si="6"/>
        <v>161.17488201068795</v>
      </c>
      <c r="F267" s="1668">
        <v>173.93389388694666</v>
      </c>
      <c r="G267" s="254">
        <v>142.88382785412031</v>
      </c>
      <c r="H267" s="1831"/>
      <c r="I267" s="1830"/>
    </row>
    <row r="268" spans="1:9">
      <c r="A268" s="63">
        <f t="shared" si="5"/>
        <v>2014.07</v>
      </c>
      <c r="B268" s="651">
        <v>145.42281373408593</v>
      </c>
      <c r="C268" s="3023">
        <v>143.99695301833037</v>
      </c>
      <c r="D268" s="3023">
        <v>143.890307150295</v>
      </c>
      <c r="E268" s="203">
        <f t="shared" si="6"/>
        <v>160.97542247014678</v>
      </c>
      <c r="F268" s="1668">
        <v>171.35334858030305</v>
      </c>
      <c r="G268" s="254">
        <v>142.43196166348682</v>
      </c>
      <c r="H268" s="1831"/>
      <c r="I268" s="1830"/>
    </row>
    <row r="269" spans="1:9">
      <c r="A269" s="63">
        <f t="shared" si="5"/>
        <v>2014.08</v>
      </c>
      <c r="B269" s="651">
        <v>140.10530396605887</v>
      </c>
      <c r="C269" s="3023">
        <v>143.52824609859405</v>
      </c>
      <c r="D269" s="3023">
        <v>143.86705075187177</v>
      </c>
      <c r="E269" s="203">
        <f t="shared" si="6"/>
        <v>160.94940467481743</v>
      </c>
      <c r="F269" s="1668">
        <v>167.69845284641482</v>
      </c>
      <c r="G269" s="254">
        <v>141.94648345244116</v>
      </c>
      <c r="H269" s="1831"/>
      <c r="I269" s="1830"/>
    </row>
    <row r="270" spans="1:9">
      <c r="A270" s="63">
        <f t="shared" si="5"/>
        <v>2014.09</v>
      </c>
      <c r="B270" s="651">
        <v>141.71873319955728</v>
      </c>
      <c r="C270" s="3023">
        <v>143.52601480149008</v>
      </c>
      <c r="D270" s="3023">
        <v>144.00583484667672</v>
      </c>
      <c r="E270" s="203">
        <f t="shared" si="6"/>
        <v>161.10466758818399</v>
      </c>
      <c r="F270" s="1668">
        <v>170.87719700851773</v>
      </c>
      <c r="G270" s="254">
        <v>142.37628541169636</v>
      </c>
      <c r="H270" s="1831"/>
      <c r="I270" s="1830"/>
    </row>
    <row r="271" spans="1:9">
      <c r="A271" s="63">
        <f t="shared" si="5"/>
        <v>2014.1</v>
      </c>
      <c r="B271" s="651">
        <v>143.34939741761289</v>
      </c>
      <c r="C271" s="3023">
        <v>143.82467603823463</v>
      </c>
      <c r="D271" s="3023">
        <v>144.30253416025766</v>
      </c>
      <c r="E271" s="203">
        <f t="shared" si="6"/>
        <v>161.43659611273989</v>
      </c>
      <c r="F271" s="1668">
        <v>168.01549226918533</v>
      </c>
      <c r="G271" s="254">
        <v>142.96715508638729</v>
      </c>
      <c r="H271" s="1831"/>
      <c r="I271" s="1830"/>
    </row>
    <row r="272" spans="1:9">
      <c r="A272" s="63">
        <f t="shared" si="5"/>
        <v>2014.11</v>
      </c>
      <c r="B272" s="643">
        <v>140.87759689826311</v>
      </c>
      <c r="C272" s="2839">
        <v>144.86276809767278</v>
      </c>
      <c r="D272" s="2839">
        <v>144.74013404353639</v>
      </c>
      <c r="E272" s="203">
        <f t="shared" si="6"/>
        <v>161.92615532960988</v>
      </c>
      <c r="F272" s="1668">
        <v>162.08730297537704</v>
      </c>
      <c r="G272" s="254">
        <v>143.24770034914076</v>
      </c>
      <c r="H272" s="1831"/>
      <c r="I272" s="1830"/>
    </row>
    <row r="273" spans="1:9">
      <c r="A273" s="63">
        <f t="shared" si="5"/>
        <v>2014.12</v>
      </c>
      <c r="B273" s="643">
        <v>140.43593774912819</v>
      </c>
      <c r="C273" s="2839">
        <v>144.83184702653438</v>
      </c>
      <c r="D273" s="2839">
        <v>145.29304180522755</v>
      </c>
      <c r="E273" s="203">
        <f t="shared" si="6"/>
        <v>162.54471374600337</v>
      </c>
      <c r="F273" s="1668">
        <v>157.96127149666663</v>
      </c>
      <c r="G273" s="254">
        <v>143.44164147612776</v>
      </c>
      <c r="H273" s="1831"/>
      <c r="I273" s="1830"/>
    </row>
    <row r="274" spans="1:9">
      <c r="A274" s="63">
        <f t="shared" si="5"/>
        <v>2015.01</v>
      </c>
      <c r="B274" s="643">
        <v>133.99818907035032</v>
      </c>
      <c r="C274" s="2839">
        <v>144.24802173373354</v>
      </c>
      <c r="D274" s="2839">
        <v>145.92740355768137</v>
      </c>
      <c r="E274" s="203">
        <f t="shared" si="6"/>
        <v>163.25439776240827</v>
      </c>
      <c r="F274" s="1668">
        <v>158.62683421990027</v>
      </c>
      <c r="G274" s="254">
        <v>143.97885390226267</v>
      </c>
      <c r="H274" s="1831"/>
      <c r="I274" s="1830"/>
    </row>
    <row r="275" spans="1:9">
      <c r="A275" s="63">
        <f t="shared" si="5"/>
        <v>2015.02</v>
      </c>
      <c r="B275" s="643">
        <v>132.62788695577399</v>
      </c>
      <c r="C275" s="2839">
        <v>147.73451264214759</v>
      </c>
      <c r="D275" s="2839">
        <v>146.60118303640675</v>
      </c>
      <c r="E275" s="203">
        <f t="shared" si="6"/>
        <v>164.00817985091436</v>
      </c>
      <c r="F275" s="1668">
        <v>150.80059413330952</v>
      </c>
      <c r="G275" s="254">
        <v>144.97927997253629</v>
      </c>
      <c r="H275" s="1831"/>
      <c r="I275" s="1830"/>
    </row>
    <row r="276" spans="1:9">
      <c r="A276" s="63">
        <f t="shared" si="5"/>
        <v>2015.03</v>
      </c>
      <c r="B276" s="643">
        <v>149.4090129833281</v>
      </c>
      <c r="C276" s="2839">
        <v>147.54150449444631</v>
      </c>
      <c r="D276" s="2839">
        <v>147.26652921739154</v>
      </c>
      <c r="E276" s="203">
        <f t="shared" si="6"/>
        <v>164.75252729650745</v>
      </c>
      <c r="F276" s="1668">
        <v>166.47527860976342</v>
      </c>
      <c r="G276" s="254">
        <v>145.84202709759305</v>
      </c>
      <c r="H276" s="1831"/>
      <c r="I276" s="1830"/>
    </row>
    <row r="277" spans="1:9">
      <c r="A277" s="63">
        <f t="shared" si="5"/>
        <v>2015.04</v>
      </c>
      <c r="B277" s="643">
        <v>157.4845995373143</v>
      </c>
      <c r="C277" s="2839">
        <v>149.72011447504548</v>
      </c>
      <c r="D277" s="2839">
        <v>147.87581902899421</v>
      </c>
      <c r="E277" s="203">
        <f t="shared" si="6"/>
        <v>165.43416240294343</v>
      </c>
      <c r="F277" s="1668">
        <v>179.58102945457799</v>
      </c>
      <c r="G277" s="254">
        <v>146.48104891483402</v>
      </c>
      <c r="H277" s="1831"/>
      <c r="I277" s="1830"/>
    </row>
    <row r="278" spans="1:9">
      <c r="A278" s="63">
        <f t="shared" si="5"/>
        <v>2015.05</v>
      </c>
      <c r="B278" s="643">
        <v>168.88610058983411</v>
      </c>
      <c r="C278" s="2839">
        <v>150.01394891023168</v>
      </c>
      <c r="D278" s="2839">
        <v>148.38330507436137</v>
      </c>
      <c r="E278" s="203">
        <f t="shared" si="6"/>
        <v>166.00190586091904</v>
      </c>
      <c r="F278" s="1668">
        <v>178.88649292702556</v>
      </c>
      <c r="G278" s="254">
        <v>147.05301159812089</v>
      </c>
      <c r="H278" s="1832"/>
      <c r="I278" s="1830"/>
    </row>
    <row r="279" spans="1:9">
      <c r="A279" s="63">
        <f t="shared" si="5"/>
        <v>2015.06</v>
      </c>
      <c r="B279" s="643">
        <v>162.93739000912225</v>
      </c>
      <c r="C279" s="2839">
        <v>150.97571391442457</v>
      </c>
      <c r="D279" s="2839">
        <v>148.75110737826859</v>
      </c>
      <c r="E279" s="203">
        <f t="shared" si="6"/>
        <v>166.4133799374537</v>
      </c>
      <c r="F279" s="1668">
        <v>182.66817020454192</v>
      </c>
      <c r="G279" s="254">
        <v>147.60601636858669</v>
      </c>
      <c r="H279" s="1831"/>
      <c r="I279" s="1830"/>
    </row>
    <row r="280" spans="1:9">
      <c r="A280" s="63">
        <f t="shared" si="5"/>
        <v>2015.07</v>
      </c>
      <c r="B280" s="643">
        <v>151.84479634306331</v>
      </c>
      <c r="C280" s="2839">
        <v>150.51320208262274</v>
      </c>
      <c r="D280" s="2839">
        <v>148.95497981063897</v>
      </c>
      <c r="E280" s="203">
        <f t="shared" si="6"/>
        <v>166.64145958771508</v>
      </c>
      <c r="F280" s="1668">
        <v>178.50733458510351</v>
      </c>
      <c r="G280" s="254">
        <v>147.78847352942319</v>
      </c>
      <c r="H280" s="1832"/>
      <c r="I280" s="1830"/>
    </row>
    <row r="281" spans="1:9">
      <c r="A281" s="63">
        <f t="shared" si="5"/>
        <v>2015.08</v>
      </c>
      <c r="B281" s="643">
        <v>146.46506720486232</v>
      </c>
      <c r="C281" s="2839">
        <v>150.26892441992896</v>
      </c>
      <c r="D281" s="2839">
        <v>148.98427087962955</v>
      </c>
      <c r="E281" s="203">
        <f t="shared" si="6"/>
        <v>166.67422859279083</v>
      </c>
      <c r="F281" s="1668">
        <v>174.59370834417541</v>
      </c>
      <c r="G281" s="254">
        <v>147.7600899223728</v>
      </c>
      <c r="H281" s="1831"/>
      <c r="I281" s="1830"/>
    </row>
    <row r="282" spans="1:9">
      <c r="A282" s="63">
        <f t="shared" si="5"/>
        <v>2015.09</v>
      </c>
      <c r="B282" s="643">
        <v>145.88232371860067</v>
      </c>
      <c r="C282" s="2839">
        <v>148.95464765968538</v>
      </c>
      <c r="D282" s="2839">
        <v>148.84089332564079</v>
      </c>
      <c r="E282" s="203">
        <f t="shared" si="6"/>
        <v>166.51382680629683</v>
      </c>
      <c r="F282" s="1668">
        <v>175.09904976720694</v>
      </c>
      <c r="G282" s="254">
        <v>147.48468448621523</v>
      </c>
      <c r="H282" s="1831"/>
      <c r="I282" s="1830"/>
    </row>
    <row r="283" spans="1:9">
      <c r="A283" s="63">
        <f t="shared" si="5"/>
        <v>2015.1</v>
      </c>
      <c r="B283" s="643">
        <v>147.04587615341626</v>
      </c>
      <c r="C283" s="2839">
        <v>149.28988573531365</v>
      </c>
      <c r="D283" s="2839">
        <v>148.54102293100001</v>
      </c>
      <c r="E283" s="203">
        <f t="shared" si="6"/>
        <v>166.17835067576658</v>
      </c>
      <c r="F283" s="1668">
        <v>172.03860314588371</v>
      </c>
      <c r="G283" s="254">
        <v>146.87882649692605</v>
      </c>
      <c r="H283" s="1831"/>
      <c r="I283" s="1830"/>
    </row>
    <row r="284" spans="1:9">
      <c r="A284" s="63">
        <f t="shared" si="5"/>
        <v>2015.11</v>
      </c>
      <c r="B284" s="643">
        <v>146.175581385648</v>
      </c>
      <c r="C284" s="2839">
        <v>148.41563402102494</v>
      </c>
      <c r="D284" s="2839">
        <v>148.11315027876901</v>
      </c>
      <c r="E284" s="203">
        <f t="shared" si="6"/>
        <v>165.69967367298304</v>
      </c>
      <c r="F284" s="1668">
        <v>166.02017739048361</v>
      </c>
      <c r="G284" s="254">
        <v>145.8634743058166</v>
      </c>
      <c r="H284" s="1831"/>
      <c r="I284" s="1830"/>
    </row>
    <row r="285" spans="1:9">
      <c r="A285" s="63">
        <f t="shared" si="5"/>
        <v>2015.12</v>
      </c>
      <c r="B285" s="643">
        <v>141.9421187346255</v>
      </c>
      <c r="C285" s="2839">
        <v>147.02283252708423</v>
      </c>
      <c r="D285" s="2839">
        <v>147.59270099105584</v>
      </c>
      <c r="E285" s="203">
        <f t="shared" si="6"/>
        <v>165.11742775508111</v>
      </c>
      <c r="F285" s="1668">
        <v>161.72699770091648</v>
      </c>
      <c r="G285" s="254">
        <v>144.84684830841411</v>
      </c>
      <c r="H285" s="1831"/>
      <c r="I285" s="1830"/>
    </row>
    <row r="286" spans="1:9">
      <c r="A286" s="63">
        <f t="shared" si="5"/>
        <v>2016.01</v>
      </c>
      <c r="B286" s="643">
        <v>134.74645041349706</v>
      </c>
      <c r="C286" s="2839">
        <v>148.17178743345511</v>
      </c>
      <c r="D286" s="2839">
        <v>147.02000296809618</v>
      </c>
      <c r="E286" s="203">
        <f t="shared" si="6"/>
        <v>164.47672923952749</v>
      </c>
      <c r="F286" s="1668">
        <v>162.14258739687918</v>
      </c>
      <c r="G286" s="254">
        <v>144.04328648701153</v>
      </c>
      <c r="H286" s="1831"/>
      <c r="I286" s="1830"/>
    </row>
    <row r="287" spans="1:9">
      <c r="A287" s="63">
        <f t="shared" si="5"/>
        <v>2016.02</v>
      </c>
      <c r="B287" s="643">
        <v>134.23236103862521</v>
      </c>
      <c r="C287" s="2839">
        <v>146.92149465339168</v>
      </c>
      <c r="D287" s="2839">
        <v>146.43761224853841</v>
      </c>
      <c r="E287" s="203">
        <f t="shared" si="6"/>
        <v>163.82518714485684</v>
      </c>
      <c r="F287" s="1668">
        <v>154.71303906213018</v>
      </c>
      <c r="G287" s="254">
        <v>143.28516942506846</v>
      </c>
      <c r="H287" s="1831"/>
      <c r="I287" s="1830"/>
    </row>
    <row r="288" spans="1:9">
      <c r="A288" s="63">
        <f t="shared" si="5"/>
        <v>2016.03</v>
      </c>
      <c r="B288" s="643">
        <v>150.0878942366954</v>
      </c>
      <c r="C288" s="2839">
        <v>146.0546106207598</v>
      </c>
      <c r="D288" s="2839">
        <v>145.88742746583114</v>
      </c>
      <c r="E288" s="203">
        <f t="shared" si="6"/>
        <v>163.20967502602844</v>
      </c>
      <c r="F288" s="1668">
        <v>167.26595637098612</v>
      </c>
      <c r="G288" s="254">
        <v>142.80637816857509</v>
      </c>
      <c r="H288" s="1831"/>
      <c r="I288" s="1830"/>
    </row>
    <row r="289" spans="1:9">
      <c r="A289" s="63">
        <f t="shared" si="5"/>
        <v>2016.04</v>
      </c>
      <c r="B289" s="643">
        <v>153.25067436662908</v>
      </c>
      <c r="C289" s="2839">
        <v>145.13182023943523</v>
      </c>
      <c r="D289" s="2839">
        <v>145.404857121775</v>
      </c>
      <c r="E289" s="203">
        <f t="shared" si="6"/>
        <v>162.66980568705438</v>
      </c>
      <c r="F289" s="1668">
        <v>173.31974432932859</v>
      </c>
      <c r="G289" s="254">
        <v>142.3848122556382</v>
      </c>
      <c r="H289" s="1831"/>
      <c r="I289" s="1830"/>
    </row>
    <row r="290" spans="1:9">
      <c r="A290" s="63">
        <f t="shared" si="5"/>
        <v>2016.05</v>
      </c>
      <c r="B290" s="643">
        <v>163.51360808690507</v>
      </c>
      <c r="C290" s="2839">
        <v>144.45616397774052</v>
      </c>
      <c r="D290" s="2839">
        <v>145.01653954156774</v>
      </c>
      <c r="E290" s="203">
        <f t="shared" si="6"/>
        <v>162.23538041015817</v>
      </c>
      <c r="F290" s="1668">
        <v>176.68548486978975</v>
      </c>
      <c r="G290" s="254">
        <v>141.74395441741115</v>
      </c>
      <c r="H290" s="1831"/>
      <c r="I290" s="1830"/>
    </row>
    <row r="291" spans="1:9">
      <c r="A291" s="63">
        <f t="shared" si="5"/>
        <v>2016.06</v>
      </c>
      <c r="B291" s="643">
        <v>153.66209524099784</v>
      </c>
      <c r="C291" s="2839">
        <v>144.1153097174394</v>
      </c>
      <c r="D291" s="2839">
        <v>144.74232346371448</v>
      </c>
      <c r="E291" s="203">
        <f t="shared" si="6"/>
        <v>161.92860471515303</v>
      </c>
      <c r="F291" s="1668">
        <v>173.10823231201184</v>
      </c>
      <c r="G291" s="254">
        <v>141.19092370660721</v>
      </c>
      <c r="H291" s="1831"/>
      <c r="I291" s="1830"/>
    </row>
    <row r="292" spans="1:9">
      <c r="A292" s="63">
        <f t="shared" si="5"/>
        <v>2016.07</v>
      </c>
      <c r="B292" s="643">
        <v>143.73110098180126</v>
      </c>
      <c r="C292" s="2839">
        <v>144.34351073539321</v>
      </c>
      <c r="D292" s="2839">
        <v>144.59333801100993</v>
      </c>
      <c r="E292" s="203">
        <f t="shared" si="6"/>
        <v>161.76192916440888</v>
      </c>
      <c r="F292" s="1668">
        <v>167.51384786099331</v>
      </c>
      <c r="G292" s="254">
        <v>141.21740005694346</v>
      </c>
      <c r="H292" s="1831"/>
      <c r="I292" s="1830"/>
    </row>
    <row r="293" spans="1:9">
      <c r="A293" s="63">
        <f t="shared" si="5"/>
        <v>2016.08</v>
      </c>
      <c r="B293" s="643">
        <v>143.6741026486049</v>
      </c>
      <c r="C293" s="2839">
        <v>145.55333009275714</v>
      </c>
      <c r="D293" s="2839">
        <v>144.57491693216869</v>
      </c>
      <c r="E293" s="203">
        <f t="shared" si="6"/>
        <v>161.74132082040327</v>
      </c>
      <c r="F293" s="1668">
        <v>169.603144368594</v>
      </c>
      <c r="G293" s="254">
        <v>141.71656586118351</v>
      </c>
      <c r="H293" s="1831"/>
      <c r="I293" s="1830"/>
    </row>
    <row r="294" spans="1:9">
      <c r="A294" s="63">
        <f t="shared" si="5"/>
        <v>2016.09</v>
      </c>
      <c r="B294" s="643">
        <v>142.00773744282046</v>
      </c>
      <c r="C294" s="2839">
        <v>144.91972921909357</v>
      </c>
      <c r="D294" s="2839">
        <v>144.68880109923853</v>
      </c>
      <c r="E294" s="203">
        <f t="shared" si="6"/>
        <v>161.86872726125256</v>
      </c>
      <c r="F294" s="1668">
        <v>167.07190703578993</v>
      </c>
      <c r="G294" s="254">
        <v>142.29694046094022</v>
      </c>
      <c r="H294" s="1831"/>
      <c r="I294" s="1830"/>
    </row>
    <row r="295" spans="1:9">
      <c r="A295" s="63">
        <f t="shared" si="5"/>
        <v>2016.1</v>
      </c>
      <c r="B295" s="643">
        <v>141.13686329808141</v>
      </c>
      <c r="C295" s="2839">
        <v>145.09748356979213</v>
      </c>
      <c r="D295" s="2839">
        <v>144.92883292270349</v>
      </c>
      <c r="E295" s="203">
        <f t="shared" si="6"/>
        <v>162.13725976322431</v>
      </c>
      <c r="F295" s="1668">
        <v>164.4594860837534</v>
      </c>
      <c r="G295" s="254">
        <v>142.85644579725692</v>
      </c>
      <c r="H295" s="1831"/>
      <c r="I295" s="1830"/>
    </row>
    <row r="296" spans="1:9">
      <c r="A296" s="63">
        <f t="shared" si="5"/>
        <v>2016.11</v>
      </c>
      <c r="B296" s="643">
        <v>144.93832064073018</v>
      </c>
      <c r="C296" s="2839">
        <v>145.74053527801507</v>
      </c>
      <c r="D296" s="2839">
        <v>145.28192899593452</v>
      </c>
      <c r="E296" s="203">
        <f t="shared" si="6"/>
        <v>162.53228143415274</v>
      </c>
      <c r="F296" s="1668">
        <v>164.4805097615419</v>
      </c>
      <c r="G296" s="254">
        <v>143.53447626842024</v>
      </c>
      <c r="H296" s="1831"/>
      <c r="I296" s="1830"/>
    </row>
    <row r="297" spans="1:9">
      <c r="A297" s="63">
        <f t="shared" si="5"/>
        <v>2016.12</v>
      </c>
      <c r="B297" s="643">
        <v>142.59014516031914</v>
      </c>
      <c r="C297" s="2839">
        <v>147.06557794963456</v>
      </c>
      <c r="D297" s="2839">
        <v>145.73508847648506</v>
      </c>
      <c r="E297" s="203">
        <f t="shared" si="6"/>
        <v>163.03924774948473</v>
      </c>
      <c r="F297" s="1668">
        <v>161.68967641937229</v>
      </c>
      <c r="G297" s="254">
        <v>144.1710722854188</v>
      </c>
      <c r="H297" s="1831"/>
      <c r="I297" s="1830"/>
    </row>
    <row r="298" spans="1:9">
      <c r="A298" s="63">
        <f t="shared" si="5"/>
        <v>2017.01</v>
      </c>
      <c r="B298" s="643">
        <v>136.63265948316189</v>
      </c>
      <c r="C298" s="2839">
        <v>147.35464058819025</v>
      </c>
      <c r="D298" s="2839">
        <v>146.27163068478552</v>
      </c>
      <c r="E298" s="203">
        <f t="shared" si="6"/>
        <v>163.63949741441886</v>
      </c>
      <c r="F298" s="1668">
        <v>163.36620556495805</v>
      </c>
      <c r="G298" s="254">
        <v>144.58100022305078</v>
      </c>
      <c r="H298" s="1831"/>
      <c r="I298" s="1830"/>
    </row>
    <row r="299" spans="1:9">
      <c r="A299" s="63">
        <f t="shared" si="5"/>
        <v>2017.02</v>
      </c>
      <c r="B299" s="643">
        <v>132.15851633982254</v>
      </c>
      <c r="C299" s="2839">
        <v>146.69656984083699</v>
      </c>
      <c r="D299" s="2839">
        <v>146.87154079452191</v>
      </c>
      <c r="E299" s="203">
        <f t="shared" si="6"/>
        <v>164.31063910055104</v>
      </c>
      <c r="F299" s="1668">
        <v>150.8522453993678</v>
      </c>
      <c r="G299" s="254">
        <v>144.95145736840053</v>
      </c>
      <c r="H299" s="1831"/>
      <c r="I299" s="1830"/>
    </row>
    <row r="300" spans="1:9">
      <c r="A300" s="63">
        <f t="shared" si="5"/>
        <v>2017.03</v>
      </c>
      <c r="B300" s="643">
        <v>152.6209585590571</v>
      </c>
      <c r="C300" s="2839">
        <v>147.84637136516858</v>
      </c>
      <c r="D300" s="2839">
        <v>147.51430659223345</v>
      </c>
      <c r="E300" s="203">
        <f t="shared" si="6"/>
        <v>165.02972503403163</v>
      </c>
      <c r="F300" s="1668">
        <v>172.38272908177822</v>
      </c>
      <c r="G300" s="254">
        <v>145.67016530621237</v>
      </c>
      <c r="H300" s="1831"/>
      <c r="I300" s="1830"/>
    </row>
    <row r="301" spans="1:9">
      <c r="A301" s="63">
        <f t="shared" si="5"/>
        <v>2017.04</v>
      </c>
      <c r="B301" s="643">
        <v>151.94634480448713</v>
      </c>
      <c r="C301" s="2839">
        <v>147.61201611491205</v>
      </c>
      <c r="D301" s="2839">
        <v>148.17737721146412</v>
      </c>
      <c r="E301" s="203">
        <f t="shared" si="6"/>
        <v>165.77152672430606</v>
      </c>
      <c r="F301" s="1668">
        <v>175.44626798302158</v>
      </c>
      <c r="G301" s="254">
        <v>146.31620789808619</v>
      </c>
      <c r="H301" s="1831"/>
      <c r="I301" s="1830"/>
    </row>
    <row r="302" spans="1:9">
      <c r="A302" s="63">
        <f t="shared" si="5"/>
        <v>2017.05</v>
      </c>
      <c r="B302" s="643">
        <v>168.38920946936756</v>
      </c>
      <c r="C302" s="2839">
        <v>148.51446452609588</v>
      </c>
      <c r="D302" s="2839">
        <v>148.83239008112648</v>
      </c>
      <c r="E302" s="203">
        <f t="shared" si="6"/>
        <v>166.50431391133421</v>
      </c>
      <c r="F302" s="1668">
        <v>183.78650736303965</v>
      </c>
      <c r="G302" s="254">
        <v>146.67733006786074</v>
      </c>
      <c r="H302" s="1831"/>
      <c r="I302" s="1830"/>
    </row>
    <row r="303" spans="1:9">
      <c r="A303" s="63">
        <f t="shared" si="5"/>
        <v>2017.06</v>
      </c>
      <c r="B303" s="643">
        <v>161.03568546945212</v>
      </c>
      <c r="C303" s="2839">
        <v>150.0560711355518</v>
      </c>
      <c r="D303" s="2839">
        <v>149.44653049901595</v>
      </c>
      <c r="E303" s="203">
        <f t="shared" si="6"/>
        <v>167.19137557089749</v>
      </c>
      <c r="F303" s="1668">
        <v>180.90096239211675</v>
      </c>
      <c r="G303" s="254">
        <v>147.22074048910136</v>
      </c>
      <c r="H303" s="1831"/>
      <c r="I303" s="1830"/>
    </row>
    <row r="304" spans="1:9">
      <c r="A304" s="63">
        <f t="shared" si="5"/>
        <v>2017.07</v>
      </c>
      <c r="B304" s="643">
        <v>150.30605012391976</v>
      </c>
      <c r="C304" s="2839">
        <v>150.42549224758073</v>
      </c>
      <c r="D304" s="2839">
        <v>149.98445433553499</v>
      </c>
      <c r="E304" s="203">
        <f t="shared" si="6"/>
        <v>167.79317091455442</v>
      </c>
      <c r="F304" s="1668">
        <v>178.66684302950173</v>
      </c>
      <c r="G304" s="254">
        <v>147.95210588153626</v>
      </c>
      <c r="H304" s="1831"/>
      <c r="I304" s="1830"/>
    </row>
    <row r="305" spans="1:10">
      <c r="A305" s="63">
        <f t="shared" si="5"/>
        <v>2017.08</v>
      </c>
      <c r="B305" s="643">
        <v>149.25534277384088</v>
      </c>
      <c r="C305" s="2839">
        <v>150.43731446549236</v>
      </c>
      <c r="D305" s="2839">
        <v>150.41016065598427</v>
      </c>
      <c r="E305" s="203">
        <f t="shared" si="6"/>
        <v>168.26942436164003</v>
      </c>
      <c r="F305" s="1668">
        <v>181.19630758079131</v>
      </c>
      <c r="G305" s="254">
        <v>148.24780468921099</v>
      </c>
      <c r="H305" s="1831"/>
      <c r="I305" s="1830"/>
      <c r="J305" s="1796"/>
    </row>
    <row r="306" spans="1:10">
      <c r="A306" s="63">
        <f t="shared" si="5"/>
        <v>2017.09</v>
      </c>
      <c r="B306" s="643">
        <v>146.38655965775365</v>
      </c>
      <c r="C306" s="2839">
        <v>151.24741861601663</v>
      </c>
      <c r="D306" s="2839">
        <v>150.68994432585242</v>
      </c>
      <c r="E306" s="203">
        <f t="shared" si="6"/>
        <v>168.58242872829436</v>
      </c>
      <c r="F306" s="1668">
        <v>177.32600566345062</v>
      </c>
      <c r="G306" s="254">
        <v>148.32197618126222</v>
      </c>
      <c r="H306" s="1831"/>
      <c r="I306" s="1830"/>
      <c r="J306" s="1796"/>
    </row>
    <row r="307" spans="1:10">
      <c r="A307" s="63">
        <f t="shared" si="5"/>
        <v>2017.1</v>
      </c>
      <c r="B307" s="643">
        <v>149.38594966601431</v>
      </c>
      <c r="C307" s="2839">
        <v>151.82510487267342</v>
      </c>
      <c r="D307" s="2839">
        <v>150.79710532260057</v>
      </c>
      <c r="E307" s="203">
        <f t="shared" si="6"/>
        <v>168.70231370919052</v>
      </c>
      <c r="F307" s="1668">
        <v>177.00200469546962</v>
      </c>
      <c r="G307" s="254">
        <v>148.58480283553271</v>
      </c>
      <c r="H307" s="1831"/>
      <c r="I307" s="1830"/>
      <c r="J307" s="1796"/>
    </row>
    <row r="308" spans="1:10">
      <c r="A308" s="63">
        <f t="shared" si="5"/>
        <v>2017.11</v>
      </c>
      <c r="B308" s="643">
        <v>151.92604285202668</v>
      </c>
      <c r="C308" s="2839">
        <v>152.57159606611182</v>
      </c>
      <c r="D308" s="2839">
        <v>150.70988025921631</v>
      </c>
      <c r="E308" s="203">
        <f t="shared" si="6"/>
        <v>168.60473179622954</v>
      </c>
      <c r="F308" s="1668">
        <v>175.70063118460294</v>
      </c>
      <c r="G308" s="254">
        <v>148.92049079809382</v>
      </c>
      <c r="H308" s="1831"/>
      <c r="I308" s="1830"/>
      <c r="J308" s="1796"/>
    </row>
    <row r="309" spans="1:10">
      <c r="A309" s="63">
        <f t="shared" si="5"/>
        <v>2017.12</v>
      </c>
      <c r="B309" s="643">
        <v>146.78338490922428</v>
      </c>
      <c r="C309" s="2839">
        <v>152.23964419874682</v>
      </c>
      <c r="D309" s="2839">
        <v>150.41921914084281</v>
      </c>
      <c r="E309" s="203">
        <f t="shared" si="6"/>
        <v>168.27955842456564</v>
      </c>
      <c r="F309" s="1668">
        <v>167.73649345003622</v>
      </c>
      <c r="G309" s="254">
        <v>148.84639190549115</v>
      </c>
      <c r="H309" s="1832"/>
      <c r="I309" s="1830"/>
      <c r="J309" s="1833"/>
    </row>
    <row r="310" spans="1:10" ht="14.25">
      <c r="A310" s="63">
        <f t="shared" si="5"/>
        <v>2018.01</v>
      </c>
      <c r="B310" s="643">
        <v>142.74091260617206</v>
      </c>
      <c r="C310" s="2839">
        <v>150.97389057812134</v>
      </c>
      <c r="D310" s="2839">
        <v>149.93249129055957</v>
      </c>
      <c r="E310" s="203">
        <f t="shared" si="6"/>
        <v>167.7350379292032</v>
      </c>
      <c r="F310" s="1668">
        <v>169.59183206235025</v>
      </c>
      <c r="G310" s="254">
        <v>148.51255925874901</v>
      </c>
      <c r="H310" s="428"/>
      <c r="I310" s="429"/>
      <c r="J310" s="1796"/>
    </row>
    <row r="311" spans="1:10" ht="14.25">
      <c r="A311" s="63">
        <f t="shared" si="5"/>
        <v>2018.02</v>
      </c>
      <c r="B311" s="643">
        <v>138.81804035165723</v>
      </c>
      <c r="C311" s="2839">
        <v>151.68365510624318</v>
      </c>
      <c r="D311" s="2839">
        <v>149.27194553664691</v>
      </c>
      <c r="E311" s="203">
        <f t="shared" si="6"/>
        <v>166.99606089938916</v>
      </c>
      <c r="F311" s="1668">
        <v>159.70574761360294</v>
      </c>
      <c r="G311" s="254">
        <v>148.4183414805012</v>
      </c>
      <c r="H311" s="428"/>
      <c r="I311" s="429"/>
      <c r="J311" s="1796"/>
    </row>
    <row r="312" spans="1:10" ht="14.25">
      <c r="A312" s="63">
        <f t="shared" si="5"/>
        <v>2018.03</v>
      </c>
      <c r="B312" s="643">
        <v>155.85731953576939</v>
      </c>
      <c r="C312" s="2839">
        <v>151.13926486781625</v>
      </c>
      <c r="D312" s="2839">
        <v>148.47313603813558</v>
      </c>
      <c r="E312" s="203">
        <f t="shared" si="6"/>
        <v>166.10240309128042</v>
      </c>
      <c r="F312" s="1668">
        <v>176.61958455926074</v>
      </c>
      <c r="G312" s="254">
        <v>148.34041480540461</v>
      </c>
      <c r="H312" s="428"/>
      <c r="I312" s="429"/>
      <c r="J312" s="1796"/>
    </row>
    <row r="313" spans="1:10" ht="14.25">
      <c r="A313" s="63">
        <f t="shared" si="5"/>
        <v>2018.04</v>
      </c>
      <c r="B313" s="643">
        <v>151.52454398394281</v>
      </c>
      <c r="C313" s="2839">
        <v>146.77123486273817</v>
      </c>
      <c r="D313" s="2839">
        <v>147.58110344036706</v>
      </c>
      <c r="E313" s="203">
        <f t="shared" si="6"/>
        <v>165.10445314505546</v>
      </c>
      <c r="F313" s="1668">
        <v>173.9970493503431</v>
      </c>
      <c r="G313" s="254">
        <v>147.7714715852664</v>
      </c>
      <c r="H313" s="428"/>
      <c r="I313" s="429"/>
      <c r="J313" s="1796"/>
    </row>
    <row r="314" spans="1:10" ht="14.25">
      <c r="A314" s="63">
        <f t="shared" si="5"/>
        <v>2018.05</v>
      </c>
      <c r="B314" s="643">
        <v>159.56669237791627</v>
      </c>
      <c r="C314" s="2839">
        <v>144.72417136724579</v>
      </c>
      <c r="D314" s="2839">
        <v>146.64871116307179</v>
      </c>
      <c r="E314" s="203">
        <f t="shared" si="6"/>
        <v>164.06135132869244</v>
      </c>
      <c r="F314" s="1668">
        <v>178.25633117532331</v>
      </c>
      <c r="G314" s="254">
        <v>146.76008970559812</v>
      </c>
      <c r="H314" s="428"/>
      <c r="I314" s="429"/>
      <c r="J314" s="1796"/>
    </row>
    <row r="315" spans="1:10" ht="14.25">
      <c r="A315" s="63">
        <f t="shared" si="5"/>
        <v>2018.06</v>
      </c>
      <c r="B315" s="643">
        <v>151.12576323345559</v>
      </c>
      <c r="C315" s="2839">
        <v>143.41582133372111</v>
      </c>
      <c r="D315" s="2839">
        <v>145.73097075412022</v>
      </c>
      <c r="E315" s="203">
        <f t="shared" si="6"/>
        <v>163.03464110077837</v>
      </c>
      <c r="F315" s="1668">
        <v>171.45969954572112</v>
      </c>
      <c r="G315" s="254">
        <v>145.01150158981605</v>
      </c>
      <c r="H315" s="428"/>
      <c r="I315" s="429"/>
      <c r="J315" s="1796"/>
    </row>
    <row r="316" spans="1:10" ht="14.25">
      <c r="A316" s="63">
        <f t="shared" si="5"/>
        <v>2018.07</v>
      </c>
      <c r="B316" s="643">
        <v>145.96352443000626</v>
      </c>
      <c r="C316" s="2839">
        <v>143.85275781356216</v>
      </c>
      <c r="D316" s="2839">
        <v>144.87825027552938</v>
      </c>
      <c r="E316" s="203">
        <f t="shared" si="6"/>
        <v>162.08067108008245</v>
      </c>
      <c r="F316" s="1668">
        <v>174.32658370702748</v>
      </c>
      <c r="G316" s="254">
        <v>143.09770998100601</v>
      </c>
      <c r="H316" s="428"/>
      <c r="I316" s="429"/>
      <c r="J316" s="1796"/>
    </row>
    <row r="317" spans="1:10" ht="14.25">
      <c r="A317" s="63">
        <f t="shared" si="5"/>
        <v>2018.08</v>
      </c>
      <c r="B317" s="643">
        <v>146.76596003414025</v>
      </c>
      <c r="C317" s="2839">
        <v>146.67183311369772</v>
      </c>
      <c r="D317" s="2839">
        <v>144.13600763945499</v>
      </c>
      <c r="E317" s="203">
        <f t="shared" si="6"/>
        <v>161.25029671864178</v>
      </c>
      <c r="F317" s="1668">
        <v>176.37633479480749</v>
      </c>
      <c r="G317" s="254">
        <v>141.61869316915295</v>
      </c>
      <c r="H317" s="428"/>
      <c r="I317" s="429"/>
      <c r="J317" s="1796"/>
    </row>
    <row r="318" spans="1:10" ht="14.25">
      <c r="A318" s="63">
        <f t="shared" ref="A318:A381" si="7">A306+1</f>
        <v>2018.09</v>
      </c>
      <c r="B318" s="643">
        <v>137.74656971864508</v>
      </c>
      <c r="C318" s="2839">
        <v>143.29129484628024</v>
      </c>
      <c r="D318" s="2839">
        <v>143.53614453479906</v>
      </c>
      <c r="E318" s="203">
        <f t="shared" si="6"/>
        <v>160.57920761883619</v>
      </c>
      <c r="F318" s="1668">
        <v>167.53482986845583</v>
      </c>
      <c r="G318" s="254">
        <v>140.30387173777788</v>
      </c>
      <c r="H318" s="428"/>
      <c r="I318" s="429"/>
      <c r="J318" s="1796"/>
    </row>
    <row r="319" spans="1:10" ht="14.25">
      <c r="A319" s="63">
        <f t="shared" si="7"/>
        <v>2018.1</v>
      </c>
      <c r="B319" s="643">
        <v>142.84327598455877</v>
      </c>
      <c r="C319" s="2839">
        <v>143.71841016466112</v>
      </c>
      <c r="D319" s="2839">
        <v>143.09308964266654</v>
      </c>
      <c r="E319" s="203">
        <f t="shared" si="6"/>
        <v>160.08354568127424</v>
      </c>
      <c r="F319" s="1668">
        <v>167.63457359091464</v>
      </c>
      <c r="G319" s="254">
        <v>138.88090361259262</v>
      </c>
      <c r="H319" s="428"/>
      <c r="I319" s="429"/>
      <c r="J319" s="1796"/>
    </row>
    <row r="320" spans="1:10" ht="14.25">
      <c r="A320" s="63">
        <f t="shared" si="7"/>
        <v>2018.11</v>
      </c>
      <c r="B320" s="643">
        <v>140.59240732533181</v>
      </c>
      <c r="C320" s="2839">
        <v>141.70776893463579</v>
      </c>
      <c r="D320" s="2839">
        <v>142.80809336146456</v>
      </c>
      <c r="E320" s="203">
        <f t="shared" si="6"/>
        <v>159.76470977302233</v>
      </c>
      <c r="F320" s="1668">
        <v>162.60694245818701</v>
      </c>
      <c r="G320" s="254">
        <v>137.63828682378113</v>
      </c>
      <c r="H320" s="428"/>
      <c r="I320" s="429"/>
      <c r="J320" s="1796"/>
    </row>
    <row r="321" spans="1:10" ht="14.25">
      <c r="A321" s="63">
        <f t="shared" si="7"/>
        <v>2018.12</v>
      </c>
      <c r="B321" s="643">
        <v>136.25161596906835</v>
      </c>
      <c r="C321" s="2839">
        <v>141.84652249303571</v>
      </c>
      <c r="D321" s="2839">
        <v>142.670734351188</v>
      </c>
      <c r="E321" s="203">
        <f t="shared" si="6"/>
        <v>159.61104115456388</v>
      </c>
      <c r="F321" s="1668">
        <v>155.80000000000001</v>
      </c>
      <c r="G321" s="254">
        <v>137.38846832851669</v>
      </c>
      <c r="H321" s="482"/>
      <c r="I321" s="429"/>
      <c r="J321" s="428"/>
    </row>
    <row r="322" spans="1:10">
      <c r="A322" s="63">
        <f t="shared" si="7"/>
        <v>2019.01</v>
      </c>
      <c r="B322" s="643">
        <v>134.53623985673448</v>
      </c>
      <c r="C322" s="2839">
        <v>141.95537954198647</v>
      </c>
      <c r="D322" s="2839">
        <v>142.65290039979257</v>
      </c>
      <c r="E322" s="203">
        <f t="shared" si="6"/>
        <v>159.59108965180425</v>
      </c>
      <c r="F322" s="1668">
        <v>158.5</v>
      </c>
      <c r="G322" s="254">
        <v>137.88890196462478</v>
      </c>
      <c r="H322" s="1833"/>
      <c r="I322" s="1833"/>
      <c r="J322" s="1796"/>
    </row>
    <row r="323" spans="1:10">
      <c r="A323" s="63">
        <f t="shared" si="7"/>
        <v>2019.02</v>
      </c>
      <c r="B323" s="643">
        <v>132.26788861275278</v>
      </c>
      <c r="C323" s="2839">
        <v>143.94662024430181</v>
      </c>
      <c r="D323" s="2839">
        <v>142.71615294016274</v>
      </c>
      <c r="E323" s="203">
        <f t="shared" si="6"/>
        <v>159.66185261430013</v>
      </c>
      <c r="F323" s="1668">
        <v>150.4</v>
      </c>
      <c r="G323" s="254">
        <v>138.3435492297518</v>
      </c>
      <c r="H323" s="1796"/>
      <c r="I323" s="1796"/>
      <c r="J323" s="1796"/>
    </row>
    <row r="324" spans="1:10">
      <c r="A324" s="63">
        <f t="shared" si="7"/>
        <v>2019.03</v>
      </c>
      <c r="B324" s="643">
        <v>144.96325495569354</v>
      </c>
      <c r="C324" s="2839">
        <v>142.24935689397734</v>
      </c>
      <c r="D324" s="2839">
        <v>142.81908375353945</v>
      </c>
      <c r="E324" s="203">
        <f>D324*$E$9</f>
        <v>159.77700513219145</v>
      </c>
      <c r="F324" s="1668">
        <v>162.1</v>
      </c>
      <c r="G324" s="254">
        <v>138.17508895154683</v>
      </c>
      <c r="H324" s="1796"/>
      <c r="I324" s="1796"/>
      <c r="J324" s="1796"/>
    </row>
    <row r="325" spans="1:10">
      <c r="A325" s="63">
        <f t="shared" si="7"/>
        <v>2019.04</v>
      </c>
      <c r="B325" s="643">
        <v>149.91622140334613</v>
      </c>
      <c r="C325" s="2839">
        <v>142.43440604497349</v>
      </c>
      <c r="D325" s="2839">
        <v>142.91409311486535</v>
      </c>
      <c r="E325" s="203">
        <f t="shared" si="6"/>
        <v>159.88329562792362</v>
      </c>
      <c r="F325" s="1668">
        <v>171.2</v>
      </c>
      <c r="G325" s="254">
        <v>138.39258633225111</v>
      </c>
      <c r="H325" s="1796"/>
      <c r="I325" s="1796"/>
      <c r="J325" s="1796"/>
    </row>
    <row r="326" spans="1:10">
      <c r="A326" s="63">
        <f t="shared" si="7"/>
        <v>2019.05</v>
      </c>
      <c r="B326" s="643">
        <v>164.13569907584579</v>
      </c>
      <c r="C326" s="2839">
        <v>144.59953692971428</v>
      </c>
      <c r="D326" s="2839">
        <v>142.95929735173229</v>
      </c>
      <c r="E326" s="203">
        <f t="shared" si="6"/>
        <v>159.9338672840081</v>
      </c>
      <c r="F326" s="1668">
        <v>178.4</v>
      </c>
      <c r="G326" s="254">
        <v>138.91192483912033</v>
      </c>
      <c r="H326" s="1796"/>
      <c r="I326" s="1796"/>
      <c r="J326" s="1796"/>
    </row>
    <row r="327" spans="1:10">
      <c r="A327" s="63">
        <f t="shared" si="7"/>
        <v>2019.06</v>
      </c>
      <c r="B327" s="643">
        <v>150.85897174138171</v>
      </c>
      <c r="C327" s="2839">
        <v>143.85481854027893</v>
      </c>
      <c r="D327" s="2839">
        <v>142.91960918518561</v>
      </c>
      <c r="E327" s="203">
        <f t="shared" si="6"/>
        <v>159.88946666034244</v>
      </c>
      <c r="F327" s="1057">
        <v>173.2</v>
      </c>
      <c r="G327" s="254">
        <v>138.91753855195648</v>
      </c>
      <c r="H327" s="1796"/>
      <c r="I327" s="1796"/>
      <c r="J327" s="1796"/>
    </row>
    <row r="328" spans="1:10">
      <c r="A328" s="63">
        <f t="shared" si="7"/>
        <v>2019.07</v>
      </c>
      <c r="B328" s="643">
        <v>146.77702964086885</v>
      </c>
      <c r="C328" s="2839">
        <v>145.56470930276694</v>
      </c>
      <c r="D328" s="2839">
        <v>142.76739277243874</v>
      </c>
      <c r="E328" s="203">
        <f t="shared" si="6"/>
        <v>159.71917651478574</v>
      </c>
      <c r="F328" s="1834">
        <v>170.6</v>
      </c>
      <c r="G328" s="254">
        <v>138.62215901146186</v>
      </c>
      <c r="H328" s="1796"/>
      <c r="I328" s="1796"/>
      <c r="J328" s="1796"/>
    </row>
    <row r="329" spans="1:10">
      <c r="A329" s="63">
        <f t="shared" si="7"/>
        <v>2019.08</v>
      </c>
      <c r="B329" s="643">
        <v>141.27693468117681</v>
      </c>
      <c r="C329" s="2839">
        <v>144.67045954190814</v>
      </c>
      <c r="D329" s="2839">
        <v>142.48771319626712</v>
      </c>
      <c r="E329" s="203">
        <f t="shared" si="6"/>
        <v>159.40628860160984</v>
      </c>
      <c r="F329" s="1834">
        <v>168.8</v>
      </c>
      <c r="G329" s="254">
        <v>137.88365467291445</v>
      </c>
      <c r="H329" s="1796"/>
      <c r="I329" s="1796"/>
      <c r="J329" s="1796"/>
    </row>
    <row r="330" spans="1:10">
      <c r="A330" s="63">
        <f t="shared" si="7"/>
        <v>2019.09</v>
      </c>
      <c r="B330" s="643">
        <v>134.87706647880086</v>
      </c>
      <c r="C330" s="2839">
        <v>140.48340767751273</v>
      </c>
      <c r="D330" s="2839">
        <v>142.07832214415475</v>
      </c>
      <c r="E330" s="203">
        <f t="shared" ref="E330:E374" si="8">D330*$E$9</f>
        <v>158.94828765022922</v>
      </c>
      <c r="F330" s="1834">
        <v>163.5</v>
      </c>
      <c r="G330" s="254">
        <v>136.62441550626619</v>
      </c>
      <c r="H330" s="1796"/>
      <c r="I330" s="1796"/>
      <c r="J330" s="1796"/>
    </row>
    <row r="331" spans="1:10">
      <c r="A331" s="63">
        <f t="shared" si="7"/>
        <v>2019.1</v>
      </c>
      <c r="B331" s="643">
        <v>141.6393366133959</v>
      </c>
      <c r="C331" s="2839">
        <v>143.92143815695755</v>
      </c>
      <c r="D331" s="2839">
        <v>141.5485896443966</v>
      </c>
      <c r="E331" s="203">
        <f t="shared" si="8"/>
        <v>158.3556562587647</v>
      </c>
      <c r="F331" s="1834">
        <v>165</v>
      </c>
      <c r="G331" s="254">
        <v>135.42370329060103</v>
      </c>
      <c r="H331" s="1796"/>
      <c r="I331" s="1796"/>
      <c r="J331" s="1796"/>
    </row>
    <row r="332" spans="1:10">
      <c r="A332" s="63">
        <f t="shared" si="7"/>
        <v>2019.11</v>
      </c>
      <c r="B332" s="643">
        <v>137.77182966780626</v>
      </c>
      <c r="C332" s="2839">
        <v>141.0760235852064</v>
      </c>
      <c r="D332" s="2839">
        <v>140.91762848606029</v>
      </c>
      <c r="E332" s="203">
        <f t="shared" si="8"/>
        <v>157.64977661310274</v>
      </c>
      <c r="F332" s="1834">
        <v>159.30000000000001</v>
      </c>
      <c r="G332" s="254">
        <v>134.18895385709266</v>
      </c>
      <c r="H332" s="1796"/>
      <c r="I332" s="1796"/>
      <c r="J332" s="1796"/>
    </row>
    <row r="333" spans="1:10">
      <c r="A333" s="63">
        <f t="shared" si="7"/>
        <v>2019.12</v>
      </c>
      <c r="B333" s="643">
        <v>135.76515453277739</v>
      </c>
      <c r="C333" s="2839">
        <v>140.02947073345891</v>
      </c>
      <c r="D333" s="2839">
        <v>140.21656431427624</v>
      </c>
      <c r="E333" s="203">
        <f t="shared" si="8"/>
        <v>156.86547012667802</v>
      </c>
      <c r="F333" s="1834">
        <v>151.9</v>
      </c>
      <c r="G333" s="254">
        <v>132.78530592802142</v>
      </c>
      <c r="H333" s="1796"/>
      <c r="I333" s="1796"/>
      <c r="J333" s="1796"/>
    </row>
    <row r="334" spans="1:10">
      <c r="A334" s="63">
        <f t="shared" si="7"/>
        <v>2020.01</v>
      </c>
      <c r="B334" s="643">
        <v>133.89108610595727</v>
      </c>
      <c r="C334" s="2839">
        <v>140.708516607907</v>
      </c>
      <c r="D334" s="2839">
        <v>139.48075453926378</v>
      </c>
      <c r="E334" s="203">
        <f t="shared" si="8"/>
        <v>156.04229244545607</v>
      </c>
      <c r="F334" s="1834">
        <v>152.6</v>
      </c>
      <c r="G334" s="254">
        <v>131.12147205858722</v>
      </c>
      <c r="H334" s="1833"/>
      <c r="I334" s="1796"/>
      <c r="J334" s="1796"/>
    </row>
    <row r="335" spans="1:10">
      <c r="A335" s="63">
        <f t="shared" si="7"/>
        <v>2020.02</v>
      </c>
      <c r="B335" s="643">
        <v>128.97363875350487</v>
      </c>
      <c r="C335" s="2839">
        <v>138.88807227943951</v>
      </c>
      <c r="D335" s="2839">
        <v>138.74820495226894</v>
      </c>
      <c r="E335" s="203">
        <f t="shared" si="8"/>
        <v>155.22276205746644</v>
      </c>
      <c r="F335" s="1834">
        <v>145.1</v>
      </c>
      <c r="G335" s="254">
        <v>129.11957756145128</v>
      </c>
      <c r="H335" s="1833"/>
      <c r="I335" s="1833"/>
      <c r="J335" s="1796"/>
    </row>
    <row r="336" spans="1:10">
      <c r="A336" s="63">
        <f t="shared" si="7"/>
        <v>2020.03</v>
      </c>
      <c r="B336" s="643">
        <v>128.2110607169644</v>
      </c>
      <c r="C336" s="2839">
        <v>125.4831696135107</v>
      </c>
      <c r="D336" s="2839">
        <v>138.05662137636972</v>
      </c>
      <c r="E336" s="203">
        <f t="shared" si="8"/>
        <v>154.4490618652255</v>
      </c>
      <c r="F336" s="1834">
        <v>146.5</v>
      </c>
      <c r="G336" s="254">
        <v>127.29362051901879</v>
      </c>
      <c r="H336" s="1833"/>
      <c r="I336" s="1833"/>
      <c r="J336" s="1796"/>
    </row>
    <row r="337" spans="1:9">
      <c r="A337" s="63">
        <f t="shared" si="7"/>
        <v>2020.04</v>
      </c>
      <c r="B337" s="643">
        <v>113.29503437158964</v>
      </c>
      <c r="C337" s="2839">
        <v>106.10837051376264</v>
      </c>
      <c r="D337" s="2839">
        <v>137.44057776454198</v>
      </c>
      <c r="E337" s="203">
        <f t="shared" si="8"/>
        <v>153.75987103202766</v>
      </c>
      <c r="F337" s="1668">
        <v>133</v>
      </c>
      <c r="G337" s="254">
        <v>126.1051981030465</v>
      </c>
      <c r="H337" s="1833"/>
      <c r="I337" s="1833"/>
    </row>
    <row r="338" spans="1:9">
      <c r="A338" s="63">
        <f t="shared" si="7"/>
        <v>2020.05</v>
      </c>
      <c r="B338" s="643">
        <v>131.02956916606604</v>
      </c>
      <c r="C338" s="2839">
        <v>117.6351361629366</v>
      </c>
      <c r="D338" s="2839">
        <v>136.93001450683201</v>
      </c>
      <c r="E338" s="203">
        <f t="shared" si="8"/>
        <v>153.18868498249236</v>
      </c>
      <c r="F338" s="1668">
        <v>145.5</v>
      </c>
      <c r="G338" s="254">
        <v>125.86823329856232</v>
      </c>
      <c r="H338" s="1796"/>
      <c r="I338" s="1796"/>
    </row>
    <row r="339" spans="1:9">
      <c r="A339" s="63">
        <f t="shared" si="7"/>
        <v>2020.06</v>
      </c>
      <c r="B339" s="643">
        <v>132.52196537198196</v>
      </c>
      <c r="C339" s="2839">
        <v>124.84621580326748</v>
      </c>
      <c r="D339" s="2839">
        <v>136.54672658487823</v>
      </c>
      <c r="E339" s="203">
        <f t="shared" si="8"/>
        <v>152.75988657079833</v>
      </c>
      <c r="F339" s="1668">
        <v>154.30000000000001</v>
      </c>
      <c r="G339" s="254">
        <v>126.74410427124363</v>
      </c>
      <c r="H339" s="1796"/>
      <c r="I339" s="1796"/>
    </row>
    <row r="340" spans="1:9">
      <c r="A340" s="63">
        <f t="shared" si="7"/>
        <v>2020.07</v>
      </c>
      <c r="B340" s="643">
        <v>127.46368980591409</v>
      </c>
      <c r="C340" s="2839">
        <v>126.19018005220479</v>
      </c>
      <c r="D340" s="2839">
        <v>136.30391198440032</v>
      </c>
      <c r="E340" s="203">
        <f t="shared" si="8"/>
        <v>152.48824087298891</v>
      </c>
      <c r="F340" s="1668">
        <v>151.1</v>
      </c>
      <c r="G340" s="254">
        <v>128.34845279403373</v>
      </c>
      <c r="H340" s="1796"/>
      <c r="I340" s="1796"/>
    </row>
    <row r="341" spans="1:9">
      <c r="A341" s="63">
        <f t="shared" si="7"/>
        <v>2020.08</v>
      </c>
      <c r="B341" s="643">
        <v>125.1838939015328</v>
      </c>
      <c r="C341" s="2839">
        <v>129.01078631226329</v>
      </c>
      <c r="D341" s="2839">
        <v>136.21002070215269</v>
      </c>
      <c r="E341" s="203">
        <f t="shared" si="8"/>
        <v>152.3832012137832</v>
      </c>
      <c r="F341" s="1668">
        <v>152.6</v>
      </c>
      <c r="G341" s="254">
        <v>130.22854489366853</v>
      </c>
      <c r="H341" s="1796"/>
      <c r="I341" s="1796"/>
    </row>
    <row r="342" spans="1:9">
      <c r="A342" s="63">
        <f t="shared" si="7"/>
        <v>2020.09</v>
      </c>
      <c r="B342" s="643">
        <v>127.17507561554575</v>
      </c>
      <c r="C342" s="2839">
        <v>130.82176422463272</v>
      </c>
      <c r="D342" s="2839">
        <v>136.26415591891458</v>
      </c>
      <c r="E342" s="203">
        <f t="shared" si="8"/>
        <v>152.44376428826226</v>
      </c>
      <c r="F342" s="1668">
        <v>154.9</v>
      </c>
      <c r="G342" s="254">
        <v>131.89045197976509</v>
      </c>
      <c r="H342" s="1796"/>
      <c r="I342" s="1796"/>
    </row>
    <row r="343" spans="1:9">
      <c r="A343" s="63">
        <f t="shared" si="7"/>
        <v>2020.1</v>
      </c>
      <c r="B343" s="643">
        <v>131.34550037216792</v>
      </c>
      <c r="C343" s="2839">
        <v>133.64961718508465</v>
      </c>
      <c r="D343" s="2839">
        <v>136.46069163011046</v>
      </c>
      <c r="E343" s="203">
        <f t="shared" si="8"/>
        <v>152.66363607647924</v>
      </c>
      <c r="F343" s="1668">
        <v>157.6</v>
      </c>
      <c r="G343" s="254">
        <v>133.31380425335189</v>
      </c>
      <c r="H343" s="1796"/>
      <c r="I343" s="1796"/>
    </row>
    <row r="344" spans="1:9">
      <c r="A344" s="63">
        <f t="shared" si="7"/>
        <v>2020.11</v>
      </c>
      <c r="B344" s="643">
        <v>132.06865461126827</v>
      </c>
      <c r="C344" s="2839">
        <v>134.91069212320164</v>
      </c>
      <c r="D344" s="2839">
        <v>136.78712885216353</v>
      </c>
      <c r="E344" s="203">
        <f t="shared" si="8"/>
        <v>153.02883350200901</v>
      </c>
      <c r="F344" s="1668">
        <v>161.1</v>
      </c>
      <c r="G344" s="254">
        <v>134.49911324674665</v>
      </c>
      <c r="H344" s="1796"/>
      <c r="I344" s="1796"/>
    </row>
    <row r="345" spans="1:9">
      <c r="A345" s="63">
        <f t="shared" si="7"/>
        <v>2020.12</v>
      </c>
      <c r="B345" s="643">
        <v>133.85436775869388</v>
      </c>
      <c r="C345" s="2839">
        <v>136.76101561210126</v>
      </c>
      <c r="D345" s="2839">
        <v>137.22775696321696</v>
      </c>
      <c r="E345" s="203">
        <f t="shared" si="8"/>
        <v>153.52178050958582</v>
      </c>
      <c r="F345" s="1668">
        <v>151.9</v>
      </c>
      <c r="G345" s="254">
        <v>135.19225626926317</v>
      </c>
      <c r="H345" s="1796"/>
      <c r="I345" s="1796"/>
    </row>
    <row r="346" spans="1:9">
      <c r="A346" s="63">
        <f t="shared" si="7"/>
        <v>2021.01</v>
      </c>
      <c r="B346" s="643">
        <v>131.52154429240738</v>
      </c>
      <c r="C346" s="2839">
        <v>139.73714485031496</v>
      </c>
      <c r="D346" s="2839">
        <v>137.76236719078759</v>
      </c>
      <c r="E346" s="203">
        <f t="shared" si="8"/>
        <v>154.11986879603415</v>
      </c>
      <c r="F346" s="1668">
        <v>155.4</v>
      </c>
      <c r="G346" s="254">
        <v>135.80421393782112</v>
      </c>
      <c r="H346" s="1796"/>
      <c r="I346" s="1796"/>
    </row>
    <row r="347" spans="1:9">
      <c r="A347" s="63">
        <f t="shared" si="7"/>
        <v>2021.02</v>
      </c>
      <c r="B347" s="643">
        <v>126.23926987488629</v>
      </c>
      <c r="C347" s="2839">
        <v>137.25834533933255</v>
      </c>
      <c r="D347" s="2839">
        <v>138.37463651794607</v>
      </c>
      <c r="E347" s="203">
        <f t="shared" si="8"/>
        <v>154.8048371970113</v>
      </c>
      <c r="F347" s="1668">
        <v>146.30000000000001</v>
      </c>
      <c r="G347" s="254">
        <v>136.81031816779884</v>
      </c>
      <c r="H347" s="1796"/>
      <c r="I347" s="1796"/>
    </row>
    <row r="348" spans="1:9">
      <c r="A348" s="63">
        <f t="shared" si="7"/>
        <v>2021.03</v>
      </c>
      <c r="B348" s="643">
        <v>145.95689030203587</v>
      </c>
      <c r="C348" s="2839">
        <v>140.61115548819942</v>
      </c>
      <c r="D348" s="2839">
        <v>139.05080353670351</v>
      </c>
      <c r="E348" s="203">
        <f t="shared" si="8"/>
        <v>155.56129031508803</v>
      </c>
      <c r="F348" s="1668">
        <v>164</v>
      </c>
      <c r="G348" s="254">
        <v>137.95499869918217</v>
      </c>
      <c r="H348" s="1796"/>
      <c r="I348" s="1796"/>
    </row>
    <row r="349" spans="1:9">
      <c r="A349" s="63">
        <f t="shared" si="7"/>
        <v>2021.04</v>
      </c>
      <c r="B349" s="643">
        <v>147.28081278944776</v>
      </c>
      <c r="C349" s="2839">
        <v>139.63371831581736</v>
      </c>
      <c r="D349" s="2839">
        <v>139.78188501079703</v>
      </c>
      <c r="E349" s="203">
        <f t="shared" si="8"/>
        <v>156.37917827073315</v>
      </c>
      <c r="F349" s="1668">
        <v>167.1</v>
      </c>
      <c r="G349" s="254">
        <v>138.23429521419399</v>
      </c>
      <c r="H349" s="1796"/>
      <c r="I349" s="1796"/>
    </row>
    <row r="350" spans="1:9">
      <c r="A350" s="63">
        <f t="shared" si="7"/>
        <v>2021.05</v>
      </c>
      <c r="B350" s="643">
        <v>151.16930917449497</v>
      </c>
      <c r="C350" s="2839">
        <v>139.10436667990237</v>
      </c>
      <c r="D350" s="2839">
        <v>140.56220801379479</v>
      </c>
      <c r="E350" s="203">
        <f t="shared" si="8"/>
        <v>157.25215455077912</v>
      </c>
      <c r="F350" s="1668">
        <v>164.6</v>
      </c>
      <c r="G350" s="254">
        <v>138.27376189612914</v>
      </c>
      <c r="H350" s="1796"/>
      <c r="I350" s="1796"/>
    </row>
    <row r="351" spans="1:9">
      <c r="A351" s="63">
        <f t="shared" si="7"/>
        <v>2021.06</v>
      </c>
      <c r="B351" s="643">
        <v>148.97966150197678</v>
      </c>
      <c r="C351" s="2839">
        <v>141.74208403641254</v>
      </c>
      <c r="D351" s="2839">
        <v>141.38635647565937</v>
      </c>
      <c r="E351" s="203">
        <f t="shared" si="8"/>
        <v>158.17415999683186</v>
      </c>
      <c r="F351" s="1668">
        <v>168.4</v>
      </c>
      <c r="G351" s="254">
        <v>138.48184457185337</v>
      </c>
      <c r="H351" s="347"/>
      <c r="I351" s="1796"/>
    </row>
    <row r="352" spans="1:9">
      <c r="A352" s="63">
        <f t="shared" si="7"/>
        <v>2021.07</v>
      </c>
      <c r="B352" s="643">
        <v>142.42605450449912</v>
      </c>
      <c r="C352" s="2839">
        <v>141.54961083133037</v>
      </c>
      <c r="D352" s="2839">
        <v>142.25320386523987</v>
      </c>
      <c r="E352" s="203">
        <f t="shared" si="8"/>
        <v>159.14393431671786</v>
      </c>
      <c r="F352" s="1668">
        <v>160.80000000000001</v>
      </c>
      <c r="G352" s="254">
        <v>138.6271233349041</v>
      </c>
      <c r="H352" s="1796"/>
      <c r="I352" s="1796"/>
    </row>
    <row r="353" spans="1:8">
      <c r="A353" s="63">
        <f t="shared" si="7"/>
        <v>2021.08</v>
      </c>
      <c r="B353" s="643">
        <v>140.97500035145654</v>
      </c>
      <c r="C353" s="2839">
        <v>143.43630506072699</v>
      </c>
      <c r="D353" s="2839">
        <v>143.16260106460362</v>
      </c>
      <c r="E353" s="203">
        <f t="shared" si="8"/>
        <v>160.16131068667613</v>
      </c>
      <c r="F353" s="1668">
        <v>164.2</v>
      </c>
      <c r="G353" s="254">
        <v>139.32318047265801</v>
      </c>
      <c r="H353" s="1796"/>
    </row>
    <row r="354" spans="1:8">
      <c r="A354" s="63">
        <f t="shared" si="7"/>
        <v>2021.09</v>
      </c>
      <c r="B354" s="643">
        <v>141.29588802246309</v>
      </c>
      <c r="C354" s="2839">
        <v>144.04418120245199</v>
      </c>
      <c r="D354" s="2839">
        <v>144.10655142329409</v>
      </c>
      <c r="E354" s="203">
        <f t="shared" si="8"/>
        <v>161.21734295730246</v>
      </c>
      <c r="F354" s="1668">
        <v>167.3</v>
      </c>
      <c r="G354" s="254">
        <v>140.28075418109432</v>
      </c>
      <c r="H354" s="1796"/>
    </row>
    <row r="355" spans="1:8">
      <c r="A355" s="63">
        <f t="shared" si="7"/>
        <v>2021.1</v>
      </c>
      <c r="B355" s="643">
        <v>139.51411806931912</v>
      </c>
      <c r="C355" s="2839">
        <v>143.53112233942721</v>
      </c>
      <c r="D355" s="2839">
        <v>145.07285777878411</v>
      </c>
      <c r="E355" s="203">
        <f t="shared" si="8"/>
        <v>162.29838571057226</v>
      </c>
      <c r="F355" s="1668">
        <v>167.8</v>
      </c>
      <c r="G355" s="254">
        <v>141.02457780584393</v>
      </c>
      <c r="H355" s="1796"/>
    </row>
    <row r="356" spans="1:8">
      <c r="A356" s="63">
        <f t="shared" si="7"/>
        <v>2021.11</v>
      </c>
      <c r="B356" s="643">
        <v>143.75160757066374</v>
      </c>
      <c r="C356" s="2839">
        <v>145.86834099508232</v>
      </c>
      <c r="D356" s="2839">
        <v>146.04045992239028</v>
      </c>
      <c r="E356" s="203">
        <f t="shared" si="8"/>
        <v>163.38087811005911</v>
      </c>
      <c r="F356" s="1668">
        <v>170.6</v>
      </c>
      <c r="G356" s="254">
        <v>142.14326895000823</v>
      </c>
      <c r="H356" s="1796"/>
    </row>
    <row r="357" spans="1:8">
      <c r="A357" s="63">
        <f t="shared" si="7"/>
        <v>2021.12</v>
      </c>
      <c r="B357" s="643">
        <v>147.23078899671785</v>
      </c>
      <c r="C357" s="2839">
        <v>149.82457024414865</v>
      </c>
      <c r="D357" s="2839">
        <v>146.97974399535278</v>
      </c>
      <c r="E357" s="203">
        <f t="shared" si="8"/>
        <v>164.43169003380243</v>
      </c>
      <c r="F357" s="1668">
        <v>169.2</v>
      </c>
      <c r="G357" s="254">
        <v>143.20124736828595</v>
      </c>
      <c r="H357" s="1796"/>
    </row>
    <row r="358" spans="1:8">
      <c r="A358" s="63">
        <f t="shared" si="7"/>
        <v>2022.01</v>
      </c>
      <c r="B358" s="643">
        <v>139.4639361907787</v>
      </c>
      <c r="C358" s="2839">
        <v>148.19263572863355</v>
      </c>
      <c r="D358" s="2839">
        <v>147.85543819881974</v>
      </c>
      <c r="E358" s="203">
        <f t="shared" si="8"/>
        <v>165.41136161244819</v>
      </c>
      <c r="F358" s="1668">
        <v>159.6</v>
      </c>
      <c r="G358" s="254">
        <v>143.90045754756139</v>
      </c>
      <c r="H358" s="1796"/>
    </row>
    <row r="359" spans="1:8">
      <c r="A359" s="63">
        <f t="shared" si="7"/>
        <v>2022.02</v>
      </c>
      <c r="B359" s="643">
        <v>138.00627023866204</v>
      </c>
      <c r="C359" s="2839">
        <v>149.89959145225262</v>
      </c>
      <c r="D359" s="2839">
        <v>148.63119972887463</v>
      </c>
      <c r="E359" s="203">
        <f t="shared" si="8"/>
        <v>166.27923480356063</v>
      </c>
      <c r="F359" s="1668">
        <v>157.4</v>
      </c>
      <c r="G359" s="254">
        <v>144.80227584200915</v>
      </c>
      <c r="H359" s="1796"/>
    </row>
    <row r="360" spans="1:8">
      <c r="A360" s="63">
        <f t="shared" si="7"/>
        <v>2022.03</v>
      </c>
      <c r="B360" s="643">
        <v>153.92755974546409</v>
      </c>
      <c r="C360" s="2839">
        <v>149.58000407995135</v>
      </c>
      <c r="D360" s="2839">
        <v>149.27261228871052</v>
      </c>
      <c r="E360" s="203">
        <f>D360*$E$9</f>
        <v>166.99680681964779</v>
      </c>
      <c r="F360" s="1668">
        <v>170</v>
      </c>
      <c r="G360" s="254">
        <v>145.88223617130319</v>
      </c>
      <c r="H360" s="1796"/>
    </row>
    <row r="361" spans="1:8">
      <c r="A361" s="63">
        <f t="shared" si="7"/>
        <v>2022.04</v>
      </c>
      <c r="B361" s="643">
        <v>156.07720294260002</v>
      </c>
      <c r="C361" s="2839">
        <v>150.80113939301847</v>
      </c>
      <c r="D361" s="2839">
        <v>149.75402441413095</v>
      </c>
      <c r="E361" s="203">
        <f t="shared" si="8"/>
        <v>167.53538041648403</v>
      </c>
      <c r="F361" s="1668">
        <v>174.9</v>
      </c>
      <c r="G361" s="254">
        <v>146.75025560453707</v>
      </c>
      <c r="H361" s="1796"/>
    </row>
    <row r="362" spans="1:8">
      <c r="A362" s="63">
        <f t="shared" si="7"/>
        <v>2022.05</v>
      </c>
      <c r="B362" s="643">
        <v>163.11692091300196</v>
      </c>
      <c r="C362" s="2839">
        <v>150.93254605552423</v>
      </c>
      <c r="D362" s="2839">
        <v>150.0609935136205</v>
      </c>
      <c r="E362" s="203">
        <f t="shared" si="8"/>
        <v>167.87879813136871</v>
      </c>
      <c r="F362" s="1668">
        <v>177</v>
      </c>
      <c r="G362" s="254">
        <v>146.97455088757292</v>
      </c>
      <c r="H362" s="1796"/>
    </row>
    <row r="363" spans="1:8">
      <c r="A363" s="63">
        <f t="shared" si="7"/>
        <v>2022.06</v>
      </c>
      <c r="B363" s="643">
        <v>159.60238470479987</v>
      </c>
      <c r="C363" s="2839">
        <v>152.48435209856129</v>
      </c>
      <c r="D363" s="2839">
        <v>150.19155519613983</v>
      </c>
      <c r="E363" s="203">
        <f t="shared" si="8"/>
        <v>168.02486232720096</v>
      </c>
      <c r="F363" s="1668">
        <v>179.3</v>
      </c>
      <c r="G363" s="254">
        <v>146.7876131727906</v>
      </c>
      <c r="H363" s="1767"/>
    </row>
    <row r="364" spans="1:8" ht="15.75">
      <c r="A364" s="63">
        <f t="shared" si="7"/>
        <v>2022.07</v>
      </c>
      <c r="B364" s="643">
        <v>151.36803897655946</v>
      </c>
      <c r="C364" s="2839">
        <v>151.42320142123589</v>
      </c>
      <c r="D364" s="2839">
        <v>150.15895032414136</v>
      </c>
      <c r="E364" s="203">
        <f t="shared" si="8"/>
        <v>167.98838604781506</v>
      </c>
      <c r="F364" s="1668">
        <v>171.6</v>
      </c>
      <c r="G364" s="254">
        <v>146.01669742454746</v>
      </c>
      <c r="H364" s="1768"/>
    </row>
    <row r="365" spans="1:8">
      <c r="A365" s="63">
        <f t="shared" si="7"/>
        <v>2022.08</v>
      </c>
      <c r="B365" s="643">
        <v>150.48692305973151</v>
      </c>
      <c r="C365" s="2839">
        <v>150.86399326531745</v>
      </c>
      <c r="D365" s="2839">
        <v>149.98874723449242</v>
      </c>
      <c r="E365" s="203">
        <f t="shared" si="8"/>
        <v>167.79797353981098</v>
      </c>
      <c r="F365" s="1668">
        <v>176.1</v>
      </c>
      <c r="G365" s="254">
        <v>144.56976616649249</v>
      </c>
      <c r="H365" s="1796"/>
    </row>
    <row r="366" spans="1:8">
      <c r="A366" s="63">
        <f t="shared" si="7"/>
        <v>2022.09</v>
      </c>
      <c r="B366" s="643">
        <v>148.30621470214834</v>
      </c>
      <c r="C366" s="2839">
        <v>149.80678518107388</v>
      </c>
      <c r="D366" s="2839">
        <v>149.71631028545568</v>
      </c>
      <c r="E366" s="203">
        <f t="shared" si="8"/>
        <v>167.49318822218802</v>
      </c>
      <c r="F366" s="1668">
        <v>173.9</v>
      </c>
      <c r="G366" s="254">
        <v>143.44976772824035</v>
      </c>
      <c r="H366" s="1796"/>
    </row>
    <row r="367" spans="1:8">
      <c r="A367" s="63">
        <f t="shared" si="7"/>
        <v>2022.1</v>
      </c>
      <c r="B367" s="643">
        <v>144.90675556774823</v>
      </c>
      <c r="C367" s="2839">
        <v>147.90387757083866</v>
      </c>
      <c r="D367" s="2839">
        <v>149.38164357644595</v>
      </c>
      <c r="E367" s="203">
        <f t="shared" si="8"/>
        <v>167.11878416442713</v>
      </c>
      <c r="F367" s="1668">
        <v>170.5</v>
      </c>
      <c r="G367" s="254">
        <v>142.98827514980115</v>
      </c>
      <c r="H367" s="1796"/>
    </row>
    <row r="368" spans="1:8">
      <c r="A368" s="63">
        <f t="shared" si="7"/>
        <v>2022.11</v>
      </c>
      <c r="B368" s="643">
        <v>146.50322964873538</v>
      </c>
      <c r="C368" s="2839">
        <v>147.0521777257245</v>
      </c>
      <c r="D368" s="2839">
        <v>149.02144716413468</v>
      </c>
      <c r="E368" s="203">
        <f t="shared" si="8"/>
        <v>166.7158190808689</v>
      </c>
      <c r="F368" s="1668">
        <v>174.6</v>
      </c>
      <c r="G368" s="254">
        <v>142.96721317914179</v>
      </c>
      <c r="H368" s="1796"/>
    </row>
    <row r="369" spans="1:10">
      <c r="A369" s="63">
        <f t="shared" si="7"/>
        <v>2022.12</v>
      </c>
      <c r="B369" s="643">
        <v>144.49762332678696</v>
      </c>
      <c r="C369" s="2839">
        <v>147.32275597413269</v>
      </c>
      <c r="D369" s="2839">
        <v>148.66672401490649</v>
      </c>
      <c r="E369" s="203">
        <f t="shared" si="8"/>
        <v>166.31897713968584</v>
      </c>
      <c r="F369" s="1668">
        <v>169.1</v>
      </c>
      <c r="G369" s="254">
        <v>143.53391693382812</v>
      </c>
      <c r="H369" s="1796"/>
      <c r="I369" s="1796"/>
      <c r="J369" s="1796"/>
    </row>
    <row r="370" spans="1:10">
      <c r="A370" s="63">
        <f t="shared" si="7"/>
        <v>2023.01</v>
      </c>
      <c r="B370" s="643">
        <v>143.02668225782813</v>
      </c>
      <c r="C370" s="2839">
        <v>149.48744847363761</v>
      </c>
      <c r="D370" s="2839">
        <v>148.33609347030466</v>
      </c>
      <c r="E370" s="203">
        <f t="shared" si="8"/>
        <v>165.94908848872049</v>
      </c>
      <c r="F370" s="1668">
        <v>161.30000000000001</v>
      </c>
      <c r="G370" s="254">
        <v>144.76423447697661</v>
      </c>
      <c r="H370" s="1796"/>
      <c r="I370" s="1796"/>
      <c r="J370" s="1796"/>
    </row>
    <row r="371" spans="1:10">
      <c r="A371" s="63">
        <f t="shared" si="7"/>
        <v>2023.02</v>
      </c>
      <c r="B371" s="643">
        <v>137.60337670022898</v>
      </c>
      <c r="C371" s="2839">
        <v>148.83850293111851</v>
      </c>
      <c r="D371" s="2839">
        <v>148.03713706411187</v>
      </c>
      <c r="E371" s="203">
        <f t="shared" si="8"/>
        <v>165.61463487096029</v>
      </c>
      <c r="F371" s="1668">
        <v>156.69999999999999</v>
      </c>
      <c r="G371" s="254">
        <v>145.8561685756286</v>
      </c>
      <c r="H371" s="1796"/>
      <c r="I371" s="1796"/>
      <c r="J371" s="1796"/>
    </row>
    <row r="372" spans="1:10">
      <c r="A372" s="63">
        <f t="shared" si="7"/>
        <v>2023.03</v>
      </c>
      <c r="B372" s="643">
        <v>155.36190976519543</v>
      </c>
      <c r="C372" s="2839">
        <v>150.46362523755315</v>
      </c>
      <c r="D372" s="2839">
        <v>147.76297618111801</v>
      </c>
      <c r="E372" s="203">
        <f>D372*$E$9</f>
        <v>165.30792092449113</v>
      </c>
      <c r="F372" s="1668">
        <v>170.9</v>
      </c>
      <c r="G372" s="254">
        <v>146.65617685746471</v>
      </c>
      <c r="H372" s="1796"/>
      <c r="I372" s="1796"/>
      <c r="J372" s="1796"/>
    </row>
    <row r="373" spans="1:10">
      <c r="A373" s="63">
        <f t="shared" si="7"/>
        <v>2023.04</v>
      </c>
      <c r="B373" s="643">
        <v>149.1393767127025</v>
      </c>
      <c r="C373" s="2839">
        <v>147.03962969184821</v>
      </c>
      <c r="D373" s="2839">
        <v>147.49322389679426</v>
      </c>
      <c r="E373" s="203">
        <f t="shared" si="8"/>
        <v>165.00613904083761</v>
      </c>
      <c r="F373" s="1668">
        <v>168.3</v>
      </c>
      <c r="G373" s="254">
        <v>146.56472880137193</v>
      </c>
      <c r="H373" s="1796"/>
      <c r="I373" s="1796"/>
      <c r="J373" s="1796"/>
    </row>
    <row r="374" spans="1:10">
      <c r="A374" s="63">
        <f t="shared" si="7"/>
        <v>2023.05</v>
      </c>
      <c r="B374" s="643">
        <v>152.72490564364648</v>
      </c>
      <c r="C374" s="2839">
        <v>144.80979789183507</v>
      </c>
      <c r="D374" s="2839">
        <v>147.19980852604257</v>
      </c>
      <c r="E374" s="203">
        <f t="shared" si="8"/>
        <v>164.67788438490268</v>
      </c>
      <c r="F374" s="1668">
        <v>169.7</v>
      </c>
      <c r="G374" s="254">
        <v>145.62139748639586</v>
      </c>
      <c r="H374" s="1796"/>
      <c r="I374" s="1796"/>
      <c r="J374" s="1796"/>
    </row>
    <row r="375" spans="1:10">
      <c r="A375" s="63">
        <f t="shared" si="7"/>
        <v>2023.06</v>
      </c>
      <c r="B375" s="643">
        <v>151.64685146268258</v>
      </c>
      <c r="C375" s="2839">
        <v>145.30397213184233</v>
      </c>
      <c r="D375" s="2839">
        <v>146.85866148651718</v>
      </c>
      <c r="E375" s="203">
        <f>D375*$E$9</f>
        <v>164.29623054108484</v>
      </c>
      <c r="F375" s="1668">
        <v>169.9</v>
      </c>
      <c r="G375" s="254">
        <v>145.26420422524208</v>
      </c>
      <c r="H375" s="1796"/>
      <c r="I375" s="1796"/>
      <c r="J375" s="1796"/>
    </row>
    <row r="376" spans="1:10">
      <c r="A376" s="63">
        <f t="shared" si="7"/>
        <v>2023.07</v>
      </c>
      <c r="B376" s="643">
        <v>148.95214538729405</v>
      </c>
      <c r="C376" s="2839">
        <v>147.33541937008806</v>
      </c>
      <c r="D376" s="2839">
        <v>146.45165066986138</v>
      </c>
      <c r="E376" s="203">
        <f t="shared" ref="E376:E404" si="9">D376*$E$9</f>
        <v>163.84089244737538</v>
      </c>
      <c r="F376" s="1668">
        <v>170.2</v>
      </c>
      <c r="G376" s="254">
        <v>145.42274349159501</v>
      </c>
      <c r="H376" s="1796"/>
      <c r="I376" s="1796"/>
      <c r="J376" s="1796"/>
    </row>
    <row r="377" spans="1:10">
      <c r="A377" s="63">
        <f t="shared" si="7"/>
        <v>2023.08</v>
      </c>
      <c r="B377" s="643">
        <v>150.72816065647555</v>
      </c>
      <c r="C377" s="2839">
        <v>149.11671829889627</v>
      </c>
      <c r="D377" s="2839">
        <v>145.97075078943499</v>
      </c>
      <c r="E377" s="203">
        <f t="shared" si="9"/>
        <v>163.30289191800946</v>
      </c>
      <c r="F377" s="1668">
        <v>175.1</v>
      </c>
      <c r="G377" s="254">
        <v>145.15195928985815</v>
      </c>
      <c r="H377" s="1796"/>
      <c r="I377" s="1796"/>
      <c r="J377" s="1796"/>
    </row>
    <row r="378" spans="1:10">
      <c r="A378" s="63">
        <f t="shared" si="7"/>
        <v>2023.09</v>
      </c>
      <c r="B378" s="643">
        <v>147.54785723218933</v>
      </c>
      <c r="C378" s="2839">
        <v>148.79846088759902</v>
      </c>
      <c r="D378" s="2839">
        <v>145.42359210698555</v>
      </c>
      <c r="E378" s="203">
        <f t="shared" si="9"/>
        <v>162.69076520975588</v>
      </c>
      <c r="F378" s="1668">
        <v>173.3</v>
      </c>
      <c r="G378" s="254">
        <v>144.48584154617035</v>
      </c>
      <c r="H378" s="1796"/>
      <c r="I378" s="1796"/>
      <c r="J378" s="1796"/>
    </row>
    <row r="379" spans="1:10">
      <c r="A379" s="63">
        <f t="shared" si="7"/>
        <v>2023.1</v>
      </c>
      <c r="B379" s="643">
        <v>146.6772501906346</v>
      </c>
      <c r="C379" s="2839">
        <v>147.65708288437668</v>
      </c>
      <c r="D379" s="2839">
        <v>144.83386402356885</v>
      </c>
      <c r="E379" s="203">
        <f t="shared" si="9"/>
        <v>162.03101453404597</v>
      </c>
      <c r="F379" s="1668">
        <v>171</v>
      </c>
      <c r="G379" s="254">
        <v>143.29472662189323</v>
      </c>
      <c r="H379" s="1796"/>
      <c r="I379" s="1796"/>
      <c r="J379" s="1796"/>
    </row>
    <row r="380" spans="1:10">
      <c r="A380" s="63">
        <f t="shared" si="7"/>
        <v>2023.11</v>
      </c>
      <c r="B380" s="643">
        <v>145.52971988837479</v>
      </c>
      <c r="C380" s="2839">
        <v>145.58185164980316</v>
      </c>
      <c r="D380" s="2839">
        <v>144.23807294885407</v>
      </c>
      <c r="E380" s="203">
        <f t="shared" si="9"/>
        <v>161.36448096513797</v>
      </c>
      <c r="F380" s="1668">
        <v>171.3</v>
      </c>
      <c r="G380" s="254">
        <v>141.27266284736476</v>
      </c>
      <c r="H380" s="1796"/>
      <c r="I380" s="1796"/>
      <c r="J380" s="2532"/>
    </row>
    <row r="381" spans="1:10">
      <c r="A381" s="63">
        <f t="shared" si="7"/>
        <v>2023.12</v>
      </c>
      <c r="B381" s="643">
        <v>138.38699712465896</v>
      </c>
      <c r="C381" s="2839">
        <v>142.89272350369151</v>
      </c>
      <c r="D381" s="2839">
        <v>143.68633023291144</v>
      </c>
      <c r="E381" s="203">
        <f t="shared" si="9"/>
        <v>160.74722592862659</v>
      </c>
      <c r="F381" s="1668">
        <v>159.69999999999999</v>
      </c>
      <c r="G381" s="254">
        <v>139.22940842345349</v>
      </c>
      <c r="H381" s="1796"/>
      <c r="I381" s="1796"/>
      <c r="J381" s="1796"/>
    </row>
    <row r="382" spans="1:10">
      <c r="A382" s="63">
        <f t="shared" ref="A382:A445" si="10">A370+1</f>
        <v>2024.01</v>
      </c>
      <c r="B382" s="643">
        <v>137.34856149716308</v>
      </c>
      <c r="C382" s="2839">
        <v>143.24665177211284</v>
      </c>
      <c r="D382" s="2839">
        <v>143.23344847543174</v>
      </c>
      <c r="E382" s="203">
        <f t="shared" si="9"/>
        <v>160.24057031239269</v>
      </c>
      <c r="F382" s="1668">
        <v>152.30000000000001</v>
      </c>
      <c r="G382" s="254">
        <v>137.38156767542361</v>
      </c>
      <c r="H382" s="1796"/>
      <c r="I382" s="1796"/>
      <c r="J382" s="1796"/>
    </row>
    <row r="383" spans="1:10">
      <c r="A383" s="63">
        <f t="shared" si="10"/>
        <v>2024.02</v>
      </c>
      <c r="B383" s="643">
        <v>133.77763461094679</v>
      </c>
      <c r="C383" s="2839">
        <v>142.72178162942211</v>
      </c>
      <c r="D383" s="2839">
        <v>142.93063728668031</v>
      </c>
      <c r="E383" s="203">
        <f t="shared" si="9"/>
        <v>159.90180420643784</v>
      </c>
      <c r="F383" s="1668">
        <v>148.6</v>
      </c>
      <c r="G383" s="254">
        <v>135.84918355612703</v>
      </c>
      <c r="H383" s="1796"/>
      <c r="I383" s="1796"/>
      <c r="J383" s="1796"/>
    </row>
    <row r="384" spans="1:10">
      <c r="A384" s="63">
        <f t="shared" si="10"/>
        <v>2024.03</v>
      </c>
      <c r="B384" s="643">
        <v>142.38757575804948</v>
      </c>
      <c r="C384" s="2839">
        <v>141.63783664452265</v>
      </c>
      <c r="D384" s="2839">
        <v>142.81802518371933</v>
      </c>
      <c r="E384" s="203">
        <f t="shared" si="9"/>
        <v>159.7758208708789</v>
      </c>
      <c r="F384" s="1668">
        <v>151.69999999999999</v>
      </c>
      <c r="G384" s="254">
        <v>135.36905501150949</v>
      </c>
      <c r="H384" s="1796"/>
      <c r="I384" s="1796"/>
      <c r="J384" s="1796"/>
    </row>
    <row r="385" spans="1:9">
      <c r="A385" s="63">
        <f t="shared" si="10"/>
        <v>2024.04</v>
      </c>
      <c r="B385" s="643">
        <v>145.48435090566562</v>
      </c>
      <c r="C385" s="2839">
        <v>139.89994420355353</v>
      </c>
      <c r="D385" s="2839">
        <v>142.91943193454381</v>
      </c>
      <c r="E385" s="203">
        <f>D385*$E$9</f>
        <v>159.88926836347648</v>
      </c>
      <c r="F385" s="1668">
        <v>165.1</v>
      </c>
      <c r="G385" s="254">
        <v>135.92792568079827</v>
      </c>
      <c r="H385" s="1796"/>
      <c r="I385" s="1796"/>
    </row>
    <row r="386" spans="1:9">
      <c r="A386" s="63">
        <f t="shared" si="10"/>
        <v>2024.05</v>
      </c>
      <c r="B386" s="643">
        <v>154.81597166919906</v>
      </c>
      <c r="C386" s="2839">
        <v>141.22740793601295</v>
      </c>
      <c r="D386" s="2839">
        <v>143.23568957999626</v>
      </c>
      <c r="E386" s="203">
        <f>D386*$E$9</f>
        <v>160.24307751917553</v>
      </c>
      <c r="F386" s="1668">
        <v>166.2</v>
      </c>
      <c r="G386" s="2524">
        <v>136.96752127007534</v>
      </c>
      <c r="H386" s="1796"/>
      <c r="I386" s="1796"/>
    </row>
    <row r="387" spans="1:9">
      <c r="A387" s="63">
        <f t="shared" si="10"/>
        <v>2024.06</v>
      </c>
      <c r="B387" s="643">
        <v>145.42503537837646</v>
      </c>
      <c r="C387" s="2839">
        <v>141.59163948607974</v>
      </c>
      <c r="D387" s="2839">
        <v>143.74548663313851</v>
      </c>
      <c r="E387" s="203">
        <f>D387*$E$9</f>
        <v>160.81340638724788</v>
      </c>
      <c r="F387" s="1668">
        <v>163.6</v>
      </c>
      <c r="G387" s="2524">
        <v>137.74209702342608</v>
      </c>
      <c r="H387" s="1796"/>
      <c r="I387" s="1796"/>
    </row>
    <row r="388" spans="1:9">
      <c r="A388" s="63">
        <f t="shared" si="10"/>
        <v>2024.07</v>
      </c>
      <c r="B388" s="643">
        <v>148.30697209649915</v>
      </c>
      <c r="C388" s="2839">
        <v>145.52644798281696</v>
      </c>
      <c r="D388" s="2839">
        <v>144.40857460009047</v>
      </c>
      <c r="E388" s="203">
        <f t="shared" si="9"/>
        <v>161.55522748506144</v>
      </c>
      <c r="F388" s="1668">
        <v>166</v>
      </c>
      <c r="G388" s="2524">
        <v>138.44490016440909</v>
      </c>
      <c r="H388" s="1796"/>
      <c r="I388" s="1833"/>
    </row>
    <row r="389" spans="1:9">
      <c r="A389" s="63">
        <f t="shared" si="10"/>
        <v>2024.08</v>
      </c>
      <c r="B389" s="643">
        <v>146.03004966132451</v>
      </c>
      <c r="C389" s="2839">
        <v>146.9757891886679</v>
      </c>
      <c r="D389" s="2839">
        <v>145.17129823612768</v>
      </c>
      <c r="E389" s="203">
        <f t="shared" si="9"/>
        <v>162.40851470065417</v>
      </c>
      <c r="F389" s="1668">
        <v>166.8</v>
      </c>
      <c r="G389" s="2524">
        <v>139.19723839467275</v>
      </c>
      <c r="H389" s="1796"/>
      <c r="I389" s="3495"/>
    </row>
    <row r="390" spans="1:9">
      <c r="A390" s="63">
        <f t="shared" si="10"/>
        <v>2024.09</v>
      </c>
      <c r="B390" s="643">
        <v>143.84158512347287</v>
      </c>
      <c r="C390" s="2839">
        <v>146.96723797678519</v>
      </c>
      <c r="D390" s="2839">
        <v>145.97711305451602</v>
      </c>
      <c r="E390" s="203">
        <f t="shared" si="9"/>
        <v>163.31000961988647</v>
      </c>
      <c r="F390" s="1668">
        <v>168.2</v>
      </c>
      <c r="G390" s="2524">
        <v>139.56449811092114</v>
      </c>
      <c r="H390" s="1796"/>
      <c r="I390" s="1796"/>
    </row>
    <row r="391" spans="1:9">
      <c r="A391" s="63">
        <f t="shared" si="10"/>
        <v>2024.1</v>
      </c>
      <c r="B391" s="643">
        <v>146.42103027843723</v>
      </c>
      <c r="C391" s="2839">
        <v>147.57858865905723</v>
      </c>
      <c r="D391" s="2839">
        <v>146.77093500132136</v>
      </c>
      <c r="E391" s="203">
        <f t="shared" si="9"/>
        <v>164.19808766894914</v>
      </c>
      <c r="F391" s="1668">
        <v>173.1</v>
      </c>
      <c r="G391" s="2524">
        <v>140.21820754667993</v>
      </c>
      <c r="H391" s="1796"/>
      <c r="I391" s="1796"/>
    </row>
    <row r="392" spans="1:9">
      <c r="A392" s="63">
        <f t="shared" si="10"/>
        <v>2024.11</v>
      </c>
      <c r="B392" s="643">
        <v>146.45550881278129</v>
      </c>
      <c r="C392" s="2839">
        <v>148.88806826851788</v>
      </c>
      <c r="D392" s="2839">
        <v>147.50726239848552</v>
      </c>
      <c r="E392" s="203">
        <f t="shared" si="9"/>
        <v>165.02184443326712</v>
      </c>
      <c r="F392" s="1668">
        <v>171.8</v>
      </c>
      <c r="G392" s="2524">
        <v>141.57447733283689</v>
      </c>
      <c r="H392" s="1796"/>
      <c r="I392" s="1796"/>
    </row>
    <row r="393" spans="1:9">
      <c r="A393" s="63">
        <f t="shared" si="10"/>
        <v>2024.12</v>
      </c>
      <c r="B393" s="643">
        <v>146.64877812782146</v>
      </c>
      <c r="C393" s="2839">
        <v>150.68166185037302</v>
      </c>
      <c r="D393" s="2839">
        <v>148.15372405955227</v>
      </c>
      <c r="E393" s="203">
        <f t="shared" si="9"/>
        <v>165.74506506613628</v>
      </c>
      <c r="F393" s="1668">
        <v>166</v>
      </c>
      <c r="G393" s="2524">
        <v>143.08569047469277</v>
      </c>
      <c r="H393" s="1796"/>
      <c r="I393" s="1796"/>
    </row>
    <row r="394" spans="1:9">
      <c r="A394" s="63">
        <f t="shared" si="10"/>
        <v>2025.01</v>
      </c>
      <c r="B394" s="643">
        <v>146.49755068846409</v>
      </c>
      <c r="C394" s="2839">
        <v>151.46935646754545</v>
      </c>
      <c r="D394" s="2839">
        <v>148.69701226927211</v>
      </c>
      <c r="E394" s="203">
        <f t="shared" si="9"/>
        <v>166.35286173301913</v>
      </c>
      <c r="F394" s="1421">
        <v>162.5</v>
      </c>
      <c r="G394" s="2524">
        <v>144.31354830222321</v>
      </c>
      <c r="H394" s="1796"/>
      <c r="I394" s="1796"/>
    </row>
    <row r="395" spans="1:9">
      <c r="A395" s="63">
        <f t="shared" si="10"/>
        <v>2025.02</v>
      </c>
      <c r="B395" s="643">
        <v>141.7572770975753</v>
      </c>
      <c r="C395" s="2839">
        <v>152.59215020587951</v>
      </c>
      <c r="D395" s="2839">
        <v>149.13781037892969</v>
      </c>
      <c r="E395" s="203">
        <f t="shared" si="9"/>
        <v>166.84599892433843</v>
      </c>
      <c r="F395" s="1421">
        <v>159.69999999999999</v>
      </c>
      <c r="G395" s="2524">
        <v>144.97097745272742</v>
      </c>
      <c r="H395" s="1796"/>
      <c r="I395" s="1796"/>
    </row>
    <row r="396" spans="1:9">
      <c r="A396" s="63">
        <f t="shared" si="10"/>
        <v>2025.03</v>
      </c>
      <c r="B396" s="643">
        <v>150.3952435101514</v>
      </c>
      <c r="C396" s="2839">
        <v>149.89801165594932</v>
      </c>
      <c r="D396" s="2839">
        <v>149.48289631625659</v>
      </c>
      <c r="E396" s="203">
        <f t="shared" si="9"/>
        <v>167.23205935919233</v>
      </c>
      <c r="F396" s="1421">
        <v>163</v>
      </c>
      <c r="G396" s="2524">
        <v>144.87240146360708</v>
      </c>
      <c r="H396" s="1796"/>
      <c r="I396" s="1796"/>
    </row>
    <row r="397" spans="1:9">
      <c r="A397" s="63">
        <f t="shared" si="10"/>
        <v>2025.04</v>
      </c>
      <c r="B397" s="643" t="e">
        <v>#N/A</v>
      </c>
      <c r="C397" s="2839" t="e">
        <v>#N/A</v>
      </c>
      <c r="D397" s="2839" t="e">
        <v>#N/A</v>
      </c>
      <c r="E397" s="203" t="e">
        <f t="shared" si="9"/>
        <v>#N/A</v>
      </c>
      <c r="F397" s="1421">
        <v>174.3</v>
      </c>
      <c r="G397" s="3494">
        <v>145.07256903837899</v>
      </c>
      <c r="H397" s="1796"/>
      <c r="I397" s="1796"/>
    </row>
    <row r="398" spans="1:9">
      <c r="A398" s="63">
        <f t="shared" si="10"/>
        <v>2025.05</v>
      </c>
      <c r="B398" s="643" t="e">
        <v>#N/A</v>
      </c>
      <c r="C398" s="2839" t="e">
        <v>#N/A</v>
      </c>
      <c r="D398" s="2839" t="e">
        <v>#N/A</v>
      </c>
      <c r="E398" s="203" t="e">
        <f t="shared" si="9"/>
        <v>#N/A</v>
      </c>
      <c r="F398" s="1668" t="e">
        <v>#N/A</v>
      </c>
      <c r="G398" s="254" t="e">
        <v>#N/A</v>
      </c>
      <c r="H398" s="1796"/>
      <c r="I398" s="1796"/>
    </row>
    <row r="399" spans="1:9">
      <c r="A399" s="63">
        <f t="shared" si="10"/>
        <v>2025.06</v>
      </c>
      <c r="B399" s="643" t="e">
        <v>#N/A</v>
      </c>
      <c r="C399" s="2839" t="e">
        <v>#N/A</v>
      </c>
      <c r="D399" s="2839" t="e">
        <v>#N/A</v>
      </c>
      <c r="E399" s="203" t="e">
        <f t="shared" si="9"/>
        <v>#N/A</v>
      </c>
      <c r="F399" s="1668" t="e">
        <v>#N/A</v>
      </c>
      <c r="G399" s="254" t="e">
        <v>#N/A</v>
      </c>
      <c r="H399" s="1796"/>
      <c r="I399" s="1796"/>
    </row>
    <row r="400" spans="1:9">
      <c r="A400" s="63">
        <f t="shared" si="10"/>
        <v>2025.07</v>
      </c>
      <c r="B400" s="643" t="e">
        <v>#N/A</v>
      </c>
      <c r="C400" s="2839" t="e">
        <v>#N/A</v>
      </c>
      <c r="D400" s="2839" t="e">
        <v>#N/A</v>
      </c>
      <c r="E400" s="203" t="e">
        <f t="shared" si="9"/>
        <v>#N/A</v>
      </c>
      <c r="F400" s="1668" t="e">
        <v>#N/A</v>
      </c>
      <c r="G400" s="254" t="e">
        <v>#N/A</v>
      </c>
      <c r="H400" s="1796"/>
      <c r="I400" s="1796"/>
    </row>
    <row r="401" spans="1:7">
      <c r="A401" s="63">
        <f t="shared" si="10"/>
        <v>2025.08</v>
      </c>
      <c r="B401" s="643" t="e">
        <v>#N/A</v>
      </c>
      <c r="C401" s="2839" t="e">
        <v>#N/A</v>
      </c>
      <c r="D401" s="2839" t="e">
        <v>#N/A</v>
      </c>
      <c r="E401" s="203" t="e">
        <f t="shared" si="9"/>
        <v>#N/A</v>
      </c>
      <c r="F401" s="1668" t="e">
        <v>#N/A</v>
      </c>
      <c r="G401" s="254" t="e">
        <v>#N/A</v>
      </c>
    </row>
    <row r="402" spans="1:7">
      <c r="A402" s="63">
        <f t="shared" si="10"/>
        <v>2025.09</v>
      </c>
      <c r="B402" s="643" t="e">
        <v>#N/A</v>
      </c>
      <c r="C402" s="2839" t="e">
        <v>#N/A</v>
      </c>
      <c r="D402" s="2839" t="e">
        <v>#N/A</v>
      </c>
      <c r="E402" s="203" t="e">
        <f t="shared" si="9"/>
        <v>#N/A</v>
      </c>
      <c r="F402" s="1668" t="e">
        <v>#N/A</v>
      </c>
      <c r="G402" s="254" t="e">
        <v>#N/A</v>
      </c>
    </row>
    <row r="403" spans="1:7">
      <c r="A403" s="63">
        <f t="shared" si="10"/>
        <v>2025.1</v>
      </c>
      <c r="B403" s="643" t="e">
        <v>#N/A</v>
      </c>
      <c r="C403" s="2839" t="e">
        <v>#N/A</v>
      </c>
      <c r="D403" s="2839" t="e">
        <v>#N/A</v>
      </c>
      <c r="E403" s="203" t="e">
        <f t="shared" si="9"/>
        <v>#N/A</v>
      </c>
      <c r="F403" s="1668" t="e">
        <v>#N/A</v>
      </c>
      <c r="G403" s="254" t="e">
        <v>#N/A</v>
      </c>
    </row>
    <row r="404" spans="1:7">
      <c r="A404" s="63">
        <f t="shared" si="10"/>
        <v>2025.11</v>
      </c>
      <c r="B404" s="643" t="e">
        <v>#N/A</v>
      </c>
      <c r="C404" s="2839" t="e">
        <v>#N/A</v>
      </c>
      <c r="D404" s="2839" t="e">
        <v>#N/A</v>
      </c>
      <c r="E404" s="203" t="e">
        <f t="shared" si="9"/>
        <v>#N/A</v>
      </c>
      <c r="F404" s="1668" t="e">
        <v>#N/A</v>
      </c>
      <c r="G404" s="254" t="e">
        <v>#N/A</v>
      </c>
    </row>
    <row r="405" spans="1:7">
      <c r="A405" s="63">
        <f t="shared" si="10"/>
        <v>2025.12</v>
      </c>
      <c r="B405" s="643" t="e">
        <v>#N/A</v>
      </c>
      <c r="C405" s="2839" t="e">
        <v>#N/A</v>
      </c>
      <c r="D405" s="2839" t="e">
        <v>#N/A</v>
      </c>
      <c r="E405" s="203" t="e">
        <f>D405*$E$9</f>
        <v>#N/A</v>
      </c>
      <c r="F405" s="1668" t="e">
        <v>#N/A</v>
      </c>
      <c r="G405" s="254" t="e">
        <v>#N/A</v>
      </c>
    </row>
    <row r="406" spans="1:7">
      <c r="A406" s="63">
        <f t="shared" si="10"/>
        <v>2026.01</v>
      </c>
      <c r="B406" s="643" t="e">
        <v>#N/A</v>
      </c>
      <c r="C406" s="2839" t="e">
        <v>#N/A</v>
      </c>
      <c r="D406" s="2839" t="e">
        <v>#N/A</v>
      </c>
      <c r="E406" s="203" t="e">
        <f t="shared" ref="E406:E465" si="11">D406*$E$9</f>
        <v>#N/A</v>
      </c>
      <c r="F406" s="1668" t="e">
        <v>#N/A</v>
      </c>
      <c r="G406" s="254" t="e">
        <v>#N/A</v>
      </c>
    </row>
    <row r="407" spans="1:7">
      <c r="A407" s="63">
        <f t="shared" si="10"/>
        <v>2026.02</v>
      </c>
      <c r="B407" s="643" t="e">
        <v>#N/A</v>
      </c>
      <c r="C407" s="2839" t="e">
        <v>#N/A</v>
      </c>
      <c r="D407" s="2839" t="e">
        <v>#N/A</v>
      </c>
      <c r="E407" s="203" t="e">
        <f t="shared" si="11"/>
        <v>#N/A</v>
      </c>
      <c r="F407" s="1668" t="e">
        <v>#N/A</v>
      </c>
      <c r="G407" s="254" t="e">
        <v>#N/A</v>
      </c>
    </row>
    <row r="408" spans="1:7">
      <c r="A408" s="63">
        <f t="shared" si="10"/>
        <v>2026.03</v>
      </c>
      <c r="B408" s="643" t="e">
        <v>#N/A</v>
      </c>
      <c r="C408" s="2839" t="e">
        <v>#N/A</v>
      </c>
      <c r="D408" s="2839" t="e">
        <v>#N/A</v>
      </c>
      <c r="E408" s="203" t="e">
        <f t="shared" si="11"/>
        <v>#N/A</v>
      </c>
      <c r="F408" s="1668" t="e">
        <v>#N/A</v>
      </c>
      <c r="G408" s="254" t="e">
        <v>#N/A</v>
      </c>
    </row>
    <row r="409" spans="1:7">
      <c r="A409" s="63">
        <f t="shared" si="10"/>
        <v>2026.04</v>
      </c>
      <c r="B409" s="643" t="e">
        <v>#N/A</v>
      </c>
      <c r="C409" s="2839" t="e">
        <v>#N/A</v>
      </c>
      <c r="D409" s="2839" t="e">
        <v>#N/A</v>
      </c>
      <c r="E409" s="203" t="e">
        <f t="shared" si="11"/>
        <v>#N/A</v>
      </c>
      <c r="F409" s="1668" t="e">
        <v>#N/A</v>
      </c>
      <c r="G409" s="254" t="e">
        <v>#N/A</v>
      </c>
    </row>
    <row r="410" spans="1:7">
      <c r="A410" s="63">
        <f t="shared" si="10"/>
        <v>2026.05</v>
      </c>
      <c r="B410" s="643" t="e">
        <v>#N/A</v>
      </c>
      <c r="C410" s="2839" t="e">
        <v>#N/A</v>
      </c>
      <c r="D410" s="2839" t="e">
        <v>#N/A</v>
      </c>
      <c r="E410" s="203" t="e">
        <f t="shared" si="11"/>
        <v>#N/A</v>
      </c>
      <c r="F410" s="1668" t="e">
        <v>#N/A</v>
      </c>
      <c r="G410" s="254" t="e">
        <v>#N/A</v>
      </c>
    </row>
    <row r="411" spans="1:7">
      <c r="A411" s="63">
        <f t="shared" si="10"/>
        <v>2026.06</v>
      </c>
      <c r="B411" s="643" t="e">
        <v>#N/A</v>
      </c>
      <c r="C411" s="2839" t="e">
        <v>#N/A</v>
      </c>
      <c r="D411" s="2839" t="e">
        <v>#N/A</v>
      </c>
      <c r="E411" s="203" t="e">
        <f t="shared" si="11"/>
        <v>#N/A</v>
      </c>
      <c r="F411" s="1668" t="e">
        <v>#N/A</v>
      </c>
      <c r="G411" s="254" t="e">
        <v>#N/A</v>
      </c>
    </row>
    <row r="412" spans="1:7">
      <c r="A412" s="63">
        <f t="shared" si="10"/>
        <v>2026.07</v>
      </c>
      <c r="B412" s="643" t="e">
        <v>#N/A</v>
      </c>
      <c r="C412" s="2839" t="e">
        <v>#N/A</v>
      </c>
      <c r="D412" s="2839" t="e">
        <v>#N/A</v>
      </c>
      <c r="E412" s="203" t="e">
        <f t="shared" si="11"/>
        <v>#N/A</v>
      </c>
      <c r="F412" s="1668" t="e">
        <v>#N/A</v>
      </c>
      <c r="G412" s="254" t="e">
        <v>#N/A</v>
      </c>
    </row>
    <row r="413" spans="1:7">
      <c r="A413" s="63">
        <f t="shared" si="10"/>
        <v>2026.08</v>
      </c>
      <c r="B413" s="643" t="e">
        <v>#N/A</v>
      </c>
      <c r="C413" s="2839" t="e">
        <v>#N/A</v>
      </c>
      <c r="D413" s="2839" t="e">
        <v>#N/A</v>
      </c>
      <c r="E413" s="203" t="e">
        <f t="shared" si="11"/>
        <v>#N/A</v>
      </c>
      <c r="F413" s="1668" t="e">
        <v>#N/A</v>
      </c>
      <c r="G413" s="254" t="e">
        <v>#N/A</v>
      </c>
    </row>
    <row r="414" spans="1:7">
      <c r="A414" s="63">
        <f t="shared" si="10"/>
        <v>2026.09</v>
      </c>
      <c r="B414" s="643" t="e">
        <v>#N/A</v>
      </c>
      <c r="C414" s="2839" t="e">
        <v>#N/A</v>
      </c>
      <c r="D414" s="2839" t="e">
        <v>#N/A</v>
      </c>
      <c r="E414" s="203" t="e">
        <f t="shared" si="11"/>
        <v>#N/A</v>
      </c>
      <c r="F414" s="1668" t="e">
        <v>#N/A</v>
      </c>
      <c r="G414" s="254" t="e">
        <v>#N/A</v>
      </c>
    </row>
    <row r="415" spans="1:7">
      <c r="A415" s="63">
        <f t="shared" si="10"/>
        <v>2026.1</v>
      </c>
      <c r="B415" s="643" t="e">
        <v>#N/A</v>
      </c>
      <c r="C415" s="2839" t="e">
        <v>#N/A</v>
      </c>
      <c r="D415" s="2839" t="e">
        <v>#N/A</v>
      </c>
      <c r="E415" s="203" t="e">
        <f t="shared" si="11"/>
        <v>#N/A</v>
      </c>
      <c r="F415" s="1668" t="e">
        <v>#N/A</v>
      </c>
      <c r="G415" s="254" t="e">
        <v>#N/A</v>
      </c>
    </row>
    <row r="416" spans="1:7">
      <c r="A416" s="63">
        <f t="shared" si="10"/>
        <v>2026.11</v>
      </c>
      <c r="B416" s="643" t="e">
        <v>#N/A</v>
      </c>
      <c r="C416" s="2839" t="e">
        <v>#N/A</v>
      </c>
      <c r="D416" s="2839" t="e">
        <v>#N/A</v>
      </c>
      <c r="E416" s="203" t="e">
        <f t="shared" si="11"/>
        <v>#N/A</v>
      </c>
      <c r="F416" s="1668" t="e">
        <v>#N/A</v>
      </c>
      <c r="G416" s="254" t="e">
        <v>#N/A</v>
      </c>
    </row>
    <row r="417" spans="1:7">
      <c r="A417" s="63">
        <f t="shared" si="10"/>
        <v>2026.12</v>
      </c>
      <c r="B417" s="643" t="e">
        <v>#N/A</v>
      </c>
      <c r="C417" s="2839" t="e">
        <v>#N/A</v>
      </c>
      <c r="D417" s="2839" t="e">
        <v>#N/A</v>
      </c>
      <c r="E417" s="203" t="e">
        <f t="shared" si="11"/>
        <v>#N/A</v>
      </c>
      <c r="F417" s="1668" t="e">
        <v>#N/A</v>
      </c>
      <c r="G417" s="254" t="e">
        <v>#N/A</v>
      </c>
    </row>
    <row r="418" spans="1:7">
      <c r="A418" s="63">
        <f t="shared" si="10"/>
        <v>2027.01</v>
      </c>
      <c r="B418" s="643" t="e">
        <v>#N/A</v>
      </c>
      <c r="C418" s="2839" t="e">
        <v>#N/A</v>
      </c>
      <c r="D418" s="2839" t="e">
        <v>#N/A</v>
      </c>
      <c r="E418" s="203" t="e">
        <f t="shared" si="11"/>
        <v>#N/A</v>
      </c>
      <c r="F418" s="1668" t="e">
        <v>#N/A</v>
      </c>
      <c r="G418" s="254" t="e">
        <v>#N/A</v>
      </c>
    </row>
    <row r="419" spans="1:7">
      <c r="A419" s="63">
        <f t="shared" si="10"/>
        <v>2027.02</v>
      </c>
      <c r="B419" s="643" t="e">
        <v>#N/A</v>
      </c>
      <c r="C419" s="2839" t="e">
        <v>#N/A</v>
      </c>
      <c r="D419" s="2839" t="e">
        <v>#N/A</v>
      </c>
      <c r="E419" s="203" t="e">
        <f t="shared" si="11"/>
        <v>#N/A</v>
      </c>
      <c r="F419" s="1668" t="e">
        <v>#N/A</v>
      </c>
      <c r="G419" s="254" t="e">
        <v>#N/A</v>
      </c>
    </row>
    <row r="420" spans="1:7">
      <c r="A420" s="63">
        <f t="shared" si="10"/>
        <v>2027.03</v>
      </c>
      <c r="B420" s="643" t="e">
        <v>#N/A</v>
      </c>
      <c r="C420" s="2839" t="e">
        <v>#N/A</v>
      </c>
      <c r="D420" s="2839" t="e">
        <v>#N/A</v>
      </c>
      <c r="E420" s="203" t="e">
        <f t="shared" si="11"/>
        <v>#N/A</v>
      </c>
      <c r="F420" s="1668" t="e">
        <v>#N/A</v>
      </c>
      <c r="G420" s="254" t="e">
        <v>#N/A</v>
      </c>
    </row>
    <row r="421" spans="1:7">
      <c r="A421" s="63">
        <f t="shared" si="10"/>
        <v>2027.04</v>
      </c>
      <c r="B421" s="643" t="e">
        <v>#N/A</v>
      </c>
      <c r="C421" s="2839" t="e">
        <v>#N/A</v>
      </c>
      <c r="D421" s="2839" t="e">
        <v>#N/A</v>
      </c>
      <c r="E421" s="203" t="e">
        <f t="shared" si="11"/>
        <v>#N/A</v>
      </c>
      <c r="F421" s="1668" t="e">
        <v>#N/A</v>
      </c>
      <c r="G421" s="254" t="e">
        <v>#N/A</v>
      </c>
    </row>
    <row r="422" spans="1:7">
      <c r="A422" s="63">
        <f t="shared" si="10"/>
        <v>2027.05</v>
      </c>
      <c r="B422" s="643" t="e">
        <v>#N/A</v>
      </c>
      <c r="C422" s="2839" t="e">
        <v>#N/A</v>
      </c>
      <c r="D422" s="2839" t="e">
        <v>#N/A</v>
      </c>
      <c r="E422" s="203" t="e">
        <f t="shared" si="11"/>
        <v>#N/A</v>
      </c>
      <c r="F422" s="1668" t="e">
        <v>#N/A</v>
      </c>
      <c r="G422" s="254" t="e">
        <v>#N/A</v>
      </c>
    </row>
    <row r="423" spans="1:7">
      <c r="A423" s="63">
        <f t="shared" si="10"/>
        <v>2027.06</v>
      </c>
      <c r="B423" s="643" t="e">
        <v>#N/A</v>
      </c>
      <c r="C423" s="2839" t="e">
        <v>#N/A</v>
      </c>
      <c r="D423" s="2839" t="e">
        <v>#N/A</v>
      </c>
      <c r="E423" s="203" t="e">
        <f t="shared" si="11"/>
        <v>#N/A</v>
      </c>
      <c r="F423" s="1668" t="e">
        <v>#N/A</v>
      </c>
      <c r="G423" s="254" t="e">
        <v>#N/A</v>
      </c>
    </row>
    <row r="424" spans="1:7">
      <c r="A424" s="63">
        <f t="shared" si="10"/>
        <v>2027.07</v>
      </c>
      <c r="B424" s="643" t="e">
        <v>#N/A</v>
      </c>
      <c r="C424" s="2839" t="e">
        <v>#N/A</v>
      </c>
      <c r="D424" s="2839" t="e">
        <v>#N/A</v>
      </c>
      <c r="E424" s="203" t="e">
        <f t="shared" si="11"/>
        <v>#N/A</v>
      </c>
      <c r="F424" s="1668" t="e">
        <v>#N/A</v>
      </c>
      <c r="G424" s="254" t="e">
        <v>#N/A</v>
      </c>
    </row>
    <row r="425" spans="1:7">
      <c r="A425" s="63">
        <f t="shared" si="10"/>
        <v>2027.08</v>
      </c>
      <c r="B425" s="643" t="e">
        <v>#N/A</v>
      </c>
      <c r="C425" s="2839" t="e">
        <v>#N/A</v>
      </c>
      <c r="D425" s="2839" t="e">
        <v>#N/A</v>
      </c>
      <c r="E425" s="203" t="e">
        <f t="shared" si="11"/>
        <v>#N/A</v>
      </c>
      <c r="F425" s="1668" t="e">
        <v>#N/A</v>
      </c>
      <c r="G425" s="254" t="e">
        <v>#N/A</v>
      </c>
    </row>
    <row r="426" spans="1:7">
      <c r="A426" s="63">
        <f t="shared" si="10"/>
        <v>2027.09</v>
      </c>
      <c r="B426" s="643" t="e">
        <v>#N/A</v>
      </c>
      <c r="C426" s="2839" t="e">
        <v>#N/A</v>
      </c>
      <c r="D426" s="2839" t="e">
        <v>#N/A</v>
      </c>
      <c r="E426" s="203" t="e">
        <f t="shared" si="11"/>
        <v>#N/A</v>
      </c>
      <c r="F426" s="1668" t="e">
        <v>#N/A</v>
      </c>
      <c r="G426" s="254" t="e">
        <v>#N/A</v>
      </c>
    </row>
    <row r="427" spans="1:7">
      <c r="A427" s="63">
        <f t="shared" si="10"/>
        <v>2027.1</v>
      </c>
      <c r="B427" s="643" t="e">
        <v>#N/A</v>
      </c>
      <c r="C427" s="2839" t="e">
        <v>#N/A</v>
      </c>
      <c r="D427" s="2839" t="e">
        <v>#N/A</v>
      </c>
      <c r="E427" s="203" t="e">
        <f t="shared" si="11"/>
        <v>#N/A</v>
      </c>
      <c r="F427" s="1668" t="e">
        <v>#N/A</v>
      </c>
      <c r="G427" s="254" t="e">
        <v>#N/A</v>
      </c>
    </row>
    <row r="428" spans="1:7">
      <c r="A428" s="63">
        <f t="shared" si="10"/>
        <v>2027.11</v>
      </c>
      <c r="B428" s="643" t="e">
        <v>#N/A</v>
      </c>
      <c r="C428" s="2839" t="e">
        <v>#N/A</v>
      </c>
      <c r="D428" s="2839" t="e">
        <v>#N/A</v>
      </c>
      <c r="E428" s="203" t="e">
        <f t="shared" si="11"/>
        <v>#N/A</v>
      </c>
      <c r="F428" s="1668" t="e">
        <v>#N/A</v>
      </c>
      <c r="G428" s="254" t="e">
        <v>#N/A</v>
      </c>
    </row>
    <row r="429" spans="1:7">
      <c r="A429" s="63">
        <f t="shared" si="10"/>
        <v>2027.12</v>
      </c>
      <c r="B429" s="643" t="e">
        <v>#N/A</v>
      </c>
      <c r="C429" s="2839" t="e">
        <v>#N/A</v>
      </c>
      <c r="D429" s="2839" t="e">
        <v>#N/A</v>
      </c>
      <c r="E429" s="203" t="e">
        <f t="shared" si="11"/>
        <v>#N/A</v>
      </c>
      <c r="F429" s="1668" t="e">
        <v>#N/A</v>
      </c>
      <c r="G429" s="254" t="e">
        <v>#N/A</v>
      </c>
    </row>
    <row r="430" spans="1:7">
      <c r="A430" s="63">
        <f t="shared" si="10"/>
        <v>2028.01</v>
      </c>
      <c r="B430" s="643" t="e">
        <v>#N/A</v>
      </c>
      <c r="C430" s="2839" t="e">
        <v>#N/A</v>
      </c>
      <c r="D430" s="2839" t="e">
        <v>#N/A</v>
      </c>
      <c r="E430" s="203" t="e">
        <f t="shared" si="11"/>
        <v>#N/A</v>
      </c>
      <c r="F430" s="1668" t="e">
        <v>#N/A</v>
      </c>
      <c r="G430" s="254" t="e">
        <v>#N/A</v>
      </c>
    </row>
    <row r="431" spans="1:7">
      <c r="A431" s="63">
        <f t="shared" si="10"/>
        <v>2028.02</v>
      </c>
      <c r="B431" s="643" t="e">
        <v>#N/A</v>
      </c>
      <c r="C431" s="2839" t="e">
        <v>#N/A</v>
      </c>
      <c r="D431" s="2839" t="e">
        <v>#N/A</v>
      </c>
      <c r="E431" s="203" t="e">
        <f t="shared" si="11"/>
        <v>#N/A</v>
      </c>
      <c r="F431" s="1668" t="e">
        <v>#N/A</v>
      </c>
      <c r="G431" s="254" t="e">
        <v>#N/A</v>
      </c>
    </row>
    <row r="432" spans="1:7">
      <c r="A432" s="63">
        <f t="shared" si="10"/>
        <v>2028.03</v>
      </c>
      <c r="B432" s="643" t="e">
        <v>#N/A</v>
      </c>
      <c r="C432" s="2839" t="e">
        <v>#N/A</v>
      </c>
      <c r="D432" s="2839" t="e">
        <v>#N/A</v>
      </c>
      <c r="E432" s="203" t="e">
        <f t="shared" si="11"/>
        <v>#N/A</v>
      </c>
      <c r="F432" s="1668" t="e">
        <v>#N/A</v>
      </c>
      <c r="G432" s="254" t="e">
        <v>#N/A</v>
      </c>
    </row>
    <row r="433" spans="1:7">
      <c r="A433" s="63">
        <f t="shared" si="10"/>
        <v>2028.04</v>
      </c>
      <c r="B433" s="643" t="e">
        <v>#N/A</v>
      </c>
      <c r="C433" s="2839" t="e">
        <v>#N/A</v>
      </c>
      <c r="D433" s="2839" t="e">
        <v>#N/A</v>
      </c>
      <c r="E433" s="203" t="e">
        <f>D433*$E$9</f>
        <v>#N/A</v>
      </c>
      <c r="F433" s="1668" t="e">
        <v>#N/A</v>
      </c>
      <c r="G433" s="254" t="e">
        <v>#N/A</v>
      </c>
    </row>
    <row r="434" spans="1:7">
      <c r="A434" s="63">
        <f t="shared" si="10"/>
        <v>2028.05</v>
      </c>
      <c r="B434" s="643" t="e">
        <v>#N/A</v>
      </c>
      <c r="C434" s="2839" t="e">
        <v>#N/A</v>
      </c>
      <c r="D434" s="2839" t="e">
        <v>#N/A</v>
      </c>
      <c r="E434" s="203" t="e">
        <f t="shared" si="11"/>
        <v>#N/A</v>
      </c>
      <c r="F434" s="1668" t="e">
        <v>#N/A</v>
      </c>
      <c r="G434" s="254" t="e">
        <v>#N/A</v>
      </c>
    </row>
    <row r="435" spans="1:7">
      <c r="A435" s="63">
        <f t="shared" si="10"/>
        <v>2028.06</v>
      </c>
      <c r="B435" s="643" t="e">
        <v>#N/A</v>
      </c>
      <c r="C435" s="2839" t="e">
        <v>#N/A</v>
      </c>
      <c r="D435" s="2839" t="e">
        <v>#N/A</v>
      </c>
      <c r="E435" s="203" t="e">
        <f t="shared" si="11"/>
        <v>#N/A</v>
      </c>
      <c r="F435" s="1668" t="e">
        <v>#N/A</v>
      </c>
      <c r="G435" s="254" t="e">
        <v>#N/A</v>
      </c>
    </row>
    <row r="436" spans="1:7">
      <c r="A436" s="63">
        <f t="shared" si="10"/>
        <v>2028.07</v>
      </c>
      <c r="B436" s="643" t="e">
        <v>#N/A</v>
      </c>
      <c r="C436" s="2839" t="e">
        <v>#N/A</v>
      </c>
      <c r="D436" s="2839" t="e">
        <v>#N/A</v>
      </c>
      <c r="E436" s="203" t="e">
        <f t="shared" si="11"/>
        <v>#N/A</v>
      </c>
      <c r="F436" s="1668" t="e">
        <v>#N/A</v>
      </c>
      <c r="G436" s="254" t="e">
        <v>#N/A</v>
      </c>
    </row>
    <row r="437" spans="1:7">
      <c r="A437" s="63">
        <f t="shared" si="10"/>
        <v>2028.08</v>
      </c>
      <c r="B437" s="643" t="e">
        <v>#N/A</v>
      </c>
      <c r="C437" s="2839" t="e">
        <v>#N/A</v>
      </c>
      <c r="D437" s="2839" t="e">
        <v>#N/A</v>
      </c>
      <c r="E437" s="203" t="e">
        <f t="shared" si="11"/>
        <v>#N/A</v>
      </c>
      <c r="F437" s="1668" t="e">
        <v>#N/A</v>
      </c>
      <c r="G437" s="254" t="e">
        <v>#N/A</v>
      </c>
    </row>
    <row r="438" spans="1:7">
      <c r="A438" s="63">
        <f t="shared" si="10"/>
        <v>2028.09</v>
      </c>
      <c r="B438" s="643" t="e">
        <v>#N/A</v>
      </c>
      <c r="C438" s="2839" t="e">
        <v>#N/A</v>
      </c>
      <c r="D438" s="2839" t="e">
        <v>#N/A</v>
      </c>
      <c r="E438" s="203" t="e">
        <f t="shared" si="11"/>
        <v>#N/A</v>
      </c>
      <c r="F438" s="1668" t="e">
        <v>#N/A</v>
      </c>
      <c r="G438" s="254" t="e">
        <v>#N/A</v>
      </c>
    </row>
    <row r="439" spans="1:7">
      <c r="A439" s="63">
        <f t="shared" si="10"/>
        <v>2028.1</v>
      </c>
      <c r="B439" s="643" t="e">
        <v>#N/A</v>
      </c>
      <c r="C439" s="2839" t="e">
        <v>#N/A</v>
      </c>
      <c r="D439" s="2839" t="e">
        <v>#N/A</v>
      </c>
      <c r="E439" s="203" t="e">
        <f t="shared" si="11"/>
        <v>#N/A</v>
      </c>
      <c r="F439" s="1668" t="e">
        <v>#N/A</v>
      </c>
      <c r="G439" s="254" t="e">
        <v>#N/A</v>
      </c>
    </row>
    <row r="440" spans="1:7">
      <c r="A440" s="63">
        <f t="shared" si="10"/>
        <v>2028.11</v>
      </c>
      <c r="B440" s="643" t="e">
        <v>#N/A</v>
      </c>
      <c r="C440" s="2839" t="e">
        <v>#N/A</v>
      </c>
      <c r="D440" s="2839" t="e">
        <v>#N/A</v>
      </c>
      <c r="E440" s="203" t="e">
        <f t="shared" si="11"/>
        <v>#N/A</v>
      </c>
      <c r="F440" s="1668" t="e">
        <v>#N/A</v>
      </c>
      <c r="G440" s="254" t="e">
        <v>#N/A</v>
      </c>
    </row>
    <row r="441" spans="1:7">
      <c r="A441" s="63">
        <f t="shared" si="10"/>
        <v>2028.12</v>
      </c>
      <c r="B441" s="643" t="e">
        <v>#N/A</v>
      </c>
      <c r="C441" s="2839" t="e">
        <v>#N/A</v>
      </c>
      <c r="D441" s="2839" t="e">
        <v>#N/A</v>
      </c>
      <c r="E441" s="203" t="e">
        <f t="shared" si="11"/>
        <v>#N/A</v>
      </c>
      <c r="F441" s="1668" t="e">
        <v>#N/A</v>
      </c>
      <c r="G441" s="254" t="e">
        <v>#N/A</v>
      </c>
    </row>
    <row r="442" spans="1:7">
      <c r="A442" s="63">
        <f t="shared" si="10"/>
        <v>2029.01</v>
      </c>
      <c r="B442" s="643" t="e">
        <v>#N/A</v>
      </c>
      <c r="C442" s="2839" t="e">
        <v>#N/A</v>
      </c>
      <c r="D442" s="2839" t="e">
        <v>#N/A</v>
      </c>
      <c r="E442" s="203" t="e">
        <f t="shared" si="11"/>
        <v>#N/A</v>
      </c>
      <c r="F442" s="1668" t="e">
        <v>#N/A</v>
      </c>
      <c r="G442" s="254" t="e">
        <v>#N/A</v>
      </c>
    </row>
    <row r="443" spans="1:7">
      <c r="A443" s="63">
        <f t="shared" si="10"/>
        <v>2029.02</v>
      </c>
      <c r="B443" s="643" t="e">
        <v>#N/A</v>
      </c>
      <c r="C443" s="2839" t="e">
        <v>#N/A</v>
      </c>
      <c r="D443" s="2839" t="e">
        <v>#N/A</v>
      </c>
      <c r="E443" s="203" t="e">
        <f>D443*$E$9</f>
        <v>#N/A</v>
      </c>
      <c r="F443" s="1668" t="e">
        <v>#N/A</v>
      </c>
      <c r="G443" s="254" t="e">
        <v>#N/A</v>
      </c>
    </row>
    <row r="444" spans="1:7">
      <c r="A444" s="63">
        <f t="shared" si="10"/>
        <v>2029.03</v>
      </c>
      <c r="B444" s="643" t="e">
        <v>#N/A</v>
      </c>
      <c r="C444" s="2839" t="e">
        <v>#N/A</v>
      </c>
      <c r="D444" s="2839" t="e">
        <v>#N/A</v>
      </c>
      <c r="E444" s="203" t="e">
        <f t="shared" si="11"/>
        <v>#N/A</v>
      </c>
      <c r="F444" s="1668" t="e">
        <v>#N/A</v>
      </c>
      <c r="G444" s="254" t="e">
        <v>#N/A</v>
      </c>
    </row>
    <row r="445" spans="1:7">
      <c r="A445" s="63">
        <f t="shared" si="10"/>
        <v>2029.04</v>
      </c>
      <c r="B445" s="643" t="e">
        <v>#N/A</v>
      </c>
      <c r="C445" s="2839" t="e">
        <v>#N/A</v>
      </c>
      <c r="D445" s="2839" t="e">
        <v>#N/A</v>
      </c>
      <c r="E445" s="203" t="e">
        <f t="shared" si="11"/>
        <v>#N/A</v>
      </c>
      <c r="F445" s="1668" t="e">
        <v>#N/A</v>
      </c>
      <c r="G445" s="254" t="e">
        <v>#N/A</v>
      </c>
    </row>
    <row r="446" spans="1:7">
      <c r="A446" s="63">
        <f t="shared" ref="A446:A465" si="12">A434+1</f>
        <v>2029.05</v>
      </c>
      <c r="B446" s="643" t="e">
        <v>#N/A</v>
      </c>
      <c r="C446" s="2839" t="e">
        <v>#N/A</v>
      </c>
      <c r="D446" s="2839" t="e">
        <v>#N/A</v>
      </c>
      <c r="E446" s="203" t="e">
        <f t="shared" si="11"/>
        <v>#N/A</v>
      </c>
      <c r="F446" s="1668" t="e">
        <v>#N/A</v>
      </c>
      <c r="G446" s="254" t="e">
        <v>#N/A</v>
      </c>
    </row>
    <row r="447" spans="1:7">
      <c r="A447" s="63">
        <f t="shared" si="12"/>
        <v>2029.06</v>
      </c>
      <c r="B447" s="643" t="e">
        <v>#N/A</v>
      </c>
      <c r="C447" s="2839" t="e">
        <v>#N/A</v>
      </c>
      <c r="D447" s="2839" t="e">
        <v>#N/A</v>
      </c>
      <c r="E447" s="203" t="e">
        <f t="shared" si="11"/>
        <v>#N/A</v>
      </c>
      <c r="F447" s="1668" t="e">
        <v>#N/A</v>
      </c>
      <c r="G447" s="254" t="e">
        <v>#N/A</v>
      </c>
    </row>
    <row r="448" spans="1:7">
      <c r="A448" s="63">
        <f t="shared" si="12"/>
        <v>2029.07</v>
      </c>
      <c r="B448" s="643" t="e">
        <v>#N/A</v>
      </c>
      <c r="C448" s="2839" t="e">
        <v>#N/A</v>
      </c>
      <c r="D448" s="2839" t="e">
        <v>#N/A</v>
      </c>
      <c r="E448" s="203" t="e">
        <f t="shared" si="11"/>
        <v>#N/A</v>
      </c>
      <c r="F448" s="1668" t="e">
        <v>#N/A</v>
      </c>
      <c r="G448" s="254" t="e">
        <v>#N/A</v>
      </c>
    </row>
    <row r="449" spans="1:7">
      <c r="A449" s="63">
        <f t="shared" si="12"/>
        <v>2029.08</v>
      </c>
      <c r="B449" s="643" t="e">
        <v>#N/A</v>
      </c>
      <c r="C449" s="2839" t="e">
        <v>#N/A</v>
      </c>
      <c r="D449" s="2839" t="e">
        <v>#N/A</v>
      </c>
      <c r="E449" s="203" t="e">
        <f t="shared" si="11"/>
        <v>#N/A</v>
      </c>
      <c r="F449" s="1668" t="e">
        <v>#N/A</v>
      </c>
      <c r="G449" s="254" t="e">
        <v>#N/A</v>
      </c>
    </row>
    <row r="450" spans="1:7">
      <c r="A450" s="63">
        <f t="shared" si="12"/>
        <v>2029.09</v>
      </c>
      <c r="B450" s="643" t="e">
        <v>#N/A</v>
      </c>
      <c r="C450" s="2839" t="e">
        <v>#N/A</v>
      </c>
      <c r="D450" s="2839" t="e">
        <v>#N/A</v>
      </c>
      <c r="E450" s="203" t="e">
        <f t="shared" si="11"/>
        <v>#N/A</v>
      </c>
      <c r="F450" s="1668" t="e">
        <v>#N/A</v>
      </c>
      <c r="G450" s="254" t="e">
        <v>#N/A</v>
      </c>
    </row>
    <row r="451" spans="1:7">
      <c r="A451" s="63">
        <f t="shared" si="12"/>
        <v>2029.1</v>
      </c>
      <c r="B451" s="643" t="e">
        <v>#N/A</v>
      </c>
      <c r="C451" s="2839" t="e">
        <v>#N/A</v>
      </c>
      <c r="D451" s="2839" t="e">
        <v>#N/A</v>
      </c>
      <c r="E451" s="203" t="e">
        <f t="shared" si="11"/>
        <v>#N/A</v>
      </c>
      <c r="F451" s="1668" t="e">
        <v>#N/A</v>
      </c>
      <c r="G451" s="254" t="e">
        <v>#N/A</v>
      </c>
    </row>
    <row r="452" spans="1:7">
      <c r="A452" s="63">
        <f t="shared" si="12"/>
        <v>2029.11</v>
      </c>
      <c r="B452" s="643" t="e">
        <v>#N/A</v>
      </c>
      <c r="C452" s="2839" t="e">
        <v>#N/A</v>
      </c>
      <c r="D452" s="2839" t="e">
        <v>#N/A</v>
      </c>
      <c r="E452" s="203" t="e">
        <f t="shared" si="11"/>
        <v>#N/A</v>
      </c>
      <c r="F452" s="1668" t="e">
        <v>#N/A</v>
      </c>
      <c r="G452" s="254" t="e">
        <v>#N/A</v>
      </c>
    </row>
    <row r="453" spans="1:7">
      <c r="A453" s="63">
        <f t="shared" si="12"/>
        <v>2029.12</v>
      </c>
      <c r="B453" s="643" t="e">
        <v>#N/A</v>
      </c>
      <c r="C453" s="2839" t="e">
        <v>#N/A</v>
      </c>
      <c r="D453" s="2839" t="e">
        <v>#N/A</v>
      </c>
      <c r="E453" s="203" t="e">
        <f t="shared" si="11"/>
        <v>#N/A</v>
      </c>
      <c r="F453" s="1668" t="e">
        <v>#N/A</v>
      </c>
      <c r="G453" s="254" t="e">
        <v>#N/A</v>
      </c>
    </row>
    <row r="454" spans="1:7">
      <c r="A454" s="63">
        <f t="shared" si="12"/>
        <v>2030.01</v>
      </c>
      <c r="B454" s="643" t="e">
        <v>#N/A</v>
      </c>
      <c r="C454" s="2839" t="e">
        <v>#N/A</v>
      </c>
      <c r="D454" s="2839" t="e">
        <v>#N/A</v>
      </c>
      <c r="E454" s="203" t="e">
        <f t="shared" si="11"/>
        <v>#N/A</v>
      </c>
      <c r="F454" s="1668" t="e">
        <v>#N/A</v>
      </c>
      <c r="G454" s="254" t="e">
        <v>#N/A</v>
      </c>
    </row>
    <row r="455" spans="1:7">
      <c r="A455" s="63">
        <f t="shared" si="12"/>
        <v>2030.02</v>
      </c>
      <c r="B455" s="643" t="e">
        <v>#N/A</v>
      </c>
      <c r="C455" s="2839" t="e">
        <v>#N/A</v>
      </c>
      <c r="D455" s="2839" t="e">
        <v>#N/A</v>
      </c>
      <c r="E455" s="203" t="e">
        <f t="shared" si="11"/>
        <v>#N/A</v>
      </c>
      <c r="F455" s="1668" t="e">
        <v>#N/A</v>
      </c>
      <c r="G455" s="254" t="e">
        <v>#N/A</v>
      </c>
    </row>
    <row r="456" spans="1:7">
      <c r="A456" s="63">
        <f t="shared" si="12"/>
        <v>2030.03</v>
      </c>
      <c r="B456" s="643" t="e">
        <v>#N/A</v>
      </c>
      <c r="C456" s="2839" t="e">
        <v>#N/A</v>
      </c>
      <c r="D456" s="2839" t="e">
        <v>#N/A</v>
      </c>
      <c r="E456" s="203" t="e">
        <f t="shared" si="11"/>
        <v>#N/A</v>
      </c>
      <c r="F456" s="1668" t="e">
        <v>#N/A</v>
      </c>
      <c r="G456" s="254" t="e">
        <v>#N/A</v>
      </c>
    </row>
    <row r="457" spans="1:7">
      <c r="A457" s="63">
        <f t="shared" si="12"/>
        <v>2030.04</v>
      </c>
      <c r="B457" s="643" t="e">
        <v>#N/A</v>
      </c>
      <c r="C457" s="2839" t="e">
        <v>#N/A</v>
      </c>
      <c r="D457" s="2839" t="e">
        <v>#N/A</v>
      </c>
      <c r="E457" s="203" t="e">
        <f>D457*$E$9</f>
        <v>#N/A</v>
      </c>
      <c r="F457" s="1668" t="e">
        <v>#N/A</v>
      </c>
      <c r="G457" s="254" t="e">
        <v>#N/A</v>
      </c>
    </row>
    <row r="458" spans="1:7">
      <c r="A458" s="63">
        <f t="shared" si="12"/>
        <v>2030.05</v>
      </c>
      <c r="B458" s="643" t="e">
        <v>#N/A</v>
      </c>
      <c r="C458" s="2839" t="e">
        <v>#N/A</v>
      </c>
      <c r="D458" s="2839" t="e">
        <v>#N/A</v>
      </c>
      <c r="E458" s="203" t="e">
        <f t="shared" si="11"/>
        <v>#N/A</v>
      </c>
      <c r="F458" s="1668" t="e">
        <v>#N/A</v>
      </c>
      <c r="G458" s="254" t="e">
        <v>#N/A</v>
      </c>
    </row>
    <row r="459" spans="1:7">
      <c r="A459" s="63">
        <f t="shared" si="12"/>
        <v>2030.06</v>
      </c>
      <c r="B459" s="643" t="e">
        <v>#N/A</v>
      </c>
      <c r="C459" s="2839" t="e">
        <v>#N/A</v>
      </c>
      <c r="D459" s="2839" t="e">
        <v>#N/A</v>
      </c>
      <c r="E459" s="203" t="e">
        <f t="shared" si="11"/>
        <v>#N/A</v>
      </c>
      <c r="F459" s="1668" t="e">
        <v>#N/A</v>
      </c>
      <c r="G459" s="254" t="e">
        <v>#N/A</v>
      </c>
    </row>
    <row r="460" spans="1:7">
      <c r="A460" s="63">
        <f t="shared" si="12"/>
        <v>2030.07</v>
      </c>
      <c r="B460" s="643" t="e">
        <v>#N/A</v>
      </c>
      <c r="C460" s="2839" t="e">
        <v>#N/A</v>
      </c>
      <c r="D460" s="2839" t="e">
        <v>#N/A</v>
      </c>
      <c r="E460" s="203" t="e">
        <f t="shared" si="11"/>
        <v>#N/A</v>
      </c>
      <c r="F460" s="1668" t="e">
        <v>#N/A</v>
      </c>
      <c r="G460" s="254" t="e">
        <v>#N/A</v>
      </c>
    </row>
    <row r="461" spans="1:7">
      <c r="A461" s="63">
        <f t="shared" si="12"/>
        <v>2030.08</v>
      </c>
      <c r="B461" s="643" t="e">
        <v>#N/A</v>
      </c>
      <c r="C461" s="2839" t="e">
        <v>#N/A</v>
      </c>
      <c r="D461" s="2839" t="e">
        <v>#N/A</v>
      </c>
      <c r="E461" s="203" t="e">
        <f t="shared" si="11"/>
        <v>#N/A</v>
      </c>
      <c r="F461" s="1668" t="e">
        <v>#N/A</v>
      </c>
      <c r="G461" s="254" t="e">
        <v>#N/A</v>
      </c>
    </row>
    <row r="462" spans="1:7">
      <c r="A462" s="63">
        <f t="shared" si="12"/>
        <v>2030.09</v>
      </c>
      <c r="B462" s="643" t="e">
        <v>#N/A</v>
      </c>
      <c r="C462" s="2839" t="e">
        <v>#N/A</v>
      </c>
      <c r="D462" s="2839" t="e">
        <v>#N/A</v>
      </c>
      <c r="E462" s="203" t="e">
        <f t="shared" si="11"/>
        <v>#N/A</v>
      </c>
      <c r="F462" s="1668" t="e">
        <v>#N/A</v>
      </c>
      <c r="G462" s="254" t="e">
        <v>#N/A</v>
      </c>
    </row>
    <row r="463" spans="1:7">
      <c r="A463" s="63">
        <f t="shared" si="12"/>
        <v>2030.1</v>
      </c>
      <c r="B463" s="643" t="e">
        <v>#N/A</v>
      </c>
      <c r="C463" s="2839" t="e">
        <v>#N/A</v>
      </c>
      <c r="D463" s="2839" t="e">
        <v>#N/A</v>
      </c>
      <c r="E463" s="203" t="e">
        <f t="shared" si="11"/>
        <v>#N/A</v>
      </c>
      <c r="F463" s="1668" t="e">
        <v>#N/A</v>
      </c>
      <c r="G463" s="254" t="e">
        <v>#N/A</v>
      </c>
    </row>
    <row r="464" spans="1:7">
      <c r="A464" s="63">
        <f t="shared" si="12"/>
        <v>2030.11</v>
      </c>
      <c r="B464" s="643" t="e">
        <v>#N/A</v>
      </c>
      <c r="C464" s="2839" t="e">
        <v>#N/A</v>
      </c>
      <c r="D464" s="2839" t="e">
        <v>#N/A</v>
      </c>
      <c r="E464" s="203" t="e">
        <f t="shared" si="11"/>
        <v>#N/A</v>
      </c>
      <c r="F464" s="1668" t="e">
        <v>#N/A</v>
      </c>
      <c r="G464" s="254" t="e">
        <v>#N/A</v>
      </c>
    </row>
    <row r="465" spans="1:13">
      <c r="A465" s="63">
        <f t="shared" si="12"/>
        <v>2030.12</v>
      </c>
      <c r="B465" s="643" t="e">
        <v>#N/A</v>
      </c>
      <c r="C465" s="2839" t="e">
        <v>#N/A</v>
      </c>
      <c r="D465" s="2839" t="e">
        <v>#N/A</v>
      </c>
      <c r="E465" s="203" t="e">
        <f t="shared" si="11"/>
        <v>#N/A</v>
      </c>
      <c r="F465" s="1668" t="e">
        <v>#N/A</v>
      </c>
      <c r="G465" s="254" t="e">
        <v>#N/A</v>
      </c>
      <c r="H465" s="1796"/>
      <c r="I465" s="1796"/>
      <c r="J465" s="1796"/>
      <c r="K465" s="1796"/>
      <c r="L465" s="1796"/>
      <c r="M465" s="1796"/>
    </row>
    <row r="466" spans="1:13">
      <c r="A466" s="1798"/>
      <c r="B466" s="1798"/>
      <c r="C466" s="1798"/>
      <c r="D466" s="1798"/>
      <c r="E466" s="1799"/>
      <c r="F466" s="1798"/>
      <c r="G466" s="1798"/>
      <c r="H466" s="1796"/>
      <c r="I466" s="1796"/>
      <c r="J466" s="1796"/>
      <c r="K466" s="1796"/>
      <c r="L466" s="1796"/>
      <c r="M466" s="1796"/>
    </row>
    <row r="467" spans="1:13">
      <c r="A467" s="1798"/>
      <c r="B467" s="1798"/>
      <c r="C467" s="1798"/>
      <c r="D467" s="1798"/>
      <c r="E467" s="1799"/>
      <c r="F467" s="1798"/>
      <c r="G467" s="1798"/>
      <c r="H467" s="1796"/>
      <c r="I467" s="1796"/>
      <c r="J467" s="1796"/>
      <c r="K467" s="1798"/>
      <c r="L467" s="1798"/>
      <c r="M467" s="1798"/>
    </row>
    <row r="468" spans="1:13">
      <c r="A468" s="1798"/>
      <c r="B468" s="1798"/>
      <c r="C468" s="1798"/>
      <c r="D468" s="1798"/>
      <c r="E468" s="1799"/>
      <c r="F468" s="1798"/>
      <c r="G468" s="1798"/>
      <c r="H468" s="1796"/>
      <c r="I468" s="1796"/>
      <c r="J468" s="1796"/>
      <c r="K468" s="1798"/>
      <c r="L468" s="1798"/>
      <c r="M468" s="1799"/>
    </row>
    <row r="469" spans="1:13">
      <c r="A469" s="1798"/>
      <c r="B469" s="1798"/>
      <c r="C469" s="1798"/>
      <c r="D469" s="1798"/>
      <c r="E469" s="1799"/>
      <c r="F469" s="1798"/>
      <c r="G469" s="1798"/>
      <c r="H469" s="1796"/>
      <c r="I469" s="1796"/>
      <c r="J469" s="1796"/>
      <c r="K469" s="1798"/>
      <c r="L469" s="1798"/>
      <c r="M469" s="1799"/>
    </row>
    <row r="470" spans="1:13">
      <c r="A470" s="1798"/>
      <c r="B470" s="1798"/>
      <c r="C470" s="1798"/>
      <c r="D470" s="1798"/>
      <c r="E470" s="1799"/>
      <c r="F470" s="1798"/>
      <c r="G470" s="1798"/>
      <c r="H470" s="1796"/>
      <c r="I470" s="1796"/>
      <c r="J470" s="1796"/>
      <c r="K470" s="1798"/>
      <c r="L470" s="1798"/>
      <c r="M470" s="1799"/>
    </row>
  </sheetData>
  <phoneticPr fontId="0" type="noConversion"/>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autoPageBreaks="0" fitToPage="1"/>
  </sheetPr>
  <dimension ref="A1:B465"/>
  <sheetViews>
    <sheetView zoomScale="130" zoomScaleNormal="130" workbookViewId="0">
      <pane xSplit="1" ySplit="9" topLeftCell="B52"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734" customWidth="1"/>
    <col min="2" max="2" width="25" style="1213" customWidth="1"/>
    <col min="3" max="16384" width="11.42578125" style="301"/>
  </cols>
  <sheetData>
    <row r="1" spans="1:2" s="13" customFormat="1" ht="3" customHeight="1">
      <c r="A1" s="34"/>
      <c r="B1" s="120"/>
    </row>
    <row r="2" spans="1:2" s="13" customFormat="1" ht="41.25" customHeight="1">
      <c r="A2" s="59" t="s">
        <v>105</v>
      </c>
      <c r="B2" s="1789" t="s">
        <v>225</v>
      </c>
    </row>
    <row r="3" spans="1:2" s="13" customFormat="1" ht="22.5">
      <c r="A3" s="94" t="s">
        <v>212</v>
      </c>
      <c r="B3" s="1789" t="s">
        <v>111</v>
      </c>
    </row>
    <row r="4" spans="1:2" s="13" customFormat="1" ht="3" hidden="1" customHeight="1">
      <c r="A4" s="34"/>
      <c r="B4" s="120"/>
    </row>
    <row r="5" spans="1:2" s="13" customFormat="1" ht="22.5">
      <c r="A5" s="2390" t="s">
        <v>137</v>
      </c>
      <c r="B5" s="1828"/>
    </row>
    <row r="6" spans="1:2" s="13" customFormat="1" ht="3" hidden="1" customHeight="1">
      <c r="A6" s="34"/>
      <c r="B6" s="120"/>
    </row>
    <row r="7" spans="1:2" s="13" customFormat="1" ht="22.5">
      <c r="A7" s="2373" t="s">
        <v>123</v>
      </c>
      <c r="B7" s="1828" t="s">
        <v>154</v>
      </c>
    </row>
    <row r="8" spans="1:2" s="13" customFormat="1" ht="13.5" thickBot="1">
      <c r="A8" s="147" t="s">
        <v>141</v>
      </c>
      <c r="B8" s="148" t="s">
        <v>226</v>
      </c>
    </row>
    <row r="9" spans="1:2" s="14" customFormat="1" ht="13.5" hidden="1" thickBot="1">
      <c r="A9" s="72"/>
      <c r="B9" s="1835"/>
    </row>
    <row r="10" spans="1:2" s="14" customFormat="1">
      <c r="A10" s="67">
        <v>1993.01</v>
      </c>
      <c r="B10" s="210">
        <v>68.078624533260793</v>
      </c>
    </row>
    <row r="11" spans="1:2" s="14" customFormat="1">
      <c r="A11" s="63">
        <v>1993.02</v>
      </c>
      <c r="B11" s="1836">
        <v>68.920912360291496</v>
      </c>
    </row>
    <row r="12" spans="1:2" s="14" customFormat="1">
      <c r="A12" s="63">
        <v>1993.03</v>
      </c>
      <c r="B12" s="1836">
        <v>69.645743959820905</v>
      </c>
    </row>
    <row r="13" spans="1:2" s="14" customFormat="1">
      <c r="A13" s="63">
        <v>1993.04</v>
      </c>
      <c r="B13" s="1836">
        <v>70.226721166291753</v>
      </c>
    </row>
    <row r="14" spans="1:2" s="14" customFormat="1">
      <c r="A14" s="63">
        <v>1993.05</v>
      </c>
      <c r="B14" s="1836">
        <v>68.873817131487627</v>
      </c>
    </row>
    <row r="15" spans="1:2" s="14" customFormat="1">
      <c r="A15" s="63">
        <v>1993.06</v>
      </c>
      <c r="B15" s="1836">
        <v>71.118806395246622</v>
      </c>
    </row>
    <row r="16" spans="1:2" s="14" customFormat="1">
      <c r="A16" s="63">
        <v>1993.07</v>
      </c>
      <c r="B16" s="1836">
        <v>72.634613638770418</v>
      </c>
    </row>
    <row r="17" spans="1:2" s="14" customFormat="1">
      <c r="A17" s="63">
        <v>1993.08</v>
      </c>
      <c r="B17" s="1836">
        <v>73.93735863643559</v>
      </c>
    </row>
    <row r="18" spans="1:2" s="14" customFormat="1">
      <c r="A18" s="63">
        <v>1993.09</v>
      </c>
      <c r="B18" s="1836">
        <v>74.088386976951782</v>
      </c>
    </row>
    <row r="19" spans="1:2" s="14" customFormat="1">
      <c r="A19" s="63">
        <v>1993.1</v>
      </c>
      <c r="B19" s="1836">
        <v>75.377171238163356</v>
      </c>
    </row>
    <row r="20" spans="1:2" s="14" customFormat="1">
      <c r="A20" s="63">
        <v>1993.11</v>
      </c>
      <c r="B20" s="1836">
        <v>75.519850663394706</v>
      </c>
    </row>
    <row r="21" spans="1:2" s="14" customFormat="1">
      <c r="A21" s="63">
        <v>1993.12</v>
      </c>
      <c r="B21" s="1836">
        <v>77.58005218546343</v>
      </c>
    </row>
    <row r="22" spans="1:2" s="9" customFormat="1">
      <c r="A22" s="63">
        <v>1994.01</v>
      </c>
      <c r="B22" s="1836">
        <v>79.59867673158152</v>
      </c>
    </row>
    <row r="23" spans="1:2" s="9" customFormat="1">
      <c r="A23" s="63">
        <v>1994.02</v>
      </c>
      <c r="B23" s="1836">
        <v>81.979806030197011</v>
      </c>
    </row>
    <row r="24" spans="1:2" s="9" customFormat="1">
      <c r="A24" s="63">
        <v>1994.03</v>
      </c>
      <c r="B24" s="1836">
        <v>80.054154269578078</v>
      </c>
    </row>
    <row r="25" spans="1:2" s="9" customFormat="1">
      <c r="A25" s="63">
        <v>1994.04</v>
      </c>
      <c r="B25" s="1836">
        <v>80.048412189296243</v>
      </c>
    </row>
    <row r="26" spans="1:2" s="9" customFormat="1">
      <c r="A26" s="63">
        <v>1994.05</v>
      </c>
      <c r="B26" s="1836">
        <v>80.610104405742192</v>
      </c>
    </row>
    <row r="27" spans="1:2" s="9" customFormat="1">
      <c r="A27" s="63">
        <v>1994.06</v>
      </c>
      <c r="B27" s="1836">
        <v>79.807184455648212</v>
      </c>
    </row>
    <row r="28" spans="1:2" s="9" customFormat="1">
      <c r="A28" s="63">
        <v>1994.07</v>
      </c>
      <c r="B28" s="1836">
        <v>79.565019267693486</v>
      </c>
    </row>
    <row r="29" spans="1:2" s="9" customFormat="1">
      <c r="A29" s="63">
        <v>1994.08</v>
      </c>
      <c r="B29" s="1836">
        <v>79.749178766716383</v>
      </c>
    </row>
    <row r="30" spans="1:2" s="9" customFormat="1">
      <c r="A30" s="63">
        <v>1994.09</v>
      </c>
      <c r="B30" s="1836">
        <v>80.33281058404333</v>
      </c>
    </row>
    <row r="31" spans="1:2" s="9" customFormat="1">
      <c r="A31" s="63">
        <v>1994.1</v>
      </c>
      <c r="B31" s="1836">
        <v>79.275287915492015</v>
      </c>
    </row>
    <row r="32" spans="1:2" s="9" customFormat="1">
      <c r="A32" s="63">
        <v>1994.11</v>
      </c>
      <c r="B32" s="1836">
        <v>78.408840211472508</v>
      </c>
    </row>
    <row r="33" spans="1:2" s="9" customFormat="1">
      <c r="A33" s="63">
        <v>1994.12</v>
      </c>
      <c r="B33" s="1836">
        <v>78.070664367657599</v>
      </c>
    </row>
    <row r="34" spans="1:2" s="9" customFormat="1">
      <c r="A34" s="63">
        <v>1995.01</v>
      </c>
      <c r="B34" s="1836">
        <v>76.474066837806319</v>
      </c>
    </row>
    <row r="35" spans="1:2" s="9" customFormat="1">
      <c r="A35" s="63">
        <v>1995.02</v>
      </c>
      <c r="B35" s="1836">
        <v>74.419852510634541</v>
      </c>
    </row>
    <row r="36" spans="1:2" s="9" customFormat="1">
      <c r="A36" s="63">
        <v>1995.03</v>
      </c>
      <c r="B36" s="1836">
        <v>74.577417650975562</v>
      </c>
    </row>
    <row r="37" spans="1:2" s="9" customFormat="1">
      <c r="A37" s="63">
        <v>1995.04</v>
      </c>
      <c r="B37" s="1836">
        <v>73.403238188843673</v>
      </c>
    </row>
    <row r="38" spans="1:2" s="9" customFormat="1">
      <c r="A38" s="63">
        <v>1995.05</v>
      </c>
      <c r="B38" s="1836">
        <v>73.577200539615546</v>
      </c>
    </row>
    <row r="39" spans="1:2" s="9" customFormat="1">
      <c r="A39" s="63">
        <v>1995.06</v>
      </c>
      <c r="B39" s="1836">
        <v>74.063689121144094</v>
      </c>
    </row>
    <row r="40" spans="1:2" s="9" customFormat="1">
      <c r="A40" s="63">
        <v>1995.07</v>
      </c>
      <c r="B40" s="1836">
        <v>75.858756644003648</v>
      </c>
    </row>
    <row r="41" spans="1:2" s="9" customFormat="1">
      <c r="A41" s="63">
        <v>1995.08</v>
      </c>
      <c r="B41" s="1836">
        <v>74.299998414515159</v>
      </c>
    </row>
    <row r="42" spans="1:2" s="9" customFormat="1">
      <c r="A42" s="63">
        <v>1995.09</v>
      </c>
      <c r="B42" s="1836">
        <v>74.420265772995435</v>
      </c>
    </row>
    <row r="43" spans="1:2" s="9" customFormat="1">
      <c r="A43" s="63">
        <v>1995.1</v>
      </c>
      <c r="B43" s="1836">
        <v>73.45909565625189</v>
      </c>
    </row>
    <row r="44" spans="1:2" s="9" customFormat="1">
      <c r="A44" s="63">
        <v>1995.11</v>
      </c>
      <c r="B44" s="1836">
        <v>75.21956037270526</v>
      </c>
    </row>
    <row r="45" spans="1:2" s="9" customFormat="1">
      <c r="A45" s="63">
        <v>1995.12</v>
      </c>
      <c r="B45" s="1836">
        <v>75.79067551800955</v>
      </c>
    </row>
    <row r="46" spans="1:2" s="9" customFormat="1">
      <c r="A46" s="63">
        <v>1996.01</v>
      </c>
      <c r="B46" s="1836">
        <v>77.015980105297743</v>
      </c>
    </row>
    <row r="47" spans="1:2" s="9" customFormat="1">
      <c r="A47" s="63">
        <v>1996.02</v>
      </c>
      <c r="B47" s="1836">
        <v>78.000198185804081</v>
      </c>
    </row>
    <row r="48" spans="1:2" s="9" customFormat="1">
      <c r="A48" s="63">
        <v>1996.03</v>
      </c>
      <c r="B48" s="1836">
        <v>79.109326561376676</v>
      </c>
    </row>
    <row r="49" spans="1:2" s="9" customFormat="1">
      <c r="A49" s="63">
        <v>1996.04</v>
      </c>
      <c r="B49" s="1836">
        <v>80.003293123287321</v>
      </c>
    </row>
    <row r="50" spans="1:2" s="9" customFormat="1">
      <c r="A50" s="63">
        <v>1996.05</v>
      </c>
      <c r="B50" s="1836">
        <v>80.582230348817802</v>
      </c>
    </row>
    <row r="51" spans="1:2" s="9" customFormat="1">
      <c r="A51" s="63">
        <v>1996.06</v>
      </c>
      <c r="B51" s="1836">
        <v>81.385687796794258</v>
      </c>
    </row>
    <row r="52" spans="1:2" s="9" customFormat="1">
      <c r="A52" s="63">
        <v>1996.07</v>
      </c>
      <c r="B52" s="1836">
        <v>80.98368388365742</v>
      </c>
    </row>
    <row r="53" spans="1:2" s="9" customFormat="1">
      <c r="A53" s="63">
        <v>1996.08</v>
      </c>
      <c r="B53" s="1836">
        <v>81.257392279758079</v>
      </c>
    </row>
    <row r="54" spans="1:2" s="9" customFormat="1">
      <c r="A54" s="63">
        <v>1996.09</v>
      </c>
      <c r="B54" s="1836">
        <v>81.688027944025592</v>
      </c>
    </row>
    <row r="55" spans="1:2" s="9" customFormat="1">
      <c r="A55" s="63">
        <v>1996.1</v>
      </c>
      <c r="B55" s="1836">
        <v>82.713790627616817</v>
      </c>
    </row>
    <row r="56" spans="1:2" s="9" customFormat="1">
      <c r="A56" s="63">
        <v>1996.11</v>
      </c>
      <c r="B56" s="1836">
        <v>85.02456188369959</v>
      </c>
    </row>
    <row r="57" spans="1:2" s="9" customFormat="1">
      <c r="A57" s="63">
        <v>1996.12</v>
      </c>
      <c r="B57" s="1836">
        <v>85.294313759844812</v>
      </c>
    </row>
    <row r="58" spans="1:2" s="9" customFormat="1">
      <c r="A58" s="63">
        <v>1997.01</v>
      </c>
      <c r="B58" s="1836">
        <v>85.895832253050003</v>
      </c>
    </row>
    <row r="59" spans="1:2" s="9" customFormat="1">
      <c r="A59" s="63">
        <v>1997.02</v>
      </c>
      <c r="B59" s="1836">
        <v>88.708660712309964</v>
      </c>
    </row>
    <row r="60" spans="1:2" s="9" customFormat="1">
      <c r="A60" s="63">
        <v>1997.03</v>
      </c>
      <c r="B60" s="1836">
        <v>89.138588699808139</v>
      </c>
    </row>
    <row r="61" spans="1:2" s="9" customFormat="1">
      <c r="A61" s="63">
        <v>1997.04</v>
      </c>
      <c r="B61" s="1836">
        <v>90.651354321168157</v>
      </c>
    </row>
    <row r="62" spans="1:2" s="9" customFormat="1">
      <c r="A62" s="63">
        <v>1997.05</v>
      </c>
      <c r="B62" s="1836">
        <v>91.09266990449855</v>
      </c>
    </row>
    <row r="63" spans="1:2" s="9" customFormat="1">
      <c r="A63" s="63">
        <v>1997.06</v>
      </c>
      <c r="B63" s="1836">
        <v>90.184129399860112</v>
      </c>
    </row>
    <row r="64" spans="1:2" s="9" customFormat="1">
      <c r="A64" s="63">
        <v>1997.07</v>
      </c>
      <c r="B64" s="1836">
        <v>92.481520097107477</v>
      </c>
    </row>
    <row r="65" spans="1:2" s="9" customFormat="1">
      <c r="A65" s="63">
        <v>1997.08</v>
      </c>
      <c r="B65" s="1836">
        <v>93.680703295510909</v>
      </c>
    </row>
    <row r="66" spans="1:2" s="9" customFormat="1">
      <c r="A66" s="63">
        <v>1997.09</v>
      </c>
      <c r="B66" s="1836">
        <v>93.996324578356592</v>
      </c>
    </row>
    <row r="67" spans="1:2" s="9" customFormat="1">
      <c r="A67" s="63">
        <v>1997.1</v>
      </c>
      <c r="B67" s="1836">
        <v>93.153129997856269</v>
      </c>
    </row>
    <row r="68" spans="1:2" s="9" customFormat="1">
      <c r="A68" s="63">
        <v>1997.11</v>
      </c>
      <c r="B68" s="1836">
        <v>92.209177587807474</v>
      </c>
    </row>
    <row r="69" spans="1:2" s="9" customFormat="1">
      <c r="A69" s="63">
        <v>1997.12</v>
      </c>
      <c r="B69" s="1836">
        <v>91.860250137149592</v>
      </c>
    </row>
    <row r="70" spans="1:2" s="9" customFormat="1">
      <c r="A70" s="63">
        <v>1998.01</v>
      </c>
      <c r="B70" s="1836">
        <v>92.201686048126874</v>
      </c>
    </row>
    <row r="71" spans="1:2" s="9" customFormat="1">
      <c r="A71" s="63">
        <v>1998.02</v>
      </c>
      <c r="B71" s="1836">
        <v>93.80198236810395</v>
      </c>
    </row>
    <row r="72" spans="1:2" s="9" customFormat="1">
      <c r="A72" s="63">
        <v>1998.03</v>
      </c>
      <c r="B72" s="1836">
        <v>90.245553852340663</v>
      </c>
    </row>
    <row r="73" spans="1:2" s="9" customFormat="1">
      <c r="A73" s="63">
        <v>1998.04</v>
      </c>
      <c r="B73" s="1836">
        <v>89.522603186936593</v>
      </c>
    </row>
    <row r="74" spans="1:2" s="9" customFormat="1">
      <c r="A74" s="63">
        <v>1998.05</v>
      </c>
      <c r="B74" s="1836">
        <v>87.876963582654739</v>
      </c>
    </row>
    <row r="75" spans="1:2" s="9" customFormat="1">
      <c r="A75" s="63">
        <v>1998.06</v>
      </c>
      <c r="B75" s="1836">
        <v>88.174736340074887</v>
      </c>
    </row>
    <row r="76" spans="1:2" s="9" customFormat="1">
      <c r="A76" s="63">
        <v>1998.07</v>
      </c>
      <c r="B76" s="1836">
        <v>86.9379511867389</v>
      </c>
    </row>
    <row r="77" spans="1:2" s="9" customFormat="1">
      <c r="A77" s="63">
        <v>1998.08</v>
      </c>
      <c r="B77" s="1836">
        <v>84.226965455248234</v>
      </c>
    </row>
    <row r="78" spans="1:2" s="9" customFormat="1">
      <c r="A78" s="63">
        <v>1998.09</v>
      </c>
      <c r="B78" s="1836">
        <v>82.94541056589776</v>
      </c>
    </row>
    <row r="79" spans="1:2" s="9" customFormat="1">
      <c r="A79" s="63">
        <v>1998.1</v>
      </c>
      <c r="B79" s="1836">
        <v>83.782793814538223</v>
      </c>
    </row>
    <row r="80" spans="1:2" s="9" customFormat="1">
      <c r="A80" s="63">
        <v>1998.11</v>
      </c>
      <c r="B80" s="1836">
        <v>85.424691759161064</v>
      </c>
    </row>
    <row r="81" spans="1:2" s="9" customFormat="1">
      <c r="A81" s="63">
        <v>1998.12</v>
      </c>
      <c r="B81" s="1836">
        <v>82.446270206337147</v>
      </c>
    </row>
    <row r="82" spans="1:2" s="9" customFormat="1">
      <c r="A82" s="63">
        <v>1999.01</v>
      </c>
      <c r="B82" s="1836">
        <v>80.570083020764386</v>
      </c>
    </row>
    <row r="83" spans="1:2" s="9" customFormat="1">
      <c r="A83" s="63">
        <v>1999.02</v>
      </c>
      <c r="B83" s="1836">
        <v>79.969479075704371</v>
      </c>
    </row>
    <row r="84" spans="1:2" s="9" customFormat="1">
      <c r="A84" s="63">
        <v>1999.03</v>
      </c>
      <c r="B84" s="1836">
        <v>79.885881189524625</v>
      </c>
    </row>
    <row r="85" spans="1:2" s="9" customFormat="1">
      <c r="A85" s="63">
        <v>1999.04</v>
      </c>
      <c r="B85" s="1836">
        <v>81.85542486799018</v>
      </c>
    </row>
    <row r="86" spans="1:2" s="9" customFormat="1">
      <c r="A86" s="63">
        <v>1999.05</v>
      </c>
      <c r="B86" s="1836">
        <v>82.637581621863774</v>
      </c>
    </row>
    <row r="87" spans="1:2" s="9" customFormat="1">
      <c r="A87" s="63">
        <v>1999.06</v>
      </c>
      <c r="B87" s="1836">
        <v>82.211534336145036</v>
      </c>
    </row>
    <row r="88" spans="1:2" s="9" customFormat="1">
      <c r="A88" s="63">
        <v>1999.07</v>
      </c>
      <c r="B88" s="1836">
        <v>79.684353082942692</v>
      </c>
    </row>
    <row r="89" spans="1:2" s="9" customFormat="1">
      <c r="A89" s="63">
        <v>1999.08</v>
      </c>
      <c r="B89" s="1836">
        <v>82.366063036457504</v>
      </c>
    </row>
    <row r="90" spans="1:2" s="9" customFormat="1">
      <c r="A90" s="63">
        <v>1999.09</v>
      </c>
      <c r="B90" s="1836">
        <v>82.919850552284245</v>
      </c>
    </row>
    <row r="91" spans="1:2" s="9" customFormat="1">
      <c r="A91" s="63">
        <v>1999.1</v>
      </c>
      <c r="B91" s="1836">
        <v>84.47296628961935</v>
      </c>
    </row>
    <row r="92" spans="1:2" s="9" customFormat="1">
      <c r="A92" s="63">
        <v>1999.11</v>
      </c>
      <c r="B92" s="1836">
        <v>84.500624636684989</v>
      </c>
    </row>
    <row r="93" spans="1:2" s="9" customFormat="1">
      <c r="A93" s="63">
        <v>1999.12</v>
      </c>
      <c r="B93" s="1836">
        <v>83.593728912888636</v>
      </c>
    </row>
    <row r="94" spans="1:2" s="9" customFormat="1">
      <c r="A94" s="63">
        <v>2000.01</v>
      </c>
      <c r="B94" s="1836">
        <v>83.2606652230496</v>
      </c>
    </row>
    <row r="95" spans="1:2" s="9" customFormat="1">
      <c r="A95" s="63">
        <v>2000.02</v>
      </c>
      <c r="B95" s="1836">
        <v>81.743708108556731</v>
      </c>
    </row>
    <row r="96" spans="1:2" s="9" customFormat="1">
      <c r="A96" s="63">
        <v>2000.03</v>
      </c>
      <c r="B96" s="1836">
        <v>83.659719872216741</v>
      </c>
    </row>
    <row r="97" spans="1:2" s="9" customFormat="1">
      <c r="A97" s="63">
        <v>2000.04</v>
      </c>
      <c r="B97" s="1836">
        <v>80.990620350771437</v>
      </c>
    </row>
    <row r="98" spans="1:2" s="9" customFormat="1">
      <c r="A98" s="63">
        <v>2000.05</v>
      </c>
      <c r="B98" s="1836">
        <v>80.492833966563708</v>
      </c>
    </row>
    <row r="99" spans="1:2" s="9" customFormat="1">
      <c r="A99" s="63">
        <v>2000.06</v>
      </c>
      <c r="B99" s="1836">
        <v>80.474507648526497</v>
      </c>
    </row>
    <row r="100" spans="1:2" s="9" customFormat="1">
      <c r="A100" s="63">
        <v>2000.07</v>
      </c>
      <c r="B100" s="1836">
        <v>80.958478033231572</v>
      </c>
    </row>
    <row r="101" spans="1:2" s="9" customFormat="1">
      <c r="A101" s="63">
        <v>2000.08</v>
      </c>
      <c r="B101" s="1836">
        <v>81.988099932662806</v>
      </c>
    </row>
    <row r="102" spans="1:2" s="9" customFormat="1">
      <c r="A102" s="63">
        <v>2000.09</v>
      </c>
      <c r="B102" s="1836">
        <v>82.969794867848194</v>
      </c>
    </row>
    <row r="103" spans="1:2" s="9" customFormat="1">
      <c r="A103" s="63">
        <v>2000.1</v>
      </c>
      <c r="B103" s="1836">
        <v>81.328709894704843</v>
      </c>
    </row>
    <row r="104" spans="1:2" s="9" customFormat="1">
      <c r="A104" s="63">
        <v>2000.11</v>
      </c>
      <c r="B104" s="1836">
        <v>78.999654001503018</v>
      </c>
    </row>
    <row r="105" spans="1:2" s="9" customFormat="1">
      <c r="A105" s="63">
        <v>2000.12</v>
      </c>
      <c r="B105" s="1836">
        <v>80.186112786135865</v>
      </c>
    </row>
    <row r="106" spans="1:2" s="9" customFormat="1">
      <c r="A106" s="63">
        <v>2001.01</v>
      </c>
      <c r="B106" s="1836">
        <v>81.504172113333851</v>
      </c>
    </row>
    <row r="107" spans="1:2" s="9" customFormat="1">
      <c r="A107" s="63">
        <v>2001.02</v>
      </c>
      <c r="B107" s="1836">
        <v>78.75720879459827</v>
      </c>
    </row>
    <row r="108" spans="1:2" s="9" customFormat="1">
      <c r="A108" s="63">
        <v>2001.03</v>
      </c>
      <c r="B108" s="1836">
        <v>75.971834933693017</v>
      </c>
    </row>
    <row r="109" spans="1:2" s="9" customFormat="1">
      <c r="A109" s="63">
        <v>2001.04</v>
      </c>
      <c r="B109" s="1836">
        <v>76.143504631871551</v>
      </c>
    </row>
    <row r="110" spans="1:2" s="9" customFormat="1">
      <c r="A110" s="63">
        <v>2001.05</v>
      </c>
      <c r="B110" s="1836">
        <v>75.222339793733781</v>
      </c>
    </row>
    <row r="111" spans="1:2" s="9" customFormat="1">
      <c r="A111" s="63">
        <v>2001.06</v>
      </c>
      <c r="B111" s="1836">
        <v>74.406481893754204</v>
      </c>
    </row>
    <row r="112" spans="1:2" s="9" customFormat="1">
      <c r="A112" s="63">
        <v>2001.07</v>
      </c>
      <c r="B112" s="1836">
        <v>72.634967018172759</v>
      </c>
    </row>
    <row r="113" spans="1:2" s="9" customFormat="1">
      <c r="A113" s="63">
        <v>2001.08</v>
      </c>
      <c r="B113" s="1836">
        <v>70.60586615196064</v>
      </c>
    </row>
    <row r="114" spans="1:2" s="9" customFormat="1">
      <c r="A114" s="63">
        <v>2001.09</v>
      </c>
      <c r="B114" s="1836">
        <v>68.187527196147215</v>
      </c>
    </row>
    <row r="115" spans="1:2" s="9" customFormat="1">
      <c r="A115" s="63">
        <v>2001.1</v>
      </c>
      <c r="B115" s="1836">
        <v>65.529793409448374</v>
      </c>
    </row>
    <row r="116" spans="1:2" s="9" customFormat="1">
      <c r="A116" s="63">
        <v>2001.11</v>
      </c>
      <c r="B116" s="1836">
        <v>64.961084174498112</v>
      </c>
    </row>
    <row r="117" spans="1:2" s="9" customFormat="1">
      <c r="A117" s="63">
        <v>2001.12</v>
      </c>
      <c r="B117" s="1836">
        <v>65.344826784238123</v>
      </c>
    </row>
    <row r="118" spans="1:2" s="9" customFormat="1">
      <c r="A118" s="63">
        <v>2002.01</v>
      </c>
      <c r="B118" s="1836">
        <v>65.838046622405201</v>
      </c>
    </row>
    <row r="119" spans="1:2" s="9" customFormat="1">
      <c r="A119" s="63">
        <v>2002.02</v>
      </c>
      <c r="B119" s="1836">
        <v>69.602852578159911</v>
      </c>
    </row>
    <row r="120" spans="1:2" s="9" customFormat="1">
      <c r="A120" s="63">
        <v>2002.03</v>
      </c>
      <c r="B120" s="1836">
        <v>70.575380858650504</v>
      </c>
    </row>
    <row r="121" spans="1:2" s="9" customFormat="1">
      <c r="A121" s="63">
        <v>2002.04</v>
      </c>
      <c r="B121" s="1836">
        <v>67.413199325411668</v>
      </c>
    </row>
    <row r="122" spans="1:2" s="9" customFormat="1">
      <c r="A122" s="63">
        <v>2002.05</v>
      </c>
      <c r="B122" s="1836">
        <v>67.068281866339049</v>
      </c>
    </row>
    <row r="123" spans="1:2" s="9" customFormat="1">
      <c r="A123" s="63">
        <v>2002.06</v>
      </c>
      <c r="B123" s="1836">
        <v>66.668395942664773</v>
      </c>
    </row>
    <row r="124" spans="1:2" s="9" customFormat="1">
      <c r="A124" s="63">
        <v>2002.07</v>
      </c>
      <c r="B124" s="1836">
        <v>67.532630192187909</v>
      </c>
    </row>
    <row r="125" spans="1:2" s="9" customFormat="1">
      <c r="A125" s="63">
        <v>2002.08</v>
      </c>
      <c r="B125" s="1836">
        <v>68.72436872627911</v>
      </c>
    </row>
    <row r="126" spans="1:2" s="9" customFormat="1">
      <c r="A126" s="63">
        <v>2002.09</v>
      </c>
      <c r="B126" s="1836">
        <v>69.526015139783823</v>
      </c>
    </row>
    <row r="127" spans="1:2" s="9" customFormat="1">
      <c r="A127" s="63">
        <v>2002.1</v>
      </c>
      <c r="B127" s="1836">
        <v>70.389585048644676</v>
      </c>
    </row>
    <row r="128" spans="1:2" s="9" customFormat="1">
      <c r="A128" s="63">
        <v>2002.11</v>
      </c>
      <c r="B128" s="1836">
        <v>72.304327975413585</v>
      </c>
    </row>
    <row r="129" spans="1:2" s="9" customFormat="1">
      <c r="A129" s="63">
        <v>2002.12</v>
      </c>
      <c r="B129" s="1836">
        <v>72.801276208201642</v>
      </c>
    </row>
    <row r="130" spans="1:2" s="9" customFormat="1">
      <c r="A130" s="63">
        <v>2003.01</v>
      </c>
      <c r="B130" s="1836">
        <v>73.468609434256834</v>
      </c>
    </row>
    <row r="131" spans="1:2" s="9" customFormat="1">
      <c r="A131" s="63">
        <v>2003.02</v>
      </c>
      <c r="B131" s="1836">
        <v>74.47150572106959</v>
      </c>
    </row>
    <row r="132" spans="1:2" s="9" customFormat="1">
      <c r="A132" s="63">
        <v>2003.03</v>
      </c>
      <c r="B132" s="1836">
        <v>74.736798441066753</v>
      </c>
    </row>
    <row r="133" spans="1:2" s="9" customFormat="1">
      <c r="A133" s="63">
        <v>2003.04</v>
      </c>
      <c r="B133" s="1836">
        <v>76.979360792902384</v>
      </c>
    </row>
    <row r="134" spans="1:2" s="9" customFormat="1">
      <c r="A134" s="63">
        <v>2003.05</v>
      </c>
      <c r="B134" s="1836">
        <v>78.986074821415741</v>
      </c>
    </row>
    <row r="135" spans="1:2" s="9" customFormat="1">
      <c r="A135" s="63">
        <v>2003.06</v>
      </c>
      <c r="B135" s="1836">
        <v>82.006684919990406</v>
      </c>
    </row>
    <row r="136" spans="1:2" s="9" customFormat="1">
      <c r="A136" s="63">
        <v>2003.07</v>
      </c>
      <c r="B136" s="1836">
        <v>84.475255275139702</v>
      </c>
    </row>
    <row r="137" spans="1:2" s="9" customFormat="1">
      <c r="A137" s="63">
        <v>2003.08</v>
      </c>
      <c r="B137" s="1836">
        <v>84.773874812901127</v>
      </c>
    </row>
    <row r="138" spans="1:2" s="9" customFormat="1">
      <c r="A138" s="63">
        <v>2003.09</v>
      </c>
      <c r="B138" s="1836">
        <v>88.664970561425832</v>
      </c>
    </row>
    <row r="139" spans="1:2" s="9" customFormat="1">
      <c r="A139" s="63">
        <v>2003.1</v>
      </c>
      <c r="B139" s="1836">
        <v>93.859226060613693</v>
      </c>
    </row>
    <row r="140" spans="1:2" s="9" customFormat="1">
      <c r="A140" s="63">
        <v>2003.11</v>
      </c>
      <c r="B140" s="1836">
        <v>94.229658280112176</v>
      </c>
    </row>
    <row r="141" spans="1:2" s="9" customFormat="1">
      <c r="A141" s="63">
        <v>2003.12</v>
      </c>
      <c r="B141" s="1836">
        <v>94.652691083995549</v>
      </c>
    </row>
    <row r="142" spans="1:2" s="9" customFormat="1">
      <c r="A142" s="63">
        <v>2004.01</v>
      </c>
      <c r="B142" s="1836">
        <v>97.722839137446996</v>
      </c>
    </row>
    <row r="143" spans="1:2" s="9" customFormat="1">
      <c r="A143" s="63">
        <v>2004.02</v>
      </c>
      <c r="B143" s="1836">
        <v>97.689150157588315</v>
      </c>
    </row>
    <row r="144" spans="1:2" s="9" customFormat="1">
      <c r="A144" s="63">
        <v>2004.03</v>
      </c>
      <c r="B144" s="1836">
        <v>102.18987565400194</v>
      </c>
    </row>
    <row r="145" spans="1:2" s="9" customFormat="1">
      <c r="A145" s="63">
        <v>2004.04</v>
      </c>
      <c r="B145" s="1836">
        <v>98.042172076188336</v>
      </c>
    </row>
    <row r="146" spans="1:2" s="9" customFormat="1">
      <c r="A146" s="63">
        <v>2004.05</v>
      </c>
      <c r="B146" s="1836">
        <v>99.156563697209506</v>
      </c>
    </row>
    <row r="147" spans="1:2" s="9" customFormat="1">
      <c r="A147" s="63">
        <v>2004.06</v>
      </c>
      <c r="B147" s="1836">
        <v>99.332154938671579</v>
      </c>
    </row>
    <row r="148" spans="1:2" s="9" customFormat="1">
      <c r="A148" s="63">
        <v>2004.07</v>
      </c>
      <c r="B148" s="1836">
        <v>99.527800336595675</v>
      </c>
    </row>
    <row r="149" spans="1:2" s="9" customFormat="1">
      <c r="A149" s="63">
        <v>2004.08</v>
      </c>
      <c r="B149" s="1836">
        <v>99.215833299957225</v>
      </c>
    </row>
    <row r="150" spans="1:2" s="9" customFormat="1">
      <c r="A150" s="63">
        <v>2004.09</v>
      </c>
      <c r="B150" s="1836">
        <v>101.39588612452617</v>
      </c>
    </row>
    <row r="151" spans="1:2" s="9" customFormat="1">
      <c r="A151" s="63">
        <v>2004.1</v>
      </c>
      <c r="B151" s="1836">
        <v>101.45783995486043</v>
      </c>
    </row>
    <row r="152" spans="1:2" s="9" customFormat="1">
      <c r="A152" s="63">
        <v>2004.11</v>
      </c>
      <c r="B152" s="1836">
        <v>101.33863322761418</v>
      </c>
    </row>
    <row r="153" spans="1:2" s="9" customFormat="1">
      <c r="A153" s="63">
        <v>2004.12</v>
      </c>
      <c r="B153" s="1836">
        <v>102.93125139533954</v>
      </c>
    </row>
    <row r="154" spans="1:2" s="9" customFormat="1">
      <c r="A154" s="63">
        <v>2005.01</v>
      </c>
      <c r="B154" s="1836">
        <v>102.5856754646028</v>
      </c>
    </row>
    <row r="155" spans="1:2" s="9" customFormat="1">
      <c r="A155" s="63">
        <v>2005.02</v>
      </c>
      <c r="B155" s="1836">
        <v>102.58491936515142</v>
      </c>
    </row>
    <row r="156" spans="1:2" s="9" customFormat="1">
      <c r="A156" s="63">
        <v>2005.03</v>
      </c>
      <c r="B156" s="1836">
        <v>104.84510540835606</v>
      </c>
    </row>
    <row r="157" spans="1:2" s="9" customFormat="1">
      <c r="A157" s="63">
        <v>2005.04</v>
      </c>
      <c r="B157" s="1836">
        <v>106.00933898308428</v>
      </c>
    </row>
    <row r="158" spans="1:2" s="9" customFormat="1">
      <c r="A158" s="63">
        <v>2005.05</v>
      </c>
      <c r="B158" s="1836">
        <v>107.33817232093475</v>
      </c>
    </row>
    <row r="159" spans="1:2" s="9" customFormat="1">
      <c r="A159" s="63">
        <v>2005.06</v>
      </c>
      <c r="B159" s="1836">
        <v>104.61056843744021</v>
      </c>
    </row>
    <row r="160" spans="1:2" s="9" customFormat="1">
      <c r="A160" s="63">
        <v>2005.07</v>
      </c>
      <c r="B160" s="1836">
        <v>108.35391282701751</v>
      </c>
    </row>
    <row r="161" spans="1:2" s="9" customFormat="1">
      <c r="A161" s="63">
        <v>2005.08</v>
      </c>
      <c r="B161" s="1836">
        <v>109.97149726169707</v>
      </c>
    </row>
    <row r="162" spans="1:2" s="9" customFormat="1">
      <c r="A162" s="63">
        <v>2005.09</v>
      </c>
      <c r="B162" s="1836">
        <v>109.63906448720357</v>
      </c>
    </row>
    <row r="163" spans="1:2" s="9" customFormat="1">
      <c r="A163" s="63">
        <v>2005.1</v>
      </c>
      <c r="B163" s="1836">
        <v>109.32074886327312</v>
      </c>
    </row>
    <row r="164" spans="1:2" s="9" customFormat="1">
      <c r="A164" s="63">
        <v>2005.11</v>
      </c>
      <c r="B164" s="1836">
        <v>109.02135613774558</v>
      </c>
    </row>
    <row r="165" spans="1:2" s="9" customFormat="1">
      <c r="A165" s="63">
        <v>2005.12</v>
      </c>
      <c r="B165" s="1836">
        <v>110.03414237603801</v>
      </c>
    </row>
    <row r="166" spans="1:2" s="9" customFormat="1">
      <c r="A166" s="63">
        <v>2006.01</v>
      </c>
      <c r="B166" s="1836">
        <v>111.95894050966173</v>
      </c>
    </row>
    <row r="167" spans="1:2" s="9" customFormat="1">
      <c r="A167" s="63">
        <v>2006.02</v>
      </c>
      <c r="B167" s="1836">
        <v>112.13704736925516</v>
      </c>
    </row>
    <row r="168" spans="1:2" s="9" customFormat="1">
      <c r="A168" s="63">
        <v>2006.03</v>
      </c>
      <c r="B168" s="1836">
        <v>112.59345180495545</v>
      </c>
    </row>
    <row r="169" spans="1:2" s="9" customFormat="1">
      <c r="A169" s="63">
        <v>2006.04</v>
      </c>
      <c r="B169" s="1836">
        <v>113.94957260335678</v>
      </c>
    </row>
    <row r="170" spans="1:2" s="9" customFormat="1">
      <c r="A170" s="63">
        <v>2006.05</v>
      </c>
      <c r="B170" s="1836">
        <v>112.73214769026032</v>
      </c>
    </row>
    <row r="171" spans="1:2" s="9" customFormat="1">
      <c r="A171" s="63">
        <v>2006.06</v>
      </c>
      <c r="B171" s="1836">
        <v>114.05439769933838</v>
      </c>
    </row>
    <row r="172" spans="1:2" s="9" customFormat="1">
      <c r="A172" s="63">
        <v>2006.07</v>
      </c>
      <c r="B172" s="1836">
        <v>114.51005332367872</v>
      </c>
    </row>
    <row r="173" spans="1:2" s="9" customFormat="1">
      <c r="A173" s="63">
        <v>2006.08</v>
      </c>
      <c r="B173" s="1836">
        <v>115.14828724248262</v>
      </c>
    </row>
    <row r="174" spans="1:2" s="9" customFormat="1">
      <c r="A174" s="63">
        <v>2006.09</v>
      </c>
      <c r="B174" s="1836">
        <v>115.8991354290545</v>
      </c>
    </row>
    <row r="175" spans="1:2" s="9" customFormat="1">
      <c r="A175" s="63">
        <v>2006.1</v>
      </c>
      <c r="B175" s="1836">
        <v>117.65762996067311</v>
      </c>
    </row>
    <row r="176" spans="1:2" s="9" customFormat="1">
      <c r="A176" s="63">
        <v>2006.11</v>
      </c>
      <c r="B176" s="1836">
        <v>119.58213984654392</v>
      </c>
    </row>
    <row r="177" spans="1:2" s="9" customFormat="1">
      <c r="A177" s="63">
        <v>2006.12</v>
      </c>
      <c r="B177" s="1836">
        <v>119.15801415953307</v>
      </c>
    </row>
    <row r="178" spans="1:2" s="9" customFormat="1">
      <c r="A178" s="63">
        <v>2007.01</v>
      </c>
      <c r="B178" s="1836">
        <v>118.61044194138965</v>
      </c>
    </row>
    <row r="179" spans="1:2" s="9" customFormat="1">
      <c r="A179" s="63">
        <v>2007.02</v>
      </c>
      <c r="B179" s="1836">
        <v>122.76860194918014</v>
      </c>
    </row>
    <row r="180" spans="1:2" s="9" customFormat="1">
      <c r="A180" s="63">
        <v>2007.03</v>
      </c>
      <c r="B180" s="1836">
        <v>122.16983952968914</v>
      </c>
    </row>
    <row r="181" spans="1:2" s="9" customFormat="1">
      <c r="A181" s="63">
        <v>2007.04</v>
      </c>
      <c r="B181" s="1836">
        <v>121.17787210661604</v>
      </c>
    </row>
    <row r="182" spans="1:2" s="9" customFormat="1">
      <c r="A182" s="63">
        <v>2007.05</v>
      </c>
      <c r="B182" s="1836">
        <v>123.52658246724909</v>
      </c>
    </row>
    <row r="183" spans="1:2" s="9" customFormat="1">
      <c r="A183" s="63">
        <v>2007.06</v>
      </c>
      <c r="B183" s="1836">
        <v>122.50020599056542</v>
      </c>
    </row>
    <row r="184" spans="1:2" s="9" customFormat="1">
      <c r="A184" s="63">
        <v>2007.07</v>
      </c>
      <c r="B184" s="1836">
        <v>121.34899183050432</v>
      </c>
    </row>
    <row r="185" spans="1:2" s="9" customFormat="1">
      <c r="A185" s="63">
        <v>2007.08</v>
      </c>
      <c r="B185" s="1836">
        <v>122.83331998479309</v>
      </c>
    </row>
    <row r="186" spans="1:2" s="9" customFormat="1">
      <c r="A186" s="63">
        <v>2007.09</v>
      </c>
      <c r="B186" s="1836">
        <v>123.88843470881793</v>
      </c>
    </row>
    <row r="187" spans="1:2" s="9" customFormat="1">
      <c r="A187" s="63">
        <v>2007.1</v>
      </c>
      <c r="B187" s="1836">
        <v>127.51898990923854</v>
      </c>
    </row>
    <row r="188" spans="1:2" s="9" customFormat="1">
      <c r="A188" s="63">
        <v>2007.11</v>
      </c>
      <c r="B188" s="1836">
        <v>130.31243228807219</v>
      </c>
    </row>
    <row r="189" spans="1:2" s="9" customFormat="1">
      <c r="A189" s="63">
        <v>2007.12</v>
      </c>
      <c r="B189" s="1836">
        <v>131.67376534722854</v>
      </c>
    </row>
    <row r="190" spans="1:2" s="9" customFormat="1">
      <c r="A190" s="63">
        <f t="shared" ref="A190:A253" si="0">A178+1</f>
        <v>2008.01</v>
      </c>
      <c r="B190" s="1836">
        <v>131.49899207441092</v>
      </c>
    </row>
    <row r="191" spans="1:2" s="9" customFormat="1">
      <c r="A191" s="63">
        <f t="shared" si="0"/>
        <v>2008.02</v>
      </c>
      <c r="B191" s="1836">
        <v>128.59435439909424</v>
      </c>
    </row>
    <row r="192" spans="1:2" s="9" customFormat="1">
      <c r="A192" s="63">
        <f t="shared" si="0"/>
        <v>2008.03</v>
      </c>
      <c r="B192" s="1836">
        <v>130.74656613700319</v>
      </c>
    </row>
    <row r="193" spans="1:2" s="9" customFormat="1">
      <c r="A193" s="63">
        <f t="shared" si="0"/>
        <v>2008.04</v>
      </c>
      <c r="B193" s="1836">
        <v>132.40780651279869</v>
      </c>
    </row>
    <row r="194" spans="1:2" s="9" customFormat="1">
      <c r="A194" s="63">
        <f t="shared" si="0"/>
        <v>2008.05</v>
      </c>
      <c r="B194" s="1836">
        <v>128.01394274143277</v>
      </c>
    </row>
    <row r="195" spans="1:2" s="9" customFormat="1">
      <c r="A195" s="63">
        <f t="shared" si="0"/>
        <v>2008.06</v>
      </c>
      <c r="B195" s="1836">
        <v>125.50870651924431</v>
      </c>
    </row>
    <row r="196" spans="1:2" s="9" customFormat="1">
      <c r="A196" s="63">
        <f t="shared" si="0"/>
        <v>2008.07</v>
      </c>
      <c r="B196" s="1836">
        <v>128.61540847445534</v>
      </c>
    </row>
    <row r="197" spans="1:2" s="9" customFormat="1">
      <c r="A197" s="63">
        <f t="shared" si="0"/>
        <v>2008.08</v>
      </c>
      <c r="B197" s="1836">
        <v>125.45884433314457</v>
      </c>
    </row>
    <row r="198" spans="1:2" s="9" customFormat="1">
      <c r="A198" s="63">
        <f t="shared" si="0"/>
        <v>2008.09</v>
      </c>
      <c r="B198" s="1836">
        <v>124.88992809579086</v>
      </c>
    </row>
    <row r="199" spans="1:2" s="9" customFormat="1">
      <c r="A199" s="63">
        <f t="shared" si="0"/>
        <v>2008.1</v>
      </c>
      <c r="B199" s="1836">
        <v>113.16672985358791</v>
      </c>
    </row>
    <row r="200" spans="1:2" s="9" customFormat="1">
      <c r="A200" s="63">
        <f t="shared" si="0"/>
        <v>2008.11</v>
      </c>
      <c r="B200" s="1836">
        <v>110.03851900428012</v>
      </c>
    </row>
    <row r="201" spans="1:2" s="9" customFormat="1">
      <c r="A201" s="63">
        <f t="shared" si="0"/>
        <v>2008.12</v>
      </c>
      <c r="B201" s="1836">
        <v>105.53838967227637</v>
      </c>
    </row>
    <row r="202" spans="1:2" s="9" customFormat="1">
      <c r="A202" s="63">
        <f t="shared" si="0"/>
        <v>2009.01</v>
      </c>
      <c r="B202" s="1836">
        <v>108.45242305816924</v>
      </c>
    </row>
    <row r="203" spans="1:2" s="9" customFormat="1">
      <c r="A203" s="63">
        <f t="shared" si="0"/>
        <v>2009.02</v>
      </c>
      <c r="B203" s="1836">
        <v>106.99114446467821</v>
      </c>
    </row>
    <row r="204" spans="1:2" s="9" customFormat="1">
      <c r="A204" s="63">
        <f t="shared" si="0"/>
        <v>2009.03</v>
      </c>
      <c r="B204" s="1836">
        <v>106.27117496530033</v>
      </c>
    </row>
    <row r="205" spans="1:2" s="9" customFormat="1">
      <c r="A205" s="63">
        <f t="shared" si="0"/>
        <v>2009.04</v>
      </c>
      <c r="B205" s="1836">
        <v>108.0896576160635</v>
      </c>
    </row>
    <row r="206" spans="1:2" s="9" customFormat="1">
      <c r="A206" s="63">
        <f t="shared" si="0"/>
        <v>2009.05</v>
      </c>
      <c r="B206" s="1836">
        <v>110.87282455020794</v>
      </c>
    </row>
    <row r="207" spans="1:2" s="9" customFormat="1">
      <c r="A207" s="63">
        <f t="shared" si="0"/>
        <v>2009.06</v>
      </c>
      <c r="B207" s="1836">
        <v>112.90436370492193</v>
      </c>
    </row>
    <row r="208" spans="1:2" s="9" customFormat="1">
      <c r="A208" s="63">
        <f t="shared" si="0"/>
        <v>2009.07</v>
      </c>
      <c r="B208" s="1836">
        <v>113.91611663409979</v>
      </c>
    </row>
    <row r="209" spans="1:2" s="9" customFormat="1">
      <c r="A209" s="63">
        <f t="shared" si="0"/>
        <v>2009.08</v>
      </c>
      <c r="B209" s="1836">
        <v>115.03879977755037</v>
      </c>
    </row>
    <row r="210" spans="1:2" s="9" customFormat="1">
      <c r="A210" s="63">
        <f t="shared" si="0"/>
        <v>2009.09</v>
      </c>
      <c r="B210" s="1836">
        <v>116.92175433053484</v>
      </c>
    </row>
    <row r="211" spans="1:2" s="9" customFormat="1">
      <c r="A211" s="63">
        <f t="shared" si="0"/>
        <v>2009.1</v>
      </c>
      <c r="B211" s="1836">
        <v>118.38537672459461</v>
      </c>
    </row>
    <row r="212" spans="1:2" s="9" customFormat="1">
      <c r="A212" s="63">
        <f t="shared" si="0"/>
        <v>2009.11</v>
      </c>
      <c r="B212" s="1836">
        <v>117.763152123339</v>
      </c>
    </row>
    <row r="213" spans="1:2" s="9" customFormat="1">
      <c r="A213" s="63">
        <f t="shared" si="0"/>
        <v>2009.12</v>
      </c>
      <c r="B213" s="1836">
        <v>120.05004217593633</v>
      </c>
    </row>
    <row r="214" spans="1:2" s="9" customFormat="1">
      <c r="A214" s="63">
        <f t="shared" si="0"/>
        <v>2010.01</v>
      </c>
      <c r="B214" s="1836">
        <v>120.46366075344002</v>
      </c>
    </row>
    <row r="215" spans="1:2" s="9" customFormat="1">
      <c r="A215" s="63">
        <f t="shared" si="0"/>
        <v>2010.02</v>
      </c>
      <c r="B215" s="1836">
        <v>122.55061263471819</v>
      </c>
    </row>
    <row r="216" spans="1:2" s="9" customFormat="1">
      <c r="A216" s="63">
        <f t="shared" si="0"/>
        <v>2010.03</v>
      </c>
      <c r="B216" s="1836">
        <v>124.33742125468402</v>
      </c>
    </row>
    <row r="217" spans="1:2" s="9" customFormat="1">
      <c r="A217" s="63">
        <f t="shared" si="0"/>
        <v>2010.04</v>
      </c>
      <c r="B217" s="1836">
        <v>125.29765782219772</v>
      </c>
    </row>
    <row r="218" spans="1:2" s="9" customFormat="1">
      <c r="A218" s="63">
        <f t="shared" si="0"/>
        <v>2010.05</v>
      </c>
      <c r="B218" s="1836">
        <v>124.19404098751284</v>
      </c>
    </row>
    <row r="219" spans="1:2" s="9" customFormat="1">
      <c r="A219" s="63">
        <f t="shared" si="0"/>
        <v>2010.06</v>
      </c>
      <c r="B219" s="1836">
        <v>125.7463896669634</v>
      </c>
    </row>
    <row r="220" spans="1:2" s="9" customFormat="1">
      <c r="A220" s="63">
        <f t="shared" si="0"/>
        <v>2010.07</v>
      </c>
      <c r="B220" s="1836">
        <v>127.2086560419888</v>
      </c>
    </row>
    <row r="221" spans="1:2" s="9" customFormat="1">
      <c r="A221" s="63">
        <f t="shared" si="0"/>
        <v>2010.08</v>
      </c>
      <c r="B221" s="1836">
        <v>130.06151486846431</v>
      </c>
    </row>
    <row r="222" spans="1:2" s="9" customFormat="1">
      <c r="A222" s="63">
        <f t="shared" si="0"/>
        <v>2010.09</v>
      </c>
      <c r="B222" s="1836">
        <v>133.48355201282976</v>
      </c>
    </row>
    <row r="223" spans="1:2" s="9" customFormat="1">
      <c r="A223" s="63">
        <f t="shared" si="0"/>
        <v>2010.1</v>
      </c>
      <c r="B223" s="1836">
        <v>136.51401842585986</v>
      </c>
    </row>
    <row r="224" spans="1:2" s="9" customFormat="1">
      <c r="A224" s="63">
        <f t="shared" si="0"/>
        <v>2010.11</v>
      </c>
      <c r="B224" s="1836">
        <v>143.02637383744019</v>
      </c>
    </row>
    <row r="225" spans="1:2" s="9" customFormat="1">
      <c r="A225" s="63">
        <f t="shared" si="0"/>
        <v>2010.12</v>
      </c>
      <c r="B225" s="1836">
        <v>144.97590738205514</v>
      </c>
    </row>
    <row r="226" spans="1:2" s="9" customFormat="1">
      <c r="A226" s="63">
        <f t="shared" si="0"/>
        <v>2011.01</v>
      </c>
      <c r="B226" s="1836">
        <v>145.54289518424713</v>
      </c>
    </row>
    <row r="227" spans="1:2" s="9" customFormat="1">
      <c r="A227" s="63">
        <f t="shared" si="0"/>
        <v>2011.02</v>
      </c>
      <c r="B227" s="1836">
        <v>147.07698827343313</v>
      </c>
    </row>
    <row r="228" spans="1:2" s="9" customFormat="1">
      <c r="A228" s="63">
        <f t="shared" si="0"/>
        <v>2011.03</v>
      </c>
      <c r="B228" s="1836">
        <v>146.6753105623898</v>
      </c>
    </row>
    <row r="229" spans="1:2" s="9" customFormat="1">
      <c r="A229" s="63">
        <f t="shared" si="0"/>
        <v>2011.04</v>
      </c>
      <c r="B229" s="1836">
        <v>145.76636369052753</v>
      </c>
    </row>
    <row r="230" spans="1:2" s="9" customFormat="1">
      <c r="A230" s="63">
        <f t="shared" si="0"/>
        <v>2011.05</v>
      </c>
      <c r="B230" s="1836">
        <v>147.8650056641431</v>
      </c>
    </row>
    <row r="231" spans="1:2" s="9" customFormat="1">
      <c r="A231" s="63">
        <f t="shared" si="0"/>
        <v>2011.06</v>
      </c>
      <c r="B231" s="1836">
        <v>145.15985346684207</v>
      </c>
    </row>
    <row r="232" spans="1:2" s="9" customFormat="1">
      <c r="A232" s="63">
        <f t="shared" si="0"/>
        <v>2011.07</v>
      </c>
      <c r="B232" s="1836">
        <v>145.65636623014041</v>
      </c>
    </row>
    <row r="233" spans="1:2" s="9" customFormat="1">
      <c r="A233" s="63">
        <f t="shared" si="0"/>
        <v>2011.08</v>
      </c>
      <c r="B233" s="1836">
        <v>144.04879647672101</v>
      </c>
    </row>
    <row r="234" spans="1:2" s="9" customFormat="1">
      <c r="A234" s="63">
        <f t="shared" si="0"/>
        <v>2011.09</v>
      </c>
      <c r="B234" s="1836">
        <v>142.11333202590851</v>
      </c>
    </row>
    <row r="235" spans="1:2" s="9" customFormat="1">
      <c r="A235" s="63">
        <f t="shared" si="0"/>
        <v>2011.1</v>
      </c>
      <c r="B235" s="1836">
        <v>141.02551140763507</v>
      </c>
    </row>
    <row r="236" spans="1:2" s="9" customFormat="1">
      <c r="A236" s="63">
        <f t="shared" si="0"/>
        <v>2011.11</v>
      </c>
      <c r="B236" s="1836">
        <v>138.80949403249127</v>
      </c>
    </row>
    <row r="237" spans="1:2" s="9" customFormat="1">
      <c r="A237" s="63">
        <f t="shared" si="0"/>
        <v>2011.12</v>
      </c>
      <c r="B237" s="1836">
        <v>136.54960493329676</v>
      </c>
    </row>
    <row r="238" spans="1:2" s="9" customFormat="1">
      <c r="A238" s="63">
        <f t="shared" si="0"/>
        <v>2012.01</v>
      </c>
      <c r="B238" s="1836">
        <v>136.54981969158695</v>
      </c>
    </row>
    <row r="239" spans="1:2" s="9" customFormat="1">
      <c r="A239" s="63">
        <f t="shared" si="0"/>
        <v>2012.02</v>
      </c>
      <c r="B239" s="1836">
        <v>133.95221333935422</v>
      </c>
    </row>
    <row r="240" spans="1:2" s="9" customFormat="1">
      <c r="A240" s="63">
        <f t="shared" si="0"/>
        <v>2012.03</v>
      </c>
      <c r="B240" s="1836">
        <v>137.95463872840509</v>
      </c>
    </row>
    <row r="241" spans="1:2" s="9" customFormat="1">
      <c r="A241" s="63">
        <f t="shared" si="0"/>
        <v>2012.04</v>
      </c>
      <c r="B241" s="1836">
        <v>131.62816875691067</v>
      </c>
    </row>
    <row r="242" spans="1:2" s="9" customFormat="1">
      <c r="A242" s="63">
        <f t="shared" si="0"/>
        <v>2012.05</v>
      </c>
      <c r="B242" s="1836">
        <v>133.24600516506118</v>
      </c>
    </row>
    <row r="243" spans="1:2" s="9" customFormat="1">
      <c r="A243" s="63">
        <f t="shared" si="0"/>
        <v>2012.06</v>
      </c>
      <c r="B243" s="1836">
        <v>134.03485724438409</v>
      </c>
    </row>
    <row r="244" spans="1:2" s="9" customFormat="1">
      <c r="A244" s="63">
        <f t="shared" si="0"/>
        <v>2012.07</v>
      </c>
      <c r="B244" s="1836">
        <v>133.95212124504971</v>
      </c>
    </row>
    <row r="245" spans="1:2" s="9" customFormat="1">
      <c r="A245" s="63">
        <f t="shared" si="0"/>
        <v>2012.08</v>
      </c>
      <c r="B245" s="1836">
        <v>131.5929651162958</v>
      </c>
    </row>
    <row r="246" spans="1:2" s="9" customFormat="1">
      <c r="A246" s="63">
        <f t="shared" si="0"/>
        <v>2012.09</v>
      </c>
      <c r="B246" s="1836">
        <v>132.56821863240603</v>
      </c>
    </row>
    <row r="247" spans="1:2" s="9" customFormat="1">
      <c r="A247" s="63">
        <f t="shared" si="0"/>
        <v>2012.1</v>
      </c>
      <c r="B247" s="1836">
        <v>131.66315205227437</v>
      </c>
    </row>
    <row r="248" spans="1:2" s="9" customFormat="1">
      <c r="A248" s="63">
        <f t="shared" si="0"/>
        <v>2012.11</v>
      </c>
      <c r="B248" s="1836">
        <v>132.1433155983579</v>
      </c>
    </row>
    <row r="249" spans="1:2" s="9" customFormat="1">
      <c r="A249" s="63">
        <f t="shared" si="0"/>
        <v>2012.12</v>
      </c>
      <c r="B249" s="1836">
        <v>134.82509988880409</v>
      </c>
    </row>
    <row r="250" spans="1:2" s="9" customFormat="1">
      <c r="A250" s="63">
        <f t="shared" si="0"/>
        <v>2013.01</v>
      </c>
      <c r="B250" s="1836">
        <v>136.76160143698772</v>
      </c>
    </row>
    <row r="251" spans="1:2" s="9" customFormat="1">
      <c r="A251" s="63">
        <f t="shared" si="0"/>
        <v>2013.02</v>
      </c>
      <c r="B251" s="1836">
        <v>139.75450750111915</v>
      </c>
    </row>
    <row r="252" spans="1:2" s="9" customFormat="1">
      <c r="A252" s="63">
        <f t="shared" si="0"/>
        <v>2013.03</v>
      </c>
      <c r="B252" s="1836">
        <v>140.69217056290688</v>
      </c>
    </row>
    <row r="253" spans="1:2" s="9" customFormat="1">
      <c r="A253" s="63">
        <f t="shared" si="0"/>
        <v>2013.04</v>
      </c>
      <c r="B253" s="1836">
        <v>141.16870006608647</v>
      </c>
    </row>
    <row r="254" spans="1:2" s="9" customFormat="1">
      <c r="A254" s="63">
        <f t="shared" ref="A254:A317" si="1">A242+1</f>
        <v>2013.05</v>
      </c>
      <c r="B254" s="1836">
        <v>142.09912950415915</v>
      </c>
    </row>
    <row r="255" spans="1:2" s="9" customFormat="1">
      <c r="A255" s="63">
        <f t="shared" si="1"/>
        <v>2013.06</v>
      </c>
      <c r="B255" s="1836">
        <v>138.75374574751757</v>
      </c>
    </row>
    <row r="256" spans="1:2" s="9" customFormat="1">
      <c r="A256" s="63">
        <f t="shared" si="1"/>
        <v>2013.07</v>
      </c>
      <c r="B256" s="1836">
        <v>140.90644202168909</v>
      </c>
    </row>
    <row r="257" spans="1:2" s="9" customFormat="1">
      <c r="A257" s="63">
        <f t="shared" si="1"/>
        <v>2013.08</v>
      </c>
      <c r="B257" s="1836">
        <v>144.15994659179398</v>
      </c>
    </row>
    <row r="258" spans="1:2" s="9" customFormat="1">
      <c r="A258" s="63">
        <f t="shared" si="1"/>
        <v>2013.09</v>
      </c>
      <c r="B258" s="1836">
        <v>144.65783595996567</v>
      </c>
    </row>
    <row r="259" spans="1:2" s="9" customFormat="1">
      <c r="A259" s="63">
        <f t="shared" si="1"/>
        <v>2013.1</v>
      </c>
      <c r="B259" s="1836">
        <v>146.96956569575147</v>
      </c>
    </row>
    <row r="260" spans="1:2" s="9" customFormat="1">
      <c r="A260" s="63">
        <f t="shared" si="1"/>
        <v>2013.11</v>
      </c>
      <c r="B260" s="1836">
        <v>146.22305486871167</v>
      </c>
    </row>
    <row r="261" spans="1:2" s="9" customFormat="1">
      <c r="A261" s="63">
        <f t="shared" si="1"/>
        <v>2013.12</v>
      </c>
      <c r="B261" s="1836">
        <v>144.324743779942</v>
      </c>
    </row>
    <row r="262" spans="1:2" s="9" customFormat="1">
      <c r="A262" s="63">
        <f t="shared" si="1"/>
        <v>2014.01</v>
      </c>
      <c r="B262" s="1836">
        <v>141.5576923950658</v>
      </c>
    </row>
    <row r="263" spans="1:2" s="9" customFormat="1">
      <c r="A263" s="63">
        <f t="shared" si="1"/>
        <v>2014.02</v>
      </c>
      <c r="B263" s="1836">
        <v>138.66045245643321</v>
      </c>
    </row>
    <row r="264" spans="1:2" s="9" customFormat="1">
      <c r="A264" s="63">
        <f t="shared" si="1"/>
        <v>2014.03</v>
      </c>
      <c r="B264" s="1836">
        <v>137.43063389517258</v>
      </c>
    </row>
    <row r="265" spans="1:2" s="9" customFormat="1">
      <c r="A265" s="63">
        <f t="shared" si="1"/>
        <v>2014.04</v>
      </c>
      <c r="B265" s="1836">
        <v>139.21007252197577</v>
      </c>
    </row>
    <row r="266" spans="1:2" s="9" customFormat="1">
      <c r="A266" s="63">
        <f t="shared" si="1"/>
        <v>2014.05</v>
      </c>
      <c r="B266" s="1836">
        <v>138.64371745363479</v>
      </c>
    </row>
    <row r="267" spans="1:2" s="9" customFormat="1">
      <c r="A267" s="63">
        <f t="shared" si="1"/>
        <v>2014.06</v>
      </c>
      <c r="B267" s="1836">
        <v>140.11550410904954</v>
      </c>
    </row>
    <row r="268" spans="1:2" s="9" customFormat="1">
      <c r="A268" s="63">
        <f t="shared" si="1"/>
        <v>2014.07</v>
      </c>
      <c r="B268" s="1836">
        <v>140.00480629554329</v>
      </c>
    </row>
    <row r="269" spans="1:2" s="9" customFormat="1">
      <c r="A269" s="63">
        <f t="shared" si="1"/>
        <v>2014.08</v>
      </c>
      <c r="B269" s="1836">
        <v>141.14466349005295</v>
      </c>
    </row>
    <row r="270" spans="1:2" s="9" customFormat="1">
      <c r="A270" s="63">
        <f t="shared" si="1"/>
        <v>2014.09</v>
      </c>
      <c r="B270" s="1836">
        <v>142.48615993024066</v>
      </c>
    </row>
    <row r="271" spans="1:2" s="9" customFormat="1">
      <c r="A271" s="63">
        <f t="shared" si="1"/>
        <v>2014.1</v>
      </c>
      <c r="B271" s="1836">
        <v>139.46634990758847</v>
      </c>
    </row>
    <row r="272" spans="1:2" s="9" customFormat="1">
      <c r="A272" s="63">
        <f t="shared" si="1"/>
        <v>2014.11</v>
      </c>
      <c r="B272" s="1836">
        <v>140.13273346904964</v>
      </c>
    </row>
    <row r="273" spans="1:2" s="9" customFormat="1">
      <c r="A273" s="63">
        <f t="shared" si="1"/>
        <v>2014.12</v>
      </c>
      <c r="B273" s="1836">
        <v>139.49841833411989</v>
      </c>
    </row>
    <row r="274" spans="1:2" s="9" customFormat="1">
      <c r="A274" s="63">
        <f t="shared" si="1"/>
        <v>2015.01</v>
      </c>
      <c r="B274" s="1836">
        <v>137.85696726236836</v>
      </c>
    </row>
    <row r="275" spans="1:2" s="9" customFormat="1">
      <c r="A275" s="63">
        <f t="shared" si="1"/>
        <v>2015.02</v>
      </c>
      <c r="B275" s="1836">
        <v>143.83574553185383</v>
      </c>
    </row>
    <row r="276" spans="1:2" s="9" customFormat="1">
      <c r="A276" s="63">
        <f t="shared" si="1"/>
        <v>2015.03</v>
      </c>
      <c r="B276" s="1836">
        <v>144.98570371142389</v>
      </c>
    </row>
    <row r="277" spans="1:2" s="9" customFormat="1">
      <c r="A277" s="63">
        <f t="shared" si="1"/>
        <v>2015.04</v>
      </c>
      <c r="B277" s="1836">
        <v>142.93786997787308</v>
      </c>
    </row>
    <row r="278" spans="1:2" s="9" customFormat="1">
      <c r="A278" s="63">
        <f t="shared" si="1"/>
        <v>2015.05</v>
      </c>
      <c r="B278" s="1836">
        <v>138.66554979783862</v>
      </c>
    </row>
    <row r="279" spans="1:2" s="9" customFormat="1">
      <c r="A279" s="63">
        <f t="shared" si="1"/>
        <v>2015.06</v>
      </c>
      <c r="B279" s="1836">
        <v>142.15420592629991</v>
      </c>
    </row>
    <row r="280" spans="1:2" s="9" customFormat="1">
      <c r="A280" s="63">
        <f t="shared" si="1"/>
        <v>2015.07</v>
      </c>
      <c r="B280" s="1836">
        <v>142.51727327735679</v>
      </c>
    </row>
    <row r="281" spans="1:2" s="9" customFormat="1">
      <c r="A281" s="63">
        <f t="shared" si="1"/>
        <v>2015.08</v>
      </c>
      <c r="B281" s="1836">
        <v>140.89381615415266</v>
      </c>
    </row>
    <row r="282" spans="1:2" s="9" customFormat="1">
      <c r="A282" s="63">
        <f t="shared" si="1"/>
        <v>2015.09</v>
      </c>
      <c r="B282" s="1836">
        <v>138.22882314170914</v>
      </c>
    </row>
    <row r="283" spans="1:2" s="9" customFormat="1">
      <c r="A283" s="63">
        <f t="shared" si="1"/>
        <v>2015.1</v>
      </c>
      <c r="B283" s="1836">
        <v>142.90857843981354</v>
      </c>
    </row>
    <row r="284" spans="1:2" s="9" customFormat="1">
      <c r="A284" s="63">
        <f t="shared" si="1"/>
        <v>2015.11</v>
      </c>
      <c r="B284" s="1836">
        <v>142.56666597168578</v>
      </c>
    </row>
    <row r="285" spans="1:2" s="9" customFormat="1">
      <c r="A285" s="63">
        <f t="shared" si="1"/>
        <v>2015.12</v>
      </c>
      <c r="B285" s="1836">
        <v>136.60250678422264</v>
      </c>
    </row>
    <row r="286" spans="1:2" s="9" customFormat="1">
      <c r="A286" s="63">
        <f t="shared" si="1"/>
        <v>2016.01</v>
      </c>
      <c r="B286" s="1836">
        <v>136.18243692301959</v>
      </c>
    </row>
    <row r="287" spans="1:2" s="9" customFormat="1">
      <c r="A287" s="63">
        <f t="shared" si="1"/>
        <v>2016.02</v>
      </c>
      <c r="B287" s="1836">
        <v>132.70909366005992</v>
      </c>
    </row>
    <row r="288" spans="1:2" s="9" customFormat="1">
      <c r="A288" s="63">
        <f t="shared" si="1"/>
        <v>2016.03</v>
      </c>
      <c r="B288" s="1836">
        <v>131.6740192222652</v>
      </c>
    </row>
    <row r="289" spans="1:2" s="9" customFormat="1">
      <c r="A289" s="63">
        <f t="shared" si="1"/>
        <v>2016.04</v>
      </c>
      <c r="B289" s="1836">
        <v>129.99343408123943</v>
      </c>
    </row>
    <row r="290" spans="1:2" s="9" customFormat="1">
      <c r="A290" s="63">
        <f t="shared" si="1"/>
        <v>2016.05</v>
      </c>
      <c r="B290" s="1836">
        <v>130.70982205921496</v>
      </c>
    </row>
    <row r="291" spans="1:2" s="9" customFormat="1">
      <c r="A291" s="63">
        <f t="shared" si="1"/>
        <v>2016.06</v>
      </c>
      <c r="B291" s="1836">
        <v>132.30494975213338</v>
      </c>
    </row>
    <row r="292" spans="1:2" s="9" customFormat="1">
      <c r="A292" s="63">
        <f t="shared" si="1"/>
        <v>2016.07</v>
      </c>
      <c r="B292" s="1836">
        <v>131.35317860245303</v>
      </c>
    </row>
    <row r="293" spans="1:2" s="9" customFormat="1">
      <c r="A293" s="63">
        <f t="shared" si="1"/>
        <v>2016.08</v>
      </c>
      <c r="B293" s="1836">
        <v>130.97133328499226</v>
      </c>
    </row>
    <row r="294" spans="1:2" s="9" customFormat="1">
      <c r="A294" s="63">
        <f t="shared" si="1"/>
        <v>2016.09</v>
      </c>
      <c r="B294" s="1836">
        <v>131.65016751015995</v>
      </c>
    </row>
    <row r="295" spans="1:2" s="9" customFormat="1">
      <c r="A295" s="63">
        <f t="shared" si="1"/>
        <v>2016.1</v>
      </c>
      <c r="B295" s="1836">
        <v>130.38619055926671</v>
      </c>
    </row>
    <row r="296" spans="1:2" s="9" customFormat="1">
      <c r="A296" s="63">
        <f t="shared" si="1"/>
        <v>2016.11</v>
      </c>
      <c r="B296" s="1836">
        <v>133.10735532703487</v>
      </c>
    </row>
    <row r="297" spans="1:2" s="9" customFormat="1">
      <c r="A297" s="63">
        <f t="shared" si="1"/>
        <v>2016.12</v>
      </c>
      <c r="B297" s="1836">
        <v>135.96576902853946</v>
      </c>
    </row>
    <row r="298" spans="1:2" s="9" customFormat="1">
      <c r="A298" s="63">
        <f t="shared" si="1"/>
        <v>2017.01</v>
      </c>
      <c r="B298" s="1836">
        <v>135.78511189538628</v>
      </c>
    </row>
    <row r="299" spans="1:2" s="9" customFormat="1">
      <c r="A299" s="63">
        <f t="shared" si="1"/>
        <v>2017.02</v>
      </c>
      <c r="B299" s="1836">
        <v>135.484039660821</v>
      </c>
    </row>
    <row r="300" spans="1:2" s="9" customFormat="1">
      <c r="A300" s="63">
        <f t="shared" si="1"/>
        <v>2017.03</v>
      </c>
      <c r="B300" s="1836">
        <v>137.19588496348885</v>
      </c>
    </row>
    <row r="301" spans="1:2" s="9" customFormat="1">
      <c r="A301" s="63">
        <f t="shared" si="1"/>
        <v>2017.04</v>
      </c>
      <c r="B301" s="1836">
        <v>138.4213345230786</v>
      </c>
    </row>
    <row r="302" spans="1:2" s="9" customFormat="1">
      <c r="A302" s="63">
        <f t="shared" si="1"/>
        <v>2017.05</v>
      </c>
      <c r="B302" s="1836">
        <v>139.35585379522436</v>
      </c>
    </row>
    <row r="303" spans="1:2" s="9" customFormat="1">
      <c r="A303" s="63">
        <f t="shared" si="1"/>
        <v>2017.06</v>
      </c>
      <c r="B303" s="1836">
        <v>139.32280839986001</v>
      </c>
    </row>
    <row r="304" spans="1:2" s="9" customFormat="1">
      <c r="A304" s="63">
        <f t="shared" si="1"/>
        <v>2017.07</v>
      </c>
      <c r="B304" s="1836">
        <v>140.10321764123836</v>
      </c>
    </row>
    <row r="305" spans="1:2" s="9" customFormat="1">
      <c r="A305" s="63">
        <f t="shared" si="1"/>
        <v>2017.08</v>
      </c>
      <c r="B305" s="1836">
        <v>141.31584836608445</v>
      </c>
    </row>
    <row r="306" spans="1:2" s="9" customFormat="1">
      <c r="A306" s="63">
        <f t="shared" si="1"/>
        <v>2017.09</v>
      </c>
      <c r="B306" s="1836">
        <v>143.39418082593113</v>
      </c>
    </row>
    <row r="307" spans="1:2" s="9" customFormat="1">
      <c r="A307" s="63">
        <f t="shared" si="1"/>
        <v>2017.1</v>
      </c>
      <c r="B307" s="1836">
        <v>146.43731341894863</v>
      </c>
    </row>
    <row r="308" spans="1:2" s="9" customFormat="1">
      <c r="A308" s="63">
        <f t="shared" si="1"/>
        <v>2017.11</v>
      </c>
      <c r="B308" s="1836">
        <v>147.44378463695742</v>
      </c>
    </row>
    <row r="309" spans="1:2" s="9" customFormat="1">
      <c r="A309" s="63">
        <f t="shared" si="1"/>
        <v>2017.12</v>
      </c>
      <c r="B309" s="1836">
        <v>145.48241452531116</v>
      </c>
    </row>
    <row r="310" spans="1:2" s="9" customFormat="1">
      <c r="A310" s="63">
        <f t="shared" si="1"/>
        <v>2018.01</v>
      </c>
      <c r="B310" s="1836">
        <v>147.28917769786443</v>
      </c>
    </row>
    <row r="311" spans="1:2" s="9" customFormat="1">
      <c r="A311" s="63">
        <f t="shared" si="1"/>
        <v>2018.02</v>
      </c>
      <c r="B311" s="1836">
        <v>149.77256061951289</v>
      </c>
    </row>
    <row r="312" spans="1:2" s="9" customFormat="1">
      <c r="A312" s="63">
        <f t="shared" si="1"/>
        <v>2018.03</v>
      </c>
      <c r="B312" s="1836">
        <v>148.0700098366022</v>
      </c>
    </row>
    <row r="313" spans="1:2" s="9" customFormat="1">
      <c r="A313" s="63">
        <f t="shared" si="1"/>
        <v>2018.04</v>
      </c>
      <c r="B313" s="1836">
        <v>147.93448649084445</v>
      </c>
    </row>
    <row r="314" spans="1:2" s="9" customFormat="1">
      <c r="A314" s="63">
        <f t="shared" si="1"/>
        <v>2018.05</v>
      </c>
      <c r="B314" s="1836">
        <v>141.86940089191603</v>
      </c>
    </row>
    <row r="315" spans="1:2" s="9" customFormat="1">
      <c r="A315" s="63">
        <f t="shared" si="1"/>
        <v>2018.06</v>
      </c>
      <c r="B315" s="1836">
        <v>138.10367329240555</v>
      </c>
    </row>
    <row r="316" spans="1:2" s="9" customFormat="1">
      <c r="A316" s="63">
        <f t="shared" si="1"/>
        <v>2018.07</v>
      </c>
      <c r="B316" s="1836">
        <v>134.45597296623748</v>
      </c>
    </row>
    <row r="317" spans="1:2" s="9" customFormat="1">
      <c r="A317" s="63">
        <f t="shared" si="1"/>
        <v>2018.08</v>
      </c>
      <c r="B317" s="1836">
        <v>135.97565052281263</v>
      </c>
    </row>
    <row r="318" spans="1:2" s="9" customFormat="1">
      <c r="A318" s="63">
        <f t="shared" ref="A318:A381" si="2">A306+1</f>
        <v>2018.09</v>
      </c>
      <c r="B318" s="1836">
        <v>131.69411205317653</v>
      </c>
    </row>
    <row r="319" spans="1:2" s="9" customFormat="1">
      <c r="A319" s="63">
        <f t="shared" si="2"/>
        <v>2018.1</v>
      </c>
      <c r="B319" s="1836">
        <v>126.00567469493507</v>
      </c>
    </row>
    <row r="320" spans="1:2" s="9" customFormat="1">
      <c r="A320" s="63">
        <f t="shared" si="2"/>
        <v>2018.11</v>
      </c>
      <c r="B320" s="1836">
        <v>124.01854908502087</v>
      </c>
    </row>
    <row r="321" spans="1:2" s="9" customFormat="1">
      <c r="A321" s="63">
        <f t="shared" si="2"/>
        <v>2018.12</v>
      </c>
      <c r="B321" s="1836">
        <v>123.70044845017206</v>
      </c>
    </row>
    <row r="322" spans="1:2" s="9" customFormat="1">
      <c r="A322" s="63">
        <f t="shared" si="2"/>
        <v>2019.01</v>
      </c>
      <c r="B322" s="1836">
        <v>121.13803634701409</v>
      </c>
    </row>
    <row r="323" spans="1:2" s="9" customFormat="1">
      <c r="A323" s="63">
        <f t="shared" si="2"/>
        <v>2019.02</v>
      </c>
      <c r="B323" s="1836">
        <v>124.49995492595781</v>
      </c>
    </row>
    <row r="324" spans="1:2" s="9" customFormat="1">
      <c r="A324" s="63">
        <f t="shared" si="2"/>
        <v>2019.03</v>
      </c>
      <c r="B324" s="1836">
        <v>120.07006746459366</v>
      </c>
    </row>
    <row r="325" spans="1:2" s="9" customFormat="1">
      <c r="A325" s="63">
        <f t="shared" si="2"/>
        <v>2019.04</v>
      </c>
      <c r="B325" s="1836">
        <v>118.88352416445468</v>
      </c>
    </row>
    <row r="326" spans="1:2" s="9" customFormat="1">
      <c r="A326" s="63">
        <f t="shared" si="2"/>
        <v>2019.05</v>
      </c>
      <c r="B326" s="1836">
        <v>119.79172554609843</v>
      </c>
    </row>
    <row r="327" spans="1:2" s="9" customFormat="1">
      <c r="A327" s="63">
        <f t="shared" si="2"/>
        <v>2019.06</v>
      </c>
      <c r="B327" s="1836">
        <v>124.70100123915819</v>
      </c>
    </row>
    <row r="328" spans="1:2" s="9" customFormat="1">
      <c r="A328" s="63">
        <f t="shared" si="2"/>
        <v>2019.07</v>
      </c>
      <c r="B328" s="1836">
        <v>124.72097368680649</v>
      </c>
    </row>
    <row r="329" spans="1:2" s="9" customFormat="1">
      <c r="A329" s="63">
        <f t="shared" si="2"/>
        <v>2019.08</v>
      </c>
      <c r="B329" s="1836">
        <v>117.8690736829037</v>
      </c>
    </row>
    <row r="330" spans="1:2" s="9" customFormat="1">
      <c r="A330" s="63">
        <f t="shared" si="2"/>
        <v>2019.09</v>
      </c>
      <c r="B330" s="1836">
        <v>115.15069656963087</v>
      </c>
    </row>
    <row r="331" spans="1:2" s="9" customFormat="1">
      <c r="A331" s="63">
        <f t="shared" si="2"/>
        <v>2019.1</v>
      </c>
      <c r="B331" s="1836">
        <v>115.68836770075131</v>
      </c>
    </row>
    <row r="332" spans="1:2" s="9" customFormat="1">
      <c r="A332" s="63">
        <f t="shared" si="2"/>
        <v>2019.11</v>
      </c>
      <c r="B332" s="1836">
        <v>112.84759913223184</v>
      </c>
    </row>
    <row r="333" spans="1:2" s="9" customFormat="1">
      <c r="A333" s="63">
        <f t="shared" si="2"/>
        <v>2019.12</v>
      </c>
      <c r="B333" s="1836">
        <v>113.52578319229757</v>
      </c>
    </row>
    <row r="334" spans="1:2" s="9" customFormat="1">
      <c r="A334" s="63">
        <f t="shared" si="2"/>
        <v>2020.01</v>
      </c>
      <c r="B334" s="1836">
        <v>115.89844580213263</v>
      </c>
    </row>
    <row r="335" spans="1:2" s="9" customFormat="1">
      <c r="A335" s="63">
        <f t="shared" si="2"/>
        <v>2020.02</v>
      </c>
      <c r="B335" s="1836">
        <v>111.83959698875783</v>
      </c>
    </row>
    <row r="336" spans="1:2" s="9" customFormat="1">
      <c r="A336" s="63">
        <f t="shared" si="2"/>
        <v>2020.03</v>
      </c>
      <c r="B336" s="1836">
        <v>100.36602351837078</v>
      </c>
    </row>
    <row r="337" spans="1:2" s="9" customFormat="1">
      <c r="A337" s="63">
        <f t="shared" si="2"/>
        <v>2020.04</v>
      </c>
      <c r="B337" s="1836">
        <v>91.729881195115411</v>
      </c>
    </row>
    <row r="338" spans="1:2" s="9" customFormat="1">
      <c r="A338" s="63">
        <f t="shared" si="2"/>
        <v>2020.05</v>
      </c>
      <c r="B338" s="1836">
        <v>105.34889302640914</v>
      </c>
    </row>
    <row r="339" spans="1:2" s="9" customFormat="1">
      <c r="A339" s="63">
        <f t="shared" si="2"/>
        <v>2020.06</v>
      </c>
      <c r="B339" s="1836">
        <v>113.98219686532093</v>
      </c>
    </row>
    <row r="340" spans="1:2" s="9" customFormat="1">
      <c r="A340" s="63">
        <f t="shared" si="2"/>
        <v>2020.07</v>
      </c>
      <c r="B340" s="1836">
        <v>117.82591779102188</v>
      </c>
    </row>
    <row r="341" spans="1:2" s="9" customFormat="1">
      <c r="A341" s="63">
        <f t="shared" si="2"/>
        <v>2020.08</v>
      </c>
      <c r="B341" s="1836">
        <v>120.03153739874288</v>
      </c>
    </row>
    <row r="342" spans="1:2" s="9" customFormat="1">
      <c r="A342" s="63">
        <f t="shared" si="2"/>
        <v>2020.09</v>
      </c>
      <c r="B342" s="1836">
        <v>121.90857993536748</v>
      </c>
    </row>
    <row r="343" spans="1:2" s="9" customFormat="1">
      <c r="A343" s="63">
        <f t="shared" si="2"/>
        <v>2020.1</v>
      </c>
      <c r="B343" s="1836">
        <v>125.32544079359214</v>
      </c>
    </row>
    <row r="344" spans="1:2" s="9" customFormat="1">
      <c r="A344" s="63">
        <f t="shared" si="2"/>
        <v>2020.11</v>
      </c>
      <c r="B344" s="1836">
        <v>130.34057091499682</v>
      </c>
    </row>
    <row r="345" spans="1:2" s="9" customFormat="1">
      <c r="A345" s="63">
        <f t="shared" si="2"/>
        <v>2020.12</v>
      </c>
      <c r="B345" s="1836">
        <v>127.9583529624136</v>
      </c>
    </row>
    <row r="346" spans="1:2" s="9" customFormat="1">
      <c r="A346" s="63">
        <f t="shared" si="2"/>
        <v>2021.01</v>
      </c>
      <c r="B346" s="1836">
        <v>128.35279900936305</v>
      </c>
    </row>
    <row r="347" spans="1:2" s="9" customFormat="1">
      <c r="A347" s="63">
        <f t="shared" si="2"/>
        <v>2021.02</v>
      </c>
      <c r="B347" s="1836">
        <v>128.11016208654493</v>
      </c>
    </row>
    <row r="348" spans="1:2" s="9" customFormat="1">
      <c r="A348" s="63">
        <f t="shared" si="2"/>
        <v>2021.03</v>
      </c>
      <c r="B348" s="1836">
        <v>128.69272355437732</v>
      </c>
    </row>
    <row r="349" spans="1:2" s="9" customFormat="1">
      <c r="A349" s="63">
        <f t="shared" si="2"/>
        <v>2021.04</v>
      </c>
      <c r="B349" s="1836">
        <v>128.98193032457468</v>
      </c>
    </row>
    <row r="350" spans="1:2" s="9" customFormat="1">
      <c r="A350" s="63">
        <f t="shared" si="2"/>
        <v>2021.05</v>
      </c>
      <c r="B350" s="1836">
        <v>128.48804686780468</v>
      </c>
    </row>
    <row r="351" spans="1:2" s="9" customFormat="1">
      <c r="A351" s="63">
        <f t="shared" si="2"/>
        <v>2021.06</v>
      </c>
      <c r="B351" s="1836">
        <v>127.30796655711993</v>
      </c>
    </row>
    <row r="352" spans="1:2" s="9" customFormat="1">
      <c r="A352" s="63">
        <f t="shared" si="2"/>
        <v>2021.07</v>
      </c>
      <c r="B352" s="1836">
        <v>127.98917705612324</v>
      </c>
    </row>
    <row r="353" spans="1:2" s="9" customFormat="1">
      <c r="A353" s="63">
        <f t="shared" si="2"/>
        <v>2021.08</v>
      </c>
      <c r="B353" s="1836">
        <v>128.5104745626837</v>
      </c>
    </row>
    <row r="354" spans="1:2" s="9" customFormat="1">
      <c r="A354" s="63">
        <f t="shared" si="2"/>
        <v>2021.09</v>
      </c>
      <c r="B354" s="1836">
        <v>130.43243146199745</v>
      </c>
    </row>
    <row r="355" spans="1:2" s="9" customFormat="1">
      <c r="A355" s="63">
        <f t="shared" si="2"/>
        <v>2021.1</v>
      </c>
      <c r="B355" s="1836">
        <v>130.98004718670427</v>
      </c>
    </row>
    <row r="356" spans="1:2" s="9" customFormat="1">
      <c r="A356" s="63">
        <f t="shared" si="2"/>
        <v>2021.11</v>
      </c>
      <c r="B356" s="1836">
        <v>132.07591286975017</v>
      </c>
    </row>
    <row r="357" spans="1:2" s="9" customFormat="1">
      <c r="A357" s="63">
        <f t="shared" si="2"/>
        <v>2021.12</v>
      </c>
      <c r="B357" s="1836">
        <v>133.15583356368677</v>
      </c>
    </row>
    <row r="358" spans="1:2" s="9" customFormat="1">
      <c r="A358" s="63">
        <f t="shared" si="2"/>
        <v>2022.01</v>
      </c>
      <c r="B358" s="1836">
        <v>131.8723862377704</v>
      </c>
    </row>
    <row r="359" spans="1:2" s="9" customFormat="1">
      <c r="A359" s="63">
        <f t="shared" si="2"/>
        <v>2022.02</v>
      </c>
      <c r="B359" s="1836">
        <v>136.35729512789484</v>
      </c>
    </row>
    <row r="360" spans="1:2" s="9" customFormat="1">
      <c r="A360" s="63">
        <f t="shared" si="2"/>
        <v>2022.03</v>
      </c>
      <c r="B360" s="1836">
        <v>137.12217134054836</v>
      </c>
    </row>
    <row r="361" spans="1:2" s="9" customFormat="1">
      <c r="A361" s="63">
        <f t="shared" si="2"/>
        <v>2022.04</v>
      </c>
      <c r="B361" s="1836">
        <v>136.30424817803691</v>
      </c>
    </row>
    <row r="362" spans="1:2" s="9" customFormat="1">
      <c r="A362" s="63">
        <f t="shared" si="2"/>
        <v>2022.05</v>
      </c>
      <c r="B362" s="1836">
        <v>135.89225465375543</v>
      </c>
    </row>
    <row r="363" spans="1:2" s="9" customFormat="1">
      <c r="A363" s="63">
        <f t="shared" si="2"/>
        <v>2022.06</v>
      </c>
      <c r="B363" s="1836">
        <v>134.74684304133825</v>
      </c>
    </row>
    <row r="364" spans="1:2" s="9" customFormat="1">
      <c r="A364" s="63">
        <f t="shared" si="2"/>
        <v>2022.07</v>
      </c>
      <c r="B364" s="1836">
        <v>133.12765314218629</v>
      </c>
    </row>
    <row r="365" spans="1:2" s="9" customFormat="1">
      <c r="A365" s="63">
        <f t="shared" si="2"/>
        <v>2022.08</v>
      </c>
      <c r="B365" s="1836">
        <v>130.79717485175098</v>
      </c>
    </row>
    <row r="366" spans="1:2" s="9" customFormat="1">
      <c r="A366" s="63">
        <f t="shared" si="2"/>
        <v>2022.09</v>
      </c>
      <c r="B366" s="1836">
        <v>130.73484438938885</v>
      </c>
    </row>
    <row r="367" spans="1:2" s="9" customFormat="1">
      <c r="A367" s="63">
        <f t="shared" si="2"/>
        <v>2022.1</v>
      </c>
      <c r="B367" s="1836">
        <v>130.18988230604651</v>
      </c>
    </row>
    <row r="368" spans="1:2" s="9" customFormat="1">
      <c r="A368" s="63">
        <f t="shared" si="2"/>
        <v>2022.11</v>
      </c>
      <c r="B368" s="1836">
        <v>129.43002763800109</v>
      </c>
    </row>
    <row r="369" spans="1:2" s="9" customFormat="1">
      <c r="A369" s="63">
        <f t="shared" si="2"/>
        <v>2022.12</v>
      </c>
      <c r="B369" s="1836">
        <v>133.86163883776919</v>
      </c>
    </row>
    <row r="370" spans="1:2" s="9" customFormat="1">
      <c r="A370" s="63">
        <f t="shared" si="2"/>
        <v>2023.01</v>
      </c>
      <c r="B370" s="1836">
        <v>135.78295596242992</v>
      </c>
    </row>
    <row r="371" spans="1:2" s="9" customFormat="1">
      <c r="A371" s="63">
        <f t="shared" si="2"/>
        <v>2023.02</v>
      </c>
      <c r="B371" s="1836">
        <v>137.66945724291926</v>
      </c>
    </row>
    <row r="372" spans="1:2" s="9" customFormat="1">
      <c r="A372" s="63">
        <f t="shared" si="2"/>
        <v>2023.03</v>
      </c>
      <c r="B372" s="1836">
        <v>139.00105741876177</v>
      </c>
    </row>
    <row r="373" spans="1:2" s="9" customFormat="1">
      <c r="A373" s="63">
        <f t="shared" si="2"/>
        <v>2023.04</v>
      </c>
      <c r="B373" s="1836">
        <v>139.37298245761582</v>
      </c>
    </row>
    <row r="374" spans="1:2" s="9" customFormat="1">
      <c r="A374" s="63">
        <f t="shared" si="2"/>
        <v>2023.05</v>
      </c>
      <c r="B374" s="1836">
        <v>138.27770906836949</v>
      </c>
    </row>
    <row r="375" spans="1:2" s="9" customFormat="1">
      <c r="A375" s="63">
        <f t="shared" si="2"/>
        <v>2023.06</v>
      </c>
      <c r="B375" s="1836">
        <v>141.24264482823659</v>
      </c>
    </row>
    <row r="376" spans="1:2" s="9" customFormat="1">
      <c r="A376" s="63">
        <f t="shared" si="2"/>
        <v>2023.07</v>
      </c>
      <c r="B376" s="1836">
        <v>136.77828114734328</v>
      </c>
    </row>
    <row r="377" spans="1:2" s="9" customFormat="1">
      <c r="A377" s="63">
        <f t="shared" si="2"/>
        <v>2023.08</v>
      </c>
      <c r="B377" s="1836">
        <v>140.2169360375114</v>
      </c>
    </row>
    <row r="378" spans="1:2" s="9" customFormat="1">
      <c r="A378" s="63">
        <f t="shared" si="2"/>
        <v>2023.09</v>
      </c>
      <c r="B378" s="1836">
        <v>136.77683401465251</v>
      </c>
    </row>
    <row r="379" spans="1:2" s="9" customFormat="1">
      <c r="A379" s="63">
        <f t="shared" si="2"/>
        <v>2023.1</v>
      </c>
      <c r="B379" s="1836">
        <v>135.13009131406764</v>
      </c>
    </row>
    <row r="380" spans="1:2" s="9" customFormat="1">
      <c r="A380" s="63">
        <f t="shared" si="2"/>
        <v>2023.11</v>
      </c>
      <c r="B380" s="1836">
        <v>131.90338887168409</v>
      </c>
    </row>
    <row r="381" spans="1:2" s="9" customFormat="1">
      <c r="A381" s="63">
        <f t="shared" si="2"/>
        <v>2023.12</v>
      </c>
      <c r="B381" s="1836">
        <v>125.76380375777586</v>
      </c>
    </row>
    <row r="382" spans="1:2" s="9" customFormat="1">
      <c r="A382" s="63">
        <f t="shared" ref="A382:A404" si="3">A370+1</f>
        <v>2024.01</v>
      </c>
      <c r="B382" s="1836">
        <v>123.21482111471384</v>
      </c>
    </row>
    <row r="383" spans="1:2" s="9" customFormat="1">
      <c r="A383" s="63">
        <f t="shared" si="3"/>
        <v>2024.02</v>
      </c>
      <c r="B383" s="1836">
        <v>115.01292010584362</v>
      </c>
    </row>
    <row r="384" spans="1:2" s="9" customFormat="1">
      <c r="A384" s="63">
        <f t="shared" si="3"/>
        <v>2024.03</v>
      </c>
      <c r="B384" s="1836">
        <v>112.65254841678428</v>
      </c>
    </row>
    <row r="385" spans="1:2" s="9" customFormat="1">
      <c r="A385" s="63">
        <f t="shared" si="3"/>
        <v>2024.04</v>
      </c>
      <c r="B385" s="1836">
        <v>117.23218592059212</v>
      </c>
    </row>
    <row r="386" spans="1:2" s="9" customFormat="1">
      <c r="A386" s="63">
        <f t="shared" si="3"/>
        <v>2024.05</v>
      </c>
      <c r="B386" s="1836">
        <v>123.03509095004624</v>
      </c>
    </row>
    <row r="387" spans="1:2" s="9" customFormat="1">
      <c r="A387" s="63">
        <f t="shared" si="3"/>
        <v>2024.06</v>
      </c>
      <c r="B387" s="1836">
        <v>117.18256278194433</v>
      </c>
    </row>
    <row r="388" spans="1:2" s="9" customFormat="1">
      <c r="A388" s="63">
        <f t="shared" si="3"/>
        <v>2024.07</v>
      </c>
      <c r="B388" s="1836">
        <v>119.65549602847426</v>
      </c>
    </row>
    <row r="389" spans="1:2" s="9" customFormat="1">
      <c r="A389" s="63">
        <f t="shared" si="3"/>
        <v>2024.08</v>
      </c>
      <c r="B389" s="1836">
        <v>120.46199300462399</v>
      </c>
    </row>
    <row r="390" spans="1:2" s="9" customFormat="1">
      <c r="A390" s="63">
        <f t="shared" si="3"/>
        <v>2024.09</v>
      </c>
      <c r="B390" s="1836">
        <v>122.10644509298903</v>
      </c>
    </row>
    <row r="391" spans="1:2" s="9" customFormat="1">
      <c r="A391" s="63">
        <f t="shared" si="3"/>
        <v>2024.1</v>
      </c>
      <c r="B391" s="1836">
        <v>123.18962740496784</v>
      </c>
    </row>
    <row r="392" spans="1:2" s="9" customFormat="1">
      <c r="A392" s="63">
        <f t="shared" si="3"/>
        <v>2024.11</v>
      </c>
      <c r="B392" s="1836">
        <v>125.00791262630712</v>
      </c>
    </row>
    <row r="393" spans="1:2" s="9" customFormat="1">
      <c r="A393" s="63">
        <f t="shared" si="3"/>
        <v>2024.12</v>
      </c>
      <c r="B393" s="1836">
        <v>126.68622624107462</v>
      </c>
    </row>
    <row r="394" spans="1:2" s="9" customFormat="1">
      <c r="A394" s="63">
        <f t="shared" si="3"/>
        <v>2025.01</v>
      </c>
      <c r="B394" s="1836">
        <v>128.36419529315424</v>
      </c>
    </row>
    <row r="395" spans="1:2" s="9" customFormat="1">
      <c r="A395" s="63">
        <f t="shared" si="3"/>
        <v>2025.02</v>
      </c>
      <c r="B395" s="1836">
        <v>130.65004356997903</v>
      </c>
    </row>
    <row r="396" spans="1:2" s="9" customFormat="1">
      <c r="A396" s="63">
        <f t="shared" si="3"/>
        <v>2025.03</v>
      </c>
      <c r="B396" s="1836">
        <v>128.32703904476759</v>
      </c>
    </row>
    <row r="397" spans="1:2" s="9" customFormat="1">
      <c r="A397" s="63">
        <f t="shared" si="3"/>
        <v>2025.04</v>
      </c>
      <c r="B397" s="1836">
        <v>128.99501256260049</v>
      </c>
    </row>
    <row r="398" spans="1:2" s="9" customFormat="1">
      <c r="A398" s="63">
        <f t="shared" si="3"/>
        <v>2025.05</v>
      </c>
      <c r="B398" s="1836" t="e">
        <v>#N/A</v>
      </c>
    </row>
    <row r="399" spans="1:2" s="9" customFormat="1">
      <c r="A399" s="63">
        <f t="shared" si="3"/>
        <v>2025.06</v>
      </c>
      <c r="B399" s="1836" t="e">
        <v>#N/A</v>
      </c>
    </row>
    <row r="400" spans="1:2" s="9" customFormat="1">
      <c r="A400" s="63">
        <f t="shared" si="3"/>
        <v>2025.07</v>
      </c>
      <c r="B400" s="1836" t="e">
        <v>#N/A</v>
      </c>
    </row>
    <row r="401" spans="1:2" s="9" customFormat="1">
      <c r="A401" s="63">
        <f t="shared" si="3"/>
        <v>2025.08</v>
      </c>
      <c r="B401" s="1836" t="e">
        <v>#N/A</v>
      </c>
    </row>
    <row r="402" spans="1:2" s="9" customFormat="1">
      <c r="A402" s="63">
        <f t="shared" si="3"/>
        <v>2025.09</v>
      </c>
      <c r="B402" s="1836" t="e">
        <v>#N/A</v>
      </c>
    </row>
    <row r="403" spans="1:2" s="9" customFormat="1">
      <c r="A403" s="63">
        <f t="shared" si="3"/>
        <v>2025.1</v>
      </c>
      <c r="B403" s="1836" t="e">
        <v>#N/A</v>
      </c>
    </row>
    <row r="404" spans="1:2" s="9" customFormat="1">
      <c r="A404" s="63">
        <f t="shared" si="3"/>
        <v>2025.11</v>
      </c>
      <c r="B404" s="1836" t="e">
        <v>#N/A</v>
      </c>
    </row>
    <row r="405" spans="1:2" s="9" customFormat="1">
      <c r="A405" s="63">
        <f t="shared" ref="A405:A445" si="4">A393+1</f>
        <v>2025.12</v>
      </c>
      <c r="B405" s="1836" t="e">
        <v>#N/A</v>
      </c>
    </row>
    <row r="406" spans="1:2" s="9" customFormat="1">
      <c r="A406" s="63">
        <f t="shared" si="4"/>
        <v>2026.01</v>
      </c>
      <c r="B406" s="1836" t="e">
        <v>#N/A</v>
      </c>
    </row>
    <row r="407" spans="1:2" s="9" customFormat="1">
      <c r="A407" s="63">
        <f t="shared" si="4"/>
        <v>2026.02</v>
      </c>
      <c r="B407" s="1836" t="e">
        <v>#N/A</v>
      </c>
    </row>
    <row r="408" spans="1:2" s="9" customFormat="1">
      <c r="A408" s="63">
        <f t="shared" si="4"/>
        <v>2026.03</v>
      </c>
      <c r="B408" s="1836" t="e">
        <v>#N/A</v>
      </c>
    </row>
    <row r="409" spans="1:2" s="9" customFormat="1">
      <c r="A409" s="63">
        <f t="shared" si="4"/>
        <v>2026.04</v>
      </c>
      <c r="B409" s="1836" t="e">
        <v>#N/A</v>
      </c>
    </row>
    <row r="410" spans="1:2" s="9" customFormat="1">
      <c r="A410" s="63">
        <f t="shared" si="4"/>
        <v>2026.05</v>
      </c>
      <c r="B410" s="1836" t="e">
        <v>#N/A</v>
      </c>
    </row>
    <row r="411" spans="1:2" s="9" customFormat="1">
      <c r="A411" s="63">
        <f t="shared" si="4"/>
        <v>2026.06</v>
      </c>
      <c r="B411" s="1836" t="e">
        <v>#N/A</v>
      </c>
    </row>
    <row r="412" spans="1:2" s="9" customFormat="1">
      <c r="A412" s="63">
        <f t="shared" si="4"/>
        <v>2026.07</v>
      </c>
      <c r="B412" s="1836" t="e">
        <v>#N/A</v>
      </c>
    </row>
    <row r="413" spans="1:2" s="9" customFormat="1">
      <c r="A413" s="63">
        <f t="shared" si="4"/>
        <v>2026.08</v>
      </c>
      <c r="B413" s="1836" t="e">
        <v>#N/A</v>
      </c>
    </row>
    <row r="414" spans="1:2" s="9" customFormat="1">
      <c r="A414" s="63">
        <f t="shared" si="4"/>
        <v>2026.09</v>
      </c>
      <c r="B414" s="1836" t="e">
        <v>#N/A</v>
      </c>
    </row>
    <row r="415" spans="1:2" s="9" customFormat="1">
      <c r="A415" s="63">
        <f t="shared" si="4"/>
        <v>2026.1</v>
      </c>
      <c r="B415" s="1836" t="e">
        <v>#N/A</v>
      </c>
    </row>
    <row r="416" spans="1:2" s="9" customFormat="1">
      <c r="A416" s="63">
        <f t="shared" si="4"/>
        <v>2026.11</v>
      </c>
      <c r="B416" s="1836" t="e">
        <v>#N/A</v>
      </c>
    </row>
    <row r="417" spans="1:2" s="9" customFormat="1">
      <c r="A417" s="63">
        <f t="shared" si="4"/>
        <v>2026.12</v>
      </c>
      <c r="B417" s="1836" t="e">
        <v>#N/A</v>
      </c>
    </row>
    <row r="418" spans="1:2" s="9" customFormat="1">
      <c r="A418" s="63">
        <f t="shared" si="4"/>
        <v>2027.01</v>
      </c>
      <c r="B418" s="1836" t="e">
        <v>#N/A</v>
      </c>
    </row>
    <row r="419" spans="1:2" s="9" customFormat="1">
      <c r="A419" s="63">
        <f t="shared" si="4"/>
        <v>2027.02</v>
      </c>
      <c r="B419" s="1836" t="e">
        <v>#N/A</v>
      </c>
    </row>
    <row r="420" spans="1:2" s="9" customFormat="1">
      <c r="A420" s="63">
        <f t="shared" si="4"/>
        <v>2027.03</v>
      </c>
      <c r="B420" s="1836" t="e">
        <v>#N/A</v>
      </c>
    </row>
    <row r="421" spans="1:2" s="9" customFormat="1">
      <c r="A421" s="63">
        <f t="shared" si="4"/>
        <v>2027.04</v>
      </c>
      <c r="B421" s="1836" t="e">
        <v>#N/A</v>
      </c>
    </row>
    <row r="422" spans="1:2" s="9" customFormat="1">
      <c r="A422" s="63">
        <f t="shared" si="4"/>
        <v>2027.05</v>
      </c>
      <c r="B422" s="1836" t="e">
        <v>#N/A</v>
      </c>
    </row>
    <row r="423" spans="1:2" s="9" customFormat="1">
      <c r="A423" s="63">
        <f t="shared" si="4"/>
        <v>2027.06</v>
      </c>
      <c r="B423" s="1836" t="e">
        <v>#N/A</v>
      </c>
    </row>
    <row r="424" spans="1:2" s="9" customFormat="1">
      <c r="A424" s="63">
        <f t="shared" si="4"/>
        <v>2027.07</v>
      </c>
      <c r="B424" s="1836" t="e">
        <v>#N/A</v>
      </c>
    </row>
    <row r="425" spans="1:2" s="9" customFormat="1">
      <c r="A425" s="63">
        <f t="shared" si="4"/>
        <v>2027.08</v>
      </c>
      <c r="B425" s="1836" t="e">
        <v>#N/A</v>
      </c>
    </row>
    <row r="426" spans="1:2" s="9" customFormat="1">
      <c r="A426" s="63">
        <f t="shared" si="4"/>
        <v>2027.09</v>
      </c>
      <c r="B426" s="1836" t="e">
        <v>#N/A</v>
      </c>
    </row>
    <row r="427" spans="1:2" s="9" customFormat="1">
      <c r="A427" s="63">
        <f t="shared" si="4"/>
        <v>2027.1</v>
      </c>
      <c r="B427" s="1836" t="e">
        <v>#N/A</v>
      </c>
    </row>
    <row r="428" spans="1:2" s="9" customFormat="1">
      <c r="A428" s="63">
        <f t="shared" si="4"/>
        <v>2027.11</v>
      </c>
      <c r="B428" s="1836" t="e">
        <v>#N/A</v>
      </c>
    </row>
    <row r="429" spans="1:2" s="9" customFormat="1">
      <c r="A429" s="63">
        <f t="shared" si="4"/>
        <v>2027.12</v>
      </c>
      <c r="B429" s="1836" t="e">
        <v>#N/A</v>
      </c>
    </row>
    <row r="430" spans="1:2" s="9" customFormat="1">
      <c r="A430" s="63">
        <f t="shared" si="4"/>
        <v>2028.01</v>
      </c>
      <c r="B430" s="1836" t="e">
        <v>#N/A</v>
      </c>
    </row>
    <row r="431" spans="1:2" s="9" customFormat="1">
      <c r="A431" s="63">
        <f t="shared" si="4"/>
        <v>2028.02</v>
      </c>
      <c r="B431" s="1836" t="e">
        <v>#N/A</v>
      </c>
    </row>
    <row r="432" spans="1:2" s="9" customFormat="1">
      <c r="A432" s="63">
        <f t="shared" si="4"/>
        <v>2028.03</v>
      </c>
      <c r="B432" s="1836" t="e">
        <v>#N/A</v>
      </c>
    </row>
    <row r="433" spans="1:2" s="9" customFormat="1">
      <c r="A433" s="63">
        <f t="shared" si="4"/>
        <v>2028.04</v>
      </c>
      <c r="B433" s="1836" t="e">
        <v>#N/A</v>
      </c>
    </row>
    <row r="434" spans="1:2" s="9" customFormat="1">
      <c r="A434" s="63">
        <f t="shared" si="4"/>
        <v>2028.05</v>
      </c>
      <c r="B434" s="1836" t="e">
        <v>#N/A</v>
      </c>
    </row>
    <row r="435" spans="1:2" s="9" customFormat="1">
      <c r="A435" s="63">
        <f t="shared" si="4"/>
        <v>2028.06</v>
      </c>
      <c r="B435" s="1836" t="e">
        <v>#N/A</v>
      </c>
    </row>
    <row r="436" spans="1:2" s="9" customFormat="1">
      <c r="A436" s="63">
        <f t="shared" si="4"/>
        <v>2028.07</v>
      </c>
      <c r="B436" s="1836" t="e">
        <v>#N/A</v>
      </c>
    </row>
    <row r="437" spans="1:2" s="9" customFormat="1">
      <c r="A437" s="63">
        <f t="shared" si="4"/>
        <v>2028.08</v>
      </c>
      <c r="B437" s="1836" t="e">
        <v>#N/A</v>
      </c>
    </row>
    <row r="438" spans="1:2" s="9" customFormat="1">
      <c r="A438" s="63">
        <f t="shared" si="4"/>
        <v>2028.09</v>
      </c>
      <c r="B438" s="1836" t="e">
        <v>#N/A</v>
      </c>
    </row>
    <row r="439" spans="1:2" s="9" customFormat="1">
      <c r="A439" s="63">
        <f t="shared" si="4"/>
        <v>2028.1</v>
      </c>
      <c r="B439" s="1836" t="e">
        <v>#N/A</v>
      </c>
    </row>
    <row r="440" spans="1:2" s="9" customFormat="1">
      <c r="A440" s="63">
        <f t="shared" si="4"/>
        <v>2028.11</v>
      </c>
      <c r="B440" s="1836" t="e">
        <v>#N/A</v>
      </c>
    </row>
    <row r="441" spans="1:2" s="9" customFormat="1">
      <c r="A441" s="63">
        <f t="shared" si="4"/>
        <v>2028.12</v>
      </c>
      <c r="B441" s="1836" t="e">
        <v>#N/A</v>
      </c>
    </row>
    <row r="442" spans="1:2" s="9" customFormat="1">
      <c r="A442" s="63">
        <f t="shared" si="4"/>
        <v>2029.01</v>
      </c>
      <c r="B442" s="1836" t="e">
        <v>#N/A</v>
      </c>
    </row>
    <row r="443" spans="1:2" s="9" customFormat="1">
      <c r="A443" s="63">
        <f t="shared" si="4"/>
        <v>2029.02</v>
      </c>
      <c r="B443" s="1836" t="e">
        <v>#N/A</v>
      </c>
    </row>
    <row r="444" spans="1:2" s="9" customFormat="1">
      <c r="A444" s="63">
        <f t="shared" si="4"/>
        <v>2029.03</v>
      </c>
      <c r="B444" s="1836" t="e">
        <v>#N/A</v>
      </c>
    </row>
    <row r="445" spans="1:2" s="9" customFormat="1">
      <c r="A445" s="63">
        <f t="shared" si="4"/>
        <v>2029.04</v>
      </c>
      <c r="B445" s="1836" t="e">
        <v>#N/A</v>
      </c>
    </row>
    <row r="446" spans="1:2" s="9" customFormat="1">
      <c r="A446" s="63">
        <f t="shared" ref="A446" si="5">A434+1</f>
        <v>2029.05</v>
      </c>
      <c r="B446" s="1836" t="e">
        <v>#N/A</v>
      </c>
    </row>
    <row r="447" spans="1:2" s="9" customFormat="1">
      <c r="A447" s="63">
        <f>A435+1</f>
        <v>2029.06</v>
      </c>
      <c r="B447" s="1836" t="e">
        <v>#N/A</v>
      </c>
    </row>
    <row r="448" spans="1:2" s="9" customFormat="1">
      <c r="A448" s="63">
        <f t="shared" ref="A448:A465" si="6">A436+1</f>
        <v>2029.07</v>
      </c>
      <c r="B448" s="1836" t="e">
        <v>#N/A</v>
      </c>
    </row>
    <row r="449" spans="1:2" s="9" customFormat="1">
      <c r="A449" s="63">
        <f t="shared" si="6"/>
        <v>2029.08</v>
      </c>
      <c r="B449" s="1836" t="e">
        <v>#N/A</v>
      </c>
    </row>
    <row r="450" spans="1:2" s="9" customFormat="1">
      <c r="A450" s="63">
        <f t="shared" si="6"/>
        <v>2029.09</v>
      </c>
      <c r="B450" s="1836" t="e">
        <v>#N/A</v>
      </c>
    </row>
    <row r="451" spans="1:2" s="9" customFormat="1">
      <c r="A451" s="63">
        <f t="shared" si="6"/>
        <v>2029.1</v>
      </c>
      <c r="B451" s="1836" t="e">
        <v>#N/A</v>
      </c>
    </row>
    <row r="452" spans="1:2" s="9" customFormat="1">
      <c r="A452" s="63">
        <f t="shared" si="6"/>
        <v>2029.11</v>
      </c>
      <c r="B452" s="1836" t="e">
        <v>#N/A</v>
      </c>
    </row>
    <row r="453" spans="1:2" s="9" customFormat="1">
      <c r="A453" s="63">
        <f t="shared" si="6"/>
        <v>2029.12</v>
      </c>
      <c r="B453" s="1836" t="e">
        <v>#N/A</v>
      </c>
    </row>
    <row r="454" spans="1:2" s="9" customFormat="1">
      <c r="A454" s="63">
        <f t="shared" si="6"/>
        <v>2030.01</v>
      </c>
      <c r="B454" s="1836" t="e">
        <v>#N/A</v>
      </c>
    </row>
    <row r="455" spans="1:2" s="9" customFormat="1">
      <c r="A455" s="63">
        <f t="shared" si="6"/>
        <v>2030.02</v>
      </c>
      <c r="B455" s="1836" t="e">
        <v>#N/A</v>
      </c>
    </row>
    <row r="456" spans="1:2" s="9" customFormat="1">
      <c r="A456" s="63">
        <f t="shared" si="6"/>
        <v>2030.03</v>
      </c>
      <c r="B456" s="1836" t="e">
        <v>#N/A</v>
      </c>
    </row>
    <row r="457" spans="1:2" s="9" customFormat="1">
      <c r="A457" s="63">
        <f t="shared" si="6"/>
        <v>2030.04</v>
      </c>
      <c r="B457" s="1836" t="e">
        <v>#N/A</v>
      </c>
    </row>
    <row r="458" spans="1:2" s="9" customFormat="1">
      <c r="A458" s="63">
        <f t="shared" si="6"/>
        <v>2030.05</v>
      </c>
      <c r="B458" s="1836" t="e">
        <v>#N/A</v>
      </c>
    </row>
    <row r="459" spans="1:2" s="9" customFormat="1">
      <c r="A459" s="63">
        <f t="shared" si="6"/>
        <v>2030.06</v>
      </c>
      <c r="B459" s="1836" t="e">
        <v>#N/A</v>
      </c>
    </row>
    <row r="460" spans="1:2" s="9" customFormat="1">
      <c r="A460" s="63">
        <f t="shared" si="6"/>
        <v>2030.07</v>
      </c>
      <c r="B460" s="1836" t="e">
        <v>#N/A</v>
      </c>
    </row>
    <row r="461" spans="1:2" s="9" customFormat="1">
      <c r="A461" s="63">
        <f t="shared" si="6"/>
        <v>2030.08</v>
      </c>
      <c r="B461" s="1836" t="e">
        <v>#N/A</v>
      </c>
    </row>
    <row r="462" spans="1:2" s="9" customFormat="1">
      <c r="A462" s="63">
        <f t="shared" si="6"/>
        <v>2030.09</v>
      </c>
      <c r="B462" s="1836" t="e">
        <v>#N/A</v>
      </c>
    </row>
    <row r="463" spans="1:2" s="9" customFormat="1">
      <c r="A463" s="63">
        <f t="shared" si="6"/>
        <v>2030.1</v>
      </c>
      <c r="B463" s="1836" t="e">
        <v>#N/A</v>
      </c>
    </row>
    <row r="464" spans="1:2" s="9" customFormat="1">
      <c r="A464" s="63">
        <f t="shared" si="6"/>
        <v>2030.11</v>
      </c>
      <c r="B464" s="1836" t="e">
        <v>#N/A</v>
      </c>
    </row>
    <row r="465" spans="1:2" s="9" customFormat="1">
      <c r="A465" s="63">
        <f t="shared" si="6"/>
        <v>2030.12</v>
      </c>
      <c r="B465" s="1836" t="e">
        <v>#N/A</v>
      </c>
    </row>
  </sheetData>
  <phoneticPr fontId="0" type="noConversion"/>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dimension ref="A1:W156"/>
  <sheetViews>
    <sheetView zoomScale="130" zoomScaleNormal="130" workbookViewId="0">
      <pane xSplit="1" ySplit="9" topLeftCell="F133" activePane="bottomRight" state="frozen"/>
      <selection pane="topRight" activeCell="A5" sqref="A5"/>
      <selection pane="bottomLeft" activeCell="A5" sqref="A5"/>
      <selection pane="bottomRight" activeCell="F149" sqref="F149"/>
    </sheetView>
  </sheetViews>
  <sheetFormatPr baseColWidth="10" defaultColWidth="11.42578125" defaultRowHeight="12.75"/>
  <cols>
    <col min="1" max="1" width="10.5703125" style="461" customWidth="1"/>
    <col min="2" max="21" width="13.28515625" style="461" customWidth="1"/>
    <col min="22" max="16384" width="11.42578125" style="347"/>
  </cols>
  <sheetData>
    <row r="1" spans="1:23" s="30" customFormat="1" ht="3" customHeight="1">
      <c r="A1" s="34"/>
      <c r="B1" s="49"/>
      <c r="C1" s="50"/>
      <c r="D1" s="50"/>
      <c r="E1" s="51"/>
      <c r="F1" s="51"/>
      <c r="G1" s="51"/>
      <c r="H1" s="51"/>
      <c r="I1" s="51"/>
      <c r="J1" s="51"/>
      <c r="K1" s="52"/>
      <c r="L1" s="53"/>
      <c r="M1" s="53"/>
      <c r="N1" s="53"/>
      <c r="O1" s="53"/>
      <c r="P1" s="53"/>
      <c r="Q1" s="53"/>
      <c r="R1" s="53"/>
      <c r="S1" s="53"/>
      <c r="T1" s="53"/>
      <c r="U1" s="54"/>
      <c r="V1" s="31"/>
      <c r="W1" s="1837"/>
    </row>
    <row r="2" spans="1:23" s="16" customFormat="1">
      <c r="A2" s="36" t="s">
        <v>105</v>
      </c>
      <c r="B2" s="1838" t="s">
        <v>227</v>
      </c>
      <c r="C2" s="1839"/>
      <c r="D2" s="1839"/>
      <c r="E2" s="1839"/>
      <c r="F2" s="1839"/>
      <c r="G2" s="1839"/>
      <c r="H2" s="1839"/>
      <c r="I2" s="1839"/>
      <c r="J2" s="1839"/>
      <c r="K2" s="1840"/>
      <c r="L2" s="1840"/>
      <c r="M2" s="1840"/>
      <c r="N2" s="1840"/>
      <c r="O2" s="1840"/>
      <c r="P2" s="1840"/>
      <c r="Q2" s="1840"/>
      <c r="R2" s="1840"/>
      <c r="S2" s="1840"/>
      <c r="T2" s="1840"/>
      <c r="U2" s="1841"/>
      <c r="V2" s="1842"/>
      <c r="W2" s="216"/>
    </row>
    <row r="3" spans="1:23" s="16" customFormat="1">
      <c r="A3" s="37" t="s">
        <v>212</v>
      </c>
      <c r="B3" s="1838" t="s">
        <v>228</v>
      </c>
      <c r="C3" s="39"/>
      <c r="D3" s="39"/>
      <c r="E3" s="3024"/>
      <c r="F3" s="3024"/>
      <c r="G3" s="3024"/>
      <c r="H3" s="3024"/>
      <c r="I3" s="3024"/>
      <c r="J3" s="3024"/>
      <c r="K3" s="3025"/>
      <c r="L3" s="3025"/>
      <c r="M3" s="3025"/>
      <c r="N3" s="3025"/>
      <c r="O3" s="3025"/>
      <c r="P3" s="3025"/>
      <c r="Q3" s="3025"/>
      <c r="R3" s="3025"/>
      <c r="S3" s="3025"/>
      <c r="T3" s="3025"/>
      <c r="U3" s="3026"/>
      <c r="V3" s="1842"/>
      <c r="W3" s="216"/>
    </row>
    <row r="4" spans="1:23" s="216" customFormat="1">
      <c r="A4" s="2550"/>
      <c r="B4" s="1843"/>
      <c r="C4" s="1844"/>
      <c r="D4" s="1844"/>
      <c r="E4" s="315"/>
      <c r="F4" s="2551" t="s">
        <v>229</v>
      </c>
      <c r="G4" s="1845"/>
      <c r="H4" s="1845"/>
      <c r="I4" s="1845"/>
      <c r="J4" s="1845"/>
      <c r="K4" s="1846"/>
      <c r="L4" s="2551" t="s">
        <v>230</v>
      </c>
      <c r="M4" s="1846"/>
      <c r="N4" s="1846"/>
      <c r="O4" s="1846"/>
      <c r="P4" s="1846"/>
      <c r="Q4" s="1846"/>
      <c r="R4" s="1846"/>
      <c r="S4" s="1846"/>
      <c r="T4" s="1846"/>
      <c r="U4" s="1847"/>
      <c r="V4" s="1842"/>
    </row>
    <row r="5" spans="1:23" s="30" customFormat="1" ht="45">
      <c r="A5" s="2390" t="s">
        <v>137</v>
      </c>
      <c r="B5" s="2548" t="s">
        <v>231</v>
      </c>
      <c r="C5" s="2549" t="s">
        <v>231</v>
      </c>
      <c r="D5" s="1858" t="s">
        <v>232</v>
      </c>
      <c r="E5" s="242" t="s">
        <v>233</v>
      </c>
      <c r="F5" s="1848" t="s">
        <v>234</v>
      </c>
      <c r="G5" s="699" t="s">
        <v>235</v>
      </c>
      <c r="H5" s="699" t="s">
        <v>174</v>
      </c>
      <c r="I5" s="1849" t="s">
        <v>175</v>
      </c>
      <c r="J5" s="699" t="s">
        <v>176</v>
      </c>
      <c r="K5" s="1849" t="s">
        <v>236</v>
      </c>
      <c r="L5" s="1850" t="s">
        <v>237</v>
      </c>
      <c r="M5" s="1851" t="s">
        <v>238</v>
      </c>
      <c r="N5" s="1848" t="s">
        <v>239</v>
      </c>
      <c r="O5" s="1851" t="s">
        <v>181</v>
      </c>
      <c r="P5" s="1848" t="s">
        <v>240</v>
      </c>
      <c r="Q5" s="1851" t="s">
        <v>241</v>
      </c>
      <c r="R5" s="1848" t="s">
        <v>184</v>
      </c>
      <c r="S5" s="1851" t="s">
        <v>185</v>
      </c>
      <c r="T5" s="1851" t="s">
        <v>242</v>
      </c>
      <c r="U5" s="1852" t="s">
        <v>187</v>
      </c>
      <c r="V5" s="1853"/>
      <c r="W5" s="235"/>
    </row>
    <row r="6" spans="1:23" s="30" customFormat="1" ht="11.25" customHeight="1">
      <c r="A6" s="33"/>
      <c r="B6" s="655"/>
      <c r="C6" s="744"/>
      <c r="D6" s="1854" t="s">
        <v>5</v>
      </c>
      <c r="E6" s="3027"/>
      <c r="F6" s="3028" t="s">
        <v>243</v>
      </c>
      <c r="G6" s="3306" t="s">
        <v>244</v>
      </c>
      <c r="H6" s="3306" t="s">
        <v>245</v>
      </c>
      <c r="I6" s="3028" t="s">
        <v>246</v>
      </c>
      <c r="J6" s="3306" t="s">
        <v>247</v>
      </c>
      <c r="K6" s="3029" t="s">
        <v>248</v>
      </c>
      <c r="L6" s="2391" t="s">
        <v>249</v>
      </c>
      <c r="M6" s="1855" t="s">
        <v>250</v>
      </c>
      <c r="N6" s="1856" t="s">
        <v>251</v>
      </c>
      <c r="O6" s="1855" t="s">
        <v>252</v>
      </c>
      <c r="P6" s="1856" t="s">
        <v>253</v>
      </c>
      <c r="Q6" s="1855" t="s">
        <v>254</v>
      </c>
      <c r="R6" s="1856" t="s">
        <v>255</v>
      </c>
      <c r="S6" s="1855" t="s">
        <v>256</v>
      </c>
      <c r="T6" s="1855" t="s">
        <v>257</v>
      </c>
      <c r="U6" s="3030" t="s">
        <v>258</v>
      </c>
      <c r="V6" s="1853"/>
      <c r="W6" s="235"/>
    </row>
    <row r="7" spans="1:23" s="30" customFormat="1" ht="33.75">
      <c r="A7" s="2373" t="s">
        <v>123</v>
      </c>
      <c r="B7" s="1857" t="s">
        <v>259</v>
      </c>
      <c r="C7" s="986" t="s">
        <v>260</v>
      </c>
      <c r="D7" s="1858" t="s">
        <v>261</v>
      </c>
      <c r="E7" s="242" t="s">
        <v>262</v>
      </c>
      <c r="F7" s="2392" t="s">
        <v>263</v>
      </c>
      <c r="G7" s="983" t="s">
        <v>263</v>
      </c>
      <c r="H7" s="983" t="s">
        <v>263</v>
      </c>
      <c r="I7" s="318" t="s">
        <v>263</v>
      </c>
      <c r="J7" s="983" t="s">
        <v>263</v>
      </c>
      <c r="K7" s="1859" t="s">
        <v>263</v>
      </c>
      <c r="L7" s="2392" t="s">
        <v>263</v>
      </c>
      <c r="M7" s="983" t="s">
        <v>263</v>
      </c>
      <c r="N7" s="318" t="s">
        <v>263</v>
      </c>
      <c r="O7" s="983" t="s">
        <v>263</v>
      </c>
      <c r="P7" s="318" t="s">
        <v>263</v>
      </c>
      <c r="Q7" s="983" t="s">
        <v>263</v>
      </c>
      <c r="R7" s="318" t="s">
        <v>263</v>
      </c>
      <c r="S7" s="983" t="s">
        <v>263</v>
      </c>
      <c r="T7" s="983" t="s">
        <v>263</v>
      </c>
      <c r="U7" s="1859" t="s">
        <v>263</v>
      </c>
      <c r="V7" s="1853"/>
      <c r="W7" s="235"/>
    </row>
    <row r="8" spans="1:23" s="30" customFormat="1" ht="11.25">
      <c r="A8" s="147" t="s">
        <v>141</v>
      </c>
      <c r="B8" s="1203" t="s">
        <v>264</v>
      </c>
      <c r="C8" s="1206" t="s">
        <v>265</v>
      </c>
      <c r="D8" s="1860" t="s">
        <v>266</v>
      </c>
      <c r="E8" s="1860" t="s">
        <v>267</v>
      </c>
      <c r="F8" s="1205" t="s">
        <v>268</v>
      </c>
      <c r="G8" s="649" t="s">
        <v>269</v>
      </c>
      <c r="H8" s="649" t="s">
        <v>270</v>
      </c>
      <c r="I8" s="649" t="s">
        <v>271</v>
      </c>
      <c r="J8" s="649" t="s">
        <v>272</v>
      </c>
      <c r="K8" s="1206" t="s">
        <v>273</v>
      </c>
      <c r="L8" s="1205" t="s">
        <v>274</v>
      </c>
      <c r="M8" s="649" t="s">
        <v>275</v>
      </c>
      <c r="N8" s="649" t="s">
        <v>276</v>
      </c>
      <c r="O8" s="649" t="s">
        <v>277</v>
      </c>
      <c r="P8" s="649" t="s">
        <v>278</v>
      </c>
      <c r="Q8" s="649" t="s">
        <v>279</v>
      </c>
      <c r="R8" s="649" t="s">
        <v>280</v>
      </c>
      <c r="S8" s="649" t="s">
        <v>281</v>
      </c>
      <c r="T8" s="649" t="s">
        <v>282</v>
      </c>
      <c r="U8" s="1204" t="s">
        <v>283</v>
      </c>
      <c r="V8" s="31"/>
      <c r="W8" s="1837"/>
    </row>
    <row r="9" spans="1:23" s="17" customFormat="1" ht="12.6" customHeight="1" thickBot="1">
      <c r="A9" s="2990"/>
      <c r="B9" s="1861"/>
      <c r="C9" s="1002"/>
      <c r="D9" s="1862"/>
      <c r="E9" s="1863"/>
      <c r="F9" s="233"/>
      <c r="G9" s="689"/>
      <c r="H9" s="689"/>
      <c r="I9" s="233"/>
      <c r="J9" s="689"/>
      <c r="K9" s="1864"/>
      <c r="L9" s="232"/>
      <c r="M9" s="985"/>
      <c r="N9" s="232"/>
      <c r="O9" s="985"/>
      <c r="P9" s="232"/>
      <c r="Q9" s="985"/>
      <c r="R9" s="232"/>
      <c r="S9" s="985"/>
      <c r="T9" s="985"/>
      <c r="U9" s="300"/>
      <c r="V9" s="1865"/>
      <c r="W9" s="216"/>
    </row>
    <row r="10" spans="1:23" s="10" customFormat="1">
      <c r="A10" s="1866">
        <v>1884</v>
      </c>
      <c r="B10" s="41"/>
      <c r="C10" s="1867">
        <v>795303.8331003394</v>
      </c>
      <c r="D10" s="745"/>
      <c r="E10" s="42"/>
      <c r="F10" s="658"/>
      <c r="G10" s="662"/>
      <c r="H10" s="662"/>
      <c r="I10" s="658"/>
      <c r="J10" s="662"/>
      <c r="K10" s="658"/>
      <c r="L10" s="40"/>
      <c r="M10" s="662"/>
      <c r="N10" s="658"/>
      <c r="O10" s="662"/>
      <c r="P10" s="658"/>
      <c r="Q10" s="662"/>
      <c r="R10" s="658"/>
      <c r="S10" s="662"/>
      <c r="T10" s="662"/>
      <c r="U10" s="665"/>
      <c r="V10" s="11"/>
    </row>
    <row r="11" spans="1:23" s="10" customFormat="1">
      <c r="A11" s="1866">
        <v>1885</v>
      </c>
      <c r="B11" s="41"/>
      <c r="C11" s="1867">
        <v>883134.66804111027</v>
      </c>
      <c r="D11" s="746"/>
      <c r="E11" s="43"/>
      <c r="F11" s="659"/>
      <c r="G11" s="3031"/>
      <c r="H11" s="3031"/>
      <c r="I11" s="659"/>
      <c r="J11" s="3031"/>
      <c r="K11" s="659"/>
      <c r="L11" s="664"/>
      <c r="M11" s="3031"/>
      <c r="N11" s="659"/>
      <c r="O11" s="3031"/>
      <c r="P11" s="659"/>
      <c r="Q11" s="3031"/>
      <c r="R11" s="659"/>
      <c r="S11" s="3031"/>
      <c r="T11" s="3031"/>
      <c r="U11" s="666"/>
      <c r="V11" s="11"/>
    </row>
    <row r="12" spans="1:23" s="10" customFormat="1">
      <c r="A12" s="1866">
        <v>1886</v>
      </c>
      <c r="B12" s="41"/>
      <c r="C12" s="1867">
        <v>886625.31890293269</v>
      </c>
      <c r="D12" s="746"/>
      <c r="E12" s="43"/>
      <c r="F12" s="659"/>
      <c r="G12" s="3031"/>
      <c r="H12" s="3031"/>
      <c r="I12" s="659"/>
      <c r="J12" s="3031"/>
      <c r="K12" s="659"/>
      <c r="L12" s="664"/>
      <c r="M12" s="3031"/>
      <c r="N12" s="659"/>
      <c r="O12" s="3031"/>
      <c r="P12" s="659"/>
      <c r="Q12" s="3031"/>
      <c r="R12" s="659"/>
      <c r="S12" s="3031"/>
      <c r="T12" s="3031"/>
      <c r="U12" s="666"/>
      <c r="V12" s="11"/>
    </row>
    <row r="13" spans="1:23" s="10" customFormat="1">
      <c r="A13" s="1866">
        <v>1887</v>
      </c>
      <c r="B13" s="41"/>
      <c r="C13" s="1867">
        <v>946839.04626937187</v>
      </c>
      <c r="D13" s="746"/>
      <c r="E13" s="43"/>
      <c r="F13" s="659"/>
      <c r="G13" s="3031"/>
      <c r="H13" s="3031"/>
      <c r="I13" s="659"/>
      <c r="J13" s="3031"/>
      <c r="K13" s="659"/>
      <c r="L13" s="664"/>
      <c r="M13" s="3031"/>
      <c r="N13" s="659"/>
      <c r="O13" s="3031"/>
      <c r="P13" s="659"/>
      <c r="Q13" s="3031"/>
      <c r="R13" s="659"/>
      <c r="S13" s="3031"/>
      <c r="T13" s="3031"/>
      <c r="U13" s="666"/>
      <c r="V13" s="11"/>
    </row>
    <row r="14" spans="1:23" s="10" customFormat="1">
      <c r="A14" s="1866">
        <v>1888</v>
      </c>
      <c r="B14" s="41"/>
      <c r="C14" s="1867">
        <v>1098682.3587586537</v>
      </c>
      <c r="D14" s="746"/>
      <c r="E14" s="43"/>
      <c r="F14" s="659"/>
      <c r="G14" s="3031"/>
      <c r="H14" s="3031"/>
      <c r="I14" s="659"/>
      <c r="J14" s="3031"/>
      <c r="K14" s="659"/>
      <c r="L14" s="664"/>
      <c r="M14" s="3031"/>
      <c r="N14" s="659"/>
      <c r="O14" s="3031"/>
      <c r="P14" s="659"/>
      <c r="Q14" s="3031"/>
      <c r="R14" s="659"/>
      <c r="S14" s="3031"/>
      <c r="T14" s="3031"/>
      <c r="U14" s="666"/>
      <c r="V14" s="11"/>
    </row>
    <row r="15" spans="1:23" s="10" customFormat="1">
      <c r="A15" s="1866">
        <v>1889</v>
      </c>
      <c r="B15" s="41"/>
      <c r="C15" s="1867">
        <v>1205147.210044242</v>
      </c>
      <c r="D15" s="746"/>
      <c r="E15" s="43"/>
      <c r="F15" s="659"/>
      <c r="G15" s="3031"/>
      <c r="H15" s="3031"/>
      <c r="I15" s="659"/>
      <c r="J15" s="3031"/>
      <c r="K15" s="659"/>
      <c r="L15" s="664"/>
      <c r="M15" s="3031"/>
      <c r="N15" s="659"/>
      <c r="O15" s="3031"/>
      <c r="P15" s="659"/>
      <c r="Q15" s="3031"/>
      <c r="R15" s="659"/>
      <c r="S15" s="3031"/>
      <c r="T15" s="3031"/>
      <c r="U15" s="666"/>
      <c r="V15" s="11"/>
    </row>
    <row r="16" spans="1:23" s="10" customFormat="1">
      <c r="A16" s="1866">
        <v>1890</v>
      </c>
      <c r="B16" s="41"/>
      <c r="C16" s="1867">
        <v>1105663.6604822988</v>
      </c>
      <c r="D16" s="746"/>
      <c r="E16" s="43"/>
      <c r="F16" s="659"/>
      <c r="G16" s="3031"/>
      <c r="H16" s="3031"/>
      <c r="I16" s="659"/>
      <c r="J16" s="3031"/>
      <c r="K16" s="659"/>
      <c r="L16" s="664"/>
      <c r="M16" s="3031"/>
      <c r="N16" s="659"/>
      <c r="O16" s="3031"/>
      <c r="P16" s="659"/>
      <c r="Q16" s="3031"/>
      <c r="R16" s="659"/>
      <c r="S16" s="3031"/>
      <c r="T16" s="3031"/>
      <c r="U16" s="666"/>
      <c r="V16" s="11"/>
    </row>
    <row r="17" spans="1:22" s="10" customFormat="1">
      <c r="A17" s="1866">
        <v>1891</v>
      </c>
      <c r="B17" s="41"/>
      <c r="C17" s="1867">
        <v>1046322.5958313151</v>
      </c>
      <c r="D17" s="746"/>
      <c r="E17" s="43"/>
      <c r="F17" s="659"/>
      <c r="G17" s="3031"/>
      <c r="H17" s="3031"/>
      <c r="I17" s="659"/>
      <c r="J17" s="3031"/>
      <c r="K17" s="659"/>
      <c r="L17" s="664"/>
      <c r="M17" s="3031"/>
      <c r="N17" s="659"/>
      <c r="O17" s="3031"/>
      <c r="P17" s="659"/>
      <c r="Q17" s="3031"/>
      <c r="R17" s="659"/>
      <c r="S17" s="3031"/>
      <c r="T17" s="3031"/>
      <c r="U17" s="666"/>
      <c r="V17" s="11"/>
    </row>
    <row r="18" spans="1:22" s="10" customFormat="1">
      <c r="A18" s="1866">
        <v>1892</v>
      </c>
      <c r="B18" s="41"/>
      <c r="C18" s="1867">
        <v>1249653.0085324799</v>
      </c>
      <c r="D18" s="746"/>
      <c r="E18" s="43"/>
      <c r="F18" s="659"/>
      <c r="G18" s="3031"/>
      <c r="H18" s="3031"/>
      <c r="I18" s="659"/>
      <c r="J18" s="3031"/>
      <c r="K18" s="659"/>
      <c r="L18" s="664"/>
      <c r="M18" s="3031"/>
      <c r="N18" s="659"/>
      <c r="O18" s="3031"/>
      <c r="P18" s="659"/>
      <c r="Q18" s="3031"/>
      <c r="R18" s="659"/>
      <c r="S18" s="3031"/>
      <c r="T18" s="3031"/>
      <c r="U18" s="666"/>
      <c r="V18" s="11"/>
    </row>
    <row r="19" spans="1:22" s="10" customFormat="1">
      <c r="A19" s="1866">
        <v>1893</v>
      </c>
      <c r="B19" s="41"/>
      <c r="C19" s="1867">
        <v>1323829.3393462095</v>
      </c>
      <c r="D19" s="746"/>
      <c r="E19" s="43"/>
      <c r="F19" s="659"/>
      <c r="G19" s="3031"/>
      <c r="H19" s="3031"/>
      <c r="I19" s="659"/>
      <c r="J19" s="3031"/>
      <c r="K19" s="659"/>
      <c r="L19" s="664"/>
      <c r="M19" s="3031"/>
      <c r="N19" s="659"/>
      <c r="O19" s="3031"/>
      <c r="P19" s="659"/>
      <c r="Q19" s="3031"/>
      <c r="R19" s="659"/>
      <c r="S19" s="3031"/>
      <c r="T19" s="3031"/>
      <c r="U19" s="666"/>
      <c r="V19" s="11"/>
    </row>
    <row r="20" spans="1:22" s="10" customFormat="1">
      <c r="A20" s="1866">
        <v>1894</v>
      </c>
      <c r="B20" s="41"/>
      <c r="C20" s="1867">
        <v>1526287.0893319184</v>
      </c>
      <c r="D20" s="746"/>
      <c r="E20" s="43"/>
      <c r="F20" s="659"/>
      <c r="G20" s="3031"/>
      <c r="H20" s="3031"/>
      <c r="I20" s="659"/>
      <c r="J20" s="3031"/>
      <c r="K20" s="659"/>
      <c r="L20" s="664"/>
      <c r="M20" s="3031"/>
      <c r="N20" s="659"/>
      <c r="O20" s="3031"/>
      <c r="P20" s="659"/>
      <c r="Q20" s="3031"/>
      <c r="R20" s="659"/>
      <c r="S20" s="3031"/>
      <c r="T20" s="3031"/>
      <c r="U20" s="666"/>
      <c r="V20" s="11"/>
    </row>
    <row r="21" spans="1:22" s="10" customFormat="1">
      <c r="A21" s="1866">
        <v>1895</v>
      </c>
      <c r="B21" s="41"/>
      <c r="C21" s="1867">
        <v>1692093.0052684904</v>
      </c>
      <c r="D21" s="746"/>
      <c r="E21" s="43"/>
      <c r="F21" s="659"/>
      <c r="G21" s="3031"/>
      <c r="H21" s="3031"/>
      <c r="I21" s="659"/>
      <c r="J21" s="3031"/>
      <c r="K21" s="659"/>
      <c r="L21" s="664"/>
      <c r="M21" s="3031"/>
      <c r="N21" s="659"/>
      <c r="O21" s="3031"/>
      <c r="P21" s="659"/>
      <c r="Q21" s="3031"/>
      <c r="R21" s="659"/>
      <c r="S21" s="3031"/>
      <c r="T21" s="3031"/>
      <c r="U21" s="666"/>
      <c r="V21" s="11"/>
    </row>
    <row r="22" spans="1:22" s="10" customFormat="1">
      <c r="A22" s="1866">
        <v>1896</v>
      </c>
      <c r="B22" s="41"/>
      <c r="C22" s="1867">
        <v>1871861.524652353</v>
      </c>
      <c r="D22" s="746"/>
      <c r="E22" s="43"/>
      <c r="F22" s="659"/>
      <c r="G22" s="3031"/>
      <c r="H22" s="3031"/>
      <c r="I22" s="659"/>
      <c r="J22" s="3031"/>
      <c r="K22" s="659"/>
      <c r="L22" s="664"/>
      <c r="M22" s="3031"/>
      <c r="N22" s="659"/>
      <c r="O22" s="3031"/>
      <c r="P22" s="659"/>
      <c r="Q22" s="3031"/>
      <c r="R22" s="659"/>
      <c r="S22" s="3031"/>
      <c r="T22" s="3031"/>
      <c r="U22" s="666"/>
      <c r="V22" s="11"/>
    </row>
    <row r="23" spans="1:22" s="10" customFormat="1">
      <c r="A23" s="1866">
        <v>1897</v>
      </c>
      <c r="B23" s="41"/>
      <c r="C23" s="1867">
        <v>1518433.1248928173</v>
      </c>
      <c r="D23" s="746"/>
      <c r="E23" s="43"/>
      <c r="F23" s="659"/>
      <c r="G23" s="3031"/>
      <c r="H23" s="3031"/>
      <c r="I23" s="659"/>
      <c r="J23" s="3031"/>
      <c r="K23" s="659"/>
      <c r="L23" s="664"/>
      <c r="M23" s="3031"/>
      <c r="N23" s="659"/>
      <c r="O23" s="3031"/>
      <c r="P23" s="659"/>
      <c r="Q23" s="3031"/>
      <c r="R23" s="659"/>
      <c r="S23" s="3031"/>
      <c r="T23" s="3031"/>
      <c r="U23" s="666"/>
      <c r="V23" s="11"/>
    </row>
    <row r="24" spans="1:22" s="10" customFormat="1">
      <c r="A24" s="1866">
        <v>1898</v>
      </c>
      <c r="B24" s="41"/>
      <c r="C24" s="1867">
        <v>1646714.5440647963</v>
      </c>
      <c r="D24" s="746"/>
      <c r="E24" s="43"/>
      <c r="F24" s="659"/>
      <c r="G24" s="3031"/>
      <c r="H24" s="3031"/>
      <c r="I24" s="659"/>
      <c r="J24" s="3031"/>
      <c r="K24" s="659"/>
      <c r="L24" s="664"/>
      <c r="M24" s="3031"/>
      <c r="N24" s="659"/>
      <c r="O24" s="3031"/>
      <c r="P24" s="659"/>
      <c r="Q24" s="3031"/>
      <c r="R24" s="659"/>
      <c r="S24" s="3031"/>
      <c r="T24" s="3031"/>
      <c r="U24" s="666"/>
      <c r="V24" s="11"/>
    </row>
    <row r="25" spans="1:22" s="10" customFormat="1">
      <c r="A25" s="1866">
        <v>1899</v>
      </c>
      <c r="B25" s="41"/>
      <c r="C25" s="1867">
        <v>1937311.2283115245</v>
      </c>
      <c r="D25" s="746"/>
      <c r="E25" s="43"/>
      <c r="F25" s="659"/>
      <c r="G25" s="3031"/>
      <c r="H25" s="3031"/>
      <c r="I25" s="659"/>
      <c r="J25" s="3031"/>
      <c r="K25" s="659"/>
      <c r="L25" s="664"/>
      <c r="M25" s="3031"/>
      <c r="N25" s="659"/>
      <c r="O25" s="3031"/>
      <c r="P25" s="659"/>
      <c r="Q25" s="3031"/>
      <c r="R25" s="659"/>
      <c r="S25" s="3031"/>
      <c r="T25" s="3031"/>
      <c r="U25" s="666"/>
      <c r="V25" s="11"/>
    </row>
    <row r="26" spans="1:22" s="10" customFormat="1">
      <c r="A26" s="1866">
        <v>1900</v>
      </c>
      <c r="B26" s="41"/>
      <c r="C26" s="1867">
        <v>1709546.2595776026</v>
      </c>
      <c r="D26" s="746"/>
      <c r="E26" s="43"/>
      <c r="F26" s="659"/>
      <c r="G26" s="3031"/>
      <c r="H26" s="3031"/>
      <c r="I26" s="659"/>
      <c r="J26" s="3031"/>
      <c r="K26" s="659"/>
      <c r="L26" s="664"/>
      <c r="M26" s="3031"/>
      <c r="N26" s="659"/>
      <c r="O26" s="3031"/>
      <c r="P26" s="659"/>
      <c r="Q26" s="3031"/>
      <c r="R26" s="659"/>
      <c r="S26" s="3031"/>
      <c r="T26" s="3031"/>
      <c r="U26" s="666"/>
      <c r="V26" s="11"/>
    </row>
    <row r="27" spans="1:22" s="10" customFormat="1">
      <c r="A27" s="1866">
        <v>1901</v>
      </c>
      <c r="B27" s="41"/>
      <c r="C27" s="1867">
        <v>1854109.4817402924</v>
      </c>
      <c r="D27" s="746"/>
      <c r="E27" s="43"/>
      <c r="F27" s="659"/>
      <c r="G27" s="3031"/>
      <c r="H27" s="3031"/>
      <c r="I27" s="659"/>
      <c r="J27" s="3031"/>
      <c r="K27" s="659"/>
      <c r="L27" s="664"/>
      <c r="M27" s="3031"/>
      <c r="N27" s="659"/>
      <c r="O27" s="3031"/>
      <c r="P27" s="659"/>
      <c r="Q27" s="3031"/>
      <c r="R27" s="659"/>
      <c r="S27" s="3031"/>
      <c r="T27" s="3031"/>
      <c r="U27" s="666"/>
      <c r="V27" s="11"/>
    </row>
    <row r="28" spans="1:22" s="10" customFormat="1">
      <c r="A28" s="1866">
        <v>1902</v>
      </c>
      <c r="B28" s="41"/>
      <c r="C28" s="1867">
        <v>1816744.332724591</v>
      </c>
      <c r="D28" s="746"/>
      <c r="E28" s="43"/>
      <c r="F28" s="659"/>
      <c r="G28" s="3031"/>
      <c r="H28" s="3031"/>
      <c r="I28" s="659"/>
      <c r="J28" s="3031"/>
      <c r="K28" s="659"/>
      <c r="L28" s="664"/>
      <c r="M28" s="3031"/>
      <c r="N28" s="659"/>
      <c r="O28" s="3031"/>
      <c r="P28" s="659"/>
      <c r="Q28" s="3031"/>
      <c r="R28" s="659"/>
      <c r="S28" s="3031"/>
      <c r="T28" s="3031"/>
      <c r="U28" s="666"/>
      <c r="V28" s="11"/>
    </row>
    <row r="29" spans="1:22" s="10" customFormat="1">
      <c r="A29" s="1866">
        <v>1903</v>
      </c>
      <c r="B29" s="41"/>
      <c r="C29" s="1867">
        <v>2076667.9178677965</v>
      </c>
      <c r="D29" s="746"/>
      <c r="E29" s="43"/>
      <c r="F29" s="659"/>
      <c r="G29" s="3031"/>
      <c r="H29" s="3031"/>
      <c r="I29" s="659"/>
      <c r="J29" s="3031"/>
      <c r="K29" s="659"/>
      <c r="L29" s="664"/>
      <c r="M29" s="3031"/>
      <c r="N29" s="659"/>
      <c r="O29" s="3031"/>
      <c r="P29" s="659"/>
      <c r="Q29" s="3031"/>
      <c r="R29" s="659"/>
      <c r="S29" s="3031"/>
      <c r="T29" s="3031"/>
      <c r="U29" s="666"/>
      <c r="V29" s="11"/>
    </row>
    <row r="30" spans="1:22" s="10" customFormat="1">
      <c r="A30" s="1866">
        <v>1904</v>
      </c>
      <c r="B30" s="41"/>
      <c r="C30" s="1867">
        <v>2298138.0486841626</v>
      </c>
      <c r="D30" s="746"/>
      <c r="E30" s="43"/>
      <c r="F30" s="659"/>
      <c r="G30" s="3031"/>
      <c r="H30" s="3031"/>
      <c r="I30" s="659"/>
      <c r="J30" s="3031"/>
      <c r="K30" s="659"/>
      <c r="L30" s="664"/>
      <c r="M30" s="3031"/>
      <c r="N30" s="659"/>
      <c r="O30" s="3031"/>
      <c r="P30" s="659"/>
      <c r="Q30" s="3031"/>
      <c r="R30" s="659"/>
      <c r="S30" s="3031"/>
      <c r="T30" s="3031"/>
      <c r="U30" s="666"/>
      <c r="V30" s="11"/>
    </row>
    <row r="31" spans="1:22" s="10" customFormat="1">
      <c r="A31" s="1866">
        <v>1905</v>
      </c>
      <c r="B31" s="41"/>
      <c r="C31" s="1867">
        <v>2603226.3042395506</v>
      </c>
      <c r="D31" s="746"/>
      <c r="E31" s="43"/>
      <c r="F31" s="659"/>
      <c r="G31" s="3031"/>
      <c r="H31" s="3031"/>
      <c r="I31" s="659"/>
      <c r="J31" s="3031"/>
      <c r="K31" s="659"/>
      <c r="L31" s="664"/>
      <c r="M31" s="3031"/>
      <c r="N31" s="659"/>
      <c r="O31" s="3031"/>
      <c r="P31" s="659"/>
      <c r="Q31" s="3031"/>
      <c r="R31" s="659"/>
      <c r="S31" s="3031"/>
      <c r="T31" s="3031"/>
      <c r="U31" s="666"/>
      <c r="V31" s="11"/>
    </row>
    <row r="32" spans="1:22" s="10" customFormat="1">
      <c r="A32" s="1866">
        <v>1906</v>
      </c>
      <c r="B32" s="41"/>
      <c r="C32" s="1867">
        <v>2734185.7100130292</v>
      </c>
      <c r="D32" s="746"/>
      <c r="E32" s="43"/>
      <c r="F32" s="659"/>
      <c r="G32" s="3031"/>
      <c r="H32" s="3031"/>
      <c r="I32" s="659"/>
      <c r="J32" s="3031"/>
      <c r="K32" s="659"/>
      <c r="L32" s="664"/>
      <c r="M32" s="3031"/>
      <c r="N32" s="659"/>
      <c r="O32" s="3031"/>
      <c r="P32" s="659"/>
      <c r="Q32" s="3031"/>
      <c r="R32" s="659"/>
      <c r="S32" s="3031"/>
      <c r="T32" s="3031"/>
      <c r="U32" s="666"/>
      <c r="V32" s="11"/>
    </row>
    <row r="33" spans="1:22" s="10" customFormat="1">
      <c r="A33" s="1866">
        <v>1907</v>
      </c>
      <c r="B33" s="41"/>
      <c r="C33" s="1867">
        <v>2791865.891503287</v>
      </c>
      <c r="D33" s="746"/>
      <c r="E33" s="43"/>
      <c r="F33" s="659"/>
      <c r="G33" s="3031"/>
      <c r="H33" s="3031"/>
      <c r="I33" s="659"/>
      <c r="J33" s="3031"/>
      <c r="K33" s="659"/>
      <c r="L33" s="664"/>
      <c r="M33" s="3031"/>
      <c r="N33" s="659"/>
      <c r="O33" s="3031"/>
      <c r="P33" s="659"/>
      <c r="Q33" s="3031"/>
      <c r="R33" s="659"/>
      <c r="S33" s="3031"/>
      <c r="T33" s="3031"/>
      <c r="U33" s="666"/>
      <c r="V33" s="11"/>
    </row>
    <row r="34" spans="1:22" s="10" customFormat="1">
      <c r="A34" s="1866">
        <v>1908</v>
      </c>
      <c r="B34" s="41"/>
      <c r="C34" s="1867">
        <v>3065393.2930357051</v>
      </c>
      <c r="D34" s="746"/>
      <c r="E34" s="43"/>
      <c r="F34" s="659"/>
      <c r="G34" s="3031"/>
      <c r="H34" s="3031"/>
      <c r="I34" s="659"/>
      <c r="J34" s="3031"/>
      <c r="K34" s="659"/>
      <c r="L34" s="664"/>
      <c r="M34" s="3031"/>
      <c r="N34" s="659"/>
      <c r="O34" s="3031"/>
      <c r="P34" s="659"/>
      <c r="Q34" s="3031"/>
      <c r="R34" s="659"/>
      <c r="S34" s="3031"/>
      <c r="T34" s="3031"/>
      <c r="U34" s="666"/>
      <c r="V34" s="11"/>
    </row>
    <row r="35" spans="1:22" s="10" customFormat="1">
      <c r="A35" s="1866">
        <v>1909</v>
      </c>
      <c r="B35" s="41"/>
      <c r="C35" s="1867">
        <v>3216667.7312837397</v>
      </c>
      <c r="D35" s="746"/>
      <c r="E35" s="43"/>
      <c r="F35" s="659"/>
      <c r="G35" s="3031"/>
      <c r="H35" s="3031"/>
      <c r="I35" s="659"/>
      <c r="J35" s="3031"/>
      <c r="K35" s="659"/>
      <c r="L35" s="664"/>
      <c r="M35" s="3031"/>
      <c r="N35" s="659"/>
      <c r="O35" s="3031"/>
      <c r="P35" s="659"/>
      <c r="Q35" s="3031"/>
      <c r="R35" s="659"/>
      <c r="S35" s="3031"/>
      <c r="T35" s="3031"/>
      <c r="U35" s="666"/>
      <c r="V35" s="11"/>
    </row>
    <row r="36" spans="1:22" s="10" customFormat="1">
      <c r="A36" s="1866">
        <v>1910</v>
      </c>
      <c r="B36" s="41"/>
      <c r="C36" s="1867">
        <v>3450653.3731781812</v>
      </c>
      <c r="D36" s="746"/>
      <c r="E36" s="43"/>
      <c r="F36" s="659"/>
      <c r="G36" s="3031"/>
      <c r="H36" s="3031"/>
      <c r="I36" s="659"/>
      <c r="J36" s="3031"/>
      <c r="K36" s="659"/>
      <c r="L36" s="664"/>
      <c r="M36" s="3031"/>
      <c r="N36" s="659"/>
      <c r="O36" s="3031"/>
      <c r="P36" s="659"/>
      <c r="Q36" s="3031"/>
      <c r="R36" s="659"/>
      <c r="S36" s="3031"/>
      <c r="T36" s="3031"/>
      <c r="U36" s="666"/>
      <c r="V36" s="11"/>
    </row>
    <row r="37" spans="1:22" s="10" customFormat="1">
      <c r="A37" s="1866">
        <v>1911</v>
      </c>
      <c r="B37" s="41"/>
      <c r="C37" s="1867">
        <v>3512686.7759129866</v>
      </c>
      <c r="D37" s="746"/>
      <c r="E37" s="43"/>
      <c r="F37" s="659"/>
      <c r="G37" s="3031"/>
      <c r="H37" s="3031"/>
      <c r="I37" s="659"/>
      <c r="J37" s="3031"/>
      <c r="K37" s="659"/>
      <c r="L37" s="664"/>
      <c r="M37" s="3031"/>
      <c r="N37" s="659"/>
      <c r="O37" s="3031"/>
      <c r="P37" s="659"/>
      <c r="Q37" s="3031"/>
      <c r="R37" s="659"/>
      <c r="S37" s="3031"/>
      <c r="T37" s="3031"/>
      <c r="U37" s="666"/>
      <c r="V37" s="11"/>
    </row>
    <row r="38" spans="1:22" s="10" customFormat="1">
      <c r="A38" s="1866">
        <v>1912</v>
      </c>
      <c r="B38" s="41"/>
      <c r="C38" s="1867">
        <v>3799636.6096160924</v>
      </c>
      <c r="D38" s="746"/>
      <c r="E38" s="43"/>
      <c r="F38" s="659"/>
      <c r="G38" s="3031"/>
      <c r="H38" s="3031"/>
      <c r="I38" s="659"/>
      <c r="J38" s="3031"/>
      <c r="K38" s="659"/>
      <c r="L38" s="664"/>
      <c r="M38" s="3031"/>
      <c r="N38" s="659"/>
      <c r="O38" s="3031"/>
      <c r="P38" s="659"/>
      <c r="Q38" s="3031"/>
      <c r="R38" s="659"/>
      <c r="S38" s="3031"/>
      <c r="T38" s="3031"/>
      <c r="U38" s="666"/>
      <c r="V38" s="11"/>
    </row>
    <row r="39" spans="1:22" s="10" customFormat="1">
      <c r="A39" s="1866">
        <v>1913</v>
      </c>
      <c r="B39" s="41"/>
      <c r="C39" s="1867">
        <v>3839178.3692540675</v>
      </c>
      <c r="D39" s="746"/>
      <c r="E39" s="43"/>
      <c r="F39" s="659"/>
      <c r="G39" s="3031"/>
      <c r="H39" s="3031"/>
      <c r="I39" s="659"/>
      <c r="J39" s="3031"/>
      <c r="K39" s="659"/>
      <c r="L39" s="664"/>
      <c r="M39" s="3031"/>
      <c r="N39" s="659"/>
      <c r="O39" s="3031"/>
      <c r="P39" s="659"/>
      <c r="Q39" s="3031"/>
      <c r="R39" s="659"/>
      <c r="S39" s="3031"/>
      <c r="T39" s="3031"/>
      <c r="U39" s="666"/>
      <c r="V39" s="11"/>
    </row>
    <row r="40" spans="1:22" s="10" customFormat="1">
      <c r="A40" s="1866">
        <v>1914</v>
      </c>
      <c r="B40" s="41"/>
      <c r="C40" s="1867">
        <v>3441584.162252041</v>
      </c>
      <c r="D40" s="746"/>
      <c r="E40" s="43"/>
      <c r="F40" s="659"/>
      <c r="G40" s="3031"/>
      <c r="H40" s="3031"/>
      <c r="I40" s="659"/>
      <c r="J40" s="3031"/>
      <c r="K40" s="659"/>
      <c r="L40" s="664"/>
      <c r="M40" s="3031"/>
      <c r="N40" s="659"/>
      <c r="O40" s="3031"/>
      <c r="P40" s="659"/>
      <c r="Q40" s="3031"/>
      <c r="R40" s="659"/>
      <c r="S40" s="3031"/>
      <c r="T40" s="3031"/>
      <c r="U40" s="666"/>
      <c r="V40" s="11"/>
    </row>
    <row r="41" spans="1:22" s="10" customFormat="1">
      <c r="A41" s="1866">
        <v>1915</v>
      </c>
      <c r="B41" s="41"/>
      <c r="C41" s="1867">
        <v>3459722.5841043233</v>
      </c>
      <c r="D41" s="746"/>
      <c r="E41" s="43"/>
      <c r="F41" s="659"/>
      <c r="G41" s="3031"/>
      <c r="H41" s="3031"/>
      <c r="I41" s="659"/>
      <c r="J41" s="3031"/>
      <c r="K41" s="659"/>
      <c r="L41" s="664"/>
      <c r="M41" s="3031"/>
      <c r="N41" s="659"/>
      <c r="O41" s="3031"/>
      <c r="P41" s="659"/>
      <c r="Q41" s="3031"/>
      <c r="R41" s="659"/>
      <c r="S41" s="3031"/>
      <c r="T41" s="3031"/>
      <c r="U41" s="666"/>
      <c r="V41" s="11"/>
    </row>
    <row r="42" spans="1:22" s="10" customFormat="1">
      <c r="A42" s="1866">
        <v>1916</v>
      </c>
      <c r="B42" s="41"/>
      <c r="C42" s="1867">
        <v>3360142.6481352942</v>
      </c>
      <c r="D42" s="746"/>
      <c r="E42" s="43"/>
      <c r="F42" s="659"/>
      <c r="G42" s="3031"/>
      <c r="H42" s="3031"/>
      <c r="I42" s="659"/>
      <c r="J42" s="3031"/>
      <c r="K42" s="659"/>
      <c r="L42" s="664"/>
      <c r="M42" s="3031"/>
      <c r="N42" s="659"/>
      <c r="O42" s="3031"/>
      <c r="P42" s="659"/>
      <c r="Q42" s="3031"/>
      <c r="R42" s="659"/>
      <c r="S42" s="3031"/>
      <c r="T42" s="3031"/>
      <c r="U42" s="666"/>
      <c r="V42" s="11"/>
    </row>
    <row r="43" spans="1:22" s="10" customFormat="1">
      <c r="A43" s="1866">
        <v>1917</v>
      </c>
      <c r="B43" s="41"/>
      <c r="C43" s="1867">
        <v>3087884.9361325367</v>
      </c>
      <c r="D43" s="746"/>
      <c r="E43" s="43"/>
      <c r="F43" s="659"/>
      <c r="G43" s="3031"/>
      <c r="H43" s="3031"/>
      <c r="I43" s="659"/>
      <c r="J43" s="3031"/>
      <c r="K43" s="659"/>
      <c r="L43" s="664"/>
      <c r="M43" s="3031"/>
      <c r="N43" s="659"/>
      <c r="O43" s="3031"/>
      <c r="P43" s="659"/>
      <c r="Q43" s="3031"/>
      <c r="R43" s="659"/>
      <c r="S43" s="3031"/>
      <c r="T43" s="3031"/>
      <c r="U43" s="666"/>
      <c r="V43" s="11"/>
    </row>
    <row r="44" spans="1:22" s="10" customFormat="1">
      <c r="A44" s="1866">
        <v>1918</v>
      </c>
      <c r="B44" s="41"/>
      <c r="C44" s="1867">
        <v>3653985.0821422678</v>
      </c>
      <c r="D44" s="746"/>
      <c r="E44" s="43"/>
      <c r="F44" s="659"/>
      <c r="G44" s="3031"/>
      <c r="H44" s="3031"/>
      <c r="I44" s="659"/>
      <c r="J44" s="3031"/>
      <c r="K44" s="659"/>
      <c r="L44" s="664"/>
      <c r="M44" s="3031"/>
      <c r="N44" s="659"/>
      <c r="O44" s="3031"/>
      <c r="P44" s="659"/>
      <c r="Q44" s="3031"/>
      <c r="R44" s="659"/>
      <c r="S44" s="3031"/>
      <c r="T44" s="3031"/>
      <c r="U44" s="666"/>
      <c r="V44" s="11"/>
    </row>
    <row r="45" spans="1:22" s="10" customFormat="1">
      <c r="A45" s="1866">
        <v>1919</v>
      </c>
      <c r="B45" s="41"/>
      <c r="C45" s="1867">
        <v>3788390.7880676794</v>
      </c>
      <c r="D45" s="746"/>
      <c r="E45" s="43"/>
      <c r="F45" s="659"/>
      <c r="G45" s="3031"/>
      <c r="H45" s="3031"/>
      <c r="I45" s="659"/>
      <c r="J45" s="3031"/>
      <c r="K45" s="659"/>
      <c r="L45" s="664"/>
      <c r="M45" s="3031"/>
      <c r="N45" s="659"/>
      <c r="O45" s="3031"/>
      <c r="P45" s="659"/>
      <c r="Q45" s="3031"/>
      <c r="R45" s="659"/>
      <c r="S45" s="3031"/>
      <c r="T45" s="3031"/>
      <c r="U45" s="666"/>
      <c r="V45" s="11"/>
    </row>
    <row r="46" spans="1:22" s="10" customFormat="1">
      <c r="A46" s="1866">
        <v>1920</v>
      </c>
      <c r="B46" s="41"/>
      <c r="C46" s="1867">
        <v>4064094.8002223717</v>
      </c>
      <c r="D46" s="746"/>
      <c r="E46" s="43"/>
      <c r="F46" s="659"/>
      <c r="G46" s="3031"/>
      <c r="H46" s="3031"/>
      <c r="I46" s="659"/>
      <c r="J46" s="3031"/>
      <c r="K46" s="659"/>
      <c r="L46" s="664"/>
      <c r="M46" s="3031"/>
      <c r="N46" s="659"/>
      <c r="O46" s="3031"/>
      <c r="P46" s="659"/>
      <c r="Q46" s="3031"/>
      <c r="R46" s="659"/>
      <c r="S46" s="3031"/>
      <c r="T46" s="3031"/>
      <c r="U46" s="659"/>
      <c r="V46" s="11"/>
    </row>
    <row r="47" spans="1:22" s="10" customFormat="1">
      <c r="A47" s="1866">
        <v>1921</v>
      </c>
      <c r="B47" s="41"/>
      <c r="C47" s="1867">
        <v>4168027.9574359492</v>
      </c>
      <c r="D47" s="746"/>
      <c r="E47" s="43"/>
      <c r="F47" s="659"/>
      <c r="G47" s="3031"/>
      <c r="H47" s="3031"/>
      <c r="I47" s="659"/>
      <c r="J47" s="3031"/>
      <c r="K47" s="659"/>
      <c r="L47" s="664"/>
      <c r="M47" s="3031"/>
      <c r="N47" s="659"/>
      <c r="O47" s="3031"/>
      <c r="P47" s="659"/>
      <c r="Q47" s="3031"/>
      <c r="R47" s="659"/>
      <c r="S47" s="3031"/>
      <c r="T47" s="3031"/>
      <c r="U47" s="659"/>
      <c r="V47" s="11"/>
    </row>
    <row r="48" spans="1:22" s="10" customFormat="1">
      <c r="A48" s="1866">
        <v>1922</v>
      </c>
      <c r="B48" s="41"/>
      <c r="C48" s="1867">
        <v>4501412.1510808989</v>
      </c>
      <c r="D48" s="746"/>
      <c r="E48" s="43"/>
      <c r="F48" s="659"/>
      <c r="G48" s="3031"/>
      <c r="H48" s="3031"/>
      <c r="I48" s="659"/>
      <c r="J48" s="3031"/>
      <c r="K48" s="659"/>
      <c r="L48" s="664"/>
      <c r="M48" s="3031"/>
      <c r="N48" s="659"/>
      <c r="O48" s="3031"/>
      <c r="P48" s="659"/>
      <c r="Q48" s="3031"/>
      <c r="R48" s="659"/>
      <c r="S48" s="3031"/>
      <c r="T48" s="3031"/>
      <c r="U48" s="659"/>
      <c r="V48" s="11"/>
    </row>
    <row r="49" spans="1:22" s="10" customFormat="1">
      <c r="A49" s="1866">
        <v>1923</v>
      </c>
      <c r="B49" s="41"/>
      <c r="C49" s="1867">
        <v>4997316.6045222981</v>
      </c>
      <c r="D49" s="746"/>
      <c r="E49" s="43"/>
      <c r="F49" s="659"/>
      <c r="G49" s="3031"/>
      <c r="H49" s="3031"/>
      <c r="I49" s="659"/>
      <c r="J49" s="3031"/>
      <c r="K49" s="659"/>
      <c r="L49" s="664"/>
      <c r="M49" s="3031"/>
      <c r="N49" s="659"/>
      <c r="O49" s="3031"/>
      <c r="P49" s="659"/>
      <c r="Q49" s="3031"/>
      <c r="R49" s="659"/>
      <c r="S49" s="3031"/>
      <c r="T49" s="3031"/>
      <c r="U49" s="659"/>
      <c r="V49" s="11"/>
    </row>
    <row r="50" spans="1:22" s="10" customFormat="1">
      <c r="A50" s="1866">
        <v>1924</v>
      </c>
      <c r="B50" s="41"/>
      <c r="C50" s="1867">
        <v>5387111.2901278455</v>
      </c>
      <c r="D50" s="746"/>
      <c r="E50" s="43"/>
      <c r="F50" s="659"/>
      <c r="G50" s="3031"/>
      <c r="H50" s="3031"/>
      <c r="I50" s="659"/>
      <c r="J50" s="3031"/>
      <c r="K50" s="659"/>
      <c r="L50" s="664"/>
      <c r="M50" s="3031"/>
      <c r="N50" s="659"/>
      <c r="O50" s="3031"/>
      <c r="P50" s="659"/>
      <c r="Q50" s="3031"/>
      <c r="R50" s="659"/>
      <c r="S50" s="3031"/>
      <c r="T50" s="3031"/>
      <c r="U50" s="659"/>
      <c r="V50" s="11"/>
    </row>
    <row r="51" spans="1:22" s="10" customFormat="1">
      <c r="A51" s="1866">
        <v>1925</v>
      </c>
      <c r="B51" s="41"/>
      <c r="C51" s="1867">
        <v>5364619.6470310148</v>
      </c>
      <c r="D51" s="746"/>
      <c r="E51" s="43"/>
      <c r="F51" s="659"/>
      <c r="G51" s="3031"/>
      <c r="H51" s="3031"/>
      <c r="I51" s="659"/>
      <c r="J51" s="3031"/>
      <c r="K51" s="659"/>
      <c r="L51" s="664"/>
      <c r="M51" s="3031"/>
      <c r="N51" s="659"/>
      <c r="O51" s="3031"/>
      <c r="P51" s="659"/>
      <c r="Q51" s="3031"/>
      <c r="R51" s="659"/>
      <c r="S51" s="3031"/>
      <c r="T51" s="3031"/>
      <c r="U51" s="659"/>
      <c r="V51" s="11"/>
    </row>
    <row r="52" spans="1:22" s="10" customFormat="1">
      <c r="A52" s="1866">
        <v>1926</v>
      </c>
      <c r="B52" s="41"/>
      <c r="C52" s="1867">
        <v>5623273.5426445613</v>
      </c>
      <c r="D52" s="746"/>
      <c r="E52" s="43"/>
      <c r="F52" s="659"/>
      <c r="G52" s="3031"/>
      <c r="H52" s="3031"/>
      <c r="I52" s="659"/>
      <c r="J52" s="3031"/>
      <c r="K52" s="659"/>
      <c r="L52" s="664"/>
      <c r="M52" s="3031"/>
      <c r="N52" s="659"/>
      <c r="O52" s="3031"/>
      <c r="P52" s="659"/>
      <c r="Q52" s="3031"/>
      <c r="R52" s="659"/>
      <c r="S52" s="3031"/>
      <c r="T52" s="3031"/>
      <c r="U52" s="659"/>
      <c r="V52" s="11"/>
    </row>
    <row r="53" spans="1:22" s="10" customFormat="1">
      <c r="A53" s="1866">
        <v>1927</v>
      </c>
      <c r="B53" s="41"/>
      <c r="C53" s="1867">
        <v>6022137.4391762484</v>
      </c>
      <c r="D53" s="746"/>
      <c r="E53" s="43"/>
      <c r="F53" s="659"/>
      <c r="G53" s="3031"/>
      <c r="H53" s="3031"/>
      <c r="I53" s="659"/>
      <c r="J53" s="3031"/>
      <c r="K53" s="659"/>
      <c r="L53" s="664"/>
      <c r="M53" s="3031"/>
      <c r="N53" s="659"/>
      <c r="O53" s="3031"/>
      <c r="P53" s="659"/>
      <c r="Q53" s="3031"/>
      <c r="R53" s="659"/>
      <c r="S53" s="3031"/>
      <c r="T53" s="3031"/>
      <c r="U53" s="659"/>
      <c r="V53" s="11"/>
    </row>
    <row r="54" spans="1:22" s="10" customFormat="1">
      <c r="A54" s="1866">
        <v>1928</v>
      </c>
      <c r="B54" s="41"/>
      <c r="C54" s="1867">
        <v>6395063.3924591728</v>
      </c>
      <c r="D54" s="746"/>
      <c r="E54" s="43"/>
      <c r="F54" s="659"/>
      <c r="G54" s="3031"/>
      <c r="H54" s="3031"/>
      <c r="I54" s="659"/>
      <c r="J54" s="3031"/>
      <c r="K54" s="659"/>
      <c r="L54" s="664"/>
      <c r="M54" s="3031"/>
      <c r="N54" s="659"/>
      <c r="O54" s="3031"/>
      <c r="P54" s="659"/>
      <c r="Q54" s="3031"/>
      <c r="R54" s="659"/>
      <c r="S54" s="3031"/>
      <c r="T54" s="3031"/>
      <c r="U54" s="659"/>
      <c r="V54" s="11"/>
    </row>
    <row r="55" spans="1:22" s="10" customFormat="1">
      <c r="A55" s="1866">
        <v>1929</v>
      </c>
      <c r="B55" s="41"/>
      <c r="C55" s="1867">
        <v>6689812.7475587605</v>
      </c>
      <c r="D55" s="746"/>
      <c r="E55" s="43"/>
      <c r="F55" s="659"/>
      <c r="G55" s="3031"/>
      <c r="H55" s="3031"/>
      <c r="I55" s="659"/>
      <c r="J55" s="3031"/>
      <c r="K55" s="659"/>
      <c r="L55" s="664"/>
      <c r="M55" s="3031"/>
      <c r="N55" s="659"/>
      <c r="O55" s="3031"/>
      <c r="P55" s="659"/>
      <c r="Q55" s="3031"/>
      <c r="R55" s="659"/>
      <c r="S55" s="3031"/>
      <c r="T55" s="3031"/>
      <c r="U55" s="659"/>
      <c r="V55" s="11"/>
    </row>
    <row r="56" spans="1:22" s="10" customFormat="1">
      <c r="A56" s="1866">
        <v>1930</v>
      </c>
      <c r="B56" s="41"/>
      <c r="C56" s="1867">
        <v>6413020.4300929308</v>
      </c>
      <c r="D56" s="746"/>
      <c r="E56" s="43"/>
      <c r="F56" s="659"/>
      <c r="G56" s="3031"/>
      <c r="H56" s="3031"/>
      <c r="I56" s="659"/>
      <c r="J56" s="3031"/>
      <c r="K56" s="659"/>
      <c r="L56" s="664"/>
      <c r="M56" s="3031"/>
      <c r="N56" s="659"/>
      <c r="O56" s="3031"/>
      <c r="P56" s="659"/>
      <c r="Q56" s="3031"/>
      <c r="R56" s="659"/>
      <c r="S56" s="3031"/>
      <c r="T56" s="3031"/>
      <c r="U56" s="659"/>
      <c r="V56" s="11"/>
    </row>
    <row r="57" spans="1:22" s="10" customFormat="1">
      <c r="A57" s="1866">
        <v>1931</v>
      </c>
      <c r="B57" s="41"/>
      <c r="C57" s="1867">
        <v>5967903.5578379212</v>
      </c>
      <c r="D57" s="746"/>
      <c r="E57" s="43"/>
      <c r="F57" s="659"/>
      <c r="G57" s="3031"/>
      <c r="H57" s="3031"/>
      <c r="I57" s="659"/>
      <c r="J57" s="3031"/>
      <c r="K57" s="659"/>
      <c r="L57" s="664"/>
      <c r="M57" s="3031"/>
      <c r="N57" s="659"/>
      <c r="O57" s="3031"/>
      <c r="P57" s="659"/>
      <c r="Q57" s="3031"/>
      <c r="R57" s="659"/>
      <c r="S57" s="3031"/>
      <c r="T57" s="3031"/>
      <c r="U57" s="659"/>
      <c r="V57" s="11"/>
    </row>
    <row r="58" spans="1:22" s="10" customFormat="1">
      <c r="A58" s="1866">
        <v>1932</v>
      </c>
      <c r="B58" s="41"/>
      <c r="C58" s="1867">
        <v>5770194.7596480455</v>
      </c>
      <c r="D58" s="746"/>
      <c r="E58" s="43"/>
      <c r="F58" s="659"/>
      <c r="G58" s="3031"/>
      <c r="H58" s="3031"/>
      <c r="I58" s="659"/>
      <c r="J58" s="3031"/>
      <c r="K58" s="659"/>
      <c r="L58" s="664"/>
      <c r="M58" s="3031"/>
      <c r="N58" s="659"/>
      <c r="O58" s="3031"/>
      <c r="P58" s="659"/>
      <c r="Q58" s="3031"/>
      <c r="R58" s="659"/>
      <c r="S58" s="3031"/>
      <c r="T58" s="3031"/>
      <c r="U58" s="659"/>
      <c r="V58" s="11"/>
    </row>
    <row r="59" spans="1:22" s="10" customFormat="1">
      <c r="A59" s="1866">
        <v>1933</v>
      </c>
      <c r="B59" s="41"/>
      <c r="C59" s="1867">
        <v>6041364.1663396647</v>
      </c>
      <c r="D59" s="746"/>
      <c r="E59" s="43"/>
      <c r="F59" s="659"/>
      <c r="G59" s="3031"/>
      <c r="H59" s="3031"/>
      <c r="I59" s="659"/>
      <c r="J59" s="3031"/>
      <c r="K59" s="659"/>
      <c r="L59" s="664"/>
      <c r="M59" s="3031"/>
      <c r="N59" s="659"/>
      <c r="O59" s="3031"/>
      <c r="P59" s="659"/>
      <c r="Q59" s="3031"/>
      <c r="R59" s="659"/>
      <c r="S59" s="3031"/>
      <c r="T59" s="3031"/>
      <c r="U59" s="659"/>
      <c r="V59" s="11"/>
    </row>
    <row r="60" spans="1:22" s="10" customFormat="1">
      <c r="A60" s="1866">
        <v>1934</v>
      </c>
      <c r="B60" s="41"/>
      <c r="C60" s="1867">
        <v>6518223.2768361662</v>
      </c>
      <c r="D60" s="746"/>
      <c r="E60" s="43"/>
      <c r="F60" s="659"/>
      <c r="G60" s="3031"/>
      <c r="H60" s="3031"/>
      <c r="I60" s="659"/>
      <c r="J60" s="3031"/>
      <c r="K60" s="659"/>
      <c r="L60" s="664"/>
      <c r="M60" s="3031"/>
      <c r="N60" s="659"/>
      <c r="O60" s="3031"/>
      <c r="P60" s="659"/>
      <c r="Q60" s="3031"/>
      <c r="R60" s="659"/>
      <c r="S60" s="3031"/>
      <c r="T60" s="3031"/>
      <c r="U60" s="659"/>
      <c r="V60" s="11"/>
    </row>
    <row r="61" spans="1:22" s="10" customFormat="1">
      <c r="A61" s="1866">
        <v>1935</v>
      </c>
      <c r="B61" s="41"/>
      <c r="C61" s="1867">
        <v>6801726.8103873376</v>
      </c>
      <c r="D61" s="746"/>
      <c r="E61" s="43"/>
      <c r="F61" s="659"/>
      <c r="G61" s="3031"/>
      <c r="H61" s="3031"/>
      <c r="I61" s="659"/>
      <c r="J61" s="3031"/>
      <c r="K61" s="659"/>
      <c r="L61" s="664"/>
      <c r="M61" s="3031"/>
      <c r="N61" s="659"/>
      <c r="O61" s="3031"/>
      <c r="P61" s="659"/>
      <c r="Q61" s="3031"/>
      <c r="R61" s="659"/>
      <c r="S61" s="3031"/>
      <c r="T61" s="3031"/>
      <c r="U61" s="659"/>
      <c r="V61" s="11"/>
    </row>
    <row r="62" spans="1:22" s="10" customFormat="1">
      <c r="A62" s="1866">
        <v>1936</v>
      </c>
      <c r="B62" s="41"/>
      <c r="C62" s="1867">
        <v>6858318.6865664581</v>
      </c>
      <c r="D62" s="746"/>
      <c r="E62" s="43"/>
      <c r="F62" s="659"/>
      <c r="G62" s="3031"/>
      <c r="H62" s="3031"/>
      <c r="I62" s="659"/>
      <c r="J62" s="3031"/>
      <c r="K62" s="659"/>
      <c r="L62" s="664"/>
      <c r="M62" s="3031"/>
      <c r="N62" s="659"/>
      <c r="O62" s="3031"/>
      <c r="P62" s="659"/>
      <c r="Q62" s="3031"/>
      <c r="R62" s="659"/>
      <c r="S62" s="3031"/>
      <c r="T62" s="3031"/>
      <c r="U62" s="659"/>
      <c r="V62" s="11"/>
    </row>
    <row r="63" spans="1:22" s="10" customFormat="1">
      <c r="A63" s="1866">
        <v>1937</v>
      </c>
      <c r="B63" s="41"/>
      <c r="C63" s="1867">
        <v>7355311.4453189932</v>
      </c>
      <c r="D63" s="746"/>
      <c r="E63" s="43"/>
      <c r="F63" s="659"/>
      <c r="G63" s="3031"/>
      <c r="H63" s="3031"/>
      <c r="I63" s="659"/>
      <c r="J63" s="3031"/>
      <c r="K63" s="659"/>
      <c r="L63" s="664"/>
      <c r="M63" s="3031"/>
      <c r="N63" s="659"/>
      <c r="O63" s="3031"/>
      <c r="P63" s="659"/>
      <c r="Q63" s="3031"/>
      <c r="R63" s="659"/>
      <c r="S63" s="3031"/>
      <c r="T63" s="3031"/>
      <c r="U63" s="659"/>
      <c r="V63" s="11"/>
    </row>
    <row r="64" spans="1:22" s="10" customFormat="1">
      <c r="A64" s="1866">
        <v>1938</v>
      </c>
      <c r="B64" s="41"/>
      <c r="C64" s="1867">
        <v>7377984.4726343444</v>
      </c>
      <c r="D64" s="746"/>
      <c r="E64" s="43"/>
      <c r="F64" s="659"/>
      <c r="G64" s="3031"/>
      <c r="H64" s="3031"/>
      <c r="I64" s="659"/>
      <c r="J64" s="3031"/>
      <c r="K64" s="659"/>
      <c r="L64" s="664"/>
      <c r="M64" s="3031"/>
      <c r="N64" s="659"/>
      <c r="O64" s="3031"/>
      <c r="P64" s="659"/>
      <c r="Q64" s="3031"/>
      <c r="R64" s="659"/>
      <c r="S64" s="3031"/>
      <c r="T64" s="3031"/>
      <c r="U64" s="659"/>
      <c r="V64" s="11"/>
    </row>
    <row r="65" spans="1:22" s="10" customFormat="1">
      <c r="A65" s="1866">
        <v>1939</v>
      </c>
      <c r="B65" s="41"/>
      <c r="C65" s="1867">
        <v>7660399.700874378</v>
      </c>
      <c r="D65" s="746"/>
      <c r="E65" s="43"/>
      <c r="F65" s="659"/>
      <c r="G65" s="3031"/>
      <c r="H65" s="3031"/>
      <c r="I65" s="659"/>
      <c r="J65" s="3031"/>
      <c r="K65" s="659"/>
      <c r="L65" s="664"/>
      <c r="M65" s="3031"/>
      <c r="N65" s="659"/>
      <c r="O65" s="3031"/>
      <c r="P65" s="659"/>
      <c r="Q65" s="3031"/>
      <c r="R65" s="659"/>
      <c r="S65" s="3031"/>
      <c r="T65" s="3031"/>
      <c r="U65" s="659"/>
      <c r="V65" s="11"/>
    </row>
    <row r="66" spans="1:22" s="10" customFormat="1" ht="11.25" customHeight="1">
      <c r="A66" s="1866">
        <v>1940</v>
      </c>
      <c r="B66" s="41"/>
      <c r="C66" s="1867">
        <v>7784647.890562511</v>
      </c>
      <c r="D66" s="746"/>
      <c r="E66" s="43"/>
      <c r="F66" s="659"/>
      <c r="G66" s="3031"/>
      <c r="H66" s="3031"/>
      <c r="I66" s="659"/>
      <c r="J66" s="3031"/>
      <c r="K66" s="659"/>
      <c r="L66" s="664"/>
      <c r="M66" s="3031"/>
      <c r="N66" s="659"/>
      <c r="O66" s="3031"/>
      <c r="P66" s="659"/>
      <c r="Q66" s="3031"/>
      <c r="R66" s="659"/>
      <c r="S66" s="3031"/>
      <c r="T66" s="3031"/>
      <c r="U66" s="659"/>
      <c r="V66" s="11"/>
    </row>
    <row r="67" spans="1:22" s="10" customFormat="1">
      <c r="A67" s="1866">
        <v>1941</v>
      </c>
      <c r="B67" s="41"/>
      <c r="C67" s="1867">
        <v>8191492.6927092019</v>
      </c>
      <c r="D67" s="746"/>
      <c r="E67" s="43"/>
      <c r="F67" s="659"/>
      <c r="G67" s="3031"/>
      <c r="H67" s="3031"/>
      <c r="I67" s="659"/>
      <c r="J67" s="3031"/>
      <c r="K67" s="659"/>
      <c r="L67" s="664"/>
      <c r="M67" s="3031"/>
      <c r="N67" s="659"/>
      <c r="O67" s="3031"/>
      <c r="P67" s="659"/>
      <c r="Q67" s="3031"/>
      <c r="R67" s="659"/>
      <c r="S67" s="3031"/>
      <c r="T67" s="3031"/>
      <c r="U67" s="659"/>
      <c r="V67" s="11"/>
    </row>
    <row r="68" spans="1:22" s="10" customFormat="1">
      <c r="A68" s="1866">
        <v>1942</v>
      </c>
      <c r="B68" s="41"/>
      <c r="C68" s="1867">
        <v>8281822.0335335694</v>
      </c>
      <c r="D68" s="746"/>
      <c r="E68" s="43"/>
      <c r="F68" s="659"/>
      <c r="G68" s="3031"/>
      <c r="H68" s="3031"/>
      <c r="I68" s="659"/>
      <c r="J68" s="3031"/>
      <c r="K68" s="659"/>
      <c r="L68" s="664"/>
      <c r="M68" s="3031"/>
      <c r="N68" s="659"/>
      <c r="O68" s="3031"/>
      <c r="P68" s="659"/>
      <c r="Q68" s="3031"/>
      <c r="R68" s="659"/>
      <c r="S68" s="3031"/>
      <c r="T68" s="3031"/>
      <c r="U68" s="659"/>
      <c r="V68" s="11"/>
    </row>
    <row r="69" spans="1:22" s="10" customFormat="1">
      <c r="A69" s="1866">
        <v>1943</v>
      </c>
      <c r="B69" s="41"/>
      <c r="C69" s="1867">
        <v>8225411.5415729703</v>
      </c>
      <c r="D69" s="746"/>
      <c r="E69" s="43"/>
      <c r="F69" s="659"/>
      <c r="G69" s="3031"/>
      <c r="H69" s="3031"/>
      <c r="I69" s="659"/>
      <c r="J69" s="3031"/>
      <c r="K69" s="659"/>
      <c r="L69" s="664"/>
      <c r="M69" s="3031"/>
      <c r="N69" s="659"/>
      <c r="O69" s="3031"/>
      <c r="P69" s="659"/>
      <c r="Q69" s="3031"/>
      <c r="R69" s="659"/>
      <c r="S69" s="3031"/>
      <c r="T69" s="3031"/>
      <c r="U69" s="659"/>
      <c r="V69" s="11"/>
    </row>
    <row r="70" spans="1:22" s="10" customFormat="1">
      <c r="A70" s="1866">
        <v>1944</v>
      </c>
      <c r="B70" s="41"/>
      <c r="C70" s="1867">
        <v>9151922.1297875475</v>
      </c>
      <c r="D70" s="746"/>
      <c r="E70" s="43"/>
      <c r="F70" s="659"/>
      <c r="G70" s="3031"/>
      <c r="H70" s="3031"/>
      <c r="I70" s="659"/>
      <c r="J70" s="3031"/>
      <c r="K70" s="659"/>
      <c r="L70" s="664"/>
      <c r="M70" s="3031"/>
      <c r="N70" s="659"/>
      <c r="O70" s="3031"/>
      <c r="P70" s="659"/>
      <c r="Q70" s="3031"/>
      <c r="R70" s="659"/>
      <c r="S70" s="3031"/>
      <c r="T70" s="3031"/>
      <c r="U70" s="659"/>
      <c r="V70" s="11"/>
    </row>
    <row r="71" spans="1:22" s="10" customFormat="1">
      <c r="A71" s="1866">
        <v>1945</v>
      </c>
      <c r="B71" s="41"/>
      <c r="C71" s="1867">
        <v>8858079.6957805753</v>
      </c>
      <c r="D71" s="746"/>
      <c r="E71" s="43"/>
      <c r="F71" s="659"/>
      <c r="G71" s="3031"/>
      <c r="H71" s="3031"/>
      <c r="I71" s="659"/>
      <c r="J71" s="3031"/>
      <c r="K71" s="659"/>
      <c r="L71" s="664"/>
      <c r="M71" s="3031"/>
      <c r="N71" s="659"/>
      <c r="O71" s="3031"/>
      <c r="P71" s="659"/>
      <c r="Q71" s="3031"/>
      <c r="R71" s="659"/>
      <c r="S71" s="3031"/>
      <c r="T71" s="3031"/>
      <c r="U71" s="659"/>
      <c r="V71" s="11"/>
    </row>
    <row r="72" spans="1:22" s="10" customFormat="1">
      <c r="A72" s="1866">
        <v>1946</v>
      </c>
      <c r="B72" s="41"/>
      <c r="C72" s="1867">
        <v>9649096.2727586068</v>
      </c>
      <c r="D72" s="746"/>
      <c r="E72" s="43"/>
      <c r="F72" s="659"/>
      <c r="G72" s="3031"/>
      <c r="H72" s="3031"/>
      <c r="I72" s="659"/>
      <c r="J72" s="3031"/>
      <c r="K72" s="659"/>
      <c r="L72" s="664"/>
      <c r="M72" s="3031"/>
      <c r="N72" s="659"/>
      <c r="O72" s="3031"/>
      <c r="P72" s="659"/>
      <c r="Q72" s="3031"/>
      <c r="R72" s="659"/>
      <c r="S72" s="3031"/>
      <c r="T72" s="3031"/>
      <c r="U72" s="659"/>
      <c r="V72" s="11"/>
    </row>
    <row r="73" spans="1:22" s="10" customFormat="1">
      <c r="A73" s="1866">
        <v>1947</v>
      </c>
      <c r="B73" s="41"/>
      <c r="C73" s="1867">
        <v>10722346.693758149</v>
      </c>
      <c r="D73" s="746"/>
      <c r="E73" s="43"/>
      <c r="F73" s="659"/>
      <c r="G73" s="3031"/>
      <c r="H73" s="3031"/>
      <c r="I73" s="659"/>
      <c r="J73" s="3031"/>
      <c r="K73" s="659"/>
      <c r="L73" s="664"/>
      <c r="M73" s="3031"/>
      <c r="N73" s="659"/>
      <c r="O73" s="3031"/>
      <c r="P73" s="659"/>
      <c r="Q73" s="3031"/>
      <c r="R73" s="659"/>
      <c r="S73" s="3031"/>
      <c r="T73" s="3031"/>
      <c r="U73" s="659"/>
      <c r="V73" s="11"/>
    </row>
    <row r="74" spans="1:22" s="10" customFormat="1">
      <c r="A74" s="1866">
        <v>1948</v>
      </c>
      <c r="B74" s="41"/>
      <c r="C74" s="1867">
        <v>11309850.177553574</v>
      </c>
      <c r="D74" s="746"/>
      <c r="E74" s="43"/>
      <c r="F74" s="659"/>
      <c r="G74" s="3031"/>
      <c r="H74" s="3031"/>
      <c r="I74" s="659"/>
      <c r="J74" s="3031"/>
      <c r="K74" s="659"/>
      <c r="L74" s="664"/>
      <c r="M74" s="3031"/>
      <c r="N74" s="659"/>
      <c r="O74" s="3031"/>
      <c r="P74" s="659"/>
      <c r="Q74" s="3031"/>
      <c r="R74" s="659"/>
      <c r="S74" s="3031"/>
      <c r="T74" s="3031"/>
      <c r="U74" s="659"/>
      <c r="V74" s="11"/>
    </row>
    <row r="75" spans="1:22" s="10" customFormat="1">
      <c r="A75" s="1866">
        <v>1949</v>
      </c>
      <c r="B75" s="41"/>
      <c r="C75" s="1867">
        <v>11163110.34476861</v>
      </c>
      <c r="D75" s="746"/>
      <c r="E75" s="43"/>
      <c r="F75" s="659"/>
      <c r="G75" s="3031"/>
      <c r="H75" s="3031"/>
      <c r="I75" s="659"/>
      <c r="J75" s="3031"/>
      <c r="K75" s="659"/>
      <c r="L75" s="664"/>
      <c r="M75" s="3031"/>
      <c r="N75" s="659"/>
      <c r="O75" s="3031"/>
      <c r="P75" s="659"/>
      <c r="Q75" s="3031"/>
      <c r="R75" s="659"/>
      <c r="S75" s="3031"/>
      <c r="T75" s="3031"/>
      <c r="U75" s="659"/>
      <c r="V75" s="11"/>
    </row>
    <row r="76" spans="1:22" s="10" customFormat="1">
      <c r="A76" s="1866">
        <v>1950</v>
      </c>
      <c r="B76" s="41"/>
      <c r="C76" s="1867">
        <v>11298604.356005162</v>
      </c>
      <c r="D76" s="746"/>
      <c r="E76" s="43"/>
      <c r="F76" s="659"/>
      <c r="G76" s="3031"/>
      <c r="H76" s="3031"/>
      <c r="I76" s="659"/>
      <c r="J76" s="3031"/>
      <c r="K76" s="659"/>
      <c r="L76" s="664"/>
      <c r="M76" s="3031"/>
      <c r="N76" s="659"/>
      <c r="O76" s="3031"/>
      <c r="P76" s="659"/>
      <c r="Q76" s="3031"/>
      <c r="R76" s="659"/>
      <c r="S76" s="3031"/>
      <c r="T76" s="3031"/>
      <c r="U76" s="659"/>
      <c r="V76" s="11"/>
    </row>
    <row r="77" spans="1:22" s="10" customFormat="1">
      <c r="A77" s="1866">
        <v>1951</v>
      </c>
      <c r="B77" s="41"/>
      <c r="C77" s="1867">
        <v>11737832.457815574</v>
      </c>
      <c r="D77" s="746"/>
      <c r="E77" s="43"/>
      <c r="F77" s="659"/>
      <c r="G77" s="3031"/>
      <c r="H77" s="3031"/>
      <c r="I77" s="659"/>
      <c r="J77" s="3031"/>
      <c r="K77" s="659"/>
      <c r="L77" s="664"/>
      <c r="M77" s="3031"/>
      <c r="N77" s="659"/>
      <c r="O77" s="3031"/>
      <c r="P77" s="659"/>
      <c r="Q77" s="3031"/>
      <c r="R77" s="659"/>
      <c r="S77" s="3031"/>
      <c r="T77" s="3031"/>
      <c r="U77" s="659"/>
      <c r="V77" s="11"/>
    </row>
    <row r="78" spans="1:22" s="10" customFormat="1">
      <c r="A78" s="1866">
        <v>1952</v>
      </c>
      <c r="B78" s="41"/>
      <c r="C78" s="1867">
        <v>11147058.692812406</v>
      </c>
      <c r="D78" s="746"/>
      <c r="E78" s="43"/>
      <c r="F78" s="659"/>
      <c r="G78" s="3031"/>
      <c r="H78" s="3031"/>
      <c r="I78" s="659"/>
      <c r="J78" s="3031"/>
      <c r="K78" s="659"/>
      <c r="L78" s="664"/>
      <c r="M78" s="3031"/>
      <c r="N78" s="659"/>
      <c r="O78" s="3031"/>
      <c r="P78" s="659"/>
      <c r="Q78" s="3031"/>
      <c r="R78" s="659"/>
      <c r="S78" s="3031"/>
      <c r="T78" s="3031"/>
      <c r="U78" s="659"/>
      <c r="V78" s="11"/>
    </row>
    <row r="79" spans="1:22" s="10" customFormat="1">
      <c r="A79" s="1866">
        <v>1953</v>
      </c>
      <c r="B79" s="41"/>
      <c r="C79" s="1867">
        <v>11080173.040612908</v>
      </c>
      <c r="D79" s="746"/>
      <c r="E79" s="43"/>
      <c r="F79" s="659"/>
      <c r="G79" s="3031"/>
      <c r="H79" s="3031"/>
      <c r="I79" s="659"/>
      <c r="J79" s="3031"/>
      <c r="K79" s="659"/>
      <c r="L79" s="664"/>
      <c r="M79" s="3031"/>
      <c r="N79" s="659"/>
      <c r="O79" s="3031"/>
      <c r="P79" s="659"/>
      <c r="Q79" s="3031"/>
      <c r="R79" s="659"/>
      <c r="S79" s="3031"/>
      <c r="T79" s="3031"/>
      <c r="U79" s="659"/>
      <c r="V79" s="11"/>
    </row>
    <row r="80" spans="1:22" s="10" customFormat="1">
      <c r="A80" s="1866">
        <v>1954</v>
      </c>
      <c r="B80" s="41"/>
      <c r="C80" s="1867">
        <v>11220614.421793595</v>
      </c>
      <c r="D80" s="746"/>
      <c r="E80" s="43"/>
      <c r="F80" s="659"/>
      <c r="G80" s="3031"/>
      <c r="H80" s="3031"/>
      <c r="I80" s="659"/>
      <c r="J80" s="3031"/>
      <c r="K80" s="659"/>
      <c r="L80" s="664"/>
      <c r="M80" s="3031"/>
      <c r="N80" s="659"/>
      <c r="O80" s="3031"/>
      <c r="P80" s="659"/>
      <c r="Q80" s="3031"/>
      <c r="R80" s="659"/>
      <c r="S80" s="3031"/>
      <c r="T80" s="3031"/>
      <c r="U80" s="659"/>
      <c r="V80" s="11"/>
    </row>
    <row r="81" spans="1:22" s="10" customFormat="1">
      <c r="A81" s="1866">
        <v>1955</v>
      </c>
      <c r="B81" s="41"/>
      <c r="C81" s="1867">
        <v>12013199.070853213</v>
      </c>
      <c r="D81" s="746"/>
      <c r="E81" s="43"/>
      <c r="F81" s="659"/>
      <c r="G81" s="3031"/>
      <c r="H81" s="3031"/>
      <c r="I81" s="659"/>
      <c r="J81" s="3031"/>
      <c r="K81" s="659"/>
      <c r="L81" s="664"/>
      <c r="M81" s="3031"/>
      <c r="N81" s="659"/>
      <c r="O81" s="3031"/>
      <c r="P81" s="659"/>
      <c r="Q81" s="3031"/>
      <c r="R81" s="659"/>
      <c r="S81" s="3031"/>
      <c r="T81" s="3031"/>
      <c r="U81" s="659"/>
      <c r="V81" s="11"/>
    </row>
    <row r="82" spans="1:22" s="10" customFormat="1">
      <c r="A82" s="1866">
        <v>1956</v>
      </c>
      <c r="B82" s="41"/>
      <c r="C82" s="1867">
        <v>12346933.37984903</v>
      </c>
      <c r="D82" s="746"/>
      <c r="E82" s="43"/>
      <c r="F82" s="659"/>
      <c r="G82" s="3031"/>
      <c r="H82" s="3031"/>
      <c r="I82" s="659"/>
      <c r="J82" s="3031"/>
      <c r="K82" s="659"/>
      <c r="L82" s="664"/>
      <c r="M82" s="3031"/>
      <c r="N82" s="659"/>
      <c r="O82" s="3031"/>
      <c r="P82" s="659"/>
      <c r="Q82" s="3031"/>
      <c r="R82" s="659"/>
      <c r="S82" s="3031"/>
      <c r="T82" s="3031"/>
      <c r="U82" s="659"/>
      <c r="V82" s="11"/>
    </row>
    <row r="83" spans="1:22" s="10" customFormat="1">
      <c r="A83" s="1866">
        <v>1957</v>
      </c>
      <c r="B83" s="41"/>
      <c r="C83" s="1867">
        <v>12986522.135813447</v>
      </c>
      <c r="D83" s="746"/>
      <c r="E83" s="43"/>
      <c r="F83" s="659"/>
      <c r="G83" s="3031"/>
      <c r="H83" s="3031"/>
      <c r="I83" s="659"/>
      <c r="J83" s="3031"/>
      <c r="K83" s="659"/>
      <c r="L83" s="664"/>
      <c r="M83" s="3031"/>
      <c r="N83" s="659"/>
      <c r="O83" s="3031"/>
      <c r="P83" s="659"/>
      <c r="Q83" s="3031"/>
      <c r="R83" s="659"/>
      <c r="S83" s="3031"/>
      <c r="T83" s="3031"/>
      <c r="U83" s="659"/>
      <c r="V83" s="11"/>
    </row>
    <row r="84" spans="1:22" s="10" customFormat="1">
      <c r="A84" s="1866">
        <v>1958</v>
      </c>
      <c r="B84" s="41"/>
      <c r="C84" s="1867">
        <v>13389866.480215633</v>
      </c>
      <c r="D84" s="746"/>
      <c r="E84" s="43"/>
      <c r="F84" s="659"/>
      <c r="G84" s="3031"/>
      <c r="H84" s="3031"/>
      <c r="I84" s="659"/>
      <c r="J84" s="3031"/>
      <c r="K84" s="659"/>
      <c r="L84" s="664"/>
      <c r="M84" s="3031"/>
      <c r="N84" s="659"/>
      <c r="O84" s="3031"/>
      <c r="P84" s="659"/>
      <c r="Q84" s="3031"/>
      <c r="R84" s="659"/>
      <c r="S84" s="3031"/>
      <c r="T84" s="3031"/>
      <c r="U84" s="659"/>
      <c r="V84" s="11"/>
    </row>
    <row r="85" spans="1:22" s="10" customFormat="1">
      <c r="A85" s="1866">
        <v>1959</v>
      </c>
      <c r="B85" s="41"/>
      <c r="C85" s="1867">
        <v>11498005.74443974</v>
      </c>
      <c r="D85" s="746"/>
      <c r="E85" s="43"/>
      <c r="F85" s="659"/>
      <c r="G85" s="3031"/>
      <c r="H85" s="3031"/>
      <c r="I85" s="659"/>
      <c r="J85" s="3031"/>
      <c r="K85" s="659"/>
      <c r="L85" s="664"/>
      <c r="M85" s="3031"/>
      <c r="N85" s="659"/>
      <c r="O85" s="3031"/>
      <c r="P85" s="659"/>
      <c r="Q85" s="3031"/>
      <c r="R85" s="659"/>
      <c r="S85" s="3031"/>
      <c r="T85" s="3031"/>
      <c r="U85" s="659"/>
      <c r="V85" s="11"/>
    </row>
    <row r="86" spans="1:22" s="10" customFormat="1">
      <c r="A86" s="1866">
        <v>1960</v>
      </c>
      <c r="B86" s="41"/>
      <c r="C86" s="1867">
        <v>12185629.117125452</v>
      </c>
      <c r="D86" s="746"/>
      <c r="E86" s="43"/>
      <c r="F86" s="659"/>
      <c r="G86" s="3031"/>
      <c r="H86" s="3031"/>
      <c r="I86" s="659"/>
      <c r="J86" s="3031"/>
      <c r="K86" s="659"/>
      <c r="L86" s="664"/>
      <c r="M86" s="3031"/>
      <c r="N86" s="659"/>
      <c r="O86" s="3031"/>
      <c r="P86" s="659"/>
      <c r="Q86" s="3031"/>
      <c r="R86" s="659"/>
      <c r="S86" s="3031"/>
      <c r="T86" s="3031"/>
      <c r="U86" s="659"/>
      <c r="V86" s="11"/>
    </row>
    <row r="87" spans="1:22" s="10" customFormat="1">
      <c r="A87" s="1866">
        <v>1961</v>
      </c>
      <c r="B87" s="41"/>
      <c r="C87" s="1867">
        <v>13205854.155041382</v>
      </c>
      <c r="D87" s="746"/>
      <c r="E87" s="43"/>
      <c r="F87" s="659"/>
      <c r="G87" s="3031"/>
      <c r="H87" s="3031"/>
      <c r="I87" s="659"/>
      <c r="J87" s="3031"/>
      <c r="K87" s="659"/>
      <c r="L87" s="664"/>
      <c r="M87" s="3031"/>
      <c r="N87" s="659"/>
      <c r="O87" s="3031"/>
      <c r="P87" s="659"/>
      <c r="Q87" s="3031"/>
      <c r="R87" s="659"/>
      <c r="S87" s="3031"/>
      <c r="T87" s="3031"/>
      <c r="U87" s="659"/>
      <c r="V87" s="11"/>
    </row>
    <row r="88" spans="1:22" s="10" customFormat="1">
      <c r="A88" s="1866">
        <v>1962</v>
      </c>
      <c r="B88" s="41"/>
      <c r="C88" s="1867">
        <v>14115819.001579192</v>
      </c>
      <c r="D88" s="746"/>
      <c r="E88" s="43"/>
      <c r="F88" s="659"/>
      <c r="G88" s="3031"/>
      <c r="H88" s="3031"/>
      <c r="I88" s="659"/>
      <c r="J88" s="3031"/>
      <c r="K88" s="659"/>
      <c r="L88" s="664"/>
      <c r="M88" s="3031"/>
      <c r="N88" s="659"/>
      <c r="O88" s="3031"/>
      <c r="P88" s="659"/>
      <c r="Q88" s="3031"/>
      <c r="R88" s="659"/>
      <c r="S88" s="3031"/>
      <c r="T88" s="3031"/>
      <c r="U88" s="659"/>
      <c r="V88" s="11"/>
    </row>
    <row r="89" spans="1:22" s="10" customFormat="1">
      <c r="A89" s="1866">
        <v>1963</v>
      </c>
      <c r="B89" s="41"/>
      <c r="C89" s="1867">
        <v>14213223.689377606</v>
      </c>
      <c r="D89" s="746"/>
      <c r="E89" s="43"/>
      <c r="F89" s="659"/>
      <c r="G89" s="3031"/>
      <c r="H89" s="3031"/>
      <c r="I89" s="659"/>
      <c r="J89" s="3031"/>
      <c r="K89" s="659"/>
      <c r="L89" s="664"/>
      <c r="M89" s="3031"/>
      <c r="N89" s="659"/>
      <c r="O89" s="3031"/>
      <c r="P89" s="659"/>
      <c r="Q89" s="3031"/>
      <c r="R89" s="659"/>
      <c r="S89" s="3031"/>
      <c r="T89" s="3031"/>
      <c r="U89" s="659"/>
      <c r="V89" s="11"/>
    </row>
    <row r="90" spans="1:22" s="10" customFormat="1">
      <c r="A90" s="1866">
        <v>1964</v>
      </c>
      <c r="B90" s="41"/>
      <c r="C90" s="1867">
        <v>14418286.190005844</v>
      </c>
      <c r="D90" s="746"/>
      <c r="E90" s="43"/>
      <c r="F90" s="659"/>
      <c r="G90" s="3031"/>
      <c r="H90" s="3031"/>
      <c r="I90" s="659"/>
      <c r="J90" s="3031"/>
      <c r="K90" s="659"/>
      <c r="L90" s="664"/>
      <c r="M90" s="3031"/>
      <c r="N90" s="659"/>
      <c r="O90" s="3031"/>
      <c r="P90" s="659"/>
      <c r="Q90" s="3031"/>
      <c r="R90" s="659"/>
      <c r="S90" s="3031"/>
      <c r="T90" s="3031"/>
      <c r="U90" s="659"/>
      <c r="V90" s="11"/>
    </row>
    <row r="91" spans="1:22" s="10" customFormat="1">
      <c r="A91" s="1866">
        <v>1965</v>
      </c>
      <c r="B91" s="41"/>
      <c r="C91" s="1867">
        <v>16347753.435500382</v>
      </c>
      <c r="D91" s="746"/>
      <c r="E91" s="43"/>
      <c r="F91" s="659"/>
      <c r="G91" s="3031"/>
      <c r="H91" s="3031"/>
      <c r="I91" s="659"/>
      <c r="J91" s="3031"/>
      <c r="K91" s="659"/>
      <c r="L91" s="664"/>
      <c r="M91" s="3031"/>
      <c r="N91" s="659"/>
      <c r="O91" s="3031"/>
      <c r="P91" s="659"/>
      <c r="Q91" s="3031"/>
      <c r="R91" s="659"/>
      <c r="S91" s="3031"/>
      <c r="T91" s="3031"/>
      <c r="U91" s="659"/>
      <c r="V91" s="11"/>
    </row>
    <row r="92" spans="1:22" s="10" customFormat="1">
      <c r="A92" s="1866">
        <v>1966</v>
      </c>
      <c r="B92" s="41"/>
      <c r="C92" s="1867">
        <v>16074336.767996063</v>
      </c>
      <c r="D92" s="746"/>
      <c r="E92" s="43"/>
      <c r="F92" s="659"/>
      <c r="G92" s="3031"/>
      <c r="H92" s="3031"/>
      <c r="I92" s="659"/>
      <c r="J92" s="3031"/>
      <c r="K92" s="659"/>
      <c r="L92" s="664"/>
      <c r="M92" s="3031"/>
      <c r="N92" s="659"/>
      <c r="O92" s="3031"/>
      <c r="P92" s="659"/>
      <c r="Q92" s="3031"/>
      <c r="R92" s="659"/>
      <c r="S92" s="3031"/>
      <c r="T92" s="3031"/>
      <c r="U92" s="659"/>
      <c r="V92" s="11"/>
    </row>
    <row r="93" spans="1:22" s="10" customFormat="1">
      <c r="A93" s="1866">
        <v>1967</v>
      </c>
      <c r="B93" s="41"/>
      <c r="C93" s="1867">
        <v>16917314.530995313</v>
      </c>
      <c r="D93" s="746"/>
      <c r="E93" s="43"/>
      <c r="F93" s="659"/>
      <c r="G93" s="3031"/>
      <c r="H93" s="3031"/>
      <c r="I93" s="659"/>
      <c r="J93" s="3031"/>
      <c r="K93" s="659"/>
      <c r="L93" s="664"/>
      <c r="M93" s="3031"/>
      <c r="N93" s="659"/>
      <c r="O93" s="3031"/>
      <c r="P93" s="659"/>
      <c r="Q93" s="3031"/>
      <c r="R93" s="659"/>
      <c r="S93" s="3031"/>
      <c r="T93" s="3031"/>
      <c r="U93" s="659"/>
      <c r="V93" s="11"/>
    </row>
    <row r="94" spans="1:22" s="10" customFormat="1">
      <c r="A94" s="1866">
        <v>1968</v>
      </c>
      <c r="B94" s="41"/>
      <c r="C94" s="1867">
        <v>17116908.698273465</v>
      </c>
      <c r="D94" s="746"/>
      <c r="E94" s="43"/>
      <c r="F94" s="659"/>
      <c r="G94" s="3031"/>
      <c r="H94" s="3031"/>
      <c r="I94" s="659"/>
      <c r="J94" s="3031"/>
      <c r="K94" s="659"/>
      <c r="L94" s="664"/>
      <c r="M94" s="3031"/>
      <c r="N94" s="659"/>
      <c r="O94" s="3031"/>
      <c r="P94" s="659"/>
      <c r="Q94" s="3031"/>
      <c r="R94" s="659"/>
      <c r="S94" s="3031"/>
      <c r="T94" s="3031"/>
      <c r="U94" s="659"/>
      <c r="V94" s="11"/>
    </row>
    <row r="95" spans="1:22" s="10" customFormat="1">
      <c r="A95" s="1866">
        <v>1969</v>
      </c>
      <c r="B95" s="41"/>
      <c r="C95" s="1867">
        <v>19268356.100698065</v>
      </c>
      <c r="D95" s="746"/>
      <c r="E95" s="43"/>
      <c r="F95" s="659"/>
      <c r="G95" s="3031"/>
      <c r="H95" s="3031"/>
      <c r="I95" s="659"/>
      <c r="J95" s="3031"/>
      <c r="K95" s="659"/>
      <c r="L95" s="664"/>
      <c r="M95" s="3031"/>
      <c r="N95" s="659"/>
      <c r="O95" s="3031"/>
      <c r="P95" s="659"/>
      <c r="Q95" s="3031"/>
      <c r="R95" s="659"/>
      <c r="S95" s="3031"/>
      <c r="T95" s="3031"/>
      <c r="U95" s="659"/>
      <c r="V95" s="11"/>
    </row>
    <row r="96" spans="1:22" s="10" customFormat="1">
      <c r="A96" s="1866">
        <v>1970</v>
      </c>
      <c r="B96" s="41"/>
      <c r="C96" s="1867">
        <v>17813437.658740714</v>
      </c>
      <c r="D96" s="746"/>
      <c r="E96" s="43"/>
      <c r="F96" s="659"/>
      <c r="G96" s="3031"/>
      <c r="H96" s="3031"/>
      <c r="I96" s="659"/>
      <c r="J96" s="3031"/>
      <c r="K96" s="659"/>
      <c r="L96" s="664"/>
      <c r="M96" s="3031"/>
      <c r="N96" s="659"/>
      <c r="O96" s="3031"/>
      <c r="P96" s="659"/>
      <c r="Q96" s="3031"/>
      <c r="R96" s="659"/>
      <c r="S96" s="3031"/>
      <c r="T96" s="3031"/>
      <c r="U96" s="659"/>
      <c r="V96" s="11"/>
    </row>
    <row r="97" spans="1:22" s="10" customFormat="1">
      <c r="A97" s="1866">
        <v>1971</v>
      </c>
      <c r="B97" s="41"/>
      <c r="C97" s="1867">
        <v>17894245.926970605</v>
      </c>
      <c r="D97" s="746"/>
      <c r="E97" s="43"/>
      <c r="F97" s="659"/>
      <c r="G97" s="3031"/>
      <c r="H97" s="3031"/>
      <c r="I97" s="659"/>
      <c r="J97" s="3031"/>
      <c r="K97" s="659"/>
      <c r="L97" s="664"/>
      <c r="M97" s="3031"/>
      <c r="N97" s="659"/>
      <c r="O97" s="3031"/>
      <c r="P97" s="659"/>
      <c r="Q97" s="3031"/>
      <c r="R97" s="659"/>
      <c r="S97" s="3031"/>
      <c r="T97" s="3031"/>
      <c r="U97" s="659"/>
      <c r="V97" s="11"/>
    </row>
    <row r="98" spans="1:22" s="10" customFormat="1">
      <c r="A98" s="1866">
        <v>1972</v>
      </c>
      <c r="B98" s="41"/>
      <c r="C98" s="1867">
        <v>18959891.277215049</v>
      </c>
      <c r="D98" s="746"/>
      <c r="E98" s="43"/>
      <c r="F98" s="659"/>
      <c r="G98" s="3031"/>
      <c r="H98" s="3031"/>
      <c r="I98" s="659"/>
      <c r="J98" s="3031"/>
      <c r="K98" s="659"/>
      <c r="L98" s="664"/>
      <c r="M98" s="3031"/>
      <c r="N98" s="659"/>
      <c r="O98" s="3031"/>
      <c r="P98" s="659"/>
      <c r="Q98" s="3031"/>
      <c r="R98" s="659"/>
      <c r="S98" s="3031"/>
      <c r="T98" s="3031"/>
      <c r="U98" s="659"/>
      <c r="V98" s="11"/>
    </row>
    <row r="99" spans="1:22" s="10" customFormat="1">
      <c r="A99" s="1866">
        <v>1973</v>
      </c>
      <c r="B99" s="41"/>
      <c r="C99" s="1867">
        <v>19768207.883424252</v>
      </c>
      <c r="D99" s="746"/>
      <c r="E99" s="43"/>
      <c r="F99" s="659"/>
      <c r="G99" s="3031"/>
      <c r="H99" s="3031"/>
      <c r="I99" s="659"/>
      <c r="J99" s="3031"/>
      <c r="K99" s="659"/>
      <c r="L99" s="664"/>
      <c r="M99" s="3031"/>
      <c r="N99" s="659"/>
      <c r="O99" s="3031"/>
      <c r="P99" s="659"/>
      <c r="Q99" s="3031"/>
      <c r="R99" s="659"/>
      <c r="S99" s="3031"/>
      <c r="T99" s="3031"/>
      <c r="U99" s="659"/>
      <c r="V99" s="11"/>
    </row>
    <row r="100" spans="1:22" s="10" customFormat="1">
      <c r="A100" s="1866">
        <v>1974</v>
      </c>
      <c r="B100" s="41"/>
      <c r="C100" s="1867">
        <v>20418944.384901576</v>
      </c>
      <c r="D100" s="746"/>
      <c r="E100" s="43"/>
      <c r="F100" s="659"/>
      <c r="G100" s="3031"/>
      <c r="H100" s="3031"/>
      <c r="I100" s="659"/>
      <c r="J100" s="3031"/>
      <c r="K100" s="659"/>
      <c r="L100" s="664"/>
      <c r="M100" s="3031"/>
      <c r="N100" s="659"/>
      <c r="O100" s="3031"/>
      <c r="P100" s="659"/>
      <c r="Q100" s="3031"/>
      <c r="R100" s="659"/>
      <c r="S100" s="3031"/>
      <c r="T100" s="3031"/>
      <c r="U100" s="659"/>
      <c r="V100" s="11"/>
    </row>
    <row r="101" spans="1:22" s="10" customFormat="1">
      <c r="A101" s="1866">
        <v>1975</v>
      </c>
      <c r="B101" s="41"/>
      <c r="C101" s="1867">
        <v>20111234.900834486</v>
      </c>
      <c r="D101" s="746"/>
      <c r="E101" s="43"/>
      <c r="F101" s="659"/>
      <c r="G101" s="3031"/>
      <c r="H101" s="3031"/>
      <c r="I101" s="659"/>
      <c r="J101" s="3031"/>
      <c r="K101" s="659"/>
      <c r="L101" s="664"/>
      <c r="M101" s="3031"/>
      <c r="N101" s="659"/>
      <c r="O101" s="3031"/>
      <c r="P101" s="659"/>
      <c r="Q101" s="3031"/>
      <c r="R101" s="659"/>
      <c r="S101" s="3031"/>
      <c r="T101" s="3031"/>
      <c r="U101" s="659"/>
      <c r="V101" s="11"/>
    </row>
    <row r="102" spans="1:22" s="10" customFormat="1">
      <c r="A102" s="1866">
        <v>1976</v>
      </c>
      <c r="B102" s="41"/>
      <c r="C102" s="1867">
        <v>20715781.384246551</v>
      </c>
      <c r="D102" s="746"/>
      <c r="E102" s="43"/>
      <c r="F102" s="659"/>
      <c r="G102" s="3031"/>
      <c r="H102" s="3031"/>
      <c r="I102" s="659"/>
      <c r="J102" s="3031"/>
      <c r="K102" s="659"/>
      <c r="L102" s="664"/>
      <c r="M102" s="3031"/>
      <c r="N102" s="659"/>
      <c r="O102" s="3031"/>
      <c r="P102" s="659"/>
      <c r="Q102" s="3031"/>
      <c r="R102" s="659"/>
      <c r="S102" s="3031"/>
      <c r="T102" s="3031"/>
      <c r="U102" s="659"/>
      <c r="V102" s="11"/>
    </row>
    <row r="103" spans="1:22" s="10" customFormat="1">
      <c r="A103" s="1866">
        <v>1977</v>
      </c>
      <c r="B103" s="41"/>
      <c r="C103" s="1867">
        <v>21540694.145322256</v>
      </c>
      <c r="D103" s="746"/>
      <c r="E103" s="43"/>
      <c r="F103" s="659"/>
      <c r="G103" s="3031"/>
      <c r="H103" s="3031"/>
      <c r="I103" s="659"/>
      <c r="J103" s="3031"/>
      <c r="K103" s="659"/>
      <c r="L103" s="664"/>
      <c r="M103" s="3031"/>
      <c r="N103" s="659"/>
      <c r="O103" s="3031"/>
      <c r="P103" s="659"/>
      <c r="Q103" s="3031"/>
      <c r="R103" s="659"/>
      <c r="S103" s="3031"/>
      <c r="T103" s="3031"/>
      <c r="U103" s="659"/>
      <c r="V103" s="11"/>
    </row>
    <row r="104" spans="1:22" s="10" customFormat="1">
      <c r="A104" s="1866">
        <v>1978</v>
      </c>
      <c r="B104" s="41"/>
      <c r="C104" s="1867">
        <v>22685159.410559472</v>
      </c>
      <c r="D104" s="746"/>
      <c r="E104" s="43"/>
      <c r="F104" s="659"/>
      <c r="G104" s="3031"/>
      <c r="H104" s="3031"/>
      <c r="I104" s="659"/>
      <c r="J104" s="3031"/>
      <c r="K104" s="659"/>
      <c r="L104" s="664"/>
      <c r="M104" s="3031"/>
      <c r="N104" s="659"/>
      <c r="O104" s="3031"/>
      <c r="P104" s="659"/>
      <c r="Q104" s="3031"/>
      <c r="R104" s="659"/>
      <c r="S104" s="3031"/>
      <c r="T104" s="3031"/>
      <c r="U104" s="659"/>
      <c r="V104" s="11"/>
    </row>
    <row r="105" spans="1:22" s="10" customFormat="1">
      <c r="A105" s="1866">
        <v>1979</v>
      </c>
      <c r="B105" s="41"/>
      <c r="C105" s="1867">
        <v>24673181.670229703</v>
      </c>
      <c r="D105" s="746"/>
      <c r="E105" s="43"/>
      <c r="F105" s="659"/>
      <c r="G105" s="3031"/>
      <c r="H105" s="3031"/>
      <c r="I105" s="659"/>
      <c r="J105" s="3031"/>
      <c r="K105" s="659"/>
      <c r="L105" s="664"/>
      <c r="M105" s="3031"/>
      <c r="N105" s="659"/>
      <c r="O105" s="3031"/>
      <c r="P105" s="659"/>
      <c r="Q105" s="3031"/>
      <c r="R105" s="659"/>
      <c r="S105" s="3031"/>
      <c r="T105" s="3031"/>
      <c r="U105" s="659"/>
      <c r="V105" s="11"/>
    </row>
    <row r="106" spans="1:22" s="10" customFormat="1">
      <c r="A106" s="1866">
        <v>1980</v>
      </c>
      <c r="B106" s="41"/>
      <c r="C106" s="1867">
        <v>24235716.583989207</v>
      </c>
      <c r="D106" s="746"/>
      <c r="E106" s="43"/>
      <c r="F106" s="659"/>
      <c r="G106" s="3031"/>
      <c r="H106" s="3031"/>
      <c r="I106" s="659"/>
      <c r="J106" s="3031"/>
      <c r="K106" s="659"/>
      <c r="L106" s="664"/>
      <c r="M106" s="3031"/>
      <c r="N106" s="659"/>
      <c r="O106" s="3031"/>
      <c r="P106" s="659"/>
      <c r="Q106" s="3031"/>
      <c r="R106" s="659"/>
      <c r="S106" s="3031"/>
      <c r="T106" s="3031"/>
      <c r="U106" s="659"/>
      <c r="V106" s="11"/>
    </row>
    <row r="107" spans="1:22" s="10" customFormat="1">
      <c r="A107" s="1866">
        <v>1981</v>
      </c>
      <c r="B107" s="41"/>
      <c r="C107" s="1867">
        <v>24032026.094863649</v>
      </c>
      <c r="D107" s="746"/>
      <c r="E107" s="43"/>
      <c r="F107" s="659"/>
      <c r="G107" s="3031"/>
      <c r="H107" s="3031"/>
      <c r="I107" s="659"/>
      <c r="J107" s="3031"/>
      <c r="K107" s="659"/>
      <c r="L107" s="664"/>
      <c r="M107" s="3031"/>
      <c r="N107" s="659"/>
      <c r="O107" s="3031"/>
      <c r="P107" s="659"/>
      <c r="Q107" s="3031"/>
      <c r="R107" s="659"/>
      <c r="S107" s="3031"/>
      <c r="T107" s="3031"/>
      <c r="U107" s="659"/>
      <c r="V107" s="11"/>
    </row>
    <row r="108" spans="1:22" s="10" customFormat="1">
      <c r="A108" s="1866">
        <v>1982</v>
      </c>
      <c r="B108" s="41"/>
      <c r="C108" s="1867">
        <v>24308884.996852454</v>
      </c>
      <c r="D108" s="746"/>
      <c r="E108" s="43"/>
      <c r="F108" s="659"/>
      <c r="G108" s="3031"/>
      <c r="H108" s="3031"/>
      <c r="I108" s="659"/>
      <c r="J108" s="3031"/>
      <c r="K108" s="659"/>
      <c r="L108" s="664"/>
      <c r="M108" s="3031"/>
      <c r="N108" s="659"/>
      <c r="O108" s="3031"/>
      <c r="P108" s="659"/>
      <c r="Q108" s="3031"/>
      <c r="R108" s="659"/>
      <c r="S108" s="3031"/>
      <c r="T108" s="3031"/>
      <c r="U108" s="659"/>
      <c r="V108" s="11"/>
    </row>
    <row r="109" spans="1:22" s="10" customFormat="1">
      <c r="A109" s="1866">
        <v>1983</v>
      </c>
      <c r="B109" s="41"/>
      <c r="C109" s="1867">
        <v>24596452.139115751</v>
      </c>
      <c r="D109" s="746"/>
      <c r="E109" s="43"/>
      <c r="F109" s="659"/>
      <c r="G109" s="3031"/>
      <c r="H109" s="3031"/>
      <c r="I109" s="659"/>
      <c r="J109" s="3031"/>
      <c r="K109" s="659"/>
      <c r="L109" s="664"/>
      <c r="M109" s="3031"/>
      <c r="N109" s="659"/>
      <c r="O109" s="3031"/>
      <c r="P109" s="659"/>
      <c r="Q109" s="3031"/>
      <c r="R109" s="659"/>
      <c r="S109" s="3031"/>
      <c r="T109" s="3031"/>
      <c r="U109" s="659"/>
      <c r="V109" s="11"/>
    </row>
    <row r="110" spans="1:22" s="10" customFormat="1">
      <c r="A110" s="1866">
        <v>1984</v>
      </c>
      <c r="B110" s="41"/>
      <c r="C110" s="1867">
        <v>26835051.700603068</v>
      </c>
      <c r="D110" s="746"/>
      <c r="E110" s="43"/>
      <c r="F110" s="659"/>
      <c r="G110" s="3031"/>
      <c r="H110" s="3031"/>
      <c r="I110" s="659"/>
      <c r="J110" s="3031"/>
      <c r="K110" s="659"/>
      <c r="L110" s="664"/>
      <c r="M110" s="3031"/>
      <c r="N110" s="659"/>
      <c r="O110" s="3031"/>
      <c r="P110" s="659"/>
      <c r="Q110" s="3031"/>
      <c r="R110" s="659"/>
      <c r="S110" s="3031"/>
      <c r="T110" s="3031"/>
      <c r="U110" s="659"/>
      <c r="V110" s="11"/>
    </row>
    <row r="111" spans="1:22" s="10" customFormat="1">
      <c r="A111" s="1866">
        <v>1985</v>
      </c>
      <c r="B111" s="41"/>
      <c r="C111" s="1867">
        <v>26511133.364040632</v>
      </c>
      <c r="D111" s="746"/>
      <c r="E111" s="43"/>
      <c r="F111" s="659"/>
      <c r="G111" s="3031"/>
      <c r="H111" s="3031"/>
      <c r="I111" s="659"/>
      <c r="J111" s="3031"/>
      <c r="K111" s="659"/>
      <c r="L111" s="664"/>
      <c r="M111" s="3031"/>
      <c r="N111" s="659"/>
      <c r="O111" s="3031"/>
      <c r="P111" s="659"/>
      <c r="Q111" s="3031"/>
      <c r="R111" s="659"/>
      <c r="S111" s="3031"/>
      <c r="T111" s="3031"/>
      <c r="U111" s="659"/>
      <c r="V111" s="11"/>
    </row>
    <row r="112" spans="1:22" s="10" customFormat="1">
      <c r="A112" s="1866">
        <v>1986</v>
      </c>
      <c r="B112" s="41"/>
      <c r="C112" s="1867">
        <v>28578882.402647298</v>
      </c>
      <c r="D112" s="746"/>
      <c r="E112" s="43"/>
      <c r="F112" s="659"/>
      <c r="G112" s="3031"/>
      <c r="H112" s="3031"/>
      <c r="I112" s="659"/>
      <c r="J112" s="3031"/>
      <c r="K112" s="659"/>
      <c r="L112" s="664"/>
      <c r="M112" s="3031"/>
      <c r="N112" s="659"/>
      <c r="O112" s="3031"/>
      <c r="P112" s="659"/>
      <c r="Q112" s="3031"/>
      <c r="R112" s="659"/>
      <c r="S112" s="3031"/>
      <c r="T112" s="3031"/>
      <c r="U112" s="659"/>
      <c r="V112" s="11"/>
    </row>
    <row r="113" spans="1:23" s="10" customFormat="1">
      <c r="A113" s="1866">
        <v>1987</v>
      </c>
      <c r="B113" s="41"/>
      <c r="C113" s="1867">
        <v>28702957.024564233</v>
      </c>
      <c r="D113" s="746"/>
      <c r="E113" s="43"/>
      <c r="F113" s="659"/>
      <c r="G113" s="3031"/>
      <c r="H113" s="3031"/>
      <c r="I113" s="659"/>
      <c r="J113" s="3031"/>
      <c r="K113" s="659"/>
      <c r="L113" s="664"/>
      <c r="M113" s="3031"/>
      <c r="N113" s="659"/>
      <c r="O113" s="3031"/>
      <c r="P113" s="659"/>
      <c r="Q113" s="3031"/>
      <c r="R113" s="659"/>
      <c r="S113" s="3031"/>
      <c r="T113" s="3031"/>
      <c r="U113" s="659"/>
      <c r="V113" s="11"/>
    </row>
    <row r="114" spans="1:23" s="10" customFormat="1">
      <c r="A114" s="1866">
        <v>1988</v>
      </c>
      <c r="B114" s="41"/>
      <c r="C114" s="1867">
        <v>28816626.430209931</v>
      </c>
      <c r="D114" s="746"/>
      <c r="E114" s="43"/>
      <c r="F114" s="659"/>
      <c r="G114" s="3031"/>
      <c r="H114" s="3031"/>
      <c r="I114" s="659"/>
      <c r="J114" s="3031"/>
      <c r="K114" s="659"/>
      <c r="L114" s="664"/>
      <c r="M114" s="3031"/>
      <c r="N114" s="659"/>
      <c r="O114" s="3031"/>
      <c r="P114" s="659"/>
      <c r="Q114" s="3031"/>
      <c r="R114" s="659"/>
      <c r="S114" s="3031"/>
      <c r="T114" s="3031"/>
      <c r="U114" s="659"/>
      <c r="V114" s="11"/>
    </row>
    <row r="115" spans="1:23" s="10" customFormat="1">
      <c r="A115" s="1866">
        <v>1989</v>
      </c>
      <c r="B115" s="41"/>
      <c r="C115" s="1867">
        <v>28148536.999917515</v>
      </c>
      <c r="D115" s="746"/>
      <c r="E115" s="43"/>
      <c r="F115" s="659"/>
      <c r="G115" s="3031"/>
      <c r="H115" s="3031"/>
      <c r="I115" s="659"/>
      <c r="J115" s="3031"/>
      <c r="K115" s="659"/>
      <c r="L115" s="664"/>
      <c r="M115" s="3031"/>
      <c r="N115" s="659"/>
      <c r="O115" s="3031"/>
      <c r="P115" s="659"/>
      <c r="Q115" s="3031"/>
      <c r="R115" s="659"/>
      <c r="S115" s="3031"/>
      <c r="T115" s="3031"/>
      <c r="U115" s="659"/>
      <c r="V115" s="11"/>
    </row>
    <row r="116" spans="1:23" s="10" customFormat="1">
      <c r="A116" s="1866">
        <v>1990</v>
      </c>
      <c r="B116" s="41"/>
      <c r="C116" s="1867">
        <v>27941696.833157249</v>
      </c>
      <c r="D116" s="746"/>
      <c r="E116" s="43"/>
      <c r="F116" s="659"/>
      <c r="G116" s="3031"/>
      <c r="H116" s="3031"/>
      <c r="I116" s="659"/>
      <c r="J116" s="3031"/>
      <c r="K116" s="659"/>
      <c r="L116" s="664"/>
      <c r="M116" s="3031"/>
      <c r="N116" s="659"/>
      <c r="O116" s="3031"/>
      <c r="P116" s="659"/>
      <c r="Q116" s="3031"/>
      <c r="R116" s="659"/>
      <c r="S116" s="3031"/>
      <c r="T116" s="3031"/>
      <c r="U116" s="659"/>
      <c r="V116" s="11"/>
    </row>
    <row r="117" spans="1:23" s="10" customFormat="1">
      <c r="A117" s="1866">
        <v>1991</v>
      </c>
      <c r="B117" s="41"/>
      <c r="C117" s="1867">
        <v>30170258.333341792</v>
      </c>
      <c r="D117" s="746"/>
      <c r="E117" s="43"/>
      <c r="F117" s="659"/>
      <c r="G117" s="3031"/>
      <c r="H117" s="3031"/>
      <c r="I117" s="659"/>
      <c r="J117" s="3031"/>
      <c r="K117" s="659"/>
      <c r="L117" s="664"/>
      <c r="M117" s="3031"/>
      <c r="N117" s="659"/>
      <c r="O117" s="3031"/>
      <c r="P117" s="659"/>
      <c r="Q117" s="3031"/>
      <c r="R117" s="659"/>
      <c r="S117" s="3031"/>
      <c r="T117" s="3031"/>
      <c r="U117" s="659"/>
      <c r="V117" s="11"/>
    </row>
    <row r="118" spans="1:23" s="10" customFormat="1">
      <c r="A118" s="1866">
        <v>1992</v>
      </c>
      <c r="B118" s="41"/>
      <c r="C118" s="1867">
        <v>31339371.256892763</v>
      </c>
      <c r="D118" s="746"/>
      <c r="E118" s="43"/>
      <c r="F118" s="659"/>
      <c r="G118" s="3031"/>
      <c r="H118" s="3031"/>
      <c r="I118" s="659"/>
      <c r="J118" s="3031"/>
      <c r="K118" s="659"/>
      <c r="L118" s="664"/>
      <c r="M118" s="3031"/>
      <c r="N118" s="659"/>
      <c r="O118" s="3031"/>
      <c r="P118" s="659"/>
      <c r="Q118" s="3031"/>
      <c r="R118" s="659"/>
      <c r="S118" s="3031"/>
      <c r="T118" s="3031"/>
      <c r="U118" s="659"/>
      <c r="V118" s="11"/>
    </row>
    <row r="119" spans="1:23" s="10" customFormat="1">
      <c r="A119" s="1868">
        <v>1993</v>
      </c>
      <c r="B119" s="38">
        <v>19565223.962210834</v>
      </c>
      <c r="C119" s="1869">
        <v>32384619.935903922</v>
      </c>
      <c r="D119" s="747">
        <f>B119/C119*100</f>
        <v>60.415172390272268</v>
      </c>
      <c r="E119" s="43"/>
      <c r="F119" s="660">
        <v>4664617.2096848115</v>
      </c>
      <c r="G119" s="3032">
        <v>814.39435337138968</v>
      </c>
      <c r="H119" s="3032">
        <v>20438.7768036706</v>
      </c>
      <c r="I119" s="663">
        <v>8829004.9438968953</v>
      </c>
      <c r="J119" s="3032">
        <v>388325.05969573645</v>
      </c>
      <c r="K119" s="661">
        <v>917751.01773336495</v>
      </c>
      <c r="L119" s="660">
        <v>6587605.8078159047</v>
      </c>
      <c r="M119" s="3032">
        <v>334568.19031246146</v>
      </c>
      <c r="N119" s="663">
        <v>1679630.1446429868</v>
      </c>
      <c r="O119" s="3032">
        <v>897179.7038479608</v>
      </c>
      <c r="P119" s="663">
        <v>3251269.2741213175</v>
      </c>
      <c r="Q119" s="3032">
        <v>1183813.0488445822</v>
      </c>
      <c r="R119" s="663">
        <v>1098927.5683707786</v>
      </c>
      <c r="S119" s="3032">
        <v>751977.52321858285</v>
      </c>
      <c r="T119" s="3032">
        <v>750238.72465737211</v>
      </c>
      <c r="U119" s="393">
        <v>248099.0399114294</v>
      </c>
      <c r="V119" s="11"/>
    </row>
    <row r="120" spans="1:23" s="10" customFormat="1">
      <c r="A120" s="1868">
        <v>1994</v>
      </c>
      <c r="B120" s="252">
        <v>21051541.701134108</v>
      </c>
      <c r="C120" s="1867">
        <v>34161779.247750722</v>
      </c>
      <c r="D120" s="748">
        <f t="shared" ref="D120:D145" si="0">B120/C120*100</f>
        <v>61.623083354243569</v>
      </c>
      <c r="E120" s="656">
        <f>D120/D119-1</f>
        <v>1.9993503555173042E-2</v>
      </c>
      <c r="F120" s="222">
        <v>5098876.6602498936</v>
      </c>
      <c r="G120" s="3033">
        <v>1131.5701064621805</v>
      </c>
      <c r="H120" s="3033">
        <v>23783.121204627449</v>
      </c>
      <c r="I120" s="138">
        <v>9379637.2292109821</v>
      </c>
      <c r="J120" s="3033">
        <v>401333.25986398599</v>
      </c>
      <c r="K120" s="457">
        <v>1394076.5980880414</v>
      </c>
      <c r="L120" s="222">
        <v>7021491.2258329419</v>
      </c>
      <c r="M120" s="3033">
        <v>333844.04290497949</v>
      </c>
      <c r="N120" s="138">
        <v>1721285.0147478774</v>
      </c>
      <c r="O120" s="3033">
        <v>1089045.8911435653</v>
      </c>
      <c r="P120" s="138">
        <v>3305248.5073644998</v>
      </c>
      <c r="Q120" s="3033">
        <v>1197939.6405191</v>
      </c>
      <c r="R120" s="138">
        <v>1147466.3145994984</v>
      </c>
      <c r="S120" s="3033">
        <v>746649.25485629216</v>
      </c>
      <c r="T120" s="3033">
        <v>843406.9685314747</v>
      </c>
      <c r="U120" s="138">
        <v>269794.02752108464</v>
      </c>
      <c r="V120" s="11"/>
    </row>
    <row r="121" spans="1:23" s="10" customFormat="1">
      <c r="A121" s="1868">
        <v>1995</v>
      </c>
      <c r="B121" s="252">
        <v>21095344.783216074</v>
      </c>
      <c r="C121" s="1867">
        <v>33821720.63477461</v>
      </c>
      <c r="D121" s="748">
        <f t="shared" si="0"/>
        <v>62.372180915971462</v>
      </c>
      <c r="E121" s="657">
        <f>D121/D120-1</f>
        <v>1.2156119443450519E-2</v>
      </c>
      <c r="F121" s="222">
        <v>5694165.6244261563</v>
      </c>
      <c r="G121" s="3033">
        <v>1106.1369520566559</v>
      </c>
      <c r="H121" s="3033">
        <v>36804.323880106873</v>
      </c>
      <c r="I121" s="138">
        <v>8923602.5816508196</v>
      </c>
      <c r="J121" s="3033">
        <v>414007.72193466721</v>
      </c>
      <c r="K121" s="457">
        <v>1656979.6612698692</v>
      </c>
      <c r="L121" s="222">
        <v>6416297.6728436407</v>
      </c>
      <c r="M121" s="3033">
        <v>322055.78495212283</v>
      </c>
      <c r="N121" s="138">
        <v>1759044.7968820063</v>
      </c>
      <c r="O121" s="3033">
        <v>1027861.4787054674</v>
      </c>
      <c r="P121" s="138">
        <v>3327344.713665403</v>
      </c>
      <c r="Q121" s="3033">
        <v>1177669.9670048342</v>
      </c>
      <c r="R121" s="138">
        <v>1161174.569319908</v>
      </c>
      <c r="S121" s="3033">
        <v>763456.33302178723</v>
      </c>
      <c r="T121" s="3033">
        <v>673681.58754679642</v>
      </c>
      <c r="U121" s="138">
        <v>240956.77856830761</v>
      </c>
      <c r="V121" s="11"/>
    </row>
    <row r="122" spans="1:23" s="10" customFormat="1">
      <c r="A122" s="1868">
        <v>1996</v>
      </c>
      <c r="B122" s="252">
        <v>21129572.10264352</v>
      </c>
      <c r="C122" s="1867">
        <v>34729635.683139786</v>
      </c>
      <c r="D122" s="748">
        <f t="shared" si="0"/>
        <v>60.840177810737309</v>
      </c>
      <c r="E122" s="657">
        <f t="shared" ref="E122:E146" si="1">D122/D121-1</f>
        <v>-2.4562282138219427E-2</v>
      </c>
      <c r="F122" s="222">
        <v>5549871.8311756691</v>
      </c>
      <c r="G122" s="3033">
        <v>1080.7037976511313</v>
      </c>
      <c r="H122" s="3033">
        <v>40368.585458688773</v>
      </c>
      <c r="I122" s="138">
        <v>9531441.2954204921</v>
      </c>
      <c r="J122" s="3033">
        <v>429358.42525884853</v>
      </c>
      <c r="K122" s="457">
        <v>1191539.232714595</v>
      </c>
      <c r="L122" s="222">
        <v>6876489.1994342478</v>
      </c>
      <c r="M122" s="3033">
        <v>335456.55286686454</v>
      </c>
      <c r="N122" s="138">
        <v>1882280.0321667937</v>
      </c>
      <c r="O122" s="3033">
        <v>1029597.205527868</v>
      </c>
      <c r="P122" s="138">
        <v>3439115.329164288</v>
      </c>
      <c r="Q122" s="3033">
        <v>1156679.4333822546</v>
      </c>
      <c r="R122" s="138">
        <v>1238995.2390036178</v>
      </c>
      <c r="S122" s="3033">
        <v>792981.0976702905</v>
      </c>
      <c r="T122" s="3033">
        <v>661387.75287468219</v>
      </c>
      <c r="U122" s="138">
        <v>213350.58404906155</v>
      </c>
      <c r="V122" s="11"/>
    </row>
    <row r="123" spans="1:23" s="10" customFormat="1">
      <c r="A123" s="1868">
        <v>1997</v>
      </c>
      <c r="B123" s="252">
        <v>21726398.942785829</v>
      </c>
      <c r="C123" s="1867">
        <v>36023267.783829384</v>
      </c>
      <c r="D123" s="748">
        <f t="shared" si="0"/>
        <v>60.312126798609512</v>
      </c>
      <c r="E123" s="657">
        <f t="shared" si="1"/>
        <v>-8.6793140837041483E-3</v>
      </c>
      <c r="F123" s="222">
        <v>5299011.5659775725</v>
      </c>
      <c r="G123" s="3033">
        <v>1868.7827721916283</v>
      </c>
      <c r="H123" s="3033">
        <v>32976.179959612025</v>
      </c>
      <c r="I123" s="138">
        <v>10276273.204860793</v>
      </c>
      <c r="J123" s="3033">
        <v>422391.98343504872</v>
      </c>
      <c r="K123" s="457">
        <v>1421629.4438759605</v>
      </c>
      <c r="L123" s="222">
        <v>7744279.0350477519</v>
      </c>
      <c r="M123" s="3033">
        <v>335785.0850161264</v>
      </c>
      <c r="N123" s="138">
        <v>1796397.3213506092</v>
      </c>
      <c r="O123" s="3033">
        <v>1139324.2334922855</v>
      </c>
      <c r="P123" s="138">
        <v>3500792.5855784398</v>
      </c>
      <c r="Q123" s="3033">
        <v>1157870.5876630312</v>
      </c>
      <c r="R123" s="138">
        <v>1272079.1169861814</v>
      </c>
      <c r="S123" s="3033">
        <v>811968.31188699463</v>
      </c>
      <c r="T123" s="3033">
        <v>695986.01551942469</v>
      </c>
      <c r="U123" s="138">
        <v>195571.36871163972</v>
      </c>
      <c r="V123" s="11"/>
    </row>
    <row r="124" spans="1:23" s="10" customFormat="1">
      <c r="A124" s="1868">
        <v>1998</v>
      </c>
      <c r="B124" s="252">
        <v>21589619.227800839</v>
      </c>
      <c r="C124" s="1867">
        <v>37432123.870271124</v>
      </c>
      <c r="D124" s="748">
        <f t="shared" si="0"/>
        <v>57.676714531679238</v>
      </c>
      <c r="E124" s="657">
        <f t="shared" si="1"/>
        <v>-4.3696225068140526E-2</v>
      </c>
      <c r="F124" s="222">
        <v>6283566.9206347968</v>
      </c>
      <c r="G124" s="3033">
        <v>1749.4435045447058</v>
      </c>
      <c r="H124" s="3033">
        <v>36059.633933732148</v>
      </c>
      <c r="I124" s="138">
        <v>10064154.856280647</v>
      </c>
      <c r="J124" s="3033">
        <v>429940.67163134023</v>
      </c>
      <c r="K124" s="457">
        <v>1508466.9398961198</v>
      </c>
      <c r="L124" s="222">
        <v>7908955.3731547128</v>
      </c>
      <c r="M124" s="3033">
        <v>332899.68197172554</v>
      </c>
      <c r="N124" s="138">
        <v>1954546.8377525376</v>
      </c>
      <c r="O124" s="3033">
        <v>1304995.7704636769</v>
      </c>
      <c r="P124" s="138">
        <v>3578773.7733309171</v>
      </c>
      <c r="Q124" s="3033">
        <v>1218254.386767708</v>
      </c>
      <c r="R124" s="138">
        <v>1303882.3124996326</v>
      </c>
      <c r="S124" s="3033">
        <v>821105.13850031397</v>
      </c>
      <c r="T124" s="3033">
        <v>735079.51858663652</v>
      </c>
      <c r="U124" s="138">
        <v>187597.67626961909</v>
      </c>
      <c r="V124" s="11"/>
    </row>
    <row r="125" spans="1:23" s="10" customFormat="1">
      <c r="A125" s="1868">
        <v>1999</v>
      </c>
      <c r="B125" s="252">
        <v>19957350.605301268</v>
      </c>
      <c r="C125" s="1867">
        <v>36650854.035721481</v>
      </c>
      <c r="D125" s="748">
        <f t="shared" si="0"/>
        <v>54.45262090168481</v>
      </c>
      <c r="E125" s="657">
        <f t="shared" si="1"/>
        <v>-5.5899398157008062E-2</v>
      </c>
      <c r="F125" s="222">
        <v>6502932.4534798637</v>
      </c>
      <c r="G125" s="3033">
        <v>1630.1042368977837</v>
      </c>
      <c r="H125" s="3033">
        <v>30681.586647572014</v>
      </c>
      <c r="I125" s="138">
        <v>9138621.6405287962</v>
      </c>
      <c r="J125" s="3033">
        <v>450049.96757932653</v>
      </c>
      <c r="K125" s="457">
        <v>1441061.4538990112</v>
      </c>
      <c r="L125" s="222">
        <v>7406151.9410694139</v>
      </c>
      <c r="M125" s="3033">
        <v>306415.02090783871</v>
      </c>
      <c r="N125" s="138">
        <v>1852869.7066456848</v>
      </c>
      <c r="O125" s="3033">
        <v>1263413.2153404069</v>
      </c>
      <c r="P125" s="138">
        <v>3596853.7476682127</v>
      </c>
      <c r="Q125" s="3033">
        <v>1229649.120740283</v>
      </c>
      <c r="R125" s="138">
        <v>1338528.1867326379</v>
      </c>
      <c r="S125" s="3033">
        <v>852854.37425196078</v>
      </c>
      <c r="T125" s="3033">
        <v>731877.94217942143</v>
      </c>
      <c r="U125" s="138">
        <v>183089.17408494474</v>
      </c>
      <c r="V125" s="11"/>
    </row>
    <row r="126" spans="1:23" s="10" customFormat="1">
      <c r="A126" s="1868">
        <v>2000</v>
      </c>
      <c r="B126" s="252">
        <v>19719469.977901313</v>
      </c>
      <c r="C126" s="1867">
        <v>36450619.75837671</v>
      </c>
      <c r="D126" s="748">
        <f>B126/C126*100</f>
        <v>54.099134962909886</v>
      </c>
      <c r="E126" s="657">
        <f t="shared" si="1"/>
        <v>-6.4916239644947638E-3</v>
      </c>
      <c r="F126" s="222">
        <v>6234529.8661976028</v>
      </c>
      <c r="G126" s="3033">
        <v>1397.3409952526074</v>
      </c>
      <c r="H126" s="3033">
        <v>29820.074978946559</v>
      </c>
      <c r="I126" s="138">
        <v>9098789.2617536429</v>
      </c>
      <c r="J126" s="3033">
        <v>460670.31289762323</v>
      </c>
      <c r="K126" s="457">
        <v>1387089.3623970724</v>
      </c>
      <c r="L126" s="222">
        <v>7140587.9505736642</v>
      </c>
      <c r="M126" s="3033">
        <v>306292.30892517068</v>
      </c>
      <c r="N126" s="138">
        <v>1750885.5150714226</v>
      </c>
      <c r="O126" s="3033">
        <v>1387568.1047164854</v>
      </c>
      <c r="P126" s="138">
        <v>3626109.1251986576</v>
      </c>
      <c r="Q126" s="3033">
        <v>1271185.3303416134</v>
      </c>
      <c r="R126" s="138">
        <v>1330660.184065352</v>
      </c>
      <c r="S126" s="3033">
        <v>865972.04440291109</v>
      </c>
      <c r="T126" s="3033">
        <v>712220.69892110047</v>
      </c>
      <c r="U126" s="138">
        <v>209595.73392500199</v>
      </c>
      <c r="V126" s="11"/>
      <c r="W126" s="62"/>
    </row>
    <row r="127" spans="1:23" s="10" customFormat="1">
      <c r="A127" s="1868">
        <v>2001</v>
      </c>
      <c r="B127" s="252">
        <v>18600809.992182873</v>
      </c>
      <c r="C127" s="1867">
        <v>35275782.328256018</v>
      </c>
      <c r="D127" s="748">
        <f>B127/C127*100</f>
        <v>52.72968808769285</v>
      </c>
      <c r="E127" s="657">
        <f t="shared" si="1"/>
        <v>-2.5313655683328773E-2</v>
      </c>
      <c r="F127" s="222">
        <v>6651537.6389126312</v>
      </c>
      <c r="G127" s="3033">
        <v>609.50043988848495</v>
      </c>
      <c r="H127" s="3033">
        <v>24473.477059656263</v>
      </c>
      <c r="I127" s="138">
        <v>8005771.9969486063</v>
      </c>
      <c r="J127" s="3033">
        <v>452187.20209003909</v>
      </c>
      <c r="K127" s="457">
        <v>1245377.5091884914</v>
      </c>
      <c r="L127" s="222">
        <v>6488272.7105144486</v>
      </c>
      <c r="M127" s="3033">
        <v>291325.37055872369</v>
      </c>
      <c r="N127" s="138">
        <v>1676474.5096360273</v>
      </c>
      <c r="O127" s="3033">
        <v>1311871.6573470703</v>
      </c>
      <c r="P127" s="138">
        <v>3560649.3912432315</v>
      </c>
      <c r="Q127" s="3033">
        <v>1261300.3699268231</v>
      </c>
      <c r="R127" s="138">
        <v>1334466.6704521005</v>
      </c>
      <c r="S127" s="3033">
        <v>868766.42745110951</v>
      </c>
      <c r="T127" s="3033">
        <v>754784.8187508455</v>
      </c>
      <c r="U127" s="138">
        <v>259360.90824780503</v>
      </c>
      <c r="V127" s="11"/>
    </row>
    <row r="128" spans="1:23" s="10" customFormat="1">
      <c r="A128" s="1868">
        <v>2002</v>
      </c>
      <c r="B128" s="252">
        <v>26335844.607656002</v>
      </c>
      <c r="C128" s="1867">
        <v>33843998.459279612</v>
      </c>
      <c r="D128" s="748">
        <f t="shared" si="0"/>
        <v>77.815405408857757</v>
      </c>
      <c r="E128" s="657">
        <f t="shared" si="1"/>
        <v>0.4757418113197589</v>
      </c>
      <c r="F128" s="222">
        <v>6521673.3464605128</v>
      </c>
      <c r="G128" s="3033">
        <v>753.64191442872311</v>
      </c>
      <c r="H128" s="3033">
        <v>16258.409109852095</v>
      </c>
      <c r="I128" s="138">
        <v>8468545.5153689086</v>
      </c>
      <c r="J128" s="3033">
        <v>430988.80114824331</v>
      </c>
      <c r="K128" s="457">
        <v>939307.04731517262</v>
      </c>
      <c r="L128" s="222">
        <v>5241637.3524586083</v>
      </c>
      <c r="M128" s="3033">
        <v>218322.83089045767</v>
      </c>
      <c r="N128" s="138">
        <v>1698852.0987002782</v>
      </c>
      <c r="O128" s="3033">
        <v>857044.31159910129</v>
      </c>
      <c r="P128" s="138">
        <v>3579861.4850462587</v>
      </c>
      <c r="Q128" s="3033">
        <v>1198832.2160807794</v>
      </c>
      <c r="R128" s="138">
        <v>1339850.6144720048</v>
      </c>
      <c r="S128" s="3033">
        <v>927862.72132190317</v>
      </c>
      <c r="T128" s="3033">
        <v>763904.88691262912</v>
      </c>
      <c r="U128" s="138">
        <v>205513.67543298873</v>
      </c>
      <c r="V128" s="11"/>
    </row>
    <row r="129" spans="1:22" s="10" customFormat="1">
      <c r="A129" s="1866">
        <v>2003</v>
      </c>
      <c r="B129" s="252">
        <v>30986437.626441784</v>
      </c>
      <c r="C129" s="1867">
        <v>35762160.590878695</v>
      </c>
      <c r="D129" s="748">
        <f t="shared" si="0"/>
        <v>86.64587685550805</v>
      </c>
      <c r="E129" s="657">
        <f t="shared" si="1"/>
        <v>0.11347973322574401</v>
      </c>
      <c r="F129" s="222">
        <v>7269344.1257425351</v>
      </c>
      <c r="G129" s="3033">
        <v>2564.0490921632686</v>
      </c>
      <c r="H129" s="3033">
        <v>22237.511579682228</v>
      </c>
      <c r="I129" s="138">
        <v>8897613.7467023712</v>
      </c>
      <c r="J129" s="3033">
        <v>469766.13702764886</v>
      </c>
      <c r="K129" s="457">
        <v>961315.49652097002</v>
      </c>
      <c r="L129" s="222">
        <v>6041141.2473626761</v>
      </c>
      <c r="M129" s="3033">
        <v>216917.79350415722</v>
      </c>
      <c r="N129" s="138">
        <v>1892323.9308705414</v>
      </c>
      <c r="O129" s="3033">
        <v>801506.63584964338</v>
      </c>
      <c r="P129" s="138">
        <v>3662185.1895299219</v>
      </c>
      <c r="Q129" s="3033">
        <v>1213241.1563342072</v>
      </c>
      <c r="R129" s="138">
        <v>1339891.4505982529</v>
      </c>
      <c r="S129" s="3033">
        <v>957536.20395663916</v>
      </c>
      <c r="T129" s="3033">
        <v>781269.27522625367</v>
      </c>
      <c r="U129" s="138">
        <v>219690.91668711626</v>
      </c>
      <c r="V129" s="11"/>
    </row>
    <row r="130" spans="1:22" s="10" customFormat="1">
      <c r="A130" s="1866">
        <v>2004</v>
      </c>
      <c r="B130" s="252">
        <v>38884392.790334694</v>
      </c>
      <c r="C130" s="1870">
        <v>38884392.790334694</v>
      </c>
      <c r="D130" s="748">
        <f t="shared" si="0"/>
        <v>100</v>
      </c>
      <c r="E130" s="657">
        <f t="shared" si="1"/>
        <v>0.15412300768519538</v>
      </c>
      <c r="F130" s="260">
        <v>7788773.2153548067</v>
      </c>
      <c r="G130" s="3034">
        <v>4924.4503692200014</v>
      </c>
      <c r="H130" s="3034">
        <v>27796.900894125978</v>
      </c>
      <c r="I130" s="169">
        <v>10883241.903442858</v>
      </c>
      <c r="J130" s="3034">
        <v>509295.97289472842</v>
      </c>
      <c r="K130" s="225">
        <v>1241641.0894105553</v>
      </c>
      <c r="L130" s="260">
        <v>6874344.4998405622</v>
      </c>
      <c r="M130" s="3034">
        <v>260113.25255696406</v>
      </c>
      <c r="N130" s="169">
        <v>2122715.5941208922</v>
      </c>
      <c r="O130" s="3034">
        <v>854051.40177769074</v>
      </c>
      <c r="P130" s="169">
        <v>3727912.2890069741</v>
      </c>
      <c r="Q130" s="3034">
        <v>1247023.8197103401</v>
      </c>
      <c r="R130" s="169">
        <v>1311655.6469767103</v>
      </c>
      <c r="S130" s="3034">
        <v>991143.40869778499</v>
      </c>
      <c r="T130" s="3034">
        <v>811919.06280625635</v>
      </c>
      <c r="U130" s="169">
        <v>227840.28247422702</v>
      </c>
      <c r="V130" s="11"/>
    </row>
    <row r="131" spans="1:22" s="10" customFormat="1">
      <c r="A131" s="1866">
        <v>2005</v>
      </c>
      <c r="B131" s="252">
        <v>44954142.609536737</v>
      </c>
      <c r="C131" s="1870">
        <v>42145235.419430532</v>
      </c>
      <c r="D131" s="748">
        <f t="shared" si="0"/>
        <v>106.66482738120189</v>
      </c>
      <c r="E131" s="657">
        <f t="shared" si="1"/>
        <v>6.6648273812018877E-2</v>
      </c>
      <c r="F131" s="260">
        <v>8523010.90435558</v>
      </c>
      <c r="G131" s="3034">
        <v>6529.2730504083684</v>
      </c>
      <c r="H131" s="3034">
        <v>39076.397892412941</v>
      </c>
      <c r="I131" s="169">
        <v>11908944.346632317</v>
      </c>
      <c r="J131" s="3034">
        <v>555534.65414995782</v>
      </c>
      <c r="K131" s="225">
        <v>1640596.2866560908</v>
      </c>
      <c r="L131" s="260">
        <v>7104332.8272033501</v>
      </c>
      <c r="M131" s="3034">
        <v>303278.39448862494</v>
      </c>
      <c r="N131" s="169">
        <v>2443191.4618412908</v>
      </c>
      <c r="O131" s="3034">
        <v>994041.07241156301</v>
      </c>
      <c r="P131" s="169">
        <v>3879110.3734798441</v>
      </c>
      <c r="Q131" s="3034">
        <v>1265381.6975214435</v>
      </c>
      <c r="R131" s="169">
        <v>1354648.153075336</v>
      </c>
      <c r="S131" s="3034">
        <v>986692.26088833145</v>
      </c>
      <c r="T131" s="3034">
        <v>899757.66117491003</v>
      </c>
      <c r="U131" s="169">
        <v>241109.65460907301</v>
      </c>
      <c r="V131" s="11"/>
    </row>
    <row r="132" spans="1:22" s="10" customFormat="1">
      <c r="A132" s="1866">
        <v>2006</v>
      </c>
      <c r="B132" s="252">
        <v>56804006.517918542</v>
      </c>
      <c r="C132" s="1870">
        <v>46729796.047918811</v>
      </c>
      <c r="D132" s="748">
        <f t="shared" si="0"/>
        <v>121.5584302137103</v>
      </c>
      <c r="E132" s="657">
        <f t="shared" si="1"/>
        <v>0.1396299342357834</v>
      </c>
      <c r="F132" s="260">
        <v>8142933.9647541363</v>
      </c>
      <c r="G132" s="3034">
        <v>4909.5459714636845</v>
      </c>
      <c r="H132" s="3034">
        <v>43262.429669734505</v>
      </c>
      <c r="I132" s="169">
        <v>13749392.410297776</v>
      </c>
      <c r="J132" s="3034">
        <v>581434.89020618098</v>
      </c>
      <c r="K132" s="225">
        <v>2038868.5437812768</v>
      </c>
      <c r="L132" s="260">
        <v>9026418.8451055177</v>
      </c>
      <c r="M132" s="3034">
        <v>341739.8930577219</v>
      </c>
      <c r="N132" s="169">
        <v>2702953.4451974044</v>
      </c>
      <c r="O132" s="3034">
        <v>1174293.172761638</v>
      </c>
      <c r="P132" s="169">
        <v>4035150.4578911578</v>
      </c>
      <c r="Q132" s="3034">
        <v>1266210.0034152174</v>
      </c>
      <c r="R132" s="169">
        <v>1386665.3527909229</v>
      </c>
      <c r="S132" s="3034">
        <v>1001145.4793036839</v>
      </c>
      <c r="T132" s="3034">
        <v>975003.06475111947</v>
      </c>
      <c r="U132" s="169">
        <v>259414.548963863</v>
      </c>
      <c r="V132" s="11"/>
    </row>
    <row r="133" spans="1:22" s="10" customFormat="1">
      <c r="A133" s="1866">
        <v>2007</v>
      </c>
      <c r="B133" s="252">
        <v>75693098.475006908</v>
      </c>
      <c r="C133" s="1870">
        <v>51018267.266606241</v>
      </c>
      <c r="D133" s="748">
        <f t="shared" si="0"/>
        <v>148.36469862737079</v>
      </c>
      <c r="E133" s="657">
        <f t="shared" si="1"/>
        <v>0.22052167312898607</v>
      </c>
      <c r="F133" s="260">
        <v>8389531.9891550913</v>
      </c>
      <c r="G133" s="3034">
        <v>2715.6317346218652</v>
      </c>
      <c r="H133" s="3034">
        <v>43932.961232502581</v>
      </c>
      <c r="I133" s="169">
        <v>15058826.827592341</v>
      </c>
      <c r="J133" s="3034">
        <v>607412.53290039918</v>
      </c>
      <c r="K133" s="225">
        <v>2232719.5221607988</v>
      </c>
      <c r="L133" s="260">
        <v>10512944.465132557</v>
      </c>
      <c r="M133" s="3034">
        <v>362099.49210495985</v>
      </c>
      <c r="N133" s="169">
        <v>2997527.9372542575</v>
      </c>
      <c r="O133" s="3034">
        <v>1387987.4866214148</v>
      </c>
      <c r="P133" s="1871">
        <v>4261070.111811189</v>
      </c>
      <c r="Q133" s="3034">
        <v>1331849.7756221737</v>
      </c>
      <c r="R133" s="169">
        <v>1427139.6805215792</v>
      </c>
      <c r="S133" s="3034">
        <v>1091893.0788988541</v>
      </c>
      <c r="T133" s="3034">
        <v>1048405.6495810794</v>
      </c>
      <c r="U133" s="169">
        <v>262210.12428241898</v>
      </c>
      <c r="V133" s="11"/>
    </row>
    <row r="134" spans="1:22" s="10" customFormat="1">
      <c r="A134" s="1866">
        <v>2008</v>
      </c>
      <c r="B134" s="252">
        <v>94803648.498234928</v>
      </c>
      <c r="C134" s="1870">
        <v>52586056.786815584</v>
      </c>
      <c r="D134" s="748">
        <f t="shared" si="0"/>
        <v>180.28286258954515</v>
      </c>
      <c r="E134" s="657">
        <f t="shared" si="1"/>
        <v>0.21513314324413013</v>
      </c>
      <c r="F134" s="169">
        <v>8812210.6921992209</v>
      </c>
      <c r="G134" s="3034">
        <v>2266.1365291649213</v>
      </c>
      <c r="H134" s="3034">
        <v>48867.108813156396</v>
      </c>
      <c r="I134" s="169">
        <v>14454438.55489363</v>
      </c>
      <c r="J134" s="3034">
        <v>660986.42750938958</v>
      </c>
      <c r="K134" s="169">
        <v>2329581.8917243308</v>
      </c>
      <c r="L134" s="260">
        <v>11229484.095117852</v>
      </c>
      <c r="M134" s="3034">
        <v>392298.36588257778</v>
      </c>
      <c r="N134" s="169">
        <v>3323284.5258486182</v>
      </c>
      <c r="O134" s="3034">
        <v>1437708.3705783046</v>
      </c>
      <c r="P134" s="169">
        <v>4366304.5710393945</v>
      </c>
      <c r="Q134" s="3034">
        <v>1388444.4795410384</v>
      </c>
      <c r="R134" s="169">
        <v>1475573.2809178974</v>
      </c>
      <c r="S134" s="3034">
        <v>1174298.973798905</v>
      </c>
      <c r="T134" s="3034">
        <v>1190363.8384048261</v>
      </c>
      <c r="U134" s="169">
        <v>299945.47401728202</v>
      </c>
      <c r="V134" s="11"/>
    </row>
    <row r="135" spans="1:22" s="10" customFormat="1">
      <c r="A135" s="1866">
        <v>2009</v>
      </c>
      <c r="B135" s="252">
        <v>101791846.31809217</v>
      </c>
      <c r="C135" s="1870">
        <v>48111870.038943455</v>
      </c>
      <c r="D135" s="748">
        <f t="shared" si="0"/>
        <v>211.57324842226717</v>
      </c>
      <c r="E135" s="657">
        <f t="shared" si="1"/>
        <v>0.17356273016344148</v>
      </c>
      <c r="F135" s="169">
        <v>6851507.2902829219</v>
      </c>
      <c r="G135" s="3034">
        <v>2242.9102717756805</v>
      </c>
      <c r="H135" s="3034">
        <v>36268.268622443829</v>
      </c>
      <c r="I135" s="169">
        <v>12864207.688718356</v>
      </c>
      <c r="J135" s="3034">
        <v>694391.09315432177</v>
      </c>
      <c r="K135" s="169">
        <v>2118354.8934691814</v>
      </c>
      <c r="L135" s="260">
        <v>10399571.258396104</v>
      </c>
      <c r="M135" s="3034">
        <v>400789.43245970696</v>
      </c>
      <c r="N135" s="169">
        <v>3374520.1364267361</v>
      </c>
      <c r="O135" s="3034">
        <v>1498396.2133304167</v>
      </c>
      <c r="P135" s="169">
        <v>4194589.6976103252</v>
      </c>
      <c r="Q135" s="3034">
        <v>1396438.7363874516</v>
      </c>
      <c r="R135" s="169">
        <v>1499413.563022502</v>
      </c>
      <c r="S135" s="3034">
        <v>1176959.4901432542</v>
      </c>
      <c r="T135" s="3034">
        <v>1307437.353860199</v>
      </c>
      <c r="U135" s="169">
        <v>296782.01278776198</v>
      </c>
      <c r="V135" s="11"/>
    </row>
    <row r="136" spans="1:22" s="10" customFormat="1">
      <c r="A136" s="1866">
        <v>2010</v>
      </c>
      <c r="B136" s="252">
        <v>135895083.38605425</v>
      </c>
      <c r="C136" s="1870">
        <v>52067744.130941629</v>
      </c>
      <c r="D136" s="748">
        <f t="shared" si="0"/>
        <v>260.99667971844707</v>
      </c>
      <c r="E136" s="657">
        <f t="shared" si="1"/>
        <v>0.23359962407694601</v>
      </c>
      <c r="F136" s="169">
        <v>8030667.254528149</v>
      </c>
      <c r="G136" s="3034">
        <v>1685.8547692556299</v>
      </c>
      <c r="H136" s="3034">
        <v>39175.953295597858</v>
      </c>
      <c r="I136" s="169">
        <v>13636853.910415845</v>
      </c>
      <c r="J136" s="3034">
        <v>810400.30101938383</v>
      </c>
      <c r="K136" s="169">
        <v>2151212.3050187919</v>
      </c>
      <c r="L136" s="260">
        <v>11458154.783407617</v>
      </c>
      <c r="M136" s="3034">
        <v>426115.34371813084</v>
      </c>
      <c r="N136" s="169">
        <v>3812704.6257407395</v>
      </c>
      <c r="O136" s="3034">
        <v>1486264.6551905207</v>
      </c>
      <c r="P136" s="169">
        <v>4211064.0939514246</v>
      </c>
      <c r="Q136" s="3034">
        <v>1434729.5260026339</v>
      </c>
      <c r="R136" s="169">
        <v>1522593.2697785236</v>
      </c>
      <c r="S136" s="3034">
        <v>1219951.6509800125</v>
      </c>
      <c r="T136" s="3034">
        <v>1515374.9532670898</v>
      </c>
      <c r="U136" s="169">
        <v>310795.64985791303</v>
      </c>
      <c r="V136" s="11"/>
    </row>
    <row r="137" spans="1:22" s="10" customFormat="1">
      <c r="A137" s="1866">
        <v>2011</v>
      </c>
      <c r="B137" s="252">
        <v>173633547.21300086</v>
      </c>
      <c r="C137" s="1870">
        <v>55261284.93577645</v>
      </c>
      <c r="D137" s="748">
        <f t="shared" si="0"/>
        <v>314.20468672560594</v>
      </c>
      <c r="E137" s="657">
        <f t="shared" si="1"/>
        <v>0.20386468925412227</v>
      </c>
      <c r="F137" s="169">
        <v>8024894.3478409927</v>
      </c>
      <c r="G137" s="3034">
        <v>2157.5826494405387</v>
      </c>
      <c r="H137" s="3034">
        <v>46207.182115168682</v>
      </c>
      <c r="I137" s="169">
        <v>14881169.68871443</v>
      </c>
      <c r="J137" s="3034">
        <v>857860.94498206757</v>
      </c>
      <c r="K137" s="225">
        <v>2225037.9310431774</v>
      </c>
      <c r="L137" s="260">
        <v>12117912.766691748</v>
      </c>
      <c r="M137" s="3034">
        <v>457429.80160518887</v>
      </c>
      <c r="N137" s="169">
        <v>4305451.0950889904</v>
      </c>
      <c r="O137" s="3034">
        <v>1706818.8730132964</v>
      </c>
      <c r="P137" s="169">
        <v>4456571.8942693118</v>
      </c>
      <c r="Q137" s="3034">
        <v>1441781.9218914798</v>
      </c>
      <c r="R137" s="169">
        <v>1524443.7613472964</v>
      </c>
      <c r="S137" s="3034">
        <v>1353685.4415290698</v>
      </c>
      <c r="T137" s="3034">
        <v>1586230.26325573</v>
      </c>
      <c r="U137" s="169">
        <v>273631.43973906396</v>
      </c>
      <c r="V137" s="11"/>
    </row>
    <row r="138" spans="1:22" s="10" customFormat="1">
      <c r="A138" s="1866">
        <v>2012</v>
      </c>
      <c r="B138" s="252">
        <v>210053250.66138747</v>
      </c>
      <c r="C138" s="1870">
        <v>55142119.084444061</v>
      </c>
      <c r="D138" s="748">
        <f>B138/C138*100</f>
        <v>380.93068265968185</v>
      </c>
      <c r="E138" s="657">
        <f>D138/D137-1</f>
        <v>0.21236473787021359</v>
      </c>
      <c r="F138" s="169">
        <v>7346820.2300222823</v>
      </c>
      <c r="G138" s="3034">
        <v>1906.6645147560971</v>
      </c>
      <c r="H138" s="3034">
        <v>40941.176338851226</v>
      </c>
      <c r="I138" s="169">
        <v>14943880.047481433</v>
      </c>
      <c r="J138" s="3034">
        <v>946853.06499378907</v>
      </c>
      <c r="K138" s="169">
        <v>2089633.542063128</v>
      </c>
      <c r="L138" s="260">
        <v>12165436.343206035</v>
      </c>
      <c r="M138" s="3034">
        <v>476175.27619331481</v>
      </c>
      <c r="N138" s="169">
        <v>4451734.852910284</v>
      </c>
      <c r="O138" s="3034">
        <v>1771053.8783366506</v>
      </c>
      <c r="P138" s="169">
        <v>4545562.3250907864</v>
      </c>
      <c r="Q138" s="3034">
        <v>1510410.2704055831</v>
      </c>
      <c r="R138" s="169">
        <v>1498078.5994972831</v>
      </c>
      <c r="S138" s="3034">
        <v>1493420.1501760017</v>
      </c>
      <c r="T138" s="3034">
        <v>1588662.9360545112</v>
      </c>
      <c r="U138" s="169">
        <v>271549.72715937899</v>
      </c>
      <c r="V138" s="11"/>
    </row>
    <row r="139" spans="1:22" s="10" customFormat="1">
      <c r="A139" s="1866">
        <v>2013</v>
      </c>
      <c r="B139" s="252">
        <v>267392778.1516971</v>
      </c>
      <c r="C139" s="1870">
        <v>57696227.066312358</v>
      </c>
      <c r="D139" s="748">
        <f t="shared" si="0"/>
        <v>463.4493306544515</v>
      </c>
      <c r="E139" s="657">
        <f>D139/D138-1</f>
        <v>0.21662378944804161</v>
      </c>
      <c r="F139" s="169">
        <v>8596894.2604040597</v>
      </c>
      <c r="G139" s="3034">
        <v>795.64566608126643</v>
      </c>
      <c r="H139" s="3034">
        <v>49400.537580485376</v>
      </c>
      <c r="I139" s="169">
        <v>15115024.925526114</v>
      </c>
      <c r="J139" s="3034">
        <v>1006662.8942039598</v>
      </c>
      <c r="K139" s="169">
        <v>2238754.2116802279</v>
      </c>
      <c r="L139" s="260">
        <v>12322950.22916621</v>
      </c>
      <c r="M139" s="3034">
        <v>493134.01797551371</v>
      </c>
      <c r="N139" s="169">
        <v>4849407.321799784</v>
      </c>
      <c r="O139" s="3034">
        <v>1868626.6221458141</v>
      </c>
      <c r="P139" s="169">
        <v>4616713.1728470623</v>
      </c>
      <c r="Q139" s="3034">
        <v>1567071.1521602895</v>
      </c>
      <c r="R139" s="169">
        <v>1565409.7704843923</v>
      </c>
      <c r="S139" s="3034">
        <v>1557828.9593603883</v>
      </c>
      <c r="T139" s="3034">
        <v>1569606.0244044771</v>
      </c>
      <c r="U139" s="169">
        <v>277947.32090750005</v>
      </c>
      <c r="V139" s="11"/>
    </row>
    <row r="140" spans="1:22" s="10" customFormat="1">
      <c r="A140" s="1866">
        <v>2014</v>
      </c>
      <c r="B140" s="252">
        <v>363748574.59160018</v>
      </c>
      <c r="C140" s="1870">
        <v>58216982.016017191</v>
      </c>
      <c r="D140" s="748">
        <f t="shared" si="0"/>
        <v>624.81523774544394</v>
      </c>
      <c r="E140" s="657">
        <f t="shared" si="1"/>
        <v>0.34818457254673896</v>
      </c>
      <c r="F140" s="169">
        <v>8197662.3695731116</v>
      </c>
      <c r="G140" s="3034">
        <v>1001.7260131344672</v>
      </c>
      <c r="H140" s="3034">
        <v>42398.623590509393</v>
      </c>
      <c r="I140" s="169">
        <v>15423590.670972794</v>
      </c>
      <c r="J140" s="3034">
        <v>975360.95495793736</v>
      </c>
      <c r="K140" s="169">
        <v>2168685.2684125351</v>
      </c>
      <c r="L140" s="260">
        <v>12622724.34531405</v>
      </c>
      <c r="M140" s="3034">
        <v>507909.12802103872</v>
      </c>
      <c r="N140" s="169">
        <v>4969596.3421551706</v>
      </c>
      <c r="O140" s="3034">
        <v>2023421.7766764783</v>
      </c>
      <c r="P140" s="169">
        <v>4656632.4449485261</v>
      </c>
      <c r="Q140" s="3034">
        <v>1617455.3538663452</v>
      </c>
      <c r="R140" s="169">
        <v>1580513.1764774739</v>
      </c>
      <c r="S140" s="3034">
        <v>1563368.3244915074</v>
      </c>
      <c r="T140" s="3034">
        <v>1554607.6755601927</v>
      </c>
      <c r="U140" s="169">
        <v>312053.83498638601</v>
      </c>
      <c r="V140" s="11"/>
    </row>
    <row r="141" spans="1:22" s="10" customFormat="1">
      <c r="A141" s="1866">
        <v>2015</v>
      </c>
      <c r="B141" s="252">
        <v>465158601.93764043</v>
      </c>
      <c r="C141" s="1870">
        <v>61157166.384767503</v>
      </c>
      <c r="D141" s="748">
        <f t="shared" si="0"/>
        <v>760.59541250017446</v>
      </c>
      <c r="E141" s="657">
        <f t="shared" si="1"/>
        <v>0.21731252144981905</v>
      </c>
      <c r="F141" s="169">
        <v>8802891.7817526627</v>
      </c>
      <c r="G141" s="3034">
        <v>1680.8870898469172</v>
      </c>
      <c r="H141" s="3034">
        <v>42238.646576555533</v>
      </c>
      <c r="I141" s="169">
        <v>16507208.853616763</v>
      </c>
      <c r="J141" s="3034">
        <v>1087260.0081769575</v>
      </c>
      <c r="K141" s="169">
        <v>2320670.8227357604</v>
      </c>
      <c r="L141" s="260">
        <v>13146243.476425298</v>
      </c>
      <c r="M141" s="3034">
        <v>512363.45643639937</v>
      </c>
      <c r="N141" s="169">
        <v>5298901.3157222075</v>
      </c>
      <c r="O141" s="3034">
        <v>2040746.9692523223</v>
      </c>
      <c r="P141" s="169">
        <v>4674717.1888742158</v>
      </c>
      <c r="Q141" s="3034">
        <v>1686320.1003041302</v>
      </c>
      <c r="R141" s="169">
        <v>1627805.7543679378</v>
      </c>
      <c r="S141" s="3034">
        <v>1554534.3094354142</v>
      </c>
      <c r="T141" s="3034">
        <v>1578565.1638469952</v>
      </c>
      <c r="U141" s="169">
        <v>275017.650154036</v>
      </c>
      <c r="V141" s="11"/>
    </row>
    <row r="142" spans="1:22" s="10" customFormat="1">
      <c r="A142" s="1866">
        <v>2016</v>
      </c>
      <c r="B142" s="252">
        <v>647513223.02838278</v>
      </c>
      <c r="C142" s="1870">
        <v>60129777.724881351</v>
      </c>
      <c r="D142" s="748">
        <f>B142/C142*100</f>
        <v>1076.8594987844858</v>
      </c>
      <c r="E142" s="657">
        <f>D142/D141-1</f>
        <v>0.41581119355520535</v>
      </c>
      <c r="F142" s="169">
        <v>7208860.5886396468</v>
      </c>
      <c r="G142" s="3034">
        <v>2216.1199110081097</v>
      </c>
      <c r="H142" s="3034">
        <v>43620.728629396137</v>
      </c>
      <c r="I142" s="169">
        <v>17068379.652316257</v>
      </c>
      <c r="J142" s="3034">
        <v>1096860.3281886801</v>
      </c>
      <c r="K142" s="169">
        <v>2304043.8776485855</v>
      </c>
      <c r="L142" s="260">
        <v>12875877.724716272</v>
      </c>
      <c r="M142" s="3034">
        <v>516042.09835156228</v>
      </c>
      <c r="N142" s="169">
        <v>5432575.568182461</v>
      </c>
      <c r="O142" s="3034">
        <v>2102157.1317731543</v>
      </c>
      <c r="P142" s="169">
        <v>4614662.5230788048</v>
      </c>
      <c r="Q142" s="3034">
        <v>1728168.7006069294</v>
      </c>
      <c r="R142" s="169">
        <v>1645372.7409232345</v>
      </c>
      <c r="S142" s="3034">
        <v>1638739.1153877841</v>
      </c>
      <c r="T142" s="3034">
        <v>1574005.182919617</v>
      </c>
      <c r="U142" s="169">
        <v>278195.64360795496</v>
      </c>
      <c r="V142" s="11"/>
    </row>
    <row r="143" spans="1:22" s="10" customFormat="1">
      <c r="A143" s="1866">
        <v>2017</v>
      </c>
      <c r="B143" s="252">
        <v>851276014.7753824</v>
      </c>
      <c r="C143" s="1870">
        <v>63186392.54426761</v>
      </c>
      <c r="D143" s="748">
        <f t="shared" si="0"/>
        <v>1347.2457921679718</v>
      </c>
      <c r="E143" s="657">
        <f t="shared" si="1"/>
        <v>0.25108781014485815</v>
      </c>
      <c r="F143" s="169">
        <v>7875824.2669373807</v>
      </c>
      <c r="G143" s="3034">
        <v>2544.3016732608576</v>
      </c>
      <c r="H143" s="3034">
        <v>43805.473675590867</v>
      </c>
      <c r="I143" s="169">
        <v>18185996.801468622</v>
      </c>
      <c r="J143" s="3034">
        <v>1072261.0583073203</v>
      </c>
      <c r="K143" s="169">
        <v>2644779.3806085601</v>
      </c>
      <c r="L143" s="260">
        <v>13763568.32272003</v>
      </c>
      <c r="M143" s="3034">
        <v>551546.68597503391</v>
      </c>
      <c r="N143" s="169">
        <v>5310144.3430225914</v>
      </c>
      <c r="O143" s="3034">
        <v>2105671.6126304888</v>
      </c>
      <c r="P143" s="169">
        <v>4681809.1468719803</v>
      </c>
      <c r="Q143" s="3034">
        <v>1742699.0674568582</v>
      </c>
      <c r="R143" s="169">
        <v>1667695.942916923</v>
      </c>
      <c r="S143" s="3034">
        <v>1671083.1433140785</v>
      </c>
      <c r="T143" s="3034">
        <v>1577502.6516932249</v>
      </c>
      <c r="U143" s="169">
        <v>289460.34499566298</v>
      </c>
      <c r="V143" s="11"/>
    </row>
    <row r="144" spans="1:22" s="10" customFormat="1">
      <c r="A144" s="1866">
        <v>2018</v>
      </c>
      <c r="B144" s="252">
        <v>1197056834.8151774</v>
      </c>
      <c r="C144" s="1870">
        <v>60435586.653545618</v>
      </c>
      <c r="D144" s="748">
        <f t="shared" si="0"/>
        <v>1980.7151731271379</v>
      </c>
      <c r="E144" s="657">
        <f t="shared" si="1"/>
        <v>0.47019585040959355</v>
      </c>
      <c r="F144" s="169">
        <v>6863869.3133620499</v>
      </c>
      <c r="G144" s="3034">
        <v>2554.7326246833904</v>
      </c>
      <c r="H144" s="3034">
        <v>40023.030686909056</v>
      </c>
      <c r="I144" s="169">
        <v>16396850.756911866</v>
      </c>
      <c r="J144" s="3034">
        <v>1103731.957545829</v>
      </c>
      <c r="K144" s="169">
        <v>2704848.7182536861</v>
      </c>
      <c r="L144" s="260">
        <v>13834578.061978059</v>
      </c>
      <c r="M144" s="3034">
        <v>589995.01348268439</v>
      </c>
      <c r="N144" s="169">
        <v>4959187.14198667</v>
      </c>
      <c r="O144" s="3034">
        <v>2259999.0747993016</v>
      </c>
      <c r="P144" s="169">
        <v>4683114.130263973</v>
      </c>
      <c r="Q144" s="3034">
        <v>1750753.7328612884</v>
      </c>
      <c r="R144" s="169">
        <v>1680119.8428144534</v>
      </c>
      <c r="S144" s="3034">
        <v>1685474.3496292569</v>
      </c>
      <c r="T144" s="3034">
        <v>1610864.6564635073</v>
      </c>
      <c r="U144" s="169">
        <v>269622.139881398</v>
      </c>
      <c r="V144" s="11"/>
    </row>
    <row r="145" spans="1:22" s="10" customFormat="1">
      <c r="A145" s="1872">
        <v>2019</v>
      </c>
      <c r="B145" s="252">
        <v>1817653760.350059</v>
      </c>
      <c r="C145" s="1870">
        <v>59864345.527048826</v>
      </c>
      <c r="D145" s="748">
        <f t="shared" si="0"/>
        <v>3036.2877007129041</v>
      </c>
      <c r="E145" s="657">
        <f t="shared" si="1"/>
        <v>0.53292494645721145</v>
      </c>
      <c r="F145" s="169">
        <v>8264645.1577834766</v>
      </c>
      <c r="G145" s="3034">
        <v>3236.1934709473362</v>
      </c>
      <c r="H145" s="3034">
        <v>51726.694454627148</v>
      </c>
      <c r="I145" s="169">
        <v>15966342.151961846</v>
      </c>
      <c r="J145" s="3034">
        <v>984363.57395101164</v>
      </c>
      <c r="K145" s="2144">
        <v>2547817.0480178599</v>
      </c>
      <c r="L145" s="260">
        <v>13095006.889264025</v>
      </c>
      <c r="M145" s="3034">
        <v>582990.22427749925</v>
      </c>
      <c r="N145" s="169">
        <v>4907551.6144717913</v>
      </c>
      <c r="O145" s="3034">
        <v>1979616.1800899759</v>
      </c>
      <c r="P145" s="169">
        <v>4476543.7576318653</v>
      </c>
      <c r="Q145" s="3034">
        <v>1764848.3144511783</v>
      </c>
      <c r="R145" s="169">
        <v>1697994.5420941459</v>
      </c>
      <c r="S145" s="3034">
        <v>1705349.7750216995</v>
      </c>
      <c r="T145" s="3034">
        <v>1575135.2293027281</v>
      </c>
      <c r="U145" s="169">
        <v>261178.18080414701</v>
      </c>
      <c r="V145" s="11"/>
    </row>
    <row r="146" spans="1:22" s="10" customFormat="1">
      <c r="A146" s="1872">
        <v>2020</v>
      </c>
      <c r="B146" s="1419">
        <v>2500399573.2656655</v>
      </c>
      <c r="C146" s="1873">
        <v>56069790.656616494</v>
      </c>
      <c r="D146" s="748">
        <f>B146/C146*100</f>
        <v>4459.4416065839314</v>
      </c>
      <c r="E146" s="657">
        <f t="shared" si="1"/>
        <v>0.46871510415066342</v>
      </c>
      <c r="F146" s="1873">
        <v>8284616.5310350917</v>
      </c>
      <c r="G146" s="1873">
        <v>2427.0537369352073</v>
      </c>
      <c r="H146" s="1873">
        <v>44069.059109900823</v>
      </c>
      <c r="I146" s="1873">
        <v>14579440.568513552</v>
      </c>
      <c r="J146" s="1873">
        <v>1005604.8596067224</v>
      </c>
      <c r="K146" s="1874">
        <v>1884843.2064273078</v>
      </c>
      <c r="L146" s="1419">
        <v>12827053.132180262</v>
      </c>
      <c r="M146" s="1873">
        <v>427169.82282056904</v>
      </c>
      <c r="N146" s="1873">
        <v>4197217.1056529582</v>
      </c>
      <c r="O146" s="1873">
        <v>2573205.379901682</v>
      </c>
      <c r="P146" s="1873">
        <v>4413466.0036127688</v>
      </c>
      <c r="Q146" s="1873">
        <v>1487599.9377915994</v>
      </c>
      <c r="R146" s="1873">
        <v>1648934.5516730174</v>
      </c>
      <c r="S146" s="1873">
        <v>1286067.5097952094</v>
      </c>
      <c r="T146" s="1873">
        <v>1180226.3899052246</v>
      </c>
      <c r="U146" s="1873">
        <v>227849.54485368566</v>
      </c>
      <c r="V146" s="11"/>
    </row>
    <row r="147" spans="1:22" s="10" customFormat="1">
      <c r="A147" s="1872">
        <v>2021</v>
      </c>
      <c r="B147" s="1419">
        <v>4333105454.3421898</v>
      </c>
      <c r="C147" s="1873">
        <v>61670821.610562384</v>
      </c>
      <c r="D147" s="748">
        <f t="shared" ref="D147:D151" si="2">B147/C147*100</f>
        <v>7026.1840870303204</v>
      </c>
      <c r="E147" s="657">
        <f>D147/D146-1</f>
        <v>0.57557486046164241</v>
      </c>
      <c r="F147" s="1873">
        <v>8567483.4638167713</v>
      </c>
      <c r="G147" s="1873">
        <v>1751.3087648537139</v>
      </c>
      <c r="H147" s="1873">
        <v>51746.107644052972</v>
      </c>
      <c r="I147" s="1873">
        <v>16311772.330519289</v>
      </c>
      <c r="J147" s="1873">
        <v>1050306.8466337072</v>
      </c>
      <c r="K147" s="1874">
        <v>2108583.7272932166</v>
      </c>
      <c r="L147" s="1419">
        <v>14287407.931549922</v>
      </c>
      <c r="M147" s="1873">
        <v>445651.7546671161</v>
      </c>
      <c r="N147" s="1873">
        <v>4260651.5576986866</v>
      </c>
      <c r="O147" s="1873">
        <v>2858136.0451639798</v>
      </c>
      <c r="P147" s="1873">
        <v>4641777.9434730411</v>
      </c>
      <c r="Q147" s="1873">
        <v>1793692.8012910325</v>
      </c>
      <c r="R147" s="1873">
        <v>1728882.4172750833</v>
      </c>
      <c r="S147" s="1873">
        <v>1921911.0721112981</v>
      </c>
      <c r="T147" s="1873">
        <v>1382977.8521897001</v>
      </c>
      <c r="U147" s="1873">
        <v>258088.4504706338</v>
      </c>
      <c r="V147" s="11"/>
    </row>
    <row r="148" spans="1:22" s="10" customFormat="1">
      <c r="A148" s="1872">
        <v>2022</v>
      </c>
      <c r="B148" s="1419">
        <v>7459612741.1173325</v>
      </c>
      <c r="C148" s="1873">
        <v>61578603.641217068</v>
      </c>
      <c r="D148" s="748">
        <f>B148/C148*100</f>
        <v>12113.968651481908</v>
      </c>
      <c r="E148" s="657">
        <f t="shared" ref="E148:E151" si="3">D148/D147-1</f>
        <v>0.7241177432061825</v>
      </c>
      <c r="F148" s="1873">
        <v>7353089.7328723781</v>
      </c>
      <c r="G148" s="1873">
        <v>1013.4347255716502</v>
      </c>
      <c r="H148" s="1873">
        <v>49600.927373452672</v>
      </c>
      <c r="I148" s="1873">
        <v>16615767.967245441</v>
      </c>
      <c r="J148" s="1873">
        <v>1053951.131796113</v>
      </c>
      <c r="K148" s="1874">
        <v>2267582.1202530647</v>
      </c>
      <c r="L148" s="1419">
        <v>14970566.701814415</v>
      </c>
      <c r="M148" s="1873">
        <v>537830.68834209722</v>
      </c>
      <c r="N148" s="1873">
        <v>4172742.2324364441</v>
      </c>
      <c r="O148" s="1873">
        <v>2532380.8464978049</v>
      </c>
      <c r="P148" s="1873">
        <v>4826788.4334668405</v>
      </c>
      <c r="Q148" s="1873">
        <v>1793474.0510541394</v>
      </c>
      <c r="R148" s="1873">
        <v>1725114.8455366835</v>
      </c>
      <c r="S148" s="1873">
        <v>1959477.7130021427</v>
      </c>
      <c r="T148" s="1873">
        <v>1432373.788497804</v>
      </c>
      <c r="U148" s="1873">
        <v>286849.02630267537</v>
      </c>
      <c r="V148" s="11"/>
    </row>
    <row r="149" spans="1:22" s="10" customFormat="1">
      <c r="A149" s="1872">
        <v>2023</v>
      </c>
      <c r="B149" s="1419">
        <v>16500930351.842321</v>
      </c>
      <c r="C149" s="1873">
        <v>57110350.306286715</v>
      </c>
      <c r="D149" s="748">
        <f t="shared" si="2"/>
        <v>28893.06450292583</v>
      </c>
      <c r="E149" s="657">
        <f t="shared" si="3"/>
        <v>1.38510312633105</v>
      </c>
      <c r="F149" s="1873">
        <v>5328323.6799467541</v>
      </c>
      <c r="G149" s="1873">
        <v>894.65491303719568</v>
      </c>
      <c r="H149" s="1873">
        <v>44658.534897054487</v>
      </c>
      <c r="I149" s="1873">
        <v>14668532.945674675</v>
      </c>
      <c r="J149" s="1873">
        <v>996358.29978243925</v>
      </c>
      <c r="K149" s="1874">
        <v>2352130.859946765</v>
      </c>
      <c r="L149" s="1419">
        <v>14256797.752923585</v>
      </c>
      <c r="M149" s="1873">
        <v>577707.62744641677</v>
      </c>
      <c r="N149" s="1873">
        <v>3771455.7722708266</v>
      </c>
      <c r="O149" s="1873">
        <v>2841436.2390582226</v>
      </c>
      <c r="P149" s="1873">
        <v>4928081.9944662489</v>
      </c>
      <c r="Q149" s="1873">
        <v>1841110.4711861874</v>
      </c>
      <c r="R149" s="1873">
        <v>1761066.6812773987</v>
      </c>
      <c r="S149" s="1873">
        <v>1965495.4634712469</v>
      </c>
      <c r="T149" s="1873">
        <v>1478856.3472887189</v>
      </c>
      <c r="U149" s="1873">
        <v>297442.98173713632</v>
      </c>
      <c r="V149" s="11"/>
    </row>
    <row r="150" spans="1:22" s="10" customFormat="1">
      <c r="A150" s="1866">
        <v>2024</v>
      </c>
      <c r="B150" s="252" t="e">
        <v>#N/A</v>
      </c>
      <c r="C150" s="1870" t="e">
        <v>#N/A</v>
      </c>
      <c r="D150" s="748" t="e">
        <f t="shared" si="2"/>
        <v>#N/A</v>
      </c>
      <c r="E150" s="657" t="e">
        <f t="shared" si="3"/>
        <v>#N/A</v>
      </c>
      <c r="F150" s="169" t="e">
        <v>#N/A</v>
      </c>
      <c r="G150" s="3034" t="e">
        <v>#N/A</v>
      </c>
      <c r="H150" s="3034" t="e">
        <v>#N/A</v>
      </c>
      <c r="I150" s="169" t="e">
        <v>#N/A</v>
      </c>
      <c r="J150" s="3034" t="e">
        <v>#N/A</v>
      </c>
      <c r="K150" s="169" t="e">
        <v>#N/A</v>
      </c>
      <c r="L150" s="260" t="e">
        <v>#N/A</v>
      </c>
      <c r="M150" s="3034" t="e">
        <v>#N/A</v>
      </c>
      <c r="N150" s="169" t="e">
        <v>#N/A</v>
      </c>
      <c r="O150" s="3034" t="e">
        <v>#N/A</v>
      </c>
      <c r="P150" s="169" t="e">
        <v>#N/A</v>
      </c>
      <c r="Q150" s="3034" t="e">
        <v>#N/A</v>
      </c>
      <c r="R150" s="169" t="e">
        <v>#N/A</v>
      </c>
      <c r="S150" s="3034" t="e">
        <v>#N/A</v>
      </c>
      <c r="T150" s="3034" t="e">
        <v>#N/A</v>
      </c>
      <c r="U150" s="169" t="e">
        <v>#N/A</v>
      </c>
      <c r="V150" s="11"/>
    </row>
    <row r="151" spans="1:22" s="10" customFormat="1">
      <c r="A151" s="1866">
        <v>2025</v>
      </c>
      <c r="B151" s="252" t="e">
        <v>#N/A</v>
      </c>
      <c r="C151" s="1870" t="e">
        <v>#N/A</v>
      </c>
      <c r="D151" s="748" t="e">
        <f t="shared" si="2"/>
        <v>#N/A</v>
      </c>
      <c r="E151" s="657" t="e">
        <f t="shared" si="3"/>
        <v>#N/A</v>
      </c>
      <c r="F151" s="169" t="e">
        <v>#N/A</v>
      </c>
      <c r="G151" s="3034" t="e">
        <v>#N/A</v>
      </c>
      <c r="H151" s="3034" t="e">
        <v>#N/A</v>
      </c>
      <c r="I151" s="169" t="e">
        <v>#N/A</v>
      </c>
      <c r="J151" s="3034" t="e">
        <v>#N/A</v>
      </c>
      <c r="K151" s="169" t="e">
        <v>#N/A</v>
      </c>
      <c r="L151" s="260" t="e">
        <v>#N/A</v>
      </c>
      <c r="M151" s="3034" t="e">
        <v>#N/A</v>
      </c>
      <c r="N151" s="169" t="e">
        <v>#N/A</v>
      </c>
      <c r="O151" s="3034" t="e">
        <v>#N/A</v>
      </c>
      <c r="P151" s="169" t="e">
        <v>#N/A</v>
      </c>
      <c r="Q151" s="3034" t="e">
        <v>#N/A</v>
      </c>
      <c r="R151" s="169" t="e">
        <v>#N/A</v>
      </c>
      <c r="S151" s="3034" t="e">
        <v>#N/A</v>
      </c>
      <c r="T151" s="3034" t="e">
        <v>#N/A</v>
      </c>
      <c r="U151" s="169" t="e">
        <v>#N/A</v>
      </c>
      <c r="V151" s="11"/>
    </row>
    <row r="152" spans="1:22" s="10" customFormat="1">
      <c r="A152" s="1866">
        <v>2026</v>
      </c>
      <c r="B152" s="252" t="e">
        <v>#N/A</v>
      </c>
      <c r="C152" s="1870" t="e">
        <v>#N/A</v>
      </c>
      <c r="D152" s="748" t="e">
        <f t="shared" ref="D152:D156" si="4">B152/C152*100</f>
        <v>#N/A</v>
      </c>
      <c r="E152" s="657" t="e">
        <f t="shared" ref="E152:E156" si="5">D152/D151-1</f>
        <v>#N/A</v>
      </c>
      <c r="F152" s="169" t="e">
        <v>#N/A</v>
      </c>
      <c r="G152" s="3034" t="e">
        <v>#N/A</v>
      </c>
      <c r="H152" s="3034" t="e">
        <v>#N/A</v>
      </c>
      <c r="I152" s="169" t="e">
        <v>#N/A</v>
      </c>
      <c r="J152" s="3034" t="e">
        <v>#N/A</v>
      </c>
      <c r="K152" s="169" t="e">
        <v>#N/A</v>
      </c>
      <c r="L152" s="260" t="e">
        <v>#N/A</v>
      </c>
      <c r="M152" s="3034" t="e">
        <v>#N/A</v>
      </c>
      <c r="N152" s="169" t="e">
        <v>#N/A</v>
      </c>
      <c r="O152" s="3034" t="e">
        <v>#N/A</v>
      </c>
      <c r="P152" s="169" t="e">
        <v>#N/A</v>
      </c>
      <c r="Q152" s="3034" t="e">
        <v>#N/A</v>
      </c>
      <c r="R152" s="169" t="e">
        <v>#N/A</v>
      </c>
      <c r="S152" s="3034" t="e">
        <v>#N/A</v>
      </c>
      <c r="T152" s="3034" t="e">
        <v>#N/A</v>
      </c>
      <c r="U152" s="3035" t="e">
        <v>#N/A</v>
      </c>
    </row>
    <row r="153" spans="1:22" s="10" customFormat="1">
      <c r="A153" s="1866">
        <v>2027</v>
      </c>
      <c r="B153" s="252" t="e">
        <v>#N/A</v>
      </c>
      <c r="C153" s="1870" t="e">
        <v>#N/A</v>
      </c>
      <c r="D153" s="748" t="e">
        <f t="shared" si="4"/>
        <v>#N/A</v>
      </c>
      <c r="E153" s="657" t="e">
        <f t="shared" si="5"/>
        <v>#N/A</v>
      </c>
      <c r="F153" s="169" t="e">
        <v>#N/A</v>
      </c>
      <c r="G153" s="3034" t="e">
        <v>#N/A</v>
      </c>
      <c r="H153" s="3034" t="e">
        <v>#N/A</v>
      </c>
      <c r="I153" s="169" t="e">
        <v>#N/A</v>
      </c>
      <c r="J153" s="3034" t="e">
        <v>#N/A</v>
      </c>
      <c r="K153" s="169" t="e">
        <v>#N/A</v>
      </c>
      <c r="L153" s="260" t="e">
        <v>#N/A</v>
      </c>
      <c r="M153" s="3034" t="e">
        <v>#N/A</v>
      </c>
      <c r="N153" s="169" t="e">
        <v>#N/A</v>
      </c>
      <c r="O153" s="3034" t="e">
        <v>#N/A</v>
      </c>
      <c r="P153" s="169" t="e">
        <v>#N/A</v>
      </c>
      <c r="Q153" s="3034" t="e">
        <v>#N/A</v>
      </c>
      <c r="R153" s="169" t="e">
        <v>#N/A</v>
      </c>
      <c r="S153" s="3034" t="e">
        <v>#N/A</v>
      </c>
      <c r="T153" s="3034" t="e">
        <v>#N/A</v>
      </c>
      <c r="U153" s="3035" t="e">
        <v>#N/A</v>
      </c>
    </row>
    <row r="154" spans="1:22" s="10" customFormat="1">
      <c r="A154" s="1866">
        <v>2028</v>
      </c>
      <c r="B154" s="252" t="e">
        <v>#N/A</v>
      </c>
      <c r="C154" s="1870" t="e">
        <v>#N/A</v>
      </c>
      <c r="D154" s="748" t="e">
        <f t="shared" si="4"/>
        <v>#N/A</v>
      </c>
      <c r="E154" s="657" t="e">
        <f t="shared" si="5"/>
        <v>#N/A</v>
      </c>
      <c r="F154" s="169" t="e">
        <v>#N/A</v>
      </c>
      <c r="G154" s="3034" t="e">
        <v>#N/A</v>
      </c>
      <c r="H154" s="3034" t="e">
        <v>#N/A</v>
      </c>
      <c r="I154" s="169" t="e">
        <v>#N/A</v>
      </c>
      <c r="J154" s="3034" t="e">
        <v>#N/A</v>
      </c>
      <c r="K154" s="169" t="e">
        <v>#N/A</v>
      </c>
      <c r="L154" s="260" t="e">
        <v>#N/A</v>
      </c>
      <c r="M154" s="3034" t="e">
        <v>#N/A</v>
      </c>
      <c r="N154" s="169" t="e">
        <v>#N/A</v>
      </c>
      <c r="O154" s="3034" t="e">
        <v>#N/A</v>
      </c>
      <c r="P154" s="169" t="e">
        <v>#N/A</v>
      </c>
      <c r="Q154" s="3034" t="e">
        <v>#N/A</v>
      </c>
      <c r="R154" s="169" t="e">
        <v>#N/A</v>
      </c>
      <c r="S154" s="3034" t="e">
        <v>#N/A</v>
      </c>
      <c r="T154" s="3034" t="e">
        <v>#N/A</v>
      </c>
      <c r="U154" s="3035" t="e">
        <v>#N/A</v>
      </c>
    </row>
    <row r="155" spans="1:22" s="10" customFormat="1">
      <c r="A155" s="1866">
        <v>2029</v>
      </c>
      <c r="B155" s="252" t="e">
        <v>#N/A</v>
      </c>
      <c r="C155" s="1870" t="e">
        <v>#N/A</v>
      </c>
      <c r="D155" s="748" t="e">
        <f t="shared" si="4"/>
        <v>#N/A</v>
      </c>
      <c r="E155" s="657" t="e">
        <f t="shared" si="5"/>
        <v>#N/A</v>
      </c>
      <c r="F155" s="169" t="e">
        <v>#N/A</v>
      </c>
      <c r="G155" s="3034" t="e">
        <v>#N/A</v>
      </c>
      <c r="H155" s="3034" t="e">
        <v>#N/A</v>
      </c>
      <c r="I155" s="169" t="e">
        <v>#N/A</v>
      </c>
      <c r="J155" s="3034" t="e">
        <v>#N/A</v>
      </c>
      <c r="K155" s="169" t="e">
        <v>#N/A</v>
      </c>
      <c r="L155" s="260" t="e">
        <v>#N/A</v>
      </c>
      <c r="M155" s="3034" t="e">
        <v>#N/A</v>
      </c>
      <c r="N155" s="169" t="e">
        <v>#N/A</v>
      </c>
      <c r="O155" s="3034" t="e">
        <v>#N/A</v>
      </c>
      <c r="P155" s="169" t="e">
        <v>#N/A</v>
      </c>
      <c r="Q155" s="3034" t="e">
        <v>#N/A</v>
      </c>
      <c r="R155" s="169" t="e">
        <v>#N/A</v>
      </c>
      <c r="S155" s="3034" t="e">
        <v>#N/A</v>
      </c>
      <c r="T155" s="3034" t="e">
        <v>#N/A</v>
      </c>
      <c r="U155" s="3035" t="e">
        <v>#N/A</v>
      </c>
    </row>
    <row r="156" spans="1:22" s="10" customFormat="1">
      <c r="A156" s="1866">
        <v>2030</v>
      </c>
      <c r="B156" s="252" t="e">
        <v>#N/A</v>
      </c>
      <c r="C156" s="1870" t="e">
        <v>#N/A</v>
      </c>
      <c r="D156" s="748" t="e">
        <f t="shared" si="4"/>
        <v>#N/A</v>
      </c>
      <c r="E156" s="657" t="e">
        <f t="shared" si="5"/>
        <v>#N/A</v>
      </c>
      <c r="F156" s="169" t="e">
        <v>#N/A</v>
      </c>
      <c r="G156" s="3034" t="e">
        <v>#N/A</v>
      </c>
      <c r="H156" s="3034" t="e">
        <v>#N/A</v>
      </c>
      <c r="I156" s="169" t="e">
        <v>#N/A</v>
      </c>
      <c r="J156" s="3034" t="e">
        <v>#N/A</v>
      </c>
      <c r="K156" s="169" t="e">
        <v>#N/A</v>
      </c>
      <c r="L156" s="260" t="e">
        <v>#N/A</v>
      </c>
      <c r="M156" s="3034" t="e">
        <v>#N/A</v>
      </c>
      <c r="N156" s="169" t="e">
        <v>#N/A</v>
      </c>
      <c r="O156" s="3034" t="e">
        <v>#N/A</v>
      </c>
      <c r="P156" s="169" t="e">
        <v>#N/A</v>
      </c>
      <c r="Q156" s="3034" t="e">
        <v>#N/A</v>
      </c>
      <c r="R156" s="169" t="e">
        <v>#N/A</v>
      </c>
      <c r="S156" s="3034" t="e">
        <v>#N/A</v>
      </c>
      <c r="T156" s="3034" t="e">
        <v>#N/A</v>
      </c>
      <c r="U156" s="3035" t="e">
        <v>#N/A</v>
      </c>
    </row>
  </sheetData>
  <hyperlinks>
    <hyperlink ref="A5" location="INDICE!A13" display="VOLVER AL INDICE" xr:uid="{00000000-0004-0000-0600-000000000000}"/>
  </hyperlinks>
  <pageMargins left="0.75" right="0.75" top="1" bottom="1" header="0" footer="0"/>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6"/>
  <dimension ref="A1:Z253"/>
  <sheetViews>
    <sheetView zoomScale="130" zoomScaleNormal="130" workbookViewId="0">
      <pane xSplit="1" ySplit="9" topLeftCell="B148" activePane="bottomRight" state="frozen"/>
      <selection pane="topRight" activeCell="A5" sqref="A5"/>
      <selection pane="bottomLeft" activeCell="A5" sqref="A5"/>
      <selection pane="bottomRight" activeCell="B146" sqref="B146"/>
    </sheetView>
  </sheetViews>
  <sheetFormatPr baseColWidth="10" defaultColWidth="11.42578125" defaultRowHeight="12.75"/>
  <cols>
    <col min="1" max="1" width="10.5703125" style="1747" customWidth="1"/>
    <col min="2" max="2" width="16.7109375" style="1747" customWidth="1"/>
    <col min="3" max="10" width="16.42578125" style="1747" customWidth="1"/>
    <col min="11" max="11" width="16.7109375" style="1747" customWidth="1"/>
    <col min="12" max="19" width="16.42578125" style="1747" customWidth="1"/>
    <col min="20" max="20" width="16.7109375" style="1747" customWidth="1"/>
    <col min="21" max="26" width="16.42578125" style="1747" customWidth="1"/>
    <col min="27" max="16384" width="11.42578125" style="1199"/>
  </cols>
  <sheetData>
    <row r="1" spans="1:26" s="235" customFormat="1" ht="3" customHeight="1">
      <c r="A1" s="34"/>
      <c r="B1" s="51"/>
      <c r="C1" s="51"/>
      <c r="D1" s="51"/>
      <c r="E1" s="51"/>
      <c r="F1" s="51"/>
      <c r="G1" s="51"/>
      <c r="H1" s="52"/>
      <c r="I1" s="51"/>
      <c r="J1" s="394"/>
      <c r="K1" s="51"/>
      <c r="L1" s="51"/>
      <c r="M1" s="51"/>
      <c r="N1" s="51"/>
      <c r="O1" s="51"/>
      <c r="P1" s="51"/>
      <c r="Q1" s="52"/>
      <c r="R1" s="51"/>
      <c r="S1" s="394"/>
      <c r="T1" s="51"/>
      <c r="U1" s="51"/>
      <c r="V1" s="51"/>
      <c r="W1" s="51"/>
      <c r="X1" s="51"/>
      <c r="Y1" s="51"/>
      <c r="Z1" s="54"/>
    </row>
    <row r="2" spans="1:26" s="216" customFormat="1">
      <c r="A2" s="36" t="s">
        <v>105</v>
      </c>
      <c r="B2" s="3036" t="s">
        <v>284</v>
      </c>
      <c r="C2" s="3036"/>
      <c r="D2" s="3036"/>
      <c r="E2" s="3036"/>
      <c r="F2" s="3036"/>
      <c r="G2" s="3036"/>
      <c r="H2" s="3037"/>
      <c r="I2" s="3036"/>
      <c r="J2" s="3038"/>
      <c r="K2" s="3036" t="s">
        <v>285</v>
      </c>
      <c r="L2" s="3036"/>
      <c r="M2" s="3036"/>
      <c r="N2" s="3036"/>
      <c r="O2" s="3036"/>
      <c r="P2" s="3036"/>
      <c r="Q2" s="3037"/>
      <c r="R2" s="3036"/>
      <c r="S2" s="3038"/>
      <c r="T2" s="3036" t="s">
        <v>286</v>
      </c>
      <c r="U2" s="3036"/>
      <c r="V2" s="3036"/>
      <c r="W2" s="3036"/>
      <c r="X2" s="3036"/>
      <c r="Y2" s="3036"/>
      <c r="Z2" s="3039"/>
    </row>
    <row r="3" spans="1:26" s="216" customFormat="1">
      <c r="A3" s="37" t="s">
        <v>109</v>
      </c>
      <c r="B3" s="3040" t="s">
        <v>287</v>
      </c>
      <c r="C3" s="3041"/>
      <c r="D3" s="3041"/>
      <c r="E3" s="3041"/>
      <c r="F3" s="3041"/>
      <c r="G3" s="3041"/>
      <c r="H3" s="3042"/>
      <c r="I3" s="3041"/>
      <c r="J3" s="395"/>
      <c r="K3" s="3040" t="s">
        <v>287</v>
      </c>
      <c r="L3" s="3041"/>
      <c r="M3" s="3041"/>
      <c r="N3" s="3041"/>
      <c r="O3" s="3041"/>
      <c r="P3" s="3041"/>
      <c r="Q3" s="3042"/>
      <c r="R3" s="3041"/>
      <c r="S3" s="395"/>
      <c r="T3" s="3040" t="s">
        <v>287</v>
      </c>
      <c r="U3" s="3041"/>
      <c r="V3" s="3041"/>
      <c r="W3" s="3041"/>
      <c r="X3" s="3041"/>
      <c r="Y3" s="3041"/>
      <c r="Z3" s="3043"/>
    </row>
    <row r="4" spans="1:26" s="216" customFormat="1" ht="30.6" customHeight="1">
      <c r="A4" s="35"/>
      <c r="B4" s="246" t="s">
        <v>288</v>
      </c>
      <c r="C4" s="2393"/>
      <c r="D4" s="2393" t="s">
        <v>289</v>
      </c>
      <c r="E4" s="244"/>
      <c r="F4" s="244"/>
      <c r="G4" s="244"/>
      <c r="H4" s="243"/>
      <c r="I4" s="2393" t="s">
        <v>290</v>
      </c>
      <c r="J4" s="245"/>
      <c r="K4" s="244" t="s">
        <v>288</v>
      </c>
      <c r="L4" s="245"/>
      <c r="M4" s="2393" t="s">
        <v>289</v>
      </c>
      <c r="N4" s="244"/>
      <c r="O4" s="244"/>
      <c r="P4" s="244"/>
      <c r="Q4" s="243"/>
      <c r="R4" s="2393" t="s">
        <v>290</v>
      </c>
      <c r="S4" s="245"/>
      <c r="T4" s="244" t="s">
        <v>288</v>
      </c>
      <c r="U4" s="2393"/>
      <c r="V4" s="2393" t="s">
        <v>289</v>
      </c>
      <c r="W4" s="244"/>
      <c r="X4" s="244"/>
      <c r="Y4" s="244"/>
      <c r="Z4" s="297"/>
    </row>
    <row r="5" spans="1:26" s="235" customFormat="1" ht="45">
      <c r="A5" s="2390" t="s">
        <v>137</v>
      </c>
      <c r="B5" s="674" t="s">
        <v>131</v>
      </c>
      <c r="C5" s="242" t="s">
        <v>291</v>
      </c>
      <c r="D5" s="2394" t="s">
        <v>292</v>
      </c>
      <c r="E5" s="699" t="s">
        <v>293</v>
      </c>
      <c r="F5" s="241" t="s">
        <v>294</v>
      </c>
      <c r="G5" s="685" t="s">
        <v>295</v>
      </c>
      <c r="H5" s="241" t="s">
        <v>296</v>
      </c>
      <c r="I5" s="674" t="s">
        <v>297</v>
      </c>
      <c r="J5" s="242" t="s">
        <v>298</v>
      </c>
      <c r="K5" s="667" t="s">
        <v>131</v>
      </c>
      <c r="L5" s="242" t="s">
        <v>291</v>
      </c>
      <c r="M5" s="2394" t="s">
        <v>292</v>
      </c>
      <c r="N5" s="699" t="s">
        <v>293</v>
      </c>
      <c r="O5" s="241" t="s">
        <v>294</v>
      </c>
      <c r="P5" s="685" t="s">
        <v>295</v>
      </c>
      <c r="Q5" s="241" t="s">
        <v>296</v>
      </c>
      <c r="R5" s="674" t="s">
        <v>297</v>
      </c>
      <c r="S5" s="242" t="s">
        <v>298</v>
      </c>
      <c r="T5" s="667" t="s">
        <v>131</v>
      </c>
      <c r="U5" s="242" t="s">
        <v>291</v>
      </c>
      <c r="V5" s="674" t="s">
        <v>292</v>
      </c>
      <c r="W5" s="326" t="s">
        <v>293</v>
      </c>
      <c r="X5" s="685" t="s">
        <v>295</v>
      </c>
      <c r="Y5" s="685" t="s">
        <v>294</v>
      </c>
      <c r="Z5" s="298" t="s">
        <v>296</v>
      </c>
    </row>
    <row r="6" spans="1:26" s="235" customFormat="1" ht="3.6" hidden="1" customHeight="1">
      <c r="A6" s="33"/>
      <c r="B6" s="3307"/>
      <c r="E6" s="700"/>
      <c r="F6" s="238"/>
      <c r="G6" s="686"/>
      <c r="H6" s="237"/>
      <c r="I6" s="3044"/>
      <c r="J6" s="704"/>
      <c r="K6" s="3307"/>
      <c r="L6" s="240"/>
      <c r="N6" s="700"/>
      <c r="O6" s="238"/>
      <c r="P6" s="686"/>
      <c r="Q6" s="237"/>
      <c r="R6" s="3044"/>
      <c r="S6" s="704"/>
      <c r="T6" s="3307"/>
      <c r="V6" s="675"/>
      <c r="W6" s="239"/>
      <c r="X6" s="686"/>
      <c r="Y6" s="686"/>
      <c r="Z6" s="299"/>
    </row>
    <row r="7" spans="1:26" s="235" customFormat="1" ht="22.5">
      <c r="A7" s="2373" t="s">
        <v>123</v>
      </c>
      <c r="B7" s="687" t="s">
        <v>133</v>
      </c>
      <c r="C7" s="236" t="s">
        <v>133</v>
      </c>
      <c r="D7" s="681" t="s">
        <v>133</v>
      </c>
      <c r="E7" s="687" t="s">
        <v>133</v>
      </c>
      <c r="F7" s="681" t="s">
        <v>133</v>
      </c>
      <c r="G7" s="687" t="s">
        <v>133</v>
      </c>
      <c r="H7" s="236" t="s">
        <v>133</v>
      </c>
      <c r="I7" s="668" t="s">
        <v>133</v>
      </c>
      <c r="J7" s="236" t="s">
        <v>133</v>
      </c>
      <c r="K7" s="668" t="s">
        <v>299</v>
      </c>
      <c r="L7" s="236" t="s">
        <v>299</v>
      </c>
      <c r="M7" s="681" t="s">
        <v>299</v>
      </c>
      <c r="N7" s="687" t="s">
        <v>299</v>
      </c>
      <c r="O7" s="681" t="s">
        <v>299</v>
      </c>
      <c r="P7" s="687" t="s">
        <v>299</v>
      </c>
      <c r="Q7" s="681" t="s">
        <v>299</v>
      </c>
      <c r="R7" s="710" t="s">
        <v>299</v>
      </c>
      <c r="S7" s="1859" t="s">
        <v>299</v>
      </c>
      <c r="T7" s="668" t="s">
        <v>133</v>
      </c>
      <c r="U7" s="236" t="s">
        <v>133</v>
      </c>
      <c r="V7" s="668" t="s">
        <v>133</v>
      </c>
      <c r="W7" s="681" t="s">
        <v>133</v>
      </c>
      <c r="X7" s="687" t="s">
        <v>133</v>
      </c>
      <c r="Y7" s="687" t="s">
        <v>133</v>
      </c>
      <c r="Z7" s="296" t="s">
        <v>133</v>
      </c>
    </row>
    <row r="8" spans="1:26" s="235" customFormat="1" ht="12" thickBot="1">
      <c r="A8" s="147" t="s">
        <v>141</v>
      </c>
      <c r="B8" s="688" t="s">
        <v>300</v>
      </c>
      <c r="C8" s="291" t="s">
        <v>301</v>
      </c>
      <c r="D8" s="2395" t="s">
        <v>302</v>
      </c>
      <c r="E8" s="688" t="s">
        <v>303</v>
      </c>
      <c r="F8" s="396" t="s">
        <v>304</v>
      </c>
      <c r="G8" s="688" t="s">
        <v>305</v>
      </c>
      <c r="H8" s="291" t="s">
        <v>306</v>
      </c>
      <c r="I8" s="676" t="s">
        <v>307</v>
      </c>
      <c r="J8" s="291" t="s">
        <v>308</v>
      </c>
      <c r="K8" s="669" t="s">
        <v>309</v>
      </c>
      <c r="L8" s="291" t="s">
        <v>310</v>
      </c>
      <c r="M8" s="2395" t="s">
        <v>311</v>
      </c>
      <c r="N8" s="688" t="s">
        <v>312</v>
      </c>
      <c r="O8" s="396" t="s">
        <v>313</v>
      </c>
      <c r="P8" s="688" t="s">
        <v>314</v>
      </c>
      <c r="Q8" s="396" t="s">
        <v>315</v>
      </c>
      <c r="R8" s="676" t="s">
        <v>316</v>
      </c>
      <c r="S8" s="291" t="s">
        <v>317</v>
      </c>
      <c r="T8" s="669" t="s">
        <v>318</v>
      </c>
      <c r="U8" s="291" t="s">
        <v>319</v>
      </c>
      <c r="V8" s="676" t="s">
        <v>320</v>
      </c>
      <c r="W8" s="396" t="s">
        <v>321</v>
      </c>
      <c r="X8" s="688" t="s">
        <v>322</v>
      </c>
      <c r="Y8" s="688" t="s">
        <v>323</v>
      </c>
      <c r="Z8" s="690" t="s">
        <v>324</v>
      </c>
    </row>
    <row r="9" spans="1:26" s="214" customFormat="1" ht="13.5" hidden="1" thickBot="1">
      <c r="A9" s="72"/>
      <c r="B9" s="695"/>
      <c r="C9" s="234"/>
      <c r="D9" s="215"/>
      <c r="E9" s="689"/>
      <c r="F9" s="233"/>
      <c r="G9" s="689"/>
      <c r="H9" s="232"/>
      <c r="I9" s="677"/>
      <c r="J9" s="705"/>
      <c r="K9" s="670"/>
      <c r="L9" s="234"/>
      <c r="M9" s="215"/>
      <c r="N9" s="689"/>
      <c r="O9" s="233"/>
      <c r="P9" s="689"/>
      <c r="Q9" s="232"/>
      <c r="R9" s="677"/>
      <c r="S9" s="705"/>
      <c r="T9" s="670"/>
      <c r="U9" s="234"/>
      <c r="V9" s="677"/>
      <c r="W9" s="233"/>
      <c r="X9" s="689"/>
      <c r="Y9" s="689"/>
      <c r="Z9" s="300"/>
    </row>
    <row r="10" spans="1:26" s="227" customFormat="1">
      <c r="A10" s="2739">
        <v>1970.1</v>
      </c>
      <c r="B10" s="2740">
        <v>274720.73681015288</v>
      </c>
      <c r="C10" s="2741"/>
      <c r="D10" s="2742"/>
      <c r="E10" s="2743"/>
      <c r="F10" s="2744"/>
      <c r="G10" s="2743"/>
      <c r="H10" s="2745"/>
      <c r="I10" s="2746"/>
      <c r="J10" s="2741"/>
      <c r="K10" s="2747"/>
      <c r="L10" s="2741"/>
      <c r="M10" s="2742"/>
      <c r="N10" s="2743"/>
      <c r="O10" s="2744"/>
      <c r="P10" s="2743"/>
      <c r="Q10" s="2745"/>
      <c r="R10" s="2746"/>
      <c r="S10" s="2741"/>
      <c r="T10" s="2747"/>
      <c r="U10" s="2741"/>
      <c r="V10" s="2746"/>
      <c r="W10" s="2744"/>
      <c r="X10" s="2743"/>
      <c r="Y10" s="2743"/>
      <c r="Z10" s="2748"/>
    </row>
    <row r="11" spans="1:26" s="227" customFormat="1">
      <c r="A11" s="231">
        <v>1970.2</v>
      </c>
      <c r="B11" s="3045">
        <v>293673.71599195147</v>
      </c>
      <c r="C11" s="292"/>
      <c r="D11" s="696"/>
      <c r="E11" s="3046"/>
      <c r="F11" s="682"/>
      <c r="G11" s="3046"/>
      <c r="H11" s="702"/>
      <c r="I11" s="678"/>
      <c r="J11" s="292"/>
      <c r="K11" s="671"/>
      <c r="L11" s="292"/>
      <c r="M11" s="696"/>
      <c r="N11" s="3046"/>
      <c r="O11" s="682"/>
      <c r="P11" s="3046"/>
      <c r="Q11" s="702"/>
      <c r="R11" s="678"/>
      <c r="S11" s="292"/>
      <c r="T11" s="671"/>
      <c r="U11" s="292"/>
      <c r="V11" s="678"/>
      <c r="W11" s="682"/>
      <c r="X11" s="3046"/>
      <c r="Y11" s="3046"/>
      <c r="Z11" s="691"/>
    </row>
    <row r="12" spans="1:26" s="227" customFormat="1">
      <c r="A12" s="231">
        <v>1970.3</v>
      </c>
      <c r="B12" s="3045">
        <v>286997.61516600079</v>
      </c>
      <c r="C12" s="292"/>
      <c r="D12" s="696"/>
      <c r="E12" s="3046"/>
      <c r="F12" s="682"/>
      <c r="G12" s="3046"/>
      <c r="H12" s="702"/>
      <c r="I12" s="678"/>
      <c r="J12" s="292"/>
      <c r="K12" s="671"/>
      <c r="L12" s="292"/>
      <c r="M12" s="696"/>
      <c r="N12" s="3046"/>
      <c r="O12" s="682"/>
      <c r="P12" s="3046"/>
      <c r="Q12" s="702"/>
      <c r="R12" s="678"/>
      <c r="S12" s="292"/>
      <c r="T12" s="671"/>
      <c r="U12" s="292"/>
      <c r="V12" s="678"/>
      <c r="W12" s="682"/>
      <c r="X12" s="3046"/>
      <c r="Y12" s="3046"/>
      <c r="Z12" s="691"/>
    </row>
    <row r="13" spans="1:26" s="227" customFormat="1">
      <c r="A13" s="231">
        <v>1970.4</v>
      </c>
      <c r="B13" s="3045">
        <v>284846.96857389406</v>
      </c>
      <c r="C13" s="292"/>
      <c r="D13" s="696"/>
      <c r="E13" s="3046"/>
      <c r="F13" s="682"/>
      <c r="G13" s="3046"/>
      <c r="H13" s="702"/>
      <c r="I13" s="678"/>
      <c r="J13" s="292"/>
      <c r="K13" s="671"/>
      <c r="L13" s="292"/>
      <c r="M13" s="696"/>
      <c r="N13" s="3046"/>
      <c r="O13" s="682"/>
      <c r="P13" s="3046"/>
      <c r="Q13" s="702"/>
      <c r="R13" s="678"/>
      <c r="S13" s="292"/>
      <c r="T13" s="671"/>
      <c r="U13" s="292"/>
      <c r="V13" s="678"/>
      <c r="W13" s="682"/>
      <c r="X13" s="3046"/>
      <c r="Y13" s="3046"/>
      <c r="Z13" s="691"/>
    </row>
    <row r="14" spans="1:26" s="227" customFormat="1">
      <c r="A14" s="231">
        <v>1971.1</v>
      </c>
      <c r="B14" s="3045">
        <v>279343.65236992302</v>
      </c>
      <c r="C14" s="292"/>
      <c r="D14" s="696"/>
      <c r="E14" s="3046"/>
      <c r="F14" s="682"/>
      <c r="G14" s="3046"/>
      <c r="H14" s="702"/>
      <c r="I14" s="678"/>
      <c r="J14" s="292"/>
      <c r="K14" s="671"/>
      <c r="L14" s="292"/>
      <c r="M14" s="696"/>
      <c r="N14" s="3046"/>
      <c r="O14" s="682"/>
      <c r="P14" s="3046"/>
      <c r="Q14" s="702"/>
      <c r="R14" s="678"/>
      <c r="S14" s="292"/>
      <c r="T14" s="671"/>
      <c r="U14" s="292"/>
      <c r="V14" s="678"/>
      <c r="W14" s="682"/>
      <c r="X14" s="3046"/>
      <c r="Y14" s="3046"/>
      <c r="Z14" s="691"/>
    </row>
    <row r="15" spans="1:26" s="227" customFormat="1">
      <c r="A15" s="231">
        <v>1971.2</v>
      </c>
      <c r="B15" s="3045">
        <v>307042.16119817371</v>
      </c>
      <c r="C15" s="292"/>
      <c r="D15" s="696"/>
      <c r="E15" s="3046"/>
      <c r="F15" s="682"/>
      <c r="G15" s="3046"/>
      <c r="H15" s="702"/>
      <c r="I15" s="678"/>
      <c r="J15" s="292"/>
      <c r="K15" s="671"/>
      <c r="L15" s="292"/>
      <c r="M15" s="696"/>
      <c r="N15" s="3046"/>
      <c r="O15" s="682"/>
      <c r="P15" s="3046"/>
      <c r="Q15" s="702"/>
      <c r="R15" s="678"/>
      <c r="S15" s="292"/>
      <c r="T15" s="671"/>
      <c r="U15" s="292"/>
      <c r="V15" s="678"/>
      <c r="W15" s="682"/>
      <c r="X15" s="3046"/>
      <c r="Y15" s="3046"/>
      <c r="Z15" s="691"/>
    </row>
    <row r="16" spans="1:26" s="227" customFormat="1">
      <c r="A16" s="231">
        <v>1971.3</v>
      </c>
      <c r="B16" s="3045">
        <v>299264.74738925602</v>
      </c>
      <c r="C16" s="292"/>
      <c r="D16" s="696"/>
      <c r="E16" s="3046"/>
      <c r="F16" s="682"/>
      <c r="G16" s="3046"/>
      <c r="H16" s="702"/>
      <c r="I16" s="678"/>
      <c r="J16" s="292"/>
      <c r="K16" s="671"/>
      <c r="L16" s="292"/>
      <c r="M16" s="696"/>
      <c r="N16" s="3046"/>
      <c r="O16" s="682"/>
      <c r="P16" s="3046"/>
      <c r="Q16" s="702"/>
      <c r="R16" s="678"/>
      <c r="S16" s="292"/>
      <c r="T16" s="671"/>
      <c r="U16" s="292"/>
      <c r="V16" s="678"/>
      <c r="W16" s="682"/>
      <c r="X16" s="3046"/>
      <c r="Y16" s="3046"/>
      <c r="Z16" s="691"/>
    </row>
    <row r="17" spans="1:26" s="227" customFormat="1">
      <c r="A17" s="231">
        <v>1971.4</v>
      </c>
      <c r="B17" s="3045">
        <v>297477.95641394076</v>
      </c>
      <c r="C17" s="292"/>
      <c r="D17" s="696"/>
      <c r="E17" s="3046"/>
      <c r="F17" s="682"/>
      <c r="G17" s="3046"/>
      <c r="H17" s="702"/>
      <c r="I17" s="678"/>
      <c r="J17" s="292"/>
      <c r="K17" s="671"/>
      <c r="L17" s="292"/>
      <c r="M17" s="696"/>
      <c r="N17" s="3046"/>
      <c r="O17" s="682"/>
      <c r="P17" s="3046"/>
      <c r="Q17" s="702"/>
      <c r="R17" s="678"/>
      <c r="S17" s="292"/>
      <c r="T17" s="671"/>
      <c r="U17" s="292"/>
      <c r="V17" s="678"/>
      <c r="W17" s="682"/>
      <c r="X17" s="3046"/>
      <c r="Y17" s="3046"/>
      <c r="Z17" s="691"/>
    </row>
    <row r="18" spans="1:26" s="227" customFormat="1">
      <c r="A18" s="231">
        <v>1972.1</v>
      </c>
      <c r="B18" s="3045">
        <v>286838.42833365448</v>
      </c>
      <c r="C18" s="292"/>
      <c r="D18" s="696"/>
      <c r="E18" s="3046"/>
      <c r="F18" s="682"/>
      <c r="G18" s="3046"/>
      <c r="H18" s="702"/>
      <c r="I18" s="678"/>
      <c r="J18" s="292"/>
      <c r="K18" s="671"/>
      <c r="L18" s="292"/>
      <c r="M18" s="696"/>
      <c r="N18" s="3046"/>
      <c r="O18" s="682"/>
      <c r="P18" s="3046"/>
      <c r="Q18" s="702"/>
      <c r="R18" s="678"/>
      <c r="S18" s="292"/>
      <c r="T18" s="671"/>
      <c r="U18" s="292"/>
      <c r="V18" s="678"/>
      <c r="W18" s="682"/>
      <c r="X18" s="3046"/>
      <c r="Y18" s="3046"/>
      <c r="Z18" s="691"/>
    </row>
    <row r="19" spans="1:26" s="227" customFormat="1">
      <c r="A19" s="231">
        <v>1972.2</v>
      </c>
      <c r="B19" s="3045">
        <v>303299.64628260431</v>
      </c>
      <c r="C19" s="292"/>
      <c r="D19" s="696"/>
      <c r="E19" s="3046"/>
      <c r="F19" s="682"/>
      <c r="G19" s="3046"/>
      <c r="H19" s="702"/>
      <c r="I19" s="678"/>
      <c r="J19" s="292"/>
      <c r="K19" s="671"/>
      <c r="L19" s="292"/>
      <c r="M19" s="696"/>
      <c r="N19" s="3046"/>
      <c r="O19" s="682"/>
      <c r="P19" s="3046"/>
      <c r="Q19" s="702"/>
      <c r="R19" s="678"/>
      <c r="S19" s="292"/>
      <c r="T19" s="671"/>
      <c r="U19" s="292"/>
      <c r="V19" s="678"/>
      <c r="W19" s="682"/>
      <c r="X19" s="3046"/>
      <c r="Y19" s="3046"/>
      <c r="Z19" s="691"/>
    </row>
    <row r="20" spans="1:26" s="227" customFormat="1">
      <c r="A20" s="231">
        <v>1972.3</v>
      </c>
      <c r="B20" s="3045">
        <v>306691.30042483914</v>
      </c>
      <c r="C20" s="292"/>
      <c r="D20" s="696"/>
      <c r="E20" s="3046"/>
      <c r="F20" s="682"/>
      <c r="G20" s="3046"/>
      <c r="H20" s="702"/>
      <c r="I20" s="678"/>
      <c r="J20" s="292"/>
      <c r="K20" s="671"/>
      <c r="L20" s="292"/>
      <c r="M20" s="696"/>
      <c r="N20" s="3046"/>
      <c r="O20" s="682"/>
      <c r="P20" s="3046"/>
      <c r="Q20" s="702"/>
      <c r="R20" s="678"/>
      <c r="S20" s="292"/>
      <c r="T20" s="671"/>
      <c r="U20" s="292"/>
      <c r="V20" s="678"/>
      <c r="W20" s="682"/>
      <c r="X20" s="3046"/>
      <c r="Y20" s="3046"/>
      <c r="Z20" s="691"/>
    </row>
    <row r="21" spans="1:26" s="227" customFormat="1">
      <c r="A21" s="231">
        <v>1972.4</v>
      </c>
      <c r="B21" s="3045">
        <v>310878.88872880529</v>
      </c>
      <c r="C21" s="292"/>
      <c r="D21" s="696"/>
      <c r="E21" s="3046"/>
      <c r="F21" s="682"/>
      <c r="G21" s="3046"/>
      <c r="H21" s="702"/>
      <c r="I21" s="678"/>
      <c r="J21" s="292"/>
      <c r="K21" s="671"/>
      <c r="L21" s="292"/>
      <c r="M21" s="696"/>
      <c r="N21" s="3046"/>
      <c r="O21" s="682"/>
      <c r="P21" s="3046"/>
      <c r="Q21" s="702"/>
      <c r="R21" s="678"/>
      <c r="S21" s="292"/>
      <c r="T21" s="671"/>
      <c r="U21" s="292"/>
      <c r="V21" s="678"/>
      <c r="W21" s="682"/>
      <c r="X21" s="3046"/>
      <c r="Y21" s="3046"/>
      <c r="Z21" s="691"/>
    </row>
    <row r="22" spans="1:26" s="227" customFormat="1">
      <c r="A22" s="231">
        <v>1973.1</v>
      </c>
      <c r="B22" s="3045">
        <v>297656.63551147241</v>
      </c>
      <c r="C22" s="292"/>
      <c r="D22" s="696"/>
      <c r="E22" s="3046"/>
      <c r="F22" s="682"/>
      <c r="G22" s="3046"/>
      <c r="H22" s="702"/>
      <c r="I22" s="678"/>
      <c r="J22" s="292"/>
      <c r="K22" s="671"/>
      <c r="L22" s="292"/>
      <c r="M22" s="696"/>
      <c r="N22" s="3046"/>
      <c r="O22" s="682"/>
      <c r="P22" s="3046"/>
      <c r="Q22" s="702"/>
      <c r="R22" s="678"/>
      <c r="S22" s="292"/>
      <c r="T22" s="671"/>
      <c r="U22" s="292"/>
      <c r="V22" s="678"/>
      <c r="W22" s="682"/>
      <c r="X22" s="3046"/>
      <c r="Y22" s="3046"/>
      <c r="Z22" s="691"/>
    </row>
    <row r="23" spans="1:26" s="227" customFormat="1">
      <c r="A23" s="231">
        <v>1973.2</v>
      </c>
      <c r="B23" s="3045">
        <v>316177.53614833107</v>
      </c>
      <c r="C23" s="292"/>
      <c r="D23" s="696"/>
      <c r="E23" s="3046"/>
      <c r="F23" s="682"/>
      <c r="G23" s="3046"/>
      <c r="H23" s="702"/>
      <c r="I23" s="678"/>
      <c r="J23" s="292"/>
      <c r="K23" s="671"/>
      <c r="L23" s="292"/>
      <c r="M23" s="696"/>
      <c r="N23" s="3046"/>
      <c r="O23" s="682"/>
      <c r="P23" s="3046"/>
      <c r="Q23" s="702"/>
      <c r="R23" s="678"/>
      <c r="S23" s="292"/>
      <c r="T23" s="671"/>
      <c r="U23" s="292"/>
      <c r="V23" s="678"/>
      <c r="W23" s="682"/>
      <c r="X23" s="3046"/>
      <c r="Y23" s="3046"/>
      <c r="Z23" s="691"/>
    </row>
    <row r="24" spans="1:26" s="227" customFormat="1">
      <c r="A24" s="231">
        <v>1973.3</v>
      </c>
      <c r="B24" s="3045">
        <v>311431.16957572091</v>
      </c>
      <c r="C24" s="292"/>
      <c r="D24" s="696"/>
      <c r="E24" s="3046"/>
      <c r="F24" s="682"/>
      <c r="G24" s="3046"/>
      <c r="H24" s="702"/>
      <c r="I24" s="678"/>
      <c r="J24" s="292"/>
      <c r="K24" s="671"/>
      <c r="L24" s="292"/>
      <c r="M24" s="696"/>
      <c r="N24" s="3046"/>
      <c r="O24" s="682"/>
      <c r="P24" s="3046"/>
      <c r="Q24" s="702"/>
      <c r="R24" s="678"/>
      <c r="S24" s="292"/>
      <c r="T24" s="671"/>
      <c r="U24" s="292"/>
      <c r="V24" s="678"/>
      <c r="W24" s="682"/>
      <c r="X24" s="3046"/>
      <c r="Y24" s="3046"/>
      <c r="Z24" s="691"/>
    </row>
    <row r="25" spans="1:26" s="227" customFormat="1">
      <c r="A25" s="231">
        <v>1973.4</v>
      </c>
      <c r="B25" s="3045">
        <v>327668.2264750402</v>
      </c>
      <c r="C25" s="292"/>
      <c r="D25" s="696"/>
      <c r="E25" s="3046"/>
      <c r="F25" s="682"/>
      <c r="G25" s="3046"/>
      <c r="H25" s="702"/>
      <c r="I25" s="678"/>
      <c r="J25" s="292"/>
      <c r="K25" s="671"/>
      <c r="L25" s="292"/>
      <c r="M25" s="696"/>
      <c r="N25" s="3046"/>
      <c r="O25" s="682"/>
      <c r="P25" s="3046"/>
      <c r="Q25" s="702"/>
      <c r="R25" s="678"/>
      <c r="S25" s="292"/>
      <c r="T25" s="671"/>
      <c r="U25" s="292"/>
      <c r="V25" s="678"/>
      <c r="W25" s="682"/>
      <c r="X25" s="3046"/>
      <c r="Y25" s="3046"/>
      <c r="Z25" s="691"/>
    </row>
    <row r="26" spans="1:26" s="227" customFormat="1">
      <c r="A26" s="231">
        <v>1974.1</v>
      </c>
      <c r="B26" s="3045">
        <v>317571.23310907691</v>
      </c>
      <c r="C26" s="292"/>
      <c r="D26" s="696"/>
      <c r="E26" s="3046"/>
      <c r="F26" s="682"/>
      <c r="G26" s="3046"/>
      <c r="H26" s="702"/>
      <c r="I26" s="678"/>
      <c r="J26" s="292"/>
      <c r="K26" s="671"/>
      <c r="L26" s="292"/>
      <c r="M26" s="696"/>
      <c r="N26" s="3046"/>
      <c r="O26" s="682"/>
      <c r="P26" s="3046"/>
      <c r="Q26" s="702"/>
      <c r="R26" s="678"/>
      <c r="S26" s="292"/>
      <c r="T26" s="671"/>
      <c r="U26" s="292"/>
      <c r="V26" s="678"/>
      <c r="W26" s="682"/>
      <c r="X26" s="3046"/>
      <c r="Y26" s="3046"/>
      <c r="Z26" s="691"/>
    </row>
    <row r="27" spans="1:26" s="227" customFormat="1">
      <c r="A27" s="231">
        <v>1974.2</v>
      </c>
      <c r="B27" s="3045">
        <v>336774.36302741955</v>
      </c>
      <c r="C27" s="292"/>
      <c r="D27" s="696"/>
      <c r="E27" s="3046"/>
      <c r="F27" s="682"/>
      <c r="G27" s="3046"/>
      <c r="H27" s="702"/>
      <c r="I27" s="678"/>
      <c r="J27" s="292"/>
      <c r="K27" s="671"/>
      <c r="L27" s="292"/>
      <c r="M27" s="696"/>
      <c r="N27" s="3046"/>
      <c r="O27" s="682"/>
      <c r="P27" s="3046"/>
      <c r="Q27" s="702"/>
      <c r="R27" s="678"/>
      <c r="S27" s="292"/>
      <c r="T27" s="671"/>
      <c r="U27" s="292"/>
      <c r="V27" s="678"/>
      <c r="W27" s="682"/>
      <c r="X27" s="3046"/>
      <c r="Y27" s="3046"/>
      <c r="Z27" s="691"/>
    </row>
    <row r="28" spans="1:26" s="227" customFormat="1">
      <c r="A28" s="231">
        <v>1974.3</v>
      </c>
      <c r="B28" s="3045">
        <v>328317.96864788199</v>
      </c>
      <c r="C28" s="292"/>
      <c r="D28" s="696"/>
      <c r="E28" s="3046"/>
      <c r="F28" s="682"/>
      <c r="G28" s="3046"/>
      <c r="H28" s="702"/>
      <c r="I28" s="678"/>
      <c r="J28" s="292"/>
      <c r="K28" s="671"/>
      <c r="L28" s="292"/>
      <c r="M28" s="696"/>
      <c r="N28" s="3046"/>
      <c r="O28" s="682"/>
      <c r="P28" s="3046"/>
      <c r="Q28" s="702"/>
      <c r="R28" s="678"/>
      <c r="S28" s="292"/>
      <c r="T28" s="671"/>
      <c r="U28" s="292"/>
      <c r="V28" s="678"/>
      <c r="W28" s="682"/>
      <c r="X28" s="3046"/>
      <c r="Y28" s="3046"/>
      <c r="Z28" s="691"/>
    </row>
    <row r="29" spans="1:26" s="227" customFormat="1">
      <c r="A29" s="231">
        <v>1974.4</v>
      </c>
      <c r="B29" s="3045">
        <v>338005.62444495491</v>
      </c>
      <c r="C29" s="292"/>
      <c r="D29" s="696"/>
      <c r="E29" s="3046"/>
      <c r="F29" s="682"/>
      <c r="G29" s="3046"/>
      <c r="H29" s="702"/>
      <c r="I29" s="678"/>
      <c r="J29" s="292"/>
      <c r="K29" s="671"/>
      <c r="L29" s="292"/>
      <c r="M29" s="696"/>
      <c r="N29" s="3046"/>
      <c r="O29" s="682"/>
      <c r="P29" s="3046"/>
      <c r="Q29" s="702"/>
      <c r="R29" s="678"/>
      <c r="S29" s="292"/>
      <c r="T29" s="671"/>
      <c r="U29" s="292"/>
      <c r="V29" s="678"/>
      <c r="W29" s="682"/>
      <c r="X29" s="3046"/>
      <c r="Y29" s="3046"/>
      <c r="Z29" s="691"/>
    </row>
    <row r="30" spans="1:26" s="227" customFormat="1">
      <c r="A30" s="231">
        <v>1975.1</v>
      </c>
      <c r="B30" s="3045">
        <v>322824.39857650368</v>
      </c>
      <c r="C30" s="292"/>
      <c r="D30" s="696"/>
      <c r="E30" s="3046"/>
      <c r="F30" s="682"/>
      <c r="G30" s="3046"/>
      <c r="H30" s="702"/>
      <c r="I30" s="678"/>
      <c r="J30" s="292"/>
      <c r="K30" s="671"/>
      <c r="L30" s="292"/>
      <c r="M30" s="696"/>
      <c r="N30" s="3046"/>
      <c r="O30" s="682"/>
      <c r="P30" s="3046"/>
      <c r="Q30" s="702"/>
      <c r="R30" s="678"/>
      <c r="S30" s="292"/>
      <c r="T30" s="671"/>
      <c r="U30" s="292"/>
      <c r="V30" s="678"/>
      <c r="W30" s="682"/>
      <c r="X30" s="3046"/>
      <c r="Y30" s="3046"/>
      <c r="Z30" s="691"/>
    </row>
    <row r="31" spans="1:26" s="227" customFormat="1">
      <c r="A31" s="231">
        <v>1975.2</v>
      </c>
      <c r="B31" s="3045">
        <v>337794.45823878126</v>
      </c>
      <c r="C31" s="292"/>
      <c r="D31" s="696"/>
      <c r="E31" s="3046"/>
      <c r="F31" s="682"/>
      <c r="G31" s="3046"/>
      <c r="H31" s="702"/>
      <c r="I31" s="678"/>
      <c r="J31" s="292"/>
      <c r="K31" s="671"/>
      <c r="L31" s="292"/>
      <c r="M31" s="696"/>
      <c r="N31" s="3046"/>
      <c r="O31" s="682"/>
      <c r="P31" s="3046"/>
      <c r="Q31" s="702"/>
      <c r="R31" s="678"/>
      <c r="S31" s="292"/>
      <c r="T31" s="671"/>
      <c r="U31" s="292"/>
      <c r="V31" s="678"/>
      <c r="W31" s="682"/>
      <c r="X31" s="3046"/>
      <c r="Y31" s="3046"/>
      <c r="Z31" s="691"/>
    </row>
    <row r="32" spans="1:26" s="227" customFormat="1">
      <c r="A32" s="231">
        <v>1975.3</v>
      </c>
      <c r="B32" s="3045">
        <v>322171.40769279754</v>
      </c>
      <c r="C32" s="292"/>
      <c r="D32" s="696"/>
      <c r="E32" s="3046"/>
      <c r="F32" s="682"/>
      <c r="G32" s="3046"/>
      <c r="H32" s="702"/>
      <c r="I32" s="678"/>
      <c r="J32" s="292"/>
      <c r="K32" s="671"/>
      <c r="L32" s="292"/>
      <c r="M32" s="696"/>
      <c r="N32" s="3046"/>
      <c r="O32" s="682"/>
      <c r="P32" s="3046"/>
      <c r="Q32" s="702"/>
      <c r="R32" s="678"/>
      <c r="S32" s="292"/>
      <c r="T32" s="671"/>
      <c r="U32" s="292"/>
      <c r="V32" s="678"/>
      <c r="W32" s="682"/>
      <c r="X32" s="3046"/>
      <c r="Y32" s="3046"/>
      <c r="Z32" s="691"/>
    </row>
    <row r="33" spans="1:26" s="227" customFormat="1">
      <c r="A33" s="231">
        <v>1975.4</v>
      </c>
      <c r="B33" s="3045">
        <v>330046.28282764158</v>
      </c>
      <c r="C33" s="292"/>
      <c r="D33" s="696"/>
      <c r="E33" s="3046"/>
      <c r="F33" s="682"/>
      <c r="G33" s="3046"/>
      <c r="H33" s="702"/>
      <c r="I33" s="678"/>
      <c r="J33" s="292"/>
      <c r="K33" s="671"/>
      <c r="L33" s="292"/>
      <c r="M33" s="696"/>
      <c r="N33" s="3046"/>
      <c r="O33" s="682"/>
      <c r="P33" s="3046"/>
      <c r="Q33" s="702"/>
      <c r="R33" s="678"/>
      <c r="S33" s="292"/>
      <c r="T33" s="671"/>
      <c r="U33" s="292"/>
      <c r="V33" s="678"/>
      <c r="W33" s="682"/>
      <c r="X33" s="3046"/>
      <c r="Y33" s="3046"/>
      <c r="Z33" s="691"/>
    </row>
    <row r="34" spans="1:26" s="227" customFormat="1">
      <c r="A34" s="231">
        <v>1976.1</v>
      </c>
      <c r="B34" s="3045">
        <v>319289.80115624366</v>
      </c>
      <c r="C34" s="292"/>
      <c r="D34" s="696"/>
      <c r="E34" s="3046"/>
      <c r="F34" s="682"/>
      <c r="G34" s="3046"/>
      <c r="H34" s="702"/>
      <c r="I34" s="678"/>
      <c r="J34" s="292"/>
      <c r="K34" s="671"/>
      <c r="L34" s="292"/>
      <c r="M34" s="696"/>
      <c r="N34" s="3046"/>
      <c r="O34" s="682"/>
      <c r="P34" s="3046"/>
      <c r="Q34" s="702"/>
      <c r="R34" s="678"/>
      <c r="S34" s="292"/>
      <c r="T34" s="671"/>
      <c r="U34" s="292"/>
      <c r="V34" s="678"/>
      <c r="W34" s="682"/>
      <c r="X34" s="3046"/>
      <c r="Y34" s="3046"/>
      <c r="Z34" s="691"/>
    </row>
    <row r="35" spans="1:26" s="227" customFormat="1">
      <c r="A35" s="231">
        <v>1976.2</v>
      </c>
      <c r="B35" s="3045">
        <v>328954.71597726707</v>
      </c>
      <c r="C35" s="292"/>
      <c r="D35" s="696"/>
      <c r="E35" s="3046"/>
      <c r="F35" s="682"/>
      <c r="G35" s="3046"/>
      <c r="H35" s="702"/>
      <c r="I35" s="678"/>
      <c r="J35" s="292"/>
      <c r="K35" s="671"/>
      <c r="L35" s="292"/>
      <c r="M35" s="696"/>
      <c r="N35" s="3046"/>
      <c r="O35" s="682"/>
      <c r="P35" s="3046"/>
      <c r="Q35" s="702"/>
      <c r="R35" s="678"/>
      <c r="S35" s="292"/>
      <c r="T35" s="671"/>
      <c r="U35" s="292"/>
      <c r="V35" s="678"/>
      <c r="W35" s="682"/>
      <c r="X35" s="3046"/>
      <c r="Y35" s="3046"/>
      <c r="Z35" s="691"/>
    </row>
    <row r="36" spans="1:26" s="227" customFormat="1">
      <c r="A36" s="231">
        <v>1976.3</v>
      </c>
      <c r="B36" s="3045">
        <v>329916.33439307311</v>
      </c>
      <c r="C36" s="292"/>
      <c r="D36" s="696"/>
      <c r="E36" s="3046"/>
      <c r="F36" s="682"/>
      <c r="G36" s="3046"/>
      <c r="H36" s="702"/>
      <c r="I36" s="678"/>
      <c r="J36" s="292"/>
      <c r="K36" s="671"/>
      <c r="L36" s="292"/>
      <c r="M36" s="696"/>
      <c r="N36" s="3046"/>
      <c r="O36" s="682"/>
      <c r="P36" s="3046"/>
      <c r="Q36" s="702"/>
      <c r="R36" s="678"/>
      <c r="S36" s="292"/>
      <c r="T36" s="671"/>
      <c r="U36" s="292"/>
      <c r="V36" s="678"/>
      <c r="W36" s="682"/>
      <c r="X36" s="3046"/>
      <c r="Y36" s="3046"/>
      <c r="Z36" s="691"/>
    </row>
    <row r="37" spans="1:26" s="227" customFormat="1">
      <c r="A37" s="231">
        <v>1976.4</v>
      </c>
      <c r="B37" s="3045">
        <v>334516.50897679379</v>
      </c>
      <c r="C37" s="292"/>
      <c r="D37" s="696"/>
      <c r="E37" s="3046"/>
      <c r="F37" s="682"/>
      <c r="G37" s="3046"/>
      <c r="H37" s="702"/>
      <c r="I37" s="678"/>
      <c r="J37" s="292"/>
      <c r="K37" s="671"/>
      <c r="L37" s="292"/>
      <c r="M37" s="696"/>
      <c r="N37" s="3046"/>
      <c r="O37" s="682"/>
      <c r="P37" s="3046"/>
      <c r="Q37" s="702"/>
      <c r="R37" s="678"/>
      <c r="S37" s="292"/>
      <c r="T37" s="671"/>
      <c r="U37" s="292"/>
      <c r="V37" s="678"/>
      <c r="W37" s="682"/>
      <c r="X37" s="3046"/>
      <c r="Y37" s="3046"/>
      <c r="Z37" s="691"/>
    </row>
    <row r="38" spans="1:26" s="227" customFormat="1">
      <c r="A38" s="231">
        <v>1977.1</v>
      </c>
      <c r="B38" s="3045">
        <v>333324.23208962893</v>
      </c>
      <c r="C38" s="292"/>
      <c r="D38" s="696"/>
      <c r="E38" s="3046"/>
      <c r="F38" s="682"/>
      <c r="G38" s="3046"/>
      <c r="H38" s="702"/>
      <c r="I38" s="678"/>
      <c r="J38" s="292"/>
      <c r="K38" s="671"/>
      <c r="L38" s="292"/>
      <c r="M38" s="696"/>
      <c r="N38" s="3046"/>
      <c r="O38" s="682"/>
      <c r="P38" s="3046"/>
      <c r="Q38" s="702"/>
      <c r="R38" s="678"/>
      <c r="S38" s="292"/>
      <c r="T38" s="671"/>
      <c r="U38" s="292"/>
      <c r="V38" s="678"/>
      <c r="W38" s="682"/>
      <c r="X38" s="3046"/>
      <c r="Y38" s="3046"/>
      <c r="Z38" s="691"/>
    </row>
    <row r="39" spans="1:26" s="227" customFormat="1">
      <c r="A39" s="231">
        <v>1977.2</v>
      </c>
      <c r="B39" s="3045">
        <v>354687.75473267102</v>
      </c>
      <c r="C39" s="292"/>
      <c r="D39" s="696"/>
      <c r="E39" s="3046"/>
      <c r="F39" s="682"/>
      <c r="G39" s="3046"/>
      <c r="H39" s="702"/>
      <c r="I39" s="678"/>
      <c r="J39" s="292"/>
      <c r="K39" s="671"/>
      <c r="L39" s="292"/>
      <c r="M39" s="696"/>
      <c r="N39" s="3046"/>
      <c r="O39" s="682"/>
      <c r="P39" s="3046"/>
      <c r="Q39" s="702"/>
      <c r="R39" s="678"/>
      <c r="S39" s="292"/>
      <c r="T39" s="671"/>
      <c r="U39" s="292"/>
      <c r="V39" s="678"/>
      <c r="W39" s="682"/>
      <c r="X39" s="3046"/>
      <c r="Y39" s="3046"/>
      <c r="Z39" s="691"/>
    </row>
    <row r="40" spans="1:26" s="227" customFormat="1">
      <c r="A40" s="231">
        <v>1977.3</v>
      </c>
      <c r="B40" s="3045">
        <v>361155.93806331232</v>
      </c>
      <c r="C40" s="292"/>
      <c r="D40" s="696"/>
      <c r="E40" s="3046"/>
      <c r="F40" s="682"/>
      <c r="G40" s="3046"/>
      <c r="H40" s="702"/>
      <c r="I40" s="678"/>
      <c r="J40" s="292"/>
      <c r="K40" s="671"/>
      <c r="L40" s="292"/>
      <c r="M40" s="696"/>
      <c r="N40" s="3046"/>
      <c r="O40" s="682"/>
      <c r="P40" s="3046"/>
      <c r="Q40" s="702"/>
      <c r="R40" s="678"/>
      <c r="S40" s="292"/>
      <c r="T40" s="671"/>
      <c r="U40" s="292"/>
      <c r="V40" s="678"/>
      <c r="W40" s="682"/>
      <c r="X40" s="3046"/>
      <c r="Y40" s="3046"/>
      <c r="Z40" s="691"/>
    </row>
    <row r="41" spans="1:26" s="227" customFormat="1">
      <c r="A41" s="231">
        <v>1977.4</v>
      </c>
      <c r="B41" s="3045">
        <v>347326.17591437226</v>
      </c>
      <c r="C41" s="292"/>
      <c r="D41" s="696"/>
      <c r="E41" s="3046"/>
      <c r="F41" s="682"/>
      <c r="G41" s="3046"/>
      <c r="H41" s="702"/>
      <c r="I41" s="678"/>
      <c r="J41" s="292"/>
      <c r="K41" s="671"/>
      <c r="L41" s="292"/>
      <c r="M41" s="696"/>
      <c r="N41" s="3046"/>
      <c r="O41" s="682"/>
      <c r="P41" s="3046"/>
      <c r="Q41" s="702"/>
      <c r="R41" s="678"/>
      <c r="S41" s="292"/>
      <c r="T41" s="671"/>
      <c r="U41" s="292"/>
      <c r="V41" s="678"/>
      <c r="W41" s="682"/>
      <c r="X41" s="3046"/>
      <c r="Y41" s="3046"/>
      <c r="Z41" s="691"/>
    </row>
    <row r="42" spans="1:26" s="227" customFormat="1">
      <c r="A42" s="231">
        <v>1978.1</v>
      </c>
      <c r="B42" s="3045">
        <v>317805.14029130002</v>
      </c>
      <c r="C42" s="292"/>
      <c r="D42" s="696"/>
      <c r="E42" s="3046"/>
      <c r="F42" s="682"/>
      <c r="G42" s="3046"/>
      <c r="H42" s="702"/>
      <c r="I42" s="678"/>
      <c r="J42" s="292"/>
      <c r="K42" s="671"/>
      <c r="L42" s="292"/>
      <c r="M42" s="696"/>
      <c r="N42" s="3046"/>
      <c r="O42" s="682"/>
      <c r="P42" s="3046"/>
      <c r="Q42" s="702"/>
      <c r="R42" s="678"/>
      <c r="S42" s="292"/>
      <c r="T42" s="671"/>
      <c r="U42" s="292"/>
      <c r="V42" s="678"/>
      <c r="W42" s="682"/>
      <c r="X42" s="3046"/>
      <c r="Y42" s="3046"/>
      <c r="Z42" s="691"/>
    </row>
    <row r="43" spans="1:26" s="227" customFormat="1">
      <c r="A43" s="231">
        <v>1978.2</v>
      </c>
      <c r="B43" s="3045">
        <v>336329.28963902284</v>
      </c>
      <c r="C43" s="292"/>
      <c r="D43" s="696"/>
      <c r="E43" s="3046"/>
      <c r="F43" s="682"/>
      <c r="G43" s="3046"/>
      <c r="H43" s="702"/>
      <c r="I43" s="678"/>
      <c r="J43" s="292"/>
      <c r="K43" s="671"/>
      <c r="L43" s="292"/>
      <c r="M43" s="696"/>
      <c r="N43" s="3046"/>
      <c r="O43" s="682"/>
      <c r="P43" s="3046"/>
      <c r="Q43" s="702"/>
      <c r="R43" s="678"/>
      <c r="S43" s="292"/>
      <c r="T43" s="671"/>
      <c r="U43" s="292"/>
      <c r="V43" s="678"/>
      <c r="W43" s="682"/>
      <c r="X43" s="3046"/>
      <c r="Y43" s="3046"/>
      <c r="Z43" s="691"/>
    </row>
    <row r="44" spans="1:26" s="227" customFormat="1">
      <c r="A44" s="231">
        <v>1978.3</v>
      </c>
      <c r="B44" s="3045">
        <v>345471.16201090853</v>
      </c>
      <c r="C44" s="292"/>
      <c r="D44" s="696"/>
      <c r="E44" s="3046"/>
      <c r="F44" s="682"/>
      <c r="G44" s="3046"/>
      <c r="H44" s="702"/>
      <c r="I44" s="678"/>
      <c r="J44" s="292"/>
      <c r="K44" s="671"/>
      <c r="L44" s="292"/>
      <c r="M44" s="696"/>
      <c r="N44" s="3046"/>
      <c r="O44" s="682"/>
      <c r="P44" s="3046"/>
      <c r="Q44" s="702"/>
      <c r="R44" s="678"/>
      <c r="S44" s="292"/>
      <c r="T44" s="671"/>
      <c r="U44" s="292"/>
      <c r="V44" s="678"/>
      <c r="W44" s="682"/>
      <c r="X44" s="3046"/>
      <c r="Y44" s="3046"/>
      <c r="Z44" s="691"/>
    </row>
    <row r="45" spans="1:26" s="227" customFormat="1">
      <c r="A45" s="231">
        <v>1978.4</v>
      </c>
      <c r="B45" s="3045">
        <v>351893.86338945088</v>
      </c>
      <c r="C45" s="292"/>
      <c r="D45" s="696"/>
      <c r="E45" s="3046"/>
      <c r="F45" s="682"/>
      <c r="G45" s="3046"/>
      <c r="H45" s="702"/>
      <c r="I45" s="678"/>
      <c r="J45" s="292"/>
      <c r="K45" s="671"/>
      <c r="L45" s="292"/>
      <c r="M45" s="696"/>
      <c r="N45" s="3046"/>
      <c r="O45" s="682"/>
      <c r="P45" s="3046"/>
      <c r="Q45" s="702"/>
      <c r="R45" s="678"/>
      <c r="S45" s="292"/>
      <c r="T45" s="671"/>
      <c r="U45" s="292"/>
      <c r="V45" s="678"/>
      <c r="W45" s="682"/>
      <c r="X45" s="3046"/>
      <c r="Y45" s="3046"/>
      <c r="Z45" s="691"/>
    </row>
    <row r="46" spans="1:26" s="227" customFormat="1">
      <c r="A46" s="231">
        <v>1979.1</v>
      </c>
      <c r="B46" s="3045">
        <v>344733.70464473288</v>
      </c>
      <c r="C46" s="292"/>
      <c r="D46" s="696"/>
      <c r="E46" s="3046"/>
      <c r="F46" s="682"/>
      <c r="G46" s="3046"/>
      <c r="H46" s="702"/>
      <c r="I46" s="678"/>
      <c r="J46" s="292"/>
      <c r="K46" s="671"/>
      <c r="L46" s="292"/>
      <c r="M46" s="696"/>
      <c r="N46" s="3046"/>
      <c r="O46" s="682"/>
      <c r="P46" s="3046"/>
      <c r="Q46" s="702"/>
      <c r="R46" s="678"/>
      <c r="S46" s="292"/>
      <c r="T46" s="671"/>
      <c r="U46" s="292"/>
      <c r="V46" s="678"/>
      <c r="W46" s="682"/>
      <c r="X46" s="3046"/>
      <c r="Y46" s="3046"/>
      <c r="Z46" s="691"/>
    </row>
    <row r="47" spans="1:26" s="227" customFormat="1">
      <c r="A47" s="231">
        <v>1979.2</v>
      </c>
      <c r="B47" s="3045">
        <v>365460.47995838983</v>
      </c>
      <c r="C47" s="292"/>
      <c r="D47" s="696"/>
      <c r="E47" s="3046"/>
      <c r="F47" s="682"/>
      <c r="G47" s="3046"/>
      <c r="H47" s="702"/>
      <c r="I47" s="678"/>
      <c r="J47" s="292"/>
      <c r="K47" s="671"/>
      <c r="L47" s="292"/>
      <c r="M47" s="696"/>
      <c r="N47" s="3046"/>
      <c r="O47" s="682"/>
      <c r="P47" s="3046"/>
      <c r="Q47" s="702"/>
      <c r="R47" s="678"/>
      <c r="S47" s="292"/>
      <c r="T47" s="671"/>
      <c r="U47" s="292"/>
      <c r="V47" s="678"/>
      <c r="W47" s="682"/>
      <c r="X47" s="3046"/>
      <c r="Y47" s="3046"/>
      <c r="Z47" s="691"/>
    </row>
    <row r="48" spans="1:26" s="227" customFormat="1">
      <c r="A48" s="231">
        <v>1979.3</v>
      </c>
      <c r="B48" s="3045">
        <v>363105.16458183789</v>
      </c>
      <c r="C48" s="292"/>
      <c r="D48" s="696"/>
      <c r="E48" s="3046"/>
      <c r="F48" s="682"/>
      <c r="G48" s="3046"/>
      <c r="H48" s="702"/>
      <c r="I48" s="678"/>
      <c r="J48" s="292"/>
      <c r="K48" s="671"/>
      <c r="L48" s="292"/>
      <c r="M48" s="696"/>
      <c r="N48" s="3046"/>
      <c r="O48" s="682"/>
      <c r="P48" s="3046"/>
      <c r="Q48" s="702"/>
      <c r="R48" s="678"/>
      <c r="S48" s="292"/>
      <c r="T48" s="671"/>
      <c r="U48" s="292"/>
      <c r="V48" s="678"/>
      <c r="W48" s="682"/>
      <c r="X48" s="3046"/>
      <c r="Y48" s="3046"/>
      <c r="Z48" s="691"/>
    </row>
    <row r="49" spans="1:26" s="227" customFormat="1">
      <c r="A49" s="231">
        <v>1979.4</v>
      </c>
      <c r="B49" s="3045">
        <v>373039.72240459069</v>
      </c>
      <c r="C49" s="292"/>
      <c r="D49" s="696"/>
      <c r="E49" s="3046"/>
      <c r="F49" s="682"/>
      <c r="G49" s="3046"/>
      <c r="H49" s="702"/>
      <c r="I49" s="678"/>
      <c r="J49" s="292"/>
      <c r="K49" s="671"/>
      <c r="L49" s="292"/>
      <c r="M49" s="696"/>
      <c r="N49" s="3046"/>
      <c r="O49" s="682"/>
      <c r="P49" s="3046"/>
      <c r="Q49" s="702"/>
      <c r="R49" s="678"/>
      <c r="S49" s="292"/>
      <c r="T49" s="671"/>
      <c r="U49" s="292"/>
      <c r="V49" s="678"/>
      <c r="W49" s="682"/>
      <c r="X49" s="3046"/>
      <c r="Y49" s="3046"/>
      <c r="Z49" s="691"/>
    </row>
    <row r="50" spans="1:26" s="227" customFormat="1">
      <c r="A50" s="231">
        <v>1980.1</v>
      </c>
      <c r="B50" s="3045">
        <v>350886.76302154566</v>
      </c>
      <c r="C50" s="292"/>
      <c r="D50" s="696"/>
      <c r="E50" s="3046"/>
      <c r="F50" s="682"/>
      <c r="G50" s="3046"/>
      <c r="H50" s="702"/>
      <c r="I50" s="678"/>
      <c r="J50" s="292"/>
      <c r="K50" s="671"/>
      <c r="L50" s="292"/>
      <c r="M50" s="696"/>
      <c r="N50" s="3046"/>
      <c r="O50" s="682"/>
      <c r="P50" s="3046"/>
      <c r="Q50" s="702"/>
      <c r="R50" s="678"/>
      <c r="S50" s="292"/>
      <c r="T50" s="671"/>
      <c r="U50" s="292"/>
      <c r="V50" s="678"/>
      <c r="W50" s="682"/>
      <c r="X50" s="3046"/>
      <c r="Y50" s="3046"/>
      <c r="Z50" s="691"/>
    </row>
    <row r="51" spans="1:26" s="227" customFormat="1">
      <c r="A51" s="231">
        <v>1980.2</v>
      </c>
      <c r="B51" s="3045">
        <v>375630.18279372092</v>
      </c>
      <c r="C51" s="292"/>
      <c r="D51" s="696"/>
      <c r="E51" s="3046"/>
      <c r="F51" s="682"/>
      <c r="G51" s="3046"/>
      <c r="H51" s="702"/>
      <c r="I51" s="678"/>
      <c r="J51" s="292"/>
      <c r="K51" s="671"/>
      <c r="L51" s="292"/>
      <c r="M51" s="696"/>
      <c r="N51" s="3046"/>
      <c r="O51" s="682"/>
      <c r="P51" s="3046"/>
      <c r="Q51" s="702"/>
      <c r="R51" s="678"/>
      <c r="S51" s="292"/>
      <c r="T51" s="671"/>
      <c r="U51" s="292"/>
      <c r="V51" s="678"/>
      <c r="W51" s="682"/>
      <c r="X51" s="3046"/>
      <c r="Y51" s="3046"/>
      <c r="Z51" s="691"/>
    </row>
    <row r="52" spans="1:26" s="227" customFormat="1">
      <c r="A52" s="231">
        <v>1980.3</v>
      </c>
      <c r="B52" s="3045">
        <v>392787.63941291551</v>
      </c>
      <c r="C52" s="292"/>
      <c r="D52" s="696"/>
      <c r="E52" s="3046"/>
      <c r="F52" s="682"/>
      <c r="G52" s="3046"/>
      <c r="H52" s="702"/>
      <c r="I52" s="678"/>
      <c r="J52" s="292"/>
      <c r="K52" s="671"/>
      <c r="L52" s="292"/>
      <c r="M52" s="696"/>
      <c r="N52" s="3046"/>
      <c r="O52" s="682"/>
      <c r="P52" s="3046"/>
      <c r="Q52" s="702"/>
      <c r="R52" s="678"/>
      <c r="S52" s="292"/>
      <c r="T52" s="671"/>
      <c r="U52" s="292"/>
      <c r="V52" s="678"/>
      <c r="W52" s="682"/>
      <c r="X52" s="3046"/>
      <c r="Y52" s="3046"/>
      <c r="Z52" s="691"/>
    </row>
    <row r="53" spans="1:26" s="227" customFormat="1">
      <c r="A53" s="231">
        <v>1980.4</v>
      </c>
      <c r="B53" s="3045">
        <v>387175.79581347544</v>
      </c>
      <c r="C53" s="292"/>
      <c r="D53" s="696"/>
      <c r="E53" s="3046"/>
      <c r="F53" s="682"/>
      <c r="G53" s="3046"/>
      <c r="H53" s="702"/>
      <c r="I53" s="678"/>
      <c r="J53" s="292"/>
      <c r="K53" s="671"/>
      <c r="L53" s="292"/>
      <c r="M53" s="696"/>
      <c r="N53" s="3046"/>
      <c r="O53" s="682"/>
      <c r="P53" s="3046"/>
      <c r="Q53" s="702"/>
      <c r="R53" s="678"/>
      <c r="S53" s="292"/>
      <c r="T53" s="671"/>
      <c r="U53" s="292"/>
      <c r="V53" s="678"/>
      <c r="W53" s="682"/>
      <c r="X53" s="3046"/>
      <c r="Y53" s="3046"/>
      <c r="Z53" s="691"/>
    </row>
    <row r="54" spans="1:26" s="227" customFormat="1">
      <c r="A54" s="231">
        <v>1981.1</v>
      </c>
      <c r="B54" s="3045">
        <v>348787.74219593039</v>
      </c>
      <c r="C54" s="292"/>
      <c r="D54" s="696"/>
      <c r="E54" s="3046"/>
      <c r="F54" s="682"/>
      <c r="G54" s="3046"/>
      <c r="H54" s="702"/>
      <c r="I54" s="678"/>
      <c r="J54" s="292"/>
      <c r="K54" s="671"/>
      <c r="L54" s="292"/>
      <c r="M54" s="696"/>
      <c r="N54" s="3046"/>
      <c r="O54" s="682"/>
      <c r="P54" s="3046"/>
      <c r="Q54" s="702"/>
      <c r="R54" s="678"/>
      <c r="S54" s="292"/>
      <c r="T54" s="671"/>
      <c r="U54" s="292"/>
      <c r="V54" s="678"/>
      <c r="W54" s="682"/>
      <c r="X54" s="3046"/>
      <c r="Y54" s="3046"/>
      <c r="Z54" s="691"/>
    </row>
    <row r="55" spans="1:26" s="227" customFormat="1">
      <c r="A55" s="231">
        <v>1981.2</v>
      </c>
      <c r="B55" s="3045">
        <v>365764.15607086685</v>
      </c>
      <c r="C55" s="292"/>
      <c r="D55" s="696"/>
      <c r="E55" s="3046"/>
      <c r="F55" s="682"/>
      <c r="G55" s="3046"/>
      <c r="H55" s="702"/>
      <c r="I55" s="678"/>
      <c r="J55" s="292"/>
      <c r="K55" s="671"/>
      <c r="L55" s="292"/>
      <c r="M55" s="696"/>
      <c r="N55" s="3046"/>
      <c r="O55" s="682"/>
      <c r="P55" s="3046"/>
      <c r="Q55" s="702"/>
      <c r="R55" s="678"/>
      <c r="S55" s="292"/>
      <c r="T55" s="671"/>
      <c r="U55" s="292"/>
      <c r="V55" s="678"/>
      <c r="W55" s="682"/>
      <c r="X55" s="3046"/>
      <c r="Y55" s="3046"/>
      <c r="Z55" s="691"/>
    </row>
    <row r="56" spans="1:26" s="227" customFormat="1">
      <c r="A56" s="231">
        <v>1981.3</v>
      </c>
      <c r="B56" s="3045">
        <v>356438.37465442083</v>
      </c>
      <c r="C56" s="292"/>
      <c r="D56" s="696"/>
      <c r="E56" s="3046"/>
      <c r="F56" s="682"/>
      <c r="G56" s="3046"/>
      <c r="H56" s="702"/>
      <c r="I56" s="678"/>
      <c r="J56" s="292"/>
      <c r="K56" s="671"/>
      <c r="L56" s="292"/>
      <c r="M56" s="696"/>
      <c r="N56" s="3046"/>
      <c r="O56" s="682"/>
      <c r="P56" s="3046"/>
      <c r="Q56" s="702"/>
      <c r="R56" s="678"/>
      <c r="S56" s="292"/>
      <c r="T56" s="671"/>
      <c r="U56" s="292"/>
      <c r="V56" s="678"/>
      <c r="W56" s="682"/>
      <c r="X56" s="3046"/>
      <c r="Y56" s="3046"/>
      <c r="Z56" s="691"/>
    </row>
    <row r="57" spans="1:26" s="227" customFormat="1">
      <c r="A57" s="231">
        <v>1981.4</v>
      </c>
      <c r="B57" s="3045">
        <v>353808.75326930342</v>
      </c>
      <c r="C57" s="292"/>
      <c r="D57" s="696"/>
      <c r="E57" s="3046"/>
      <c r="F57" s="682"/>
      <c r="G57" s="3046"/>
      <c r="H57" s="702"/>
      <c r="I57" s="678"/>
      <c r="J57" s="292"/>
      <c r="K57" s="671"/>
      <c r="L57" s="292"/>
      <c r="M57" s="696"/>
      <c r="N57" s="3046"/>
      <c r="O57" s="682"/>
      <c r="P57" s="3046"/>
      <c r="Q57" s="702"/>
      <c r="R57" s="678"/>
      <c r="S57" s="292"/>
      <c r="T57" s="671"/>
      <c r="U57" s="292"/>
      <c r="V57" s="678"/>
      <c r="W57" s="682"/>
      <c r="X57" s="3046"/>
      <c r="Y57" s="3046"/>
      <c r="Z57" s="691"/>
    </row>
    <row r="58" spans="1:26" s="227" customFormat="1">
      <c r="A58" s="231">
        <v>1982.1</v>
      </c>
      <c r="B58" s="3045">
        <v>326438.28846153966</v>
      </c>
      <c r="C58" s="292"/>
      <c r="D58" s="696"/>
      <c r="E58" s="3046"/>
      <c r="F58" s="682"/>
      <c r="G58" s="3046"/>
      <c r="H58" s="702"/>
      <c r="I58" s="678"/>
      <c r="J58" s="292"/>
      <c r="K58" s="671"/>
      <c r="L58" s="292"/>
      <c r="M58" s="696"/>
      <c r="N58" s="3046"/>
      <c r="O58" s="682"/>
      <c r="P58" s="3046"/>
      <c r="Q58" s="702"/>
      <c r="R58" s="678"/>
      <c r="S58" s="292"/>
      <c r="T58" s="671"/>
      <c r="U58" s="292"/>
      <c r="V58" s="678"/>
      <c r="W58" s="682"/>
      <c r="X58" s="3046"/>
      <c r="Y58" s="3046"/>
      <c r="Z58" s="691"/>
    </row>
    <row r="59" spans="1:26" s="227" customFormat="1">
      <c r="A59" s="231">
        <v>1982.2</v>
      </c>
      <c r="B59" s="3045">
        <v>336012.47652814566</v>
      </c>
      <c r="C59" s="292"/>
      <c r="D59" s="696"/>
      <c r="E59" s="3046"/>
      <c r="F59" s="682"/>
      <c r="G59" s="3046"/>
      <c r="H59" s="702"/>
      <c r="I59" s="678"/>
      <c r="J59" s="292"/>
      <c r="K59" s="671"/>
      <c r="L59" s="292"/>
      <c r="M59" s="696"/>
      <c r="N59" s="3046"/>
      <c r="O59" s="682"/>
      <c r="P59" s="3046"/>
      <c r="Q59" s="702"/>
      <c r="R59" s="678"/>
      <c r="S59" s="292"/>
      <c r="T59" s="671"/>
      <c r="U59" s="292"/>
      <c r="V59" s="678"/>
      <c r="W59" s="682"/>
      <c r="X59" s="3046"/>
      <c r="Y59" s="3046"/>
      <c r="Z59" s="691"/>
    </row>
    <row r="60" spans="1:26" s="227" customFormat="1">
      <c r="A60" s="231">
        <v>1982.3</v>
      </c>
      <c r="B60" s="3045">
        <v>355257.56729242095</v>
      </c>
      <c r="C60" s="292"/>
      <c r="D60" s="696"/>
      <c r="E60" s="3046"/>
      <c r="F60" s="682"/>
      <c r="G60" s="3046"/>
      <c r="H60" s="702"/>
      <c r="I60" s="678"/>
      <c r="J60" s="292"/>
      <c r="K60" s="671"/>
      <c r="L60" s="292"/>
      <c r="M60" s="696"/>
      <c r="N60" s="3046"/>
      <c r="O60" s="682"/>
      <c r="P60" s="3046"/>
      <c r="Q60" s="702"/>
      <c r="R60" s="678"/>
      <c r="S60" s="292"/>
      <c r="T60" s="671"/>
      <c r="U60" s="292"/>
      <c r="V60" s="678"/>
      <c r="W60" s="682"/>
      <c r="X60" s="3046"/>
      <c r="Y60" s="3046"/>
      <c r="Z60" s="691"/>
    </row>
    <row r="61" spans="1:26" s="227" customFormat="1">
      <c r="A61" s="231">
        <v>1982.4</v>
      </c>
      <c r="B61" s="3045">
        <v>362089.39451203792</v>
      </c>
      <c r="C61" s="292"/>
      <c r="D61" s="696"/>
      <c r="E61" s="3046"/>
      <c r="F61" s="682"/>
      <c r="G61" s="3046"/>
      <c r="H61" s="702"/>
      <c r="I61" s="678"/>
      <c r="J61" s="292"/>
      <c r="K61" s="671"/>
      <c r="L61" s="292"/>
      <c r="M61" s="696"/>
      <c r="N61" s="3046"/>
      <c r="O61" s="682"/>
      <c r="P61" s="3046"/>
      <c r="Q61" s="702"/>
      <c r="R61" s="678"/>
      <c r="S61" s="292"/>
      <c r="T61" s="671"/>
      <c r="U61" s="292"/>
      <c r="V61" s="678"/>
      <c r="W61" s="682"/>
      <c r="X61" s="3046"/>
      <c r="Y61" s="3046"/>
      <c r="Z61" s="691"/>
    </row>
    <row r="62" spans="1:26" s="227" customFormat="1">
      <c r="A62" s="231">
        <v>1983.1</v>
      </c>
      <c r="B62" s="3045">
        <v>335280.80175013922</v>
      </c>
      <c r="C62" s="292"/>
      <c r="D62" s="696"/>
      <c r="E62" s="3046"/>
      <c r="F62" s="682"/>
      <c r="G62" s="3046"/>
      <c r="H62" s="702"/>
      <c r="I62" s="678"/>
      <c r="J62" s="292"/>
      <c r="K62" s="671"/>
      <c r="L62" s="292"/>
      <c r="M62" s="696"/>
      <c r="N62" s="3046"/>
      <c r="O62" s="682"/>
      <c r="P62" s="3046"/>
      <c r="Q62" s="702"/>
      <c r="R62" s="678"/>
      <c r="S62" s="292"/>
      <c r="T62" s="671"/>
      <c r="U62" s="292"/>
      <c r="V62" s="678"/>
      <c r="W62" s="682"/>
      <c r="X62" s="3046"/>
      <c r="Y62" s="3046"/>
      <c r="Z62" s="691"/>
    </row>
    <row r="63" spans="1:26" s="227" customFormat="1">
      <c r="A63" s="231">
        <v>1983.2</v>
      </c>
      <c r="B63" s="3045">
        <v>361986.01093758742</v>
      </c>
      <c r="C63" s="292"/>
      <c r="D63" s="696"/>
      <c r="E63" s="3046"/>
      <c r="F63" s="682"/>
      <c r="G63" s="3046"/>
      <c r="H63" s="702"/>
      <c r="I63" s="678"/>
      <c r="J63" s="292"/>
      <c r="K63" s="671"/>
      <c r="L63" s="292"/>
      <c r="M63" s="696"/>
      <c r="N63" s="3046"/>
      <c r="O63" s="682"/>
      <c r="P63" s="3046"/>
      <c r="Q63" s="702"/>
      <c r="R63" s="678"/>
      <c r="S63" s="292"/>
      <c r="T63" s="671"/>
      <c r="U63" s="292"/>
      <c r="V63" s="678"/>
      <c r="W63" s="682"/>
      <c r="X63" s="3046"/>
      <c r="Y63" s="3046"/>
      <c r="Z63" s="691"/>
    </row>
    <row r="64" spans="1:26" s="227" customFormat="1">
      <c r="A64" s="231">
        <v>1983.3</v>
      </c>
      <c r="B64" s="3045">
        <v>371728.86638567253</v>
      </c>
      <c r="C64" s="292"/>
      <c r="D64" s="696"/>
      <c r="E64" s="3046"/>
      <c r="F64" s="682"/>
      <c r="G64" s="3046"/>
      <c r="H64" s="702"/>
      <c r="I64" s="678"/>
      <c r="J64" s="292"/>
      <c r="K64" s="671"/>
      <c r="L64" s="292"/>
      <c r="M64" s="696"/>
      <c r="N64" s="3046"/>
      <c r="O64" s="682"/>
      <c r="P64" s="3046"/>
      <c r="Q64" s="702"/>
      <c r="R64" s="678"/>
      <c r="S64" s="292"/>
      <c r="T64" s="671"/>
      <c r="U64" s="292"/>
      <c r="V64" s="678"/>
      <c r="W64" s="682"/>
      <c r="X64" s="3046"/>
      <c r="Y64" s="3046"/>
      <c r="Z64" s="691"/>
    </row>
    <row r="65" spans="1:26" s="227" customFormat="1">
      <c r="A65" s="231">
        <v>1983.4</v>
      </c>
      <c r="B65" s="3045">
        <v>367537.47434081975</v>
      </c>
      <c r="C65" s="292"/>
      <c r="D65" s="696"/>
      <c r="E65" s="3046"/>
      <c r="F65" s="682"/>
      <c r="G65" s="3046"/>
      <c r="H65" s="702"/>
      <c r="I65" s="678"/>
      <c r="J65" s="292"/>
      <c r="K65" s="671"/>
      <c r="L65" s="292"/>
      <c r="M65" s="696"/>
      <c r="N65" s="3046"/>
      <c r="O65" s="682"/>
      <c r="P65" s="3046"/>
      <c r="Q65" s="702"/>
      <c r="R65" s="678"/>
      <c r="S65" s="292"/>
      <c r="T65" s="671"/>
      <c r="U65" s="292"/>
      <c r="V65" s="678"/>
      <c r="W65" s="682"/>
      <c r="X65" s="3046"/>
      <c r="Y65" s="3046"/>
      <c r="Z65" s="691"/>
    </row>
    <row r="66" spans="1:26" s="227" customFormat="1">
      <c r="A66" s="231">
        <v>1984.1</v>
      </c>
      <c r="B66" s="3045">
        <v>335440.41496044846</v>
      </c>
      <c r="C66" s="292"/>
      <c r="D66" s="696"/>
      <c r="E66" s="3046"/>
      <c r="F66" s="682"/>
      <c r="G66" s="3046"/>
      <c r="H66" s="702"/>
      <c r="I66" s="678"/>
      <c r="J66" s="292"/>
      <c r="K66" s="671"/>
      <c r="L66" s="292"/>
      <c r="M66" s="696"/>
      <c r="N66" s="3046"/>
      <c r="O66" s="682"/>
      <c r="P66" s="3046"/>
      <c r="Q66" s="702"/>
      <c r="R66" s="678"/>
      <c r="S66" s="292"/>
      <c r="T66" s="671"/>
      <c r="U66" s="292"/>
      <c r="V66" s="678"/>
      <c r="W66" s="682"/>
      <c r="X66" s="3046"/>
      <c r="Y66" s="3046"/>
      <c r="Z66" s="691"/>
    </row>
    <row r="67" spans="1:26" s="227" customFormat="1">
      <c r="A67" s="231">
        <v>1984.2</v>
      </c>
      <c r="B67" s="3045">
        <v>372878.92563458625</v>
      </c>
      <c r="C67" s="292"/>
      <c r="D67" s="696"/>
      <c r="E67" s="3046"/>
      <c r="F67" s="682"/>
      <c r="G67" s="3046"/>
      <c r="H67" s="702"/>
      <c r="I67" s="678"/>
      <c r="J67" s="292"/>
      <c r="K67" s="671"/>
      <c r="L67" s="292"/>
      <c r="M67" s="696"/>
      <c r="N67" s="3046"/>
      <c r="O67" s="682"/>
      <c r="P67" s="3046"/>
      <c r="Q67" s="702"/>
      <c r="R67" s="678"/>
      <c r="S67" s="292"/>
      <c r="T67" s="671"/>
      <c r="U67" s="292"/>
      <c r="V67" s="678"/>
      <c r="W67" s="682"/>
      <c r="X67" s="3046"/>
      <c r="Y67" s="3046"/>
      <c r="Z67" s="691"/>
    </row>
    <row r="68" spans="1:26" s="227" customFormat="1">
      <c r="A68" s="231">
        <v>1984.3</v>
      </c>
      <c r="B68" s="3045">
        <v>377126.46713109146</v>
      </c>
      <c r="C68" s="292"/>
      <c r="D68" s="696"/>
      <c r="E68" s="3046"/>
      <c r="F68" s="682"/>
      <c r="G68" s="3046"/>
      <c r="H68" s="702"/>
      <c r="I68" s="678"/>
      <c r="J68" s="292"/>
      <c r="K68" s="671"/>
      <c r="L68" s="292"/>
      <c r="M68" s="696"/>
      <c r="N68" s="3046"/>
      <c r="O68" s="682"/>
      <c r="P68" s="3046"/>
      <c r="Q68" s="702"/>
      <c r="R68" s="678"/>
      <c r="S68" s="292"/>
      <c r="T68" s="671"/>
      <c r="U68" s="292"/>
      <c r="V68" s="678"/>
      <c r="W68" s="682"/>
      <c r="X68" s="3046"/>
      <c r="Y68" s="3046"/>
      <c r="Z68" s="691"/>
    </row>
    <row r="69" spans="1:26" s="227" customFormat="1">
      <c r="A69" s="231">
        <v>1984.4</v>
      </c>
      <c r="B69" s="3045">
        <v>379809.19536989758</v>
      </c>
      <c r="C69" s="292"/>
      <c r="D69" s="696"/>
      <c r="E69" s="3046"/>
      <c r="F69" s="682"/>
      <c r="G69" s="3046"/>
      <c r="H69" s="702"/>
      <c r="I69" s="678"/>
      <c r="J69" s="292"/>
      <c r="K69" s="671"/>
      <c r="L69" s="292"/>
      <c r="M69" s="696"/>
      <c r="N69" s="3046"/>
      <c r="O69" s="682"/>
      <c r="P69" s="3046"/>
      <c r="Q69" s="702"/>
      <c r="R69" s="678"/>
      <c r="S69" s="292"/>
      <c r="T69" s="671"/>
      <c r="U69" s="292"/>
      <c r="V69" s="678"/>
      <c r="W69" s="682"/>
      <c r="X69" s="3046"/>
      <c r="Y69" s="3046"/>
      <c r="Z69" s="691"/>
    </row>
    <row r="70" spans="1:26" s="227" customFormat="1">
      <c r="A70" s="231">
        <v>1985.1</v>
      </c>
      <c r="B70" s="3045">
        <v>327369.62085227115</v>
      </c>
      <c r="C70" s="292"/>
      <c r="D70" s="696"/>
      <c r="E70" s="3046"/>
      <c r="F70" s="682"/>
      <c r="G70" s="3046"/>
      <c r="H70" s="702"/>
      <c r="I70" s="678"/>
      <c r="J70" s="292"/>
      <c r="K70" s="671"/>
      <c r="L70" s="292"/>
      <c r="M70" s="696"/>
      <c r="N70" s="3046"/>
      <c r="O70" s="682"/>
      <c r="P70" s="3046"/>
      <c r="Q70" s="702"/>
      <c r="R70" s="678"/>
      <c r="S70" s="292"/>
      <c r="T70" s="671"/>
      <c r="U70" s="292"/>
      <c r="V70" s="678"/>
      <c r="W70" s="682"/>
      <c r="X70" s="3046"/>
      <c r="Y70" s="3046"/>
      <c r="Z70" s="691"/>
    </row>
    <row r="71" spans="1:26" s="227" customFormat="1">
      <c r="A71" s="231">
        <v>1985.2</v>
      </c>
      <c r="B71" s="3045">
        <v>342983.1182077697</v>
      </c>
      <c r="C71" s="292"/>
      <c r="D71" s="696"/>
      <c r="E71" s="3046"/>
      <c r="F71" s="682"/>
      <c r="G71" s="3046"/>
      <c r="H71" s="702"/>
      <c r="I71" s="678"/>
      <c r="J71" s="292"/>
      <c r="K71" s="671"/>
      <c r="L71" s="292"/>
      <c r="M71" s="696"/>
      <c r="N71" s="3046"/>
      <c r="O71" s="682"/>
      <c r="P71" s="3046"/>
      <c r="Q71" s="702"/>
      <c r="R71" s="678"/>
      <c r="S71" s="292"/>
      <c r="T71" s="671"/>
      <c r="U71" s="292"/>
      <c r="V71" s="678"/>
      <c r="W71" s="682"/>
      <c r="X71" s="3046"/>
      <c r="Y71" s="3046"/>
      <c r="Z71" s="691"/>
    </row>
    <row r="72" spans="1:26" s="227" customFormat="1">
      <c r="A72" s="231">
        <v>1985.3</v>
      </c>
      <c r="B72" s="3045">
        <v>338381.4690876932</v>
      </c>
      <c r="C72" s="292"/>
      <c r="D72" s="696"/>
      <c r="E72" s="3046"/>
      <c r="F72" s="682"/>
      <c r="G72" s="3046"/>
      <c r="H72" s="702"/>
      <c r="I72" s="678"/>
      <c r="J72" s="292"/>
      <c r="K72" s="671"/>
      <c r="L72" s="292"/>
      <c r="M72" s="696"/>
      <c r="N72" s="3046"/>
      <c r="O72" s="682"/>
      <c r="P72" s="3046"/>
      <c r="Q72" s="702"/>
      <c r="R72" s="678"/>
      <c r="S72" s="292"/>
      <c r="T72" s="671"/>
      <c r="U72" s="292"/>
      <c r="V72" s="678"/>
      <c r="W72" s="682"/>
      <c r="X72" s="3046"/>
      <c r="Y72" s="3046"/>
      <c r="Z72" s="691"/>
    </row>
    <row r="73" spans="1:26" s="227" customFormat="1">
      <c r="A73" s="231">
        <v>1985.4</v>
      </c>
      <c r="B73" s="3045">
        <v>354683.61575532699</v>
      </c>
      <c r="C73" s="292"/>
      <c r="D73" s="696"/>
      <c r="E73" s="3046"/>
      <c r="F73" s="682"/>
      <c r="G73" s="3046"/>
      <c r="H73" s="702"/>
      <c r="I73" s="678"/>
      <c r="J73" s="292"/>
      <c r="K73" s="671"/>
      <c r="L73" s="292"/>
      <c r="M73" s="696"/>
      <c r="N73" s="3046"/>
      <c r="O73" s="682"/>
      <c r="P73" s="3046"/>
      <c r="Q73" s="702"/>
      <c r="R73" s="678"/>
      <c r="S73" s="292"/>
      <c r="T73" s="671"/>
      <c r="U73" s="292"/>
      <c r="V73" s="678"/>
      <c r="W73" s="682"/>
      <c r="X73" s="3046"/>
      <c r="Y73" s="3046"/>
      <c r="Z73" s="691"/>
    </row>
    <row r="74" spans="1:26" s="227" customFormat="1">
      <c r="A74" s="231">
        <v>1986.1</v>
      </c>
      <c r="B74" s="3045">
        <v>330021.40238875081</v>
      </c>
      <c r="C74" s="292"/>
      <c r="D74" s="696"/>
      <c r="E74" s="3046"/>
      <c r="F74" s="682"/>
      <c r="G74" s="3046"/>
      <c r="H74" s="702"/>
      <c r="I74" s="678"/>
      <c r="J74" s="292"/>
      <c r="K74" s="671"/>
      <c r="L74" s="292"/>
      <c r="M74" s="696"/>
      <c r="N74" s="3046"/>
      <c r="O74" s="682"/>
      <c r="P74" s="3046"/>
      <c r="Q74" s="702"/>
      <c r="R74" s="678"/>
      <c r="S74" s="292"/>
      <c r="T74" s="671"/>
      <c r="U74" s="292"/>
      <c r="V74" s="678"/>
      <c r="W74" s="682"/>
      <c r="X74" s="3046"/>
      <c r="Y74" s="3046"/>
      <c r="Z74" s="691"/>
    </row>
    <row r="75" spans="1:26" s="227" customFormat="1">
      <c r="A75" s="231">
        <v>1986.2</v>
      </c>
      <c r="B75" s="3045">
        <v>367750.9108401041</v>
      </c>
      <c r="C75" s="292"/>
      <c r="D75" s="696"/>
      <c r="E75" s="3046"/>
      <c r="F75" s="682"/>
      <c r="G75" s="3046"/>
      <c r="H75" s="702"/>
      <c r="I75" s="678"/>
      <c r="J75" s="292"/>
      <c r="K75" s="671"/>
      <c r="L75" s="292"/>
      <c r="M75" s="696"/>
      <c r="N75" s="3046"/>
      <c r="O75" s="682"/>
      <c r="P75" s="3046"/>
      <c r="Q75" s="702"/>
      <c r="R75" s="678"/>
      <c r="S75" s="292"/>
      <c r="T75" s="671"/>
      <c r="U75" s="292"/>
      <c r="V75" s="678"/>
      <c r="W75" s="682"/>
      <c r="X75" s="3046"/>
      <c r="Y75" s="3046"/>
      <c r="Z75" s="691"/>
    </row>
    <row r="76" spans="1:26" s="227" customFormat="1">
      <c r="A76" s="231">
        <v>1986.3</v>
      </c>
      <c r="B76" s="3045">
        <v>385564.6915689361</v>
      </c>
      <c r="C76" s="292"/>
      <c r="D76" s="696"/>
      <c r="E76" s="3046"/>
      <c r="F76" s="682"/>
      <c r="G76" s="3046"/>
      <c r="H76" s="702"/>
      <c r="I76" s="678"/>
      <c r="J76" s="292"/>
      <c r="K76" s="671"/>
      <c r="L76" s="292"/>
      <c r="M76" s="696"/>
      <c r="N76" s="3046"/>
      <c r="O76" s="682"/>
      <c r="P76" s="3046"/>
      <c r="Q76" s="702"/>
      <c r="R76" s="678"/>
      <c r="S76" s="292"/>
      <c r="T76" s="671"/>
      <c r="U76" s="292"/>
      <c r="V76" s="678"/>
      <c r="W76" s="682"/>
      <c r="X76" s="3046"/>
      <c r="Y76" s="3046"/>
      <c r="Z76" s="691"/>
    </row>
    <row r="77" spans="1:26" s="227" customFormat="1">
      <c r="A77" s="231">
        <v>1986.4</v>
      </c>
      <c r="B77" s="3045">
        <v>377396.58560876525</v>
      </c>
      <c r="C77" s="292"/>
      <c r="D77" s="696"/>
      <c r="E77" s="3046"/>
      <c r="F77" s="682"/>
      <c r="G77" s="3046"/>
      <c r="H77" s="702"/>
      <c r="I77" s="678"/>
      <c r="J77" s="292"/>
      <c r="K77" s="671"/>
      <c r="L77" s="292"/>
      <c r="M77" s="696"/>
      <c r="N77" s="3046"/>
      <c r="O77" s="682"/>
      <c r="P77" s="3046"/>
      <c r="Q77" s="702"/>
      <c r="R77" s="678"/>
      <c r="S77" s="292"/>
      <c r="T77" s="671"/>
      <c r="U77" s="292"/>
      <c r="V77" s="678"/>
      <c r="W77" s="682"/>
      <c r="X77" s="3046"/>
      <c r="Y77" s="3046"/>
      <c r="Z77" s="691"/>
    </row>
    <row r="78" spans="1:26" s="227" customFormat="1">
      <c r="A78" s="231">
        <v>1987.1</v>
      </c>
      <c r="B78" s="3045">
        <v>342518.80591686163</v>
      </c>
      <c r="C78" s="292"/>
      <c r="D78" s="696"/>
      <c r="E78" s="3046"/>
      <c r="F78" s="682"/>
      <c r="G78" s="3046"/>
      <c r="H78" s="702"/>
      <c r="I78" s="678"/>
      <c r="J78" s="292"/>
      <c r="K78" s="671"/>
      <c r="L78" s="292"/>
      <c r="M78" s="696"/>
      <c r="N78" s="3046"/>
      <c r="O78" s="682"/>
      <c r="P78" s="3046"/>
      <c r="Q78" s="702"/>
      <c r="R78" s="678"/>
      <c r="S78" s="292"/>
      <c r="T78" s="671"/>
      <c r="U78" s="292"/>
      <c r="V78" s="678"/>
      <c r="W78" s="682"/>
      <c r="X78" s="3046"/>
      <c r="Y78" s="3046"/>
      <c r="Z78" s="691"/>
    </row>
    <row r="79" spans="1:26" s="227" customFormat="1">
      <c r="A79" s="231">
        <v>1987.2</v>
      </c>
      <c r="B79" s="3045">
        <v>384165.47030020447</v>
      </c>
      <c r="C79" s="292"/>
      <c r="D79" s="696"/>
      <c r="E79" s="3046"/>
      <c r="F79" s="682"/>
      <c r="G79" s="3046"/>
      <c r="H79" s="702"/>
      <c r="I79" s="678"/>
      <c r="J79" s="292"/>
      <c r="K79" s="671"/>
      <c r="L79" s="292"/>
      <c r="M79" s="696"/>
      <c r="N79" s="3046"/>
      <c r="O79" s="682"/>
      <c r="P79" s="3046"/>
      <c r="Q79" s="702"/>
      <c r="R79" s="678"/>
      <c r="S79" s="292"/>
      <c r="T79" s="671"/>
      <c r="U79" s="292"/>
      <c r="V79" s="678"/>
      <c r="W79" s="682"/>
      <c r="X79" s="3046"/>
      <c r="Y79" s="3046"/>
      <c r="Z79" s="691"/>
    </row>
    <row r="80" spans="1:26" s="227" customFormat="1">
      <c r="A80" s="231">
        <v>1987.3</v>
      </c>
      <c r="B80" s="3045">
        <v>394585.94464685617</v>
      </c>
      <c r="C80" s="292"/>
      <c r="D80" s="696"/>
      <c r="E80" s="3046"/>
      <c r="F80" s="682"/>
      <c r="G80" s="3046"/>
      <c r="H80" s="702"/>
      <c r="I80" s="678"/>
      <c r="J80" s="292"/>
      <c r="K80" s="671"/>
      <c r="L80" s="292"/>
      <c r="M80" s="696"/>
      <c r="N80" s="3046"/>
      <c r="O80" s="682"/>
      <c r="P80" s="3046"/>
      <c r="Q80" s="702"/>
      <c r="R80" s="678"/>
      <c r="S80" s="292"/>
      <c r="T80" s="671"/>
      <c r="U80" s="292"/>
      <c r="V80" s="678"/>
      <c r="W80" s="682"/>
      <c r="X80" s="3046"/>
      <c r="Y80" s="3046"/>
      <c r="Z80" s="691"/>
    </row>
    <row r="81" spans="1:26" s="227" customFormat="1">
      <c r="A81" s="231">
        <v>1987.4</v>
      </c>
      <c r="B81" s="3045">
        <v>377308.71785485651</v>
      </c>
      <c r="C81" s="292"/>
      <c r="D81" s="696"/>
      <c r="E81" s="3046"/>
      <c r="F81" s="682"/>
      <c r="G81" s="3046"/>
      <c r="H81" s="702"/>
      <c r="I81" s="678"/>
      <c r="J81" s="292"/>
      <c r="K81" s="671"/>
      <c r="L81" s="292"/>
      <c r="M81" s="696"/>
      <c r="N81" s="3046"/>
      <c r="O81" s="682"/>
      <c r="P81" s="3046"/>
      <c r="Q81" s="702"/>
      <c r="R81" s="678"/>
      <c r="S81" s="292"/>
      <c r="T81" s="671"/>
      <c r="U81" s="292"/>
      <c r="V81" s="678"/>
      <c r="W81" s="682"/>
      <c r="X81" s="3046"/>
      <c r="Y81" s="3046"/>
      <c r="Z81" s="691"/>
    </row>
    <row r="82" spans="1:26" s="227" customFormat="1">
      <c r="A82" s="231">
        <v>1988.1</v>
      </c>
      <c r="B82" s="3045">
        <v>358624.23371496168</v>
      </c>
      <c r="C82" s="292"/>
      <c r="D82" s="696"/>
      <c r="E82" s="3046"/>
      <c r="F82" s="682"/>
      <c r="G82" s="3046"/>
      <c r="H82" s="702"/>
      <c r="I82" s="678"/>
      <c r="J82" s="292"/>
      <c r="K82" s="671"/>
      <c r="L82" s="292"/>
      <c r="M82" s="696"/>
      <c r="N82" s="3046"/>
      <c r="O82" s="682"/>
      <c r="P82" s="3046"/>
      <c r="Q82" s="702"/>
      <c r="R82" s="678"/>
      <c r="S82" s="292"/>
      <c r="T82" s="671"/>
      <c r="U82" s="292"/>
      <c r="V82" s="678"/>
      <c r="W82" s="682"/>
      <c r="X82" s="3046"/>
      <c r="Y82" s="3046"/>
      <c r="Z82" s="691"/>
    </row>
    <row r="83" spans="1:26" s="227" customFormat="1">
      <c r="A83" s="231">
        <v>1988.2</v>
      </c>
      <c r="B83" s="3045">
        <v>379121.88661564147</v>
      </c>
      <c r="C83" s="292"/>
      <c r="D83" s="696"/>
      <c r="E83" s="3046"/>
      <c r="F83" s="682"/>
      <c r="G83" s="3046"/>
      <c r="H83" s="702"/>
      <c r="I83" s="678"/>
      <c r="J83" s="292"/>
      <c r="K83" s="671"/>
      <c r="L83" s="292"/>
      <c r="M83" s="696"/>
      <c r="N83" s="3046"/>
      <c r="O83" s="682"/>
      <c r="P83" s="3046"/>
      <c r="Q83" s="702"/>
      <c r="R83" s="678"/>
      <c r="S83" s="292"/>
      <c r="T83" s="671"/>
      <c r="U83" s="292"/>
      <c r="V83" s="678"/>
      <c r="W83" s="682"/>
      <c r="X83" s="3046"/>
      <c r="Y83" s="3046"/>
      <c r="Z83" s="691"/>
    </row>
    <row r="84" spans="1:26" s="227" customFormat="1">
      <c r="A84" s="231">
        <v>1988.3</v>
      </c>
      <c r="B84" s="3045">
        <v>367102.67929559061</v>
      </c>
      <c r="C84" s="292"/>
      <c r="D84" s="696"/>
      <c r="E84" s="3046"/>
      <c r="F84" s="682"/>
      <c r="G84" s="3046"/>
      <c r="H84" s="702"/>
      <c r="I84" s="678"/>
      <c r="J84" s="292"/>
      <c r="K84" s="671"/>
      <c r="L84" s="292"/>
      <c r="M84" s="696"/>
      <c r="N84" s="3046"/>
      <c r="O84" s="682"/>
      <c r="P84" s="3046"/>
      <c r="Q84" s="702"/>
      <c r="R84" s="678"/>
      <c r="S84" s="292"/>
      <c r="T84" s="671"/>
      <c r="U84" s="292"/>
      <c r="V84" s="678"/>
      <c r="W84" s="682"/>
      <c r="X84" s="3046"/>
      <c r="Y84" s="3046"/>
      <c r="Z84" s="691"/>
    </row>
    <row r="85" spans="1:26" s="227" customFormat="1">
      <c r="A85" s="231">
        <v>1988.4</v>
      </c>
      <c r="B85" s="3045">
        <v>365343.87220646505</v>
      </c>
      <c r="C85" s="292"/>
      <c r="D85" s="696"/>
      <c r="E85" s="3046"/>
      <c r="F85" s="682"/>
      <c r="G85" s="3046"/>
      <c r="H85" s="702"/>
      <c r="I85" s="678"/>
      <c r="J85" s="292"/>
      <c r="K85" s="671"/>
      <c r="L85" s="292"/>
      <c r="M85" s="696"/>
      <c r="N85" s="3046"/>
      <c r="O85" s="682"/>
      <c r="P85" s="3046"/>
      <c r="Q85" s="702"/>
      <c r="R85" s="678"/>
      <c r="S85" s="292"/>
      <c r="T85" s="671"/>
      <c r="U85" s="292"/>
      <c r="V85" s="678"/>
      <c r="W85" s="682"/>
      <c r="X85" s="3046"/>
      <c r="Y85" s="3046"/>
      <c r="Z85" s="691"/>
    </row>
    <row r="86" spans="1:26" s="227" customFormat="1">
      <c r="A86" s="231">
        <v>1989.1</v>
      </c>
      <c r="B86" s="3045">
        <v>344056.12903072697</v>
      </c>
      <c r="C86" s="292"/>
      <c r="D86" s="696"/>
      <c r="E86" s="3046"/>
      <c r="F86" s="682"/>
      <c r="G86" s="3046"/>
      <c r="H86" s="702"/>
      <c r="I86" s="678"/>
      <c r="J86" s="292"/>
      <c r="K86" s="671"/>
      <c r="L86" s="292"/>
      <c r="M86" s="696"/>
      <c r="N86" s="3046"/>
      <c r="O86" s="682"/>
      <c r="P86" s="3046"/>
      <c r="Q86" s="702"/>
      <c r="R86" s="678"/>
      <c r="S86" s="292"/>
      <c r="T86" s="671"/>
      <c r="U86" s="292"/>
      <c r="V86" s="678"/>
      <c r="W86" s="682"/>
      <c r="X86" s="3046"/>
      <c r="Y86" s="3046"/>
      <c r="Z86" s="691"/>
    </row>
    <row r="87" spans="1:26" s="227" customFormat="1">
      <c r="A87" s="231">
        <v>1989.2</v>
      </c>
      <c r="B87" s="3045">
        <v>344664.83356431744</v>
      </c>
      <c r="C87" s="292"/>
      <c r="D87" s="696"/>
      <c r="E87" s="3046"/>
      <c r="F87" s="682"/>
      <c r="G87" s="3046"/>
      <c r="H87" s="702"/>
      <c r="I87" s="678"/>
      <c r="J87" s="292"/>
      <c r="K87" s="671"/>
      <c r="L87" s="292"/>
      <c r="M87" s="696"/>
      <c r="N87" s="3046"/>
      <c r="O87" s="682"/>
      <c r="P87" s="3046"/>
      <c r="Q87" s="702"/>
      <c r="R87" s="678"/>
      <c r="S87" s="292"/>
      <c r="T87" s="671"/>
      <c r="U87" s="292"/>
      <c r="V87" s="678"/>
      <c r="W87" s="682"/>
      <c r="X87" s="3046"/>
      <c r="Y87" s="3046"/>
      <c r="Z87" s="691"/>
    </row>
    <row r="88" spans="1:26" s="227" customFormat="1">
      <c r="A88" s="231">
        <v>1989.3</v>
      </c>
      <c r="B88" s="3045">
        <v>330724.44338600658</v>
      </c>
      <c r="C88" s="292"/>
      <c r="D88" s="696"/>
      <c r="E88" s="3046"/>
      <c r="F88" s="682"/>
      <c r="G88" s="3046"/>
      <c r="H88" s="702"/>
      <c r="I88" s="678"/>
      <c r="J88" s="292"/>
      <c r="K88" s="671"/>
      <c r="L88" s="292"/>
      <c r="M88" s="696"/>
      <c r="N88" s="3046"/>
      <c r="O88" s="682"/>
      <c r="P88" s="3046"/>
      <c r="Q88" s="702"/>
      <c r="R88" s="678"/>
      <c r="S88" s="292"/>
      <c r="T88" s="671"/>
      <c r="U88" s="292"/>
      <c r="V88" s="678"/>
      <c r="W88" s="682"/>
      <c r="X88" s="3046"/>
      <c r="Y88" s="3046"/>
      <c r="Z88" s="691"/>
    </row>
    <row r="89" spans="1:26" s="227" customFormat="1">
      <c r="A89" s="231">
        <v>1989.4</v>
      </c>
      <c r="B89" s="3045">
        <v>348765.95251692773</v>
      </c>
      <c r="C89" s="292"/>
      <c r="D89" s="696"/>
      <c r="E89" s="3046"/>
      <c r="F89" s="682"/>
      <c r="G89" s="3046"/>
      <c r="H89" s="702"/>
      <c r="I89" s="678"/>
      <c r="J89" s="292"/>
      <c r="K89" s="671"/>
      <c r="L89" s="292"/>
      <c r="M89" s="696"/>
      <c r="N89" s="3046"/>
      <c r="O89" s="682"/>
      <c r="P89" s="3046"/>
      <c r="Q89" s="702"/>
      <c r="R89" s="678"/>
      <c r="S89" s="292"/>
      <c r="T89" s="671"/>
      <c r="U89" s="292"/>
      <c r="V89" s="678"/>
      <c r="W89" s="682"/>
      <c r="X89" s="3046"/>
      <c r="Y89" s="3046"/>
      <c r="Z89" s="691"/>
    </row>
    <row r="90" spans="1:26" s="227" customFormat="1">
      <c r="A90" s="231">
        <v>1990.1</v>
      </c>
      <c r="B90" s="3045">
        <v>300955.69410753687</v>
      </c>
      <c r="C90" s="292"/>
      <c r="D90" s="696"/>
      <c r="E90" s="3046"/>
      <c r="F90" s="682"/>
      <c r="G90" s="3046"/>
      <c r="H90" s="702"/>
      <c r="I90" s="678"/>
      <c r="J90" s="292"/>
      <c r="K90" s="671"/>
      <c r="L90" s="292"/>
      <c r="M90" s="696"/>
      <c r="N90" s="3046"/>
      <c r="O90" s="682"/>
      <c r="P90" s="3046"/>
      <c r="Q90" s="702"/>
      <c r="R90" s="678"/>
      <c r="S90" s="292"/>
      <c r="T90" s="671"/>
      <c r="U90" s="292"/>
      <c r="V90" s="678"/>
      <c r="W90" s="682"/>
      <c r="X90" s="3046"/>
      <c r="Y90" s="3046"/>
      <c r="Z90" s="691"/>
    </row>
    <row r="91" spans="1:26" s="227" customFormat="1">
      <c r="A91" s="231">
        <v>1990.2</v>
      </c>
      <c r="B91" s="3045">
        <v>333959.88978152163</v>
      </c>
      <c r="C91" s="292"/>
      <c r="D91" s="696"/>
      <c r="E91" s="3046"/>
      <c r="F91" s="682"/>
      <c r="G91" s="3046"/>
      <c r="H91" s="702"/>
      <c r="I91" s="678"/>
      <c r="J91" s="292"/>
      <c r="K91" s="671"/>
      <c r="L91" s="292"/>
      <c r="M91" s="696"/>
      <c r="N91" s="3046"/>
      <c r="O91" s="682"/>
      <c r="P91" s="3046"/>
      <c r="Q91" s="702"/>
      <c r="R91" s="678"/>
      <c r="S91" s="292"/>
      <c r="T91" s="671"/>
      <c r="U91" s="292"/>
      <c r="V91" s="678"/>
      <c r="W91" s="682"/>
      <c r="X91" s="3046"/>
      <c r="Y91" s="3046"/>
      <c r="Z91" s="691"/>
    </row>
    <row r="92" spans="1:26" s="227" customFormat="1">
      <c r="A92" s="231">
        <v>1990.3</v>
      </c>
      <c r="B92" s="3045">
        <v>348762.37998561945</v>
      </c>
      <c r="C92" s="292"/>
      <c r="D92" s="696"/>
      <c r="E92" s="3046"/>
      <c r="F92" s="682"/>
      <c r="G92" s="3046"/>
      <c r="H92" s="702"/>
      <c r="I92" s="678"/>
      <c r="J92" s="292"/>
      <c r="K92" s="671"/>
      <c r="L92" s="292"/>
      <c r="M92" s="696"/>
      <c r="N92" s="3046"/>
      <c r="O92" s="682"/>
      <c r="P92" s="3046"/>
      <c r="Q92" s="702"/>
      <c r="R92" s="678"/>
      <c r="S92" s="292"/>
      <c r="T92" s="671"/>
      <c r="U92" s="292"/>
      <c r="V92" s="678"/>
      <c r="W92" s="682"/>
      <c r="X92" s="3046"/>
      <c r="Y92" s="3046"/>
      <c r="Z92" s="691"/>
    </row>
    <row r="93" spans="1:26" s="227" customFormat="1">
      <c r="A93" s="231">
        <v>1990.4</v>
      </c>
      <c r="B93" s="3045">
        <v>359489.60513888567</v>
      </c>
      <c r="C93" s="292"/>
      <c r="D93" s="696"/>
      <c r="E93" s="3046"/>
      <c r="F93" s="682"/>
      <c r="G93" s="3046"/>
      <c r="H93" s="702"/>
      <c r="I93" s="678"/>
      <c r="J93" s="292"/>
      <c r="K93" s="671"/>
      <c r="L93" s="292"/>
      <c r="M93" s="696"/>
      <c r="N93" s="3046"/>
      <c r="O93" s="682"/>
      <c r="P93" s="3046"/>
      <c r="Q93" s="702"/>
      <c r="R93" s="678"/>
      <c r="S93" s="292"/>
      <c r="T93" s="671"/>
      <c r="U93" s="292"/>
      <c r="V93" s="678"/>
      <c r="W93" s="682"/>
      <c r="X93" s="3046"/>
      <c r="Y93" s="3046"/>
      <c r="Z93" s="691"/>
    </row>
    <row r="94" spans="1:26" s="227" customFormat="1">
      <c r="A94" s="231">
        <v>1991.1</v>
      </c>
      <c r="B94" s="3045">
        <v>325091.5258041519</v>
      </c>
      <c r="C94" s="292"/>
      <c r="D94" s="696"/>
      <c r="E94" s="3046"/>
      <c r="F94" s="682"/>
      <c r="G94" s="3046"/>
      <c r="H94" s="702"/>
      <c r="I94" s="678"/>
      <c r="J94" s="292"/>
      <c r="K94" s="671"/>
      <c r="L94" s="292"/>
      <c r="M94" s="696"/>
      <c r="N94" s="3046"/>
      <c r="O94" s="682"/>
      <c r="P94" s="3046"/>
      <c r="Q94" s="702"/>
      <c r="R94" s="678"/>
      <c r="S94" s="292"/>
      <c r="T94" s="671"/>
      <c r="U94" s="292"/>
      <c r="V94" s="678"/>
      <c r="W94" s="682"/>
      <c r="X94" s="3046"/>
      <c r="Y94" s="3046"/>
      <c r="Z94" s="691"/>
    </row>
    <row r="95" spans="1:26" s="227" customFormat="1">
      <c r="A95" s="231">
        <v>1991.2</v>
      </c>
      <c r="B95" s="3045">
        <v>376116.49857912929</v>
      </c>
      <c r="C95" s="292"/>
      <c r="D95" s="696"/>
      <c r="E95" s="3046"/>
      <c r="F95" s="682"/>
      <c r="G95" s="3046"/>
      <c r="H95" s="702"/>
      <c r="I95" s="678"/>
      <c r="J95" s="292"/>
      <c r="K95" s="671"/>
      <c r="L95" s="292"/>
      <c r="M95" s="696"/>
      <c r="N95" s="3046"/>
      <c r="O95" s="682"/>
      <c r="P95" s="3046"/>
      <c r="Q95" s="702"/>
      <c r="R95" s="678"/>
      <c r="S95" s="292"/>
      <c r="T95" s="671"/>
      <c r="U95" s="292"/>
      <c r="V95" s="678"/>
      <c r="W95" s="682"/>
      <c r="X95" s="3046"/>
      <c r="Y95" s="3046"/>
      <c r="Z95" s="691"/>
    </row>
    <row r="96" spans="1:26" s="227" customFormat="1">
      <c r="A96" s="231">
        <v>1991.3</v>
      </c>
      <c r="B96" s="3045">
        <v>384748.07817223424</v>
      </c>
      <c r="C96" s="292"/>
      <c r="D96" s="696"/>
      <c r="E96" s="3046"/>
      <c r="F96" s="682"/>
      <c r="G96" s="3046"/>
      <c r="H96" s="702"/>
      <c r="I96" s="678"/>
      <c r="J96" s="292"/>
      <c r="K96" s="671"/>
      <c r="L96" s="292"/>
      <c r="M96" s="696"/>
      <c r="N96" s="3046"/>
      <c r="O96" s="682"/>
      <c r="P96" s="3046"/>
      <c r="Q96" s="702"/>
      <c r="R96" s="678"/>
      <c r="S96" s="292"/>
      <c r="T96" s="671"/>
      <c r="U96" s="292"/>
      <c r="V96" s="678"/>
      <c r="W96" s="682"/>
      <c r="X96" s="3046"/>
      <c r="Y96" s="3046"/>
      <c r="Z96" s="691"/>
    </row>
    <row r="97" spans="1:26" s="227" customFormat="1">
      <c r="A97" s="231">
        <v>1991.4</v>
      </c>
      <c r="B97" s="3045">
        <v>399299.25475537003</v>
      </c>
      <c r="C97" s="292"/>
      <c r="D97" s="696"/>
      <c r="E97" s="3046"/>
      <c r="F97" s="682"/>
      <c r="G97" s="3046"/>
      <c r="H97" s="702"/>
      <c r="I97" s="678"/>
      <c r="J97" s="292"/>
      <c r="K97" s="671"/>
      <c r="L97" s="292"/>
      <c r="M97" s="696"/>
      <c r="N97" s="3046"/>
      <c r="O97" s="682"/>
      <c r="P97" s="3046"/>
      <c r="Q97" s="702"/>
      <c r="R97" s="678"/>
      <c r="S97" s="292"/>
      <c r="T97" s="671"/>
      <c r="U97" s="292"/>
      <c r="V97" s="678"/>
      <c r="W97" s="682"/>
      <c r="X97" s="3046"/>
      <c r="Y97" s="3046"/>
      <c r="Z97" s="691"/>
    </row>
    <row r="98" spans="1:26" s="227" customFormat="1">
      <c r="A98" s="231">
        <v>1992.1</v>
      </c>
      <c r="B98" s="3045">
        <v>372951.25477425492</v>
      </c>
      <c r="C98" s="292"/>
      <c r="D98" s="696"/>
      <c r="E98" s="3046"/>
      <c r="F98" s="682"/>
      <c r="G98" s="3046"/>
      <c r="H98" s="702"/>
      <c r="I98" s="678"/>
      <c r="J98" s="292"/>
      <c r="K98" s="671"/>
      <c r="L98" s="292"/>
      <c r="M98" s="696"/>
      <c r="N98" s="3046"/>
      <c r="O98" s="682"/>
      <c r="P98" s="3046"/>
      <c r="Q98" s="702"/>
      <c r="R98" s="678"/>
      <c r="S98" s="292"/>
      <c r="T98" s="671"/>
      <c r="U98" s="292"/>
      <c r="V98" s="678"/>
      <c r="W98" s="682"/>
      <c r="X98" s="3046"/>
      <c r="Y98" s="3046"/>
      <c r="Z98" s="691"/>
    </row>
    <row r="99" spans="1:26" s="227" customFormat="1">
      <c r="A99" s="231">
        <v>1992.2</v>
      </c>
      <c r="B99" s="3045">
        <v>421992.06239868782</v>
      </c>
      <c r="C99" s="292"/>
      <c r="D99" s="696"/>
      <c r="E99" s="3046"/>
      <c r="F99" s="682"/>
      <c r="G99" s="3046"/>
      <c r="H99" s="702"/>
      <c r="I99" s="678"/>
      <c r="J99" s="292"/>
      <c r="K99" s="671"/>
      <c r="L99" s="292"/>
      <c r="M99" s="696"/>
      <c r="N99" s="3046"/>
      <c r="O99" s="682"/>
      <c r="P99" s="3046"/>
      <c r="Q99" s="702"/>
      <c r="R99" s="678"/>
      <c r="S99" s="292"/>
      <c r="T99" s="671"/>
      <c r="U99" s="292"/>
      <c r="V99" s="678"/>
      <c r="W99" s="682"/>
      <c r="X99" s="3046"/>
      <c r="Y99" s="3046"/>
      <c r="Z99" s="691"/>
    </row>
    <row r="100" spans="1:26" s="227" customFormat="1">
      <c r="A100" s="231">
        <v>1992.3</v>
      </c>
      <c r="B100" s="3045">
        <v>418269.85525713966</v>
      </c>
      <c r="C100" s="292"/>
      <c r="D100" s="696"/>
      <c r="E100" s="3046"/>
      <c r="F100" s="682"/>
      <c r="G100" s="3046"/>
      <c r="H100" s="702"/>
      <c r="I100" s="678"/>
      <c r="J100" s="292"/>
      <c r="K100" s="671"/>
      <c r="L100" s="292"/>
      <c r="M100" s="696"/>
      <c r="N100" s="3046"/>
      <c r="O100" s="682"/>
      <c r="P100" s="3046"/>
      <c r="Q100" s="702"/>
      <c r="R100" s="678"/>
      <c r="S100" s="292"/>
      <c r="T100" s="671"/>
      <c r="U100" s="292"/>
      <c r="V100" s="678"/>
      <c r="W100" s="682"/>
      <c r="X100" s="3046"/>
      <c r="Y100" s="3046"/>
      <c r="Z100" s="691"/>
    </row>
    <row r="101" spans="1:26" s="227" customFormat="1">
      <c r="A101" s="231">
        <v>1992.4</v>
      </c>
      <c r="B101" s="3045">
        <v>414719.06672971492</v>
      </c>
      <c r="C101" s="292"/>
      <c r="D101" s="696"/>
      <c r="E101" s="3046"/>
      <c r="F101" s="682"/>
      <c r="G101" s="3046"/>
      <c r="H101" s="702"/>
      <c r="I101" s="678"/>
      <c r="J101" s="292"/>
      <c r="K101" s="671"/>
      <c r="L101" s="292"/>
      <c r="M101" s="696"/>
      <c r="N101" s="3046"/>
      <c r="O101" s="682"/>
      <c r="P101" s="3046"/>
      <c r="Q101" s="702"/>
      <c r="R101" s="678"/>
      <c r="S101" s="292"/>
      <c r="T101" s="671"/>
      <c r="U101" s="292"/>
      <c r="V101" s="678"/>
      <c r="W101" s="682"/>
      <c r="X101" s="3046"/>
      <c r="Y101" s="3046"/>
      <c r="Z101" s="691"/>
    </row>
    <row r="102" spans="1:26" s="227" customFormat="1">
      <c r="A102" s="230">
        <v>1993.1</v>
      </c>
      <c r="B102" s="3045">
        <v>390107.47024926153</v>
      </c>
      <c r="C102" s="293">
        <v>55832.986917454589</v>
      </c>
      <c r="D102" s="697">
        <v>270208.30014748866</v>
      </c>
      <c r="E102" s="3045">
        <v>47866.76015310565</v>
      </c>
      <c r="F102" s="701">
        <v>45376.267265587521</v>
      </c>
      <c r="G102" s="3045">
        <v>64126.648108945024</v>
      </c>
      <c r="H102" s="702"/>
      <c r="I102" s="678"/>
      <c r="J102" s="292"/>
      <c r="K102" s="709">
        <v>236609.89659906528</v>
      </c>
      <c r="L102" s="293">
        <v>19460.429514277577</v>
      </c>
      <c r="M102" s="697">
        <v>171018.04561648818</v>
      </c>
      <c r="N102" s="3045">
        <v>31688.107696256113</v>
      </c>
      <c r="O102" s="701">
        <v>15272.182609513335</v>
      </c>
      <c r="P102" s="3045">
        <v>34173.658627614641</v>
      </c>
      <c r="Q102" s="702"/>
      <c r="R102" s="678"/>
      <c r="S102" s="292"/>
      <c r="T102" s="671"/>
      <c r="U102" s="292"/>
      <c r="V102" s="678"/>
      <c r="W102" s="682"/>
      <c r="X102" s="3046"/>
      <c r="Y102" s="3046"/>
      <c r="Z102" s="691"/>
    </row>
    <row r="103" spans="1:26" s="227" customFormat="1">
      <c r="A103" s="230">
        <v>1993.2</v>
      </c>
      <c r="B103" s="3045">
        <v>436086.19621065236</v>
      </c>
      <c r="C103" s="293">
        <v>55468.991283353767</v>
      </c>
      <c r="D103" s="697">
        <v>294853.92975992104</v>
      </c>
      <c r="E103" s="3045">
        <v>55102.333427714941</v>
      </c>
      <c r="F103" s="701">
        <v>51528.27092037582</v>
      </c>
      <c r="G103" s="3045">
        <v>75519.289487257687</v>
      </c>
      <c r="H103" s="702"/>
      <c r="I103" s="678"/>
      <c r="J103" s="292"/>
      <c r="K103" s="709">
        <v>268467.38703982212</v>
      </c>
      <c r="L103" s="293">
        <v>19492.696397686523</v>
      </c>
      <c r="M103" s="697">
        <v>190098.95225519859</v>
      </c>
      <c r="N103" s="3045">
        <v>36636.351511888708</v>
      </c>
      <c r="O103" s="701">
        <v>17315.707101871089</v>
      </c>
      <c r="P103" s="3045">
        <v>40193.260770184825</v>
      </c>
      <c r="Q103" s="702"/>
      <c r="R103" s="678"/>
      <c r="S103" s="292"/>
      <c r="T103" s="671"/>
      <c r="U103" s="292"/>
      <c r="V103" s="678"/>
      <c r="W103" s="682"/>
      <c r="X103" s="3046"/>
      <c r="Y103" s="3046"/>
      <c r="Z103" s="691"/>
    </row>
    <row r="104" spans="1:26" s="227" customFormat="1">
      <c r="A104" s="230">
        <v>1993.3</v>
      </c>
      <c r="B104" s="3045">
        <v>437481.08426688949</v>
      </c>
      <c r="C104" s="293">
        <v>64247.391818794335</v>
      </c>
      <c r="D104" s="697">
        <v>295993.52881339204</v>
      </c>
      <c r="E104" s="3045">
        <v>56148.836354192477</v>
      </c>
      <c r="F104" s="701">
        <v>48416.991698536905</v>
      </c>
      <c r="G104" s="3045">
        <v>82847.10023219962</v>
      </c>
      <c r="H104" s="702"/>
      <c r="I104" s="678"/>
      <c r="J104" s="292"/>
      <c r="K104" s="709">
        <v>270958.87725032767</v>
      </c>
      <c r="L104" s="293">
        <v>22451.530730523766</v>
      </c>
      <c r="M104" s="697">
        <v>193422.60368435961</v>
      </c>
      <c r="N104" s="3045">
        <v>37450.937323929837</v>
      </c>
      <c r="O104" s="701">
        <v>16857.649401868042</v>
      </c>
      <c r="P104" s="3045">
        <v>43509.451497414011</v>
      </c>
      <c r="Q104" s="702"/>
      <c r="R104" s="678"/>
      <c r="S104" s="292"/>
      <c r="T104" s="671"/>
      <c r="U104" s="292"/>
      <c r="V104" s="678"/>
      <c r="W104" s="682"/>
      <c r="X104" s="3046"/>
      <c r="Y104" s="3046"/>
      <c r="Z104" s="691"/>
    </row>
    <row r="105" spans="1:26" s="227" customFormat="1">
      <c r="A105" s="230">
        <v>1993.4</v>
      </c>
      <c r="B105" s="3045">
        <v>441964.88649329194</v>
      </c>
      <c r="C105" s="293">
        <v>69336.177448976348</v>
      </c>
      <c r="D105" s="697">
        <v>301663.71782899945</v>
      </c>
      <c r="E105" s="3045">
        <v>55491.361414631545</v>
      </c>
      <c r="F105" s="701">
        <v>47327.484791094888</v>
      </c>
      <c r="G105" s="3045">
        <v>87235.996252292418</v>
      </c>
      <c r="H105" s="702"/>
      <c r="I105" s="678"/>
      <c r="J105" s="292"/>
      <c r="K105" s="709">
        <v>276688.97524076665</v>
      </c>
      <c r="L105" s="293">
        <v>24229.319379067281</v>
      </c>
      <c r="M105" s="697">
        <v>198808.96343963666</v>
      </c>
      <c r="N105" s="3045">
        <v>38853.768316654809</v>
      </c>
      <c r="O105" s="701">
        <v>16270.901215472568</v>
      </c>
      <c r="P105" s="3045">
        <v>45715.314621819634</v>
      </c>
      <c r="Q105" s="702"/>
      <c r="R105" s="678"/>
      <c r="S105" s="292"/>
      <c r="T105" s="671"/>
      <c r="U105" s="292"/>
      <c r="V105" s="678"/>
      <c r="W105" s="682"/>
      <c r="X105" s="3046"/>
      <c r="Y105" s="3046"/>
      <c r="Z105" s="691"/>
    </row>
    <row r="106" spans="1:26" s="227" customFormat="1">
      <c r="A106" s="230">
        <v>1994.1</v>
      </c>
      <c r="B106" s="3045">
        <v>419991.98122653348</v>
      </c>
      <c r="C106" s="293">
        <v>75388.899746458206</v>
      </c>
      <c r="D106" s="697">
        <v>292970.62680405739</v>
      </c>
      <c r="E106" s="3045">
        <v>49213.348985703291</v>
      </c>
      <c r="F106" s="701">
        <v>47985.077559271893</v>
      </c>
      <c r="G106" s="3045">
        <v>78309.657536667874</v>
      </c>
      <c r="H106" s="702"/>
      <c r="I106" s="678"/>
      <c r="J106" s="292"/>
      <c r="K106" s="709">
        <v>261599.04050959874</v>
      </c>
      <c r="L106" s="293">
        <v>26511.715433210946</v>
      </c>
      <c r="M106" s="697">
        <v>193375.70876758883</v>
      </c>
      <c r="N106" s="3045">
        <v>34420.52780443809</v>
      </c>
      <c r="O106" s="701">
        <v>16275.324950942309</v>
      </c>
      <c r="P106" s="3045">
        <v>40985.533075631938</v>
      </c>
      <c r="Q106" s="702"/>
      <c r="R106" s="678"/>
      <c r="S106" s="292"/>
      <c r="T106" s="671"/>
      <c r="U106" s="292"/>
      <c r="V106" s="678"/>
      <c r="W106" s="682"/>
      <c r="X106" s="3046"/>
      <c r="Y106" s="3046"/>
      <c r="Z106" s="691"/>
    </row>
    <row r="107" spans="1:26" s="227" customFormat="1">
      <c r="A107" s="230">
        <v>1994.2</v>
      </c>
      <c r="B107" s="3045">
        <v>464221.51104523765</v>
      </c>
      <c r="C107" s="293">
        <v>71189.010321592854</v>
      </c>
      <c r="D107" s="697">
        <v>314760.50407756947</v>
      </c>
      <c r="E107" s="3045">
        <v>54781.258573636369</v>
      </c>
      <c r="F107" s="701">
        <v>58228.020422460286</v>
      </c>
      <c r="G107" s="3045">
        <v>88526.912390949248</v>
      </c>
      <c r="H107" s="702"/>
      <c r="I107" s="678"/>
      <c r="J107" s="292"/>
      <c r="K107" s="709">
        <v>293426.38917031145</v>
      </c>
      <c r="L107" s="293">
        <v>25105.034819633456</v>
      </c>
      <c r="M107" s="697">
        <v>210443.38716694963</v>
      </c>
      <c r="N107" s="3045">
        <v>38798.010569294078</v>
      </c>
      <c r="O107" s="701">
        <v>20334.303323313467</v>
      </c>
      <c r="P107" s="3045">
        <v>46677.285631167819</v>
      </c>
      <c r="Q107" s="702"/>
      <c r="R107" s="678"/>
      <c r="S107" s="292"/>
      <c r="T107" s="671"/>
      <c r="U107" s="292"/>
      <c r="V107" s="678"/>
      <c r="W107" s="682"/>
      <c r="X107" s="3046"/>
      <c r="Y107" s="3046"/>
      <c r="Z107" s="691"/>
    </row>
    <row r="108" spans="1:26" s="227" customFormat="1">
      <c r="A108" s="230">
        <v>1994.3</v>
      </c>
      <c r="B108" s="3045">
        <v>456993.21911245893</v>
      </c>
      <c r="C108" s="293">
        <v>74676.975636511124</v>
      </c>
      <c r="D108" s="697">
        <v>309921.61494903214</v>
      </c>
      <c r="E108" s="3045">
        <v>55893.280086158818</v>
      </c>
      <c r="F108" s="701">
        <v>57720.91430945984</v>
      </c>
      <c r="G108" s="3045">
        <v>91370.080683309585</v>
      </c>
      <c r="H108" s="702"/>
      <c r="I108" s="678"/>
      <c r="J108" s="292"/>
      <c r="K108" s="709">
        <v>290294.11686002975</v>
      </c>
      <c r="L108" s="293">
        <v>26862.374816763589</v>
      </c>
      <c r="M108" s="697">
        <v>209652.63901395313</v>
      </c>
      <c r="N108" s="3045">
        <v>39232.223551493953</v>
      </c>
      <c r="O108" s="701">
        <v>20548.653414710854</v>
      </c>
      <c r="P108" s="3045">
        <v>48539.378745619957</v>
      </c>
      <c r="Q108" s="702"/>
      <c r="R108" s="678"/>
      <c r="S108" s="292"/>
      <c r="T108" s="671"/>
      <c r="U108" s="292"/>
      <c r="V108" s="678"/>
      <c r="W108" s="682"/>
      <c r="X108" s="3046"/>
      <c r="Y108" s="3046"/>
      <c r="Z108" s="691"/>
    </row>
    <row r="109" spans="1:26" s="227" customFormat="1">
      <c r="A109" s="230">
        <v>1994.4</v>
      </c>
      <c r="B109" s="3045">
        <v>463977.47823181393</v>
      </c>
      <c r="C109" s="293">
        <v>75377.507996321307</v>
      </c>
      <c r="D109" s="697">
        <v>315625.35658030509</v>
      </c>
      <c r="E109" s="3045">
        <v>55675.726596648623</v>
      </c>
      <c r="F109" s="701">
        <v>58181.76556495238</v>
      </c>
      <c r="G109" s="3045">
        <v>93869.365368495579</v>
      </c>
      <c r="H109" s="702"/>
      <c r="I109" s="678"/>
      <c r="J109" s="292"/>
      <c r="K109" s="709">
        <v>300590.85055135743</v>
      </c>
      <c r="L109" s="293">
        <v>27651.55280857276</v>
      </c>
      <c r="M109" s="697">
        <v>215045.32013953975</v>
      </c>
      <c r="N109" s="3045">
        <v>41211.410614248649</v>
      </c>
      <c r="O109" s="701">
        <v>20800.404178716042</v>
      </c>
      <c r="P109" s="3045">
        <v>50117.244021731822</v>
      </c>
      <c r="Q109" s="702"/>
      <c r="R109" s="678"/>
      <c r="S109" s="292"/>
      <c r="T109" s="671"/>
      <c r="U109" s="292"/>
      <c r="V109" s="678"/>
      <c r="W109" s="682"/>
      <c r="X109" s="3046"/>
      <c r="Y109" s="3046"/>
      <c r="Z109" s="691"/>
    </row>
    <row r="110" spans="1:26" s="227" customFormat="1">
      <c r="A110" s="230">
        <v>1995.1</v>
      </c>
      <c r="B110" s="3045">
        <v>429047.86682390893</v>
      </c>
      <c r="C110" s="293">
        <v>74600.3343459803</v>
      </c>
      <c r="D110" s="697">
        <v>291827.02147873404</v>
      </c>
      <c r="E110" s="3045">
        <v>47724.58330108357</v>
      </c>
      <c r="F110" s="701">
        <v>62896.205761022815</v>
      </c>
      <c r="G110" s="3045">
        <v>79252.509975427645</v>
      </c>
      <c r="H110" s="702"/>
      <c r="I110" s="678"/>
      <c r="J110" s="292"/>
      <c r="K110" s="709">
        <v>278650.19284988969</v>
      </c>
      <c r="L110" s="293">
        <v>28000.295617002448</v>
      </c>
      <c r="M110" s="697">
        <v>201947.07258156975</v>
      </c>
      <c r="N110" s="3045">
        <v>34000.466780908268</v>
      </c>
      <c r="O110" s="701">
        <v>22947.954821433574</v>
      </c>
      <c r="P110" s="3045">
        <v>42945.95805431121</v>
      </c>
      <c r="Q110" s="702"/>
      <c r="R110" s="678"/>
      <c r="S110" s="292"/>
      <c r="T110" s="671"/>
      <c r="U110" s="292"/>
      <c r="V110" s="678"/>
      <c r="W110" s="682"/>
      <c r="X110" s="3046"/>
      <c r="Y110" s="3046"/>
      <c r="Z110" s="691"/>
    </row>
    <row r="111" spans="1:26" s="227" customFormat="1">
      <c r="A111" s="230">
        <v>1995.2</v>
      </c>
      <c r="B111" s="3045">
        <v>447303.84163999039</v>
      </c>
      <c r="C111" s="293">
        <v>61633.929385907999</v>
      </c>
      <c r="D111" s="697">
        <v>295815.75312737096</v>
      </c>
      <c r="E111" s="3045">
        <v>55305.186231967513</v>
      </c>
      <c r="F111" s="701">
        <v>78020.706480183639</v>
      </c>
      <c r="G111" s="3045">
        <v>74563.724115413701</v>
      </c>
      <c r="H111" s="702"/>
      <c r="I111" s="678"/>
      <c r="J111" s="292"/>
      <c r="K111" s="709">
        <v>291110.11398831772</v>
      </c>
      <c r="L111" s="293">
        <v>23393.879229117571</v>
      </c>
      <c r="M111" s="697">
        <v>203810.66271154949</v>
      </c>
      <c r="N111" s="3045">
        <v>39450.712820240442</v>
      </c>
      <c r="O111" s="701">
        <v>29005.307433327245</v>
      </c>
      <c r="P111" s="3045">
        <v>41257.673325661221</v>
      </c>
      <c r="Q111" s="702"/>
      <c r="R111" s="678"/>
      <c r="S111" s="292"/>
      <c r="T111" s="671"/>
      <c r="U111" s="292"/>
      <c r="V111" s="678"/>
      <c r="W111" s="682"/>
      <c r="X111" s="3046"/>
      <c r="Y111" s="3046"/>
      <c r="Z111" s="691"/>
    </row>
    <row r="112" spans="1:26" s="227" customFormat="1">
      <c r="A112" s="230">
        <v>1995.3</v>
      </c>
      <c r="B112" s="3045">
        <v>436704.32555131195</v>
      </c>
      <c r="C112" s="293">
        <v>63661.582831722168</v>
      </c>
      <c r="D112" s="697">
        <v>291747.55910216004</v>
      </c>
      <c r="E112" s="3045">
        <v>55111.662159500738</v>
      </c>
      <c r="F112" s="701">
        <v>67003.507650471714</v>
      </c>
      <c r="G112" s="3045">
        <v>75628.780161919087</v>
      </c>
      <c r="H112" s="702"/>
      <c r="I112" s="678"/>
      <c r="J112" s="292"/>
      <c r="K112" s="709">
        <v>285841.50448189431</v>
      </c>
      <c r="L112" s="293">
        <v>24206.032796944433</v>
      </c>
      <c r="M112" s="697">
        <v>201035.75564440497</v>
      </c>
      <c r="N112" s="3045">
        <v>38971.762331361744</v>
      </c>
      <c r="O112" s="701">
        <v>24961.546710971994</v>
      </c>
      <c r="P112" s="3045">
        <v>41863.565326193413</v>
      </c>
      <c r="Q112" s="702"/>
      <c r="R112" s="678"/>
      <c r="S112" s="292"/>
      <c r="T112" s="671"/>
      <c r="U112" s="292"/>
      <c r="V112" s="678"/>
      <c r="W112" s="682"/>
      <c r="X112" s="3046"/>
      <c r="Y112" s="3046"/>
      <c r="Z112" s="691"/>
    </row>
    <row r="113" spans="1:26" s="227" customFormat="1">
      <c r="A113" s="230">
        <v>1995.4</v>
      </c>
      <c r="B113" s="3045">
        <v>440766.88153812947</v>
      </c>
      <c r="C113" s="293">
        <v>67646.908962298345</v>
      </c>
      <c r="D113" s="697">
        <v>299898.79276378435</v>
      </c>
      <c r="E113" s="3045">
        <v>59061.638779177687</v>
      </c>
      <c r="F113" s="701">
        <v>64233.924112025088</v>
      </c>
      <c r="G113" s="3045">
        <v>76565.183154212005</v>
      </c>
      <c r="H113" s="702"/>
      <c r="I113" s="678"/>
      <c r="J113" s="292"/>
      <c r="K113" s="709">
        <v>292943.35074082977</v>
      </c>
      <c r="L113" s="293">
        <v>25624.570518280634</v>
      </c>
      <c r="M113" s="697">
        <v>207462.80814887592</v>
      </c>
      <c r="N113" s="3045">
        <v>43490.942415866382</v>
      </c>
      <c r="O113" s="701">
        <v>23538.298298292641</v>
      </c>
      <c r="P113" s="3045">
        <v>41937.078560334696</v>
      </c>
      <c r="Q113" s="702"/>
      <c r="R113" s="678"/>
      <c r="S113" s="292"/>
      <c r="T113" s="671"/>
      <c r="U113" s="292"/>
      <c r="V113" s="678"/>
      <c r="W113" s="682"/>
      <c r="X113" s="3046"/>
      <c r="Y113" s="3046"/>
      <c r="Z113" s="691"/>
    </row>
    <row r="114" spans="1:26" s="227" customFormat="1">
      <c r="A114" s="230">
        <v>1996.1</v>
      </c>
      <c r="B114" s="3045">
        <v>426519.99169578718</v>
      </c>
      <c r="C114" s="293">
        <v>71105.297082774996</v>
      </c>
      <c r="D114" s="697">
        <v>291809.42474215064</v>
      </c>
      <c r="E114" s="3045">
        <v>49237.228285507088</v>
      </c>
      <c r="F114" s="701">
        <v>64815.254908710507</v>
      </c>
      <c r="G114" s="3045">
        <v>71231.299862598345</v>
      </c>
      <c r="H114" s="702"/>
      <c r="I114" s="678"/>
      <c r="J114" s="292"/>
      <c r="K114" s="709">
        <v>279533.79837812344</v>
      </c>
      <c r="L114" s="293">
        <v>27444.733748650357</v>
      </c>
      <c r="M114" s="697">
        <v>202116.03048846414</v>
      </c>
      <c r="N114" s="3045">
        <v>34158.969997291264</v>
      </c>
      <c r="O114" s="701">
        <v>24245.287636333342</v>
      </c>
      <c r="P114" s="3045">
        <v>39018.782517711319</v>
      </c>
      <c r="Q114" s="702"/>
      <c r="R114" s="678"/>
      <c r="S114" s="292"/>
      <c r="T114" s="671"/>
      <c r="U114" s="292"/>
      <c r="V114" s="678"/>
      <c r="W114" s="682"/>
      <c r="X114" s="3046"/>
      <c r="Y114" s="3046"/>
      <c r="Z114" s="691"/>
    </row>
    <row r="115" spans="1:26" s="227" customFormat="1">
      <c r="A115" s="230">
        <v>1996.2</v>
      </c>
      <c r="B115" s="3045">
        <v>470126.2723908574</v>
      </c>
      <c r="C115" s="293">
        <v>73369.972138618396</v>
      </c>
      <c r="D115" s="697">
        <v>311842.70393542416</v>
      </c>
      <c r="E115" s="3045">
        <v>56293.298452499235</v>
      </c>
      <c r="F115" s="701">
        <v>76299.399854769334</v>
      </c>
      <c r="G115" s="3045">
        <v>81764.080528298204</v>
      </c>
      <c r="H115" s="702"/>
      <c r="I115" s="678"/>
      <c r="J115" s="292"/>
      <c r="K115" s="709">
        <v>311768.26179025893</v>
      </c>
      <c r="L115" s="293">
        <v>27323.0526100118</v>
      </c>
      <c r="M115" s="697">
        <v>214938.40905014699</v>
      </c>
      <c r="N115" s="3045">
        <v>38897.300148481365</v>
      </c>
      <c r="O115" s="701">
        <v>30540.263209772926</v>
      </c>
      <c r="P115" s="3045">
        <v>44134.589136551229</v>
      </c>
      <c r="Q115" s="702"/>
      <c r="R115" s="678"/>
      <c r="S115" s="292"/>
      <c r="T115" s="671"/>
      <c r="U115" s="292"/>
      <c r="V115" s="678"/>
      <c r="W115" s="682"/>
      <c r="X115" s="3046"/>
      <c r="Y115" s="3046"/>
      <c r="Z115" s="691"/>
    </row>
    <row r="116" spans="1:26" s="227" customFormat="1">
      <c r="A116" s="230">
        <v>1996.3</v>
      </c>
      <c r="B116" s="3045">
        <v>472677.53575848107</v>
      </c>
      <c r="C116" s="293">
        <v>85039.91297706819</v>
      </c>
      <c r="D116" s="697">
        <v>315634.52745229215</v>
      </c>
      <c r="E116" s="3045">
        <v>56831.178738232258</v>
      </c>
      <c r="F116" s="701">
        <v>76655.837294804864</v>
      </c>
      <c r="G116" s="3045">
        <v>88579.39794964889</v>
      </c>
      <c r="H116" s="702"/>
      <c r="I116" s="678"/>
      <c r="J116" s="292"/>
      <c r="K116" s="709">
        <v>305464.51876760542</v>
      </c>
      <c r="L116" s="293">
        <v>31292.656784575069</v>
      </c>
      <c r="M116" s="697">
        <v>216380.17403711926</v>
      </c>
      <c r="N116" s="3045">
        <v>38536.659343792155</v>
      </c>
      <c r="O116" s="701">
        <v>30279.262817058283</v>
      </c>
      <c r="P116" s="3045">
        <v>46970.546055222789</v>
      </c>
      <c r="Q116" s="702"/>
      <c r="R116" s="678"/>
      <c r="S116" s="292"/>
      <c r="T116" s="671"/>
      <c r="U116" s="292"/>
      <c r="V116" s="678"/>
      <c r="W116" s="682"/>
      <c r="X116" s="3046"/>
      <c r="Y116" s="3046"/>
      <c r="Z116" s="691"/>
    </row>
    <row r="117" spans="1:26" s="227" customFormat="1">
      <c r="A117" s="230">
        <v>1996.4</v>
      </c>
      <c r="B117" s="3045">
        <v>481427.46838756884</v>
      </c>
      <c r="C117" s="293">
        <v>84925.380737034895</v>
      </c>
      <c r="D117" s="697">
        <v>325270.95759698452</v>
      </c>
      <c r="E117" s="3045">
        <v>59554.010490118388</v>
      </c>
      <c r="F117" s="701">
        <v>75194.935551500661</v>
      </c>
      <c r="G117" s="3045">
        <v>91619.245691571836</v>
      </c>
      <c r="H117" s="702"/>
      <c r="I117" s="678"/>
      <c r="J117" s="292"/>
      <c r="K117" s="709">
        <v>314619.71020362142</v>
      </c>
      <c r="L117" s="293">
        <v>31143.762611736194</v>
      </c>
      <c r="M117" s="697">
        <v>224908.82996715273</v>
      </c>
      <c r="N117" s="3045">
        <v>42408.347789397943</v>
      </c>
      <c r="O117" s="701">
        <v>29073.191664899248</v>
      </c>
      <c r="P117" s="3045">
        <v>48499.366888957862</v>
      </c>
      <c r="Q117" s="702"/>
      <c r="R117" s="678"/>
      <c r="S117" s="292"/>
      <c r="T117" s="671"/>
      <c r="U117" s="292"/>
      <c r="V117" s="678"/>
      <c r="W117" s="682"/>
      <c r="X117" s="3046"/>
      <c r="Y117" s="3046"/>
      <c r="Z117" s="691"/>
    </row>
    <row r="118" spans="1:26" s="227" customFormat="1">
      <c r="A118" s="230">
        <v>1997.1</v>
      </c>
      <c r="B118" s="3045">
        <v>462258.01508710353</v>
      </c>
      <c r="C118" s="293">
        <v>90828.41996445143</v>
      </c>
      <c r="D118" s="697">
        <v>315213.71065280418</v>
      </c>
      <c r="E118" s="3045">
        <v>50228.563760037141</v>
      </c>
      <c r="F118" s="701">
        <v>74107.704650907384</v>
      </c>
      <c r="G118" s="3045">
        <v>83344.997690317032</v>
      </c>
      <c r="H118" s="702"/>
      <c r="I118" s="678"/>
      <c r="J118" s="292"/>
      <c r="K118" s="709">
        <v>301856.9630571992</v>
      </c>
      <c r="L118" s="293">
        <v>34056.334786432897</v>
      </c>
      <c r="M118" s="697">
        <v>219212.01233819034</v>
      </c>
      <c r="N118" s="3045">
        <v>34696.823296722207</v>
      </c>
      <c r="O118" s="701">
        <v>28443.814754886283</v>
      </c>
      <c r="P118" s="3045">
        <v>44318.202713894083</v>
      </c>
      <c r="Q118" s="702"/>
      <c r="R118" s="678"/>
      <c r="S118" s="292"/>
      <c r="T118" s="671"/>
      <c r="U118" s="292"/>
      <c r="V118" s="678"/>
      <c r="W118" s="682"/>
      <c r="X118" s="3046"/>
      <c r="Y118" s="3046"/>
      <c r="Z118" s="691"/>
    </row>
    <row r="119" spans="1:26" s="227" customFormat="1">
      <c r="A119" s="230">
        <v>1997.2</v>
      </c>
      <c r="B119" s="3045">
        <v>508020.7404838574</v>
      </c>
      <c r="C119" s="293">
        <v>94982.916375115426</v>
      </c>
      <c r="D119" s="697">
        <v>339758.55701056059</v>
      </c>
      <c r="E119" s="3045">
        <v>58704.318645052852</v>
      </c>
      <c r="F119" s="701">
        <v>86601.650696390367</v>
      </c>
      <c r="G119" s="3045">
        <v>97586.570113298993</v>
      </c>
      <c r="H119" s="702"/>
      <c r="I119" s="678"/>
      <c r="J119" s="292"/>
      <c r="K119" s="709">
        <v>333696.31198497408</v>
      </c>
      <c r="L119" s="293">
        <v>34700.89493934896</v>
      </c>
      <c r="M119" s="697">
        <v>233969.52572250343</v>
      </c>
      <c r="N119" s="3045">
        <v>40240.926598516584</v>
      </c>
      <c r="O119" s="701">
        <v>33053.749272125024</v>
      </c>
      <c r="P119" s="3045">
        <v>51436.674519669454</v>
      </c>
      <c r="Q119" s="702"/>
      <c r="R119" s="678"/>
      <c r="S119" s="292"/>
      <c r="T119" s="671"/>
      <c r="U119" s="292"/>
      <c r="V119" s="678"/>
      <c r="W119" s="682"/>
      <c r="X119" s="3046"/>
      <c r="Y119" s="3046"/>
      <c r="Z119" s="691"/>
    </row>
    <row r="120" spans="1:26" s="227" customFormat="1">
      <c r="A120" s="230">
        <v>1997.3</v>
      </c>
      <c r="B120" s="3045">
        <v>512208.06382532924</v>
      </c>
      <c r="C120" s="293">
        <v>107251.21325224807</v>
      </c>
      <c r="D120" s="697">
        <v>347208.37716543576</v>
      </c>
      <c r="E120" s="3045">
        <v>57270.148309990094</v>
      </c>
      <c r="F120" s="701">
        <v>85738.366922869332</v>
      </c>
      <c r="G120" s="3045">
        <v>103923.45307353805</v>
      </c>
      <c r="H120" s="702"/>
      <c r="I120" s="678"/>
      <c r="J120" s="292"/>
      <c r="K120" s="709">
        <v>331907.44330409006</v>
      </c>
      <c r="L120" s="293">
        <v>38364.158100342953</v>
      </c>
      <c r="M120" s="697">
        <v>238794.98048596006</v>
      </c>
      <c r="N120" s="3045">
        <v>39935.484188195616</v>
      </c>
      <c r="O120" s="701">
        <v>32325.441550697877</v>
      </c>
      <c r="P120" s="3045">
        <v>54056.508192080364</v>
      </c>
      <c r="Q120" s="702"/>
      <c r="R120" s="678"/>
      <c r="S120" s="292"/>
      <c r="T120" s="671"/>
      <c r="U120" s="292"/>
      <c r="V120" s="678"/>
      <c r="W120" s="682"/>
      <c r="X120" s="3046"/>
      <c r="Y120" s="3046"/>
      <c r="Z120" s="691"/>
    </row>
    <row r="121" spans="1:26" s="227" customFormat="1">
      <c r="A121" s="230">
        <v>1997.4</v>
      </c>
      <c r="B121" s="3045">
        <v>518379.74956964067</v>
      </c>
      <c r="C121" s="293">
        <v>105873.07854478131</v>
      </c>
      <c r="D121" s="697">
        <v>354095.48759613704</v>
      </c>
      <c r="E121" s="3045">
        <v>62857.448440746251</v>
      </c>
      <c r="F121" s="701">
        <v>82193.394371000657</v>
      </c>
      <c r="G121" s="3045">
        <v>107190.60944556628</v>
      </c>
      <c r="H121" s="702"/>
      <c r="I121" s="678"/>
      <c r="J121" s="292"/>
      <c r="K121" s="709">
        <v>336105.49278298591</v>
      </c>
      <c r="L121" s="293">
        <v>38327.226125356814</v>
      </c>
      <c r="M121" s="697">
        <v>242501.77071341072</v>
      </c>
      <c r="N121" s="3045">
        <v>45018.678906296256</v>
      </c>
      <c r="O121" s="701">
        <v>30557.958151651877</v>
      </c>
      <c r="P121" s="3045">
        <v>56095.219905218109</v>
      </c>
      <c r="Q121" s="702"/>
      <c r="R121" s="678"/>
      <c r="S121" s="292"/>
      <c r="T121" s="671"/>
      <c r="U121" s="292"/>
      <c r="V121" s="678"/>
      <c r="W121" s="682"/>
      <c r="X121" s="3046"/>
      <c r="Y121" s="3046"/>
      <c r="Z121" s="691"/>
    </row>
    <row r="122" spans="1:26" s="227" customFormat="1">
      <c r="A122" s="230">
        <v>1998.1</v>
      </c>
      <c r="B122" s="3045">
        <v>489869.52345667523</v>
      </c>
      <c r="C122" s="293">
        <v>106187.75089833625</v>
      </c>
      <c r="D122" s="697">
        <v>332452.2688988889</v>
      </c>
      <c r="E122" s="3045">
        <v>50986.367502871261</v>
      </c>
      <c r="F122" s="701">
        <v>82095.093660981016</v>
      </c>
      <c r="G122" s="3045">
        <v>98062.39885772283</v>
      </c>
      <c r="H122" s="702"/>
      <c r="I122" s="678"/>
      <c r="J122" s="292"/>
      <c r="K122" s="709">
        <v>314658.29404032527</v>
      </c>
      <c r="L122" s="293">
        <v>38471.455206618484</v>
      </c>
      <c r="M122" s="697">
        <v>226607.68344791111</v>
      </c>
      <c r="N122" s="3045">
        <v>36242.546219742071</v>
      </c>
      <c r="O122" s="701">
        <v>29132.308857085765</v>
      </c>
      <c r="P122" s="3045">
        <v>51312.334378418054</v>
      </c>
      <c r="Q122" s="702"/>
      <c r="R122" s="678"/>
      <c r="S122" s="292"/>
      <c r="T122" s="671"/>
      <c r="U122" s="292"/>
      <c r="V122" s="678"/>
      <c r="W122" s="682"/>
      <c r="X122" s="3046"/>
      <c r="Y122" s="3046"/>
      <c r="Z122" s="691"/>
    </row>
    <row r="123" spans="1:26" s="227" customFormat="1">
      <c r="A123" s="230">
        <v>1998.2</v>
      </c>
      <c r="B123" s="3045">
        <v>543066.38424307934</v>
      </c>
      <c r="C123" s="293">
        <v>108742.07224513729</v>
      </c>
      <c r="D123" s="697">
        <v>359941.34777200123</v>
      </c>
      <c r="E123" s="3045">
        <v>60472.788978559525</v>
      </c>
      <c r="F123" s="701">
        <v>100633.70761674643</v>
      </c>
      <c r="G123" s="3045">
        <v>107721.78264873201</v>
      </c>
      <c r="H123" s="702"/>
      <c r="I123" s="678"/>
      <c r="J123" s="292"/>
      <c r="K123" s="709">
        <v>347335.35001794738</v>
      </c>
      <c r="L123" s="293">
        <v>37849.442996325546</v>
      </c>
      <c r="M123" s="697">
        <v>243186.325187262</v>
      </c>
      <c r="N123" s="3045">
        <v>43113.305778154558</v>
      </c>
      <c r="O123" s="701">
        <v>35286.52921103363</v>
      </c>
      <c r="P123" s="3045">
        <v>55728.731693982445</v>
      </c>
      <c r="Q123" s="702"/>
      <c r="R123" s="678"/>
      <c r="S123" s="292"/>
      <c r="T123" s="671"/>
      <c r="U123" s="292"/>
      <c r="V123" s="678"/>
      <c r="W123" s="682"/>
      <c r="X123" s="3046"/>
      <c r="Y123" s="3046"/>
      <c r="Z123" s="691"/>
    </row>
    <row r="124" spans="1:26" s="227" customFormat="1">
      <c r="A124" s="230">
        <v>1998.3</v>
      </c>
      <c r="B124" s="3045">
        <v>528837.04411536339</v>
      </c>
      <c r="C124" s="293">
        <v>115004.7978712443</v>
      </c>
      <c r="D124" s="697">
        <v>356828.53529840411</v>
      </c>
      <c r="E124" s="3045">
        <v>62098.409080150763</v>
      </c>
      <c r="F124" s="701">
        <v>96150.630505361522</v>
      </c>
      <c r="G124" s="3045">
        <v>108072.2530497836</v>
      </c>
      <c r="H124" s="702"/>
      <c r="I124" s="678"/>
      <c r="J124" s="292"/>
      <c r="K124" s="709">
        <v>339930.4384770586</v>
      </c>
      <c r="L124" s="293">
        <v>39315.836782091159</v>
      </c>
      <c r="M124" s="697">
        <v>242520.71006943594</v>
      </c>
      <c r="N124" s="3045">
        <v>44107.269365091575</v>
      </c>
      <c r="O124" s="701">
        <v>32661.645446398088</v>
      </c>
      <c r="P124" s="3045">
        <v>55883.612684212079</v>
      </c>
      <c r="Q124" s="702"/>
      <c r="R124" s="678"/>
      <c r="S124" s="292"/>
      <c r="T124" s="671"/>
      <c r="U124" s="292"/>
      <c r="V124" s="678"/>
      <c r="W124" s="682"/>
      <c r="X124" s="3046"/>
      <c r="Y124" s="3046"/>
      <c r="Z124" s="691"/>
    </row>
    <row r="125" spans="1:26" s="227" customFormat="1">
      <c r="A125" s="230">
        <v>1998.4</v>
      </c>
      <c r="B125" s="3045">
        <v>516130.55898870452</v>
      </c>
      <c r="C125" s="293">
        <v>102567.16623698898</v>
      </c>
      <c r="D125" s="697">
        <v>354185.63053601526</v>
      </c>
      <c r="E125" s="3045">
        <v>63192.198918187794</v>
      </c>
      <c r="F125" s="701">
        <v>84674.522833674622</v>
      </c>
      <c r="G125" s="3045">
        <v>103844.53514831454</v>
      </c>
      <c r="H125" s="702"/>
      <c r="I125" s="678"/>
      <c r="J125" s="292"/>
      <c r="K125" s="709">
        <v>328747.47721836157</v>
      </c>
      <c r="L125" s="293">
        <v>34685.344634091634</v>
      </c>
      <c r="M125" s="697">
        <v>237837.049824538</v>
      </c>
      <c r="N125" s="3045">
        <v>45609.209910310106</v>
      </c>
      <c r="O125" s="701">
        <v>28140.185638554143</v>
      </c>
      <c r="P125" s="3045">
        <v>53392.362061730957</v>
      </c>
      <c r="Q125" s="702"/>
      <c r="R125" s="678"/>
      <c r="S125" s="292"/>
      <c r="T125" s="671"/>
      <c r="U125" s="292"/>
      <c r="V125" s="678"/>
      <c r="W125" s="682"/>
      <c r="X125" s="3046"/>
      <c r="Y125" s="3046"/>
      <c r="Z125" s="691"/>
    </row>
    <row r="126" spans="1:26" s="227" customFormat="1">
      <c r="A126" s="230">
        <v>1999.1</v>
      </c>
      <c r="B126" s="3045">
        <v>477829.81501512165</v>
      </c>
      <c r="C126" s="293">
        <v>93998.185656896225</v>
      </c>
      <c r="D126" s="697">
        <v>329373.44098329241</v>
      </c>
      <c r="E126" s="3045">
        <v>52603.776668241313</v>
      </c>
      <c r="F126" s="701">
        <v>82497.46401655236</v>
      </c>
      <c r="G126" s="3045">
        <v>83126.807400649719</v>
      </c>
      <c r="H126" s="702"/>
      <c r="I126" s="678"/>
      <c r="J126" s="292"/>
      <c r="K126" s="709">
        <v>301284.91281428275</v>
      </c>
      <c r="L126" s="293">
        <v>32039.848952189473</v>
      </c>
      <c r="M126" s="697">
        <v>222054.85999290639</v>
      </c>
      <c r="N126" s="3045">
        <v>38457.80522004285</v>
      </c>
      <c r="O126" s="701">
        <v>25837.832405439618</v>
      </c>
      <c r="P126" s="3045">
        <v>42962.272371667845</v>
      </c>
      <c r="Q126" s="702"/>
      <c r="R126" s="678"/>
      <c r="S126" s="292"/>
      <c r="T126" s="671"/>
      <c r="U126" s="292"/>
      <c r="V126" s="678"/>
      <c r="W126" s="682"/>
      <c r="X126" s="3046"/>
      <c r="Y126" s="3046"/>
      <c r="Z126" s="691"/>
    </row>
    <row r="127" spans="1:26" s="227" customFormat="1">
      <c r="A127" s="230">
        <v>1999.2</v>
      </c>
      <c r="B127" s="3045">
        <v>516391.04691406211</v>
      </c>
      <c r="C127" s="293">
        <v>89177.29089609762</v>
      </c>
      <c r="D127" s="697">
        <v>347133.56726731278</v>
      </c>
      <c r="E127" s="3045">
        <v>61449.573976456479</v>
      </c>
      <c r="F127" s="701">
        <v>97411.702458952161</v>
      </c>
      <c r="G127" s="3045">
        <v>91580.660949687284</v>
      </c>
      <c r="H127" s="702"/>
      <c r="I127" s="678"/>
      <c r="J127" s="292"/>
      <c r="K127" s="709">
        <v>321408.08262064442</v>
      </c>
      <c r="L127" s="293">
        <v>29332.540806889443</v>
      </c>
      <c r="M127" s="697">
        <v>230387.69182220512</v>
      </c>
      <c r="N127" s="3045">
        <v>43897.993282287396</v>
      </c>
      <c r="O127" s="701">
        <v>29829.248272454752</v>
      </c>
      <c r="P127" s="3045">
        <v>46591.177550945147</v>
      </c>
      <c r="Q127" s="702"/>
      <c r="R127" s="678"/>
      <c r="S127" s="292"/>
      <c r="T127" s="671"/>
      <c r="U127" s="292"/>
      <c r="V127" s="678"/>
      <c r="W127" s="682"/>
      <c r="X127" s="3046"/>
      <c r="Y127" s="3046"/>
      <c r="Z127" s="691"/>
    </row>
    <row r="128" spans="1:26" s="227" customFormat="1">
      <c r="A128" s="230">
        <v>1999.3</v>
      </c>
      <c r="B128" s="3045">
        <v>502076.17554000195</v>
      </c>
      <c r="C128" s="293">
        <v>101442.22294817585</v>
      </c>
      <c r="D128" s="697">
        <v>345347.55133070721</v>
      </c>
      <c r="E128" s="3045">
        <v>63248.673839505675</v>
      </c>
      <c r="F128" s="701">
        <v>91080.90531608196</v>
      </c>
      <c r="G128" s="3045">
        <v>94077.163518938818</v>
      </c>
      <c r="H128" s="702"/>
      <c r="I128" s="678"/>
      <c r="J128" s="292"/>
      <c r="K128" s="709">
        <v>317243.07941856951</v>
      </c>
      <c r="L128" s="293">
        <v>33158.304657822475</v>
      </c>
      <c r="M128" s="697">
        <v>229853.73321110153</v>
      </c>
      <c r="N128" s="3045">
        <v>45446.558263717583</v>
      </c>
      <c r="O128" s="701">
        <v>28146.218005103787</v>
      </c>
      <c r="P128" s="3045">
        <v>47492.889545358237</v>
      </c>
      <c r="Q128" s="702"/>
      <c r="R128" s="678"/>
      <c r="S128" s="292"/>
      <c r="T128" s="671"/>
      <c r="U128" s="292"/>
      <c r="V128" s="678"/>
      <c r="W128" s="682"/>
      <c r="X128" s="3046"/>
      <c r="Y128" s="3046"/>
      <c r="Z128" s="691"/>
    </row>
    <row r="129" spans="1:26" s="227" customFormat="1">
      <c r="A129" s="230">
        <v>1999.4</v>
      </c>
      <c r="B129" s="3045">
        <v>511259.94238205242</v>
      </c>
      <c r="C129" s="293">
        <v>99155.109559799239</v>
      </c>
      <c r="D129" s="697">
        <v>353510.77966766234</v>
      </c>
      <c r="E129" s="3045">
        <v>65654.936783258119</v>
      </c>
      <c r="F129" s="701">
        <v>87982.092053777116</v>
      </c>
      <c r="G129" s="3045">
        <v>96244.852872105737</v>
      </c>
      <c r="H129" s="702"/>
      <c r="I129" s="678"/>
      <c r="J129" s="292"/>
      <c r="K129" s="709">
        <v>322074.6161268882</v>
      </c>
      <c r="L129" s="293">
        <v>32836.802096627311</v>
      </c>
      <c r="M129" s="697">
        <v>233039.10907588067</v>
      </c>
      <c r="N129" s="3045">
        <v>48310.935497921979</v>
      </c>
      <c r="O129" s="701">
        <v>28237.105661118436</v>
      </c>
      <c r="P129" s="3045">
        <v>48340.267100950085</v>
      </c>
      <c r="Q129" s="702"/>
      <c r="R129" s="678"/>
      <c r="S129" s="292"/>
      <c r="T129" s="671"/>
      <c r="U129" s="292"/>
      <c r="V129" s="678"/>
      <c r="W129" s="682"/>
      <c r="X129" s="3046"/>
      <c r="Y129" s="3046"/>
      <c r="Z129" s="691"/>
    </row>
    <row r="130" spans="1:26" s="227" customFormat="1">
      <c r="A130" s="230">
        <v>2000.1</v>
      </c>
      <c r="B130" s="3045">
        <v>476984.73376513412</v>
      </c>
      <c r="C130" s="293">
        <v>95027.400576406755</v>
      </c>
      <c r="D130" s="697">
        <v>330886.68037473218</v>
      </c>
      <c r="E130" s="3045">
        <v>53145.290112711824</v>
      </c>
      <c r="F130" s="701">
        <v>85401.251066875615</v>
      </c>
      <c r="G130" s="3045">
        <v>78924.75953823376</v>
      </c>
      <c r="H130" s="702"/>
      <c r="I130" s="678"/>
      <c r="J130" s="292"/>
      <c r="K130" s="709">
        <v>300948.74719266227</v>
      </c>
      <c r="L130" s="293">
        <v>32742.924266095946</v>
      </c>
      <c r="M130" s="697">
        <v>221604.57703739221</v>
      </c>
      <c r="N130" s="3045">
        <v>38985.824663143889</v>
      </c>
      <c r="O130" s="701">
        <v>28667.063001785769</v>
      </c>
      <c r="P130" s="3045">
        <v>39815.702637402297</v>
      </c>
      <c r="Q130" s="702"/>
      <c r="R130" s="678"/>
      <c r="S130" s="292"/>
      <c r="T130" s="671"/>
      <c r="U130" s="292"/>
      <c r="V130" s="678"/>
      <c r="W130" s="682"/>
      <c r="X130" s="3046"/>
      <c r="Y130" s="3046"/>
      <c r="Z130" s="691"/>
    </row>
    <row r="131" spans="1:26" s="227" customFormat="1">
      <c r="A131" s="230">
        <v>2000.2</v>
      </c>
      <c r="B131" s="3045">
        <v>514340.80485263764</v>
      </c>
      <c r="C131" s="293">
        <v>92473.804320139083</v>
      </c>
      <c r="D131" s="697">
        <v>346912.17128932074</v>
      </c>
      <c r="E131" s="3045">
        <v>61604.379255324086</v>
      </c>
      <c r="F131" s="701">
        <v>100293.52808480221</v>
      </c>
      <c r="G131" s="3045">
        <v>84584.615673549895</v>
      </c>
      <c r="H131" s="702"/>
      <c r="I131" s="678"/>
      <c r="J131" s="292"/>
      <c r="K131" s="709">
        <v>324708.79439257958</v>
      </c>
      <c r="L131" s="293">
        <v>31078.365920459459</v>
      </c>
      <c r="M131" s="697">
        <v>228469.9212379455</v>
      </c>
      <c r="N131" s="3045">
        <v>44708.954930954649</v>
      </c>
      <c r="O131" s="701">
        <v>33831.169715147807</v>
      </c>
      <c r="P131" s="3045">
        <v>41632.365435444386</v>
      </c>
      <c r="Q131" s="702"/>
      <c r="R131" s="678"/>
      <c r="S131" s="292"/>
      <c r="T131" s="671"/>
      <c r="U131" s="292"/>
      <c r="V131" s="678"/>
      <c r="W131" s="682"/>
      <c r="X131" s="3046"/>
      <c r="Y131" s="3046"/>
      <c r="Z131" s="691"/>
    </row>
    <row r="132" spans="1:26" s="227" customFormat="1">
      <c r="A132" s="230">
        <v>2000.3</v>
      </c>
      <c r="B132" s="3045">
        <v>499002.6227618194</v>
      </c>
      <c r="C132" s="293">
        <v>99168.373151804975</v>
      </c>
      <c r="D132" s="697">
        <v>344485.9950184832</v>
      </c>
      <c r="E132" s="3045">
        <v>64269.902397678103</v>
      </c>
      <c r="F132" s="701">
        <v>92420.423191712034</v>
      </c>
      <c r="G132" s="3045">
        <v>87612.032614117634</v>
      </c>
      <c r="H132" s="702"/>
      <c r="I132" s="678"/>
      <c r="J132" s="292"/>
      <c r="K132" s="709">
        <v>319923.37801808486</v>
      </c>
      <c r="L132" s="293">
        <v>32694.303873374567</v>
      </c>
      <c r="M132" s="697">
        <v>228759.35652739095</v>
      </c>
      <c r="N132" s="3045">
        <v>46102.607520695143</v>
      </c>
      <c r="O132" s="701">
        <v>31638.849375161521</v>
      </c>
      <c r="P132" s="3045">
        <v>42451.140342947896</v>
      </c>
      <c r="Q132" s="702"/>
      <c r="R132" s="678"/>
      <c r="S132" s="292"/>
      <c r="T132" s="671"/>
      <c r="U132" s="292"/>
      <c r="V132" s="678"/>
      <c r="W132" s="682"/>
      <c r="X132" s="3046"/>
      <c r="Y132" s="3046"/>
      <c r="Z132" s="691"/>
    </row>
    <row r="133" spans="1:26" s="227" customFormat="1">
      <c r="A133" s="230">
        <v>2000.4</v>
      </c>
      <c r="B133" s="3045">
        <v>501389.215538927</v>
      </c>
      <c r="C133" s="293">
        <v>96498.525508226187</v>
      </c>
      <c r="D133" s="697">
        <v>344007.85829224263</v>
      </c>
      <c r="E133" s="3045">
        <v>65339.387537554583</v>
      </c>
      <c r="F133" s="701">
        <v>90557.79429529293</v>
      </c>
      <c r="G133" s="3045">
        <v>89070.521310655953</v>
      </c>
      <c r="H133" s="702"/>
      <c r="I133" s="678"/>
      <c r="J133" s="292"/>
      <c r="K133" s="709">
        <v>319459.75468103803</v>
      </c>
      <c r="L133" s="293">
        <v>32047.122374337498</v>
      </c>
      <c r="M133" s="697">
        <v>228100.34760295495</v>
      </c>
      <c r="N133" s="3045">
        <v>47523.208809026604</v>
      </c>
      <c r="O133" s="701">
        <v>31431.415080999977</v>
      </c>
      <c r="P133" s="3045">
        <v>43143.310136985187</v>
      </c>
      <c r="Q133" s="702"/>
      <c r="R133" s="678"/>
      <c r="S133" s="292"/>
      <c r="T133" s="671"/>
      <c r="U133" s="292"/>
      <c r="V133" s="678"/>
      <c r="W133" s="682"/>
      <c r="X133" s="3046"/>
      <c r="Y133" s="3046"/>
      <c r="Z133" s="691"/>
    </row>
    <row r="134" spans="1:26" s="227" customFormat="1">
      <c r="A134" s="230">
        <v>2001.1</v>
      </c>
      <c r="B134" s="3045">
        <v>467327.98020122526</v>
      </c>
      <c r="C134" s="293">
        <v>95760.038297133608</v>
      </c>
      <c r="D134" s="697">
        <v>324821.90882167732</v>
      </c>
      <c r="E134" s="3045">
        <v>53406.638281550171</v>
      </c>
      <c r="F134" s="701">
        <v>85998.518531777561</v>
      </c>
      <c r="G134" s="3045">
        <v>71437.716802517461</v>
      </c>
      <c r="H134" s="702"/>
      <c r="I134" s="678"/>
      <c r="J134" s="292"/>
      <c r="K134" s="709">
        <v>293032.65526660072</v>
      </c>
      <c r="L134" s="293">
        <v>32432.670866213062</v>
      </c>
      <c r="M134" s="697">
        <v>217205.06397109193</v>
      </c>
      <c r="N134" s="3045">
        <v>39229.527470439847</v>
      </c>
      <c r="O134" s="701">
        <v>29535.184775063633</v>
      </c>
      <c r="P134" s="3045">
        <v>35224.719127261051</v>
      </c>
      <c r="Q134" s="702"/>
      <c r="R134" s="678"/>
      <c r="S134" s="292"/>
      <c r="T134" s="671"/>
      <c r="U134" s="292"/>
      <c r="V134" s="678"/>
      <c r="W134" s="682"/>
      <c r="X134" s="3046"/>
      <c r="Y134" s="3046"/>
      <c r="Z134" s="691"/>
    </row>
    <row r="135" spans="1:26" s="227" customFormat="1">
      <c r="A135" s="230">
        <v>2001.2</v>
      </c>
      <c r="B135" s="3045">
        <v>513476.44066776638</v>
      </c>
      <c r="C135" s="293">
        <v>88617.934333661091</v>
      </c>
      <c r="D135" s="697">
        <v>339735.27351119113</v>
      </c>
      <c r="E135" s="3045">
        <v>61863.441194788822</v>
      </c>
      <c r="F135" s="701">
        <v>104894.97068656218</v>
      </c>
      <c r="G135" s="3045">
        <v>79368.34102127784</v>
      </c>
      <c r="H135" s="702"/>
      <c r="I135" s="678"/>
      <c r="J135" s="292"/>
      <c r="K135" s="709">
        <v>320513.64040712977</v>
      </c>
      <c r="L135" s="293">
        <v>29263.061802370466</v>
      </c>
      <c r="M135" s="697">
        <v>223721.96303890817</v>
      </c>
      <c r="N135" s="3045">
        <v>45412.96790283305</v>
      </c>
      <c r="O135" s="701">
        <v>34433.505470026532</v>
      </c>
      <c r="P135" s="3045">
        <v>37761.943689051419</v>
      </c>
      <c r="Q135" s="702"/>
      <c r="R135" s="678"/>
      <c r="S135" s="292"/>
      <c r="T135" s="671"/>
      <c r="U135" s="292"/>
      <c r="V135" s="678"/>
      <c r="W135" s="682"/>
      <c r="X135" s="3046"/>
      <c r="Y135" s="3046"/>
      <c r="Z135" s="691"/>
    </row>
    <row r="136" spans="1:26" s="227" customFormat="1">
      <c r="A136" s="230">
        <v>2001.3</v>
      </c>
      <c r="B136" s="3045">
        <v>474407.55452212208</v>
      </c>
      <c r="C136" s="293">
        <v>81410.553248736906</v>
      </c>
      <c r="D136" s="697">
        <v>321608.84873993252</v>
      </c>
      <c r="E136" s="3045">
        <v>62914.359975502048</v>
      </c>
      <c r="F136" s="701">
        <v>97661.085422442484</v>
      </c>
      <c r="G136" s="3045">
        <v>72537.134129722574</v>
      </c>
      <c r="H136" s="702"/>
      <c r="I136" s="678"/>
      <c r="J136" s="292"/>
      <c r="K136" s="709">
        <v>301975.77693355677</v>
      </c>
      <c r="L136" s="293">
        <v>25711.4615579702</v>
      </c>
      <c r="M136" s="697">
        <v>212302.36339876449</v>
      </c>
      <c r="N136" s="3045">
        <v>44042.948631393323</v>
      </c>
      <c r="O136" s="701">
        <v>32362.232091958314</v>
      </c>
      <c r="P136" s="3045">
        <v>34392.354873793949</v>
      </c>
      <c r="Q136" s="702"/>
      <c r="R136" s="678"/>
      <c r="S136" s="292"/>
      <c r="T136" s="671"/>
      <c r="U136" s="292"/>
      <c r="V136" s="678"/>
      <c r="W136" s="682"/>
      <c r="X136" s="3046"/>
      <c r="Y136" s="3046"/>
      <c r="Z136" s="691"/>
    </row>
    <row r="137" spans="1:26" s="227" customFormat="1">
      <c r="A137" s="230">
        <v>2001.4</v>
      </c>
      <c r="B137" s="3045">
        <v>448693.77514926653</v>
      </c>
      <c r="C137" s="293">
        <v>63940.723480362074</v>
      </c>
      <c r="D137" s="697">
        <v>301683.02957772167</v>
      </c>
      <c r="E137" s="3045">
        <v>61117.748772341329</v>
      </c>
      <c r="F137" s="701">
        <v>90223.714538895962</v>
      </c>
      <c r="G137" s="3045">
        <v>63571.108414489987</v>
      </c>
      <c r="H137" s="702"/>
      <c r="I137" s="678"/>
      <c r="J137" s="292"/>
      <c r="K137" s="709">
        <v>280494.09009854216</v>
      </c>
      <c r="L137" s="293">
        <v>19905.002800562201</v>
      </c>
      <c r="M137" s="697">
        <v>199025.18838737693</v>
      </c>
      <c r="N137" s="3045">
        <v>43485.344711597863</v>
      </c>
      <c r="O137" s="701">
        <v>28790.085689514421</v>
      </c>
      <c r="P137" s="3045">
        <v>30911.03836524803</v>
      </c>
      <c r="Q137" s="702"/>
      <c r="R137" s="678"/>
      <c r="S137" s="292"/>
      <c r="T137" s="671"/>
      <c r="U137" s="292"/>
      <c r="V137" s="678"/>
      <c r="W137" s="682"/>
      <c r="X137" s="3046"/>
      <c r="Y137" s="3046"/>
      <c r="Z137" s="691"/>
    </row>
    <row r="138" spans="1:26" s="227" customFormat="1">
      <c r="A138" s="230">
        <v>2002.1</v>
      </c>
      <c r="B138" s="3045">
        <v>390971.78161748796</v>
      </c>
      <c r="C138" s="293">
        <v>40790.453254311644</v>
      </c>
      <c r="D138" s="697">
        <v>263741.96356834128</v>
      </c>
      <c r="E138" s="3045">
        <v>49388.848535118639</v>
      </c>
      <c r="F138" s="701">
        <v>90842.596949323575</v>
      </c>
      <c r="G138" s="3045">
        <v>39032.439125758618</v>
      </c>
      <c r="H138" s="702"/>
      <c r="I138" s="678"/>
      <c r="J138" s="292"/>
      <c r="K138" s="709">
        <v>263795.25608557678</v>
      </c>
      <c r="L138" s="293">
        <v>26607.697507921774</v>
      </c>
      <c r="M138" s="697">
        <v>188121.78648774297</v>
      </c>
      <c r="N138" s="3045">
        <v>36131.642785762793</v>
      </c>
      <c r="O138" s="701">
        <v>50055.24332563093</v>
      </c>
      <c r="P138" s="3045">
        <v>22806.63070879368</v>
      </c>
      <c r="Q138" s="702"/>
      <c r="R138" s="678"/>
      <c r="S138" s="292"/>
      <c r="T138" s="671"/>
      <c r="U138" s="292"/>
      <c r="V138" s="678"/>
      <c r="W138" s="682"/>
      <c r="X138" s="3046"/>
      <c r="Y138" s="3046"/>
      <c r="Z138" s="691"/>
    </row>
    <row r="139" spans="1:26" s="227" customFormat="1">
      <c r="A139" s="230">
        <v>2002.2</v>
      </c>
      <c r="B139" s="3045">
        <v>444096.35812527052</v>
      </c>
      <c r="C139" s="293">
        <v>38988.820128507781</v>
      </c>
      <c r="D139" s="697">
        <v>281444.93805727817</v>
      </c>
      <c r="E139" s="3045">
        <v>59260.362065791574</v>
      </c>
      <c r="F139" s="701">
        <v>103262.98736311993</v>
      </c>
      <c r="G139" s="3045">
        <v>45204.04789420365</v>
      </c>
      <c r="H139" s="702"/>
      <c r="I139" s="678"/>
      <c r="J139" s="292"/>
      <c r="K139" s="709">
        <v>377246.2363398766</v>
      </c>
      <c r="L139" s="293">
        <v>40333.555401725462</v>
      </c>
      <c r="M139" s="697">
        <v>232798.68376540919</v>
      </c>
      <c r="N139" s="3045">
        <v>44191.633813912638</v>
      </c>
      <c r="O139" s="701">
        <v>96635.416148953009</v>
      </c>
      <c r="P139" s="3045">
        <v>33383.301229522403</v>
      </c>
      <c r="Q139" s="702"/>
      <c r="R139" s="678"/>
      <c r="S139" s="292"/>
      <c r="T139" s="671"/>
      <c r="U139" s="292"/>
      <c r="V139" s="678"/>
      <c r="W139" s="682"/>
      <c r="X139" s="3046"/>
      <c r="Y139" s="3046"/>
      <c r="Z139" s="691"/>
    </row>
    <row r="140" spans="1:26" s="227" customFormat="1">
      <c r="A140" s="230">
        <v>2002.3</v>
      </c>
      <c r="B140" s="3045">
        <v>428054.00766313821</v>
      </c>
      <c r="C140" s="293">
        <v>41086.539467135975</v>
      </c>
      <c r="D140" s="697">
        <v>277215.16163047351</v>
      </c>
      <c r="E140" s="3045">
        <v>58637.794025136696</v>
      </c>
      <c r="F140" s="701">
        <v>100976.76776463469</v>
      </c>
      <c r="G140" s="3045">
        <v>45895.743138856124</v>
      </c>
      <c r="H140" s="702"/>
      <c r="I140" s="678"/>
      <c r="J140" s="292"/>
      <c r="K140" s="709">
        <v>371680.07404421788</v>
      </c>
      <c r="L140" s="293">
        <v>46652.085963959529</v>
      </c>
      <c r="M140" s="697">
        <v>232778.57177694075</v>
      </c>
      <c r="N140" s="3045">
        <v>45547.088835025686</v>
      </c>
      <c r="O140" s="701">
        <v>107077.49153025853</v>
      </c>
      <c r="P140" s="3045">
        <v>36593.615539623919</v>
      </c>
      <c r="Q140" s="702"/>
      <c r="R140" s="678"/>
      <c r="S140" s="292"/>
      <c r="T140" s="671"/>
      <c r="U140" s="292"/>
      <c r="V140" s="678"/>
      <c r="W140" s="682"/>
      <c r="X140" s="3046"/>
      <c r="Y140" s="3046"/>
      <c r="Z140" s="691"/>
    </row>
    <row r="141" spans="1:26" s="227" customFormat="1">
      <c r="A141" s="230">
        <v>2002.4</v>
      </c>
      <c r="B141" s="3045">
        <v>433362.88015682786</v>
      </c>
      <c r="C141" s="293">
        <v>43802.444860630007</v>
      </c>
      <c r="D141" s="697">
        <v>280586.64285386197</v>
      </c>
      <c r="E141" s="3045">
        <v>59863.085222103633</v>
      </c>
      <c r="F141" s="701">
        <v>95411.379903247493</v>
      </c>
      <c r="G141" s="3045">
        <v>52208.756907014424</v>
      </c>
      <c r="H141" s="702"/>
      <c r="I141" s="678"/>
      <c r="J141" s="292"/>
      <c r="K141" s="709">
        <v>378627.45979797421</v>
      </c>
      <c r="L141" s="293">
        <v>48877.588187821108</v>
      </c>
      <c r="M141" s="697">
        <v>236839.97418097852</v>
      </c>
      <c r="N141" s="3045">
        <v>47239.581914780545</v>
      </c>
      <c r="O141" s="701">
        <v>103019.47294989554</v>
      </c>
      <c r="P141" s="3045">
        <v>42921.253462813045</v>
      </c>
      <c r="Q141" s="702"/>
      <c r="R141" s="678"/>
      <c r="S141" s="292"/>
      <c r="T141" s="671"/>
      <c r="U141" s="292"/>
      <c r="V141" s="678"/>
      <c r="W141" s="682"/>
      <c r="X141" s="3046"/>
      <c r="Y141" s="3046"/>
      <c r="Z141" s="691"/>
    </row>
    <row r="142" spans="1:26" s="227" customFormat="1">
      <c r="A142" s="230">
        <v>2003.1</v>
      </c>
      <c r="B142" s="3045">
        <v>412150.09254573</v>
      </c>
      <c r="C142" s="293">
        <v>46900.951806164645</v>
      </c>
      <c r="D142" s="697">
        <v>272055.09667803335</v>
      </c>
      <c r="E142" s="3045">
        <v>49283.293538047452</v>
      </c>
      <c r="F142" s="701">
        <v>95433.992184847346</v>
      </c>
      <c r="G142" s="3045">
        <v>47520.388659071548</v>
      </c>
      <c r="H142" s="702"/>
      <c r="I142" s="678"/>
      <c r="J142" s="292"/>
      <c r="K142" s="709">
        <v>364286.1557127501</v>
      </c>
      <c r="L142" s="293">
        <v>46836.897189950614</v>
      </c>
      <c r="M142" s="697">
        <v>235348.73365322826</v>
      </c>
      <c r="N142" s="3045">
        <v>41227.448298621181</v>
      </c>
      <c r="O142" s="701">
        <v>93328.599823345881</v>
      </c>
      <c r="P142" s="3045">
        <v>40174.743849634404</v>
      </c>
      <c r="Q142" s="702"/>
      <c r="R142" s="678"/>
      <c r="S142" s="292"/>
      <c r="T142" s="671"/>
      <c r="U142" s="292"/>
      <c r="V142" s="678"/>
      <c r="W142" s="682"/>
      <c r="X142" s="3046"/>
      <c r="Y142" s="3046"/>
      <c r="Z142" s="691"/>
    </row>
    <row r="143" spans="1:26" s="227" customFormat="1">
      <c r="A143" s="230">
        <v>2003.2</v>
      </c>
      <c r="B143" s="3045">
        <v>478511.05001799093</v>
      </c>
      <c r="C143" s="293">
        <v>53111.425812615686</v>
      </c>
      <c r="D143" s="697">
        <v>301143.44725036446</v>
      </c>
      <c r="E143" s="3045">
        <v>61445.419000378148</v>
      </c>
      <c r="F143" s="701">
        <v>111372.52606068354</v>
      </c>
      <c r="G143" s="3045">
        <v>60173.289054514564</v>
      </c>
      <c r="H143" s="702"/>
      <c r="I143" s="678"/>
      <c r="J143" s="292"/>
      <c r="K143" s="709">
        <v>444136.98029849515</v>
      </c>
      <c r="L143" s="293">
        <v>49322.695014334698</v>
      </c>
      <c r="M143" s="697">
        <v>285395.22559033643</v>
      </c>
      <c r="N143" s="3045">
        <v>49713.601906918964</v>
      </c>
      <c r="O143" s="701">
        <v>104034.29570196834</v>
      </c>
      <c r="P143" s="3045">
        <v>48678.627762416676</v>
      </c>
      <c r="Q143" s="702"/>
      <c r="R143" s="678"/>
      <c r="S143" s="292"/>
      <c r="T143" s="671"/>
      <c r="U143" s="292"/>
      <c r="V143" s="678"/>
      <c r="W143" s="682"/>
      <c r="X143" s="3046"/>
      <c r="Y143" s="3046"/>
      <c r="Z143" s="691"/>
    </row>
    <row r="144" spans="1:26" s="227" customFormat="1">
      <c r="A144" s="230">
        <v>2003.3</v>
      </c>
      <c r="B144" s="3045">
        <v>471537.26727521425</v>
      </c>
      <c r="C144" s="293">
        <v>60058.089602319793</v>
      </c>
      <c r="D144" s="697">
        <v>305914.77213519852</v>
      </c>
      <c r="E144" s="3045">
        <v>59723.434255220731</v>
      </c>
      <c r="F144" s="701">
        <v>106405.24952223647</v>
      </c>
      <c r="G144" s="3045">
        <v>66500.953158983655</v>
      </c>
      <c r="H144" s="702"/>
      <c r="I144" s="678"/>
      <c r="J144" s="292"/>
      <c r="K144" s="709">
        <v>420510.59358218138</v>
      </c>
      <c r="L144" s="293">
        <v>55980.438534274355</v>
      </c>
      <c r="M144" s="697">
        <v>279787.29130874237</v>
      </c>
      <c r="N144" s="3045">
        <v>49282.39265061036</v>
      </c>
      <c r="O144" s="701">
        <v>96225.543092959619</v>
      </c>
      <c r="P144" s="3045">
        <v>53191.164360399438</v>
      </c>
      <c r="Q144" s="702"/>
      <c r="R144" s="678"/>
      <c r="S144" s="292"/>
      <c r="T144" s="671"/>
      <c r="U144" s="292"/>
      <c r="V144" s="678"/>
      <c r="W144" s="682"/>
      <c r="X144" s="3046"/>
      <c r="Y144" s="3046"/>
      <c r="Z144" s="691"/>
    </row>
    <row r="145" spans="1:26" s="227" customFormat="1" ht="11.25" customHeight="1">
      <c r="A145" s="230">
        <v>2003.4</v>
      </c>
      <c r="B145" s="3045">
        <v>484205.69149454072</v>
      </c>
      <c r="C145" s="293">
        <v>66456.033909013131</v>
      </c>
      <c r="D145" s="697">
        <v>313978.20090282941</v>
      </c>
      <c r="E145" s="3045">
        <v>60016.202181554821</v>
      </c>
      <c r="F145" s="701">
        <v>100693.50166659399</v>
      </c>
      <c r="G145" s="3045">
        <v>77738.948038147719</v>
      </c>
      <c r="H145" s="292"/>
      <c r="I145" s="678"/>
      <c r="J145" s="292"/>
      <c r="K145" s="709">
        <v>444304.74769692507</v>
      </c>
      <c r="L145" s="293">
        <v>62884.113701668139</v>
      </c>
      <c r="M145" s="697">
        <v>292915.10052331147</v>
      </c>
      <c r="N145" s="3045">
        <v>54394.840007001687</v>
      </c>
      <c r="O145" s="701">
        <v>98422.399693610496</v>
      </c>
      <c r="P145" s="3045">
        <v>64501.558311019588</v>
      </c>
      <c r="Q145" s="702"/>
      <c r="R145" s="678"/>
      <c r="S145" s="292"/>
      <c r="T145" s="671"/>
      <c r="U145" s="292"/>
      <c r="V145" s="678"/>
      <c r="W145" s="682"/>
      <c r="X145" s="3046"/>
      <c r="Y145" s="3046"/>
      <c r="Z145" s="692"/>
    </row>
    <row r="146" spans="1:26" s="227" customFormat="1">
      <c r="A146" s="230">
        <v>2004.1</v>
      </c>
      <c r="B146" s="3047">
        <v>460369.44223294873</v>
      </c>
      <c r="C146" s="294">
        <v>73073.434811126848</v>
      </c>
      <c r="D146" s="698">
        <v>305237.17340565822</v>
      </c>
      <c r="E146" s="3047">
        <v>49687.342190580537</v>
      </c>
      <c r="F146" s="683">
        <v>102774.20298138498</v>
      </c>
      <c r="G146" s="3047">
        <v>71794.433853449518</v>
      </c>
      <c r="H146" s="703">
        <v>3949.8212589709524</v>
      </c>
      <c r="I146" s="678"/>
      <c r="J146" s="706">
        <f t="shared" ref="J146:J200" si="0">I146+H146</f>
        <v>3949.8212589709524</v>
      </c>
      <c r="K146" s="672">
        <v>439195.86500017258</v>
      </c>
      <c r="L146" s="294">
        <v>69300.98673287862</v>
      </c>
      <c r="M146" s="698">
        <v>291921.51061212993</v>
      </c>
      <c r="N146" s="3047">
        <v>47170.595604831338</v>
      </c>
      <c r="O146" s="683">
        <v>100001.75529035171</v>
      </c>
      <c r="P146" s="3047">
        <v>65561.353206954533</v>
      </c>
      <c r="Q146" s="683">
        <v>3841.4185253754799</v>
      </c>
      <c r="R146" s="678"/>
      <c r="S146" s="706">
        <f>R146+Q146</f>
        <v>3841.4185253754799</v>
      </c>
      <c r="T146" s="672">
        <v>476108.55676881986</v>
      </c>
      <c r="U146" s="294">
        <v>76725.676007937305</v>
      </c>
      <c r="V146" s="679">
        <v>302762.30716278101</v>
      </c>
      <c r="W146" s="683">
        <v>52661.134855419899</v>
      </c>
      <c r="X146" s="3047">
        <v>75422.430201828305</v>
      </c>
      <c r="Y146" s="3047">
        <v>111608.34097999</v>
      </c>
      <c r="Z146" s="693">
        <f>SUM(T146:U146)-SUM(V146:Y146)</f>
        <v>10380.019576738006</v>
      </c>
    </row>
    <row r="147" spans="1:26" s="227" customFormat="1">
      <c r="A147" s="230">
        <v>2004.2</v>
      </c>
      <c r="B147" s="3048">
        <v>514395.68177236168</v>
      </c>
      <c r="C147" s="295">
        <v>80006.307217458598</v>
      </c>
      <c r="D147" s="229">
        <v>338800.00167642522</v>
      </c>
      <c r="E147" s="3048">
        <v>52072.277957257422</v>
      </c>
      <c r="F147" s="684">
        <v>119462.27741173614</v>
      </c>
      <c r="G147" s="3048">
        <v>81995.480315906025</v>
      </c>
      <c r="H147" s="684">
        <v>2071.9331349479112</v>
      </c>
      <c r="I147" s="678"/>
      <c r="J147" s="707">
        <f t="shared" si="0"/>
        <v>2071.9331349479112</v>
      </c>
      <c r="K147" s="673">
        <v>509498.6632468832</v>
      </c>
      <c r="L147" s="295">
        <v>78118.806134275597</v>
      </c>
      <c r="M147" s="229">
        <v>334394.65892603161</v>
      </c>
      <c r="N147" s="3048">
        <v>50275.44449939442</v>
      </c>
      <c r="O147" s="684">
        <v>120749.89710227489</v>
      </c>
      <c r="P147" s="3048">
        <v>80070.028064612954</v>
      </c>
      <c r="Q147" s="684">
        <v>2127.3566905942962</v>
      </c>
      <c r="R147" s="678"/>
      <c r="S147" s="707">
        <f t="shared" ref="S147:S201" si="1">R147+Q147</f>
        <v>2127.3566905942962</v>
      </c>
      <c r="T147" s="673">
        <v>469991.72910487285</v>
      </c>
      <c r="U147" s="295">
        <v>80629.0764259758</v>
      </c>
      <c r="V147" s="680">
        <v>304380.63121830701</v>
      </c>
      <c r="W147" s="684">
        <v>52822.157393737703</v>
      </c>
      <c r="X147" s="3048">
        <v>76440.984313437599</v>
      </c>
      <c r="Y147" s="3048">
        <v>114126.47718238</v>
      </c>
      <c r="Z147" s="694">
        <f>SUM(T147:U147)-SUM(V147:Y147)</f>
        <v>2850.5554229863919</v>
      </c>
    </row>
    <row r="148" spans="1:26" s="227" customFormat="1">
      <c r="A148" s="230">
        <v>2004.3</v>
      </c>
      <c r="B148" s="3048">
        <v>481151.97994350811</v>
      </c>
      <c r="C148" s="295">
        <v>85416.072521139111</v>
      </c>
      <c r="D148" s="229">
        <v>310440.57413146732</v>
      </c>
      <c r="E148" s="3048">
        <v>53720.816256870574</v>
      </c>
      <c r="F148" s="684">
        <v>119619.17122810414</v>
      </c>
      <c r="G148" s="3048">
        <v>79254.313812163426</v>
      </c>
      <c r="H148" s="684">
        <v>3533.1507230072061</v>
      </c>
      <c r="I148" s="678"/>
      <c r="J148" s="707">
        <f t="shared" si="0"/>
        <v>3533.1507230072061</v>
      </c>
      <c r="K148" s="673">
        <v>488462.38259118347</v>
      </c>
      <c r="L148" s="295">
        <v>87675.425341549242</v>
      </c>
      <c r="M148" s="229">
        <v>314867.08027685073</v>
      </c>
      <c r="N148" s="3048">
        <v>54912.188305730371</v>
      </c>
      <c r="O148" s="684">
        <v>120599.67062461989</v>
      </c>
      <c r="P148" s="3048">
        <v>82294.818300392202</v>
      </c>
      <c r="Q148" s="684">
        <v>3464.2001501778004</v>
      </c>
      <c r="R148" s="678"/>
      <c r="S148" s="707">
        <f t="shared" si="1"/>
        <v>3464.2001501778004</v>
      </c>
      <c r="T148" s="673">
        <v>493768.26639860211</v>
      </c>
      <c r="U148" s="295">
        <v>82343.692493758397</v>
      </c>
      <c r="V148" s="680">
        <v>316919.537169524</v>
      </c>
      <c r="W148" s="684">
        <v>54487.672259868501</v>
      </c>
      <c r="X148" s="3048">
        <v>77414.532341541606</v>
      </c>
      <c r="Y148" s="3048">
        <v>117175.117135022</v>
      </c>
      <c r="Z148" s="694">
        <f t="shared" ref="Z148:Z193" si="2">SUM(T148:U148)-SUM(V148:Y148)</f>
        <v>10115.09998640453</v>
      </c>
    </row>
    <row r="149" spans="1:26" s="227" customFormat="1">
      <c r="A149" s="230">
        <v>2004.4</v>
      </c>
      <c r="B149" s="3048">
        <v>484543.6768765623</v>
      </c>
      <c r="C149" s="295">
        <v>88375.321572668574</v>
      </c>
      <c r="D149" s="229">
        <v>293849.79395204922</v>
      </c>
      <c r="E149" s="3048">
        <v>60194.718175438473</v>
      </c>
      <c r="F149" s="684">
        <v>120898.05016710557</v>
      </c>
      <c r="G149" s="3048">
        <v>75368.480470838374</v>
      </c>
      <c r="H149" s="684">
        <v>22607.903844412853</v>
      </c>
      <c r="I149" s="678"/>
      <c r="J149" s="707">
        <f t="shared" si="0"/>
        <v>22607.903844412853</v>
      </c>
      <c r="K149" s="673">
        <v>503303.86806077929</v>
      </c>
      <c r="L149" s="295">
        <v>91775.9179136897</v>
      </c>
      <c r="M149" s="229">
        <v>307144.29254431714</v>
      </c>
      <c r="N149" s="3048">
        <v>63316.925050190854</v>
      </c>
      <c r="O149" s="684">
        <v>121402.37877108427</v>
      </c>
      <c r="P149" s="3048">
        <v>80486.508880397654</v>
      </c>
      <c r="Q149" s="684">
        <v>22729.833595099299</v>
      </c>
      <c r="R149" s="678"/>
      <c r="S149" s="707">
        <f t="shared" si="1"/>
        <v>22729.833595099299</v>
      </c>
      <c r="T149" s="673">
        <v>500592.22861417488</v>
      </c>
      <c r="U149" s="295">
        <v>87172.691379864496</v>
      </c>
      <c r="V149" s="680">
        <v>324265.066438796</v>
      </c>
      <c r="W149" s="684">
        <v>55704.190021012699</v>
      </c>
      <c r="X149" s="3048">
        <v>79134.761479024906</v>
      </c>
      <c r="Y149" s="3048">
        <v>119843.766974178</v>
      </c>
      <c r="Z149" s="694">
        <f t="shared" si="2"/>
        <v>8817.1350810277509</v>
      </c>
    </row>
    <row r="150" spans="1:26" s="227" customFormat="1">
      <c r="A150" s="230">
        <v>2005.1</v>
      </c>
      <c r="B150" s="3048">
        <v>493602.53057785495</v>
      </c>
      <c r="C150" s="295">
        <v>84904.777449941423</v>
      </c>
      <c r="D150" s="229">
        <v>319799.76251832145</v>
      </c>
      <c r="E150" s="3048">
        <v>54179.355471642251</v>
      </c>
      <c r="F150" s="684">
        <v>119186.92694656595</v>
      </c>
      <c r="G150" s="3048">
        <v>80672.434723857747</v>
      </c>
      <c r="H150" s="684">
        <v>4668.8283674091235</v>
      </c>
      <c r="I150" s="678"/>
      <c r="J150" s="707">
        <f t="shared" si="0"/>
        <v>4668.8283674091235</v>
      </c>
      <c r="K150" s="673">
        <v>510703.42701511632</v>
      </c>
      <c r="L150" s="295">
        <v>88106.33085835255</v>
      </c>
      <c r="M150" s="229">
        <v>329383.73535335076</v>
      </c>
      <c r="N150" s="3048">
        <v>60446.017998914125</v>
      </c>
      <c r="O150" s="684">
        <v>116402.46462199275</v>
      </c>
      <c r="P150" s="3048">
        <v>88292.808996233114</v>
      </c>
      <c r="Q150" s="684">
        <v>4284.730899772886</v>
      </c>
      <c r="R150" s="678"/>
      <c r="S150" s="707">
        <f t="shared" si="1"/>
        <v>4284.730899772886</v>
      </c>
      <c r="T150" s="673">
        <v>515014.27142859471</v>
      </c>
      <c r="U150" s="295">
        <v>89020.985784770193</v>
      </c>
      <c r="V150" s="680">
        <v>319081.43524243799</v>
      </c>
      <c r="W150" s="684">
        <v>57536.811358840103</v>
      </c>
      <c r="X150" s="3048">
        <v>84456.914511594994</v>
      </c>
      <c r="Y150" s="3048">
        <v>127930.703341407</v>
      </c>
      <c r="Z150" s="694">
        <f t="shared" si="2"/>
        <v>15029.392759084818</v>
      </c>
    </row>
    <row r="151" spans="1:26" s="227" customFormat="1">
      <c r="A151" s="230">
        <v>2005.2</v>
      </c>
      <c r="B151" s="3048">
        <v>581668.24987960246</v>
      </c>
      <c r="C151" s="295">
        <v>97288.203296056818</v>
      </c>
      <c r="D151" s="229">
        <v>385778.07211062423</v>
      </c>
      <c r="E151" s="3048">
        <v>58212.171986110239</v>
      </c>
      <c r="F151" s="684">
        <v>138217.54798367393</v>
      </c>
      <c r="G151" s="3048">
        <v>94508.358707974621</v>
      </c>
      <c r="H151" s="684">
        <v>2240.3023872762333</v>
      </c>
      <c r="I151" s="678"/>
      <c r="J151" s="707">
        <f t="shared" si="0"/>
        <v>2240.3023872762333</v>
      </c>
      <c r="K151" s="673">
        <v>605771.77584651019</v>
      </c>
      <c r="L151" s="295">
        <v>103231.14457395862</v>
      </c>
      <c r="M151" s="229">
        <v>400294.00505751109</v>
      </c>
      <c r="N151" s="3048">
        <v>66443.386709894927</v>
      </c>
      <c r="O151" s="684">
        <v>138861.52384866087</v>
      </c>
      <c r="P151" s="3048">
        <v>104017.9437655482</v>
      </c>
      <c r="Q151" s="684">
        <v>-613.93896321337479</v>
      </c>
      <c r="R151" s="678"/>
      <c r="S151" s="707">
        <f t="shared" si="1"/>
        <v>-613.93896321337479</v>
      </c>
      <c r="T151" s="673">
        <v>527047.24003317778</v>
      </c>
      <c r="U151" s="295">
        <v>98373.378244145002</v>
      </c>
      <c r="V151" s="680">
        <v>346559.27025875199</v>
      </c>
      <c r="W151" s="684">
        <v>58950.9723332906</v>
      </c>
      <c r="X151" s="3048">
        <v>89174.200587926505</v>
      </c>
      <c r="Y151" s="3048">
        <v>134065.731745814</v>
      </c>
      <c r="Z151" s="694">
        <f t="shared" si="2"/>
        <v>-3329.5566484603332</v>
      </c>
    </row>
    <row r="152" spans="1:26" s="227" customFormat="1">
      <c r="A152" s="230">
        <v>2005.3</v>
      </c>
      <c r="B152" s="3048">
        <v>514697.78950542817</v>
      </c>
      <c r="C152" s="295">
        <v>96844.893037090456</v>
      </c>
      <c r="D152" s="229">
        <v>323831.36566135968</v>
      </c>
      <c r="E152" s="3048">
        <v>58977.839293055164</v>
      </c>
      <c r="F152" s="684">
        <v>135432.69307676284</v>
      </c>
      <c r="G152" s="3048">
        <v>89948.604167109792</v>
      </c>
      <c r="H152" s="684">
        <v>3352.1803442310757</v>
      </c>
      <c r="I152" s="678"/>
      <c r="J152" s="707">
        <f t="shared" si="0"/>
        <v>3352.1803442310757</v>
      </c>
      <c r="K152" s="673">
        <v>590219.55914262927</v>
      </c>
      <c r="L152" s="295">
        <v>102375.72168727528</v>
      </c>
      <c r="M152" s="229">
        <v>370307.88751717459</v>
      </c>
      <c r="N152" s="3048">
        <v>71261.081776276333</v>
      </c>
      <c r="O152" s="684">
        <v>142090.95886911501</v>
      </c>
      <c r="P152" s="3048">
        <v>103532.80505222286</v>
      </c>
      <c r="Q152" s="684">
        <v>5402.5476190675927</v>
      </c>
      <c r="R152" s="678"/>
      <c r="S152" s="707">
        <f t="shared" si="1"/>
        <v>5402.5476190675927</v>
      </c>
      <c r="T152" s="673">
        <v>529957.64525553817</v>
      </c>
      <c r="U152" s="295">
        <v>93046.386602757004</v>
      </c>
      <c r="V152" s="680">
        <v>331341.85192670597</v>
      </c>
      <c r="W152" s="684">
        <v>59829.948198212704</v>
      </c>
      <c r="X152" s="3048">
        <v>87863.862848375502</v>
      </c>
      <c r="Y152" s="3048">
        <v>132248.076250888</v>
      </c>
      <c r="Z152" s="694">
        <f t="shared" si="2"/>
        <v>11720.292634112993</v>
      </c>
    </row>
    <row r="153" spans="1:26" s="227" customFormat="1">
      <c r="A153" s="230">
        <v>2005.4</v>
      </c>
      <c r="B153" s="3048">
        <v>522255.20005077147</v>
      </c>
      <c r="C153" s="295">
        <v>99636.557923835848</v>
      </c>
      <c r="D153" s="229">
        <v>311201.93506826391</v>
      </c>
      <c r="E153" s="3048">
        <v>65561.512622711351</v>
      </c>
      <c r="F153" s="684">
        <v>129550.81848020395</v>
      </c>
      <c r="G153" s="3048">
        <v>92100.022937559741</v>
      </c>
      <c r="H153" s="684">
        <v>23477.468865868381</v>
      </c>
      <c r="I153" s="678"/>
      <c r="J153" s="707">
        <f t="shared" si="0"/>
        <v>23477.468865868381</v>
      </c>
      <c r="K153" s="673">
        <v>623457.92974484281</v>
      </c>
      <c r="L153" s="295">
        <v>109528.9126465569</v>
      </c>
      <c r="M153" s="229">
        <v>368695.44949314673</v>
      </c>
      <c r="N153" s="3048">
        <v>84773.419972487434</v>
      </c>
      <c r="O153" s="684">
        <v>144309.47515352926</v>
      </c>
      <c r="P153" s="3048">
        <v>108464.65877516926</v>
      </c>
      <c r="Q153" s="684">
        <v>26743.838994612328</v>
      </c>
      <c r="R153" s="678"/>
      <c r="S153" s="707">
        <f t="shared" si="1"/>
        <v>26743.838994612328</v>
      </c>
      <c r="T153" s="673">
        <v>540204.61329634662</v>
      </c>
      <c r="U153" s="295">
        <v>98233.6810752522</v>
      </c>
      <c r="V153" s="680">
        <v>343628.57793067303</v>
      </c>
      <c r="W153" s="684">
        <v>60613.1474831757</v>
      </c>
      <c r="X153" s="3048">
        <v>95734.442588604797</v>
      </c>
      <c r="Y153" s="3048">
        <v>128143.475149099</v>
      </c>
      <c r="Z153" s="694">
        <f t="shared" si="2"/>
        <v>10318.651220046333</v>
      </c>
    </row>
    <row r="154" spans="1:26" s="227" customFormat="1">
      <c r="A154" s="230">
        <v>2006.1</v>
      </c>
      <c r="B154" s="3048">
        <v>532348.2120169173</v>
      </c>
      <c r="C154" s="295">
        <v>96613.891639486697</v>
      </c>
      <c r="D154" s="229">
        <v>354888.1198370661</v>
      </c>
      <c r="E154" s="3048">
        <v>56878.879612771321</v>
      </c>
      <c r="F154" s="684">
        <v>125801.74305657322</v>
      </c>
      <c r="G154" s="3048">
        <v>93836.573169233787</v>
      </c>
      <c r="H154" s="684">
        <v>-2443.2120192403586</v>
      </c>
      <c r="I154" s="678"/>
      <c r="J154" s="707">
        <f t="shared" si="0"/>
        <v>-2443.2120192403586</v>
      </c>
      <c r="K154" s="673">
        <v>643562.37958706089</v>
      </c>
      <c r="L154" s="295">
        <v>111472.72410810947</v>
      </c>
      <c r="M154" s="229">
        <v>420680.07284991292</v>
      </c>
      <c r="N154" s="3048">
        <v>77417.348977918664</v>
      </c>
      <c r="O154" s="684">
        <v>143494.78432027518</v>
      </c>
      <c r="P154" s="3048">
        <v>116110.67319549512</v>
      </c>
      <c r="Q154" s="684">
        <v>-2667.7756484591591</v>
      </c>
      <c r="R154" s="678"/>
      <c r="S154" s="707">
        <f t="shared" si="1"/>
        <v>-2667.7756484591591</v>
      </c>
      <c r="T154" s="673">
        <v>554503.31611100945</v>
      </c>
      <c r="U154" s="295">
        <v>101242.499790574</v>
      </c>
      <c r="V154" s="680">
        <v>353447.83240125101</v>
      </c>
      <c r="W154" s="684">
        <v>60509.850757832603</v>
      </c>
      <c r="X154" s="3048">
        <v>98147.965548927401</v>
      </c>
      <c r="Y154" s="3048">
        <v>137558.49297444001</v>
      </c>
      <c r="Z154" s="694">
        <f t="shared" si="2"/>
        <v>6081.674219132401</v>
      </c>
    </row>
    <row r="155" spans="1:26" s="227" customFormat="1">
      <c r="A155" s="230">
        <v>2006.2</v>
      </c>
      <c r="B155" s="3048">
        <v>614076.39260854386</v>
      </c>
      <c r="C155" s="295">
        <v>101743.8617298436</v>
      </c>
      <c r="D155" s="229">
        <v>412814.66669057618</v>
      </c>
      <c r="E155" s="3048">
        <v>60002.962566283692</v>
      </c>
      <c r="F155" s="684">
        <v>141431.39484319702</v>
      </c>
      <c r="G155" s="3048">
        <v>105355.8130616704</v>
      </c>
      <c r="H155" s="684">
        <v>-3784.5828233397406</v>
      </c>
      <c r="I155" s="678"/>
      <c r="J155" s="707">
        <f t="shared" si="0"/>
        <v>-3784.5828233397406</v>
      </c>
      <c r="K155" s="673">
        <v>727989.18726691091</v>
      </c>
      <c r="L155" s="295">
        <v>119596.41054544807</v>
      </c>
      <c r="M155" s="229">
        <v>472564.97061645391</v>
      </c>
      <c r="N155" s="3048">
        <v>85196.547558208549</v>
      </c>
      <c r="O155" s="684">
        <v>165070.51189350447</v>
      </c>
      <c r="P155" s="3048">
        <v>130833.71283691305</v>
      </c>
      <c r="Q155" s="684">
        <v>-6080.1450941790172</v>
      </c>
      <c r="R155" s="678"/>
      <c r="S155" s="707">
        <f t="shared" si="1"/>
        <v>-6080.1450941790172</v>
      </c>
      <c r="T155" s="673">
        <v>561136.99107111851</v>
      </c>
      <c r="U155" s="295">
        <v>103482.750261911</v>
      </c>
      <c r="V155" s="680">
        <v>371949.84053589503</v>
      </c>
      <c r="W155" s="684">
        <v>60714.4039728118</v>
      </c>
      <c r="X155" s="3048">
        <v>100514.56181848</v>
      </c>
      <c r="Y155" s="3048">
        <v>135319.651418742</v>
      </c>
      <c r="Z155" s="694">
        <f t="shared" si="2"/>
        <v>-3878.7164128994336</v>
      </c>
    </row>
    <row r="156" spans="1:26" s="227" customFormat="1">
      <c r="A156" s="230">
        <v>2006.3</v>
      </c>
      <c r="B156" s="3048">
        <v>562978.96562687657</v>
      </c>
      <c r="C156" s="295">
        <v>109844.576627056</v>
      </c>
      <c r="D156" s="229">
        <v>372993.09379983688</v>
      </c>
      <c r="E156" s="3048">
        <v>60840.091459644784</v>
      </c>
      <c r="F156" s="684">
        <v>139275.06000824485</v>
      </c>
      <c r="G156" s="3048">
        <v>106228.60234204463</v>
      </c>
      <c r="H156" s="684">
        <v>-6513.3053558385091</v>
      </c>
      <c r="I156" s="678"/>
      <c r="J156" s="707">
        <f t="shared" si="0"/>
        <v>-6513.3053558385091</v>
      </c>
      <c r="K156" s="673">
        <v>729299.49800619599</v>
      </c>
      <c r="L156" s="295">
        <v>132390.49380631474</v>
      </c>
      <c r="M156" s="229">
        <v>469727.00246409507</v>
      </c>
      <c r="N156" s="3048">
        <v>88513.650744116705</v>
      </c>
      <c r="O156" s="684">
        <v>169541.6449088919</v>
      </c>
      <c r="P156" s="3048">
        <v>139597.73830184387</v>
      </c>
      <c r="Q156" s="684">
        <v>-5690.0446063492363</v>
      </c>
      <c r="R156" s="678"/>
      <c r="S156" s="707">
        <f t="shared" si="1"/>
        <v>-5690.0446063492363</v>
      </c>
      <c r="T156" s="673">
        <v>576939.98140351125</v>
      </c>
      <c r="U156" s="295">
        <v>104959.450612031</v>
      </c>
      <c r="V156" s="680">
        <v>381144.37333471002</v>
      </c>
      <c r="W156" s="684">
        <v>61661.3890650721</v>
      </c>
      <c r="X156" s="3048">
        <v>103591.14120125301</v>
      </c>
      <c r="Y156" s="3048">
        <v>135636.57054202299</v>
      </c>
      <c r="Z156" s="694">
        <f t="shared" si="2"/>
        <v>-134.04212751577143</v>
      </c>
    </row>
    <row r="157" spans="1:26" s="227" customFormat="1">
      <c r="A157" s="230">
        <v>2006.4</v>
      </c>
      <c r="B157" s="3048">
        <v>572794.04663058836</v>
      </c>
      <c r="C157" s="295">
        <v>112095.47619426234</v>
      </c>
      <c r="D157" s="229">
        <v>346795.75351214455</v>
      </c>
      <c r="E157" s="3048">
        <v>68028.752176288792</v>
      </c>
      <c r="F157" s="684">
        <v>144930.84608108603</v>
      </c>
      <c r="G157" s="3048">
        <v>103509.58849471423</v>
      </c>
      <c r="H157" s="684">
        <v>21624.582560617051</v>
      </c>
      <c r="I157" s="678"/>
      <c r="J157" s="707">
        <f t="shared" si="0"/>
        <v>21624.582560617051</v>
      </c>
      <c r="K157" s="673">
        <v>762766.02207522606</v>
      </c>
      <c r="L157" s="295">
        <v>135004.04864091883</v>
      </c>
      <c r="M157" s="229">
        <v>448843.86982539098</v>
      </c>
      <c r="N157" s="3048">
        <v>104803.31529002971</v>
      </c>
      <c r="O157" s="684">
        <v>181289.42002470954</v>
      </c>
      <c r="P157" s="3048">
        <v>138392.87072482545</v>
      </c>
      <c r="Q157" s="684">
        <v>24440.594854846193</v>
      </c>
      <c r="R157" s="678"/>
      <c r="S157" s="707">
        <f t="shared" si="1"/>
        <v>24440.594854846193</v>
      </c>
      <c r="T157" s="673">
        <v>589617.3282972856</v>
      </c>
      <c r="U157" s="295">
        <v>110613.105526133</v>
      </c>
      <c r="V157" s="680">
        <v>380949.587567768</v>
      </c>
      <c r="W157" s="684">
        <v>62865.042019272099</v>
      </c>
      <c r="X157" s="3048">
        <v>106676.90849900201</v>
      </c>
      <c r="Y157" s="3048">
        <v>142924.329053895</v>
      </c>
      <c r="Z157" s="694">
        <f t="shared" si="2"/>
        <v>6814.5666834814474</v>
      </c>
    </row>
    <row r="158" spans="1:26" s="227" customFormat="1">
      <c r="A158" s="230">
        <v>2007.1</v>
      </c>
      <c r="B158" s="3048">
        <v>576846.88569942722</v>
      </c>
      <c r="C158" s="295">
        <v>112275.54046719316</v>
      </c>
      <c r="D158" s="229">
        <v>394546.92237347405</v>
      </c>
      <c r="E158" s="3048">
        <v>61224.204722923663</v>
      </c>
      <c r="F158" s="684">
        <v>129994.29307272191</v>
      </c>
      <c r="G158" s="3048">
        <v>111459.50015804857</v>
      </c>
      <c r="H158" s="684">
        <v>-8102.4941605478389</v>
      </c>
      <c r="I158" s="678"/>
      <c r="J158" s="707">
        <f t="shared" si="0"/>
        <v>-8102.4941605478389</v>
      </c>
      <c r="K158" s="673">
        <v>774387.78784127673</v>
      </c>
      <c r="L158" s="295">
        <v>139154.18921558568</v>
      </c>
      <c r="M158" s="229">
        <v>506621.02800736926</v>
      </c>
      <c r="N158" s="3048">
        <v>97650.676705075806</v>
      </c>
      <c r="O158" s="684">
        <v>168496.91895986651</v>
      </c>
      <c r="P158" s="3048">
        <v>148228.49189903785</v>
      </c>
      <c r="Q158" s="684">
        <v>-7455.1385156767692</v>
      </c>
      <c r="R158" s="678"/>
      <c r="S158" s="707">
        <f t="shared" si="1"/>
        <v>-7455.1385156767692</v>
      </c>
      <c r="T158" s="673">
        <v>603509.68682574085</v>
      </c>
      <c r="U158" s="295">
        <v>117928.92604132699</v>
      </c>
      <c r="V158" s="680">
        <v>392561.69997004297</v>
      </c>
      <c r="W158" s="684">
        <v>65373.1167829306</v>
      </c>
      <c r="X158" s="3048">
        <v>116818.57652567</v>
      </c>
      <c r="Y158" s="3048">
        <v>143392.31923546499</v>
      </c>
      <c r="Z158" s="694">
        <f t="shared" si="2"/>
        <v>3292.9003529591719</v>
      </c>
    </row>
    <row r="159" spans="1:26" s="227" customFormat="1">
      <c r="A159" s="230">
        <v>2007.2</v>
      </c>
      <c r="B159" s="3048">
        <v>674620.56300648488</v>
      </c>
      <c r="C159" s="295">
        <v>117677.32624788815</v>
      </c>
      <c r="D159" s="229">
        <v>444046.11165498366</v>
      </c>
      <c r="E159" s="3048">
        <v>65259.863868160544</v>
      </c>
      <c r="F159" s="684">
        <v>151852.51450331474</v>
      </c>
      <c r="G159" s="3048">
        <v>125373.05789199457</v>
      </c>
      <c r="H159" s="684">
        <v>5766.3413359196438</v>
      </c>
      <c r="I159" s="678"/>
      <c r="J159" s="707">
        <f t="shared" si="0"/>
        <v>5766.3413359196438</v>
      </c>
      <c r="K159" s="673">
        <v>904350.3880930806</v>
      </c>
      <c r="L159" s="295">
        <v>149392.83597633499</v>
      </c>
      <c r="M159" s="229">
        <v>576216.8994114009</v>
      </c>
      <c r="N159" s="3048">
        <v>111138.64568574482</v>
      </c>
      <c r="O159" s="684">
        <v>193068.36037436526</v>
      </c>
      <c r="P159" s="3048">
        <v>170803.77769164724</v>
      </c>
      <c r="Q159" s="684">
        <v>2515.5409091800311</v>
      </c>
      <c r="R159" s="678"/>
      <c r="S159" s="707">
        <f t="shared" si="1"/>
        <v>2515.5409091800311</v>
      </c>
      <c r="T159" s="673">
        <v>616006.72836119705</v>
      </c>
      <c r="U159" s="295">
        <v>120824.18301591701</v>
      </c>
      <c r="V159" s="680">
        <v>402396.08078830998</v>
      </c>
      <c r="W159" s="684">
        <v>65962.656456626704</v>
      </c>
      <c r="X159" s="3048">
        <v>121411.32167480201</v>
      </c>
      <c r="Y159" s="3048">
        <v>144780.17138370001</v>
      </c>
      <c r="Z159" s="694">
        <f t="shared" si="2"/>
        <v>2280.6810736752814</v>
      </c>
    </row>
    <row r="160" spans="1:26" s="227" customFormat="1">
      <c r="A160" s="230">
        <v>2007.3</v>
      </c>
      <c r="B160" s="3048">
        <v>610425.69401485357</v>
      </c>
      <c r="C160" s="295">
        <v>136188.56334207152</v>
      </c>
      <c r="D160" s="229">
        <v>403183.03818433546</v>
      </c>
      <c r="E160" s="3048">
        <v>65411.563296301509</v>
      </c>
      <c r="F160" s="684">
        <v>153959.99205222024</v>
      </c>
      <c r="G160" s="3048">
        <v>128893.70334910932</v>
      </c>
      <c r="H160" s="684">
        <v>-4834.0395250414695</v>
      </c>
      <c r="I160" s="678"/>
      <c r="J160" s="707">
        <f t="shared" si="0"/>
        <v>-4834.0395250414695</v>
      </c>
      <c r="K160" s="673">
        <v>914103.9674019193</v>
      </c>
      <c r="L160" s="295">
        <v>183313.01687331864</v>
      </c>
      <c r="M160" s="229">
        <v>589438.23177490232</v>
      </c>
      <c r="N160" s="3048">
        <v>118300.43627035344</v>
      </c>
      <c r="O160" s="684">
        <v>207489.64344238988</v>
      </c>
      <c r="P160" s="3048">
        <v>189101.60950229838</v>
      </c>
      <c r="Q160" s="684">
        <v>-6912.9367156181479</v>
      </c>
      <c r="R160" s="678"/>
      <c r="S160" s="707">
        <f t="shared" si="1"/>
        <v>-6912.9367156181479</v>
      </c>
      <c r="T160" s="673">
        <v>624349.22957086703</v>
      </c>
      <c r="U160" s="295">
        <v>129423.52901353101</v>
      </c>
      <c r="V160" s="680">
        <v>412283.47585188702</v>
      </c>
      <c r="W160" s="684">
        <v>66184.598778726096</v>
      </c>
      <c r="X160" s="3048">
        <v>125271.918556192</v>
      </c>
      <c r="Y160" s="3048">
        <v>149545.578867142</v>
      </c>
      <c r="Z160" s="694">
        <f t="shared" si="2"/>
        <v>487.18653045105748</v>
      </c>
    </row>
    <row r="161" spans="1:26" s="227" customFormat="1">
      <c r="A161" s="230">
        <v>2007.4</v>
      </c>
      <c r="B161" s="3048">
        <v>625876.86786359688</v>
      </c>
      <c r="C161" s="295">
        <v>136704.0597547481</v>
      </c>
      <c r="D161" s="229">
        <v>384630.07880417624</v>
      </c>
      <c r="E161" s="3048">
        <v>73096.788473659748</v>
      </c>
      <c r="F161" s="684">
        <v>160654.2198809369</v>
      </c>
      <c r="G161" s="3048">
        <v>126843.69936850498</v>
      </c>
      <c r="H161" s="684">
        <v>17356.141091067057</v>
      </c>
      <c r="I161" s="678"/>
      <c r="J161" s="707">
        <f t="shared" si="0"/>
        <v>17356.141091067057</v>
      </c>
      <c r="K161" s="673">
        <v>995078.55295133556</v>
      </c>
      <c r="L161" s="295">
        <v>184098.6999451606</v>
      </c>
      <c r="M161" s="229">
        <v>571294.88802087051</v>
      </c>
      <c r="N161" s="3048">
        <v>138956.88158723252</v>
      </c>
      <c r="O161" s="684">
        <v>244066.58584354116</v>
      </c>
      <c r="P161" s="3048">
        <v>192087.56402626808</v>
      </c>
      <c r="Q161" s="684">
        <v>32771.333419359624</v>
      </c>
      <c r="R161" s="678"/>
      <c r="S161" s="707">
        <f t="shared" si="1"/>
        <v>32771.333419359624</v>
      </c>
      <c r="T161" s="673">
        <v>643904.36582655646</v>
      </c>
      <c r="U161" s="295">
        <v>134668.85174112601</v>
      </c>
      <c r="V161" s="680">
        <v>419164.89440672903</v>
      </c>
      <c r="W161" s="684">
        <v>67472.048342761904</v>
      </c>
      <c r="X161" s="3048">
        <v>129068.144010993</v>
      </c>
      <c r="Y161" s="3048">
        <v>158742.95002288601</v>
      </c>
      <c r="Z161" s="694">
        <f t="shared" si="2"/>
        <v>4125.1807843125425</v>
      </c>
    </row>
    <row r="162" spans="1:26" s="227" customFormat="1">
      <c r="A162" s="230">
        <v>2008.1</v>
      </c>
      <c r="B162" s="3048">
        <v>616720.35706447833</v>
      </c>
      <c r="C162" s="295">
        <v>138615.19699718201</v>
      </c>
      <c r="D162" s="229">
        <v>434706.92070959473</v>
      </c>
      <c r="E162" s="3048">
        <v>63538.090213852025</v>
      </c>
      <c r="F162" s="684">
        <v>138205.65471421785</v>
      </c>
      <c r="G162" s="3048">
        <v>130866.27503076549</v>
      </c>
      <c r="H162" s="684">
        <v>-11981.386606769784</v>
      </c>
      <c r="I162" s="678"/>
      <c r="J162" s="707">
        <f t="shared" si="0"/>
        <v>-11981.386606769784</v>
      </c>
      <c r="K162" s="673">
        <v>1032356.8732593583</v>
      </c>
      <c r="L162" s="295">
        <v>191232.01150689326</v>
      </c>
      <c r="M162" s="229">
        <v>674136.75723869773</v>
      </c>
      <c r="N162" s="3048">
        <v>130083.88092501654</v>
      </c>
      <c r="O162" s="684">
        <v>233518.69462890347</v>
      </c>
      <c r="P162" s="3048">
        <v>202936.38542612523</v>
      </c>
      <c r="Q162" s="684">
        <v>-17086.833455485175</v>
      </c>
      <c r="R162" s="678"/>
      <c r="S162" s="707">
        <f t="shared" si="1"/>
        <v>-17086.833455485175</v>
      </c>
      <c r="T162" s="673">
        <v>650050.30125173822</v>
      </c>
      <c r="U162" s="295">
        <v>145716.765994621</v>
      </c>
      <c r="V162" s="680">
        <v>436599.62062844197</v>
      </c>
      <c r="W162" s="684">
        <v>68310.887611042897</v>
      </c>
      <c r="X162" s="3048">
        <v>137758.35639962801</v>
      </c>
      <c r="Y162" s="3048">
        <v>148048.66321690401</v>
      </c>
      <c r="Z162" s="694">
        <f t="shared" si="2"/>
        <v>5049.5393903423101</v>
      </c>
    </row>
    <row r="163" spans="1:26" s="227" customFormat="1">
      <c r="A163" s="230">
        <v>2008.2</v>
      </c>
      <c r="B163" s="3048">
        <v>711405.50045523292</v>
      </c>
      <c r="C163" s="295">
        <v>147043.53953203355</v>
      </c>
      <c r="D163" s="229">
        <v>485578.45935453649</v>
      </c>
      <c r="E163" s="3048">
        <v>69148.379392770483</v>
      </c>
      <c r="F163" s="684">
        <v>147769.55715328988</v>
      </c>
      <c r="G163" s="3048">
        <v>146972.60805294834</v>
      </c>
      <c r="H163" s="684">
        <v>8980.036033721306</v>
      </c>
      <c r="I163" s="678"/>
      <c r="J163" s="707">
        <f t="shared" si="0"/>
        <v>8980.036033721306</v>
      </c>
      <c r="K163" s="673">
        <v>1213883.4109890296</v>
      </c>
      <c r="L163" s="295">
        <v>220625.26158163598</v>
      </c>
      <c r="M163" s="229">
        <v>786479.25785748009</v>
      </c>
      <c r="N163" s="3048">
        <v>150962.64473625927</v>
      </c>
      <c r="O163" s="684">
        <v>249293.10641471308</v>
      </c>
      <c r="P163" s="3048">
        <v>234221.80476596183</v>
      </c>
      <c r="Q163" s="684">
        <v>13551.858797320265</v>
      </c>
      <c r="R163" s="678"/>
      <c r="S163" s="707">
        <f t="shared" si="1"/>
        <v>13551.858797320265</v>
      </c>
      <c r="T163" s="673">
        <v>653294.62833444751</v>
      </c>
      <c r="U163" s="295">
        <v>151081.02002122099</v>
      </c>
      <c r="V163" s="680">
        <v>443171.88749237999</v>
      </c>
      <c r="W163" s="684">
        <v>69613.667124678497</v>
      </c>
      <c r="X163" s="3048">
        <v>143941.35671865399</v>
      </c>
      <c r="Y163" s="3048">
        <v>144151.009475119</v>
      </c>
      <c r="Z163" s="694">
        <f t="shared" si="2"/>
        <v>3497.7275448370492</v>
      </c>
    </row>
    <row r="164" spans="1:26" s="227" customFormat="1">
      <c r="A164" s="230">
        <v>2008.3</v>
      </c>
      <c r="B164" s="3048">
        <v>647087.95974249416</v>
      </c>
      <c r="C164" s="295">
        <v>153056.79563738545</v>
      </c>
      <c r="D164" s="229">
        <v>425312.74440875015</v>
      </c>
      <c r="E164" s="3048">
        <v>69622.829397327776</v>
      </c>
      <c r="F164" s="684">
        <v>169221.27116816866</v>
      </c>
      <c r="G164" s="3048">
        <v>138451.48746983963</v>
      </c>
      <c r="H164" s="684">
        <v>-2463.5770642065149</v>
      </c>
      <c r="I164" s="678"/>
      <c r="J164" s="707">
        <f t="shared" si="0"/>
        <v>-2463.5770642065149</v>
      </c>
      <c r="K164" s="673">
        <v>1183692.2697064732</v>
      </c>
      <c r="L164" s="295">
        <v>231651.13955040163</v>
      </c>
      <c r="M164" s="229">
        <v>735708.42017224384</v>
      </c>
      <c r="N164" s="3048">
        <v>159058.12034225065</v>
      </c>
      <c r="O164" s="684">
        <v>290934.39040944231</v>
      </c>
      <c r="P164" s="3048">
        <v>230523.27564884457</v>
      </c>
      <c r="Q164" s="684">
        <v>-880.79731233810821</v>
      </c>
      <c r="R164" s="678"/>
      <c r="S164" s="707">
        <f t="shared" si="1"/>
        <v>-880.79731233810821</v>
      </c>
      <c r="T164" s="673">
        <v>657678.53460232506</v>
      </c>
      <c r="U164" s="295">
        <v>144213.068907824</v>
      </c>
      <c r="V164" s="680">
        <v>435399.91982977802</v>
      </c>
      <c r="W164" s="684">
        <v>70198.691047625398</v>
      </c>
      <c r="X164" s="3048">
        <v>133902.15197364101</v>
      </c>
      <c r="Y164" s="3048">
        <v>164327.64619445</v>
      </c>
      <c r="Z164" s="694">
        <f t="shared" si="2"/>
        <v>-1936.8055353453383</v>
      </c>
    </row>
    <row r="165" spans="1:26" s="227" customFormat="1">
      <c r="A165" s="230">
        <v>2008.4</v>
      </c>
      <c r="B165" s="3048">
        <v>613490.82170264097</v>
      </c>
      <c r="C165" s="295">
        <v>132326.80332668536</v>
      </c>
      <c r="D165" s="229">
        <v>398635.44285744097</v>
      </c>
      <c r="E165" s="3048">
        <v>75972.699166944643</v>
      </c>
      <c r="F165" s="684">
        <v>145677.599528055</v>
      </c>
      <c r="G165" s="3048">
        <v>119110.68925230175</v>
      </c>
      <c r="H165" s="684">
        <v>6421.1942245838236</v>
      </c>
      <c r="I165" s="678"/>
      <c r="J165" s="707">
        <f t="shared" si="0"/>
        <v>6421.1942245838236</v>
      </c>
      <c r="K165" s="673">
        <v>1168651.8083796799</v>
      </c>
      <c r="L165" s="295">
        <v>199953.49210063458</v>
      </c>
      <c r="M165" s="229">
        <v>704213.49724900292</v>
      </c>
      <c r="N165" s="3048">
        <v>186843.96270206655</v>
      </c>
      <c r="O165" s="684">
        <v>240742.92356209503</v>
      </c>
      <c r="P165" s="3048">
        <v>206516.8242355749</v>
      </c>
      <c r="Q165" s="684">
        <v>30288.092730575718</v>
      </c>
      <c r="R165" s="678"/>
      <c r="S165" s="707">
        <f t="shared" si="1"/>
        <v>30288.092730575718</v>
      </c>
      <c r="T165" s="673">
        <v>627681.17477633618</v>
      </c>
      <c r="U165" s="295">
        <v>130031.480569619</v>
      </c>
      <c r="V165" s="680">
        <v>429062.13937972201</v>
      </c>
      <c r="W165" s="684">
        <v>70158.7523875482</v>
      </c>
      <c r="X165" s="3048">
        <v>119799.19471393101</v>
      </c>
      <c r="Y165" s="3048">
        <v>144346.763677259</v>
      </c>
      <c r="Z165" s="694">
        <f t="shared" si="2"/>
        <v>-5654.1948125050403</v>
      </c>
    </row>
    <row r="166" spans="1:26" s="227" customFormat="1">
      <c r="A166" s="230">
        <v>2009.1</v>
      </c>
      <c r="B166" s="3048">
        <v>578553.04424240452</v>
      </c>
      <c r="C166" s="295">
        <v>108884.58517996111</v>
      </c>
      <c r="D166" s="229">
        <v>410435.15837710962</v>
      </c>
      <c r="E166" s="3048">
        <v>65839.054780303151</v>
      </c>
      <c r="F166" s="684">
        <v>127658.2065877633</v>
      </c>
      <c r="G166" s="3048">
        <v>95500.572106358406</v>
      </c>
      <c r="H166" s="684">
        <v>-11995.36242916899</v>
      </c>
      <c r="I166" s="678"/>
      <c r="J166" s="707">
        <f t="shared" si="0"/>
        <v>-11995.36242916899</v>
      </c>
      <c r="K166" s="673">
        <v>1112307.4883262962</v>
      </c>
      <c r="L166" s="295">
        <v>158748.34424168098</v>
      </c>
      <c r="M166" s="229">
        <v>745582.80543412548</v>
      </c>
      <c r="N166" s="3048">
        <v>168925.3136671262</v>
      </c>
      <c r="O166" s="684">
        <v>204977.71606670532</v>
      </c>
      <c r="P166" s="3048">
        <v>171002.40533113322</v>
      </c>
      <c r="Q166" s="684">
        <v>-19432.40793445547</v>
      </c>
      <c r="R166" s="678"/>
      <c r="S166" s="707">
        <f t="shared" si="1"/>
        <v>-19432.40793445547</v>
      </c>
      <c r="T166" s="673">
        <v>604992.30832894333</v>
      </c>
      <c r="U166" s="295">
        <v>114860.58000901301</v>
      </c>
      <c r="V166" s="680">
        <v>410015.141039846</v>
      </c>
      <c r="W166" s="684">
        <v>70928.347822567303</v>
      </c>
      <c r="X166" s="3048">
        <v>103892.94160349799</v>
      </c>
      <c r="Y166" s="3048">
        <v>143939.85915623599</v>
      </c>
      <c r="Z166" s="694">
        <f t="shared" si="2"/>
        <v>-8923.4012841910589</v>
      </c>
    </row>
    <row r="167" spans="1:26" s="227" customFormat="1">
      <c r="A167" s="230">
        <v>2009.2</v>
      </c>
      <c r="B167" s="3048">
        <v>631197.75186006888</v>
      </c>
      <c r="C167" s="295">
        <v>104729.45493210446</v>
      </c>
      <c r="D167" s="229">
        <v>423959.33862360148</v>
      </c>
      <c r="E167" s="3048">
        <v>71368.489362473789</v>
      </c>
      <c r="F167" s="684">
        <v>147851.62921163163</v>
      </c>
      <c r="G167" s="3048">
        <v>99870.790794023254</v>
      </c>
      <c r="H167" s="684">
        <v>-7123.0411995568838</v>
      </c>
      <c r="I167" s="678"/>
      <c r="J167" s="707">
        <f t="shared" si="0"/>
        <v>-7123.0411995568838</v>
      </c>
      <c r="K167" s="673">
        <v>1251464.7279338671</v>
      </c>
      <c r="L167" s="295">
        <v>164767.15534830542</v>
      </c>
      <c r="M167" s="229">
        <v>783242.36326699355</v>
      </c>
      <c r="N167" s="3048">
        <v>191861.73537639627</v>
      </c>
      <c r="O167" s="684">
        <v>262406.91405338224</v>
      </c>
      <c r="P167" s="3048">
        <v>183569.65373476941</v>
      </c>
      <c r="Q167" s="684">
        <v>-4848.7831458579285</v>
      </c>
      <c r="R167" s="678"/>
      <c r="S167" s="707">
        <f t="shared" si="1"/>
        <v>-4848.7831458579285</v>
      </c>
      <c r="T167" s="673">
        <v>590355.88481485459</v>
      </c>
      <c r="U167" s="295">
        <v>108077.939553244</v>
      </c>
      <c r="V167" s="680">
        <v>393007.72641159</v>
      </c>
      <c r="W167" s="684">
        <v>71937.589186311598</v>
      </c>
      <c r="X167" s="3048">
        <v>97993.794659479594</v>
      </c>
      <c r="Y167" s="3048">
        <v>137339.807157312</v>
      </c>
      <c r="Z167" s="694">
        <f t="shared" si="2"/>
        <v>-1845.0930465945276</v>
      </c>
    </row>
    <row r="168" spans="1:26" s="227" customFormat="1">
      <c r="A168" s="230">
        <v>2009.3</v>
      </c>
      <c r="B168" s="3048">
        <v>610519.85461172729</v>
      </c>
      <c r="C168" s="295">
        <v>123133.64403046449</v>
      </c>
      <c r="D168" s="229">
        <v>419318.04320998426</v>
      </c>
      <c r="E168" s="3048">
        <v>74331.011721108443</v>
      </c>
      <c r="F168" s="684">
        <v>131625.13245280623</v>
      </c>
      <c r="G168" s="3048">
        <v>108714.07912083372</v>
      </c>
      <c r="H168" s="684">
        <v>-334.76786254085039</v>
      </c>
      <c r="I168" s="678"/>
      <c r="J168" s="707">
        <f t="shared" si="0"/>
        <v>-334.76786254085039</v>
      </c>
      <c r="K168" s="673">
        <v>1269734.7452670829</v>
      </c>
      <c r="L168" s="295">
        <v>195582.56049985427</v>
      </c>
      <c r="M168" s="229">
        <v>811737.13865262375</v>
      </c>
      <c r="N168" s="3048">
        <v>199109.69134876208</v>
      </c>
      <c r="O168" s="684">
        <v>245558.22645878489</v>
      </c>
      <c r="P168" s="3048">
        <v>207506.67088168586</v>
      </c>
      <c r="Q168" s="684">
        <v>1405.5784274129992</v>
      </c>
      <c r="R168" s="678"/>
      <c r="S168" s="707">
        <f t="shared" si="1"/>
        <v>1405.5784274129992</v>
      </c>
      <c r="T168" s="673">
        <v>613829.18190150883</v>
      </c>
      <c r="U168" s="295">
        <v>115942.287504005</v>
      </c>
      <c r="V168" s="680">
        <v>426589.920286662</v>
      </c>
      <c r="W168" s="684">
        <v>74816.382643247707</v>
      </c>
      <c r="X168" s="3048">
        <v>103144.28193695701</v>
      </c>
      <c r="Y168" s="3048">
        <v>126254.091168827</v>
      </c>
      <c r="Z168" s="694">
        <f t="shared" si="2"/>
        <v>-1033.2066301798914</v>
      </c>
    </row>
    <row r="169" spans="1:26" s="227" customFormat="1">
      <c r="A169" s="230">
        <v>2009.4</v>
      </c>
      <c r="B169" s="3048">
        <v>615220.85493729718</v>
      </c>
      <c r="C169" s="295">
        <v>129128.9859125566</v>
      </c>
      <c r="D169" s="229">
        <v>396373.36918996047</v>
      </c>
      <c r="E169" s="3048">
        <v>82422.557447338622</v>
      </c>
      <c r="F169" s="684">
        <v>137574.77413312762</v>
      </c>
      <c r="G169" s="3048">
        <v>110460.32612797979</v>
      </c>
      <c r="H169" s="684">
        <v>17518.813951447286</v>
      </c>
      <c r="I169" s="678"/>
      <c r="J169" s="707">
        <f t="shared" si="0"/>
        <v>17518.813951447286</v>
      </c>
      <c r="K169" s="673">
        <v>1358210.1141728326</v>
      </c>
      <c r="L169" s="295">
        <v>204508.32772605706</v>
      </c>
      <c r="M169" s="229">
        <v>803128.64455206529</v>
      </c>
      <c r="N169" s="3048">
        <v>233980.78923290371</v>
      </c>
      <c r="O169" s="684">
        <v>263486.17464649491</v>
      </c>
      <c r="P169" s="3048">
        <v>215718.27718446965</v>
      </c>
      <c r="Q169" s="684">
        <v>46404.556284087237</v>
      </c>
      <c r="R169" s="678"/>
      <c r="S169" s="707">
        <f t="shared" si="1"/>
        <v>46404.556284087237</v>
      </c>
      <c r="T169" s="673">
        <v>626314.13060619053</v>
      </c>
      <c r="U169" s="295">
        <v>126995.862988824</v>
      </c>
      <c r="V169" s="680">
        <v>420473.12166255701</v>
      </c>
      <c r="W169" s="684">
        <v>76278.793659097297</v>
      </c>
      <c r="X169" s="3048">
        <v>109514.74994926099</v>
      </c>
      <c r="Y169" s="3048">
        <v>137175.98490295399</v>
      </c>
      <c r="Z169" s="694">
        <f t="shared" si="2"/>
        <v>9867.3434211453423</v>
      </c>
    </row>
    <row r="170" spans="1:26" s="227" customFormat="1">
      <c r="A170" s="230">
        <v>2010.1</v>
      </c>
      <c r="B170" s="3048">
        <v>611607.33658973</v>
      </c>
      <c r="C170" s="295">
        <v>131091.92974987472</v>
      </c>
      <c r="D170" s="229">
        <v>439461.24571681349</v>
      </c>
      <c r="E170" s="3048">
        <v>70569.006768553503</v>
      </c>
      <c r="F170" s="684">
        <v>124821.26202219723</v>
      </c>
      <c r="G170" s="3048">
        <v>108785.85710582584</v>
      </c>
      <c r="H170" s="684">
        <v>-938.10527378525603</v>
      </c>
      <c r="I170" s="678"/>
      <c r="J170" s="707">
        <f t="shared" si="0"/>
        <v>-938.10527378525603</v>
      </c>
      <c r="K170" s="673">
        <v>1418857.9499665094</v>
      </c>
      <c r="L170" s="295">
        <v>212716.89559377675</v>
      </c>
      <c r="M170" s="229">
        <v>955921.05986242183</v>
      </c>
      <c r="N170" s="3048">
        <v>208372.30437051196</v>
      </c>
      <c r="O170" s="684">
        <v>245386.53782325963</v>
      </c>
      <c r="P170" s="3048">
        <v>223217.86723771857</v>
      </c>
      <c r="Q170" s="684">
        <v>-1322.9237345173322</v>
      </c>
      <c r="R170" s="678"/>
      <c r="S170" s="707">
        <f t="shared" si="1"/>
        <v>-1322.9237345173322</v>
      </c>
      <c r="T170" s="673">
        <v>645628.10091322381</v>
      </c>
      <c r="U170" s="295">
        <v>139206.452112962</v>
      </c>
      <c r="V170" s="680">
        <v>440874.779154989</v>
      </c>
      <c r="W170" s="684">
        <v>76131.301485873904</v>
      </c>
      <c r="X170" s="3048">
        <v>118361.180332907</v>
      </c>
      <c r="Y170" s="3048">
        <v>142364.909025623</v>
      </c>
      <c r="Z170" s="694">
        <f t="shared" si="2"/>
        <v>7102.3830267929006</v>
      </c>
    </row>
    <row r="171" spans="1:26" s="227" customFormat="1">
      <c r="A171" s="230">
        <v>2010.2</v>
      </c>
      <c r="B171" s="3048">
        <v>733730.77396890335</v>
      </c>
      <c r="C171" s="295">
        <v>151260.05259704147</v>
      </c>
      <c r="D171" s="229">
        <v>487297.59864804189</v>
      </c>
      <c r="E171" s="3048">
        <v>77185.401450977428</v>
      </c>
      <c r="F171" s="684">
        <v>175584.32821404992</v>
      </c>
      <c r="G171" s="3048">
        <v>130038.89517350178</v>
      </c>
      <c r="H171" s="684">
        <v>14884.603079373786</v>
      </c>
      <c r="I171" s="678"/>
      <c r="J171" s="707">
        <f t="shared" si="0"/>
        <v>14884.603079373786</v>
      </c>
      <c r="K171" s="673">
        <v>1686066.954457782</v>
      </c>
      <c r="L171" s="295">
        <v>258778.5400871957</v>
      </c>
      <c r="M171" s="229">
        <v>1074344.6816862894</v>
      </c>
      <c r="N171" s="3048">
        <v>241510.39445012668</v>
      </c>
      <c r="O171" s="684">
        <v>340952.30858969351</v>
      </c>
      <c r="P171" s="3048">
        <v>269536.45616702735</v>
      </c>
      <c r="Q171" s="684">
        <v>18501.653652567191</v>
      </c>
      <c r="R171" s="678"/>
      <c r="S171" s="707">
        <f t="shared" si="1"/>
        <v>18501.653652567191</v>
      </c>
      <c r="T171" s="673">
        <v>673829.63512204424</v>
      </c>
      <c r="U171" s="295">
        <v>156227.51100887801</v>
      </c>
      <c r="V171" s="680">
        <v>457817.61128918402</v>
      </c>
      <c r="W171" s="684">
        <v>77540.741136906494</v>
      </c>
      <c r="X171" s="3048">
        <v>129050.798208723</v>
      </c>
      <c r="Y171" s="3048">
        <v>162843.28993304499</v>
      </c>
      <c r="Z171" s="694">
        <f t="shared" si="2"/>
        <v>2804.7055630637333</v>
      </c>
    </row>
    <row r="172" spans="1:26" s="227" customFormat="1">
      <c r="A172" s="230">
        <v>2010.3</v>
      </c>
      <c r="B172" s="3048">
        <v>668566.50948898587</v>
      </c>
      <c r="C172" s="295">
        <v>171903.47870439343</v>
      </c>
      <c r="D172" s="229">
        <v>456779.06665618502</v>
      </c>
      <c r="E172" s="3048">
        <v>76311.355006754937</v>
      </c>
      <c r="F172" s="684">
        <v>168049.61790716989</v>
      </c>
      <c r="G172" s="3048">
        <v>139803.95750292117</v>
      </c>
      <c r="H172" s="684">
        <v>-474.00887965144494</v>
      </c>
      <c r="I172" s="678"/>
      <c r="J172" s="707">
        <f t="shared" si="0"/>
        <v>-474.00887965144494</v>
      </c>
      <c r="K172" s="673">
        <v>1712834.5489382918</v>
      </c>
      <c r="L172" s="295">
        <v>293358.20093729679</v>
      </c>
      <c r="M172" s="229">
        <v>1099323.1538208912</v>
      </c>
      <c r="N172" s="3048">
        <v>254371.10902464492</v>
      </c>
      <c r="O172" s="684">
        <v>339698.42236225295</v>
      </c>
      <c r="P172" s="3048">
        <v>299912.10425162723</v>
      </c>
      <c r="Q172" s="684">
        <v>12887.960414083667</v>
      </c>
      <c r="R172" s="678"/>
      <c r="S172" s="707">
        <f t="shared" si="1"/>
        <v>12887.960414083667</v>
      </c>
      <c r="T172" s="673">
        <v>677076.55476709071</v>
      </c>
      <c r="U172" s="295">
        <v>161832.619495461</v>
      </c>
      <c r="V172" s="680">
        <v>462303.36811668403</v>
      </c>
      <c r="W172" s="684">
        <v>76559.996853758697</v>
      </c>
      <c r="X172" s="3048">
        <v>133696.547109732</v>
      </c>
      <c r="Y172" s="3048">
        <v>161721.44684450701</v>
      </c>
      <c r="Z172" s="694">
        <f t="shared" si="2"/>
        <v>4627.8153378699208</v>
      </c>
    </row>
    <row r="173" spans="1:26" s="227" customFormat="1">
      <c r="A173" s="230">
        <v>2010.4</v>
      </c>
      <c r="B173" s="3048">
        <v>668190.09771957388</v>
      </c>
      <c r="C173" s="295">
        <v>175630.37609457492</v>
      </c>
      <c r="D173" s="229">
        <v>451162.75340541295</v>
      </c>
      <c r="E173" s="3048">
        <v>85922.6262566636</v>
      </c>
      <c r="F173" s="684">
        <v>151952.376643681</v>
      </c>
      <c r="G173" s="3048">
        <v>144754.32406470989</v>
      </c>
      <c r="H173" s="684">
        <v>10028.3934436812</v>
      </c>
      <c r="I173" s="678"/>
      <c r="J173" s="707">
        <f t="shared" si="0"/>
        <v>10028.3934436812</v>
      </c>
      <c r="K173" s="673">
        <v>1829124.2504157436</v>
      </c>
      <c r="L173" s="295">
        <v>301119.72260462772</v>
      </c>
      <c r="M173" s="229">
        <v>1139978.0110894737</v>
      </c>
      <c r="N173" s="3048">
        <v>303660.88538640103</v>
      </c>
      <c r="O173" s="684">
        <v>332471.95352493075</v>
      </c>
      <c r="P173" s="3048">
        <v>313472.47449298872</v>
      </c>
      <c r="Q173" s="684">
        <v>40660.648526434918</v>
      </c>
      <c r="R173" s="678"/>
      <c r="S173" s="707">
        <f t="shared" si="1"/>
        <v>40660.648526434918</v>
      </c>
      <c r="T173" s="673">
        <v>685560.4269648355</v>
      </c>
      <c r="U173" s="295">
        <v>172619.254528583</v>
      </c>
      <c r="V173" s="680">
        <v>473704.90586559603</v>
      </c>
      <c r="W173" s="684">
        <v>79756.350006410299</v>
      </c>
      <c r="X173" s="3048">
        <v>142274.50819559701</v>
      </c>
      <c r="Y173" s="3048">
        <v>153477.938983923</v>
      </c>
      <c r="Z173" s="694">
        <f t="shared" si="2"/>
        <v>8965.9784418921918</v>
      </c>
    </row>
    <row r="174" spans="1:26" s="227" customFormat="1">
      <c r="A174" s="230">
        <v>2011.1</v>
      </c>
      <c r="B174" s="3048">
        <v>662325.58597269515</v>
      </c>
      <c r="C174" s="295">
        <v>171680.48522975415</v>
      </c>
      <c r="D174" s="229">
        <v>484513.98662213131</v>
      </c>
      <c r="E174" s="3048">
        <v>74065.615503609952</v>
      </c>
      <c r="F174" s="684">
        <v>138279.54794538196</v>
      </c>
      <c r="G174" s="3048">
        <v>139564.46171539812</v>
      </c>
      <c r="H174" s="684">
        <v>-2417.5405840719359</v>
      </c>
      <c r="I174" s="678"/>
      <c r="J174" s="707">
        <f t="shared" si="0"/>
        <v>-2417.5405840719359</v>
      </c>
      <c r="K174" s="673">
        <v>1888827.151845796</v>
      </c>
      <c r="L174" s="295">
        <v>304500.65015937109</v>
      </c>
      <c r="M174" s="229">
        <v>1263267.5585228135</v>
      </c>
      <c r="N174" s="3048">
        <v>285502.12051228678</v>
      </c>
      <c r="O174" s="684">
        <v>323761.23853633623</v>
      </c>
      <c r="P174" s="3048">
        <v>324979.65319875721</v>
      </c>
      <c r="Q174" s="684">
        <v>-4182.7687629648572</v>
      </c>
      <c r="R174" s="678"/>
      <c r="S174" s="707">
        <f t="shared" si="1"/>
        <v>-4182.7687629648572</v>
      </c>
      <c r="T174" s="673">
        <v>701709.44155683636</v>
      </c>
      <c r="U174" s="295">
        <v>182334.89235375699</v>
      </c>
      <c r="V174" s="680">
        <v>488273.17436260998</v>
      </c>
      <c r="W174" s="684">
        <v>79606.569465829903</v>
      </c>
      <c r="X174" s="3048">
        <v>149929.52371093401</v>
      </c>
      <c r="Y174" s="3048">
        <v>158504.40105404099</v>
      </c>
      <c r="Z174" s="694">
        <f t="shared" si="2"/>
        <v>7730.665317178471</v>
      </c>
    </row>
    <row r="175" spans="1:26" s="227" customFormat="1">
      <c r="A175" s="230">
        <v>2011.2</v>
      </c>
      <c r="B175" s="3048">
        <v>766332.95457161264</v>
      </c>
      <c r="C175" s="295">
        <v>185834.80063049099</v>
      </c>
      <c r="D175" s="229">
        <v>521971.6246991987</v>
      </c>
      <c r="E175" s="3048">
        <v>80830.222163875034</v>
      </c>
      <c r="F175" s="684">
        <v>170971.27052045267</v>
      </c>
      <c r="G175" s="3048">
        <v>153571.01955510411</v>
      </c>
      <c r="H175" s="684">
        <v>24823.618263473018</v>
      </c>
      <c r="I175" s="678"/>
      <c r="J175" s="707">
        <f t="shared" si="0"/>
        <v>24823.618263473018</v>
      </c>
      <c r="K175" s="673">
        <v>2237123.8354149116</v>
      </c>
      <c r="L175" s="295">
        <v>359615.71855652856</v>
      </c>
      <c r="M175" s="229">
        <v>1407332.3298145048</v>
      </c>
      <c r="N175" s="3048">
        <v>332038.10940498242</v>
      </c>
      <c r="O175" s="684">
        <v>425057.05169150798</v>
      </c>
      <c r="P175" s="3048">
        <v>369566.52018696762</v>
      </c>
      <c r="Q175" s="684">
        <v>62745.542871625199</v>
      </c>
      <c r="R175" s="678"/>
      <c r="S175" s="707">
        <f t="shared" si="1"/>
        <v>62745.542871625199</v>
      </c>
      <c r="T175" s="673">
        <v>710129.72176363133</v>
      </c>
      <c r="U175" s="295">
        <v>191435.0187444</v>
      </c>
      <c r="V175" s="680">
        <v>496432.10141337698</v>
      </c>
      <c r="W175" s="684">
        <v>81086.338167165901</v>
      </c>
      <c r="X175" s="3048">
        <v>153234.03213410999</v>
      </c>
      <c r="Y175" s="3048">
        <v>157377.08425578201</v>
      </c>
      <c r="Z175" s="694">
        <f t="shared" si="2"/>
        <v>13435.184537596535</v>
      </c>
    </row>
    <row r="176" spans="1:26" s="227" customFormat="1">
      <c r="A176" s="230">
        <v>2011.3</v>
      </c>
      <c r="B176" s="3048">
        <v>711417.39193010493</v>
      </c>
      <c r="C176" s="295">
        <v>212358.17191427571</v>
      </c>
      <c r="D176" s="229">
        <v>509458.25385768822</v>
      </c>
      <c r="E176" s="3048">
        <v>81814.123471173982</v>
      </c>
      <c r="F176" s="684">
        <v>172841.45085261774</v>
      </c>
      <c r="G176" s="3048">
        <v>164571.6467049708</v>
      </c>
      <c r="H176" s="684">
        <v>-4909.9110420701254</v>
      </c>
      <c r="I176" s="678"/>
      <c r="J176" s="707">
        <f t="shared" si="0"/>
        <v>-4909.9110420701254</v>
      </c>
      <c r="K176" s="673">
        <v>2250487.2637921702</v>
      </c>
      <c r="L176" s="295">
        <v>414749.294155323</v>
      </c>
      <c r="M176" s="229">
        <v>1462525.7007529491</v>
      </c>
      <c r="N176" s="3048">
        <v>351599.40280647663</v>
      </c>
      <c r="O176" s="684">
        <v>443868.20521517313</v>
      </c>
      <c r="P176" s="3048">
        <v>407570.7566978567</v>
      </c>
      <c r="Q176" s="684">
        <v>-327.50752470330497</v>
      </c>
      <c r="R176" s="678"/>
      <c r="S176" s="707">
        <f t="shared" si="1"/>
        <v>-327.50752470330497</v>
      </c>
      <c r="T176" s="673">
        <v>715936.87241999037</v>
      </c>
      <c r="U176" s="295">
        <v>199473.20968184699</v>
      </c>
      <c r="V176" s="680">
        <v>510638.81085906998</v>
      </c>
      <c r="W176" s="684">
        <v>81887.472350497497</v>
      </c>
      <c r="X176" s="3048">
        <v>157924.03666307201</v>
      </c>
      <c r="Y176" s="3048">
        <v>164488.79917464399</v>
      </c>
      <c r="Z176" s="694">
        <f t="shared" si="2"/>
        <v>470.96305455395486</v>
      </c>
    </row>
    <row r="177" spans="1:26" s="227" customFormat="1">
      <c r="A177" s="230">
        <v>2011.4</v>
      </c>
      <c r="B177" s="3048">
        <v>703050.45640799252</v>
      </c>
      <c r="C177" s="295">
        <v>198767.51540656987</v>
      </c>
      <c r="D177" s="229">
        <v>490644.74845936126</v>
      </c>
      <c r="E177" s="3048">
        <v>87429.117904933853</v>
      </c>
      <c r="F177" s="684">
        <v>164054.87715450366</v>
      </c>
      <c r="G177" s="3048">
        <v>156629.21241772975</v>
      </c>
      <c r="H177" s="684">
        <v>3060.0158780339243</v>
      </c>
      <c r="I177" s="678"/>
      <c r="J177" s="707">
        <f t="shared" si="0"/>
        <v>3060.0158780339243</v>
      </c>
      <c r="K177" s="673">
        <v>2339658.1634702329</v>
      </c>
      <c r="L177" s="295">
        <v>381685.89401679987</v>
      </c>
      <c r="M177" s="229">
        <v>1464379.5314480003</v>
      </c>
      <c r="N177" s="3048">
        <v>398324.9435091351</v>
      </c>
      <c r="O177" s="684">
        <v>415364.36134051369</v>
      </c>
      <c r="P177" s="3048">
        <v>401260.19434016163</v>
      </c>
      <c r="Q177" s="684">
        <v>42015.026852376723</v>
      </c>
      <c r="R177" s="678"/>
      <c r="S177" s="707">
        <f>R177+Q177</f>
        <v>42015.026852376723</v>
      </c>
      <c r="T177" s="673">
        <v>715350.35314194788</v>
      </c>
      <c r="U177" s="295">
        <v>195397.852401087</v>
      </c>
      <c r="V177" s="680">
        <v>511244.52700332197</v>
      </c>
      <c r="W177" s="684">
        <v>81558.699060099607</v>
      </c>
      <c r="X177" s="3048">
        <v>153248.74788508599</v>
      </c>
      <c r="Y177" s="3048">
        <v>165776.86198849001</v>
      </c>
      <c r="Z177" s="694">
        <f t="shared" si="2"/>
        <v>-1080.6303939626087</v>
      </c>
    </row>
    <row r="178" spans="1:26" s="227" customFormat="1">
      <c r="A178" s="230">
        <v>2012.1</v>
      </c>
      <c r="B178" s="3048">
        <v>672685.99363050424</v>
      </c>
      <c r="C178" s="295">
        <v>175963.63222419753</v>
      </c>
      <c r="D178" s="229">
        <v>494561.05868275702</v>
      </c>
      <c r="E178" s="3048">
        <v>77065.360118655954</v>
      </c>
      <c r="F178" s="684">
        <v>145984.10280638939</v>
      </c>
      <c r="G178" s="3048">
        <v>134285.04105704132</v>
      </c>
      <c r="H178" s="684">
        <v>-3245.9368101418791</v>
      </c>
      <c r="I178" s="678"/>
      <c r="J178" s="707">
        <f t="shared" si="0"/>
        <v>-3245.9368101418791</v>
      </c>
      <c r="K178" s="673">
        <v>2345559.6033526314</v>
      </c>
      <c r="L178" s="295">
        <v>338377.45792099979</v>
      </c>
      <c r="M178" s="229">
        <v>1557362.136735966</v>
      </c>
      <c r="N178" s="3048">
        <v>377040.1878550367</v>
      </c>
      <c r="O178" s="684">
        <v>374190.69936839136</v>
      </c>
      <c r="P178" s="3048">
        <v>372008.73386272101</v>
      </c>
      <c r="Q178" s="684">
        <v>3335.3034498651691</v>
      </c>
      <c r="R178" s="678"/>
      <c r="S178" s="707">
        <f>R178+Q178</f>
        <v>3335.3034498651691</v>
      </c>
      <c r="T178" s="673">
        <v>708280.08281929465</v>
      </c>
      <c r="U178" s="295">
        <v>186092.01068346301</v>
      </c>
      <c r="V178" s="680">
        <v>499749.218801154</v>
      </c>
      <c r="W178" s="684">
        <v>82386.2102363546</v>
      </c>
      <c r="X178" s="3048">
        <v>145179.62970236799</v>
      </c>
      <c r="Y178" s="3048">
        <v>166800.164790979</v>
      </c>
      <c r="Z178" s="694">
        <f t="shared" si="2"/>
        <v>256.86997190199327</v>
      </c>
    </row>
    <row r="179" spans="1:26" s="227" customFormat="1">
      <c r="A179" s="230">
        <v>2012.2</v>
      </c>
      <c r="B179" s="3048">
        <v>730838.27259277587</v>
      </c>
      <c r="C179" s="295">
        <v>168790.03309891451</v>
      </c>
      <c r="D179" s="229">
        <v>516528.23176810256</v>
      </c>
      <c r="E179" s="3048">
        <v>82453.840979409593</v>
      </c>
      <c r="F179" s="684">
        <v>155692.76464038188</v>
      </c>
      <c r="G179" s="3048">
        <v>134408.94797285143</v>
      </c>
      <c r="H179" s="684">
        <v>10544.520330945004</v>
      </c>
      <c r="I179" s="678"/>
      <c r="J179" s="707">
        <f t="shared" si="0"/>
        <v>10544.520330945004</v>
      </c>
      <c r="K179" s="673">
        <v>2651098.0463880287</v>
      </c>
      <c r="L179" s="295">
        <v>363318.07595621212</v>
      </c>
      <c r="M179" s="229">
        <v>1738478.5253077226</v>
      </c>
      <c r="N179" s="3048">
        <v>432601.4085457506</v>
      </c>
      <c r="O179" s="684">
        <v>425243.60403295024</v>
      </c>
      <c r="P179" s="3048">
        <v>397240.40857323143</v>
      </c>
      <c r="Q179" s="684">
        <v>20852.175882111129</v>
      </c>
      <c r="R179" s="678"/>
      <c r="S179" s="707">
        <f t="shared" si="1"/>
        <v>20852.175882111129</v>
      </c>
      <c r="T179" s="673">
        <v>683554.30664435716</v>
      </c>
      <c r="U179" s="295">
        <v>172799.8399433</v>
      </c>
      <c r="V179" s="680">
        <v>493870.475115893</v>
      </c>
      <c r="W179" s="684">
        <v>82777.157426956299</v>
      </c>
      <c r="X179" s="3048">
        <v>133661.88543223101</v>
      </c>
      <c r="Y179" s="3048">
        <v>141878.937299824</v>
      </c>
      <c r="Z179" s="694">
        <f t="shared" si="2"/>
        <v>4165.6913127528969</v>
      </c>
    </row>
    <row r="180" spans="1:26" s="227" customFormat="1">
      <c r="A180" s="230">
        <v>2012.3</v>
      </c>
      <c r="B180" s="3048">
        <v>703461.65253019624</v>
      </c>
      <c r="C180" s="295">
        <v>194333.56638199877</v>
      </c>
      <c r="D180" s="229">
        <v>517627.4794360068</v>
      </c>
      <c r="E180" s="3048">
        <v>84029.384241194377</v>
      </c>
      <c r="F180" s="684">
        <v>164111.32295096805</v>
      </c>
      <c r="G180" s="3048">
        <v>150230.81659457326</v>
      </c>
      <c r="H180" s="684">
        <v>-18203.784310547417</v>
      </c>
      <c r="I180" s="678"/>
      <c r="J180" s="707">
        <f t="shared" si="0"/>
        <v>-18203.784310547417</v>
      </c>
      <c r="K180" s="673">
        <v>2704827.5498552597</v>
      </c>
      <c r="L180" s="295">
        <v>401200.0015063301</v>
      </c>
      <c r="M180" s="229">
        <v>1767630.6246263226</v>
      </c>
      <c r="N180" s="3048">
        <v>443703.38036305353</v>
      </c>
      <c r="O180" s="684">
        <v>465874.48689347599</v>
      </c>
      <c r="P180" s="3048">
        <v>440523.43293567788</v>
      </c>
      <c r="Q180" s="684">
        <v>-11704.373459306378</v>
      </c>
      <c r="R180" s="678"/>
      <c r="S180" s="707">
        <f t="shared" si="1"/>
        <v>-11704.373459306378</v>
      </c>
      <c r="T180" s="673">
        <v>705293.93191938044</v>
      </c>
      <c r="U180" s="295">
        <v>182216.70857726299</v>
      </c>
      <c r="V180" s="680">
        <v>515640.61778090399</v>
      </c>
      <c r="W180" s="684">
        <v>84009.692142746397</v>
      </c>
      <c r="X180" s="3048">
        <v>143518.57248142399</v>
      </c>
      <c r="Y180" s="3048">
        <v>154955.96126326901</v>
      </c>
      <c r="Z180" s="694">
        <f t="shared" si="2"/>
        <v>-10614.203171699774</v>
      </c>
    </row>
    <row r="181" spans="1:26" s="227" customFormat="1">
      <c r="A181" s="230">
        <v>2012.4</v>
      </c>
      <c r="B181" s="3048">
        <v>706958.03908231878</v>
      </c>
      <c r="C181" s="295">
        <v>193210.37317505115</v>
      </c>
      <c r="D181" s="229">
        <v>500150.63183982833</v>
      </c>
      <c r="E181" s="3048">
        <v>90344.79818176839</v>
      </c>
      <c r="F181" s="684">
        <v>153813.21961273107</v>
      </c>
      <c r="G181" s="3048">
        <v>151946.00276177566</v>
      </c>
      <c r="H181" s="684">
        <v>3913.759861266301</v>
      </c>
      <c r="I181" s="678"/>
      <c r="J181" s="707">
        <f t="shared" si="0"/>
        <v>3913.759861266301</v>
      </c>
      <c r="K181" s="673">
        <v>2850170.1932662781</v>
      </c>
      <c r="L181" s="295">
        <v>404797.04543316684</v>
      </c>
      <c r="M181" s="229">
        <v>1784911.7253729894</v>
      </c>
      <c r="N181" s="3048">
        <v>503024.25965783949</v>
      </c>
      <c r="O181" s="684">
        <v>448054.1834255227</v>
      </c>
      <c r="P181" s="3048">
        <v>463458.86081413575</v>
      </c>
      <c r="Q181" s="684">
        <v>55518.209429495771</v>
      </c>
      <c r="R181" s="678"/>
      <c r="S181" s="707">
        <f t="shared" si="1"/>
        <v>55518.209429495771</v>
      </c>
      <c r="T181" s="673">
        <v>716815.63645276485</v>
      </c>
      <c r="U181" s="295">
        <v>191189.045676137</v>
      </c>
      <c r="V181" s="680">
        <v>519607.09002874303</v>
      </c>
      <c r="W181" s="684">
        <v>84720.323714971193</v>
      </c>
      <c r="X181" s="3048">
        <v>148510.72077021899</v>
      </c>
      <c r="Y181" s="3048">
        <v>155966.346656398</v>
      </c>
      <c r="Z181" s="694">
        <f t="shared" si="2"/>
        <v>-799.79904142941814</v>
      </c>
    </row>
    <row r="182" spans="1:26" s="227" customFormat="1">
      <c r="A182" s="230">
        <v>2013.1</v>
      </c>
      <c r="B182" s="3048">
        <v>677085.52917315089</v>
      </c>
      <c r="C182" s="295">
        <v>176602.613153124</v>
      </c>
      <c r="D182" s="229">
        <v>506950.44640662812</v>
      </c>
      <c r="E182" s="3048">
        <v>80963.014722433203</v>
      </c>
      <c r="F182" s="684">
        <v>131767.05473088424</v>
      </c>
      <c r="G182" s="3048">
        <v>133273.11292584689</v>
      </c>
      <c r="H182" s="684">
        <v>734.51354048245798</v>
      </c>
      <c r="I182" s="678"/>
      <c r="J182" s="707">
        <f t="shared" si="0"/>
        <v>734.51354048245798</v>
      </c>
      <c r="K182" s="673">
        <v>2888980.8590711113</v>
      </c>
      <c r="L182" s="295">
        <v>410776.80313615891</v>
      </c>
      <c r="M182" s="229">
        <v>1948085.8427457437</v>
      </c>
      <c r="N182" s="3048">
        <v>473246.44010204246</v>
      </c>
      <c r="O182" s="684">
        <v>396674.58321494772</v>
      </c>
      <c r="P182" s="3048">
        <v>458406.79108875629</v>
      </c>
      <c r="Q182" s="684">
        <v>23344.005055387148</v>
      </c>
      <c r="R182" s="678"/>
      <c r="S182" s="707">
        <f t="shared" si="1"/>
        <v>23344.005055387148</v>
      </c>
      <c r="T182" s="673">
        <v>715891.2687198082</v>
      </c>
      <c r="U182" s="295">
        <v>185745.70556245299</v>
      </c>
      <c r="V182" s="680">
        <v>514656.49180620298</v>
      </c>
      <c r="W182" s="684">
        <v>86349.221353839603</v>
      </c>
      <c r="X182" s="3048">
        <v>144173.003852108</v>
      </c>
      <c r="Y182" s="3048">
        <v>146587.85937079499</v>
      </c>
      <c r="Z182" s="694">
        <f t="shared" si="2"/>
        <v>9870.3978993156925</v>
      </c>
    </row>
    <row r="183" spans="1:26" s="227" customFormat="1">
      <c r="A183" s="230">
        <v>2013.2</v>
      </c>
      <c r="B183" s="3048">
        <v>776486.60279942001</v>
      </c>
      <c r="C183" s="295">
        <v>190652.1070945469</v>
      </c>
      <c r="D183" s="229">
        <v>543923.35275378311</v>
      </c>
      <c r="E183" s="3048">
        <v>87051.596867879984</v>
      </c>
      <c r="F183" s="684">
        <v>168720.23462672776</v>
      </c>
      <c r="G183" s="3048">
        <v>150469.4153047585</v>
      </c>
      <c r="H183" s="684">
        <v>16974.11034081757</v>
      </c>
      <c r="I183" s="678"/>
      <c r="J183" s="707">
        <f t="shared" si="0"/>
        <v>16974.11034081757</v>
      </c>
      <c r="K183" s="673">
        <v>3387810.9120546845</v>
      </c>
      <c r="L183" s="295">
        <v>491926.34557714511</v>
      </c>
      <c r="M183" s="229">
        <v>2193026.2637259718</v>
      </c>
      <c r="N183" s="3048">
        <v>541488.83273616922</v>
      </c>
      <c r="O183" s="684">
        <v>546612.48274617363</v>
      </c>
      <c r="P183" s="3048">
        <v>538931.07996200793</v>
      </c>
      <c r="Q183" s="684">
        <v>59678.598459310037</v>
      </c>
      <c r="R183" s="678"/>
      <c r="S183" s="707">
        <f t="shared" si="1"/>
        <v>59678.598459310037</v>
      </c>
      <c r="T183" s="673">
        <v>720882.10192313325</v>
      </c>
      <c r="U183" s="295">
        <v>193962.84182561201</v>
      </c>
      <c r="V183" s="680">
        <v>516951.40190743399</v>
      </c>
      <c r="W183" s="684">
        <v>87371.489585916701</v>
      </c>
      <c r="X183" s="3048">
        <v>148967.94173518301</v>
      </c>
      <c r="Y183" s="3048">
        <v>158738.489497965</v>
      </c>
      <c r="Z183" s="694">
        <f t="shared" si="2"/>
        <v>2815.6210222465452</v>
      </c>
    </row>
    <row r="184" spans="1:26" s="227" customFormat="1">
      <c r="A184" s="230">
        <v>2013.3</v>
      </c>
      <c r="B184" s="3048">
        <v>721458.94421618234</v>
      </c>
      <c r="C184" s="295">
        <v>202951.05150852748</v>
      </c>
      <c r="D184" s="229">
        <v>538421.07825339749</v>
      </c>
      <c r="E184" s="3048">
        <v>87994.272131112622</v>
      </c>
      <c r="F184" s="684">
        <v>159733.63225018961</v>
      </c>
      <c r="G184" s="3048">
        <v>152737.11410480319</v>
      </c>
      <c r="H184" s="684">
        <v>-14476.101014792954</v>
      </c>
      <c r="I184" s="678"/>
      <c r="J184" s="707">
        <f t="shared" si="0"/>
        <v>-14476.101014792954</v>
      </c>
      <c r="K184" s="673">
        <v>3436546.5463782018</v>
      </c>
      <c r="L184" s="295">
        <v>530140.26104277535</v>
      </c>
      <c r="M184" s="229">
        <v>2293051.8870732225</v>
      </c>
      <c r="N184" s="3048">
        <v>566904.73448582017</v>
      </c>
      <c r="O184" s="684">
        <v>532721.84218584467</v>
      </c>
      <c r="P184" s="3048">
        <v>575232.30982110486</v>
      </c>
      <c r="Q184" s="684">
        <v>-1223.9661423519012</v>
      </c>
      <c r="R184" s="678"/>
      <c r="S184" s="707">
        <f t="shared" si="1"/>
        <v>-1223.9661423519012</v>
      </c>
      <c r="T184" s="673">
        <v>725539.44656355469</v>
      </c>
      <c r="U184" s="295">
        <v>190672.34325774299</v>
      </c>
      <c r="V184" s="680">
        <v>535667.78255569201</v>
      </c>
      <c r="W184" s="684">
        <v>87953.430088869296</v>
      </c>
      <c r="X184" s="3048">
        <v>146105.77718961099</v>
      </c>
      <c r="Y184" s="3048">
        <v>151747.979982052</v>
      </c>
      <c r="Z184" s="694">
        <f t="shared" si="2"/>
        <v>-5263.1799949266715</v>
      </c>
    </row>
    <row r="185" spans="1:26" s="227" customFormat="1">
      <c r="A185" s="230">
        <v>2013.4</v>
      </c>
      <c r="B185" s="3048">
        <v>706597.3450225069</v>
      </c>
      <c r="C185" s="295">
        <v>190526.07736575845</v>
      </c>
      <c r="D185" s="229">
        <v>513403.25174006564</v>
      </c>
      <c r="E185" s="3048">
        <v>95656.26703212563</v>
      </c>
      <c r="F185" s="684">
        <v>137569.02973944266</v>
      </c>
      <c r="G185" s="3048">
        <v>147746.62960253569</v>
      </c>
      <c r="H185" s="684">
        <v>2748.2442740955962</v>
      </c>
      <c r="I185" s="678"/>
      <c r="J185" s="707">
        <f t="shared" si="0"/>
        <v>2748.2442740955962</v>
      </c>
      <c r="K185" s="673">
        <v>3679895.6354048252</v>
      </c>
      <c r="L185" s="295">
        <v>538206.09985605662</v>
      </c>
      <c r="M185" s="229">
        <v>2403705.0375004061</v>
      </c>
      <c r="N185" s="3048">
        <v>669258.73931420024</v>
      </c>
      <c r="O185" s="684">
        <v>481703.32091281569</v>
      </c>
      <c r="P185" s="3048">
        <v>609122.16192655428</v>
      </c>
      <c r="Q185" s="684">
        <v>54312.475609435955</v>
      </c>
      <c r="R185" s="678"/>
      <c r="S185" s="707">
        <f t="shared" si="1"/>
        <v>54312.475609435955</v>
      </c>
      <c r="T185" s="673">
        <v>719315.60400476377</v>
      </c>
      <c r="U185" s="295">
        <v>190350.95847614901</v>
      </c>
      <c r="V185" s="680">
        <v>535422.45288454497</v>
      </c>
      <c r="W185" s="684">
        <v>89991.009724925898</v>
      </c>
      <c r="X185" s="3048">
        <v>144979.54916104401</v>
      </c>
      <c r="Y185" s="3048">
        <v>140715.622496433</v>
      </c>
      <c r="Z185" s="694">
        <f t="shared" si="2"/>
        <v>-1442.0717860349687</v>
      </c>
    </row>
    <row r="186" spans="1:26" s="227" customFormat="1">
      <c r="A186" s="230">
        <v>2014.1</v>
      </c>
      <c r="B186" s="3048">
        <v>671066.04663506267</v>
      </c>
      <c r="C186" s="295">
        <v>174142.87917514221</v>
      </c>
      <c r="D186" s="229">
        <v>517840.53374426329</v>
      </c>
      <c r="E186" s="3048">
        <v>85482.493731996292</v>
      </c>
      <c r="F186" s="684">
        <v>119113.81889969678</v>
      </c>
      <c r="G186" s="3048">
        <v>131370.53630992191</v>
      </c>
      <c r="H186" s="684">
        <v>-8598.4568756735207</v>
      </c>
      <c r="I186" s="678"/>
      <c r="J186" s="707">
        <f t="shared" si="0"/>
        <v>-8598.4568756735207</v>
      </c>
      <c r="K186" s="673">
        <v>3917648.8611710793</v>
      </c>
      <c r="L186" s="295">
        <v>621369.20768701448</v>
      </c>
      <c r="M186" s="229">
        <v>2760478.8519005002</v>
      </c>
      <c r="N186" s="3048">
        <v>643214.15918288252</v>
      </c>
      <c r="O186" s="684">
        <v>522171.20154701103</v>
      </c>
      <c r="P186" s="3048">
        <v>643352.14852564409</v>
      </c>
      <c r="Q186" s="684">
        <v>-30198.292296296608</v>
      </c>
      <c r="R186" s="678"/>
      <c r="S186" s="707">
        <f t="shared" si="1"/>
        <v>-30198.292296296608</v>
      </c>
      <c r="T186" s="673">
        <v>708251.57802652672</v>
      </c>
      <c r="U186" s="295">
        <v>181785.58034435101</v>
      </c>
      <c r="V186" s="680">
        <v>521582.39994519198</v>
      </c>
      <c r="W186" s="684">
        <v>90783.814505313494</v>
      </c>
      <c r="X186" s="3048">
        <v>141884.647204732</v>
      </c>
      <c r="Y186" s="3048">
        <v>136141.25951966099</v>
      </c>
      <c r="Z186" s="694">
        <f t="shared" si="2"/>
        <v>-354.96280402061529</v>
      </c>
    </row>
    <row r="187" spans="1:26" s="227" customFormat="1">
      <c r="A187" s="230">
        <v>2014.2</v>
      </c>
      <c r="B187" s="3048">
        <v>760576.86834800406</v>
      </c>
      <c r="C187" s="295">
        <v>169554.60524510767</v>
      </c>
      <c r="D187" s="229">
        <v>527379.22694273782</v>
      </c>
      <c r="E187" s="3048">
        <v>88842.119718548856</v>
      </c>
      <c r="F187" s="684">
        <v>152688.83294255967</v>
      </c>
      <c r="G187" s="3048">
        <v>141073.18942977019</v>
      </c>
      <c r="H187" s="684">
        <v>20148.104559495117</v>
      </c>
      <c r="I187" s="678"/>
      <c r="J187" s="707">
        <f t="shared" si="0"/>
        <v>20148.104559495117</v>
      </c>
      <c r="K187" s="673">
        <v>4702629.524920309</v>
      </c>
      <c r="L187" s="295">
        <v>653674.36083772837</v>
      </c>
      <c r="M187" s="229">
        <v>2955020.0745849963</v>
      </c>
      <c r="N187" s="3048">
        <v>742438.68442829244</v>
      </c>
      <c r="O187" s="684">
        <v>761448.50269287324</v>
      </c>
      <c r="P187" s="3048">
        <v>737042.88938118203</v>
      </c>
      <c r="Q187" s="684">
        <v>160353.73467226245</v>
      </c>
      <c r="R187" s="678"/>
      <c r="S187" s="707">
        <f t="shared" si="1"/>
        <v>160353.73467226245</v>
      </c>
      <c r="T187" s="673">
        <v>702830.66207832063</v>
      </c>
      <c r="U187" s="295">
        <v>170782.048200085</v>
      </c>
      <c r="V187" s="680">
        <v>499096.219330122</v>
      </c>
      <c r="W187" s="684">
        <v>89327.412121618894</v>
      </c>
      <c r="X187" s="3048">
        <v>138723.996619315</v>
      </c>
      <c r="Y187" s="3048">
        <v>139539.21641466999</v>
      </c>
      <c r="Z187" s="694">
        <f t="shared" si="2"/>
        <v>6925.8657926797168</v>
      </c>
    </row>
    <row r="188" spans="1:26" s="227" customFormat="1">
      <c r="A188" s="230">
        <v>2014.3</v>
      </c>
      <c r="B188" s="3048">
        <v>690879.79825168336</v>
      </c>
      <c r="C188" s="295">
        <v>173099.24330165773</v>
      </c>
      <c r="D188" s="229">
        <v>490626.98948685534</v>
      </c>
      <c r="E188" s="3048">
        <v>90661.590635051805</v>
      </c>
      <c r="F188" s="684">
        <v>147198.69636944201</v>
      </c>
      <c r="G188" s="3048">
        <v>140281.45358859547</v>
      </c>
      <c r="H188" s="684">
        <v>-4789.688526603717</v>
      </c>
      <c r="I188" s="678"/>
      <c r="J188" s="707">
        <f t="shared" si="0"/>
        <v>-4789.688526603717</v>
      </c>
      <c r="K188" s="673">
        <v>4685503.1186782746</v>
      </c>
      <c r="L188" s="295">
        <v>668326.5051092552</v>
      </c>
      <c r="M188" s="229">
        <v>3052487.108041096</v>
      </c>
      <c r="N188" s="3048">
        <v>784978.39225702884</v>
      </c>
      <c r="O188" s="684">
        <v>715356.23131785891</v>
      </c>
      <c r="P188" s="3048">
        <v>775663.74970767426</v>
      </c>
      <c r="Q188" s="684">
        <v>25344.14246540744</v>
      </c>
      <c r="R188" s="678"/>
      <c r="S188" s="707">
        <f t="shared" si="1"/>
        <v>25344.14246540744</v>
      </c>
      <c r="T188" s="673">
        <v>697311.3787606362</v>
      </c>
      <c r="U188" s="295">
        <v>162947.828017653</v>
      </c>
      <c r="V188" s="680">
        <v>490485.782951131</v>
      </c>
      <c r="W188" s="684">
        <v>90473.5884028211</v>
      </c>
      <c r="X188" s="3048">
        <v>133885.75750251699</v>
      </c>
      <c r="Y188" s="3048">
        <v>140048.532323919</v>
      </c>
      <c r="Z188" s="694">
        <f t="shared" si="2"/>
        <v>5365.5455979011022</v>
      </c>
    </row>
    <row r="189" spans="1:26" s="227" customFormat="1">
      <c r="A189" s="230">
        <v>2014.4</v>
      </c>
      <c r="B189" s="3048">
        <v>686701.4706187105</v>
      </c>
      <c r="C189" s="295">
        <v>156603.14371840068</v>
      </c>
      <c r="D189" s="229">
        <v>475210.99549400172</v>
      </c>
      <c r="E189" s="3048">
        <v>97035.592333750537</v>
      </c>
      <c r="F189" s="684">
        <v>137067.84127832402</v>
      </c>
      <c r="G189" s="3048">
        <v>132033.40948911634</v>
      </c>
      <c r="H189" s="684">
        <v>1956.7757419185482</v>
      </c>
      <c r="I189" s="678"/>
      <c r="J189" s="707">
        <f t="shared" si="0"/>
        <v>1956.7757419185482</v>
      </c>
      <c r="K189" s="673">
        <v>5010564.1968707321</v>
      </c>
      <c r="L189" s="295">
        <v>621159.19492544711</v>
      </c>
      <c r="M189" s="229">
        <v>3207804.8783261618</v>
      </c>
      <c r="N189" s="3048">
        <v>933966.60007013928</v>
      </c>
      <c r="O189" s="684">
        <v>639581.32266915531</v>
      </c>
      <c r="P189" s="3048">
        <v>770884.8439430414</v>
      </c>
      <c r="Q189" s="684">
        <v>79485.746790709512</v>
      </c>
      <c r="R189" s="678"/>
      <c r="S189" s="707">
        <f t="shared" si="1"/>
        <v>79485.746790709512</v>
      </c>
      <c r="T189" s="673">
        <v>700830.5649879789</v>
      </c>
      <c r="U189" s="295">
        <v>157884.41487822001</v>
      </c>
      <c r="V189" s="680">
        <v>499893.34344141302</v>
      </c>
      <c r="W189" s="684">
        <v>91436.981389594002</v>
      </c>
      <c r="X189" s="3048">
        <v>130264.187490839</v>
      </c>
      <c r="Y189" s="3048">
        <v>140340.18123177401</v>
      </c>
      <c r="Z189" s="694">
        <f t="shared" si="2"/>
        <v>-3219.7136874211719</v>
      </c>
    </row>
    <row r="190" spans="1:26" s="227" customFormat="1">
      <c r="A190" s="230">
        <v>2015.1</v>
      </c>
      <c r="B190" s="3048">
        <v>672749.81139169924</v>
      </c>
      <c r="C190" s="295">
        <v>160419.64644001034</v>
      </c>
      <c r="D190" s="229">
        <v>507483.723069378</v>
      </c>
      <c r="E190" s="3048">
        <v>88812.955507743565</v>
      </c>
      <c r="F190" s="684">
        <v>116284.29138088347</v>
      </c>
      <c r="G190" s="3048">
        <v>128790.25331296679</v>
      </c>
      <c r="H190" s="684">
        <v>-8201.7654392623899</v>
      </c>
      <c r="I190" s="678"/>
      <c r="J190" s="707">
        <f t="shared" si="0"/>
        <v>-8201.7654392623899</v>
      </c>
      <c r="K190" s="673">
        <v>5092693.740328637</v>
      </c>
      <c r="L190" s="295">
        <v>615863.52573532786</v>
      </c>
      <c r="M190" s="229">
        <v>3519817.7680830266</v>
      </c>
      <c r="N190" s="3048">
        <v>876631.58132537198</v>
      </c>
      <c r="O190" s="684">
        <v>533242.34383019235</v>
      </c>
      <c r="P190" s="3048">
        <v>794916.23595667316</v>
      </c>
      <c r="Q190" s="684">
        <v>-16050.663131299585</v>
      </c>
      <c r="R190" s="678"/>
      <c r="S190" s="707">
        <f t="shared" si="1"/>
        <v>-16050.663131299585</v>
      </c>
      <c r="T190" s="673">
        <v>710693.35020417371</v>
      </c>
      <c r="U190" s="295">
        <v>166714.13355344799</v>
      </c>
      <c r="V190" s="680">
        <v>508370.81617482298</v>
      </c>
      <c r="W190" s="684">
        <v>94383.921874583699</v>
      </c>
      <c r="X190" s="3048">
        <v>138548.198777657</v>
      </c>
      <c r="Y190" s="3048">
        <v>131799.105139074</v>
      </c>
      <c r="Z190" s="694">
        <f t="shared" si="2"/>
        <v>4305.441791484016</v>
      </c>
    </row>
    <row r="191" spans="1:26" s="227" customFormat="1">
      <c r="A191" s="230">
        <v>2015.2</v>
      </c>
      <c r="B191" s="3048">
        <v>791235.96554167022</v>
      </c>
      <c r="C191" s="295">
        <v>174021.01747036108</v>
      </c>
      <c r="D191" s="229">
        <v>569042.18587121414</v>
      </c>
      <c r="E191" s="3048">
        <v>97227.659456090376</v>
      </c>
      <c r="F191" s="684">
        <v>149591.7080612978</v>
      </c>
      <c r="G191" s="3048">
        <v>143522.13876214108</v>
      </c>
      <c r="H191" s="684">
        <v>5873.2908612879519</v>
      </c>
      <c r="I191" s="678"/>
      <c r="J191" s="707">
        <f t="shared" si="0"/>
        <v>5873.2908612879519</v>
      </c>
      <c r="K191" s="673">
        <v>5951478.8553666007</v>
      </c>
      <c r="L191" s="295">
        <v>679940.25822308427</v>
      </c>
      <c r="M191" s="229">
        <v>3979552.2652580403</v>
      </c>
      <c r="N191" s="3048">
        <v>1042972.2908742311</v>
      </c>
      <c r="O191" s="684">
        <v>688808.32989059901</v>
      </c>
      <c r="P191" s="3048">
        <v>903500.34455343289</v>
      </c>
      <c r="Q191" s="684">
        <v>16585.883013382256</v>
      </c>
      <c r="R191" s="678"/>
      <c r="S191" s="707">
        <f t="shared" si="1"/>
        <v>16585.883013382256</v>
      </c>
      <c r="T191" s="673">
        <v>728744.1481147859</v>
      </c>
      <c r="U191" s="295">
        <v>174280.74036634999</v>
      </c>
      <c r="V191" s="680">
        <v>533111.17224971205</v>
      </c>
      <c r="W191" s="684">
        <v>97701.737533123698</v>
      </c>
      <c r="X191" s="3048">
        <v>141103.10736196101</v>
      </c>
      <c r="Y191" s="3048">
        <v>138258.25912142501</v>
      </c>
      <c r="Z191" s="694">
        <f t="shared" si="2"/>
        <v>-7149.3877850858262</v>
      </c>
    </row>
    <row r="192" spans="1:26" s="227" customFormat="1">
      <c r="A192" s="230">
        <v>2015.3</v>
      </c>
      <c r="B192" s="3048">
        <v>718281.26544978167</v>
      </c>
      <c r="C192" s="295">
        <v>192990.26576942843</v>
      </c>
      <c r="D192" s="229">
        <v>518592.72788760602</v>
      </c>
      <c r="E192" s="3048">
        <v>98086.766525729254</v>
      </c>
      <c r="F192" s="684">
        <v>147404.70503841515</v>
      </c>
      <c r="G192" s="3048">
        <v>149008.18693087087</v>
      </c>
      <c r="H192" s="684">
        <v>-1820.8551634112596</v>
      </c>
      <c r="I192" s="678"/>
      <c r="J192" s="707">
        <f t="shared" si="0"/>
        <v>-1820.8551634112596</v>
      </c>
      <c r="K192" s="673">
        <v>6221730.7557715978</v>
      </c>
      <c r="L192" s="295">
        <v>752371.47916456545</v>
      </c>
      <c r="M192" s="229">
        <v>4034499.9814302903</v>
      </c>
      <c r="N192" s="3048">
        <v>1102097.6312524863</v>
      </c>
      <c r="O192" s="684">
        <v>696958.17735094612</v>
      </c>
      <c r="P192" s="3048">
        <v>1005506.2867745814</v>
      </c>
      <c r="Q192" s="684">
        <v>135040.15812785778</v>
      </c>
      <c r="R192" s="678"/>
      <c r="S192" s="707">
        <f t="shared" si="1"/>
        <v>135040.15812785778</v>
      </c>
      <c r="T192" s="673">
        <v>727569.70576506061</v>
      </c>
      <c r="U192" s="295">
        <v>183070.038816947</v>
      </c>
      <c r="V192" s="680">
        <v>522400.51509315497</v>
      </c>
      <c r="W192" s="684">
        <v>97913.950476369704</v>
      </c>
      <c r="X192" s="3048">
        <v>142936.31325218701</v>
      </c>
      <c r="Y192" s="3048">
        <v>140805.40475224101</v>
      </c>
      <c r="Z192" s="694">
        <f t="shared" si="2"/>
        <v>6583.5610080549959</v>
      </c>
    </row>
    <row r="193" spans="1:26" s="227" customFormat="1">
      <c r="A193" s="230">
        <v>2015.4</v>
      </c>
      <c r="B193" s="3048">
        <v>703681.54416900803</v>
      </c>
      <c r="C193" s="295">
        <v>177694.9568914407</v>
      </c>
      <c r="D193" s="229">
        <v>489467.32535882184</v>
      </c>
      <c r="E193" s="3048">
        <v>103040.47142187048</v>
      </c>
      <c r="F193" s="684">
        <v>127344.36995735197</v>
      </c>
      <c r="G193" s="3048">
        <v>142300.30190956546</v>
      </c>
      <c r="H193" s="684">
        <v>19224.032412838937</v>
      </c>
      <c r="I193" s="678"/>
      <c r="J193" s="707">
        <f t="shared" si="0"/>
        <v>19224.032412838937</v>
      </c>
      <c r="K193" s="673">
        <v>6552140.2313025314</v>
      </c>
      <c r="L193" s="295">
        <v>757726.9957136208</v>
      </c>
      <c r="M193" s="229">
        <v>4163611.0475586802</v>
      </c>
      <c r="N193" s="3048">
        <v>1288978.4753488768</v>
      </c>
      <c r="O193" s="684">
        <v>630868.02011691337</v>
      </c>
      <c r="P193" s="3048">
        <v>1003294.8987689825</v>
      </c>
      <c r="Q193" s="684">
        <v>223114.78522269998</v>
      </c>
      <c r="R193" s="678"/>
      <c r="S193" s="707">
        <f t="shared" si="1"/>
        <v>223114.78522269998</v>
      </c>
      <c r="T193" s="673">
        <v>718941.38246813929</v>
      </c>
      <c r="U193" s="295">
        <v>181060.973834495</v>
      </c>
      <c r="V193" s="680">
        <v>520703.45866932999</v>
      </c>
      <c r="W193" s="684">
        <v>97168.243027356206</v>
      </c>
      <c r="X193" s="3048">
        <v>141033.26152373801</v>
      </c>
      <c r="Y193" s="3048">
        <v>129762.305425208</v>
      </c>
      <c r="Z193" s="694">
        <f t="shared" si="2"/>
        <v>11335.087657002034</v>
      </c>
    </row>
    <row r="194" spans="1:26" s="227" customFormat="1">
      <c r="A194" s="230">
        <v>2016.1</v>
      </c>
      <c r="B194" s="3048">
        <v>677652.08911570266</v>
      </c>
      <c r="C194" s="295">
        <v>179480.42369351548</v>
      </c>
      <c r="D194" s="229">
        <v>520749.18897769589</v>
      </c>
      <c r="E194" s="3048">
        <v>90566.292339652398</v>
      </c>
      <c r="F194" s="684">
        <v>133430.07456094024</v>
      </c>
      <c r="G194" s="3048">
        <v>124425.51841156666</v>
      </c>
      <c r="H194" s="684">
        <v>-12038.561480637094</v>
      </c>
      <c r="I194" s="708">
        <v>0</v>
      </c>
      <c r="J194" s="707">
        <f>I194+H194</f>
        <v>-12038.561480637094</v>
      </c>
      <c r="K194" s="673">
        <v>7006645.0451060422</v>
      </c>
      <c r="L194" s="295">
        <v>1051454.1009948829</v>
      </c>
      <c r="M194" s="229">
        <v>4828308.2079671985</v>
      </c>
      <c r="N194" s="3048">
        <v>1193932.8375958716</v>
      </c>
      <c r="O194" s="684">
        <v>895990.04997150274</v>
      </c>
      <c r="P194" s="3048">
        <v>1070847.9838516088</v>
      </c>
      <c r="Q194" s="684">
        <v>69020.066714741828</v>
      </c>
      <c r="R194" s="711">
        <v>0</v>
      </c>
      <c r="S194" s="707">
        <f t="shared" si="1"/>
        <v>69020.066714741828</v>
      </c>
      <c r="T194" s="673">
        <v>713293.21573029645</v>
      </c>
      <c r="U194" s="295">
        <v>185462.655664894</v>
      </c>
      <c r="V194" s="680">
        <v>520692.89341519302</v>
      </c>
      <c r="W194" s="684">
        <v>96495.391036639499</v>
      </c>
      <c r="X194" s="3048">
        <v>133615.58120359899</v>
      </c>
      <c r="Y194" s="3048">
        <v>144439.05246861</v>
      </c>
      <c r="Z194" s="694">
        <f t="shared" ref="Z194:Z201" si="3">SUM(T194:U194)-SUM(V194:Y194)</f>
        <v>3512.9532711489592</v>
      </c>
    </row>
    <row r="195" spans="1:26" s="227" customFormat="1">
      <c r="A195" s="230">
        <v>2016.2</v>
      </c>
      <c r="B195" s="3048">
        <v>760703.28015165636</v>
      </c>
      <c r="C195" s="295">
        <v>187899.66185803572</v>
      </c>
      <c r="D195" s="229">
        <v>558368.43539579015</v>
      </c>
      <c r="E195" s="3048">
        <v>94085.733019345251</v>
      </c>
      <c r="F195" s="684">
        <v>148260.21087746299</v>
      </c>
      <c r="G195" s="3048">
        <v>134589.43795451921</v>
      </c>
      <c r="H195" s="684">
        <v>13299.124762574564</v>
      </c>
      <c r="I195" s="680">
        <v>0</v>
      </c>
      <c r="J195" s="707">
        <f t="shared" si="0"/>
        <v>13299.124762574564</v>
      </c>
      <c r="K195" s="673">
        <v>8414556.4821792115</v>
      </c>
      <c r="L195" s="295">
        <v>1042576.3852645806</v>
      </c>
      <c r="M195" s="229">
        <v>5531903.2385373674</v>
      </c>
      <c r="N195" s="3048">
        <v>1376059.3251136823</v>
      </c>
      <c r="O195" s="684">
        <v>1020670.9153240668</v>
      </c>
      <c r="P195" s="3048">
        <v>1149601.9975566901</v>
      </c>
      <c r="Q195" s="684">
        <v>378897.39091198472</v>
      </c>
      <c r="R195" s="680">
        <v>0</v>
      </c>
      <c r="S195" s="707">
        <f>R195+Q195</f>
        <v>378897.39091198472</v>
      </c>
      <c r="T195" s="673">
        <v>701294.59155092575</v>
      </c>
      <c r="U195" s="295">
        <v>186857.885565701</v>
      </c>
      <c r="V195" s="680">
        <v>515757.53338620398</v>
      </c>
      <c r="W195" s="684">
        <v>94312.764534999704</v>
      </c>
      <c r="X195" s="3048">
        <v>132246.415077271</v>
      </c>
      <c r="Y195" s="3048">
        <v>142732.98583684399</v>
      </c>
      <c r="Z195" s="694">
        <f t="shared" si="3"/>
        <v>3102.7782813080121</v>
      </c>
    </row>
    <row r="196" spans="1:26" s="227" customFormat="1">
      <c r="A196" s="230">
        <v>2016.3</v>
      </c>
      <c r="B196" s="3048">
        <v>694382.47577623045</v>
      </c>
      <c r="C196" s="295">
        <v>193030.1033736731</v>
      </c>
      <c r="D196" s="229">
        <v>506410.5707127761</v>
      </c>
      <c r="E196" s="3048">
        <v>96873.95781475112</v>
      </c>
      <c r="F196" s="684">
        <v>146914.03159839427</v>
      </c>
      <c r="G196" s="3048">
        <v>137185.49507782274</v>
      </c>
      <c r="H196" s="684">
        <v>28.523946159232409</v>
      </c>
      <c r="I196" s="680">
        <v>0</v>
      </c>
      <c r="J196" s="707">
        <f t="shared" si="0"/>
        <v>28.523946159232409</v>
      </c>
      <c r="K196" s="673">
        <v>8527628.8252780307</v>
      </c>
      <c r="L196" s="295">
        <v>1151236.5066138706</v>
      </c>
      <c r="M196" s="229">
        <v>5624181.5188562153</v>
      </c>
      <c r="N196" s="3048">
        <v>1501568.8227779809</v>
      </c>
      <c r="O196" s="684">
        <v>1111904.1466351708</v>
      </c>
      <c r="P196" s="3048">
        <v>1222179.6558822615</v>
      </c>
      <c r="Q196" s="684">
        <v>219031.1877402715</v>
      </c>
      <c r="R196" s="680">
        <v>0</v>
      </c>
      <c r="S196" s="707">
        <f>R196+Q196</f>
        <v>219031.1877402715</v>
      </c>
      <c r="T196" s="673">
        <v>703365.46139127435</v>
      </c>
      <c r="U196" s="295">
        <v>183693.82478407701</v>
      </c>
      <c r="V196" s="680">
        <v>513842.59035611001</v>
      </c>
      <c r="W196" s="684">
        <v>96641.626977585896</v>
      </c>
      <c r="X196" s="3048">
        <v>131211.782257377</v>
      </c>
      <c r="Y196" s="3048">
        <v>139388.21389143501</v>
      </c>
      <c r="Z196" s="694">
        <f t="shared" si="3"/>
        <v>5975.0726928436197</v>
      </c>
    </row>
    <row r="197" spans="1:26" s="227" customFormat="1">
      <c r="A197" s="230">
        <v>2016.4</v>
      </c>
      <c r="B197" s="3048">
        <v>693173.54934705782</v>
      </c>
      <c r="C197" s="295">
        <v>185783.37864128867</v>
      </c>
      <c r="D197" s="229">
        <v>482792.3600649343</v>
      </c>
      <c r="E197" s="3048">
        <v>103611.65551354598</v>
      </c>
      <c r="F197" s="684">
        <v>140767.70716094368</v>
      </c>
      <c r="G197" s="3048">
        <v>134851.77049515006</v>
      </c>
      <c r="H197" s="684">
        <v>16933.434753772326</v>
      </c>
      <c r="I197" s="680">
        <v>0</v>
      </c>
      <c r="J197" s="707">
        <f t="shared" si="0"/>
        <v>16933.434753772326</v>
      </c>
      <c r="K197" s="673">
        <v>8963807.8735824302</v>
      </c>
      <c r="L197" s="295">
        <v>1219922.4007465751</v>
      </c>
      <c r="M197" s="229">
        <v>5646415.4078546483</v>
      </c>
      <c r="N197" s="3048">
        <v>1739026.4631563313</v>
      </c>
      <c r="O197" s="684">
        <v>1094432.4011464845</v>
      </c>
      <c r="P197" s="3048">
        <v>1254781.4821189188</v>
      </c>
      <c r="Q197" s="684">
        <v>449074.52005262079</v>
      </c>
      <c r="R197" s="680">
        <v>0</v>
      </c>
      <c r="S197" s="707">
        <f t="shared" si="1"/>
        <v>449074.52005262079</v>
      </c>
      <c r="T197" s="673">
        <v>707958.12571815052</v>
      </c>
      <c r="U197" s="295">
        <v>190179.20155184099</v>
      </c>
      <c r="V197" s="680">
        <v>518027.53799368802</v>
      </c>
      <c r="W197" s="684">
        <v>97687.856138069605</v>
      </c>
      <c r="X197" s="3048">
        <v>133978.44340081199</v>
      </c>
      <c r="Y197" s="3048">
        <v>142811.77200085201</v>
      </c>
      <c r="Z197" s="694">
        <f t="shared" si="3"/>
        <v>5631.7177365698153</v>
      </c>
    </row>
    <row r="198" spans="1:26" s="227" customFormat="1">
      <c r="A198" s="230">
        <v>2017.1</v>
      </c>
      <c r="B198" s="3048">
        <v>681444.76611022244</v>
      </c>
      <c r="C198" s="295">
        <v>194211.6667513001</v>
      </c>
      <c r="D198" s="229">
        <v>536011.26796886313</v>
      </c>
      <c r="E198" s="3048">
        <v>92114.467517266225</v>
      </c>
      <c r="F198" s="684">
        <v>134667.57440605693</v>
      </c>
      <c r="G198" s="3048">
        <v>131486.24599536855</v>
      </c>
      <c r="H198" s="684">
        <v>-18623.123026032266</v>
      </c>
      <c r="I198" s="680">
        <v>0</v>
      </c>
      <c r="J198" s="707">
        <f t="shared" si="0"/>
        <v>-18623.123026032266</v>
      </c>
      <c r="K198" s="673">
        <v>9240877.7309983596</v>
      </c>
      <c r="L198" s="295">
        <v>1286988.342589411</v>
      </c>
      <c r="M198" s="229">
        <v>6452494.8674846385</v>
      </c>
      <c r="N198" s="3048">
        <v>1603692.4033928665</v>
      </c>
      <c r="O198" s="684">
        <v>1036964.9424448053</v>
      </c>
      <c r="P198" s="3048">
        <v>1376574.1514435573</v>
      </c>
      <c r="Q198" s="684">
        <v>58139.708821904147</v>
      </c>
      <c r="R198" s="680">
        <v>0</v>
      </c>
      <c r="S198" s="707">
        <f t="shared" si="1"/>
        <v>58139.708821904147</v>
      </c>
      <c r="T198" s="673">
        <v>714455.62514817785</v>
      </c>
      <c r="U198" s="295">
        <v>199877.12669700399</v>
      </c>
      <c r="V198" s="680">
        <v>530835.46355440596</v>
      </c>
      <c r="W198" s="684">
        <v>98133.342215075099</v>
      </c>
      <c r="X198" s="3048">
        <v>140014.084323127</v>
      </c>
      <c r="Y198" s="3048">
        <v>146547.434857699</v>
      </c>
      <c r="Z198" s="694">
        <f t="shared" si="3"/>
        <v>-1197.5731051252224</v>
      </c>
    </row>
    <row r="199" spans="1:26" s="227" customFormat="1">
      <c r="A199" s="230">
        <v>2017.2</v>
      </c>
      <c r="B199" s="3048">
        <v>778401.67644931667</v>
      </c>
      <c r="C199" s="295">
        <v>211208.75068866156</v>
      </c>
      <c r="D199" s="229">
        <v>579761.66347400076</v>
      </c>
      <c r="E199" s="3048">
        <v>98369.906124256348</v>
      </c>
      <c r="F199" s="684">
        <v>150287.56199874161</v>
      </c>
      <c r="G199" s="3048">
        <v>147917.72513381098</v>
      </c>
      <c r="H199" s="684">
        <v>13273.57040716861</v>
      </c>
      <c r="I199" s="680">
        <v>0</v>
      </c>
      <c r="J199" s="707">
        <f t="shared" si="0"/>
        <v>13273.57040716861</v>
      </c>
      <c r="K199" s="673">
        <v>10558208.304643149</v>
      </c>
      <c r="L199" s="295">
        <v>1391389.2309320145</v>
      </c>
      <c r="M199" s="229">
        <v>7222060.2532969499</v>
      </c>
      <c r="N199" s="3048">
        <v>1830346.0750884414</v>
      </c>
      <c r="O199" s="684">
        <v>1180972.2683563081</v>
      </c>
      <c r="P199" s="3048">
        <v>1515425.7851115854</v>
      </c>
      <c r="Q199" s="684">
        <v>200793.15372187659</v>
      </c>
      <c r="R199" s="680">
        <v>0</v>
      </c>
      <c r="S199" s="707">
        <f t="shared" si="1"/>
        <v>200793.15372187659</v>
      </c>
      <c r="T199" s="673">
        <v>721549.72769556928</v>
      </c>
      <c r="U199" s="295">
        <v>209771.214611592</v>
      </c>
      <c r="V199" s="680">
        <v>533334.54769304697</v>
      </c>
      <c r="W199" s="684">
        <v>98421.698655363594</v>
      </c>
      <c r="X199" s="3048">
        <v>146124.87665932</v>
      </c>
      <c r="Y199" s="3048">
        <v>143488.59124169699</v>
      </c>
      <c r="Z199" s="694">
        <f t="shared" si="3"/>
        <v>9951.2280577337369</v>
      </c>
    </row>
    <row r="200" spans="1:26" s="227" customFormat="1">
      <c r="A200" s="230">
        <v>2017.3</v>
      </c>
      <c r="B200" s="3048">
        <v>721120.42685279413</v>
      </c>
      <c r="C200" s="295">
        <v>229079.80670323674</v>
      </c>
      <c r="D200" s="229">
        <v>530448.74350044678</v>
      </c>
      <c r="E200" s="3048">
        <v>99417.584720550163</v>
      </c>
      <c r="F200" s="684">
        <v>153867.07257565853</v>
      </c>
      <c r="G200" s="3048">
        <v>160592.39690911057</v>
      </c>
      <c r="H200" s="684">
        <v>5874.4358502647374</v>
      </c>
      <c r="I200" s="680">
        <v>0</v>
      </c>
      <c r="J200" s="707">
        <f t="shared" si="0"/>
        <v>5874.4358502647374</v>
      </c>
      <c r="K200" s="673">
        <v>11116422.3178693</v>
      </c>
      <c r="L200" s="295">
        <v>1637892.4601677018</v>
      </c>
      <c r="M200" s="229">
        <v>7389754.5892044138</v>
      </c>
      <c r="N200" s="3048">
        <v>1901772.384216524</v>
      </c>
      <c r="O200" s="684">
        <v>1317088.8434907189</v>
      </c>
      <c r="P200" s="3048">
        <v>1746003.5877648164</v>
      </c>
      <c r="Q200" s="684">
        <v>399695.37336052803</v>
      </c>
      <c r="R200" s="680">
        <v>0</v>
      </c>
      <c r="S200" s="707">
        <f t="shared" si="1"/>
        <v>399695.37336052803</v>
      </c>
      <c r="T200" s="673">
        <v>731270.21999392705</v>
      </c>
      <c r="U200" s="295">
        <v>219427.85606044499</v>
      </c>
      <c r="V200" s="680">
        <v>541357.01392230601</v>
      </c>
      <c r="W200" s="684">
        <v>99337.714552094694</v>
      </c>
      <c r="X200" s="3048">
        <v>154541.49876022001</v>
      </c>
      <c r="Y200" s="3048">
        <v>146464.79910149699</v>
      </c>
      <c r="Z200" s="694">
        <f t="shared" si="3"/>
        <v>8997.0497182543622</v>
      </c>
    </row>
    <row r="201" spans="1:26" s="227" customFormat="1">
      <c r="A201" s="230">
        <v>2017.4</v>
      </c>
      <c r="B201" s="3048">
        <v>724592.92163896293</v>
      </c>
      <c r="C201" s="295">
        <v>227978.62402592791</v>
      </c>
      <c r="D201" s="229">
        <v>508108.82394146093</v>
      </c>
      <c r="E201" s="3048">
        <v>105392.23970881503</v>
      </c>
      <c r="F201" s="684">
        <v>145441.11931488177</v>
      </c>
      <c r="G201" s="3048">
        <v>162113.68977869209</v>
      </c>
      <c r="H201" s="684">
        <v>31515.672921041147</v>
      </c>
      <c r="I201" s="680">
        <v>0</v>
      </c>
      <c r="J201" s="707">
        <f>I201+H201</f>
        <v>31515.672921041147</v>
      </c>
      <c r="K201" s="673">
        <v>11725405.625723016</v>
      </c>
      <c r="L201" s="295">
        <v>1640374.7434781096</v>
      </c>
      <c r="M201" s="229">
        <v>7394054.3400921319</v>
      </c>
      <c r="N201" s="3048">
        <v>2210306.45177919</v>
      </c>
      <c r="O201" s="684">
        <v>1292046.2353310343</v>
      </c>
      <c r="P201" s="3048">
        <v>1827296.604023722</v>
      </c>
      <c r="Q201" s="684">
        <v>642076.73797504837</v>
      </c>
      <c r="R201" s="680">
        <v>0</v>
      </c>
      <c r="S201" s="707">
        <f t="shared" si="1"/>
        <v>642076.73797504837</v>
      </c>
      <c r="T201" s="673">
        <v>738284.21821362199</v>
      </c>
      <c r="U201" s="295">
        <v>233402.650800086</v>
      </c>
      <c r="V201" s="680">
        <v>548803.47371501301</v>
      </c>
      <c r="W201" s="684">
        <v>99401.442648354394</v>
      </c>
      <c r="X201" s="3048">
        <v>161429.59807431599</v>
      </c>
      <c r="Y201" s="3048">
        <v>147762.503094446</v>
      </c>
      <c r="Z201" s="694">
        <f t="shared" si="3"/>
        <v>14289.851481578546</v>
      </c>
    </row>
    <row r="202" spans="1:26" s="227" customFormat="1">
      <c r="A202" s="230">
        <v>2018.1</v>
      </c>
      <c r="B202" s="3048">
        <v>707324.2680572141</v>
      </c>
      <c r="C202" s="295">
        <v>225441.66873268329</v>
      </c>
      <c r="D202" s="229">
        <v>552912.87859209056</v>
      </c>
      <c r="E202" s="3048">
        <v>92056.193864697299</v>
      </c>
      <c r="F202" s="684">
        <v>144939.93221966934</v>
      </c>
      <c r="G202" s="3048">
        <v>152300.60421099819</v>
      </c>
      <c r="H202" s="684">
        <v>-9443.6720975579628</v>
      </c>
      <c r="I202" s="680">
        <v>0</v>
      </c>
      <c r="J202" s="707">
        <v>-8446.9539947476351</v>
      </c>
      <c r="K202" s="673">
        <v>12457790.347179031</v>
      </c>
      <c r="L202" s="295">
        <v>1919892.5593279414</v>
      </c>
      <c r="M202" s="229">
        <v>8985619.3144723307</v>
      </c>
      <c r="N202" s="3048">
        <v>1930980.5490368265</v>
      </c>
      <c r="O202" s="684">
        <v>1478729.346105644</v>
      </c>
      <c r="P202" s="3048">
        <v>2044366.8432120709</v>
      </c>
      <c r="Q202" s="684">
        <v>-62013.146319899155</v>
      </c>
      <c r="R202" s="680">
        <v>0</v>
      </c>
      <c r="S202" s="707">
        <v>209541.22544686127</v>
      </c>
      <c r="T202" s="673">
        <v>733641.61096137343</v>
      </c>
      <c r="U202" s="295">
        <v>231629.83734363699</v>
      </c>
      <c r="V202" s="680">
        <v>546092.59793666704</v>
      </c>
      <c r="W202" s="684">
        <v>97847.9658699477</v>
      </c>
      <c r="X202" s="3048">
        <v>160520.19086974399</v>
      </c>
      <c r="Y202" s="3048">
        <v>156590.14146339399</v>
      </c>
      <c r="Z202" s="694">
        <f>SUM(T202:U202)-SUM(V202:Y202)</f>
        <v>4220.5521652576281</v>
      </c>
    </row>
    <row r="203" spans="1:26" s="227" customFormat="1">
      <c r="A203" s="230">
        <v>2018.2</v>
      </c>
      <c r="B203" s="3048">
        <v>747428.29995457456</v>
      </c>
      <c r="C203" s="295">
        <v>220135.48182057161</v>
      </c>
      <c r="D203" s="229">
        <v>588455.75652951398</v>
      </c>
      <c r="E203" s="3048">
        <v>97624.1805461115</v>
      </c>
      <c r="F203" s="684">
        <v>137726.12065017069</v>
      </c>
      <c r="G203" s="3048">
        <v>151659.16792457036</v>
      </c>
      <c r="H203" s="684">
        <v>-7901.4438752204433</v>
      </c>
      <c r="I203" s="680">
        <v>0</v>
      </c>
      <c r="J203" s="707">
        <v>5176.1505407693294</v>
      </c>
      <c r="K203" s="673">
        <v>14431394.012697566</v>
      </c>
      <c r="L203" s="295">
        <v>2215778.5591385653</v>
      </c>
      <c r="M203" s="229">
        <v>10330546.935142642</v>
      </c>
      <c r="N203" s="3048">
        <v>2229720.3422271442</v>
      </c>
      <c r="O203" s="684">
        <v>1751921.0788386983</v>
      </c>
      <c r="P203" s="3048">
        <v>2168235.6608427409</v>
      </c>
      <c r="Q203" s="684">
        <v>166748.55478490356</v>
      </c>
      <c r="R203" s="680">
        <v>0</v>
      </c>
      <c r="S203" s="707">
        <v>443122.26877132605</v>
      </c>
      <c r="T203" s="673">
        <v>703405.30426157557</v>
      </c>
      <c r="U203" s="295">
        <v>218457.774621074</v>
      </c>
      <c r="V203" s="680">
        <v>540276.23719534301</v>
      </c>
      <c r="W203" s="684">
        <v>97231.483831698395</v>
      </c>
      <c r="X203" s="3048">
        <v>150206.582112915</v>
      </c>
      <c r="Y203" s="3048">
        <v>131825.12184737399</v>
      </c>
      <c r="Z203" s="694">
        <f>SUM(T203:U203)-SUM(V203:Y203)</f>
        <v>2323.6538953190902</v>
      </c>
    </row>
    <row r="204" spans="1:26" s="227" customFormat="1">
      <c r="A204" s="230">
        <v>2018.3</v>
      </c>
      <c r="B204" s="3048">
        <v>696101.58352180757</v>
      </c>
      <c r="C204" s="295">
        <v>206728.92891598196</v>
      </c>
      <c r="D204" s="229">
        <v>513316.29297847388</v>
      </c>
      <c r="E204" s="3048">
        <v>96923.533014979621</v>
      </c>
      <c r="F204" s="684">
        <v>144474.37418546676</v>
      </c>
      <c r="G204" s="3048">
        <v>142066.41524748251</v>
      </c>
      <c r="H204" s="295">
        <v>6049.8970113867208</v>
      </c>
      <c r="I204" s="680">
        <v>0</v>
      </c>
      <c r="J204" s="707">
        <v>10662.196157122547</v>
      </c>
      <c r="K204" s="673">
        <v>15276275.653390341</v>
      </c>
      <c r="L204" s="295">
        <v>2796099.7108324175</v>
      </c>
      <c r="M204" s="229">
        <v>10818287.266995337</v>
      </c>
      <c r="N204" s="3048">
        <v>2269535.2994457465</v>
      </c>
      <c r="O204" s="684">
        <v>2390075.0811334709</v>
      </c>
      <c r="P204" s="3048">
        <v>2381084.7827953203</v>
      </c>
      <c r="Q204" s="684">
        <v>213392.93385288605</v>
      </c>
      <c r="R204" s="680">
        <v>0</v>
      </c>
      <c r="S204" s="707">
        <v>815846.23404923058</v>
      </c>
      <c r="T204" s="673">
        <v>701660.91627225396</v>
      </c>
      <c r="U204" s="295">
        <v>199257.623242381</v>
      </c>
      <c r="V204" s="680">
        <v>530084.97692666005</v>
      </c>
      <c r="W204" s="684">
        <v>97045.345169816705</v>
      </c>
      <c r="X204" s="3048">
        <v>135826.83821496801</v>
      </c>
      <c r="Y204" s="3048">
        <v>136081.84814708101</v>
      </c>
      <c r="Z204" s="694">
        <f>SUM(T204:U204)-SUM(V204:Y204)</f>
        <v>1879.5310561092338</v>
      </c>
    </row>
    <row r="205" spans="1:26" s="227" customFormat="1">
      <c r="A205" s="230">
        <v>2018.4</v>
      </c>
      <c r="B205" s="3048">
        <v>678655.62038445356</v>
      </c>
      <c r="C205" s="295">
        <v>171694.68040516032</v>
      </c>
      <c r="D205" s="229">
        <v>451265.20905076183</v>
      </c>
      <c r="E205" s="3048">
        <v>101213.65943477832</v>
      </c>
      <c r="F205" s="684">
        <v>160897.22038331695</v>
      </c>
      <c r="G205" s="3048">
        <v>121488.74616913995</v>
      </c>
      <c r="H205" s="295">
        <v>15485.465751616752</v>
      </c>
      <c r="I205" s="680">
        <v>0</v>
      </c>
      <c r="J205" s="707">
        <v>-5363.566786610656</v>
      </c>
      <c r="K205" s="673">
        <v>16813782.695796333</v>
      </c>
      <c r="L205" s="295">
        <v>2697091.9875661591</v>
      </c>
      <c r="M205" s="229">
        <v>10838533.902790979</v>
      </c>
      <c r="N205" s="3048">
        <v>2891490.421296306</v>
      </c>
      <c r="O205" s="684">
        <v>2893922.4216014976</v>
      </c>
      <c r="P205" s="3048">
        <v>2401266.2133552069</v>
      </c>
      <c r="Q205" s="684">
        <v>485661.72431850847</v>
      </c>
      <c r="R205" s="680">
        <v>0</v>
      </c>
      <c r="S205" s="707">
        <v>662008.11815602111</v>
      </c>
      <c r="T205" s="673">
        <v>690801.94042284705</v>
      </c>
      <c r="U205" s="295">
        <v>174655.524667305</v>
      </c>
      <c r="V205" s="680">
        <v>489496.32509217202</v>
      </c>
      <c r="W205" s="684">
        <v>95692.771989103494</v>
      </c>
      <c r="X205" s="3048">
        <v>120961.322354565</v>
      </c>
      <c r="Y205" s="3048">
        <v>163540.53598077499</v>
      </c>
      <c r="Z205" s="694">
        <f t="shared" ref="Z205:Z233" si="4">SUM(T205:U205)-SUM(V205:Y205)</f>
        <v>-4233.4903264634777</v>
      </c>
    </row>
    <row r="206" spans="1:26" s="227" customFormat="1">
      <c r="A206" s="230">
        <v>2019.1</v>
      </c>
      <c r="B206" s="3048">
        <v>665848.71529970889</v>
      </c>
      <c r="C206" s="295">
        <v>168867.28177685314</v>
      </c>
      <c r="D206" s="229">
        <v>504391.51102833217</v>
      </c>
      <c r="E206" s="3048">
        <v>87955.885315884618</v>
      </c>
      <c r="F206" s="684">
        <v>145979.48694396392</v>
      </c>
      <c r="G206" s="3048">
        <v>114187.82600362251</v>
      </c>
      <c r="H206" s="295">
        <v>-17798.712215241139</v>
      </c>
      <c r="I206" s="680">
        <v>0</v>
      </c>
      <c r="J206" s="707">
        <v>8181.9758150117632</v>
      </c>
      <c r="K206" s="673">
        <v>17484108.856974758</v>
      </c>
      <c r="L206" s="295">
        <v>2691262.9814260891</v>
      </c>
      <c r="M206" s="229">
        <v>12506829.117932249</v>
      </c>
      <c r="N206" s="3048">
        <v>2915482.6602430898</v>
      </c>
      <c r="O206" s="684">
        <v>2815654.9440515246</v>
      </c>
      <c r="P206" s="3048">
        <v>2496183.2312483937</v>
      </c>
      <c r="Q206" s="684">
        <v>-558778.11507440591</v>
      </c>
      <c r="R206" s="680">
        <v>0</v>
      </c>
      <c r="S206" s="707">
        <v>306765.00359550095</v>
      </c>
      <c r="T206" s="673">
        <v>692247.65714443068</v>
      </c>
      <c r="U206" s="295">
        <v>173975.69710828899</v>
      </c>
      <c r="V206" s="680">
        <v>498680.84639074601</v>
      </c>
      <c r="W206" s="684">
        <v>93166.105651005695</v>
      </c>
      <c r="X206" s="3048">
        <v>122118.18158396</v>
      </c>
      <c r="Y206" s="3048">
        <v>153375.33151858</v>
      </c>
      <c r="Z206" s="694">
        <f t="shared" si="4"/>
        <v>-1117.1108915719669</v>
      </c>
    </row>
    <row r="207" spans="1:26" s="227" customFormat="1">
      <c r="A207" s="230">
        <v>2019.2</v>
      </c>
      <c r="B207" s="3048">
        <v>751784.46077713254</v>
      </c>
      <c r="C207" s="295">
        <v>171113.94006205906</v>
      </c>
      <c r="D207" s="229">
        <v>550677.2854003571</v>
      </c>
      <c r="E207" s="3048">
        <v>93381.864308900738</v>
      </c>
      <c r="F207" s="684">
        <v>159369.07377883981</v>
      </c>
      <c r="G207" s="3048">
        <v>123592.22780170344</v>
      </c>
      <c r="H207" s="295">
        <v>-4122.0504506094958</v>
      </c>
      <c r="I207" s="680">
        <v>0</v>
      </c>
      <c r="J207" s="707">
        <v>13735.97874543997</v>
      </c>
      <c r="K207" s="673">
        <v>21233558.154751204</v>
      </c>
      <c r="L207" s="295">
        <v>2995331.6135632321</v>
      </c>
      <c r="M207" s="684">
        <v>14726541.986568943</v>
      </c>
      <c r="N207" s="3048">
        <v>3465044.4136007172</v>
      </c>
      <c r="O207" s="684">
        <v>3503605.4715096559</v>
      </c>
      <c r="P207" s="3048">
        <v>2955278.3386972123</v>
      </c>
      <c r="Q207" s="684">
        <v>-421580.44206209073</v>
      </c>
      <c r="R207" s="680">
        <v>0</v>
      </c>
      <c r="S207" s="707">
        <v>292055.68804257584</v>
      </c>
      <c r="T207" s="673">
        <v>696866.32565107523</v>
      </c>
      <c r="U207" s="295">
        <v>169558.79478922399</v>
      </c>
      <c r="V207" s="680">
        <v>501668.82703638199</v>
      </c>
      <c r="W207" s="684">
        <v>92428.936795020098</v>
      </c>
      <c r="X207" s="3048">
        <v>122799.060801838</v>
      </c>
      <c r="Y207" s="3048">
        <v>157893.132329202</v>
      </c>
      <c r="Z207" s="694">
        <f t="shared" si="4"/>
        <v>-8364.8365221428685</v>
      </c>
    </row>
    <row r="208" spans="1:26" s="227" customFormat="1">
      <c r="A208" s="230">
        <v>2019.3</v>
      </c>
      <c r="B208" s="3048">
        <v>683900.89855257841</v>
      </c>
      <c r="C208" s="295">
        <v>176396.74291737535</v>
      </c>
      <c r="D208" s="229">
        <v>480415.60689608956</v>
      </c>
      <c r="E208" s="3048">
        <v>88666.349847089979</v>
      </c>
      <c r="F208" s="684">
        <v>166474.0916804299</v>
      </c>
      <c r="G208" s="3048">
        <v>127742.49807995031</v>
      </c>
      <c r="H208" s="684">
        <v>-2865.4114631469688</v>
      </c>
      <c r="I208" s="680">
        <v>0</v>
      </c>
      <c r="J208" s="707">
        <v>-22458.563770109984</v>
      </c>
      <c r="K208" s="673">
        <v>22303884.008779511</v>
      </c>
      <c r="L208" s="295">
        <v>3496149.7229280677</v>
      </c>
      <c r="M208" s="229">
        <v>14448983.823249834</v>
      </c>
      <c r="N208" s="3048">
        <v>3514717.5114464457</v>
      </c>
      <c r="O208" s="684">
        <v>4137684.1662638434</v>
      </c>
      <c r="P208" s="3048">
        <v>3413087.2481312547</v>
      </c>
      <c r="Q208" s="684">
        <v>288661.30781486165</v>
      </c>
      <c r="R208" s="680">
        <v>0</v>
      </c>
      <c r="S208" s="707">
        <v>-324058.03050186537</v>
      </c>
      <c r="T208" s="673">
        <v>696706.63944515795</v>
      </c>
      <c r="U208" s="295">
        <v>171012.73295697599</v>
      </c>
      <c r="V208" s="680">
        <v>500325.77040069702</v>
      </c>
      <c r="W208" s="684">
        <v>89136.010800742704</v>
      </c>
      <c r="X208" s="3048">
        <v>121377.80352771201</v>
      </c>
      <c r="Y208" s="3048">
        <v>157211.63809647301</v>
      </c>
      <c r="Z208" s="694">
        <f t="shared" si="4"/>
        <v>-331.85042349086143</v>
      </c>
    </row>
    <row r="209" spans="1:26" s="227" customFormat="1">
      <c r="A209" s="230">
        <v>2019.4</v>
      </c>
      <c r="B209" s="3048">
        <v>671361.13972242002</v>
      </c>
      <c r="C209" s="295">
        <v>153557.48180457175</v>
      </c>
      <c r="D209" s="229">
        <v>441436.04980722244</v>
      </c>
      <c r="E209" s="3048">
        <v>92992.64557113075</v>
      </c>
      <c r="F209" s="684">
        <v>173554.69540591474</v>
      </c>
      <c r="G209" s="3048">
        <v>111464.9398238233</v>
      </c>
      <c r="H209" s="684">
        <v>6361.6247274381794</v>
      </c>
      <c r="I209" s="680">
        <v>0</v>
      </c>
      <c r="J209" s="707">
        <v>-12006.71105809073</v>
      </c>
      <c r="K209" s="673">
        <v>25212225.57629694</v>
      </c>
      <c r="L209" s="295">
        <v>3498567.7871837672</v>
      </c>
      <c r="M209" s="229">
        <v>15341960.115295788</v>
      </c>
      <c r="N209" s="3048">
        <v>4284383.629432993</v>
      </c>
      <c r="O209" s="684">
        <v>5000354.9936095746</v>
      </c>
      <c r="P209" s="3048">
        <v>3379824.9111472671</v>
      </c>
      <c r="Q209" s="684">
        <v>728359.33605592558</v>
      </c>
      <c r="R209" s="680">
        <v>0</v>
      </c>
      <c r="S209" s="707">
        <v>-115854.27931970978</v>
      </c>
      <c r="T209" s="673">
        <v>687074.59211117355</v>
      </c>
      <c r="U209" s="295">
        <v>155388.22170637001</v>
      </c>
      <c r="V209" s="680">
        <v>476245.00930417702</v>
      </c>
      <c r="W209" s="684">
        <v>88265.691796237603</v>
      </c>
      <c r="X209" s="3048">
        <v>110692.44579558801</v>
      </c>
      <c r="Y209" s="3048">
        <v>176897.24586489401</v>
      </c>
      <c r="Z209" s="694">
        <f t="shared" si="4"/>
        <v>-9637.5789433530299</v>
      </c>
    </row>
    <row r="210" spans="1:26" s="227" customFormat="1">
      <c r="A210" s="230">
        <v>2020.1</v>
      </c>
      <c r="B210" s="3048">
        <v>632389.35353461001</v>
      </c>
      <c r="C210" s="295">
        <v>147946.8652804679</v>
      </c>
      <c r="D210" s="229">
        <v>470887.43428154616</v>
      </c>
      <c r="E210" s="3048">
        <v>87736.345381020859</v>
      </c>
      <c r="F210" s="684">
        <v>139323.35480735445</v>
      </c>
      <c r="G210" s="3048">
        <v>93438.798849567916</v>
      </c>
      <c r="H210" s="684">
        <v>-11049.714504411444</v>
      </c>
      <c r="I210" s="680">
        <v>0</v>
      </c>
      <c r="J210" s="707">
        <v>8846.15181049495</v>
      </c>
      <c r="K210" s="673">
        <v>24999988.082612831</v>
      </c>
      <c r="L210" s="295">
        <v>3461376.5819446747</v>
      </c>
      <c r="M210" s="229">
        <v>17610147.710211862</v>
      </c>
      <c r="N210" s="3048">
        <v>4127506.9648787244</v>
      </c>
      <c r="O210" s="684">
        <v>4184145.2669444666</v>
      </c>
      <c r="P210" s="3048">
        <v>3293519.1029432211</v>
      </c>
      <c r="Q210" s="684">
        <v>-753954.38042077376</v>
      </c>
      <c r="R210" s="680">
        <v>0</v>
      </c>
      <c r="S210" s="707">
        <v>888903.33914046478</v>
      </c>
      <c r="T210" s="673">
        <v>655017.80936243292</v>
      </c>
      <c r="U210" s="295">
        <v>152794.52635630101</v>
      </c>
      <c r="V210" s="680">
        <v>459944.547790132</v>
      </c>
      <c r="W210" s="684">
        <v>92148.923000208306</v>
      </c>
      <c r="X210" s="3048">
        <v>101684.993386602</v>
      </c>
      <c r="Y210" s="3048">
        <v>151571.53809064499</v>
      </c>
      <c r="Z210" s="694">
        <f t="shared" si="4"/>
        <v>2462.3334511466091</v>
      </c>
    </row>
    <row r="211" spans="1:26" s="227" customFormat="1">
      <c r="A211" s="230">
        <v>2020.2</v>
      </c>
      <c r="B211" s="3048">
        <v>609379.98946480127</v>
      </c>
      <c r="C211" s="295">
        <v>118831.91607431167</v>
      </c>
      <c r="D211" s="229">
        <v>434291.22191559087</v>
      </c>
      <c r="E211" s="3048">
        <v>87928.544809612955</v>
      </c>
      <c r="F211" s="684">
        <v>136593.32836722894</v>
      </c>
      <c r="G211" s="3048">
        <v>76231.157865457251</v>
      </c>
      <c r="H211" s="684">
        <v>-6832.3474187771135</v>
      </c>
      <c r="I211" s="680">
        <v>0</v>
      </c>
      <c r="J211" s="707">
        <v>21636.33839910767</v>
      </c>
      <c r="K211" s="673">
        <v>24025361.939099036</v>
      </c>
      <c r="L211" s="295">
        <v>2995487.7931514946</v>
      </c>
      <c r="M211" s="229">
        <v>16394879.795357706</v>
      </c>
      <c r="N211" s="3048">
        <v>4383620.5021417476</v>
      </c>
      <c r="O211" s="684">
        <v>4354106.2596864058</v>
      </c>
      <c r="P211" s="3048">
        <v>2507043.1480245627</v>
      </c>
      <c r="Q211" s="684">
        <v>-618799.97295988665</v>
      </c>
      <c r="R211" s="680">
        <v>0</v>
      </c>
      <c r="S211" s="707">
        <v>1290488.5210332717</v>
      </c>
      <c r="T211" s="673">
        <v>563879.13185675896</v>
      </c>
      <c r="U211" s="295">
        <v>116568.569054915</v>
      </c>
      <c r="V211" s="680">
        <v>395149.83667345002</v>
      </c>
      <c r="W211" s="684">
        <v>86956.301406994302</v>
      </c>
      <c r="X211" s="3048">
        <v>75407.457015673601</v>
      </c>
      <c r="Y211" s="3048">
        <v>130547.514374741</v>
      </c>
      <c r="Z211" s="694">
        <f t="shared" si="4"/>
        <v>-7613.4085591849871</v>
      </c>
    </row>
    <row r="212" spans="1:26" s="227" customFormat="1">
      <c r="A212" s="230">
        <v>2020.3</v>
      </c>
      <c r="B212" s="3048">
        <v>614192.47840422287</v>
      </c>
      <c r="C212" s="295">
        <v>136935.27553956184</v>
      </c>
      <c r="D212" s="229">
        <v>408971.26297570387</v>
      </c>
      <c r="E212" s="3048">
        <v>86984.633669152085</v>
      </c>
      <c r="F212" s="684">
        <v>136347.82248110077</v>
      </c>
      <c r="G212" s="3048">
        <v>116052.69910475849</v>
      </c>
      <c r="H212" s="684">
        <v>2771.3357130695558</v>
      </c>
      <c r="I212" s="680">
        <v>0</v>
      </c>
      <c r="J212" s="707">
        <v>-5050.6099204668253</v>
      </c>
      <c r="K212" s="673">
        <v>27536379.505392455</v>
      </c>
      <c r="L212" s="295">
        <v>3800934.8859910201</v>
      </c>
      <c r="M212" s="229">
        <v>17443145.176056884</v>
      </c>
      <c r="N212" s="3048">
        <v>4424148.4978680871</v>
      </c>
      <c r="O212" s="684">
        <v>4797446.0638376707</v>
      </c>
      <c r="P212" s="3048">
        <v>4292822.4104276039</v>
      </c>
      <c r="Q212" s="684">
        <v>379752.24319323711</v>
      </c>
      <c r="R212" s="680">
        <v>0</v>
      </c>
      <c r="S212" s="707">
        <v>138733.81267367935</v>
      </c>
      <c r="T212" s="673">
        <v>624480.58601133537</v>
      </c>
      <c r="U212" s="295">
        <v>133052.860699307</v>
      </c>
      <c r="V212" s="680">
        <v>428845.086677132</v>
      </c>
      <c r="W212" s="684">
        <v>87749.029882031202</v>
      </c>
      <c r="X212" s="3048">
        <v>109621.599018462</v>
      </c>
      <c r="Y212" s="3048">
        <v>127816.222794795</v>
      </c>
      <c r="Z212" s="694">
        <f t="shared" si="4"/>
        <v>3501.5083382222801</v>
      </c>
    </row>
    <row r="213" spans="1:26" s="227" customFormat="1">
      <c r="A213" s="230">
        <v>2020.4</v>
      </c>
      <c r="B213" s="3048">
        <v>642403.32319795026</v>
      </c>
      <c r="C213" s="295">
        <v>150921.00259403721</v>
      </c>
      <c r="D213" s="229">
        <v>422152.31693503499</v>
      </c>
      <c r="E213" s="3048">
        <v>93008.979212823979</v>
      </c>
      <c r="F213" s="684">
        <v>120573.80620850835</v>
      </c>
      <c r="G213" s="3048">
        <v>128941.85089797007</v>
      </c>
      <c r="H213" s="684">
        <v>28647.372537650161</v>
      </c>
      <c r="I213" s="680">
        <v>0</v>
      </c>
      <c r="J213" s="707">
        <v>13420.857547065849</v>
      </c>
      <c r="K213" s="673">
        <v>32277527.046046086</v>
      </c>
      <c r="L213" s="295">
        <v>4542472.3540088767</v>
      </c>
      <c r="M213" s="229">
        <v>20064341.742085136</v>
      </c>
      <c r="N213" s="3048">
        <v>5429179.8329873197</v>
      </c>
      <c r="O213" s="684">
        <v>4737512.0339845428</v>
      </c>
      <c r="P213" s="3048">
        <v>5451588.0055542327</v>
      </c>
      <c r="Q213" s="684">
        <v>1137377.7854437362</v>
      </c>
      <c r="R213" s="680">
        <v>0</v>
      </c>
      <c r="S213" s="707">
        <v>953375.5344811707</v>
      </c>
      <c r="T213" s="673">
        <v>654987.61737105832</v>
      </c>
      <c r="U213" s="295">
        <v>152219.103377855</v>
      </c>
      <c r="V213" s="680">
        <v>452362.76496716298</v>
      </c>
      <c r="W213" s="684">
        <v>88804.248783376097</v>
      </c>
      <c r="X213" s="3048">
        <v>127950.457297015</v>
      </c>
      <c r="Y213" s="3048">
        <v>122903.03660401099</v>
      </c>
      <c r="Z213" s="694">
        <f t="shared" si="4"/>
        <v>15186.213097348344</v>
      </c>
    </row>
    <row r="214" spans="1:26" s="227" customFormat="1">
      <c r="A214" s="230">
        <v>2021.1</v>
      </c>
      <c r="B214" s="3048">
        <v>652831.97670632158</v>
      </c>
      <c r="C214" s="295">
        <v>147517.11225906957</v>
      </c>
      <c r="D214" s="229">
        <v>473418.88663387613</v>
      </c>
      <c r="E214" s="3048">
        <v>88352.495827048187</v>
      </c>
      <c r="F214" s="684">
        <v>125271.19242964438</v>
      </c>
      <c r="G214" s="3048">
        <v>129688.33432883563</v>
      </c>
      <c r="H214" s="684">
        <v>-16381.819916439475</v>
      </c>
      <c r="I214" s="680">
        <v>0</v>
      </c>
      <c r="J214" s="707">
        <v>25361.608341311265</v>
      </c>
      <c r="K214" s="673">
        <v>36785109.793720186</v>
      </c>
      <c r="L214" s="295">
        <v>5256379.8210740956</v>
      </c>
      <c r="M214" s="229">
        <v>24629078.749412492</v>
      </c>
      <c r="N214" s="3048">
        <v>5526241.6848398075</v>
      </c>
      <c r="O214" s="684">
        <v>6168401.88670645</v>
      </c>
      <c r="P214" s="3048">
        <v>6580569.9853002997</v>
      </c>
      <c r="Q214" s="684">
        <v>-862802.69146475941</v>
      </c>
      <c r="R214" s="680">
        <v>0</v>
      </c>
      <c r="S214" s="707">
        <v>1505612.0971917801</v>
      </c>
      <c r="T214" s="673">
        <v>675585.13202119467</v>
      </c>
      <c r="U214" s="295">
        <v>153287.9107328</v>
      </c>
      <c r="V214" s="680">
        <v>460595.54970452999</v>
      </c>
      <c r="W214" s="684">
        <v>92331.137268024395</v>
      </c>
      <c r="X214" s="3048">
        <v>138531.23266582601</v>
      </c>
      <c r="Y214" s="3048">
        <v>137327.06364183099</v>
      </c>
      <c r="Z214" s="694">
        <f t="shared" si="4"/>
        <v>88.059473783243448</v>
      </c>
    </row>
    <row r="215" spans="1:26" s="227" customFormat="1">
      <c r="A215" s="230">
        <v>2021.2</v>
      </c>
      <c r="B215" s="3048">
        <v>723516.62249067484</v>
      </c>
      <c r="C215" s="295">
        <v>163057.52331432875</v>
      </c>
      <c r="D215" s="229">
        <v>514737.79354092252</v>
      </c>
      <c r="E215" s="3048">
        <v>93809.853002087038</v>
      </c>
      <c r="F215" s="684">
        <v>146242.56397652789</v>
      </c>
      <c r="G215" s="3048">
        <v>136177.6969330454</v>
      </c>
      <c r="H215" s="684">
        <v>-4393.7614654457429</v>
      </c>
      <c r="I215" s="680">
        <v>0</v>
      </c>
      <c r="J215" s="707">
        <f t="shared" ref="J215:J218" si="5">I215+H215</f>
        <v>-4393.7614654457429</v>
      </c>
      <c r="K215" s="673">
        <v>46340281.475928783</v>
      </c>
      <c r="L215" s="295">
        <v>6660763.0933521856</v>
      </c>
      <c r="M215" s="229">
        <v>29481554.959085483</v>
      </c>
      <c r="N215" s="3048">
        <v>6827446.0584609257</v>
      </c>
      <c r="O215" s="684">
        <v>8345420.4486750914</v>
      </c>
      <c r="P215" s="3048">
        <v>7571047.895175321</v>
      </c>
      <c r="Q215" s="684">
        <v>775575.20788413286</v>
      </c>
      <c r="R215" s="680">
        <v>0</v>
      </c>
      <c r="S215" s="707">
        <f t="shared" ref="S215:S218" si="6">R215+Q215</f>
        <v>775575.20788413286</v>
      </c>
      <c r="T215" s="673">
        <v>680016.59486392851</v>
      </c>
      <c r="U215" s="295">
        <v>159022.37512480299</v>
      </c>
      <c r="V215" s="680">
        <v>468027.88745382399</v>
      </c>
      <c r="W215" s="684">
        <v>92669.928640177997</v>
      </c>
      <c r="X215" s="3048">
        <v>135461.84614238999</v>
      </c>
      <c r="Y215" s="3048">
        <v>143052.01779618501</v>
      </c>
      <c r="Z215" s="694">
        <f t="shared" si="4"/>
        <v>-172.71004384558182</v>
      </c>
    </row>
    <row r="216" spans="1:26" s="227" customFormat="1">
      <c r="A216" s="230">
        <v>2021.3</v>
      </c>
      <c r="B216" s="3048">
        <v>686756.46782667423</v>
      </c>
      <c r="C216" s="295">
        <v>164904.01955605674</v>
      </c>
      <c r="D216" s="229">
        <v>449491.73368179571</v>
      </c>
      <c r="E216" s="3048">
        <v>95108.617108262784</v>
      </c>
      <c r="F216" s="684">
        <v>161505.18821382581</v>
      </c>
      <c r="G216" s="3048">
        <v>141727.54916135024</v>
      </c>
      <c r="H216" s="684">
        <v>3827.3992861004081</v>
      </c>
      <c r="I216" s="680">
        <v>0</v>
      </c>
      <c r="J216" s="707">
        <f t="shared" si="5"/>
        <v>3827.3992861004081</v>
      </c>
      <c r="K216" s="673">
        <v>47462528.989099547</v>
      </c>
      <c r="L216" s="295">
        <v>7659365.9567511501</v>
      </c>
      <c r="M216" s="229">
        <v>28914823.00348736</v>
      </c>
      <c r="N216" s="3048">
        <v>7431638.7916288031</v>
      </c>
      <c r="O216" s="684">
        <v>9839665.7469698172</v>
      </c>
      <c r="P216" s="3048">
        <v>8424274.2023363616</v>
      </c>
      <c r="Q216" s="684">
        <v>511493.20142836869</v>
      </c>
      <c r="R216" s="680">
        <v>0</v>
      </c>
      <c r="S216" s="707">
        <f t="shared" si="6"/>
        <v>511493.20142836869</v>
      </c>
      <c r="T216" s="673">
        <v>694078.78962855099</v>
      </c>
      <c r="U216" s="295">
        <v>161361.80434351999</v>
      </c>
      <c r="V216" s="680">
        <v>474742.79374604201</v>
      </c>
      <c r="W216" s="684">
        <v>96225.385538780407</v>
      </c>
      <c r="X216" s="3048">
        <v>134580.68980476301</v>
      </c>
      <c r="Y216" s="3048">
        <v>152634.81124615899</v>
      </c>
      <c r="Z216" s="694">
        <f t="shared" si="4"/>
        <v>-2743.0863636735594</v>
      </c>
    </row>
    <row r="217" spans="1:26" s="227" customFormat="1">
      <c r="A217" s="230">
        <v>2021.4</v>
      </c>
      <c r="B217" s="3048">
        <v>696134.66911211505</v>
      </c>
      <c r="C217" s="295">
        <v>182089.20202110664</v>
      </c>
      <c r="D217" s="229">
        <v>463015.56785956828</v>
      </c>
      <c r="E217" s="3048">
        <v>103726.72779060947</v>
      </c>
      <c r="F217" s="684">
        <v>144860.42838246087</v>
      </c>
      <c r="G217" s="3048">
        <v>148125.39297362405</v>
      </c>
      <c r="H217" s="684">
        <v>18495.754228945822</v>
      </c>
      <c r="I217" s="680">
        <v>0</v>
      </c>
      <c r="J217" s="707">
        <f t="shared" si="5"/>
        <v>18495.754228945822</v>
      </c>
      <c r="K217" s="673">
        <v>54288413.782466695</v>
      </c>
      <c r="L217" s="295">
        <v>8177090.1563297417</v>
      </c>
      <c r="M217" s="229">
        <v>33360045.12800109</v>
      </c>
      <c r="N217" s="3048">
        <v>9639254.2096673381</v>
      </c>
      <c r="O217" s="684">
        <v>9047581.5111862961</v>
      </c>
      <c r="P217" s="3048">
        <v>9390395.5550043192</v>
      </c>
      <c r="Q217" s="684">
        <v>1028227.5349373966</v>
      </c>
      <c r="R217" s="680">
        <v>0</v>
      </c>
      <c r="S217" s="707">
        <f t="shared" si="6"/>
        <v>1028227.5349373966</v>
      </c>
      <c r="T217" s="673">
        <v>709559.21962211223</v>
      </c>
      <c r="U217" s="295">
        <v>183895.76694943901</v>
      </c>
      <c r="V217" s="680">
        <v>497297.75081176701</v>
      </c>
      <c r="W217" s="684">
        <v>99771.242281024199</v>
      </c>
      <c r="X217" s="3048">
        <v>147145.20478387599</v>
      </c>
      <c r="Y217" s="3048">
        <v>144865.48031828401</v>
      </c>
      <c r="Z217" s="694">
        <f t="shared" si="4"/>
        <v>4375.308376600151</v>
      </c>
    </row>
    <row r="218" spans="1:26" s="227" customFormat="1">
      <c r="A218" s="230">
        <v>2022.1</v>
      </c>
      <c r="B218" s="3049">
        <v>697592.03849840141</v>
      </c>
      <c r="C218" s="1739">
        <v>183203.16300082795</v>
      </c>
      <c r="D218" s="1740">
        <v>520962.64842560573</v>
      </c>
      <c r="E218" s="3049">
        <v>95230.098473144593</v>
      </c>
      <c r="F218" s="1741">
        <v>135246.42415334639</v>
      </c>
      <c r="G218" s="3049">
        <v>144119.40215432647</v>
      </c>
      <c r="H218" s="1741">
        <v>-18218.863109630758</v>
      </c>
      <c r="I218" s="1742">
        <v>3455.4914024369791</v>
      </c>
      <c r="J218" s="707">
        <f t="shared" si="5"/>
        <v>-14763.371707193779</v>
      </c>
      <c r="K218" s="1743">
        <v>60129874.019222952</v>
      </c>
      <c r="L218" s="1739">
        <v>9303508.998778712</v>
      </c>
      <c r="M218" s="1740">
        <v>41333189.133145958</v>
      </c>
      <c r="N218" s="3049">
        <v>9514031.5612677541</v>
      </c>
      <c r="O218" s="1741">
        <v>9607175.4830643106</v>
      </c>
      <c r="P218" s="3049">
        <v>10585831.838198954</v>
      </c>
      <c r="Q218" s="1741">
        <v>-2114835.0218624938</v>
      </c>
      <c r="R218" s="1742">
        <v>507990.02418716252</v>
      </c>
      <c r="S218" s="707">
        <f t="shared" si="6"/>
        <v>-1606844.9976753313</v>
      </c>
      <c r="T218" s="673">
        <v>724647.44024410227</v>
      </c>
      <c r="U218" s="295">
        <v>191180.317991644</v>
      </c>
      <c r="V218" s="680">
        <v>508440.35476842202</v>
      </c>
      <c r="W218" s="684">
        <v>99188.789072366606</v>
      </c>
      <c r="X218" s="3048">
        <v>154258.841937744</v>
      </c>
      <c r="Y218" s="3048">
        <v>144610.15282533801</v>
      </c>
      <c r="Z218" s="694">
        <f t="shared" si="4"/>
        <v>9329.6196318755392</v>
      </c>
    </row>
    <row r="219" spans="1:26" s="227" customFormat="1">
      <c r="A219" s="230">
        <v>2022.2</v>
      </c>
      <c r="B219" s="3049">
        <v>774238.2057146536</v>
      </c>
      <c r="C219" s="1739">
        <v>206436.40838854903</v>
      </c>
      <c r="D219" s="1740">
        <v>573891.69795234455</v>
      </c>
      <c r="E219" s="3049">
        <v>99986.323879114003</v>
      </c>
      <c r="F219" s="1741">
        <v>156758.69177942391</v>
      </c>
      <c r="G219" s="3049">
        <v>161774.07237956193</v>
      </c>
      <c r="H219" s="1741">
        <v>-14326.007063244344</v>
      </c>
      <c r="I219" s="1742">
        <v>2589.8351760025835</v>
      </c>
      <c r="J219" s="707">
        <f t="shared" ref="J219:J233" si="7">I219+H219</f>
        <v>-11736.17188724176</v>
      </c>
      <c r="K219" s="1743">
        <v>78506632.502821088</v>
      </c>
      <c r="L219" s="1739">
        <v>12828985.331604023</v>
      </c>
      <c r="M219" s="1740">
        <v>52938936.839432471</v>
      </c>
      <c r="N219" s="3049">
        <v>11821157.000885513</v>
      </c>
      <c r="O219" s="1741">
        <v>13379812.668264609</v>
      </c>
      <c r="P219" s="3049">
        <v>13354906.852425415</v>
      </c>
      <c r="Q219" s="1741">
        <v>-1402652.9781136452</v>
      </c>
      <c r="R219" s="1742">
        <v>1243457.4515307248</v>
      </c>
      <c r="S219" s="707">
        <f t="shared" ref="S219:S233" si="8">R219+Q219</f>
        <v>-159195.52658292046</v>
      </c>
      <c r="T219" s="673">
        <v>734393.11851673224</v>
      </c>
      <c r="U219" s="295">
        <v>200793.03264879101</v>
      </c>
      <c r="V219" s="680">
        <v>523665.791318567</v>
      </c>
      <c r="W219" s="684">
        <v>98548.975873832198</v>
      </c>
      <c r="X219" s="3048">
        <v>161155.775564079</v>
      </c>
      <c r="Y219" s="3048">
        <v>153918.544823323</v>
      </c>
      <c r="Z219" s="694">
        <f t="shared" si="4"/>
        <v>-2102.9364142781124</v>
      </c>
    </row>
    <row r="220" spans="1:26" s="227" customFormat="1">
      <c r="A220" s="230">
        <v>2022.3</v>
      </c>
      <c r="B220" s="3049">
        <v>727933.42375928734</v>
      </c>
      <c r="C220" s="1739">
        <v>201183.2431321503</v>
      </c>
      <c r="D220" s="1740">
        <v>497555.28588725964</v>
      </c>
      <c r="E220" s="3049">
        <v>96227.973835695491</v>
      </c>
      <c r="F220" s="1741">
        <v>157128.1886388298</v>
      </c>
      <c r="G220" s="3049">
        <v>162467.0049239246</v>
      </c>
      <c r="H220" s="1741">
        <v>14887.384168261082</v>
      </c>
      <c r="I220" s="1742">
        <v>850.82943746703677</v>
      </c>
      <c r="J220" s="707">
        <f t="shared" si="7"/>
        <v>15738.213605728119</v>
      </c>
      <c r="K220" s="1743">
        <v>87747392.232704207</v>
      </c>
      <c r="L220" s="1739">
        <v>14859830.05251353</v>
      </c>
      <c r="M220" s="1740">
        <v>55919987.586931139</v>
      </c>
      <c r="N220" s="3049">
        <v>13125573.335262822</v>
      </c>
      <c r="O220" s="1741">
        <v>14329285.773207292</v>
      </c>
      <c r="P220" s="3049">
        <v>16058102.535649151</v>
      </c>
      <c r="Q220" s="1741">
        <v>2403859.2013263344</v>
      </c>
      <c r="R220" s="1742">
        <v>770413.85284100473</v>
      </c>
      <c r="S220" s="707">
        <f t="shared" si="8"/>
        <v>3174273.0541673391</v>
      </c>
      <c r="T220" s="673">
        <v>731454.55606556626</v>
      </c>
      <c r="U220" s="295">
        <v>197341.78764079101</v>
      </c>
      <c r="V220" s="680">
        <v>525097.29621808801</v>
      </c>
      <c r="W220" s="684">
        <v>97094.171498016396</v>
      </c>
      <c r="X220" s="3048">
        <v>153947.68321977</v>
      </c>
      <c r="Y220" s="3048">
        <v>150025.17359630601</v>
      </c>
      <c r="Z220" s="694">
        <f t="shared" si="4"/>
        <v>2632.0191741769668</v>
      </c>
    </row>
    <row r="221" spans="1:26" s="227" customFormat="1">
      <c r="A221" s="230">
        <v>2022.4</v>
      </c>
      <c r="B221" s="3049">
        <v>704884.68203466653</v>
      </c>
      <c r="C221" s="1739">
        <v>183968.0080297064</v>
      </c>
      <c r="D221" s="1740">
        <v>486045.92859641591</v>
      </c>
      <c r="E221" s="3049">
        <v>100867.86366553024</v>
      </c>
      <c r="F221" s="1741">
        <v>155364.43369878802</v>
      </c>
      <c r="G221" s="3049">
        <v>149367.3348030429</v>
      </c>
      <c r="H221" s="1741">
        <v>10540.685662111886</v>
      </c>
      <c r="I221" s="1742">
        <v>-13333.556361516006</v>
      </c>
      <c r="J221" s="707">
        <f t="shared" si="7"/>
        <v>-2792.8706994041204</v>
      </c>
      <c r="K221" s="1743">
        <v>104227397.9908997</v>
      </c>
      <c r="L221" s="1739">
        <v>13590190.897762997</v>
      </c>
      <c r="M221" s="1740">
        <v>66075544.769653805</v>
      </c>
      <c r="N221" s="3049">
        <v>17893709.667814914</v>
      </c>
      <c r="O221" s="1741">
        <v>16401497.323685456</v>
      </c>
      <c r="P221" s="3049">
        <v>18092597.54502213</v>
      </c>
      <c r="Q221" s="1741">
        <v>151155.77869427874</v>
      </c>
      <c r="R221" s="1742">
        <v>-796916.19620786607</v>
      </c>
      <c r="S221" s="707">
        <f t="shared" si="8"/>
        <v>-645760.41751358728</v>
      </c>
      <c r="T221" s="673">
        <v>714153.23518060765</v>
      </c>
      <c r="U221" s="295">
        <v>185475.68427000701</v>
      </c>
      <c r="V221" s="680">
        <v>521252.11855655001</v>
      </c>
      <c r="W221" s="684">
        <v>97480.323409268996</v>
      </c>
      <c r="X221" s="3048">
        <v>148365.51353926299</v>
      </c>
      <c r="Y221" s="3048">
        <v>155943.867025421</v>
      </c>
      <c r="Z221" s="694">
        <f t="shared" si="4"/>
        <v>-23412.903079888318</v>
      </c>
    </row>
    <row r="222" spans="1:26" s="227" customFormat="1">
      <c r="A222" s="230">
        <v>2023.1</v>
      </c>
      <c r="B222" s="3049">
        <v>705021.09671859909</v>
      </c>
      <c r="C222" s="1739">
        <v>189818.11859454834</v>
      </c>
      <c r="D222" s="1740">
        <v>546855.66293110081</v>
      </c>
      <c r="E222" s="3049">
        <v>96821.949227632271</v>
      </c>
      <c r="F222" s="1741">
        <v>127841.31566894471</v>
      </c>
      <c r="G222" s="3049">
        <v>142708.73317190399</v>
      </c>
      <c r="H222" s="1741">
        <v>-26048.789045990605</v>
      </c>
      <c r="I222" s="1742">
        <v>6660.3433595561655</v>
      </c>
      <c r="J222" s="707">
        <f t="shared" si="7"/>
        <v>-19388.445686434439</v>
      </c>
      <c r="K222" s="1743">
        <v>120086818.82846701</v>
      </c>
      <c r="L222" s="1739">
        <v>17579222.229121871</v>
      </c>
      <c r="M222" s="1740">
        <v>86359712.586548343</v>
      </c>
      <c r="N222" s="3049">
        <v>19830570.37201703</v>
      </c>
      <c r="O222" s="1741">
        <v>15425797.830207186</v>
      </c>
      <c r="P222" s="3049">
        <v>22372684.210229769</v>
      </c>
      <c r="Q222" s="1741">
        <v>-5274977.7118464215</v>
      </c>
      <c r="R222" s="1742">
        <v>-1047746.2295670807</v>
      </c>
      <c r="S222" s="707">
        <f t="shared" si="8"/>
        <v>-6322723.9414135022</v>
      </c>
      <c r="T222" s="673">
        <v>727257.87232418335</v>
      </c>
      <c r="U222" s="295">
        <v>198207.07432232</v>
      </c>
      <c r="V222" s="680">
        <v>531569.93989233603</v>
      </c>
      <c r="W222" s="684">
        <v>100346.85461511801</v>
      </c>
      <c r="X222" s="3048">
        <v>153927.20717815001</v>
      </c>
      <c r="Y222" s="3048">
        <v>139097.16954239001</v>
      </c>
      <c r="Z222" s="694">
        <f t="shared" si="4"/>
        <v>523.77541850937996</v>
      </c>
    </row>
    <row r="223" spans="1:26" s="227" customFormat="1">
      <c r="A223" s="230">
        <v>2023.2</v>
      </c>
      <c r="B223" s="3049">
        <v>733350.47403623583</v>
      </c>
      <c r="C223" s="1739">
        <v>212141.10820252786</v>
      </c>
      <c r="D223" s="1740">
        <v>577885.00587015797</v>
      </c>
      <c r="E223" s="3049">
        <v>102833.81428214649</v>
      </c>
      <c r="F223" s="1741">
        <v>138504.89559063461</v>
      </c>
      <c r="G223" s="3049">
        <v>159136.80184393513</v>
      </c>
      <c r="H223" s="1741">
        <v>-25602.203032878489</v>
      </c>
      <c r="I223" s="1742">
        <v>-7266.7323152321624</v>
      </c>
      <c r="J223" s="707">
        <f t="shared" si="7"/>
        <v>-32868.935348110652</v>
      </c>
      <c r="K223" s="1743">
        <v>158076038.50094604</v>
      </c>
      <c r="L223" s="1739">
        <v>23374856.238010176</v>
      </c>
      <c r="M223" s="1740">
        <v>113327310.29188006</v>
      </c>
      <c r="N223" s="3049">
        <v>26774408.095254347</v>
      </c>
      <c r="O223" s="1741">
        <v>19731206.52888225</v>
      </c>
      <c r="P223" s="3049">
        <v>29133993.348759081</v>
      </c>
      <c r="Q223" s="1741">
        <v>-4421117.3793768613</v>
      </c>
      <c r="R223" s="1742">
        <v>-3094906.1464426816</v>
      </c>
      <c r="S223" s="707">
        <f>R223+Q223</f>
        <v>-7516023.5258195428</v>
      </c>
      <c r="T223" s="673">
        <v>706264.41413658578</v>
      </c>
      <c r="U223" s="295">
        <v>206802.983979098</v>
      </c>
      <c r="V223" s="680">
        <v>531896.82131736295</v>
      </c>
      <c r="W223" s="684">
        <v>101358.185180303</v>
      </c>
      <c r="X223" s="3048">
        <v>159506.67304317001</v>
      </c>
      <c r="Y223" s="3048">
        <v>135056.69097247301</v>
      </c>
      <c r="Z223" s="694">
        <f t="shared" si="4"/>
        <v>-14750.972397625213</v>
      </c>
    </row>
    <row r="224" spans="1:26" s="227" customFormat="1">
      <c r="A224" s="230">
        <v>2023.3</v>
      </c>
      <c r="B224" s="3049">
        <v>723190.59243130707</v>
      </c>
      <c r="C224" s="1739">
        <v>205685.10169987104</v>
      </c>
      <c r="D224" s="1740">
        <v>498325.11015077657</v>
      </c>
      <c r="E224" s="3049">
        <v>98889.923302577343</v>
      </c>
      <c r="F224" s="1741">
        <v>148796.85795185959</v>
      </c>
      <c r="G224" s="3049">
        <v>164388.2611560635</v>
      </c>
      <c r="H224" s="1741">
        <v>23103.614266272332</v>
      </c>
      <c r="I224" s="1742">
        <v>-4628.0726963712368</v>
      </c>
      <c r="J224" s="707">
        <f t="shared" si="7"/>
        <v>18475.541569901095</v>
      </c>
      <c r="K224" s="1743">
        <v>205353653.43303335</v>
      </c>
      <c r="L224" s="1739">
        <v>30747126.333058354</v>
      </c>
      <c r="M224" s="1740">
        <v>129642202.80998594</v>
      </c>
      <c r="N224" s="3049">
        <v>32479568.956917811</v>
      </c>
      <c r="O224" s="1741">
        <v>26905648.862604756</v>
      </c>
      <c r="P224" s="3049">
        <v>38975242.09039928</v>
      </c>
      <c r="Q224" s="1741">
        <v>6465646.5586873526</v>
      </c>
      <c r="R224" s="1742">
        <v>1632470.487496525</v>
      </c>
      <c r="S224" s="707">
        <f t="shared" si="8"/>
        <v>8098117.0461838776</v>
      </c>
      <c r="T224" s="673">
        <v>720535.97721295524</v>
      </c>
      <c r="U224" s="295">
        <v>201319.047679629</v>
      </c>
      <c r="V224" s="680">
        <v>525378.67913269496</v>
      </c>
      <c r="W224" s="684">
        <v>99706.582879805006</v>
      </c>
      <c r="X224" s="3048">
        <v>154212.68101251399</v>
      </c>
      <c r="Y224" s="3048">
        <v>141712.74747904399</v>
      </c>
      <c r="Z224" s="694">
        <f t="shared" si="4"/>
        <v>844.33438852627296</v>
      </c>
    </row>
    <row r="225" spans="1:26" s="227" customFormat="1">
      <c r="A225" s="230">
        <v>2023.4</v>
      </c>
      <c r="B225" s="3049">
        <v>696292.25484894111</v>
      </c>
      <c r="C225" s="1739">
        <v>180618.29277690119</v>
      </c>
      <c r="D225" s="1740">
        <v>477031.51924262306</v>
      </c>
      <c r="E225" s="3049">
        <v>99788.751626959842</v>
      </c>
      <c r="F225" s="1741">
        <v>143940.97718193283</v>
      </c>
      <c r="G225" s="3049">
        <v>139179.55635096951</v>
      </c>
      <c r="H225" s="1741">
        <v>37967.589913517317</v>
      </c>
      <c r="I225" s="1742">
        <v>-20997.846690160339</v>
      </c>
      <c r="J225" s="707">
        <f t="shared" si="7"/>
        <v>16969.743223356978</v>
      </c>
      <c r="K225" s="1743">
        <v>282103476.05420792</v>
      </c>
      <c r="L225" s="1739">
        <v>34653106.803316571</v>
      </c>
      <c r="M225" s="1740">
        <v>175590885.97936958</v>
      </c>
      <c r="N225" s="3049">
        <v>46381190.534851789</v>
      </c>
      <c r="O225" s="1741">
        <v>35548120.658818305</v>
      </c>
      <c r="P225" s="3049">
        <v>51694406.845400967</v>
      </c>
      <c r="Q225" s="1741">
        <v>9366496.4786174148</v>
      </c>
      <c r="R225" s="1742">
        <v>-1824517.6395335197</v>
      </c>
      <c r="S225" s="707">
        <f t="shared" si="8"/>
        <v>7541978.8390838951</v>
      </c>
      <c r="T225" s="673">
        <v>703796.15436135617</v>
      </c>
      <c r="U225" s="295">
        <v>181933.51529280099</v>
      </c>
      <c r="V225" s="680">
        <v>511251.85785226402</v>
      </c>
      <c r="W225" s="684">
        <v>96922.815764090294</v>
      </c>
      <c r="X225" s="3048">
        <v>137766.79128903901</v>
      </c>
      <c r="Y225" s="3048">
        <v>143217.438399465</v>
      </c>
      <c r="Z225" s="694">
        <f t="shared" si="4"/>
        <v>-3429.2336507012369</v>
      </c>
    </row>
    <row r="226" spans="1:26" s="227" customFormat="1">
      <c r="A226" s="230">
        <v>2024.1</v>
      </c>
      <c r="B226" s="3049">
        <v>668672.71386454743</v>
      </c>
      <c r="C226" s="1739">
        <v>160431.14508162689</v>
      </c>
      <c r="D226" s="1740">
        <v>510864.53293267475</v>
      </c>
      <c r="E226" s="3049">
        <v>92657.818822340589</v>
      </c>
      <c r="F226" s="1741">
        <v>161540.9358960145</v>
      </c>
      <c r="G226" s="3049">
        <v>108786.35294735555</v>
      </c>
      <c r="H226" s="1741">
        <v>-29290.605491489147</v>
      </c>
      <c r="I226" s="1742">
        <v>-15455.176160721923</v>
      </c>
      <c r="J226" s="707">
        <f t="shared" si="7"/>
        <v>-44745.781652211066</v>
      </c>
      <c r="K226" s="1743">
        <v>418191840.95085007</v>
      </c>
      <c r="L226" s="1739">
        <v>59244755.620948009</v>
      </c>
      <c r="M226" s="1740">
        <v>299657446.32206595</v>
      </c>
      <c r="N226" s="3049">
        <v>61627496.055962689</v>
      </c>
      <c r="O226" s="1741">
        <v>71158457.072245851</v>
      </c>
      <c r="P226" s="3049">
        <v>68541023.448796585</v>
      </c>
      <c r="Q226" s="1741">
        <v>-19328052.359553427</v>
      </c>
      <c r="R226" s="1742">
        <v>-4219773.9677195549</v>
      </c>
      <c r="S226" s="707">
        <f t="shared" si="8"/>
        <v>-23547826.327272981</v>
      </c>
      <c r="T226" s="673">
        <v>693879.21111861407</v>
      </c>
      <c r="U226" s="295">
        <v>167025.97292862899</v>
      </c>
      <c r="V226" s="680">
        <v>498207.44408716599</v>
      </c>
      <c r="W226" s="684">
        <v>96119.765944224593</v>
      </c>
      <c r="X226" s="3048">
        <v>120779.47366205099</v>
      </c>
      <c r="Y226" s="3048">
        <v>168679.60706742399</v>
      </c>
      <c r="Z226" s="694">
        <f t="shared" si="4"/>
        <v>-22881.106713622459</v>
      </c>
    </row>
    <row r="227" spans="1:26" s="227" customFormat="1">
      <c r="A227" s="230">
        <v>2024.2</v>
      </c>
      <c r="B227" s="3049">
        <v>720760.48010634969</v>
      </c>
      <c r="C227" s="1739">
        <v>164515.81379237893</v>
      </c>
      <c r="D227" s="1740">
        <v>527300.50946885638</v>
      </c>
      <c r="E227" s="3049">
        <v>96595.468664653759</v>
      </c>
      <c r="F227" s="1741">
        <v>165464.5278266918</v>
      </c>
      <c r="G227" s="3049">
        <v>112526.60361068921</v>
      </c>
      <c r="H227" s="1741">
        <v>-10017.641124667431</v>
      </c>
      <c r="I227" s="1742">
        <v>-6593.1745474948548</v>
      </c>
      <c r="J227" s="707">
        <f t="shared" si="7"/>
        <v>-16610.815672162287</v>
      </c>
      <c r="K227" s="1743">
        <v>555062158.19585156</v>
      </c>
      <c r="L227" s="1739">
        <v>68214393.049957007</v>
      </c>
      <c r="M227" s="1740">
        <v>390676047.55325961</v>
      </c>
      <c r="N227" s="3049">
        <v>84555230.416736811</v>
      </c>
      <c r="O227" s="1741">
        <v>87092172.957407549</v>
      </c>
      <c r="P227" s="3049">
        <v>80926576.118888095</v>
      </c>
      <c r="Q227" s="1741">
        <v>-10370177.848849593</v>
      </c>
      <c r="R227" s="1742">
        <v>-9603297.9516340494</v>
      </c>
      <c r="S227" s="707">
        <f t="shared" si="8"/>
        <v>-19973475.800483644</v>
      </c>
      <c r="T227" s="673">
        <v>682141.88721183583</v>
      </c>
      <c r="U227" s="295">
        <v>161116.54321597301</v>
      </c>
      <c r="V227" s="680">
        <v>484747.38687308697</v>
      </c>
      <c r="W227" s="684">
        <v>95159.043296895994</v>
      </c>
      <c r="X227" s="3048">
        <v>113884.501347197</v>
      </c>
      <c r="Y227" s="3048">
        <v>165014.65334816801</v>
      </c>
      <c r="Z227" s="694">
        <f t="shared" si="4"/>
        <v>-15547.154437539168</v>
      </c>
    </row>
    <row r="228" spans="1:26" s="227" customFormat="1">
      <c r="A228" s="230">
        <v>2024.3</v>
      </c>
      <c r="B228" s="3049">
        <v>708557.001374883</v>
      </c>
      <c r="C228" s="1739">
        <v>181472.75171188617</v>
      </c>
      <c r="D228" s="1740">
        <v>482651.22505243972</v>
      </c>
      <c r="E228" s="3049">
        <v>96121.850353033355</v>
      </c>
      <c r="F228" s="1741">
        <v>178673.54576127167</v>
      </c>
      <c r="G228" s="3049">
        <v>137027.69493167673</v>
      </c>
      <c r="H228" s="1741">
        <v>16632.297205868883</v>
      </c>
      <c r="I228" s="1742">
        <v>-21076.8602175212</v>
      </c>
      <c r="J228" s="707">
        <f t="shared" ref="J228" si="9">I228+H228</f>
        <v>-4444.5630116523171</v>
      </c>
      <c r="K228" s="1743">
        <v>635535679.66430199</v>
      </c>
      <c r="L228" s="1739">
        <v>81283006.003652245</v>
      </c>
      <c r="M228" s="1740">
        <v>422386822.01618481</v>
      </c>
      <c r="N228" s="3049">
        <v>91526570.934847921</v>
      </c>
      <c r="O228" s="1741">
        <v>95496222.448542342</v>
      </c>
      <c r="P228" s="3049">
        <v>104488351.87352206</v>
      </c>
      <c r="Q228" s="1741">
        <v>12897849.040478207</v>
      </c>
      <c r="R228" s="1742">
        <v>-9977130.6456212997</v>
      </c>
      <c r="S228" s="707">
        <f t="shared" ref="S228" si="10">R228+Q228</f>
        <v>2920718.3948569074</v>
      </c>
      <c r="T228" s="673">
        <v>711354.95312628581</v>
      </c>
      <c r="U228" s="295">
        <v>176784.61941636799</v>
      </c>
      <c r="V228" s="680">
        <v>506024.59727604297</v>
      </c>
      <c r="W228" s="684">
        <v>96816.948429224896</v>
      </c>
      <c r="X228" s="3048">
        <v>125662.108293204</v>
      </c>
      <c r="Y228" s="3048">
        <v>170866.39749234499</v>
      </c>
      <c r="Z228" s="694">
        <f t="shared" ref="Z228" si="11">SUM(T228:U228)-SUM(V228:Y228)</f>
        <v>-11230.478948163101</v>
      </c>
    </row>
    <row r="229" spans="1:26" s="227" customFormat="1">
      <c r="A229" s="230">
        <v>2024.4</v>
      </c>
      <c r="B229" s="3049">
        <v>710734.70020281838</v>
      </c>
      <c r="C229" s="1739">
        <v>198063.22231028695</v>
      </c>
      <c r="D229" s="1740">
        <v>490317.3053801317</v>
      </c>
      <c r="E229" s="3049">
        <v>100295.27561605515</v>
      </c>
      <c r="F229" s="1741">
        <v>182906.66364552217</v>
      </c>
      <c r="G229" s="3049">
        <v>141821.93009624619</v>
      </c>
      <c r="H229" s="1741">
        <v>27633.826650421943</v>
      </c>
      <c r="I229" s="1742">
        <v>-34177.078875271836</v>
      </c>
      <c r="J229" s="707">
        <f t="shared" si="7"/>
        <v>-6543.2522248498935</v>
      </c>
      <c r="K229" s="1743">
        <v>708193534.12855303</v>
      </c>
      <c r="L229" s="1739">
        <v>88414827.871216163</v>
      </c>
      <c r="M229" s="1740">
        <v>465200583.33643228</v>
      </c>
      <c r="N229" s="3049">
        <v>110552130.95642921</v>
      </c>
      <c r="O229" s="1741">
        <v>101544769.08664662</v>
      </c>
      <c r="P229" s="3049">
        <v>112978893.95488517</v>
      </c>
      <c r="Q229" s="1741">
        <v>14175176.413354632</v>
      </c>
      <c r="R229" s="1742">
        <v>-7843191.7479789257</v>
      </c>
      <c r="S229" s="707">
        <f t="shared" si="8"/>
        <v>6331984.6653757058</v>
      </c>
      <c r="T229" s="673">
        <v>721348.84691587253</v>
      </c>
      <c r="U229" s="295">
        <v>199555.79747320301</v>
      </c>
      <c r="V229" s="680">
        <v>522154.14533707302</v>
      </c>
      <c r="W229" s="684">
        <v>97574.655987093094</v>
      </c>
      <c r="X229" s="3048">
        <v>139836.498175199</v>
      </c>
      <c r="Y229" s="3048">
        <v>184025.01455163601</v>
      </c>
      <c r="Z229" s="694">
        <f t="shared" si="4"/>
        <v>-22685.669661925524</v>
      </c>
    </row>
    <row r="230" spans="1:26" s="227" customFormat="1">
      <c r="A230" s="230">
        <v>2025.1</v>
      </c>
      <c r="B230" s="3048" t="e">
        <v>#N/A</v>
      </c>
      <c r="C230" s="295" t="e">
        <v>#N/A</v>
      </c>
      <c r="D230" s="229" t="e">
        <v>#N/A</v>
      </c>
      <c r="E230" s="3048" t="e">
        <v>#N/A</v>
      </c>
      <c r="F230" s="684" t="e">
        <v>#N/A</v>
      </c>
      <c r="G230" s="3048" t="e">
        <v>#N/A</v>
      </c>
      <c r="H230" s="684" t="e">
        <v>#N/A</v>
      </c>
      <c r="I230" s="680" t="e">
        <v>#N/A</v>
      </c>
      <c r="J230" s="707" t="e">
        <f t="shared" si="7"/>
        <v>#N/A</v>
      </c>
      <c r="K230" s="673" t="e">
        <v>#N/A</v>
      </c>
      <c r="L230" s="295" t="e">
        <v>#N/A</v>
      </c>
      <c r="M230" s="229" t="e">
        <v>#N/A</v>
      </c>
      <c r="N230" s="3048" t="e">
        <v>#N/A</v>
      </c>
      <c r="O230" s="684" t="e">
        <v>#N/A</v>
      </c>
      <c r="P230" s="3048" t="e">
        <v>#N/A</v>
      </c>
      <c r="Q230" s="684" t="e">
        <v>#N/A</v>
      </c>
      <c r="R230" s="680" t="e">
        <v>#N/A</v>
      </c>
      <c r="S230" s="707" t="e">
        <f t="shared" si="8"/>
        <v>#N/A</v>
      </c>
      <c r="T230" s="673" t="e">
        <v>#N/A</v>
      </c>
      <c r="U230" s="295" t="e">
        <v>#N/A</v>
      </c>
      <c r="V230" s="680" t="e">
        <v>#N/A</v>
      </c>
      <c r="W230" s="684" t="e">
        <v>#N/A</v>
      </c>
      <c r="X230" s="3048" t="e">
        <v>#N/A</v>
      </c>
      <c r="Y230" s="3048" t="e">
        <v>#N/A</v>
      </c>
      <c r="Z230" s="694" t="e">
        <f t="shared" si="4"/>
        <v>#N/A</v>
      </c>
    </row>
    <row r="231" spans="1:26" s="227" customFormat="1">
      <c r="A231" s="230">
        <v>2025.2</v>
      </c>
      <c r="B231" s="3048" t="e">
        <v>#N/A</v>
      </c>
      <c r="C231" s="295" t="e">
        <v>#N/A</v>
      </c>
      <c r="D231" s="229" t="e">
        <v>#N/A</v>
      </c>
      <c r="E231" s="3048" t="e">
        <v>#N/A</v>
      </c>
      <c r="F231" s="684" t="e">
        <v>#N/A</v>
      </c>
      <c r="G231" s="3048" t="e">
        <v>#N/A</v>
      </c>
      <c r="H231" s="684" t="e">
        <v>#N/A</v>
      </c>
      <c r="I231" s="680" t="e">
        <v>#N/A</v>
      </c>
      <c r="J231" s="707" t="e">
        <f t="shared" si="7"/>
        <v>#N/A</v>
      </c>
      <c r="K231" s="673" t="e">
        <v>#N/A</v>
      </c>
      <c r="L231" s="295" t="e">
        <v>#N/A</v>
      </c>
      <c r="M231" s="229" t="e">
        <v>#N/A</v>
      </c>
      <c r="N231" s="3048" t="e">
        <v>#N/A</v>
      </c>
      <c r="O231" s="684" t="e">
        <v>#N/A</v>
      </c>
      <c r="P231" s="3048" t="e">
        <v>#N/A</v>
      </c>
      <c r="Q231" s="684" t="e">
        <v>#N/A</v>
      </c>
      <c r="R231" s="680" t="e">
        <v>#N/A</v>
      </c>
      <c r="S231" s="707" t="e">
        <f t="shared" si="8"/>
        <v>#N/A</v>
      </c>
      <c r="T231" s="673" t="e">
        <v>#N/A</v>
      </c>
      <c r="U231" s="295" t="e">
        <v>#N/A</v>
      </c>
      <c r="V231" s="680" t="e">
        <v>#N/A</v>
      </c>
      <c r="W231" s="684" t="e">
        <v>#N/A</v>
      </c>
      <c r="X231" s="3048" t="e">
        <v>#N/A</v>
      </c>
      <c r="Y231" s="3048" t="e">
        <v>#N/A</v>
      </c>
      <c r="Z231" s="694" t="e">
        <f t="shared" si="4"/>
        <v>#N/A</v>
      </c>
    </row>
    <row r="232" spans="1:26" s="227" customFormat="1">
      <c r="A232" s="230">
        <v>2025.3</v>
      </c>
      <c r="B232" s="3048" t="e">
        <v>#N/A</v>
      </c>
      <c r="C232" s="295" t="e">
        <v>#N/A</v>
      </c>
      <c r="D232" s="229" t="e">
        <v>#N/A</v>
      </c>
      <c r="E232" s="3048" t="e">
        <v>#N/A</v>
      </c>
      <c r="F232" s="684" t="e">
        <v>#N/A</v>
      </c>
      <c r="G232" s="3048" t="e">
        <v>#N/A</v>
      </c>
      <c r="H232" s="684" t="e">
        <v>#N/A</v>
      </c>
      <c r="I232" s="680" t="e">
        <v>#N/A</v>
      </c>
      <c r="J232" s="707" t="e">
        <f t="shared" si="7"/>
        <v>#N/A</v>
      </c>
      <c r="K232" s="673" t="e">
        <v>#N/A</v>
      </c>
      <c r="L232" s="295" t="e">
        <v>#N/A</v>
      </c>
      <c r="M232" s="229" t="e">
        <v>#N/A</v>
      </c>
      <c r="N232" s="3048" t="e">
        <v>#N/A</v>
      </c>
      <c r="O232" s="684" t="e">
        <v>#N/A</v>
      </c>
      <c r="P232" s="3048" t="e">
        <v>#N/A</v>
      </c>
      <c r="Q232" s="684" t="e">
        <v>#N/A</v>
      </c>
      <c r="R232" s="680" t="e">
        <v>#N/A</v>
      </c>
      <c r="S232" s="707" t="e">
        <f t="shared" si="8"/>
        <v>#N/A</v>
      </c>
      <c r="T232" s="673" t="e">
        <v>#N/A</v>
      </c>
      <c r="U232" s="295" t="e">
        <v>#N/A</v>
      </c>
      <c r="V232" s="680" t="e">
        <v>#N/A</v>
      </c>
      <c r="W232" s="684" t="e">
        <v>#N/A</v>
      </c>
      <c r="X232" s="3048" t="e">
        <v>#N/A</v>
      </c>
      <c r="Y232" s="3048" t="e">
        <v>#N/A</v>
      </c>
      <c r="Z232" s="694" t="e">
        <f t="shared" si="4"/>
        <v>#N/A</v>
      </c>
    </row>
    <row r="233" spans="1:26" s="227" customFormat="1">
      <c r="A233" s="230">
        <f>A229+1</f>
        <v>2025.4</v>
      </c>
      <c r="B233" s="3048" t="e">
        <v>#N/A</v>
      </c>
      <c r="C233" s="295" t="e">
        <v>#N/A</v>
      </c>
      <c r="D233" s="229" t="e">
        <v>#N/A</v>
      </c>
      <c r="E233" s="3048" t="e">
        <v>#N/A</v>
      </c>
      <c r="F233" s="684" t="e">
        <v>#N/A</v>
      </c>
      <c r="G233" s="3048" t="e">
        <v>#N/A</v>
      </c>
      <c r="H233" s="684" t="e">
        <v>#N/A</v>
      </c>
      <c r="I233" s="680" t="e">
        <v>#N/A</v>
      </c>
      <c r="J233" s="707" t="e">
        <f t="shared" si="7"/>
        <v>#N/A</v>
      </c>
      <c r="K233" s="673" t="e">
        <v>#N/A</v>
      </c>
      <c r="L233" s="295" t="e">
        <v>#N/A</v>
      </c>
      <c r="M233" s="229" t="e">
        <v>#N/A</v>
      </c>
      <c r="N233" s="3048" t="e">
        <v>#N/A</v>
      </c>
      <c r="O233" s="684" t="e">
        <v>#N/A</v>
      </c>
      <c r="P233" s="3048" t="e">
        <v>#N/A</v>
      </c>
      <c r="Q233" s="684" t="e">
        <v>#N/A</v>
      </c>
      <c r="R233" s="680" t="e">
        <v>#N/A</v>
      </c>
      <c r="S233" s="707" t="e">
        <f t="shared" si="8"/>
        <v>#N/A</v>
      </c>
      <c r="T233" s="673" t="e">
        <v>#N/A</v>
      </c>
      <c r="U233" s="295" t="e">
        <v>#N/A</v>
      </c>
      <c r="V233" s="680" t="e">
        <v>#N/A</v>
      </c>
      <c r="W233" s="684" t="e">
        <v>#N/A</v>
      </c>
      <c r="X233" s="3048" t="e">
        <v>#N/A</v>
      </c>
      <c r="Y233" s="3048" t="e">
        <v>#N/A</v>
      </c>
      <c r="Z233" s="694" t="e">
        <f t="shared" si="4"/>
        <v>#N/A</v>
      </c>
    </row>
    <row r="234" spans="1:26" s="227" customFormat="1">
      <c r="A234" s="230">
        <f t="shared" ref="A234:A252" si="12">A230+1</f>
        <v>2026.1</v>
      </c>
      <c r="B234" s="3048" t="e">
        <v>#N/A</v>
      </c>
      <c r="C234" s="295" t="e">
        <v>#N/A</v>
      </c>
      <c r="D234" s="229" t="e">
        <v>#N/A</v>
      </c>
      <c r="E234" s="3048" t="e">
        <v>#N/A</v>
      </c>
      <c r="F234" s="684" t="e">
        <v>#N/A</v>
      </c>
      <c r="G234" s="3048" t="e">
        <v>#N/A</v>
      </c>
      <c r="H234" s="684" t="e">
        <v>#N/A</v>
      </c>
      <c r="I234" s="680" t="e">
        <v>#N/A</v>
      </c>
      <c r="J234" s="707" t="e">
        <f t="shared" ref="J234:J238" si="13">I234+H234</f>
        <v>#N/A</v>
      </c>
      <c r="K234" s="673" t="e">
        <v>#N/A</v>
      </c>
      <c r="L234" s="295" t="e">
        <v>#N/A</v>
      </c>
      <c r="M234" s="229" t="e">
        <v>#N/A</v>
      </c>
      <c r="N234" s="3048" t="e">
        <v>#N/A</v>
      </c>
      <c r="O234" s="684" t="e">
        <v>#N/A</v>
      </c>
      <c r="P234" s="3048" t="e">
        <v>#N/A</v>
      </c>
      <c r="Q234" s="684" t="e">
        <v>#N/A</v>
      </c>
      <c r="R234" s="680" t="e">
        <v>#N/A</v>
      </c>
      <c r="S234" s="707" t="e">
        <f t="shared" ref="S234:S238" si="14">R234+Q234</f>
        <v>#N/A</v>
      </c>
      <c r="T234" s="673" t="e">
        <v>#N/A</v>
      </c>
      <c r="U234" s="295" t="e">
        <v>#N/A</v>
      </c>
      <c r="V234" s="680" t="e">
        <v>#N/A</v>
      </c>
      <c r="W234" s="684" t="e">
        <v>#N/A</v>
      </c>
      <c r="X234" s="3048" t="e">
        <v>#N/A</v>
      </c>
      <c r="Y234" s="3048" t="e">
        <v>#N/A</v>
      </c>
      <c r="Z234" s="694" t="e">
        <f t="shared" ref="Z234:Z238" si="15">SUM(T234:U234)-SUM(V234:Y234)</f>
        <v>#N/A</v>
      </c>
    </row>
    <row r="235" spans="1:26" s="227" customFormat="1">
      <c r="A235" s="230">
        <f t="shared" si="12"/>
        <v>2026.2</v>
      </c>
      <c r="B235" s="3048" t="e">
        <v>#N/A</v>
      </c>
      <c r="C235" s="295" t="e">
        <v>#N/A</v>
      </c>
      <c r="D235" s="229" t="e">
        <v>#N/A</v>
      </c>
      <c r="E235" s="3048" t="e">
        <v>#N/A</v>
      </c>
      <c r="F235" s="684" t="e">
        <v>#N/A</v>
      </c>
      <c r="G235" s="3048" t="e">
        <v>#N/A</v>
      </c>
      <c r="H235" s="684" t="e">
        <v>#N/A</v>
      </c>
      <c r="I235" s="680" t="e">
        <v>#N/A</v>
      </c>
      <c r="J235" s="707" t="e">
        <f t="shared" si="13"/>
        <v>#N/A</v>
      </c>
      <c r="K235" s="673" t="e">
        <v>#N/A</v>
      </c>
      <c r="L235" s="295" t="e">
        <v>#N/A</v>
      </c>
      <c r="M235" s="229" t="e">
        <v>#N/A</v>
      </c>
      <c r="N235" s="3048" t="e">
        <v>#N/A</v>
      </c>
      <c r="O235" s="684" t="e">
        <v>#N/A</v>
      </c>
      <c r="P235" s="3048" t="e">
        <v>#N/A</v>
      </c>
      <c r="Q235" s="684" t="e">
        <v>#N/A</v>
      </c>
      <c r="R235" s="680" t="e">
        <v>#N/A</v>
      </c>
      <c r="S235" s="707" t="e">
        <f t="shared" si="14"/>
        <v>#N/A</v>
      </c>
      <c r="T235" s="673" t="e">
        <v>#N/A</v>
      </c>
      <c r="U235" s="295" t="e">
        <v>#N/A</v>
      </c>
      <c r="V235" s="680" t="e">
        <v>#N/A</v>
      </c>
      <c r="W235" s="684" t="e">
        <v>#N/A</v>
      </c>
      <c r="X235" s="3048" t="e">
        <v>#N/A</v>
      </c>
      <c r="Y235" s="3048" t="e">
        <v>#N/A</v>
      </c>
      <c r="Z235" s="694" t="e">
        <f t="shared" si="15"/>
        <v>#N/A</v>
      </c>
    </row>
    <row r="236" spans="1:26" s="227" customFormat="1">
      <c r="A236" s="230">
        <f t="shared" si="12"/>
        <v>2026.3</v>
      </c>
      <c r="B236" s="3048" t="e">
        <v>#N/A</v>
      </c>
      <c r="C236" s="295" t="e">
        <v>#N/A</v>
      </c>
      <c r="D236" s="229" t="e">
        <v>#N/A</v>
      </c>
      <c r="E236" s="3048" t="e">
        <v>#N/A</v>
      </c>
      <c r="F236" s="684" t="e">
        <v>#N/A</v>
      </c>
      <c r="G236" s="3048" t="e">
        <v>#N/A</v>
      </c>
      <c r="H236" s="684" t="e">
        <v>#N/A</v>
      </c>
      <c r="I236" s="680" t="e">
        <v>#N/A</v>
      </c>
      <c r="J236" s="707" t="e">
        <f t="shared" si="13"/>
        <v>#N/A</v>
      </c>
      <c r="K236" s="673" t="e">
        <v>#N/A</v>
      </c>
      <c r="L236" s="295" t="e">
        <v>#N/A</v>
      </c>
      <c r="M236" s="229" t="e">
        <v>#N/A</v>
      </c>
      <c r="N236" s="3048" t="e">
        <v>#N/A</v>
      </c>
      <c r="O236" s="684" t="e">
        <v>#N/A</v>
      </c>
      <c r="P236" s="3048" t="e">
        <v>#N/A</v>
      </c>
      <c r="Q236" s="684" t="e">
        <v>#N/A</v>
      </c>
      <c r="R236" s="680" t="e">
        <v>#N/A</v>
      </c>
      <c r="S236" s="707" t="e">
        <f t="shared" si="14"/>
        <v>#N/A</v>
      </c>
      <c r="T236" s="673" t="e">
        <v>#N/A</v>
      </c>
      <c r="U236" s="295" t="e">
        <v>#N/A</v>
      </c>
      <c r="V236" s="680" t="e">
        <v>#N/A</v>
      </c>
      <c r="W236" s="684" t="e">
        <v>#N/A</v>
      </c>
      <c r="X236" s="3048" t="e">
        <v>#N/A</v>
      </c>
      <c r="Y236" s="3048" t="e">
        <v>#N/A</v>
      </c>
      <c r="Z236" s="694" t="e">
        <f t="shared" si="15"/>
        <v>#N/A</v>
      </c>
    </row>
    <row r="237" spans="1:26" s="227" customFormat="1">
      <c r="A237" s="230">
        <f t="shared" si="12"/>
        <v>2026.4</v>
      </c>
      <c r="B237" s="3048" t="e">
        <v>#N/A</v>
      </c>
      <c r="C237" s="295" t="e">
        <v>#N/A</v>
      </c>
      <c r="D237" s="229" t="e">
        <v>#N/A</v>
      </c>
      <c r="E237" s="3048" t="e">
        <v>#N/A</v>
      </c>
      <c r="F237" s="684" t="e">
        <v>#N/A</v>
      </c>
      <c r="G237" s="3048" t="e">
        <v>#N/A</v>
      </c>
      <c r="H237" s="684" t="e">
        <v>#N/A</v>
      </c>
      <c r="I237" s="680" t="e">
        <v>#N/A</v>
      </c>
      <c r="J237" s="707" t="e">
        <f t="shared" si="13"/>
        <v>#N/A</v>
      </c>
      <c r="K237" s="673" t="e">
        <v>#N/A</v>
      </c>
      <c r="L237" s="295" t="e">
        <v>#N/A</v>
      </c>
      <c r="M237" s="229" t="e">
        <v>#N/A</v>
      </c>
      <c r="N237" s="3048" t="e">
        <v>#N/A</v>
      </c>
      <c r="O237" s="684" t="e">
        <v>#N/A</v>
      </c>
      <c r="P237" s="3048" t="e">
        <v>#N/A</v>
      </c>
      <c r="Q237" s="684" t="e">
        <v>#N/A</v>
      </c>
      <c r="R237" s="680" t="e">
        <v>#N/A</v>
      </c>
      <c r="S237" s="707" t="e">
        <f t="shared" si="14"/>
        <v>#N/A</v>
      </c>
      <c r="T237" s="673" t="e">
        <v>#N/A</v>
      </c>
      <c r="U237" s="295" t="e">
        <v>#N/A</v>
      </c>
      <c r="V237" s="680" t="e">
        <v>#N/A</v>
      </c>
      <c r="W237" s="684" t="e">
        <v>#N/A</v>
      </c>
      <c r="X237" s="3048" t="e">
        <v>#N/A</v>
      </c>
      <c r="Y237" s="3048" t="e">
        <v>#N/A</v>
      </c>
      <c r="Z237" s="694" t="e">
        <f t="shared" si="15"/>
        <v>#N/A</v>
      </c>
    </row>
    <row r="238" spans="1:26" s="227" customFormat="1">
      <c r="A238" s="230">
        <f>A234+1</f>
        <v>2027.1</v>
      </c>
      <c r="B238" s="3048" t="e">
        <v>#N/A</v>
      </c>
      <c r="C238" s="295" t="e">
        <v>#N/A</v>
      </c>
      <c r="D238" s="229" t="e">
        <v>#N/A</v>
      </c>
      <c r="E238" s="3048" t="e">
        <v>#N/A</v>
      </c>
      <c r="F238" s="684" t="e">
        <v>#N/A</v>
      </c>
      <c r="G238" s="3048" t="e">
        <v>#N/A</v>
      </c>
      <c r="H238" s="684" t="e">
        <v>#N/A</v>
      </c>
      <c r="I238" s="680" t="e">
        <v>#N/A</v>
      </c>
      <c r="J238" s="707" t="e">
        <f t="shared" si="13"/>
        <v>#N/A</v>
      </c>
      <c r="K238" s="673" t="e">
        <v>#N/A</v>
      </c>
      <c r="L238" s="295" t="e">
        <v>#N/A</v>
      </c>
      <c r="M238" s="229" t="e">
        <v>#N/A</v>
      </c>
      <c r="N238" s="3048" t="e">
        <v>#N/A</v>
      </c>
      <c r="O238" s="684" t="e">
        <v>#N/A</v>
      </c>
      <c r="P238" s="3048" t="e">
        <v>#N/A</v>
      </c>
      <c r="Q238" s="684" t="e">
        <v>#N/A</v>
      </c>
      <c r="R238" s="680" t="e">
        <v>#N/A</v>
      </c>
      <c r="S238" s="707" t="e">
        <f t="shared" si="14"/>
        <v>#N/A</v>
      </c>
      <c r="T238" s="673" t="e">
        <v>#N/A</v>
      </c>
      <c r="U238" s="295" t="e">
        <v>#N/A</v>
      </c>
      <c r="V238" s="680" t="e">
        <v>#N/A</v>
      </c>
      <c r="W238" s="684" t="e">
        <v>#N/A</v>
      </c>
      <c r="X238" s="3048" t="e">
        <v>#N/A</v>
      </c>
      <c r="Y238" s="3048" t="e">
        <v>#N/A</v>
      </c>
      <c r="Z238" s="694" t="e">
        <f t="shared" si="15"/>
        <v>#N/A</v>
      </c>
    </row>
    <row r="239" spans="1:26" s="227" customFormat="1">
      <c r="A239" s="230">
        <f t="shared" si="12"/>
        <v>2027.2</v>
      </c>
      <c r="B239" s="3048" t="e">
        <v>#N/A</v>
      </c>
      <c r="C239" s="295" t="e">
        <v>#N/A</v>
      </c>
      <c r="D239" s="229" t="e">
        <v>#N/A</v>
      </c>
      <c r="E239" s="3048" t="e">
        <v>#N/A</v>
      </c>
      <c r="F239" s="684" t="e">
        <v>#N/A</v>
      </c>
      <c r="G239" s="3048" t="e">
        <v>#N/A</v>
      </c>
      <c r="H239" s="684" t="e">
        <v>#N/A</v>
      </c>
      <c r="I239" s="680" t="e">
        <v>#N/A</v>
      </c>
      <c r="J239" s="707" t="e">
        <f t="shared" ref="J239:J253" si="16">I239+H239</f>
        <v>#N/A</v>
      </c>
      <c r="K239" s="673" t="e">
        <v>#N/A</v>
      </c>
      <c r="L239" s="295" t="e">
        <v>#N/A</v>
      </c>
      <c r="M239" s="229" t="e">
        <v>#N/A</v>
      </c>
      <c r="N239" s="3048" t="e">
        <v>#N/A</v>
      </c>
      <c r="O239" s="684" t="e">
        <v>#N/A</v>
      </c>
      <c r="P239" s="3048" t="e">
        <v>#N/A</v>
      </c>
      <c r="Q239" s="684" t="e">
        <v>#N/A</v>
      </c>
      <c r="R239" s="680" t="e">
        <v>#N/A</v>
      </c>
      <c r="S239" s="707" t="e">
        <f t="shared" ref="S239:S253" si="17">R239+Q239</f>
        <v>#N/A</v>
      </c>
      <c r="T239" s="673" t="e">
        <v>#N/A</v>
      </c>
      <c r="U239" s="295" t="e">
        <v>#N/A</v>
      </c>
      <c r="V239" s="680" t="e">
        <v>#N/A</v>
      </c>
      <c r="W239" s="684" t="e">
        <v>#N/A</v>
      </c>
      <c r="X239" s="3048" t="e">
        <v>#N/A</v>
      </c>
      <c r="Y239" s="3048" t="e">
        <v>#N/A</v>
      </c>
      <c r="Z239" s="694" t="e">
        <f t="shared" ref="Z239:Z253" si="18">SUM(T239:U239)-SUM(V239:Y239)</f>
        <v>#N/A</v>
      </c>
    </row>
    <row r="240" spans="1:26" s="227" customFormat="1">
      <c r="A240" s="230">
        <f t="shared" si="12"/>
        <v>2027.3</v>
      </c>
      <c r="B240" s="3048" t="e">
        <v>#N/A</v>
      </c>
      <c r="C240" s="295" t="e">
        <v>#N/A</v>
      </c>
      <c r="D240" s="229" t="e">
        <v>#N/A</v>
      </c>
      <c r="E240" s="3048" t="e">
        <v>#N/A</v>
      </c>
      <c r="F240" s="684" t="e">
        <v>#N/A</v>
      </c>
      <c r="G240" s="3048" t="e">
        <v>#N/A</v>
      </c>
      <c r="H240" s="684" t="e">
        <v>#N/A</v>
      </c>
      <c r="I240" s="680" t="e">
        <v>#N/A</v>
      </c>
      <c r="J240" s="707" t="e">
        <f t="shared" si="16"/>
        <v>#N/A</v>
      </c>
      <c r="K240" s="673" t="e">
        <v>#N/A</v>
      </c>
      <c r="L240" s="295" t="e">
        <v>#N/A</v>
      </c>
      <c r="M240" s="229" t="e">
        <v>#N/A</v>
      </c>
      <c r="N240" s="3048" t="e">
        <v>#N/A</v>
      </c>
      <c r="O240" s="684" t="e">
        <v>#N/A</v>
      </c>
      <c r="P240" s="3048" t="e">
        <v>#N/A</v>
      </c>
      <c r="Q240" s="684" t="e">
        <v>#N/A</v>
      </c>
      <c r="R240" s="680" t="e">
        <v>#N/A</v>
      </c>
      <c r="S240" s="707" t="e">
        <f t="shared" si="17"/>
        <v>#N/A</v>
      </c>
      <c r="T240" s="673" t="e">
        <v>#N/A</v>
      </c>
      <c r="U240" s="295" t="e">
        <v>#N/A</v>
      </c>
      <c r="V240" s="680" t="e">
        <v>#N/A</v>
      </c>
      <c r="W240" s="684" t="e">
        <v>#N/A</v>
      </c>
      <c r="X240" s="3048" t="e">
        <v>#N/A</v>
      </c>
      <c r="Y240" s="3048" t="e">
        <v>#N/A</v>
      </c>
      <c r="Z240" s="694" t="e">
        <f t="shared" si="18"/>
        <v>#N/A</v>
      </c>
    </row>
    <row r="241" spans="1:26" s="227" customFormat="1">
      <c r="A241" s="230">
        <f t="shared" si="12"/>
        <v>2027.4</v>
      </c>
      <c r="B241" s="3048" t="e">
        <v>#N/A</v>
      </c>
      <c r="C241" s="295" t="e">
        <v>#N/A</v>
      </c>
      <c r="D241" s="229" t="e">
        <v>#N/A</v>
      </c>
      <c r="E241" s="3048" t="e">
        <v>#N/A</v>
      </c>
      <c r="F241" s="684" t="e">
        <v>#N/A</v>
      </c>
      <c r="G241" s="3048" t="e">
        <v>#N/A</v>
      </c>
      <c r="H241" s="684" t="e">
        <v>#N/A</v>
      </c>
      <c r="I241" s="680" t="e">
        <v>#N/A</v>
      </c>
      <c r="J241" s="707" t="e">
        <f t="shared" si="16"/>
        <v>#N/A</v>
      </c>
      <c r="K241" s="673" t="e">
        <v>#N/A</v>
      </c>
      <c r="L241" s="295" t="e">
        <v>#N/A</v>
      </c>
      <c r="M241" s="229" t="e">
        <v>#N/A</v>
      </c>
      <c r="N241" s="3048" t="e">
        <v>#N/A</v>
      </c>
      <c r="O241" s="684" t="e">
        <v>#N/A</v>
      </c>
      <c r="P241" s="3048" t="e">
        <v>#N/A</v>
      </c>
      <c r="Q241" s="684" t="e">
        <v>#N/A</v>
      </c>
      <c r="R241" s="680" t="e">
        <v>#N/A</v>
      </c>
      <c r="S241" s="707" t="e">
        <f t="shared" si="17"/>
        <v>#N/A</v>
      </c>
      <c r="T241" s="673" t="e">
        <v>#N/A</v>
      </c>
      <c r="U241" s="295" t="e">
        <v>#N/A</v>
      </c>
      <c r="V241" s="680" t="e">
        <v>#N/A</v>
      </c>
      <c r="W241" s="684" t="e">
        <v>#N/A</v>
      </c>
      <c r="X241" s="3048" t="e">
        <v>#N/A</v>
      </c>
      <c r="Y241" s="3048" t="e">
        <v>#N/A</v>
      </c>
      <c r="Z241" s="694" t="e">
        <f t="shared" si="18"/>
        <v>#N/A</v>
      </c>
    </row>
    <row r="242" spans="1:26" s="227" customFormat="1">
      <c r="A242" s="230">
        <f t="shared" si="12"/>
        <v>2028.1</v>
      </c>
      <c r="B242" s="3048" t="e">
        <v>#N/A</v>
      </c>
      <c r="C242" s="295" t="e">
        <v>#N/A</v>
      </c>
      <c r="D242" s="229" t="e">
        <v>#N/A</v>
      </c>
      <c r="E242" s="3048" t="e">
        <v>#N/A</v>
      </c>
      <c r="F242" s="684" t="e">
        <v>#N/A</v>
      </c>
      <c r="G242" s="3048" t="e">
        <v>#N/A</v>
      </c>
      <c r="H242" s="684" t="e">
        <v>#N/A</v>
      </c>
      <c r="I242" s="680" t="e">
        <v>#N/A</v>
      </c>
      <c r="J242" s="707" t="e">
        <f t="shared" si="16"/>
        <v>#N/A</v>
      </c>
      <c r="K242" s="673" t="e">
        <v>#N/A</v>
      </c>
      <c r="L242" s="295" t="e">
        <v>#N/A</v>
      </c>
      <c r="M242" s="229" t="e">
        <v>#N/A</v>
      </c>
      <c r="N242" s="3048" t="e">
        <v>#N/A</v>
      </c>
      <c r="O242" s="684" t="e">
        <v>#N/A</v>
      </c>
      <c r="P242" s="3048" t="e">
        <v>#N/A</v>
      </c>
      <c r="Q242" s="684" t="e">
        <v>#N/A</v>
      </c>
      <c r="R242" s="680" t="e">
        <v>#N/A</v>
      </c>
      <c r="S242" s="707" t="e">
        <f t="shared" si="17"/>
        <v>#N/A</v>
      </c>
      <c r="T242" s="673" t="e">
        <v>#N/A</v>
      </c>
      <c r="U242" s="295" t="e">
        <v>#N/A</v>
      </c>
      <c r="V242" s="680" t="e">
        <v>#N/A</v>
      </c>
      <c r="W242" s="684" t="e">
        <v>#N/A</v>
      </c>
      <c r="X242" s="3048" t="e">
        <v>#N/A</v>
      </c>
      <c r="Y242" s="3048" t="e">
        <v>#N/A</v>
      </c>
      <c r="Z242" s="694" t="e">
        <f t="shared" si="18"/>
        <v>#N/A</v>
      </c>
    </row>
    <row r="243" spans="1:26" s="227" customFormat="1">
      <c r="A243" s="230">
        <f>A239+1</f>
        <v>2028.2</v>
      </c>
      <c r="B243" s="3048" t="e">
        <v>#N/A</v>
      </c>
      <c r="C243" s="295" t="e">
        <v>#N/A</v>
      </c>
      <c r="D243" s="229" t="e">
        <v>#N/A</v>
      </c>
      <c r="E243" s="3048" t="e">
        <v>#N/A</v>
      </c>
      <c r="F243" s="684" t="e">
        <v>#N/A</v>
      </c>
      <c r="G243" s="3048" t="e">
        <v>#N/A</v>
      </c>
      <c r="H243" s="684" t="e">
        <v>#N/A</v>
      </c>
      <c r="I243" s="680" t="e">
        <v>#N/A</v>
      </c>
      <c r="J243" s="707" t="e">
        <f t="shared" si="16"/>
        <v>#N/A</v>
      </c>
      <c r="K243" s="673" t="e">
        <v>#N/A</v>
      </c>
      <c r="L243" s="295" t="e">
        <v>#N/A</v>
      </c>
      <c r="M243" s="229" t="e">
        <v>#N/A</v>
      </c>
      <c r="N243" s="3048" t="e">
        <v>#N/A</v>
      </c>
      <c r="O243" s="684" t="e">
        <v>#N/A</v>
      </c>
      <c r="P243" s="3048" t="e">
        <v>#N/A</v>
      </c>
      <c r="Q243" s="684" t="e">
        <v>#N/A</v>
      </c>
      <c r="R243" s="680" t="e">
        <v>#N/A</v>
      </c>
      <c r="S243" s="707" t="e">
        <f t="shared" si="17"/>
        <v>#N/A</v>
      </c>
      <c r="T243" s="673" t="e">
        <v>#N/A</v>
      </c>
      <c r="U243" s="295" t="e">
        <v>#N/A</v>
      </c>
      <c r="V243" s="680" t="e">
        <v>#N/A</v>
      </c>
      <c r="W243" s="684" t="e">
        <v>#N/A</v>
      </c>
      <c r="X243" s="3048" t="e">
        <v>#N/A</v>
      </c>
      <c r="Y243" s="3048" t="e">
        <v>#N/A</v>
      </c>
      <c r="Z243" s="694" t="e">
        <f t="shared" si="18"/>
        <v>#N/A</v>
      </c>
    </row>
    <row r="244" spans="1:26" s="227" customFormat="1">
      <c r="A244" s="230">
        <f t="shared" si="12"/>
        <v>2028.3</v>
      </c>
      <c r="B244" s="3048" t="e">
        <v>#N/A</v>
      </c>
      <c r="C244" s="295" t="e">
        <v>#N/A</v>
      </c>
      <c r="D244" s="229" t="e">
        <v>#N/A</v>
      </c>
      <c r="E244" s="3048" t="e">
        <v>#N/A</v>
      </c>
      <c r="F244" s="684" t="e">
        <v>#N/A</v>
      </c>
      <c r="G244" s="3048" t="e">
        <v>#N/A</v>
      </c>
      <c r="H244" s="684" t="e">
        <v>#N/A</v>
      </c>
      <c r="I244" s="680" t="e">
        <v>#N/A</v>
      </c>
      <c r="J244" s="707" t="e">
        <f t="shared" si="16"/>
        <v>#N/A</v>
      </c>
      <c r="K244" s="673" t="e">
        <v>#N/A</v>
      </c>
      <c r="L244" s="295" t="e">
        <v>#N/A</v>
      </c>
      <c r="M244" s="229" t="e">
        <v>#N/A</v>
      </c>
      <c r="N244" s="3048" t="e">
        <v>#N/A</v>
      </c>
      <c r="O244" s="684" t="e">
        <v>#N/A</v>
      </c>
      <c r="P244" s="3048" t="e">
        <v>#N/A</v>
      </c>
      <c r="Q244" s="684" t="e">
        <v>#N/A</v>
      </c>
      <c r="R244" s="680" t="e">
        <v>#N/A</v>
      </c>
      <c r="S244" s="707" t="e">
        <f t="shared" si="17"/>
        <v>#N/A</v>
      </c>
      <c r="T244" s="673" t="e">
        <v>#N/A</v>
      </c>
      <c r="U244" s="295" t="e">
        <v>#N/A</v>
      </c>
      <c r="V244" s="680" t="e">
        <v>#N/A</v>
      </c>
      <c r="W244" s="684" t="e">
        <v>#N/A</v>
      </c>
      <c r="X244" s="3048" t="e">
        <v>#N/A</v>
      </c>
      <c r="Y244" s="3048" t="e">
        <v>#N/A</v>
      </c>
      <c r="Z244" s="694" t="e">
        <f t="shared" si="18"/>
        <v>#N/A</v>
      </c>
    </row>
    <row r="245" spans="1:26" s="227" customFormat="1">
      <c r="A245" s="230">
        <f t="shared" si="12"/>
        <v>2028.4</v>
      </c>
      <c r="B245" s="3048" t="e">
        <v>#N/A</v>
      </c>
      <c r="C245" s="295" t="e">
        <v>#N/A</v>
      </c>
      <c r="D245" s="229" t="e">
        <v>#N/A</v>
      </c>
      <c r="E245" s="3048" t="e">
        <v>#N/A</v>
      </c>
      <c r="F245" s="684" t="e">
        <v>#N/A</v>
      </c>
      <c r="G245" s="3048" t="e">
        <v>#N/A</v>
      </c>
      <c r="H245" s="684" t="e">
        <v>#N/A</v>
      </c>
      <c r="I245" s="680" t="e">
        <v>#N/A</v>
      </c>
      <c r="J245" s="707" t="e">
        <f t="shared" si="16"/>
        <v>#N/A</v>
      </c>
      <c r="K245" s="673" t="e">
        <v>#N/A</v>
      </c>
      <c r="L245" s="295" t="e">
        <v>#N/A</v>
      </c>
      <c r="M245" s="229" t="e">
        <v>#N/A</v>
      </c>
      <c r="N245" s="3048" t="e">
        <v>#N/A</v>
      </c>
      <c r="O245" s="684" t="e">
        <v>#N/A</v>
      </c>
      <c r="P245" s="3048" t="e">
        <v>#N/A</v>
      </c>
      <c r="Q245" s="684" t="e">
        <v>#N/A</v>
      </c>
      <c r="R245" s="680" t="e">
        <v>#N/A</v>
      </c>
      <c r="S245" s="707" t="e">
        <f t="shared" si="17"/>
        <v>#N/A</v>
      </c>
      <c r="T245" s="673" t="e">
        <v>#N/A</v>
      </c>
      <c r="U245" s="295" t="e">
        <v>#N/A</v>
      </c>
      <c r="V245" s="680" t="e">
        <v>#N/A</v>
      </c>
      <c r="W245" s="684" t="e">
        <v>#N/A</v>
      </c>
      <c r="X245" s="3048" t="e">
        <v>#N/A</v>
      </c>
      <c r="Y245" s="3048" t="e">
        <v>#N/A</v>
      </c>
      <c r="Z245" s="694" t="e">
        <f t="shared" si="18"/>
        <v>#N/A</v>
      </c>
    </row>
    <row r="246" spans="1:26" s="227" customFormat="1">
      <c r="A246" s="230">
        <f t="shared" si="12"/>
        <v>2029.1</v>
      </c>
      <c r="B246" s="3048" t="e">
        <v>#N/A</v>
      </c>
      <c r="C246" s="295" t="e">
        <v>#N/A</v>
      </c>
      <c r="D246" s="229" t="e">
        <v>#N/A</v>
      </c>
      <c r="E246" s="3048" t="e">
        <v>#N/A</v>
      </c>
      <c r="F246" s="684" t="e">
        <v>#N/A</v>
      </c>
      <c r="G246" s="3048" t="e">
        <v>#N/A</v>
      </c>
      <c r="H246" s="684" t="e">
        <v>#N/A</v>
      </c>
      <c r="I246" s="680" t="e">
        <v>#N/A</v>
      </c>
      <c r="J246" s="707" t="e">
        <f t="shared" si="16"/>
        <v>#N/A</v>
      </c>
      <c r="K246" s="673" t="e">
        <v>#N/A</v>
      </c>
      <c r="L246" s="295" t="e">
        <v>#N/A</v>
      </c>
      <c r="M246" s="229" t="e">
        <v>#N/A</v>
      </c>
      <c r="N246" s="3048" t="e">
        <v>#N/A</v>
      </c>
      <c r="O246" s="684" t="e">
        <v>#N/A</v>
      </c>
      <c r="P246" s="3048" t="e">
        <v>#N/A</v>
      </c>
      <c r="Q246" s="684" t="e">
        <v>#N/A</v>
      </c>
      <c r="R246" s="680" t="e">
        <v>#N/A</v>
      </c>
      <c r="S246" s="707" t="e">
        <f t="shared" si="17"/>
        <v>#N/A</v>
      </c>
      <c r="T246" s="673" t="e">
        <v>#N/A</v>
      </c>
      <c r="U246" s="295" t="e">
        <v>#N/A</v>
      </c>
      <c r="V246" s="680" t="e">
        <v>#N/A</v>
      </c>
      <c r="W246" s="684" t="e">
        <v>#N/A</v>
      </c>
      <c r="X246" s="3048" t="e">
        <v>#N/A</v>
      </c>
      <c r="Y246" s="3048" t="e">
        <v>#N/A</v>
      </c>
      <c r="Z246" s="694" t="e">
        <f t="shared" si="18"/>
        <v>#N/A</v>
      </c>
    </row>
    <row r="247" spans="1:26" s="227" customFormat="1">
      <c r="A247" s="230">
        <f t="shared" si="12"/>
        <v>2029.2</v>
      </c>
      <c r="B247" s="3048" t="e">
        <v>#N/A</v>
      </c>
      <c r="C247" s="295" t="e">
        <v>#N/A</v>
      </c>
      <c r="D247" s="229" t="e">
        <v>#N/A</v>
      </c>
      <c r="E247" s="3048" t="e">
        <v>#N/A</v>
      </c>
      <c r="F247" s="684" t="e">
        <v>#N/A</v>
      </c>
      <c r="G247" s="3048" t="e">
        <v>#N/A</v>
      </c>
      <c r="H247" s="684" t="e">
        <v>#N/A</v>
      </c>
      <c r="I247" s="680" t="e">
        <v>#N/A</v>
      </c>
      <c r="J247" s="707" t="e">
        <f t="shared" si="16"/>
        <v>#N/A</v>
      </c>
      <c r="K247" s="673" t="e">
        <v>#N/A</v>
      </c>
      <c r="L247" s="295" t="e">
        <v>#N/A</v>
      </c>
      <c r="M247" s="229" t="e">
        <v>#N/A</v>
      </c>
      <c r="N247" s="3048" t="e">
        <v>#N/A</v>
      </c>
      <c r="O247" s="684" t="e">
        <v>#N/A</v>
      </c>
      <c r="P247" s="3048" t="e">
        <v>#N/A</v>
      </c>
      <c r="Q247" s="684" t="e">
        <v>#N/A</v>
      </c>
      <c r="R247" s="680" t="e">
        <v>#N/A</v>
      </c>
      <c r="S247" s="707" t="e">
        <f t="shared" si="17"/>
        <v>#N/A</v>
      </c>
      <c r="T247" s="673" t="e">
        <v>#N/A</v>
      </c>
      <c r="U247" s="295" t="e">
        <v>#N/A</v>
      </c>
      <c r="V247" s="680" t="e">
        <v>#N/A</v>
      </c>
      <c r="W247" s="684" t="e">
        <v>#N/A</v>
      </c>
      <c r="X247" s="3048" t="e">
        <v>#N/A</v>
      </c>
      <c r="Y247" s="3048" t="e">
        <v>#N/A</v>
      </c>
      <c r="Z247" s="694" t="e">
        <f t="shared" si="18"/>
        <v>#N/A</v>
      </c>
    </row>
    <row r="248" spans="1:26" s="227" customFormat="1">
      <c r="A248" s="230">
        <f>A244+1</f>
        <v>2029.3</v>
      </c>
      <c r="B248" s="3048" t="e">
        <v>#N/A</v>
      </c>
      <c r="C248" s="295" t="e">
        <v>#N/A</v>
      </c>
      <c r="D248" s="229" t="e">
        <v>#N/A</v>
      </c>
      <c r="E248" s="3048" t="e">
        <v>#N/A</v>
      </c>
      <c r="F248" s="684" t="e">
        <v>#N/A</v>
      </c>
      <c r="G248" s="3048" t="e">
        <v>#N/A</v>
      </c>
      <c r="H248" s="684" t="e">
        <v>#N/A</v>
      </c>
      <c r="I248" s="680" t="e">
        <v>#N/A</v>
      </c>
      <c r="J248" s="707" t="e">
        <f t="shared" si="16"/>
        <v>#N/A</v>
      </c>
      <c r="K248" s="673" t="e">
        <v>#N/A</v>
      </c>
      <c r="L248" s="295" t="e">
        <v>#N/A</v>
      </c>
      <c r="M248" s="229" t="e">
        <v>#N/A</v>
      </c>
      <c r="N248" s="3048" t="e">
        <v>#N/A</v>
      </c>
      <c r="O248" s="684" t="e">
        <v>#N/A</v>
      </c>
      <c r="P248" s="3048" t="e">
        <v>#N/A</v>
      </c>
      <c r="Q248" s="684" t="e">
        <v>#N/A</v>
      </c>
      <c r="R248" s="680" t="e">
        <v>#N/A</v>
      </c>
      <c r="S248" s="707" t="e">
        <f t="shared" si="17"/>
        <v>#N/A</v>
      </c>
      <c r="T248" s="673" t="e">
        <v>#N/A</v>
      </c>
      <c r="U248" s="295" t="e">
        <v>#N/A</v>
      </c>
      <c r="V248" s="680" t="e">
        <v>#N/A</v>
      </c>
      <c r="W248" s="684" t="e">
        <v>#N/A</v>
      </c>
      <c r="X248" s="3048" t="e">
        <v>#N/A</v>
      </c>
      <c r="Y248" s="3048" t="e">
        <v>#N/A</v>
      </c>
      <c r="Z248" s="694" t="e">
        <f t="shared" si="18"/>
        <v>#N/A</v>
      </c>
    </row>
    <row r="249" spans="1:26" s="227" customFormat="1">
      <c r="A249" s="230">
        <f t="shared" si="12"/>
        <v>2029.4</v>
      </c>
      <c r="B249" s="3048" t="e">
        <v>#N/A</v>
      </c>
      <c r="C249" s="295" t="e">
        <v>#N/A</v>
      </c>
      <c r="D249" s="229" t="e">
        <v>#N/A</v>
      </c>
      <c r="E249" s="3048" t="e">
        <v>#N/A</v>
      </c>
      <c r="F249" s="684" t="e">
        <v>#N/A</v>
      </c>
      <c r="G249" s="3048" t="e">
        <v>#N/A</v>
      </c>
      <c r="H249" s="684" t="e">
        <v>#N/A</v>
      </c>
      <c r="I249" s="680" t="e">
        <v>#N/A</v>
      </c>
      <c r="J249" s="707" t="e">
        <f t="shared" si="16"/>
        <v>#N/A</v>
      </c>
      <c r="K249" s="673" t="e">
        <v>#N/A</v>
      </c>
      <c r="L249" s="295" t="e">
        <v>#N/A</v>
      </c>
      <c r="M249" s="229" t="e">
        <v>#N/A</v>
      </c>
      <c r="N249" s="3048" t="e">
        <v>#N/A</v>
      </c>
      <c r="O249" s="684" t="e">
        <v>#N/A</v>
      </c>
      <c r="P249" s="3048" t="e">
        <v>#N/A</v>
      </c>
      <c r="Q249" s="684" t="e">
        <v>#N/A</v>
      </c>
      <c r="R249" s="680" t="e">
        <v>#N/A</v>
      </c>
      <c r="S249" s="707" t="e">
        <f t="shared" si="17"/>
        <v>#N/A</v>
      </c>
      <c r="T249" s="673" t="e">
        <v>#N/A</v>
      </c>
      <c r="U249" s="295" t="e">
        <v>#N/A</v>
      </c>
      <c r="V249" s="680" t="e">
        <v>#N/A</v>
      </c>
      <c r="W249" s="684" t="e">
        <v>#N/A</v>
      </c>
      <c r="X249" s="3048" t="e">
        <v>#N/A</v>
      </c>
      <c r="Y249" s="3048" t="e">
        <v>#N/A</v>
      </c>
      <c r="Z249" s="694" t="e">
        <f t="shared" si="18"/>
        <v>#N/A</v>
      </c>
    </row>
    <row r="250" spans="1:26" s="227" customFormat="1">
      <c r="A250" s="230">
        <f t="shared" si="12"/>
        <v>2030.1</v>
      </c>
      <c r="B250" s="3048" t="e">
        <v>#N/A</v>
      </c>
      <c r="C250" s="295" t="e">
        <v>#N/A</v>
      </c>
      <c r="D250" s="229" t="e">
        <v>#N/A</v>
      </c>
      <c r="E250" s="3048" t="e">
        <v>#N/A</v>
      </c>
      <c r="F250" s="684" t="e">
        <v>#N/A</v>
      </c>
      <c r="G250" s="3048" t="e">
        <v>#N/A</v>
      </c>
      <c r="H250" s="684" t="e">
        <v>#N/A</v>
      </c>
      <c r="I250" s="680" t="e">
        <v>#N/A</v>
      </c>
      <c r="J250" s="707" t="e">
        <f t="shared" si="16"/>
        <v>#N/A</v>
      </c>
      <c r="K250" s="673" t="e">
        <v>#N/A</v>
      </c>
      <c r="L250" s="295" t="e">
        <v>#N/A</v>
      </c>
      <c r="M250" s="229" t="e">
        <v>#N/A</v>
      </c>
      <c r="N250" s="3048" t="e">
        <v>#N/A</v>
      </c>
      <c r="O250" s="684" t="e">
        <v>#N/A</v>
      </c>
      <c r="P250" s="3048" t="e">
        <v>#N/A</v>
      </c>
      <c r="Q250" s="684" t="e">
        <v>#N/A</v>
      </c>
      <c r="R250" s="680" t="e">
        <v>#N/A</v>
      </c>
      <c r="S250" s="707" t="e">
        <f t="shared" si="17"/>
        <v>#N/A</v>
      </c>
      <c r="T250" s="673" t="e">
        <v>#N/A</v>
      </c>
      <c r="U250" s="295" t="e">
        <v>#N/A</v>
      </c>
      <c r="V250" s="680" t="e">
        <v>#N/A</v>
      </c>
      <c r="W250" s="684" t="e">
        <v>#N/A</v>
      </c>
      <c r="X250" s="3048" t="e">
        <v>#N/A</v>
      </c>
      <c r="Y250" s="3048" t="e">
        <v>#N/A</v>
      </c>
      <c r="Z250" s="694" t="e">
        <f t="shared" si="18"/>
        <v>#N/A</v>
      </c>
    </row>
    <row r="251" spans="1:26" s="227" customFormat="1">
      <c r="A251" s="230">
        <f t="shared" si="12"/>
        <v>2030.2</v>
      </c>
      <c r="B251" s="3048" t="e">
        <v>#N/A</v>
      </c>
      <c r="C251" s="295" t="e">
        <v>#N/A</v>
      </c>
      <c r="D251" s="229" t="e">
        <v>#N/A</v>
      </c>
      <c r="E251" s="3048" t="e">
        <v>#N/A</v>
      </c>
      <c r="F251" s="684" t="e">
        <v>#N/A</v>
      </c>
      <c r="G251" s="3048" t="e">
        <v>#N/A</v>
      </c>
      <c r="H251" s="684" t="e">
        <v>#N/A</v>
      </c>
      <c r="I251" s="680" t="e">
        <v>#N/A</v>
      </c>
      <c r="J251" s="707" t="e">
        <f t="shared" si="16"/>
        <v>#N/A</v>
      </c>
      <c r="K251" s="673" t="e">
        <v>#N/A</v>
      </c>
      <c r="L251" s="295" t="e">
        <v>#N/A</v>
      </c>
      <c r="M251" s="229" t="e">
        <v>#N/A</v>
      </c>
      <c r="N251" s="3048" t="e">
        <v>#N/A</v>
      </c>
      <c r="O251" s="684" t="e">
        <v>#N/A</v>
      </c>
      <c r="P251" s="3048" t="e">
        <v>#N/A</v>
      </c>
      <c r="Q251" s="684" t="e">
        <v>#N/A</v>
      </c>
      <c r="R251" s="680" t="e">
        <v>#N/A</v>
      </c>
      <c r="S251" s="707" t="e">
        <f t="shared" si="17"/>
        <v>#N/A</v>
      </c>
      <c r="T251" s="673" t="e">
        <v>#N/A</v>
      </c>
      <c r="U251" s="295" t="e">
        <v>#N/A</v>
      </c>
      <c r="V251" s="680" t="e">
        <v>#N/A</v>
      </c>
      <c r="W251" s="684" t="e">
        <v>#N/A</v>
      </c>
      <c r="X251" s="3048" t="e">
        <v>#N/A</v>
      </c>
      <c r="Y251" s="3048" t="e">
        <v>#N/A</v>
      </c>
      <c r="Z251" s="694" t="e">
        <f t="shared" si="18"/>
        <v>#N/A</v>
      </c>
    </row>
    <row r="252" spans="1:26" s="227" customFormat="1">
      <c r="A252" s="230">
        <f t="shared" si="12"/>
        <v>2030.3</v>
      </c>
      <c r="B252" s="3048" t="e">
        <v>#N/A</v>
      </c>
      <c r="C252" s="295" t="e">
        <v>#N/A</v>
      </c>
      <c r="D252" s="229" t="e">
        <v>#N/A</v>
      </c>
      <c r="E252" s="3048" t="e">
        <v>#N/A</v>
      </c>
      <c r="F252" s="684" t="e">
        <v>#N/A</v>
      </c>
      <c r="G252" s="3048" t="e">
        <v>#N/A</v>
      </c>
      <c r="H252" s="684" t="e">
        <v>#N/A</v>
      </c>
      <c r="I252" s="680" t="e">
        <v>#N/A</v>
      </c>
      <c r="J252" s="707" t="e">
        <f t="shared" si="16"/>
        <v>#N/A</v>
      </c>
      <c r="K252" s="673" t="e">
        <v>#N/A</v>
      </c>
      <c r="L252" s="295" t="e">
        <v>#N/A</v>
      </c>
      <c r="M252" s="229" t="e">
        <v>#N/A</v>
      </c>
      <c r="N252" s="3048" t="e">
        <v>#N/A</v>
      </c>
      <c r="O252" s="684" t="e">
        <v>#N/A</v>
      </c>
      <c r="P252" s="3048" t="e">
        <v>#N/A</v>
      </c>
      <c r="Q252" s="684" t="e">
        <v>#N/A</v>
      </c>
      <c r="R252" s="680" t="e">
        <v>#N/A</v>
      </c>
      <c r="S252" s="707" t="e">
        <f t="shared" si="17"/>
        <v>#N/A</v>
      </c>
      <c r="T252" s="673" t="e">
        <v>#N/A</v>
      </c>
      <c r="U252" s="295" t="e">
        <v>#N/A</v>
      </c>
      <c r="V252" s="680" t="e">
        <v>#N/A</v>
      </c>
      <c r="W252" s="684" t="e">
        <v>#N/A</v>
      </c>
      <c r="X252" s="3048" t="e">
        <v>#N/A</v>
      </c>
      <c r="Y252" s="3048" t="e">
        <v>#N/A</v>
      </c>
      <c r="Z252" s="694" t="e">
        <f t="shared" si="18"/>
        <v>#N/A</v>
      </c>
    </row>
    <row r="253" spans="1:26" s="227" customFormat="1">
      <c r="A253" s="230">
        <f>A249+1</f>
        <v>2030.4</v>
      </c>
      <c r="B253" s="3048" t="e">
        <v>#N/A</v>
      </c>
      <c r="C253" s="295" t="e">
        <v>#N/A</v>
      </c>
      <c r="D253" s="229" t="e">
        <v>#N/A</v>
      </c>
      <c r="E253" s="3048" t="e">
        <v>#N/A</v>
      </c>
      <c r="F253" s="684" t="e">
        <v>#N/A</v>
      </c>
      <c r="G253" s="3048" t="e">
        <v>#N/A</v>
      </c>
      <c r="H253" s="684" t="e">
        <v>#N/A</v>
      </c>
      <c r="I253" s="680" t="e">
        <v>#N/A</v>
      </c>
      <c r="J253" s="707" t="e">
        <f t="shared" si="16"/>
        <v>#N/A</v>
      </c>
      <c r="K253" s="673" t="e">
        <v>#N/A</v>
      </c>
      <c r="L253" s="295" t="e">
        <v>#N/A</v>
      </c>
      <c r="M253" s="229" t="e">
        <v>#N/A</v>
      </c>
      <c r="N253" s="3048" t="e">
        <v>#N/A</v>
      </c>
      <c r="O253" s="684" t="e">
        <v>#N/A</v>
      </c>
      <c r="P253" s="3048" t="e">
        <v>#N/A</v>
      </c>
      <c r="Q253" s="684" t="e">
        <v>#N/A</v>
      </c>
      <c r="R253" s="680" t="e">
        <v>#N/A</v>
      </c>
      <c r="S253" s="707" t="e">
        <f t="shared" si="17"/>
        <v>#N/A</v>
      </c>
      <c r="T253" s="673" t="e">
        <v>#N/A</v>
      </c>
      <c r="U253" s="295" t="e">
        <v>#N/A</v>
      </c>
      <c r="V253" s="680" t="e">
        <v>#N/A</v>
      </c>
      <c r="W253" s="684" t="e">
        <v>#N/A</v>
      </c>
      <c r="X253" s="3048" t="e">
        <v>#N/A</v>
      </c>
      <c r="Y253" s="3048" t="e">
        <v>#N/A</v>
      </c>
      <c r="Z253" s="694" t="e">
        <f t="shared" si="18"/>
        <v>#N/A</v>
      </c>
    </row>
  </sheetData>
  <hyperlinks>
    <hyperlink ref="A5" location="INDICE!A13" display="VOLVER AL INDICE" xr:uid="{00000000-0004-0000-0700-000000000000}"/>
  </hyperlinks>
  <pageMargins left="0.75" right="0.75" top="1" bottom="1" header="0" footer="0"/>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dimension ref="A1:D489"/>
  <sheetViews>
    <sheetView zoomScale="130" zoomScaleNormal="130" workbookViewId="0">
      <pane xSplit="1" ySplit="9" topLeftCell="B412" activePane="bottomRight" state="frozen"/>
      <selection pane="topRight" activeCell="B1" sqref="B1"/>
      <selection pane="bottomLeft" activeCell="A10" sqref="A10"/>
      <selection pane="bottomRight" activeCell="B422" sqref="B422"/>
    </sheetView>
  </sheetViews>
  <sheetFormatPr baseColWidth="10" defaultColWidth="11.42578125" defaultRowHeight="15"/>
  <cols>
    <col min="1" max="1" width="11.42578125" style="1748"/>
    <col min="2" max="2" width="18.85546875" style="1748" bestFit="1" customWidth="1"/>
    <col min="3" max="3" width="19.85546875" style="1748" customWidth="1"/>
    <col min="4" max="16384" width="11.42578125" style="1748"/>
  </cols>
  <sheetData>
    <row r="1" spans="1:3" s="1080" customFormat="1" ht="3.75" customHeight="1">
      <c r="A1" s="34"/>
      <c r="B1" s="1065"/>
      <c r="C1" s="1066"/>
    </row>
    <row r="2" spans="1:3" s="1080" customFormat="1" ht="26.25" customHeight="1">
      <c r="A2" s="59" t="s">
        <v>105</v>
      </c>
      <c r="B2" s="1067" t="s">
        <v>325</v>
      </c>
      <c r="C2" s="1875"/>
    </row>
    <row r="3" spans="1:3" s="1080" customFormat="1" ht="23.25" customHeight="1">
      <c r="A3" s="59" t="s">
        <v>212</v>
      </c>
      <c r="B3" s="1067" t="s">
        <v>110</v>
      </c>
      <c r="C3" s="1875"/>
    </row>
    <row r="4" spans="1:3" s="1080" customFormat="1" ht="3.75" hidden="1" customHeight="1">
      <c r="A4" s="34"/>
      <c r="B4" s="1068"/>
      <c r="C4" s="1069"/>
    </row>
    <row r="5" spans="1:3" s="1080" customFormat="1" ht="34.5" customHeight="1">
      <c r="A5" s="2390" t="s">
        <v>137</v>
      </c>
      <c r="B5" s="2552" t="s">
        <v>326</v>
      </c>
      <c r="C5" s="2553" t="s">
        <v>327</v>
      </c>
    </row>
    <row r="6" spans="1:3" s="1080" customFormat="1" ht="3" hidden="1" customHeight="1">
      <c r="A6" s="34"/>
      <c r="B6" s="1065"/>
      <c r="C6" s="1066"/>
    </row>
    <row r="7" spans="1:3" s="1080" customFormat="1" ht="22.5">
      <c r="A7" s="2373" t="s">
        <v>123</v>
      </c>
      <c r="B7" s="1070" t="s">
        <v>328</v>
      </c>
      <c r="C7" s="1876" t="s">
        <v>328</v>
      </c>
    </row>
    <row r="8" spans="1:3" s="1080" customFormat="1">
      <c r="A8" s="147" t="s">
        <v>141</v>
      </c>
      <c r="B8" s="1071" t="s">
        <v>329</v>
      </c>
      <c r="C8" s="1877" t="s">
        <v>330</v>
      </c>
    </row>
    <row r="9" spans="1:3" s="1080" customFormat="1" ht="3" hidden="1" customHeight="1" thickBot="1">
      <c r="A9" s="72"/>
      <c r="B9" s="1072"/>
      <c r="C9" s="1073"/>
    </row>
    <row r="10" spans="1:3" s="1080" customFormat="1" ht="12.75" customHeight="1">
      <c r="A10" s="1074">
        <v>1991.01</v>
      </c>
      <c r="B10" s="2598"/>
      <c r="C10" s="3308"/>
    </row>
    <row r="11" spans="1:3" s="1080" customFormat="1" ht="12.75" customHeight="1">
      <c r="A11" s="1074">
        <v>1991.02</v>
      </c>
      <c r="B11" s="2599"/>
      <c r="C11" s="2600"/>
    </row>
    <row r="12" spans="1:3" s="1080" customFormat="1" ht="12.75" customHeight="1">
      <c r="A12" s="1074">
        <v>1991.03</v>
      </c>
      <c r="B12" s="2599"/>
      <c r="C12" s="2600"/>
    </row>
    <row r="13" spans="1:3" s="1080" customFormat="1" ht="12.75" customHeight="1">
      <c r="A13" s="1074">
        <v>1991.04</v>
      </c>
      <c r="B13" s="2599"/>
      <c r="C13" s="2600"/>
    </row>
    <row r="14" spans="1:3" s="1080" customFormat="1" ht="12.75" customHeight="1">
      <c r="A14" s="1074">
        <v>1991.05</v>
      </c>
      <c r="B14" s="2599"/>
      <c r="C14" s="2600"/>
    </row>
    <row r="15" spans="1:3" s="1080" customFormat="1" ht="12.75" customHeight="1">
      <c r="A15" s="1074">
        <v>1991.06</v>
      </c>
      <c r="B15" s="2599"/>
      <c r="C15" s="2600"/>
    </row>
    <row r="16" spans="1:3" s="1080" customFormat="1" ht="12.75" customHeight="1">
      <c r="A16" s="1074">
        <v>1991.07</v>
      </c>
      <c r="B16" s="3050">
        <v>90.202599475829004</v>
      </c>
      <c r="C16" s="3051">
        <v>97.128370715330107</v>
      </c>
    </row>
    <row r="17" spans="1:3" s="1080" customFormat="1" ht="12.75" customHeight="1">
      <c r="A17" s="1074">
        <v>1991.08</v>
      </c>
      <c r="B17" s="3052">
        <v>92.264154815373502</v>
      </c>
      <c r="C17" s="3053">
        <v>96.370626866572906</v>
      </c>
    </row>
    <row r="18" spans="1:3" s="1080" customFormat="1" ht="12.75" customHeight="1">
      <c r="A18" s="1074">
        <v>1991</v>
      </c>
      <c r="B18" s="3052">
        <v>92.787731957181407</v>
      </c>
      <c r="C18" s="3053">
        <v>94.336855536116403</v>
      </c>
    </row>
    <row r="19" spans="1:3" s="1080" customFormat="1" ht="12.75" customHeight="1">
      <c r="A19" s="1074">
        <v>1991.1</v>
      </c>
      <c r="B19" s="3052">
        <v>93.501287345751507</v>
      </c>
      <c r="C19" s="3053">
        <v>92.408621595622606</v>
      </c>
    </row>
    <row r="20" spans="1:3" s="1080" customFormat="1" ht="12.75" customHeight="1">
      <c r="A20" s="1074">
        <v>1991.11</v>
      </c>
      <c r="B20" s="3052">
        <v>94.641159926957499</v>
      </c>
      <c r="C20" s="3053">
        <v>91.163580277735903</v>
      </c>
    </row>
    <row r="21" spans="1:3" s="1080" customFormat="1" ht="12.75" customHeight="1">
      <c r="A21" s="1074">
        <v>1991.12</v>
      </c>
      <c r="B21" s="3052">
        <v>93.497857477806505</v>
      </c>
      <c r="C21" s="3053">
        <v>89.799215201417397</v>
      </c>
    </row>
    <row r="22" spans="1:3" s="1080" customFormat="1" ht="12.75" customHeight="1">
      <c r="A22" s="1074">
        <v>1992.01</v>
      </c>
      <c r="B22" s="3052">
        <v>95.132136920345403</v>
      </c>
      <c r="C22" s="3053">
        <v>90.2137922117508</v>
      </c>
    </row>
    <row r="23" spans="1:3" s="1080" customFormat="1" ht="12.75" customHeight="1">
      <c r="A23" s="1074">
        <v>1992.02</v>
      </c>
      <c r="B23" s="3052">
        <v>93.047679147126601</v>
      </c>
      <c r="C23" s="3053">
        <v>90.942836512087595</v>
      </c>
    </row>
    <row r="24" spans="1:3" s="1080" customFormat="1" ht="12.75" customHeight="1">
      <c r="A24" s="1074">
        <v>1992.03</v>
      </c>
      <c r="B24" s="3052">
        <v>93.362758295688295</v>
      </c>
      <c r="C24" s="3053">
        <v>96.972789033364705</v>
      </c>
    </row>
    <row r="25" spans="1:3" s="1080" customFormat="1" ht="12.75" customHeight="1">
      <c r="A25" s="1074">
        <v>1992.04</v>
      </c>
      <c r="B25" s="3052">
        <v>93.159768558709899</v>
      </c>
      <c r="C25" s="3053">
        <v>99.389287092326001</v>
      </c>
    </row>
    <row r="26" spans="1:3" s="1080" customFormat="1" ht="12.75" customHeight="1">
      <c r="A26" s="1074">
        <v>1992.05</v>
      </c>
      <c r="B26" s="3052">
        <v>93.296254848833897</v>
      </c>
      <c r="C26" s="3053">
        <v>101.505587613042</v>
      </c>
    </row>
    <row r="27" spans="1:3" s="1080" customFormat="1" ht="12.75" customHeight="1">
      <c r="A27" s="1074">
        <v>1992.06</v>
      </c>
      <c r="B27" s="3052">
        <v>91.895581665362798</v>
      </c>
      <c r="C27" s="3053">
        <v>98.297059834441399</v>
      </c>
    </row>
    <row r="28" spans="1:3" s="1080" customFormat="1" ht="12.75" customHeight="1">
      <c r="A28" s="1074">
        <v>1992.07</v>
      </c>
      <c r="B28" s="3052">
        <v>89.360514790924796</v>
      </c>
      <c r="C28" s="3053">
        <v>95.870546179220497</v>
      </c>
    </row>
    <row r="29" spans="1:3" s="1080" customFormat="1" ht="12.75" customHeight="1">
      <c r="A29" s="1074">
        <v>1992.08</v>
      </c>
      <c r="B29" s="3052">
        <v>89.481967097738803</v>
      </c>
      <c r="C29" s="3053">
        <v>93.927426104303194</v>
      </c>
    </row>
    <row r="30" spans="1:3" s="1080" customFormat="1" ht="12.75" customHeight="1">
      <c r="A30" s="1074">
        <v>1992.09</v>
      </c>
      <c r="B30" s="3052">
        <v>89.799017905564099</v>
      </c>
      <c r="C30" s="3053">
        <v>95.832788726493803</v>
      </c>
    </row>
    <row r="31" spans="1:3" s="1080" customFormat="1" ht="12.75" customHeight="1">
      <c r="A31" s="1074">
        <v>1992.1</v>
      </c>
      <c r="B31" s="3052">
        <v>90.589682802041196</v>
      </c>
      <c r="C31" s="3053">
        <v>96.643166174710899</v>
      </c>
    </row>
    <row r="32" spans="1:3" s="1080" customFormat="1" ht="12.75" customHeight="1">
      <c r="A32" s="1074">
        <v>1992.11</v>
      </c>
      <c r="B32" s="3052">
        <v>89.350649463416801</v>
      </c>
      <c r="C32" s="3053">
        <v>95.508087724024506</v>
      </c>
    </row>
    <row r="33" spans="1:3" s="1080" customFormat="1" ht="12.75" customHeight="1">
      <c r="A33" s="1074">
        <v>1992.12</v>
      </c>
      <c r="B33" s="3052">
        <v>91.838944504224301</v>
      </c>
      <c r="C33" s="3053">
        <v>96.722589404735203</v>
      </c>
    </row>
    <row r="34" spans="1:3" s="1080" customFormat="1" ht="12.75" customHeight="1">
      <c r="A34" s="1074">
        <v>1993.01</v>
      </c>
      <c r="B34" s="3052">
        <v>92.433221540602403</v>
      </c>
      <c r="C34" s="3053">
        <v>98.238073987856296</v>
      </c>
    </row>
    <row r="35" spans="1:3" s="1080" customFormat="1" ht="12.75" customHeight="1">
      <c r="A35" s="1074">
        <v>1993.02</v>
      </c>
      <c r="B35" s="3052">
        <v>93.859217280301806</v>
      </c>
      <c r="C35" s="3053">
        <v>99.164813065064905</v>
      </c>
    </row>
    <row r="36" spans="1:3" s="1080" customFormat="1" ht="12.75" customHeight="1">
      <c r="A36" s="1074">
        <v>1993.03</v>
      </c>
      <c r="B36" s="3052">
        <v>91.361916728024994</v>
      </c>
      <c r="C36" s="3053">
        <v>99.139046955698703</v>
      </c>
    </row>
    <row r="37" spans="1:3" s="1080" customFormat="1" ht="12.75" customHeight="1">
      <c r="A37" s="1074">
        <v>1993.04</v>
      </c>
      <c r="B37" s="3052">
        <v>92.687847568511899</v>
      </c>
      <c r="C37" s="3053">
        <v>98.851446295106001</v>
      </c>
    </row>
    <row r="38" spans="1:3" s="1080" customFormat="1" ht="12.75" customHeight="1">
      <c r="A38" s="1074">
        <v>1993.05</v>
      </c>
      <c r="B38" s="3052">
        <v>94.042019683909004</v>
      </c>
      <c r="C38" s="3053">
        <v>100.493454356651</v>
      </c>
    </row>
    <row r="39" spans="1:3" s="1080" customFormat="1" ht="12.75" customHeight="1">
      <c r="A39" s="1074">
        <v>1993.06</v>
      </c>
      <c r="B39" s="3052">
        <v>93.993364430235005</v>
      </c>
      <c r="C39" s="3053">
        <v>103.014155990847</v>
      </c>
    </row>
    <row r="40" spans="1:3" s="1080" customFormat="1" ht="12.75" customHeight="1">
      <c r="A40" s="1074">
        <v>1993.07</v>
      </c>
      <c r="B40" s="3052">
        <v>96.451114742165103</v>
      </c>
      <c r="C40" s="3053">
        <v>105.85736291819001</v>
      </c>
    </row>
    <row r="41" spans="1:3" s="1080" customFormat="1" ht="12.75" customHeight="1">
      <c r="A41" s="1074">
        <v>1993.08</v>
      </c>
      <c r="B41" s="3052">
        <v>95.518259088338596</v>
      </c>
      <c r="C41" s="3053">
        <v>105.906289970565</v>
      </c>
    </row>
    <row r="42" spans="1:3" s="1080" customFormat="1" ht="12.75" customHeight="1">
      <c r="A42" s="1074">
        <v>1993.09</v>
      </c>
      <c r="B42" s="3052">
        <v>94.285077310700203</v>
      </c>
      <c r="C42" s="3053">
        <v>106.91590601695501</v>
      </c>
    </row>
    <row r="43" spans="1:3" s="1080" customFormat="1" ht="12.75" customHeight="1">
      <c r="A43" s="1074">
        <v>1993.1</v>
      </c>
      <c r="B43" s="3052">
        <v>95.752399167262894</v>
      </c>
      <c r="C43" s="3053">
        <v>108.06227288446701</v>
      </c>
    </row>
    <row r="44" spans="1:3" s="1080" customFormat="1" ht="12.75" customHeight="1">
      <c r="A44" s="1074">
        <v>1993.11</v>
      </c>
      <c r="B44" s="3052">
        <v>98.474901497617694</v>
      </c>
      <c r="C44" s="3053">
        <v>111.347627368056</v>
      </c>
    </row>
    <row r="45" spans="1:3" s="1080" customFormat="1" ht="12.75" customHeight="1">
      <c r="A45" s="1074">
        <v>1993.12</v>
      </c>
      <c r="B45" s="3052">
        <v>101.597190768427</v>
      </c>
      <c r="C45" s="3053">
        <v>110.809001273135</v>
      </c>
    </row>
    <row r="46" spans="1:3" s="1080" customFormat="1" ht="12.75" customHeight="1">
      <c r="A46" s="1074">
        <v>1994.01</v>
      </c>
      <c r="B46" s="3052">
        <v>103.668877617739</v>
      </c>
      <c r="C46" s="3053">
        <v>110.99412251874899</v>
      </c>
    </row>
    <row r="47" spans="1:3" s="1080" customFormat="1" ht="12.75" customHeight="1">
      <c r="A47" s="1074">
        <v>1994.02</v>
      </c>
      <c r="B47" s="3052">
        <v>103.2495287997</v>
      </c>
      <c r="C47" s="3053">
        <v>109.756151160969</v>
      </c>
    </row>
    <row r="48" spans="1:3" s="1080" customFormat="1" ht="12.75" customHeight="1">
      <c r="A48" s="1074">
        <v>1994.03</v>
      </c>
      <c r="B48" s="3052">
        <v>104.365903773529</v>
      </c>
      <c r="C48" s="3053">
        <v>110.45887715502499</v>
      </c>
    </row>
    <row r="49" spans="1:3" s="1080" customFormat="1" ht="12.75" customHeight="1">
      <c r="A49" s="1074">
        <v>1994.04</v>
      </c>
      <c r="B49" s="3052">
        <v>104.23393195840301</v>
      </c>
      <c r="C49" s="3053">
        <v>109.702888939877</v>
      </c>
    </row>
    <row r="50" spans="1:3" s="1080" customFormat="1" ht="12.75" customHeight="1">
      <c r="A50" s="1074">
        <v>1994.05</v>
      </c>
      <c r="B50" s="3052">
        <v>102.163660324269</v>
      </c>
      <c r="C50" s="3053">
        <v>108.53084521714</v>
      </c>
    </row>
    <row r="51" spans="1:3" s="1080" customFormat="1" ht="12.75" customHeight="1">
      <c r="A51" s="1074">
        <v>1994.06</v>
      </c>
      <c r="B51" s="3052">
        <v>104.619673803241</v>
      </c>
      <c r="C51" s="3053">
        <v>110.23161689112401</v>
      </c>
    </row>
    <row r="52" spans="1:3" s="1080" customFormat="1" ht="12.75" customHeight="1">
      <c r="A52" s="1074">
        <v>1994.07</v>
      </c>
      <c r="B52" s="3052">
        <v>103.776713925682</v>
      </c>
      <c r="C52" s="3053">
        <v>110.905103111957</v>
      </c>
    </row>
    <row r="53" spans="1:3" s="1080" customFormat="1" ht="12.75" customHeight="1">
      <c r="A53" s="1074">
        <v>1994.08</v>
      </c>
      <c r="B53" s="3052">
        <v>103.88046379630001</v>
      </c>
      <c r="C53" s="3053">
        <v>111.636158431486</v>
      </c>
    </row>
    <row r="54" spans="1:3" s="1080" customFormat="1" ht="12.75" customHeight="1">
      <c r="A54" s="1074">
        <v>1994.09</v>
      </c>
      <c r="B54" s="3052">
        <v>106.68630012484699</v>
      </c>
      <c r="C54" s="3053">
        <v>113.080355116796</v>
      </c>
    </row>
    <row r="55" spans="1:3" s="1080" customFormat="1" ht="12.75" customHeight="1">
      <c r="A55" s="1074">
        <v>1994.1</v>
      </c>
      <c r="B55" s="3052">
        <v>109.66402254397499</v>
      </c>
      <c r="C55" s="3053">
        <v>115.30381163751601</v>
      </c>
    </row>
    <row r="56" spans="1:3" s="1080" customFormat="1" ht="12.75" customHeight="1">
      <c r="A56" s="1074">
        <v>1994.11</v>
      </c>
      <c r="B56" s="3052">
        <v>108.17404211208201</v>
      </c>
      <c r="C56" s="3053">
        <v>115.41657366889</v>
      </c>
    </row>
    <row r="57" spans="1:3" s="1080" customFormat="1" ht="12.75" customHeight="1">
      <c r="A57" s="1074">
        <v>1994.12</v>
      </c>
      <c r="B57" s="3052">
        <v>108.701564333002</v>
      </c>
      <c r="C57" s="3053">
        <v>114.086353975769</v>
      </c>
    </row>
    <row r="58" spans="1:3" s="1080" customFormat="1" ht="12.75" customHeight="1">
      <c r="A58" s="1074">
        <v>1995.01</v>
      </c>
      <c r="B58" s="3052">
        <v>107.262555014923</v>
      </c>
      <c r="C58" s="3053">
        <v>113.539309468757</v>
      </c>
    </row>
    <row r="59" spans="1:3" s="1080" customFormat="1" ht="12.75" customHeight="1">
      <c r="A59" s="1074">
        <v>1995.02</v>
      </c>
      <c r="B59" s="3052">
        <v>107.000935322587</v>
      </c>
      <c r="C59" s="3053">
        <v>112.754852717809</v>
      </c>
    </row>
    <row r="60" spans="1:3" s="1080" customFormat="1" ht="12.75" customHeight="1">
      <c r="A60" s="1074">
        <v>1995.03</v>
      </c>
      <c r="B60" s="3052">
        <v>106.70877130359899</v>
      </c>
      <c r="C60" s="3053">
        <v>108.47061547090701</v>
      </c>
    </row>
    <row r="61" spans="1:3" s="1080" customFormat="1" ht="12.75" customHeight="1">
      <c r="A61" s="1074">
        <v>1995.04</v>
      </c>
      <c r="B61" s="3052">
        <v>105.19120669466901</v>
      </c>
      <c r="C61" s="3053">
        <v>106.195085395429</v>
      </c>
    </row>
    <row r="62" spans="1:3" s="1080" customFormat="1" ht="12.75" customHeight="1">
      <c r="A62" s="1074">
        <v>1995.05</v>
      </c>
      <c r="B62" s="3052">
        <v>103.620634897841</v>
      </c>
      <c r="C62" s="3053">
        <v>104.064594162302</v>
      </c>
    </row>
    <row r="63" spans="1:3" s="1080" customFormat="1" ht="12.75" customHeight="1">
      <c r="A63" s="1074">
        <v>1995.06</v>
      </c>
      <c r="B63" s="3052">
        <v>101.63212045808299</v>
      </c>
      <c r="C63" s="3053">
        <v>101.89951501683301</v>
      </c>
    </row>
    <row r="64" spans="1:3" s="1080" customFormat="1" ht="12.75" customHeight="1">
      <c r="A64" s="1074">
        <v>1995.07</v>
      </c>
      <c r="B64" s="3052">
        <v>100.501269088885</v>
      </c>
      <c r="C64" s="3053">
        <v>101.605654996426</v>
      </c>
    </row>
    <row r="65" spans="1:3" s="1080" customFormat="1" ht="12.75" customHeight="1">
      <c r="A65" s="1074">
        <v>1995.08</v>
      </c>
      <c r="B65" s="3052">
        <v>97.745818648728701</v>
      </c>
      <c r="C65" s="3053">
        <v>99.406902233020901</v>
      </c>
    </row>
    <row r="66" spans="1:3" s="1080" customFormat="1" ht="12.75" customHeight="1">
      <c r="A66" s="1074">
        <v>1995.09</v>
      </c>
      <c r="B66" s="3052">
        <v>96.816126697930699</v>
      </c>
      <c r="C66" s="3053">
        <v>98.267076162653694</v>
      </c>
    </row>
    <row r="67" spans="1:3" s="1080" customFormat="1" ht="12.75" customHeight="1">
      <c r="A67" s="1074">
        <v>1995.1</v>
      </c>
      <c r="B67" s="3052">
        <v>98.833498016262496</v>
      </c>
      <c r="C67" s="3053">
        <v>96.350565556113906</v>
      </c>
    </row>
    <row r="68" spans="1:3" s="1080" customFormat="1" ht="12.75" customHeight="1">
      <c r="A68" s="1074">
        <v>1995.11</v>
      </c>
      <c r="B68" s="3052">
        <v>93.327007294745002</v>
      </c>
      <c r="C68" s="3053">
        <v>93.675886336839596</v>
      </c>
    </row>
    <row r="69" spans="1:3" s="1080" customFormat="1" ht="12.75" customHeight="1">
      <c r="A69" s="1074">
        <v>1995.12</v>
      </c>
      <c r="B69" s="3052">
        <v>91.1447886956975</v>
      </c>
      <c r="C69" s="3053">
        <v>93.928695363043303</v>
      </c>
    </row>
    <row r="70" spans="1:3" s="1080" customFormat="1" ht="12.75" customHeight="1">
      <c r="A70" s="1074">
        <v>1996.01</v>
      </c>
      <c r="B70" s="3052">
        <v>92.033279985517396</v>
      </c>
      <c r="C70" s="3053">
        <v>94.258993500165502</v>
      </c>
    </row>
    <row r="71" spans="1:3" s="1080" customFormat="1" ht="12.75" customHeight="1">
      <c r="A71" s="1074">
        <v>1996.02</v>
      </c>
      <c r="B71" s="3052">
        <v>88.791726280432698</v>
      </c>
      <c r="C71" s="3053">
        <v>93.5071882403644</v>
      </c>
    </row>
    <row r="72" spans="1:3" s="1080" customFormat="1" ht="12.75" customHeight="1">
      <c r="A72" s="1074">
        <v>1996.03</v>
      </c>
      <c r="B72" s="3052">
        <v>91.787346451624302</v>
      </c>
      <c r="C72" s="3053">
        <v>96.604879425294897</v>
      </c>
    </row>
    <row r="73" spans="1:3" s="1080" customFormat="1" ht="12.75" customHeight="1">
      <c r="A73" s="1074">
        <v>1996.04</v>
      </c>
      <c r="B73" s="3052">
        <v>92.490270641387795</v>
      </c>
      <c r="C73" s="3053">
        <v>97.771503205372895</v>
      </c>
    </row>
    <row r="74" spans="1:3" s="1080" customFormat="1" ht="12.75" customHeight="1">
      <c r="A74" s="1074">
        <v>1996.05</v>
      </c>
      <c r="B74" s="3052">
        <v>93.009008413736098</v>
      </c>
      <c r="C74" s="3053">
        <v>99.560260303390905</v>
      </c>
    </row>
    <row r="75" spans="1:3" s="1080" customFormat="1" ht="12.75" customHeight="1">
      <c r="A75" s="1074">
        <v>1996.06</v>
      </c>
      <c r="B75" s="3052">
        <v>92.115273782202706</v>
      </c>
      <c r="C75" s="3053">
        <v>102.194018815196</v>
      </c>
    </row>
    <row r="76" spans="1:3" s="1080" customFormat="1" ht="12.75" customHeight="1">
      <c r="A76" s="1074">
        <v>1996.07</v>
      </c>
      <c r="B76" s="3052">
        <v>92.457672811926201</v>
      </c>
      <c r="C76" s="3053">
        <v>102.26275918776901</v>
      </c>
    </row>
    <row r="77" spans="1:3" s="1080" customFormat="1" ht="12.75" customHeight="1">
      <c r="A77" s="1074">
        <v>1996.08</v>
      </c>
      <c r="B77" s="3052">
        <v>94.340560611775302</v>
      </c>
      <c r="C77" s="3053">
        <v>104.95675629672</v>
      </c>
    </row>
    <row r="78" spans="1:3" s="1080" customFormat="1" ht="12.75" customHeight="1">
      <c r="A78" s="1074">
        <v>1996.09</v>
      </c>
      <c r="B78" s="3052">
        <v>94.176677004407793</v>
      </c>
      <c r="C78" s="3053">
        <v>102.663615027219</v>
      </c>
    </row>
    <row r="79" spans="1:3" s="1080" customFormat="1" ht="12.75" customHeight="1">
      <c r="A79" s="1074">
        <v>1996.1</v>
      </c>
      <c r="B79" s="3052">
        <v>91.253388055391795</v>
      </c>
      <c r="C79" s="3053">
        <v>103.314203948084</v>
      </c>
    </row>
    <row r="80" spans="1:3" s="1080" customFormat="1" ht="12.75" customHeight="1">
      <c r="A80" s="1074">
        <v>1996.11</v>
      </c>
      <c r="B80" s="3052">
        <v>92.366225063251804</v>
      </c>
      <c r="C80" s="3053">
        <v>103.20809956078401</v>
      </c>
    </row>
    <row r="81" spans="1:3" s="1080" customFormat="1" ht="12.75" customHeight="1">
      <c r="A81" s="1074">
        <v>1996.12</v>
      </c>
      <c r="B81" s="3052">
        <v>93.986109528575199</v>
      </c>
      <c r="C81" s="3053">
        <v>104.75130615851501</v>
      </c>
    </row>
    <row r="82" spans="1:3" s="1080" customFormat="1" ht="12.75" customHeight="1">
      <c r="A82" s="1074">
        <v>1997.01</v>
      </c>
      <c r="B82" s="3052">
        <v>91.807914003637094</v>
      </c>
      <c r="C82" s="3053">
        <v>103.595816365856</v>
      </c>
    </row>
    <row r="83" spans="1:3" s="1080" customFormat="1" ht="12.75" customHeight="1">
      <c r="A83" s="1074">
        <v>1997.02</v>
      </c>
      <c r="B83" s="3052">
        <v>93.535036597618998</v>
      </c>
      <c r="C83" s="3053">
        <v>104.978870042305</v>
      </c>
    </row>
    <row r="84" spans="1:3" s="1080" customFormat="1" ht="12.75" customHeight="1">
      <c r="A84" s="1074">
        <v>1997.03</v>
      </c>
      <c r="B84" s="3052">
        <v>91.827010361380204</v>
      </c>
      <c r="C84" s="3053">
        <v>105.823234556382</v>
      </c>
    </row>
    <row r="85" spans="1:3" s="1080" customFormat="1" ht="12.75" customHeight="1">
      <c r="A85" s="1074">
        <v>1997.04</v>
      </c>
      <c r="B85" s="3052">
        <v>90.223896362537104</v>
      </c>
      <c r="C85" s="3053">
        <v>104.705831506899</v>
      </c>
    </row>
    <row r="86" spans="1:3" s="1080" customFormat="1" ht="12.75" customHeight="1">
      <c r="A86" s="1074">
        <v>1997.05</v>
      </c>
      <c r="B86" s="3052">
        <v>93.996308559306101</v>
      </c>
      <c r="C86" s="3053">
        <v>105.148315116123</v>
      </c>
    </row>
    <row r="87" spans="1:3" s="1080" customFormat="1" ht="12.75" customHeight="1">
      <c r="A87" s="1074">
        <v>1997.06</v>
      </c>
      <c r="B87" s="3052">
        <v>93.721599248244203</v>
      </c>
      <c r="C87" s="3053">
        <v>101.84091737556</v>
      </c>
    </row>
    <row r="88" spans="1:3" s="1080" customFormat="1" ht="12.75" customHeight="1">
      <c r="A88" s="1074">
        <v>1997.07</v>
      </c>
      <c r="B88" s="3052">
        <v>95.415922108259096</v>
      </c>
      <c r="C88" s="3053">
        <v>101.884664351483</v>
      </c>
    </row>
    <row r="89" spans="1:3" s="1080" customFormat="1" ht="12.75" customHeight="1">
      <c r="A89" s="1074">
        <v>1997.08</v>
      </c>
      <c r="B89" s="3052">
        <v>96.814626341032806</v>
      </c>
      <c r="C89" s="3053">
        <v>103.48514750693199</v>
      </c>
    </row>
    <row r="90" spans="1:3" s="1080" customFormat="1" ht="12.75" customHeight="1">
      <c r="A90" s="1074">
        <v>1997.09</v>
      </c>
      <c r="B90" s="3052">
        <v>97.627652753417806</v>
      </c>
      <c r="C90" s="3053">
        <v>104.89175531391599</v>
      </c>
    </row>
    <row r="91" spans="1:3" s="1080" customFormat="1" ht="12.75" customHeight="1">
      <c r="A91" s="1074">
        <v>1997.1</v>
      </c>
      <c r="B91" s="3052">
        <v>100.899436552265</v>
      </c>
      <c r="C91" s="3053">
        <v>105.742075632219</v>
      </c>
    </row>
    <row r="92" spans="1:3" s="1080" customFormat="1" ht="12.75" customHeight="1">
      <c r="A92" s="1074">
        <v>1997.11</v>
      </c>
      <c r="B92" s="3052">
        <v>98.861965229741998</v>
      </c>
      <c r="C92" s="3053">
        <v>105.93397027514099</v>
      </c>
    </row>
    <row r="93" spans="1:3" s="1080" customFormat="1" ht="12.75" customHeight="1">
      <c r="A93" s="1074">
        <v>1997.12</v>
      </c>
      <c r="B93" s="3052">
        <v>94.1239177622017</v>
      </c>
      <c r="C93" s="3053">
        <v>102.976171684207</v>
      </c>
    </row>
    <row r="94" spans="1:3" s="1080" customFormat="1" ht="12.75" customHeight="1">
      <c r="A94" s="1074">
        <v>1998.01</v>
      </c>
      <c r="B94" s="3052">
        <v>88.221249712900899</v>
      </c>
      <c r="C94" s="3053">
        <v>98.493397804747701</v>
      </c>
    </row>
    <row r="95" spans="1:3" s="1080" customFormat="1" ht="12.75" customHeight="1">
      <c r="A95" s="1074">
        <v>1998.02</v>
      </c>
      <c r="B95" s="3052">
        <v>84.914065052489406</v>
      </c>
      <c r="C95" s="3053">
        <v>98.000670331815996</v>
      </c>
    </row>
    <row r="96" spans="1:3" s="1080" customFormat="1" ht="12.75" customHeight="1">
      <c r="A96" s="1074">
        <v>1998.03</v>
      </c>
      <c r="B96" s="3052">
        <v>84.216212603446294</v>
      </c>
      <c r="C96" s="3053">
        <v>98.462728002067607</v>
      </c>
    </row>
    <row r="97" spans="1:3" s="1080" customFormat="1" ht="12.75" customHeight="1">
      <c r="A97" s="1074">
        <v>1998.04</v>
      </c>
      <c r="B97" s="3052">
        <v>85.3026473148051</v>
      </c>
      <c r="C97" s="3053">
        <v>98.173704239535596</v>
      </c>
    </row>
    <row r="98" spans="1:3" s="1080" customFormat="1" ht="12.75" customHeight="1">
      <c r="A98" s="1074">
        <v>1998.05</v>
      </c>
      <c r="B98" s="3052">
        <v>95.750671069501706</v>
      </c>
      <c r="C98" s="3053">
        <v>98.886786116529805</v>
      </c>
    </row>
    <row r="99" spans="1:3" s="1080" customFormat="1" ht="12.75" customHeight="1">
      <c r="A99" s="1074">
        <v>1998.06</v>
      </c>
      <c r="B99" s="3052">
        <v>96.197588870319294</v>
      </c>
      <c r="C99" s="3053">
        <v>98.7652079897302</v>
      </c>
    </row>
    <row r="100" spans="1:3" s="1080" customFormat="1" ht="12.75" customHeight="1">
      <c r="A100" s="1074">
        <v>1998.07</v>
      </c>
      <c r="B100" s="3052">
        <v>93.5225534626463</v>
      </c>
      <c r="C100" s="3053">
        <v>96.998169242276305</v>
      </c>
    </row>
    <row r="101" spans="1:3" s="1080" customFormat="1" ht="12.75" customHeight="1">
      <c r="A101" s="1074">
        <v>1998.08</v>
      </c>
      <c r="B101" s="3052">
        <v>92.014381724461501</v>
      </c>
      <c r="C101" s="3053">
        <v>95.218285998025607</v>
      </c>
    </row>
    <row r="102" spans="1:3" s="1080" customFormat="1" ht="12.75" customHeight="1">
      <c r="A102" s="1074">
        <v>1998.09</v>
      </c>
      <c r="B102" s="3052">
        <v>94.440026931103006</v>
      </c>
      <c r="C102" s="3053">
        <v>94.093157447455098</v>
      </c>
    </row>
    <row r="103" spans="1:3" s="1080" customFormat="1" ht="12.75" customHeight="1">
      <c r="A103" s="1074">
        <v>1998.1</v>
      </c>
      <c r="B103" s="3052">
        <v>92.642508779732594</v>
      </c>
      <c r="C103" s="3053">
        <v>92.199702518771701</v>
      </c>
    </row>
    <row r="104" spans="1:3" s="1080" customFormat="1" ht="12.75" customHeight="1">
      <c r="A104" s="1074">
        <v>1998.11</v>
      </c>
      <c r="B104" s="3052">
        <v>95.744803364584499</v>
      </c>
      <c r="C104" s="3053">
        <v>91.170464617194199</v>
      </c>
    </row>
    <row r="105" spans="1:3" s="1080" customFormat="1" ht="12.75" customHeight="1">
      <c r="A105" s="1074">
        <v>1998.12</v>
      </c>
      <c r="B105" s="3052">
        <v>97.604334582472106</v>
      </c>
      <c r="C105" s="3053">
        <v>93.279808484836394</v>
      </c>
    </row>
    <row r="106" spans="1:3" s="1080" customFormat="1" ht="12.75" customHeight="1">
      <c r="A106" s="1074">
        <v>1999.01</v>
      </c>
      <c r="B106" s="3052">
        <v>104.69072778529799</v>
      </c>
      <c r="C106" s="3053">
        <v>97.325855184250699</v>
      </c>
    </row>
    <row r="107" spans="1:3" s="1080" customFormat="1" ht="12.75" customHeight="1">
      <c r="A107" s="1074">
        <v>1999.02</v>
      </c>
      <c r="B107" s="3052">
        <v>105.924911265258</v>
      </c>
      <c r="C107" s="3053">
        <v>98.686144682371705</v>
      </c>
    </row>
    <row r="108" spans="1:3" s="1080" customFormat="1" ht="12.75" customHeight="1">
      <c r="A108" s="1074">
        <v>1999.03</v>
      </c>
      <c r="B108" s="3052">
        <v>105.129032578687</v>
      </c>
      <c r="C108" s="3053">
        <v>98.910045753211094</v>
      </c>
    </row>
    <row r="109" spans="1:3" s="1080" customFormat="1" ht="12.75" customHeight="1">
      <c r="A109" s="1074">
        <v>1999.04</v>
      </c>
      <c r="B109" s="3052">
        <v>100.004488475719</v>
      </c>
      <c r="C109" s="3053">
        <v>99.936652080561203</v>
      </c>
    </row>
    <row r="110" spans="1:3" s="1080" customFormat="1" ht="12.75" customHeight="1">
      <c r="A110" s="1074">
        <v>1999.05</v>
      </c>
      <c r="B110" s="3052">
        <v>108.931087839207</v>
      </c>
      <c r="C110" s="3053">
        <v>103.371985019744</v>
      </c>
    </row>
    <row r="111" spans="1:3" s="1080" customFormat="1" ht="12.75" customHeight="1">
      <c r="A111" s="1074">
        <v>1999.06</v>
      </c>
      <c r="B111" s="3052">
        <v>116.674506904005</v>
      </c>
      <c r="C111" s="3053">
        <v>105.089920294482</v>
      </c>
    </row>
    <row r="112" spans="1:3" s="1080" customFormat="1" ht="12.75" customHeight="1">
      <c r="A112" s="1074">
        <v>1999.07</v>
      </c>
      <c r="B112" s="3052">
        <v>120.882160272867</v>
      </c>
      <c r="C112" s="3053">
        <v>111.123238151504</v>
      </c>
    </row>
    <row r="113" spans="1:3" s="1080" customFormat="1" ht="12.75" customHeight="1">
      <c r="A113" s="1074">
        <v>1999.08</v>
      </c>
      <c r="B113" s="3052">
        <v>121.543297381572</v>
      </c>
      <c r="C113" s="3053">
        <v>106.856021473832</v>
      </c>
    </row>
    <row r="114" spans="1:3" s="1080" customFormat="1" ht="12.75" customHeight="1">
      <c r="A114" s="1074">
        <v>1999.09</v>
      </c>
      <c r="B114" s="3052">
        <v>121.997662218969</v>
      </c>
      <c r="C114" s="3053">
        <v>107.001632027055</v>
      </c>
    </row>
    <row r="115" spans="1:3" s="1080" customFormat="1" ht="12.75" customHeight="1">
      <c r="A115" s="1074">
        <v>1999.1</v>
      </c>
      <c r="B115" s="3052">
        <v>126.298942556203</v>
      </c>
      <c r="C115" s="3053">
        <v>106.86015512463401</v>
      </c>
    </row>
    <row r="116" spans="1:3" s="1080" customFormat="1" ht="12.75" customHeight="1">
      <c r="A116" s="1074">
        <v>1999.11</v>
      </c>
      <c r="B116" s="3052">
        <v>122.034257259139</v>
      </c>
      <c r="C116" s="3053">
        <v>108.940486374882</v>
      </c>
    </row>
    <row r="117" spans="1:3" s="1080" customFormat="1" ht="12.75" customHeight="1">
      <c r="A117" s="1074">
        <v>1999.12</v>
      </c>
      <c r="B117" s="3052">
        <v>121.20800978661001</v>
      </c>
      <c r="C117" s="3053">
        <v>109.87762802076401</v>
      </c>
    </row>
    <row r="118" spans="1:3" s="1080" customFormat="1" ht="12.75" customHeight="1">
      <c r="A118" s="1074">
        <v>2000.01</v>
      </c>
      <c r="B118" s="3052">
        <v>122.262903220051</v>
      </c>
      <c r="C118" s="3053">
        <v>109.021977695055</v>
      </c>
    </row>
    <row r="119" spans="1:3" s="1080" customFormat="1" ht="12.75" customHeight="1">
      <c r="A119" s="1074">
        <v>2000.02</v>
      </c>
      <c r="B119" s="3052">
        <v>123.449921982318</v>
      </c>
      <c r="C119" s="3053">
        <v>113.050482559785</v>
      </c>
    </row>
    <row r="120" spans="1:3" s="1080" customFormat="1" ht="12.75" customHeight="1">
      <c r="A120" s="1074">
        <v>2000.03</v>
      </c>
      <c r="B120" s="3052">
        <v>118.939144815861</v>
      </c>
      <c r="C120" s="3053">
        <v>108.760939646324</v>
      </c>
    </row>
    <row r="121" spans="1:3" s="1080" customFormat="1" ht="12.75" customHeight="1">
      <c r="A121" s="1074">
        <v>2000.04</v>
      </c>
      <c r="B121" s="3052">
        <v>124.44159860129</v>
      </c>
      <c r="C121" s="3053">
        <v>114.15091794790401</v>
      </c>
    </row>
    <row r="122" spans="1:3" s="1080" customFormat="1" ht="12.75" customHeight="1">
      <c r="A122" s="1074">
        <v>2000.05</v>
      </c>
      <c r="B122" s="3052">
        <v>123.02404928405799</v>
      </c>
      <c r="C122" s="3053">
        <v>110.861932059586</v>
      </c>
    </row>
    <row r="123" spans="1:3" s="1080" customFormat="1" ht="12.75" customHeight="1">
      <c r="A123" s="1074">
        <v>2000.06</v>
      </c>
      <c r="B123" s="3052">
        <v>115.535413937608</v>
      </c>
      <c r="C123" s="3053">
        <v>104.795510760761</v>
      </c>
    </row>
    <row r="124" spans="1:3" s="1080" customFormat="1" ht="12.75" customHeight="1">
      <c r="A124" s="1074">
        <v>2000.07</v>
      </c>
      <c r="B124" s="3052">
        <v>113.52016503476101</v>
      </c>
      <c r="C124" s="3053">
        <v>100.100599825603</v>
      </c>
    </row>
    <row r="125" spans="1:3" s="1080" customFormat="1" ht="12.75" customHeight="1">
      <c r="A125" s="1074">
        <v>2000.08</v>
      </c>
      <c r="B125" s="3052">
        <v>114.837026703402</v>
      </c>
      <c r="C125" s="3053">
        <v>102.899829360045</v>
      </c>
    </row>
    <row r="126" spans="1:3" s="1080" customFormat="1" ht="12.75" customHeight="1">
      <c r="A126" s="1074">
        <v>2000.09</v>
      </c>
      <c r="B126" s="3052">
        <v>109.56196443912</v>
      </c>
      <c r="C126" s="3053">
        <v>100.643747692901</v>
      </c>
    </row>
    <row r="127" spans="1:3" s="1080" customFormat="1" ht="12.75" customHeight="1">
      <c r="A127" s="1074">
        <v>2000.1</v>
      </c>
      <c r="B127" s="3052">
        <v>107.132323294183</v>
      </c>
      <c r="C127" s="3053">
        <v>99.086472711871707</v>
      </c>
    </row>
    <row r="128" spans="1:3" s="1080" customFormat="1" ht="12.75" customHeight="1">
      <c r="A128" s="1074">
        <v>2000.11</v>
      </c>
      <c r="B128" s="3052">
        <v>106.56800177578199</v>
      </c>
      <c r="C128" s="3053">
        <v>98.304637794006993</v>
      </c>
    </row>
    <row r="129" spans="1:3" s="1080" customFormat="1" ht="12.75" customHeight="1">
      <c r="A129" s="1074">
        <v>2000.12</v>
      </c>
      <c r="B129" s="3052">
        <v>101.699504655214</v>
      </c>
      <c r="C129" s="3053">
        <v>98.187179716540697</v>
      </c>
    </row>
    <row r="130" spans="1:3" s="1080" customFormat="1" ht="12.75" customHeight="1">
      <c r="A130" s="1074">
        <v>2001.01</v>
      </c>
      <c r="B130" s="3052">
        <v>97.192760144523106</v>
      </c>
      <c r="C130" s="3053">
        <v>96.627569186590605</v>
      </c>
    </row>
    <row r="131" spans="1:3" s="1080" customFormat="1" ht="12.75" customHeight="1">
      <c r="A131" s="1074">
        <v>2001.02</v>
      </c>
      <c r="B131" s="3052">
        <v>91.252229366786594</v>
      </c>
      <c r="C131" s="3053">
        <v>91.804965819769905</v>
      </c>
    </row>
    <row r="132" spans="1:3" s="1080" customFormat="1" ht="12.75" customHeight="1">
      <c r="A132" s="1074">
        <v>2001.03</v>
      </c>
      <c r="B132" s="3052">
        <v>88.923653127130805</v>
      </c>
      <c r="C132" s="3053">
        <v>91.597628161487407</v>
      </c>
    </row>
    <row r="133" spans="1:3" s="1080" customFormat="1" ht="12.75" customHeight="1">
      <c r="A133" s="1074">
        <v>2001.04</v>
      </c>
      <c r="B133" s="3052">
        <v>85.780767039992796</v>
      </c>
      <c r="C133" s="3053">
        <v>85.5322276136082</v>
      </c>
    </row>
    <row r="134" spans="1:3" s="1080" customFormat="1" ht="12.75" customHeight="1">
      <c r="A134" s="1074">
        <v>2001.05</v>
      </c>
      <c r="B134" s="3052">
        <v>83.897689341977696</v>
      </c>
      <c r="C134" s="3053">
        <v>84.784170196324396</v>
      </c>
    </row>
    <row r="135" spans="1:3" s="1080" customFormat="1" ht="12.75" customHeight="1">
      <c r="A135" s="1074">
        <v>2001.06</v>
      </c>
      <c r="B135" s="3052">
        <v>83.770879703063798</v>
      </c>
      <c r="C135" s="3053">
        <v>87.2893740633356</v>
      </c>
    </row>
    <row r="136" spans="1:3" s="1080" customFormat="1" ht="12.75" customHeight="1">
      <c r="A136" s="1074">
        <v>2001.07</v>
      </c>
      <c r="B136" s="3052">
        <v>85.374611491082206</v>
      </c>
      <c r="C136" s="3053">
        <v>89.795625634933401</v>
      </c>
    </row>
    <row r="137" spans="1:3" s="1080" customFormat="1" ht="12.75" customHeight="1">
      <c r="A137" s="1074">
        <v>2001.08</v>
      </c>
      <c r="B137" s="3052">
        <v>82.660604872294897</v>
      </c>
      <c r="C137" s="3053">
        <v>88.354034704634202</v>
      </c>
    </row>
    <row r="138" spans="1:3" s="1080" customFormat="1" ht="12.75" customHeight="1">
      <c r="A138" s="1074">
        <v>2001.09</v>
      </c>
      <c r="B138" s="3052">
        <v>87.084685417139696</v>
      </c>
      <c r="C138" s="3053">
        <v>89.876048734379296</v>
      </c>
    </row>
    <row r="139" spans="1:3" s="1080" customFormat="1" ht="12.75" customHeight="1">
      <c r="A139" s="1074">
        <v>2001.1</v>
      </c>
      <c r="B139" s="3052">
        <v>80.020173280231703</v>
      </c>
      <c r="C139" s="3053">
        <v>85.216358174973607</v>
      </c>
    </row>
    <row r="140" spans="1:3" s="1080" customFormat="1" ht="12.75" customHeight="1">
      <c r="A140" s="1074">
        <v>2001.11</v>
      </c>
      <c r="B140" s="3052">
        <v>82.117756217452197</v>
      </c>
      <c r="C140" s="3053">
        <v>80.271127985698598</v>
      </c>
    </row>
    <row r="141" spans="1:3" s="1080" customFormat="1" ht="12.75" customHeight="1">
      <c r="A141" s="1074">
        <v>2001.12</v>
      </c>
      <c r="B141" s="3052">
        <v>84.730920428646499</v>
      </c>
      <c r="C141" s="3053">
        <v>81.795985080672594</v>
      </c>
    </row>
    <row r="142" spans="1:3" s="1080" customFormat="1" ht="12.75" customHeight="1">
      <c r="A142" s="1074">
        <v>2002.01</v>
      </c>
      <c r="B142" s="3052">
        <v>89.479140759901895</v>
      </c>
      <c r="C142" s="3053">
        <v>90.1833716707268</v>
      </c>
    </row>
    <row r="143" spans="1:3" s="1080" customFormat="1" ht="12.75" customHeight="1">
      <c r="A143" s="1074">
        <v>2002.02</v>
      </c>
      <c r="B143" s="3052">
        <v>91.189675235841605</v>
      </c>
      <c r="C143" s="3053">
        <v>94.270070971967996</v>
      </c>
    </row>
    <row r="144" spans="1:3" s="1080" customFormat="1" ht="12.75" customHeight="1">
      <c r="A144" s="1074">
        <v>2002.03</v>
      </c>
      <c r="B144" s="3052">
        <v>96.717074145033294</v>
      </c>
      <c r="C144" s="3053">
        <v>100.184939433083</v>
      </c>
    </row>
    <row r="145" spans="1:3" s="1080" customFormat="1" ht="12.75" customHeight="1">
      <c r="A145" s="1074">
        <v>2002.04</v>
      </c>
      <c r="B145" s="3052">
        <v>103.776136120712</v>
      </c>
      <c r="C145" s="3053">
        <v>105.019697045679</v>
      </c>
    </row>
    <row r="146" spans="1:3" s="1080" customFormat="1" ht="12.75" customHeight="1">
      <c r="A146" s="1074">
        <v>2002.05</v>
      </c>
      <c r="B146" s="3052">
        <v>105.882252160332</v>
      </c>
      <c r="C146" s="3053">
        <v>110.471611903507</v>
      </c>
    </row>
    <row r="147" spans="1:3" s="1080" customFormat="1" ht="12.75" customHeight="1">
      <c r="A147" s="1074">
        <v>2002.06</v>
      </c>
      <c r="B147" s="3052">
        <v>105.651511337549</v>
      </c>
      <c r="C147" s="3053">
        <v>110.583386481874</v>
      </c>
    </row>
    <row r="148" spans="1:3" s="1080" customFormat="1" ht="12.75" customHeight="1">
      <c r="A148" s="1074">
        <v>2002.07</v>
      </c>
      <c r="B148" s="3052">
        <v>104.342681511827</v>
      </c>
      <c r="C148" s="3053">
        <v>109.069376734616</v>
      </c>
    </row>
    <row r="149" spans="1:3" s="1080" customFormat="1" ht="12.75" customHeight="1">
      <c r="A149" s="1074">
        <v>2002.08</v>
      </c>
      <c r="B149" s="3052">
        <v>102.67901949474999</v>
      </c>
      <c r="C149" s="3053">
        <v>106.86791000136201</v>
      </c>
    </row>
    <row r="150" spans="1:3" s="1080" customFormat="1" ht="12.75" customHeight="1">
      <c r="A150" s="1074">
        <v>2002.09</v>
      </c>
      <c r="B150" s="3052">
        <v>100.53858519137199</v>
      </c>
      <c r="C150" s="3053">
        <v>104.289972290199</v>
      </c>
    </row>
    <row r="151" spans="1:3" s="1080" customFormat="1" ht="12.75" customHeight="1">
      <c r="A151" s="1074">
        <v>2002.1</v>
      </c>
      <c r="B151" s="3052">
        <v>102.90217102674799</v>
      </c>
      <c r="C151" s="3053">
        <v>105.425714538641</v>
      </c>
    </row>
    <row r="152" spans="1:3" s="1080" customFormat="1" ht="12.75" customHeight="1">
      <c r="A152" s="1074">
        <v>2002.11</v>
      </c>
      <c r="B152" s="3052">
        <v>99.779955581720301</v>
      </c>
      <c r="C152" s="3053">
        <v>109.659907470318</v>
      </c>
    </row>
    <row r="153" spans="1:3" s="1080" customFormat="1" ht="12.75" customHeight="1">
      <c r="A153" s="1074">
        <v>2002.12</v>
      </c>
      <c r="B153" s="3052">
        <v>100.01605561596</v>
      </c>
      <c r="C153" s="3053">
        <v>109.84192913942</v>
      </c>
    </row>
    <row r="154" spans="1:3" s="1080" customFormat="1" ht="12.75" customHeight="1">
      <c r="A154" s="1074">
        <v>2003.01</v>
      </c>
      <c r="B154" s="3052">
        <v>97.471072464260203</v>
      </c>
      <c r="C154" s="3053">
        <v>104.296547188066</v>
      </c>
    </row>
    <row r="155" spans="1:3" s="1080" customFormat="1" ht="12.75" customHeight="1">
      <c r="A155" s="1074">
        <v>2003.02</v>
      </c>
      <c r="B155" s="3052">
        <v>96.258935374491003</v>
      </c>
      <c r="C155" s="3053">
        <v>104.96008554501201</v>
      </c>
    </row>
    <row r="156" spans="1:3" s="1080" customFormat="1" ht="12.75" customHeight="1">
      <c r="A156" s="1074">
        <v>2003.03</v>
      </c>
      <c r="B156" s="3052">
        <v>94.414628283951501</v>
      </c>
      <c r="C156" s="3053">
        <v>102.09973193714301</v>
      </c>
    </row>
    <row r="157" spans="1:3" s="1080" customFormat="1" ht="12.75" customHeight="1">
      <c r="A157" s="1074">
        <v>2003.04</v>
      </c>
      <c r="B157" s="3052">
        <v>91.209670510011406</v>
      </c>
      <c r="C157" s="3053">
        <v>97.450197170411897</v>
      </c>
    </row>
    <row r="158" spans="1:3" s="1080" customFormat="1" ht="12.75" customHeight="1">
      <c r="A158" s="1074">
        <v>2003.05</v>
      </c>
      <c r="B158" s="3052">
        <v>89.710594908059605</v>
      </c>
      <c r="C158" s="3053">
        <v>92.542286967001402</v>
      </c>
    </row>
    <row r="159" spans="1:3" s="1080" customFormat="1" ht="12.75" customHeight="1">
      <c r="A159" s="1074">
        <v>2003.06</v>
      </c>
      <c r="B159" s="3052">
        <v>89.404939381394499</v>
      </c>
      <c r="C159" s="3053">
        <v>93.114299031677902</v>
      </c>
    </row>
    <row r="160" spans="1:3" s="1080" customFormat="1" ht="12.75" customHeight="1">
      <c r="A160" s="1074">
        <v>2003.07</v>
      </c>
      <c r="B160" s="3052">
        <v>93.074112815070094</v>
      </c>
      <c r="C160" s="3053">
        <v>97.423875857035398</v>
      </c>
    </row>
    <row r="161" spans="1:3" s="1080" customFormat="1" ht="12.75" customHeight="1">
      <c r="A161" s="1074">
        <v>2003.08</v>
      </c>
      <c r="B161" s="3052">
        <v>95.556275605401595</v>
      </c>
      <c r="C161" s="3053">
        <v>98.213173544416406</v>
      </c>
    </row>
    <row r="162" spans="1:3" s="1080" customFormat="1" ht="12.75" customHeight="1">
      <c r="A162" s="1074">
        <v>2003.09</v>
      </c>
      <c r="B162" s="3052">
        <v>99.795086876113103</v>
      </c>
      <c r="C162" s="3053">
        <v>102.823669962472</v>
      </c>
    </row>
    <row r="163" spans="1:3" s="1080" customFormat="1" ht="12.75" customHeight="1">
      <c r="A163" s="1074">
        <v>2003.1</v>
      </c>
      <c r="B163" s="3052">
        <v>102.589865628567</v>
      </c>
      <c r="C163" s="3053">
        <v>105.001026289213</v>
      </c>
    </row>
    <row r="164" spans="1:3" s="1080" customFormat="1" ht="12.75" customHeight="1">
      <c r="A164" s="1074">
        <v>2003.11</v>
      </c>
      <c r="B164" s="3052">
        <v>108.902420531936</v>
      </c>
      <c r="C164" s="3053">
        <v>109.63891337018001</v>
      </c>
    </row>
    <row r="165" spans="1:3" s="1080" customFormat="1" ht="12.75" customHeight="1">
      <c r="A165" s="1074">
        <v>2003.12</v>
      </c>
      <c r="B165" s="3052">
        <v>108.724564799197</v>
      </c>
      <c r="C165" s="3053">
        <v>108.296033754573</v>
      </c>
    </row>
    <row r="166" spans="1:3" s="1080" customFormat="1" ht="12.75" customHeight="1">
      <c r="A166" s="1074">
        <v>2004.01</v>
      </c>
      <c r="B166" s="3052">
        <v>111.73027193703</v>
      </c>
      <c r="C166" s="3053">
        <v>110.938890925775</v>
      </c>
    </row>
    <row r="167" spans="1:3" s="1080" customFormat="1" ht="12.75" customHeight="1">
      <c r="A167" s="1074">
        <v>2004.02</v>
      </c>
      <c r="B167" s="3052">
        <v>110.69271907504</v>
      </c>
      <c r="C167" s="3053">
        <v>106.200731721754</v>
      </c>
    </row>
    <row r="168" spans="1:3" s="1080" customFormat="1" ht="12.75" customHeight="1">
      <c r="A168" s="1074">
        <v>2004.03</v>
      </c>
      <c r="B168" s="3052">
        <v>110.979055563183</v>
      </c>
      <c r="C168" s="3053">
        <v>105.47286414758101</v>
      </c>
    </row>
    <row r="169" spans="1:3" s="1080" customFormat="1" ht="12.75" customHeight="1">
      <c r="A169" s="1074">
        <v>2004.04</v>
      </c>
      <c r="B169" s="3052">
        <v>112.28999983408301</v>
      </c>
      <c r="C169" s="3053">
        <v>108.863099117891</v>
      </c>
    </row>
    <row r="170" spans="1:3" s="1080" customFormat="1" ht="12.75" customHeight="1">
      <c r="A170" s="1074">
        <v>2004.05</v>
      </c>
      <c r="B170" s="3052">
        <v>117.260806733865</v>
      </c>
      <c r="C170" s="3053">
        <v>113.55930706511199</v>
      </c>
    </row>
    <row r="171" spans="1:3" s="1080" customFormat="1" ht="12.75" customHeight="1">
      <c r="A171" s="1074">
        <v>2004.06</v>
      </c>
      <c r="B171" s="3052">
        <v>114.803319517557</v>
      </c>
      <c r="C171" s="3053">
        <v>111.764245223434</v>
      </c>
    </row>
    <row r="172" spans="1:3" s="1080" customFormat="1" ht="12.75" customHeight="1">
      <c r="A172" s="1074">
        <v>2004.07</v>
      </c>
      <c r="B172" s="3052">
        <v>115.23484384922099</v>
      </c>
      <c r="C172" s="3053">
        <v>112.21857012568201</v>
      </c>
    </row>
    <row r="173" spans="1:3" s="1080" customFormat="1" ht="12.75" customHeight="1">
      <c r="A173" s="1074">
        <v>2004.08</v>
      </c>
      <c r="B173" s="3052">
        <v>113.932909558795</v>
      </c>
      <c r="C173" s="3053">
        <v>108.49242826774901</v>
      </c>
    </row>
    <row r="174" spans="1:3" s="1080" customFormat="1" ht="12.75" customHeight="1">
      <c r="A174" s="1074">
        <v>2004.09</v>
      </c>
      <c r="B174" s="3052">
        <v>112.26306618982601</v>
      </c>
      <c r="C174" s="3053">
        <v>105.401994108905</v>
      </c>
    </row>
    <row r="175" spans="1:3" s="1080" customFormat="1" ht="12.75" customHeight="1">
      <c r="A175" s="1074">
        <v>2004.1</v>
      </c>
      <c r="B175" s="3052">
        <v>110.882600215381</v>
      </c>
      <c r="C175" s="3053">
        <v>105.030166248434</v>
      </c>
    </row>
    <row r="176" spans="1:3" s="1080" customFormat="1" ht="12.75" customHeight="1">
      <c r="A176" s="1074">
        <v>2004.11</v>
      </c>
      <c r="B176" s="3052">
        <v>107.10937395831</v>
      </c>
      <c r="C176" s="3053">
        <v>101.374867384806</v>
      </c>
    </row>
    <row r="177" spans="1:3" s="1080" customFormat="1" ht="12.75" customHeight="1">
      <c r="A177" s="1074">
        <v>2004.12</v>
      </c>
      <c r="B177" s="3052">
        <v>104.233417744644</v>
      </c>
      <c r="C177" s="3053">
        <v>99.929903596922202</v>
      </c>
    </row>
    <row r="178" spans="1:3" s="1080" customFormat="1" ht="12.75" customHeight="1">
      <c r="A178" s="1074">
        <v>2005.01</v>
      </c>
      <c r="B178" s="3052">
        <v>104.62476164741901</v>
      </c>
      <c r="C178" s="3053">
        <v>100.76261452105901</v>
      </c>
    </row>
    <row r="179" spans="1:3" s="1080" customFormat="1" ht="12.75" customHeight="1">
      <c r="A179" s="1074">
        <v>2005.02</v>
      </c>
      <c r="B179" s="3052">
        <v>107.796927676059</v>
      </c>
      <c r="C179" s="3053">
        <v>105.081475425741</v>
      </c>
    </row>
    <row r="180" spans="1:3" s="1080" customFormat="1" ht="12.75" customHeight="1">
      <c r="A180" s="1074">
        <v>2005.03</v>
      </c>
      <c r="B180" s="3052">
        <v>107.750078575327</v>
      </c>
      <c r="C180" s="3053">
        <v>105.873208147201</v>
      </c>
    </row>
    <row r="181" spans="1:3" s="1080" customFormat="1" ht="12.75" customHeight="1">
      <c r="A181" s="1074">
        <v>2005.04</v>
      </c>
      <c r="B181" s="3052">
        <v>107.064968227405</v>
      </c>
      <c r="C181" s="3053">
        <v>105.532294030144</v>
      </c>
    </row>
    <row r="182" spans="1:3" s="1080" customFormat="1" ht="12.75" customHeight="1">
      <c r="A182" s="1074">
        <v>2005.05</v>
      </c>
      <c r="B182" s="3052">
        <v>101.69498190184601</v>
      </c>
      <c r="C182" s="3053">
        <v>98.755882083489595</v>
      </c>
    </row>
    <row r="183" spans="1:3" s="1080" customFormat="1" ht="12.75" customHeight="1">
      <c r="A183" s="1074">
        <v>2005.06</v>
      </c>
      <c r="B183" s="3052">
        <v>102.026720477293</v>
      </c>
      <c r="C183" s="3053">
        <v>98.550294151678102</v>
      </c>
    </row>
    <row r="184" spans="1:3" s="1080" customFormat="1" ht="12.75" customHeight="1">
      <c r="A184" s="1074">
        <v>2005.07</v>
      </c>
      <c r="B184" s="3052">
        <v>102.37332810896601</v>
      </c>
      <c r="C184" s="3053">
        <v>97.284621423321099</v>
      </c>
    </row>
    <row r="185" spans="1:3" s="1080" customFormat="1" ht="12.75" customHeight="1">
      <c r="A185" s="1074">
        <v>2005.08</v>
      </c>
      <c r="B185" s="3052">
        <v>104.01073655816199</v>
      </c>
      <c r="C185" s="3053">
        <v>100.20942550514999</v>
      </c>
    </row>
    <row r="186" spans="1:3" s="1080" customFormat="1" ht="12.75" customHeight="1">
      <c r="A186" s="1074">
        <v>2005.09</v>
      </c>
      <c r="B186" s="3052">
        <v>105.94887264976001</v>
      </c>
      <c r="C186" s="3053">
        <v>100.67746134704301</v>
      </c>
    </row>
    <row r="187" spans="1:3" s="1080" customFormat="1" ht="12.75" customHeight="1">
      <c r="A187" s="1074">
        <v>2005.1</v>
      </c>
      <c r="B187" s="3052">
        <v>106.80499418769899</v>
      </c>
      <c r="C187" s="3053">
        <v>101.90579444097</v>
      </c>
    </row>
    <row r="188" spans="1:3" s="1080" customFormat="1" ht="12.75" customHeight="1">
      <c r="A188" s="1074">
        <v>2005.11</v>
      </c>
      <c r="B188" s="3052">
        <v>106.835744261588</v>
      </c>
      <c r="C188" s="3053">
        <v>101.623937269739</v>
      </c>
    </row>
    <row r="189" spans="1:3" s="1080" customFormat="1" ht="12.75" customHeight="1">
      <c r="A189" s="1074">
        <v>2005.12</v>
      </c>
      <c r="B189" s="3052">
        <v>109.526630182663</v>
      </c>
      <c r="C189" s="3053">
        <v>102.94481521855801</v>
      </c>
    </row>
    <row r="190" spans="1:3" s="1080" customFormat="1" ht="12.75" customHeight="1">
      <c r="A190" s="1074">
        <v>2006.01</v>
      </c>
      <c r="B190" s="3052">
        <v>110.310372050137</v>
      </c>
      <c r="C190" s="3053">
        <v>103.40637139998699</v>
      </c>
    </row>
    <row r="191" spans="1:3" s="1080" customFormat="1" ht="12.75" customHeight="1">
      <c r="A191" s="1074">
        <v>2006.02</v>
      </c>
      <c r="B191" s="3052">
        <v>111.352327080207</v>
      </c>
      <c r="C191" s="3053">
        <v>104.94475852034699</v>
      </c>
    </row>
    <row r="192" spans="1:3" s="1080" customFormat="1" ht="12.75" customHeight="1">
      <c r="A192" s="1074">
        <v>2006.03</v>
      </c>
      <c r="B192" s="3052">
        <v>110.913511535491</v>
      </c>
      <c r="C192" s="3053">
        <v>105.17975681988401</v>
      </c>
    </row>
    <row r="193" spans="1:3" s="1080" customFormat="1" ht="12.75" customHeight="1">
      <c r="A193" s="1074">
        <v>2006.04</v>
      </c>
      <c r="B193" s="3052">
        <v>109.649885957927</v>
      </c>
      <c r="C193" s="3053">
        <v>105.571265371851</v>
      </c>
    </row>
    <row r="194" spans="1:3" s="1080" customFormat="1" ht="12.75" customHeight="1">
      <c r="A194" s="1074">
        <v>2006.05</v>
      </c>
      <c r="B194" s="3052">
        <v>111.98413401802701</v>
      </c>
      <c r="C194" s="3053">
        <v>106.556049130375</v>
      </c>
    </row>
    <row r="195" spans="1:3" s="1080" customFormat="1" ht="12.75" customHeight="1">
      <c r="A195" s="1074">
        <v>2006.06</v>
      </c>
      <c r="B195" s="3052">
        <v>111.25345123449701</v>
      </c>
      <c r="C195" s="3053">
        <v>106.68157246507801</v>
      </c>
    </row>
    <row r="196" spans="1:3" s="1080" customFormat="1" ht="12.75" customHeight="1">
      <c r="A196" s="1074">
        <v>2006.07</v>
      </c>
      <c r="B196" s="3052">
        <v>109.502534327224</v>
      </c>
      <c r="C196" s="3053">
        <v>107.551106619351</v>
      </c>
    </row>
    <row r="197" spans="1:3" s="1080" customFormat="1" ht="12.75" customHeight="1">
      <c r="A197" s="1074">
        <v>2006.08</v>
      </c>
      <c r="B197" s="3052">
        <v>107.349114910073</v>
      </c>
      <c r="C197" s="3053">
        <v>104.7871653662</v>
      </c>
    </row>
    <row r="198" spans="1:3" s="1080" customFormat="1" ht="12.75" customHeight="1">
      <c r="A198" s="1074">
        <v>2006.09</v>
      </c>
      <c r="B198" s="3052">
        <v>107.71598629333199</v>
      </c>
      <c r="C198" s="3053">
        <v>103.60580472287801</v>
      </c>
    </row>
    <row r="199" spans="1:3" s="1080" customFormat="1" ht="12.75" customHeight="1">
      <c r="A199" s="1074">
        <v>2006.1</v>
      </c>
      <c r="B199" s="3052">
        <v>107.574551743152</v>
      </c>
      <c r="C199" s="3053">
        <v>104.640727635655</v>
      </c>
    </row>
    <row r="200" spans="1:3" s="1080" customFormat="1" ht="12.75" customHeight="1">
      <c r="A200" s="1074">
        <v>2006.11</v>
      </c>
      <c r="B200" s="3052">
        <v>111.491407434317</v>
      </c>
      <c r="C200" s="3053">
        <v>108.859874622503</v>
      </c>
    </row>
    <row r="201" spans="1:3" s="1080" customFormat="1" ht="12.75" customHeight="1">
      <c r="A201" s="1074">
        <v>2006.12</v>
      </c>
      <c r="B201" s="3052">
        <v>112.47609372865401</v>
      </c>
      <c r="C201" s="3053">
        <v>109.341764643106</v>
      </c>
    </row>
    <row r="202" spans="1:3" s="1080" customFormat="1" ht="12.75" customHeight="1">
      <c r="A202" s="1074">
        <v>2007.01</v>
      </c>
      <c r="B202" s="3052">
        <v>111.809652437178</v>
      </c>
      <c r="C202" s="3053">
        <v>108.221360947105</v>
      </c>
    </row>
    <row r="203" spans="1:3" s="1080" customFormat="1" ht="12.75" customHeight="1">
      <c r="A203" s="1074">
        <v>2007.02</v>
      </c>
      <c r="B203" s="3052">
        <v>111.235379209713</v>
      </c>
      <c r="C203" s="3053">
        <v>107.20961524978399</v>
      </c>
    </row>
    <row r="204" spans="1:3" s="1080" customFormat="1" ht="12.75" customHeight="1">
      <c r="A204" s="1074">
        <v>2007.03</v>
      </c>
      <c r="B204" s="3052">
        <v>112.199392504732</v>
      </c>
      <c r="C204" s="3053">
        <v>107.191706385628</v>
      </c>
    </row>
    <row r="205" spans="1:3" s="1080" customFormat="1" ht="12.75" customHeight="1">
      <c r="A205" s="1074">
        <v>2007.04</v>
      </c>
      <c r="B205" s="3052">
        <v>110.865464278053</v>
      </c>
      <c r="C205" s="3053">
        <v>107.340635632157</v>
      </c>
    </row>
    <row r="206" spans="1:3" s="1080" customFormat="1" ht="12.75" customHeight="1">
      <c r="A206" s="1074">
        <v>2007.05</v>
      </c>
      <c r="B206" s="3052">
        <v>108.92022342697</v>
      </c>
      <c r="C206" s="3053">
        <v>105.382233075153</v>
      </c>
    </row>
    <row r="207" spans="1:3" s="1080" customFormat="1" ht="12.75" customHeight="1">
      <c r="A207" s="1074">
        <v>2007.06</v>
      </c>
      <c r="B207" s="3052">
        <v>108.556005338163</v>
      </c>
      <c r="C207" s="3053">
        <v>104.459218367307</v>
      </c>
    </row>
    <row r="208" spans="1:3" s="1080" customFormat="1" ht="12.75" customHeight="1">
      <c r="A208" s="1074">
        <v>2007.07</v>
      </c>
      <c r="B208" s="3052">
        <v>109.738196405618</v>
      </c>
      <c r="C208" s="3053">
        <v>104.318042273594</v>
      </c>
    </row>
    <row r="209" spans="1:3" s="1080" customFormat="1" ht="12.75" customHeight="1">
      <c r="A209" s="1074">
        <v>2007.08</v>
      </c>
      <c r="B209" s="3052">
        <v>109.60546016658699</v>
      </c>
      <c r="C209" s="3053">
        <v>106.264807596675</v>
      </c>
    </row>
    <row r="210" spans="1:3" s="1080" customFormat="1" ht="12.75" customHeight="1">
      <c r="A210" s="1074">
        <v>2007.09</v>
      </c>
      <c r="B210" s="3052">
        <v>108.322463880892</v>
      </c>
      <c r="C210" s="3053">
        <v>105.498303731788</v>
      </c>
    </row>
    <row r="211" spans="1:3" s="1080" customFormat="1" ht="12.75" customHeight="1">
      <c r="A211" s="1074">
        <v>2007.1</v>
      </c>
      <c r="B211" s="3052">
        <v>109.75784318909</v>
      </c>
      <c r="C211" s="3053">
        <v>105.56322583788</v>
      </c>
    </row>
    <row r="212" spans="1:3" s="1080" customFormat="1" ht="12.75" customHeight="1">
      <c r="A212" s="1074">
        <v>2007.11</v>
      </c>
      <c r="B212" s="3052">
        <v>107.71809474817699</v>
      </c>
      <c r="C212" s="3053">
        <v>102.761231075449</v>
      </c>
    </row>
    <row r="213" spans="1:3" s="1080" customFormat="1" ht="12.75" customHeight="1">
      <c r="A213" s="1074">
        <v>2007.12</v>
      </c>
      <c r="B213" s="3052">
        <v>106.78871812496099</v>
      </c>
      <c r="C213" s="3053">
        <v>102.548869501372</v>
      </c>
    </row>
    <row r="214" spans="1:3" s="1080" customFormat="1" ht="12.75" customHeight="1">
      <c r="A214" s="1074">
        <v>2008.01</v>
      </c>
      <c r="B214" s="3052">
        <v>105.55534996393899</v>
      </c>
      <c r="C214" s="3053">
        <v>101.735541097913</v>
      </c>
    </row>
    <row r="215" spans="1:3" s="1080" customFormat="1" ht="12.75" customHeight="1">
      <c r="A215" s="1074">
        <v>2008.02</v>
      </c>
      <c r="B215" s="3052">
        <v>102.71633005103899</v>
      </c>
      <c r="C215" s="3053">
        <v>97.264073607103697</v>
      </c>
    </row>
    <row r="216" spans="1:3" s="1080" customFormat="1" ht="12.75" customHeight="1">
      <c r="A216" s="1074">
        <v>2008.03</v>
      </c>
      <c r="B216" s="3052">
        <v>99.262358488204399</v>
      </c>
      <c r="C216" s="3053">
        <v>94.6087456889625</v>
      </c>
    </row>
    <row r="217" spans="1:3" s="1080" customFormat="1" ht="12.75" customHeight="1">
      <c r="A217" s="1074">
        <v>2008.04</v>
      </c>
      <c r="B217" s="3052">
        <v>99.892761170472994</v>
      </c>
      <c r="C217" s="3053">
        <v>96.420186757561893</v>
      </c>
    </row>
    <row r="218" spans="1:3" s="1080" customFormat="1" ht="12.75" customHeight="1">
      <c r="A218" s="1074">
        <v>2008.05</v>
      </c>
      <c r="B218" s="3052">
        <v>96.529365368716199</v>
      </c>
      <c r="C218" s="3053">
        <v>92.274906756989097</v>
      </c>
    </row>
    <row r="219" spans="1:3" s="1080" customFormat="1" ht="12.75" customHeight="1">
      <c r="A219" s="1074">
        <v>2008.06</v>
      </c>
      <c r="B219" s="3052">
        <v>91.433194285952595</v>
      </c>
      <c r="C219" s="3053">
        <v>90.0101932741902</v>
      </c>
    </row>
    <row r="220" spans="1:3" s="1080" customFormat="1" ht="12.75" customHeight="1">
      <c r="A220" s="1074">
        <v>2008.07</v>
      </c>
      <c r="B220" s="3052">
        <v>91.236545285680293</v>
      </c>
      <c r="C220" s="3053">
        <v>89.056185539502707</v>
      </c>
    </row>
    <row r="221" spans="1:3" s="1080" customFormat="1" ht="12.75" customHeight="1">
      <c r="A221" s="1074">
        <v>2008.08</v>
      </c>
      <c r="B221" s="3052">
        <v>86.863908701406203</v>
      </c>
      <c r="C221" s="3053">
        <v>85.883340616442297</v>
      </c>
    </row>
    <row r="222" spans="1:3" s="1080" customFormat="1" ht="12.75" customHeight="1">
      <c r="A222" s="1074">
        <v>2008.09</v>
      </c>
      <c r="B222" s="3052">
        <v>84.6350973260313</v>
      </c>
      <c r="C222" s="3053">
        <v>85.947592305789797</v>
      </c>
    </row>
    <row r="223" spans="1:3" s="1080" customFormat="1" ht="12.75" customHeight="1">
      <c r="A223" s="1074">
        <v>2008.1</v>
      </c>
      <c r="B223" s="3052">
        <v>82.741264917168294</v>
      </c>
      <c r="C223" s="3053">
        <v>83.266114943891296</v>
      </c>
    </row>
    <row r="224" spans="1:3" s="1080" customFormat="1" ht="12.75" customHeight="1">
      <c r="A224" s="1074">
        <v>2008.11</v>
      </c>
      <c r="B224" s="3052">
        <v>67.295414461475602</v>
      </c>
      <c r="C224" s="3053">
        <v>69.775437556978105</v>
      </c>
    </row>
    <row r="225" spans="1:3" s="1080" customFormat="1" ht="12.75" customHeight="1">
      <c r="A225" s="1074">
        <v>2008.12</v>
      </c>
      <c r="B225" s="3052">
        <v>53.547512514124001</v>
      </c>
      <c r="C225" s="3053">
        <v>55.8816901811864</v>
      </c>
    </row>
    <row r="226" spans="1:3" s="1080" customFormat="1" ht="12.75" customHeight="1">
      <c r="A226" s="1074">
        <v>2009.01</v>
      </c>
      <c r="B226" s="3052">
        <v>53.033828156633497</v>
      </c>
      <c r="C226" s="3053">
        <v>53.6460414004518</v>
      </c>
    </row>
    <row r="227" spans="1:3" s="1080" customFormat="1" ht="12.75" customHeight="1">
      <c r="A227" s="1074">
        <v>2009.02</v>
      </c>
      <c r="B227" s="3052">
        <v>53.183498634484202</v>
      </c>
      <c r="C227" s="3053">
        <v>57.381154464165398</v>
      </c>
    </row>
    <row r="228" spans="1:3" s="1080" customFormat="1" ht="12.75" customHeight="1">
      <c r="A228" s="1074">
        <v>2009.03</v>
      </c>
      <c r="B228" s="3052">
        <v>53.3079100083798</v>
      </c>
      <c r="C228" s="3053">
        <v>61.767247032834803</v>
      </c>
    </row>
    <row r="229" spans="1:3" s="1080" customFormat="1" ht="12.75" customHeight="1">
      <c r="A229" s="1074">
        <v>2009.04</v>
      </c>
      <c r="B229" s="3052">
        <v>59.525097417616301</v>
      </c>
      <c r="C229" s="3053">
        <v>64.907623309041696</v>
      </c>
    </row>
    <row r="230" spans="1:3" s="1080" customFormat="1" ht="12.75" customHeight="1">
      <c r="A230" s="1074">
        <v>2009.05</v>
      </c>
      <c r="B230" s="3052">
        <v>66.9760629953159</v>
      </c>
      <c r="C230" s="3053">
        <v>75.840029305178803</v>
      </c>
    </row>
    <row r="231" spans="1:3" s="1080" customFormat="1" ht="12.75" customHeight="1">
      <c r="A231" s="1074">
        <v>2009.06</v>
      </c>
      <c r="B231" s="3052">
        <v>74.776713135532901</v>
      </c>
      <c r="C231" s="3053">
        <v>84.3081460436849</v>
      </c>
    </row>
    <row r="232" spans="1:3" s="1080" customFormat="1" ht="12.75" customHeight="1">
      <c r="A232" s="1074">
        <v>2009.07</v>
      </c>
      <c r="B232" s="3052">
        <v>79.490497534431995</v>
      </c>
      <c r="C232" s="3053">
        <v>89.269206339066798</v>
      </c>
    </row>
    <row r="233" spans="1:3" s="1080" customFormat="1" ht="12.75" customHeight="1">
      <c r="A233" s="1074">
        <v>2009.08</v>
      </c>
      <c r="B233" s="3052">
        <v>87.080583340324395</v>
      </c>
      <c r="C233" s="3053">
        <v>95.274726606728805</v>
      </c>
    </row>
    <row r="234" spans="1:3" s="1080" customFormat="1" ht="12.75" customHeight="1">
      <c r="A234" s="1074">
        <v>2009.09</v>
      </c>
      <c r="B234" s="3052">
        <v>95.386436610361798</v>
      </c>
      <c r="C234" s="3053">
        <v>101.74350841482899</v>
      </c>
    </row>
    <row r="235" spans="1:3" s="1080" customFormat="1" ht="12.75" customHeight="1">
      <c r="A235" s="1074">
        <v>2009.1</v>
      </c>
      <c r="B235" s="3052">
        <v>95.241835148055998</v>
      </c>
      <c r="C235" s="3053">
        <v>101.79623028412</v>
      </c>
    </row>
    <row r="236" spans="1:3" s="1080" customFormat="1" ht="12.75" customHeight="1">
      <c r="A236" s="1074">
        <v>2009.11</v>
      </c>
      <c r="B236" s="3052">
        <v>103.210888887544</v>
      </c>
      <c r="C236" s="3053">
        <v>113.685400324748</v>
      </c>
    </row>
    <row r="237" spans="1:3" s="1080" customFormat="1" ht="12.75" customHeight="1">
      <c r="A237" s="1074">
        <v>2009.12</v>
      </c>
      <c r="B237" s="3052">
        <v>109.84599407938001</v>
      </c>
      <c r="C237" s="3053">
        <v>118.466812572603</v>
      </c>
    </row>
    <row r="238" spans="1:3" s="1080" customFormat="1" ht="12.75" customHeight="1">
      <c r="A238" s="1074">
        <v>2010.01</v>
      </c>
      <c r="B238" s="3052">
        <v>110.615361006406</v>
      </c>
      <c r="C238" s="3053">
        <v>121.83910293159499</v>
      </c>
    </row>
    <row r="239" spans="1:3" s="1080" customFormat="1" ht="12.75" customHeight="1">
      <c r="A239" s="1074">
        <v>2010.02</v>
      </c>
      <c r="B239" s="3052">
        <v>112.853407301846</v>
      </c>
      <c r="C239" s="3053">
        <v>124.915581526236</v>
      </c>
    </row>
    <row r="240" spans="1:3" s="1080" customFormat="1" ht="12.75" customHeight="1">
      <c r="A240" s="1074">
        <v>2010.03</v>
      </c>
      <c r="B240" s="3052">
        <v>113.866475099187</v>
      </c>
      <c r="C240" s="3053">
        <v>123.909008807221</v>
      </c>
    </row>
    <row r="241" spans="1:3" s="1080" customFormat="1" ht="12.75" customHeight="1">
      <c r="A241" s="1074">
        <v>2010.04</v>
      </c>
      <c r="B241" s="3052">
        <v>113.338845991919</v>
      </c>
      <c r="C241" s="3053">
        <v>123.263494822254</v>
      </c>
    </row>
    <row r="242" spans="1:3" s="1080" customFormat="1" ht="12.75" customHeight="1">
      <c r="A242" s="1074">
        <v>2010.05</v>
      </c>
      <c r="B242" s="3052">
        <v>114.965407651813</v>
      </c>
      <c r="C242" s="3053">
        <v>123.41489737728701</v>
      </c>
    </row>
    <row r="243" spans="1:3" s="1080" customFormat="1" ht="12.75" customHeight="1">
      <c r="A243" s="1074">
        <v>2010.06</v>
      </c>
      <c r="B243" s="3052">
        <v>114.681499409032</v>
      </c>
      <c r="C243" s="3053">
        <v>117.869269178208</v>
      </c>
    </row>
    <row r="244" spans="1:3" s="1080" customFormat="1" ht="12.75" customHeight="1">
      <c r="A244" s="1074">
        <v>2010.07</v>
      </c>
      <c r="B244" s="3052">
        <v>111.79873195852601</v>
      </c>
      <c r="C244" s="3053">
        <v>114.86966058306901</v>
      </c>
    </row>
    <row r="245" spans="1:3" s="1080" customFormat="1" ht="12.75" customHeight="1">
      <c r="A245" s="1074">
        <v>2010.08</v>
      </c>
      <c r="B245" s="3052">
        <v>108.84282259331501</v>
      </c>
      <c r="C245" s="3053">
        <v>110.021419207725</v>
      </c>
    </row>
    <row r="246" spans="1:3" s="1080" customFormat="1" ht="12.75" customHeight="1">
      <c r="A246" s="1074">
        <v>2010.09</v>
      </c>
      <c r="B246" s="3052">
        <v>105.756915687104</v>
      </c>
      <c r="C246" s="3053">
        <v>105.848682961977</v>
      </c>
    </row>
    <row r="247" spans="1:3" s="1080" customFormat="1" ht="12.75" customHeight="1">
      <c r="A247" s="1074">
        <v>2010.1</v>
      </c>
      <c r="B247" s="3052">
        <v>107.213451957983</v>
      </c>
      <c r="C247" s="3053">
        <v>108.10571331034301</v>
      </c>
    </row>
    <row r="248" spans="1:3" s="1080" customFormat="1" ht="12.75" customHeight="1">
      <c r="A248" s="1074">
        <v>2010.11</v>
      </c>
      <c r="B248" s="3052">
        <v>107.612811652746</v>
      </c>
      <c r="C248" s="3053">
        <v>107.134208319533</v>
      </c>
    </row>
    <row r="249" spans="1:3" s="1080" customFormat="1" ht="12.75" customHeight="1">
      <c r="A249" s="1074">
        <v>2010.12</v>
      </c>
      <c r="B249" s="3052">
        <v>109.726898002529</v>
      </c>
      <c r="C249" s="3053">
        <v>108.032660768418</v>
      </c>
    </row>
    <row r="250" spans="1:3" s="1080" customFormat="1" ht="12.75" customHeight="1">
      <c r="A250" s="1074">
        <v>2011.01</v>
      </c>
      <c r="B250" s="3052">
        <v>110.709204370653</v>
      </c>
      <c r="C250" s="3053">
        <v>109.120068809372</v>
      </c>
    </row>
    <row r="251" spans="1:3" s="1080" customFormat="1" ht="12.75" customHeight="1">
      <c r="A251" s="1074">
        <v>2011.02</v>
      </c>
      <c r="B251" s="3052">
        <v>108.495538053595</v>
      </c>
      <c r="C251" s="3053">
        <v>105.909772617455</v>
      </c>
    </row>
    <row r="252" spans="1:3" s="1080" customFormat="1" ht="12.75" customHeight="1">
      <c r="A252" s="1074">
        <v>2011.03</v>
      </c>
      <c r="B252" s="3052">
        <v>110.168538827365</v>
      </c>
      <c r="C252" s="3053">
        <v>105.561352518083</v>
      </c>
    </row>
    <row r="253" spans="1:3" s="1080" customFormat="1" ht="12.75" customHeight="1">
      <c r="A253" s="1074">
        <v>2011.04</v>
      </c>
      <c r="B253" s="3052">
        <v>106.421848068568</v>
      </c>
      <c r="C253" s="3053">
        <v>103.064729170948</v>
      </c>
    </row>
    <row r="254" spans="1:3" s="1080" customFormat="1" ht="12.75" customHeight="1">
      <c r="A254" s="1074">
        <v>2011.05</v>
      </c>
      <c r="B254" s="3052">
        <v>102.022765079232</v>
      </c>
      <c r="C254" s="3053">
        <v>97.355757444788793</v>
      </c>
    </row>
    <row r="255" spans="1:3" s="1080" customFormat="1" ht="12.75" customHeight="1">
      <c r="A255" s="1074">
        <v>2011.06</v>
      </c>
      <c r="B255" s="3052">
        <v>98.775690780001199</v>
      </c>
      <c r="C255" s="3053">
        <v>97.968679963779607</v>
      </c>
    </row>
    <row r="256" spans="1:3" s="1080" customFormat="1" ht="12.75" customHeight="1">
      <c r="A256" s="1074">
        <v>2011.07</v>
      </c>
      <c r="B256" s="3052">
        <v>98.676280667219402</v>
      </c>
      <c r="C256" s="3053">
        <v>100.05623781634699</v>
      </c>
    </row>
    <row r="257" spans="1:3" s="1080" customFormat="1" ht="12.75" customHeight="1">
      <c r="A257" s="1074">
        <v>2011.08</v>
      </c>
      <c r="B257" s="3052">
        <v>98.719332975195698</v>
      </c>
      <c r="C257" s="3053">
        <v>100.137760581447</v>
      </c>
    </row>
    <row r="258" spans="1:3" s="1080" customFormat="1" ht="12.75" customHeight="1">
      <c r="A258" s="1074">
        <v>2011.09</v>
      </c>
      <c r="B258" s="3052">
        <v>96.021150595189198</v>
      </c>
      <c r="C258" s="3053">
        <v>98.805286283138102</v>
      </c>
    </row>
    <row r="259" spans="1:3" s="1080" customFormat="1" ht="12.75" customHeight="1">
      <c r="A259" s="1074">
        <v>2011.1</v>
      </c>
      <c r="B259" s="3052">
        <v>95.110539826291699</v>
      </c>
      <c r="C259" s="3053">
        <v>98.488680297708797</v>
      </c>
    </row>
    <row r="260" spans="1:3" s="1080" customFormat="1" ht="12.75" customHeight="1">
      <c r="A260" s="1074">
        <v>2011.11</v>
      </c>
      <c r="B260" s="3052">
        <v>94.597488792126896</v>
      </c>
      <c r="C260" s="3053">
        <v>94.773650950156096</v>
      </c>
    </row>
    <row r="261" spans="1:3" s="1080" customFormat="1" ht="12.75" customHeight="1">
      <c r="A261" s="1074">
        <v>2011.12</v>
      </c>
      <c r="B261" s="3052">
        <v>93.593607153288403</v>
      </c>
      <c r="C261" s="3053">
        <v>92.234512097097195</v>
      </c>
    </row>
    <row r="262" spans="1:3" s="1080" customFormat="1" ht="12.75" customHeight="1">
      <c r="A262" s="1074">
        <v>2012.01</v>
      </c>
      <c r="B262" s="3052">
        <v>94.817487512000895</v>
      </c>
      <c r="C262" s="3053">
        <v>92.0959817094801</v>
      </c>
    </row>
    <row r="263" spans="1:3" s="1080" customFormat="1" ht="12.75" customHeight="1">
      <c r="A263" s="1074">
        <v>2012.02</v>
      </c>
      <c r="B263" s="3052">
        <v>93.854682203092494</v>
      </c>
      <c r="C263" s="3053">
        <v>90.239260063394198</v>
      </c>
    </row>
    <row r="264" spans="1:3" s="1080" customFormat="1" ht="12.75" customHeight="1">
      <c r="A264" s="1074">
        <v>2012.03</v>
      </c>
      <c r="B264" s="3052">
        <v>96.556290794726806</v>
      </c>
      <c r="C264" s="3053">
        <v>91.707429140777606</v>
      </c>
    </row>
    <row r="265" spans="1:3" s="1080" customFormat="1" ht="12.75" customHeight="1">
      <c r="A265" s="1074">
        <v>2012.04</v>
      </c>
      <c r="B265" s="3052">
        <v>97.967643194071599</v>
      </c>
      <c r="C265" s="3053">
        <v>95.046657624870804</v>
      </c>
    </row>
    <row r="266" spans="1:3" s="1080" customFormat="1" ht="12.75" customHeight="1">
      <c r="A266" s="1074">
        <v>2012.05</v>
      </c>
      <c r="B266" s="3052">
        <v>95.990872053478896</v>
      </c>
      <c r="C266" s="3053">
        <v>92.850865899794897</v>
      </c>
    </row>
    <row r="267" spans="1:3" s="1080" customFormat="1" ht="12.75" customHeight="1">
      <c r="A267" s="1074">
        <v>2012.06</v>
      </c>
      <c r="B267" s="3052">
        <v>93.4786374598891</v>
      </c>
      <c r="C267" s="3053">
        <v>91.738138729294107</v>
      </c>
    </row>
    <row r="268" spans="1:3" s="1080" customFormat="1" ht="12.75" customHeight="1">
      <c r="A268" s="1074">
        <v>2012.07</v>
      </c>
      <c r="B268" s="3052">
        <v>91.527581740982598</v>
      </c>
      <c r="C268" s="3053">
        <v>88.824955893636698</v>
      </c>
    </row>
    <row r="269" spans="1:3" s="1080" customFormat="1" ht="12.75" customHeight="1">
      <c r="A269" s="1074">
        <v>2012.08</v>
      </c>
      <c r="B269" s="3052">
        <v>89.088713950033394</v>
      </c>
      <c r="C269" s="3053">
        <v>89.503222902164495</v>
      </c>
    </row>
    <row r="270" spans="1:3" s="1080" customFormat="1" ht="12.75" customHeight="1">
      <c r="A270" s="1074">
        <v>2012.09</v>
      </c>
      <c r="B270" s="3052">
        <v>90.702611591557698</v>
      </c>
      <c r="C270" s="3053">
        <v>91.230551509484997</v>
      </c>
    </row>
    <row r="271" spans="1:3" s="1080" customFormat="1" ht="12.75" customHeight="1">
      <c r="A271" s="1074">
        <v>2012.1</v>
      </c>
      <c r="B271" s="3052">
        <v>89.655066331498404</v>
      </c>
      <c r="C271" s="3053">
        <v>90.032805732828706</v>
      </c>
    </row>
    <row r="272" spans="1:3" s="1080" customFormat="1" ht="12.75" customHeight="1">
      <c r="A272" s="1074">
        <v>2012.11</v>
      </c>
      <c r="B272" s="3052">
        <v>87.7618954117778</v>
      </c>
      <c r="C272" s="3053">
        <v>91.161151149206901</v>
      </c>
    </row>
    <row r="273" spans="1:3" s="1080" customFormat="1" ht="12.75" customHeight="1">
      <c r="A273" s="1074">
        <v>2012.12</v>
      </c>
      <c r="B273" s="3052">
        <v>87.3761297930876</v>
      </c>
      <c r="C273" s="3053">
        <v>94.086743832928704</v>
      </c>
    </row>
    <row r="274" spans="1:3" s="1080" customFormat="1" ht="12.75" customHeight="1">
      <c r="A274" s="1074">
        <v>2013.01</v>
      </c>
      <c r="B274" s="3052">
        <v>89.977179138848001</v>
      </c>
      <c r="C274" s="3053">
        <v>95.710367667213205</v>
      </c>
    </row>
    <row r="275" spans="1:3" s="1080" customFormat="1" ht="12.75" customHeight="1">
      <c r="A275" s="1074">
        <v>2013.02</v>
      </c>
      <c r="B275" s="3052">
        <v>92.441309821580703</v>
      </c>
      <c r="C275" s="3053">
        <v>101.11668817328299</v>
      </c>
    </row>
    <row r="276" spans="1:3" s="1080" customFormat="1" ht="12.75" customHeight="1">
      <c r="A276" s="1074">
        <v>2013.03</v>
      </c>
      <c r="B276" s="3052">
        <v>93.594825054598601</v>
      </c>
      <c r="C276" s="3053">
        <v>101.004809210632</v>
      </c>
    </row>
    <row r="277" spans="1:3" s="1080" customFormat="1" ht="12.75" customHeight="1">
      <c r="A277" s="1074">
        <v>2013.04</v>
      </c>
      <c r="B277" s="3052">
        <v>94.972553337361504</v>
      </c>
      <c r="C277" s="3053">
        <v>101.14333580434401</v>
      </c>
    </row>
    <row r="278" spans="1:3" s="1080" customFormat="1" ht="12.75" customHeight="1">
      <c r="A278" s="1074">
        <v>2013.05</v>
      </c>
      <c r="B278" s="3052">
        <v>93.244134061871904</v>
      </c>
      <c r="C278" s="3053">
        <v>100.12112718515699</v>
      </c>
    </row>
    <row r="279" spans="1:3" s="1080" customFormat="1" ht="12.75" customHeight="1">
      <c r="A279" s="1074">
        <v>2013.06</v>
      </c>
      <c r="B279" s="3052">
        <v>97.164084889016706</v>
      </c>
      <c r="C279" s="3053">
        <v>102.483061541894</v>
      </c>
    </row>
    <row r="280" spans="1:3" s="1080" customFormat="1" ht="12.75" customHeight="1">
      <c r="A280" s="1074">
        <v>2013.07</v>
      </c>
      <c r="B280" s="3052">
        <v>99.661164037952602</v>
      </c>
      <c r="C280" s="3053">
        <v>105.77147859031</v>
      </c>
    </row>
    <row r="281" spans="1:3" s="1080" customFormat="1" ht="12.75" customHeight="1">
      <c r="A281" s="1074">
        <v>2013.08</v>
      </c>
      <c r="B281" s="3052">
        <v>100.845649427561</v>
      </c>
      <c r="C281" s="3053">
        <v>105.052179507639</v>
      </c>
    </row>
    <row r="282" spans="1:3" s="1080" customFormat="1" ht="12.75" customHeight="1">
      <c r="A282" s="1074">
        <v>2013.09</v>
      </c>
      <c r="B282" s="3052">
        <v>103.604925324482</v>
      </c>
      <c r="C282" s="3053">
        <v>107.341330718756</v>
      </c>
    </row>
    <row r="283" spans="1:3" s="1080" customFormat="1" ht="12.75" customHeight="1">
      <c r="A283" s="1074">
        <v>2013.1</v>
      </c>
      <c r="B283" s="3052">
        <v>105.321421933818</v>
      </c>
      <c r="C283" s="3053">
        <v>107.475374260838</v>
      </c>
    </row>
    <row r="284" spans="1:3" s="1080" customFormat="1" ht="12.75" customHeight="1">
      <c r="A284" s="1074">
        <v>2013.11</v>
      </c>
      <c r="B284" s="3052">
        <v>106.31471447505299</v>
      </c>
      <c r="C284" s="3053">
        <v>109.282140851798</v>
      </c>
    </row>
    <row r="285" spans="1:3" s="1080" customFormat="1" ht="12.75" customHeight="1">
      <c r="A285" s="1074">
        <v>2013.12</v>
      </c>
      <c r="B285" s="3052">
        <v>106.90238534196099</v>
      </c>
      <c r="C285" s="3053">
        <v>109.215072507108</v>
      </c>
    </row>
    <row r="286" spans="1:3" s="1080" customFormat="1" ht="12.75" customHeight="1">
      <c r="A286" s="1074">
        <v>2014.01</v>
      </c>
      <c r="B286" s="3052">
        <v>105.266485078239</v>
      </c>
      <c r="C286" s="3053">
        <v>107.63788712554199</v>
      </c>
    </row>
    <row r="287" spans="1:3" s="1080" customFormat="1" ht="12.75" customHeight="1">
      <c r="A287" s="1074">
        <v>2014.02</v>
      </c>
      <c r="B287" s="3052">
        <v>106.545956600617</v>
      </c>
      <c r="C287" s="3053">
        <v>106.74987797945499</v>
      </c>
    </row>
    <row r="288" spans="1:3" s="1080" customFormat="1" ht="12.75" customHeight="1">
      <c r="A288" s="1074">
        <v>2014.03</v>
      </c>
      <c r="B288" s="3052">
        <v>104.699351752864</v>
      </c>
      <c r="C288" s="3053">
        <v>105.755425163147</v>
      </c>
    </row>
    <row r="289" spans="1:3" s="1080" customFormat="1" ht="12.75" customHeight="1">
      <c r="A289" s="1074">
        <v>2014.04</v>
      </c>
      <c r="B289" s="3052">
        <v>104.279476027812</v>
      </c>
      <c r="C289" s="3053">
        <v>103.759047339706</v>
      </c>
    </row>
    <row r="290" spans="1:3" s="1080" customFormat="1" ht="12.75" customHeight="1">
      <c r="A290" s="1074">
        <v>2014.05</v>
      </c>
      <c r="B290" s="3052">
        <v>105.80084036788</v>
      </c>
      <c r="C290" s="3053">
        <v>105.606192771303</v>
      </c>
    </row>
    <row r="291" spans="1:3" s="1080" customFormat="1" ht="12.75" customHeight="1">
      <c r="A291" s="1074">
        <v>2014.06</v>
      </c>
      <c r="B291" s="3052">
        <v>104.925239835502</v>
      </c>
      <c r="C291" s="3053">
        <v>105.83352069513499</v>
      </c>
    </row>
    <row r="292" spans="1:3" s="1080" customFormat="1" ht="12.75" customHeight="1">
      <c r="A292" s="1074">
        <v>2014.07</v>
      </c>
      <c r="B292" s="3052">
        <v>104.754963010057</v>
      </c>
      <c r="C292" s="3053">
        <v>105.605949343795</v>
      </c>
    </row>
    <row r="293" spans="1:3" s="1080" customFormat="1" ht="12.75" customHeight="1">
      <c r="A293" s="1074">
        <v>2014.08</v>
      </c>
      <c r="B293" s="3052">
        <v>104.725830387823</v>
      </c>
      <c r="C293" s="3053">
        <v>106.173345771717</v>
      </c>
    </row>
    <row r="294" spans="1:3" s="1080" customFormat="1" ht="12.75" customHeight="1">
      <c r="A294" s="1074">
        <v>2014.09</v>
      </c>
      <c r="B294" s="3052">
        <v>104.34727402680601</v>
      </c>
      <c r="C294" s="3053">
        <v>105.079163358014</v>
      </c>
    </row>
    <row r="295" spans="1:3" s="1080" customFormat="1" ht="12.75" customHeight="1">
      <c r="A295" s="1074">
        <v>2014.1</v>
      </c>
      <c r="B295" s="3052">
        <v>103.24789754958699</v>
      </c>
      <c r="C295" s="3053">
        <v>104.376578978429</v>
      </c>
    </row>
    <row r="296" spans="1:3" s="1080" customFormat="1" ht="12.75" customHeight="1">
      <c r="A296" s="1074">
        <v>2014.11</v>
      </c>
      <c r="B296" s="3052">
        <v>103.938210340745</v>
      </c>
      <c r="C296" s="3053">
        <v>104.703900673802</v>
      </c>
    </row>
    <row r="297" spans="1:3" s="1080" customFormat="1" ht="12.75" customHeight="1">
      <c r="A297" s="1074">
        <v>2014.12</v>
      </c>
      <c r="B297" s="3052">
        <v>103.99750869426801</v>
      </c>
      <c r="C297" s="3053">
        <v>102.91670618750599</v>
      </c>
    </row>
    <row r="298" spans="1:3" s="1080" customFormat="1" ht="12.75" customHeight="1">
      <c r="A298" s="1074">
        <v>2015.01</v>
      </c>
      <c r="B298" s="3052">
        <v>100.297398299714</v>
      </c>
      <c r="C298" s="3053">
        <v>99.774848043497499</v>
      </c>
    </row>
    <row r="299" spans="1:3" s="1080" customFormat="1" ht="12.75" customHeight="1">
      <c r="A299" s="1074">
        <v>2015.02</v>
      </c>
      <c r="B299" s="3052">
        <v>99.5900743465901</v>
      </c>
      <c r="C299" s="3053">
        <v>98.821614763047705</v>
      </c>
    </row>
    <row r="300" spans="1:3" s="1080" customFormat="1" ht="12.75" customHeight="1">
      <c r="A300" s="1074">
        <v>2015.03</v>
      </c>
      <c r="B300" s="3052">
        <v>100.453373237647</v>
      </c>
      <c r="C300" s="3053">
        <v>99.468082090970498</v>
      </c>
    </row>
    <row r="301" spans="1:3" s="1080" customFormat="1" ht="12.75" customHeight="1">
      <c r="A301" s="1074">
        <v>2015.04</v>
      </c>
      <c r="B301" s="3052">
        <v>99.405060681015499</v>
      </c>
      <c r="C301" s="3053">
        <v>99.086081666032499</v>
      </c>
    </row>
    <row r="302" spans="1:3" s="1080" customFormat="1" ht="12.75" customHeight="1">
      <c r="A302" s="1074">
        <v>2015.05</v>
      </c>
      <c r="B302" s="3052">
        <v>101.40453204764</v>
      </c>
      <c r="C302" s="3053">
        <v>100.082167582604</v>
      </c>
    </row>
    <row r="303" spans="1:3" s="1080" customFormat="1" ht="12.75" customHeight="1">
      <c r="A303" s="1074">
        <v>2015.06</v>
      </c>
      <c r="B303" s="3052">
        <v>101.176529832835</v>
      </c>
      <c r="C303" s="3053">
        <v>100.358243971836</v>
      </c>
    </row>
    <row r="304" spans="1:3" s="1080" customFormat="1" ht="12.75" customHeight="1">
      <c r="A304" s="1074">
        <v>2015.07</v>
      </c>
      <c r="B304" s="3052">
        <v>99.118912885255</v>
      </c>
      <c r="C304" s="3053">
        <v>97.218717697874993</v>
      </c>
    </row>
    <row r="305" spans="1:3" s="1080" customFormat="1" ht="12.75" customHeight="1">
      <c r="A305" s="1074">
        <v>2015.08</v>
      </c>
      <c r="B305" s="3052">
        <v>101.12570480666901</v>
      </c>
      <c r="C305" s="3053">
        <v>99.076982366199701</v>
      </c>
    </row>
    <row r="306" spans="1:3" s="1080" customFormat="1" ht="12.75" customHeight="1">
      <c r="A306" s="1074">
        <v>2015.09</v>
      </c>
      <c r="B306" s="3052">
        <v>99.114229386743901</v>
      </c>
      <c r="C306" s="3053">
        <v>96.535918389647804</v>
      </c>
    </row>
    <row r="307" spans="1:3" s="1080" customFormat="1" ht="12.75" customHeight="1">
      <c r="A307" s="1074">
        <v>2015.1</v>
      </c>
      <c r="B307" s="3052">
        <v>98.1946917797395</v>
      </c>
      <c r="C307" s="3053">
        <v>95.014920505877399</v>
      </c>
    </row>
    <row r="308" spans="1:3" s="1080" customFormat="1" ht="12.75" customHeight="1">
      <c r="A308" s="1074">
        <v>2015.11</v>
      </c>
      <c r="B308" s="3052">
        <v>99.172032403244103</v>
      </c>
      <c r="C308" s="3053">
        <v>96.450692686862297</v>
      </c>
    </row>
    <row r="309" spans="1:3" s="1080" customFormat="1" ht="12.75" customHeight="1">
      <c r="A309" s="1074">
        <v>2015.12</v>
      </c>
      <c r="B309" s="3052">
        <v>98.268066822256699</v>
      </c>
      <c r="C309" s="3053">
        <v>97.671624043183499</v>
      </c>
    </row>
    <row r="310" spans="1:3" s="1080" customFormat="1" ht="12.75" customHeight="1">
      <c r="A310" s="1074">
        <v>2016.01</v>
      </c>
      <c r="B310" s="3052">
        <v>98.686518147204495</v>
      </c>
      <c r="C310" s="3053">
        <v>99.111409559592303</v>
      </c>
    </row>
    <row r="311" spans="1:3" s="1080" customFormat="1" ht="12.75" customHeight="1">
      <c r="A311" s="1074">
        <v>2016.02</v>
      </c>
      <c r="B311" s="3052">
        <v>96.4168802501122</v>
      </c>
      <c r="C311" s="3053">
        <v>98.076210630606795</v>
      </c>
    </row>
    <row r="312" spans="1:3" s="1080" customFormat="1" ht="12.75" customHeight="1">
      <c r="A312" s="1074">
        <v>2016.03</v>
      </c>
      <c r="B312" s="3052">
        <v>94.478774378578393</v>
      </c>
      <c r="C312" s="3053">
        <v>96.4638683211477</v>
      </c>
    </row>
    <row r="313" spans="1:3" s="1080" customFormat="1" ht="12.75" customHeight="1">
      <c r="A313" s="1074">
        <v>2016.04</v>
      </c>
      <c r="B313" s="3052">
        <v>97.003156290686903</v>
      </c>
      <c r="C313" s="3053">
        <v>99.758496904668803</v>
      </c>
    </row>
    <row r="314" spans="1:3" s="1080" customFormat="1" ht="12.75" customHeight="1">
      <c r="A314" s="1074">
        <v>2016.05</v>
      </c>
      <c r="B314" s="3052">
        <v>97.710372225315894</v>
      </c>
      <c r="C314" s="3053">
        <v>102.125331860868</v>
      </c>
    </row>
    <row r="315" spans="1:3" s="1080" customFormat="1" ht="12.75" customHeight="1">
      <c r="A315" s="1074">
        <v>2016.06</v>
      </c>
      <c r="B315" s="3052">
        <v>97.400775428350599</v>
      </c>
      <c r="C315" s="3053">
        <v>101.74483110990801</v>
      </c>
    </row>
    <row r="316" spans="1:3" s="1080" customFormat="1" ht="12.75" customHeight="1">
      <c r="A316" s="1074">
        <v>2016.07</v>
      </c>
      <c r="B316" s="3052">
        <v>98.187854578038795</v>
      </c>
      <c r="C316" s="3053">
        <v>102.97734169372499</v>
      </c>
    </row>
    <row r="317" spans="1:3" s="1080" customFormat="1" ht="12.75" customHeight="1">
      <c r="A317" s="1074">
        <v>2016.08</v>
      </c>
      <c r="B317" s="3052">
        <v>98.554651332155203</v>
      </c>
      <c r="C317" s="3053">
        <v>102.513738951378</v>
      </c>
    </row>
    <row r="318" spans="1:3" s="1080" customFormat="1" ht="12.75" customHeight="1">
      <c r="A318" s="1074">
        <v>2016.09</v>
      </c>
      <c r="B318" s="3052">
        <v>100.111486699872</v>
      </c>
      <c r="C318" s="3053">
        <v>105.488333511127</v>
      </c>
    </row>
    <row r="319" spans="1:3" s="1080" customFormat="1" ht="12.75" customHeight="1">
      <c r="A319" s="1074">
        <v>2016.1</v>
      </c>
      <c r="B319" s="3052">
        <v>100.58246099772499</v>
      </c>
      <c r="C319" s="3053">
        <v>107.936046137991</v>
      </c>
    </row>
    <row r="320" spans="1:3" s="1080" customFormat="1" ht="12.75" customHeight="1">
      <c r="A320" s="1074">
        <v>2016.11</v>
      </c>
      <c r="B320" s="3052">
        <v>102.471467353739</v>
      </c>
      <c r="C320" s="3053">
        <v>107.751340860863</v>
      </c>
    </row>
    <row r="321" spans="1:3" s="1080" customFormat="1" ht="12.75" customHeight="1">
      <c r="A321" s="1074">
        <v>2016.12</v>
      </c>
      <c r="B321" s="3052">
        <v>103.780074986644</v>
      </c>
      <c r="C321" s="3053">
        <v>108.23520626999399</v>
      </c>
    </row>
    <row r="322" spans="1:3" s="1080" customFormat="1" ht="12.75" customHeight="1">
      <c r="A322" s="1074">
        <v>2017.01</v>
      </c>
      <c r="B322" s="3052">
        <v>106.330621652117</v>
      </c>
      <c r="C322" s="3053">
        <v>111.048129954209</v>
      </c>
    </row>
    <row r="323" spans="1:3" s="1080" customFormat="1" ht="12.75" customHeight="1">
      <c r="A323" s="1074">
        <v>2017.02</v>
      </c>
      <c r="B323" s="3052">
        <v>109.969327341454</v>
      </c>
      <c r="C323" s="3053">
        <v>114.257096265055</v>
      </c>
    </row>
    <row r="324" spans="1:3" s="1080" customFormat="1" ht="12.75" customHeight="1">
      <c r="A324" s="1074">
        <v>2017.03</v>
      </c>
      <c r="B324" s="3052">
        <v>111.970940640091</v>
      </c>
      <c r="C324" s="3053">
        <v>115.47550293344</v>
      </c>
    </row>
    <row r="325" spans="1:3" s="1080" customFormat="1" ht="12.75" customHeight="1">
      <c r="A325" s="1074">
        <v>2017.04</v>
      </c>
      <c r="B325" s="3052">
        <v>110.94904936462299</v>
      </c>
      <c r="C325" s="3053">
        <v>114.227122749508</v>
      </c>
    </row>
    <row r="326" spans="1:3" s="1080" customFormat="1" ht="12.75" customHeight="1">
      <c r="A326" s="1074">
        <v>2017.05</v>
      </c>
      <c r="B326" s="3052">
        <v>111.225626153082</v>
      </c>
      <c r="C326" s="3053">
        <v>112.03927779800399</v>
      </c>
    </row>
    <row r="327" spans="1:3" s="1080" customFormat="1" ht="12.75" customHeight="1">
      <c r="A327" s="1074">
        <v>2017.06</v>
      </c>
      <c r="B327" s="3052">
        <v>112.202408722344</v>
      </c>
      <c r="C327" s="3053">
        <v>113.164005416221</v>
      </c>
    </row>
    <row r="328" spans="1:3" s="1080" customFormat="1" ht="12.75" customHeight="1">
      <c r="A328" s="1074">
        <v>2017.07</v>
      </c>
      <c r="B328" s="3052">
        <v>114.618560882834</v>
      </c>
      <c r="C328" s="3053">
        <v>115.704641187858</v>
      </c>
    </row>
    <row r="329" spans="1:3" s="1080" customFormat="1" ht="12.75" customHeight="1">
      <c r="A329" s="1074">
        <v>2017.08</v>
      </c>
      <c r="B329" s="3052">
        <v>113.978748678027</v>
      </c>
      <c r="C329" s="3053">
        <v>112.638739263858</v>
      </c>
    </row>
    <row r="330" spans="1:3" s="1080" customFormat="1" ht="12.75" customHeight="1">
      <c r="A330" s="1074">
        <v>2017.09</v>
      </c>
      <c r="B330" s="3052">
        <v>113.693228488372</v>
      </c>
      <c r="C330" s="3053">
        <v>112.733974628978</v>
      </c>
    </row>
    <row r="331" spans="1:3" s="1080" customFormat="1" ht="12.75" customHeight="1">
      <c r="A331" s="1074">
        <v>2017.1</v>
      </c>
      <c r="B331" s="3052">
        <v>116.835376369372</v>
      </c>
      <c r="C331" s="3053">
        <v>114.740393541503</v>
      </c>
    </row>
    <row r="332" spans="1:3" s="1080" customFormat="1" ht="12.75" customHeight="1">
      <c r="A332" s="1074">
        <v>2017.11</v>
      </c>
      <c r="B332" s="3052">
        <v>116.220091935529</v>
      </c>
      <c r="C332" s="3053">
        <v>112.930423438128</v>
      </c>
    </row>
    <row r="333" spans="1:3" s="1080" customFormat="1" ht="12.75" customHeight="1">
      <c r="A333" s="1074">
        <v>2017.12</v>
      </c>
      <c r="B333" s="3052">
        <v>117.37499191626399</v>
      </c>
      <c r="C333" s="3053">
        <v>111.583512820282</v>
      </c>
    </row>
    <row r="334" spans="1:3" s="1080" customFormat="1" ht="12.75" customHeight="1">
      <c r="A334" s="1074">
        <v>2018.01</v>
      </c>
      <c r="B334" s="3052">
        <v>116.529939807712</v>
      </c>
      <c r="C334" s="3053">
        <v>109.57959340811399</v>
      </c>
    </row>
    <row r="335" spans="1:3" s="1080" customFormat="1" ht="12.75" customHeight="1">
      <c r="A335" s="1074">
        <v>2018.02</v>
      </c>
      <c r="B335" s="3052">
        <v>116.027829988207</v>
      </c>
      <c r="C335" s="3053">
        <v>108.878428818914</v>
      </c>
    </row>
    <row r="336" spans="1:3" s="1080" customFormat="1" ht="12.75" customHeight="1">
      <c r="A336" s="1074">
        <v>2018.03</v>
      </c>
      <c r="B336" s="3052">
        <v>115.666148292592</v>
      </c>
      <c r="C336" s="3053">
        <v>106.292376480309</v>
      </c>
    </row>
    <row r="337" spans="1:3" s="1080" customFormat="1" ht="12.75" customHeight="1">
      <c r="A337" s="1074">
        <v>2018.04</v>
      </c>
      <c r="B337" s="3052">
        <v>114.45195816504599</v>
      </c>
      <c r="C337" s="3053">
        <v>104.254987925405</v>
      </c>
    </row>
    <row r="338" spans="1:3" s="1080" customFormat="1" ht="12.75" customHeight="1">
      <c r="A338" s="1074">
        <v>2018.05</v>
      </c>
      <c r="B338" s="3052">
        <v>113.54696876517799</v>
      </c>
      <c r="C338" s="3053">
        <v>103.690593454292</v>
      </c>
    </row>
    <row r="339" spans="1:3" s="1080" customFormat="1" ht="12.75" customHeight="1">
      <c r="A339" s="1074">
        <v>2018.06</v>
      </c>
      <c r="B339" s="3052">
        <v>113.532197739762</v>
      </c>
      <c r="C339" s="3053">
        <v>103.911460890819</v>
      </c>
    </row>
    <row r="340" spans="1:3" s="1080" customFormat="1" ht="12.75" customHeight="1">
      <c r="A340" s="1074">
        <v>2018.07</v>
      </c>
      <c r="B340" s="3052">
        <v>111.056838217238</v>
      </c>
      <c r="C340" s="3053">
        <v>101.47598937447999</v>
      </c>
    </row>
    <row r="341" spans="1:3" s="1080" customFormat="1" ht="12.75" customHeight="1">
      <c r="A341" s="1074">
        <v>2018.08</v>
      </c>
      <c r="B341" s="3052">
        <v>108.8493356499</v>
      </c>
      <c r="C341" s="3053">
        <v>100.491239924327</v>
      </c>
    </row>
    <row r="342" spans="1:3" s="1080" customFormat="1" ht="12.75" customHeight="1">
      <c r="A342" s="1074">
        <v>2018.09</v>
      </c>
      <c r="B342" s="3052">
        <v>108.955511478568</v>
      </c>
      <c r="C342" s="3053">
        <v>98.802094619188196</v>
      </c>
    </row>
    <row r="343" spans="1:3" s="1080" customFormat="1" ht="12.75" customHeight="1">
      <c r="A343" s="1074">
        <v>2018.1</v>
      </c>
      <c r="B343" s="3052">
        <v>106.29686459226301</v>
      </c>
      <c r="C343" s="3053">
        <v>95.2468945048997</v>
      </c>
    </row>
    <row r="344" spans="1:3" s="1080" customFormat="1" ht="12.75" customHeight="1">
      <c r="A344" s="1074">
        <v>2018.11</v>
      </c>
      <c r="B344" s="3052">
        <v>103.667379380989</v>
      </c>
      <c r="C344" s="3053">
        <v>94.382066848012101</v>
      </c>
    </row>
    <row r="345" spans="1:3" s="1080" customFormat="1" ht="12.75" customHeight="1">
      <c r="A345" s="1074">
        <v>2018.12</v>
      </c>
      <c r="B345" s="3052">
        <v>101.012464966756</v>
      </c>
      <c r="C345" s="3053">
        <v>94.496996612237197</v>
      </c>
    </row>
    <row r="346" spans="1:3" s="1080" customFormat="1" ht="12.75" customHeight="1">
      <c r="A346" s="1074">
        <v>2019.01</v>
      </c>
      <c r="B346" s="3052">
        <v>99.526675024423994</v>
      </c>
      <c r="C346" s="3053">
        <v>93.681029708584205</v>
      </c>
    </row>
    <row r="347" spans="1:3" s="1080" customFormat="1" ht="12.75" customHeight="1">
      <c r="A347" s="1074">
        <v>2019.02</v>
      </c>
      <c r="B347" s="3052">
        <v>96.522397503309307</v>
      </c>
      <c r="C347" s="3053">
        <v>91.432169580302897</v>
      </c>
    </row>
    <row r="348" spans="1:3" s="1080" customFormat="1" ht="12.75" customHeight="1">
      <c r="A348" s="1074">
        <v>2019.03</v>
      </c>
      <c r="B348" s="3052">
        <v>96.560162189068706</v>
      </c>
      <c r="C348" s="3053">
        <v>92.369171822027994</v>
      </c>
    </row>
    <row r="349" spans="1:3" s="1080" customFormat="1" ht="12.75" customHeight="1">
      <c r="A349" s="1074">
        <v>2019.04</v>
      </c>
      <c r="B349" s="3052">
        <v>99.168801000802006</v>
      </c>
      <c r="C349" s="3053">
        <v>95.067398723794696</v>
      </c>
    </row>
    <row r="350" spans="1:3" s="1080" customFormat="1" ht="12.75" customHeight="1">
      <c r="A350" s="1074">
        <v>2019.05</v>
      </c>
      <c r="B350" s="3052">
        <v>98.193394584019998</v>
      </c>
      <c r="C350" s="3053">
        <v>95.400640739012402</v>
      </c>
    </row>
    <row r="351" spans="1:3" s="1080" customFormat="1" ht="12.75" customHeight="1">
      <c r="A351" s="1074">
        <v>2019.06</v>
      </c>
      <c r="B351" s="3052">
        <v>97.405877359100899</v>
      </c>
      <c r="C351" s="3053">
        <v>93.004747378841799</v>
      </c>
    </row>
    <row r="352" spans="1:3" s="1080" customFormat="1" ht="12.75" customHeight="1">
      <c r="A352" s="1074">
        <v>2019.07</v>
      </c>
      <c r="B352" s="3052">
        <v>95.847170780477299</v>
      </c>
      <c r="C352" s="3053">
        <v>91.508292510373806</v>
      </c>
    </row>
    <row r="353" spans="1:4" s="1080" customFormat="1" ht="12.75" customHeight="1">
      <c r="A353" s="1074">
        <v>2019.08</v>
      </c>
      <c r="B353" s="3052">
        <v>94.620478505542593</v>
      </c>
      <c r="C353" s="3053">
        <v>91.128496847300696</v>
      </c>
    </row>
    <row r="354" spans="1:4" s="1080" customFormat="1" ht="12.75" customHeight="1">
      <c r="A354" s="1074">
        <v>2019.09</v>
      </c>
      <c r="B354" s="3052">
        <v>93.681058542419194</v>
      </c>
      <c r="C354" s="3053">
        <v>91.4190901740198</v>
      </c>
    </row>
    <row r="355" spans="1:4" s="1080" customFormat="1" ht="12.75" customHeight="1">
      <c r="A355" s="1074">
        <v>2019.1</v>
      </c>
      <c r="B355" s="3052">
        <v>92.872345781739995</v>
      </c>
      <c r="C355" s="3053">
        <v>91.542483228849903</v>
      </c>
    </row>
    <row r="356" spans="1:4" s="1080" customFormat="1" ht="12.75" customHeight="1">
      <c r="A356" s="1074">
        <v>2019.11</v>
      </c>
      <c r="B356" s="3052">
        <v>92.745832600350894</v>
      </c>
      <c r="C356" s="3053">
        <v>92.257525810592298</v>
      </c>
    </row>
    <row r="357" spans="1:4" s="1080" customFormat="1" ht="12.75" customHeight="1">
      <c r="A357" s="1074">
        <v>2019.12</v>
      </c>
      <c r="B357" s="3052">
        <v>94.363628061904706</v>
      </c>
      <c r="C357" s="3053">
        <v>94.575659504007106</v>
      </c>
    </row>
    <row r="358" spans="1:4" s="1080" customFormat="1" ht="12.75" customHeight="1">
      <c r="A358" s="1074">
        <v>2020.01</v>
      </c>
      <c r="B358" s="3052">
        <v>96.044842860331698</v>
      </c>
      <c r="C358" s="3053">
        <v>96.747256672724603</v>
      </c>
    </row>
    <row r="359" spans="1:4" s="1080" customFormat="1" ht="12.75" customHeight="1">
      <c r="A359" s="1074">
        <v>2020.02</v>
      </c>
      <c r="B359" s="3052">
        <v>98.409646452145395</v>
      </c>
      <c r="C359" s="3053">
        <v>98.180820222672295</v>
      </c>
    </row>
    <row r="360" spans="1:4" s="1080" customFormat="1" ht="12.75" customHeight="1">
      <c r="A360" s="1074">
        <v>2020.03</v>
      </c>
      <c r="B360" s="3052">
        <v>84.923999373654794</v>
      </c>
      <c r="C360" s="3053">
        <v>88.117495024385306</v>
      </c>
    </row>
    <row r="361" spans="1:4" s="1080" customFormat="1" ht="12.75" customHeight="1">
      <c r="A361" s="1074">
        <v>2020.04</v>
      </c>
      <c r="B361" s="3052">
        <v>81.480873323074206</v>
      </c>
      <c r="C361" s="3053">
        <v>81.034761814107597</v>
      </c>
    </row>
    <row r="362" spans="1:4" s="1080" customFormat="1" ht="12.75" customHeight="1">
      <c r="A362" s="1074">
        <v>2020.05</v>
      </c>
      <c r="B362" s="3052">
        <v>55.384963266899</v>
      </c>
      <c r="C362" s="3053">
        <v>50.087656041330597</v>
      </c>
    </row>
    <row r="363" spans="1:4" s="1080" customFormat="1" ht="12.75" customHeight="1">
      <c r="A363" s="1074">
        <v>2020.06</v>
      </c>
      <c r="B363" s="3052">
        <v>59.398115796674396</v>
      </c>
      <c r="C363" s="3053">
        <v>55.217918172768897</v>
      </c>
    </row>
    <row r="364" spans="1:4" s="1080" customFormat="1" ht="12.75" customHeight="1">
      <c r="A364" s="1074">
        <v>2020.07</v>
      </c>
      <c r="B364" s="3052">
        <v>74.249122845360603</v>
      </c>
      <c r="C364" s="3053">
        <v>78.033876030307695</v>
      </c>
    </row>
    <row r="365" spans="1:4" s="1080" customFormat="1" ht="12.75" customHeight="1">
      <c r="A365" s="1074">
        <v>2020.08</v>
      </c>
      <c r="B365" s="3052">
        <v>87.009537001762993</v>
      </c>
      <c r="C365" s="3053">
        <v>100.64729235832201</v>
      </c>
      <c r="D365" s="2533"/>
    </row>
    <row r="366" spans="1:4" s="1080" customFormat="1" ht="12.75" customHeight="1">
      <c r="A366" s="1074">
        <v>2020.09</v>
      </c>
      <c r="B366" s="3052">
        <v>91.422545740017995</v>
      </c>
      <c r="C366" s="3053">
        <v>103.636204451781</v>
      </c>
    </row>
    <row r="367" spans="1:4" s="1080" customFormat="1" ht="12.75" customHeight="1">
      <c r="A367" s="1074">
        <v>2020.1</v>
      </c>
      <c r="B367" s="3052">
        <v>92.956816741537693</v>
      </c>
      <c r="C367" s="3053">
        <v>105.262460766922</v>
      </c>
    </row>
    <row r="368" spans="1:4" s="1080" customFormat="1" ht="12.75" customHeight="1">
      <c r="A368" s="1074">
        <v>2020.11</v>
      </c>
      <c r="B368" s="3052">
        <v>100.37087767321999</v>
      </c>
      <c r="C368" s="3053">
        <v>107.573112988463</v>
      </c>
    </row>
    <row r="369" spans="1:3" s="1080" customFormat="1" ht="12.75" customHeight="1">
      <c r="A369" s="1074">
        <v>2020.12</v>
      </c>
      <c r="B369" s="3052">
        <v>101.28648313971</v>
      </c>
      <c r="C369" s="3053">
        <v>106.37585019428499</v>
      </c>
    </row>
    <row r="370" spans="1:3" s="1080" customFormat="1" ht="12.75" customHeight="1">
      <c r="A370" s="1074">
        <v>2021.01</v>
      </c>
      <c r="B370" s="3052">
        <v>101.23052881044001</v>
      </c>
      <c r="C370" s="3053">
        <v>107.980745754162</v>
      </c>
    </row>
    <row r="371" spans="1:3" s="1080" customFormat="1" ht="12.75" customHeight="1">
      <c r="A371" s="1074">
        <v>2021.02</v>
      </c>
      <c r="B371" s="3052">
        <v>103.228459643397</v>
      </c>
      <c r="C371" s="3053">
        <v>107.169263175395</v>
      </c>
    </row>
    <row r="372" spans="1:3" s="1080" customFormat="1" ht="12.75" customHeight="1">
      <c r="A372" s="1074">
        <v>2021.03</v>
      </c>
      <c r="B372" s="3052">
        <v>108.081676798899</v>
      </c>
      <c r="C372" s="3053">
        <v>109.602344913769</v>
      </c>
    </row>
    <row r="373" spans="1:3" s="1080" customFormat="1" ht="12.75" customHeight="1">
      <c r="A373" s="1074">
        <v>2021.04</v>
      </c>
      <c r="B373" s="3052">
        <v>112.31530388842501</v>
      </c>
      <c r="C373" s="3053">
        <v>118.520251205642</v>
      </c>
    </row>
    <row r="374" spans="1:3" s="1080" customFormat="1" ht="12.75" customHeight="1">
      <c r="A374" s="1074">
        <v>2021.05</v>
      </c>
      <c r="B374" s="3052">
        <v>125.859752143893</v>
      </c>
      <c r="C374" s="3053">
        <v>133.63537595461401</v>
      </c>
    </row>
    <row r="375" spans="1:3" s="1080" customFormat="1" ht="12.75" customHeight="1">
      <c r="A375" s="1074">
        <v>2021.06</v>
      </c>
      <c r="B375" s="3052">
        <v>126.93533061850501</v>
      </c>
      <c r="C375" s="3053">
        <v>130.81887095403999</v>
      </c>
    </row>
    <row r="376" spans="1:3" s="1080" customFormat="1" ht="12.75" customHeight="1">
      <c r="A376" s="1074">
        <v>2021.07</v>
      </c>
      <c r="B376" s="3052">
        <v>123.12037527471099</v>
      </c>
      <c r="C376" s="3053">
        <v>122.57453379189199</v>
      </c>
    </row>
    <row r="377" spans="1:3" s="1080" customFormat="1" ht="12.75" customHeight="1">
      <c r="A377" s="1074">
        <v>2021.08</v>
      </c>
      <c r="B377" s="3052">
        <v>121.02689577838299</v>
      </c>
      <c r="C377" s="3053">
        <v>117.269264006303</v>
      </c>
    </row>
    <row r="378" spans="1:3" s="1080" customFormat="1" ht="12.75" customHeight="1">
      <c r="A378" s="1074">
        <v>2021.09</v>
      </c>
      <c r="B378" s="3052">
        <v>114.854351241004</v>
      </c>
      <c r="C378" s="3053">
        <v>111.824993708498</v>
      </c>
    </row>
    <row r="379" spans="1:3" s="1080" customFormat="1" ht="12.75" customHeight="1">
      <c r="A379" s="1074">
        <v>2021.1</v>
      </c>
      <c r="B379" s="3052">
        <v>113.568556198821</v>
      </c>
      <c r="C379" s="3053">
        <v>104.897714434785</v>
      </c>
    </row>
    <row r="380" spans="1:3" s="1080" customFormat="1" ht="12.75" customHeight="1">
      <c r="A380" s="1074">
        <v>2021.11</v>
      </c>
      <c r="B380" s="3052">
        <v>111.042452321436</v>
      </c>
      <c r="C380" s="3053">
        <v>105.79081594554199</v>
      </c>
    </row>
    <row r="381" spans="1:3" s="1080" customFormat="1" ht="12.75" customHeight="1">
      <c r="A381" s="1074">
        <v>2021.12</v>
      </c>
      <c r="B381" s="3052">
        <v>112.306930590071</v>
      </c>
      <c r="C381" s="3053">
        <v>107.700570322898</v>
      </c>
    </row>
    <row r="382" spans="1:3" s="1080" customFormat="1" ht="12.75" customHeight="1">
      <c r="A382" s="1074">
        <v>2022.01</v>
      </c>
      <c r="B382" s="3052">
        <v>111.993117145868</v>
      </c>
      <c r="C382" s="3053">
        <v>105.91134677629201</v>
      </c>
    </row>
    <row r="383" spans="1:3" s="1080" customFormat="1" ht="12.75" customHeight="1">
      <c r="A383" s="1074">
        <v>2022.02</v>
      </c>
      <c r="B383" s="3052">
        <v>109.208170688789</v>
      </c>
      <c r="C383" s="3053">
        <v>105.661355887249</v>
      </c>
    </row>
    <row r="384" spans="1:3" s="1080" customFormat="1" ht="12.75" customHeight="1">
      <c r="A384" s="1074">
        <v>2022.03</v>
      </c>
      <c r="B384" s="3052">
        <v>106.071942275998</v>
      </c>
      <c r="C384" s="3053">
        <v>102.381107689012</v>
      </c>
    </row>
    <row r="385" spans="1:3" s="1080" customFormat="1" ht="12.75" customHeight="1">
      <c r="A385" s="1074">
        <v>2022.04</v>
      </c>
      <c r="B385" s="3052">
        <v>101.45290028943801</v>
      </c>
      <c r="C385" s="3053">
        <v>97.303731240904</v>
      </c>
    </row>
    <row r="386" spans="1:3" s="1080" customFormat="1" ht="12.75" customHeight="1">
      <c r="A386" s="1074">
        <v>2022.05</v>
      </c>
      <c r="B386" s="3052">
        <v>98.260287507907705</v>
      </c>
      <c r="C386" s="3053">
        <v>95.194810168775703</v>
      </c>
    </row>
    <row r="387" spans="1:3" s="1080" customFormat="1" ht="12.75" customHeight="1">
      <c r="A387" s="1074">
        <v>2022.06</v>
      </c>
      <c r="B387" s="3052">
        <v>97.5606858896559</v>
      </c>
      <c r="C387" s="3053">
        <v>95.810439265465803</v>
      </c>
    </row>
    <row r="388" spans="1:3" s="1080" customFormat="1" ht="12.75" customHeight="1">
      <c r="A388" s="1074">
        <v>2022.07</v>
      </c>
      <c r="B388" s="3052">
        <v>96.043285775021602</v>
      </c>
      <c r="C388" s="3053">
        <v>92.051691073736094</v>
      </c>
    </row>
    <row r="389" spans="1:3" s="1080" customFormat="1" ht="12.75" customHeight="1">
      <c r="A389" s="1074">
        <v>2022.08</v>
      </c>
      <c r="B389" s="3052">
        <v>91.827074345174395</v>
      </c>
      <c r="C389" s="3053">
        <v>88.493038084924706</v>
      </c>
    </row>
    <row r="390" spans="1:3" s="1080" customFormat="1" ht="12.75" customHeight="1">
      <c r="A390" s="1074">
        <v>2022.09</v>
      </c>
      <c r="B390" s="3052">
        <v>93.373720823998099</v>
      </c>
      <c r="C390" s="3053">
        <v>89.985386488546396</v>
      </c>
    </row>
    <row r="391" spans="1:3" s="1080" customFormat="1" ht="12.75" customHeight="1">
      <c r="A391" s="1074">
        <v>2022.1</v>
      </c>
      <c r="B391" s="3052">
        <v>91.847746365018907</v>
      </c>
      <c r="C391" s="3053">
        <v>92.240407467758402</v>
      </c>
    </row>
    <row r="392" spans="1:3" s="1080" customFormat="1" ht="12.75" customHeight="1">
      <c r="A392" s="1074">
        <v>2022.11</v>
      </c>
      <c r="B392" s="3052">
        <v>89.901707446243407</v>
      </c>
      <c r="C392" s="3053">
        <v>91.837356983788695</v>
      </c>
    </row>
    <row r="393" spans="1:3" s="1080" customFormat="1" ht="12.75" customHeight="1">
      <c r="A393" s="1074">
        <v>2022.12</v>
      </c>
      <c r="B393" s="3052">
        <v>87.6433016261619</v>
      </c>
      <c r="C393" s="3053">
        <v>89.281626581482499</v>
      </c>
    </row>
    <row r="394" spans="1:3" s="1080" customFormat="1" ht="12.75" customHeight="1">
      <c r="A394" s="1074">
        <v>2023.01</v>
      </c>
      <c r="B394" s="3052">
        <v>85.074864566602102</v>
      </c>
      <c r="C394" s="3053">
        <v>89.309509879399698</v>
      </c>
    </row>
    <row r="395" spans="1:3" s="1080" customFormat="1" ht="12.75" customHeight="1">
      <c r="A395" s="1074">
        <v>2023.02</v>
      </c>
      <c r="B395" s="3052">
        <v>89.012458465836005</v>
      </c>
      <c r="C395" s="3053">
        <v>91.3920305394808</v>
      </c>
    </row>
    <row r="396" spans="1:3" s="1080" customFormat="1" ht="12.75" customHeight="1">
      <c r="A396" s="1074">
        <v>2023.03</v>
      </c>
      <c r="B396" s="3052">
        <v>93.004386570548206</v>
      </c>
      <c r="C396" s="3053">
        <v>93.149072991996903</v>
      </c>
    </row>
    <row r="397" spans="1:3" s="1080" customFormat="1" ht="12.75" customHeight="1">
      <c r="A397" s="1074">
        <v>2023.04</v>
      </c>
      <c r="B397" s="3052">
        <v>93.049178877173802</v>
      </c>
      <c r="C397" s="3053">
        <v>93.450021124715406</v>
      </c>
    </row>
    <row r="398" spans="1:3" s="1080" customFormat="1" ht="12.75" customHeight="1">
      <c r="A398" s="1074">
        <v>2023.05</v>
      </c>
      <c r="B398" s="3052">
        <v>93.861747927786595</v>
      </c>
      <c r="C398" s="3053">
        <v>93.635002087092104</v>
      </c>
    </row>
    <row r="399" spans="1:3" s="1080" customFormat="1" ht="12.75" customHeight="1">
      <c r="A399" s="1074">
        <v>2023.06</v>
      </c>
      <c r="B399" s="3052">
        <v>92.713632671797697</v>
      </c>
      <c r="C399" s="3053">
        <v>93.473637553113207</v>
      </c>
    </row>
    <row r="400" spans="1:3" s="1080" customFormat="1" ht="12.75" customHeight="1">
      <c r="A400" s="1074">
        <v>2023.07</v>
      </c>
      <c r="B400" s="3052">
        <v>92.824165183796097</v>
      </c>
      <c r="C400" s="3053">
        <v>95.657748797473701</v>
      </c>
    </row>
    <row r="401" spans="1:3" s="1080" customFormat="1" ht="12.75" customHeight="1">
      <c r="A401" s="1074">
        <v>2023.08</v>
      </c>
      <c r="B401" s="3052">
        <v>95.193957402103393</v>
      </c>
      <c r="C401" s="3053">
        <v>93.6167631070808</v>
      </c>
    </row>
    <row r="402" spans="1:3" s="1080" customFormat="1" ht="12.75" customHeight="1">
      <c r="A402" s="1074">
        <v>2023.09</v>
      </c>
      <c r="B402" s="3052">
        <v>94.852310982110197</v>
      </c>
      <c r="C402" s="3053">
        <v>93.975772307184101</v>
      </c>
    </row>
    <row r="403" spans="1:3" s="1080" customFormat="1" ht="12.75" customHeight="1">
      <c r="A403" s="1074">
        <v>2023.1</v>
      </c>
      <c r="B403" s="3052">
        <v>96.427559839227499</v>
      </c>
      <c r="C403" s="3053">
        <v>94.466484582985103</v>
      </c>
    </row>
    <row r="404" spans="1:3" s="1080" customFormat="1" ht="12.75" customHeight="1">
      <c r="A404" s="1074">
        <v>2023.11</v>
      </c>
      <c r="B404" s="3052">
        <v>95.890680879502995</v>
      </c>
      <c r="C404" s="3053">
        <v>94.506016047847694</v>
      </c>
    </row>
    <row r="405" spans="1:3" s="1080" customFormat="1" ht="12.75" customHeight="1">
      <c r="A405" s="1074">
        <v>2023.12</v>
      </c>
      <c r="B405" s="3052">
        <v>95.599179389422801</v>
      </c>
      <c r="C405" s="3053">
        <v>95.096180855150095</v>
      </c>
    </row>
    <row r="406" spans="1:3" s="1080" customFormat="1" ht="12.75" customHeight="1">
      <c r="A406" s="1074">
        <v>2024.01</v>
      </c>
      <c r="B406" s="3052">
        <v>97.900419513655706</v>
      </c>
      <c r="C406" s="3053">
        <v>96.163121130574197</v>
      </c>
    </row>
    <row r="407" spans="1:3" s="1080" customFormat="1" ht="12.75" customHeight="1">
      <c r="A407" s="1074">
        <v>2024.02</v>
      </c>
      <c r="B407" s="3052">
        <v>96.718389754086502</v>
      </c>
      <c r="C407" s="3053">
        <v>96.202257271403496</v>
      </c>
    </row>
    <row r="408" spans="1:3" s="1080" customFormat="1" ht="12.75" customHeight="1">
      <c r="A408" s="1074">
        <v>2024.03</v>
      </c>
      <c r="B408" s="3052">
        <v>95.436880819013396</v>
      </c>
      <c r="C408" s="3053">
        <v>97.535999758273704</v>
      </c>
    </row>
    <row r="409" spans="1:3" s="1080" customFormat="1" ht="12.75" customHeight="1">
      <c r="A409" s="1074">
        <v>2024.04</v>
      </c>
      <c r="B409" s="3052">
        <v>96.672307347705996</v>
      </c>
      <c r="C409" s="3053">
        <v>98.8603095445728</v>
      </c>
    </row>
    <row r="410" spans="1:3" s="1080" customFormat="1" ht="12.75" customHeight="1">
      <c r="A410" s="1074">
        <v>2024.05</v>
      </c>
      <c r="B410" s="3052">
        <v>96.8179230151745</v>
      </c>
      <c r="C410" s="3053">
        <v>98.753486855401206</v>
      </c>
    </row>
    <row r="411" spans="1:3" s="1080" customFormat="1" ht="12.75" customHeight="1">
      <c r="A411" s="1074">
        <v>2024.06</v>
      </c>
      <c r="B411" s="3052">
        <v>96.9389121779531</v>
      </c>
      <c r="C411" s="3053">
        <v>98.830194069771494</v>
      </c>
    </row>
    <row r="412" spans="1:3" s="1080" customFormat="1" ht="12.75" customHeight="1">
      <c r="A412" s="1074">
        <v>2024.07</v>
      </c>
      <c r="B412" s="3052">
        <v>96.684910180779696</v>
      </c>
      <c r="C412" s="3053">
        <v>98.184213355381203</v>
      </c>
    </row>
    <row r="413" spans="1:3" s="1080" customFormat="1" ht="12.75" customHeight="1">
      <c r="A413" s="1074">
        <v>2024.08</v>
      </c>
      <c r="B413" s="3052">
        <v>95.779567528686101</v>
      </c>
      <c r="C413" s="3053">
        <v>98.2324551966596</v>
      </c>
    </row>
    <row r="414" spans="1:3" s="1080" customFormat="1" ht="12.75" customHeight="1">
      <c r="A414" s="1074">
        <v>2024.09</v>
      </c>
      <c r="B414" s="3052">
        <v>95.205958575973995</v>
      </c>
      <c r="C414" s="3053">
        <v>97.705416153261694</v>
      </c>
    </row>
    <row r="415" spans="1:3" s="1080" customFormat="1" ht="12.75" customHeight="1">
      <c r="A415" s="1074">
        <v>2024.1</v>
      </c>
      <c r="B415" s="3052">
        <v>95.005181956873301</v>
      </c>
      <c r="C415" s="3053">
        <v>98.4719413575868</v>
      </c>
    </row>
    <row r="416" spans="1:3" s="1080" customFormat="1" ht="12.75" customHeight="1">
      <c r="A416" s="1074">
        <v>2024.11</v>
      </c>
      <c r="B416" s="3052">
        <v>97.435001951710703</v>
      </c>
      <c r="C416" s="3053">
        <v>101.11563129829599</v>
      </c>
    </row>
    <row r="417" spans="1:3" s="1080" customFormat="1" ht="12.75" customHeight="1">
      <c r="A417" s="1074">
        <v>2024.12</v>
      </c>
      <c r="B417" s="3052">
        <v>98.3801080773666</v>
      </c>
      <c r="C417" s="3053">
        <v>102.261520077149</v>
      </c>
    </row>
    <row r="418" spans="1:3" s="1080" customFormat="1" ht="12.75" customHeight="1">
      <c r="A418" s="1074">
        <v>2025.01</v>
      </c>
      <c r="B418" s="3052">
        <v>97.753023210886894</v>
      </c>
      <c r="C418" s="3053">
        <v>101.776338717191</v>
      </c>
    </row>
    <row r="419" spans="1:3" s="1080" customFormat="1" ht="12.75" customHeight="1">
      <c r="A419" s="1074">
        <v>2025.02</v>
      </c>
      <c r="B419" s="3052">
        <v>98.535165858996194</v>
      </c>
      <c r="C419" s="3053">
        <v>101.91347462180001</v>
      </c>
    </row>
    <row r="420" spans="1:3" s="1080" customFormat="1" ht="12.75" customHeight="1">
      <c r="A420" s="1074">
        <v>2025.03</v>
      </c>
      <c r="B420" s="3052">
        <v>98.007202408967999</v>
      </c>
      <c r="C420" s="3053">
        <v>100.683868123379</v>
      </c>
    </row>
    <row r="421" spans="1:3" s="1080" customFormat="1" ht="12.75" customHeight="1">
      <c r="A421" s="1074">
        <v>2025.04</v>
      </c>
      <c r="B421" s="3052">
        <v>95.806839828241394</v>
      </c>
      <c r="C421" s="3053">
        <v>99.772910132514895</v>
      </c>
    </row>
    <row r="422" spans="1:3" s="1080" customFormat="1" ht="12.75" customHeight="1">
      <c r="A422" s="1074">
        <v>2025.05</v>
      </c>
      <c r="B422" s="3052">
        <v>92.245008956581799</v>
      </c>
      <c r="C422" s="3053">
        <v>95.877599425373006</v>
      </c>
    </row>
    <row r="423" spans="1:3" s="1080" customFormat="1" ht="12.75" customHeight="1">
      <c r="A423" s="1074">
        <v>2025.06</v>
      </c>
      <c r="B423" s="3052" t="e">
        <v>#N/A</v>
      </c>
      <c r="C423" s="3053" t="e">
        <v>#N/A</v>
      </c>
    </row>
    <row r="424" spans="1:3" s="1080" customFormat="1" ht="12.75" customHeight="1">
      <c r="A424" s="1074">
        <v>2025.07</v>
      </c>
      <c r="B424" s="3052" t="e">
        <v>#N/A</v>
      </c>
      <c r="C424" s="3053" t="e">
        <v>#N/A</v>
      </c>
    </row>
    <row r="425" spans="1:3" s="1080" customFormat="1" ht="12.75" customHeight="1">
      <c r="A425" s="1074">
        <v>2025.08</v>
      </c>
      <c r="B425" s="3052" t="e">
        <v>#N/A</v>
      </c>
      <c r="C425" s="3053" t="e">
        <v>#N/A</v>
      </c>
    </row>
    <row r="426" spans="1:3" s="1080" customFormat="1" ht="12.75" customHeight="1">
      <c r="A426" s="1074">
        <v>2025.09</v>
      </c>
      <c r="B426" s="3052" t="e">
        <v>#N/A</v>
      </c>
      <c r="C426" s="3053" t="e">
        <v>#N/A</v>
      </c>
    </row>
    <row r="427" spans="1:3" s="1080" customFormat="1" ht="12.75" customHeight="1">
      <c r="A427" s="1074">
        <v>2025.1</v>
      </c>
      <c r="B427" s="3052" t="e">
        <v>#N/A</v>
      </c>
      <c r="C427" s="3053" t="e">
        <v>#N/A</v>
      </c>
    </row>
    <row r="428" spans="1:3" s="1080" customFormat="1" ht="12.75" customHeight="1">
      <c r="A428" s="1074">
        <v>2025.11</v>
      </c>
      <c r="B428" s="3052" t="e">
        <v>#N/A</v>
      </c>
      <c r="C428" s="3053" t="e">
        <v>#N/A</v>
      </c>
    </row>
    <row r="429" spans="1:3" s="1080" customFormat="1" ht="12.75" customHeight="1">
      <c r="A429" s="1074">
        <f>A417+1</f>
        <v>2025.12</v>
      </c>
      <c r="B429" s="3052" t="e">
        <v>#N/A</v>
      </c>
      <c r="C429" s="3053" t="e">
        <v>#N/A</v>
      </c>
    </row>
    <row r="430" spans="1:3" s="1080" customFormat="1" ht="12.75" customHeight="1">
      <c r="A430" s="1074">
        <f t="shared" ref="A430:A488" si="0">A418+1</f>
        <v>2026.01</v>
      </c>
      <c r="B430" s="3052" t="e">
        <v>#N/A</v>
      </c>
      <c r="C430" s="3053" t="e">
        <v>#N/A</v>
      </c>
    </row>
    <row r="431" spans="1:3" s="1080" customFormat="1" ht="12.75" customHeight="1">
      <c r="A431" s="1074">
        <f t="shared" si="0"/>
        <v>2026.02</v>
      </c>
      <c r="B431" s="3052" t="e">
        <v>#N/A</v>
      </c>
      <c r="C431" s="3053" t="e">
        <v>#N/A</v>
      </c>
    </row>
    <row r="432" spans="1:3" s="1080" customFormat="1" ht="12.75" customHeight="1">
      <c r="A432" s="1074">
        <f t="shared" si="0"/>
        <v>2026.03</v>
      </c>
      <c r="B432" s="3052" t="e">
        <v>#N/A</v>
      </c>
      <c r="C432" s="3053" t="e">
        <v>#N/A</v>
      </c>
    </row>
    <row r="433" spans="1:3" s="1080" customFormat="1" ht="12.75" customHeight="1">
      <c r="A433" s="1074">
        <f t="shared" si="0"/>
        <v>2026.04</v>
      </c>
      <c r="B433" s="3052" t="e">
        <v>#N/A</v>
      </c>
      <c r="C433" s="3053" t="e">
        <v>#N/A</v>
      </c>
    </row>
    <row r="434" spans="1:3" s="1080" customFormat="1" ht="12.75" customHeight="1">
      <c r="A434" s="1074">
        <f t="shared" si="0"/>
        <v>2026.05</v>
      </c>
      <c r="B434" s="3052" t="e">
        <v>#N/A</v>
      </c>
      <c r="C434" s="3053" t="e">
        <v>#N/A</v>
      </c>
    </row>
    <row r="435" spans="1:3" s="1080" customFormat="1" ht="12.75" customHeight="1">
      <c r="A435" s="1074">
        <f t="shared" si="0"/>
        <v>2026.06</v>
      </c>
      <c r="B435" s="3052" t="e">
        <v>#N/A</v>
      </c>
      <c r="C435" s="3053" t="e">
        <v>#N/A</v>
      </c>
    </row>
    <row r="436" spans="1:3" s="1080" customFormat="1" ht="12.75" customHeight="1">
      <c r="A436" s="1074">
        <f t="shared" si="0"/>
        <v>2026.07</v>
      </c>
      <c r="B436" s="3052" t="e">
        <v>#N/A</v>
      </c>
      <c r="C436" s="3053" t="e">
        <v>#N/A</v>
      </c>
    </row>
    <row r="437" spans="1:3" s="1080" customFormat="1" ht="12.75" customHeight="1">
      <c r="A437" s="1074">
        <f>A425+1</f>
        <v>2026.08</v>
      </c>
      <c r="B437" s="3052" t="e">
        <v>#N/A</v>
      </c>
      <c r="C437" s="3053" t="e">
        <v>#N/A</v>
      </c>
    </row>
    <row r="438" spans="1:3" s="1080" customFormat="1" ht="12.75" customHeight="1">
      <c r="A438" s="1074">
        <f t="shared" si="0"/>
        <v>2026.09</v>
      </c>
      <c r="B438" s="3052" t="e">
        <v>#N/A</v>
      </c>
      <c r="C438" s="3053" t="e">
        <v>#N/A</v>
      </c>
    </row>
    <row r="439" spans="1:3" s="1080" customFormat="1" ht="12.75" customHeight="1">
      <c r="A439" s="1074">
        <f t="shared" si="0"/>
        <v>2026.1</v>
      </c>
      <c r="B439" s="3052" t="e">
        <v>#N/A</v>
      </c>
      <c r="C439" s="3053" t="e">
        <v>#N/A</v>
      </c>
    </row>
    <row r="440" spans="1:3" s="1080" customFormat="1" ht="12.75" customHeight="1">
      <c r="A440" s="1074">
        <f>A428+1</f>
        <v>2026.11</v>
      </c>
      <c r="B440" s="3052" t="e">
        <v>#N/A</v>
      </c>
      <c r="C440" s="3053" t="e">
        <v>#N/A</v>
      </c>
    </row>
    <row r="441" spans="1:3" s="1080" customFormat="1" ht="12.75" customHeight="1">
      <c r="A441" s="1074">
        <f t="shared" si="0"/>
        <v>2026.12</v>
      </c>
      <c r="B441" s="3052" t="e">
        <v>#N/A</v>
      </c>
      <c r="C441" s="3053" t="e">
        <v>#N/A</v>
      </c>
    </row>
    <row r="442" spans="1:3" s="1080" customFormat="1" ht="12.75" customHeight="1">
      <c r="A442" s="1074">
        <f t="shared" si="0"/>
        <v>2027.01</v>
      </c>
      <c r="B442" s="3052" t="e">
        <v>#N/A</v>
      </c>
      <c r="C442" s="3053" t="e">
        <v>#N/A</v>
      </c>
    </row>
    <row r="443" spans="1:3" s="1080" customFormat="1" ht="12.75" customHeight="1">
      <c r="A443" s="1074">
        <f t="shared" si="0"/>
        <v>2027.02</v>
      </c>
      <c r="B443" s="3052" t="e">
        <v>#N/A</v>
      </c>
      <c r="C443" s="3053" t="e">
        <v>#N/A</v>
      </c>
    </row>
    <row r="444" spans="1:3" s="1080" customFormat="1" ht="12.75" customHeight="1">
      <c r="A444" s="1074">
        <f>A432+1</f>
        <v>2027.03</v>
      </c>
      <c r="B444" s="3052" t="e">
        <v>#N/A</v>
      </c>
      <c r="C444" s="3053" t="e">
        <v>#N/A</v>
      </c>
    </row>
    <row r="445" spans="1:3" s="1080" customFormat="1" ht="12.75" customHeight="1">
      <c r="A445" s="1074">
        <f t="shared" si="0"/>
        <v>2027.04</v>
      </c>
      <c r="B445" s="3052" t="e">
        <v>#N/A</v>
      </c>
      <c r="C445" s="3053" t="e">
        <v>#N/A</v>
      </c>
    </row>
    <row r="446" spans="1:3" s="1080" customFormat="1" ht="12.75" customHeight="1">
      <c r="A446" s="1074">
        <f t="shared" si="0"/>
        <v>2027.05</v>
      </c>
      <c r="B446" s="3052" t="e">
        <v>#N/A</v>
      </c>
      <c r="C446" s="3053" t="e">
        <v>#N/A</v>
      </c>
    </row>
    <row r="447" spans="1:3" s="1080" customFormat="1" ht="12.75" customHeight="1">
      <c r="A447" s="1074">
        <f t="shared" si="0"/>
        <v>2027.06</v>
      </c>
      <c r="B447" s="3052" t="e">
        <v>#N/A</v>
      </c>
      <c r="C447" s="3053" t="e">
        <v>#N/A</v>
      </c>
    </row>
    <row r="448" spans="1:3" s="1080" customFormat="1" ht="12.75" customHeight="1">
      <c r="A448" s="1074">
        <f>A436+1</f>
        <v>2027.07</v>
      </c>
      <c r="B448" s="3052" t="e">
        <v>#N/A</v>
      </c>
      <c r="C448" s="3053" t="e">
        <v>#N/A</v>
      </c>
    </row>
    <row r="449" spans="1:3" s="1080" customFormat="1" ht="12.75" customHeight="1">
      <c r="A449" s="1074">
        <f t="shared" si="0"/>
        <v>2027.08</v>
      </c>
      <c r="B449" s="3052" t="e">
        <v>#N/A</v>
      </c>
      <c r="C449" s="3053" t="e">
        <v>#N/A</v>
      </c>
    </row>
    <row r="450" spans="1:3" s="1080" customFormat="1" ht="12.75" customHeight="1">
      <c r="A450" s="1074">
        <f t="shared" si="0"/>
        <v>2027.09</v>
      </c>
      <c r="B450" s="3052" t="e">
        <v>#N/A</v>
      </c>
      <c r="C450" s="3053" t="e">
        <v>#N/A</v>
      </c>
    </row>
    <row r="451" spans="1:3" s="1080" customFormat="1" ht="12.75" customHeight="1">
      <c r="A451" s="1074">
        <f t="shared" si="0"/>
        <v>2027.1</v>
      </c>
      <c r="B451" s="3052" t="e">
        <v>#N/A</v>
      </c>
      <c r="C451" s="3053" t="e">
        <v>#N/A</v>
      </c>
    </row>
    <row r="452" spans="1:3" s="1080" customFormat="1" ht="12.75" customHeight="1">
      <c r="A452" s="1074">
        <f t="shared" si="0"/>
        <v>2027.11</v>
      </c>
      <c r="B452" s="3052" t="e">
        <v>#N/A</v>
      </c>
      <c r="C452" s="3053" t="e">
        <v>#N/A</v>
      </c>
    </row>
    <row r="453" spans="1:3" s="1080" customFormat="1" ht="12.75" customHeight="1">
      <c r="A453" s="1074">
        <f t="shared" si="0"/>
        <v>2027.12</v>
      </c>
      <c r="B453" s="3052" t="e">
        <v>#N/A</v>
      </c>
      <c r="C453" s="3053" t="e">
        <v>#N/A</v>
      </c>
    </row>
    <row r="454" spans="1:3" s="1080" customFormat="1" ht="12.75" customHeight="1">
      <c r="A454" s="1074">
        <f>A442+1</f>
        <v>2028.01</v>
      </c>
      <c r="B454" s="3052" t="e">
        <v>#N/A</v>
      </c>
      <c r="C454" s="3053" t="e">
        <v>#N/A</v>
      </c>
    </row>
    <row r="455" spans="1:3" s="1080" customFormat="1" ht="12.75" customHeight="1">
      <c r="A455" s="1074">
        <f t="shared" si="0"/>
        <v>2028.02</v>
      </c>
      <c r="B455" s="3052" t="e">
        <v>#N/A</v>
      </c>
      <c r="C455" s="3053" t="e">
        <v>#N/A</v>
      </c>
    </row>
    <row r="456" spans="1:3" s="1080" customFormat="1" ht="12.75" customHeight="1">
      <c r="A456" s="1074">
        <f t="shared" si="0"/>
        <v>2028.03</v>
      </c>
      <c r="B456" s="3052" t="e">
        <v>#N/A</v>
      </c>
      <c r="C456" s="3053" t="e">
        <v>#N/A</v>
      </c>
    </row>
    <row r="457" spans="1:3" s="1080" customFormat="1" ht="12.75" customHeight="1">
      <c r="A457" s="1074">
        <f t="shared" si="0"/>
        <v>2028.04</v>
      </c>
      <c r="B457" s="3052" t="e">
        <v>#N/A</v>
      </c>
      <c r="C457" s="3053" t="e">
        <v>#N/A</v>
      </c>
    </row>
    <row r="458" spans="1:3" s="1080" customFormat="1" ht="12.75" customHeight="1">
      <c r="A458" s="1074">
        <f t="shared" si="0"/>
        <v>2028.05</v>
      </c>
      <c r="B458" s="3052" t="e">
        <v>#N/A</v>
      </c>
      <c r="C458" s="3053" t="e">
        <v>#N/A</v>
      </c>
    </row>
    <row r="459" spans="1:3" s="1080" customFormat="1" ht="12.75" customHeight="1">
      <c r="A459" s="1074">
        <f t="shared" si="0"/>
        <v>2028.06</v>
      </c>
      <c r="B459" s="3052" t="e">
        <v>#N/A</v>
      </c>
      <c r="C459" s="3053" t="e">
        <v>#N/A</v>
      </c>
    </row>
    <row r="460" spans="1:3" s="1080" customFormat="1" ht="12.75" customHeight="1">
      <c r="A460" s="1074">
        <f>A448+1</f>
        <v>2028.07</v>
      </c>
      <c r="B460" s="3052" t="e">
        <v>#N/A</v>
      </c>
      <c r="C460" s="3053" t="e">
        <v>#N/A</v>
      </c>
    </row>
    <row r="461" spans="1:3" s="1080" customFormat="1" ht="12.75" customHeight="1">
      <c r="A461" s="1074">
        <f t="shared" si="0"/>
        <v>2028.08</v>
      </c>
      <c r="B461" s="3052" t="e">
        <v>#N/A</v>
      </c>
      <c r="C461" s="3053" t="e">
        <v>#N/A</v>
      </c>
    </row>
    <row r="462" spans="1:3" s="1080" customFormat="1" ht="12.75" customHeight="1">
      <c r="A462" s="1074">
        <f t="shared" si="0"/>
        <v>2028.09</v>
      </c>
      <c r="B462" s="3052" t="e">
        <v>#N/A</v>
      </c>
      <c r="C462" s="3053" t="e">
        <v>#N/A</v>
      </c>
    </row>
    <row r="463" spans="1:3" s="1080" customFormat="1" ht="12.75" customHeight="1">
      <c r="A463" s="1074">
        <f t="shared" si="0"/>
        <v>2028.1</v>
      </c>
      <c r="B463" s="3052" t="e">
        <v>#N/A</v>
      </c>
      <c r="C463" s="3053" t="e">
        <v>#N/A</v>
      </c>
    </row>
    <row r="464" spans="1:3" s="1080" customFormat="1" ht="12.75" customHeight="1">
      <c r="A464" s="1074">
        <f t="shared" si="0"/>
        <v>2028.11</v>
      </c>
      <c r="B464" s="3052" t="e">
        <v>#N/A</v>
      </c>
      <c r="C464" s="3053" t="e">
        <v>#N/A</v>
      </c>
    </row>
    <row r="465" spans="1:3" s="1080" customFormat="1" ht="12.75" customHeight="1">
      <c r="A465" s="1074">
        <f t="shared" si="0"/>
        <v>2028.12</v>
      </c>
      <c r="B465" s="3052" t="e">
        <v>#N/A</v>
      </c>
      <c r="C465" s="3053" t="e">
        <v>#N/A</v>
      </c>
    </row>
    <row r="466" spans="1:3" s="1080" customFormat="1" ht="12.75" customHeight="1">
      <c r="A466" s="1074">
        <f>A454+1</f>
        <v>2029.01</v>
      </c>
      <c r="B466" s="3052" t="e">
        <v>#N/A</v>
      </c>
      <c r="C466" s="3053" t="e">
        <v>#N/A</v>
      </c>
    </row>
    <row r="467" spans="1:3" s="1080" customFormat="1" ht="12.75" customHeight="1">
      <c r="A467" s="1074">
        <f t="shared" si="0"/>
        <v>2029.02</v>
      </c>
      <c r="B467" s="3052" t="e">
        <v>#N/A</v>
      </c>
      <c r="C467" s="3053" t="e">
        <v>#N/A</v>
      </c>
    </row>
    <row r="468" spans="1:3" s="1080" customFormat="1" ht="12.75" customHeight="1">
      <c r="A468" s="1074">
        <f t="shared" si="0"/>
        <v>2029.03</v>
      </c>
      <c r="B468" s="3052" t="e">
        <v>#N/A</v>
      </c>
      <c r="C468" s="3053" t="e">
        <v>#N/A</v>
      </c>
    </row>
    <row r="469" spans="1:3" s="1080" customFormat="1" ht="12.75" customHeight="1">
      <c r="A469" s="1074">
        <f t="shared" si="0"/>
        <v>2029.04</v>
      </c>
      <c r="B469" s="3052" t="e">
        <v>#N/A</v>
      </c>
      <c r="C469" s="3053" t="e">
        <v>#N/A</v>
      </c>
    </row>
    <row r="470" spans="1:3" s="1080" customFormat="1" ht="12.75" customHeight="1">
      <c r="A470" s="1074">
        <f t="shared" si="0"/>
        <v>2029.05</v>
      </c>
      <c r="B470" s="3052" t="e">
        <v>#N/A</v>
      </c>
      <c r="C470" s="3053" t="e">
        <v>#N/A</v>
      </c>
    </row>
    <row r="471" spans="1:3" s="1080" customFormat="1" ht="12.75" customHeight="1">
      <c r="A471" s="1074">
        <f>A459+1</f>
        <v>2029.06</v>
      </c>
      <c r="B471" s="3052" t="e">
        <v>#N/A</v>
      </c>
      <c r="C471" s="3053" t="e">
        <v>#N/A</v>
      </c>
    </row>
    <row r="472" spans="1:3" s="1080" customFormat="1" ht="12.75" customHeight="1">
      <c r="A472" s="1074">
        <f t="shared" si="0"/>
        <v>2029.07</v>
      </c>
      <c r="B472" s="3052" t="e">
        <v>#N/A</v>
      </c>
      <c r="C472" s="3053" t="e">
        <v>#N/A</v>
      </c>
    </row>
    <row r="473" spans="1:3" s="1080" customFormat="1" ht="12.75" customHeight="1">
      <c r="A473" s="1074">
        <f>A461+1</f>
        <v>2029.08</v>
      </c>
      <c r="B473" s="3052" t="e">
        <v>#N/A</v>
      </c>
      <c r="C473" s="3053" t="e">
        <v>#N/A</v>
      </c>
    </row>
    <row r="474" spans="1:3" s="1080" customFormat="1" ht="12.75" customHeight="1">
      <c r="A474" s="1074">
        <f t="shared" si="0"/>
        <v>2029.09</v>
      </c>
      <c r="B474" s="3052" t="e">
        <v>#N/A</v>
      </c>
      <c r="C474" s="3053" t="e">
        <v>#N/A</v>
      </c>
    </row>
    <row r="475" spans="1:3" s="1080" customFormat="1" ht="12.75" customHeight="1">
      <c r="A475" s="1074">
        <f t="shared" si="0"/>
        <v>2029.1</v>
      </c>
      <c r="B475" s="3052" t="e">
        <v>#N/A</v>
      </c>
      <c r="C475" s="3053" t="e">
        <v>#N/A</v>
      </c>
    </row>
    <row r="476" spans="1:3" s="1080" customFormat="1" ht="12.75" customHeight="1">
      <c r="A476" s="1074">
        <f t="shared" si="0"/>
        <v>2029.11</v>
      </c>
      <c r="B476" s="3052" t="e">
        <v>#N/A</v>
      </c>
      <c r="C476" s="3053" t="e">
        <v>#N/A</v>
      </c>
    </row>
    <row r="477" spans="1:3" s="1080" customFormat="1" ht="12.75" customHeight="1">
      <c r="A477" s="1074">
        <f t="shared" si="0"/>
        <v>2029.12</v>
      </c>
      <c r="B477" s="3052" t="e">
        <v>#N/A</v>
      </c>
      <c r="C477" s="3053" t="e">
        <v>#N/A</v>
      </c>
    </row>
    <row r="478" spans="1:3" s="1080" customFormat="1" ht="12.75" customHeight="1">
      <c r="A478" s="1074">
        <f t="shared" si="0"/>
        <v>2030.01</v>
      </c>
      <c r="B478" s="3052" t="e">
        <v>#N/A</v>
      </c>
      <c r="C478" s="3053" t="e">
        <v>#N/A</v>
      </c>
    </row>
    <row r="479" spans="1:3" s="1080" customFormat="1" ht="12.75" customHeight="1">
      <c r="A479" s="1074">
        <f>A467+1</f>
        <v>2030.02</v>
      </c>
      <c r="B479" s="3052" t="e">
        <v>#N/A</v>
      </c>
      <c r="C479" s="3053" t="e">
        <v>#N/A</v>
      </c>
    </row>
    <row r="480" spans="1:3" s="1080" customFormat="1" ht="12.75" customHeight="1">
      <c r="A480" s="1074">
        <f t="shared" si="0"/>
        <v>2030.03</v>
      </c>
      <c r="B480" s="3052" t="e">
        <v>#N/A</v>
      </c>
      <c r="C480" s="3053" t="e">
        <v>#N/A</v>
      </c>
    </row>
    <row r="481" spans="1:3" s="1080" customFormat="1" ht="12.75" customHeight="1">
      <c r="A481" s="1074">
        <f t="shared" si="0"/>
        <v>2030.04</v>
      </c>
      <c r="B481" s="3052" t="e">
        <v>#N/A</v>
      </c>
      <c r="C481" s="3053" t="e">
        <v>#N/A</v>
      </c>
    </row>
    <row r="482" spans="1:3" s="1080" customFormat="1" ht="12.75" customHeight="1">
      <c r="A482" s="1074">
        <f t="shared" si="0"/>
        <v>2030.05</v>
      </c>
      <c r="B482" s="3052" t="e">
        <v>#N/A</v>
      </c>
      <c r="C482" s="3053" t="e">
        <v>#N/A</v>
      </c>
    </row>
    <row r="483" spans="1:3" s="1080" customFormat="1" ht="12.75" customHeight="1">
      <c r="A483" s="1074">
        <f t="shared" si="0"/>
        <v>2030.06</v>
      </c>
      <c r="B483" s="3052" t="e">
        <v>#N/A</v>
      </c>
      <c r="C483" s="3053" t="e">
        <v>#N/A</v>
      </c>
    </row>
    <row r="484" spans="1:3" s="1080" customFormat="1" ht="12.75" customHeight="1">
      <c r="A484" s="1074">
        <f t="shared" si="0"/>
        <v>2030.07</v>
      </c>
      <c r="B484" s="3052" t="e">
        <v>#N/A</v>
      </c>
      <c r="C484" s="3053" t="e">
        <v>#N/A</v>
      </c>
    </row>
    <row r="485" spans="1:3" s="1080" customFormat="1" ht="12.75" customHeight="1">
      <c r="A485" s="1074">
        <f>A473+1</f>
        <v>2030.08</v>
      </c>
      <c r="B485" s="3052" t="e">
        <v>#N/A</v>
      </c>
      <c r="C485" s="3053" t="e">
        <v>#N/A</v>
      </c>
    </row>
    <row r="486" spans="1:3" s="1080" customFormat="1" ht="12.75" customHeight="1">
      <c r="A486" s="1074">
        <f t="shared" si="0"/>
        <v>2030.09</v>
      </c>
      <c r="B486" s="3052" t="e">
        <v>#N/A</v>
      </c>
      <c r="C486" s="3053" t="e">
        <v>#N/A</v>
      </c>
    </row>
    <row r="487" spans="1:3" s="1080" customFormat="1" ht="12.75" customHeight="1">
      <c r="A487" s="1074">
        <f t="shared" si="0"/>
        <v>2030.1</v>
      </c>
      <c r="B487" s="3052" t="e">
        <v>#N/A</v>
      </c>
      <c r="C487" s="3053" t="e">
        <v>#N/A</v>
      </c>
    </row>
    <row r="488" spans="1:3" s="1080" customFormat="1" ht="12.75" customHeight="1">
      <c r="A488" s="1074">
        <f t="shared" si="0"/>
        <v>2030.11</v>
      </c>
      <c r="B488" s="3052" t="e">
        <v>#N/A</v>
      </c>
      <c r="C488" s="3053" t="e">
        <v>#N/A</v>
      </c>
    </row>
    <row r="489" spans="1:3" s="1080" customFormat="1" ht="12.75" customHeight="1">
      <c r="A489" s="1074">
        <f>A477+1</f>
        <v>2030.12</v>
      </c>
      <c r="B489" s="3052" t="e">
        <v>#N/A</v>
      </c>
      <c r="C489" s="3053" t="e">
        <v>#N/A</v>
      </c>
    </row>
  </sheetData>
  <hyperlinks>
    <hyperlink ref="A5" location="INDICE!A13" display="VOLVER AL INDICE"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pageSetUpPr autoPageBreaks="0"/>
  </sheetPr>
  <dimension ref="A1:O381"/>
  <sheetViews>
    <sheetView zoomScale="130" zoomScaleNormal="130" workbookViewId="0">
      <pane xSplit="1" ySplit="9" topLeftCell="B303" activePane="bottomRight" state="frozen"/>
      <selection pane="topRight" activeCell="A5" sqref="A5"/>
      <selection pane="bottomLeft" activeCell="A5" sqref="A5"/>
      <selection pane="bottomRight" activeCell="H381" sqref="H381"/>
    </sheetView>
  </sheetViews>
  <sheetFormatPr baseColWidth="10" defaultColWidth="11.42578125" defaultRowHeight="12.75"/>
  <cols>
    <col min="1" max="1" width="9" style="1749" customWidth="1"/>
    <col min="2" max="15" width="17" style="1750" customWidth="1"/>
    <col min="16" max="16384" width="11.42578125" style="1750"/>
  </cols>
  <sheetData>
    <row r="1" spans="1:15" s="277" customFormat="1" ht="3" customHeight="1">
      <c r="A1" s="34"/>
      <c r="B1" s="276"/>
      <c r="E1" s="276"/>
      <c r="G1" s="1124"/>
      <c r="H1" s="1121"/>
      <c r="I1" s="1103"/>
      <c r="J1" s="1104"/>
      <c r="K1" s="1105"/>
      <c r="L1" s="1106"/>
      <c r="M1" s="1103"/>
      <c r="N1" s="1104"/>
      <c r="O1" s="1137"/>
    </row>
    <row r="2" spans="1:15" s="277" customFormat="1" ht="22.5">
      <c r="A2" s="59" t="s">
        <v>105</v>
      </c>
      <c r="B2" s="2396" t="s">
        <v>331</v>
      </c>
      <c r="C2" s="278"/>
      <c r="D2" s="278"/>
      <c r="E2" s="2396" t="s">
        <v>332</v>
      </c>
      <c r="F2" s="278"/>
      <c r="G2" s="1125"/>
      <c r="H2" s="1122" t="s">
        <v>333</v>
      </c>
      <c r="I2" s="278"/>
      <c r="J2" s="1107"/>
      <c r="K2" s="1108"/>
      <c r="L2" s="2396" t="s">
        <v>334</v>
      </c>
      <c r="M2" s="278"/>
      <c r="N2" s="1107"/>
      <c r="O2" s="1138"/>
    </row>
    <row r="3" spans="1:15" s="277" customFormat="1">
      <c r="A3" s="59" t="s">
        <v>109</v>
      </c>
      <c r="B3" s="2396" t="s">
        <v>335</v>
      </c>
      <c r="C3" s="278"/>
      <c r="D3" s="278"/>
      <c r="E3" s="278"/>
      <c r="F3" s="278"/>
      <c r="G3" s="1125"/>
      <c r="H3" s="2396" t="s">
        <v>335</v>
      </c>
      <c r="I3" s="1109"/>
      <c r="J3" s="1109"/>
      <c r="K3" s="1110"/>
      <c r="L3" s="2397"/>
      <c r="M3" s="1109"/>
      <c r="N3" s="1109"/>
      <c r="O3" s="1139"/>
    </row>
    <row r="4" spans="1:15" s="277" customFormat="1" ht="9" hidden="1" customHeight="1">
      <c r="A4" s="34"/>
      <c r="B4" s="276"/>
      <c r="E4" s="3054"/>
      <c r="G4" s="3055"/>
      <c r="H4" s="1112"/>
      <c r="I4" s="1111"/>
      <c r="J4" s="1112"/>
      <c r="K4" s="1113"/>
      <c r="L4" s="2398"/>
      <c r="M4" s="1111"/>
      <c r="N4" s="1112"/>
      <c r="O4" s="1140"/>
    </row>
    <row r="5" spans="1:15" s="277" customFormat="1" ht="33.75">
      <c r="A5" s="2390" t="s">
        <v>137</v>
      </c>
      <c r="B5" s="2399" t="s">
        <v>336</v>
      </c>
      <c r="C5" s="719" t="s">
        <v>337</v>
      </c>
      <c r="D5" s="712" t="s">
        <v>338</v>
      </c>
      <c r="E5" s="2399" t="s">
        <v>336</v>
      </c>
      <c r="F5" s="719" t="s">
        <v>337</v>
      </c>
      <c r="G5" s="1115" t="s">
        <v>338</v>
      </c>
      <c r="H5" s="712" t="s">
        <v>338</v>
      </c>
      <c r="I5" s="719" t="s">
        <v>339</v>
      </c>
      <c r="J5" s="1114" t="s">
        <v>340</v>
      </c>
      <c r="K5" s="1115" t="s">
        <v>341</v>
      </c>
      <c r="L5" s="2399" t="s">
        <v>338</v>
      </c>
      <c r="M5" s="719" t="s">
        <v>339</v>
      </c>
      <c r="N5" s="1114" t="s">
        <v>340</v>
      </c>
      <c r="O5" s="720" t="s">
        <v>341</v>
      </c>
    </row>
    <row r="6" spans="1:15" s="277" customFormat="1" ht="5.25" hidden="1" customHeight="1">
      <c r="A6" s="80"/>
      <c r="B6" s="276"/>
      <c r="E6" s="276"/>
      <c r="G6" s="1118"/>
      <c r="I6" s="1116"/>
      <c r="J6" s="1117"/>
      <c r="K6" s="1118"/>
      <c r="L6" s="276"/>
      <c r="M6" s="1116"/>
      <c r="N6" s="1117"/>
      <c r="O6" s="283"/>
    </row>
    <row r="7" spans="1:15" s="277" customFormat="1" ht="22.5">
      <c r="A7" s="2373" t="s">
        <v>123</v>
      </c>
      <c r="B7" s="1096" t="s">
        <v>124</v>
      </c>
      <c r="C7" s="1095" t="s">
        <v>124</v>
      </c>
      <c r="D7" s="1094" t="s">
        <v>124</v>
      </c>
      <c r="E7" s="1096" t="s">
        <v>124</v>
      </c>
      <c r="F7" s="1095" t="s">
        <v>124</v>
      </c>
      <c r="G7" s="1126" t="s">
        <v>124</v>
      </c>
      <c r="H7" s="1123" t="s">
        <v>124</v>
      </c>
      <c r="I7" s="1095" t="s">
        <v>124</v>
      </c>
      <c r="J7" s="1119" t="s">
        <v>124</v>
      </c>
      <c r="K7" s="1115" t="s">
        <v>124</v>
      </c>
      <c r="L7" s="1096" t="s">
        <v>124</v>
      </c>
      <c r="M7" s="1095" t="s">
        <v>124</v>
      </c>
      <c r="N7" s="1119" t="s">
        <v>124</v>
      </c>
      <c r="O7" s="720" t="s">
        <v>124</v>
      </c>
    </row>
    <row r="8" spans="1:15" s="277" customFormat="1" ht="13.5" thickBot="1">
      <c r="A8" s="147" t="s">
        <v>141</v>
      </c>
      <c r="B8" s="2400" t="s">
        <v>342</v>
      </c>
      <c r="C8" s="639" t="s">
        <v>343</v>
      </c>
      <c r="D8" s="149" t="s">
        <v>344</v>
      </c>
      <c r="E8" s="2400" t="s">
        <v>345</v>
      </c>
      <c r="F8" s="639" t="s">
        <v>346</v>
      </c>
      <c r="G8" s="149" t="s">
        <v>347</v>
      </c>
      <c r="H8" s="1143" t="s">
        <v>348</v>
      </c>
      <c r="I8" s="1144" t="s">
        <v>349</v>
      </c>
      <c r="J8" s="1144" t="s">
        <v>350</v>
      </c>
      <c r="K8" s="1145" t="s">
        <v>351</v>
      </c>
      <c r="L8" s="1143" t="s">
        <v>352</v>
      </c>
      <c r="M8" s="1144" t="s">
        <v>353</v>
      </c>
      <c r="N8" s="1144" t="s">
        <v>354</v>
      </c>
      <c r="O8" s="1146" t="s">
        <v>355</v>
      </c>
    </row>
    <row r="9" spans="1:15" s="277" customFormat="1" ht="13.5" hidden="1" thickBot="1">
      <c r="A9" s="72"/>
      <c r="B9" s="280"/>
      <c r="C9" s="717"/>
      <c r="D9" s="282"/>
      <c r="E9" s="281"/>
      <c r="F9" s="717"/>
      <c r="G9" s="282"/>
      <c r="H9" s="281"/>
      <c r="I9" s="717"/>
      <c r="J9" s="1120"/>
      <c r="K9" s="282"/>
      <c r="L9" s="280"/>
      <c r="M9" s="717"/>
      <c r="N9" s="1120"/>
      <c r="O9" s="284"/>
    </row>
    <row r="10" spans="1:15" s="277" customFormat="1">
      <c r="A10" s="2749">
        <v>2000.01</v>
      </c>
      <c r="B10" s="713"/>
      <c r="C10" s="718"/>
      <c r="D10" s="715"/>
      <c r="E10" s="713"/>
      <c r="F10" s="718"/>
      <c r="G10" s="715"/>
      <c r="H10" s="1133">
        <f t="shared" ref="H10:H63" si="0">+I10+J10+K10</f>
        <v>1</v>
      </c>
      <c r="I10" s="1127">
        <v>0.84145999999999999</v>
      </c>
      <c r="J10" s="1128">
        <v>0.10183999999999999</v>
      </c>
      <c r="K10" s="1129">
        <v>5.67E-2</v>
      </c>
      <c r="L10" s="2750"/>
      <c r="M10" s="718"/>
      <c r="N10" s="718"/>
      <c r="O10" s="2751"/>
    </row>
    <row r="11" spans="1:15" s="277" customFormat="1">
      <c r="A11" s="279">
        <v>2000.02</v>
      </c>
      <c r="B11" s="714"/>
      <c r="C11" s="3056"/>
      <c r="D11" s="716"/>
      <c r="E11" s="714"/>
      <c r="F11" s="3056"/>
      <c r="G11" s="716"/>
      <c r="H11" s="1134">
        <f t="shared" si="0"/>
        <v>1</v>
      </c>
      <c r="I11" s="1131">
        <v>0.87629000000000001</v>
      </c>
      <c r="J11" s="3057">
        <v>3.8670000000000003E-2</v>
      </c>
      <c r="K11" s="1878">
        <v>8.5039999999999991E-2</v>
      </c>
      <c r="L11" s="1136"/>
      <c r="M11" s="3056"/>
      <c r="N11" s="3056"/>
      <c r="O11" s="3058"/>
    </row>
    <row r="12" spans="1:15" s="277" customFormat="1">
      <c r="A12" s="279">
        <v>2000.03</v>
      </c>
      <c r="B12" s="714"/>
      <c r="C12" s="3056"/>
      <c r="D12" s="716"/>
      <c r="E12" s="714"/>
      <c r="F12" s="3056"/>
      <c r="G12" s="716"/>
      <c r="H12" s="1134">
        <f t="shared" si="0"/>
        <v>0.99999999999999989</v>
      </c>
      <c r="I12" s="1131">
        <v>0.85397999999999996</v>
      </c>
      <c r="J12" s="3057">
        <v>6.1189999999999994E-2</v>
      </c>
      <c r="K12" s="1878">
        <v>8.4830000000000003E-2</v>
      </c>
      <c r="L12" s="1136"/>
      <c r="M12" s="3056"/>
      <c r="N12" s="3056"/>
      <c r="O12" s="3058"/>
    </row>
    <row r="13" spans="1:15" s="277" customFormat="1">
      <c r="A13" s="279">
        <v>2000.04</v>
      </c>
      <c r="B13" s="714"/>
      <c r="C13" s="3056"/>
      <c r="D13" s="716"/>
      <c r="E13" s="714"/>
      <c r="F13" s="3056"/>
      <c r="G13" s="716"/>
      <c r="H13" s="1134">
        <f t="shared" si="0"/>
        <v>1</v>
      </c>
      <c r="I13" s="1131">
        <v>0.92052999999999996</v>
      </c>
      <c r="J13" s="3057">
        <v>3.3370000000000004E-2</v>
      </c>
      <c r="K13" s="1878">
        <v>4.6100000000000002E-2</v>
      </c>
      <c r="L13" s="1136"/>
      <c r="M13" s="3056"/>
      <c r="N13" s="3056"/>
      <c r="O13" s="3058"/>
    </row>
    <row r="14" spans="1:15" s="277" customFormat="1">
      <c r="A14" s="279">
        <v>2000.05</v>
      </c>
      <c r="B14" s="714"/>
      <c r="C14" s="3056"/>
      <c r="D14" s="716"/>
      <c r="E14" s="714"/>
      <c r="F14" s="3056"/>
      <c r="G14" s="716"/>
      <c r="H14" s="1134">
        <f t="shared" si="0"/>
        <v>1</v>
      </c>
      <c r="I14" s="1131">
        <v>0.83848</v>
      </c>
      <c r="J14" s="3057">
        <v>5.3689999999999995E-2</v>
      </c>
      <c r="K14" s="1878">
        <v>0.10783</v>
      </c>
      <c r="L14" s="1136"/>
      <c r="M14" s="3056"/>
      <c r="N14" s="3056"/>
      <c r="O14" s="3058"/>
    </row>
    <row r="15" spans="1:15" s="277" customFormat="1">
      <c r="A15" s="279">
        <v>2000.06</v>
      </c>
      <c r="B15" s="714"/>
      <c r="C15" s="3056"/>
      <c r="D15" s="716"/>
      <c r="E15" s="714"/>
      <c r="F15" s="3056"/>
      <c r="G15" s="716"/>
      <c r="H15" s="1134">
        <f t="shared" si="0"/>
        <v>1</v>
      </c>
      <c r="I15" s="1131">
        <v>0.83196999999999999</v>
      </c>
      <c r="J15" s="3057">
        <v>6.9839999999999999E-2</v>
      </c>
      <c r="K15" s="1878">
        <v>9.8190000000000013E-2</v>
      </c>
      <c r="L15" s="1136"/>
      <c r="M15" s="3056"/>
      <c r="N15" s="3056"/>
      <c r="O15" s="3058"/>
    </row>
    <row r="16" spans="1:15" s="277" customFormat="1">
      <c r="A16" s="279">
        <v>2000.07</v>
      </c>
      <c r="B16" s="714"/>
      <c r="C16" s="3056"/>
      <c r="D16" s="716"/>
      <c r="E16" s="714"/>
      <c r="F16" s="3056"/>
      <c r="G16" s="716"/>
      <c r="H16" s="1134">
        <f t="shared" si="0"/>
        <v>1</v>
      </c>
      <c r="I16" s="1131">
        <v>0.82783000000000007</v>
      </c>
      <c r="J16" s="3057">
        <v>7.3579999999999993E-2</v>
      </c>
      <c r="K16" s="1878">
        <v>9.8589999999999997E-2</v>
      </c>
      <c r="L16" s="1136"/>
      <c r="M16" s="3056"/>
      <c r="N16" s="3056"/>
      <c r="O16" s="3058"/>
    </row>
    <row r="17" spans="1:15" s="277" customFormat="1">
      <c r="A17" s="279">
        <v>2000.08</v>
      </c>
      <c r="B17" s="714"/>
      <c r="C17" s="3056"/>
      <c r="D17" s="716"/>
      <c r="E17" s="714"/>
      <c r="F17" s="3056"/>
      <c r="G17" s="716"/>
      <c r="H17" s="1134">
        <f t="shared" si="0"/>
        <v>0.99999000000000016</v>
      </c>
      <c r="I17" s="1131">
        <v>0.81793000000000005</v>
      </c>
      <c r="J17" s="3057">
        <v>7.8880000000000006E-2</v>
      </c>
      <c r="K17" s="1878">
        <v>0.10317999999999999</v>
      </c>
      <c r="L17" s="1136"/>
      <c r="M17" s="3056"/>
      <c r="N17" s="3056"/>
      <c r="O17" s="3058"/>
    </row>
    <row r="18" spans="1:15" s="277" customFormat="1">
      <c r="A18" s="279">
        <v>2000.09</v>
      </c>
      <c r="B18" s="714"/>
      <c r="C18" s="3056"/>
      <c r="D18" s="716"/>
      <c r="E18" s="714"/>
      <c r="F18" s="3056"/>
      <c r="G18" s="716"/>
      <c r="H18" s="1134">
        <f t="shared" si="0"/>
        <v>1</v>
      </c>
      <c r="I18" s="1131">
        <v>0.79968000000000006</v>
      </c>
      <c r="J18" s="3057">
        <v>9.2669999999999988E-2</v>
      </c>
      <c r="K18" s="1878">
        <v>0.10765000000000001</v>
      </c>
      <c r="L18" s="1136"/>
      <c r="M18" s="3056"/>
      <c r="N18" s="3056"/>
      <c r="O18" s="3058"/>
    </row>
    <row r="19" spans="1:15" s="277" customFormat="1">
      <c r="A19" s="279">
        <v>2000.1</v>
      </c>
      <c r="B19" s="714"/>
      <c r="C19" s="3056"/>
      <c r="D19" s="716"/>
      <c r="E19" s="714"/>
      <c r="F19" s="3056"/>
      <c r="G19" s="716"/>
      <c r="H19" s="1134">
        <f t="shared" si="0"/>
        <v>0.99999999999999989</v>
      </c>
      <c r="I19" s="1131">
        <v>0.79284999999999994</v>
      </c>
      <c r="J19" s="3057">
        <v>0.11156000000000001</v>
      </c>
      <c r="K19" s="1878">
        <v>9.5589999999999994E-2</v>
      </c>
      <c r="L19" s="1136"/>
      <c r="M19" s="3056"/>
      <c r="N19" s="3056"/>
      <c r="O19" s="3058"/>
    </row>
    <row r="20" spans="1:15" s="277" customFormat="1">
      <c r="A20" s="279">
        <v>2000.11</v>
      </c>
      <c r="B20" s="714"/>
      <c r="C20" s="3056"/>
      <c r="D20" s="716"/>
      <c r="E20" s="714"/>
      <c r="F20" s="3056"/>
      <c r="G20" s="716"/>
      <c r="H20" s="1134">
        <f t="shared" si="0"/>
        <v>1</v>
      </c>
      <c r="I20" s="1131">
        <v>0.77891999999999995</v>
      </c>
      <c r="J20" s="3057">
        <v>0.10157999999999999</v>
      </c>
      <c r="K20" s="1878">
        <v>0.1195</v>
      </c>
      <c r="L20" s="1136"/>
      <c r="M20" s="3056"/>
      <c r="N20" s="3056"/>
      <c r="O20" s="3058"/>
    </row>
    <row r="21" spans="1:15" s="277" customFormat="1">
      <c r="A21" s="279">
        <v>2000.12</v>
      </c>
      <c r="B21" s="714"/>
      <c r="C21" s="3056"/>
      <c r="D21" s="716"/>
      <c r="E21" s="714"/>
      <c r="F21" s="3056"/>
      <c r="G21" s="716"/>
      <c r="H21" s="1134">
        <f t="shared" si="0"/>
        <v>1</v>
      </c>
      <c r="I21" s="1131">
        <v>0.78760000000000008</v>
      </c>
      <c r="J21" s="3057">
        <v>8.7159999999999987E-2</v>
      </c>
      <c r="K21" s="1878">
        <v>0.12523999999999999</v>
      </c>
      <c r="L21" s="1136"/>
      <c r="M21" s="3056"/>
      <c r="N21" s="3056"/>
      <c r="O21" s="3058"/>
    </row>
    <row r="22" spans="1:15" s="277" customFormat="1">
      <c r="A22" s="279">
        <v>2001.01</v>
      </c>
      <c r="B22" s="714"/>
      <c r="C22" s="3056"/>
      <c r="D22" s="716"/>
      <c r="E22" s="714"/>
      <c r="F22" s="3056"/>
      <c r="G22" s="716"/>
      <c r="H22" s="1134">
        <f t="shared" si="0"/>
        <v>1</v>
      </c>
      <c r="I22" s="1131">
        <v>0.82671000000000006</v>
      </c>
      <c r="J22" s="3057">
        <v>8.7750000000000009E-2</v>
      </c>
      <c r="K22" s="1878">
        <v>8.5540000000000005E-2</v>
      </c>
      <c r="L22" s="1136"/>
      <c r="M22" s="3056"/>
      <c r="N22" s="3056"/>
      <c r="O22" s="3058"/>
    </row>
    <row r="23" spans="1:15" s="277" customFormat="1">
      <c r="A23" s="279">
        <v>2001.02</v>
      </c>
      <c r="B23" s="714"/>
      <c r="C23" s="3056"/>
      <c r="D23" s="716"/>
      <c r="E23" s="714"/>
      <c r="F23" s="3056"/>
      <c r="G23" s="716"/>
      <c r="H23" s="1134">
        <f t="shared" si="0"/>
        <v>1</v>
      </c>
      <c r="I23" s="1131">
        <v>0.79154999999999998</v>
      </c>
      <c r="J23" s="3057">
        <v>7.5800000000000006E-2</v>
      </c>
      <c r="K23" s="1878">
        <v>0.13265000000000002</v>
      </c>
      <c r="L23" s="1136"/>
      <c r="M23" s="3056"/>
      <c r="N23" s="3056"/>
      <c r="O23" s="3058"/>
    </row>
    <row r="24" spans="1:15" s="277" customFormat="1">
      <c r="A24" s="279">
        <v>2001.03</v>
      </c>
      <c r="B24" s="714"/>
      <c r="C24" s="3056"/>
      <c r="D24" s="716"/>
      <c r="E24" s="714"/>
      <c r="F24" s="3056"/>
      <c r="G24" s="716"/>
      <c r="H24" s="1134">
        <f t="shared" si="0"/>
        <v>0.99999999999999989</v>
      </c>
      <c r="I24" s="1131">
        <v>0.8107899999999999</v>
      </c>
      <c r="J24" s="3057">
        <v>6.0890000000000007E-2</v>
      </c>
      <c r="K24" s="1878">
        <v>0.12832000000000002</v>
      </c>
      <c r="L24" s="1136"/>
      <c r="M24" s="3056"/>
      <c r="N24" s="3056"/>
      <c r="O24" s="3058"/>
    </row>
    <row r="25" spans="1:15" s="277" customFormat="1">
      <c r="A25" s="279">
        <v>2001.04</v>
      </c>
      <c r="B25" s="714"/>
      <c r="C25" s="3056"/>
      <c r="D25" s="716"/>
      <c r="E25" s="714"/>
      <c r="F25" s="3056"/>
      <c r="G25" s="716"/>
      <c r="H25" s="1134">
        <f t="shared" si="0"/>
        <v>0.99999999999999989</v>
      </c>
      <c r="I25" s="1131">
        <v>0.86356999999999995</v>
      </c>
      <c r="J25" s="3057">
        <v>4.5990000000000003E-2</v>
      </c>
      <c r="K25" s="1878">
        <v>9.0440000000000006E-2</v>
      </c>
      <c r="L25" s="1136"/>
      <c r="M25" s="3056"/>
      <c r="N25" s="3056"/>
      <c r="O25" s="3058"/>
    </row>
    <row r="26" spans="1:15" s="277" customFormat="1">
      <c r="A26" s="279">
        <v>2001.05</v>
      </c>
      <c r="B26" s="714"/>
      <c r="C26" s="3056"/>
      <c r="D26" s="716"/>
      <c r="E26" s="714"/>
      <c r="F26" s="3056"/>
      <c r="G26" s="716"/>
      <c r="H26" s="1134">
        <f t="shared" si="0"/>
        <v>1.0000100000000001</v>
      </c>
      <c r="I26" s="1131">
        <v>0.73784000000000005</v>
      </c>
      <c r="J26" s="3057">
        <v>4.5650000000000003E-2</v>
      </c>
      <c r="K26" s="1878">
        <v>0.21652000000000002</v>
      </c>
      <c r="L26" s="1136"/>
      <c r="M26" s="3056"/>
      <c r="N26" s="3056"/>
      <c r="O26" s="3058"/>
    </row>
    <row r="27" spans="1:15" s="277" customFormat="1">
      <c r="A27" s="279">
        <v>2001.06</v>
      </c>
      <c r="B27" s="714"/>
      <c r="C27" s="3056"/>
      <c r="D27" s="716"/>
      <c r="E27" s="714"/>
      <c r="F27" s="3056"/>
      <c r="G27" s="716"/>
      <c r="H27" s="1134">
        <f t="shared" si="0"/>
        <v>1</v>
      </c>
      <c r="I27" s="1131">
        <v>0.75065999999999999</v>
      </c>
      <c r="J27" s="3057">
        <v>9.512000000000001E-2</v>
      </c>
      <c r="K27" s="1878">
        <v>0.15422</v>
      </c>
      <c r="L27" s="1136"/>
      <c r="M27" s="3056"/>
      <c r="N27" s="3056"/>
      <c r="O27" s="3058"/>
    </row>
    <row r="28" spans="1:15" s="277" customFormat="1">
      <c r="A28" s="279">
        <v>2001.07</v>
      </c>
      <c r="B28" s="714"/>
      <c r="C28" s="3056"/>
      <c r="D28" s="716"/>
      <c r="E28" s="714"/>
      <c r="F28" s="3056"/>
      <c r="G28" s="716"/>
      <c r="H28" s="1134">
        <f t="shared" si="0"/>
        <v>0.99999000000000005</v>
      </c>
      <c r="I28" s="1131">
        <v>0.69947000000000004</v>
      </c>
      <c r="J28" s="3057">
        <v>0.10416</v>
      </c>
      <c r="K28" s="1878">
        <v>0.19635999999999998</v>
      </c>
      <c r="L28" s="1136"/>
      <c r="M28" s="3056"/>
      <c r="N28" s="3056"/>
      <c r="O28" s="3058"/>
    </row>
    <row r="29" spans="1:15" s="277" customFormat="1">
      <c r="A29" s="279">
        <v>2001.08</v>
      </c>
      <c r="B29" s="714"/>
      <c r="C29" s="3056"/>
      <c r="D29" s="716"/>
      <c r="E29" s="714"/>
      <c r="F29" s="3056"/>
      <c r="G29" s="716"/>
      <c r="H29" s="1134">
        <f t="shared" si="0"/>
        <v>1</v>
      </c>
      <c r="I29" s="1131">
        <v>0.78665000000000007</v>
      </c>
      <c r="J29" s="3057">
        <v>6.1490000000000003E-2</v>
      </c>
      <c r="K29" s="1878">
        <v>0.15185999999999999</v>
      </c>
      <c r="L29" s="1136"/>
      <c r="M29" s="3056"/>
      <c r="N29" s="3056"/>
      <c r="O29" s="3058"/>
    </row>
    <row r="30" spans="1:15" s="277" customFormat="1">
      <c r="A30" s="279">
        <v>2001.09</v>
      </c>
      <c r="B30" s="714"/>
      <c r="C30" s="3056"/>
      <c r="D30" s="716"/>
      <c r="E30" s="714"/>
      <c r="F30" s="3056"/>
      <c r="G30" s="716"/>
      <c r="H30" s="1134">
        <f t="shared" si="0"/>
        <v>1</v>
      </c>
      <c r="I30" s="1131">
        <v>0.83329999999999993</v>
      </c>
      <c r="J30" s="3057">
        <v>4.4610000000000004E-2</v>
      </c>
      <c r="K30" s="1878">
        <v>0.12208999999999999</v>
      </c>
      <c r="L30" s="1136"/>
      <c r="M30" s="3056"/>
      <c r="N30" s="3056"/>
      <c r="O30" s="3058"/>
    </row>
    <row r="31" spans="1:15" s="277" customFormat="1">
      <c r="A31" s="279">
        <v>2001.1</v>
      </c>
      <c r="B31" s="714"/>
      <c r="C31" s="3056"/>
      <c r="D31" s="716"/>
      <c r="E31" s="714"/>
      <c r="F31" s="3056"/>
      <c r="G31" s="716"/>
      <c r="H31" s="1134">
        <f t="shared" si="0"/>
        <v>1.0000099999999998</v>
      </c>
      <c r="I31" s="1131">
        <v>0.82453999999999994</v>
      </c>
      <c r="J31" s="3057">
        <v>6.0229999999999999E-2</v>
      </c>
      <c r="K31" s="1878">
        <v>0.11524</v>
      </c>
      <c r="L31" s="1136"/>
      <c r="M31" s="3056"/>
      <c r="N31" s="3056"/>
      <c r="O31" s="3058"/>
    </row>
    <row r="32" spans="1:15" s="277" customFormat="1">
      <c r="A32" s="279">
        <v>2001.11</v>
      </c>
      <c r="B32" s="714"/>
      <c r="C32" s="3056"/>
      <c r="D32" s="716"/>
      <c r="E32" s="714"/>
      <c r="F32" s="3056"/>
      <c r="G32" s="716"/>
      <c r="H32" s="1134">
        <f t="shared" si="0"/>
        <v>0.99999999999999989</v>
      </c>
      <c r="I32" s="1131">
        <v>0.75900999999999996</v>
      </c>
      <c r="J32" s="3057">
        <v>5.9950000000000003E-2</v>
      </c>
      <c r="K32" s="1878">
        <v>0.18103999999999998</v>
      </c>
      <c r="L32" s="1136"/>
      <c r="M32" s="3056"/>
      <c r="N32" s="3056"/>
      <c r="O32" s="3058"/>
    </row>
    <row r="33" spans="1:15" s="277" customFormat="1">
      <c r="A33" s="279">
        <v>2001.12</v>
      </c>
      <c r="B33" s="714"/>
      <c r="C33" s="3056"/>
      <c r="D33" s="716"/>
      <c r="E33" s="714"/>
      <c r="F33" s="3056"/>
      <c r="G33" s="716"/>
      <c r="H33" s="1134">
        <f t="shared" si="0"/>
        <v>1</v>
      </c>
      <c r="I33" s="1131">
        <v>0.81901000000000002</v>
      </c>
      <c r="J33" s="3057">
        <v>2.2380000000000001E-2</v>
      </c>
      <c r="K33" s="1878">
        <v>0.15861</v>
      </c>
      <c r="L33" s="1136"/>
      <c r="M33" s="3056"/>
      <c r="N33" s="3056"/>
      <c r="O33" s="3058"/>
    </row>
    <row r="34" spans="1:15" s="277" customFormat="1">
      <c r="A34" s="279">
        <v>2002.01</v>
      </c>
      <c r="B34" s="714"/>
      <c r="C34" s="3056"/>
      <c r="D34" s="716"/>
      <c r="E34" s="714"/>
      <c r="F34" s="3056"/>
      <c r="G34" s="716"/>
      <c r="H34" s="1134">
        <f t="shared" si="0"/>
        <v>1</v>
      </c>
      <c r="I34" s="1131">
        <v>0.65165000000000006</v>
      </c>
      <c r="J34" s="3057">
        <v>3.3610000000000001E-2</v>
      </c>
      <c r="K34" s="1878">
        <v>0.31474000000000002</v>
      </c>
      <c r="L34" s="1136"/>
      <c r="M34" s="3056"/>
      <c r="N34" s="3056"/>
      <c r="O34" s="3058"/>
    </row>
    <row r="35" spans="1:15" s="277" customFormat="1">
      <c r="A35" s="279">
        <v>2002.02</v>
      </c>
      <c r="B35" s="714"/>
      <c r="C35" s="3056"/>
      <c r="D35" s="716"/>
      <c r="E35" s="714"/>
      <c r="F35" s="3056"/>
      <c r="G35" s="716"/>
      <c r="H35" s="1134">
        <f t="shared" si="0"/>
        <v>0.99999999999999989</v>
      </c>
      <c r="I35" s="1131">
        <v>0.69519999999999993</v>
      </c>
      <c r="J35" s="3057">
        <v>5.5990000000000005E-2</v>
      </c>
      <c r="K35" s="1878">
        <v>0.24881</v>
      </c>
      <c r="L35" s="1136"/>
      <c r="M35" s="3056"/>
      <c r="N35" s="3056"/>
      <c r="O35" s="3058"/>
    </row>
    <row r="36" spans="1:15" s="277" customFormat="1">
      <c r="A36" s="279">
        <v>2002.03</v>
      </c>
      <c r="B36" s="714"/>
      <c r="C36" s="3056"/>
      <c r="D36" s="716"/>
      <c r="E36" s="714"/>
      <c r="F36" s="3056"/>
      <c r="G36" s="716"/>
      <c r="H36" s="1134">
        <f t="shared" si="0"/>
        <v>1</v>
      </c>
      <c r="I36" s="1131">
        <v>0.79921000000000009</v>
      </c>
      <c r="J36" s="3057">
        <v>2.6329999999999999E-2</v>
      </c>
      <c r="K36" s="1878">
        <v>0.17446</v>
      </c>
      <c r="L36" s="1136"/>
      <c r="M36" s="3056"/>
      <c r="N36" s="3056"/>
      <c r="O36" s="3058"/>
    </row>
    <row r="37" spans="1:15" s="277" customFormat="1">
      <c r="A37" s="279">
        <v>2002.04</v>
      </c>
      <c r="B37" s="714"/>
      <c r="C37" s="3056"/>
      <c r="D37" s="716"/>
      <c r="E37" s="714"/>
      <c r="F37" s="3056"/>
      <c r="G37" s="716"/>
      <c r="H37" s="1134">
        <f t="shared" si="0"/>
        <v>1.0000100000000001</v>
      </c>
      <c r="I37" s="1131">
        <v>0.81589</v>
      </c>
      <c r="J37" s="3057">
        <v>1.9870000000000002E-2</v>
      </c>
      <c r="K37" s="1878">
        <v>0.16425000000000001</v>
      </c>
      <c r="L37" s="1136"/>
      <c r="M37" s="3056"/>
      <c r="N37" s="3056"/>
      <c r="O37" s="3058"/>
    </row>
    <row r="38" spans="1:15" s="277" customFormat="1">
      <c r="A38" s="279">
        <v>2002.05</v>
      </c>
      <c r="B38" s="714"/>
      <c r="C38" s="3056"/>
      <c r="D38" s="716"/>
      <c r="E38" s="714"/>
      <c r="F38" s="3056"/>
      <c r="G38" s="716"/>
      <c r="H38" s="1134">
        <f t="shared" si="0"/>
        <v>0.99999999999999989</v>
      </c>
      <c r="I38" s="1131">
        <v>0.85368999999999995</v>
      </c>
      <c r="J38" s="3057">
        <v>3.5019999999999996E-2</v>
      </c>
      <c r="K38" s="1878">
        <v>0.11129</v>
      </c>
      <c r="L38" s="1136"/>
      <c r="M38" s="3056"/>
      <c r="N38" s="3056"/>
      <c r="O38" s="3058"/>
    </row>
    <row r="39" spans="1:15" s="277" customFormat="1">
      <c r="A39" s="279">
        <v>2002.06</v>
      </c>
      <c r="B39" s="714"/>
      <c r="C39" s="3056"/>
      <c r="D39" s="716"/>
      <c r="E39" s="714"/>
      <c r="F39" s="3056"/>
      <c r="G39" s="716"/>
      <c r="H39" s="1134">
        <f t="shared" si="0"/>
        <v>0.99999000000000005</v>
      </c>
      <c r="I39" s="1131">
        <v>0.87934000000000001</v>
      </c>
      <c r="J39" s="3057">
        <v>1.678E-2</v>
      </c>
      <c r="K39" s="1878">
        <v>0.10387</v>
      </c>
      <c r="L39" s="1136"/>
      <c r="M39" s="3056"/>
      <c r="N39" s="3056"/>
      <c r="O39" s="3058"/>
    </row>
    <row r="40" spans="1:15" s="277" customFormat="1">
      <c r="A40" s="279">
        <v>2002.07</v>
      </c>
      <c r="B40" s="714"/>
      <c r="C40" s="3056"/>
      <c r="D40" s="716"/>
      <c r="E40" s="714"/>
      <c r="F40" s="3056"/>
      <c r="G40" s="716"/>
      <c r="H40" s="1134">
        <f t="shared" si="0"/>
        <v>1</v>
      </c>
      <c r="I40" s="1131">
        <v>0.86111000000000004</v>
      </c>
      <c r="J40" s="3057">
        <v>6.4610000000000001E-2</v>
      </c>
      <c r="K40" s="1878">
        <v>7.4279999999999999E-2</v>
      </c>
      <c r="L40" s="1136"/>
      <c r="M40" s="3056"/>
      <c r="N40" s="3056"/>
      <c r="O40" s="3058"/>
    </row>
    <row r="41" spans="1:15" s="277" customFormat="1">
      <c r="A41" s="279">
        <v>2002.08</v>
      </c>
      <c r="B41" s="714"/>
      <c r="C41" s="3056"/>
      <c r="D41" s="716"/>
      <c r="E41" s="714"/>
      <c r="F41" s="3056"/>
      <c r="G41" s="716"/>
      <c r="H41" s="1134">
        <f t="shared" si="0"/>
        <v>1</v>
      </c>
      <c r="I41" s="1131">
        <v>0.90233999999999992</v>
      </c>
      <c r="J41" s="3057">
        <v>1.8189999999999998E-2</v>
      </c>
      <c r="K41" s="1878">
        <v>7.9469999999999999E-2</v>
      </c>
      <c r="L41" s="1136"/>
      <c r="M41" s="3056"/>
      <c r="N41" s="3056"/>
      <c r="O41" s="3058"/>
    </row>
    <row r="42" spans="1:15" s="277" customFormat="1">
      <c r="A42" s="279">
        <v>2002.09</v>
      </c>
      <c r="B42" s="714"/>
      <c r="C42" s="3056"/>
      <c r="D42" s="716"/>
      <c r="E42" s="714"/>
      <c r="F42" s="3056"/>
      <c r="G42" s="716"/>
      <c r="H42" s="1134">
        <f t="shared" si="0"/>
        <v>1</v>
      </c>
      <c r="I42" s="1131">
        <v>0.89555000000000007</v>
      </c>
      <c r="J42" s="3057">
        <v>3.3599999999999998E-2</v>
      </c>
      <c r="K42" s="1878">
        <v>7.0849999999999996E-2</v>
      </c>
      <c r="L42" s="1136"/>
      <c r="M42" s="3056"/>
      <c r="N42" s="3056"/>
      <c r="O42" s="3058"/>
    </row>
    <row r="43" spans="1:15" s="277" customFormat="1">
      <c r="A43" s="279">
        <v>2002.1</v>
      </c>
      <c r="B43" s="714"/>
      <c r="C43" s="3056"/>
      <c r="D43" s="716"/>
      <c r="E43" s="714"/>
      <c r="F43" s="3056"/>
      <c r="G43" s="716"/>
      <c r="H43" s="1134">
        <f t="shared" si="0"/>
        <v>0.99999999999999989</v>
      </c>
      <c r="I43" s="1131">
        <v>0.88650999999999991</v>
      </c>
      <c r="J43" s="3057">
        <v>6.8460000000000007E-2</v>
      </c>
      <c r="K43" s="1878">
        <v>4.5030000000000001E-2</v>
      </c>
      <c r="L43" s="1136"/>
      <c r="M43" s="3056"/>
      <c r="N43" s="3056"/>
      <c r="O43" s="3058"/>
    </row>
    <row r="44" spans="1:15" s="277" customFormat="1">
      <c r="A44" s="279">
        <v>2002.11</v>
      </c>
      <c r="B44" s="714"/>
      <c r="C44" s="3056"/>
      <c r="D44" s="716"/>
      <c r="E44" s="714"/>
      <c r="F44" s="3056"/>
      <c r="G44" s="716"/>
      <c r="H44" s="1134">
        <f t="shared" si="0"/>
        <v>1</v>
      </c>
      <c r="I44" s="1131">
        <v>0.89056000000000002</v>
      </c>
      <c r="J44" s="3057">
        <v>8.0090000000000008E-2</v>
      </c>
      <c r="K44" s="1878">
        <v>2.9350000000000001E-2</v>
      </c>
      <c r="L44" s="1136"/>
      <c r="M44" s="3056"/>
      <c r="N44" s="3056"/>
      <c r="O44" s="3058"/>
    </row>
    <row r="45" spans="1:15" s="277" customFormat="1">
      <c r="A45" s="279">
        <v>2002.12</v>
      </c>
      <c r="B45" s="714"/>
      <c r="C45" s="3056"/>
      <c r="D45" s="716"/>
      <c r="E45" s="714"/>
      <c r="F45" s="3056"/>
      <c r="G45" s="716"/>
      <c r="H45" s="1134">
        <f t="shared" si="0"/>
        <v>1</v>
      </c>
      <c r="I45" s="1131">
        <v>0.86112</v>
      </c>
      <c r="J45" s="3057">
        <v>6.973E-2</v>
      </c>
      <c r="K45" s="1878">
        <v>6.9150000000000003E-2</v>
      </c>
      <c r="L45" s="1136"/>
      <c r="M45" s="3056"/>
      <c r="N45" s="3056"/>
      <c r="O45" s="3058"/>
    </row>
    <row r="46" spans="1:15" s="277" customFormat="1">
      <c r="A46" s="279">
        <v>2003.01</v>
      </c>
      <c r="B46" s="714"/>
      <c r="C46" s="3056"/>
      <c r="D46" s="716"/>
      <c r="E46" s="714"/>
      <c r="F46" s="3056"/>
      <c r="G46" s="716"/>
      <c r="H46" s="1134">
        <f t="shared" si="0"/>
        <v>1</v>
      </c>
      <c r="I46" s="1131">
        <v>0.87458000000000002</v>
      </c>
      <c r="J46" s="3057">
        <v>9.443E-2</v>
      </c>
      <c r="K46" s="1878">
        <v>3.0990000000000004E-2</v>
      </c>
      <c r="L46" s="1136"/>
      <c r="M46" s="3056"/>
      <c r="N46" s="3056"/>
      <c r="O46" s="3058"/>
    </row>
    <row r="47" spans="1:15" s="277" customFormat="1">
      <c r="A47" s="279">
        <v>2003.02</v>
      </c>
      <c r="B47" s="714"/>
      <c r="C47" s="3056"/>
      <c r="D47" s="716"/>
      <c r="E47" s="714"/>
      <c r="F47" s="3056"/>
      <c r="G47" s="716"/>
      <c r="H47" s="1134">
        <f t="shared" si="0"/>
        <v>0.99999999999999989</v>
      </c>
      <c r="I47" s="1131">
        <v>0.82590999999999992</v>
      </c>
      <c r="J47" s="3057">
        <v>0.10949999999999999</v>
      </c>
      <c r="K47" s="1878">
        <v>6.4589999999999995E-2</v>
      </c>
      <c r="L47" s="1136"/>
      <c r="M47" s="3056"/>
      <c r="N47" s="3056"/>
      <c r="O47" s="3058"/>
    </row>
    <row r="48" spans="1:15" s="277" customFormat="1">
      <c r="A48" s="279">
        <v>2003.03</v>
      </c>
      <c r="B48" s="714"/>
      <c r="C48" s="3056"/>
      <c r="D48" s="716"/>
      <c r="E48" s="714"/>
      <c r="F48" s="3056"/>
      <c r="G48" s="716"/>
      <c r="H48" s="1134">
        <f t="shared" si="0"/>
        <v>0.99998999999999993</v>
      </c>
      <c r="I48" s="1131">
        <v>0.8494799999999999</v>
      </c>
      <c r="J48" s="3057">
        <v>0.11349000000000001</v>
      </c>
      <c r="K48" s="1878">
        <v>3.7019999999999997E-2</v>
      </c>
      <c r="L48" s="1136"/>
      <c r="M48" s="3056"/>
      <c r="N48" s="3056"/>
      <c r="O48" s="3058"/>
    </row>
    <row r="49" spans="1:15" s="277" customFormat="1">
      <c r="A49" s="279">
        <v>2003.04</v>
      </c>
      <c r="B49" s="714"/>
      <c r="C49" s="3056"/>
      <c r="D49" s="716"/>
      <c r="E49" s="714"/>
      <c r="F49" s="3056"/>
      <c r="G49" s="716"/>
      <c r="H49" s="1134">
        <f t="shared" si="0"/>
        <v>0.99999999999999989</v>
      </c>
      <c r="I49" s="1131">
        <v>0.89575999999999989</v>
      </c>
      <c r="J49" s="3057">
        <v>7.2300000000000003E-2</v>
      </c>
      <c r="K49" s="1878">
        <v>3.1939999999999996E-2</v>
      </c>
      <c r="L49" s="1136"/>
      <c r="M49" s="3056"/>
      <c r="N49" s="3056"/>
      <c r="O49" s="3058"/>
    </row>
    <row r="50" spans="1:15" s="277" customFormat="1">
      <c r="A50" s="279">
        <v>2003.05</v>
      </c>
      <c r="B50" s="714"/>
      <c r="C50" s="3056"/>
      <c r="D50" s="716"/>
      <c r="E50" s="714"/>
      <c r="F50" s="3056"/>
      <c r="G50" s="716"/>
      <c r="H50" s="1134">
        <f t="shared" si="0"/>
        <v>1</v>
      </c>
      <c r="I50" s="1131">
        <v>0.86900999999999995</v>
      </c>
      <c r="J50" s="3057">
        <v>8.4330000000000002E-2</v>
      </c>
      <c r="K50" s="1878">
        <v>4.6660000000000007E-2</v>
      </c>
      <c r="L50" s="1136"/>
      <c r="M50" s="3056"/>
      <c r="N50" s="3056"/>
      <c r="O50" s="3058"/>
    </row>
    <row r="51" spans="1:15" s="277" customFormat="1">
      <c r="A51" s="279">
        <v>2003.06</v>
      </c>
      <c r="B51" s="714"/>
      <c r="C51" s="3056"/>
      <c r="D51" s="716"/>
      <c r="E51" s="714"/>
      <c r="F51" s="3056"/>
      <c r="G51" s="716"/>
      <c r="H51" s="1134">
        <f t="shared" si="0"/>
        <v>1</v>
      </c>
      <c r="I51" s="1131">
        <v>0.87104999999999999</v>
      </c>
      <c r="J51" s="3057">
        <v>8.3089999999999997E-2</v>
      </c>
      <c r="K51" s="1878">
        <v>4.5860000000000005E-2</v>
      </c>
      <c r="L51" s="1136"/>
      <c r="M51" s="3056"/>
      <c r="N51" s="3056"/>
      <c r="O51" s="3058"/>
    </row>
    <row r="52" spans="1:15" s="277" customFormat="1">
      <c r="A52" s="279">
        <v>2003.07</v>
      </c>
      <c r="B52" s="714"/>
      <c r="C52" s="3056"/>
      <c r="D52" s="716"/>
      <c r="E52" s="714"/>
      <c r="F52" s="3056"/>
      <c r="G52" s="716"/>
      <c r="H52" s="1134">
        <f t="shared" si="0"/>
        <v>1</v>
      </c>
      <c r="I52" s="1131">
        <v>0.82245999999999997</v>
      </c>
      <c r="J52" s="3057">
        <v>0.15032000000000001</v>
      </c>
      <c r="K52" s="1878">
        <v>2.7220000000000001E-2</v>
      </c>
      <c r="L52" s="1136"/>
      <c r="M52" s="3056"/>
      <c r="N52" s="3056"/>
      <c r="O52" s="3058"/>
    </row>
    <row r="53" spans="1:15" s="277" customFormat="1">
      <c r="A53" s="279">
        <v>2003.08</v>
      </c>
      <c r="B53" s="714"/>
      <c r="C53" s="3056"/>
      <c r="D53" s="716"/>
      <c r="E53" s="714"/>
      <c r="F53" s="3056"/>
      <c r="G53" s="716"/>
      <c r="H53" s="1134">
        <f t="shared" si="0"/>
        <v>0.99999999999999989</v>
      </c>
      <c r="I53" s="1131">
        <v>0.83451999999999993</v>
      </c>
      <c r="J53" s="3057">
        <v>0.1356</v>
      </c>
      <c r="K53" s="1878">
        <v>2.988E-2</v>
      </c>
      <c r="L53" s="1136"/>
      <c r="M53" s="3056"/>
      <c r="N53" s="3056"/>
      <c r="O53" s="3058"/>
    </row>
    <row r="54" spans="1:15" s="277" customFormat="1">
      <c r="A54" s="279">
        <v>2003.09</v>
      </c>
      <c r="B54" s="714"/>
      <c r="C54" s="3056"/>
      <c r="D54" s="716"/>
      <c r="E54" s="714"/>
      <c r="F54" s="3056"/>
      <c r="G54" s="716"/>
      <c r="H54" s="1134">
        <f t="shared" si="0"/>
        <v>1.0000100000000001</v>
      </c>
      <c r="I54" s="1131">
        <v>0.86296000000000006</v>
      </c>
      <c r="J54" s="3057">
        <v>0.12086999999999999</v>
      </c>
      <c r="K54" s="1878">
        <v>1.618E-2</v>
      </c>
      <c r="L54" s="1136"/>
      <c r="M54" s="3056"/>
      <c r="N54" s="3056"/>
      <c r="O54" s="3058"/>
    </row>
    <row r="55" spans="1:15" s="277" customFormat="1">
      <c r="A55" s="279">
        <v>2003.1</v>
      </c>
      <c r="B55" s="714"/>
      <c r="C55" s="3056"/>
      <c r="D55" s="716"/>
      <c r="E55" s="714"/>
      <c r="F55" s="3056"/>
      <c r="G55" s="716"/>
      <c r="H55" s="1134">
        <f t="shared" si="0"/>
        <v>1</v>
      </c>
      <c r="I55" s="1131">
        <v>0.85668999999999995</v>
      </c>
      <c r="J55" s="3057">
        <v>0.11343</v>
      </c>
      <c r="K55" s="1878">
        <v>2.988E-2</v>
      </c>
      <c r="L55" s="1136"/>
      <c r="M55" s="3056"/>
      <c r="N55" s="3056"/>
      <c r="O55" s="3058"/>
    </row>
    <row r="56" spans="1:15" s="277" customFormat="1">
      <c r="A56" s="279">
        <v>2003.11</v>
      </c>
      <c r="B56" s="714"/>
      <c r="C56" s="3056"/>
      <c r="D56" s="716"/>
      <c r="E56" s="714"/>
      <c r="F56" s="3056"/>
      <c r="G56" s="716"/>
      <c r="H56" s="1134">
        <f t="shared" si="0"/>
        <v>1</v>
      </c>
      <c r="I56" s="1131">
        <v>0.81589</v>
      </c>
      <c r="J56" s="3057">
        <v>0.13244</v>
      </c>
      <c r="K56" s="1878">
        <v>5.1670000000000001E-2</v>
      </c>
      <c r="L56" s="1136"/>
      <c r="M56" s="3056"/>
      <c r="N56" s="3056"/>
      <c r="O56" s="3058"/>
    </row>
    <row r="57" spans="1:15" s="277" customFormat="1">
      <c r="A57" s="279">
        <v>2003.12</v>
      </c>
      <c r="B57" s="714"/>
      <c r="C57" s="3056"/>
      <c r="D57" s="716"/>
      <c r="E57" s="714"/>
      <c r="F57" s="3056"/>
      <c r="G57" s="716"/>
      <c r="H57" s="1134">
        <f t="shared" si="0"/>
        <v>1</v>
      </c>
      <c r="I57" s="1131">
        <v>0.85367999999999999</v>
      </c>
      <c r="J57" s="3057">
        <v>0.11090999999999999</v>
      </c>
      <c r="K57" s="1878">
        <v>3.5409999999999997E-2</v>
      </c>
      <c r="L57" s="1136"/>
      <c r="M57" s="3056"/>
      <c r="N57" s="3056"/>
      <c r="O57" s="3058"/>
    </row>
    <row r="58" spans="1:15" s="277" customFormat="1">
      <c r="A58" s="279">
        <v>2004.01</v>
      </c>
      <c r="B58" s="714"/>
      <c r="C58" s="3056"/>
      <c r="D58" s="716"/>
      <c r="E58" s="714"/>
      <c r="F58" s="3056"/>
      <c r="G58" s="716"/>
      <c r="H58" s="1134">
        <f t="shared" si="0"/>
        <v>0.99998999999999993</v>
      </c>
      <c r="I58" s="1131">
        <v>0.82602999999999993</v>
      </c>
      <c r="J58" s="3057">
        <v>0.13833999999999999</v>
      </c>
      <c r="K58" s="1878">
        <v>3.5619999999999999E-2</v>
      </c>
      <c r="L58" s="1136"/>
      <c r="M58" s="3056"/>
      <c r="N58" s="3056"/>
      <c r="O58" s="3058"/>
    </row>
    <row r="59" spans="1:15" s="277" customFormat="1">
      <c r="A59" s="279">
        <v>2004.02</v>
      </c>
      <c r="B59" s="714"/>
      <c r="C59" s="3056"/>
      <c r="D59" s="716"/>
      <c r="E59" s="714"/>
      <c r="F59" s="3056"/>
      <c r="G59" s="716"/>
      <c r="H59" s="1134">
        <f t="shared" si="0"/>
        <v>1</v>
      </c>
      <c r="I59" s="1131">
        <v>0.88655000000000006</v>
      </c>
      <c r="J59" s="3057">
        <v>0.10253</v>
      </c>
      <c r="K59" s="1878">
        <v>1.0920000000000001E-2</v>
      </c>
      <c r="L59" s="1136"/>
      <c r="M59" s="3056"/>
      <c r="N59" s="3056"/>
      <c r="O59" s="3058"/>
    </row>
    <row r="60" spans="1:15" s="277" customFormat="1">
      <c r="A60" s="279">
        <v>2004.03</v>
      </c>
      <c r="B60" s="714"/>
      <c r="C60" s="3056"/>
      <c r="D60" s="716"/>
      <c r="E60" s="714"/>
      <c r="F60" s="3056"/>
      <c r="G60" s="716"/>
      <c r="H60" s="1134">
        <f t="shared" si="0"/>
        <v>1</v>
      </c>
      <c r="I60" s="1131">
        <v>0.89161000000000001</v>
      </c>
      <c r="J60" s="3057">
        <v>0.10003000000000001</v>
      </c>
      <c r="K60" s="1878">
        <v>8.3599999999999994E-3</v>
      </c>
      <c r="L60" s="1136"/>
      <c r="M60" s="3056"/>
      <c r="N60" s="3056"/>
      <c r="O60" s="3058"/>
    </row>
    <row r="61" spans="1:15" s="277" customFormat="1">
      <c r="A61" s="279">
        <v>2004.04</v>
      </c>
      <c r="B61" s="714"/>
      <c r="C61" s="3056"/>
      <c r="D61" s="716"/>
      <c r="E61" s="714"/>
      <c r="F61" s="3056"/>
      <c r="G61" s="716"/>
      <c r="H61" s="1134">
        <f t="shared" si="0"/>
        <v>1</v>
      </c>
      <c r="I61" s="1131">
        <v>0.91712000000000005</v>
      </c>
      <c r="J61" s="3057">
        <v>5.8349999999999999E-2</v>
      </c>
      <c r="K61" s="1878">
        <v>2.453E-2</v>
      </c>
      <c r="L61" s="1136"/>
      <c r="M61" s="3056"/>
      <c r="N61" s="3056"/>
      <c r="O61" s="3058"/>
    </row>
    <row r="62" spans="1:15" s="277" customFormat="1">
      <c r="A62" s="279">
        <v>2004.05</v>
      </c>
      <c r="B62" s="714"/>
      <c r="C62" s="3056"/>
      <c r="D62" s="716"/>
      <c r="E62" s="714"/>
      <c r="F62" s="3056"/>
      <c r="G62" s="716"/>
      <c r="H62" s="1134">
        <f t="shared" si="0"/>
        <v>0.99998999999999993</v>
      </c>
      <c r="I62" s="1131">
        <v>0.86671999999999993</v>
      </c>
      <c r="J62" s="3057">
        <v>8.8510000000000005E-2</v>
      </c>
      <c r="K62" s="1878">
        <v>4.4760000000000001E-2</v>
      </c>
      <c r="L62" s="1136"/>
      <c r="M62" s="3056"/>
      <c r="N62" s="3056"/>
      <c r="O62" s="3058"/>
    </row>
    <row r="63" spans="1:15" s="277" customFormat="1">
      <c r="A63" s="279">
        <v>2004.06</v>
      </c>
      <c r="B63" s="714"/>
      <c r="C63" s="3056"/>
      <c r="D63" s="716"/>
      <c r="E63" s="714"/>
      <c r="F63" s="3056"/>
      <c r="G63" s="1130"/>
      <c r="H63" s="1134">
        <f t="shared" si="0"/>
        <v>1</v>
      </c>
      <c r="I63" s="1131">
        <v>0.88861999999999997</v>
      </c>
      <c r="J63" s="3057">
        <v>8.9019999999999988E-2</v>
      </c>
      <c r="K63" s="1878">
        <v>2.2360000000000001E-2</v>
      </c>
      <c r="L63" s="1130"/>
      <c r="M63" s="3056"/>
      <c r="N63" s="1130"/>
      <c r="O63" s="3058"/>
    </row>
    <row r="64" spans="1:15" s="277" customFormat="1">
      <c r="A64" s="279">
        <v>2004.07</v>
      </c>
      <c r="B64" s="714"/>
      <c r="C64" s="3056"/>
      <c r="D64" s="716"/>
      <c r="E64" s="714"/>
      <c r="F64" s="3056"/>
      <c r="G64" s="1130"/>
      <c r="H64" s="1134">
        <f>+I64+J64+K64</f>
        <v>0.99998999999999993</v>
      </c>
      <c r="I64" s="1131">
        <v>0.89878000000000002</v>
      </c>
      <c r="J64" s="3057">
        <v>8.0169999999999991E-2</v>
      </c>
      <c r="K64" s="1878">
        <v>2.104E-2</v>
      </c>
      <c r="L64" s="714"/>
      <c r="M64" s="3056"/>
      <c r="N64" s="1130"/>
      <c r="O64" s="3058"/>
    </row>
    <row r="65" spans="1:15" s="277" customFormat="1">
      <c r="A65" s="279">
        <v>2004.08</v>
      </c>
      <c r="B65" s="714"/>
      <c r="C65" s="3056"/>
      <c r="D65" s="716"/>
      <c r="E65" s="714"/>
      <c r="F65" s="3056"/>
      <c r="G65" s="1130"/>
      <c r="H65" s="1134">
        <f t="shared" ref="H65:H128" si="1">+I65+J65+K65</f>
        <v>0.99999999999999989</v>
      </c>
      <c r="I65" s="1131">
        <v>0.84767999999999999</v>
      </c>
      <c r="J65" s="3057">
        <v>0.13299</v>
      </c>
      <c r="K65" s="1878">
        <v>1.933E-2</v>
      </c>
      <c r="L65" s="714"/>
      <c r="M65" s="3056"/>
      <c r="N65" s="1130"/>
      <c r="O65" s="3058"/>
    </row>
    <row r="66" spans="1:15" s="277" customFormat="1">
      <c r="A66" s="279">
        <v>2004.09</v>
      </c>
      <c r="B66" s="714"/>
      <c r="C66" s="3056"/>
      <c r="D66" s="716"/>
      <c r="E66" s="714"/>
      <c r="F66" s="3056"/>
      <c r="G66" s="1130"/>
      <c r="H66" s="1134">
        <f t="shared" si="1"/>
        <v>1</v>
      </c>
      <c r="I66" s="1131">
        <v>0.91189999999999993</v>
      </c>
      <c r="J66" s="3057">
        <v>8.4739999999999996E-2</v>
      </c>
      <c r="K66" s="1878">
        <v>3.3600000000000001E-3</v>
      </c>
      <c r="L66" s="714"/>
      <c r="M66" s="3056"/>
      <c r="N66" s="1130"/>
      <c r="O66" s="3058"/>
    </row>
    <row r="67" spans="1:15" s="277" customFormat="1">
      <c r="A67" s="279">
        <v>2004.1</v>
      </c>
      <c r="B67" s="714"/>
      <c r="C67" s="3056"/>
      <c r="D67" s="716"/>
      <c r="E67" s="714"/>
      <c r="F67" s="3056"/>
      <c r="G67" s="1130"/>
      <c r="H67" s="1134">
        <f t="shared" si="1"/>
        <v>1.0000099999999998</v>
      </c>
      <c r="I67" s="1131">
        <v>0.85948999999999998</v>
      </c>
      <c r="J67" s="3057">
        <v>0.11747</v>
      </c>
      <c r="K67" s="1878">
        <v>2.3050000000000001E-2</v>
      </c>
      <c r="L67" s="714"/>
      <c r="M67" s="3056"/>
      <c r="N67" s="1130"/>
      <c r="O67" s="3058"/>
    </row>
    <row r="68" spans="1:15" s="277" customFormat="1">
      <c r="A68" s="279">
        <v>2004.11</v>
      </c>
      <c r="B68" s="714"/>
      <c r="C68" s="3056"/>
      <c r="D68" s="716"/>
      <c r="E68" s="714"/>
      <c r="F68" s="3056"/>
      <c r="G68" s="1130"/>
      <c r="H68" s="1134">
        <f t="shared" si="1"/>
        <v>1</v>
      </c>
      <c r="I68" s="1131">
        <v>0.89165000000000005</v>
      </c>
      <c r="J68" s="3057">
        <v>8.2959999999999992E-2</v>
      </c>
      <c r="K68" s="1878">
        <v>2.5390000000000003E-2</v>
      </c>
      <c r="L68" s="714"/>
      <c r="M68" s="3056"/>
      <c r="N68" s="1130"/>
      <c r="O68" s="3058"/>
    </row>
    <row r="69" spans="1:15" s="277" customFormat="1">
      <c r="A69" s="279">
        <v>2004.12</v>
      </c>
      <c r="B69" s="714"/>
      <c r="C69" s="3056"/>
      <c r="D69" s="716"/>
      <c r="E69" s="714"/>
      <c r="F69" s="3056"/>
      <c r="G69" s="1130"/>
      <c r="H69" s="1134">
        <f t="shared" si="1"/>
        <v>1</v>
      </c>
      <c r="I69" s="1131">
        <v>0.88043000000000005</v>
      </c>
      <c r="J69" s="3057">
        <v>7.6799999999999993E-2</v>
      </c>
      <c r="K69" s="1878">
        <v>4.2770000000000002E-2</v>
      </c>
      <c r="L69" s="714"/>
      <c r="M69" s="3056"/>
      <c r="N69" s="1130"/>
      <c r="O69" s="3058"/>
    </row>
    <row r="70" spans="1:15" s="277" customFormat="1">
      <c r="A70" s="279">
        <v>2005.01</v>
      </c>
      <c r="B70" s="714"/>
      <c r="C70" s="3056"/>
      <c r="D70" s="716"/>
      <c r="E70" s="714"/>
      <c r="F70" s="3056"/>
      <c r="G70" s="1130"/>
      <c r="H70" s="1134">
        <f t="shared" si="1"/>
        <v>0.99999999999999989</v>
      </c>
      <c r="I70" s="1131">
        <v>0.86950999999999989</v>
      </c>
      <c r="J70" s="3057">
        <v>8.1159999999999996E-2</v>
      </c>
      <c r="K70" s="1878">
        <v>4.9329999999999999E-2</v>
      </c>
      <c r="L70" s="714"/>
      <c r="M70" s="3056"/>
      <c r="N70" s="1130"/>
      <c r="O70" s="3058"/>
    </row>
    <row r="71" spans="1:15" s="277" customFormat="1">
      <c r="A71" s="279">
        <v>2005.02</v>
      </c>
      <c r="B71" s="714"/>
      <c r="C71" s="3056"/>
      <c r="D71" s="716"/>
      <c r="E71" s="714"/>
      <c r="F71" s="3056"/>
      <c r="G71" s="1130"/>
      <c r="H71" s="1134">
        <f t="shared" si="1"/>
        <v>0.99999999999999989</v>
      </c>
      <c r="I71" s="1131">
        <v>0.80110602931716801</v>
      </c>
      <c r="J71" s="3057">
        <v>0.15143989264497648</v>
      </c>
      <c r="K71" s="1878">
        <v>4.7454078037855431E-2</v>
      </c>
      <c r="L71" s="714"/>
      <c r="M71" s="3056"/>
      <c r="N71" s="1130"/>
      <c r="O71" s="3058"/>
    </row>
    <row r="72" spans="1:15" s="277" customFormat="1">
      <c r="A72" s="279">
        <v>2005.03</v>
      </c>
      <c r="B72" s="714"/>
      <c r="C72" s="3056"/>
      <c r="D72" s="716"/>
      <c r="E72" s="714"/>
      <c r="F72" s="3056"/>
      <c r="G72" s="1130"/>
      <c r="H72" s="1134">
        <f t="shared" si="1"/>
        <v>1</v>
      </c>
      <c r="I72" s="1131">
        <v>0.82647992296144612</v>
      </c>
      <c r="J72" s="3057">
        <v>0.1083650517130475</v>
      </c>
      <c r="K72" s="1878">
        <v>6.5155025325506474E-2</v>
      </c>
      <c r="L72" s="714"/>
      <c r="M72" s="3056"/>
      <c r="N72" s="1130"/>
      <c r="O72" s="3058"/>
    </row>
    <row r="73" spans="1:15" s="277" customFormat="1">
      <c r="A73" s="279">
        <v>2005.04</v>
      </c>
      <c r="B73" s="714"/>
      <c r="C73" s="3056"/>
      <c r="D73" s="716"/>
      <c r="E73" s="714"/>
      <c r="F73" s="3056"/>
      <c r="G73" s="1130"/>
      <c r="H73" s="1134">
        <f t="shared" si="1"/>
        <v>0.99999999999999989</v>
      </c>
      <c r="I73" s="1131">
        <v>0.87111586615652536</v>
      </c>
      <c r="J73" s="3057">
        <v>7.9852625053181109E-2</v>
      </c>
      <c r="K73" s="1878">
        <v>4.9031508790293436E-2</v>
      </c>
      <c r="L73" s="714"/>
      <c r="M73" s="3056"/>
      <c r="N73" s="1130"/>
      <c r="O73" s="3058"/>
    </row>
    <row r="74" spans="1:15" s="277" customFormat="1">
      <c r="A74" s="279">
        <v>2005.05</v>
      </c>
      <c r="B74" s="714"/>
      <c r="C74" s="3056"/>
      <c r="D74" s="716"/>
      <c r="E74" s="714"/>
      <c r="F74" s="3056"/>
      <c r="G74" s="1130"/>
      <c r="H74" s="1134">
        <f t="shared" si="1"/>
        <v>1</v>
      </c>
      <c r="I74" s="1131">
        <v>0.84550486431775662</v>
      </c>
      <c r="J74" s="3057">
        <v>0.11564816801565088</v>
      </c>
      <c r="K74" s="1878">
        <v>3.8846967666592548E-2</v>
      </c>
      <c r="L74" s="714"/>
      <c r="M74" s="3056"/>
      <c r="N74" s="1130"/>
      <c r="O74" s="3058"/>
    </row>
    <row r="75" spans="1:15" s="277" customFormat="1">
      <c r="A75" s="279">
        <v>2005.06</v>
      </c>
      <c r="B75" s="714"/>
      <c r="C75" s="3056"/>
      <c r="D75" s="716"/>
      <c r="E75" s="714"/>
      <c r="F75" s="3056"/>
      <c r="G75" s="1130"/>
      <c r="H75" s="1134">
        <f t="shared" si="1"/>
        <v>0.99999999999999989</v>
      </c>
      <c r="I75" s="1131">
        <v>0.89456985347081641</v>
      </c>
      <c r="J75" s="3057">
        <v>7.9960745085485271E-2</v>
      </c>
      <c r="K75" s="1878">
        <v>2.5469401443698244E-2</v>
      </c>
      <c r="L75" s="714"/>
      <c r="M75" s="3056"/>
      <c r="N75" s="1130"/>
      <c r="O75" s="3058"/>
    </row>
    <row r="76" spans="1:15" s="277" customFormat="1">
      <c r="A76" s="279">
        <v>2005.07</v>
      </c>
      <c r="B76" s="714"/>
      <c r="C76" s="3056"/>
      <c r="D76" s="716"/>
      <c r="E76" s="714"/>
      <c r="F76" s="3056"/>
      <c r="G76" s="1130"/>
      <c r="H76" s="1134">
        <f t="shared" si="1"/>
        <v>1</v>
      </c>
      <c r="I76" s="1131">
        <v>0.86505933460237339</v>
      </c>
      <c r="J76" s="3057">
        <v>0.11344930453797217</v>
      </c>
      <c r="K76" s="1878">
        <v>2.1491360859654432E-2</v>
      </c>
      <c r="L76" s="714"/>
      <c r="M76" s="3056"/>
      <c r="N76" s="1130"/>
      <c r="O76" s="3058"/>
    </row>
    <row r="77" spans="1:15" s="277" customFormat="1">
      <c r="A77" s="279">
        <v>2005.08</v>
      </c>
      <c r="B77" s="714"/>
      <c r="C77" s="3056"/>
      <c r="D77" s="716"/>
      <c r="E77" s="714"/>
      <c r="F77" s="3056"/>
      <c r="G77" s="1130"/>
      <c r="H77" s="1134">
        <f t="shared" si="1"/>
        <v>1</v>
      </c>
      <c r="I77" s="1131">
        <v>0.83032975093559513</v>
      </c>
      <c r="J77" s="3057">
        <v>0.15287645157958715</v>
      </c>
      <c r="K77" s="1878">
        <v>1.6793797484817696E-2</v>
      </c>
      <c r="L77" s="714"/>
      <c r="M77" s="3056"/>
      <c r="N77" s="1130"/>
      <c r="O77" s="3058"/>
    </row>
    <row r="78" spans="1:15" s="277" customFormat="1">
      <c r="A78" s="279">
        <v>2005.09</v>
      </c>
      <c r="B78" s="714"/>
      <c r="C78" s="3056"/>
      <c r="D78" s="716"/>
      <c r="E78" s="714"/>
      <c r="F78" s="3056"/>
      <c r="G78" s="1130"/>
      <c r="H78" s="1134">
        <f t="shared" si="1"/>
        <v>1</v>
      </c>
      <c r="I78" s="1131">
        <v>0.87658968393839942</v>
      </c>
      <c r="J78" s="3057">
        <v>0.10452717689446615</v>
      </c>
      <c r="K78" s="1878">
        <v>1.8883139167134411E-2</v>
      </c>
      <c r="L78" s="714"/>
      <c r="M78" s="3056"/>
      <c r="N78" s="1130"/>
      <c r="O78" s="3058"/>
    </row>
    <row r="79" spans="1:15" s="277" customFormat="1">
      <c r="A79" s="279">
        <v>2005.1</v>
      </c>
      <c r="B79" s="714"/>
      <c r="C79" s="3056"/>
      <c r="D79" s="716"/>
      <c r="E79" s="714"/>
      <c r="F79" s="3056"/>
      <c r="G79" s="1130"/>
      <c r="H79" s="1134">
        <f t="shared" si="1"/>
        <v>1</v>
      </c>
      <c r="I79" s="1131">
        <v>0.88038966734600099</v>
      </c>
      <c r="J79" s="3057">
        <v>0.10131802692590734</v>
      </c>
      <c r="K79" s="1878">
        <v>1.8292305728091748E-2</v>
      </c>
      <c r="L79" s="714"/>
      <c r="M79" s="3056"/>
      <c r="N79" s="1130"/>
      <c r="O79" s="3058"/>
    </row>
    <row r="80" spans="1:15" s="277" customFormat="1">
      <c r="A80" s="279">
        <v>2005.11</v>
      </c>
      <c r="B80" s="714"/>
      <c r="C80" s="3056"/>
      <c r="D80" s="716"/>
      <c r="E80" s="714"/>
      <c r="F80" s="3056"/>
      <c r="G80" s="1130"/>
      <c r="H80" s="1134">
        <f t="shared" si="1"/>
        <v>1</v>
      </c>
      <c r="I80" s="1131">
        <v>0.80834172216482114</v>
      </c>
      <c r="J80" s="3057">
        <v>0.16267846421073787</v>
      </c>
      <c r="K80" s="1878">
        <v>2.8979813624440999E-2</v>
      </c>
      <c r="L80" s="714"/>
      <c r="M80" s="3056"/>
      <c r="N80" s="1130"/>
      <c r="O80" s="3058"/>
    </row>
    <row r="81" spans="1:15" s="277" customFormat="1">
      <c r="A81" s="279">
        <v>2005.12</v>
      </c>
      <c r="B81" s="714"/>
      <c r="C81" s="3056"/>
      <c r="D81" s="716"/>
      <c r="E81" s="714"/>
      <c r="F81" s="3056"/>
      <c r="G81" s="1130"/>
      <c r="H81" s="1134">
        <f t="shared" si="1"/>
        <v>0.99999999999999989</v>
      </c>
      <c r="I81" s="1131">
        <v>0.88552591141351045</v>
      </c>
      <c r="J81" s="3057">
        <v>7.9055908226172339E-2</v>
      </c>
      <c r="K81" s="1878">
        <v>3.541818036031711E-2</v>
      </c>
      <c r="L81" s="714"/>
      <c r="M81" s="3056"/>
      <c r="N81" s="1130"/>
      <c r="O81" s="3058"/>
    </row>
    <row r="82" spans="1:15" s="277" customFormat="1">
      <c r="A82" s="279">
        <v>2006.01</v>
      </c>
      <c r="B82" s="714"/>
      <c r="C82" s="3056"/>
      <c r="D82" s="716"/>
      <c r="E82" s="714"/>
      <c r="F82" s="3056"/>
      <c r="G82" s="1130"/>
      <c r="H82" s="1134">
        <f t="shared" si="1"/>
        <v>1</v>
      </c>
      <c r="I82" s="1131">
        <v>0.8547292282238339</v>
      </c>
      <c r="J82" s="3057">
        <v>0.11459199454125291</v>
      </c>
      <c r="K82" s="1878">
        <v>3.0678777234913211E-2</v>
      </c>
      <c r="L82" s="714"/>
      <c r="M82" s="3056"/>
      <c r="N82" s="1130"/>
      <c r="O82" s="3058"/>
    </row>
    <row r="83" spans="1:15" s="277" customFormat="1">
      <c r="A83" s="279">
        <v>2006.02</v>
      </c>
      <c r="B83" s="714"/>
      <c r="C83" s="3056"/>
      <c r="D83" s="716"/>
      <c r="E83" s="714"/>
      <c r="F83" s="3056"/>
      <c r="G83" s="1130"/>
      <c r="H83" s="1134">
        <f t="shared" si="1"/>
        <v>1</v>
      </c>
      <c r="I83" s="1131">
        <v>0.85973877963657086</v>
      </c>
      <c r="J83" s="3057">
        <v>9.3335596933016435E-2</v>
      </c>
      <c r="K83" s="1878">
        <v>4.6925623430412712E-2</v>
      </c>
      <c r="L83" s="714"/>
      <c r="M83" s="3056"/>
      <c r="N83" s="1130"/>
      <c r="O83" s="3058"/>
    </row>
    <row r="84" spans="1:15" s="277" customFormat="1">
      <c r="A84" s="279">
        <v>2006.03</v>
      </c>
      <c r="B84" s="714"/>
      <c r="C84" s="3056"/>
      <c r="D84" s="716"/>
      <c r="E84" s="714"/>
      <c r="F84" s="3056"/>
      <c r="G84" s="1130"/>
      <c r="H84" s="1134">
        <f t="shared" si="1"/>
        <v>1</v>
      </c>
      <c r="I84" s="1131">
        <v>0.83978343023250002</v>
      </c>
      <c r="J84" s="3057">
        <v>0.13072914830672103</v>
      </c>
      <c r="K84" s="1878">
        <v>2.9487421460779002E-2</v>
      </c>
      <c r="L84" s="714"/>
      <c r="M84" s="3056"/>
      <c r="N84" s="1130"/>
      <c r="O84" s="3058"/>
    </row>
    <row r="85" spans="1:15" s="277" customFormat="1">
      <c r="A85" s="279">
        <v>2006.04</v>
      </c>
      <c r="B85" s="714"/>
      <c r="C85" s="3056"/>
      <c r="D85" s="716"/>
      <c r="E85" s="714"/>
      <c r="F85" s="3056"/>
      <c r="G85" s="1130"/>
      <c r="H85" s="1134">
        <f t="shared" si="1"/>
        <v>1</v>
      </c>
      <c r="I85" s="1131">
        <v>0.84249680231504842</v>
      </c>
      <c r="J85" s="3057">
        <v>0.11815384494223233</v>
      </c>
      <c r="K85" s="1878">
        <v>3.934935274271921E-2</v>
      </c>
      <c r="L85" s="714"/>
      <c r="M85" s="3056"/>
      <c r="N85" s="1130"/>
      <c r="O85" s="3058"/>
    </row>
    <row r="86" spans="1:15" s="277" customFormat="1">
      <c r="A86" s="279">
        <v>2006.05</v>
      </c>
      <c r="B86" s="714"/>
      <c r="C86" s="3056"/>
      <c r="D86" s="716"/>
      <c r="E86" s="714"/>
      <c r="F86" s="3056"/>
      <c r="G86" s="1130"/>
      <c r="H86" s="1134">
        <f t="shared" si="1"/>
        <v>1</v>
      </c>
      <c r="I86" s="1131">
        <v>0.85636314877187403</v>
      </c>
      <c r="J86" s="3057">
        <v>0.12936195841039569</v>
      </c>
      <c r="K86" s="1878">
        <v>1.4274892817730409E-2</v>
      </c>
      <c r="L86" s="714"/>
      <c r="M86" s="3056"/>
      <c r="N86" s="1130"/>
      <c r="O86" s="3058"/>
    </row>
    <row r="87" spans="1:15" s="277" customFormat="1">
      <c r="A87" s="279">
        <v>2006.06</v>
      </c>
      <c r="B87" s="714"/>
      <c r="C87" s="3056"/>
      <c r="D87" s="716"/>
      <c r="E87" s="714"/>
      <c r="F87" s="3056"/>
      <c r="G87" s="1130"/>
      <c r="H87" s="1134">
        <f t="shared" si="1"/>
        <v>1.0000000000000002</v>
      </c>
      <c r="I87" s="1131">
        <v>0.87857270686862265</v>
      </c>
      <c r="J87" s="3057">
        <v>8.3755014235729675E-2</v>
      </c>
      <c r="K87" s="1878">
        <v>3.7672278895647733E-2</v>
      </c>
      <c r="L87" s="714"/>
      <c r="M87" s="3056"/>
      <c r="N87" s="1130"/>
      <c r="O87" s="3058"/>
    </row>
    <row r="88" spans="1:15" s="277" customFormat="1">
      <c r="A88" s="279">
        <v>2006.07</v>
      </c>
      <c r="B88" s="714"/>
      <c r="C88" s="3056"/>
      <c r="D88" s="716"/>
      <c r="E88" s="714"/>
      <c r="F88" s="3056"/>
      <c r="G88" s="1130"/>
      <c r="H88" s="1134">
        <f t="shared" si="1"/>
        <v>1.0000000000000002</v>
      </c>
      <c r="I88" s="1131">
        <v>0.82350443174382737</v>
      </c>
      <c r="J88" s="3057">
        <v>0.12920636067977992</v>
      </c>
      <c r="K88" s="1878">
        <v>4.7289207576392774E-2</v>
      </c>
      <c r="L88" s="714"/>
      <c r="M88" s="3056"/>
      <c r="N88" s="1130"/>
      <c r="O88" s="3058"/>
    </row>
    <row r="89" spans="1:15" s="277" customFormat="1">
      <c r="A89" s="279">
        <v>2006.08</v>
      </c>
      <c r="B89" s="714"/>
      <c r="C89" s="3056"/>
      <c r="D89" s="716"/>
      <c r="E89" s="714"/>
      <c r="F89" s="3056"/>
      <c r="G89" s="1130"/>
      <c r="H89" s="1134">
        <f t="shared" si="1"/>
        <v>0.99999999999999989</v>
      </c>
      <c r="I89" s="1131">
        <v>0.87805503054059886</v>
      </c>
      <c r="J89" s="3057">
        <v>8.9470831514978311E-2</v>
      </c>
      <c r="K89" s="1878">
        <v>3.2474137944422783E-2</v>
      </c>
      <c r="L89" s="714"/>
      <c r="M89" s="3056"/>
      <c r="N89" s="1130"/>
      <c r="O89" s="3058"/>
    </row>
    <row r="90" spans="1:15" s="277" customFormat="1" ht="13.5" thickBot="1">
      <c r="A90" s="279">
        <v>2006.09</v>
      </c>
      <c r="B90" s="714"/>
      <c r="C90" s="3056"/>
      <c r="D90" s="716"/>
      <c r="E90" s="714"/>
      <c r="F90" s="3056"/>
      <c r="G90" s="1130"/>
      <c r="H90" s="1134">
        <f t="shared" si="1"/>
        <v>1</v>
      </c>
      <c r="I90" s="1131">
        <v>0.88588450390135609</v>
      </c>
      <c r="J90" s="3057">
        <v>9.7802858284941757E-2</v>
      </c>
      <c r="K90" s="1878">
        <v>1.6312637813702267E-2</v>
      </c>
      <c r="L90" s="714"/>
      <c r="M90" s="3056"/>
      <c r="N90" s="1130"/>
      <c r="O90" s="3058"/>
    </row>
    <row r="91" spans="1:15" s="277" customFormat="1">
      <c r="A91" s="279">
        <v>2006.1</v>
      </c>
      <c r="B91" s="1097">
        <v>0.68654256914038081</v>
      </c>
      <c r="C91" s="1098">
        <v>0.31345743085961908</v>
      </c>
      <c r="D91" s="1100">
        <f>B91+C91</f>
        <v>0.99999999999999989</v>
      </c>
      <c r="E91" s="714"/>
      <c r="F91" s="3056"/>
      <c r="G91" s="1130"/>
      <c r="H91" s="1134">
        <f t="shared" si="1"/>
        <v>1</v>
      </c>
      <c r="I91" s="1131">
        <v>0.91736080620497373</v>
      </c>
      <c r="J91" s="3057">
        <v>5.8198482697931618E-2</v>
      </c>
      <c r="K91" s="1878">
        <v>2.444071109709469E-2</v>
      </c>
      <c r="L91" s="714"/>
      <c r="M91" s="3056"/>
      <c r="N91" s="1130"/>
      <c r="O91" s="3058"/>
    </row>
    <row r="92" spans="1:15" s="277" customFormat="1">
      <c r="A92" s="279">
        <v>2006.11</v>
      </c>
      <c r="B92" s="1099">
        <v>0.66153392957661739</v>
      </c>
      <c r="C92" s="3059">
        <v>0.33846607042338278</v>
      </c>
      <c r="D92" s="1101">
        <f>B92+C92</f>
        <v>1.0000000000000002</v>
      </c>
      <c r="E92" s="714"/>
      <c r="F92" s="3056"/>
      <c r="G92" s="1130"/>
      <c r="H92" s="1134">
        <f t="shared" si="1"/>
        <v>0.99999999999999989</v>
      </c>
      <c r="I92" s="1131">
        <v>0.86453018837384532</v>
      </c>
      <c r="J92" s="3057">
        <v>0.10587141988425187</v>
      </c>
      <c r="K92" s="1878">
        <v>2.9598391741902673E-2</v>
      </c>
      <c r="L92" s="714"/>
      <c r="M92" s="3056"/>
      <c r="N92" s="1130"/>
      <c r="O92" s="3058"/>
    </row>
    <row r="93" spans="1:15" s="277" customFormat="1">
      <c r="A93" s="279">
        <v>2006.12</v>
      </c>
      <c r="B93" s="1099">
        <v>0.75773356705581651</v>
      </c>
      <c r="C93" s="3059">
        <v>0.24226643294418335</v>
      </c>
      <c r="D93" s="1101">
        <f t="shared" ref="D93:D156" si="2">B93+C93</f>
        <v>0.99999999999999989</v>
      </c>
      <c r="E93" s="714"/>
      <c r="F93" s="3056"/>
      <c r="G93" s="1130"/>
      <c r="H93" s="1134">
        <f t="shared" si="1"/>
        <v>0.99999999999999989</v>
      </c>
      <c r="I93" s="1131">
        <v>0.88773772434187104</v>
      </c>
      <c r="J93" s="3057">
        <v>8.1064839955671389E-2</v>
      </c>
      <c r="K93" s="1878">
        <v>3.1197435702457525E-2</v>
      </c>
      <c r="L93" s="714"/>
      <c r="M93" s="3056"/>
      <c r="N93" s="1130"/>
      <c r="O93" s="3058"/>
    </row>
    <row r="94" spans="1:15" s="277" customFormat="1">
      <c r="A94" s="279">
        <v>2007.01</v>
      </c>
      <c r="B94" s="1099">
        <v>0.69552911076173174</v>
      </c>
      <c r="C94" s="3059">
        <v>0.30447088923826815</v>
      </c>
      <c r="D94" s="1101">
        <f t="shared" si="2"/>
        <v>0.99999999999999989</v>
      </c>
      <c r="E94" s="714"/>
      <c r="F94" s="3056"/>
      <c r="G94" s="1130"/>
      <c r="H94" s="1134">
        <f t="shared" si="1"/>
        <v>1</v>
      </c>
      <c r="I94" s="1131">
        <v>0.86277973973059185</v>
      </c>
      <c r="J94" s="3057">
        <v>0.11790200449329355</v>
      </c>
      <c r="K94" s="1878">
        <v>1.9318255776114564E-2</v>
      </c>
      <c r="L94" s="714"/>
      <c r="M94" s="3056"/>
      <c r="N94" s="1130"/>
      <c r="O94" s="3058"/>
    </row>
    <row r="95" spans="1:15" s="277" customFormat="1">
      <c r="A95" s="279">
        <v>2007.02</v>
      </c>
      <c r="B95" s="1099">
        <v>0.66894798401507516</v>
      </c>
      <c r="C95" s="3059">
        <v>0.33105201598492484</v>
      </c>
      <c r="D95" s="1101">
        <f t="shared" si="2"/>
        <v>1</v>
      </c>
      <c r="E95" s="714"/>
      <c r="F95" s="3056"/>
      <c r="G95" s="1130"/>
      <c r="H95" s="1134">
        <f t="shared" si="1"/>
        <v>0.99999999999999989</v>
      </c>
      <c r="I95" s="1131">
        <v>0.90353478742721394</v>
      </c>
      <c r="J95" s="3057">
        <v>6.8965943590687792E-2</v>
      </c>
      <c r="K95" s="1878">
        <v>2.7499268982098212E-2</v>
      </c>
      <c r="L95" s="714"/>
      <c r="M95" s="3056"/>
      <c r="N95" s="1130"/>
      <c r="O95" s="3058"/>
    </row>
    <row r="96" spans="1:15" s="277" customFormat="1">
      <c r="A96" s="279">
        <v>2007.03</v>
      </c>
      <c r="B96" s="1099">
        <v>0.6028707527486874</v>
      </c>
      <c r="C96" s="3059">
        <v>0.39712924725131243</v>
      </c>
      <c r="D96" s="1101">
        <f t="shared" si="2"/>
        <v>0.99999999999999978</v>
      </c>
      <c r="E96" s="714"/>
      <c r="F96" s="3056"/>
      <c r="G96" s="1130"/>
      <c r="H96" s="1134">
        <f t="shared" si="1"/>
        <v>0.99999999999999989</v>
      </c>
      <c r="I96" s="1131">
        <v>0.84249456853782756</v>
      </c>
      <c r="J96" s="3057">
        <v>0.11555261483391258</v>
      </c>
      <c r="K96" s="1878">
        <v>4.1952816628259823E-2</v>
      </c>
      <c r="L96" s="714"/>
      <c r="M96" s="3056"/>
      <c r="N96" s="1130"/>
      <c r="O96" s="3058"/>
    </row>
    <row r="97" spans="1:15" s="277" customFormat="1">
      <c r="A97" s="279">
        <v>2007.04</v>
      </c>
      <c r="B97" s="1099">
        <v>0.69481964955985998</v>
      </c>
      <c r="C97" s="3059">
        <v>0.3051803504401398</v>
      </c>
      <c r="D97" s="1101">
        <f t="shared" si="2"/>
        <v>0.99999999999999978</v>
      </c>
      <c r="E97" s="714"/>
      <c r="F97" s="3056"/>
      <c r="G97" s="1130"/>
      <c r="H97" s="1134">
        <f t="shared" si="1"/>
        <v>0.99999999999999989</v>
      </c>
      <c r="I97" s="1131">
        <v>0.86914664583122114</v>
      </c>
      <c r="J97" s="3057">
        <v>9.4487113939294834E-2</v>
      </c>
      <c r="K97" s="1878">
        <v>3.6366240229483898E-2</v>
      </c>
      <c r="L97" s="714"/>
      <c r="M97" s="3056"/>
      <c r="N97" s="1130"/>
      <c r="O97" s="3058"/>
    </row>
    <row r="98" spans="1:15" s="277" customFormat="1">
      <c r="A98" s="279">
        <v>2007.05</v>
      </c>
      <c r="B98" s="1099">
        <v>0.68199429505087461</v>
      </c>
      <c r="C98" s="3059">
        <v>0.31800570494912522</v>
      </c>
      <c r="D98" s="1101">
        <f t="shared" si="2"/>
        <v>0.99999999999999978</v>
      </c>
      <c r="E98" s="714"/>
      <c r="F98" s="3056"/>
      <c r="G98" s="1130"/>
      <c r="H98" s="1134">
        <f t="shared" si="1"/>
        <v>0.99999999999999989</v>
      </c>
      <c r="I98" s="1131">
        <v>0.93837581337939691</v>
      </c>
      <c r="J98" s="3057">
        <v>3.8405566407163652E-2</v>
      </c>
      <c r="K98" s="1878">
        <v>2.3218620213439387E-2</v>
      </c>
      <c r="L98" s="714"/>
      <c r="M98" s="3056"/>
      <c r="N98" s="1130"/>
      <c r="O98" s="3058"/>
    </row>
    <row r="99" spans="1:15" s="277" customFormat="1">
      <c r="A99" s="279">
        <v>2007.06</v>
      </c>
      <c r="B99" s="1099">
        <v>0.71820146036436239</v>
      </c>
      <c r="C99" s="3059">
        <v>0.28179853963563745</v>
      </c>
      <c r="D99" s="1101">
        <f t="shared" si="2"/>
        <v>0.99999999999999978</v>
      </c>
      <c r="E99" s="714"/>
      <c r="F99" s="3056"/>
      <c r="G99" s="1130"/>
      <c r="H99" s="1134">
        <f t="shared" si="1"/>
        <v>1</v>
      </c>
      <c r="I99" s="1131">
        <v>0.94251067777761821</v>
      </c>
      <c r="J99" s="3057">
        <v>5.2641044786835352E-2</v>
      </c>
      <c r="K99" s="1878">
        <v>4.8482774355464303E-3</v>
      </c>
      <c r="L99" s="714"/>
      <c r="M99" s="3056"/>
      <c r="N99" s="1130"/>
      <c r="O99" s="3058"/>
    </row>
    <row r="100" spans="1:15" s="277" customFormat="1">
      <c r="A100" s="279">
        <v>2007.07</v>
      </c>
      <c r="B100" s="1099">
        <v>0.67089570633232343</v>
      </c>
      <c r="C100" s="3059">
        <v>0.32910429366767674</v>
      </c>
      <c r="D100" s="1101">
        <f t="shared" si="2"/>
        <v>1.0000000000000002</v>
      </c>
      <c r="E100" s="714"/>
      <c r="F100" s="3056"/>
      <c r="G100" s="1130"/>
      <c r="H100" s="1134">
        <f t="shared" si="1"/>
        <v>0.99999999999999989</v>
      </c>
      <c r="I100" s="1131">
        <v>0.92509440440246504</v>
      </c>
      <c r="J100" s="3057">
        <v>5.452452921598043E-2</v>
      </c>
      <c r="K100" s="1878">
        <v>2.0381066381554458E-2</v>
      </c>
      <c r="L100" s="714"/>
      <c r="M100" s="3056"/>
      <c r="N100" s="1130"/>
      <c r="O100" s="3058"/>
    </row>
    <row r="101" spans="1:15" s="277" customFormat="1">
      <c r="A101" s="279">
        <v>2007.08</v>
      </c>
      <c r="B101" s="1099">
        <v>0.63742967897952318</v>
      </c>
      <c r="C101" s="3059">
        <v>0.36257032102047687</v>
      </c>
      <c r="D101" s="1101">
        <f t="shared" si="2"/>
        <v>1</v>
      </c>
      <c r="E101" s="714"/>
      <c r="F101" s="3056"/>
      <c r="G101" s="1130"/>
      <c r="H101" s="1134">
        <f t="shared" si="1"/>
        <v>1</v>
      </c>
      <c r="I101" s="1131">
        <v>0.9589215476756473</v>
      </c>
      <c r="J101" s="3057">
        <v>4.1078452324352657E-2</v>
      </c>
      <c r="K101" s="1878">
        <v>0</v>
      </c>
      <c r="L101" s="714"/>
      <c r="M101" s="3056"/>
      <c r="N101" s="1130"/>
      <c r="O101" s="3058"/>
    </row>
    <row r="102" spans="1:15" s="277" customFormat="1">
      <c r="A102" s="279">
        <v>2007.09</v>
      </c>
      <c r="B102" s="1099">
        <v>0.67998658452417227</v>
      </c>
      <c r="C102" s="3059">
        <v>0.32001341547582768</v>
      </c>
      <c r="D102" s="1101">
        <f t="shared" si="2"/>
        <v>1</v>
      </c>
      <c r="E102" s="714"/>
      <c r="F102" s="3056"/>
      <c r="G102" s="1130"/>
      <c r="H102" s="1134">
        <f t="shared" si="1"/>
        <v>1</v>
      </c>
      <c r="I102" s="1131">
        <v>0.96666391502133575</v>
      </c>
      <c r="J102" s="3057">
        <v>3.3103634947689725E-2</v>
      </c>
      <c r="K102" s="1878">
        <v>2.3245003097448715E-4</v>
      </c>
      <c r="L102" s="714"/>
      <c r="M102" s="3056"/>
      <c r="N102" s="1130"/>
      <c r="O102" s="3058"/>
    </row>
    <row r="103" spans="1:15" s="277" customFormat="1">
      <c r="A103" s="279">
        <v>2007.1</v>
      </c>
      <c r="B103" s="1099">
        <v>0.68331650296774515</v>
      </c>
      <c r="C103" s="3059">
        <v>0.31668349703225501</v>
      </c>
      <c r="D103" s="1101">
        <f t="shared" si="2"/>
        <v>1.0000000000000002</v>
      </c>
      <c r="E103" s="714"/>
      <c r="F103" s="3056"/>
      <c r="G103" s="1130"/>
      <c r="H103" s="1134">
        <f t="shared" si="1"/>
        <v>1</v>
      </c>
      <c r="I103" s="1131">
        <v>0.98341690157225148</v>
      </c>
      <c r="J103" s="3057">
        <v>1.12350464012107E-2</v>
      </c>
      <c r="K103" s="1878">
        <v>5.3480520265379436E-3</v>
      </c>
      <c r="L103" s="714"/>
      <c r="M103" s="3056"/>
      <c r="N103" s="1130"/>
      <c r="O103" s="3058"/>
    </row>
    <row r="104" spans="1:15" s="277" customFormat="1">
      <c r="A104" s="279">
        <v>2007.11</v>
      </c>
      <c r="B104" s="1099">
        <v>0.70545906613670373</v>
      </c>
      <c r="C104" s="3059">
        <v>0.29454093386329627</v>
      </c>
      <c r="D104" s="1101">
        <f t="shared" si="2"/>
        <v>1</v>
      </c>
      <c r="E104" s="714"/>
      <c r="F104" s="3056"/>
      <c r="G104" s="1130"/>
      <c r="H104" s="1134">
        <f t="shared" si="1"/>
        <v>1</v>
      </c>
      <c r="I104" s="1131">
        <v>0.96126274292902059</v>
      </c>
      <c r="J104" s="3057">
        <v>3.8737257070979463E-2</v>
      </c>
      <c r="K104" s="1878">
        <v>0</v>
      </c>
      <c r="L104" s="714"/>
      <c r="M104" s="3056"/>
      <c r="N104" s="1130"/>
      <c r="O104" s="3058"/>
    </row>
    <row r="105" spans="1:15" s="277" customFormat="1">
      <c r="A105" s="279">
        <v>2007.12</v>
      </c>
      <c r="B105" s="1099">
        <v>0.69260800314938886</v>
      </c>
      <c r="C105" s="3059">
        <v>0.30739199685061086</v>
      </c>
      <c r="D105" s="1101">
        <f t="shared" si="2"/>
        <v>0.99999999999999978</v>
      </c>
      <c r="E105" s="714"/>
      <c r="F105" s="3056"/>
      <c r="G105" s="1130"/>
      <c r="H105" s="1134">
        <f t="shared" si="1"/>
        <v>0.99999999999999989</v>
      </c>
      <c r="I105" s="1131">
        <v>0.95192319371580381</v>
      </c>
      <c r="J105" s="3057">
        <v>3.9026069346091666E-2</v>
      </c>
      <c r="K105" s="1878">
        <v>9.0507369381043826E-3</v>
      </c>
      <c r="L105" s="714"/>
      <c r="M105" s="3056"/>
      <c r="N105" s="1130"/>
      <c r="O105" s="3058"/>
    </row>
    <row r="106" spans="1:15" s="277" customFormat="1">
      <c r="A106" s="279">
        <f t="shared" ref="A106:A169" si="3">A94+1</f>
        <v>2008.01</v>
      </c>
      <c r="B106" s="1099">
        <v>0.671495962901274</v>
      </c>
      <c r="C106" s="3059">
        <v>0.32850403709872666</v>
      </c>
      <c r="D106" s="1101">
        <f t="shared" si="2"/>
        <v>1.0000000000000007</v>
      </c>
      <c r="E106" s="714"/>
      <c r="F106" s="3056"/>
      <c r="G106" s="1130"/>
      <c r="H106" s="1134">
        <f t="shared" si="1"/>
        <v>1</v>
      </c>
      <c r="I106" s="1131">
        <v>0.92461758380957848</v>
      </c>
      <c r="J106" s="3057">
        <v>5.5810369183774716E-2</v>
      </c>
      <c r="K106" s="1878">
        <v>1.9572047006646897E-2</v>
      </c>
      <c r="L106" s="714"/>
      <c r="M106" s="3056"/>
      <c r="N106" s="1130"/>
      <c r="O106" s="3058"/>
    </row>
    <row r="107" spans="1:15" s="277" customFormat="1">
      <c r="A107" s="279">
        <f t="shared" si="3"/>
        <v>2008.02</v>
      </c>
      <c r="B107" s="1099">
        <v>0.64289108087943536</v>
      </c>
      <c r="C107" s="3059">
        <v>0.35710891912056481</v>
      </c>
      <c r="D107" s="1101">
        <f t="shared" si="2"/>
        <v>1.0000000000000002</v>
      </c>
      <c r="E107" s="714"/>
      <c r="F107" s="3056"/>
      <c r="G107" s="1130"/>
      <c r="H107" s="1134">
        <f t="shared" si="1"/>
        <v>0.99999999999999989</v>
      </c>
      <c r="I107" s="1131">
        <v>0.94638847436856077</v>
      </c>
      <c r="J107" s="3057">
        <v>4.1358233622791028E-2</v>
      </c>
      <c r="K107" s="1878">
        <v>1.2253292008648119E-2</v>
      </c>
      <c r="L107" s="714"/>
      <c r="M107" s="3056"/>
      <c r="N107" s="1130"/>
      <c r="O107" s="3058"/>
    </row>
    <row r="108" spans="1:15" s="277" customFormat="1">
      <c r="A108" s="279">
        <f t="shared" si="3"/>
        <v>2008.03</v>
      </c>
      <c r="B108" s="1099">
        <v>0.6175393199990894</v>
      </c>
      <c r="C108" s="3059">
        <v>0.38246068000090949</v>
      </c>
      <c r="D108" s="1101">
        <f t="shared" si="2"/>
        <v>0.99999999999999889</v>
      </c>
      <c r="E108" s="714"/>
      <c r="F108" s="3056"/>
      <c r="G108" s="1130"/>
      <c r="H108" s="1134">
        <f t="shared" si="1"/>
        <v>0.99999999999999967</v>
      </c>
      <c r="I108" s="1131">
        <v>0.92562642998422362</v>
      </c>
      <c r="J108" s="3057">
        <v>6.4709841273455998E-2</v>
      </c>
      <c r="K108" s="1878">
        <v>9.6637287423200196E-3</v>
      </c>
      <c r="L108" s="714"/>
      <c r="M108" s="3056"/>
      <c r="N108" s="1130"/>
      <c r="O108" s="3058"/>
    </row>
    <row r="109" spans="1:15" s="277" customFormat="1">
      <c r="A109" s="279">
        <f t="shared" si="3"/>
        <v>2008.04</v>
      </c>
      <c r="B109" s="1099">
        <v>0.6531959837000525</v>
      </c>
      <c r="C109" s="3059">
        <v>0.34680401629994706</v>
      </c>
      <c r="D109" s="1101">
        <f t="shared" si="2"/>
        <v>0.99999999999999956</v>
      </c>
      <c r="E109" s="714"/>
      <c r="F109" s="3056"/>
      <c r="G109" s="1130"/>
      <c r="H109" s="1134">
        <f t="shared" si="1"/>
        <v>1.0000000000000002</v>
      </c>
      <c r="I109" s="1131">
        <v>0.92663682370701306</v>
      </c>
      <c r="J109" s="3057">
        <v>6.8920294062549181E-2</v>
      </c>
      <c r="K109" s="1878">
        <v>4.4428822304380562E-3</v>
      </c>
      <c r="L109" s="714"/>
      <c r="M109" s="3056"/>
      <c r="N109" s="1130"/>
      <c r="O109" s="3058"/>
    </row>
    <row r="110" spans="1:15" s="277" customFormat="1">
      <c r="A110" s="279">
        <f t="shared" si="3"/>
        <v>2008.05</v>
      </c>
      <c r="B110" s="1099">
        <v>0.56300641233237947</v>
      </c>
      <c r="C110" s="3059">
        <v>0.4369935876676197</v>
      </c>
      <c r="D110" s="1101">
        <f t="shared" si="2"/>
        <v>0.99999999999999911</v>
      </c>
      <c r="E110" s="714"/>
      <c r="F110" s="3056"/>
      <c r="G110" s="1130"/>
      <c r="H110" s="1134">
        <f t="shared" si="1"/>
        <v>0.99999999999999989</v>
      </c>
      <c r="I110" s="1131">
        <v>0.91901703841944882</v>
      </c>
      <c r="J110" s="3057">
        <v>4.9364047237559279E-2</v>
      </c>
      <c r="K110" s="1878">
        <v>3.161891434299182E-2</v>
      </c>
      <c r="L110" s="714"/>
      <c r="M110" s="3056"/>
      <c r="N110" s="1130"/>
      <c r="O110" s="3058"/>
    </row>
    <row r="111" spans="1:15" s="277" customFormat="1">
      <c r="A111" s="279">
        <f t="shared" si="3"/>
        <v>2008.06</v>
      </c>
      <c r="B111" s="1099">
        <v>0.67226215352755714</v>
      </c>
      <c r="C111" s="3059">
        <v>0.32773784647244314</v>
      </c>
      <c r="D111" s="1101">
        <f t="shared" si="2"/>
        <v>1.0000000000000002</v>
      </c>
      <c r="E111" s="714"/>
      <c r="F111" s="3056"/>
      <c r="G111" s="1130"/>
      <c r="H111" s="1134">
        <f t="shared" si="1"/>
        <v>1</v>
      </c>
      <c r="I111" s="1131">
        <v>0.95717166858805769</v>
      </c>
      <c r="J111" s="3057">
        <v>4.2599341266751439E-2</v>
      </c>
      <c r="K111" s="1878">
        <v>2.289901451908742E-4</v>
      </c>
      <c r="L111" s="714"/>
      <c r="M111" s="3056"/>
      <c r="N111" s="1130"/>
      <c r="O111" s="3058"/>
    </row>
    <row r="112" spans="1:15" s="277" customFormat="1">
      <c r="A112" s="279">
        <f t="shared" si="3"/>
        <v>2008.07</v>
      </c>
      <c r="B112" s="1099">
        <v>0.63666924937181724</v>
      </c>
      <c r="C112" s="3059">
        <v>0.36333075062818337</v>
      </c>
      <c r="D112" s="1101">
        <f t="shared" si="2"/>
        <v>1.0000000000000007</v>
      </c>
      <c r="E112" s="714"/>
      <c r="F112" s="3056"/>
      <c r="G112" s="1130"/>
      <c r="H112" s="1134">
        <f t="shared" si="1"/>
        <v>1.0000000000000007</v>
      </c>
      <c r="I112" s="1131">
        <v>0.93126921582045474</v>
      </c>
      <c r="J112" s="3057">
        <v>5.0671098950026146E-2</v>
      </c>
      <c r="K112" s="1878">
        <v>1.8059685229519826E-2</v>
      </c>
      <c r="L112" s="714"/>
      <c r="M112" s="3056"/>
      <c r="N112" s="1130"/>
      <c r="O112" s="3058"/>
    </row>
    <row r="113" spans="1:15" s="277" customFormat="1">
      <c r="A113" s="279">
        <f t="shared" si="3"/>
        <v>2008.08</v>
      </c>
      <c r="B113" s="1099">
        <v>0.70404148083603912</v>
      </c>
      <c r="C113" s="3059">
        <v>0.29595851916396143</v>
      </c>
      <c r="D113" s="1101">
        <f t="shared" si="2"/>
        <v>1.0000000000000004</v>
      </c>
      <c r="E113" s="714"/>
      <c r="F113" s="3056"/>
      <c r="G113" s="1130"/>
      <c r="H113" s="1134">
        <f t="shared" si="1"/>
        <v>1.0000000000000002</v>
      </c>
      <c r="I113" s="1131">
        <v>0.9539633449897954</v>
      </c>
      <c r="J113" s="3057">
        <v>4.013680630717803E-2</v>
      </c>
      <c r="K113" s="1878">
        <v>5.8998487030268616E-3</v>
      </c>
      <c r="L113" s="714"/>
      <c r="M113" s="3056"/>
      <c r="N113" s="1130"/>
      <c r="O113" s="3058"/>
    </row>
    <row r="114" spans="1:15" s="277" customFormat="1">
      <c r="A114" s="279">
        <f t="shared" si="3"/>
        <v>2008.09</v>
      </c>
      <c r="B114" s="1099">
        <v>0.67858407422636757</v>
      </c>
      <c r="C114" s="3059">
        <v>0.32141592577363298</v>
      </c>
      <c r="D114" s="1101">
        <f t="shared" si="2"/>
        <v>1.0000000000000004</v>
      </c>
      <c r="E114" s="714"/>
      <c r="F114" s="3056"/>
      <c r="G114" s="1130"/>
      <c r="H114" s="1134">
        <f t="shared" si="1"/>
        <v>1.0000000000000002</v>
      </c>
      <c r="I114" s="1131">
        <v>0.97264799885190256</v>
      </c>
      <c r="J114" s="3057">
        <v>1.8178099434583841E-2</v>
      </c>
      <c r="K114" s="1878">
        <v>9.1739017135137862E-3</v>
      </c>
      <c r="L114" s="714"/>
      <c r="M114" s="3056"/>
      <c r="N114" s="1130"/>
      <c r="O114" s="3058"/>
    </row>
    <row r="115" spans="1:15" s="277" customFormat="1" ht="13.5" thickBot="1">
      <c r="A115" s="279">
        <f t="shared" si="3"/>
        <v>2008.1</v>
      </c>
      <c r="B115" s="1099">
        <v>0.74492525548267452</v>
      </c>
      <c r="C115" s="3059">
        <v>0.25507474451732537</v>
      </c>
      <c r="D115" s="1101">
        <f t="shared" si="2"/>
        <v>0.99999999999999989</v>
      </c>
      <c r="E115" s="714"/>
      <c r="F115" s="3056"/>
      <c r="G115" s="1130"/>
      <c r="H115" s="1134">
        <f t="shared" si="1"/>
        <v>0.99999999999999956</v>
      </c>
      <c r="I115" s="1131">
        <v>0.94243744955057818</v>
      </c>
      <c r="J115" s="3057">
        <v>3.6823276528673128E-2</v>
      </c>
      <c r="K115" s="1878">
        <v>2.0739273920748254E-2</v>
      </c>
      <c r="L115" s="714"/>
      <c r="M115" s="1132"/>
      <c r="N115" s="1130"/>
      <c r="O115" s="3058"/>
    </row>
    <row r="116" spans="1:15" s="277" customFormat="1">
      <c r="A116" s="279">
        <f t="shared" si="3"/>
        <v>2008.11</v>
      </c>
      <c r="B116" s="1099">
        <v>0.75840140166411973</v>
      </c>
      <c r="C116" s="3059">
        <v>0.24159859833588029</v>
      </c>
      <c r="D116" s="1101">
        <f t="shared" si="2"/>
        <v>1</v>
      </c>
      <c r="E116" s="1097">
        <v>0.79728414762713218</v>
      </c>
      <c r="F116" s="1098">
        <v>0.20271585237286729</v>
      </c>
      <c r="G116" s="1100">
        <f>E116+F116</f>
        <v>0.99999999999999944</v>
      </c>
      <c r="H116" s="1134">
        <f t="shared" si="1"/>
        <v>0.99999999999999989</v>
      </c>
      <c r="I116" s="1131">
        <v>0.95999184810623628</v>
      </c>
      <c r="J116" s="3057">
        <v>2.6217712207405933E-2</v>
      </c>
      <c r="K116" s="1878">
        <v>1.3790439686357576E-2</v>
      </c>
      <c r="L116" s="1142">
        <f t="shared" ref="L116:L179" si="4">M116+N116+O116</f>
        <v>1.0000000000000004</v>
      </c>
      <c r="M116" s="1127">
        <v>0.96275557846464321</v>
      </c>
      <c r="N116" s="1128">
        <v>1.560340324836727E-2</v>
      </c>
      <c r="O116" s="1141">
        <v>2.1641018286989867E-2</v>
      </c>
    </row>
    <row r="117" spans="1:15" s="277" customFormat="1">
      <c r="A117" s="279">
        <f t="shared" si="3"/>
        <v>2008.12</v>
      </c>
      <c r="B117" s="1099">
        <v>0.78920351809105949</v>
      </c>
      <c r="C117" s="3059">
        <v>0.21079648190894049</v>
      </c>
      <c r="D117" s="1101">
        <f t="shared" si="2"/>
        <v>1</v>
      </c>
      <c r="E117" s="1102">
        <v>0.84885875073694395</v>
      </c>
      <c r="F117" s="3060">
        <v>0.15114124926305592</v>
      </c>
      <c r="G117" s="1135">
        <f>E117+F117</f>
        <v>0.99999999999999989</v>
      </c>
      <c r="H117" s="1134">
        <f t="shared" si="1"/>
        <v>1</v>
      </c>
      <c r="I117" s="1131">
        <v>0.95612169680556025</v>
      </c>
      <c r="J117" s="3057">
        <v>1.6890990832982372E-2</v>
      </c>
      <c r="K117" s="1878">
        <v>2.698731236145737E-2</v>
      </c>
      <c r="L117" s="1134">
        <f t="shared" si="4"/>
        <v>1</v>
      </c>
      <c r="M117" s="1131">
        <v>0.93781215790908501</v>
      </c>
      <c r="N117" s="3057">
        <v>2.9652731508886702E-2</v>
      </c>
      <c r="O117" s="3061">
        <v>3.2535110582028279E-2</v>
      </c>
    </row>
    <row r="118" spans="1:15" s="277" customFormat="1">
      <c r="A118" s="279">
        <f t="shared" si="3"/>
        <v>2009.01</v>
      </c>
      <c r="B118" s="1099">
        <v>0.84435121375762123</v>
      </c>
      <c r="C118" s="3059">
        <v>0.15564878624237863</v>
      </c>
      <c r="D118" s="1101">
        <f t="shared" si="2"/>
        <v>0.99999999999999989</v>
      </c>
      <c r="E118" s="1102">
        <v>0.85974264602636363</v>
      </c>
      <c r="F118" s="3060">
        <v>0.1402573539736359</v>
      </c>
      <c r="G118" s="1135">
        <f t="shared" ref="G118:G181" si="5">E118+F118</f>
        <v>0.99999999999999956</v>
      </c>
      <c r="H118" s="1134">
        <f t="shared" si="1"/>
        <v>1</v>
      </c>
      <c r="I118" s="1131">
        <v>0.95276828213138276</v>
      </c>
      <c r="J118" s="3057">
        <v>1.6134892196043395E-2</v>
      </c>
      <c r="K118" s="1878">
        <v>3.1096825672573963E-2</v>
      </c>
      <c r="L118" s="1134">
        <f t="shared" si="4"/>
        <v>1</v>
      </c>
      <c r="M118" s="1131">
        <v>0.9531592193775501</v>
      </c>
      <c r="N118" s="3057">
        <v>2.0769433366091637E-2</v>
      </c>
      <c r="O118" s="3061">
        <v>2.6071347256358353E-2</v>
      </c>
    </row>
    <row r="119" spans="1:15" s="277" customFormat="1">
      <c r="A119" s="279">
        <f t="shared" si="3"/>
        <v>2009.02</v>
      </c>
      <c r="B119" s="1099">
        <v>0.77391623530817844</v>
      </c>
      <c r="C119" s="3059">
        <v>0.22608376469182134</v>
      </c>
      <c r="D119" s="1101">
        <f t="shared" si="2"/>
        <v>0.99999999999999978</v>
      </c>
      <c r="E119" s="1102">
        <v>0.83686692720854705</v>
      </c>
      <c r="F119" s="3060">
        <v>0.16313307279145264</v>
      </c>
      <c r="G119" s="1135">
        <f t="shared" si="5"/>
        <v>0.99999999999999967</v>
      </c>
      <c r="H119" s="1134">
        <f t="shared" si="1"/>
        <v>0.99999999999999989</v>
      </c>
      <c r="I119" s="1131">
        <v>0.91318814196488096</v>
      </c>
      <c r="J119" s="3057">
        <v>4.8183832196973586E-2</v>
      </c>
      <c r="K119" s="1878">
        <v>3.8628025838145445E-2</v>
      </c>
      <c r="L119" s="1134">
        <f t="shared" si="4"/>
        <v>1.0000000000000002</v>
      </c>
      <c r="M119" s="1131">
        <v>0.92377538987315111</v>
      </c>
      <c r="N119" s="3057">
        <v>3.8146262660244887E-2</v>
      </c>
      <c r="O119" s="3061">
        <v>3.8078347466604177E-2</v>
      </c>
    </row>
    <row r="120" spans="1:15" s="277" customFormat="1">
      <c r="A120" s="279">
        <f t="shared" si="3"/>
        <v>2009.03</v>
      </c>
      <c r="B120" s="1099">
        <v>0.74286379140704573</v>
      </c>
      <c r="C120" s="3059">
        <v>0.25713620859295433</v>
      </c>
      <c r="D120" s="1101">
        <f t="shared" si="2"/>
        <v>1</v>
      </c>
      <c r="E120" s="1102">
        <v>0.82036562338535635</v>
      </c>
      <c r="F120" s="3060">
        <v>0.17963437661464227</v>
      </c>
      <c r="G120" s="1135">
        <f t="shared" si="5"/>
        <v>0.99999999999999867</v>
      </c>
      <c r="H120" s="1134">
        <f t="shared" si="1"/>
        <v>1</v>
      </c>
      <c r="I120" s="1131">
        <v>0.95276828213138276</v>
      </c>
      <c r="J120" s="3057">
        <v>1.6134892196043395E-2</v>
      </c>
      <c r="K120" s="1878">
        <v>3.1096825672573963E-2</v>
      </c>
      <c r="L120" s="1134">
        <f t="shared" si="4"/>
        <v>0.99999999999999944</v>
      </c>
      <c r="M120" s="1131">
        <v>0.91918058199146802</v>
      </c>
      <c r="N120" s="3057">
        <v>3.5194174458948783E-2</v>
      </c>
      <c r="O120" s="3061">
        <v>4.5625243549582646E-2</v>
      </c>
    </row>
    <row r="121" spans="1:15" s="277" customFormat="1">
      <c r="A121" s="279">
        <f t="shared" si="3"/>
        <v>2009.04</v>
      </c>
      <c r="B121" s="1099">
        <v>0.7410045458327994</v>
      </c>
      <c r="C121" s="3059">
        <v>0.2589954541672006</v>
      </c>
      <c r="D121" s="1101">
        <f t="shared" si="2"/>
        <v>1</v>
      </c>
      <c r="E121" s="1102">
        <v>0.84350186118307624</v>
      </c>
      <c r="F121" s="3060">
        <v>0.15649813881692395</v>
      </c>
      <c r="G121" s="1135">
        <f t="shared" si="5"/>
        <v>1.0000000000000002</v>
      </c>
      <c r="H121" s="1134">
        <f t="shared" si="1"/>
        <v>1</v>
      </c>
      <c r="I121" s="1131">
        <v>0.90145790726522734</v>
      </c>
      <c r="J121" s="3057">
        <v>7.3823585198358133E-2</v>
      </c>
      <c r="K121" s="1878">
        <v>2.4718507536414538E-2</v>
      </c>
      <c r="L121" s="1134">
        <f t="shared" si="4"/>
        <v>1</v>
      </c>
      <c r="M121" s="1131">
        <v>0.93759212168117545</v>
      </c>
      <c r="N121" s="3057">
        <v>2.8573734688331395E-2</v>
      </c>
      <c r="O121" s="3061">
        <v>3.3834143630493141E-2</v>
      </c>
    </row>
    <row r="122" spans="1:15" s="277" customFormat="1">
      <c r="A122" s="279">
        <f t="shared" si="3"/>
        <v>2009.05</v>
      </c>
      <c r="B122" s="1099">
        <v>0.76037857813224252</v>
      </c>
      <c r="C122" s="3059">
        <v>0.23962142186775751</v>
      </c>
      <c r="D122" s="1101">
        <f t="shared" si="2"/>
        <v>1</v>
      </c>
      <c r="E122" s="1102">
        <v>0.80968052723899619</v>
      </c>
      <c r="F122" s="3060">
        <v>0.19031947276100383</v>
      </c>
      <c r="G122" s="1135">
        <f t="shared" si="5"/>
        <v>1</v>
      </c>
      <c r="H122" s="1134">
        <f t="shared" si="1"/>
        <v>1</v>
      </c>
      <c r="I122" s="1131">
        <v>0.94268169978051219</v>
      </c>
      <c r="J122" s="3057">
        <v>3.34745461084947E-2</v>
      </c>
      <c r="K122" s="1878">
        <v>2.3843754110993126E-2</v>
      </c>
      <c r="L122" s="1134">
        <f t="shared" si="4"/>
        <v>1</v>
      </c>
      <c r="M122" s="1131">
        <v>0.93440497230001585</v>
      </c>
      <c r="N122" s="3057">
        <v>1.5239661746600568E-2</v>
      </c>
      <c r="O122" s="3061">
        <v>5.0355365953383628E-2</v>
      </c>
    </row>
    <row r="123" spans="1:15" s="277" customFormat="1">
      <c r="A123" s="279">
        <f t="shared" si="3"/>
        <v>2009.06</v>
      </c>
      <c r="B123" s="1099">
        <v>0.78246312944750929</v>
      </c>
      <c r="C123" s="3059">
        <v>0.2175368705524906</v>
      </c>
      <c r="D123" s="1101">
        <f t="shared" si="2"/>
        <v>0.99999999999999989</v>
      </c>
      <c r="E123" s="1102">
        <v>0.86404876166927547</v>
      </c>
      <c r="F123" s="3060">
        <v>0.13595123833072451</v>
      </c>
      <c r="G123" s="1135">
        <f t="shared" si="5"/>
        <v>1</v>
      </c>
      <c r="H123" s="1134">
        <f t="shared" si="1"/>
        <v>1</v>
      </c>
      <c r="I123" s="1131">
        <v>0.969975580133562</v>
      </c>
      <c r="J123" s="3057">
        <v>3.0024419866437991E-2</v>
      </c>
      <c r="K123" s="1878">
        <v>0</v>
      </c>
      <c r="L123" s="1134">
        <f t="shared" si="4"/>
        <v>1</v>
      </c>
      <c r="M123" s="1131">
        <v>0.94567392118447779</v>
      </c>
      <c r="N123" s="3057">
        <v>2.4406691338463835E-2</v>
      </c>
      <c r="O123" s="3061">
        <v>2.9919387477058371E-2</v>
      </c>
    </row>
    <row r="124" spans="1:15" s="277" customFormat="1">
      <c r="A124" s="279">
        <f t="shared" si="3"/>
        <v>2009.07</v>
      </c>
      <c r="B124" s="1099">
        <v>0.75768371175015181</v>
      </c>
      <c r="C124" s="3059">
        <v>0.24231628824984824</v>
      </c>
      <c r="D124" s="1101">
        <f t="shared" si="2"/>
        <v>1</v>
      </c>
      <c r="E124" s="1102">
        <v>0.88702955310592191</v>
      </c>
      <c r="F124" s="3060">
        <v>0.11297044689407812</v>
      </c>
      <c r="G124" s="1135">
        <f t="shared" si="5"/>
        <v>1</v>
      </c>
      <c r="H124" s="1134">
        <f t="shared" si="1"/>
        <v>1</v>
      </c>
      <c r="I124" s="1131">
        <v>0.92185782757353718</v>
      </c>
      <c r="J124" s="3057">
        <v>2.7602005763849868E-2</v>
      </c>
      <c r="K124" s="1878">
        <v>5.0540166662612955E-2</v>
      </c>
      <c r="L124" s="1134">
        <f t="shared" si="4"/>
        <v>1.0000000000000002</v>
      </c>
      <c r="M124" s="1131">
        <v>0.92663155838144251</v>
      </c>
      <c r="N124" s="3057">
        <v>3.3488245108966273E-2</v>
      </c>
      <c r="O124" s="3061">
        <v>3.9880196509591508E-2</v>
      </c>
    </row>
    <row r="125" spans="1:15" s="277" customFormat="1">
      <c r="A125" s="279">
        <f t="shared" si="3"/>
        <v>2009.08</v>
      </c>
      <c r="B125" s="1099">
        <v>0.78174726586775523</v>
      </c>
      <c r="C125" s="3059">
        <v>0.21825273413224466</v>
      </c>
      <c r="D125" s="1101">
        <f t="shared" si="2"/>
        <v>0.99999999999999989</v>
      </c>
      <c r="E125" s="1102">
        <v>0.88713925644586622</v>
      </c>
      <c r="F125" s="3060">
        <v>0.11286074355413377</v>
      </c>
      <c r="G125" s="1135">
        <f t="shared" si="5"/>
        <v>1</v>
      </c>
      <c r="H125" s="1134">
        <f t="shared" si="1"/>
        <v>1</v>
      </c>
      <c r="I125" s="1131">
        <v>0.92170442918909801</v>
      </c>
      <c r="J125" s="3057">
        <v>5.6751039715317718E-2</v>
      </c>
      <c r="K125" s="1878">
        <v>2.15445310955843E-2</v>
      </c>
      <c r="L125" s="1134">
        <f t="shared" si="4"/>
        <v>1</v>
      </c>
      <c r="M125" s="1131">
        <v>0.96193130328224119</v>
      </c>
      <c r="N125" s="3057">
        <v>1.5015401312411416E-2</v>
      </c>
      <c r="O125" s="3061">
        <v>2.3053295405347396E-2</v>
      </c>
    </row>
    <row r="126" spans="1:15" s="277" customFormat="1">
      <c r="A126" s="279">
        <f t="shared" si="3"/>
        <v>2009.09</v>
      </c>
      <c r="B126" s="1099">
        <v>0.73127656516985884</v>
      </c>
      <c r="C126" s="3059">
        <v>0.26872343483014122</v>
      </c>
      <c r="D126" s="1101">
        <f t="shared" si="2"/>
        <v>1</v>
      </c>
      <c r="E126" s="1102">
        <v>0.80184946933966184</v>
      </c>
      <c r="F126" s="3060">
        <v>0.19815053066033811</v>
      </c>
      <c r="G126" s="1135">
        <f t="shared" si="5"/>
        <v>1</v>
      </c>
      <c r="H126" s="1134">
        <f t="shared" si="1"/>
        <v>1</v>
      </c>
      <c r="I126" s="1131">
        <v>0.92170442918909801</v>
      </c>
      <c r="J126" s="3057">
        <v>5.6751039715317718E-2</v>
      </c>
      <c r="K126" s="1878">
        <v>2.15445310955843E-2</v>
      </c>
      <c r="L126" s="1134">
        <f t="shared" si="4"/>
        <v>1</v>
      </c>
      <c r="M126" s="1131">
        <v>0.96151868355721404</v>
      </c>
      <c r="N126" s="3057">
        <v>9.5176172363919554E-3</v>
      </c>
      <c r="O126" s="3061">
        <v>2.8963699206394009E-2</v>
      </c>
    </row>
    <row r="127" spans="1:15" s="277" customFormat="1">
      <c r="A127" s="279">
        <f t="shared" si="3"/>
        <v>2009.1</v>
      </c>
      <c r="B127" s="1099">
        <v>0.78027772578108667</v>
      </c>
      <c r="C127" s="3059">
        <v>0.21972227421891333</v>
      </c>
      <c r="D127" s="1101">
        <f t="shared" si="2"/>
        <v>1</v>
      </c>
      <c r="E127" s="1102">
        <v>0.77038458050419123</v>
      </c>
      <c r="F127" s="3060">
        <v>0.22961541949580863</v>
      </c>
      <c r="G127" s="1135">
        <f t="shared" si="5"/>
        <v>0.99999999999999989</v>
      </c>
      <c r="H127" s="1134">
        <f t="shared" si="1"/>
        <v>1</v>
      </c>
      <c r="I127" s="1131">
        <v>0.94777580542752404</v>
      </c>
      <c r="J127" s="3057">
        <v>4.6932626846952041E-2</v>
      </c>
      <c r="K127" s="1878">
        <v>5.2915677255238906E-3</v>
      </c>
      <c r="L127" s="1134">
        <f t="shared" si="4"/>
        <v>1</v>
      </c>
      <c r="M127" s="1131">
        <v>0.93934025314117198</v>
      </c>
      <c r="N127" s="3057">
        <v>2.8275894741109961E-2</v>
      </c>
      <c r="O127" s="3061">
        <v>3.238385211771809E-2</v>
      </c>
    </row>
    <row r="128" spans="1:15" s="277" customFormat="1">
      <c r="A128" s="279">
        <f t="shared" si="3"/>
        <v>2009.11</v>
      </c>
      <c r="B128" s="1099">
        <v>0.7228596427120767</v>
      </c>
      <c r="C128" s="3059">
        <v>0.27714035728792324</v>
      </c>
      <c r="D128" s="1101">
        <f t="shared" si="2"/>
        <v>1</v>
      </c>
      <c r="E128" s="1102">
        <v>0.83076177217124114</v>
      </c>
      <c r="F128" s="3060">
        <v>0.16923822782875889</v>
      </c>
      <c r="G128" s="1135">
        <f t="shared" si="5"/>
        <v>1</v>
      </c>
      <c r="H128" s="1134">
        <f t="shared" si="1"/>
        <v>1</v>
      </c>
      <c r="I128" s="1131">
        <v>0.9374955367627511</v>
      </c>
      <c r="J128" s="3057">
        <v>5.333997094474615E-2</v>
      </c>
      <c r="K128" s="1878">
        <v>9.1644922925027909E-3</v>
      </c>
      <c r="L128" s="1134">
        <f t="shared" si="4"/>
        <v>1</v>
      </c>
      <c r="M128" s="1131">
        <v>0.97403703352195037</v>
      </c>
      <c r="N128" s="3057">
        <v>8.9536417428036502E-3</v>
      </c>
      <c r="O128" s="3061">
        <v>1.7009324735245929E-2</v>
      </c>
    </row>
    <row r="129" spans="1:15" s="277" customFormat="1">
      <c r="A129" s="279">
        <f t="shared" si="3"/>
        <v>2009.12</v>
      </c>
      <c r="B129" s="1099">
        <v>0.7467342801080824</v>
      </c>
      <c r="C129" s="3059">
        <v>0.25326571989191765</v>
      </c>
      <c r="D129" s="1101">
        <f t="shared" si="2"/>
        <v>1</v>
      </c>
      <c r="E129" s="1102">
        <v>0.83527763937318555</v>
      </c>
      <c r="F129" s="3060">
        <v>0.16472236062681447</v>
      </c>
      <c r="G129" s="1135">
        <f t="shared" si="5"/>
        <v>1</v>
      </c>
      <c r="H129" s="1134">
        <f t="shared" ref="H129:H192" si="6">+I129+J129+K129</f>
        <v>1.0000000000000002</v>
      </c>
      <c r="I129" s="1131">
        <v>0.95179183400575074</v>
      </c>
      <c r="J129" s="3057">
        <v>3.5476662627028394E-2</v>
      </c>
      <c r="K129" s="1878">
        <v>1.2731503367220964E-2</v>
      </c>
      <c r="L129" s="1134">
        <f t="shared" si="4"/>
        <v>1</v>
      </c>
      <c r="M129" s="1131">
        <v>0.97867782577591955</v>
      </c>
      <c r="N129" s="3057">
        <v>2.0743206298062832E-2</v>
      </c>
      <c r="O129" s="3061">
        <v>5.78967926017625E-4</v>
      </c>
    </row>
    <row r="130" spans="1:15" s="277" customFormat="1">
      <c r="A130" s="279">
        <f t="shared" si="3"/>
        <v>2010.01</v>
      </c>
      <c r="B130" s="1099">
        <v>0.74494323249911087</v>
      </c>
      <c r="C130" s="3059">
        <v>0.25505676750088896</v>
      </c>
      <c r="D130" s="1101">
        <f t="shared" si="2"/>
        <v>0.99999999999999978</v>
      </c>
      <c r="E130" s="1102">
        <v>0.82715249711618555</v>
      </c>
      <c r="F130" s="3060">
        <v>0.17284750288381445</v>
      </c>
      <c r="G130" s="1135">
        <f t="shared" si="5"/>
        <v>1</v>
      </c>
      <c r="H130" s="1134">
        <f t="shared" si="6"/>
        <v>1.0000000000000002</v>
      </c>
      <c r="I130" s="1131">
        <v>0.95179183400575074</v>
      </c>
      <c r="J130" s="3057">
        <v>3.5476662627028394E-2</v>
      </c>
      <c r="K130" s="1878">
        <v>1.2731503367220964E-2</v>
      </c>
      <c r="L130" s="1134">
        <f t="shared" si="4"/>
        <v>0.99999999999999989</v>
      </c>
      <c r="M130" s="1131">
        <v>0.95761150856902599</v>
      </c>
      <c r="N130" s="3057">
        <v>2.501507651271016E-2</v>
      </c>
      <c r="O130" s="3061">
        <v>1.7373414918263771E-2</v>
      </c>
    </row>
    <row r="131" spans="1:15" s="277" customFormat="1">
      <c r="A131" s="279">
        <f t="shared" si="3"/>
        <v>2010.02</v>
      </c>
      <c r="B131" s="1099">
        <v>0.76595748984170842</v>
      </c>
      <c r="C131" s="3059">
        <v>0.23404251015829161</v>
      </c>
      <c r="D131" s="1101">
        <f t="shared" si="2"/>
        <v>1</v>
      </c>
      <c r="E131" s="1102">
        <v>0.84386885913902021</v>
      </c>
      <c r="F131" s="3060">
        <v>0.15613114086097979</v>
      </c>
      <c r="G131" s="1135">
        <f t="shared" si="5"/>
        <v>1</v>
      </c>
      <c r="H131" s="1134">
        <f t="shared" si="6"/>
        <v>1.0000000000000002</v>
      </c>
      <c r="I131" s="1131">
        <v>0.95179183400575074</v>
      </c>
      <c r="J131" s="3057">
        <v>3.5476662627028394E-2</v>
      </c>
      <c r="K131" s="1878">
        <v>1.2731503367220964E-2</v>
      </c>
      <c r="L131" s="1134">
        <f t="shared" si="4"/>
        <v>1</v>
      </c>
      <c r="M131" s="1131">
        <v>0.95586970741744726</v>
      </c>
      <c r="N131" s="3057">
        <v>2.7152939272831574E-2</v>
      </c>
      <c r="O131" s="3061">
        <v>1.6977353309721173E-2</v>
      </c>
    </row>
    <row r="132" spans="1:15" s="277" customFormat="1">
      <c r="A132" s="279">
        <f t="shared" si="3"/>
        <v>2010.03</v>
      </c>
      <c r="B132" s="1099">
        <v>0.73215936246952606</v>
      </c>
      <c r="C132" s="3059">
        <v>0.26784063753047399</v>
      </c>
      <c r="D132" s="1101">
        <f t="shared" si="2"/>
        <v>1</v>
      </c>
      <c r="E132" s="1102">
        <v>0.82958035344092051</v>
      </c>
      <c r="F132" s="3060">
        <v>0.17041964655907957</v>
      </c>
      <c r="G132" s="1135">
        <f t="shared" si="5"/>
        <v>1</v>
      </c>
      <c r="H132" s="1134">
        <f t="shared" si="6"/>
        <v>1</v>
      </c>
      <c r="I132" s="1131">
        <v>0.94900391328812939</v>
      </c>
      <c r="J132" s="3057">
        <v>3.4969881381929774E-2</v>
      </c>
      <c r="K132" s="1878">
        <v>1.6026205329940868E-2</v>
      </c>
      <c r="L132" s="1134">
        <f t="shared" si="4"/>
        <v>1</v>
      </c>
      <c r="M132" s="1131">
        <v>0.95859761251631537</v>
      </c>
      <c r="N132" s="3057">
        <v>1.8858987870349484E-2</v>
      </c>
      <c r="O132" s="3061">
        <v>2.2543399613335138E-2</v>
      </c>
    </row>
    <row r="133" spans="1:15" s="277" customFormat="1">
      <c r="A133" s="279">
        <f t="shared" si="3"/>
        <v>2010.04</v>
      </c>
      <c r="B133" s="1099">
        <v>0.67513886374484888</v>
      </c>
      <c r="C133" s="3059">
        <v>0.32486113625515101</v>
      </c>
      <c r="D133" s="1101">
        <f t="shared" si="2"/>
        <v>0.99999999999999989</v>
      </c>
      <c r="E133" s="1102">
        <v>0.84553134545213338</v>
      </c>
      <c r="F133" s="3060">
        <v>0.15446865454786651</v>
      </c>
      <c r="G133" s="1135">
        <f t="shared" si="5"/>
        <v>0.99999999999999989</v>
      </c>
      <c r="H133" s="1134">
        <f t="shared" si="6"/>
        <v>1</v>
      </c>
      <c r="I133" s="1131">
        <v>0.97272089074581236</v>
      </c>
      <c r="J133" s="3057">
        <v>2.7064147950417873E-2</v>
      </c>
      <c r="K133" s="1878">
        <v>2.1496130376983606E-4</v>
      </c>
      <c r="L133" s="1134">
        <f t="shared" si="4"/>
        <v>0.99999999999999989</v>
      </c>
      <c r="M133" s="1131">
        <v>0.99010725957632717</v>
      </c>
      <c r="N133" s="3057">
        <v>9.3170351832537052E-3</v>
      </c>
      <c r="O133" s="3061">
        <v>5.7570524041906641E-4</v>
      </c>
    </row>
    <row r="134" spans="1:15" s="277" customFormat="1">
      <c r="A134" s="279">
        <f t="shared" si="3"/>
        <v>2010.05</v>
      </c>
      <c r="B134" s="1099">
        <v>0.82540649503232189</v>
      </c>
      <c r="C134" s="3059">
        <v>0.1745935049676782</v>
      </c>
      <c r="D134" s="1101">
        <f t="shared" si="2"/>
        <v>1</v>
      </c>
      <c r="E134" s="1102">
        <v>0.78857325316271043</v>
      </c>
      <c r="F134" s="3060">
        <v>0.21142674683728957</v>
      </c>
      <c r="G134" s="1135">
        <f t="shared" si="5"/>
        <v>1</v>
      </c>
      <c r="H134" s="1134">
        <f t="shared" si="6"/>
        <v>1.0000000000000002</v>
      </c>
      <c r="I134" s="1131">
        <v>0.93351411754355074</v>
      </c>
      <c r="J134" s="3057">
        <v>4.8659773513971744E-2</v>
      </c>
      <c r="K134" s="1878">
        <v>1.7826108942477652E-2</v>
      </c>
      <c r="L134" s="1134">
        <f t="shared" si="4"/>
        <v>1</v>
      </c>
      <c r="M134" s="1131">
        <v>0.96258598796249961</v>
      </c>
      <c r="N134" s="3057">
        <v>3.3626133215413329E-2</v>
      </c>
      <c r="O134" s="3061">
        <v>3.7878788220871455E-3</v>
      </c>
    </row>
    <row r="135" spans="1:15" s="277" customFormat="1">
      <c r="A135" s="279">
        <f t="shared" si="3"/>
        <v>2010.06</v>
      </c>
      <c r="B135" s="1099">
        <v>0.72105445491623366</v>
      </c>
      <c r="C135" s="3059">
        <v>0.27894554508376629</v>
      </c>
      <c r="D135" s="1101">
        <f t="shared" si="2"/>
        <v>1</v>
      </c>
      <c r="E135" s="1102">
        <v>0.86287596303290681</v>
      </c>
      <c r="F135" s="3060">
        <v>0.13712403696709319</v>
      </c>
      <c r="G135" s="1135">
        <f t="shared" si="5"/>
        <v>1</v>
      </c>
      <c r="H135" s="1134">
        <f t="shared" si="6"/>
        <v>0.99999999999999989</v>
      </c>
      <c r="I135" s="1131">
        <v>0.9373328193887065</v>
      </c>
      <c r="J135" s="3057">
        <v>4.9506836921183434E-2</v>
      </c>
      <c r="K135" s="1878">
        <v>1.3160343690110023E-2</v>
      </c>
      <c r="L135" s="1134">
        <f t="shared" si="4"/>
        <v>0.99999999999999989</v>
      </c>
      <c r="M135" s="1131">
        <v>0.95238110370004991</v>
      </c>
      <c r="N135" s="3057">
        <v>2.9552582240220556E-2</v>
      </c>
      <c r="O135" s="3061">
        <v>1.8066314059729482E-2</v>
      </c>
    </row>
    <row r="136" spans="1:15" s="277" customFormat="1">
      <c r="A136" s="279">
        <f t="shared" si="3"/>
        <v>2010.07</v>
      </c>
      <c r="B136" s="1099">
        <v>0.73193543758877855</v>
      </c>
      <c r="C136" s="3059">
        <v>0.26806456241122151</v>
      </c>
      <c r="D136" s="1101">
        <f t="shared" si="2"/>
        <v>1</v>
      </c>
      <c r="E136" s="1102">
        <v>0.8617361285781403</v>
      </c>
      <c r="F136" s="3060">
        <v>0.13826387142185961</v>
      </c>
      <c r="G136" s="1135">
        <f t="shared" si="5"/>
        <v>0.99999999999999989</v>
      </c>
      <c r="H136" s="1134">
        <f t="shared" si="6"/>
        <v>1</v>
      </c>
      <c r="I136" s="1131">
        <v>0.92939608655521366</v>
      </c>
      <c r="J136" s="3057">
        <v>5.1471682777631186E-2</v>
      </c>
      <c r="K136" s="1878">
        <v>1.913223066715514E-2</v>
      </c>
      <c r="L136" s="1134">
        <f t="shared" si="4"/>
        <v>1</v>
      </c>
      <c r="M136" s="1131">
        <v>0.96507205883967528</v>
      </c>
      <c r="N136" s="3057">
        <v>2.1319426280471353E-2</v>
      </c>
      <c r="O136" s="3061">
        <v>1.3608514879853395E-2</v>
      </c>
    </row>
    <row r="137" spans="1:15" s="277" customFormat="1">
      <c r="A137" s="279">
        <f t="shared" si="3"/>
        <v>2010.08</v>
      </c>
      <c r="B137" s="1099">
        <v>0.7667144425602177</v>
      </c>
      <c r="C137" s="3059">
        <v>0.23328555743978219</v>
      </c>
      <c r="D137" s="1101">
        <f t="shared" si="2"/>
        <v>0.99999999999999989</v>
      </c>
      <c r="E137" s="1102">
        <v>0.85648290666389659</v>
      </c>
      <c r="F137" s="3060">
        <v>0.14351709333610338</v>
      </c>
      <c r="G137" s="1135">
        <f t="shared" si="5"/>
        <v>1</v>
      </c>
      <c r="H137" s="1134">
        <f t="shared" si="6"/>
        <v>1</v>
      </c>
      <c r="I137" s="1131">
        <v>0.8839268913774605</v>
      </c>
      <c r="J137" s="3057">
        <v>0.10771264680903167</v>
      </c>
      <c r="K137" s="1878">
        <v>8.3604618135078527E-3</v>
      </c>
      <c r="L137" s="1134">
        <f t="shared" si="4"/>
        <v>1</v>
      </c>
      <c r="M137" s="1131">
        <v>0.95458737275149441</v>
      </c>
      <c r="N137" s="3057">
        <v>1.4074207792771843E-2</v>
      </c>
      <c r="O137" s="3061">
        <v>3.1338419455733776E-2</v>
      </c>
    </row>
    <row r="138" spans="1:15" s="277" customFormat="1">
      <c r="A138" s="279">
        <f t="shared" si="3"/>
        <v>2010.09</v>
      </c>
      <c r="B138" s="1099">
        <v>0.67676233152428222</v>
      </c>
      <c r="C138" s="3059">
        <v>0.32323766847571767</v>
      </c>
      <c r="D138" s="1101">
        <f t="shared" si="2"/>
        <v>0.99999999999999989</v>
      </c>
      <c r="E138" s="1102">
        <v>0.86167792624481943</v>
      </c>
      <c r="F138" s="3060">
        <v>0.1383220737551806</v>
      </c>
      <c r="G138" s="1135">
        <f t="shared" si="5"/>
        <v>1</v>
      </c>
      <c r="H138" s="1134">
        <f t="shared" si="6"/>
        <v>1</v>
      </c>
      <c r="I138" s="1131">
        <v>0.92529050876759977</v>
      </c>
      <c r="J138" s="3057">
        <v>7.0231340471440362E-2</v>
      </c>
      <c r="K138" s="1878">
        <v>4.478150760959883E-3</v>
      </c>
      <c r="L138" s="1134">
        <f t="shared" si="4"/>
        <v>1</v>
      </c>
      <c r="M138" s="1131">
        <v>0.95407895689326438</v>
      </c>
      <c r="N138" s="3057">
        <v>3.2308777362837569E-2</v>
      </c>
      <c r="O138" s="3061">
        <v>1.3612265743898027E-2</v>
      </c>
    </row>
    <row r="139" spans="1:15" s="277" customFormat="1">
      <c r="A139" s="279">
        <f t="shared" si="3"/>
        <v>2010.1</v>
      </c>
      <c r="B139" s="1099">
        <v>0.64738551530579647</v>
      </c>
      <c r="C139" s="3059">
        <v>0.35261448469420353</v>
      </c>
      <c r="D139" s="1101">
        <f t="shared" si="2"/>
        <v>1</v>
      </c>
      <c r="E139" s="1102">
        <v>0.86983392560937878</v>
      </c>
      <c r="F139" s="3060">
        <v>0.13016607439062131</v>
      </c>
      <c r="G139" s="1135">
        <f t="shared" si="5"/>
        <v>1</v>
      </c>
      <c r="H139" s="1134">
        <f t="shared" si="6"/>
        <v>1</v>
      </c>
      <c r="I139" s="1131">
        <v>0.88997667233002931</v>
      </c>
      <c r="J139" s="3057">
        <v>8.1913217494705717E-2</v>
      </c>
      <c r="K139" s="1878">
        <v>2.8110110175265057E-2</v>
      </c>
      <c r="L139" s="1134">
        <f t="shared" si="4"/>
        <v>1</v>
      </c>
      <c r="M139" s="1131">
        <v>0.98422151308941608</v>
      </c>
      <c r="N139" s="3057">
        <v>1.2328692380992316E-2</v>
      </c>
      <c r="O139" s="3061">
        <v>3.4497945295916032E-3</v>
      </c>
    </row>
    <row r="140" spans="1:15" s="277" customFormat="1">
      <c r="A140" s="279">
        <f t="shared" si="3"/>
        <v>2010.11</v>
      </c>
      <c r="B140" s="1099">
        <v>0.66945584284304127</v>
      </c>
      <c r="C140" s="3059">
        <v>0.33054415715695884</v>
      </c>
      <c r="D140" s="1101">
        <f t="shared" si="2"/>
        <v>1</v>
      </c>
      <c r="E140" s="1102">
        <v>0.82100613187198268</v>
      </c>
      <c r="F140" s="3060">
        <v>0.17899386812801724</v>
      </c>
      <c r="G140" s="1135">
        <f t="shared" si="5"/>
        <v>0.99999999999999989</v>
      </c>
      <c r="H140" s="1134">
        <f t="shared" si="6"/>
        <v>0.99999999999999978</v>
      </c>
      <c r="I140" s="1131">
        <v>0.88230996228218028</v>
      </c>
      <c r="J140" s="3057">
        <v>9.7334175652052879E-2</v>
      </c>
      <c r="K140" s="1878">
        <v>2.0355862065766638E-2</v>
      </c>
      <c r="L140" s="1134">
        <f t="shared" si="4"/>
        <v>1</v>
      </c>
      <c r="M140" s="1131">
        <v>0.9792464236649433</v>
      </c>
      <c r="N140" s="3057">
        <v>2.0753576335056648E-2</v>
      </c>
      <c r="O140" s="3061">
        <v>0</v>
      </c>
    </row>
    <row r="141" spans="1:15" s="277" customFormat="1">
      <c r="A141" s="279">
        <f t="shared" si="3"/>
        <v>2010.12</v>
      </c>
      <c r="B141" s="1099">
        <v>0.7344128892658125</v>
      </c>
      <c r="C141" s="3059">
        <v>0.26558711073418745</v>
      </c>
      <c r="D141" s="1101">
        <f t="shared" si="2"/>
        <v>1</v>
      </c>
      <c r="E141" s="1102">
        <v>0.85692945080154903</v>
      </c>
      <c r="F141" s="3060">
        <v>0.14307054919845097</v>
      </c>
      <c r="G141" s="1135">
        <f t="shared" si="5"/>
        <v>1</v>
      </c>
      <c r="H141" s="1134">
        <f t="shared" si="6"/>
        <v>0.99999999999999989</v>
      </c>
      <c r="I141" s="1131">
        <v>0.94840852527269559</v>
      </c>
      <c r="J141" s="3057">
        <v>4.5234113419538424E-2</v>
      </c>
      <c r="K141" s="1878">
        <v>6.3573613077659193E-3</v>
      </c>
      <c r="L141" s="1134">
        <f t="shared" si="4"/>
        <v>0.99999999999999989</v>
      </c>
      <c r="M141" s="1131">
        <v>0.92370485801727586</v>
      </c>
      <c r="N141" s="3057">
        <v>5.9420208636409455E-2</v>
      </c>
      <c r="O141" s="3061">
        <v>1.6874933346314638E-2</v>
      </c>
    </row>
    <row r="142" spans="1:15" s="277" customFormat="1">
      <c r="A142" s="279">
        <f t="shared" si="3"/>
        <v>2011.01</v>
      </c>
      <c r="B142" s="1099">
        <v>0.73853646244203364</v>
      </c>
      <c r="C142" s="3059">
        <v>0.26146353755796636</v>
      </c>
      <c r="D142" s="1101">
        <f t="shared" si="2"/>
        <v>1</v>
      </c>
      <c r="E142" s="1102">
        <v>0.85267207461904027</v>
      </c>
      <c r="F142" s="3060">
        <v>0.14732792538095976</v>
      </c>
      <c r="G142" s="1135">
        <f t="shared" si="5"/>
        <v>1</v>
      </c>
      <c r="H142" s="1134">
        <f t="shared" si="6"/>
        <v>0.99999999999999989</v>
      </c>
      <c r="I142" s="1131">
        <v>0.88973125258156638</v>
      </c>
      <c r="J142" s="3057">
        <v>9.0149705989120074E-2</v>
      </c>
      <c r="K142" s="1878">
        <v>2.0119041429313426E-2</v>
      </c>
      <c r="L142" s="1134">
        <f t="shared" si="4"/>
        <v>1</v>
      </c>
      <c r="M142" s="1131">
        <v>0.97968891442499628</v>
      </c>
      <c r="N142" s="3057">
        <v>1.4448817323025352E-2</v>
      </c>
      <c r="O142" s="3061">
        <v>5.8622682519783873E-3</v>
      </c>
    </row>
    <row r="143" spans="1:15" s="277" customFormat="1">
      <c r="A143" s="279">
        <f t="shared" si="3"/>
        <v>2011.02</v>
      </c>
      <c r="B143" s="1099">
        <v>0.6612059292071083</v>
      </c>
      <c r="C143" s="3059">
        <v>0.33879407079289153</v>
      </c>
      <c r="D143" s="1101">
        <f t="shared" si="2"/>
        <v>0.99999999999999978</v>
      </c>
      <c r="E143" s="1102">
        <v>0.82791632769386647</v>
      </c>
      <c r="F143" s="3060">
        <v>0.17208367230613336</v>
      </c>
      <c r="G143" s="1135">
        <f t="shared" si="5"/>
        <v>0.99999999999999978</v>
      </c>
      <c r="H143" s="1134">
        <f t="shared" si="6"/>
        <v>1</v>
      </c>
      <c r="I143" s="1131">
        <v>0.88680496075508231</v>
      </c>
      <c r="J143" s="3057">
        <v>6.3835974933347986E-2</v>
      </c>
      <c r="K143" s="1878">
        <v>4.9359064311569625E-2</v>
      </c>
      <c r="L143" s="1134">
        <f t="shared" si="4"/>
        <v>0.99999999999999989</v>
      </c>
      <c r="M143" s="1131">
        <v>0.94941776698114244</v>
      </c>
      <c r="N143" s="3057">
        <v>4.5130273323225667E-2</v>
      </c>
      <c r="O143" s="3061">
        <v>5.4519596956318188E-3</v>
      </c>
    </row>
    <row r="144" spans="1:15" s="277" customFormat="1">
      <c r="A144" s="279">
        <f t="shared" si="3"/>
        <v>2011.03</v>
      </c>
      <c r="B144" s="1099">
        <v>0.67112302609069263</v>
      </c>
      <c r="C144" s="3059">
        <v>0.32887697390930731</v>
      </c>
      <c r="D144" s="1101">
        <f t="shared" si="2"/>
        <v>1</v>
      </c>
      <c r="E144" s="1102">
        <v>0.77810105431562493</v>
      </c>
      <c r="F144" s="3060">
        <v>0.22189894568437513</v>
      </c>
      <c r="G144" s="1135">
        <f t="shared" si="5"/>
        <v>1</v>
      </c>
      <c r="H144" s="1134">
        <f t="shared" si="6"/>
        <v>1</v>
      </c>
      <c r="I144" s="1131">
        <v>0.86309546178006413</v>
      </c>
      <c r="J144" s="3057">
        <v>0.1090804716253297</v>
      </c>
      <c r="K144" s="1878">
        <v>2.7824066594606168E-2</v>
      </c>
      <c r="L144" s="1134">
        <f t="shared" si="4"/>
        <v>1</v>
      </c>
      <c r="M144" s="1131">
        <v>0.98001567226870834</v>
      </c>
      <c r="N144" s="3057">
        <v>1.2563489817299055E-2</v>
      </c>
      <c r="O144" s="3061">
        <v>7.4208379139925722E-3</v>
      </c>
    </row>
    <row r="145" spans="1:15" s="277" customFormat="1">
      <c r="A145" s="279">
        <f t="shared" si="3"/>
        <v>2011.04</v>
      </c>
      <c r="B145" s="1099">
        <v>0.65519296538735394</v>
      </c>
      <c r="C145" s="3059">
        <v>0.34480703461264611</v>
      </c>
      <c r="D145" s="1101">
        <f t="shared" si="2"/>
        <v>1</v>
      </c>
      <c r="E145" s="1102">
        <v>0.81968580456240592</v>
      </c>
      <c r="F145" s="3060">
        <v>0.18031419543759403</v>
      </c>
      <c r="G145" s="1135">
        <f t="shared" si="5"/>
        <v>1</v>
      </c>
      <c r="H145" s="1134">
        <f t="shared" si="6"/>
        <v>0.99999999999999978</v>
      </c>
      <c r="I145" s="1131">
        <v>0.89027055781299902</v>
      </c>
      <c r="J145" s="3057">
        <v>8.3039054072624519E-2</v>
      </c>
      <c r="K145" s="1878">
        <v>2.6690388114376323E-2</v>
      </c>
      <c r="L145" s="1134">
        <f t="shared" si="4"/>
        <v>1</v>
      </c>
      <c r="M145" s="1131">
        <v>0.95166364808822612</v>
      </c>
      <c r="N145" s="3057">
        <v>4.6192887951273465E-2</v>
      </c>
      <c r="O145" s="3061">
        <v>2.1434639605004478E-3</v>
      </c>
    </row>
    <row r="146" spans="1:15" s="277" customFormat="1">
      <c r="A146" s="279">
        <f t="shared" si="3"/>
        <v>2011.05</v>
      </c>
      <c r="B146" s="1099">
        <v>0.63342991218461042</v>
      </c>
      <c r="C146" s="3059">
        <v>0.36657008781538958</v>
      </c>
      <c r="D146" s="1101">
        <f t="shared" si="2"/>
        <v>1</v>
      </c>
      <c r="E146" s="1102">
        <v>0.84138728818705966</v>
      </c>
      <c r="F146" s="3060">
        <v>0.15861271181294026</v>
      </c>
      <c r="G146" s="1135">
        <f t="shared" si="5"/>
        <v>0.99999999999999989</v>
      </c>
      <c r="H146" s="1134">
        <f t="shared" si="6"/>
        <v>1</v>
      </c>
      <c r="I146" s="1131">
        <v>0.88584592005980212</v>
      </c>
      <c r="J146" s="3057">
        <v>9.6715609779839382E-2</v>
      </c>
      <c r="K146" s="1878">
        <v>1.7438470160358474E-2</v>
      </c>
      <c r="L146" s="1134">
        <f t="shared" si="4"/>
        <v>1</v>
      </c>
      <c r="M146" s="1131">
        <v>0.97554318899912162</v>
      </c>
      <c r="N146" s="3057">
        <v>1.6690518684471269E-2</v>
      </c>
      <c r="O146" s="3061">
        <v>7.7662923164071272E-3</v>
      </c>
    </row>
    <row r="147" spans="1:15" s="277" customFormat="1">
      <c r="A147" s="279">
        <f t="shared" si="3"/>
        <v>2011.06</v>
      </c>
      <c r="B147" s="1099">
        <v>0.63873845759395398</v>
      </c>
      <c r="C147" s="3059">
        <v>0.36126154240604608</v>
      </c>
      <c r="D147" s="1101">
        <f t="shared" si="2"/>
        <v>1</v>
      </c>
      <c r="E147" s="1102">
        <v>0.85783442884801264</v>
      </c>
      <c r="F147" s="3060">
        <v>0.14216557115198744</v>
      </c>
      <c r="G147" s="1135">
        <f t="shared" si="5"/>
        <v>1</v>
      </c>
      <c r="H147" s="1134">
        <f t="shared" si="6"/>
        <v>1</v>
      </c>
      <c r="I147" s="1131">
        <v>0.89518630066064819</v>
      </c>
      <c r="J147" s="3057">
        <v>0.10460223814273725</v>
      </c>
      <c r="K147" s="1878">
        <v>2.1146119661450809E-4</v>
      </c>
      <c r="L147" s="1134">
        <f t="shared" si="4"/>
        <v>0.99999999999999989</v>
      </c>
      <c r="M147" s="1131">
        <v>0.97984219532285433</v>
      </c>
      <c r="N147" s="3057">
        <v>9.7560976801139791E-3</v>
      </c>
      <c r="O147" s="3061">
        <v>1.0401706997031619E-2</v>
      </c>
    </row>
    <row r="148" spans="1:15" s="277" customFormat="1">
      <c r="A148" s="279">
        <f t="shared" si="3"/>
        <v>2011.07</v>
      </c>
      <c r="B148" s="1099">
        <v>0.58584686158459676</v>
      </c>
      <c r="C148" s="3059">
        <v>0.41415313841540324</v>
      </c>
      <c r="D148" s="1101">
        <f t="shared" si="2"/>
        <v>1</v>
      </c>
      <c r="E148" s="1102">
        <v>0.84043755281674648</v>
      </c>
      <c r="F148" s="3060">
        <v>0.15956244718325338</v>
      </c>
      <c r="G148" s="1135">
        <f t="shared" si="5"/>
        <v>0.99999999999999989</v>
      </c>
      <c r="H148" s="1134">
        <f t="shared" si="6"/>
        <v>1</v>
      </c>
      <c r="I148" s="1131">
        <v>0.9001224987509947</v>
      </c>
      <c r="J148" s="3057">
        <v>8.0889440113141045E-2</v>
      </c>
      <c r="K148" s="1878">
        <v>1.8988061135864251E-2</v>
      </c>
      <c r="L148" s="1134">
        <f t="shared" si="4"/>
        <v>1</v>
      </c>
      <c r="M148" s="1131">
        <v>0.9666691554892537</v>
      </c>
      <c r="N148" s="3057">
        <v>1.7001602501761175E-2</v>
      </c>
      <c r="O148" s="3061">
        <v>1.6329242008985129E-2</v>
      </c>
    </row>
    <row r="149" spans="1:15" s="277" customFormat="1">
      <c r="A149" s="279">
        <f t="shared" si="3"/>
        <v>2011.08</v>
      </c>
      <c r="B149" s="1099">
        <v>0.63180146848932395</v>
      </c>
      <c r="C149" s="3059">
        <v>0.368198531510676</v>
      </c>
      <c r="D149" s="1101">
        <f t="shared" si="2"/>
        <v>1</v>
      </c>
      <c r="E149" s="1102">
        <v>0.87157654487551572</v>
      </c>
      <c r="F149" s="3060">
        <v>0.12842345512448447</v>
      </c>
      <c r="G149" s="1135">
        <f t="shared" si="5"/>
        <v>1.0000000000000002</v>
      </c>
      <c r="H149" s="1134">
        <f t="shared" si="6"/>
        <v>1</v>
      </c>
      <c r="I149" s="1131">
        <v>0.92938462221774298</v>
      </c>
      <c r="J149" s="3057">
        <v>7.0615377782257016E-2</v>
      </c>
      <c r="K149" s="1878">
        <v>0</v>
      </c>
      <c r="L149" s="1134">
        <f t="shared" si="4"/>
        <v>0.99999999999999989</v>
      </c>
      <c r="M149" s="1131">
        <v>0.95932247160813799</v>
      </c>
      <c r="N149" s="3057">
        <v>3.2721781248675558E-2</v>
      </c>
      <c r="O149" s="3061">
        <v>7.9557471431863976E-3</v>
      </c>
    </row>
    <row r="150" spans="1:15" s="277" customFormat="1">
      <c r="A150" s="279">
        <f t="shared" si="3"/>
        <v>2011.09</v>
      </c>
      <c r="B150" s="1099">
        <v>0.63555021443097304</v>
      </c>
      <c r="C150" s="3059">
        <v>0.36444978556902702</v>
      </c>
      <c r="D150" s="1101">
        <f t="shared" si="2"/>
        <v>1</v>
      </c>
      <c r="E150" s="1102">
        <v>0.89132760313246739</v>
      </c>
      <c r="F150" s="3060">
        <v>0.10867239686753258</v>
      </c>
      <c r="G150" s="1135">
        <f t="shared" si="5"/>
        <v>1</v>
      </c>
      <c r="H150" s="1134">
        <f t="shared" si="6"/>
        <v>1</v>
      </c>
      <c r="I150" s="1131">
        <v>0.88691790517608782</v>
      </c>
      <c r="J150" s="3057">
        <v>0.11308209482391222</v>
      </c>
      <c r="K150" s="1878">
        <v>0</v>
      </c>
      <c r="L150" s="1134">
        <f t="shared" si="4"/>
        <v>1.0000000000000002</v>
      </c>
      <c r="M150" s="1131">
        <v>0.97549986214906459</v>
      </c>
      <c r="N150" s="3057">
        <v>1.5959138621566133E-2</v>
      </c>
      <c r="O150" s="3061">
        <v>8.540999229369392E-3</v>
      </c>
    </row>
    <row r="151" spans="1:15" s="277" customFormat="1">
      <c r="A151" s="279">
        <f t="shared" si="3"/>
        <v>2011.1</v>
      </c>
      <c r="B151" s="1099">
        <v>0.6847677624602333</v>
      </c>
      <c r="C151" s="3059">
        <v>0.3152322375397667</v>
      </c>
      <c r="D151" s="1101">
        <f t="shared" si="2"/>
        <v>1</v>
      </c>
      <c r="E151" s="1102">
        <v>0.80728214954071387</v>
      </c>
      <c r="F151" s="3060">
        <v>0.19271785045928602</v>
      </c>
      <c r="G151" s="1135">
        <f t="shared" si="5"/>
        <v>0.99999999999999989</v>
      </c>
      <c r="H151" s="1134">
        <f t="shared" si="6"/>
        <v>1</v>
      </c>
      <c r="I151" s="1131">
        <v>0.86654082714740199</v>
      </c>
      <c r="J151" s="3057">
        <v>8.7677624602332999E-2</v>
      </c>
      <c r="K151" s="1878">
        <v>4.5781548250265126E-2</v>
      </c>
      <c r="L151" s="1134">
        <f t="shared" si="4"/>
        <v>1</v>
      </c>
      <c r="M151" s="1131">
        <v>0.97321721415454288</v>
      </c>
      <c r="N151" s="3057">
        <v>1.691224710492081E-2</v>
      </c>
      <c r="O151" s="3061">
        <v>9.870538740536285E-3</v>
      </c>
    </row>
    <row r="152" spans="1:15" s="277" customFormat="1">
      <c r="A152" s="279">
        <f t="shared" si="3"/>
        <v>2011.11</v>
      </c>
      <c r="B152" s="1099">
        <v>0.54982815942208141</v>
      </c>
      <c r="C152" s="3059">
        <v>0.45017184057791865</v>
      </c>
      <c r="D152" s="1101">
        <f t="shared" si="2"/>
        <v>1</v>
      </c>
      <c r="E152" s="1102">
        <v>0.79088826081770014</v>
      </c>
      <c r="F152" s="3060">
        <v>0.20911173918229994</v>
      </c>
      <c r="G152" s="1135">
        <f t="shared" si="5"/>
        <v>1</v>
      </c>
      <c r="H152" s="1134">
        <f t="shared" si="6"/>
        <v>1.0000000000000002</v>
      </c>
      <c r="I152" s="1131">
        <v>0.84611654393687075</v>
      </c>
      <c r="J152" s="3057">
        <v>0.10245593641007607</v>
      </c>
      <c r="K152" s="1878">
        <v>5.1427519653053304E-2</v>
      </c>
      <c r="L152" s="1134">
        <f t="shared" si="4"/>
        <v>1</v>
      </c>
      <c r="M152" s="1131">
        <v>0.95027572180129194</v>
      </c>
      <c r="N152" s="3057">
        <v>3.5207185993198817E-2</v>
      </c>
      <c r="O152" s="3061">
        <v>1.4517092205509188E-2</v>
      </c>
    </row>
    <row r="153" spans="1:15" s="277" customFormat="1">
      <c r="A153" s="279">
        <f t="shared" si="3"/>
        <v>2011.12</v>
      </c>
      <c r="B153" s="1099">
        <v>0.65710085933966522</v>
      </c>
      <c r="C153" s="3059">
        <v>0.34289914066033467</v>
      </c>
      <c r="D153" s="1101">
        <f t="shared" si="2"/>
        <v>0.99999999999999989</v>
      </c>
      <c r="E153" s="1102">
        <v>0.63095802130490219</v>
      </c>
      <c r="F153" s="3060">
        <v>0.36904197869509786</v>
      </c>
      <c r="G153" s="1135">
        <f t="shared" si="5"/>
        <v>1</v>
      </c>
      <c r="H153" s="1134">
        <f t="shared" si="6"/>
        <v>1</v>
      </c>
      <c r="I153" s="1131">
        <v>0.92457242101406834</v>
      </c>
      <c r="J153" s="3057">
        <v>3.7573581125239994E-2</v>
      </c>
      <c r="K153" s="1878">
        <v>3.7853997860691678E-2</v>
      </c>
      <c r="L153" s="1134">
        <f t="shared" si="4"/>
        <v>1.0000000000000002</v>
      </c>
      <c r="M153" s="1131">
        <v>0.85990607924213913</v>
      </c>
      <c r="N153" s="3057">
        <v>3.8122050546066884E-2</v>
      </c>
      <c r="O153" s="3061">
        <v>0.10197187021179412</v>
      </c>
    </row>
    <row r="154" spans="1:15" s="277" customFormat="1">
      <c r="A154" s="279">
        <f t="shared" si="3"/>
        <v>2012.01</v>
      </c>
      <c r="B154" s="1099">
        <v>0.61288493672459221</v>
      </c>
      <c r="C154" s="3059">
        <v>0.38711506327540773</v>
      </c>
      <c r="D154" s="1101">
        <f t="shared" si="2"/>
        <v>1</v>
      </c>
      <c r="E154" s="1102">
        <v>0.87741156404248755</v>
      </c>
      <c r="F154" s="3060">
        <v>0.12258843595751241</v>
      </c>
      <c r="G154" s="1135">
        <f t="shared" si="5"/>
        <v>1</v>
      </c>
      <c r="H154" s="1134">
        <f t="shared" si="6"/>
        <v>1.0000000000000002</v>
      </c>
      <c r="I154" s="1131">
        <v>0.89392385480762482</v>
      </c>
      <c r="J154" s="3057">
        <v>9.0412835179726828E-2</v>
      </c>
      <c r="K154" s="1878">
        <v>1.5663310012648458E-2</v>
      </c>
      <c r="L154" s="1134">
        <f t="shared" si="4"/>
        <v>1</v>
      </c>
      <c r="M154" s="1131">
        <v>0.97354430108905565</v>
      </c>
      <c r="N154" s="3057">
        <v>1.7194769273185931E-2</v>
      </c>
      <c r="O154" s="3061">
        <v>9.2609296377583646E-3</v>
      </c>
    </row>
    <row r="155" spans="1:15" s="277" customFormat="1">
      <c r="A155" s="279">
        <f t="shared" si="3"/>
        <v>2012.02</v>
      </c>
      <c r="B155" s="1099">
        <v>0.68377646680106208</v>
      </c>
      <c r="C155" s="3059">
        <v>0.31622353319893798</v>
      </c>
      <c r="D155" s="1101">
        <f t="shared" si="2"/>
        <v>1</v>
      </c>
      <c r="E155" s="1102">
        <v>0.75360365597271173</v>
      </c>
      <c r="F155" s="3060">
        <v>0.24639634402728816</v>
      </c>
      <c r="G155" s="1135">
        <f t="shared" si="5"/>
        <v>0.99999999999999989</v>
      </c>
      <c r="H155" s="1134">
        <f t="shared" si="6"/>
        <v>1.0000000000000002</v>
      </c>
      <c r="I155" s="1131">
        <v>0.85598988038035495</v>
      </c>
      <c r="J155" s="3057">
        <v>0.11652740589153415</v>
      </c>
      <c r="K155" s="1878">
        <v>2.7482713728110984E-2</v>
      </c>
      <c r="L155" s="1134">
        <f t="shared" si="4"/>
        <v>1.0000000000000002</v>
      </c>
      <c r="M155" s="1131">
        <v>0.9005596050778979</v>
      </c>
      <c r="N155" s="3057">
        <v>2.9366029288678569E-2</v>
      </c>
      <c r="O155" s="3061">
        <v>7.0074365633423633E-2</v>
      </c>
    </row>
    <row r="156" spans="1:15" s="277" customFormat="1">
      <c r="A156" s="279">
        <f t="shared" si="3"/>
        <v>2012.03</v>
      </c>
      <c r="B156" s="1099">
        <v>0.67723142229301037</v>
      </c>
      <c r="C156" s="3059">
        <v>0.32276857770698969</v>
      </c>
      <c r="D156" s="1101">
        <f t="shared" si="2"/>
        <v>1</v>
      </c>
      <c r="E156" s="1102">
        <v>0.73171568683298815</v>
      </c>
      <c r="F156" s="3060">
        <v>0.2682843131670119</v>
      </c>
      <c r="G156" s="1135">
        <f t="shared" si="5"/>
        <v>1</v>
      </c>
      <c r="H156" s="1134">
        <f t="shared" si="6"/>
        <v>1</v>
      </c>
      <c r="I156" s="1131">
        <v>0.88632506915476017</v>
      </c>
      <c r="J156" s="3057">
        <v>0.10507514680456795</v>
      </c>
      <c r="K156" s="1878">
        <v>8.5997840406718193E-3</v>
      </c>
      <c r="L156" s="1134">
        <f t="shared" si="4"/>
        <v>1</v>
      </c>
      <c r="M156" s="1131">
        <v>0.91896088975529766</v>
      </c>
      <c r="N156" s="3057">
        <v>4.8971874334219463E-2</v>
      </c>
      <c r="O156" s="3061">
        <v>3.2067235910482841E-2</v>
      </c>
    </row>
    <row r="157" spans="1:15" s="277" customFormat="1">
      <c r="A157" s="279">
        <f t="shared" si="3"/>
        <v>2012.04</v>
      </c>
      <c r="B157" s="1099">
        <v>0.673427086683965</v>
      </c>
      <c r="C157" s="3059">
        <v>0.32657291331603494</v>
      </c>
      <c r="D157" s="1101">
        <f t="shared" ref="D157:D220" si="7">B157+C157</f>
        <v>1</v>
      </c>
      <c r="E157" s="1102">
        <v>0.79468953363653694</v>
      </c>
      <c r="F157" s="3060">
        <v>0.20531046636346315</v>
      </c>
      <c r="G157" s="1135">
        <f t="shared" si="5"/>
        <v>1</v>
      </c>
      <c r="H157" s="1134">
        <f t="shared" si="6"/>
        <v>1.0000000000000002</v>
      </c>
      <c r="I157" s="1131">
        <v>0.91089797785365367</v>
      </c>
      <c r="J157" s="3057">
        <v>7.2391497556706569E-2</v>
      </c>
      <c r="K157" s="1878">
        <v>1.6710524589639859E-2</v>
      </c>
      <c r="L157" s="1134">
        <f t="shared" si="4"/>
        <v>1</v>
      </c>
      <c r="M157" s="1131">
        <v>0.94010909930500208</v>
      </c>
      <c r="N157" s="3057">
        <v>3.1402386916646166E-2</v>
      </c>
      <c r="O157" s="3061">
        <v>2.8488513778351668E-2</v>
      </c>
    </row>
    <row r="158" spans="1:15" s="277" customFormat="1">
      <c r="A158" s="279">
        <f t="shared" si="3"/>
        <v>2012.05</v>
      </c>
      <c r="B158" s="1099">
        <v>0.60766242551654381</v>
      </c>
      <c r="C158" s="3059">
        <v>0.39233757448345613</v>
      </c>
      <c r="D158" s="1101">
        <f t="shared" si="7"/>
        <v>1</v>
      </c>
      <c r="E158" s="1102">
        <v>0.75303481873483957</v>
      </c>
      <c r="F158" s="3060">
        <v>0.24696518126516037</v>
      </c>
      <c r="G158" s="1135">
        <f t="shared" si="5"/>
        <v>1</v>
      </c>
      <c r="H158" s="1134">
        <f t="shared" si="6"/>
        <v>0.99999999999999989</v>
      </c>
      <c r="I158" s="1131">
        <v>0.89565057073178944</v>
      </c>
      <c r="J158" s="3057">
        <v>7.5800599383768083E-2</v>
      </c>
      <c r="K158" s="1878">
        <v>2.8548829884442409E-2</v>
      </c>
      <c r="L158" s="1134">
        <f t="shared" si="4"/>
        <v>0.99999999999999989</v>
      </c>
      <c r="M158" s="1131">
        <v>0.96725925132840118</v>
      </c>
      <c r="N158" s="3057">
        <v>2.5040411926810054E-2</v>
      </c>
      <c r="O158" s="3061">
        <v>7.7003367447886417E-3</v>
      </c>
    </row>
    <row r="159" spans="1:15" s="277" customFormat="1">
      <c r="A159" s="279">
        <f t="shared" si="3"/>
        <v>2012.06</v>
      </c>
      <c r="B159" s="1099">
        <v>0.72808220184244565</v>
      </c>
      <c r="C159" s="3059">
        <v>0.2719177981575544</v>
      </c>
      <c r="D159" s="1101">
        <f t="shared" si="7"/>
        <v>1</v>
      </c>
      <c r="E159" s="1102">
        <v>0.83516531760001489</v>
      </c>
      <c r="F159" s="3060">
        <v>0.16483468239998497</v>
      </c>
      <c r="G159" s="1135">
        <f t="shared" si="5"/>
        <v>0.99999999999999989</v>
      </c>
      <c r="H159" s="1134">
        <f t="shared" si="6"/>
        <v>0.99999999999999989</v>
      </c>
      <c r="I159" s="1131">
        <v>0.86984191005293876</v>
      </c>
      <c r="J159" s="3057">
        <v>9.1410933785654153E-2</v>
      </c>
      <c r="K159" s="1878">
        <v>3.8747156161407038E-2</v>
      </c>
      <c r="L159" s="1134">
        <f t="shared" si="4"/>
        <v>1.0000000000000002</v>
      </c>
      <c r="M159" s="1131">
        <v>0.96432806840540086</v>
      </c>
      <c r="N159" s="3057">
        <v>1.7019477335122983E-2</v>
      </c>
      <c r="O159" s="3061">
        <v>1.8652454259476266E-2</v>
      </c>
    </row>
    <row r="160" spans="1:15" s="277" customFormat="1">
      <c r="A160" s="279">
        <f t="shared" si="3"/>
        <v>2012.07</v>
      </c>
      <c r="B160" s="1099">
        <v>0.71511040191002873</v>
      </c>
      <c r="C160" s="3059">
        <v>0.28488959808997122</v>
      </c>
      <c r="D160" s="1101">
        <f t="shared" si="7"/>
        <v>1</v>
      </c>
      <c r="E160" s="1102">
        <v>0.82735179492469835</v>
      </c>
      <c r="F160" s="3060">
        <v>0.17264820507530157</v>
      </c>
      <c r="G160" s="1135">
        <f t="shared" si="5"/>
        <v>0.99999999999999989</v>
      </c>
      <c r="H160" s="1134">
        <f t="shared" si="6"/>
        <v>1</v>
      </c>
      <c r="I160" s="1131">
        <v>0.92328994692927568</v>
      </c>
      <c r="J160" s="3057">
        <v>2.8187980180178006E-2</v>
      </c>
      <c r="K160" s="1878">
        <v>4.8522072890546344E-2</v>
      </c>
      <c r="L160" s="1134">
        <f t="shared" si="4"/>
        <v>1</v>
      </c>
      <c r="M160" s="1131">
        <v>0.91221962883450947</v>
      </c>
      <c r="N160" s="3057">
        <v>5.9154199910476747E-2</v>
      </c>
      <c r="O160" s="3061">
        <v>2.8626171255013724E-2</v>
      </c>
    </row>
    <row r="161" spans="1:15" s="277" customFormat="1">
      <c r="A161" s="279">
        <f t="shared" si="3"/>
        <v>2012.08</v>
      </c>
      <c r="B161" s="1099">
        <v>0.72196177935939587</v>
      </c>
      <c r="C161" s="3059">
        <v>0.27803822064060407</v>
      </c>
      <c r="D161" s="1101">
        <f t="shared" si="7"/>
        <v>1</v>
      </c>
      <c r="E161" s="1102">
        <v>0.80632685556805739</v>
      </c>
      <c r="F161" s="3060">
        <v>0.1936731444319425</v>
      </c>
      <c r="G161" s="1135">
        <f t="shared" si="5"/>
        <v>0.99999999999999989</v>
      </c>
      <c r="H161" s="1134">
        <f t="shared" si="6"/>
        <v>1</v>
      </c>
      <c r="I161" s="1131">
        <v>0.87502096262010509</v>
      </c>
      <c r="J161" s="3057">
        <v>8.9369020464822368E-2</v>
      </c>
      <c r="K161" s="1878">
        <v>3.5610016915072644E-2</v>
      </c>
      <c r="L161" s="1134">
        <f t="shared" si="4"/>
        <v>1</v>
      </c>
      <c r="M161" s="1131">
        <v>0.98500000018816791</v>
      </c>
      <c r="N161" s="3057">
        <v>1.1213503597754082E-2</v>
      </c>
      <c r="O161" s="3061">
        <v>3.7864962140779718E-3</v>
      </c>
    </row>
    <row r="162" spans="1:15" s="277" customFormat="1">
      <c r="A162" s="279">
        <f t="shared" si="3"/>
        <v>2012.09</v>
      </c>
      <c r="B162" s="1099">
        <v>0.64023333558266871</v>
      </c>
      <c r="C162" s="3059">
        <v>0.35976666441733129</v>
      </c>
      <c r="D162" s="1101">
        <f t="shared" si="7"/>
        <v>1</v>
      </c>
      <c r="E162" s="1102">
        <v>0.76365022617784817</v>
      </c>
      <c r="F162" s="3060">
        <v>0.23634977382215192</v>
      </c>
      <c r="G162" s="1135">
        <f t="shared" si="5"/>
        <v>1</v>
      </c>
      <c r="H162" s="1134">
        <f t="shared" si="6"/>
        <v>1</v>
      </c>
      <c r="I162" s="1131">
        <v>0.92881784519698929</v>
      </c>
      <c r="J162" s="3057">
        <v>4.615256174695171E-2</v>
      </c>
      <c r="K162" s="1878">
        <v>2.502959305605899E-2</v>
      </c>
      <c r="L162" s="1134">
        <f t="shared" si="4"/>
        <v>1.0000000000000002</v>
      </c>
      <c r="M162" s="1131">
        <v>0.97966732247421495</v>
      </c>
      <c r="N162" s="3057">
        <v>7.8526688961391301E-3</v>
      </c>
      <c r="O162" s="3061">
        <v>1.2480008629646055E-2</v>
      </c>
    </row>
    <row r="163" spans="1:15" s="277" customFormat="1">
      <c r="A163" s="279">
        <f t="shared" si="3"/>
        <v>2012.1</v>
      </c>
      <c r="B163" s="1099">
        <v>0.70889420247663437</v>
      </c>
      <c r="C163" s="3059">
        <v>0.29110579752336557</v>
      </c>
      <c r="D163" s="1101">
        <f t="shared" si="7"/>
        <v>1</v>
      </c>
      <c r="E163" s="1102">
        <v>0.79209052171586269</v>
      </c>
      <c r="F163" s="3060">
        <v>0.20790947828413739</v>
      </c>
      <c r="G163" s="1135">
        <f t="shared" si="5"/>
        <v>1</v>
      </c>
      <c r="H163" s="1134">
        <f t="shared" si="6"/>
        <v>1</v>
      </c>
      <c r="I163" s="1131">
        <v>0.87829077302380165</v>
      </c>
      <c r="J163" s="3057">
        <v>8.7938237875782643E-2</v>
      </c>
      <c r="K163" s="1878">
        <v>3.3770989100415719E-2</v>
      </c>
      <c r="L163" s="1134">
        <f t="shared" si="4"/>
        <v>1</v>
      </c>
      <c r="M163" s="1131">
        <v>0.98105247550811436</v>
      </c>
      <c r="N163" s="3057">
        <v>1.6674170251130806E-2</v>
      </c>
      <c r="O163" s="3061">
        <v>2.2733542407548258E-3</v>
      </c>
    </row>
    <row r="164" spans="1:15" s="277" customFormat="1">
      <c r="A164" s="279">
        <f t="shared" si="3"/>
        <v>2012.11</v>
      </c>
      <c r="B164" s="1099">
        <v>0.63571194166258305</v>
      </c>
      <c r="C164" s="3059">
        <v>0.3642880583374169</v>
      </c>
      <c r="D164" s="1101">
        <f t="shared" si="7"/>
        <v>1</v>
      </c>
      <c r="E164" s="1102">
        <v>0.77264116208132483</v>
      </c>
      <c r="F164" s="3060">
        <v>0.22735883791867523</v>
      </c>
      <c r="G164" s="1135">
        <f t="shared" si="5"/>
        <v>1</v>
      </c>
      <c r="H164" s="1134">
        <f t="shared" si="6"/>
        <v>1</v>
      </c>
      <c r="I164" s="1131">
        <v>0.90113955550362834</v>
      </c>
      <c r="J164" s="3057">
        <v>8.1549821696682526E-2</v>
      </c>
      <c r="K164" s="1878">
        <v>1.7310622799689094E-2</v>
      </c>
      <c r="L164" s="1134">
        <f t="shared" si="4"/>
        <v>1</v>
      </c>
      <c r="M164" s="1131">
        <v>0.9682860522710961</v>
      </c>
      <c r="N164" s="3057">
        <v>1.8501459412479881E-2</v>
      </c>
      <c r="O164" s="3061">
        <v>1.3212488316424074E-2</v>
      </c>
    </row>
    <row r="165" spans="1:15" s="277" customFormat="1">
      <c r="A165" s="279">
        <f t="shared" si="3"/>
        <v>2012.12</v>
      </c>
      <c r="B165" s="1099">
        <v>0.79282346714625052</v>
      </c>
      <c r="C165" s="3059">
        <v>0.20717653285374954</v>
      </c>
      <c r="D165" s="1101">
        <f t="shared" si="7"/>
        <v>1</v>
      </c>
      <c r="E165" s="1102">
        <v>0.84557028302448078</v>
      </c>
      <c r="F165" s="3060">
        <v>0.15442971697551935</v>
      </c>
      <c r="G165" s="1135">
        <f t="shared" si="5"/>
        <v>1.0000000000000002</v>
      </c>
      <c r="H165" s="1134">
        <f t="shared" si="6"/>
        <v>1</v>
      </c>
      <c r="I165" s="1131">
        <v>0.88967299371338204</v>
      </c>
      <c r="J165" s="3057">
        <v>0.10073190213357371</v>
      </c>
      <c r="K165" s="1878">
        <v>9.595104153044258E-3</v>
      </c>
      <c r="L165" s="1134">
        <f t="shared" si="4"/>
        <v>1</v>
      </c>
      <c r="M165" s="1131">
        <v>0.96967773726191553</v>
      </c>
      <c r="N165" s="3057">
        <v>1.1585996454790517E-2</v>
      </c>
      <c r="O165" s="3061">
        <v>1.8736266283293952E-2</v>
      </c>
    </row>
    <row r="166" spans="1:15" s="277" customFormat="1">
      <c r="A166" s="279">
        <f t="shared" si="3"/>
        <v>2013.01</v>
      </c>
      <c r="B166" s="1099">
        <v>0.64467088244085446</v>
      </c>
      <c r="C166" s="3059">
        <v>0.35532911755914548</v>
      </c>
      <c r="D166" s="1101">
        <f t="shared" si="7"/>
        <v>1</v>
      </c>
      <c r="E166" s="1102">
        <v>0.83986710631646266</v>
      </c>
      <c r="F166" s="3060">
        <v>0.16013289368353728</v>
      </c>
      <c r="G166" s="1135">
        <f t="shared" si="5"/>
        <v>1</v>
      </c>
      <c r="H166" s="1134">
        <f t="shared" si="6"/>
        <v>0.99999999999999989</v>
      </c>
      <c r="I166" s="1131">
        <v>0.8740529052518311</v>
      </c>
      <c r="J166" s="3057">
        <v>6.4490594362692333E-2</v>
      </c>
      <c r="K166" s="1878">
        <v>6.1456500385476447E-2</v>
      </c>
      <c r="L166" s="1134">
        <f t="shared" si="4"/>
        <v>1</v>
      </c>
      <c r="M166" s="1131">
        <v>0.97037489688809131</v>
      </c>
      <c r="N166" s="3057">
        <v>1.7808285961937953E-2</v>
      </c>
      <c r="O166" s="3061">
        <v>1.1816817149970764E-2</v>
      </c>
    </row>
    <row r="167" spans="1:15" s="277" customFormat="1">
      <c r="A167" s="279">
        <f t="shared" si="3"/>
        <v>2013.02</v>
      </c>
      <c r="B167" s="1099">
        <v>0.76595214311126114</v>
      </c>
      <c r="C167" s="3059">
        <v>0.23404785688873897</v>
      </c>
      <c r="D167" s="1101">
        <f t="shared" si="7"/>
        <v>1</v>
      </c>
      <c r="E167" s="1102">
        <v>0.82335160232924087</v>
      </c>
      <c r="F167" s="3060">
        <v>0.1766483976707591</v>
      </c>
      <c r="G167" s="1135">
        <f t="shared" si="5"/>
        <v>1</v>
      </c>
      <c r="H167" s="1134">
        <f t="shared" si="6"/>
        <v>1</v>
      </c>
      <c r="I167" s="1131">
        <v>0.83192461665768036</v>
      </c>
      <c r="J167" s="3057">
        <v>0.10441436936867386</v>
      </c>
      <c r="K167" s="1878">
        <v>6.3661013973645791E-2</v>
      </c>
      <c r="L167" s="1134">
        <f t="shared" si="4"/>
        <v>0.99999999999999989</v>
      </c>
      <c r="M167" s="1131">
        <v>0.98137705266424435</v>
      </c>
      <c r="N167" s="3057">
        <v>9.7699547008120429E-3</v>
      </c>
      <c r="O167" s="3061">
        <v>8.8529926349435982E-3</v>
      </c>
    </row>
    <row r="168" spans="1:15" s="277" customFormat="1">
      <c r="A168" s="279">
        <f t="shared" si="3"/>
        <v>2013.03</v>
      </c>
      <c r="B168" s="1099">
        <v>0.70040504530876457</v>
      </c>
      <c r="C168" s="3059">
        <v>0.29959495469123548</v>
      </c>
      <c r="D168" s="1101">
        <f t="shared" si="7"/>
        <v>1</v>
      </c>
      <c r="E168" s="1102">
        <v>0.82486444446916452</v>
      </c>
      <c r="F168" s="3060">
        <v>0.17513555553083557</v>
      </c>
      <c r="G168" s="1135">
        <f t="shared" si="5"/>
        <v>1</v>
      </c>
      <c r="H168" s="1134">
        <f t="shared" si="6"/>
        <v>1</v>
      </c>
      <c r="I168" s="1131">
        <v>0.95899528889772556</v>
      </c>
      <c r="J168" s="3057">
        <v>3.0211712708367068E-2</v>
      </c>
      <c r="K168" s="1878">
        <v>1.079299839390736E-2</v>
      </c>
      <c r="L168" s="1134">
        <f t="shared" si="4"/>
        <v>1</v>
      </c>
      <c r="M168" s="1131">
        <v>0.98049570565949351</v>
      </c>
      <c r="N168" s="3057">
        <v>1.4879349039141848E-2</v>
      </c>
      <c r="O168" s="3061">
        <v>4.6249453013646191E-3</v>
      </c>
    </row>
    <row r="169" spans="1:15" s="277" customFormat="1">
      <c r="A169" s="279">
        <f t="shared" si="3"/>
        <v>2013.04</v>
      </c>
      <c r="B169" s="1099">
        <v>0.70818884565396245</v>
      </c>
      <c r="C169" s="3059">
        <v>0.2918111543460376</v>
      </c>
      <c r="D169" s="1101">
        <f t="shared" si="7"/>
        <v>1</v>
      </c>
      <c r="E169" s="1102">
        <v>0.79468056749847205</v>
      </c>
      <c r="F169" s="3060">
        <v>0.20531943250152801</v>
      </c>
      <c r="G169" s="1135">
        <f t="shared" si="5"/>
        <v>1</v>
      </c>
      <c r="H169" s="1134">
        <f t="shared" si="6"/>
        <v>1</v>
      </c>
      <c r="I169" s="1131">
        <v>0.87602444629260134</v>
      </c>
      <c r="J169" s="3057">
        <v>7.5450541764424103E-2</v>
      </c>
      <c r="K169" s="1878">
        <v>4.8525011942974532E-2</v>
      </c>
      <c r="L169" s="1134">
        <f t="shared" si="4"/>
        <v>1</v>
      </c>
      <c r="M169" s="1131">
        <v>0.95948536167825083</v>
      </c>
      <c r="N169" s="3057">
        <v>2.5086710308618216E-2</v>
      </c>
      <c r="O169" s="3061">
        <v>1.5427928013130969E-2</v>
      </c>
    </row>
    <row r="170" spans="1:15" s="277" customFormat="1">
      <c r="A170" s="279">
        <f t="shared" ref="A170:A233" si="8">A158+1</f>
        <v>2013.05</v>
      </c>
      <c r="B170" s="1099">
        <v>0.69057195289227957</v>
      </c>
      <c r="C170" s="3059">
        <v>0.30942804710772048</v>
      </c>
      <c r="D170" s="1101">
        <f t="shared" si="7"/>
        <v>1</v>
      </c>
      <c r="E170" s="1102">
        <v>0.83544989858299412</v>
      </c>
      <c r="F170" s="3060">
        <v>0.16455010141700574</v>
      </c>
      <c r="G170" s="1135">
        <f t="shared" si="5"/>
        <v>0.99999999999999989</v>
      </c>
      <c r="H170" s="1134">
        <f t="shared" si="6"/>
        <v>1.0000000000000002</v>
      </c>
      <c r="I170" s="1131">
        <v>0.91476929364505599</v>
      </c>
      <c r="J170" s="3057">
        <v>2.7332769324273153E-2</v>
      </c>
      <c r="K170" s="1878">
        <v>5.7897937030671025E-2</v>
      </c>
      <c r="L170" s="1134">
        <f t="shared" si="4"/>
        <v>1</v>
      </c>
      <c r="M170" s="1131">
        <v>0.97587266091798597</v>
      </c>
      <c r="N170" s="3057">
        <v>8.5742672801420849E-3</v>
      </c>
      <c r="O170" s="3061">
        <v>1.5553071801872001E-2</v>
      </c>
    </row>
    <row r="171" spans="1:15" s="277" customFormat="1">
      <c r="A171" s="279">
        <f t="shared" si="8"/>
        <v>2013.06</v>
      </c>
      <c r="B171" s="1099">
        <v>0.80461374191296942</v>
      </c>
      <c r="C171" s="3059">
        <v>0.19538625808703067</v>
      </c>
      <c r="D171" s="1101">
        <f t="shared" si="7"/>
        <v>1</v>
      </c>
      <c r="E171" s="1102">
        <v>0.82328972034378001</v>
      </c>
      <c r="F171" s="3060">
        <v>0.17671027965621999</v>
      </c>
      <c r="G171" s="1135">
        <f t="shared" si="5"/>
        <v>1</v>
      </c>
      <c r="H171" s="1134">
        <f t="shared" si="6"/>
        <v>0.99999999999999989</v>
      </c>
      <c r="I171" s="1131">
        <v>0.88293456242370028</v>
      </c>
      <c r="J171" s="3057">
        <v>6.8333244776290991E-2</v>
      </c>
      <c r="K171" s="1878">
        <v>4.873219280000865E-2</v>
      </c>
      <c r="L171" s="1134">
        <f t="shared" si="4"/>
        <v>1</v>
      </c>
      <c r="M171" s="1131">
        <v>0.99175621109366963</v>
      </c>
      <c r="N171" s="3057">
        <v>8.2437889063303998E-3</v>
      </c>
      <c r="O171" s="3061">
        <v>0</v>
      </c>
    </row>
    <row r="172" spans="1:15" s="277" customFormat="1">
      <c r="A172" s="279">
        <f t="shared" si="8"/>
        <v>2013.07</v>
      </c>
      <c r="B172" s="1099">
        <v>0.7581859003237309</v>
      </c>
      <c r="C172" s="3059">
        <v>0.24181409967626899</v>
      </c>
      <c r="D172" s="1101">
        <f t="shared" si="7"/>
        <v>0.99999999999999989</v>
      </c>
      <c r="E172" s="1102">
        <v>0.8292191795771322</v>
      </c>
      <c r="F172" s="3060">
        <v>0.1707808204228678</v>
      </c>
      <c r="G172" s="1135">
        <f t="shared" si="5"/>
        <v>1</v>
      </c>
      <c r="H172" s="1134">
        <f t="shared" si="6"/>
        <v>1</v>
      </c>
      <c r="I172" s="1131">
        <v>0.89285283272739724</v>
      </c>
      <c r="J172" s="3057">
        <v>7.754438584896485E-2</v>
      </c>
      <c r="K172" s="1878">
        <v>2.9602781423638015E-2</v>
      </c>
      <c r="L172" s="1134">
        <f t="shared" si="4"/>
        <v>1</v>
      </c>
      <c r="M172" s="1131">
        <v>0.99591078063217675</v>
      </c>
      <c r="N172" s="3057">
        <v>7.4349443051331427E-4</v>
      </c>
      <c r="O172" s="3061">
        <v>3.3457249373099098E-3</v>
      </c>
    </row>
    <row r="173" spans="1:15" s="277" customFormat="1">
      <c r="A173" s="279">
        <f t="shared" si="8"/>
        <v>2013.08</v>
      </c>
      <c r="B173" s="1099">
        <v>0.65148508047410525</v>
      </c>
      <c r="C173" s="3059">
        <v>0.34851491952589464</v>
      </c>
      <c r="D173" s="1101">
        <f t="shared" si="7"/>
        <v>0.99999999999999989</v>
      </c>
      <c r="E173" s="1102">
        <v>0.79905776174836063</v>
      </c>
      <c r="F173" s="3060">
        <v>0.20094223825163943</v>
      </c>
      <c r="G173" s="1135">
        <f t="shared" si="5"/>
        <v>1</v>
      </c>
      <c r="H173" s="1134">
        <f t="shared" si="6"/>
        <v>1</v>
      </c>
      <c r="I173" s="1131">
        <v>0.86430832583868134</v>
      </c>
      <c r="J173" s="3057">
        <v>4.8359040381934754E-2</v>
      </c>
      <c r="K173" s="1878">
        <v>8.7332633779383967E-2</v>
      </c>
      <c r="L173" s="1134">
        <f t="shared" si="4"/>
        <v>1</v>
      </c>
      <c r="M173" s="1131">
        <v>0.95787602387190196</v>
      </c>
      <c r="N173" s="3057">
        <v>1.6862124557867644E-2</v>
      </c>
      <c r="O173" s="3061">
        <v>2.5261851570230375E-2</v>
      </c>
    </row>
    <row r="174" spans="1:15" s="277" customFormat="1">
      <c r="A174" s="279">
        <f t="shared" si="8"/>
        <v>2013.09</v>
      </c>
      <c r="B174" s="1099">
        <v>0.64447822237196273</v>
      </c>
      <c r="C174" s="3059">
        <v>0.35552177762803711</v>
      </c>
      <c r="D174" s="1101">
        <f t="shared" si="7"/>
        <v>0.99999999999999978</v>
      </c>
      <c r="E174" s="1102">
        <v>0.82496842924246661</v>
      </c>
      <c r="F174" s="3060">
        <v>0.17503157075753342</v>
      </c>
      <c r="G174" s="1135">
        <f t="shared" si="5"/>
        <v>1</v>
      </c>
      <c r="H174" s="1134">
        <f t="shared" si="6"/>
        <v>1.0000000000000002</v>
      </c>
      <c r="I174" s="1131">
        <v>0.91810471611589439</v>
      </c>
      <c r="J174" s="3057">
        <v>6.7826262858544123E-2</v>
      </c>
      <c r="K174" s="1878">
        <v>1.4069021025561687E-2</v>
      </c>
      <c r="L174" s="1134">
        <f t="shared" si="4"/>
        <v>1</v>
      </c>
      <c r="M174" s="1131">
        <v>0.97517001373769863</v>
      </c>
      <c r="N174" s="3057">
        <v>1.6629191052136963E-2</v>
      </c>
      <c r="O174" s="3061">
        <v>8.200795210164414E-3</v>
      </c>
    </row>
    <row r="175" spans="1:15" s="277" customFormat="1">
      <c r="A175" s="279">
        <f t="shared" si="8"/>
        <v>2013.1</v>
      </c>
      <c r="B175" s="1099">
        <v>0.68730244568344323</v>
      </c>
      <c r="C175" s="3059">
        <v>0.31269755431655694</v>
      </c>
      <c r="D175" s="1101">
        <f t="shared" si="7"/>
        <v>1.0000000000000002</v>
      </c>
      <c r="E175" s="1102">
        <v>0.86183930291031519</v>
      </c>
      <c r="F175" s="3060">
        <v>0.13816069708968484</v>
      </c>
      <c r="G175" s="1135">
        <f t="shared" si="5"/>
        <v>1</v>
      </c>
      <c r="H175" s="1134">
        <f t="shared" si="6"/>
        <v>0.99999999999999989</v>
      </c>
      <c r="I175" s="1131">
        <v>0.9075356116862594</v>
      </c>
      <c r="J175" s="3057">
        <v>8.5392143186577452E-2</v>
      </c>
      <c r="K175" s="1878">
        <v>7.0722451271631077E-3</v>
      </c>
      <c r="L175" s="1134">
        <f t="shared" si="4"/>
        <v>1.0000000000000002</v>
      </c>
      <c r="M175" s="1131">
        <v>0.96897786454719015</v>
      </c>
      <c r="N175" s="3057">
        <v>3.1022135452810004E-2</v>
      </c>
      <c r="O175" s="3061">
        <v>0</v>
      </c>
    </row>
    <row r="176" spans="1:15" s="277" customFormat="1">
      <c r="A176" s="279">
        <f t="shared" si="8"/>
        <v>2013.11</v>
      </c>
      <c r="B176" s="1099">
        <v>0.69932451954669828</v>
      </c>
      <c r="C176" s="3059">
        <v>0.30067548045330178</v>
      </c>
      <c r="D176" s="1101">
        <f t="shared" si="7"/>
        <v>1</v>
      </c>
      <c r="E176" s="1102">
        <v>0.84824261226124276</v>
      </c>
      <c r="F176" s="3060">
        <v>0.15175738773875724</v>
      </c>
      <c r="G176" s="1135">
        <f t="shared" si="5"/>
        <v>1</v>
      </c>
      <c r="H176" s="1134">
        <f t="shared" si="6"/>
        <v>1</v>
      </c>
      <c r="I176" s="1131">
        <v>0.82948885178864484</v>
      </c>
      <c r="J176" s="3057">
        <v>0.14594678746369805</v>
      </c>
      <c r="K176" s="1878">
        <v>2.4564360747657124E-2</v>
      </c>
      <c r="L176" s="1134">
        <f t="shared" si="4"/>
        <v>1</v>
      </c>
      <c r="M176" s="1131">
        <v>0.98351961678840549</v>
      </c>
      <c r="N176" s="3057">
        <v>1.1830745311431303E-2</v>
      </c>
      <c r="O176" s="3061">
        <v>4.6496379001632242E-3</v>
      </c>
    </row>
    <row r="177" spans="1:15" s="277" customFormat="1">
      <c r="A177" s="279">
        <f t="shared" si="8"/>
        <v>2013.12</v>
      </c>
      <c r="B177" s="1099">
        <v>0.66921761838655447</v>
      </c>
      <c r="C177" s="3059">
        <v>0.3307823816134457</v>
      </c>
      <c r="D177" s="1101">
        <f t="shared" si="7"/>
        <v>1.0000000000000002</v>
      </c>
      <c r="E177" s="1102">
        <v>0.84148664997592004</v>
      </c>
      <c r="F177" s="3060">
        <v>0.15851335002407996</v>
      </c>
      <c r="G177" s="1135">
        <f t="shared" si="5"/>
        <v>1</v>
      </c>
      <c r="H177" s="1134">
        <f t="shared" si="6"/>
        <v>1</v>
      </c>
      <c r="I177" s="1131">
        <v>0.90865260555904281</v>
      </c>
      <c r="J177" s="3057">
        <v>7.2816639340141806E-2</v>
      </c>
      <c r="K177" s="1878">
        <v>1.8530755100815414E-2</v>
      </c>
      <c r="L177" s="1134">
        <f t="shared" si="4"/>
        <v>1</v>
      </c>
      <c r="M177" s="1131">
        <v>0.97490612446748992</v>
      </c>
      <c r="N177" s="3057">
        <v>1.5123656603074347E-2</v>
      </c>
      <c r="O177" s="3061">
        <v>9.970218929435783E-3</v>
      </c>
    </row>
    <row r="178" spans="1:15" s="277" customFormat="1">
      <c r="A178" s="279">
        <f t="shared" si="8"/>
        <v>2014.01</v>
      </c>
      <c r="B178" s="1099">
        <v>0.63451512874285609</v>
      </c>
      <c r="C178" s="3059">
        <v>0.36548487125714396</v>
      </c>
      <c r="D178" s="1101">
        <f t="shared" si="7"/>
        <v>1</v>
      </c>
      <c r="E178" s="1102">
        <v>0.85241709877125349</v>
      </c>
      <c r="F178" s="3060">
        <v>0.14758290122874665</v>
      </c>
      <c r="G178" s="1135">
        <f t="shared" si="5"/>
        <v>1.0000000000000002</v>
      </c>
      <c r="H178" s="1134">
        <f t="shared" si="6"/>
        <v>1</v>
      </c>
      <c r="I178" s="1131">
        <v>0.8434213154468001</v>
      </c>
      <c r="J178" s="3057">
        <v>0.10722759281674735</v>
      </c>
      <c r="K178" s="1878">
        <v>4.9351091736452551E-2</v>
      </c>
      <c r="L178" s="1134">
        <f t="shared" si="4"/>
        <v>1.0000000000000002</v>
      </c>
      <c r="M178" s="1131">
        <v>0.99620894653874847</v>
      </c>
      <c r="N178" s="3057">
        <v>0</v>
      </c>
      <c r="O178" s="3061">
        <v>3.79105346125169E-3</v>
      </c>
    </row>
    <row r="179" spans="1:15" s="277" customFormat="1">
      <c r="A179" s="279">
        <f t="shared" si="8"/>
        <v>2014.02</v>
      </c>
      <c r="B179" s="1099">
        <v>0.72747339745344708</v>
      </c>
      <c r="C179" s="3059">
        <v>0.27252660254655292</v>
      </c>
      <c r="D179" s="1101">
        <f t="shared" si="7"/>
        <v>1</v>
      </c>
      <c r="E179" s="1102">
        <v>0.85974912530297065</v>
      </c>
      <c r="F179" s="3060">
        <v>0.14025087469702935</v>
      </c>
      <c r="G179" s="1135">
        <f t="shared" si="5"/>
        <v>1</v>
      </c>
      <c r="H179" s="1134">
        <f t="shared" si="6"/>
        <v>1</v>
      </c>
      <c r="I179" s="1131">
        <v>0.88091662628734457</v>
      </c>
      <c r="J179" s="3057">
        <v>7.1768374745672214E-2</v>
      </c>
      <c r="K179" s="1878">
        <v>4.7314998966983296E-2</v>
      </c>
      <c r="L179" s="1134">
        <f t="shared" si="4"/>
        <v>1</v>
      </c>
      <c r="M179" s="1131">
        <v>0.98969478705057223</v>
      </c>
      <c r="N179" s="3057">
        <v>9.4807959134735886E-3</v>
      </c>
      <c r="O179" s="3061">
        <v>8.2441703595422531E-4</v>
      </c>
    </row>
    <row r="180" spans="1:15" s="277" customFormat="1">
      <c r="A180" s="279">
        <f t="shared" si="8"/>
        <v>2014.03</v>
      </c>
      <c r="B180" s="1099">
        <v>0.79000750698489308</v>
      </c>
      <c r="C180" s="3059">
        <v>0.2099924930151067</v>
      </c>
      <c r="D180" s="1101">
        <f t="shared" si="7"/>
        <v>0.99999999999999978</v>
      </c>
      <c r="E180" s="1102">
        <v>0.84703402755910318</v>
      </c>
      <c r="F180" s="3060">
        <v>0.1529659724408968</v>
      </c>
      <c r="G180" s="1135">
        <f t="shared" si="5"/>
        <v>1</v>
      </c>
      <c r="H180" s="1134">
        <f t="shared" si="6"/>
        <v>1</v>
      </c>
      <c r="I180" s="1131">
        <v>0.85203193005202249</v>
      </c>
      <c r="J180" s="3057">
        <v>8.6121727619641639E-2</v>
      </c>
      <c r="K180" s="1878">
        <v>6.1846342328335933E-2</v>
      </c>
      <c r="L180" s="1134">
        <f t="shared" ref="L180:L243" si="9">M180+N180+O180</f>
        <v>1</v>
      </c>
      <c r="M180" s="1131">
        <v>0.95951011226165095</v>
      </c>
      <c r="N180" s="3057">
        <v>5.6629213404261148E-3</v>
      </c>
      <c r="O180" s="3061">
        <v>3.4826966397922973E-2</v>
      </c>
    </row>
    <row r="181" spans="1:15" s="277" customFormat="1">
      <c r="A181" s="279">
        <f t="shared" si="8"/>
        <v>2014.04</v>
      </c>
      <c r="B181" s="1099">
        <v>0.70538961856620119</v>
      </c>
      <c r="C181" s="3059">
        <v>0.29461038143379886</v>
      </c>
      <c r="D181" s="1101">
        <f t="shared" si="7"/>
        <v>1</v>
      </c>
      <c r="E181" s="1102">
        <v>0.82792036101747546</v>
      </c>
      <c r="F181" s="3060">
        <v>0.17207963898252454</v>
      </c>
      <c r="G181" s="1135">
        <f t="shared" si="5"/>
        <v>1</v>
      </c>
      <c r="H181" s="1134">
        <f t="shared" si="6"/>
        <v>1</v>
      </c>
      <c r="I181" s="1131">
        <v>0.83227805796586263</v>
      </c>
      <c r="J181" s="3057">
        <v>5.5532967241886978E-2</v>
      </c>
      <c r="K181" s="1878">
        <v>0.11218897479225041</v>
      </c>
      <c r="L181" s="1134">
        <f t="shared" si="9"/>
        <v>0.99999999999999989</v>
      </c>
      <c r="M181" s="1131">
        <v>0.96992887311350529</v>
      </c>
      <c r="N181" s="3057">
        <v>1.7587012675046074E-2</v>
      </c>
      <c r="O181" s="3061">
        <v>1.2484114211448625E-2</v>
      </c>
    </row>
    <row r="182" spans="1:15" s="277" customFormat="1">
      <c r="A182" s="279">
        <f t="shared" si="8"/>
        <v>2014.05</v>
      </c>
      <c r="B182" s="1099">
        <v>0.74861686576395525</v>
      </c>
      <c r="C182" s="3059">
        <v>0.25138313423604486</v>
      </c>
      <c r="D182" s="1101">
        <f t="shared" si="7"/>
        <v>1</v>
      </c>
      <c r="E182" s="1102">
        <v>0.79831971447186423</v>
      </c>
      <c r="F182" s="3060">
        <v>0.20168028552813591</v>
      </c>
      <c r="G182" s="1135">
        <f t="shared" ref="G182:G245" si="10">E182+F182</f>
        <v>1.0000000000000002</v>
      </c>
      <c r="H182" s="1134">
        <f t="shared" si="6"/>
        <v>1</v>
      </c>
      <c r="I182" s="1131">
        <v>0.82721384999304892</v>
      </c>
      <c r="J182" s="3057">
        <v>0.10600647508173525</v>
      </c>
      <c r="K182" s="1878">
        <v>6.677967492521597E-2</v>
      </c>
      <c r="L182" s="1134">
        <f t="shared" si="9"/>
        <v>1</v>
      </c>
      <c r="M182" s="1131">
        <v>0.98345100148340436</v>
      </c>
      <c r="N182" s="3057">
        <v>3.252166296290878E-3</v>
      </c>
      <c r="O182" s="3061">
        <v>1.3296832220304701E-2</v>
      </c>
    </row>
    <row r="183" spans="1:15" s="277" customFormat="1">
      <c r="A183" s="279">
        <f t="shared" si="8"/>
        <v>2014.06</v>
      </c>
      <c r="B183" s="1099">
        <v>0.64713124367506425</v>
      </c>
      <c r="C183" s="3059">
        <v>0.35286875632493575</v>
      </c>
      <c r="D183" s="1101">
        <f t="shared" si="7"/>
        <v>1</v>
      </c>
      <c r="E183" s="1102">
        <v>0.87725885495625888</v>
      </c>
      <c r="F183" s="3060">
        <v>0.12274114504374108</v>
      </c>
      <c r="G183" s="1135">
        <f t="shared" si="10"/>
        <v>1</v>
      </c>
      <c r="H183" s="1134">
        <f t="shared" si="6"/>
        <v>1</v>
      </c>
      <c r="I183" s="1131">
        <v>0.86386586439281876</v>
      </c>
      <c r="J183" s="3057">
        <v>9.3922832073170259E-2</v>
      </c>
      <c r="K183" s="1878">
        <v>4.2211303534011105E-2</v>
      </c>
      <c r="L183" s="1134">
        <f t="shared" si="9"/>
        <v>1</v>
      </c>
      <c r="M183" s="1131">
        <v>0.99491421229010479</v>
      </c>
      <c r="N183" s="3057">
        <v>0</v>
      </c>
      <c r="O183" s="3061">
        <v>5.0857877098952429E-3</v>
      </c>
    </row>
    <row r="184" spans="1:15" s="277" customFormat="1">
      <c r="A184" s="279">
        <f t="shared" si="8"/>
        <v>2014.07</v>
      </c>
      <c r="B184" s="1099">
        <v>0.70098503368904796</v>
      </c>
      <c r="C184" s="3059">
        <v>0.29901496631095204</v>
      </c>
      <c r="D184" s="1101">
        <f t="shared" si="7"/>
        <v>1</v>
      </c>
      <c r="E184" s="1102">
        <v>0.77740109246458933</v>
      </c>
      <c r="F184" s="3060">
        <v>0.22259890753541076</v>
      </c>
      <c r="G184" s="1135">
        <f t="shared" si="10"/>
        <v>1</v>
      </c>
      <c r="H184" s="1134">
        <f t="shared" si="6"/>
        <v>1</v>
      </c>
      <c r="I184" s="1131">
        <v>0.85455427658616334</v>
      </c>
      <c r="J184" s="3057">
        <v>0.10129780482924854</v>
      </c>
      <c r="K184" s="1878">
        <v>4.4147918584588088E-2</v>
      </c>
      <c r="L184" s="1134">
        <f t="shared" si="9"/>
        <v>1</v>
      </c>
      <c r="M184" s="1131">
        <v>0.9824202178837167</v>
      </c>
      <c r="N184" s="3057">
        <v>9.5942905582822209E-3</v>
      </c>
      <c r="O184" s="3061">
        <v>7.9854915580010542E-3</v>
      </c>
    </row>
    <row r="185" spans="1:15" s="277" customFormat="1">
      <c r="A185" s="279">
        <f t="shared" si="8"/>
        <v>2014.08</v>
      </c>
      <c r="B185" s="1099">
        <v>0.69175223118198725</v>
      </c>
      <c r="C185" s="3059">
        <v>0.30824776881801258</v>
      </c>
      <c r="D185" s="1101">
        <f t="shared" si="7"/>
        <v>0.99999999999999978</v>
      </c>
      <c r="E185" s="1102">
        <v>0.85221200079187687</v>
      </c>
      <c r="F185" s="3060">
        <v>0.14778799920812324</v>
      </c>
      <c r="G185" s="1135">
        <f t="shared" si="10"/>
        <v>1</v>
      </c>
      <c r="H185" s="1134">
        <f t="shared" si="6"/>
        <v>1.0000000000000002</v>
      </c>
      <c r="I185" s="1131">
        <v>0.83473363652760069</v>
      </c>
      <c r="J185" s="3057">
        <v>0.10296189478883098</v>
      </c>
      <c r="K185" s="1878">
        <v>6.2304468683568447E-2</v>
      </c>
      <c r="L185" s="1134">
        <f t="shared" si="9"/>
        <v>1</v>
      </c>
      <c r="M185" s="1131">
        <v>0.99158875949130487</v>
      </c>
      <c r="N185" s="3057">
        <v>8.4112405086951697E-3</v>
      </c>
      <c r="O185" s="3061">
        <v>0</v>
      </c>
    </row>
    <row r="186" spans="1:15" s="277" customFormat="1">
      <c r="A186" s="279">
        <f t="shared" si="8"/>
        <v>2014.09</v>
      </c>
      <c r="B186" s="1099">
        <v>0.75499167636304032</v>
      </c>
      <c r="C186" s="3059">
        <v>0.24500832363695957</v>
      </c>
      <c r="D186" s="1101">
        <f t="shared" si="7"/>
        <v>0.99999999999999989</v>
      </c>
      <c r="E186" s="1102">
        <v>0.81149271821660629</v>
      </c>
      <c r="F186" s="3060">
        <v>0.18850728178339363</v>
      </c>
      <c r="G186" s="1135">
        <f t="shared" si="10"/>
        <v>0.99999999999999989</v>
      </c>
      <c r="H186" s="1134">
        <f t="shared" si="6"/>
        <v>0.99999999999999989</v>
      </c>
      <c r="I186" s="1131">
        <v>0.88443978046451843</v>
      </c>
      <c r="J186" s="3057">
        <v>7.7567660528084809E-2</v>
      </c>
      <c r="K186" s="1878">
        <v>3.799255900739662E-2</v>
      </c>
      <c r="L186" s="1134">
        <f t="shared" si="9"/>
        <v>1</v>
      </c>
      <c r="M186" s="1131">
        <v>0.98956603503508045</v>
      </c>
      <c r="N186" s="3057">
        <v>7.6374745436058242E-4</v>
      </c>
      <c r="O186" s="3061">
        <v>9.6702175105589788E-3</v>
      </c>
    </row>
    <row r="187" spans="1:15" s="277" customFormat="1">
      <c r="A187" s="279">
        <f t="shared" si="8"/>
        <v>2014.1</v>
      </c>
      <c r="B187" s="1099">
        <v>0.74024804375313191</v>
      </c>
      <c r="C187" s="3059">
        <v>0.2597519562468682</v>
      </c>
      <c r="D187" s="1101">
        <f t="shared" si="7"/>
        <v>1</v>
      </c>
      <c r="E187" s="1102">
        <v>0.80598914461718829</v>
      </c>
      <c r="F187" s="3060">
        <v>0.19401085538281168</v>
      </c>
      <c r="G187" s="1135">
        <f t="shared" si="10"/>
        <v>1</v>
      </c>
      <c r="H187" s="1134">
        <f t="shared" si="6"/>
        <v>1</v>
      </c>
      <c r="I187" s="1131">
        <v>0.84560764191743787</v>
      </c>
      <c r="J187" s="3057">
        <v>0.12008651130870147</v>
      </c>
      <c r="K187" s="1878">
        <v>3.4305846773860595E-2</v>
      </c>
      <c r="L187" s="1134">
        <f t="shared" si="9"/>
        <v>0.99999999999999989</v>
      </c>
      <c r="M187" s="1131">
        <v>0.85815351898130809</v>
      </c>
      <c r="N187" s="3057">
        <v>8.5036720171903696E-2</v>
      </c>
      <c r="O187" s="3061">
        <v>5.6809760846788106E-2</v>
      </c>
    </row>
    <row r="188" spans="1:15" s="277" customFormat="1">
      <c r="A188" s="279">
        <f t="shared" si="8"/>
        <v>2014.11</v>
      </c>
      <c r="B188" s="1099">
        <v>0.66435025149555105</v>
      </c>
      <c r="C188" s="3059">
        <v>0.3356497485044489</v>
      </c>
      <c r="D188" s="1101">
        <f t="shared" si="7"/>
        <v>1</v>
      </c>
      <c r="E188" s="1102">
        <v>0.82799491387457802</v>
      </c>
      <c r="F188" s="3060">
        <v>0.17200508612542187</v>
      </c>
      <c r="G188" s="1135">
        <f t="shared" si="10"/>
        <v>0.99999999999999989</v>
      </c>
      <c r="H188" s="1134">
        <f t="shared" si="6"/>
        <v>1</v>
      </c>
      <c r="I188" s="1131">
        <v>0.81789777920640039</v>
      </c>
      <c r="J188" s="3057">
        <v>0.12120645236028092</v>
      </c>
      <c r="K188" s="1878">
        <v>6.0895768433318703E-2</v>
      </c>
      <c r="L188" s="1134">
        <f t="shared" si="9"/>
        <v>0.99999999999999989</v>
      </c>
      <c r="M188" s="1131">
        <v>0.87609158295874312</v>
      </c>
      <c r="N188" s="3057">
        <v>4.9200067074161177E-2</v>
      </c>
      <c r="O188" s="3061">
        <v>7.4708349967095619E-2</v>
      </c>
    </row>
    <row r="189" spans="1:15" s="277" customFormat="1">
      <c r="A189" s="279">
        <f t="shared" si="8"/>
        <v>2014.12</v>
      </c>
      <c r="B189" s="1099">
        <v>0.68699916963505947</v>
      </c>
      <c r="C189" s="3059">
        <v>0.31300083036494042</v>
      </c>
      <c r="D189" s="1101">
        <f t="shared" si="7"/>
        <v>0.99999999999999989</v>
      </c>
      <c r="E189" s="1102">
        <v>0.76755659850317259</v>
      </c>
      <c r="F189" s="3060">
        <v>0.23244340149682741</v>
      </c>
      <c r="G189" s="1135">
        <f t="shared" si="10"/>
        <v>1</v>
      </c>
      <c r="H189" s="1134">
        <f t="shared" si="6"/>
        <v>1</v>
      </c>
      <c r="I189" s="1131">
        <v>0.88055345425675469</v>
      </c>
      <c r="J189" s="3057">
        <v>9.4169905185063824E-2</v>
      </c>
      <c r="K189" s="1878">
        <v>2.5276640558181421E-2</v>
      </c>
      <c r="L189" s="1134">
        <f t="shared" si="9"/>
        <v>1</v>
      </c>
      <c r="M189" s="1131">
        <v>0.89232703876156294</v>
      </c>
      <c r="N189" s="3057">
        <v>6.1884131570403449E-2</v>
      </c>
      <c r="O189" s="3061">
        <v>4.5788829668033638E-2</v>
      </c>
    </row>
    <row r="190" spans="1:15" s="277" customFormat="1">
      <c r="A190" s="279">
        <f t="shared" si="8"/>
        <v>2015.01</v>
      </c>
      <c r="B190" s="1099">
        <v>0.6704058607127229</v>
      </c>
      <c r="C190" s="3059">
        <v>0.32959413928727704</v>
      </c>
      <c r="D190" s="1101">
        <f t="shared" si="7"/>
        <v>1</v>
      </c>
      <c r="E190" s="1102">
        <v>0.74994226778977724</v>
      </c>
      <c r="F190" s="3060">
        <v>0.25005773221022293</v>
      </c>
      <c r="G190" s="1135">
        <f t="shared" si="10"/>
        <v>1.0000000000000002</v>
      </c>
      <c r="H190" s="1134">
        <f t="shared" si="6"/>
        <v>1</v>
      </c>
      <c r="I190" s="1131">
        <v>0.86301174224558674</v>
      </c>
      <c r="J190" s="3057">
        <v>7.8320844274425525E-2</v>
      </c>
      <c r="K190" s="1878">
        <v>5.8667413479987725E-2</v>
      </c>
      <c r="L190" s="1134">
        <f t="shared" si="9"/>
        <v>1</v>
      </c>
      <c r="M190" s="1131">
        <v>0.88519364277719748</v>
      </c>
      <c r="N190" s="3057">
        <v>7.9791995257673387E-2</v>
      </c>
      <c r="O190" s="3061">
        <v>3.5014361965129151E-2</v>
      </c>
    </row>
    <row r="191" spans="1:15" s="277" customFormat="1">
      <c r="A191" s="279">
        <f t="shared" si="8"/>
        <v>2015.02</v>
      </c>
      <c r="B191" s="1099">
        <v>0.71281169602672345</v>
      </c>
      <c r="C191" s="3059">
        <v>0.28718830397327638</v>
      </c>
      <c r="D191" s="1101">
        <f t="shared" si="7"/>
        <v>0.99999999999999978</v>
      </c>
      <c r="E191" s="1102">
        <v>0.74762169029947823</v>
      </c>
      <c r="F191" s="3060">
        <v>0.25237830970052177</v>
      </c>
      <c r="G191" s="1135">
        <f t="shared" si="10"/>
        <v>1</v>
      </c>
      <c r="H191" s="1134">
        <f t="shared" si="6"/>
        <v>1</v>
      </c>
      <c r="I191" s="1131">
        <v>0.89572352895420426</v>
      </c>
      <c r="J191" s="3057">
        <v>4.2699125603547487E-2</v>
      </c>
      <c r="K191" s="1878">
        <v>6.1577345442248327E-2</v>
      </c>
      <c r="L191" s="1134">
        <f t="shared" si="9"/>
        <v>1</v>
      </c>
      <c r="M191" s="1131">
        <v>0.91418205713099931</v>
      </c>
      <c r="N191" s="3057">
        <v>6.5118467897077481E-2</v>
      </c>
      <c r="O191" s="3061">
        <v>2.069947497192326E-2</v>
      </c>
    </row>
    <row r="192" spans="1:15" s="277" customFormat="1">
      <c r="A192" s="279">
        <f t="shared" si="8"/>
        <v>2015.03</v>
      </c>
      <c r="B192" s="1099">
        <v>0.63121097472132781</v>
      </c>
      <c r="C192" s="3059">
        <v>0.36878902527867202</v>
      </c>
      <c r="D192" s="1101">
        <f t="shared" si="7"/>
        <v>0.99999999999999978</v>
      </c>
      <c r="E192" s="1102">
        <v>0.78060736661145558</v>
      </c>
      <c r="F192" s="3060">
        <v>0.21939263338854439</v>
      </c>
      <c r="G192" s="1135">
        <f t="shared" si="10"/>
        <v>1</v>
      </c>
      <c r="H192" s="1134">
        <f t="shared" si="6"/>
        <v>0.99999999999999989</v>
      </c>
      <c r="I192" s="1131">
        <v>0.84016460475719057</v>
      </c>
      <c r="J192" s="3057">
        <v>0.11037412545332094</v>
      </c>
      <c r="K192" s="1878">
        <v>4.9461269789488421E-2</v>
      </c>
      <c r="L192" s="1134">
        <f t="shared" si="9"/>
        <v>1</v>
      </c>
      <c r="M192" s="1131">
        <v>0.8921540858191378</v>
      </c>
      <c r="N192" s="3057">
        <v>7.6670937480192727E-2</v>
      </c>
      <c r="O192" s="3061">
        <v>3.1174976700669457E-2</v>
      </c>
    </row>
    <row r="193" spans="1:15" s="277" customFormat="1">
      <c r="A193" s="279">
        <f t="shared" si="8"/>
        <v>2015.04</v>
      </c>
      <c r="B193" s="1099">
        <v>0.73101348948769451</v>
      </c>
      <c r="C193" s="3059">
        <v>0.26898651051230538</v>
      </c>
      <c r="D193" s="1101">
        <f t="shared" si="7"/>
        <v>0.99999999999999989</v>
      </c>
      <c r="E193" s="1102">
        <v>0.75193553311463512</v>
      </c>
      <c r="F193" s="3060">
        <v>0.24806446688536485</v>
      </c>
      <c r="G193" s="1135">
        <f t="shared" si="10"/>
        <v>1</v>
      </c>
      <c r="H193" s="1134">
        <f t="shared" ref="H193:H254" si="11">+I193+J193+K193</f>
        <v>1</v>
      </c>
      <c r="I193" s="1131">
        <v>0.87969353173688447</v>
      </c>
      <c r="J193" s="3057">
        <v>8.9114158446309308E-2</v>
      </c>
      <c r="K193" s="1878">
        <v>3.1192309816806197E-2</v>
      </c>
      <c r="L193" s="1134">
        <f t="shared" si="9"/>
        <v>1</v>
      </c>
      <c r="M193" s="1131">
        <v>0.89630256309023659</v>
      </c>
      <c r="N193" s="3057">
        <v>6.8123336454638167E-2</v>
      </c>
      <c r="O193" s="3061">
        <v>3.5574100455125227E-2</v>
      </c>
    </row>
    <row r="194" spans="1:15" s="277" customFormat="1">
      <c r="A194" s="279">
        <f t="shared" si="8"/>
        <v>2015.05</v>
      </c>
      <c r="B194" s="1099">
        <v>0.67713000248580701</v>
      </c>
      <c r="C194" s="3059">
        <v>0.32286999751419304</v>
      </c>
      <c r="D194" s="1101">
        <f t="shared" si="7"/>
        <v>1</v>
      </c>
      <c r="E194" s="1102">
        <v>0.78767242192602249</v>
      </c>
      <c r="F194" s="3060">
        <v>0.21232757807397729</v>
      </c>
      <c r="G194" s="1135">
        <f t="shared" si="10"/>
        <v>0.99999999999999978</v>
      </c>
      <c r="H194" s="1134">
        <f t="shared" si="11"/>
        <v>1</v>
      </c>
      <c r="I194" s="1131">
        <v>0.86968465638466208</v>
      </c>
      <c r="J194" s="3057">
        <v>0.10696378601591597</v>
      </c>
      <c r="K194" s="1878">
        <v>2.3351557599422011E-2</v>
      </c>
      <c r="L194" s="1134">
        <f t="shared" si="9"/>
        <v>1.0000000000000002</v>
      </c>
      <c r="M194" s="1131">
        <v>0.89698101673661801</v>
      </c>
      <c r="N194" s="3057">
        <v>5.8395231554878774E-2</v>
      </c>
      <c r="O194" s="3061">
        <v>4.4623751708503342E-2</v>
      </c>
    </row>
    <row r="195" spans="1:15" s="277" customFormat="1">
      <c r="A195" s="279">
        <f t="shared" si="8"/>
        <v>2015.06</v>
      </c>
      <c r="B195" s="1099">
        <v>0.71176725663740525</v>
      </c>
      <c r="C195" s="3059">
        <v>0.28823274336259475</v>
      </c>
      <c r="D195" s="1101">
        <f t="shared" si="7"/>
        <v>1</v>
      </c>
      <c r="E195" s="1102">
        <v>0.81724332709264158</v>
      </c>
      <c r="F195" s="3060">
        <v>0.18275667290735842</v>
      </c>
      <c r="G195" s="1135">
        <f t="shared" si="10"/>
        <v>1</v>
      </c>
      <c r="H195" s="1134">
        <f t="shared" si="11"/>
        <v>0.99999999999999989</v>
      </c>
      <c r="I195" s="1131">
        <v>0.84787819026951705</v>
      </c>
      <c r="J195" s="3057">
        <v>0.11815505502893262</v>
      </c>
      <c r="K195" s="1878">
        <v>3.396675470155016E-2</v>
      </c>
      <c r="L195" s="1134">
        <f t="shared" si="9"/>
        <v>1</v>
      </c>
      <c r="M195" s="1131">
        <v>0.90819541201943788</v>
      </c>
      <c r="N195" s="3057">
        <v>7.5302995234475298E-2</v>
      </c>
      <c r="O195" s="3061">
        <v>1.6501592746086854E-2</v>
      </c>
    </row>
    <row r="196" spans="1:15" s="277" customFormat="1">
      <c r="A196" s="279">
        <f t="shared" si="8"/>
        <v>2015.07</v>
      </c>
      <c r="B196" s="1099">
        <v>0.69605914909684174</v>
      </c>
      <c r="C196" s="3059">
        <v>0.30394085090315814</v>
      </c>
      <c r="D196" s="1101">
        <f t="shared" si="7"/>
        <v>0.99999999999999989</v>
      </c>
      <c r="E196" s="1102">
        <v>0.87308594966524633</v>
      </c>
      <c r="F196" s="3060">
        <v>0.1269140503347535</v>
      </c>
      <c r="G196" s="1135">
        <f t="shared" si="10"/>
        <v>0.99999999999999978</v>
      </c>
      <c r="H196" s="1134">
        <f t="shared" si="11"/>
        <v>1</v>
      </c>
      <c r="I196" s="1131">
        <v>0.84470263756125763</v>
      </c>
      <c r="J196" s="3057">
        <v>0.1020295402530333</v>
      </c>
      <c r="K196" s="1878">
        <v>5.3267822185709107E-2</v>
      </c>
      <c r="L196" s="1134">
        <f t="shared" si="9"/>
        <v>1</v>
      </c>
      <c r="M196" s="1131">
        <v>0.91277495572047362</v>
      </c>
      <c r="N196" s="3057">
        <v>4.9333541361334256E-2</v>
      </c>
      <c r="O196" s="3061">
        <v>3.7891502918192148E-2</v>
      </c>
    </row>
    <row r="197" spans="1:15" s="277" customFormat="1">
      <c r="A197" s="279">
        <f t="shared" si="8"/>
        <v>2015.08</v>
      </c>
      <c r="B197" s="1099">
        <v>0.60020767260987695</v>
      </c>
      <c r="C197" s="3059">
        <v>0.39979232739012294</v>
      </c>
      <c r="D197" s="1101">
        <f t="shared" si="7"/>
        <v>0.99999999999999989</v>
      </c>
      <c r="E197" s="1102">
        <v>0.86618657122411169</v>
      </c>
      <c r="F197" s="3060">
        <v>0.13381342877588839</v>
      </c>
      <c r="G197" s="1135">
        <f t="shared" si="10"/>
        <v>1</v>
      </c>
      <c r="H197" s="1134">
        <f t="shared" si="11"/>
        <v>0.99999999999999989</v>
      </c>
      <c r="I197" s="1131">
        <v>0.82748152270962994</v>
      </c>
      <c r="J197" s="3057">
        <v>0.11116253111778369</v>
      </c>
      <c r="K197" s="1878">
        <v>6.1355946172586245E-2</v>
      </c>
      <c r="L197" s="1134">
        <f t="shared" si="9"/>
        <v>1</v>
      </c>
      <c r="M197" s="1131">
        <v>0.93090798899131599</v>
      </c>
      <c r="N197" s="3057">
        <v>3.6372319310456244E-2</v>
      </c>
      <c r="O197" s="3061">
        <v>3.2719691698227804E-2</v>
      </c>
    </row>
    <row r="198" spans="1:15" s="277" customFormat="1">
      <c r="A198" s="279">
        <f t="shared" si="8"/>
        <v>2015.09</v>
      </c>
      <c r="B198" s="1099">
        <v>0.68163750403205214</v>
      </c>
      <c r="C198" s="3059">
        <v>0.3183624959679478</v>
      </c>
      <c r="D198" s="1101">
        <f t="shared" si="7"/>
        <v>1</v>
      </c>
      <c r="E198" s="1102">
        <v>0.84248867115572712</v>
      </c>
      <c r="F198" s="3060">
        <v>0.15751132884427282</v>
      </c>
      <c r="G198" s="1135">
        <f t="shared" si="10"/>
        <v>1</v>
      </c>
      <c r="H198" s="1134">
        <f t="shared" si="11"/>
        <v>0.99999999999999989</v>
      </c>
      <c r="I198" s="1131">
        <v>0.87021990222627821</v>
      </c>
      <c r="J198" s="3057">
        <v>6.949892414772961E-2</v>
      </c>
      <c r="K198" s="1878">
        <v>6.0281173625992064E-2</v>
      </c>
      <c r="L198" s="1134">
        <f t="shared" si="9"/>
        <v>1</v>
      </c>
      <c r="M198" s="1131">
        <v>0.93764506958916183</v>
      </c>
      <c r="N198" s="3057">
        <v>4.5143091182741131E-2</v>
      </c>
      <c r="O198" s="3061">
        <v>1.7211839228097079E-2</v>
      </c>
    </row>
    <row r="199" spans="1:15" s="277" customFormat="1">
      <c r="A199" s="279">
        <f t="shared" si="8"/>
        <v>2015.1</v>
      </c>
      <c r="B199" s="1099">
        <v>0.63047768867509835</v>
      </c>
      <c r="C199" s="3059">
        <v>0.36952231132490154</v>
      </c>
      <c r="D199" s="1101">
        <f t="shared" si="7"/>
        <v>0.99999999999999989</v>
      </c>
      <c r="E199" s="1102">
        <v>0.87110255672227477</v>
      </c>
      <c r="F199" s="3060">
        <v>0.12889744327772504</v>
      </c>
      <c r="G199" s="1135">
        <f t="shared" si="10"/>
        <v>0.99999999999999978</v>
      </c>
      <c r="H199" s="1134">
        <f t="shared" si="11"/>
        <v>1</v>
      </c>
      <c r="I199" s="1131">
        <v>0.86502966990696062</v>
      </c>
      <c r="J199" s="3057">
        <v>8.4275161016411582E-2</v>
      </c>
      <c r="K199" s="1878">
        <v>5.0695169076627751E-2</v>
      </c>
      <c r="L199" s="1134">
        <f t="shared" si="9"/>
        <v>1</v>
      </c>
      <c r="M199" s="1131">
        <v>0.96361140985726212</v>
      </c>
      <c r="N199" s="3057">
        <v>3.6388590142737876E-2</v>
      </c>
      <c r="O199" s="3061">
        <v>0</v>
      </c>
    </row>
    <row r="200" spans="1:15" s="277" customFormat="1">
      <c r="A200" s="279">
        <f t="shared" si="8"/>
        <v>2015.11</v>
      </c>
      <c r="B200" s="1099">
        <v>0.6500492849088042</v>
      </c>
      <c r="C200" s="3059">
        <v>0.34995071509119569</v>
      </c>
      <c r="D200" s="1101">
        <f t="shared" si="7"/>
        <v>0.99999999999999989</v>
      </c>
      <c r="E200" s="1102">
        <v>0.85444979210690131</v>
      </c>
      <c r="F200" s="3060">
        <v>0.14555020789309858</v>
      </c>
      <c r="G200" s="1135">
        <f t="shared" si="10"/>
        <v>0.99999999999999989</v>
      </c>
      <c r="H200" s="1134">
        <f t="shared" si="11"/>
        <v>1</v>
      </c>
      <c r="I200" s="1131">
        <v>0.90998734839655782</v>
      </c>
      <c r="J200" s="3057">
        <v>6.9772741856046691E-2</v>
      </c>
      <c r="K200" s="1878">
        <v>2.0239909747395486E-2</v>
      </c>
      <c r="L200" s="1134">
        <f t="shared" si="9"/>
        <v>0.99999999999999989</v>
      </c>
      <c r="M200" s="1131">
        <v>0.92658511896432583</v>
      </c>
      <c r="N200" s="3057">
        <v>3.882512391983594E-2</v>
      </c>
      <c r="O200" s="3061">
        <v>3.4589757115838136E-2</v>
      </c>
    </row>
    <row r="201" spans="1:15" s="277" customFormat="1">
      <c r="A201" s="279">
        <f t="shared" si="8"/>
        <v>2015.12</v>
      </c>
      <c r="B201" s="1099">
        <v>0.67552873373130962</v>
      </c>
      <c r="C201" s="3059">
        <v>0.32447126626869044</v>
      </c>
      <c r="D201" s="1101">
        <f t="shared" si="7"/>
        <v>1</v>
      </c>
      <c r="E201" s="1102">
        <v>0.83920070621802656</v>
      </c>
      <c r="F201" s="3060">
        <v>0.16079929378197344</v>
      </c>
      <c r="G201" s="1135">
        <f t="shared" si="10"/>
        <v>1</v>
      </c>
      <c r="H201" s="1134">
        <f t="shared" si="11"/>
        <v>1</v>
      </c>
      <c r="I201" s="1131">
        <v>0.9156769701015095</v>
      </c>
      <c r="J201" s="3057">
        <v>6.7800358478744285E-2</v>
      </c>
      <c r="K201" s="1878">
        <v>1.6522671419746206E-2</v>
      </c>
      <c r="L201" s="1134">
        <f t="shared" si="9"/>
        <v>1</v>
      </c>
      <c r="M201" s="1131">
        <v>0.93923558919521044</v>
      </c>
      <c r="N201" s="3057">
        <v>2.4819374671804999E-2</v>
      </c>
      <c r="O201" s="3061">
        <v>3.5945036132984588E-2</v>
      </c>
    </row>
    <row r="202" spans="1:15" s="277" customFormat="1">
      <c r="A202" s="279">
        <f t="shared" si="8"/>
        <v>2016.01</v>
      </c>
      <c r="B202" s="1099">
        <v>0.66793922575252973</v>
      </c>
      <c r="C202" s="3059">
        <v>0.33206077424747021</v>
      </c>
      <c r="D202" s="1101">
        <f t="shared" si="7"/>
        <v>1</v>
      </c>
      <c r="E202" s="1102">
        <v>0.85264702615192989</v>
      </c>
      <c r="F202" s="3060">
        <v>0.1473529738480702</v>
      </c>
      <c r="G202" s="1135">
        <f t="shared" si="10"/>
        <v>1</v>
      </c>
      <c r="H202" s="1134">
        <f t="shared" si="11"/>
        <v>0.99999999999999989</v>
      </c>
      <c r="I202" s="1131">
        <v>0.90062039480402656</v>
      </c>
      <c r="J202" s="3057">
        <v>7.0528005908881142E-2</v>
      </c>
      <c r="K202" s="1878">
        <v>2.8851599287092248E-2</v>
      </c>
      <c r="L202" s="1134">
        <f t="shared" si="9"/>
        <v>1</v>
      </c>
      <c r="M202" s="1131">
        <v>0.90838598516309887</v>
      </c>
      <c r="N202" s="3057">
        <v>5.0222527901413273E-2</v>
      </c>
      <c r="O202" s="3061">
        <v>4.1391486935487831E-2</v>
      </c>
    </row>
    <row r="203" spans="1:15" s="277" customFormat="1">
      <c r="A203" s="279">
        <f t="shared" si="8"/>
        <v>2016.02</v>
      </c>
      <c r="B203" s="1099">
        <v>0.7028752216990497</v>
      </c>
      <c r="C203" s="3059">
        <v>0.29712477830095024</v>
      </c>
      <c r="D203" s="1101">
        <f t="shared" si="7"/>
        <v>1</v>
      </c>
      <c r="E203" s="1102">
        <v>0.82675813200895154</v>
      </c>
      <c r="F203" s="3060">
        <v>0.17324186799104863</v>
      </c>
      <c r="G203" s="1135">
        <f t="shared" si="10"/>
        <v>1.0000000000000002</v>
      </c>
      <c r="H203" s="1134">
        <f t="shared" si="11"/>
        <v>0.99999999999999978</v>
      </c>
      <c r="I203" s="1131">
        <v>0.91535650866467999</v>
      </c>
      <c r="J203" s="3057">
        <v>6.184431590307108E-2</v>
      </c>
      <c r="K203" s="1878">
        <v>2.2799175432248756E-2</v>
      </c>
      <c r="L203" s="1134">
        <f t="shared" si="9"/>
        <v>1</v>
      </c>
      <c r="M203" s="1131">
        <v>0.90374713298571441</v>
      </c>
      <c r="N203" s="3057">
        <v>5.7498312176471458E-2</v>
      </c>
      <c r="O203" s="3061">
        <v>3.8754554837814148E-2</v>
      </c>
    </row>
    <row r="204" spans="1:15" s="277" customFormat="1">
      <c r="A204" s="279">
        <f t="shared" si="8"/>
        <v>2016.03</v>
      </c>
      <c r="B204" s="1099">
        <v>0.64721694386615736</v>
      </c>
      <c r="C204" s="3059">
        <v>0.3527830561338427</v>
      </c>
      <c r="D204" s="1101">
        <f t="shared" si="7"/>
        <v>1</v>
      </c>
      <c r="E204" s="1102">
        <v>0.82182928138348077</v>
      </c>
      <c r="F204" s="3060">
        <v>0.17817071861651923</v>
      </c>
      <c r="G204" s="1135">
        <f t="shared" si="10"/>
        <v>1</v>
      </c>
      <c r="H204" s="1134">
        <f t="shared" si="11"/>
        <v>0.99999999999999978</v>
      </c>
      <c r="I204" s="1131">
        <v>0.85292665327038231</v>
      </c>
      <c r="J204" s="3057">
        <v>8.007660882378681E-2</v>
      </c>
      <c r="K204" s="1878">
        <v>6.6996737905830661E-2</v>
      </c>
      <c r="L204" s="1134">
        <f t="shared" si="9"/>
        <v>1</v>
      </c>
      <c r="M204" s="1131">
        <v>0.82882177600056239</v>
      </c>
      <c r="N204" s="3057">
        <v>9.6636559951280343E-2</v>
      </c>
      <c r="O204" s="3061">
        <v>7.4541664048157361E-2</v>
      </c>
    </row>
    <row r="205" spans="1:15" s="277" customFormat="1">
      <c r="A205" s="279">
        <f t="shared" si="8"/>
        <v>2016.04</v>
      </c>
      <c r="B205" s="1099">
        <v>0.64198446297392664</v>
      </c>
      <c r="C205" s="3059">
        <v>0.35801553702607336</v>
      </c>
      <c r="D205" s="1101">
        <f t="shared" si="7"/>
        <v>1</v>
      </c>
      <c r="E205" s="1102">
        <v>0.87049216441906141</v>
      </c>
      <c r="F205" s="3060">
        <v>0.12950783558093854</v>
      </c>
      <c r="G205" s="1135">
        <f t="shared" si="10"/>
        <v>1</v>
      </c>
      <c r="H205" s="1134">
        <f t="shared" si="11"/>
        <v>1</v>
      </c>
      <c r="I205" s="1131">
        <v>0.9014816245996764</v>
      </c>
      <c r="J205" s="3057">
        <v>5.9630855541473696E-2</v>
      </c>
      <c r="K205" s="1878">
        <v>3.888751985884991E-2</v>
      </c>
      <c r="L205" s="1134">
        <f t="shared" si="9"/>
        <v>1</v>
      </c>
      <c r="M205" s="1131">
        <v>0.84799467702046916</v>
      </c>
      <c r="N205" s="3057">
        <v>6.5464724829740195E-2</v>
      </c>
      <c r="O205" s="3061">
        <v>8.6540598149790635E-2</v>
      </c>
    </row>
    <row r="206" spans="1:15" s="277" customFormat="1">
      <c r="A206" s="279">
        <f t="shared" si="8"/>
        <v>2016.05</v>
      </c>
      <c r="B206" s="1099">
        <v>0.73108360425915497</v>
      </c>
      <c r="C206" s="3059">
        <v>0.26891639574084508</v>
      </c>
      <c r="D206" s="1101">
        <f t="shared" si="7"/>
        <v>1</v>
      </c>
      <c r="E206" s="1102">
        <v>0.76631647857920238</v>
      </c>
      <c r="F206" s="3060">
        <v>0.23368352142079751</v>
      </c>
      <c r="G206" s="1135">
        <f t="shared" si="10"/>
        <v>0.99999999999999989</v>
      </c>
      <c r="H206" s="1134">
        <f t="shared" si="11"/>
        <v>0.99999999999999989</v>
      </c>
      <c r="I206" s="1131">
        <v>0.93301654867760186</v>
      </c>
      <c r="J206" s="3057">
        <v>5.2359248983717743E-2</v>
      </c>
      <c r="K206" s="1878">
        <v>1.4624202338680361E-2</v>
      </c>
      <c r="L206" s="1134">
        <f t="shared" si="9"/>
        <v>1</v>
      </c>
      <c r="M206" s="1131">
        <v>0.89681554665394347</v>
      </c>
      <c r="N206" s="3057">
        <v>4.5207741208428937E-2</v>
      </c>
      <c r="O206" s="3061">
        <v>5.7976712137627562E-2</v>
      </c>
    </row>
    <row r="207" spans="1:15" s="277" customFormat="1">
      <c r="A207" s="279">
        <f t="shared" si="8"/>
        <v>2016.06</v>
      </c>
      <c r="B207" s="1099">
        <v>0.71877365474436739</v>
      </c>
      <c r="C207" s="3059">
        <v>0.28122634525563267</v>
      </c>
      <c r="D207" s="1101">
        <f t="shared" si="7"/>
        <v>1</v>
      </c>
      <c r="E207" s="1102">
        <v>0.90359436971004437</v>
      </c>
      <c r="F207" s="3060">
        <v>9.6405630289955649E-2</v>
      </c>
      <c r="G207" s="1135">
        <f t="shared" si="10"/>
        <v>1</v>
      </c>
      <c r="H207" s="1134">
        <f t="shared" si="11"/>
        <v>1</v>
      </c>
      <c r="I207" s="1131">
        <v>0.89388657640806202</v>
      </c>
      <c r="J207" s="3057">
        <v>7.9480318093636648E-2</v>
      </c>
      <c r="K207" s="1878">
        <v>2.66331054983013E-2</v>
      </c>
      <c r="L207" s="1134">
        <f t="shared" si="9"/>
        <v>1</v>
      </c>
      <c r="M207" s="1131">
        <v>0.89326336676532236</v>
      </c>
      <c r="N207" s="3057">
        <v>6.0008033824108423E-2</v>
      </c>
      <c r="O207" s="3061">
        <v>4.6728599410569227E-2</v>
      </c>
    </row>
    <row r="208" spans="1:15" s="277" customFormat="1">
      <c r="A208" s="279">
        <f t="shared" si="8"/>
        <v>2016.07</v>
      </c>
      <c r="B208" s="1099">
        <v>0.75184377566532179</v>
      </c>
      <c r="C208" s="3059">
        <v>0.2481562243346781</v>
      </c>
      <c r="D208" s="1101">
        <f>B208+C208</f>
        <v>0.99999999999999989</v>
      </c>
      <c r="E208" s="1102">
        <v>0.82782523659867446</v>
      </c>
      <c r="F208" s="3060">
        <v>0.17217476340132543</v>
      </c>
      <c r="G208" s="1135">
        <f t="shared" si="10"/>
        <v>0.99999999999999989</v>
      </c>
      <c r="H208" s="1134">
        <f t="shared" si="11"/>
        <v>1</v>
      </c>
      <c r="I208" s="1131">
        <v>0.88219580183260804</v>
      </c>
      <c r="J208" s="3057">
        <v>7.8013863783828283E-2</v>
      </c>
      <c r="K208" s="1878">
        <v>3.9790334383563719E-2</v>
      </c>
      <c r="L208" s="1134">
        <f t="shared" si="9"/>
        <v>1</v>
      </c>
      <c r="M208" s="1131">
        <v>0.9175768609710615</v>
      </c>
      <c r="N208" s="3057">
        <v>3.9700170153844846E-2</v>
      </c>
      <c r="O208" s="3061">
        <v>4.2722968875093678E-2</v>
      </c>
    </row>
    <row r="209" spans="1:15" s="277" customFormat="1">
      <c r="A209" s="279">
        <f t="shared" si="8"/>
        <v>2016.08</v>
      </c>
      <c r="B209" s="1099">
        <v>0.71652556058741257</v>
      </c>
      <c r="C209" s="3059">
        <v>0.28347443941258743</v>
      </c>
      <c r="D209" s="1101">
        <f>B209+C209</f>
        <v>1</v>
      </c>
      <c r="E209" s="1102">
        <v>0.83923017624209673</v>
      </c>
      <c r="F209" s="3060">
        <v>0.16076982375790316</v>
      </c>
      <c r="G209" s="1135">
        <f t="shared" si="10"/>
        <v>0.99999999999999989</v>
      </c>
      <c r="H209" s="1134">
        <f t="shared" si="11"/>
        <v>1</v>
      </c>
      <c r="I209" s="1131">
        <v>0.88087760244087232</v>
      </c>
      <c r="J209" s="3057">
        <v>6.0641723318616565E-2</v>
      </c>
      <c r="K209" s="1878">
        <v>5.8480674240511149E-2</v>
      </c>
      <c r="L209" s="1134">
        <f t="shared" si="9"/>
        <v>1</v>
      </c>
      <c r="M209" s="1131">
        <v>0.90957512345984892</v>
      </c>
      <c r="N209" s="3057">
        <v>7.2495845871023465E-2</v>
      </c>
      <c r="O209" s="3061">
        <v>1.7929030669127648E-2</v>
      </c>
    </row>
    <row r="210" spans="1:15" s="277" customFormat="1">
      <c r="A210" s="279">
        <f t="shared" si="8"/>
        <v>2016.09</v>
      </c>
      <c r="B210" s="1099">
        <v>0.64484945646187763</v>
      </c>
      <c r="C210" s="3059">
        <v>0.35515054353812225</v>
      </c>
      <c r="D210" s="1101">
        <f t="shared" si="7"/>
        <v>0.99999999999999989</v>
      </c>
      <c r="E210" s="1102">
        <v>0.84669041461538508</v>
      </c>
      <c r="F210" s="3060">
        <v>0.15330958538461492</v>
      </c>
      <c r="G210" s="1135">
        <f t="shared" si="10"/>
        <v>1</v>
      </c>
      <c r="H210" s="1134">
        <f t="shared" si="11"/>
        <v>1</v>
      </c>
      <c r="I210" s="1131">
        <v>0.87384973106047492</v>
      </c>
      <c r="J210" s="3057">
        <v>7.6595153300340127E-2</v>
      </c>
      <c r="K210" s="1878">
        <v>4.9555115639184855E-2</v>
      </c>
      <c r="L210" s="1134">
        <f t="shared" si="9"/>
        <v>1</v>
      </c>
      <c r="M210" s="1131">
        <v>0.89908696337121352</v>
      </c>
      <c r="N210" s="3057">
        <v>6.0612910123550592E-2</v>
      </c>
      <c r="O210" s="3061">
        <v>4.0300126505235824E-2</v>
      </c>
    </row>
    <row r="211" spans="1:15" s="277" customFormat="1">
      <c r="A211" s="279">
        <f t="shared" si="8"/>
        <v>2016.1</v>
      </c>
      <c r="B211" s="1099">
        <v>0.66999141993134559</v>
      </c>
      <c r="C211" s="3059">
        <v>0.33000858006865436</v>
      </c>
      <c r="D211" s="1101">
        <f t="shared" si="7"/>
        <v>1</v>
      </c>
      <c r="E211" s="1102">
        <v>0.86122327653104103</v>
      </c>
      <c r="F211" s="3060">
        <v>0.13877672346895903</v>
      </c>
      <c r="G211" s="1135">
        <f t="shared" si="10"/>
        <v>1</v>
      </c>
      <c r="H211" s="1134">
        <f t="shared" si="11"/>
        <v>1</v>
      </c>
      <c r="I211" s="1131">
        <v>0.87955801109248721</v>
      </c>
      <c r="J211" s="3057">
        <v>6.8129612475930704E-2</v>
      </c>
      <c r="K211" s="1878">
        <v>5.2312376431582125E-2</v>
      </c>
      <c r="L211" s="1134">
        <f t="shared" si="9"/>
        <v>1</v>
      </c>
      <c r="M211" s="1131">
        <v>0.92092944514979647</v>
      </c>
      <c r="N211" s="3057">
        <v>3.6876596289452758E-2</v>
      </c>
      <c r="O211" s="3061">
        <v>4.2193958560750817E-2</v>
      </c>
    </row>
    <row r="212" spans="1:15" s="277" customFormat="1">
      <c r="A212" s="279">
        <f t="shared" si="8"/>
        <v>2016.11</v>
      </c>
      <c r="B212" s="1099">
        <v>0.74280372467742073</v>
      </c>
      <c r="C212" s="3059">
        <v>0.25719627532257938</v>
      </c>
      <c r="D212" s="1101">
        <f t="shared" si="7"/>
        <v>1</v>
      </c>
      <c r="E212" s="1102">
        <v>0.84435138915321883</v>
      </c>
      <c r="F212" s="3060">
        <v>0.15564861084678117</v>
      </c>
      <c r="G212" s="1135">
        <f t="shared" si="10"/>
        <v>1</v>
      </c>
      <c r="H212" s="1134">
        <f t="shared" si="11"/>
        <v>1</v>
      </c>
      <c r="I212" s="1131">
        <v>0.87147841944301763</v>
      </c>
      <c r="J212" s="3057">
        <v>5.915480763832557E-2</v>
      </c>
      <c r="K212" s="1878">
        <v>6.9366772918656852E-2</v>
      </c>
      <c r="L212" s="1134">
        <f t="shared" si="9"/>
        <v>0.99999999999999989</v>
      </c>
      <c r="M212" s="1131">
        <v>0.8983685692718848</v>
      </c>
      <c r="N212" s="3057">
        <v>6.7274631544435748E-2</v>
      </c>
      <c r="O212" s="3061">
        <v>3.4356799183679392E-2</v>
      </c>
    </row>
    <row r="213" spans="1:15" s="277" customFormat="1">
      <c r="A213" s="279">
        <f t="shared" si="8"/>
        <v>2016.12</v>
      </c>
      <c r="B213" s="1099">
        <v>0.72324572565159795</v>
      </c>
      <c r="C213" s="3059">
        <v>0.27675427434840211</v>
      </c>
      <c r="D213" s="1101">
        <f t="shared" si="7"/>
        <v>1</v>
      </c>
      <c r="E213" s="1102">
        <v>0.83043429456767914</v>
      </c>
      <c r="F213" s="3060">
        <v>0.16956570543232097</v>
      </c>
      <c r="G213" s="1135">
        <f t="shared" si="10"/>
        <v>1</v>
      </c>
      <c r="H213" s="1134">
        <f t="shared" si="11"/>
        <v>1</v>
      </c>
      <c r="I213" s="1131">
        <v>0.84017140793964318</v>
      </c>
      <c r="J213" s="3057">
        <v>0.12092955673700176</v>
      </c>
      <c r="K213" s="1878">
        <v>3.8899035323355119E-2</v>
      </c>
      <c r="L213" s="1134">
        <f t="shared" si="9"/>
        <v>0.99999999999999989</v>
      </c>
      <c r="M213" s="1131">
        <v>0.909938932119711</v>
      </c>
      <c r="N213" s="3057">
        <v>4.5269567135824446E-2</v>
      </c>
      <c r="O213" s="3061">
        <v>4.4791500744464523E-2</v>
      </c>
    </row>
    <row r="214" spans="1:15" s="277" customFormat="1">
      <c r="A214" s="279">
        <f t="shared" si="8"/>
        <v>2017.01</v>
      </c>
      <c r="B214" s="1099">
        <v>0.68873329140973349</v>
      </c>
      <c r="C214" s="3059">
        <v>0.31126670859026645</v>
      </c>
      <c r="D214" s="1101">
        <f t="shared" si="7"/>
        <v>1</v>
      </c>
      <c r="E214" s="1102">
        <v>0.86835699538614275</v>
      </c>
      <c r="F214" s="3060">
        <v>0.13164300461385728</v>
      </c>
      <c r="G214" s="1135">
        <f t="shared" si="10"/>
        <v>1</v>
      </c>
      <c r="H214" s="1134">
        <f t="shared" si="11"/>
        <v>1</v>
      </c>
      <c r="I214" s="1131">
        <v>0.86057649938634739</v>
      </c>
      <c r="J214" s="3057">
        <v>8.3596735331969901E-2</v>
      </c>
      <c r="K214" s="1878">
        <v>5.5826765281682705E-2</v>
      </c>
      <c r="L214" s="1134">
        <f t="shared" si="9"/>
        <v>1</v>
      </c>
      <c r="M214" s="1131">
        <v>0.88860635696595069</v>
      </c>
      <c r="N214" s="3057">
        <v>8.0843970679132293E-2</v>
      </c>
      <c r="O214" s="3061">
        <v>3.054967235491703E-2</v>
      </c>
    </row>
    <row r="215" spans="1:15" s="277" customFormat="1">
      <c r="A215" s="279">
        <f t="shared" si="8"/>
        <v>2017.02</v>
      </c>
      <c r="B215" s="1099">
        <v>0.72824135808032064</v>
      </c>
      <c r="C215" s="3059">
        <v>0.27175864191967941</v>
      </c>
      <c r="D215" s="1101">
        <f t="shared" si="7"/>
        <v>1</v>
      </c>
      <c r="E215" s="1102">
        <v>0.84189101234200014</v>
      </c>
      <c r="F215" s="3060">
        <v>0.15810898765799988</v>
      </c>
      <c r="G215" s="1135">
        <f t="shared" si="10"/>
        <v>1</v>
      </c>
      <c r="H215" s="1134">
        <f t="shared" si="11"/>
        <v>0.99999999999999989</v>
      </c>
      <c r="I215" s="1131">
        <v>0.87917978488858139</v>
      </c>
      <c r="J215" s="3057">
        <v>9.8768561440625846E-2</v>
      </c>
      <c r="K215" s="1878">
        <v>2.2051653670792683E-2</v>
      </c>
      <c r="L215" s="1134">
        <f t="shared" si="9"/>
        <v>1.0000000000000002</v>
      </c>
      <c r="M215" s="1131">
        <v>0.87154323036451875</v>
      </c>
      <c r="N215" s="3057">
        <v>0.1014885332434618</v>
      </c>
      <c r="O215" s="3061">
        <v>2.6968236392019528E-2</v>
      </c>
    </row>
    <row r="216" spans="1:15" s="277" customFormat="1">
      <c r="A216" s="279">
        <f t="shared" si="8"/>
        <v>2017.03</v>
      </c>
      <c r="B216" s="1099">
        <v>0.65129809836082331</v>
      </c>
      <c r="C216" s="3059">
        <v>0.34870190163917658</v>
      </c>
      <c r="D216" s="1101">
        <f t="shared" si="7"/>
        <v>0.99999999999999989</v>
      </c>
      <c r="E216" s="1102">
        <v>0.81705513966205023</v>
      </c>
      <c r="F216" s="3060">
        <v>0.18294486033794982</v>
      </c>
      <c r="G216" s="1135">
        <f t="shared" si="10"/>
        <v>1</v>
      </c>
      <c r="H216" s="1134">
        <f t="shared" si="11"/>
        <v>1</v>
      </c>
      <c r="I216" s="1131">
        <v>0.86396673125255941</v>
      </c>
      <c r="J216" s="3057">
        <v>8.8979944996704752E-2</v>
      </c>
      <c r="K216" s="1878">
        <v>4.7053323750735815E-2</v>
      </c>
      <c r="L216" s="1134">
        <f t="shared" si="9"/>
        <v>1</v>
      </c>
      <c r="M216" s="1131">
        <v>0.8934715271756406</v>
      </c>
      <c r="N216" s="3057">
        <v>6.9646626286741245E-2</v>
      </c>
      <c r="O216" s="3061">
        <v>3.688184653761812E-2</v>
      </c>
    </row>
    <row r="217" spans="1:15" s="277" customFormat="1">
      <c r="A217" s="279">
        <f t="shared" si="8"/>
        <v>2017.04</v>
      </c>
      <c r="B217" s="1099">
        <v>0.65729548408952165</v>
      </c>
      <c r="C217" s="3059">
        <v>0.34270451591047846</v>
      </c>
      <c r="D217" s="1101">
        <f t="shared" si="7"/>
        <v>1</v>
      </c>
      <c r="E217" s="1102">
        <v>0.85253563234453267</v>
      </c>
      <c r="F217" s="3060">
        <v>0.14746436765546739</v>
      </c>
      <c r="G217" s="1135">
        <f t="shared" si="10"/>
        <v>1</v>
      </c>
      <c r="H217" s="1134">
        <f t="shared" si="11"/>
        <v>1</v>
      </c>
      <c r="I217" s="1131">
        <v>0.89799885338980445</v>
      </c>
      <c r="J217" s="3057">
        <v>7.8433662377317831E-2</v>
      </c>
      <c r="K217" s="1878">
        <v>2.356748423287764E-2</v>
      </c>
      <c r="L217" s="1134">
        <f t="shared" si="9"/>
        <v>0.99999999999999989</v>
      </c>
      <c r="M217" s="1131">
        <v>0.93491538239276895</v>
      </c>
      <c r="N217" s="3057">
        <v>5.3147604174492755E-2</v>
      </c>
      <c r="O217" s="3061">
        <v>1.1937013432738276E-2</v>
      </c>
    </row>
    <row r="218" spans="1:15" s="277" customFormat="1">
      <c r="A218" s="279">
        <f t="shared" si="8"/>
        <v>2017.05</v>
      </c>
      <c r="B218" s="1099">
        <v>0.68714411083871041</v>
      </c>
      <c r="C218" s="3059">
        <v>0.31285588916128959</v>
      </c>
      <c r="D218" s="1101">
        <f t="shared" si="7"/>
        <v>1</v>
      </c>
      <c r="E218" s="1102">
        <v>0.86667422057528709</v>
      </c>
      <c r="F218" s="3060">
        <v>0.13332577942471291</v>
      </c>
      <c r="G218" s="1135">
        <f t="shared" si="10"/>
        <v>1</v>
      </c>
      <c r="H218" s="1134">
        <f t="shared" si="11"/>
        <v>1</v>
      </c>
      <c r="I218" s="1131">
        <v>0.8915766098820338</v>
      </c>
      <c r="J218" s="3057">
        <v>7.3139207649059276E-2</v>
      </c>
      <c r="K218" s="1878">
        <v>3.5284182468906966E-2</v>
      </c>
      <c r="L218" s="1134">
        <f t="shared" si="9"/>
        <v>1</v>
      </c>
      <c r="M218" s="1131">
        <v>0.89689222135141644</v>
      </c>
      <c r="N218" s="3057">
        <v>7.8939576049710344E-2</v>
      </c>
      <c r="O218" s="3061">
        <v>2.416820259887319E-2</v>
      </c>
    </row>
    <row r="219" spans="1:15" s="277" customFormat="1">
      <c r="A219" s="279">
        <f t="shared" si="8"/>
        <v>2017.06</v>
      </c>
      <c r="B219" s="1099">
        <v>0.74037706798619252</v>
      </c>
      <c r="C219" s="3059">
        <v>0.25962293201380754</v>
      </c>
      <c r="D219" s="1101">
        <f t="shared" si="7"/>
        <v>1</v>
      </c>
      <c r="E219" s="1102">
        <v>0.83099611320425826</v>
      </c>
      <c r="F219" s="3060">
        <v>0.16900388679574177</v>
      </c>
      <c r="G219" s="1135">
        <f t="shared" si="10"/>
        <v>1</v>
      </c>
      <c r="H219" s="1134">
        <f t="shared" si="11"/>
        <v>1.0000000000000002</v>
      </c>
      <c r="I219" s="1131">
        <v>0.8476229559533347</v>
      </c>
      <c r="J219" s="3057">
        <v>0.10839519546122395</v>
      </c>
      <c r="K219" s="1878">
        <v>4.3981848585441456E-2</v>
      </c>
      <c r="L219" s="1134">
        <f t="shared" si="9"/>
        <v>1</v>
      </c>
      <c r="M219" s="1131">
        <v>0.92222776894931646</v>
      </c>
      <c r="N219" s="3057">
        <v>6.028631113495856E-2</v>
      </c>
      <c r="O219" s="3061">
        <v>1.7485919915724991E-2</v>
      </c>
    </row>
    <row r="220" spans="1:15" s="277" customFormat="1">
      <c r="A220" s="279">
        <f t="shared" si="8"/>
        <v>2017.07</v>
      </c>
      <c r="B220" s="1099">
        <v>0.75773243801521117</v>
      </c>
      <c r="C220" s="3059">
        <v>0.24226756198478877</v>
      </c>
      <c r="D220" s="1101">
        <f t="shared" si="7"/>
        <v>1</v>
      </c>
      <c r="E220" s="1102">
        <v>0.83023911907895298</v>
      </c>
      <c r="F220" s="3060">
        <v>0.16976088092104694</v>
      </c>
      <c r="G220" s="1135">
        <f t="shared" si="10"/>
        <v>0.99999999999999989</v>
      </c>
      <c r="H220" s="1134">
        <f t="shared" si="11"/>
        <v>1</v>
      </c>
      <c r="I220" s="1131">
        <v>0.85961912572737542</v>
      </c>
      <c r="J220" s="3057">
        <v>0.11673660742213146</v>
      </c>
      <c r="K220" s="1878">
        <v>2.3644266850493215E-2</v>
      </c>
      <c r="L220" s="1134">
        <f t="shared" si="9"/>
        <v>1</v>
      </c>
      <c r="M220" s="1131">
        <v>0.9303062605823379</v>
      </c>
      <c r="N220" s="3057">
        <v>5.8642162405718547E-2</v>
      </c>
      <c r="O220" s="3061">
        <v>1.1051577011943601E-2</v>
      </c>
    </row>
    <row r="221" spans="1:15" s="277" customFormat="1">
      <c r="A221" s="279">
        <f t="shared" si="8"/>
        <v>2017.08</v>
      </c>
      <c r="B221" s="1099">
        <v>0.71182667586617077</v>
      </c>
      <c r="C221" s="3059">
        <v>0.2881733241338294</v>
      </c>
      <c r="D221" s="1101">
        <f t="shared" ref="D221:D251" si="12">B221+C221</f>
        <v>1.0000000000000002</v>
      </c>
      <c r="E221" s="1102">
        <v>0.88731441576352021</v>
      </c>
      <c r="F221" s="3060">
        <v>0.11268558423647984</v>
      </c>
      <c r="G221" s="1135">
        <f t="shared" si="10"/>
        <v>1</v>
      </c>
      <c r="H221" s="1134">
        <f t="shared" si="11"/>
        <v>1</v>
      </c>
      <c r="I221" s="1131">
        <v>0.88147339958416271</v>
      </c>
      <c r="J221" s="3057">
        <v>9.5090128910511537E-2</v>
      </c>
      <c r="K221" s="1878">
        <v>2.3436471505325775E-2</v>
      </c>
      <c r="L221" s="1134">
        <f t="shared" si="9"/>
        <v>1</v>
      </c>
      <c r="M221" s="1131">
        <v>0.93710484507683944</v>
      </c>
      <c r="N221" s="3057">
        <v>4.774275978798926E-2</v>
      </c>
      <c r="O221" s="3061">
        <v>1.5152395135171345E-2</v>
      </c>
    </row>
    <row r="222" spans="1:15" s="277" customFormat="1">
      <c r="A222" s="279">
        <f t="shared" si="8"/>
        <v>2017.09</v>
      </c>
      <c r="B222" s="1099">
        <v>0.720983239767922</v>
      </c>
      <c r="C222" s="3059">
        <v>0.279016760232078</v>
      </c>
      <c r="D222" s="1101">
        <f t="shared" si="12"/>
        <v>1</v>
      </c>
      <c r="E222" s="1102">
        <v>0.84825725191472467</v>
      </c>
      <c r="F222" s="3060">
        <v>0.15174274808527535</v>
      </c>
      <c r="G222" s="1135">
        <f t="shared" si="10"/>
        <v>1</v>
      </c>
      <c r="H222" s="1134">
        <f t="shared" si="11"/>
        <v>0.99999999999999989</v>
      </c>
      <c r="I222" s="1131">
        <v>0.83863545369004333</v>
      </c>
      <c r="J222" s="3057">
        <v>0.14916150894855851</v>
      </c>
      <c r="K222" s="1878">
        <v>1.2203037361398071E-2</v>
      </c>
      <c r="L222" s="1134">
        <f t="shared" si="9"/>
        <v>1</v>
      </c>
      <c r="M222" s="1131">
        <v>0.90543318712282717</v>
      </c>
      <c r="N222" s="3057">
        <v>8.5673730770067499E-2</v>
      </c>
      <c r="O222" s="3061">
        <v>8.8930821071053871E-3</v>
      </c>
    </row>
    <row r="223" spans="1:15" s="277" customFormat="1">
      <c r="A223" s="279">
        <f t="shared" si="8"/>
        <v>2017.1</v>
      </c>
      <c r="B223" s="1099">
        <v>0.72122904134081811</v>
      </c>
      <c r="C223" s="3059">
        <v>0.27877095865918194</v>
      </c>
      <c r="D223" s="1101">
        <f t="shared" si="12"/>
        <v>1</v>
      </c>
      <c r="E223" s="1102">
        <v>0.87345363719668578</v>
      </c>
      <c r="F223" s="3060">
        <v>0.12654636280331427</v>
      </c>
      <c r="G223" s="1135">
        <f t="shared" si="10"/>
        <v>1</v>
      </c>
      <c r="H223" s="1134">
        <f t="shared" si="11"/>
        <v>0.99999999999999989</v>
      </c>
      <c r="I223" s="1131">
        <v>0.83529852157349482</v>
      </c>
      <c r="J223" s="3057">
        <v>0.1355890699051491</v>
      </c>
      <c r="K223" s="1878">
        <v>2.9112408521356027E-2</v>
      </c>
      <c r="L223" s="1134">
        <f t="shared" si="9"/>
        <v>1</v>
      </c>
      <c r="M223" s="1131">
        <v>0.87022936439522303</v>
      </c>
      <c r="N223" s="3057">
        <v>0.12423369458907056</v>
      </c>
      <c r="O223" s="3061">
        <v>5.5369410157064891E-3</v>
      </c>
    </row>
    <row r="224" spans="1:15" s="277" customFormat="1">
      <c r="A224" s="279">
        <f t="shared" si="8"/>
        <v>2017.11</v>
      </c>
      <c r="B224" s="1099">
        <v>0.69567285914150123</v>
      </c>
      <c r="C224" s="3059">
        <v>0.30432714085849882</v>
      </c>
      <c r="D224" s="1101">
        <f t="shared" si="12"/>
        <v>1</v>
      </c>
      <c r="E224" s="1102">
        <v>0.81794512010902121</v>
      </c>
      <c r="F224" s="3060">
        <v>0.18205487989097879</v>
      </c>
      <c r="G224" s="1135">
        <f t="shared" si="10"/>
        <v>1</v>
      </c>
      <c r="H224" s="1134">
        <f t="shared" si="11"/>
        <v>0.99999999999999967</v>
      </c>
      <c r="I224" s="1131">
        <v>0.83592885453494314</v>
      </c>
      <c r="J224" s="3057">
        <v>0.12247730599105149</v>
      </c>
      <c r="K224" s="1878">
        <v>4.159383947400512E-2</v>
      </c>
      <c r="L224" s="1134">
        <f t="shared" si="9"/>
        <v>1</v>
      </c>
      <c r="M224" s="1131">
        <v>0.91545560346378962</v>
      </c>
      <c r="N224" s="3057">
        <v>6.6681759873800261E-2</v>
      </c>
      <c r="O224" s="3061">
        <v>1.7862636662410135E-2</v>
      </c>
    </row>
    <row r="225" spans="1:15" s="277" customFormat="1">
      <c r="A225" s="279">
        <f t="shared" si="8"/>
        <v>2017.12</v>
      </c>
      <c r="B225" s="1099">
        <v>0.74077774505072758</v>
      </c>
      <c r="C225" s="3059">
        <v>0.25922225494927231</v>
      </c>
      <c r="D225" s="1101">
        <f t="shared" si="12"/>
        <v>0.99999999999999989</v>
      </c>
      <c r="E225" s="1102">
        <v>0.8286879358884458</v>
      </c>
      <c r="F225" s="3060">
        <v>0.17131206411155417</v>
      </c>
      <c r="G225" s="1135">
        <f t="shared" si="10"/>
        <v>1</v>
      </c>
      <c r="H225" s="1134">
        <f t="shared" si="11"/>
        <v>1.0000000000000002</v>
      </c>
      <c r="I225" s="1131">
        <v>0.83512067005108737</v>
      </c>
      <c r="J225" s="3057">
        <v>0.10029264783402086</v>
      </c>
      <c r="K225" s="1878">
        <v>6.4586682114891866E-2</v>
      </c>
      <c r="L225" s="1134">
        <f t="shared" si="9"/>
        <v>1</v>
      </c>
      <c r="M225" s="1131">
        <v>0.8976152998200484</v>
      </c>
      <c r="N225" s="3057">
        <v>7.0934764412312473E-2</v>
      </c>
      <c r="O225" s="3061">
        <v>3.1449935767639096E-2</v>
      </c>
    </row>
    <row r="226" spans="1:15" s="277" customFormat="1">
      <c r="A226" s="279">
        <f t="shared" si="8"/>
        <v>2018.01</v>
      </c>
      <c r="B226" s="1099">
        <v>0.68085232134891971</v>
      </c>
      <c r="C226" s="3059">
        <v>0.31914767865108018</v>
      </c>
      <c r="D226" s="1101">
        <f t="shared" si="12"/>
        <v>0.99999999999999989</v>
      </c>
      <c r="E226" s="1102">
        <v>0.85261519390561513</v>
      </c>
      <c r="F226" s="3060">
        <v>0.1473848060943849</v>
      </c>
      <c r="G226" s="1135">
        <f t="shared" si="10"/>
        <v>1</v>
      </c>
      <c r="H226" s="1134">
        <f t="shared" si="11"/>
        <v>1.0000000000000002</v>
      </c>
      <c r="I226" s="1131">
        <v>0.89978607880134431</v>
      </c>
      <c r="J226" s="3057">
        <v>7.3788932009860572E-2</v>
      </c>
      <c r="K226" s="1878">
        <v>2.6424989188795222E-2</v>
      </c>
      <c r="L226" s="1134">
        <f t="shared" si="9"/>
        <v>1</v>
      </c>
      <c r="M226" s="1131">
        <v>0.90875459743904907</v>
      </c>
      <c r="N226" s="3057">
        <v>4.7064967384697065E-2</v>
      </c>
      <c r="O226" s="3061">
        <v>4.4180435176253779E-2</v>
      </c>
    </row>
    <row r="227" spans="1:15" s="277" customFormat="1">
      <c r="A227" s="279">
        <f t="shared" si="8"/>
        <v>2018.02</v>
      </c>
      <c r="B227" s="1099">
        <v>0.76721418812960673</v>
      </c>
      <c r="C227" s="3059">
        <v>0.23278581187039327</v>
      </c>
      <c r="D227" s="1101">
        <f t="shared" si="12"/>
        <v>1</v>
      </c>
      <c r="E227" s="1102">
        <v>0.85713960339738715</v>
      </c>
      <c r="F227" s="3060">
        <v>0.14286039660261268</v>
      </c>
      <c r="G227" s="1135">
        <f t="shared" si="10"/>
        <v>0.99999999999999978</v>
      </c>
      <c r="H227" s="1134">
        <f t="shared" si="11"/>
        <v>1</v>
      </c>
      <c r="I227" s="1131">
        <v>0.79547487889501511</v>
      </c>
      <c r="J227" s="3057">
        <v>0.18251662739703492</v>
      </c>
      <c r="K227" s="1878">
        <v>2.2008493707950029E-2</v>
      </c>
      <c r="L227" s="1134">
        <f t="shared" si="9"/>
        <v>1</v>
      </c>
      <c r="M227" s="1131">
        <v>0.82764137650182201</v>
      </c>
      <c r="N227" s="3057">
        <v>0.1367356040413325</v>
      </c>
      <c r="O227" s="3061">
        <v>3.5623019456845456E-2</v>
      </c>
    </row>
    <row r="228" spans="1:15" s="277" customFormat="1">
      <c r="A228" s="279">
        <f t="shared" si="8"/>
        <v>2018.03</v>
      </c>
      <c r="B228" s="1099">
        <v>0.7197505060858258</v>
      </c>
      <c r="C228" s="3059">
        <v>0.28024949391417425</v>
      </c>
      <c r="D228" s="1101">
        <f t="shared" si="12"/>
        <v>1</v>
      </c>
      <c r="E228" s="1102">
        <v>0.88082891568153954</v>
      </c>
      <c r="F228" s="3060">
        <v>0.11917108431846053</v>
      </c>
      <c r="G228" s="1135">
        <f t="shared" si="10"/>
        <v>1</v>
      </c>
      <c r="H228" s="1134">
        <f t="shared" si="11"/>
        <v>1</v>
      </c>
      <c r="I228" s="1131">
        <v>0.86958881028914381</v>
      </c>
      <c r="J228" s="3057">
        <v>8.8007715451194415E-2</v>
      </c>
      <c r="K228" s="1878">
        <v>4.2403474259661775E-2</v>
      </c>
      <c r="L228" s="1134">
        <f t="shared" si="9"/>
        <v>1</v>
      </c>
      <c r="M228" s="1131">
        <v>0.91643565891553935</v>
      </c>
      <c r="N228" s="3057">
        <v>6.1060072861382174E-2</v>
      </c>
      <c r="O228" s="3061">
        <v>2.2504268223078452E-2</v>
      </c>
    </row>
    <row r="229" spans="1:15" s="277" customFormat="1">
      <c r="A229" s="279">
        <f t="shared" si="8"/>
        <v>2018.04</v>
      </c>
      <c r="B229" s="1099">
        <v>0.73503014340306183</v>
      </c>
      <c r="C229" s="3059">
        <v>0.26496985659693817</v>
      </c>
      <c r="D229" s="1101">
        <f t="shared" si="12"/>
        <v>1</v>
      </c>
      <c r="E229" s="1102">
        <v>0.80441695236154587</v>
      </c>
      <c r="F229" s="3060">
        <v>0.19558304763845413</v>
      </c>
      <c r="G229" s="1135">
        <f t="shared" si="10"/>
        <v>1</v>
      </c>
      <c r="H229" s="1134">
        <f t="shared" si="11"/>
        <v>1</v>
      </c>
      <c r="I229" s="1131">
        <v>0.85419809921833079</v>
      </c>
      <c r="J229" s="3057">
        <v>9.8543944549954687E-2</v>
      </c>
      <c r="K229" s="1878">
        <v>4.725795623171454E-2</v>
      </c>
      <c r="L229" s="1134">
        <f t="shared" si="9"/>
        <v>1</v>
      </c>
      <c r="M229" s="1131">
        <v>0.95944415148168294</v>
      </c>
      <c r="N229" s="3057">
        <v>2.1635386941666876E-2</v>
      </c>
      <c r="O229" s="3061">
        <v>1.8920461576650126E-2</v>
      </c>
    </row>
    <row r="230" spans="1:15" s="277" customFormat="1">
      <c r="A230" s="279">
        <f t="shared" si="8"/>
        <v>2018.05</v>
      </c>
      <c r="B230" s="1099">
        <v>0.74686418520936204</v>
      </c>
      <c r="C230" s="3059">
        <v>0.25313581479063796</v>
      </c>
      <c r="D230" s="1101">
        <f t="shared" si="12"/>
        <v>1</v>
      </c>
      <c r="E230" s="1102">
        <v>0.91723337412466921</v>
      </c>
      <c r="F230" s="3060">
        <v>8.2766625875330693E-2</v>
      </c>
      <c r="G230" s="1135">
        <f t="shared" si="10"/>
        <v>0.99999999999999989</v>
      </c>
      <c r="H230" s="1134">
        <f t="shared" si="11"/>
        <v>1</v>
      </c>
      <c r="I230" s="1131">
        <v>0.91237540850303911</v>
      </c>
      <c r="J230" s="3057">
        <v>5.8768450125108534E-2</v>
      </c>
      <c r="K230" s="1878">
        <v>2.885614137185237E-2</v>
      </c>
      <c r="L230" s="1134">
        <f t="shared" si="9"/>
        <v>1</v>
      </c>
      <c r="M230" s="1131">
        <v>0.95512708878676478</v>
      </c>
      <c r="N230" s="3057">
        <v>2.6318696319788986E-2</v>
      </c>
      <c r="O230" s="3061">
        <v>1.8554214893446282E-2</v>
      </c>
    </row>
    <row r="231" spans="1:15" s="277" customFormat="1">
      <c r="A231" s="279">
        <f t="shared" si="8"/>
        <v>2018.06</v>
      </c>
      <c r="B231" s="1099">
        <v>0.7629103881121867</v>
      </c>
      <c r="C231" s="3059">
        <v>0.2370896118878133</v>
      </c>
      <c r="D231" s="1101">
        <f t="shared" si="12"/>
        <v>1</v>
      </c>
      <c r="E231" s="1102">
        <v>0.93274311149282885</v>
      </c>
      <c r="F231" s="3060">
        <v>6.7256888507171333E-2</v>
      </c>
      <c r="G231" s="1135">
        <f t="shared" si="10"/>
        <v>1.0000000000000002</v>
      </c>
      <c r="H231" s="1134">
        <f t="shared" si="11"/>
        <v>1</v>
      </c>
      <c r="I231" s="1131">
        <v>0.91104992208358948</v>
      </c>
      <c r="J231" s="3057">
        <v>4.2165633029712594E-2</v>
      </c>
      <c r="K231" s="1878">
        <v>4.678444488669798E-2</v>
      </c>
      <c r="L231" s="1134">
        <f t="shared" si="9"/>
        <v>1</v>
      </c>
      <c r="M231" s="1131">
        <v>0.91740325264119349</v>
      </c>
      <c r="N231" s="3057">
        <v>2.7977349615832425E-2</v>
      </c>
      <c r="O231" s="3061">
        <v>5.461939774297403E-2</v>
      </c>
    </row>
    <row r="232" spans="1:15" s="277" customFormat="1">
      <c r="A232" s="279">
        <f t="shared" si="8"/>
        <v>2018.07</v>
      </c>
      <c r="B232" s="1099">
        <v>0.7582145889444718</v>
      </c>
      <c r="C232" s="3059">
        <v>0.24178541105552814</v>
      </c>
      <c r="D232" s="1101">
        <f t="shared" si="12"/>
        <v>1</v>
      </c>
      <c r="E232" s="1102">
        <v>0.90744983039780536</v>
      </c>
      <c r="F232" s="3060">
        <v>9.2550169602194587E-2</v>
      </c>
      <c r="G232" s="1135">
        <f t="shared" si="10"/>
        <v>1</v>
      </c>
      <c r="H232" s="1134">
        <f t="shared" si="11"/>
        <v>0.99999999999999989</v>
      </c>
      <c r="I232" s="1131">
        <v>0.88414510216724007</v>
      </c>
      <c r="J232" s="3057">
        <v>8.3034874328480029E-2</v>
      </c>
      <c r="K232" s="1878">
        <v>3.2820023504279823E-2</v>
      </c>
      <c r="L232" s="1134">
        <f t="shared" si="9"/>
        <v>1</v>
      </c>
      <c r="M232" s="1131">
        <v>0.94616535845037719</v>
      </c>
      <c r="N232" s="3057">
        <v>1.8550364814279116E-2</v>
      </c>
      <c r="O232" s="3061">
        <v>3.5284276735343699E-2</v>
      </c>
    </row>
    <row r="233" spans="1:15" s="277" customFormat="1">
      <c r="A233" s="279">
        <f t="shared" si="8"/>
        <v>2018.08</v>
      </c>
      <c r="B233" s="1099">
        <v>0.78424649997863294</v>
      </c>
      <c r="C233" s="3059">
        <v>0.21575350002136687</v>
      </c>
      <c r="D233" s="1101">
        <f t="shared" si="12"/>
        <v>0.99999999999999978</v>
      </c>
      <c r="E233" s="1102">
        <v>0.90553031109123949</v>
      </c>
      <c r="F233" s="3060">
        <v>9.446968890876048E-2</v>
      </c>
      <c r="G233" s="1135">
        <f t="shared" si="10"/>
        <v>1</v>
      </c>
      <c r="H233" s="1134">
        <f t="shared" si="11"/>
        <v>0.99999999999999989</v>
      </c>
      <c r="I233" s="1131">
        <v>0.90759334282288895</v>
      </c>
      <c r="J233" s="3057">
        <v>4.213189879062753E-2</v>
      </c>
      <c r="K233" s="1878">
        <v>5.0274758386483459E-2</v>
      </c>
      <c r="L233" s="1134">
        <f t="shared" si="9"/>
        <v>1</v>
      </c>
      <c r="M233" s="1131">
        <v>0.93641674777479689</v>
      </c>
      <c r="N233" s="3057">
        <v>2.3250753978290864E-2</v>
      </c>
      <c r="O233" s="3061">
        <v>4.0332498246912214E-2</v>
      </c>
    </row>
    <row r="234" spans="1:15" s="277" customFormat="1">
      <c r="A234" s="279">
        <f t="shared" ref="A234:A297" si="13">A222+1</f>
        <v>2018.09</v>
      </c>
      <c r="B234" s="1099">
        <v>0.80168855179089182</v>
      </c>
      <c r="C234" s="3059">
        <v>0.19831144820910818</v>
      </c>
      <c r="D234" s="1101">
        <f t="shared" si="12"/>
        <v>1</v>
      </c>
      <c r="E234" s="1102">
        <v>0.86876421764282097</v>
      </c>
      <c r="F234" s="3060">
        <v>0.13123578235717895</v>
      </c>
      <c r="G234" s="1135">
        <f t="shared" si="10"/>
        <v>0.99999999999999989</v>
      </c>
      <c r="H234" s="1134">
        <f t="shared" si="11"/>
        <v>0.99999999999999989</v>
      </c>
      <c r="I234" s="1131">
        <v>0.81458606067106132</v>
      </c>
      <c r="J234" s="3057">
        <v>8.3341268021645223E-2</v>
      </c>
      <c r="K234" s="1878">
        <v>0.10207267130729335</v>
      </c>
      <c r="L234" s="1134">
        <f t="shared" si="9"/>
        <v>0.99999999999999989</v>
      </c>
      <c r="M234" s="1131">
        <v>0.91971699910045923</v>
      </c>
      <c r="N234" s="3057">
        <v>3.3024779499483473E-2</v>
      </c>
      <c r="O234" s="3061">
        <v>4.7258221400057199E-2</v>
      </c>
    </row>
    <row r="235" spans="1:15" s="277" customFormat="1">
      <c r="A235" s="279">
        <f t="shared" si="13"/>
        <v>2018.1</v>
      </c>
      <c r="B235" s="1099">
        <v>0.73352461110782674</v>
      </c>
      <c r="C235" s="3059">
        <v>0.26647538889217315</v>
      </c>
      <c r="D235" s="1101">
        <f t="shared" si="12"/>
        <v>0.99999999999999989</v>
      </c>
      <c r="E235" s="1102">
        <v>0.92144168514102431</v>
      </c>
      <c r="F235" s="3060">
        <v>7.8558314858975714E-2</v>
      </c>
      <c r="G235" s="1135">
        <f t="shared" si="10"/>
        <v>1</v>
      </c>
      <c r="H235" s="1134">
        <f t="shared" si="11"/>
        <v>0.99999999999999989</v>
      </c>
      <c r="I235" s="1131">
        <v>0.8538380573235913</v>
      </c>
      <c r="J235" s="3057">
        <v>9.0549466292262529E-2</v>
      </c>
      <c r="K235" s="1878">
        <v>5.5612476384146056E-2</v>
      </c>
      <c r="L235" s="1134">
        <f t="shared" si="9"/>
        <v>1</v>
      </c>
      <c r="M235" s="1131">
        <v>0.9120829329488519</v>
      </c>
      <c r="N235" s="3057">
        <v>3.6617868321602638E-2</v>
      </c>
      <c r="O235" s="3061">
        <v>5.1299198729545435E-2</v>
      </c>
    </row>
    <row r="236" spans="1:15" s="277" customFormat="1">
      <c r="A236" s="279">
        <f t="shared" si="13"/>
        <v>2018.11</v>
      </c>
      <c r="B236" s="1099">
        <v>0.72883036028929438</v>
      </c>
      <c r="C236" s="3059">
        <v>0.27116963971070568</v>
      </c>
      <c r="D236" s="1101">
        <f t="shared" si="12"/>
        <v>1</v>
      </c>
      <c r="E236" s="1102">
        <v>0.91411987721860388</v>
      </c>
      <c r="F236" s="3060">
        <v>8.5880122781396034E-2</v>
      </c>
      <c r="G236" s="1135">
        <f t="shared" si="10"/>
        <v>0.99999999999999989</v>
      </c>
      <c r="H236" s="1134">
        <f t="shared" si="11"/>
        <v>1</v>
      </c>
      <c r="I236" s="1131">
        <v>0.88908085666429726</v>
      </c>
      <c r="J236" s="3057">
        <v>3.4745059771141201E-2</v>
      </c>
      <c r="K236" s="1878">
        <v>7.6174083564561609E-2</v>
      </c>
      <c r="L236" s="1134">
        <f t="shared" si="9"/>
        <v>1</v>
      </c>
      <c r="M236" s="1131">
        <v>0.89091078862048401</v>
      </c>
      <c r="N236" s="3057">
        <v>6.4570663087134092E-2</v>
      </c>
      <c r="O236" s="3061">
        <v>4.4518548292381895E-2</v>
      </c>
    </row>
    <row r="237" spans="1:15" s="277" customFormat="1">
      <c r="A237" s="279">
        <f t="shared" si="13"/>
        <v>2018.12</v>
      </c>
      <c r="B237" s="1099">
        <v>0.78000878217716418</v>
      </c>
      <c r="C237" s="3059">
        <v>0.21999121782283587</v>
      </c>
      <c r="D237" s="1101">
        <f t="shared" si="12"/>
        <v>1</v>
      </c>
      <c r="E237" s="1102">
        <v>0.88130296777688388</v>
      </c>
      <c r="F237" s="3060">
        <v>0.11869703222311609</v>
      </c>
      <c r="G237" s="1135">
        <f t="shared" si="10"/>
        <v>1</v>
      </c>
      <c r="H237" s="1134">
        <f t="shared" si="11"/>
        <v>0.99999999999999989</v>
      </c>
      <c r="I237" s="1131">
        <v>0.82664602840887003</v>
      </c>
      <c r="J237" s="3057">
        <v>8.8686014785823192E-2</v>
      </c>
      <c r="K237" s="1878">
        <v>8.4667956805306671E-2</v>
      </c>
      <c r="L237" s="1134">
        <f t="shared" si="9"/>
        <v>1</v>
      </c>
      <c r="M237" s="1131">
        <v>0.85266082608614657</v>
      </c>
      <c r="N237" s="3057">
        <v>5.7613056297381685E-2</v>
      </c>
      <c r="O237" s="3061">
        <v>8.9726117616471743E-2</v>
      </c>
    </row>
    <row r="238" spans="1:15" s="277" customFormat="1">
      <c r="A238" s="279">
        <f t="shared" si="13"/>
        <v>2019.01</v>
      </c>
      <c r="B238" s="1099">
        <v>0.78799999999999992</v>
      </c>
      <c r="C238" s="3059">
        <v>0.21199999999999999</v>
      </c>
      <c r="D238" s="1101">
        <f t="shared" si="12"/>
        <v>0.99999999999999989</v>
      </c>
      <c r="E238" s="1102">
        <v>0.86900000000000011</v>
      </c>
      <c r="F238" s="3060">
        <v>0.13100000000000001</v>
      </c>
      <c r="G238" s="1135">
        <f t="shared" si="10"/>
        <v>1</v>
      </c>
      <c r="H238" s="1134">
        <f t="shared" si="11"/>
        <v>1</v>
      </c>
      <c r="I238" s="1131">
        <v>0.83438035902862628</v>
      </c>
      <c r="J238" s="3057">
        <v>6.383645669502272E-2</v>
      </c>
      <c r="K238" s="1878">
        <v>0.10178318427635108</v>
      </c>
      <c r="L238" s="1134">
        <f t="shared" si="9"/>
        <v>1</v>
      </c>
      <c r="M238" s="1131">
        <v>0.93051424500599733</v>
      </c>
      <c r="N238" s="3057">
        <v>2.7374391388964761E-2</v>
      </c>
      <c r="O238" s="3061">
        <v>4.2111363605037866E-2</v>
      </c>
    </row>
    <row r="239" spans="1:15" s="277" customFormat="1">
      <c r="A239" s="279">
        <f t="shared" si="13"/>
        <v>2019.02</v>
      </c>
      <c r="B239" s="1099">
        <v>0.75532838093600985</v>
      </c>
      <c r="C239" s="3059">
        <v>0.24467161906399013</v>
      </c>
      <c r="D239" s="1101">
        <f t="shared" si="12"/>
        <v>1</v>
      </c>
      <c r="E239" s="1102">
        <v>0.83211516208776781</v>
      </c>
      <c r="F239" s="3060">
        <v>0.16788483791223208</v>
      </c>
      <c r="G239" s="1135">
        <f t="shared" si="10"/>
        <v>0.99999999999999989</v>
      </c>
      <c r="H239" s="1134">
        <f t="shared" si="11"/>
        <v>1</v>
      </c>
      <c r="I239" s="1131">
        <v>0.86921399917549325</v>
      </c>
      <c r="J239" s="3057">
        <v>7.233817839048548E-2</v>
      </c>
      <c r="K239" s="1878">
        <v>5.8447822434021267E-2</v>
      </c>
      <c r="L239" s="1134">
        <f t="shared" si="9"/>
        <v>1.0000000000000002</v>
      </c>
      <c r="M239" s="1131">
        <v>0.90427939998368378</v>
      </c>
      <c r="N239" s="3057">
        <v>3.6324856643908054E-2</v>
      </c>
      <c r="O239" s="3061">
        <v>5.9395743372408299E-2</v>
      </c>
    </row>
    <row r="240" spans="1:15" s="277" customFormat="1">
      <c r="A240" s="279">
        <f t="shared" si="13"/>
        <v>2019.03</v>
      </c>
      <c r="B240" s="1099">
        <v>0.76914248843041533</v>
      </c>
      <c r="C240" s="3059">
        <v>0.2308575115695847</v>
      </c>
      <c r="D240" s="1101">
        <f t="shared" si="12"/>
        <v>1</v>
      </c>
      <c r="E240" s="1102">
        <v>0.86579494105823362</v>
      </c>
      <c r="F240" s="3060">
        <v>0.13420505894176629</v>
      </c>
      <c r="G240" s="1135">
        <f t="shared" si="10"/>
        <v>0.99999999999999989</v>
      </c>
      <c r="H240" s="1134">
        <f t="shared" si="11"/>
        <v>1</v>
      </c>
      <c r="I240" s="1131">
        <v>0.85121882129137594</v>
      </c>
      <c r="J240" s="3057">
        <v>8.383910197182852E-2</v>
      </c>
      <c r="K240" s="1878">
        <v>6.4942076736795556E-2</v>
      </c>
      <c r="L240" s="1134">
        <f t="shared" si="9"/>
        <v>1</v>
      </c>
      <c r="M240" s="1131">
        <v>0.88558695482079586</v>
      </c>
      <c r="N240" s="3057">
        <v>1.6873968278995271E-2</v>
      </c>
      <c r="O240" s="3061">
        <v>9.7539076900208868E-2</v>
      </c>
    </row>
    <row r="241" spans="1:15" s="277" customFormat="1">
      <c r="A241" s="279">
        <f t="shared" si="13"/>
        <v>2019.04</v>
      </c>
      <c r="B241" s="1099">
        <v>0.74944040086115604</v>
      </c>
      <c r="C241" s="3059">
        <v>0.2505595991388439</v>
      </c>
      <c r="D241" s="1101">
        <f t="shared" si="12"/>
        <v>1</v>
      </c>
      <c r="E241" s="1102">
        <v>0.86718373950572958</v>
      </c>
      <c r="F241" s="3060">
        <v>0.13281626049427048</v>
      </c>
      <c r="G241" s="1135">
        <f t="shared" si="10"/>
        <v>1</v>
      </c>
      <c r="H241" s="1134">
        <f t="shared" si="11"/>
        <v>1</v>
      </c>
      <c r="I241" s="1131">
        <v>0.89598925433809085</v>
      </c>
      <c r="J241" s="3057">
        <v>6.0482475334069606E-2</v>
      </c>
      <c r="K241" s="1878">
        <v>4.3528270327839548E-2</v>
      </c>
      <c r="L241" s="1134">
        <f t="shared" si="9"/>
        <v>1</v>
      </c>
      <c r="M241" s="1131">
        <v>0.88654999612554786</v>
      </c>
      <c r="N241" s="3057">
        <v>4.3476370878841347E-2</v>
      </c>
      <c r="O241" s="3061">
        <v>6.9973632995610838E-2</v>
      </c>
    </row>
    <row r="242" spans="1:15" s="277" customFormat="1">
      <c r="A242" s="279">
        <f t="shared" si="13"/>
        <v>2019.05</v>
      </c>
      <c r="B242" s="1099">
        <v>0.70598762423800976</v>
      </c>
      <c r="C242" s="3059">
        <v>0.29401237576199013</v>
      </c>
      <c r="D242" s="1101">
        <f t="shared" si="12"/>
        <v>0.99999999999999989</v>
      </c>
      <c r="E242" s="1102">
        <v>0.86328077005212278</v>
      </c>
      <c r="F242" s="3060">
        <v>0.13671922994787711</v>
      </c>
      <c r="G242" s="1135">
        <f t="shared" si="10"/>
        <v>0.99999999999999989</v>
      </c>
      <c r="H242" s="1134">
        <f t="shared" si="11"/>
        <v>0.99999999999999989</v>
      </c>
      <c r="I242" s="1131">
        <v>0.91466085477964099</v>
      </c>
      <c r="J242" s="3057">
        <v>4.968307584103554E-2</v>
      </c>
      <c r="K242" s="1878">
        <v>3.5656069379323467E-2</v>
      </c>
      <c r="L242" s="1134">
        <f t="shared" si="9"/>
        <v>0.99999999999999989</v>
      </c>
      <c r="M242" s="1131">
        <v>0.94843571434022067</v>
      </c>
      <c r="N242" s="3057">
        <v>2.819895779693736E-2</v>
      </c>
      <c r="O242" s="3061">
        <v>2.3365327862841886E-2</v>
      </c>
    </row>
    <row r="243" spans="1:15" s="277" customFormat="1">
      <c r="A243" s="279">
        <f t="shared" si="13"/>
        <v>2019.06</v>
      </c>
      <c r="B243" s="1099">
        <v>0.79259534091091444</v>
      </c>
      <c r="C243" s="3059">
        <v>0.20740465908908565</v>
      </c>
      <c r="D243" s="1101">
        <f t="shared" si="12"/>
        <v>1</v>
      </c>
      <c r="E243" s="1102">
        <v>0.88156174795800768</v>
      </c>
      <c r="F243" s="3060">
        <v>0.11843825204199235</v>
      </c>
      <c r="G243" s="1135">
        <f t="shared" si="10"/>
        <v>1</v>
      </c>
      <c r="H243" s="1134">
        <f t="shared" si="11"/>
        <v>1</v>
      </c>
      <c r="I243" s="1131">
        <v>0.88376046738355507</v>
      </c>
      <c r="J243" s="3057">
        <v>7.0296177641260615E-2</v>
      </c>
      <c r="K243" s="1878">
        <v>4.5943354975184321E-2</v>
      </c>
      <c r="L243" s="1134">
        <f t="shared" si="9"/>
        <v>1</v>
      </c>
      <c r="M243" s="1131">
        <v>0.93294301510531985</v>
      </c>
      <c r="N243" s="3057">
        <v>4.3550302598167868E-2</v>
      </c>
      <c r="O243" s="3061">
        <v>2.3506682296512375E-2</v>
      </c>
    </row>
    <row r="244" spans="1:15" s="277" customFormat="1">
      <c r="A244" s="279">
        <f t="shared" si="13"/>
        <v>2019.07</v>
      </c>
      <c r="B244" s="1099">
        <v>0.7800972286225839</v>
      </c>
      <c r="C244" s="3059">
        <v>0.21990277137741618</v>
      </c>
      <c r="D244" s="1101">
        <f t="shared" si="12"/>
        <v>1</v>
      </c>
      <c r="E244" s="1102">
        <v>0.87825078542691737</v>
      </c>
      <c r="F244" s="3060">
        <v>0.12174921457308244</v>
      </c>
      <c r="G244" s="1135">
        <f t="shared" si="10"/>
        <v>0.99999999999999978</v>
      </c>
      <c r="H244" s="1134">
        <f t="shared" si="11"/>
        <v>1</v>
      </c>
      <c r="I244" s="1131">
        <v>0.88705236808834087</v>
      </c>
      <c r="J244" s="3057">
        <v>5.689195592600868E-2</v>
      </c>
      <c r="K244" s="1878">
        <v>5.6055675985650505E-2</v>
      </c>
      <c r="L244" s="1134">
        <f t="shared" ref="L244:L256" si="14">M244+N244+O244</f>
        <v>1</v>
      </c>
      <c r="M244" s="1131">
        <v>0.92321249691921314</v>
      </c>
      <c r="N244" s="3057">
        <v>3.849762509814271E-2</v>
      </c>
      <c r="O244" s="3061">
        <v>3.8289877982644223E-2</v>
      </c>
    </row>
    <row r="245" spans="1:15" s="277" customFormat="1">
      <c r="A245" s="279">
        <f t="shared" si="13"/>
        <v>2019.08</v>
      </c>
      <c r="B245" s="1099">
        <v>0.73908408578276863</v>
      </c>
      <c r="C245" s="3059">
        <v>0.26091591421723132</v>
      </c>
      <c r="D245" s="1101">
        <f t="shared" si="12"/>
        <v>1</v>
      </c>
      <c r="E245" s="1102">
        <v>0.8595489061280962</v>
      </c>
      <c r="F245" s="3060">
        <v>0.14045109387190374</v>
      </c>
      <c r="G245" s="1135">
        <f t="shared" si="10"/>
        <v>1</v>
      </c>
      <c r="H245" s="1134">
        <f t="shared" si="11"/>
        <v>0.99999999999999989</v>
      </c>
      <c r="I245" s="1131">
        <v>0.89415165104754413</v>
      </c>
      <c r="J245" s="3057">
        <v>3.9717984653071241E-2</v>
      </c>
      <c r="K245" s="1878">
        <v>6.6130364299384584E-2</v>
      </c>
      <c r="L245" s="1134">
        <f t="shared" si="14"/>
        <v>1</v>
      </c>
      <c r="M245" s="1131">
        <v>0.93974213117865579</v>
      </c>
      <c r="N245" s="3057">
        <v>3.789758445690683E-2</v>
      </c>
      <c r="O245" s="3061">
        <v>2.2360284364437388E-2</v>
      </c>
    </row>
    <row r="246" spans="1:15" s="277" customFormat="1">
      <c r="A246" s="279">
        <f t="shared" si="13"/>
        <v>2019.09</v>
      </c>
      <c r="B246" s="1099">
        <v>0.69353003314456041</v>
      </c>
      <c r="C246" s="3059">
        <v>0.30646996685543948</v>
      </c>
      <c r="D246" s="1101">
        <f t="shared" si="12"/>
        <v>0.99999999999999989</v>
      </c>
      <c r="E246" s="1102">
        <v>0.81451245145425333</v>
      </c>
      <c r="F246" s="3060">
        <v>0.18548754854574664</v>
      </c>
      <c r="G246" s="1135">
        <f t="shared" ref="G246:G251" si="15">E246+F246</f>
        <v>1</v>
      </c>
      <c r="H246" s="1134">
        <f t="shared" si="11"/>
        <v>0.99999999999999978</v>
      </c>
      <c r="I246" s="1131">
        <v>0.89344561797303224</v>
      </c>
      <c r="J246" s="3057">
        <v>4.5912550572980881E-2</v>
      </c>
      <c r="K246" s="1878">
        <v>6.0641831453986758E-2</v>
      </c>
      <c r="L246" s="1134">
        <f t="shared" si="14"/>
        <v>1</v>
      </c>
      <c r="M246" s="1131">
        <v>0.91704522158412449</v>
      </c>
      <c r="N246" s="3057">
        <v>3.6116316310938826E-2</v>
      </c>
      <c r="O246" s="3061">
        <v>4.683846210493673E-2</v>
      </c>
    </row>
    <row r="247" spans="1:15" s="277" customFormat="1">
      <c r="A247" s="279">
        <f t="shared" si="13"/>
        <v>2019.1</v>
      </c>
      <c r="B247" s="1099">
        <v>0.74099999999999999</v>
      </c>
      <c r="C247" s="3059">
        <v>0.25900000000000001</v>
      </c>
      <c r="D247" s="1101">
        <f t="shared" si="12"/>
        <v>1</v>
      </c>
      <c r="E247" s="1102">
        <v>0.83200000000000007</v>
      </c>
      <c r="F247" s="3060">
        <v>0.16800000000000001</v>
      </c>
      <c r="G247" s="1135">
        <f t="shared" si="15"/>
        <v>1</v>
      </c>
      <c r="H247" s="1134">
        <f t="shared" si="11"/>
        <v>1</v>
      </c>
      <c r="I247" s="1131">
        <v>0.90721016018990053</v>
      </c>
      <c r="J247" s="3057">
        <v>7.061572182796047E-2</v>
      </c>
      <c r="K247" s="1878">
        <v>2.2174117982139075E-2</v>
      </c>
      <c r="L247" s="1134">
        <f t="shared" si="14"/>
        <v>0.99999999999999989</v>
      </c>
      <c r="M247" s="1131">
        <v>0.93385369152986963</v>
      </c>
      <c r="N247" s="3057">
        <v>2.7926219631629081E-2</v>
      </c>
      <c r="O247" s="3061">
        <v>3.8220088838501177E-2</v>
      </c>
    </row>
    <row r="248" spans="1:15" s="277" customFormat="1">
      <c r="A248" s="279">
        <f t="shared" si="13"/>
        <v>2019.11</v>
      </c>
      <c r="B248" s="1099">
        <v>0.72699999999999998</v>
      </c>
      <c r="C248" s="3059">
        <v>0.27300000000000002</v>
      </c>
      <c r="D248" s="1101">
        <f t="shared" si="12"/>
        <v>1</v>
      </c>
      <c r="E248" s="1102">
        <v>0.87</v>
      </c>
      <c r="F248" s="3060">
        <v>0.13</v>
      </c>
      <c r="G248" s="1135">
        <f t="shared" si="15"/>
        <v>1</v>
      </c>
      <c r="H248" s="1134">
        <f t="shared" si="11"/>
        <v>0.99999999999999989</v>
      </c>
      <c r="I248" s="1131">
        <v>0.92616879859500489</v>
      </c>
      <c r="J248" s="3057">
        <v>4.1056095734709065E-2</v>
      </c>
      <c r="K248" s="1878">
        <v>3.2775105670285999E-2</v>
      </c>
      <c r="L248" s="1134">
        <f t="shared" si="14"/>
        <v>1</v>
      </c>
      <c r="M248" s="1131">
        <v>0.92068648755892013</v>
      </c>
      <c r="N248" s="3057">
        <v>3.6625435299830235E-2</v>
      </c>
      <c r="O248" s="3061">
        <v>4.2688077141249628E-2</v>
      </c>
    </row>
    <row r="249" spans="1:15" s="277" customFormat="1">
      <c r="A249" s="279">
        <f t="shared" si="13"/>
        <v>2019.12</v>
      </c>
      <c r="B249" s="1099">
        <v>0.75069860947863631</v>
      </c>
      <c r="C249" s="3059">
        <v>0.24930139052136371</v>
      </c>
      <c r="D249" s="1101">
        <f t="shared" si="12"/>
        <v>1</v>
      </c>
      <c r="E249" s="1102">
        <v>0.80168198127858759</v>
      </c>
      <c r="F249" s="3060">
        <v>0.19831801872141233</v>
      </c>
      <c r="G249" s="1135">
        <f t="shared" si="15"/>
        <v>0.99999999999999989</v>
      </c>
      <c r="H249" s="1134">
        <f t="shared" si="11"/>
        <v>1</v>
      </c>
      <c r="I249" s="1131">
        <v>0.8601255922373684</v>
      </c>
      <c r="J249" s="3057">
        <v>9.9631955979191028E-2</v>
      </c>
      <c r="K249" s="1878">
        <v>4.0242451783440575E-2</v>
      </c>
      <c r="L249" s="1134">
        <f t="shared" si="14"/>
        <v>1</v>
      </c>
      <c r="M249" s="1131">
        <v>0.94338974123470143</v>
      </c>
      <c r="N249" s="3057">
        <v>3.615714799198811E-2</v>
      </c>
      <c r="O249" s="3061">
        <v>2.0453110773310544E-2</v>
      </c>
    </row>
    <row r="250" spans="1:15" s="277" customFormat="1">
      <c r="A250" s="279">
        <f t="shared" si="13"/>
        <v>2020.01</v>
      </c>
      <c r="B250" s="1099">
        <v>0.71370420653777433</v>
      </c>
      <c r="C250" s="3059">
        <v>0.28629579346222572</v>
      </c>
      <c r="D250" s="1101">
        <f t="shared" si="12"/>
        <v>1</v>
      </c>
      <c r="E250" s="1102">
        <v>0.8823456050365277</v>
      </c>
      <c r="F250" s="3060">
        <v>0.11765439496347231</v>
      </c>
      <c r="G250" s="1135">
        <f t="shared" si="15"/>
        <v>1</v>
      </c>
      <c r="H250" s="1134">
        <f t="shared" si="11"/>
        <v>0.99999999999999989</v>
      </c>
      <c r="I250" s="1131">
        <v>0.89301620165480211</v>
      </c>
      <c r="J250" s="3057">
        <v>8.3532449345671514E-2</v>
      </c>
      <c r="K250" s="1878">
        <v>2.345134899952625E-2</v>
      </c>
      <c r="L250" s="1134">
        <f t="shared" si="14"/>
        <v>1</v>
      </c>
      <c r="M250" s="1131">
        <v>0.91423176713222976</v>
      </c>
      <c r="N250" s="3057">
        <v>3.6596364756671475E-2</v>
      </c>
      <c r="O250" s="3061">
        <v>4.9171868111098763E-2</v>
      </c>
    </row>
    <row r="251" spans="1:15" s="277" customFormat="1">
      <c r="A251" s="279">
        <f t="shared" si="13"/>
        <v>2020.02</v>
      </c>
      <c r="B251" s="1099">
        <v>0.79994971232084755</v>
      </c>
      <c r="C251" s="3059">
        <v>0.20005028767915239</v>
      </c>
      <c r="D251" s="1101">
        <f t="shared" si="12"/>
        <v>1</v>
      </c>
      <c r="E251" s="1102">
        <v>0.86870187458958892</v>
      </c>
      <c r="F251" s="3060">
        <v>0.13129812541041111</v>
      </c>
      <c r="G251" s="1135">
        <f t="shared" si="15"/>
        <v>1</v>
      </c>
      <c r="H251" s="1134">
        <f t="shared" si="11"/>
        <v>1</v>
      </c>
      <c r="I251" s="1131">
        <v>0.85963324688320897</v>
      </c>
      <c r="J251" s="3057">
        <v>7.0775581944500496E-2</v>
      </c>
      <c r="K251" s="1878">
        <v>6.9591171172290495E-2</v>
      </c>
      <c r="L251" s="1134">
        <f t="shared" si="14"/>
        <v>1</v>
      </c>
      <c r="M251" s="1131">
        <v>0.90633772640298826</v>
      </c>
      <c r="N251" s="3057">
        <v>4.1718460102239237E-2</v>
      </c>
      <c r="O251" s="3061">
        <v>5.1943813494772513E-2</v>
      </c>
    </row>
    <row r="252" spans="1:15" s="277" customFormat="1">
      <c r="A252" s="279">
        <f t="shared" si="13"/>
        <v>2020.03</v>
      </c>
      <c r="B252" s="1152" t="s">
        <v>356</v>
      </c>
      <c r="C252" s="3062" t="s">
        <v>356</v>
      </c>
      <c r="D252" s="1285" t="s">
        <v>356</v>
      </c>
      <c r="E252" s="1286" t="s">
        <v>356</v>
      </c>
      <c r="F252" s="3062" t="s">
        <v>356</v>
      </c>
      <c r="G252" s="1153" t="s">
        <v>356</v>
      </c>
      <c r="H252" s="1134">
        <f t="shared" si="11"/>
        <v>1.0000001799999998</v>
      </c>
      <c r="I252" s="1131">
        <v>0.91674199999999995</v>
      </c>
      <c r="J252" s="3057">
        <v>2.9517799999999998E-3</v>
      </c>
      <c r="K252" s="1878">
        <v>8.03064E-2</v>
      </c>
      <c r="L252" s="1134">
        <f t="shared" si="14"/>
        <v>0.99999979999999988</v>
      </c>
      <c r="M252" s="1131">
        <v>0.91226299999999994</v>
      </c>
      <c r="N252" s="3057">
        <v>1.2544699999999999E-2</v>
      </c>
      <c r="O252" s="3061">
        <v>7.5192099999999998E-2</v>
      </c>
    </row>
    <row r="253" spans="1:15" s="277" customFormat="1">
      <c r="A253" s="279">
        <f t="shared" si="13"/>
        <v>2020.04</v>
      </c>
      <c r="B253" s="1154"/>
      <c r="C253" s="3063"/>
      <c r="D253" s="1155"/>
      <c r="E253" s="1154"/>
      <c r="F253" s="3063"/>
      <c r="G253" s="1155"/>
      <c r="H253" s="1134">
        <f t="shared" si="11"/>
        <v>0.99999961999999998</v>
      </c>
      <c r="I253" s="1131">
        <v>0.89935900000000002</v>
      </c>
      <c r="J253" s="3057">
        <v>3.42232E-3</v>
      </c>
      <c r="K253" s="1878">
        <v>9.7218300000000007E-2</v>
      </c>
      <c r="L253" s="1134">
        <f t="shared" si="14"/>
        <v>1.0000002000000001</v>
      </c>
      <c r="M253" s="1131">
        <v>0.88661500000000004</v>
      </c>
      <c r="N253" s="3057">
        <v>1.14062E-2</v>
      </c>
      <c r="O253" s="3061">
        <v>0.101979</v>
      </c>
    </row>
    <row r="254" spans="1:15" s="277" customFormat="1">
      <c r="A254" s="279">
        <f t="shared" si="13"/>
        <v>2020.05</v>
      </c>
      <c r="B254" s="1154"/>
      <c r="C254" s="3063"/>
      <c r="D254" s="1155"/>
      <c r="E254" s="1154"/>
      <c r="F254" s="3063"/>
      <c r="G254" s="1155"/>
      <c r="H254" s="1134">
        <f t="shared" si="11"/>
        <v>1.0000000000000004</v>
      </c>
      <c r="I254" s="1131">
        <v>0.91360475883112702</v>
      </c>
      <c r="J254" s="3057">
        <v>2.4179841871931299E-2</v>
      </c>
      <c r="K254" s="1878">
        <v>6.2215399296941996E-2</v>
      </c>
      <c r="L254" s="1134">
        <f t="shared" si="14"/>
        <v>1.0000000000000004</v>
      </c>
      <c r="M254" s="1131">
        <v>0.91172006746108591</v>
      </c>
      <c r="N254" s="3057">
        <v>1.7317356129238799E-2</v>
      </c>
      <c r="O254" s="3061">
        <v>7.0962576409675793E-2</v>
      </c>
    </row>
    <row r="255" spans="1:15" s="277" customFormat="1">
      <c r="A255" s="279">
        <f t="shared" si="13"/>
        <v>2020.06</v>
      </c>
      <c r="B255" s="1154"/>
      <c r="C255" s="3063"/>
      <c r="D255" s="1155"/>
      <c r="E255" s="1154"/>
      <c r="F255" s="3063"/>
      <c r="G255" s="1155"/>
      <c r="H255" s="1134">
        <f>+I255+J255+K255</f>
        <v>1.0000000000000004</v>
      </c>
      <c r="I255" s="1131">
        <v>0.92726914903818891</v>
      </c>
      <c r="J255" s="3057">
        <v>2.5362607272739698E-2</v>
      </c>
      <c r="K255" s="1878">
        <v>4.7368243689071797E-2</v>
      </c>
      <c r="L255" s="1134">
        <f t="shared" si="14"/>
        <v>0.99999999999999967</v>
      </c>
      <c r="M255" s="1131">
        <v>0.93876454579921897</v>
      </c>
      <c r="N255" s="3057">
        <v>1.6958012146108602E-2</v>
      </c>
      <c r="O255" s="3061">
        <v>4.42774420546721E-2</v>
      </c>
    </row>
    <row r="256" spans="1:15" s="277" customFormat="1">
      <c r="A256" s="279">
        <f t="shared" si="13"/>
        <v>2020.07</v>
      </c>
      <c r="B256" s="1154"/>
      <c r="C256" s="3063"/>
      <c r="D256" s="1155"/>
      <c r="E256" s="1154"/>
      <c r="F256" s="3063"/>
      <c r="G256" s="1155"/>
      <c r="H256" s="1134">
        <f>+I256+J256+K256</f>
        <v>0.99999999999999967</v>
      </c>
      <c r="I256" s="1131">
        <v>0.91476918391170403</v>
      </c>
      <c r="J256" s="3057">
        <v>4.2535510201644901E-2</v>
      </c>
      <c r="K256" s="1878">
        <v>4.26953058866507E-2</v>
      </c>
      <c r="L256" s="1134">
        <f t="shared" si="14"/>
        <v>0.99999999999999956</v>
      </c>
      <c r="M256" s="1131">
        <v>0.89373689655205202</v>
      </c>
      <c r="N256" s="3057">
        <v>6.5387612884167293E-2</v>
      </c>
      <c r="O256" s="3061">
        <v>4.0875490563780301E-2</v>
      </c>
    </row>
    <row r="257" spans="1:15" s="277" customFormat="1">
      <c r="A257" s="279">
        <f t="shared" si="13"/>
        <v>2020.08</v>
      </c>
      <c r="B257" s="1154"/>
      <c r="C257" s="3063"/>
      <c r="D257" s="1155"/>
      <c r="E257" s="1154"/>
      <c r="F257" s="3063"/>
      <c r="G257" s="1155"/>
      <c r="H257" s="1134">
        <f t="shared" ref="H257:H320" si="16">+I257+J257+K257</f>
        <v>0.99999999999999989</v>
      </c>
      <c r="I257" s="3064">
        <v>0.93089937192416405</v>
      </c>
      <c r="J257" s="3057">
        <v>4.7499558004178696E-2</v>
      </c>
      <c r="K257" s="1878">
        <v>2.1601070071657097E-2</v>
      </c>
      <c r="L257" s="1134">
        <f t="shared" ref="L257:L320" si="17">M257+N257+O257</f>
        <v>0.99999999999999989</v>
      </c>
      <c r="M257" s="3060">
        <v>0.94355512990650192</v>
      </c>
      <c r="N257" s="3060">
        <v>4.2506016124508996E-3</v>
      </c>
      <c r="O257" s="3065">
        <v>5.2194268481046996E-2</v>
      </c>
    </row>
    <row r="258" spans="1:15" s="277" customFormat="1">
      <c r="A258" s="279">
        <f t="shared" si="13"/>
        <v>2020.09</v>
      </c>
      <c r="B258" s="1154"/>
      <c r="C258" s="3063"/>
      <c r="D258" s="1155"/>
      <c r="E258" s="1154"/>
      <c r="F258" s="3063"/>
      <c r="G258" s="1155"/>
      <c r="H258" s="1134">
        <f>+I258+J258+K258</f>
        <v>1</v>
      </c>
      <c r="I258" s="3064">
        <v>0.92855225260484209</v>
      </c>
      <c r="J258" s="3064">
        <v>5.3225926393468598E-2</v>
      </c>
      <c r="K258" s="1878">
        <v>1.8221821001689401E-2</v>
      </c>
      <c r="L258" s="1134">
        <f>M258+N258+O258</f>
        <v>1</v>
      </c>
      <c r="M258" s="3064">
        <v>0.90294144089019701</v>
      </c>
      <c r="N258" s="3064">
        <v>4.21765750681872E-2</v>
      </c>
      <c r="O258" s="3061">
        <v>5.48819840416159E-2</v>
      </c>
    </row>
    <row r="259" spans="1:15" s="277" customFormat="1">
      <c r="A259" s="279">
        <f t="shared" si="13"/>
        <v>2020.1</v>
      </c>
      <c r="B259" s="1154"/>
      <c r="C259" s="3063"/>
      <c r="D259" s="1155"/>
      <c r="E259" s="1154"/>
      <c r="F259" s="3063"/>
      <c r="G259" s="1155"/>
      <c r="H259" s="1134">
        <f>+I259+J259+K259</f>
        <v>1.0000000000000002</v>
      </c>
      <c r="I259" s="3064">
        <v>0.90578776268088501</v>
      </c>
      <c r="J259" s="3064">
        <v>6.2233254896643803E-2</v>
      </c>
      <c r="K259" s="1878">
        <v>3.1978982422471498E-2</v>
      </c>
      <c r="L259" s="1134">
        <f t="shared" si="17"/>
        <v>1.0000000000000004</v>
      </c>
      <c r="M259" s="3064">
        <v>0.91855157539296006</v>
      </c>
      <c r="N259" s="3064">
        <v>2.9004176916389502E-2</v>
      </c>
      <c r="O259" s="3061">
        <v>5.2444247690650904E-2</v>
      </c>
    </row>
    <row r="260" spans="1:15" s="277" customFormat="1">
      <c r="A260" s="279">
        <f t="shared" si="13"/>
        <v>2020.11</v>
      </c>
      <c r="B260" s="1154"/>
      <c r="C260" s="3063"/>
      <c r="D260" s="1155"/>
      <c r="E260" s="1154"/>
      <c r="F260" s="3063"/>
      <c r="G260" s="1155"/>
      <c r="H260" s="1134">
        <f t="shared" si="16"/>
        <v>0.99999999999999978</v>
      </c>
      <c r="I260" s="3064">
        <v>0.90112881794539401</v>
      </c>
      <c r="J260" s="3064">
        <v>8.4221510639012995E-2</v>
      </c>
      <c r="K260" s="1878">
        <v>1.4649671415592799E-2</v>
      </c>
      <c r="L260" s="1134">
        <f t="shared" si="17"/>
        <v>0.99999999999999967</v>
      </c>
      <c r="M260" s="3064">
        <v>0.94208206960059793</v>
      </c>
      <c r="N260" s="3064">
        <v>3.5701926347825499E-2</v>
      </c>
      <c r="O260" s="3061">
        <v>2.2216004051576199E-2</v>
      </c>
    </row>
    <row r="261" spans="1:15" s="277" customFormat="1">
      <c r="A261" s="279">
        <f t="shared" si="13"/>
        <v>2020.12</v>
      </c>
      <c r="B261" s="1154"/>
      <c r="C261" s="3063"/>
      <c r="D261" s="1155"/>
      <c r="E261" s="1154"/>
      <c r="F261" s="3063"/>
      <c r="G261" s="1155"/>
      <c r="H261" s="1134">
        <f t="shared" si="16"/>
        <v>1.0000000000000004</v>
      </c>
      <c r="I261" s="3064">
        <v>0.92718090669314401</v>
      </c>
      <c r="J261" s="3064">
        <v>6.8386570492598595E-2</v>
      </c>
      <c r="K261" s="1878">
        <v>4.4325228142579097E-3</v>
      </c>
      <c r="L261" s="1134">
        <f t="shared" si="17"/>
        <v>0.99999999999999967</v>
      </c>
      <c r="M261" s="3064">
        <v>0.94749008806151191</v>
      </c>
      <c r="N261" s="3064">
        <v>2.6856716523094799E-2</v>
      </c>
      <c r="O261" s="3061">
        <v>2.5653195415392901E-2</v>
      </c>
    </row>
    <row r="262" spans="1:15" s="277" customFormat="1">
      <c r="A262" s="279">
        <f t="shared" si="13"/>
        <v>2021.01</v>
      </c>
      <c r="B262" s="1154"/>
      <c r="C262" s="3063"/>
      <c r="D262" s="1155"/>
      <c r="E262" s="1154"/>
      <c r="F262" s="3063"/>
      <c r="G262" s="1155"/>
      <c r="H262" s="1134">
        <f t="shared" si="16"/>
        <v>0.99999999999999989</v>
      </c>
      <c r="I262" s="3064">
        <v>0.92414189137640801</v>
      </c>
      <c r="J262" s="3064">
        <v>5.3845166233722E-2</v>
      </c>
      <c r="K262" s="1878">
        <v>2.2012942389869797E-2</v>
      </c>
      <c r="L262" s="1134">
        <f t="shared" si="17"/>
        <v>0.99999999999999989</v>
      </c>
      <c r="M262" s="3064">
        <v>0.94948506916285491</v>
      </c>
      <c r="N262" s="3064">
        <v>3.32290543265902E-2</v>
      </c>
      <c r="O262" s="3061">
        <v>1.7285876510554802E-2</v>
      </c>
    </row>
    <row r="263" spans="1:15" s="277" customFormat="1">
      <c r="A263" s="279">
        <f t="shared" si="13"/>
        <v>2021.02</v>
      </c>
      <c r="B263" s="1154"/>
      <c r="C263" s="3063"/>
      <c r="D263" s="1155"/>
      <c r="E263" s="1154"/>
      <c r="F263" s="3063"/>
      <c r="G263" s="1155"/>
      <c r="H263" s="1134">
        <f t="shared" si="16"/>
        <v>1.0000000000000002</v>
      </c>
      <c r="I263" s="3064">
        <v>0.92320484916170897</v>
      </c>
      <c r="J263" s="3064">
        <v>6.4718110085514896E-2</v>
      </c>
      <c r="K263" s="1878">
        <v>1.2077040752776401E-2</v>
      </c>
      <c r="L263" s="1134">
        <f t="shared" si="17"/>
        <v>0.99999999999999967</v>
      </c>
      <c r="M263" s="3064">
        <v>0.91176139833054193</v>
      </c>
      <c r="N263" s="3064">
        <v>6.7838425434595201E-2</v>
      </c>
      <c r="O263" s="3061">
        <v>2.0400176234862601E-2</v>
      </c>
    </row>
    <row r="264" spans="1:15" s="277" customFormat="1">
      <c r="A264" s="279">
        <f t="shared" si="13"/>
        <v>2021.03</v>
      </c>
      <c r="B264" s="1154"/>
      <c r="C264" s="3063"/>
      <c r="D264" s="1155"/>
      <c r="E264" s="1154"/>
      <c r="F264" s="3063"/>
      <c r="G264" s="1155"/>
      <c r="H264" s="1134">
        <f t="shared" si="16"/>
        <v>0.99999999999999944</v>
      </c>
      <c r="I264" s="3064">
        <v>0.91778437114846101</v>
      </c>
      <c r="J264" s="3064">
        <v>6.6972540952164802E-2</v>
      </c>
      <c r="K264" s="1878">
        <v>1.5243087899373699E-2</v>
      </c>
      <c r="L264" s="1134">
        <f t="shared" si="17"/>
        <v>0.99999999999999978</v>
      </c>
      <c r="M264" s="3064">
        <v>0.95017127997204998</v>
      </c>
      <c r="N264" s="3064">
        <v>4.4180395252543796E-2</v>
      </c>
      <c r="O264" s="3061">
        <v>5.6483247754060299E-3</v>
      </c>
    </row>
    <row r="265" spans="1:15" s="277" customFormat="1">
      <c r="A265" s="279">
        <f t="shared" si="13"/>
        <v>2021.04</v>
      </c>
      <c r="B265" s="1154"/>
      <c r="C265" s="3063"/>
      <c r="D265" s="1155"/>
      <c r="E265" s="1154"/>
      <c r="F265" s="3063"/>
      <c r="G265" s="1155"/>
      <c r="H265" s="1134">
        <f t="shared" si="16"/>
        <v>1.0000000000000002</v>
      </c>
      <c r="I265" s="3064">
        <v>0.89830070397736805</v>
      </c>
      <c r="J265" s="3064">
        <v>8.579817898174151E-2</v>
      </c>
      <c r="K265" s="1878">
        <v>1.5901117040890599E-2</v>
      </c>
      <c r="L265" s="1134">
        <f t="shared" si="17"/>
        <v>1.0000000000000002</v>
      </c>
      <c r="M265" s="3064">
        <v>0.91404515278220599</v>
      </c>
      <c r="N265" s="3064">
        <v>4.3679114756567897E-2</v>
      </c>
      <c r="O265" s="3061">
        <v>4.2275732461226304E-2</v>
      </c>
    </row>
    <row r="266" spans="1:15" s="277" customFormat="1">
      <c r="A266" s="279">
        <f t="shared" si="13"/>
        <v>2021.05</v>
      </c>
      <c r="B266" s="1154"/>
      <c r="C266" s="3063"/>
      <c r="D266" s="1155"/>
      <c r="E266" s="1154"/>
      <c r="F266" s="3063"/>
      <c r="G266" s="1155"/>
      <c r="H266" s="1134">
        <f t="shared" si="16"/>
        <v>0.99999999999999989</v>
      </c>
      <c r="I266" s="3064">
        <v>0.91304814758297892</v>
      </c>
      <c r="J266" s="3064">
        <v>6.23824080094545E-2</v>
      </c>
      <c r="K266" s="1878">
        <v>2.4569444407566497E-2</v>
      </c>
      <c r="L266" s="1134">
        <f t="shared" si="17"/>
        <v>1.0000000000000007</v>
      </c>
      <c r="M266" s="3064">
        <v>0.97605886726610391</v>
      </c>
      <c r="N266" s="3064">
        <v>6.5293996866715798E-3</v>
      </c>
      <c r="O266" s="3061">
        <v>1.7411733047225101E-2</v>
      </c>
    </row>
    <row r="267" spans="1:15" s="277" customFormat="1">
      <c r="A267" s="279">
        <f t="shared" si="13"/>
        <v>2021.06</v>
      </c>
      <c r="B267" s="1154"/>
      <c r="C267" s="3063"/>
      <c r="D267" s="1155"/>
      <c r="E267" s="1154"/>
      <c r="F267" s="3063"/>
      <c r="G267" s="1155"/>
      <c r="H267" s="1134">
        <f t="shared" si="16"/>
        <v>1</v>
      </c>
      <c r="I267" s="3064">
        <v>0.89628757389853997</v>
      </c>
      <c r="J267" s="3064">
        <v>9.5654446788004902E-2</v>
      </c>
      <c r="K267" s="1878">
        <v>8.0579793134551211E-3</v>
      </c>
      <c r="L267" s="1134">
        <f t="shared" si="17"/>
        <v>0.99999999999999956</v>
      </c>
      <c r="M267" s="3064">
        <v>0.93668782292673791</v>
      </c>
      <c r="N267" s="3064">
        <v>2.7697773902722E-2</v>
      </c>
      <c r="O267" s="3061">
        <v>3.5614403170539696E-2</v>
      </c>
    </row>
    <row r="268" spans="1:15" s="277" customFormat="1">
      <c r="A268" s="279">
        <f t="shared" si="13"/>
        <v>2021.07</v>
      </c>
      <c r="B268" s="1154"/>
      <c r="C268" s="3063"/>
      <c r="D268" s="1155"/>
      <c r="E268" s="1154"/>
      <c r="F268" s="3063"/>
      <c r="G268" s="1155"/>
      <c r="H268" s="1134">
        <f t="shared" si="16"/>
        <v>0.99999999999999989</v>
      </c>
      <c r="I268" s="3064">
        <v>0.91287496821923597</v>
      </c>
      <c r="J268" s="3064">
        <v>7.5276823346143398E-2</v>
      </c>
      <c r="K268" s="1878">
        <v>1.18482084346205E-2</v>
      </c>
      <c r="L268" s="1134">
        <f t="shared" si="17"/>
        <v>1.0000000000000004</v>
      </c>
      <c r="M268" s="3064">
        <v>0.9374944003173481</v>
      </c>
      <c r="N268" s="3064">
        <v>3.6728622762410096E-2</v>
      </c>
      <c r="O268" s="3061">
        <v>2.5776976920242299E-2</v>
      </c>
    </row>
    <row r="269" spans="1:15" s="277" customFormat="1">
      <c r="A269" s="279">
        <f t="shared" si="13"/>
        <v>2021.08</v>
      </c>
      <c r="B269" s="1154"/>
      <c r="C269" s="3063"/>
      <c r="D269" s="1155"/>
      <c r="E269" s="1154"/>
      <c r="F269" s="3063"/>
      <c r="G269" s="1155"/>
      <c r="H269" s="1134">
        <f t="shared" si="16"/>
        <v>1.0000000000000004</v>
      </c>
      <c r="I269" s="3064">
        <v>0.89013025051132</v>
      </c>
      <c r="J269" s="3064">
        <v>9.5626532802135789E-2</v>
      </c>
      <c r="K269" s="1878">
        <v>1.42432166865448E-2</v>
      </c>
      <c r="L269" s="1134">
        <f t="shared" si="17"/>
        <v>1.0000000000000002</v>
      </c>
      <c r="M269" s="3064">
        <v>0.93356396392965091</v>
      </c>
      <c r="N269" s="3064">
        <v>5.1740130584541702E-2</v>
      </c>
      <c r="O269" s="3061">
        <v>1.4695905485807499E-2</v>
      </c>
    </row>
    <row r="270" spans="1:15" s="277" customFormat="1">
      <c r="A270" s="279">
        <f t="shared" si="13"/>
        <v>2021.09</v>
      </c>
      <c r="B270" s="1154"/>
      <c r="C270" s="3063"/>
      <c r="D270" s="1155"/>
      <c r="E270" s="1154"/>
      <c r="F270" s="3063"/>
      <c r="G270" s="1155"/>
      <c r="H270" s="1134">
        <f t="shared" si="16"/>
        <v>0.99999999999999978</v>
      </c>
      <c r="I270" s="3064">
        <v>0.91716365211988404</v>
      </c>
      <c r="J270" s="3064">
        <v>6.9939953196901494E-2</v>
      </c>
      <c r="K270" s="1878">
        <v>1.2896394683214201E-2</v>
      </c>
      <c r="L270" s="1134">
        <f t="shared" si="17"/>
        <v>1.0000000000000004</v>
      </c>
      <c r="M270" s="3064">
        <v>0.94351842155098797</v>
      </c>
      <c r="N270" s="3064">
        <v>4.0463912863915999E-2</v>
      </c>
      <c r="O270" s="3061">
        <v>1.6017665585096399E-2</v>
      </c>
    </row>
    <row r="271" spans="1:15" s="277" customFormat="1">
      <c r="A271" s="279">
        <f t="shared" si="13"/>
        <v>2021.1</v>
      </c>
      <c r="B271" s="1154"/>
      <c r="C271" s="3063"/>
      <c r="D271" s="1155"/>
      <c r="E271" s="1154"/>
      <c r="F271" s="3063"/>
      <c r="G271" s="1155"/>
      <c r="H271" s="1134">
        <f t="shared" si="16"/>
        <v>0.99999999999999889</v>
      </c>
      <c r="I271" s="3064">
        <v>0.84816910204083995</v>
      </c>
      <c r="J271" s="3064">
        <v>0.13459444318133601</v>
      </c>
      <c r="K271" s="1878">
        <v>1.7236454777822999E-2</v>
      </c>
      <c r="L271" s="1134">
        <f t="shared" si="17"/>
        <v>1.0000000000000002</v>
      </c>
      <c r="M271" s="3064">
        <v>0.94570013094388106</v>
      </c>
      <c r="N271" s="3064">
        <v>4.2323218210687498E-2</v>
      </c>
      <c r="O271" s="3061">
        <v>1.19766508454316E-2</v>
      </c>
    </row>
    <row r="272" spans="1:15" s="277" customFormat="1">
      <c r="A272" s="279">
        <f t="shared" si="13"/>
        <v>2021.11</v>
      </c>
      <c r="B272" s="1154"/>
      <c r="C272" s="3063"/>
      <c r="D272" s="1155"/>
      <c r="E272" s="1154"/>
      <c r="F272" s="3063"/>
      <c r="G272" s="1155"/>
      <c r="H272" s="1134">
        <f t="shared" si="16"/>
        <v>0.99999999999999967</v>
      </c>
      <c r="I272" s="3064">
        <v>0.89973661949577599</v>
      </c>
      <c r="J272" s="3064">
        <v>9.2327022537391501E-2</v>
      </c>
      <c r="K272" s="1878">
        <v>7.9363579668322807E-3</v>
      </c>
      <c r="L272" s="1134">
        <f t="shared" si="17"/>
        <v>1.0000000000000002</v>
      </c>
      <c r="M272" s="3064">
        <v>0.9585412905596119</v>
      </c>
      <c r="N272" s="3064">
        <v>2.5390156002205198E-2</v>
      </c>
      <c r="O272" s="3061">
        <v>1.6068553438183201E-2</v>
      </c>
    </row>
    <row r="273" spans="1:15" s="277" customFormat="1">
      <c r="A273" s="279">
        <f t="shared" si="13"/>
        <v>2021.12</v>
      </c>
      <c r="B273" s="1154"/>
      <c r="C273" s="3063"/>
      <c r="D273" s="1155"/>
      <c r="E273" s="1154"/>
      <c r="F273" s="3063"/>
      <c r="G273" s="1155"/>
      <c r="H273" s="1134">
        <f t="shared" si="16"/>
        <v>1.0000000000000004</v>
      </c>
      <c r="I273" s="3064">
        <v>0.87617851283410308</v>
      </c>
      <c r="J273" s="3064">
        <v>0.10367766181952201</v>
      </c>
      <c r="K273" s="1878">
        <v>2.0143825346375301E-2</v>
      </c>
      <c r="L273" s="1134">
        <f>M273+N273+O273</f>
        <v>0.99999999999999956</v>
      </c>
      <c r="M273" s="3064">
        <v>0.91995955333684809</v>
      </c>
      <c r="N273" s="3064">
        <v>4.5824469958177801E-2</v>
      </c>
      <c r="O273" s="3061">
        <v>3.42159767049737E-2</v>
      </c>
    </row>
    <row r="274" spans="1:15" s="277" customFormat="1">
      <c r="A274" s="279">
        <f t="shared" si="13"/>
        <v>2022.01</v>
      </c>
      <c r="B274" s="1154"/>
      <c r="C274" s="3063"/>
      <c r="D274" s="1155"/>
      <c r="E274" s="1154"/>
      <c r="F274" s="3063"/>
      <c r="G274" s="1155"/>
      <c r="H274" s="1134">
        <f t="shared" si="16"/>
        <v>0.99999999999999989</v>
      </c>
      <c r="I274" s="3064">
        <v>0.86795774034592399</v>
      </c>
      <c r="J274" s="3064">
        <v>0.121230751517079</v>
      </c>
      <c r="K274" s="1878">
        <v>1.0811508136996899E-2</v>
      </c>
      <c r="L274" s="1134">
        <f t="shared" si="17"/>
        <v>1</v>
      </c>
      <c r="M274" s="3064">
        <v>0.94586741053746703</v>
      </c>
      <c r="N274" s="3064">
        <v>3.52331299950219E-2</v>
      </c>
      <c r="O274" s="3061">
        <v>1.88994594675111E-2</v>
      </c>
    </row>
    <row r="275" spans="1:15" s="277" customFormat="1">
      <c r="A275" s="279">
        <f t="shared" si="13"/>
        <v>2022.02</v>
      </c>
      <c r="B275" s="1154"/>
      <c r="C275" s="3063"/>
      <c r="D275" s="1155"/>
      <c r="E275" s="1154"/>
      <c r="F275" s="3063"/>
      <c r="G275" s="1155"/>
      <c r="H275" s="1134">
        <f t="shared" si="16"/>
        <v>1.0000000000000002</v>
      </c>
      <c r="I275" s="3064">
        <v>0.90441845930889597</v>
      </c>
      <c r="J275" s="3064">
        <v>8.5616597295050292E-2</v>
      </c>
      <c r="K275" s="3064">
        <v>9.9649433960538603E-3</v>
      </c>
      <c r="L275" s="1134">
        <f>M275+N275+O275</f>
        <v>0.99999999999999989</v>
      </c>
      <c r="M275" s="3064">
        <v>0.92945308936106796</v>
      </c>
      <c r="N275" s="3064">
        <v>5.4969139075540199E-2</v>
      </c>
      <c r="O275" s="3061">
        <v>1.55777715633917E-2</v>
      </c>
    </row>
    <row r="276" spans="1:15" s="277" customFormat="1">
      <c r="A276" s="279">
        <f t="shared" si="13"/>
        <v>2022.03</v>
      </c>
      <c r="B276" s="1154"/>
      <c r="C276" s="3063"/>
      <c r="D276" s="1155"/>
      <c r="E276" s="1154"/>
      <c r="F276" s="3063"/>
      <c r="G276" s="1155"/>
      <c r="H276" s="1134">
        <f t="shared" si="16"/>
        <v>1.0000000000000002</v>
      </c>
      <c r="I276" s="3064">
        <v>0.89133737772536403</v>
      </c>
      <c r="J276" s="3064">
        <v>8.5770660570840804E-2</v>
      </c>
      <c r="K276" s="1878">
        <v>2.2891961703795399E-2</v>
      </c>
      <c r="L276" s="1134">
        <f t="shared" si="17"/>
        <v>0.99999999999999989</v>
      </c>
      <c r="M276" s="3064">
        <v>0.93048639066649297</v>
      </c>
      <c r="N276" s="3064">
        <v>5.4951517047959503E-2</v>
      </c>
      <c r="O276" s="3061">
        <v>1.45620922855474E-2</v>
      </c>
    </row>
    <row r="277" spans="1:15" s="277" customFormat="1">
      <c r="A277" s="279">
        <f t="shared" si="13"/>
        <v>2022.04</v>
      </c>
      <c r="B277" s="1154"/>
      <c r="C277" s="3063"/>
      <c r="D277" s="1155"/>
      <c r="E277" s="1154"/>
      <c r="F277" s="3063"/>
      <c r="G277" s="1155"/>
      <c r="H277" s="1134">
        <f t="shared" si="16"/>
        <v>0.99999999999999989</v>
      </c>
      <c r="I277" s="3064">
        <v>0.90922909847463496</v>
      </c>
      <c r="J277" s="3064">
        <v>8.4434967865178609E-2</v>
      </c>
      <c r="K277" s="1878">
        <v>6.3359336601863702E-3</v>
      </c>
      <c r="L277" s="1134">
        <f t="shared" si="17"/>
        <v>1.0000000000000002</v>
      </c>
      <c r="M277" s="3064">
        <v>0.94357884968500894</v>
      </c>
      <c r="N277" s="3064">
        <v>4.4579624189037804E-2</v>
      </c>
      <c r="O277" s="3061">
        <v>1.1841526125953501E-2</v>
      </c>
    </row>
    <row r="278" spans="1:15" s="277" customFormat="1">
      <c r="A278" s="279">
        <f t="shared" si="13"/>
        <v>2022.05</v>
      </c>
      <c r="B278" s="1154"/>
      <c r="C278" s="3063"/>
      <c r="D278" s="1155"/>
      <c r="E278" s="1154"/>
      <c r="F278" s="3063"/>
      <c r="G278" s="1155"/>
      <c r="H278" s="1134">
        <f t="shared" si="16"/>
        <v>0.99999999999999933</v>
      </c>
      <c r="I278" s="3064">
        <v>0.86916208215456603</v>
      </c>
      <c r="J278" s="3064">
        <v>0.123263687612836</v>
      </c>
      <c r="K278" s="1878">
        <v>7.5742302325972595E-3</v>
      </c>
      <c r="L278" s="1134">
        <f t="shared" si="17"/>
        <v>0.99999999999999989</v>
      </c>
      <c r="M278" s="3064">
        <v>0.93202887398463796</v>
      </c>
      <c r="N278" s="3064">
        <v>5.5078962035772901E-2</v>
      </c>
      <c r="O278" s="3061">
        <v>1.2892163979589E-2</v>
      </c>
    </row>
    <row r="279" spans="1:15" s="277" customFormat="1">
      <c r="A279" s="279">
        <f t="shared" si="13"/>
        <v>2022.06</v>
      </c>
      <c r="B279" s="1154"/>
      <c r="C279" s="3063"/>
      <c r="D279" s="1155"/>
      <c r="E279" s="1154"/>
      <c r="F279" s="3063"/>
      <c r="G279" s="1155"/>
      <c r="H279" s="1134">
        <f t="shared" si="16"/>
        <v>0.99999999999999989</v>
      </c>
      <c r="I279" s="3064">
        <v>0.92186282785727902</v>
      </c>
      <c r="J279" s="3064">
        <v>7.0867272911047191E-2</v>
      </c>
      <c r="K279" s="1878">
        <v>7.2698992316736002E-3</v>
      </c>
      <c r="L279" s="1134">
        <f t="shared" si="17"/>
        <v>1.0000000000000002</v>
      </c>
      <c r="M279" s="3064">
        <v>0.92947429973054696</v>
      </c>
      <c r="N279" s="3064">
        <v>5.9240187577462598E-2</v>
      </c>
      <c r="O279" s="3061">
        <v>1.12855126919907E-2</v>
      </c>
    </row>
    <row r="280" spans="1:15" s="277" customFormat="1">
      <c r="A280" s="279">
        <f t="shared" si="13"/>
        <v>2022.07</v>
      </c>
      <c r="B280" s="1154"/>
      <c r="C280" s="3063"/>
      <c r="D280" s="1155"/>
      <c r="E280" s="1154"/>
      <c r="F280" s="3063"/>
      <c r="G280" s="1155"/>
      <c r="H280" s="1134">
        <f t="shared" si="16"/>
        <v>1</v>
      </c>
      <c r="I280" s="3064">
        <v>0.86846551699665597</v>
      </c>
      <c r="J280" s="3064">
        <v>0.10812946060336501</v>
      </c>
      <c r="K280" s="1878">
        <v>2.3405022399979002E-2</v>
      </c>
      <c r="L280" s="1134">
        <f t="shared" si="17"/>
        <v>0.99999999999999956</v>
      </c>
      <c r="M280" s="3064">
        <v>0.92837259634271108</v>
      </c>
      <c r="N280" s="3064">
        <v>6.1606247861642698E-2</v>
      </c>
      <c r="O280" s="3061">
        <v>1.00211557956458E-2</v>
      </c>
    </row>
    <row r="281" spans="1:15" s="277" customFormat="1">
      <c r="A281" s="279">
        <f t="shared" si="13"/>
        <v>2022.08</v>
      </c>
      <c r="B281" s="1154"/>
      <c r="C281" s="3063"/>
      <c r="D281" s="1155"/>
      <c r="E281" s="1154"/>
      <c r="F281" s="3063"/>
      <c r="G281" s="1155"/>
      <c r="H281" s="1134">
        <f t="shared" si="16"/>
        <v>0.99999999999999911</v>
      </c>
      <c r="I281" s="3064">
        <v>0.87299151052617807</v>
      </c>
      <c r="J281" s="3064">
        <v>0.104823471891411</v>
      </c>
      <c r="K281" s="1878">
        <v>2.2185017582410097E-2</v>
      </c>
      <c r="L281" s="1134">
        <f t="shared" si="17"/>
        <v>1.0000000000000002</v>
      </c>
      <c r="M281" s="3064">
        <v>0.9076914217628359</v>
      </c>
      <c r="N281" s="3064">
        <v>7.7610064205462501E-2</v>
      </c>
      <c r="O281" s="3061">
        <v>1.4698514031701899E-2</v>
      </c>
    </row>
    <row r="282" spans="1:15" s="277" customFormat="1">
      <c r="A282" s="279">
        <f t="shared" si="13"/>
        <v>2022.09</v>
      </c>
      <c r="B282" s="1154"/>
      <c r="C282" s="3063"/>
      <c r="D282" s="1155"/>
      <c r="E282" s="1154"/>
      <c r="F282" s="3063"/>
      <c r="G282" s="1155"/>
      <c r="H282" s="1134">
        <f t="shared" si="16"/>
        <v>0.99999999999999978</v>
      </c>
      <c r="I282" s="3064">
        <v>0.90998296778473498</v>
      </c>
      <c r="J282" s="3064">
        <v>6.8376888103905104E-2</v>
      </c>
      <c r="K282" s="1878">
        <v>2.1640144111359699E-2</v>
      </c>
      <c r="L282" s="1134">
        <f t="shared" si="17"/>
        <v>1</v>
      </c>
      <c r="M282" s="3064">
        <v>0.94672984968532903</v>
      </c>
      <c r="N282" s="3064">
        <v>4.5549246699831396E-2</v>
      </c>
      <c r="O282" s="3061">
        <v>7.72090361483963E-3</v>
      </c>
    </row>
    <row r="283" spans="1:15" s="277" customFormat="1">
      <c r="A283" s="279">
        <f t="shared" si="13"/>
        <v>2022.1</v>
      </c>
      <c r="B283" s="1154"/>
      <c r="C283" s="3063"/>
      <c r="D283" s="1155"/>
      <c r="E283" s="1154"/>
      <c r="F283" s="3063"/>
      <c r="G283" s="1155"/>
      <c r="H283" s="1134">
        <f t="shared" si="16"/>
        <v>0.99999999999999967</v>
      </c>
      <c r="I283" s="3064">
        <v>0.88863570946303294</v>
      </c>
      <c r="J283" s="3064">
        <v>9.00786215199227E-2</v>
      </c>
      <c r="K283" s="1878">
        <v>2.1285669017044002E-2</v>
      </c>
      <c r="L283" s="1134">
        <f t="shared" si="17"/>
        <v>0.99999999999999944</v>
      </c>
      <c r="M283" s="3064">
        <v>0.92133347546301192</v>
      </c>
      <c r="N283" s="3064">
        <v>7.5013438760475906E-2</v>
      </c>
      <c r="O283" s="3061">
        <v>3.6530857765115898E-3</v>
      </c>
    </row>
    <row r="284" spans="1:15" s="277" customFormat="1">
      <c r="A284" s="279">
        <f t="shared" si="13"/>
        <v>2022.11</v>
      </c>
      <c r="B284" s="1154"/>
      <c r="C284" s="3063"/>
      <c r="D284" s="1155"/>
      <c r="E284" s="1154"/>
      <c r="F284" s="3063"/>
      <c r="G284" s="1155"/>
      <c r="H284" s="1134">
        <f t="shared" si="16"/>
        <v>0.99999999999999967</v>
      </c>
      <c r="I284" s="3064">
        <v>0.92302840981187406</v>
      </c>
      <c r="J284" s="3064">
        <v>6.5750898025538393E-2</v>
      </c>
      <c r="K284" s="1878">
        <v>1.12206921625873E-2</v>
      </c>
      <c r="L284" s="1134">
        <f t="shared" si="17"/>
        <v>1</v>
      </c>
      <c r="M284" s="3064">
        <v>0.95287338594495496</v>
      </c>
      <c r="N284" s="3064">
        <v>3.9598023825851002E-2</v>
      </c>
      <c r="O284" s="3061">
        <v>7.5285902291939997E-3</v>
      </c>
    </row>
    <row r="285" spans="1:15" s="277" customFormat="1">
      <c r="A285" s="279">
        <f t="shared" si="13"/>
        <v>2022.12</v>
      </c>
      <c r="B285" s="1154"/>
      <c r="C285" s="3063"/>
      <c r="D285" s="1155"/>
      <c r="E285" s="1154"/>
      <c r="F285" s="3063"/>
      <c r="G285" s="1155"/>
      <c r="H285" s="1134">
        <f t="shared" si="16"/>
        <v>1.0000000000000002</v>
      </c>
      <c r="I285" s="3064">
        <v>0.92695926262379003</v>
      </c>
      <c r="J285" s="3064">
        <v>6.8680994116620903E-2</v>
      </c>
      <c r="K285" s="1878">
        <v>4.3597432595893302E-3</v>
      </c>
      <c r="L285" s="1134">
        <f t="shared" si="17"/>
        <v>1.0000000000000002</v>
      </c>
      <c r="M285" s="3064">
        <v>0.92855570716707503</v>
      </c>
      <c r="N285" s="3064">
        <v>4.5310653062327601E-2</v>
      </c>
      <c r="O285" s="3061">
        <v>2.61336397705976E-2</v>
      </c>
    </row>
    <row r="286" spans="1:15" s="277" customFormat="1">
      <c r="A286" s="279">
        <f t="shared" si="13"/>
        <v>2023.01</v>
      </c>
      <c r="B286" s="1154"/>
      <c r="C286" s="3063"/>
      <c r="D286" s="1155"/>
      <c r="E286" s="1154"/>
      <c r="F286" s="3063"/>
      <c r="G286" s="1155"/>
      <c r="H286" s="1134">
        <f t="shared" si="16"/>
        <v>1.0000000000000002</v>
      </c>
      <c r="I286" s="3064">
        <v>0.92489874379673098</v>
      </c>
      <c r="J286" s="3064">
        <v>6.1841835316882594E-2</v>
      </c>
      <c r="K286" s="1878">
        <v>1.3259420886386599E-2</v>
      </c>
      <c r="L286" s="1134">
        <f t="shared" si="17"/>
        <v>1.0000000000000002</v>
      </c>
      <c r="M286" s="3064">
        <v>0.90540344331087097</v>
      </c>
      <c r="N286" s="3064">
        <v>7.4560677757104704E-2</v>
      </c>
      <c r="O286" s="3061">
        <v>2.00358789320246E-2</v>
      </c>
    </row>
    <row r="287" spans="1:15" s="277" customFormat="1">
      <c r="A287" s="279">
        <f t="shared" si="13"/>
        <v>2023.02</v>
      </c>
      <c r="B287" s="1154"/>
      <c r="C287" s="3063"/>
      <c r="D287" s="1155"/>
      <c r="E287" s="1154"/>
      <c r="F287" s="3063"/>
      <c r="G287" s="1155"/>
      <c r="H287" s="1134">
        <f t="shared" si="16"/>
        <v>0.99999999999999967</v>
      </c>
      <c r="I287" s="3064">
        <v>0.92548521066104106</v>
      </c>
      <c r="J287" s="3064">
        <v>5.4342024612313994E-2</v>
      </c>
      <c r="K287" s="1878">
        <v>2.0172764726644598E-2</v>
      </c>
      <c r="L287" s="1134">
        <f t="shared" si="17"/>
        <v>0.99999999999999944</v>
      </c>
      <c r="M287" s="3064">
        <v>0.92263929206133599</v>
      </c>
      <c r="N287" s="3064">
        <v>5.3817725071451702E-2</v>
      </c>
      <c r="O287" s="3061">
        <v>2.3542982867211803E-2</v>
      </c>
    </row>
    <row r="288" spans="1:15" s="277" customFormat="1">
      <c r="A288" s="279">
        <f t="shared" si="13"/>
        <v>2023.03</v>
      </c>
      <c r="B288" s="1154"/>
      <c r="C288" s="3063"/>
      <c r="D288" s="1155"/>
      <c r="E288" s="1154"/>
      <c r="F288" s="3063"/>
      <c r="G288" s="1155"/>
      <c r="H288" s="1134">
        <f t="shared" si="16"/>
        <v>0.99999999999999956</v>
      </c>
      <c r="I288" s="3064">
        <v>0.88527919673546096</v>
      </c>
      <c r="J288" s="3064">
        <v>8.6639409101123804E-2</v>
      </c>
      <c r="K288" s="1878">
        <v>2.8081394163414802E-2</v>
      </c>
      <c r="L288" s="1134">
        <f t="shared" si="17"/>
        <v>0.99999999999999956</v>
      </c>
      <c r="M288" s="3064">
        <v>0.91547701112436097</v>
      </c>
      <c r="N288" s="3064">
        <v>7.1825650921800099E-2</v>
      </c>
      <c r="O288" s="3061">
        <v>1.2697337953838398E-2</v>
      </c>
    </row>
    <row r="289" spans="1:15" s="277" customFormat="1">
      <c r="A289" s="279">
        <f t="shared" si="13"/>
        <v>2023.04</v>
      </c>
      <c r="B289" s="1154"/>
      <c r="C289" s="3063"/>
      <c r="D289" s="1155"/>
      <c r="E289" s="1154"/>
      <c r="F289" s="3063"/>
      <c r="G289" s="1155"/>
      <c r="H289" s="1134">
        <f t="shared" si="16"/>
        <v>1</v>
      </c>
      <c r="I289" s="3064">
        <v>0.914067340469084</v>
      </c>
      <c r="J289" s="3064">
        <v>7.1126944776527701E-2</v>
      </c>
      <c r="K289" s="1878">
        <v>1.48057147543884E-2</v>
      </c>
      <c r="L289" s="1134">
        <f t="shared" si="17"/>
        <v>1.0000000000000002</v>
      </c>
      <c r="M289" s="3064">
        <v>0.91006719382615797</v>
      </c>
      <c r="N289" s="3064">
        <v>6.7181580732189897E-2</v>
      </c>
      <c r="O289" s="3061">
        <v>2.2751225441652298E-2</v>
      </c>
    </row>
    <row r="290" spans="1:15" s="277" customFormat="1">
      <c r="A290" s="279">
        <f t="shared" si="13"/>
        <v>2023.05</v>
      </c>
      <c r="B290" s="1154"/>
      <c r="C290" s="3063"/>
      <c r="D290" s="1155"/>
      <c r="E290" s="1154"/>
      <c r="F290" s="3063"/>
      <c r="G290" s="1155"/>
      <c r="H290" s="1134">
        <f t="shared" si="16"/>
        <v>0.99999999999999956</v>
      </c>
      <c r="I290" s="3064">
        <v>0.91223808179156196</v>
      </c>
      <c r="J290" s="3064">
        <v>6.3287171963216801E-2</v>
      </c>
      <c r="K290" s="1878">
        <v>2.4474746245220801E-2</v>
      </c>
      <c r="L290" s="1134">
        <f t="shared" si="17"/>
        <v>0.99999999999999978</v>
      </c>
      <c r="M290" s="3064">
        <v>0.92320625866768591</v>
      </c>
      <c r="N290" s="3064">
        <v>5.2029037703072295E-2</v>
      </c>
      <c r="O290" s="3061">
        <v>2.4764703629241498E-2</v>
      </c>
    </row>
    <row r="291" spans="1:15" s="277" customFormat="1">
      <c r="A291" s="279">
        <f t="shared" si="13"/>
        <v>2023.06</v>
      </c>
      <c r="B291" s="1154"/>
      <c r="C291" s="3063"/>
      <c r="D291" s="1155"/>
      <c r="E291" s="1154"/>
      <c r="F291" s="3063"/>
      <c r="G291" s="1155"/>
      <c r="H291" s="1134">
        <f t="shared" si="16"/>
        <v>1.0000000000000004</v>
      </c>
      <c r="I291" s="3064">
        <v>0.95089956490837391</v>
      </c>
      <c r="J291" s="3064">
        <v>3.9056136642927404E-2</v>
      </c>
      <c r="K291" s="1878">
        <v>1.0044298448699101E-2</v>
      </c>
      <c r="L291" s="1134">
        <f t="shared" si="17"/>
        <v>0.99999999999999978</v>
      </c>
      <c r="M291" s="3064">
        <v>0.92488191949011811</v>
      </c>
      <c r="N291" s="3064">
        <v>6.5143889668171001E-2</v>
      </c>
      <c r="O291" s="3061">
        <v>9.9741908417107297E-3</v>
      </c>
    </row>
    <row r="292" spans="1:15" s="277" customFormat="1">
      <c r="A292" s="279">
        <f t="shared" si="13"/>
        <v>2023.07</v>
      </c>
      <c r="B292" s="1154"/>
      <c r="C292" s="3063"/>
      <c r="D292" s="1155"/>
      <c r="E292" s="1154"/>
      <c r="F292" s="3063"/>
      <c r="G292" s="1155"/>
      <c r="H292" s="1134">
        <f t="shared" si="16"/>
        <v>0.99999999999999956</v>
      </c>
      <c r="I292" s="3064">
        <v>0.932320353800136</v>
      </c>
      <c r="J292" s="3064">
        <v>5.8368531843976897E-2</v>
      </c>
      <c r="K292" s="1878">
        <v>9.3111143558865898E-3</v>
      </c>
      <c r="L292" s="1134">
        <f t="shared" si="17"/>
        <v>0.99999999999999978</v>
      </c>
      <c r="M292" s="3064">
        <v>0.92395018932467299</v>
      </c>
      <c r="N292" s="3064">
        <v>5.6441967585552602E-2</v>
      </c>
      <c r="O292" s="3061">
        <v>1.9607843089774198E-2</v>
      </c>
    </row>
    <row r="293" spans="1:15" s="277" customFormat="1">
      <c r="A293" s="279">
        <f t="shared" si="13"/>
        <v>2023.08</v>
      </c>
      <c r="B293" s="1154"/>
      <c r="C293" s="3063"/>
      <c r="D293" s="1155"/>
      <c r="E293" s="1154"/>
      <c r="F293" s="3063"/>
      <c r="G293" s="1155"/>
      <c r="H293" s="1134">
        <f t="shared" si="16"/>
        <v>0.99999999999999978</v>
      </c>
      <c r="I293" s="3064">
        <v>0.95792345175563098</v>
      </c>
      <c r="J293" s="3064">
        <v>3.1915940986488998E-2</v>
      </c>
      <c r="K293" s="1878">
        <v>1.0160607257879799E-2</v>
      </c>
      <c r="L293" s="1134">
        <f t="shared" si="17"/>
        <v>1.0000000000000002</v>
      </c>
      <c r="M293" s="3064">
        <v>0.91147073303842208</v>
      </c>
      <c r="N293" s="3064">
        <v>7.9454107729593104E-2</v>
      </c>
      <c r="O293" s="3061">
        <v>9.075159231985111E-3</v>
      </c>
    </row>
    <row r="294" spans="1:15" s="277" customFormat="1">
      <c r="A294" s="279">
        <f t="shared" si="13"/>
        <v>2023.09</v>
      </c>
      <c r="B294" s="1154"/>
      <c r="C294" s="3063"/>
      <c r="D294" s="1155"/>
      <c r="E294" s="1154"/>
      <c r="F294" s="3063"/>
      <c r="G294" s="1155"/>
      <c r="H294" s="1134">
        <f t="shared" si="16"/>
        <v>0.99999999999999978</v>
      </c>
      <c r="I294" s="3064">
        <v>0.94125430669013399</v>
      </c>
      <c r="J294" s="3064">
        <v>4.67115936776962E-2</v>
      </c>
      <c r="K294" s="1878">
        <v>1.2034099632169599E-2</v>
      </c>
      <c r="L294" s="1134">
        <f t="shared" si="17"/>
        <v>1.0000000000000004</v>
      </c>
      <c r="M294" s="3064">
        <v>0.96893385021340406</v>
      </c>
      <c r="N294" s="3064">
        <v>1.9029853247656502E-2</v>
      </c>
      <c r="O294" s="3061">
        <v>1.20362965389399E-2</v>
      </c>
    </row>
    <row r="295" spans="1:15" s="277" customFormat="1">
      <c r="A295" s="279">
        <f t="shared" si="13"/>
        <v>2023.1</v>
      </c>
      <c r="B295" s="1154"/>
      <c r="C295" s="3063"/>
      <c r="D295" s="1155"/>
      <c r="E295" s="1154"/>
      <c r="F295" s="3063"/>
      <c r="G295" s="1155"/>
      <c r="H295" s="1134">
        <f t="shared" si="16"/>
        <v>0.99999999999999956</v>
      </c>
      <c r="I295" s="3064">
        <v>0.938109473102962</v>
      </c>
      <c r="J295" s="3064">
        <v>4.5360453474031906E-2</v>
      </c>
      <c r="K295" s="1878">
        <v>1.6530073423005599E-2</v>
      </c>
      <c r="L295" s="1134">
        <f t="shared" si="17"/>
        <v>0.99999999999999944</v>
      </c>
      <c r="M295" s="3064">
        <v>0.96539721191146899</v>
      </c>
      <c r="N295" s="3064">
        <v>1.9668212439936703E-2</v>
      </c>
      <c r="O295" s="3061">
        <v>1.49345756485938E-2</v>
      </c>
    </row>
    <row r="296" spans="1:15" s="277" customFormat="1">
      <c r="A296" s="279">
        <f t="shared" si="13"/>
        <v>2023.11</v>
      </c>
      <c r="B296" s="1154"/>
      <c r="C296" s="3063"/>
      <c r="D296" s="1155"/>
      <c r="E296" s="1154"/>
      <c r="F296" s="3063"/>
      <c r="G296" s="1155"/>
      <c r="H296" s="1134">
        <f t="shared" si="16"/>
        <v>0.99999999999999967</v>
      </c>
      <c r="I296" s="3064">
        <v>0.93615305812362293</v>
      </c>
      <c r="J296" s="3064">
        <v>3.76675590701573E-2</v>
      </c>
      <c r="K296" s="1878">
        <v>2.6179382806219502E-2</v>
      </c>
      <c r="L296" s="1134">
        <f t="shared" si="17"/>
        <v>0.99999999999999978</v>
      </c>
      <c r="M296" s="3064">
        <v>0.9559533047714569</v>
      </c>
      <c r="N296" s="3064">
        <v>2.1379601314979301E-2</v>
      </c>
      <c r="O296" s="3061">
        <v>2.2667093913563599E-2</v>
      </c>
    </row>
    <row r="297" spans="1:15" s="277" customFormat="1">
      <c r="A297" s="279">
        <f t="shared" si="13"/>
        <v>2023.12</v>
      </c>
      <c r="B297" s="1154"/>
      <c r="C297" s="3063"/>
      <c r="D297" s="1155"/>
      <c r="E297" s="1154"/>
      <c r="F297" s="3063"/>
      <c r="G297" s="1155"/>
      <c r="H297" s="1134">
        <f t="shared" si="16"/>
        <v>1.0000000000000004</v>
      </c>
      <c r="I297" s="3064">
        <v>0.89855845969616099</v>
      </c>
      <c r="J297" s="3064">
        <v>5.1116159796461599E-2</v>
      </c>
      <c r="K297" s="1878">
        <v>5.0325380507377802E-2</v>
      </c>
      <c r="L297" s="1134">
        <f t="shared" si="17"/>
        <v>0.99999999999999967</v>
      </c>
      <c r="M297" s="3064">
        <v>0.94712743384877196</v>
      </c>
      <c r="N297" s="3064">
        <v>2.9898464232003697E-2</v>
      </c>
      <c r="O297" s="3061">
        <v>2.2974101919223999E-2</v>
      </c>
    </row>
    <row r="298" spans="1:15" s="277" customFormat="1">
      <c r="A298" s="279">
        <f t="shared" ref="A298:A361" si="18">A286+1</f>
        <v>2024.01</v>
      </c>
      <c r="B298" s="1154"/>
      <c r="C298" s="3063"/>
      <c r="D298" s="1155"/>
      <c r="E298" s="1154"/>
      <c r="F298" s="3063"/>
      <c r="G298" s="1155"/>
      <c r="H298" s="1134">
        <f t="shared" si="16"/>
        <v>1.0000000000000004</v>
      </c>
      <c r="I298" s="3064">
        <v>0.93693242104975194</v>
      </c>
      <c r="J298" s="3064">
        <v>4.1535821272803704E-2</v>
      </c>
      <c r="K298" s="1878">
        <v>2.15317576774447E-2</v>
      </c>
      <c r="L298" s="1134">
        <f t="shared" si="17"/>
        <v>0.99999999999999967</v>
      </c>
      <c r="M298" s="3064">
        <v>0.96918192821131199</v>
      </c>
      <c r="N298" s="3064">
        <v>1.49277922071438E-3</v>
      </c>
      <c r="O298" s="3061">
        <v>2.9325292567973296E-2</v>
      </c>
    </row>
    <row r="299" spans="1:15" s="277" customFormat="1">
      <c r="A299" s="279">
        <f t="shared" si="18"/>
        <v>2024.02</v>
      </c>
      <c r="B299" s="1154"/>
      <c r="C299" s="3063"/>
      <c r="D299" s="1155"/>
      <c r="E299" s="1154"/>
      <c r="F299" s="3063"/>
      <c r="G299" s="1155"/>
      <c r="H299" s="1134">
        <f t="shared" si="16"/>
        <v>0.99999999999999978</v>
      </c>
      <c r="I299" s="3064">
        <v>0.92983623984615504</v>
      </c>
      <c r="J299" s="3064">
        <v>2.9931131221887203E-2</v>
      </c>
      <c r="K299" s="1878">
        <v>4.0232628931957504E-2</v>
      </c>
      <c r="L299" s="1134">
        <f t="shared" si="17"/>
        <v>0.99999999999999956</v>
      </c>
      <c r="M299" s="3064">
        <v>0.95015295182844595</v>
      </c>
      <c r="N299" s="3064">
        <v>2.5978621911299002E-2</v>
      </c>
      <c r="O299" s="3061">
        <v>2.3868426260254698E-2</v>
      </c>
    </row>
    <row r="300" spans="1:15" s="277" customFormat="1">
      <c r="A300" s="279">
        <f t="shared" si="18"/>
        <v>2024.03</v>
      </c>
      <c r="B300" s="1154"/>
      <c r="C300" s="3063"/>
      <c r="D300" s="1155"/>
      <c r="E300" s="1154"/>
      <c r="F300" s="3063"/>
      <c r="G300" s="1155"/>
      <c r="H300" s="1134">
        <f t="shared" si="16"/>
        <v>0.99999999999999978</v>
      </c>
      <c r="I300" s="3064">
        <v>0.94553748948638205</v>
      </c>
      <c r="J300" s="3064">
        <v>3.6397910483170801E-2</v>
      </c>
      <c r="K300" s="1878">
        <v>1.8064600030446999E-2</v>
      </c>
      <c r="L300" s="1134">
        <f t="shared" si="17"/>
        <v>0.99999999999999956</v>
      </c>
      <c r="M300" s="3064">
        <v>0.90215637954774708</v>
      </c>
      <c r="N300" s="3064">
        <v>6.3909391622893302E-2</v>
      </c>
      <c r="O300" s="3061">
        <v>3.3934228829359203E-2</v>
      </c>
    </row>
    <row r="301" spans="1:15" s="277" customFormat="1">
      <c r="A301" s="279">
        <f t="shared" si="18"/>
        <v>2024.04</v>
      </c>
      <c r="B301" s="1154"/>
      <c r="C301" s="3063"/>
      <c r="D301" s="1155"/>
      <c r="E301" s="1154"/>
      <c r="F301" s="3063"/>
      <c r="G301" s="1155"/>
      <c r="H301" s="1134">
        <f t="shared" si="16"/>
        <v>1</v>
      </c>
      <c r="I301" s="3064">
        <v>0.91647814521917192</v>
      </c>
      <c r="J301" s="3064">
        <v>5.0407735072062296E-2</v>
      </c>
      <c r="K301" s="1878">
        <v>3.31141197087658E-2</v>
      </c>
      <c r="L301" s="1134">
        <f t="shared" si="17"/>
        <v>1.0000000000000007</v>
      </c>
      <c r="M301" s="3064">
        <v>0.97068078426172599</v>
      </c>
      <c r="N301" s="3064">
        <v>2.6746486732071001E-2</v>
      </c>
      <c r="O301" s="3061">
        <v>2.5727290062035803E-3</v>
      </c>
    </row>
    <row r="302" spans="1:15" s="277" customFormat="1">
      <c r="A302" s="279">
        <f t="shared" si="18"/>
        <v>2024.05</v>
      </c>
      <c r="B302" s="1154"/>
      <c r="C302" s="3063"/>
      <c r="D302" s="1155"/>
      <c r="E302" s="1154"/>
      <c r="F302" s="3063"/>
      <c r="G302" s="1155"/>
      <c r="H302" s="1134">
        <f t="shared" si="16"/>
        <v>0.99999999999999967</v>
      </c>
      <c r="I302" s="3064">
        <v>0.90974138273021499</v>
      </c>
      <c r="J302" s="3064">
        <v>6.4814460366306295E-2</v>
      </c>
      <c r="K302" s="1878">
        <v>2.5444156903478298E-2</v>
      </c>
      <c r="L302" s="1134">
        <f t="shared" si="17"/>
        <v>1.0000000000000004</v>
      </c>
      <c r="M302" s="3064">
        <v>0.9526190573441311</v>
      </c>
      <c r="N302" s="3064">
        <v>1.9792763945502501E-2</v>
      </c>
      <c r="O302" s="3061">
        <v>2.7588178710366801E-2</v>
      </c>
    </row>
    <row r="303" spans="1:15" s="277" customFormat="1">
      <c r="A303" s="279">
        <f t="shared" si="18"/>
        <v>2024.06</v>
      </c>
      <c r="B303" s="1154"/>
      <c r="C303" s="3063"/>
      <c r="D303" s="1155"/>
      <c r="E303" s="1154"/>
      <c r="F303" s="3063"/>
      <c r="G303" s="1155"/>
      <c r="H303" s="1134">
        <f t="shared" si="16"/>
        <v>1</v>
      </c>
      <c r="I303" s="3064">
        <v>0.94945162797576099</v>
      </c>
      <c r="J303" s="3064">
        <v>3.4188143489391698E-2</v>
      </c>
      <c r="K303" s="1878">
        <v>1.63602285348474E-2</v>
      </c>
      <c r="L303" s="1134">
        <f t="shared" si="17"/>
        <v>0.99999999999999944</v>
      </c>
      <c r="M303" s="3064">
        <v>0.91510748672046804</v>
      </c>
      <c r="N303" s="3064">
        <v>5.6371871801938804E-2</v>
      </c>
      <c r="O303" s="3061">
        <v>2.85206414775926E-2</v>
      </c>
    </row>
    <row r="304" spans="1:15" s="277" customFormat="1">
      <c r="A304" s="279">
        <f t="shared" si="18"/>
        <v>2024.07</v>
      </c>
      <c r="B304" s="1154"/>
      <c r="C304" s="3063"/>
      <c r="D304" s="1155"/>
      <c r="E304" s="1154"/>
      <c r="F304" s="3063"/>
      <c r="G304" s="1155"/>
      <c r="H304" s="1134">
        <f t="shared" si="16"/>
        <v>0.99999999999999967</v>
      </c>
      <c r="I304" s="3064">
        <v>0.93807457371772296</v>
      </c>
      <c r="J304" s="3064">
        <v>3.3619488274512596E-2</v>
      </c>
      <c r="K304" s="1878">
        <v>2.8305938007764202E-2</v>
      </c>
      <c r="L304" s="1134">
        <f t="shared" si="17"/>
        <v>1.0000000000000004</v>
      </c>
      <c r="M304" s="3064">
        <v>0.93507174038470497</v>
      </c>
      <c r="N304" s="3064">
        <v>5.1832049910868705E-2</v>
      </c>
      <c r="O304" s="3061">
        <v>1.30962097044266E-2</v>
      </c>
    </row>
    <row r="305" spans="1:15" s="277" customFormat="1">
      <c r="A305" s="279">
        <f t="shared" si="18"/>
        <v>2024.08</v>
      </c>
      <c r="B305" s="1154"/>
      <c r="C305" s="3063"/>
      <c r="D305" s="1155"/>
      <c r="E305" s="1154"/>
      <c r="F305" s="3063"/>
      <c r="G305" s="1155"/>
      <c r="H305" s="1134">
        <f t="shared" si="16"/>
        <v>0.99999999999999989</v>
      </c>
      <c r="I305" s="3064">
        <v>0.92262124801833911</v>
      </c>
      <c r="J305" s="3064">
        <v>5.1259518505512795E-2</v>
      </c>
      <c r="K305" s="1878">
        <v>2.6119233476148002E-2</v>
      </c>
      <c r="L305" s="1134">
        <f t="shared" si="17"/>
        <v>0.99999999999999956</v>
      </c>
      <c r="M305" s="3064">
        <v>0.96141114610700196</v>
      </c>
      <c r="N305" s="3064">
        <v>2.4567298808124999E-2</v>
      </c>
      <c r="O305" s="3061">
        <v>1.4021555084872598E-2</v>
      </c>
    </row>
    <row r="306" spans="1:15" s="277" customFormat="1">
      <c r="A306" s="279">
        <f t="shared" si="18"/>
        <v>2024.09</v>
      </c>
      <c r="B306" s="1154"/>
      <c r="C306" s="3063"/>
      <c r="D306" s="1155"/>
      <c r="E306" s="1154"/>
      <c r="F306" s="3063"/>
      <c r="G306" s="1155"/>
      <c r="H306" s="1134">
        <f t="shared" si="16"/>
        <v>1.0000000000000002</v>
      </c>
      <c r="I306" s="3064">
        <v>0.94773606197163407</v>
      </c>
      <c r="J306" s="3064">
        <v>4.4665608649983798E-2</v>
      </c>
      <c r="K306" s="1878">
        <v>7.5983293783823003E-3</v>
      </c>
      <c r="L306" s="1134">
        <f t="shared" si="17"/>
        <v>0.99999999999999956</v>
      </c>
      <c r="M306" s="3064">
        <v>0.94946705283407895</v>
      </c>
      <c r="N306" s="3064">
        <v>2.9180394179237502E-2</v>
      </c>
      <c r="O306" s="3061">
        <v>2.1352552986683201E-2</v>
      </c>
    </row>
    <row r="307" spans="1:15" s="277" customFormat="1">
      <c r="A307" s="279">
        <f t="shared" si="18"/>
        <v>2024.1</v>
      </c>
      <c r="B307" s="1154"/>
      <c r="C307" s="3063"/>
      <c r="D307" s="1155"/>
      <c r="E307" s="1154"/>
      <c r="F307" s="3063"/>
      <c r="G307" s="1155"/>
      <c r="H307" s="1134">
        <f t="shared" si="16"/>
        <v>0.99999999999999956</v>
      </c>
      <c r="I307" s="3064">
        <v>0.93395642152698999</v>
      </c>
      <c r="J307" s="3064">
        <v>4.7159152566482898E-2</v>
      </c>
      <c r="K307" s="1878">
        <v>1.88844259065266E-2</v>
      </c>
      <c r="L307" s="1134">
        <f t="shared" si="17"/>
        <v>1.0000000000000007</v>
      </c>
      <c r="M307" s="3064">
        <v>0.93403371785600597</v>
      </c>
      <c r="N307" s="3064">
        <v>4.40791366000386E-2</v>
      </c>
      <c r="O307" s="3061">
        <v>2.1887145543956002E-2</v>
      </c>
    </row>
    <row r="308" spans="1:15" s="277" customFormat="1">
      <c r="A308" s="279">
        <f t="shared" si="18"/>
        <v>2024.11</v>
      </c>
      <c r="B308" s="1154"/>
      <c r="C308" s="3063"/>
      <c r="D308" s="1155"/>
      <c r="E308" s="1154"/>
      <c r="F308" s="3063"/>
      <c r="G308" s="1155"/>
      <c r="H308" s="1134">
        <f t="shared" si="16"/>
        <v>1.0000000000000004</v>
      </c>
      <c r="I308" s="3064">
        <v>0.90852783266737303</v>
      </c>
      <c r="J308" s="3064">
        <v>5.4606407865444802E-2</v>
      </c>
      <c r="K308" s="1878">
        <v>3.6865759467182603E-2</v>
      </c>
      <c r="L308" s="1134">
        <f t="shared" si="17"/>
        <v>1.0000000000000004</v>
      </c>
      <c r="M308" s="3064">
        <v>0.88844008839291311</v>
      </c>
      <c r="N308" s="3064">
        <v>9.2959895812684101E-2</v>
      </c>
      <c r="O308" s="3061">
        <v>1.86000157944032E-2</v>
      </c>
    </row>
    <row r="309" spans="1:15" s="277" customFormat="1">
      <c r="A309" s="279">
        <f t="shared" si="18"/>
        <v>2024.12</v>
      </c>
      <c r="B309" s="1154"/>
      <c r="C309" s="3063"/>
      <c r="D309" s="1155"/>
      <c r="E309" s="1154"/>
      <c r="F309" s="3063"/>
      <c r="G309" s="1155"/>
      <c r="H309" s="1134">
        <f t="shared" si="16"/>
        <v>0.99999999999999967</v>
      </c>
      <c r="I309" s="3064">
        <v>0.89566256380471598</v>
      </c>
      <c r="J309" s="3064">
        <v>7.0338334059798405E-2</v>
      </c>
      <c r="K309" s="1878">
        <v>3.39991021354853E-2</v>
      </c>
      <c r="L309" s="1134">
        <f t="shared" si="17"/>
        <v>0.99999999999999967</v>
      </c>
      <c r="M309" s="3064">
        <v>0.94952270565771701</v>
      </c>
      <c r="N309" s="3064">
        <v>4.4731911022771298E-2</v>
      </c>
      <c r="O309" s="3061">
        <v>5.7453833195113798E-3</v>
      </c>
    </row>
    <row r="310" spans="1:15" s="277" customFormat="1">
      <c r="A310" s="279">
        <f t="shared" si="18"/>
        <v>2025.01</v>
      </c>
      <c r="B310" s="1154"/>
      <c r="C310" s="3063"/>
      <c r="D310" s="1155"/>
      <c r="E310" s="1154"/>
      <c r="F310" s="3063"/>
      <c r="G310" s="1155"/>
      <c r="H310" s="1134">
        <f t="shared" si="16"/>
        <v>1</v>
      </c>
      <c r="I310" s="3064">
        <v>0.92100000000000004</v>
      </c>
      <c r="J310" s="3064">
        <v>7.0000000000000007E-2</v>
      </c>
      <c r="K310" s="1878">
        <v>8.9999999999999993E-3</v>
      </c>
      <c r="L310" s="1134">
        <f t="shared" si="17"/>
        <v>1</v>
      </c>
      <c r="M310" s="3064">
        <v>0.89400000000000002</v>
      </c>
      <c r="N310" s="3064">
        <v>6.6000000000000003E-2</v>
      </c>
      <c r="O310" s="3061">
        <v>0.04</v>
      </c>
    </row>
    <row r="311" spans="1:15" s="277" customFormat="1">
      <c r="A311" s="279">
        <f t="shared" si="18"/>
        <v>2025.02</v>
      </c>
      <c r="B311" s="1154"/>
      <c r="C311" s="3063"/>
      <c r="D311" s="1155"/>
      <c r="E311" s="1154"/>
      <c r="F311" s="3063"/>
      <c r="G311" s="1155"/>
      <c r="H311" s="1134">
        <f t="shared" si="16"/>
        <v>0.99999999999999989</v>
      </c>
      <c r="I311" s="3064">
        <v>0.96712646262201507</v>
      </c>
      <c r="J311" s="3064">
        <v>3.2236624752717602E-2</v>
      </c>
      <c r="K311" s="1878">
        <v>6.3691262526717094E-4</v>
      </c>
      <c r="L311" s="1134">
        <f t="shared" si="17"/>
        <v>1.0000000000000002</v>
      </c>
      <c r="M311" s="3064">
        <v>0.9096322573645359</v>
      </c>
      <c r="N311" s="3064">
        <v>6.7587995526792205E-2</v>
      </c>
      <c r="O311" s="3061">
        <v>2.2779747108672203E-2</v>
      </c>
    </row>
    <row r="312" spans="1:15" s="277" customFormat="1">
      <c r="A312" s="279">
        <f t="shared" si="18"/>
        <v>2025.03</v>
      </c>
      <c r="B312" s="1154"/>
      <c r="C312" s="3063"/>
      <c r="D312" s="1155"/>
      <c r="E312" s="1154"/>
      <c r="F312" s="3063"/>
      <c r="G312" s="1155"/>
      <c r="H312" s="1134">
        <f t="shared" si="16"/>
        <v>1</v>
      </c>
      <c r="I312" s="3064">
        <v>0.91500000000000004</v>
      </c>
      <c r="J312" s="3064">
        <v>4.7E-2</v>
      </c>
      <c r="K312" s="1878">
        <v>3.7999999999999999E-2</v>
      </c>
      <c r="L312" s="1134">
        <f t="shared" si="17"/>
        <v>1</v>
      </c>
      <c r="M312" s="3064">
        <v>0.95</v>
      </c>
      <c r="N312" s="3064">
        <v>2.1999999999999999E-2</v>
      </c>
      <c r="O312" s="3061">
        <v>2.8000000000000001E-2</v>
      </c>
    </row>
    <row r="313" spans="1:15" s="277" customFormat="1">
      <c r="A313" s="279">
        <f t="shared" si="18"/>
        <v>2025.04</v>
      </c>
      <c r="B313" s="1154"/>
      <c r="C313" s="3063"/>
      <c r="D313" s="1155"/>
      <c r="E313" s="1154"/>
      <c r="F313" s="3063"/>
      <c r="G313" s="1155"/>
      <c r="H313" s="1134" t="e">
        <f t="shared" si="16"/>
        <v>#N/A</v>
      </c>
      <c r="I313" s="3064" t="e">
        <v>#N/A</v>
      </c>
      <c r="J313" s="3064" t="e">
        <v>#N/A</v>
      </c>
      <c r="K313" s="1878" t="e">
        <v>#N/A</v>
      </c>
      <c r="L313" s="1134" t="e">
        <f t="shared" si="17"/>
        <v>#N/A</v>
      </c>
      <c r="M313" s="3064" t="e">
        <v>#N/A</v>
      </c>
      <c r="N313" s="3064" t="e">
        <v>#N/A</v>
      </c>
      <c r="O313" s="3061" t="e">
        <v>#N/A</v>
      </c>
    </row>
    <row r="314" spans="1:15" s="277" customFormat="1">
      <c r="A314" s="279">
        <f t="shared" si="18"/>
        <v>2025.05</v>
      </c>
      <c r="B314" s="1154"/>
      <c r="C314" s="3063"/>
      <c r="D314" s="1155"/>
      <c r="E314" s="1154"/>
      <c r="F314" s="3063"/>
      <c r="G314" s="1155"/>
      <c r="H314" s="1134" t="e">
        <f t="shared" si="16"/>
        <v>#N/A</v>
      </c>
      <c r="I314" s="3064" t="e">
        <v>#N/A</v>
      </c>
      <c r="J314" s="3064" t="e">
        <v>#N/A</v>
      </c>
      <c r="K314" s="1878" t="e">
        <v>#N/A</v>
      </c>
      <c r="L314" s="1134" t="e">
        <f t="shared" si="17"/>
        <v>#N/A</v>
      </c>
      <c r="M314" s="3064" t="e">
        <v>#N/A</v>
      </c>
      <c r="N314" s="3064" t="e">
        <v>#N/A</v>
      </c>
      <c r="O314" s="3061" t="e">
        <v>#N/A</v>
      </c>
    </row>
    <row r="315" spans="1:15" s="277" customFormat="1">
      <c r="A315" s="279">
        <f t="shared" si="18"/>
        <v>2025.06</v>
      </c>
      <c r="B315" s="1154"/>
      <c r="C315" s="3063"/>
      <c r="D315" s="1155"/>
      <c r="E315" s="1154"/>
      <c r="F315" s="3063"/>
      <c r="G315" s="1155"/>
      <c r="H315" s="1134" t="e">
        <f t="shared" si="16"/>
        <v>#N/A</v>
      </c>
      <c r="I315" s="3064" t="e">
        <v>#N/A</v>
      </c>
      <c r="J315" s="3064" t="e">
        <v>#N/A</v>
      </c>
      <c r="K315" s="1878" t="e">
        <v>#N/A</v>
      </c>
      <c r="L315" s="1134" t="e">
        <f t="shared" si="17"/>
        <v>#N/A</v>
      </c>
      <c r="M315" s="3064" t="e">
        <v>#N/A</v>
      </c>
      <c r="N315" s="3064" t="e">
        <v>#N/A</v>
      </c>
      <c r="O315" s="3061" t="e">
        <v>#N/A</v>
      </c>
    </row>
    <row r="316" spans="1:15" s="277" customFormat="1">
      <c r="A316" s="279">
        <f t="shared" si="18"/>
        <v>2025.07</v>
      </c>
      <c r="B316" s="1154"/>
      <c r="C316" s="3063"/>
      <c r="D316" s="1155"/>
      <c r="E316" s="1154"/>
      <c r="F316" s="3063"/>
      <c r="G316" s="1155"/>
      <c r="H316" s="1134" t="e">
        <f t="shared" si="16"/>
        <v>#N/A</v>
      </c>
      <c r="I316" s="3064" t="e">
        <v>#N/A</v>
      </c>
      <c r="J316" s="3064" t="e">
        <v>#N/A</v>
      </c>
      <c r="K316" s="1878" t="e">
        <v>#N/A</v>
      </c>
      <c r="L316" s="1134" t="e">
        <f t="shared" si="17"/>
        <v>#N/A</v>
      </c>
      <c r="M316" s="3064" t="e">
        <v>#N/A</v>
      </c>
      <c r="N316" s="3064" t="e">
        <v>#N/A</v>
      </c>
      <c r="O316" s="3061" t="e">
        <v>#N/A</v>
      </c>
    </row>
    <row r="317" spans="1:15" s="277" customFormat="1">
      <c r="A317" s="279">
        <f t="shared" si="18"/>
        <v>2025.08</v>
      </c>
      <c r="B317" s="1154"/>
      <c r="C317" s="3063"/>
      <c r="D317" s="1155"/>
      <c r="E317" s="1154"/>
      <c r="F317" s="3063"/>
      <c r="G317" s="1155"/>
      <c r="H317" s="1134" t="e">
        <f t="shared" si="16"/>
        <v>#N/A</v>
      </c>
      <c r="I317" s="3064" t="e">
        <v>#N/A</v>
      </c>
      <c r="J317" s="3064" t="e">
        <v>#N/A</v>
      </c>
      <c r="K317" s="1878" t="e">
        <v>#N/A</v>
      </c>
      <c r="L317" s="1134" t="e">
        <f t="shared" si="17"/>
        <v>#N/A</v>
      </c>
      <c r="M317" s="3064" t="e">
        <v>#N/A</v>
      </c>
      <c r="N317" s="3064" t="e">
        <v>#N/A</v>
      </c>
      <c r="O317" s="3061" t="e">
        <v>#N/A</v>
      </c>
    </row>
    <row r="318" spans="1:15" s="277" customFormat="1">
      <c r="A318" s="279">
        <f t="shared" si="18"/>
        <v>2025.09</v>
      </c>
      <c r="B318" s="1154"/>
      <c r="C318" s="3063"/>
      <c r="D318" s="1155"/>
      <c r="E318" s="1154"/>
      <c r="F318" s="3063"/>
      <c r="G318" s="1155"/>
      <c r="H318" s="1134" t="e">
        <f t="shared" si="16"/>
        <v>#N/A</v>
      </c>
      <c r="I318" s="3064" t="e">
        <v>#N/A</v>
      </c>
      <c r="J318" s="3064" t="e">
        <v>#N/A</v>
      </c>
      <c r="K318" s="1878" t="e">
        <v>#N/A</v>
      </c>
      <c r="L318" s="1134" t="e">
        <f t="shared" si="17"/>
        <v>#N/A</v>
      </c>
      <c r="M318" s="3064" t="e">
        <v>#N/A</v>
      </c>
      <c r="N318" s="3064" t="e">
        <v>#N/A</v>
      </c>
      <c r="O318" s="3061" t="e">
        <v>#N/A</v>
      </c>
    </row>
    <row r="319" spans="1:15" s="277" customFormat="1">
      <c r="A319" s="279">
        <f t="shared" si="18"/>
        <v>2025.1</v>
      </c>
      <c r="B319" s="1154"/>
      <c r="C319" s="3063"/>
      <c r="D319" s="1155"/>
      <c r="E319" s="1154"/>
      <c r="F319" s="3063"/>
      <c r="G319" s="1155"/>
      <c r="H319" s="1134" t="e">
        <f t="shared" si="16"/>
        <v>#N/A</v>
      </c>
      <c r="I319" s="3064" t="e">
        <v>#N/A</v>
      </c>
      <c r="J319" s="3064" t="e">
        <v>#N/A</v>
      </c>
      <c r="K319" s="1878" t="e">
        <v>#N/A</v>
      </c>
      <c r="L319" s="1134" t="e">
        <f t="shared" si="17"/>
        <v>#N/A</v>
      </c>
      <c r="M319" s="3064" t="e">
        <v>#N/A</v>
      </c>
      <c r="N319" s="3064" t="e">
        <v>#N/A</v>
      </c>
      <c r="O319" s="3061" t="e">
        <v>#N/A</v>
      </c>
    </row>
    <row r="320" spans="1:15" s="277" customFormat="1">
      <c r="A320" s="279">
        <f t="shared" si="18"/>
        <v>2025.11</v>
      </c>
      <c r="B320" s="1154"/>
      <c r="C320" s="3063"/>
      <c r="D320" s="1155"/>
      <c r="E320" s="1154"/>
      <c r="F320" s="3063"/>
      <c r="G320" s="1155"/>
      <c r="H320" s="1134" t="e">
        <f t="shared" si="16"/>
        <v>#N/A</v>
      </c>
      <c r="I320" s="3064" t="e">
        <v>#N/A</v>
      </c>
      <c r="J320" s="3064" t="e">
        <v>#N/A</v>
      </c>
      <c r="K320" s="1878" t="e">
        <v>#N/A</v>
      </c>
      <c r="L320" s="1134" t="e">
        <f t="shared" si="17"/>
        <v>#N/A</v>
      </c>
      <c r="M320" s="3064" t="e">
        <v>#N/A</v>
      </c>
      <c r="N320" s="3064" t="e">
        <v>#N/A</v>
      </c>
      <c r="O320" s="3061" t="e">
        <v>#N/A</v>
      </c>
    </row>
    <row r="321" spans="1:15" s="277" customFormat="1">
      <c r="A321" s="279">
        <f t="shared" si="18"/>
        <v>2025.12</v>
      </c>
      <c r="B321" s="1154"/>
      <c r="C321" s="3063"/>
      <c r="D321" s="1155"/>
      <c r="E321" s="1154"/>
      <c r="F321" s="3063"/>
      <c r="G321" s="1155"/>
      <c r="H321" s="1134" t="e">
        <f t="shared" ref="H321" si="19">+I321+J321+K321</f>
        <v>#N/A</v>
      </c>
      <c r="I321" s="3064" t="e">
        <v>#N/A</v>
      </c>
      <c r="J321" s="3064" t="e">
        <v>#N/A</v>
      </c>
      <c r="K321" s="1878" t="e">
        <v>#N/A</v>
      </c>
      <c r="L321" s="1134" t="e">
        <f t="shared" ref="L321" si="20">M321+N321+O321</f>
        <v>#N/A</v>
      </c>
      <c r="M321" s="3064" t="e">
        <v>#N/A</v>
      </c>
      <c r="N321" s="3064" t="e">
        <v>#N/A</v>
      </c>
      <c r="O321" s="3061" t="e">
        <v>#N/A</v>
      </c>
    </row>
    <row r="322" spans="1:15" s="277" customFormat="1">
      <c r="A322" s="279">
        <f t="shared" si="18"/>
        <v>2026.01</v>
      </c>
      <c r="B322" s="1154"/>
      <c r="C322" s="3063"/>
      <c r="D322" s="1155"/>
      <c r="E322" s="1154"/>
      <c r="F322" s="3063"/>
      <c r="G322" s="1155"/>
      <c r="H322" s="1134" t="e">
        <f t="shared" ref="H322:H335" si="21">+I322+J322+K322</f>
        <v>#N/A</v>
      </c>
      <c r="I322" s="3064" t="e">
        <v>#N/A</v>
      </c>
      <c r="J322" s="3064" t="e">
        <v>#N/A</v>
      </c>
      <c r="K322" s="1878" t="e">
        <v>#N/A</v>
      </c>
      <c r="L322" s="1134" t="e">
        <f t="shared" ref="L322:L335" si="22">M322+N322+O322</f>
        <v>#N/A</v>
      </c>
      <c r="M322" s="3064" t="e">
        <v>#N/A</v>
      </c>
      <c r="N322" s="3064" t="e">
        <v>#N/A</v>
      </c>
      <c r="O322" s="3061" t="e">
        <v>#N/A</v>
      </c>
    </row>
    <row r="323" spans="1:15" s="277" customFormat="1">
      <c r="A323" s="279">
        <f t="shared" si="18"/>
        <v>2026.02</v>
      </c>
      <c r="B323" s="1154"/>
      <c r="C323" s="3063"/>
      <c r="D323" s="1155"/>
      <c r="E323" s="1154"/>
      <c r="F323" s="3063"/>
      <c r="G323" s="1155"/>
      <c r="H323" s="1134" t="e">
        <f t="shared" si="21"/>
        <v>#N/A</v>
      </c>
      <c r="I323" s="3064" t="e">
        <v>#N/A</v>
      </c>
      <c r="J323" s="3064" t="e">
        <v>#N/A</v>
      </c>
      <c r="K323" s="1878" t="e">
        <v>#N/A</v>
      </c>
      <c r="L323" s="1134" t="e">
        <f t="shared" si="22"/>
        <v>#N/A</v>
      </c>
      <c r="M323" s="3064" t="e">
        <v>#N/A</v>
      </c>
      <c r="N323" s="3064" t="e">
        <v>#N/A</v>
      </c>
      <c r="O323" s="3061" t="e">
        <v>#N/A</v>
      </c>
    </row>
    <row r="324" spans="1:15" s="277" customFormat="1">
      <c r="A324" s="279">
        <f t="shared" si="18"/>
        <v>2026.03</v>
      </c>
      <c r="B324" s="1154"/>
      <c r="C324" s="3063"/>
      <c r="D324" s="1155"/>
      <c r="E324" s="1154"/>
      <c r="F324" s="3063"/>
      <c r="G324" s="1155"/>
      <c r="H324" s="1134" t="e">
        <f t="shared" si="21"/>
        <v>#N/A</v>
      </c>
      <c r="I324" s="3064" t="e">
        <v>#N/A</v>
      </c>
      <c r="J324" s="3064" t="e">
        <v>#N/A</v>
      </c>
      <c r="K324" s="1878" t="e">
        <v>#N/A</v>
      </c>
      <c r="L324" s="1134" t="e">
        <f t="shared" si="22"/>
        <v>#N/A</v>
      </c>
      <c r="M324" s="3064" t="e">
        <v>#N/A</v>
      </c>
      <c r="N324" s="3064" t="e">
        <v>#N/A</v>
      </c>
      <c r="O324" s="3061" t="e">
        <v>#N/A</v>
      </c>
    </row>
    <row r="325" spans="1:15" s="277" customFormat="1">
      <c r="A325" s="279">
        <f t="shared" si="18"/>
        <v>2026.04</v>
      </c>
      <c r="B325" s="1154"/>
      <c r="C325" s="3063"/>
      <c r="D325" s="1155"/>
      <c r="E325" s="1154"/>
      <c r="F325" s="3063"/>
      <c r="G325" s="1155"/>
      <c r="H325" s="1134" t="e">
        <f t="shared" si="21"/>
        <v>#N/A</v>
      </c>
      <c r="I325" s="3064" t="e">
        <v>#N/A</v>
      </c>
      <c r="J325" s="3064" t="e">
        <v>#N/A</v>
      </c>
      <c r="K325" s="1878" t="e">
        <v>#N/A</v>
      </c>
      <c r="L325" s="1134" t="e">
        <f t="shared" si="22"/>
        <v>#N/A</v>
      </c>
      <c r="M325" s="3064" t="e">
        <v>#N/A</v>
      </c>
      <c r="N325" s="3064" t="e">
        <v>#N/A</v>
      </c>
      <c r="O325" s="3061" t="e">
        <v>#N/A</v>
      </c>
    </row>
    <row r="326" spans="1:15" s="277" customFormat="1">
      <c r="A326" s="279">
        <f t="shared" si="18"/>
        <v>2026.05</v>
      </c>
      <c r="B326" s="1154"/>
      <c r="C326" s="3063"/>
      <c r="D326" s="1155"/>
      <c r="E326" s="1154"/>
      <c r="F326" s="3063"/>
      <c r="G326" s="1155"/>
      <c r="H326" s="1134" t="e">
        <f t="shared" si="21"/>
        <v>#N/A</v>
      </c>
      <c r="I326" s="3064" t="e">
        <v>#N/A</v>
      </c>
      <c r="J326" s="3064" t="e">
        <v>#N/A</v>
      </c>
      <c r="K326" s="1878" t="e">
        <v>#N/A</v>
      </c>
      <c r="L326" s="1134" t="e">
        <f t="shared" si="22"/>
        <v>#N/A</v>
      </c>
      <c r="M326" s="3064" t="e">
        <v>#N/A</v>
      </c>
      <c r="N326" s="3064" t="e">
        <v>#N/A</v>
      </c>
      <c r="O326" s="3061" t="e">
        <v>#N/A</v>
      </c>
    </row>
    <row r="327" spans="1:15" s="277" customFormat="1">
      <c r="A327" s="279">
        <f t="shared" si="18"/>
        <v>2026.06</v>
      </c>
      <c r="B327" s="1154"/>
      <c r="C327" s="3063"/>
      <c r="D327" s="1155"/>
      <c r="E327" s="1154"/>
      <c r="F327" s="3063"/>
      <c r="G327" s="1155"/>
      <c r="H327" s="1134" t="e">
        <f t="shared" si="21"/>
        <v>#N/A</v>
      </c>
      <c r="I327" s="3064" t="e">
        <v>#N/A</v>
      </c>
      <c r="J327" s="3064" t="e">
        <v>#N/A</v>
      </c>
      <c r="K327" s="1878" t="e">
        <v>#N/A</v>
      </c>
      <c r="L327" s="1134" t="e">
        <f t="shared" si="22"/>
        <v>#N/A</v>
      </c>
      <c r="M327" s="3064" t="e">
        <v>#N/A</v>
      </c>
      <c r="N327" s="3064" t="e">
        <v>#N/A</v>
      </c>
      <c r="O327" s="3061" t="e">
        <v>#N/A</v>
      </c>
    </row>
    <row r="328" spans="1:15" s="277" customFormat="1">
      <c r="A328" s="279">
        <f t="shared" si="18"/>
        <v>2026.07</v>
      </c>
      <c r="B328" s="1154"/>
      <c r="C328" s="3063"/>
      <c r="D328" s="1155"/>
      <c r="E328" s="1154"/>
      <c r="F328" s="3063"/>
      <c r="G328" s="1155"/>
      <c r="H328" s="1134" t="e">
        <f t="shared" si="21"/>
        <v>#N/A</v>
      </c>
      <c r="I328" s="3064" t="e">
        <v>#N/A</v>
      </c>
      <c r="J328" s="3064" t="e">
        <v>#N/A</v>
      </c>
      <c r="K328" s="1878" t="e">
        <v>#N/A</v>
      </c>
      <c r="L328" s="1134" t="e">
        <f t="shared" si="22"/>
        <v>#N/A</v>
      </c>
      <c r="M328" s="3064" t="e">
        <v>#N/A</v>
      </c>
      <c r="N328" s="3064" t="e">
        <v>#N/A</v>
      </c>
      <c r="O328" s="3061" t="e">
        <v>#N/A</v>
      </c>
    </row>
    <row r="329" spans="1:15" s="277" customFormat="1">
      <c r="A329" s="279">
        <f t="shared" si="18"/>
        <v>2026.08</v>
      </c>
      <c r="B329" s="1154"/>
      <c r="C329" s="3063"/>
      <c r="D329" s="1155"/>
      <c r="E329" s="1154"/>
      <c r="F329" s="3063"/>
      <c r="G329" s="1155"/>
      <c r="H329" s="1134" t="e">
        <f t="shared" si="21"/>
        <v>#N/A</v>
      </c>
      <c r="I329" s="3064" t="e">
        <v>#N/A</v>
      </c>
      <c r="J329" s="3064" t="e">
        <v>#N/A</v>
      </c>
      <c r="K329" s="1878" t="e">
        <v>#N/A</v>
      </c>
      <c r="L329" s="1134" t="e">
        <f t="shared" si="22"/>
        <v>#N/A</v>
      </c>
      <c r="M329" s="3064" t="e">
        <v>#N/A</v>
      </c>
      <c r="N329" s="3064" t="e">
        <v>#N/A</v>
      </c>
      <c r="O329" s="3061" t="e">
        <v>#N/A</v>
      </c>
    </row>
    <row r="330" spans="1:15" s="277" customFormat="1">
      <c r="A330" s="279">
        <f t="shared" si="18"/>
        <v>2026.09</v>
      </c>
      <c r="B330" s="1154"/>
      <c r="C330" s="3063"/>
      <c r="D330" s="1155"/>
      <c r="E330" s="1154"/>
      <c r="F330" s="3063"/>
      <c r="G330" s="1155"/>
      <c r="H330" s="1134" t="e">
        <f t="shared" si="21"/>
        <v>#N/A</v>
      </c>
      <c r="I330" s="3064" t="e">
        <v>#N/A</v>
      </c>
      <c r="J330" s="3064" t="e">
        <v>#N/A</v>
      </c>
      <c r="K330" s="1878" t="e">
        <v>#N/A</v>
      </c>
      <c r="L330" s="1134" t="e">
        <f t="shared" si="22"/>
        <v>#N/A</v>
      </c>
      <c r="M330" s="3064" t="e">
        <v>#N/A</v>
      </c>
      <c r="N330" s="3064" t="e">
        <v>#N/A</v>
      </c>
      <c r="O330" s="3061" t="e">
        <v>#N/A</v>
      </c>
    </row>
    <row r="331" spans="1:15" s="277" customFormat="1">
      <c r="A331" s="279">
        <f t="shared" si="18"/>
        <v>2026.1</v>
      </c>
      <c r="B331" s="1154"/>
      <c r="C331" s="3063"/>
      <c r="D331" s="1155"/>
      <c r="E331" s="1154"/>
      <c r="F331" s="3063"/>
      <c r="G331" s="1155"/>
      <c r="H331" s="1134" t="e">
        <f t="shared" si="21"/>
        <v>#N/A</v>
      </c>
      <c r="I331" s="3064" t="e">
        <v>#N/A</v>
      </c>
      <c r="J331" s="3064" t="e">
        <v>#N/A</v>
      </c>
      <c r="K331" s="1878" t="e">
        <v>#N/A</v>
      </c>
      <c r="L331" s="1134" t="e">
        <f t="shared" si="22"/>
        <v>#N/A</v>
      </c>
      <c r="M331" s="3064" t="e">
        <v>#N/A</v>
      </c>
      <c r="N331" s="3064" t="e">
        <v>#N/A</v>
      </c>
      <c r="O331" s="3061" t="e">
        <v>#N/A</v>
      </c>
    </row>
    <row r="332" spans="1:15" s="277" customFormat="1">
      <c r="A332" s="279">
        <f t="shared" si="18"/>
        <v>2026.11</v>
      </c>
      <c r="B332" s="1154"/>
      <c r="C332" s="3063"/>
      <c r="D332" s="1155"/>
      <c r="E332" s="1154"/>
      <c r="F332" s="3063"/>
      <c r="G332" s="1155"/>
      <c r="H332" s="1134" t="e">
        <f t="shared" si="21"/>
        <v>#N/A</v>
      </c>
      <c r="I332" s="3064" t="e">
        <v>#N/A</v>
      </c>
      <c r="J332" s="3064" t="e">
        <v>#N/A</v>
      </c>
      <c r="K332" s="1878" t="e">
        <v>#N/A</v>
      </c>
      <c r="L332" s="1134" t="e">
        <f t="shared" si="22"/>
        <v>#N/A</v>
      </c>
      <c r="M332" s="3064" t="e">
        <v>#N/A</v>
      </c>
      <c r="N332" s="3064" t="e">
        <v>#N/A</v>
      </c>
      <c r="O332" s="3061" t="e">
        <v>#N/A</v>
      </c>
    </row>
    <row r="333" spans="1:15" s="277" customFormat="1">
      <c r="A333" s="279">
        <f t="shared" si="18"/>
        <v>2026.12</v>
      </c>
      <c r="B333" s="1154"/>
      <c r="C333" s="3063"/>
      <c r="D333" s="1155"/>
      <c r="E333" s="1154"/>
      <c r="F333" s="3063"/>
      <c r="G333" s="1155"/>
      <c r="H333" s="1134" t="e">
        <f t="shared" si="21"/>
        <v>#N/A</v>
      </c>
      <c r="I333" s="3064" t="e">
        <v>#N/A</v>
      </c>
      <c r="J333" s="3064" t="e">
        <v>#N/A</v>
      </c>
      <c r="K333" s="1878" t="e">
        <v>#N/A</v>
      </c>
      <c r="L333" s="1134" t="e">
        <f t="shared" si="22"/>
        <v>#N/A</v>
      </c>
      <c r="M333" s="3064" t="e">
        <v>#N/A</v>
      </c>
      <c r="N333" s="3064" t="e">
        <v>#N/A</v>
      </c>
      <c r="O333" s="3061" t="e">
        <v>#N/A</v>
      </c>
    </row>
    <row r="334" spans="1:15" s="277" customFormat="1">
      <c r="A334" s="279">
        <f t="shared" si="18"/>
        <v>2027.01</v>
      </c>
      <c r="B334" s="1154"/>
      <c r="C334" s="3063"/>
      <c r="D334" s="1155"/>
      <c r="E334" s="1154"/>
      <c r="F334" s="3063"/>
      <c r="G334" s="1155"/>
      <c r="H334" s="1134" t="e">
        <f t="shared" si="21"/>
        <v>#N/A</v>
      </c>
      <c r="I334" s="3064" t="e">
        <v>#N/A</v>
      </c>
      <c r="J334" s="3064" t="e">
        <v>#N/A</v>
      </c>
      <c r="K334" s="1878" t="e">
        <v>#N/A</v>
      </c>
      <c r="L334" s="1134" t="e">
        <f t="shared" si="22"/>
        <v>#N/A</v>
      </c>
      <c r="M334" s="3064" t="e">
        <v>#N/A</v>
      </c>
      <c r="N334" s="3064" t="e">
        <v>#N/A</v>
      </c>
      <c r="O334" s="3061" t="e">
        <v>#N/A</v>
      </c>
    </row>
    <row r="335" spans="1:15" s="277" customFormat="1">
      <c r="A335" s="279">
        <f t="shared" si="18"/>
        <v>2027.02</v>
      </c>
      <c r="B335" s="1154"/>
      <c r="C335" s="3063"/>
      <c r="D335" s="1155"/>
      <c r="E335" s="1154"/>
      <c r="F335" s="3063"/>
      <c r="G335" s="1155"/>
      <c r="H335" s="1134" t="e">
        <f t="shared" si="21"/>
        <v>#N/A</v>
      </c>
      <c r="I335" s="3064" t="e">
        <v>#N/A</v>
      </c>
      <c r="J335" s="3064" t="e">
        <v>#N/A</v>
      </c>
      <c r="K335" s="1878" t="e">
        <v>#N/A</v>
      </c>
      <c r="L335" s="1134" t="e">
        <f t="shared" si="22"/>
        <v>#N/A</v>
      </c>
      <c r="M335" s="3064" t="e">
        <v>#N/A</v>
      </c>
      <c r="N335" s="3064" t="e">
        <v>#N/A</v>
      </c>
      <c r="O335" s="3061" t="e">
        <v>#N/A</v>
      </c>
    </row>
    <row r="336" spans="1:15" s="277" customFormat="1">
      <c r="A336" s="279">
        <f t="shared" si="18"/>
        <v>2027.03</v>
      </c>
      <c r="B336" s="1154"/>
      <c r="C336" s="3063"/>
      <c r="D336" s="1155"/>
      <c r="E336" s="1154"/>
      <c r="F336" s="3063"/>
      <c r="G336" s="1155"/>
      <c r="H336" s="1134" t="e">
        <f t="shared" ref="H336:H381" si="23">+I336+J336+K336</f>
        <v>#N/A</v>
      </c>
      <c r="I336" s="3064" t="e">
        <v>#N/A</v>
      </c>
      <c r="J336" s="3064" t="e">
        <v>#N/A</v>
      </c>
      <c r="K336" s="1878" t="e">
        <v>#N/A</v>
      </c>
      <c r="L336" s="1134" t="e">
        <f t="shared" ref="L336:L381" si="24">M336+N336+O336</f>
        <v>#N/A</v>
      </c>
      <c r="M336" s="3064" t="e">
        <v>#N/A</v>
      </c>
      <c r="N336" s="3064" t="e">
        <v>#N/A</v>
      </c>
      <c r="O336" s="3061" t="e">
        <v>#N/A</v>
      </c>
    </row>
    <row r="337" spans="1:15" s="277" customFormat="1">
      <c r="A337" s="279">
        <f t="shared" si="18"/>
        <v>2027.04</v>
      </c>
      <c r="B337" s="1154"/>
      <c r="C337" s="3063"/>
      <c r="D337" s="1155"/>
      <c r="E337" s="1154"/>
      <c r="F337" s="3063"/>
      <c r="G337" s="1155"/>
      <c r="H337" s="1134" t="e">
        <f t="shared" si="23"/>
        <v>#N/A</v>
      </c>
      <c r="I337" s="3064" t="e">
        <v>#N/A</v>
      </c>
      <c r="J337" s="3064" t="e">
        <v>#N/A</v>
      </c>
      <c r="K337" s="1878" t="e">
        <v>#N/A</v>
      </c>
      <c r="L337" s="1134" t="e">
        <f t="shared" si="24"/>
        <v>#N/A</v>
      </c>
      <c r="M337" s="3064" t="e">
        <v>#N/A</v>
      </c>
      <c r="N337" s="3064" t="e">
        <v>#N/A</v>
      </c>
      <c r="O337" s="3061" t="e">
        <v>#N/A</v>
      </c>
    </row>
    <row r="338" spans="1:15" s="277" customFormat="1">
      <c r="A338" s="279">
        <f t="shared" si="18"/>
        <v>2027.05</v>
      </c>
      <c r="B338" s="1154"/>
      <c r="C338" s="3063"/>
      <c r="D338" s="1155"/>
      <c r="E338" s="1154"/>
      <c r="F338" s="3063"/>
      <c r="G338" s="1155"/>
      <c r="H338" s="1134" t="e">
        <f t="shared" si="23"/>
        <v>#N/A</v>
      </c>
      <c r="I338" s="3064" t="e">
        <v>#N/A</v>
      </c>
      <c r="J338" s="3064" t="e">
        <v>#N/A</v>
      </c>
      <c r="K338" s="1878" t="e">
        <v>#N/A</v>
      </c>
      <c r="L338" s="1134" t="e">
        <f t="shared" si="24"/>
        <v>#N/A</v>
      </c>
      <c r="M338" s="3064" t="e">
        <v>#N/A</v>
      </c>
      <c r="N338" s="3064" t="e">
        <v>#N/A</v>
      </c>
      <c r="O338" s="3061" t="e">
        <v>#N/A</v>
      </c>
    </row>
    <row r="339" spans="1:15" s="277" customFormat="1">
      <c r="A339" s="279">
        <f t="shared" si="18"/>
        <v>2027.06</v>
      </c>
      <c r="B339" s="1154"/>
      <c r="C339" s="3063"/>
      <c r="D339" s="1155"/>
      <c r="E339" s="1154"/>
      <c r="F339" s="3063"/>
      <c r="G339" s="1155"/>
      <c r="H339" s="1134" t="e">
        <f t="shared" si="23"/>
        <v>#N/A</v>
      </c>
      <c r="I339" s="3064" t="e">
        <v>#N/A</v>
      </c>
      <c r="J339" s="3064" t="e">
        <v>#N/A</v>
      </c>
      <c r="K339" s="1878" t="e">
        <v>#N/A</v>
      </c>
      <c r="L339" s="1134" t="e">
        <f t="shared" si="24"/>
        <v>#N/A</v>
      </c>
      <c r="M339" s="3064" t="e">
        <v>#N/A</v>
      </c>
      <c r="N339" s="3064" t="e">
        <v>#N/A</v>
      </c>
      <c r="O339" s="3061" t="e">
        <v>#N/A</v>
      </c>
    </row>
    <row r="340" spans="1:15" s="277" customFormat="1">
      <c r="A340" s="279">
        <f t="shared" si="18"/>
        <v>2027.07</v>
      </c>
      <c r="B340" s="1154"/>
      <c r="C340" s="3063"/>
      <c r="D340" s="1155"/>
      <c r="E340" s="1154"/>
      <c r="F340" s="3063"/>
      <c r="G340" s="1155"/>
      <c r="H340" s="1134" t="e">
        <f t="shared" si="23"/>
        <v>#N/A</v>
      </c>
      <c r="I340" s="3064" t="e">
        <v>#N/A</v>
      </c>
      <c r="J340" s="3064" t="e">
        <v>#N/A</v>
      </c>
      <c r="K340" s="1878" t="e">
        <v>#N/A</v>
      </c>
      <c r="L340" s="1134" t="e">
        <f t="shared" si="24"/>
        <v>#N/A</v>
      </c>
      <c r="M340" s="3064" t="e">
        <v>#N/A</v>
      </c>
      <c r="N340" s="3064" t="e">
        <v>#N/A</v>
      </c>
      <c r="O340" s="3061" t="e">
        <v>#N/A</v>
      </c>
    </row>
    <row r="341" spans="1:15" s="277" customFormat="1">
      <c r="A341" s="279">
        <f t="shared" si="18"/>
        <v>2027.08</v>
      </c>
      <c r="B341" s="1154"/>
      <c r="C341" s="3063"/>
      <c r="D341" s="1155"/>
      <c r="E341" s="1154"/>
      <c r="F341" s="3063"/>
      <c r="G341" s="1155"/>
      <c r="H341" s="1134" t="e">
        <f t="shared" si="23"/>
        <v>#N/A</v>
      </c>
      <c r="I341" s="3064" t="e">
        <v>#N/A</v>
      </c>
      <c r="J341" s="3064" t="e">
        <v>#N/A</v>
      </c>
      <c r="K341" s="1878" t="e">
        <v>#N/A</v>
      </c>
      <c r="L341" s="1134" t="e">
        <f t="shared" si="24"/>
        <v>#N/A</v>
      </c>
      <c r="M341" s="3064" t="e">
        <v>#N/A</v>
      </c>
      <c r="N341" s="3064" t="e">
        <v>#N/A</v>
      </c>
      <c r="O341" s="3061" t="e">
        <v>#N/A</v>
      </c>
    </row>
    <row r="342" spans="1:15" s="277" customFormat="1">
      <c r="A342" s="279">
        <f t="shared" si="18"/>
        <v>2027.09</v>
      </c>
      <c r="B342" s="1154"/>
      <c r="C342" s="3063"/>
      <c r="D342" s="1155"/>
      <c r="E342" s="1154"/>
      <c r="F342" s="3063"/>
      <c r="G342" s="1155"/>
      <c r="H342" s="1134" t="e">
        <f t="shared" si="23"/>
        <v>#N/A</v>
      </c>
      <c r="I342" s="3064" t="e">
        <v>#N/A</v>
      </c>
      <c r="J342" s="3064" t="e">
        <v>#N/A</v>
      </c>
      <c r="K342" s="1878" t="e">
        <v>#N/A</v>
      </c>
      <c r="L342" s="1134" t="e">
        <f t="shared" si="24"/>
        <v>#N/A</v>
      </c>
      <c r="M342" s="3064" t="e">
        <v>#N/A</v>
      </c>
      <c r="N342" s="3064" t="e">
        <v>#N/A</v>
      </c>
      <c r="O342" s="3061" t="e">
        <v>#N/A</v>
      </c>
    </row>
    <row r="343" spans="1:15" s="277" customFormat="1">
      <c r="A343" s="279">
        <f t="shared" si="18"/>
        <v>2027.1</v>
      </c>
      <c r="B343" s="1154"/>
      <c r="C343" s="3063"/>
      <c r="D343" s="1155"/>
      <c r="E343" s="1154"/>
      <c r="F343" s="3063"/>
      <c r="G343" s="1155"/>
      <c r="H343" s="1134" t="e">
        <f t="shared" si="23"/>
        <v>#N/A</v>
      </c>
      <c r="I343" s="3064" t="e">
        <v>#N/A</v>
      </c>
      <c r="J343" s="3064" t="e">
        <v>#N/A</v>
      </c>
      <c r="K343" s="1878" t="e">
        <v>#N/A</v>
      </c>
      <c r="L343" s="1134" t="e">
        <f t="shared" si="24"/>
        <v>#N/A</v>
      </c>
      <c r="M343" s="3064" t="e">
        <v>#N/A</v>
      </c>
      <c r="N343" s="3064" t="e">
        <v>#N/A</v>
      </c>
      <c r="O343" s="3061" t="e">
        <v>#N/A</v>
      </c>
    </row>
    <row r="344" spans="1:15" s="277" customFormat="1">
      <c r="A344" s="279">
        <f t="shared" si="18"/>
        <v>2027.11</v>
      </c>
      <c r="B344" s="1154"/>
      <c r="C344" s="3063"/>
      <c r="D344" s="1155"/>
      <c r="E344" s="1154"/>
      <c r="F344" s="3063"/>
      <c r="G344" s="1155"/>
      <c r="H344" s="1134" t="e">
        <f t="shared" si="23"/>
        <v>#N/A</v>
      </c>
      <c r="I344" s="3064" t="e">
        <v>#N/A</v>
      </c>
      <c r="J344" s="3064" t="e">
        <v>#N/A</v>
      </c>
      <c r="K344" s="1878" t="e">
        <v>#N/A</v>
      </c>
      <c r="L344" s="1134" t="e">
        <f t="shared" si="24"/>
        <v>#N/A</v>
      </c>
      <c r="M344" s="3064" t="e">
        <v>#N/A</v>
      </c>
      <c r="N344" s="3064" t="e">
        <v>#N/A</v>
      </c>
      <c r="O344" s="3061" t="e">
        <v>#N/A</v>
      </c>
    </row>
    <row r="345" spans="1:15" s="277" customFormat="1">
      <c r="A345" s="279">
        <f t="shared" si="18"/>
        <v>2027.12</v>
      </c>
      <c r="B345" s="1154"/>
      <c r="C345" s="3063"/>
      <c r="D345" s="1155"/>
      <c r="E345" s="1154"/>
      <c r="F345" s="3063"/>
      <c r="G345" s="1155"/>
      <c r="H345" s="1134" t="e">
        <f t="shared" si="23"/>
        <v>#N/A</v>
      </c>
      <c r="I345" s="3064" t="e">
        <v>#N/A</v>
      </c>
      <c r="J345" s="3064" t="e">
        <v>#N/A</v>
      </c>
      <c r="K345" s="1878" t="e">
        <v>#N/A</v>
      </c>
      <c r="L345" s="1134" t="e">
        <f t="shared" si="24"/>
        <v>#N/A</v>
      </c>
      <c r="M345" s="3064" t="e">
        <v>#N/A</v>
      </c>
      <c r="N345" s="3064" t="e">
        <v>#N/A</v>
      </c>
      <c r="O345" s="3061" t="e">
        <v>#N/A</v>
      </c>
    </row>
    <row r="346" spans="1:15" s="277" customFormat="1">
      <c r="A346" s="279">
        <f t="shared" si="18"/>
        <v>2028.01</v>
      </c>
      <c r="B346" s="1154"/>
      <c r="C346" s="3063"/>
      <c r="D346" s="1155"/>
      <c r="E346" s="1154"/>
      <c r="F346" s="3063"/>
      <c r="G346" s="1155"/>
      <c r="H346" s="1134" t="e">
        <f t="shared" si="23"/>
        <v>#N/A</v>
      </c>
      <c r="I346" s="3064" t="e">
        <v>#N/A</v>
      </c>
      <c r="J346" s="3064" t="e">
        <v>#N/A</v>
      </c>
      <c r="K346" s="1878" t="e">
        <v>#N/A</v>
      </c>
      <c r="L346" s="1134" t="e">
        <f t="shared" si="24"/>
        <v>#N/A</v>
      </c>
      <c r="M346" s="3064" t="e">
        <v>#N/A</v>
      </c>
      <c r="N346" s="3064" t="e">
        <v>#N/A</v>
      </c>
      <c r="O346" s="3061" t="e">
        <v>#N/A</v>
      </c>
    </row>
    <row r="347" spans="1:15" s="277" customFormat="1">
      <c r="A347" s="279">
        <f t="shared" si="18"/>
        <v>2028.02</v>
      </c>
      <c r="B347" s="1154"/>
      <c r="C347" s="3063"/>
      <c r="D347" s="1155"/>
      <c r="E347" s="1154"/>
      <c r="F347" s="3063"/>
      <c r="G347" s="1155"/>
      <c r="H347" s="1134" t="e">
        <f t="shared" si="23"/>
        <v>#N/A</v>
      </c>
      <c r="I347" s="3064" t="e">
        <v>#N/A</v>
      </c>
      <c r="J347" s="3064" t="e">
        <v>#N/A</v>
      </c>
      <c r="K347" s="1878" t="e">
        <v>#N/A</v>
      </c>
      <c r="L347" s="1134" t="e">
        <f t="shared" si="24"/>
        <v>#N/A</v>
      </c>
      <c r="M347" s="3064" t="e">
        <v>#N/A</v>
      </c>
      <c r="N347" s="3064" t="e">
        <v>#N/A</v>
      </c>
      <c r="O347" s="3061" t="e">
        <v>#N/A</v>
      </c>
    </row>
    <row r="348" spans="1:15" s="277" customFormat="1">
      <c r="A348" s="279">
        <f t="shared" si="18"/>
        <v>2028.03</v>
      </c>
      <c r="B348" s="1154"/>
      <c r="C348" s="3063"/>
      <c r="D348" s="1155"/>
      <c r="E348" s="1154"/>
      <c r="F348" s="3063"/>
      <c r="G348" s="1155"/>
      <c r="H348" s="1134" t="e">
        <f t="shared" si="23"/>
        <v>#N/A</v>
      </c>
      <c r="I348" s="3064" t="e">
        <v>#N/A</v>
      </c>
      <c r="J348" s="3064" t="e">
        <v>#N/A</v>
      </c>
      <c r="K348" s="1878" t="e">
        <v>#N/A</v>
      </c>
      <c r="L348" s="1134" t="e">
        <f t="shared" si="24"/>
        <v>#N/A</v>
      </c>
      <c r="M348" s="3064" t="e">
        <v>#N/A</v>
      </c>
      <c r="N348" s="3064" t="e">
        <v>#N/A</v>
      </c>
      <c r="O348" s="3061" t="e">
        <v>#N/A</v>
      </c>
    </row>
    <row r="349" spans="1:15" s="277" customFormat="1">
      <c r="A349" s="279">
        <f t="shared" si="18"/>
        <v>2028.04</v>
      </c>
      <c r="B349" s="1154"/>
      <c r="C349" s="3063"/>
      <c r="D349" s="1155"/>
      <c r="E349" s="1154"/>
      <c r="F349" s="3063"/>
      <c r="G349" s="1155"/>
      <c r="H349" s="1134" t="e">
        <f t="shared" si="23"/>
        <v>#N/A</v>
      </c>
      <c r="I349" s="3064" t="e">
        <v>#N/A</v>
      </c>
      <c r="J349" s="3064" t="e">
        <v>#N/A</v>
      </c>
      <c r="K349" s="1878" t="e">
        <v>#N/A</v>
      </c>
      <c r="L349" s="1134" t="e">
        <f t="shared" si="24"/>
        <v>#N/A</v>
      </c>
      <c r="M349" s="3064" t="e">
        <v>#N/A</v>
      </c>
      <c r="N349" s="3064" t="e">
        <v>#N/A</v>
      </c>
      <c r="O349" s="3061" t="e">
        <v>#N/A</v>
      </c>
    </row>
    <row r="350" spans="1:15" s="277" customFormat="1">
      <c r="A350" s="279">
        <f t="shared" si="18"/>
        <v>2028.05</v>
      </c>
      <c r="B350" s="1154"/>
      <c r="C350" s="3063"/>
      <c r="D350" s="1155"/>
      <c r="E350" s="1154"/>
      <c r="F350" s="3063"/>
      <c r="G350" s="1155"/>
      <c r="H350" s="1134" t="e">
        <f t="shared" si="23"/>
        <v>#N/A</v>
      </c>
      <c r="I350" s="3064" t="e">
        <v>#N/A</v>
      </c>
      <c r="J350" s="3064" t="e">
        <v>#N/A</v>
      </c>
      <c r="K350" s="1878" t="e">
        <v>#N/A</v>
      </c>
      <c r="L350" s="1134" t="e">
        <f t="shared" si="24"/>
        <v>#N/A</v>
      </c>
      <c r="M350" s="3064" t="e">
        <v>#N/A</v>
      </c>
      <c r="N350" s="3064" t="e">
        <v>#N/A</v>
      </c>
      <c r="O350" s="3061" t="e">
        <v>#N/A</v>
      </c>
    </row>
    <row r="351" spans="1:15" s="277" customFormat="1">
      <c r="A351" s="279">
        <f t="shared" si="18"/>
        <v>2028.06</v>
      </c>
      <c r="B351" s="1154"/>
      <c r="C351" s="3063"/>
      <c r="D351" s="1155"/>
      <c r="E351" s="1154"/>
      <c r="F351" s="3063"/>
      <c r="G351" s="1155"/>
      <c r="H351" s="1134" t="e">
        <f t="shared" si="23"/>
        <v>#N/A</v>
      </c>
      <c r="I351" s="3064" t="e">
        <v>#N/A</v>
      </c>
      <c r="J351" s="3064" t="e">
        <v>#N/A</v>
      </c>
      <c r="K351" s="1878" t="e">
        <v>#N/A</v>
      </c>
      <c r="L351" s="1134" t="e">
        <f t="shared" si="24"/>
        <v>#N/A</v>
      </c>
      <c r="M351" s="3064" t="e">
        <v>#N/A</v>
      </c>
      <c r="N351" s="3064" t="e">
        <v>#N/A</v>
      </c>
      <c r="O351" s="3061" t="e">
        <v>#N/A</v>
      </c>
    </row>
    <row r="352" spans="1:15" s="277" customFormat="1">
      <c r="A352" s="279">
        <f t="shared" si="18"/>
        <v>2028.07</v>
      </c>
      <c r="B352" s="1154"/>
      <c r="C352" s="3063"/>
      <c r="D352" s="1155"/>
      <c r="E352" s="1154"/>
      <c r="F352" s="3063"/>
      <c r="G352" s="1155"/>
      <c r="H352" s="1134" t="e">
        <f t="shared" si="23"/>
        <v>#N/A</v>
      </c>
      <c r="I352" s="3064" t="e">
        <v>#N/A</v>
      </c>
      <c r="J352" s="3064" t="e">
        <v>#N/A</v>
      </c>
      <c r="K352" s="1878" t="e">
        <v>#N/A</v>
      </c>
      <c r="L352" s="1134" t="e">
        <f t="shared" si="24"/>
        <v>#N/A</v>
      </c>
      <c r="M352" s="3064" t="e">
        <v>#N/A</v>
      </c>
      <c r="N352" s="3064" t="e">
        <v>#N/A</v>
      </c>
      <c r="O352" s="3061" t="e">
        <v>#N/A</v>
      </c>
    </row>
    <row r="353" spans="1:15" s="277" customFormat="1">
      <c r="A353" s="279">
        <f t="shared" si="18"/>
        <v>2028.08</v>
      </c>
      <c r="B353" s="1154"/>
      <c r="C353" s="3063"/>
      <c r="D353" s="1155"/>
      <c r="E353" s="1154"/>
      <c r="F353" s="3063"/>
      <c r="G353" s="1155"/>
      <c r="H353" s="1134" t="e">
        <f t="shared" si="23"/>
        <v>#N/A</v>
      </c>
      <c r="I353" s="3064" t="e">
        <v>#N/A</v>
      </c>
      <c r="J353" s="3064" t="e">
        <v>#N/A</v>
      </c>
      <c r="K353" s="1878" t="e">
        <v>#N/A</v>
      </c>
      <c r="L353" s="1134" t="e">
        <f t="shared" si="24"/>
        <v>#N/A</v>
      </c>
      <c r="M353" s="3064" t="e">
        <v>#N/A</v>
      </c>
      <c r="N353" s="3064" t="e">
        <v>#N/A</v>
      </c>
      <c r="O353" s="3061" t="e">
        <v>#N/A</v>
      </c>
    </row>
    <row r="354" spans="1:15" s="277" customFormat="1">
      <c r="A354" s="279">
        <f t="shared" si="18"/>
        <v>2028.09</v>
      </c>
      <c r="B354" s="1154"/>
      <c r="C354" s="3063"/>
      <c r="D354" s="1155"/>
      <c r="E354" s="1154"/>
      <c r="F354" s="3063"/>
      <c r="G354" s="1155"/>
      <c r="H354" s="1134" t="e">
        <f t="shared" si="23"/>
        <v>#N/A</v>
      </c>
      <c r="I354" s="3064" t="e">
        <v>#N/A</v>
      </c>
      <c r="J354" s="3064" t="e">
        <v>#N/A</v>
      </c>
      <c r="K354" s="1878" t="e">
        <v>#N/A</v>
      </c>
      <c r="L354" s="1134" t="e">
        <f t="shared" si="24"/>
        <v>#N/A</v>
      </c>
      <c r="M354" s="3064" t="e">
        <v>#N/A</v>
      </c>
      <c r="N354" s="3064" t="e">
        <v>#N/A</v>
      </c>
      <c r="O354" s="3061" t="e">
        <v>#N/A</v>
      </c>
    </row>
    <row r="355" spans="1:15" s="277" customFormat="1">
      <c r="A355" s="279">
        <f t="shared" si="18"/>
        <v>2028.1</v>
      </c>
      <c r="B355" s="1154"/>
      <c r="C355" s="3063"/>
      <c r="D355" s="1155"/>
      <c r="E355" s="1154"/>
      <c r="F355" s="3063"/>
      <c r="G355" s="1155"/>
      <c r="H355" s="1134" t="e">
        <f t="shared" si="23"/>
        <v>#N/A</v>
      </c>
      <c r="I355" s="3064" t="e">
        <v>#N/A</v>
      </c>
      <c r="J355" s="3064" t="e">
        <v>#N/A</v>
      </c>
      <c r="K355" s="1878" t="e">
        <v>#N/A</v>
      </c>
      <c r="L355" s="1134" t="e">
        <f t="shared" si="24"/>
        <v>#N/A</v>
      </c>
      <c r="M355" s="3064" t="e">
        <v>#N/A</v>
      </c>
      <c r="N355" s="3064" t="e">
        <v>#N/A</v>
      </c>
      <c r="O355" s="3061" t="e">
        <v>#N/A</v>
      </c>
    </row>
    <row r="356" spans="1:15" s="277" customFormat="1">
      <c r="A356" s="279">
        <f t="shared" si="18"/>
        <v>2028.11</v>
      </c>
      <c r="B356" s="1154"/>
      <c r="C356" s="3063"/>
      <c r="D356" s="1155"/>
      <c r="E356" s="1154"/>
      <c r="F356" s="3063"/>
      <c r="G356" s="1155"/>
      <c r="H356" s="1134" t="e">
        <f t="shared" si="23"/>
        <v>#N/A</v>
      </c>
      <c r="I356" s="3064" t="e">
        <v>#N/A</v>
      </c>
      <c r="J356" s="3064" t="e">
        <v>#N/A</v>
      </c>
      <c r="K356" s="1878" t="e">
        <v>#N/A</v>
      </c>
      <c r="L356" s="1134" t="e">
        <f t="shared" si="24"/>
        <v>#N/A</v>
      </c>
      <c r="M356" s="3064" t="e">
        <v>#N/A</v>
      </c>
      <c r="N356" s="3064" t="e">
        <v>#N/A</v>
      </c>
      <c r="O356" s="3061" t="e">
        <v>#N/A</v>
      </c>
    </row>
    <row r="357" spans="1:15" s="277" customFormat="1">
      <c r="A357" s="279">
        <f t="shared" si="18"/>
        <v>2028.12</v>
      </c>
      <c r="B357" s="1154"/>
      <c r="C357" s="3063"/>
      <c r="D357" s="1155"/>
      <c r="E357" s="1154"/>
      <c r="F357" s="3063"/>
      <c r="G357" s="1155"/>
      <c r="H357" s="1134" t="e">
        <f t="shared" si="23"/>
        <v>#N/A</v>
      </c>
      <c r="I357" s="3064" t="e">
        <v>#N/A</v>
      </c>
      <c r="J357" s="3064" t="e">
        <v>#N/A</v>
      </c>
      <c r="K357" s="1878" t="e">
        <v>#N/A</v>
      </c>
      <c r="L357" s="1134" t="e">
        <f t="shared" si="24"/>
        <v>#N/A</v>
      </c>
      <c r="M357" s="3064" t="e">
        <v>#N/A</v>
      </c>
      <c r="N357" s="3064" t="e">
        <v>#N/A</v>
      </c>
      <c r="O357" s="3061" t="e">
        <v>#N/A</v>
      </c>
    </row>
    <row r="358" spans="1:15" s="277" customFormat="1">
      <c r="A358" s="279">
        <f t="shared" si="18"/>
        <v>2029.01</v>
      </c>
      <c r="B358" s="1154"/>
      <c r="C358" s="3063"/>
      <c r="D358" s="1155"/>
      <c r="E358" s="1154"/>
      <c r="F358" s="3063"/>
      <c r="G358" s="1155"/>
      <c r="H358" s="1134" t="e">
        <f t="shared" si="23"/>
        <v>#N/A</v>
      </c>
      <c r="I358" s="3064" t="e">
        <v>#N/A</v>
      </c>
      <c r="J358" s="3064" t="e">
        <v>#N/A</v>
      </c>
      <c r="K358" s="1878" t="e">
        <v>#N/A</v>
      </c>
      <c r="L358" s="1134" t="e">
        <f t="shared" si="24"/>
        <v>#N/A</v>
      </c>
      <c r="M358" s="3064" t="e">
        <v>#N/A</v>
      </c>
      <c r="N358" s="3064" t="e">
        <v>#N/A</v>
      </c>
      <c r="O358" s="3061" t="e">
        <v>#N/A</v>
      </c>
    </row>
    <row r="359" spans="1:15" s="277" customFormat="1">
      <c r="A359" s="279">
        <f t="shared" si="18"/>
        <v>2029.02</v>
      </c>
      <c r="B359" s="1154"/>
      <c r="C359" s="3063"/>
      <c r="D359" s="1155"/>
      <c r="E359" s="1154"/>
      <c r="F359" s="3063"/>
      <c r="G359" s="1155"/>
      <c r="H359" s="1134" t="e">
        <f t="shared" si="23"/>
        <v>#N/A</v>
      </c>
      <c r="I359" s="3064" t="e">
        <v>#N/A</v>
      </c>
      <c r="J359" s="3064" t="e">
        <v>#N/A</v>
      </c>
      <c r="K359" s="1878" t="e">
        <v>#N/A</v>
      </c>
      <c r="L359" s="1134" t="e">
        <f t="shared" si="24"/>
        <v>#N/A</v>
      </c>
      <c r="M359" s="3064" t="e">
        <v>#N/A</v>
      </c>
      <c r="N359" s="3064" t="e">
        <v>#N/A</v>
      </c>
      <c r="O359" s="3061" t="e">
        <v>#N/A</v>
      </c>
    </row>
    <row r="360" spans="1:15" s="277" customFormat="1">
      <c r="A360" s="279">
        <f t="shared" si="18"/>
        <v>2029.03</v>
      </c>
      <c r="B360" s="1154"/>
      <c r="C360" s="3063"/>
      <c r="D360" s="1155"/>
      <c r="E360" s="1154"/>
      <c r="F360" s="3063"/>
      <c r="G360" s="1155"/>
      <c r="H360" s="1134" t="e">
        <f t="shared" si="23"/>
        <v>#N/A</v>
      </c>
      <c r="I360" s="3064" t="e">
        <v>#N/A</v>
      </c>
      <c r="J360" s="3064" t="e">
        <v>#N/A</v>
      </c>
      <c r="K360" s="1878" t="e">
        <v>#N/A</v>
      </c>
      <c r="L360" s="1134" t="e">
        <f t="shared" si="24"/>
        <v>#N/A</v>
      </c>
      <c r="M360" s="3064" t="e">
        <v>#N/A</v>
      </c>
      <c r="N360" s="3064" t="e">
        <v>#N/A</v>
      </c>
      <c r="O360" s="3061" t="e">
        <v>#N/A</v>
      </c>
    </row>
    <row r="361" spans="1:15" s="277" customFormat="1">
      <c r="A361" s="279">
        <f t="shared" si="18"/>
        <v>2029.04</v>
      </c>
      <c r="B361" s="1154"/>
      <c r="C361" s="3063"/>
      <c r="D361" s="1155"/>
      <c r="E361" s="1154"/>
      <c r="F361" s="3063"/>
      <c r="G361" s="1155"/>
      <c r="H361" s="1134" t="e">
        <f t="shared" si="23"/>
        <v>#N/A</v>
      </c>
      <c r="I361" s="3064" t="e">
        <v>#N/A</v>
      </c>
      <c r="J361" s="3064" t="e">
        <v>#N/A</v>
      </c>
      <c r="K361" s="1878" t="e">
        <v>#N/A</v>
      </c>
      <c r="L361" s="1134" t="e">
        <f t="shared" si="24"/>
        <v>#N/A</v>
      </c>
      <c r="M361" s="3064" t="e">
        <v>#N/A</v>
      </c>
      <c r="N361" s="3064" t="e">
        <v>#N/A</v>
      </c>
      <c r="O361" s="3061" t="e">
        <v>#N/A</v>
      </c>
    </row>
    <row r="362" spans="1:15" s="277" customFormat="1">
      <c r="A362" s="279">
        <f t="shared" ref="A362:A381" si="25">A350+1</f>
        <v>2029.05</v>
      </c>
      <c r="B362" s="1154"/>
      <c r="C362" s="3063"/>
      <c r="D362" s="1155"/>
      <c r="E362" s="1154"/>
      <c r="F362" s="3063"/>
      <c r="G362" s="1155"/>
      <c r="H362" s="1134" t="e">
        <f t="shared" si="23"/>
        <v>#N/A</v>
      </c>
      <c r="I362" s="3064" t="e">
        <v>#N/A</v>
      </c>
      <c r="J362" s="3064" t="e">
        <v>#N/A</v>
      </c>
      <c r="K362" s="1878" t="e">
        <v>#N/A</v>
      </c>
      <c r="L362" s="1134" t="e">
        <f t="shared" si="24"/>
        <v>#N/A</v>
      </c>
      <c r="M362" s="3064" t="e">
        <v>#N/A</v>
      </c>
      <c r="N362" s="3064" t="e">
        <v>#N/A</v>
      </c>
      <c r="O362" s="3061" t="e">
        <v>#N/A</v>
      </c>
    </row>
    <row r="363" spans="1:15" s="277" customFormat="1">
      <c r="A363" s="279">
        <f t="shared" si="25"/>
        <v>2029.06</v>
      </c>
      <c r="B363" s="1154"/>
      <c r="C363" s="3063"/>
      <c r="D363" s="1155"/>
      <c r="E363" s="1154"/>
      <c r="F363" s="3063"/>
      <c r="G363" s="1155"/>
      <c r="H363" s="1134" t="e">
        <f t="shared" si="23"/>
        <v>#N/A</v>
      </c>
      <c r="I363" s="3064" t="e">
        <v>#N/A</v>
      </c>
      <c r="J363" s="3064" t="e">
        <v>#N/A</v>
      </c>
      <c r="K363" s="1878" t="e">
        <v>#N/A</v>
      </c>
      <c r="L363" s="1134" t="e">
        <f t="shared" si="24"/>
        <v>#N/A</v>
      </c>
      <c r="M363" s="3064" t="e">
        <v>#N/A</v>
      </c>
      <c r="N363" s="3064" t="e">
        <v>#N/A</v>
      </c>
      <c r="O363" s="3061" t="e">
        <v>#N/A</v>
      </c>
    </row>
    <row r="364" spans="1:15" s="277" customFormat="1">
      <c r="A364" s="279">
        <f t="shared" si="25"/>
        <v>2029.07</v>
      </c>
      <c r="B364" s="1154"/>
      <c r="C364" s="3063"/>
      <c r="D364" s="1155"/>
      <c r="E364" s="1154"/>
      <c r="F364" s="3063"/>
      <c r="G364" s="1155"/>
      <c r="H364" s="1134" t="e">
        <f t="shared" si="23"/>
        <v>#N/A</v>
      </c>
      <c r="I364" s="3064" t="e">
        <v>#N/A</v>
      </c>
      <c r="J364" s="3064" t="e">
        <v>#N/A</v>
      </c>
      <c r="K364" s="1878" t="e">
        <v>#N/A</v>
      </c>
      <c r="L364" s="1134" t="e">
        <f t="shared" si="24"/>
        <v>#N/A</v>
      </c>
      <c r="M364" s="3064" t="e">
        <v>#N/A</v>
      </c>
      <c r="N364" s="3064" t="e">
        <v>#N/A</v>
      </c>
      <c r="O364" s="3061" t="e">
        <v>#N/A</v>
      </c>
    </row>
    <row r="365" spans="1:15" s="277" customFormat="1">
      <c r="A365" s="279">
        <f t="shared" si="25"/>
        <v>2029.08</v>
      </c>
      <c r="B365" s="1154"/>
      <c r="C365" s="3063"/>
      <c r="D365" s="1155"/>
      <c r="E365" s="1154"/>
      <c r="F365" s="3063"/>
      <c r="G365" s="1155"/>
      <c r="H365" s="1134" t="e">
        <f t="shared" si="23"/>
        <v>#N/A</v>
      </c>
      <c r="I365" s="3064" t="e">
        <v>#N/A</v>
      </c>
      <c r="J365" s="3064" t="e">
        <v>#N/A</v>
      </c>
      <c r="K365" s="1878" t="e">
        <v>#N/A</v>
      </c>
      <c r="L365" s="1134" t="e">
        <f t="shared" si="24"/>
        <v>#N/A</v>
      </c>
      <c r="M365" s="3064" t="e">
        <v>#N/A</v>
      </c>
      <c r="N365" s="3064" t="e">
        <v>#N/A</v>
      </c>
      <c r="O365" s="3061" t="e">
        <v>#N/A</v>
      </c>
    </row>
    <row r="366" spans="1:15" s="277" customFormat="1">
      <c r="A366" s="279">
        <f t="shared" si="25"/>
        <v>2029.09</v>
      </c>
      <c r="B366" s="1154"/>
      <c r="C366" s="3063"/>
      <c r="D366" s="1155"/>
      <c r="E366" s="1154"/>
      <c r="F366" s="3063"/>
      <c r="G366" s="1155"/>
      <c r="H366" s="1134" t="e">
        <f t="shared" si="23"/>
        <v>#N/A</v>
      </c>
      <c r="I366" s="3064" t="e">
        <v>#N/A</v>
      </c>
      <c r="J366" s="3064" t="e">
        <v>#N/A</v>
      </c>
      <c r="K366" s="1878" t="e">
        <v>#N/A</v>
      </c>
      <c r="L366" s="1134" t="e">
        <f t="shared" si="24"/>
        <v>#N/A</v>
      </c>
      <c r="M366" s="3064" t="e">
        <v>#N/A</v>
      </c>
      <c r="N366" s="3064" t="e">
        <v>#N/A</v>
      </c>
      <c r="O366" s="3061" t="e">
        <v>#N/A</v>
      </c>
    </row>
    <row r="367" spans="1:15" s="277" customFormat="1">
      <c r="A367" s="279">
        <f t="shared" si="25"/>
        <v>2029.1</v>
      </c>
      <c r="B367" s="1154"/>
      <c r="C367" s="3063"/>
      <c r="D367" s="1155"/>
      <c r="E367" s="1154"/>
      <c r="F367" s="3063"/>
      <c r="G367" s="1155"/>
      <c r="H367" s="1134" t="e">
        <f t="shared" si="23"/>
        <v>#N/A</v>
      </c>
      <c r="I367" s="3064" t="e">
        <v>#N/A</v>
      </c>
      <c r="J367" s="3064" t="e">
        <v>#N/A</v>
      </c>
      <c r="K367" s="1878" t="e">
        <v>#N/A</v>
      </c>
      <c r="L367" s="1134" t="e">
        <f t="shared" si="24"/>
        <v>#N/A</v>
      </c>
      <c r="M367" s="3064" t="e">
        <v>#N/A</v>
      </c>
      <c r="N367" s="3064" t="e">
        <v>#N/A</v>
      </c>
      <c r="O367" s="3061" t="e">
        <v>#N/A</v>
      </c>
    </row>
    <row r="368" spans="1:15" s="277" customFormat="1">
      <c r="A368" s="279">
        <f t="shared" si="25"/>
        <v>2029.11</v>
      </c>
      <c r="B368" s="1154"/>
      <c r="C368" s="3063"/>
      <c r="D368" s="1155"/>
      <c r="E368" s="1154"/>
      <c r="F368" s="3063"/>
      <c r="G368" s="1155"/>
      <c r="H368" s="1134" t="e">
        <f t="shared" si="23"/>
        <v>#N/A</v>
      </c>
      <c r="I368" s="3064" t="e">
        <v>#N/A</v>
      </c>
      <c r="J368" s="3064" t="e">
        <v>#N/A</v>
      </c>
      <c r="K368" s="1878" t="e">
        <v>#N/A</v>
      </c>
      <c r="L368" s="1134" t="e">
        <f t="shared" si="24"/>
        <v>#N/A</v>
      </c>
      <c r="M368" s="3064" t="e">
        <v>#N/A</v>
      </c>
      <c r="N368" s="3064" t="e">
        <v>#N/A</v>
      </c>
      <c r="O368" s="3061" t="e">
        <v>#N/A</v>
      </c>
    </row>
    <row r="369" spans="1:15" s="277" customFormat="1">
      <c r="A369" s="279">
        <f t="shared" si="25"/>
        <v>2029.12</v>
      </c>
      <c r="B369" s="1154"/>
      <c r="C369" s="3063"/>
      <c r="D369" s="1155"/>
      <c r="E369" s="1154"/>
      <c r="F369" s="3063"/>
      <c r="G369" s="1155"/>
      <c r="H369" s="1134" t="e">
        <f t="shared" si="23"/>
        <v>#N/A</v>
      </c>
      <c r="I369" s="3064" t="e">
        <v>#N/A</v>
      </c>
      <c r="J369" s="3064" t="e">
        <v>#N/A</v>
      </c>
      <c r="K369" s="1878" t="e">
        <v>#N/A</v>
      </c>
      <c r="L369" s="1134" t="e">
        <f t="shared" si="24"/>
        <v>#N/A</v>
      </c>
      <c r="M369" s="3064" t="e">
        <v>#N/A</v>
      </c>
      <c r="N369" s="3064" t="e">
        <v>#N/A</v>
      </c>
      <c r="O369" s="3061" t="e">
        <v>#N/A</v>
      </c>
    </row>
    <row r="370" spans="1:15" s="277" customFormat="1">
      <c r="A370" s="279">
        <f t="shared" si="25"/>
        <v>2030.01</v>
      </c>
      <c r="B370" s="1154"/>
      <c r="C370" s="3063"/>
      <c r="D370" s="1155"/>
      <c r="E370" s="1154"/>
      <c r="F370" s="3063"/>
      <c r="G370" s="1155"/>
      <c r="H370" s="1134" t="e">
        <f t="shared" si="23"/>
        <v>#N/A</v>
      </c>
      <c r="I370" s="3064" t="e">
        <v>#N/A</v>
      </c>
      <c r="J370" s="3064" t="e">
        <v>#N/A</v>
      </c>
      <c r="K370" s="1878" t="e">
        <v>#N/A</v>
      </c>
      <c r="L370" s="1134" t="e">
        <f t="shared" si="24"/>
        <v>#N/A</v>
      </c>
      <c r="M370" s="3064" t="e">
        <v>#N/A</v>
      </c>
      <c r="N370" s="3064" t="e">
        <v>#N/A</v>
      </c>
      <c r="O370" s="3061" t="e">
        <v>#N/A</v>
      </c>
    </row>
    <row r="371" spans="1:15" s="277" customFormat="1">
      <c r="A371" s="279">
        <f t="shared" si="25"/>
        <v>2030.02</v>
      </c>
      <c r="B371" s="1154"/>
      <c r="C371" s="3063"/>
      <c r="D371" s="1155"/>
      <c r="E371" s="1154"/>
      <c r="F371" s="3063"/>
      <c r="G371" s="1155"/>
      <c r="H371" s="1134" t="e">
        <f t="shared" si="23"/>
        <v>#N/A</v>
      </c>
      <c r="I371" s="3064" t="e">
        <v>#N/A</v>
      </c>
      <c r="J371" s="3064" t="e">
        <v>#N/A</v>
      </c>
      <c r="K371" s="1878" t="e">
        <v>#N/A</v>
      </c>
      <c r="L371" s="1134" t="e">
        <f t="shared" si="24"/>
        <v>#N/A</v>
      </c>
      <c r="M371" s="3064" t="e">
        <v>#N/A</v>
      </c>
      <c r="N371" s="3064" t="e">
        <v>#N/A</v>
      </c>
      <c r="O371" s="3061" t="e">
        <v>#N/A</v>
      </c>
    </row>
    <row r="372" spans="1:15" s="277" customFormat="1">
      <c r="A372" s="279">
        <f t="shared" si="25"/>
        <v>2030.03</v>
      </c>
      <c r="B372" s="1154"/>
      <c r="C372" s="3063"/>
      <c r="D372" s="1155"/>
      <c r="E372" s="1154"/>
      <c r="F372" s="3063"/>
      <c r="G372" s="1155"/>
      <c r="H372" s="1134" t="e">
        <f t="shared" si="23"/>
        <v>#N/A</v>
      </c>
      <c r="I372" s="3064" t="e">
        <v>#N/A</v>
      </c>
      <c r="J372" s="3064" t="e">
        <v>#N/A</v>
      </c>
      <c r="K372" s="1878" t="e">
        <v>#N/A</v>
      </c>
      <c r="L372" s="1134" t="e">
        <f t="shared" si="24"/>
        <v>#N/A</v>
      </c>
      <c r="M372" s="3064" t="e">
        <v>#N/A</v>
      </c>
      <c r="N372" s="3064" t="e">
        <v>#N/A</v>
      </c>
      <c r="O372" s="3061" t="e">
        <v>#N/A</v>
      </c>
    </row>
    <row r="373" spans="1:15" s="277" customFormat="1">
      <c r="A373" s="279">
        <f t="shared" si="25"/>
        <v>2030.04</v>
      </c>
      <c r="B373" s="1154"/>
      <c r="C373" s="3063"/>
      <c r="D373" s="1155"/>
      <c r="E373" s="1154"/>
      <c r="F373" s="3063"/>
      <c r="G373" s="1155"/>
      <c r="H373" s="1134" t="e">
        <f t="shared" si="23"/>
        <v>#N/A</v>
      </c>
      <c r="I373" s="3064" t="e">
        <v>#N/A</v>
      </c>
      <c r="J373" s="3064" t="e">
        <v>#N/A</v>
      </c>
      <c r="K373" s="1878" t="e">
        <v>#N/A</v>
      </c>
      <c r="L373" s="1134" t="e">
        <f t="shared" si="24"/>
        <v>#N/A</v>
      </c>
      <c r="M373" s="3064" t="e">
        <v>#N/A</v>
      </c>
      <c r="N373" s="3064" t="e">
        <v>#N/A</v>
      </c>
      <c r="O373" s="3061" t="e">
        <v>#N/A</v>
      </c>
    </row>
    <row r="374" spans="1:15" s="277" customFormat="1">
      <c r="A374" s="279">
        <f t="shared" si="25"/>
        <v>2030.05</v>
      </c>
      <c r="B374" s="1154"/>
      <c r="C374" s="3063"/>
      <c r="D374" s="1155"/>
      <c r="E374" s="1154"/>
      <c r="F374" s="3063"/>
      <c r="G374" s="1155"/>
      <c r="H374" s="1134" t="e">
        <f t="shared" si="23"/>
        <v>#N/A</v>
      </c>
      <c r="I374" s="3064" t="e">
        <v>#N/A</v>
      </c>
      <c r="J374" s="3064" t="e">
        <v>#N/A</v>
      </c>
      <c r="K374" s="1878" t="e">
        <v>#N/A</v>
      </c>
      <c r="L374" s="1134" t="e">
        <f t="shared" si="24"/>
        <v>#N/A</v>
      </c>
      <c r="M374" s="3064" t="e">
        <v>#N/A</v>
      </c>
      <c r="N374" s="3064" t="e">
        <v>#N/A</v>
      </c>
      <c r="O374" s="3061" t="e">
        <v>#N/A</v>
      </c>
    </row>
    <row r="375" spans="1:15" s="277" customFormat="1">
      <c r="A375" s="279">
        <f t="shared" si="25"/>
        <v>2030.06</v>
      </c>
      <c r="B375" s="1154"/>
      <c r="C375" s="3063"/>
      <c r="D375" s="1155"/>
      <c r="E375" s="1154"/>
      <c r="F375" s="3063"/>
      <c r="G375" s="1155"/>
      <c r="H375" s="1134" t="e">
        <f t="shared" si="23"/>
        <v>#N/A</v>
      </c>
      <c r="I375" s="3064" t="e">
        <v>#N/A</v>
      </c>
      <c r="J375" s="3064" t="e">
        <v>#N/A</v>
      </c>
      <c r="K375" s="1878" t="e">
        <v>#N/A</v>
      </c>
      <c r="L375" s="1134" t="e">
        <f t="shared" si="24"/>
        <v>#N/A</v>
      </c>
      <c r="M375" s="3064" t="e">
        <v>#N/A</v>
      </c>
      <c r="N375" s="3064" t="e">
        <v>#N/A</v>
      </c>
      <c r="O375" s="3061" t="e">
        <v>#N/A</v>
      </c>
    </row>
    <row r="376" spans="1:15" s="277" customFormat="1">
      <c r="A376" s="279">
        <f t="shared" si="25"/>
        <v>2030.07</v>
      </c>
      <c r="B376" s="1154"/>
      <c r="C376" s="3063"/>
      <c r="D376" s="1155"/>
      <c r="E376" s="1154"/>
      <c r="F376" s="3063"/>
      <c r="G376" s="1155"/>
      <c r="H376" s="1134" t="e">
        <f t="shared" si="23"/>
        <v>#N/A</v>
      </c>
      <c r="I376" s="3064" t="e">
        <v>#N/A</v>
      </c>
      <c r="J376" s="3064" t="e">
        <v>#N/A</v>
      </c>
      <c r="K376" s="1878" t="e">
        <v>#N/A</v>
      </c>
      <c r="L376" s="1134" t="e">
        <f t="shared" si="24"/>
        <v>#N/A</v>
      </c>
      <c r="M376" s="3064" t="e">
        <v>#N/A</v>
      </c>
      <c r="N376" s="3064" t="e">
        <v>#N/A</v>
      </c>
      <c r="O376" s="3061" t="e">
        <v>#N/A</v>
      </c>
    </row>
    <row r="377" spans="1:15" s="277" customFormat="1">
      <c r="A377" s="279">
        <f t="shared" si="25"/>
        <v>2030.08</v>
      </c>
      <c r="B377" s="1154"/>
      <c r="C377" s="3063"/>
      <c r="D377" s="1155"/>
      <c r="E377" s="1154"/>
      <c r="F377" s="3063"/>
      <c r="G377" s="1155"/>
      <c r="H377" s="1134" t="e">
        <f t="shared" si="23"/>
        <v>#N/A</v>
      </c>
      <c r="I377" s="3064" t="e">
        <v>#N/A</v>
      </c>
      <c r="J377" s="3064" t="e">
        <v>#N/A</v>
      </c>
      <c r="K377" s="1878" t="e">
        <v>#N/A</v>
      </c>
      <c r="L377" s="1134" t="e">
        <f t="shared" si="24"/>
        <v>#N/A</v>
      </c>
      <c r="M377" s="3064" t="e">
        <v>#N/A</v>
      </c>
      <c r="N377" s="3064" t="e">
        <v>#N/A</v>
      </c>
      <c r="O377" s="3061" t="e">
        <v>#N/A</v>
      </c>
    </row>
    <row r="378" spans="1:15" s="277" customFormat="1">
      <c r="A378" s="279">
        <f t="shared" si="25"/>
        <v>2030.09</v>
      </c>
      <c r="B378" s="1154"/>
      <c r="C378" s="3063"/>
      <c r="D378" s="1155"/>
      <c r="E378" s="1154"/>
      <c r="F378" s="3063"/>
      <c r="G378" s="1155"/>
      <c r="H378" s="1134" t="e">
        <f t="shared" si="23"/>
        <v>#N/A</v>
      </c>
      <c r="I378" s="3064" t="e">
        <v>#N/A</v>
      </c>
      <c r="J378" s="3064" t="e">
        <v>#N/A</v>
      </c>
      <c r="K378" s="1878" t="e">
        <v>#N/A</v>
      </c>
      <c r="L378" s="1134" t="e">
        <f t="shared" si="24"/>
        <v>#N/A</v>
      </c>
      <c r="M378" s="3064" t="e">
        <v>#N/A</v>
      </c>
      <c r="N378" s="3064" t="e">
        <v>#N/A</v>
      </c>
      <c r="O378" s="3061" t="e">
        <v>#N/A</v>
      </c>
    </row>
    <row r="379" spans="1:15" s="277" customFormat="1">
      <c r="A379" s="279">
        <f t="shared" si="25"/>
        <v>2030.1</v>
      </c>
      <c r="B379" s="1154"/>
      <c r="C379" s="3063"/>
      <c r="D379" s="1155"/>
      <c r="E379" s="1154"/>
      <c r="F379" s="3063"/>
      <c r="G379" s="1155"/>
      <c r="H379" s="1134" t="e">
        <f t="shared" si="23"/>
        <v>#N/A</v>
      </c>
      <c r="I379" s="3064" t="e">
        <v>#N/A</v>
      </c>
      <c r="J379" s="3064" t="e">
        <v>#N/A</v>
      </c>
      <c r="K379" s="1878" t="e">
        <v>#N/A</v>
      </c>
      <c r="L379" s="1134" t="e">
        <f t="shared" si="24"/>
        <v>#N/A</v>
      </c>
      <c r="M379" s="3064" t="e">
        <v>#N/A</v>
      </c>
      <c r="N379" s="3064" t="e">
        <v>#N/A</v>
      </c>
      <c r="O379" s="3061" t="e">
        <v>#N/A</v>
      </c>
    </row>
    <row r="380" spans="1:15" s="277" customFormat="1">
      <c r="A380" s="279">
        <f t="shared" si="25"/>
        <v>2030.11</v>
      </c>
      <c r="B380" s="1154"/>
      <c r="C380" s="3063"/>
      <c r="D380" s="1155"/>
      <c r="E380" s="1154"/>
      <c r="F380" s="3063"/>
      <c r="G380" s="1155"/>
      <c r="H380" s="1134" t="e">
        <f t="shared" si="23"/>
        <v>#N/A</v>
      </c>
      <c r="I380" s="3064" t="e">
        <v>#N/A</v>
      </c>
      <c r="J380" s="3064" t="e">
        <v>#N/A</v>
      </c>
      <c r="K380" s="1878" t="e">
        <v>#N/A</v>
      </c>
      <c r="L380" s="1134" t="e">
        <f t="shared" si="24"/>
        <v>#N/A</v>
      </c>
      <c r="M380" s="3064" t="e">
        <v>#N/A</v>
      </c>
      <c r="N380" s="3064" t="e">
        <v>#N/A</v>
      </c>
      <c r="O380" s="3061" t="e">
        <v>#N/A</v>
      </c>
    </row>
    <row r="381" spans="1:15" s="277" customFormat="1">
      <c r="A381" s="279">
        <f t="shared" si="25"/>
        <v>2030.12</v>
      </c>
      <c r="B381" s="1154"/>
      <c r="C381" s="3063"/>
      <c r="D381" s="1155"/>
      <c r="E381" s="1154"/>
      <c r="F381" s="3063"/>
      <c r="G381" s="1155"/>
      <c r="H381" s="1134" t="e">
        <f t="shared" si="23"/>
        <v>#N/A</v>
      </c>
      <c r="I381" s="3064" t="e">
        <v>#N/A</v>
      </c>
      <c r="J381" s="3064" t="e">
        <v>#N/A</v>
      </c>
      <c r="K381" s="1878" t="e">
        <v>#N/A</v>
      </c>
      <c r="L381" s="1134" t="e">
        <f t="shared" si="24"/>
        <v>#N/A</v>
      </c>
      <c r="M381" s="3064" t="e">
        <v>#N/A</v>
      </c>
      <c r="N381" s="3064" t="e">
        <v>#N/A</v>
      </c>
      <c r="O381" s="3061" t="e">
        <v>#N/A</v>
      </c>
    </row>
  </sheetData>
  <phoneticPr fontId="66" type="noConversion"/>
  <hyperlinks>
    <hyperlink ref="A5" location="INDICE!A13" display="VOLVER AL INDICE" xr:uid="{00000000-0004-0000-0900-000000000000}"/>
  </hyperlinks>
  <printOptions gridLines="1" gridLinesSet="0"/>
  <pageMargins left="0.75" right="0.75" top="1" bottom="1" header="0.511811024" footer="0.511811024"/>
  <pageSetup paperSize="9" orientation="portrait" horizontalDpi="4294967292" verticalDpi="300" r:id="rId1"/>
  <headerFooter alignWithMargins="0">
    <oddHeader>&amp;A</oddHeader>
    <oddFooter>Página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sheetPr>
  <dimension ref="A1:AG453"/>
  <sheetViews>
    <sheetView zoomScale="130" zoomScaleNormal="130" workbookViewId="0">
      <pane xSplit="1" ySplit="9" topLeftCell="B373"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9.5703125" style="24" customWidth="1"/>
    <col min="2" max="2" width="18.42578125" style="24" bestFit="1" customWidth="1"/>
    <col min="3" max="4" width="11.5703125" style="24" customWidth="1"/>
    <col min="5" max="5" width="29.42578125" style="24" customWidth="1"/>
    <col min="6" max="6" width="31.42578125" style="9" customWidth="1"/>
    <col min="7" max="33" width="13.7109375" style="9" customWidth="1"/>
    <col min="34" max="16384" width="11.42578125" style="9"/>
  </cols>
  <sheetData>
    <row r="1" spans="1:33" ht="2.25" customHeight="1">
      <c r="A1" s="34"/>
      <c r="B1" s="382"/>
      <c r="C1" s="1314"/>
      <c r="D1" s="1314"/>
      <c r="E1" s="1314"/>
      <c r="F1" s="2752"/>
      <c r="G1" s="1360"/>
      <c r="H1" s="228"/>
      <c r="I1" s="228"/>
      <c r="J1" s="1361"/>
      <c r="K1" s="228"/>
      <c r="L1" s="228"/>
      <c r="M1" s="228"/>
      <c r="N1" s="1361"/>
      <c r="O1" s="228"/>
      <c r="P1" s="228"/>
      <c r="Q1" s="228"/>
      <c r="R1" s="228"/>
      <c r="S1" s="228"/>
      <c r="T1" s="228"/>
      <c r="U1" s="228"/>
      <c r="V1" s="228"/>
      <c r="W1" s="228"/>
      <c r="X1" s="228"/>
      <c r="Y1" s="228"/>
      <c r="Z1" s="228"/>
      <c r="AA1" s="228"/>
      <c r="AB1" s="228"/>
      <c r="AC1" s="228"/>
      <c r="AD1" s="228"/>
      <c r="AE1" s="228"/>
      <c r="AF1" s="228"/>
      <c r="AG1" s="1362"/>
    </row>
    <row r="2" spans="1:33" ht="67.5">
      <c r="A2" s="59" t="s">
        <v>105</v>
      </c>
      <c r="B2" s="1879" t="s">
        <v>1685</v>
      </c>
      <c r="C2" s="2405"/>
      <c r="D2" s="2405"/>
      <c r="E2" s="2406" t="s">
        <v>362</v>
      </c>
      <c r="F2" s="3510" t="s">
        <v>363</v>
      </c>
      <c r="G2" s="3526" t="s">
        <v>364</v>
      </c>
      <c r="H2" s="3527" t="s">
        <v>365</v>
      </c>
      <c r="I2" s="3528" t="s">
        <v>366</v>
      </c>
      <c r="J2" s="3530" t="s">
        <v>367</v>
      </c>
      <c r="K2" s="1363" t="s">
        <v>368</v>
      </c>
      <c r="L2" s="3530" t="s">
        <v>369</v>
      </c>
      <c r="M2" s="3529" t="s">
        <v>370</v>
      </c>
      <c r="N2" s="3531" t="s">
        <v>371</v>
      </c>
      <c r="O2" s="3531"/>
      <c r="P2" s="3531"/>
      <c r="Q2" s="3531"/>
      <c r="R2" s="3531"/>
      <c r="S2" s="3531"/>
      <c r="T2" s="3531"/>
      <c r="U2" s="3531"/>
      <c r="V2" s="3531"/>
      <c r="W2" s="3531"/>
      <c r="X2" s="3531"/>
      <c r="Y2" s="3531"/>
      <c r="Z2" s="3531"/>
      <c r="AA2" s="3531"/>
      <c r="AB2" s="3531"/>
      <c r="AC2" s="3532"/>
      <c r="AD2" s="3532"/>
      <c r="AE2" s="3532"/>
      <c r="AF2" s="3532"/>
      <c r="AG2" s="3533"/>
    </row>
    <row r="3" spans="1:33" ht="22.5">
      <c r="A3" s="94" t="s">
        <v>212</v>
      </c>
      <c r="B3" s="3418" t="s">
        <v>1689</v>
      </c>
      <c r="C3" s="3418"/>
      <c r="D3" s="3073"/>
      <c r="E3" s="2406" t="s">
        <v>372</v>
      </c>
      <c r="F3" s="2753" t="s">
        <v>1718</v>
      </c>
      <c r="G3" s="2407" t="s">
        <v>374</v>
      </c>
      <c r="H3" s="2407"/>
      <c r="I3" s="1880"/>
      <c r="J3" s="1364"/>
      <c r="K3" s="2407"/>
      <c r="L3" s="1364"/>
      <c r="M3" s="1880"/>
      <c r="N3" s="1364" t="s">
        <v>375</v>
      </c>
      <c r="O3" s="1364"/>
      <c r="P3" s="1364"/>
      <c r="Q3" s="1364"/>
      <c r="R3" s="1364"/>
      <c r="S3" s="1364"/>
      <c r="T3" s="1364"/>
      <c r="U3" s="1364"/>
      <c r="V3" s="1364"/>
      <c r="W3" s="1364"/>
      <c r="X3" s="1364"/>
      <c r="Y3" s="1364"/>
      <c r="Z3" s="1364"/>
      <c r="AA3" s="1364"/>
      <c r="AB3" s="1364"/>
      <c r="AC3" s="2407"/>
      <c r="AD3" s="2407"/>
      <c r="AE3" s="2407"/>
      <c r="AF3" s="2407"/>
      <c r="AG3" s="1881"/>
    </row>
    <row r="4" spans="1:33">
      <c r="A4" s="34"/>
      <c r="B4" s="2379"/>
      <c r="C4" s="382"/>
      <c r="D4" s="382"/>
      <c r="E4" s="2406"/>
      <c r="F4" s="1788"/>
      <c r="G4" s="2554" t="s">
        <v>376</v>
      </c>
      <c r="H4" s="1365"/>
      <c r="I4" s="1366"/>
      <c r="J4" s="2555" t="s">
        <v>377</v>
      </c>
      <c r="K4" s="1367"/>
      <c r="L4" s="1367"/>
      <c r="M4" s="1368"/>
      <c r="N4" s="1369" t="s">
        <v>243</v>
      </c>
      <c r="O4" s="1370" t="s">
        <v>244</v>
      </c>
      <c r="P4" s="1370" t="s">
        <v>245</v>
      </c>
      <c r="Q4" s="1370" t="s">
        <v>246</v>
      </c>
      <c r="R4" s="1370" t="s">
        <v>247</v>
      </c>
      <c r="S4" s="1370" t="s">
        <v>248</v>
      </c>
      <c r="T4" s="1370" t="s">
        <v>249</v>
      </c>
      <c r="U4" s="1370" t="s">
        <v>250</v>
      </c>
      <c r="V4" s="1370" t="s">
        <v>251</v>
      </c>
      <c r="W4" s="1370" t="s">
        <v>252</v>
      </c>
      <c r="X4" s="1370" t="s">
        <v>253</v>
      </c>
      <c r="Y4" s="1370" t="s">
        <v>254</v>
      </c>
      <c r="Z4" s="1370" t="s">
        <v>255</v>
      </c>
      <c r="AA4" s="1370" t="s">
        <v>256</v>
      </c>
      <c r="AB4" s="1370" t="s">
        <v>359</v>
      </c>
      <c r="AC4" s="1370" t="s">
        <v>258</v>
      </c>
      <c r="AD4" s="1371" t="s">
        <v>378</v>
      </c>
      <c r="AE4" s="1371" t="s">
        <v>379</v>
      </c>
      <c r="AF4" s="1371" t="s">
        <v>380</v>
      </c>
      <c r="AG4" s="1372" t="s">
        <v>381</v>
      </c>
    </row>
    <row r="5" spans="1:33" ht="56.25">
      <c r="A5" s="2390" t="s">
        <v>137</v>
      </c>
      <c r="B5" s="2401" t="s">
        <v>1686</v>
      </c>
      <c r="C5" s="1316" t="s">
        <v>1687</v>
      </c>
      <c r="D5" s="1317" t="s">
        <v>1688</v>
      </c>
      <c r="E5" s="1883" t="s">
        <v>362</v>
      </c>
      <c r="F5" s="1963" t="s">
        <v>1719</v>
      </c>
      <c r="G5" s="3074" t="s">
        <v>382</v>
      </c>
      <c r="H5" s="1373"/>
      <c r="I5" s="1374"/>
      <c r="J5" s="1375" t="s">
        <v>383</v>
      </c>
      <c r="K5" s="1373"/>
      <c r="L5" s="1375" t="s">
        <v>384</v>
      </c>
      <c r="M5" s="1374"/>
      <c r="N5" s="1373" t="s">
        <v>385</v>
      </c>
      <c r="O5" s="1373" t="s">
        <v>174</v>
      </c>
      <c r="P5" s="1376" t="s">
        <v>175</v>
      </c>
      <c r="Q5" s="1373" t="s">
        <v>386</v>
      </c>
      <c r="R5" s="1373" t="s">
        <v>387</v>
      </c>
      <c r="S5" s="1376" t="s">
        <v>177</v>
      </c>
      <c r="T5" s="1376" t="s">
        <v>360</v>
      </c>
      <c r="U5" s="1376" t="s">
        <v>388</v>
      </c>
      <c r="V5" s="1373" t="s">
        <v>389</v>
      </c>
      <c r="W5" s="1373" t="s">
        <v>390</v>
      </c>
      <c r="X5" s="1373" t="s">
        <v>391</v>
      </c>
      <c r="Y5" s="1373" t="s">
        <v>392</v>
      </c>
      <c r="Z5" s="1373" t="s">
        <v>393</v>
      </c>
      <c r="AA5" s="1376" t="s">
        <v>394</v>
      </c>
      <c r="AB5" s="1376" t="s">
        <v>395</v>
      </c>
      <c r="AC5" s="1376" t="s">
        <v>184</v>
      </c>
      <c r="AD5" s="1373" t="s">
        <v>396</v>
      </c>
      <c r="AE5" s="1373" t="s">
        <v>397</v>
      </c>
      <c r="AF5" s="1373" t="s">
        <v>398</v>
      </c>
      <c r="AG5" s="1377" t="s">
        <v>290</v>
      </c>
    </row>
    <row r="6" spans="1:33" ht="2.25" hidden="1" customHeight="1">
      <c r="A6" s="34"/>
      <c r="B6" s="2379"/>
      <c r="C6" s="1885"/>
      <c r="D6" s="382"/>
      <c r="E6" s="1709"/>
      <c r="F6" s="1788"/>
      <c r="G6" s="1360"/>
      <c r="H6" s="228"/>
      <c r="I6" s="1378"/>
      <c r="J6" s="228"/>
      <c r="K6" s="228"/>
      <c r="L6" s="228"/>
      <c r="M6" s="1378"/>
      <c r="N6" s="228"/>
      <c r="O6" s="228"/>
      <c r="P6" s="228"/>
      <c r="Q6" s="228"/>
      <c r="R6" s="228"/>
      <c r="S6" s="228"/>
      <c r="T6" s="228"/>
      <c r="U6" s="228"/>
      <c r="V6" s="228"/>
      <c r="W6" s="228"/>
      <c r="X6" s="228"/>
      <c r="Y6" s="228"/>
      <c r="Z6" s="228"/>
      <c r="AA6" s="228"/>
      <c r="AB6" s="228"/>
      <c r="AC6" s="228"/>
      <c r="AD6" s="228"/>
      <c r="AE6" s="228"/>
      <c r="AF6" s="228"/>
      <c r="AG6" s="1362"/>
    </row>
    <row r="7" spans="1:33" ht="22.5" customHeight="1">
      <c r="A7" s="2373" t="s">
        <v>123</v>
      </c>
      <c r="B7" s="6" t="s">
        <v>361</v>
      </c>
      <c r="C7" s="1318" t="s">
        <v>361</v>
      </c>
      <c r="D7" s="5" t="s">
        <v>361</v>
      </c>
      <c r="E7" s="1886" t="s">
        <v>299</v>
      </c>
      <c r="F7" s="1963" t="s">
        <v>126</v>
      </c>
      <c r="G7" s="3075" t="s">
        <v>361</v>
      </c>
      <c r="H7" s="1379" t="s">
        <v>361</v>
      </c>
      <c r="I7" s="1380" t="s">
        <v>361</v>
      </c>
      <c r="J7" s="1381" t="s">
        <v>358</v>
      </c>
      <c r="K7" s="1379" t="s">
        <v>358</v>
      </c>
      <c r="L7" s="1381" t="s">
        <v>358</v>
      </c>
      <c r="M7" s="1380" t="s">
        <v>358</v>
      </c>
      <c r="N7" s="1382" t="s">
        <v>361</v>
      </c>
      <c r="O7" s="1379" t="s">
        <v>361</v>
      </c>
      <c r="P7" s="1379" t="s">
        <v>361</v>
      </c>
      <c r="Q7" s="1379" t="s">
        <v>361</v>
      </c>
      <c r="R7" s="1379" t="s">
        <v>361</v>
      </c>
      <c r="S7" s="1379" t="s">
        <v>361</v>
      </c>
      <c r="T7" s="1379" t="s">
        <v>361</v>
      </c>
      <c r="U7" s="1379" t="s">
        <v>361</v>
      </c>
      <c r="V7" s="1379" t="s">
        <v>361</v>
      </c>
      <c r="W7" s="1379" t="s">
        <v>361</v>
      </c>
      <c r="X7" s="1379" t="s">
        <v>361</v>
      </c>
      <c r="Y7" s="1379" t="s">
        <v>361</v>
      </c>
      <c r="Z7" s="1379" t="s">
        <v>361</v>
      </c>
      <c r="AA7" s="1379" t="s">
        <v>361</v>
      </c>
      <c r="AB7" s="1379" t="s">
        <v>361</v>
      </c>
      <c r="AC7" s="1379" t="s">
        <v>361</v>
      </c>
      <c r="AD7" s="1379" t="s">
        <v>361</v>
      </c>
      <c r="AE7" s="1379" t="s">
        <v>361</v>
      </c>
      <c r="AF7" s="1379" t="s">
        <v>361</v>
      </c>
      <c r="AG7" s="1383" t="s">
        <v>361</v>
      </c>
    </row>
    <row r="8" spans="1:33">
      <c r="A8" s="147" t="s">
        <v>141</v>
      </c>
      <c r="B8" s="2400" t="s">
        <v>399</v>
      </c>
      <c r="C8" s="639" t="s">
        <v>400</v>
      </c>
      <c r="D8" s="149" t="s">
        <v>401</v>
      </c>
      <c r="E8" s="149" t="s">
        <v>402</v>
      </c>
      <c r="F8" s="1964" t="s">
        <v>403</v>
      </c>
      <c r="G8" s="3076" t="s">
        <v>404</v>
      </c>
      <c r="H8" s="1388" t="s">
        <v>405</v>
      </c>
      <c r="I8" s="1389" t="s">
        <v>406</v>
      </c>
      <c r="J8" s="1390" t="s">
        <v>407</v>
      </c>
      <c r="K8" s="1388" t="s">
        <v>408</v>
      </c>
      <c r="L8" s="1390" t="s">
        <v>409</v>
      </c>
      <c r="M8" s="1389" t="s">
        <v>410</v>
      </c>
      <c r="N8" s="1390" t="s">
        <v>411</v>
      </c>
      <c r="O8" s="1388" t="s">
        <v>412</v>
      </c>
      <c r="P8" s="1388" t="s">
        <v>413</v>
      </c>
      <c r="Q8" s="1388" t="s">
        <v>414</v>
      </c>
      <c r="R8" s="1388" t="s">
        <v>415</v>
      </c>
      <c r="S8" s="1388" t="s">
        <v>416</v>
      </c>
      <c r="T8" s="1388" t="s">
        <v>417</v>
      </c>
      <c r="U8" s="1388" t="s">
        <v>418</v>
      </c>
      <c r="V8" s="1388" t="s">
        <v>419</v>
      </c>
      <c r="W8" s="1388" t="s">
        <v>420</v>
      </c>
      <c r="X8" s="1388" t="s">
        <v>421</v>
      </c>
      <c r="Y8" s="1388" t="s">
        <v>422</v>
      </c>
      <c r="Z8" s="1388" t="s">
        <v>423</v>
      </c>
      <c r="AA8" s="1388" t="s">
        <v>424</v>
      </c>
      <c r="AB8" s="1388" t="s">
        <v>425</v>
      </c>
      <c r="AC8" s="1388" t="s">
        <v>426</v>
      </c>
      <c r="AD8" s="1388" t="s">
        <v>427</v>
      </c>
      <c r="AE8" s="1388" t="s">
        <v>428</v>
      </c>
      <c r="AF8" s="1388" t="s">
        <v>429</v>
      </c>
      <c r="AG8" s="1391" t="s">
        <v>430</v>
      </c>
    </row>
    <row r="9" spans="1:33">
      <c r="A9" s="2990"/>
      <c r="B9" s="2404"/>
      <c r="C9" s="1319"/>
      <c r="D9" s="1320"/>
      <c r="E9" s="167"/>
      <c r="F9" s="1959"/>
      <c r="G9" s="3077"/>
      <c r="H9" s="1384"/>
      <c r="I9" s="1385"/>
      <c r="J9" s="1386"/>
      <c r="K9" s="1384"/>
      <c r="L9" s="1386"/>
      <c r="M9" s="1385"/>
      <c r="N9" s="1386"/>
      <c r="O9" s="1384"/>
      <c r="P9" s="1384"/>
      <c r="Q9" s="1384"/>
      <c r="R9" s="1384"/>
      <c r="S9" s="1384"/>
      <c r="T9" s="1384"/>
      <c r="U9" s="1384"/>
      <c r="V9" s="1384"/>
      <c r="W9" s="1384"/>
      <c r="X9" s="1384"/>
      <c r="Y9" s="1384"/>
      <c r="Z9" s="1384"/>
      <c r="AA9" s="1384"/>
      <c r="AB9" s="1384"/>
      <c r="AC9" s="1384"/>
      <c r="AD9" s="1384"/>
      <c r="AE9" s="1384"/>
      <c r="AF9" s="1384"/>
      <c r="AG9" s="1387"/>
    </row>
    <row r="10" spans="1:33">
      <c r="A10" s="63">
        <v>1994.01</v>
      </c>
      <c r="B10" s="223">
        <v>84046</v>
      </c>
      <c r="C10" s="3078"/>
      <c r="D10" s="808"/>
      <c r="E10" s="222">
        <v>89.117163317754191</v>
      </c>
      <c r="F10" s="2754"/>
      <c r="G10" s="2755"/>
      <c r="H10" s="3311"/>
      <c r="I10" s="3309"/>
      <c r="J10" s="3310"/>
      <c r="K10" s="3311"/>
      <c r="L10" s="3310"/>
      <c r="M10" s="3309"/>
      <c r="N10" s="3310"/>
      <c r="O10" s="3311"/>
      <c r="P10" s="3311"/>
      <c r="Q10" s="3311"/>
      <c r="R10" s="3311"/>
      <c r="S10" s="3311"/>
      <c r="T10" s="3311"/>
      <c r="U10" s="3311"/>
      <c r="V10" s="3311"/>
      <c r="W10" s="3311"/>
      <c r="X10" s="3311"/>
      <c r="Y10" s="3311"/>
      <c r="Z10" s="3311"/>
      <c r="AA10" s="3311"/>
      <c r="AB10" s="3311"/>
      <c r="AC10" s="3311"/>
      <c r="AD10" s="3311"/>
      <c r="AE10" s="3311"/>
      <c r="AF10" s="3311"/>
      <c r="AG10" s="3312"/>
    </row>
    <row r="11" spans="1:33">
      <c r="A11" s="63">
        <v>1994.02</v>
      </c>
      <c r="B11" s="260">
        <v>83936</v>
      </c>
      <c r="C11" s="3078"/>
      <c r="D11" s="808"/>
      <c r="E11" s="222">
        <v>183.90487388272606</v>
      </c>
      <c r="F11" s="2754"/>
      <c r="G11" s="1403"/>
      <c r="H11" s="3067"/>
      <c r="I11" s="1887"/>
      <c r="J11" s="1402"/>
      <c r="K11" s="3067"/>
      <c r="L11" s="1402"/>
      <c r="M11" s="1887"/>
      <c r="N11" s="1402"/>
      <c r="O11" s="3067"/>
      <c r="P11" s="3067"/>
      <c r="Q11" s="3067"/>
      <c r="R11" s="3067"/>
      <c r="S11" s="3067"/>
      <c r="T11" s="3067"/>
      <c r="U11" s="3067"/>
      <c r="V11" s="3067"/>
      <c r="W11" s="3067"/>
      <c r="X11" s="3067"/>
      <c r="Y11" s="3067"/>
      <c r="Z11" s="3067"/>
      <c r="AA11" s="3067"/>
      <c r="AB11" s="3067"/>
      <c r="AC11" s="3067"/>
      <c r="AD11" s="3067"/>
      <c r="AE11" s="3067"/>
      <c r="AF11" s="3067"/>
      <c r="AG11" s="3068"/>
    </row>
    <row r="12" spans="1:33">
      <c r="A12" s="63">
        <v>1994.03</v>
      </c>
      <c r="B12" s="260">
        <v>83957</v>
      </c>
      <c r="C12" s="3078"/>
      <c r="D12" s="808"/>
      <c r="E12" s="222">
        <v>282.47620293306642</v>
      </c>
      <c r="F12" s="2754"/>
      <c r="G12" s="1403"/>
      <c r="H12" s="3067"/>
      <c r="I12" s="1887"/>
      <c r="J12" s="1402"/>
      <c r="K12" s="3067"/>
      <c r="L12" s="1402"/>
      <c r="M12" s="1887"/>
      <c r="N12" s="1402"/>
      <c r="O12" s="3067"/>
      <c r="P12" s="3067"/>
      <c r="Q12" s="3067"/>
      <c r="R12" s="3067"/>
      <c r="S12" s="3067"/>
      <c r="T12" s="3067"/>
      <c r="U12" s="3067"/>
      <c r="V12" s="3067"/>
      <c r="W12" s="3067"/>
      <c r="X12" s="3067"/>
      <c r="Y12" s="3067"/>
      <c r="Z12" s="3067"/>
      <c r="AA12" s="3067"/>
      <c r="AB12" s="3067"/>
      <c r="AC12" s="3067"/>
      <c r="AD12" s="3067"/>
      <c r="AE12" s="3067"/>
      <c r="AF12" s="3067"/>
      <c r="AG12" s="3068"/>
    </row>
    <row r="13" spans="1:33">
      <c r="A13" s="63">
        <v>1994.04</v>
      </c>
      <c r="B13" s="260">
        <v>83947</v>
      </c>
      <c r="C13" s="3078"/>
      <c r="D13" s="808"/>
      <c r="E13" s="222">
        <v>382.53865991391666</v>
      </c>
      <c r="F13" s="2754"/>
      <c r="G13" s="1403"/>
      <c r="H13" s="3067"/>
      <c r="I13" s="1887"/>
      <c r="J13" s="1402"/>
      <c r="K13" s="3067"/>
      <c r="L13" s="1402"/>
      <c r="M13" s="1887"/>
      <c r="N13" s="1402"/>
      <c r="O13" s="3067"/>
      <c r="P13" s="3067"/>
      <c r="Q13" s="3067"/>
      <c r="R13" s="3067"/>
      <c r="S13" s="3067"/>
      <c r="T13" s="3067"/>
      <c r="U13" s="3067"/>
      <c r="V13" s="3067"/>
      <c r="W13" s="3067"/>
      <c r="X13" s="3067"/>
      <c r="Y13" s="3067"/>
      <c r="Z13" s="3067"/>
      <c r="AA13" s="3067"/>
      <c r="AB13" s="3067"/>
      <c r="AC13" s="3067"/>
      <c r="AD13" s="3067"/>
      <c r="AE13" s="3067"/>
      <c r="AF13" s="3067"/>
      <c r="AG13" s="3068"/>
    </row>
    <row r="14" spans="1:33">
      <c r="A14" s="63">
        <v>1994.05</v>
      </c>
      <c r="B14" s="260">
        <v>83345</v>
      </c>
      <c r="C14" s="3078"/>
      <c r="D14" s="808"/>
      <c r="E14" s="222">
        <v>484.01735995447365</v>
      </c>
      <c r="F14" s="2754"/>
      <c r="G14" s="1403"/>
      <c r="H14" s="3067"/>
      <c r="I14" s="1887"/>
      <c r="J14" s="1402"/>
      <c r="K14" s="3067"/>
      <c r="L14" s="1402"/>
      <c r="M14" s="1887"/>
      <c r="N14" s="1402"/>
      <c r="O14" s="3067"/>
      <c r="P14" s="3067"/>
      <c r="Q14" s="3067"/>
      <c r="R14" s="3067"/>
      <c r="S14" s="3067"/>
      <c r="T14" s="3067"/>
      <c r="U14" s="3067"/>
      <c r="V14" s="3067"/>
      <c r="W14" s="3067"/>
      <c r="X14" s="3067"/>
      <c r="Y14" s="3067"/>
      <c r="Z14" s="3067"/>
      <c r="AA14" s="3067"/>
      <c r="AB14" s="3067"/>
      <c r="AC14" s="3067"/>
      <c r="AD14" s="3067"/>
      <c r="AE14" s="3067"/>
      <c r="AF14" s="3067"/>
      <c r="AG14" s="3068"/>
    </row>
    <row r="15" spans="1:33">
      <c r="A15" s="63">
        <v>1994.06</v>
      </c>
      <c r="B15" s="260">
        <v>84442</v>
      </c>
      <c r="C15" s="3078"/>
      <c r="D15" s="808"/>
      <c r="E15" s="222">
        <v>614.80411129507149</v>
      </c>
      <c r="F15" s="2754"/>
      <c r="G15" s="1403"/>
      <c r="H15" s="3067"/>
      <c r="I15" s="1887"/>
      <c r="J15" s="1402"/>
      <c r="K15" s="3067"/>
      <c r="L15" s="1402"/>
      <c r="M15" s="1887"/>
      <c r="N15" s="1402"/>
      <c r="O15" s="3067"/>
      <c r="P15" s="3067"/>
      <c r="Q15" s="3067"/>
      <c r="R15" s="3067"/>
      <c r="S15" s="3067"/>
      <c r="T15" s="3067"/>
      <c r="U15" s="3067"/>
      <c r="V15" s="3067"/>
      <c r="W15" s="3067"/>
      <c r="X15" s="3067"/>
      <c r="Y15" s="3067"/>
      <c r="Z15" s="3067"/>
      <c r="AA15" s="3067"/>
      <c r="AB15" s="3067"/>
      <c r="AC15" s="3067"/>
      <c r="AD15" s="3067"/>
      <c r="AE15" s="3067"/>
      <c r="AF15" s="3067"/>
      <c r="AG15" s="3068"/>
    </row>
    <row r="16" spans="1:33">
      <c r="A16" s="63">
        <v>1994.07</v>
      </c>
      <c r="B16" s="260">
        <v>84464</v>
      </c>
      <c r="C16" s="3078"/>
      <c r="D16" s="810"/>
      <c r="E16" s="222">
        <v>717.52801315393094</v>
      </c>
      <c r="F16" s="2754"/>
      <c r="G16" s="1403"/>
      <c r="H16" s="3067"/>
      <c r="I16" s="1887"/>
      <c r="J16" s="1402"/>
      <c r="K16" s="3067"/>
      <c r="L16" s="1402"/>
      <c r="M16" s="1887"/>
      <c r="N16" s="1402"/>
      <c r="O16" s="3067"/>
      <c r="P16" s="3067"/>
      <c r="Q16" s="3067"/>
      <c r="R16" s="3067"/>
      <c r="S16" s="3067"/>
      <c r="T16" s="3067"/>
      <c r="U16" s="3067"/>
      <c r="V16" s="3067"/>
      <c r="W16" s="3067"/>
      <c r="X16" s="3067"/>
      <c r="Y16" s="3067"/>
      <c r="Z16" s="3067"/>
      <c r="AA16" s="3067"/>
      <c r="AB16" s="3067"/>
      <c r="AC16" s="3067"/>
      <c r="AD16" s="3067"/>
      <c r="AE16" s="3067"/>
      <c r="AF16" s="3067"/>
      <c r="AG16" s="3068"/>
    </row>
    <row r="17" spans="1:33">
      <c r="A17" s="63">
        <v>1994.08</v>
      </c>
      <c r="B17" s="260">
        <v>84480</v>
      </c>
      <c r="C17" s="3078"/>
      <c r="D17" s="810"/>
      <c r="E17" s="222">
        <v>820.00600046979537</v>
      </c>
      <c r="F17" s="2754"/>
      <c r="G17" s="1403"/>
      <c r="H17" s="3067"/>
      <c r="I17" s="1887"/>
      <c r="J17" s="1402"/>
      <c r="K17" s="3067"/>
      <c r="L17" s="1402"/>
      <c r="M17" s="1887"/>
      <c r="N17" s="1402"/>
      <c r="O17" s="3067"/>
      <c r="P17" s="3067"/>
      <c r="Q17" s="3067"/>
      <c r="R17" s="3067"/>
      <c r="S17" s="3067"/>
      <c r="T17" s="3067"/>
      <c r="U17" s="3067"/>
      <c r="V17" s="3067"/>
      <c r="W17" s="3067"/>
      <c r="X17" s="3067"/>
      <c r="Y17" s="3067"/>
      <c r="Z17" s="3067"/>
      <c r="AA17" s="3067"/>
      <c r="AB17" s="3067"/>
      <c r="AC17" s="3067"/>
      <c r="AD17" s="3067"/>
      <c r="AE17" s="3067"/>
      <c r="AF17" s="3067"/>
      <c r="AG17" s="3068"/>
    </row>
    <row r="18" spans="1:33">
      <c r="A18" s="63">
        <v>1994.09</v>
      </c>
      <c r="B18" s="260">
        <v>84402</v>
      </c>
      <c r="C18" s="3078"/>
      <c r="D18" s="810"/>
      <c r="E18" s="222">
        <v>921.95637693891547</v>
      </c>
      <c r="F18" s="2754"/>
      <c r="G18" s="1403"/>
      <c r="H18" s="3067"/>
      <c r="I18" s="1887"/>
      <c r="J18" s="1402"/>
      <c r="K18" s="3067"/>
      <c r="L18" s="1402"/>
      <c r="M18" s="1887"/>
      <c r="N18" s="1402"/>
      <c r="O18" s="3067"/>
      <c r="P18" s="3067"/>
      <c r="Q18" s="3067"/>
      <c r="R18" s="3067"/>
      <c r="S18" s="3067"/>
      <c r="T18" s="3067"/>
      <c r="U18" s="3067"/>
      <c r="V18" s="3067"/>
      <c r="W18" s="3067"/>
      <c r="X18" s="3067"/>
      <c r="Y18" s="3067"/>
      <c r="Z18" s="3067"/>
      <c r="AA18" s="3067"/>
      <c r="AB18" s="3067"/>
      <c r="AC18" s="3067"/>
      <c r="AD18" s="3067"/>
      <c r="AE18" s="3067"/>
      <c r="AF18" s="3067"/>
      <c r="AG18" s="3068"/>
    </row>
    <row r="19" spans="1:33">
      <c r="A19" s="63">
        <v>1994.1</v>
      </c>
      <c r="B19" s="260">
        <v>84602</v>
      </c>
      <c r="C19" s="3078"/>
      <c r="D19" s="810"/>
      <c r="E19" s="222">
        <v>1030.9249614173889</v>
      </c>
      <c r="F19" s="2754"/>
      <c r="G19" s="1403"/>
      <c r="H19" s="3067"/>
      <c r="I19" s="1887"/>
      <c r="J19" s="1402"/>
      <c r="K19" s="3067"/>
      <c r="L19" s="1402"/>
      <c r="M19" s="1887"/>
      <c r="N19" s="1402"/>
      <c r="O19" s="3067"/>
      <c r="P19" s="3067"/>
      <c r="Q19" s="3067"/>
      <c r="R19" s="3067"/>
      <c r="S19" s="3067"/>
      <c r="T19" s="3067"/>
      <c r="U19" s="3067"/>
      <c r="V19" s="3067"/>
      <c r="W19" s="3067"/>
      <c r="X19" s="3067"/>
      <c r="Y19" s="3067"/>
      <c r="Z19" s="3067"/>
      <c r="AA19" s="3067"/>
      <c r="AB19" s="3067"/>
      <c r="AC19" s="3067"/>
      <c r="AD19" s="3067"/>
      <c r="AE19" s="3067"/>
      <c r="AF19" s="3067"/>
      <c r="AG19" s="3068"/>
    </row>
    <row r="20" spans="1:33">
      <c r="A20" s="63">
        <v>1994.11</v>
      </c>
      <c r="B20" s="260">
        <v>84499</v>
      </c>
      <c r="C20" s="3078"/>
      <c r="D20" s="810"/>
      <c r="E20" s="222">
        <v>1147.8784268185689</v>
      </c>
      <c r="F20" s="2754"/>
      <c r="G20" s="1403"/>
      <c r="H20" s="3067"/>
      <c r="I20" s="1887"/>
      <c r="J20" s="1402"/>
      <c r="K20" s="3067"/>
      <c r="L20" s="1402"/>
      <c r="M20" s="1887"/>
      <c r="N20" s="1402"/>
      <c r="O20" s="3067"/>
      <c r="P20" s="3067"/>
      <c r="Q20" s="3067"/>
      <c r="R20" s="3067"/>
      <c r="S20" s="3067"/>
      <c r="T20" s="3067"/>
      <c r="U20" s="3067"/>
      <c r="V20" s="3067"/>
      <c r="W20" s="3067"/>
      <c r="X20" s="3067"/>
      <c r="Y20" s="3067"/>
      <c r="Z20" s="3067"/>
      <c r="AA20" s="3067"/>
      <c r="AB20" s="3067"/>
      <c r="AC20" s="3067"/>
      <c r="AD20" s="3067"/>
      <c r="AE20" s="3067"/>
      <c r="AF20" s="3067"/>
      <c r="AG20" s="3068"/>
    </row>
    <row r="21" spans="1:33">
      <c r="A21" s="63">
        <v>1994.12</v>
      </c>
      <c r="B21" s="260">
        <v>84385</v>
      </c>
      <c r="C21" s="3078"/>
      <c r="D21" s="810"/>
      <c r="E21" s="222">
        <v>1371.473</v>
      </c>
      <c r="F21" s="2754"/>
      <c r="G21" s="1403"/>
      <c r="H21" s="3067"/>
      <c r="I21" s="1887"/>
      <c r="J21" s="1402"/>
      <c r="K21" s="3067"/>
      <c r="L21" s="1402"/>
      <c r="M21" s="1887"/>
      <c r="N21" s="1402"/>
      <c r="O21" s="3067"/>
      <c r="P21" s="3067"/>
      <c r="Q21" s="3067"/>
      <c r="R21" s="3067"/>
      <c r="S21" s="3067"/>
      <c r="T21" s="3067"/>
      <c r="U21" s="3067"/>
      <c r="V21" s="3067"/>
      <c r="W21" s="3067"/>
      <c r="X21" s="3067"/>
      <c r="Y21" s="3067"/>
      <c r="Z21" s="3067"/>
      <c r="AA21" s="3067"/>
      <c r="AB21" s="3067"/>
      <c r="AC21" s="3067"/>
      <c r="AD21" s="3067"/>
      <c r="AE21" s="3067"/>
      <c r="AF21" s="3067"/>
      <c r="AG21" s="3068"/>
    </row>
    <row r="22" spans="1:33">
      <c r="A22" s="63">
        <v>1995.01</v>
      </c>
      <c r="B22" s="260">
        <v>89755</v>
      </c>
      <c r="C22" s="3078"/>
      <c r="D22" s="810"/>
      <c r="E22" s="222">
        <v>92.657942717966762</v>
      </c>
      <c r="F22" s="2754"/>
      <c r="G22" s="1403"/>
      <c r="H22" s="3067"/>
      <c r="I22" s="1887"/>
      <c r="J22" s="1402"/>
      <c r="K22" s="3067"/>
      <c r="L22" s="1402"/>
      <c r="M22" s="1887"/>
      <c r="N22" s="1402"/>
      <c r="O22" s="3067"/>
      <c r="P22" s="3067"/>
      <c r="Q22" s="3067"/>
      <c r="R22" s="3067"/>
      <c r="S22" s="3067"/>
      <c r="T22" s="3067"/>
      <c r="U22" s="3067"/>
      <c r="V22" s="3067"/>
      <c r="W22" s="3067"/>
      <c r="X22" s="3067"/>
      <c r="Y22" s="3067"/>
      <c r="Z22" s="3067"/>
      <c r="AA22" s="3067"/>
      <c r="AB22" s="3067"/>
      <c r="AC22" s="3067"/>
      <c r="AD22" s="3067"/>
      <c r="AE22" s="3067"/>
      <c r="AF22" s="3067"/>
      <c r="AG22" s="3068"/>
    </row>
    <row r="23" spans="1:33">
      <c r="A23" s="63">
        <v>1995.02</v>
      </c>
      <c r="B23" s="260">
        <v>90335</v>
      </c>
      <c r="C23" s="3078"/>
      <c r="D23" s="810"/>
      <c r="E23" s="222">
        <v>191.21173335625824</v>
      </c>
      <c r="F23" s="2754"/>
      <c r="G23" s="1403"/>
      <c r="H23" s="3067"/>
      <c r="I23" s="1887"/>
      <c r="J23" s="1402"/>
      <c r="K23" s="3067"/>
      <c r="L23" s="1402"/>
      <c r="M23" s="1887"/>
      <c r="N23" s="1402"/>
      <c r="O23" s="3067"/>
      <c r="P23" s="3067"/>
      <c r="Q23" s="3067"/>
      <c r="R23" s="3067"/>
      <c r="S23" s="3067"/>
      <c r="T23" s="3067"/>
      <c r="U23" s="3067"/>
      <c r="V23" s="3067"/>
      <c r="W23" s="3067"/>
      <c r="X23" s="3067"/>
      <c r="Y23" s="3067"/>
      <c r="Z23" s="3067"/>
      <c r="AA23" s="3067"/>
      <c r="AB23" s="3067"/>
      <c r="AC23" s="3067"/>
      <c r="AD23" s="3067"/>
      <c r="AE23" s="3067"/>
      <c r="AF23" s="3067"/>
      <c r="AG23" s="3068"/>
    </row>
    <row r="24" spans="1:33">
      <c r="A24" s="63">
        <v>1995.03</v>
      </c>
      <c r="B24" s="260">
        <v>93016</v>
      </c>
      <c r="C24" s="3078"/>
      <c r="D24" s="810"/>
      <c r="E24" s="222">
        <v>293.6994722019661</v>
      </c>
      <c r="F24" s="2754"/>
      <c r="G24" s="1403"/>
      <c r="H24" s="3067"/>
      <c r="I24" s="1887"/>
      <c r="J24" s="1402"/>
      <c r="K24" s="3067"/>
      <c r="L24" s="1402"/>
      <c r="M24" s="1887"/>
      <c r="N24" s="1402"/>
      <c r="O24" s="3067"/>
      <c r="P24" s="3067"/>
      <c r="Q24" s="3067"/>
      <c r="R24" s="3067"/>
      <c r="S24" s="3067"/>
      <c r="T24" s="3067"/>
      <c r="U24" s="3067"/>
      <c r="V24" s="3067"/>
      <c r="W24" s="3067"/>
      <c r="X24" s="3067"/>
      <c r="Y24" s="3067"/>
      <c r="Z24" s="3067"/>
      <c r="AA24" s="3067"/>
      <c r="AB24" s="3067"/>
      <c r="AC24" s="3067"/>
      <c r="AD24" s="3067"/>
      <c r="AE24" s="3067"/>
      <c r="AF24" s="3067"/>
      <c r="AG24" s="3068"/>
    </row>
    <row r="25" spans="1:33">
      <c r="A25" s="63">
        <v>1995.04</v>
      </c>
      <c r="B25" s="260">
        <v>93096</v>
      </c>
      <c r="C25" s="3078"/>
      <c r="D25" s="810"/>
      <c r="E25" s="222">
        <v>397.73758407601764</v>
      </c>
      <c r="F25" s="2754"/>
      <c r="G25" s="1403"/>
      <c r="H25" s="3067"/>
      <c r="I25" s="1887"/>
      <c r="J25" s="1402"/>
      <c r="K25" s="3067"/>
      <c r="L25" s="1402"/>
      <c r="M25" s="1887"/>
      <c r="N25" s="1402"/>
      <c r="O25" s="3067"/>
      <c r="P25" s="3067"/>
      <c r="Q25" s="3067"/>
      <c r="R25" s="3067"/>
      <c r="S25" s="3067"/>
      <c r="T25" s="3067"/>
      <c r="U25" s="3067"/>
      <c r="V25" s="3067"/>
      <c r="W25" s="3067"/>
      <c r="X25" s="3067"/>
      <c r="Y25" s="3067"/>
      <c r="Z25" s="3067"/>
      <c r="AA25" s="3067"/>
      <c r="AB25" s="3067"/>
      <c r="AC25" s="3067"/>
      <c r="AD25" s="3067"/>
      <c r="AE25" s="3067"/>
      <c r="AF25" s="3067"/>
      <c r="AG25" s="3068"/>
    </row>
    <row r="26" spans="1:33">
      <c r="A26" s="63">
        <v>1995.05</v>
      </c>
      <c r="B26" s="260">
        <v>93222</v>
      </c>
      <c r="C26" s="3078"/>
      <c r="D26" s="810"/>
      <c r="E26" s="222">
        <v>503.24820880186559</v>
      </c>
      <c r="F26" s="2754"/>
      <c r="G26" s="1403"/>
      <c r="H26" s="3067"/>
      <c r="I26" s="1887"/>
      <c r="J26" s="1402"/>
      <c r="K26" s="3067"/>
      <c r="L26" s="1402"/>
      <c r="M26" s="1887"/>
      <c r="N26" s="1402"/>
      <c r="O26" s="3067"/>
      <c r="P26" s="3067"/>
      <c r="Q26" s="3067"/>
      <c r="R26" s="3067"/>
      <c r="S26" s="3067"/>
      <c r="T26" s="3067"/>
      <c r="U26" s="3067"/>
      <c r="V26" s="3067"/>
      <c r="W26" s="3067"/>
      <c r="X26" s="3067"/>
      <c r="Y26" s="3067"/>
      <c r="Z26" s="3067"/>
      <c r="AA26" s="3067"/>
      <c r="AB26" s="3067"/>
      <c r="AC26" s="3067"/>
      <c r="AD26" s="3067"/>
      <c r="AE26" s="3067"/>
      <c r="AF26" s="3067"/>
      <c r="AG26" s="3068"/>
    </row>
    <row r="27" spans="1:33">
      <c r="A27" s="63">
        <v>1995.06</v>
      </c>
      <c r="B27" s="260">
        <v>93192</v>
      </c>
      <c r="C27" s="3078"/>
      <c r="D27" s="810"/>
      <c r="E27" s="222">
        <v>639.23134451700116</v>
      </c>
      <c r="F27" s="2754"/>
      <c r="G27" s="1403"/>
      <c r="H27" s="3067"/>
      <c r="I27" s="1887"/>
      <c r="J27" s="1402"/>
      <c r="K27" s="3067"/>
      <c r="L27" s="1402"/>
      <c r="M27" s="1887"/>
      <c r="N27" s="1402"/>
      <c r="O27" s="3067"/>
      <c r="P27" s="3067"/>
      <c r="Q27" s="3067"/>
      <c r="R27" s="3067"/>
      <c r="S27" s="3067"/>
      <c r="T27" s="3067"/>
      <c r="U27" s="3067"/>
      <c r="V27" s="3067"/>
      <c r="W27" s="3067"/>
      <c r="X27" s="3067"/>
      <c r="Y27" s="3067"/>
      <c r="Z27" s="3067"/>
      <c r="AA27" s="3067"/>
      <c r="AB27" s="3067"/>
      <c r="AC27" s="3067"/>
      <c r="AD27" s="3067"/>
      <c r="AE27" s="3067"/>
      <c r="AF27" s="3067"/>
      <c r="AG27" s="3068"/>
    </row>
    <row r="28" spans="1:33">
      <c r="A28" s="63">
        <v>1995.07</v>
      </c>
      <c r="B28" s="260">
        <v>93171</v>
      </c>
      <c r="C28" s="3078"/>
      <c r="D28" s="810"/>
      <c r="E28" s="222">
        <v>746.03664508818736</v>
      </c>
      <c r="F28" s="2754"/>
      <c r="G28" s="1403"/>
      <c r="H28" s="3067"/>
      <c r="I28" s="1887"/>
      <c r="J28" s="1402"/>
      <c r="K28" s="3067"/>
      <c r="L28" s="1402"/>
      <c r="M28" s="1887"/>
      <c r="N28" s="1402"/>
      <c r="O28" s="3067"/>
      <c r="P28" s="3067"/>
      <c r="Q28" s="3067"/>
      <c r="R28" s="3067"/>
      <c r="S28" s="3067"/>
      <c r="T28" s="3067"/>
      <c r="U28" s="3067"/>
      <c r="V28" s="3067"/>
      <c r="W28" s="3067"/>
      <c r="X28" s="3067"/>
      <c r="Y28" s="3067"/>
      <c r="Z28" s="3067"/>
      <c r="AA28" s="3067"/>
      <c r="AB28" s="3067"/>
      <c r="AC28" s="3067"/>
      <c r="AD28" s="3067"/>
      <c r="AE28" s="3067"/>
      <c r="AF28" s="3067"/>
      <c r="AG28" s="3068"/>
    </row>
    <row r="29" spans="1:33">
      <c r="A29" s="63">
        <v>1995.08</v>
      </c>
      <c r="B29" s="260">
        <v>93113</v>
      </c>
      <c r="C29" s="3078"/>
      <c r="D29" s="810"/>
      <c r="E29" s="222">
        <v>852.58626050524583</v>
      </c>
      <c r="F29" s="2754"/>
      <c r="G29" s="1403"/>
      <c r="H29" s="3067"/>
      <c r="I29" s="1887"/>
      <c r="J29" s="1402"/>
      <c r="K29" s="3067"/>
      <c r="L29" s="1402"/>
      <c r="M29" s="1887"/>
      <c r="N29" s="1402"/>
      <c r="O29" s="3067"/>
      <c r="P29" s="3067"/>
      <c r="Q29" s="3067"/>
      <c r="R29" s="3067"/>
      <c r="S29" s="3067"/>
      <c r="T29" s="3067"/>
      <c r="U29" s="3067"/>
      <c r="V29" s="3067"/>
      <c r="W29" s="3067"/>
      <c r="X29" s="3067"/>
      <c r="Y29" s="3067"/>
      <c r="Z29" s="3067"/>
      <c r="AA29" s="3067"/>
      <c r="AB29" s="3067"/>
      <c r="AC29" s="3067"/>
      <c r="AD29" s="3067"/>
      <c r="AE29" s="3067"/>
      <c r="AF29" s="3067"/>
      <c r="AG29" s="3068"/>
    </row>
    <row r="30" spans="1:33">
      <c r="A30" s="63">
        <v>1995.09</v>
      </c>
      <c r="B30" s="260">
        <v>93061</v>
      </c>
      <c r="C30" s="3078"/>
      <c r="D30" s="810"/>
      <c r="E30" s="222">
        <v>958.58730218190476</v>
      </c>
      <c r="F30" s="2754"/>
      <c r="G30" s="1403"/>
      <c r="H30" s="3067"/>
      <c r="I30" s="1887"/>
      <c r="J30" s="1402"/>
      <c r="K30" s="3067"/>
      <c r="L30" s="1402"/>
      <c r="M30" s="1887"/>
      <c r="N30" s="1402"/>
      <c r="O30" s="3067"/>
      <c r="P30" s="3067"/>
      <c r="Q30" s="3067"/>
      <c r="R30" s="3067"/>
      <c r="S30" s="3067"/>
      <c r="T30" s="3067"/>
      <c r="U30" s="3067"/>
      <c r="V30" s="3067"/>
      <c r="W30" s="3067"/>
      <c r="X30" s="3067"/>
      <c r="Y30" s="3067"/>
      <c r="Z30" s="3067"/>
      <c r="AA30" s="3067"/>
      <c r="AB30" s="3067"/>
      <c r="AC30" s="3067"/>
      <c r="AD30" s="3067"/>
      <c r="AE30" s="3067"/>
      <c r="AF30" s="3067"/>
      <c r="AG30" s="3068"/>
    </row>
    <row r="31" spans="1:33">
      <c r="A31" s="63">
        <v>1995.1</v>
      </c>
      <c r="B31" s="260">
        <v>93005</v>
      </c>
      <c r="C31" s="3078"/>
      <c r="D31" s="810"/>
      <c r="E31" s="222">
        <v>1071.8853974395306</v>
      </c>
      <c r="F31" s="2754"/>
      <c r="G31" s="1403"/>
      <c r="H31" s="3067"/>
      <c r="I31" s="1887"/>
      <c r="J31" s="1402"/>
      <c r="K31" s="3067"/>
      <c r="L31" s="1402"/>
      <c r="M31" s="1887"/>
      <c r="N31" s="1402"/>
      <c r="O31" s="3067"/>
      <c r="P31" s="3067"/>
      <c r="Q31" s="3067"/>
      <c r="R31" s="3067"/>
      <c r="S31" s="3067"/>
      <c r="T31" s="3067"/>
      <c r="U31" s="3067"/>
      <c r="V31" s="3067"/>
      <c r="W31" s="3067"/>
      <c r="X31" s="3067"/>
      <c r="Y31" s="3067"/>
      <c r="Z31" s="3067"/>
      <c r="AA31" s="3067"/>
      <c r="AB31" s="3067"/>
      <c r="AC31" s="3067"/>
      <c r="AD31" s="3067"/>
      <c r="AE31" s="3067"/>
      <c r="AF31" s="3067"/>
      <c r="AG31" s="3068"/>
    </row>
    <row r="32" spans="1:33">
      <c r="A32" s="63">
        <v>1995.11</v>
      </c>
      <c r="B32" s="260">
        <v>92430</v>
      </c>
      <c r="C32" s="3078"/>
      <c r="D32" s="810"/>
      <c r="E32" s="222">
        <v>1193.4856267822361</v>
      </c>
      <c r="F32" s="2754"/>
      <c r="G32" s="1403"/>
      <c r="H32" s="3067"/>
      <c r="I32" s="1887"/>
      <c r="J32" s="1402"/>
      <c r="K32" s="3067"/>
      <c r="L32" s="1402"/>
      <c r="M32" s="1887"/>
      <c r="N32" s="1402"/>
      <c r="O32" s="3067"/>
      <c r="P32" s="3067"/>
      <c r="Q32" s="3067"/>
      <c r="R32" s="3067"/>
      <c r="S32" s="3067"/>
      <c r="T32" s="3067"/>
      <c r="U32" s="3067"/>
      <c r="V32" s="3067"/>
      <c r="W32" s="3067"/>
      <c r="X32" s="3067"/>
      <c r="Y32" s="3067"/>
      <c r="Z32" s="3067"/>
      <c r="AA32" s="3067"/>
      <c r="AB32" s="3067"/>
      <c r="AC32" s="3067"/>
      <c r="AD32" s="3067"/>
      <c r="AE32" s="3067"/>
      <c r="AF32" s="3067"/>
      <c r="AG32" s="3068"/>
    </row>
    <row r="33" spans="1:33">
      <c r="A33" s="63">
        <v>1995.12</v>
      </c>
      <c r="B33" s="260">
        <v>92195</v>
      </c>
      <c r="C33" s="3078"/>
      <c r="D33" s="810"/>
      <c r="E33" s="222">
        <v>1425.9639999999999</v>
      </c>
      <c r="F33" s="2754"/>
      <c r="G33" s="1403"/>
      <c r="H33" s="3067"/>
      <c r="I33" s="1887"/>
      <c r="J33" s="1402"/>
      <c r="K33" s="3067"/>
      <c r="L33" s="1402"/>
      <c r="M33" s="1887"/>
      <c r="N33" s="1402"/>
      <c r="O33" s="3067"/>
      <c r="P33" s="3067"/>
      <c r="Q33" s="3067"/>
      <c r="R33" s="3067"/>
      <c r="S33" s="3067"/>
      <c r="T33" s="3067"/>
      <c r="U33" s="3067"/>
      <c r="V33" s="3067"/>
      <c r="W33" s="3067"/>
      <c r="X33" s="3067"/>
      <c r="Y33" s="3067"/>
      <c r="Z33" s="3067"/>
      <c r="AA33" s="3067"/>
      <c r="AB33" s="3067"/>
      <c r="AC33" s="3067"/>
      <c r="AD33" s="3067"/>
      <c r="AE33" s="3067"/>
      <c r="AF33" s="3067"/>
      <c r="AG33" s="3068"/>
    </row>
    <row r="34" spans="1:33">
      <c r="A34" s="63">
        <v>1996.01</v>
      </c>
      <c r="B34" s="260">
        <v>92046</v>
      </c>
      <c r="C34" s="3078"/>
      <c r="D34" s="810"/>
      <c r="E34" s="222">
        <v>92.076119320534076</v>
      </c>
      <c r="F34" s="2754"/>
      <c r="G34" s="1403"/>
      <c r="H34" s="3067"/>
      <c r="I34" s="1887"/>
      <c r="J34" s="1402"/>
      <c r="K34" s="3067"/>
      <c r="L34" s="1402"/>
      <c r="M34" s="1887"/>
      <c r="N34" s="1402"/>
      <c r="O34" s="3067"/>
      <c r="P34" s="3067"/>
      <c r="Q34" s="3067"/>
      <c r="R34" s="3067"/>
      <c r="S34" s="3067"/>
      <c r="T34" s="3067"/>
      <c r="U34" s="3067"/>
      <c r="V34" s="3067"/>
      <c r="W34" s="3067"/>
      <c r="X34" s="3067"/>
      <c r="Y34" s="3067"/>
      <c r="Z34" s="3067"/>
      <c r="AA34" s="3067"/>
      <c r="AB34" s="3067"/>
      <c r="AC34" s="3067"/>
      <c r="AD34" s="3067"/>
      <c r="AE34" s="3067"/>
      <c r="AF34" s="3067"/>
      <c r="AG34" s="3068"/>
    </row>
    <row r="35" spans="1:33">
      <c r="A35" s="63">
        <v>1996.02</v>
      </c>
      <c r="B35" s="260">
        <v>91999</v>
      </c>
      <c r="C35" s="3078"/>
      <c r="D35" s="810"/>
      <c r="E35" s="222">
        <v>190.01106499403312</v>
      </c>
      <c r="F35" s="2754"/>
      <c r="G35" s="1403"/>
      <c r="H35" s="3067"/>
      <c r="I35" s="1887"/>
      <c r="J35" s="1402"/>
      <c r="K35" s="3067"/>
      <c r="L35" s="1402"/>
      <c r="M35" s="1887"/>
      <c r="N35" s="1402"/>
      <c r="O35" s="3067"/>
      <c r="P35" s="3067"/>
      <c r="Q35" s="3067"/>
      <c r="R35" s="3067"/>
      <c r="S35" s="3067"/>
      <c r="T35" s="3067"/>
      <c r="U35" s="3067"/>
      <c r="V35" s="3067"/>
      <c r="W35" s="3067"/>
      <c r="X35" s="3067"/>
      <c r="Y35" s="3067"/>
      <c r="Z35" s="3067"/>
      <c r="AA35" s="3067"/>
      <c r="AB35" s="3067"/>
      <c r="AC35" s="3067"/>
      <c r="AD35" s="3067"/>
      <c r="AE35" s="3067"/>
      <c r="AF35" s="3067"/>
      <c r="AG35" s="3068"/>
    </row>
    <row r="36" spans="1:33">
      <c r="A36" s="63">
        <v>1996.03</v>
      </c>
      <c r="B36" s="260">
        <v>91859</v>
      </c>
      <c r="C36" s="3078"/>
      <c r="D36" s="810"/>
      <c r="E36" s="222">
        <v>291.85525658775953</v>
      </c>
      <c r="F36" s="2754"/>
      <c r="G36" s="1403"/>
      <c r="H36" s="3067"/>
      <c r="I36" s="1887"/>
      <c r="J36" s="1402"/>
      <c r="K36" s="3067"/>
      <c r="L36" s="1402"/>
      <c r="M36" s="1887"/>
      <c r="N36" s="1402"/>
      <c r="O36" s="3067"/>
      <c r="P36" s="3067"/>
      <c r="Q36" s="3067"/>
      <c r="R36" s="3067"/>
      <c r="S36" s="3067"/>
      <c r="T36" s="3067"/>
      <c r="U36" s="3067"/>
      <c r="V36" s="3067"/>
      <c r="W36" s="3067"/>
      <c r="X36" s="3067"/>
      <c r="Y36" s="3067"/>
      <c r="Z36" s="3067"/>
      <c r="AA36" s="3067"/>
      <c r="AB36" s="3067"/>
      <c r="AC36" s="3067"/>
      <c r="AD36" s="3067"/>
      <c r="AE36" s="3067"/>
      <c r="AF36" s="3067"/>
      <c r="AG36" s="3068"/>
    </row>
    <row r="37" spans="1:33">
      <c r="A37" s="63">
        <v>1996.04</v>
      </c>
      <c r="B37" s="260">
        <v>91791</v>
      </c>
      <c r="C37" s="3078"/>
      <c r="D37" s="810"/>
      <c r="E37" s="222">
        <v>395.24008601308151</v>
      </c>
      <c r="F37" s="2754"/>
      <c r="G37" s="1403"/>
      <c r="H37" s="3067"/>
      <c r="I37" s="1887"/>
      <c r="J37" s="1402"/>
      <c r="K37" s="3067"/>
      <c r="L37" s="1402"/>
      <c r="M37" s="1887"/>
      <c r="N37" s="1402"/>
      <c r="O37" s="3067"/>
      <c r="P37" s="3067"/>
      <c r="Q37" s="3067"/>
      <c r="R37" s="3067"/>
      <c r="S37" s="3067"/>
      <c r="T37" s="3067"/>
      <c r="U37" s="3067"/>
      <c r="V37" s="3067"/>
      <c r="W37" s="3067"/>
      <c r="X37" s="3067"/>
      <c r="Y37" s="3067"/>
      <c r="Z37" s="3067"/>
      <c r="AA37" s="3067"/>
      <c r="AB37" s="3067"/>
      <c r="AC37" s="3067"/>
      <c r="AD37" s="3067"/>
      <c r="AE37" s="3067"/>
      <c r="AF37" s="3067"/>
      <c r="AG37" s="3068"/>
    </row>
    <row r="38" spans="1:33">
      <c r="A38" s="63">
        <v>1996.05</v>
      </c>
      <c r="B38" s="260">
        <v>91696</v>
      </c>
      <c r="C38" s="3078"/>
      <c r="D38" s="810"/>
      <c r="E38" s="222">
        <v>500.0881819978145</v>
      </c>
      <c r="F38" s="2754"/>
      <c r="G38" s="1403"/>
      <c r="H38" s="3067"/>
      <c r="I38" s="1887"/>
      <c r="J38" s="1402"/>
      <c r="K38" s="3067"/>
      <c r="L38" s="1402"/>
      <c r="M38" s="1887"/>
      <c r="N38" s="1402"/>
      <c r="O38" s="3067"/>
      <c r="P38" s="3067"/>
      <c r="Q38" s="3067"/>
      <c r="R38" s="3067"/>
      <c r="S38" s="3067"/>
      <c r="T38" s="3067"/>
      <c r="U38" s="3067"/>
      <c r="V38" s="3067"/>
      <c r="W38" s="3067"/>
      <c r="X38" s="3067"/>
      <c r="Y38" s="3067"/>
      <c r="Z38" s="3067"/>
      <c r="AA38" s="3067"/>
      <c r="AB38" s="3067"/>
      <c r="AC38" s="3067"/>
      <c r="AD38" s="3067"/>
      <c r="AE38" s="3067"/>
      <c r="AF38" s="3067"/>
      <c r="AG38" s="3068"/>
    </row>
    <row r="39" spans="1:33">
      <c r="A39" s="63">
        <v>1996.06</v>
      </c>
      <c r="B39" s="260">
        <v>91618</v>
      </c>
      <c r="C39" s="3078"/>
      <c r="D39" s="810"/>
      <c r="E39" s="222">
        <v>635.21744412484168</v>
      </c>
      <c r="F39" s="2754"/>
      <c r="G39" s="1403"/>
      <c r="H39" s="3067"/>
      <c r="I39" s="1887"/>
      <c r="J39" s="1402"/>
      <c r="K39" s="3067"/>
      <c r="L39" s="1402"/>
      <c r="M39" s="1887"/>
      <c r="N39" s="1402"/>
      <c r="O39" s="3067"/>
      <c r="P39" s="3067"/>
      <c r="Q39" s="3067"/>
      <c r="R39" s="3067"/>
      <c r="S39" s="3067"/>
      <c r="T39" s="3067"/>
      <c r="U39" s="3067"/>
      <c r="V39" s="3067"/>
      <c r="W39" s="3067"/>
      <c r="X39" s="3067"/>
      <c r="Y39" s="3067"/>
      <c r="Z39" s="3067"/>
      <c r="AA39" s="3067"/>
      <c r="AB39" s="3067"/>
      <c r="AC39" s="3067"/>
      <c r="AD39" s="3067"/>
      <c r="AE39" s="3067"/>
      <c r="AF39" s="3067"/>
      <c r="AG39" s="3068"/>
    </row>
    <row r="40" spans="1:33">
      <c r="A40" s="63">
        <v>1996.07</v>
      </c>
      <c r="B40" s="260">
        <v>91244</v>
      </c>
      <c r="C40" s="3078"/>
      <c r="D40" s="810"/>
      <c r="E40" s="222">
        <v>741.35208634749006</v>
      </c>
      <c r="F40" s="2754"/>
      <c r="G40" s="1403"/>
      <c r="H40" s="3067"/>
      <c r="I40" s="1887"/>
      <c r="J40" s="1402"/>
      <c r="K40" s="3067"/>
      <c r="L40" s="1402"/>
      <c r="M40" s="1887"/>
      <c r="N40" s="1402"/>
      <c r="O40" s="3067"/>
      <c r="P40" s="3067"/>
      <c r="Q40" s="3067"/>
      <c r="R40" s="3067"/>
      <c r="S40" s="3067"/>
      <c r="T40" s="3067"/>
      <c r="U40" s="3067"/>
      <c r="V40" s="3067"/>
      <c r="W40" s="3067"/>
      <c r="X40" s="3067"/>
      <c r="Y40" s="3067"/>
      <c r="Z40" s="3067"/>
      <c r="AA40" s="3067"/>
      <c r="AB40" s="3067"/>
      <c r="AC40" s="3067"/>
      <c r="AD40" s="3067"/>
      <c r="AE40" s="3067"/>
      <c r="AF40" s="3067"/>
      <c r="AG40" s="3068"/>
    </row>
    <row r="41" spans="1:33">
      <c r="A41" s="63">
        <v>1996.08</v>
      </c>
      <c r="B41" s="260">
        <v>91147</v>
      </c>
      <c r="C41" s="3078"/>
      <c r="D41" s="810"/>
      <c r="E41" s="222">
        <v>847.23264892980353</v>
      </c>
      <c r="F41" s="2754"/>
      <c r="G41" s="1403"/>
      <c r="H41" s="3067"/>
      <c r="I41" s="1887"/>
      <c r="J41" s="1402"/>
      <c r="K41" s="3067"/>
      <c r="L41" s="1402"/>
      <c r="M41" s="1887"/>
      <c r="N41" s="1402"/>
      <c r="O41" s="3067"/>
      <c r="P41" s="3067"/>
      <c r="Q41" s="3067"/>
      <c r="R41" s="3067"/>
      <c r="S41" s="3067"/>
      <c r="T41" s="3067"/>
      <c r="U41" s="3067"/>
      <c r="V41" s="3067"/>
      <c r="W41" s="3067"/>
      <c r="X41" s="3067"/>
      <c r="Y41" s="3067"/>
      <c r="Z41" s="3067"/>
      <c r="AA41" s="3067"/>
      <c r="AB41" s="3067"/>
      <c r="AC41" s="3067"/>
      <c r="AD41" s="3067"/>
      <c r="AE41" s="3067"/>
      <c r="AF41" s="3067"/>
      <c r="AG41" s="3068"/>
    </row>
    <row r="42" spans="1:33">
      <c r="A42" s="63">
        <v>1996.09</v>
      </c>
      <c r="B42" s="260">
        <v>91033</v>
      </c>
      <c r="C42" s="3078"/>
      <c r="D42" s="810"/>
      <c r="E42" s="222">
        <v>952.56808240936016</v>
      </c>
      <c r="F42" s="2754"/>
      <c r="G42" s="1403"/>
      <c r="H42" s="3067"/>
      <c r="I42" s="1887"/>
      <c r="J42" s="1402"/>
      <c r="K42" s="3067"/>
      <c r="L42" s="1402"/>
      <c r="M42" s="1887"/>
      <c r="N42" s="1402"/>
      <c r="O42" s="3067"/>
      <c r="P42" s="3067"/>
      <c r="Q42" s="3067"/>
      <c r="R42" s="3067"/>
      <c r="S42" s="3067"/>
      <c r="T42" s="3067"/>
      <c r="U42" s="3067"/>
      <c r="V42" s="3067"/>
      <c r="W42" s="3067"/>
      <c r="X42" s="3067"/>
      <c r="Y42" s="3067"/>
      <c r="Z42" s="3067"/>
      <c r="AA42" s="3067"/>
      <c r="AB42" s="3067"/>
      <c r="AC42" s="3067"/>
      <c r="AD42" s="3067"/>
      <c r="AE42" s="3067"/>
      <c r="AF42" s="3067"/>
      <c r="AG42" s="3068"/>
    </row>
    <row r="43" spans="1:33">
      <c r="A43" s="63">
        <v>1996.1</v>
      </c>
      <c r="B43" s="260">
        <v>91052</v>
      </c>
      <c r="C43" s="3078"/>
      <c r="D43" s="810"/>
      <c r="E43" s="222">
        <v>1065.1547493665964</v>
      </c>
      <c r="F43" s="2754"/>
      <c r="G43" s="1403"/>
      <c r="H43" s="3067"/>
      <c r="I43" s="1887"/>
      <c r="J43" s="1402"/>
      <c r="K43" s="3067"/>
      <c r="L43" s="1402"/>
      <c r="M43" s="1887"/>
      <c r="N43" s="1402"/>
      <c r="O43" s="3067"/>
      <c r="P43" s="3067"/>
      <c r="Q43" s="3067"/>
      <c r="R43" s="3067"/>
      <c r="S43" s="3067"/>
      <c r="T43" s="3067"/>
      <c r="U43" s="3067"/>
      <c r="V43" s="3067"/>
      <c r="W43" s="3067"/>
      <c r="X43" s="3067"/>
      <c r="Y43" s="3067"/>
      <c r="Z43" s="3067"/>
      <c r="AA43" s="3067"/>
      <c r="AB43" s="3067"/>
      <c r="AC43" s="3067"/>
      <c r="AD43" s="3067"/>
      <c r="AE43" s="3067"/>
      <c r="AF43" s="3067"/>
      <c r="AG43" s="3068"/>
    </row>
    <row r="44" spans="1:33">
      <c r="A44" s="63">
        <v>1996.11</v>
      </c>
      <c r="B44" s="260">
        <v>90919</v>
      </c>
      <c r="C44" s="3078"/>
      <c r="D44" s="810"/>
      <c r="E44" s="222">
        <v>1185.991419142907</v>
      </c>
      <c r="F44" s="2754"/>
      <c r="G44" s="1403"/>
      <c r="H44" s="3067"/>
      <c r="I44" s="1887"/>
      <c r="J44" s="1402"/>
      <c r="K44" s="3067"/>
      <c r="L44" s="1402"/>
      <c r="M44" s="1887"/>
      <c r="N44" s="1402"/>
      <c r="O44" s="3067"/>
      <c r="P44" s="3067"/>
      <c r="Q44" s="3067"/>
      <c r="R44" s="3067"/>
      <c r="S44" s="3067"/>
      <c r="T44" s="3067"/>
      <c r="U44" s="3067"/>
      <c r="V44" s="3067"/>
      <c r="W44" s="3067"/>
      <c r="X44" s="3067"/>
      <c r="Y44" s="3067"/>
      <c r="Z44" s="3067"/>
      <c r="AA44" s="3067"/>
      <c r="AB44" s="3067"/>
      <c r="AC44" s="3067"/>
      <c r="AD44" s="3067"/>
      <c r="AE44" s="3067"/>
      <c r="AF44" s="3067"/>
      <c r="AG44" s="3068"/>
    </row>
    <row r="45" spans="1:33">
      <c r="A45" s="63">
        <v>1996.12</v>
      </c>
      <c r="B45" s="260">
        <v>90981</v>
      </c>
      <c r="C45" s="3078"/>
      <c r="D45" s="810"/>
      <c r="E45" s="222">
        <v>1417.01</v>
      </c>
      <c r="F45" s="2754"/>
      <c r="G45" s="1403"/>
      <c r="H45" s="3067"/>
      <c r="I45" s="1887"/>
      <c r="J45" s="1402"/>
      <c r="K45" s="3067"/>
      <c r="L45" s="1402"/>
      <c r="M45" s="1887"/>
      <c r="N45" s="1402"/>
      <c r="O45" s="3067"/>
      <c r="P45" s="3067"/>
      <c r="Q45" s="3067"/>
      <c r="R45" s="3067"/>
      <c r="S45" s="3067"/>
      <c r="T45" s="3067"/>
      <c r="U45" s="3067"/>
      <c r="V45" s="3067"/>
      <c r="W45" s="3067"/>
      <c r="X45" s="3067"/>
      <c r="Y45" s="3067"/>
      <c r="Z45" s="3067"/>
      <c r="AA45" s="3067"/>
      <c r="AB45" s="3067"/>
      <c r="AC45" s="3067"/>
      <c r="AD45" s="3067"/>
      <c r="AE45" s="3067"/>
      <c r="AF45" s="3067"/>
      <c r="AG45" s="3068"/>
    </row>
    <row r="46" spans="1:33">
      <c r="A46" s="63">
        <v>1997.01</v>
      </c>
      <c r="B46" s="260">
        <v>90715</v>
      </c>
      <c r="C46" s="3078"/>
      <c r="D46" s="810"/>
      <c r="E46" s="222">
        <v>92.565542352638488</v>
      </c>
      <c r="F46" s="2754"/>
      <c r="G46" s="1403"/>
      <c r="H46" s="3067"/>
      <c r="I46" s="1887"/>
      <c r="J46" s="1402"/>
      <c r="K46" s="3067"/>
      <c r="L46" s="1402"/>
      <c r="M46" s="1887"/>
      <c r="N46" s="1402"/>
      <c r="O46" s="3067"/>
      <c r="P46" s="3067"/>
      <c r="Q46" s="3067"/>
      <c r="R46" s="3067"/>
      <c r="S46" s="3067"/>
      <c r="T46" s="3067"/>
      <c r="U46" s="3067"/>
      <c r="V46" s="3067"/>
      <c r="W46" s="3067"/>
      <c r="X46" s="3067"/>
      <c r="Y46" s="3067"/>
      <c r="Z46" s="3067"/>
      <c r="AA46" s="3067"/>
      <c r="AB46" s="3067"/>
      <c r="AC46" s="3067"/>
      <c r="AD46" s="3067"/>
      <c r="AE46" s="3067"/>
      <c r="AF46" s="3067"/>
      <c r="AG46" s="3068"/>
    </row>
    <row r="47" spans="1:33">
      <c r="A47" s="63">
        <v>1997.02</v>
      </c>
      <c r="B47" s="260">
        <v>90635</v>
      </c>
      <c r="C47" s="3078"/>
      <c r="D47" s="810"/>
      <c r="E47" s="222">
        <v>191.02105316739465</v>
      </c>
      <c r="F47" s="2754"/>
      <c r="G47" s="1403"/>
      <c r="H47" s="3067"/>
      <c r="I47" s="1887"/>
      <c r="J47" s="1402"/>
      <c r="K47" s="3067"/>
      <c r="L47" s="1402"/>
      <c r="M47" s="1887"/>
      <c r="N47" s="1402"/>
      <c r="O47" s="3067"/>
      <c r="P47" s="3067"/>
      <c r="Q47" s="3067"/>
      <c r="R47" s="3067"/>
      <c r="S47" s="3067"/>
      <c r="T47" s="3067"/>
      <c r="U47" s="3067"/>
      <c r="V47" s="3067"/>
      <c r="W47" s="3067"/>
      <c r="X47" s="3067"/>
      <c r="Y47" s="3067"/>
      <c r="Z47" s="3067"/>
      <c r="AA47" s="3067"/>
      <c r="AB47" s="3067"/>
      <c r="AC47" s="3067"/>
      <c r="AD47" s="3067"/>
      <c r="AE47" s="3067"/>
      <c r="AF47" s="3067"/>
      <c r="AG47" s="3068"/>
    </row>
    <row r="48" spans="1:33">
      <c r="A48" s="63">
        <v>1997.03</v>
      </c>
      <c r="B48" s="260">
        <v>90625</v>
      </c>
      <c r="C48" s="3078"/>
      <c r="D48" s="810"/>
      <c r="E48" s="222">
        <v>293.40658917723948</v>
      </c>
      <c r="F48" s="2754"/>
      <c r="G48" s="1403"/>
      <c r="H48" s="3067"/>
      <c r="I48" s="1887"/>
      <c r="J48" s="1402"/>
      <c r="K48" s="3067"/>
      <c r="L48" s="1402"/>
      <c r="M48" s="1887"/>
      <c r="N48" s="1402"/>
      <c r="O48" s="3067"/>
      <c r="P48" s="3067"/>
      <c r="Q48" s="3067"/>
      <c r="R48" s="3067"/>
      <c r="S48" s="3067"/>
      <c r="T48" s="3067"/>
      <c r="U48" s="3067"/>
      <c r="V48" s="3067"/>
      <c r="W48" s="3067"/>
      <c r="X48" s="3067"/>
      <c r="Y48" s="3067"/>
      <c r="Z48" s="3067"/>
      <c r="AA48" s="3067"/>
      <c r="AB48" s="3067"/>
      <c r="AC48" s="3067"/>
      <c r="AD48" s="3067"/>
      <c r="AE48" s="3067"/>
      <c r="AF48" s="3067"/>
      <c r="AG48" s="3068"/>
    </row>
    <row r="49" spans="1:33">
      <c r="A49" s="63">
        <v>1997.04</v>
      </c>
      <c r="B49" s="260">
        <v>90606</v>
      </c>
      <c r="C49" s="3078"/>
      <c r="D49" s="810"/>
      <c r="E49" s="222">
        <v>397.34095215224102</v>
      </c>
      <c r="F49" s="2754"/>
      <c r="G49" s="1403"/>
      <c r="H49" s="3067"/>
      <c r="I49" s="1887"/>
      <c r="J49" s="1402"/>
      <c r="K49" s="3067"/>
      <c r="L49" s="1402"/>
      <c r="M49" s="1887"/>
      <c r="N49" s="1402"/>
      <c r="O49" s="3067"/>
      <c r="P49" s="3067"/>
      <c r="Q49" s="3067"/>
      <c r="R49" s="3067"/>
      <c r="S49" s="3067"/>
      <c r="T49" s="3067"/>
      <c r="U49" s="3067"/>
      <c r="V49" s="3067"/>
      <c r="W49" s="3067"/>
      <c r="X49" s="3067"/>
      <c r="Y49" s="3067"/>
      <c r="Z49" s="3067"/>
      <c r="AA49" s="3067"/>
      <c r="AB49" s="3067"/>
      <c r="AC49" s="3067"/>
      <c r="AD49" s="3067"/>
      <c r="AE49" s="3067"/>
      <c r="AF49" s="3067"/>
      <c r="AG49" s="3068"/>
    </row>
    <row r="50" spans="1:33">
      <c r="A50" s="63">
        <v>1997.05</v>
      </c>
      <c r="B50" s="260">
        <v>91051</v>
      </c>
      <c r="C50" s="3078"/>
      <c r="D50" s="810"/>
      <c r="E50" s="222">
        <v>502.74635955958706</v>
      </c>
      <c r="F50" s="2754"/>
      <c r="G50" s="1403"/>
      <c r="H50" s="3067"/>
      <c r="I50" s="1887"/>
      <c r="J50" s="1402"/>
      <c r="K50" s="3067"/>
      <c r="L50" s="1402"/>
      <c r="M50" s="1887"/>
      <c r="N50" s="1402"/>
      <c r="O50" s="3067"/>
      <c r="P50" s="3067"/>
      <c r="Q50" s="3067"/>
      <c r="R50" s="3067"/>
      <c r="S50" s="3067"/>
      <c r="T50" s="3067"/>
      <c r="U50" s="3067"/>
      <c r="V50" s="3067"/>
      <c r="W50" s="3067"/>
      <c r="X50" s="3067"/>
      <c r="Y50" s="3067"/>
      <c r="Z50" s="3067"/>
      <c r="AA50" s="3067"/>
      <c r="AB50" s="3067"/>
      <c r="AC50" s="3067"/>
      <c r="AD50" s="3067"/>
      <c r="AE50" s="3067"/>
      <c r="AF50" s="3067"/>
      <c r="AG50" s="3068"/>
    </row>
    <row r="51" spans="1:33">
      <c r="A51" s="63">
        <v>1997.06</v>
      </c>
      <c r="B51" s="260">
        <v>91034</v>
      </c>
      <c r="C51" s="3078"/>
      <c r="D51" s="810"/>
      <c r="E51" s="222">
        <v>638.5938901549672</v>
      </c>
      <c r="F51" s="2754"/>
      <c r="G51" s="1403"/>
      <c r="H51" s="3067"/>
      <c r="I51" s="1887"/>
      <c r="J51" s="1402"/>
      <c r="K51" s="3067"/>
      <c r="L51" s="1402"/>
      <c r="M51" s="1887"/>
      <c r="N51" s="1402"/>
      <c r="O51" s="3067"/>
      <c r="P51" s="3067"/>
      <c r="Q51" s="3067"/>
      <c r="R51" s="3067"/>
      <c r="S51" s="3067"/>
      <c r="T51" s="3067"/>
      <c r="U51" s="3067"/>
      <c r="V51" s="3067"/>
      <c r="W51" s="3067"/>
      <c r="X51" s="3067"/>
      <c r="Y51" s="3067"/>
      <c r="Z51" s="3067"/>
      <c r="AA51" s="3067"/>
      <c r="AB51" s="3067"/>
      <c r="AC51" s="3067"/>
      <c r="AD51" s="3067"/>
      <c r="AE51" s="3067"/>
      <c r="AF51" s="3067"/>
      <c r="AG51" s="3068"/>
    </row>
    <row r="52" spans="1:33">
      <c r="A52" s="63">
        <v>1997.07</v>
      </c>
      <c r="B52" s="260">
        <v>91141</v>
      </c>
      <c r="C52" s="3078"/>
      <c r="D52" s="810"/>
      <c r="E52" s="222">
        <v>745.29268233084179</v>
      </c>
      <c r="F52" s="2754"/>
      <c r="G52" s="1403"/>
      <c r="H52" s="3067"/>
      <c r="I52" s="1887"/>
      <c r="J52" s="1402"/>
      <c r="K52" s="3067"/>
      <c r="L52" s="1402"/>
      <c r="M52" s="1887"/>
      <c r="N52" s="1402"/>
      <c r="O52" s="3067"/>
      <c r="P52" s="3067"/>
      <c r="Q52" s="3067"/>
      <c r="R52" s="3067"/>
      <c r="S52" s="3067"/>
      <c r="T52" s="3067"/>
      <c r="U52" s="3067"/>
      <c r="V52" s="3067"/>
      <c r="W52" s="3067"/>
      <c r="X52" s="3067"/>
      <c r="Y52" s="3067"/>
      <c r="Z52" s="3067"/>
      <c r="AA52" s="3067"/>
      <c r="AB52" s="3067"/>
      <c r="AC52" s="3067"/>
      <c r="AD52" s="3067"/>
      <c r="AE52" s="3067"/>
      <c r="AF52" s="3067"/>
      <c r="AG52" s="3068"/>
    </row>
    <row r="53" spans="1:33">
      <c r="A53" s="63">
        <v>1997.08</v>
      </c>
      <c r="B53" s="260">
        <v>91154</v>
      </c>
      <c r="C53" s="3078"/>
      <c r="D53" s="810"/>
      <c r="E53" s="222">
        <v>851.73604432697027</v>
      </c>
      <c r="F53" s="2754"/>
      <c r="G53" s="1403"/>
      <c r="H53" s="3067"/>
      <c r="I53" s="1887"/>
      <c r="J53" s="1402"/>
      <c r="K53" s="3067"/>
      <c r="L53" s="1402"/>
      <c r="M53" s="1887"/>
      <c r="N53" s="1402"/>
      <c r="O53" s="3067"/>
      <c r="P53" s="3067"/>
      <c r="Q53" s="3067"/>
      <c r="R53" s="3067"/>
      <c r="S53" s="3067"/>
      <c r="T53" s="3067"/>
      <c r="U53" s="3067"/>
      <c r="V53" s="3067"/>
      <c r="W53" s="3067"/>
      <c r="X53" s="3067"/>
      <c r="Y53" s="3067"/>
      <c r="Z53" s="3067"/>
      <c r="AA53" s="3067"/>
      <c r="AB53" s="3067"/>
      <c r="AC53" s="3067"/>
      <c r="AD53" s="3067"/>
      <c r="AE53" s="3067"/>
      <c r="AF53" s="3067"/>
      <c r="AG53" s="3068"/>
    </row>
    <row r="54" spans="1:33">
      <c r="A54" s="63">
        <v>1997.09</v>
      </c>
      <c r="B54" s="260">
        <v>91117</v>
      </c>
      <c r="C54" s="3078"/>
      <c r="D54" s="810"/>
      <c r="E54" s="222">
        <v>957.63137963147381</v>
      </c>
      <c r="F54" s="2754"/>
      <c r="G54" s="1403"/>
      <c r="H54" s="3067"/>
      <c r="I54" s="1887"/>
      <c r="J54" s="1402"/>
      <c r="K54" s="3067"/>
      <c r="L54" s="1402"/>
      <c r="M54" s="1887"/>
      <c r="N54" s="1402"/>
      <c r="O54" s="3067"/>
      <c r="P54" s="3067"/>
      <c r="Q54" s="3067"/>
      <c r="R54" s="3067"/>
      <c r="S54" s="3067"/>
      <c r="T54" s="3067"/>
      <c r="U54" s="3067"/>
      <c r="V54" s="3067"/>
      <c r="W54" s="3067"/>
      <c r="X54" s="3067"/>
      <c r="Y54" s="3067"/>
      <c r="Z54" s="3067"/>
      <c r="AA54" s="3067"/>
      <c r="AB54" s="3067"/>
      <c r="AC54" s="3067"/>
      <c r="AD54" s="3067"/>
      <c r="AE54" s="3067"/>
      <c r="AF54" s="3067"/>
      <c r="AG54" s="3068"/>
    </row>
    <row r="55" spans="1:33">
      <c r="A55" s="63">
        <v>1997.1</v>
      </c>
      <c r="B55" s="260">
        <v>91089</v>
      </c>
      <c r="C55" s="3078"/>
      <c r="D55" s="810"/>
      <c r="E55" s="222">
        <v>1070.8164917482516</v>
      </c>
      <c r="F55" s="2754"/>
      <c r="G55" s="1403"/>
      <c r="H55" s="3067"/>
      <c r="I55" s="1887"/>
      <c r="J55" s="1402"/>
      <c r="K55" s="3067"/>
      <c r="L55" s="1402"/>
      <c r="M55" s="1887"/>
      <c r="N55" s="1402"/>
      <c r="O55" s="3067"/>
      <c r="P55" s="3067"/>
      <c r="Q55" s="3067"/>
      <c r="R55" s="3067"/>
      <c r="S55" s="3067"/>
      <c r="T55" s="3067"/>
      <c r="U55" s="3067"/>
      <c r="V55" s="3067"/>
      <c r="W55" s="3067"/>
      <c r="X55" s="3067"/>
      <c r="Y55" s="3067"/>
      <c r="Z55" s="3067"/>
      <c r="AA55" s="3067"/>
      <c r="AB55" s="3067"/>
      <c r="AC55" s="3067"/>
      <c r="AD55" s="3067"/>
      <c r="AE55" s="3067"/>
      <c r="AF55" s="3067"/>
      <c r="AG55" s="3068"/>
    </row>
    <row r="56" spans="1:33">
      <c r="A56" s="63">
        <v>1997.11</v>
      </c>
      <c r="B56" s="260">
        <v>90986</v>
      </c>
      <c r="C56" s="3078"/>
      <c r="D56" s="810"/>
      <c r="E56" s="222">
        <v>1192.2954588949092</v>
      </c>
      <c r="F56" s="2754"/>
      <c r="G56" s="1403"/>
      <c r="H56" s="3067"/>
      <c r="I56" s="1887"/>
      <c r="J56" s="1402"/>
      <c r="K56" s="3067"/>
      <c r="L56" s="1402"/>
      <c r="M56" s="1887"/>
      <c r="N56" s="1402"/>
      <c r="O56" s="3067"/>
      <c r="P56" s="3067"/>
      <c r="Q56" s="3067"/>
      <c r="R56" s="3067"/>
      <c r="S56" s="3067"/>
      <c r="T56" s="3067"/>
      <c r="U56" s="3067"/>
      <c r="V56" s="3067"/>
      <c r="W56" s="3067"/>
      <c r="X56" s="3067"/>
      <c r="Y56" s="3067"/>
      <c r="Z56" s="3067"/>
      <c r="AA56" s="3067"/>
      <c r="AB56" s="3067"/>
      <c r="AC56" s="3067"/>
      <c r="AD56" s="3067"/>
      <c r="AE56" s="3067"/>
      <c r="AF56" s="3067"/>
      <c r="AG56" s="3068"/>
    </row>
    <row r="57" spans="1:33">
      <c r="A57" s="63">
        <v>1997.12</v>
      </c>
      <c r="B57" s="260">
        <v>91855</v>
      </c>
      <c r="C57" s="3078"/>
      <c r="D57" s="810"/>
      <c r="E57" s="222">
        <v>1424.5419999999999</v>
      </c>
      <c r="F57" s="2754"/>
      <c r="G57" s="1403"/>
      <c r="H57" s="3067"/>
      <c r="I57" s="1887"/>
      <c r="J57" s="1402"/>
      <c r="K57" s="3067"/>
      <c r="L57" s="1402"/>
      <c r="M57" s="1887"/>
      <c r="N57" s="1402"/>
      <c r="O57" s="3067"/>
      <c r="P57" s="3067"/>
      <c r="Q57" s="3067"/>
      <c r="R57" s="3067"/>
      <c r="S57" s="3067"/>
      <c r="T57" s="3067"/>
      <c r="U57" s="3067"/>
      <c r="V57" s="3067"/>
      <c r="W57" s="3067"/>
      <c r="X57" s="3067"/>
      <c r="Y57" s="3067"/>
      <c r="Z57" s="3067"/>
      <c r="AA57" s="3067"/>
      <c r="AB57" s="3067"/>
      <c r="AC57" s="3067"/>
      <c r="AD57" s="3067"/>
      <c r="AE57" s="3067"/>
      <c r="AF57" s="3067"/>
      <c r="AG57" s="3068"/>
    </row>
    <row r="58" spans="1:33">
      <c r="A58" s="63">
        <v>1998.01</v>
      </c>
      <c r="B58" s="260">
        <v>94091</v>
      </c>
      <c r="C58" s="3078"/>
      <c r="D58" s="810"/>
      <c r="E58" s="222">
        <v>94.500751691742792</v>
      </c>
      <c r="F58" s="2754"/>
      <c r="G58" s="1403"/>
      <c r="H58" s="3067"/>
      <c r="I58" s="1887"/>
      <c r="J58" s="1402"/>
      <c r="K58" s="3067"/>
      <c r="L58" s="1402"/>
      <c r="M58" s="1887"/>
      <c r="N58" s="1402"/>
      <c r="O58" s="3067"/>
      <c r="P58" s="3067"/>
      <c r="Q58" s="3067"/>
      <c r="R58" s="3067"/>
      <c r="S58" s="3067"/>
      <c r="T58" s="3067"/>
      <c r="U58" s="3067"/>
      <c r="V58" s="3067"/>
      <c r="W58" s="3067"/>
      <c r="X58" s="3067"/>
      <c r="Y58" s="3067"/>
      <c r="Z58" s="3067"/>
      <c r="AA58" s="3067"/>
      <c r="AB58" s="3067"/>
      <c r="AC58" s="3067"/>
      <c r="AD58" s="3067"/>
      <c r="AE58" s="3067"/>
      <c r="AF58" s="3067"/>
      <c r="AG58" s="3068"/>
    </row>
    <row r="59" spans="1:33">
      <c r="A59" s="63">
        <v>1998.02</v>
      </c>
      <c r="B59" s="260">
        <v>94019</v>
      </c>
      <c r="C59" s="3078"/>
      <c r="D59" s="810"/>
      <c r="E59" s="222">
        <v>195.01460969674338</v>
      </c>
      <c r="F59" s="2754"/>
      <c r="G59" s="1403"/>
      <c r="H59" s="3067"/>
      <c r="I59" s="1887"/>
      <c r="J59" s="1402"/>
      <c r="K59" s="3067"/>
      <c r="L59" s="1402"/>
      <c r="M59" s="1887"/>
      <c r="N59" s="1402"/>
      <c r="O59" s="3067"/>
      <c r="P59" s="3067"/>
      <c r="Q59" s="3067"/>
      <c r="R59" s="3067"/>
      <c r="S59" s="3067"/>
      <c r="T59" s="3067"/>
      <c r="U59" s="3067"/>
      <c r="V59" s="3067"/>
      <c r="W59" s="3067"/>
      <c r="X59" s="3067"/>
      <c r="Y59" s="3067"/>
      <c r="Z59" s="3067"/>
      <c r="AA59" s="3067"/>
      <c r="AB59" s="3067"/>
      <c r="AC59" s="3067"/>
      <c r="AD59" s="3067"/>
      <c r="AE59" s="3067"/>
      <c r="AF59" s="3067"/>
      <c r="AG59" s="3068"/>
    </row>
    <row r="60" spans="1:33">
      <c r="A60" s="63">
        <v>1998.03</v>
      </c>
      <c r="B60" s="260">
        <v>93946</v>
      </c>
      <c r="C60" s="3078"/>
      <c r="D60" s="810"/>
      <c r="E60" s="222">
        <v>299.54065545178719</v>
      </c>
      <c r="F60" s="2754"/>
      <c r="G60" s="1403"/>
      <c r="H60" s="3067"/>
      <c r="I60" s="1887"/>
      <c r="J60" s="1402"/>
      <c r="K60" s="3067"/>
      <c r="L60" s="1402"/>
      <c r="M60" s="1887"/>
      <c r="N60" s="1402"/>
      <c r="O60" s="3067"/>
      <c r="P60" s="3067"/>
      <c r="Q60" s="3067"/>
      <c r="R60" s="3067"/>
      <c r="S60" s="3067"/>
      <c r="T60" s="3067"/>
      <c r="U60" s="3067"/>
      <c r="V60" s="3067"/>
      <c r="W60" s="3067"/>
      <c r="X60" s="3067"/>
      <c r="Y60" s="3067"/>
      <c r="Z60" s="3067"/>
      <c r="AA60" s="3067"/>
      <c r="AB60" s="3067"/>
      <c r="AC60" s="3067"/>
      <c r="AD60" s="3067"/>
      <c r="AE60" s="3067"/>
      <c r="AF60" s="3067"/>
      <c r="AG60" s="3068"/>
    </row>
    <row r="61" spans="1:33">
      <c r="A61" s="63">
        <v>1998.04</v>
      </c>
      <c r="B61" s="260">
        <v>93864</v>
      </c>
      <c r="C61" s="3078"/>
      <c r="D61" s="810"/>
      <c r="E61" s="222">
        <v>405.64790851926864</v>
      </c>
      <c r="F61" s="2754"/>
      <c r="G61" s="1403"/>
      <c r="H61" s="3067"/>
      <c r="I61" s="1887"/>
      <c r="J61" s="1402"/>
      <c r="K61" s="3067"/>
      <c r="L61" s="1402"/>
      <c r="M61" s="1887"/>
      <c r="N61" s="1402"/>
      <c r="O61" s="3067"/>
      <c r="P61" s="3067"/>
      <c r="Q61" s="3067"/>
      <c r="R61" s="3067"/>
      <c r="S61" s="3067"/>
      <c r="T61" s="3067"/>
      <c r="U61" s="3067"/>
      <c r="V61" s="3067"/>
      <c r="W61" s="3067"/>
      <c r="X61" s="3067"/>
      <c r="Y61" s="3067"/>
      <c r="Z61" s="3067"/>
      <c r="AA61" s="3067"/>
      <c r="AB61" s="3067"/>
      <c r="AC61" s="3067"/>
      <c r="AD61" s="3067"/>
      <c r="AE61" s="3067"/>
      <c r="AF61" s="3067"/>
      <c r="AG61" s="3068"/>
    </row>
    <row r="62" spans="1:33">
      <c r="A62" s="63">
        <v>1998.05</v>
      </c>
      <c r="B62" s="260">
        <v>95340.5</v>
      </c>
      <c r="C62" s="3078"/>
      <c r="D62" s="810"/>
      <c r="E62" s="222">
        <v>513.25696021608155</v>
      </c>
      <c r="F62" s="2754"/>
      <c r="G62" s="1403"/>
      <c r="H62" s="3067"/>
      <c r="I62" s="1887"/>
      <c r="J62" s="1402"/>
      <c r="K62" s="3067"/>
      <c r="L62" s="1402"/>
      <c r="M62" s="1887"/>
      <c r="N62" s="1402"/>
      <c r="O62" s="3067"/>
      <c r="P62" s="3067"/>
      <c r="Q62" s="3067"/>
      <c r="R62" s="3067"/>
      <c r="S62" s="3067"/>
      <c r="T62" s="3067"/>
      <c r="U62" s="3067"/>
      <c r="V62" s="3067"/>
      <c r="W62" s="3067"/>
      <c r="X62" s="3067"/>
      <c r="Y62" s="3067"/>
      <c r="Z62" s="3067"/>
      <c r="AA62" s="3067"/>
      <c r="AB62" s="3067"/>
      <c r="AC62" s="3067"/>
      <c r="AD62" s="3067"/>
      <c r="AE62" s="3067"/>
      <c r="AF62" s="3067"/>
      <c r="AG62" s="3068"/>
    </row>
    <row r="63" spans="1:33">
      <c r="A63" s="63">
        <v>1998.06</v>
      </c>
      <c r="B63" s="260">
        <v>95398.933333333334</v>
      </c>
      <c r="C63" s="3078"/>
      <c r="D63" s="810"/>
      <c r="E63" s="222">
        <v>651.94456934631125</v>
      </c>
      <c r="F63" s="2754"/>
      <c r="G63" s="1403"/>
      <c r="H63" s="3067"/>
      <c r="I63" s="1887"/>
      <c r="J63" s="1402"/>
      <c r="K63" s="3067"/>
      <c r="L63" s="1402"/>
      <c r="M63" s="1887"/>
      <c r="N63" s="1402"/>
      <c r="O63" s="3067"/>
      <c r="P63" s="3067"/>
      <c r="Q63" s="3067"/>
      <c r="R63" s="3067"/>
      <c r="S63" s="3067"/>
      <c r="T63" s="3067"/>
      <c r="U63" s="3067"/>
      <c r="V63" s="3067"/>
      <c r="W63" s="3067"/>
      <c r="X63" s="3067"/>
      <c r="Y63" s="3067"/>
      <c r="Z63" s="3067"/>
      <c r="AA63" s="3067"/>
      <c r="AB63" s="3067"/>
      <c r="AC63" s="3067"/>
      <c r="AD63" s="3067"/>
      <c r="AE63" s="3067"/>
      <c r="AF63" s="3067"/>
      <c r="AG63" s="3068"/>
    </row>
    <row r="64" spans="1:33">
      <c r="A64" s="63">
        <v>1998.07</v>
      </c>
      <c r="B64" s="260">
        <v>93333.933333333334</v>
      </c>
      <c r="C64" s="3078"/>
      <c r="D64" s="810"/>
      <c r="E64" s="222">
        <v>760.87404579023962</v>
      </c>
      <c r="F64" s="2754"/>
      <c r="G64" s="1403"/>
      <c r="H64" s="3067"/>
      <c r="I64" s="1887"/>
      <c r="J64" s="1402"/>
      <c r="K64" s="3067"/>
      <c r="L64" s="1402"/>
      <c r="M64" s="1887"/>
      <c r="N64" s="1402"/>
      <c r="O64" s="3067"/>
      <c r="P64" s="3067"/>
      <c r="Q64" s="3067"/>
      <c r="R64" s="3067"/>
      <c r="S64" s="3067"/>
      <c r="T64" s="3067"/>
      <c r="U64" s="3067"/>
      <c r="V64" s="3067"/>
      <c r="W64" s="3067"/>
      <c r="X64" s="3067"/>
      <c r="Y64" s="3067"/>
      <c r="Z64" s="3067"/>
      <c r="AA64" s="3067"/>
      <c r="AB64" s="3067"/>
      <c r="AC64" s="3067"/>
      <c r="AD64" s="3067"/>
      <c r="AE64" s="3067"/>
      <c r="AF64" s="3067"/>
      <c r="AG64" s="3068"/>
    </row>
    <row r="65" spans="1:33">
      <c r="A65" s="63">
        <v>1998.08</v>
      </c>
      <c r="B65" s="260">
        <v>93401.8</v>
      </c>
      <c r="C65" s="3078"/>
      <c r="D65" s="810"/>
      <c r="E65" s="222">
        <v>869.54275193695719</v>
      </c>
      <c r="F65" s="2754"/>
      <c r="G65" s="1403"/>
      <c r="H65" s="3067"/>
      <c r="I65" s="1887"/>
      <c r="J65" s="1402"/>
      <c r="K65" s="3067"/>
      <c r="L65" s="1402"/>
      <c r="M65" s="1887"/>
      <c r="N65" s="1402"/>
      <c r="O65" s="3067"/>
      <c r="P65" s="3067"/>
      <c r="Q65" s="3067"/>
      <c r="R65" s="3067"/>
      <c r="S65" s="3067"/>
      <c r="T65" s="3067"/>
      <c r="U65" s="3067"/>
      <c r="V65" s="3067"/>
      <c r="W65" s="3067"/>
      <c r="X65" s="3067"/>
      <c r="Y65" s="3067"/>
      <c r="Z65" s="3067"/>
      <c r="AA65" s="3067"/>
      <c r="AB65" s="3067"/>
      <c r="AC65" s="3067"/>
      <c r="AD65" s="3067"/>
      <c r="AE65" s="3067"/>
      <c r="AF65" s="3067"/>
      <c r="AG65" s="3068"/>
    </row>
    <row r="66" spans="1:33">
      <c r="A66" s="63">
        <v>1998.09</v>
      </c>
      <c r="B66" s="260">
        <v>93416.733333333337</v>
      </c>
      <c r="C66" s="3078"/>
      <c r="D66" s="810"/>
      <c r="E66" s="222">
        <v>977.65197414408544</v>
      </c>
      <c r="F66" s="2754"/>
      <c r="G66" s="1403"/>
      <c r="H66" s="3067"/>
      <c r="I66" s="1887"/>
      <c r="J66" s="1402"/>
      <c r="K66" s="3067"/>
      <c r="L66" s="1402"/>
      <c r="M66" s="1887"/>
      <c r="N66" s="1402"/>
      <c r="O66" s="3067"/>
      <c r="P66" s="3067"/>
      <c r="Q66" s="3067"/>
      <c r="R66" s="3067"/>
      <c r="S66" s="3067"/>
      <c r="T66" s="3067"/>
      <c r="U66" s="3067"/>
      <c r="V66" s="3067"/>
      <c r="W66" s="3067"/>
      <c r="X66" s="3067"/>
      <c r="Y66" s="3067"/>
      <c r="Z66" s="3067"/>
      <c r="AA66" s="3067"/>
      <c r="AB66" s="3067"/>
      <c r="AC66" s="3067"/>
      <c r="AD66" s="3067"/>
      <c r="AE66" s="3067"/>
      <c r="AF66" s="3067"/>
      <c r="AG66" s="3068"/>
    </row>
    <row r="67" spans="1:33">
      <c r="A67" s="63">
        <v>1998.1</v>
      </c>
      <c r="B67" s="260">
        <v>96002.766666666663</v>
      </c>
      <c r="C67" s="3078"/>
      <c r="D67" s="810"/>
      <c r="E67" s="222">
        <v>1093.2033759238298</v>
      </c>
      <c r="F67" s="2754"/>
      <c r="G67" s="1403"/>
      <c r="H67" s="3067"/>
      <c r="I67" s="1887"/>
      <c r="J67" s="1402"/>
      <c r="K67" s="3067"/>
      <c r="L67" s="1402"/>
      <c r="M67" s="1887"/>
      <c r="N67" s="1402"/>
      <c r="O67" s="3067"/>
      <c r="P67" s="3067"/>
      <c r="Q67" s="3067"/>
      <c r="R67" s="3067"/>
      <c r="S67" s="3067"/>
      <c r="T67" s="3067"/>
      <c r="U67" s="3067"/>
      <c r="V67" s="3067"/>
      <c r="W67" s="3067"/>
      <c r="X67" s="3067"/>
      <c r="Y67" s="3067"/>
      <c r="Z67" s="3067"/>
      <c r="AA67" s="3067"/>
      <c r="AB67" s="3067"/>
      <c r="AC67" s="3067"/>
      <c r="AD67" s="3067"/>
      <c r="AE67" s="3067"/>
      <c r="AF67" s="3067"/>
      <c r="AG67" s="3068"/>
    </row>
    <row r="68" spans="1:33">
      <c r="A68" s="63">
        <v>1998.11</v>
      </c>
      <c r="B68" s="260">
        <v>96146</v>
      </c>
      <c r="C68" s="3078"/>
      <c r="D68" s="810"/>
      <c r="E68" s="222">
        <v>1217.2220271230192</v>
      </c>
      <c r="F68" s="2754"/>
      <c r="G68" s="1403"/>
      <c r="H68" s="3067"/>
      <c r="I68" s="1887"/>
      <c r="J68" s="1402"/>
      <c r="K68" s="3067"/>
      <c r="L68" s="1402"/>
      <c r="M68" s="1887"/>
      <c r="N68" s="1402"/>
      <c r="O68" s="3067"/>
      <c r="P68" s="3067"/>
      <c r="Q68" s="3067"/>
      <c r="R68" s="3067"/>
      <c r="S68" s="3067"/>
      <c r="T68" s="3067"/>
      <c r="U68" s="3067"/>
      <c r="V68" s="3067"/>
      <c r="W68" s="3067"/>
      <c r="X68" s="3067"/>
      <c r="Y68" s="3067"/>
      <c r="Z68" s="3067"/>
      <c r="AA68" s="3067"/>
      <c r="AB68" s="3067"/>
      <c r="AC68" s="3067"/>
      <c r="AD68" s="3067"/>
      <c r="AE68" s="3067"/>
      <c r="AF68" s="3067"/>
      <c r="AG68" s="3068"/>
    </row>
    <row r="69" spans="1:33">
      <c r="A69" s="63">
        <v>1998.12</v>
      </c>
      <c r="B69" s="260">
        <v>96327.566666666666</v>
      </c>
      <c r="C69" s="3078"/>
      <c r="D69" s="810"/>
      <c r="E69" s="222">
        <v>1454.3240000000001</v>
      </c>
      <c r="F69" s="2754"/>
      <c r="G69" s="1403"/>
      <c r="H69" s="3067"/>
      <c r="I69" s="1887"/>
      <c r="J69" s="1402"/>
      <c r="K69" s="3067"/>
      <c r="L69" s="1402"/>
      <c r="M69" s="1887"/>
      <c r="N69" s="1402"/>
      <c r="O69" s="3067"/>
      <c r="P69" s="3067"/>
      <c r="Q69" s="3067"/>
      <c r="R69" s="3067"/>
      <c r="S69" s="3067"/>
      <c r="T69" s="3067"/>
      <c r="U69" s="3067"/>
      <c r="V69" s="3067"/>
      <c r="W69" s="3067"/>
      <c r="X69" s="3067"/>
      <c r="Y69" s="3067"/>
      <c r="Z69" s="3067"/>
      <c r="AA69" s="3067"/>
      <c r="AB69" s="3067"/>
      <c r="AC69" s="3067"/>
      <c r="AD69" s="3067"/>
      <c r="AE69" s="3067"/>
      <c r="AF69" s="3067"/>
      <c r="AG69" s="3068"/>
    </row>
    <row r="70" spans="1:33">
      <c r="A70" s="63">
        <v>1999.01</v>
      </c>
      <c r="B70" s="260">
        <v>96374.866666666669</v>
      </c>
      <c r="C70" s="3078"/>
      <c r="D70" s="810"/>
      <c r="E70" s="222">
        <v>101.41251994744025</v>
      </c>
      <c r="F70" s="2754"/>
      <c r="G70" s="1403"/>
      <c r="H70" s="3067"/>
      <c r="I70" s="1887"/>
      <c r="J70" s="1402"/>
      <c r="K70" s="3067"/>
      <c r="L70" s="1402"/>
      <c r="M70" s="1887"/>
      <c r="N70" s="1402"/>
      <c r="O70" s="3067"/>
      <c r="P70" s="3067"/>
      <c r="Q70" s="3067"/>
      <c r="R70" s="3067"/>
      <c r="S70" s="3067"/>
      <c r="T70" s="3067"/>
      <c r="U70" s="3067"/>
      <c r="V70" s="3067"/>
      <c r="W70" s="3067"/>
      <c r="X70" s="3067"/>
      <c r="Y70" s="3067"/>
      <c r="Z70" s="3067"/>
      <c r="AA70" s="3067"/>
      <c r="AB70" s="3067"/>
      <c r="AC70" s="3067"/>
      <c r="AD70" s="3067"/>
      <c r="AE70" s="3067"/>
      <c r="AF70" s="3067"/>
      <c r="AG70" s="3068"/>
    </row>
    <row r="71" spans="1:33">
      <c r="A71" s="63">
        <v>1999.02</v>
      </c>
      <c r="B71" s="260">
        <v>96361.866666666669</v>
      </c>
      <c r="C71" s="3078"/>
      <c r="D71" s="810"/>
      <c r="E71" s="222">
        <v>209.27794373979899</v>
      </c>
      <c r="F71" s="2754"/>
      <c r="G71" s="1403"/>
      <c r="H71" s="3067"/>
      <c r="I71" s="1887"/>
      <c r="J71" s="1402"/>
      <c r="K71" s="3067"/>
      <c r="L71" s="1402"/>
      <c r="M71" s="1887"/>
      <c r="N71" s="1402"/>
      <c r="O71" s="3067"/>
      <c r="P71" s="3067"/>
      <c r="Q71" s="3067"/>
      <c r="R71" s="3067"/>
      <c r="S71" s="3067"/>
      <c r="T71" s="3067"/>
      <c r="U71" s="3067"/>
      <c r="V71" s="3067"/>
      <c r="W71" s="3067"/>
      <c r="X71" s="3067"/>
      <c r="Y71" s="3067"/>
      <c r="Z71" s="3067"/>
      <c r="AA71" s="3067"/>
      <c r="AB71" s="3067"/>
      <c r="AC71" s="3067"/>
      <c r="AD71" s="3067"/>
      <c r="AE71" s="3067"/>
      <c r="AF71" s="3067"/>
      <c r="AG71" s="3068"/>
    </row>
    <row r="72" spans="1:33">
      <c r="A72" s="63">
        <v>1999.03</v>
      </c>
      <c r="B72" s="260">
        <v>96441.666666666672</v>
      </c>
      <c r="C72" s="3078"/>
      <c r="D72" s="810"/>
      <c r="E72" s="222">
        <v>321.44900598423459</v>
      </c>
      <c r="F72" s="2754"/>
      <c r="G72" s="1403"/>
      <c r="H72" s="3067"/>
      <c r="I72" s="1887"/>
      <c r="J72" s="1402"/>
      <c r="K72" s="3067"/>
      <c r="L72" s="1402"/>
      <c r="M72" s="1887"/>
      <c r="N72" s="1402"/>
      <c r="O72" s="3067"/>
      <c r="P72" s="3067"/>
      <c r="Q72" s="3067"/>
      <c r="R72" s="3067"/>
      <c r="S72" s="3067"/>
      <c r="T72" s="3067"/>
      <c r="U72" s="3067"/>
      <c r="V72" s="3067"/>
      <c r="W72" s="3067"/>
      <c r="X72" s="3067"/>
      <c r="Y72" s="3067"/>
      <c r="Z72" s="3067"/>
      <c r="AA72" s="3067"/>
      <c r="AB72" s="3067"/>
      <c r="AC72" s="3067"/>
      <c r="AD72" s="3067"/>
      <c r="AE72" s="3067"/>
      <c r="AF72" s="3067"/>
      <c r="AG72" s="3068"/>
    </row>
    <row r="73" spans="1:33">
      <c r="A73" s="63">
        <v>1999.04</v>
      </c>
      <c r="B73" s="260">
        <v>96502.666666666672</v>
      </c>
      <c r="C73" s="3078"/>
      <c r="D73" s="810"/>
      <c r="E73" s="222">
        <v>435.31692476412593</v>
      </c>
      <c r="F73" s="2754"/>
      <c r="G73" s="1403"/>
      <c r="H73" s="3067"/>
      <c r="I73" s="1887"/>
      <c r="J73" s="1402"/>
      <c r="K73" s="3067"/>
      <c r="L73" s="1402"/>
      <c r="M73" s="1887"/>
      <c r="N73" s="1402"/>
      <c r="O73" s="3067"/>
      <c r="P73" s="3067"/>
      <c r="Q73" s="3067"/>
      <c r="R73" s="3067"/>
      <c r="S73" s="3067"/>
      <c r="T73" s="3067"/>
      <c r="U73" s="3067"/>
      <c r="V73" s="3067"/>
      <c r="W73" s="3067"/>
      <c r="X73" s="3067"/>
      <c r="Y73" s="3067"/>
      <c r="Z73" s="3067"/>
      <c r="AA73" s="3067"/>
      <c r="AB73" s="3067"/>
      <c r="AC73" s="3067"/>
      <c r="AD73" s="3067"/>
      <c r="AE73" s="3067"/>
      <c r="AF73" s="3067"/>
      <c r="AG73" s="3068"/>
    </row>
    <row r="74" spans="1:33">
      <c r="A74" s="63">
        <v>1999.05</v>
      </c>
      <c r="B74" s="260">
        <v>96278</v>
      </c>
      <c r="C74" s="3078"/>
      <c r="D74" s="810"/>
      <c r="E74" s="222">
        <v>550.79648345933686</v>
      </c>
      <c r="F74" s="2754"/>
      <c r="G74" s="1403"/>
      <c r="H74" s="3067"/>
      <c r="I74" s="1887"/>
      <c r="J74" s="1402"/>
      <c r="K74" s="3067"/>
      <c r="L74" s="1402"/>
      <c r="M74" s="1887"/>
      <c r="N74" s="1402"/>
      <c r="O74" s="3067"/>
      <c r="P74" s="3067"/>
      <c r="Q74" s="3067"/>
      <c r="R74" s="3067"/>
      <c r="S74" s="3067"/>
      <c r="T74" s="3067"/>
      <c r="U74" s="3067"/>
      <c r="V74" s="3067"/>
      <c r="W74" s="3067"/>
      <c r="X74" s="3067"/>
      <c r="Y74" s="3067"/>
      <c r="Z74" s="3067"/>
      <c r="AA74" s="3067"/>
      <c r="AB74" s="3067"/>
      <c r="AC74" s="3067"/>
      <c r="AD74" s="3067"/>
      <c r="AE74" s="3067"/>
      <c r="AF74" s="3067"/>
      <c r="AG74" s="3068"/>
    </row>
    <row r="75" spans="1:33">
      <c r="A75" s="63">
        <v>1999.06</v>
      </c>
      <c r="B75" s="260">
        <v>96203</v>
      </c>
      <c r="C75" s="3078"/>
      <c r="D75" s="810"/>
      <c r="E75" s="222">
        <v>699.62767977892292</v>
      </c>
      <c r="F75" s="2754"/>
      <c r="G75" s="1403"/>
      <c r="H75" s="3067"/>
      <c r="I75" s="1887"/>
      <c r="J75" s="1402"/>
      <c r="K75" s="3067"/>
      <c r="L75" s="1402"/>
      <c r="M75" s="1887"/>
      <c r="N75" s="1402"/>
      <c r="O75" s="3067"/>
      <c r="P75" s="3067"/>
      <c r="Q75" s="3067"/>
      <c r="R75" s="3067"/>
      <c r="S75" s="3067"/>
      <c r="T75" s="3067"/>
      <c r="U75" s="3067"/>
      <c r="V75" s="3067"/>
      <c r="W75" s="3067"/>
      <c r="X75" s="3067"/>
      <c r="Y75" s="3067"/>
      <c r="Z75" s="3067"/>
      <c r="AA75" s="3067"/>
      <c r="AB75" s="3067"/>
      <c r="AC75" s="3067"/>
      <c r="AD75" s="3067"/>
      <c r="AE75" s="3067"/>
      <c r="AF75" s="3067"/>
      <c r="AG75" s="3068"/>
    </row>
    <row r="76" spans="1:33">
      <c r="A76" s="63">
        <v>1999.07</v>
      </c>
      <c r="B76" s="260">
        <v>96364.133333333331</v>
      </c>
      <c r="C76" s="3078"/>
      <c r="D76" s="810"/>
      <c r="E76" s="222">
        <v>816.52423885358849</v>
      </c>
      <c r="F76" s="2754"/>
      <c r="G76" s="1403"/>
      <c r="H76" s="3067"/>
      <c r="I76" s="1887"/>
      <c r="J76" s="1402"/>
      <c r="K76" s="3067"/>
      <c r="L76" s="1402"/>
      <c r="M76" s="1887"/>
      <c r="N76" s="1402"/>
      <c r="O76" s="3067"/>
      <c r="P76" s="3067"/>
      <c r="Q76" s="3067"/>
      <c r="R76" s="3067"/>
      <c r="S76" s="3067"/>
      <c r="T76" s="3067"/>
      <c r="U76" s="3067"/>
      <c r="V76" s="3067"/>
      <c r="W76" s="3067"/>
      <c r="X76" s="3067"/>
      <c r="Y76" s="3067"/>
      <c r="Z76" s="3067"/>
      <c r="AA76" s="3067"/>
      <c r="AB76" s="3067"/>
      <c r="AC76" s="3067"/>
      <c r="AD76" s="3067"/>
      <c r="AE76" s="3067"/>
      <c r="AF76" s="3067"/>
      <c r="AG76" s="3068"/>
    </row>
    <row r="77" spans="1:33">
      <c r="A77" s="63">
        <v>1999.08</v>
      </c>
      <c r="B77" s="260">
        <v>96408.366666666669</v>
      </c>
      <c r="C77" s="3078"/>
      <c r="D77" s="810"/>
      <c r="E77" s="222">
        <v>933.14095493765171</v>
      </c>
      <c r="F77" s="2754"/>
      <c r="G77" s="1403"/>
      <c r="H77" s="3067"/>
      <c r="I77" s="1887"/>
      <c r="J77" s="1402"/>
      <c r="K77" s="3067"/>
      <c r="L77" s="1402"/>
      <c r="M77" s="1887"/>
      <c r="N77" s="1402"/>
      <c r="O77" s="3067"/>
      <c r="P77" s="3067"/>
      <c r="Q77" s="3067"/>
      <c r="R77" s="3067"/>
      <c r="S77" s="3067"/>
      <c r="T77" s="3067"/>
      <c r="U77" s="3067"/>
      <c r="V77" s="3067"/>
      <c r="W77" s="3067"/>
      <c r="X77" s="3067"/>
      <c r="Y77" s="3067"/>
      <c r="Z77" s="3067"/>
      <c r="AA77" s="3067"/>
      <c r="AB77" s="3067"/>
      <c r="AC77" s="3067"/>
      <c r="AD77" s="3067"/>
      <c r="AE77" s="3067"/>
      <c r="AF77" s="3067"/>
      <c r="AG77" s="3068"/>
    </row>
    <row r="78" spans="1:33">
      <c r="A78" s="63">
        <v>1999.09</v>
      </c>
      <c r="B78" s="260">
        <v>96389</v>
      </c>
      <c r="C78" s="3078"/>
      <c r="D78" s="810"/>
      <c r="E78" s="222">
        <v>1049.1572665257913</v>
      </c>
      <c r="F78" s="2754"/>
      <c r="G78" s="1403"/>
      <c r="H78" s="3067"/>
      <c r="I78" s="1887"/>
      <c r="J78" s="1402"/>
      <c r="K78" s="3067"/>
      <c r="L78" s="1402"/>
      <c r="M78" s="1887"/>
      <c r="N78" s="1402"/>
      <c r="O78" s="3067"/>
      <c r="P78" s="3067"/>
      <c r="Q78" s="3067"/>
      <c r="R78" s="3067"/>
      <c r="S78" s="3067"/>
      <c r="T78" s="3067"/>
      <c r="U78" s="3067"/>
      <c r="V78" s="3067"/>
      <c r="W78" s="3067"/>
      <c r="X78" s="3067"/>
      <c r="Y78" s="3067"/>
      <c r="Z78" s="3067"/>
      <c r="AA78" s="3067"/>
      <c r="AB78" s="3067"/>
      <c r="AC78" s="3067"/>
      <c r="AD78" s="3067"/>
      <c r="AE78" s="3067"/>
      <c r="AF78" s="3067"/>
      <c r="AG78" s="3068"/>
    </row>
    <row r="79" spans="1:33">
      <c r="A79" s="63">
        <v>1999.1</v>
      </c>
      <c r="B79" s="260">
        <v>96271.366666666669</v>
      </c>
      <c r="C79" s="3078"/>
      <c r="D79" s="810"/>
      <c r="E79" s="222">
        <v>1173.1600773835057</v>
      </c>
      <c r="F79" s="2754"/>
      <c r="G79" s="1403"/>
      <c r="H79" s="3067"/>
      <c r="I79" s="1887"/>
      <c r="J79" s="1402"/>
      <c r="K79" s="3067"/>
      <c r="L79" s="1402"/>
      <c r="M79" s="1887"/>
      <c r="N79" s="1402"/>
      <c r="O79" s="3067"/>
      <c r="P79" s="3067"/>
      <c r="Q79" s="3067"/>
      <c r="R79" s="3067"/>
      <c r="S79" s="3067"/>
      <c r="T79" s="3067"/>
      <c r="U79" s="3067"/>
      <c r="V79" s="3067"/>
      <c r="W79" s="3067"/>
      <c r="X79" s="3067"/>
      <c r="Y79" s="3067"/>
      <c r="Z79" s="3067"/>
      <c r="AA79" s="3067"/>
      <c r="AB79" s="3067"/>
      <c r="AC79" s="3067"/>
      <c r="AD79" s="3067"/>
      <c r="AE79" s="3067"/>
      <c r="AF79" s="3067"/>
      <c r="AG79" s="3068"/>
    </row>
    <row r="80" spans="1:33">
      <c r="A80" s="63">
        <v>1999.11</v>
      </c>
      <c r="B80" s="260">
        <v>97687.6</v>
      </c>
      <c r="C80" s="3078"/>
      <c r="D80" s="810"/>
      <c r="E80" s="222">
        <v>1306.2494307848224</v>
      </c>
      <c r="F80" s="2754"/>
      <c r="G80" s="1403"/>
      <c r="H80" s="3067"/>
      <c r="I80" s="1887"/>
      <c r="J80" s="1402"/>
      <c r="K80" s="3067"/>
      <c r="L80" s="1402"/>
      <c r="M80" s="1887"/>
      <c r="N80" s="1402"/>
      <c r="O80" s="3067"/>
      <c r="P80" s="3067"/>
      <c r="Q80" s="3067"/>
      <c r="R80" s="3067"/>
      <c r="S80" s="3067"/>
      <c r="T80" s="3067"/>
      <c r="U80" s="3067"/>
      <c r="V80" s="3067"/>
      <c r="W80" s="3067"/>
      <c r="X80" s="3067"/>
      <c r="Y80" s="3067"/>
      <c r="Z80" s="3067"/>
      <c r="AA80" s="3067"/>
      <c r="AB80" s="3067"/>
      <c r="AC80" s="3067"/>
      <c r="AD80" s="3067"/>
      <c r="AE80" s="3067"/>
      <c r="AF80" s="3067"/>
      <c r="AG80" s="3068"/>
    </row>
    <row r="81" spans="1:33">
      <c r="A81" s="63">
        <v>1999.12</v>
      </c>
      <c r="B81" s="260">
        <v>97477.733333333337</v>
      </c>
      <c r="C81" s="3078"/>
      <c r="D81" s="810"/>
      <c r="E81" s="222">
        <v>1560.693</v>
      </c>
      <c r="F81" s="2754"/>
      <c r="G81" s="1403"/>
      <c r="H81" s="3067"/>
      <c r="I81" s="1887"/>
      <c r="J81" s="1402"/>
      <c r="K81" s="3067"/>
      <c r="L81" s="1402"/>
      <c r="M81" s="1887"/>
      <c r="N81" s="1402"/>
      <c r="O81" s="3067"/>
      <c r="P81" s="3067"/>
      <c r="Q81" s="3067"/>
      <c r="R81" s="3067"/>
      <c r="S81" s="3067"/>
      <c r="T81" s="3067"/>
      <c r="U81" s="3067"/>
      <c r="V81" s="3067"/>
      <c r="W81" s="3067"/>
      <c r="X81" s="3067"/>
      <c r="Y81" s="3067"/>
      <c r="Z81" s="3067"/>
      <c r="AA81" s="3067"/>
      <c r="AB81" s="3067"/>
      <c r="AC81" s="3067"/>
      <c r="AD81" s="3067"/>
      <c r="AE81" s="3067"/>
      <c r="AF81" s="3067"/>
      <c r="AG81" s="3068"/>
    </row>
    <row r="82" spans="1:33">
      <c r="A82" s="63">
        <v>2000.01</v>
      </c>
      <c r="B82" s="260">
        <v>98139</v>
      </c>
      <c r="C82" s="3078"/>
      <c r="D82" s="810"/>
      <c r="E82" s="222">
        <v>106.20791696632941</v>
      </c>
      <c r="F82" s="2754"/>
      <c r="G82" s="1403"/>
      <c r="H82" s="3067"/>
      <c r="I82" s="1887"/>
      <c r="J82" s="1402"/>
      <c r="K82" s="3067"/>
      <c r="L82" s="1402"/>
      <c r="M82" s="1887"/>
      <c r="N82" s="1402"/>
      <c r="O82" s="3067"/>
      <c r="P82" s="3067"/>
      <c r="Q82" s="3067"/>
      <c r="R82" s="3067"/>
      <c r="S82" s="3067"/>
      <c r="T82" s="3067"/>
      <c r="U82" s="3067"/>
      <c r="V82" s="3067"/>
      <c r="W82" s="3067"/>
      <c r="X82" s="3067"/>
      <c r="Y82" s="3067"/>
      <c r="Z82" s="3067"/>
      <c r="AA82" s="3067"/>
      <c r="AB82" s="3067"/>
      <c r="AC82" s="3067"/>
      <c r="AD82" s="3067"/>
      <c r="AE82" s="3067"/>
      <c r="AF82" s="3067"/>
      <c r="AG82" s="3068"/>
    </row>
    <row r="83" spans="1:33">
      <c r="A83" s="63">
        <v>2000.02</v>
      </c>
      <c r="B83" s="260">
        <v>98128.4</v>
      </c>
      <c r="C83" s="3078"/>
      <c r="D83" s="810"/>
      <c r="E83" s="222">
        <v>219.17387008152889</v>
      </c>
      <c r="F83" s="2754"/>
      <c r="G83" s="1403"/>
      <c r="H83" s="3067"/>
      <c r="I83" s="1887"/>
      <c r="J83" s="1402"/>
      <c r="K83" s="3067"/>
      <c r="L83" s="1402"/>
      <c r="M83" s="1887"/>
      <c r="N83" s="1402"/>
      <c r="O83" s="3067"/>
      <c r="P83" s="3067"/>
      <c r="Q83" s="3067"/>
      <c r="R83" s="3067"/>
      <c r="S83" s="3067"/>
      <c r="T83" s="3067"/>
      <c r="U83" s="3067"/>
      <c r="V83" s="3067"/>
      <c r="W83" s="3067"/>
      <c r="X83" s="3067"/>
      <c r="Y83" s="3067"/>
      <c r="Z83" s="3067"/>
      <c r="AA83" s="3067"/>
      <c r="AB83" s="3067"/>
      <c r="AC83" s="3067"/>
      <c r="AD83" s="3067"/>
      <c r="AE83" s="3067"/>
      <c r="AF83" s="3067"/>
      <c r="AG83" s="3068"/>
    </row>
    <row r="84" spans="1:33">
      <c r="A84" s="63">
        <v>2000.03</v>
      </c>
      <c r="B84" s="260">
        <v>98154.4</v>
      </c>
      <c r="C84" s="3078"/>
      <c r="D84" s="810"/>
      <c r="E84" s="222">
        <v>336.64905826397865</v>
      </c>
      <c r="F84" s="2754"/>
      <c r="G84" s="1403"/>
      <c r="H84" s="3067"/>
      <c r="I84" s="1887"/>
      <c r="J84" s="1402"/>
      <c r="K84" s="3067"/>
      <c r="L84" s="1402"/>
      <c r="M84" s="1887"/>
      <c r="N84" s="1402"/>
      <c r="O84" s="3067"/>
      <c r="P84" s="3067"/>
      <c r="Q84" s="3067"/>
      <c r="R84" s="3067"/>
      <c r="S84" s="3067"/>
      <c r="T84" s="3067"/>
      <c r="U84" s="3067"/>
      <c r="V84" s="3067"/>
      <c r="W84" s="3067"/>
      <c r="X84" s="3067"/>
      <c r="Y84" s="3067"/>
      <c r="Z84" s="3067"/>
      <c r="AA84" s="3067"/>
      <c r="AB84" s="3067"/>
      <c r="AC84" s="3067"/>
      <c r="AD84" s="3067"/>
      <c r="AE84" s="3067"/>
      <c r="AF84" s="3067"/>
      <c r="AG84" s="3068"/>
    </row>
    <row r="85" spans="1:33">
      <c r="A85" s="63">
        <v>2000.04</v>
      </c>
      <c r="B85" s="260">
        <v>98959</v>
      </c>
      <c r="C85" s="3078"/>
      <c r="D85" s="810"/>
      <c r="E85" s="222">
        <v>455.90134061699899</v>
      </c>
      <c r="F85" s="2754"/>
      <c r="G85" s="1403"/>
      <c r="H85" s="3067"/>
      <c r="I85" s="1887"/>
      <c r="J85" s="1402"/>
      <c r="K85" s="3067"/>
      <c r="L85" s="1402"/>
      <c r="M85" s="1887"/>
      <c r="N85" s="1402"/>
      <c r="O85" s="3067"/>
      <c r="P85" s="3067"/>
      <c r="Q85" s="3067"/>
      <c r="R85" s="3067"/>
      <c r="S85" s="3067"/>
      <c r="T85" s="3067"/>
      <c r="U85" s="3067"/>
      <c r="V85" s="3067"/>
      <c r="W85" s="3067"/>
      <c r="X85" s="3067"/>
      <c r="Y85" s="3067"/>
      <c r="Z85" s="3067"/>
      <c r="AA85" s="3067"/>
      <c r="AB85" s="3067"/>
      <c r="AC85" s="3067"/>
      <c r="AD85" s="3067"/>
      <c r="AE85" s="3067"/>
      <c r="AF85" s="3067"/>
      <c r="AG85" s="3068"/>
    </row>
    <row r="86" spans="1:33">
      <c r="A86" s="63">
        <v>2000.05</v>
      </c>
      <c r="B86" s="260">
        <v>98956.4</v>
      </c>
      <c r="C86" s="3078"/>
      <c r="D86" s="810"/>
      <c r="E86" s="222">
        <v>576.84147096348784</v>
      </c>
      <c r="F86" s="2754"/>
      <c r="G86" s="1403"/>
      <c r="H86" s="3067"/>
      <c r="I86" s="1887"/>
      <c r="J86" s="1402"/>
      <c r="K86" s="3067"/>
      <c r="L86" s="1402"/>
      <c r="M86" s="1887"/>
      <c r="N86" s="1402"/>
      <c r="O86" s="3067"/>
      <c r="P86" s="3067"/>
      <c r="Q86" s="3067"/>
      <c r="R86" s="3067"/>
      <c r="S86" s="3067"/>
      <c r="T86" s="3067"/>
      <c r="U86" s="3067"/>
      <c r="V86" s="3067"/>
      <c r="W86" s="3067"/>
      <c r="X86" s="3067"/>
      <c r="Y86" s="3067"/>
      <c r="Z86" s="3067"/>
      <c r="AA86" s="3067"/>
      <c r="AB86" s="3067"/>
      <c r="AC86" s="3067"/>
      <c r="AD86" s="3067"/>
      <c r="AE86" s="3067"/>
      <c r="AF86" s="3067"/>
      <c r="AG86" s="3068"/>
    </row>
    <row r="87" spans="1:33">
      <c r="A87" s="63">
        <v>2000.06</v>
      </c>
      <c r="B87" s="260">
        <v>98880.4</v>
      </c>
      <c r="C87" s="3078"/>
      <c r="D87" s="810"/>
      <c r="E87" s="222">
        <v>732.71030598407981</v>
      </c>
      <c r="F87" s="2754"/>
      <c r="G87" s="1403"/>
      <c r="H87" s="3067"/>
      <c r="I87" s="1887"/>
      <c r="J87" s="1402"/>
      <c r="K87" s="3067"/>
      <c r="L87" s="1402"/>
      <c r="M87" s="1887"/>
      <c r="N87" s="1402"/>
      <c r="O87" s="3067"/>
      <c r="P87" s="3067"/>
      <c r="Q87" s="3067"/>
      <c r="R87" s="3067"/>
      <c r="S87" s="3067"/>
      <c r="T87" s="3067"/>
      <c r="U87" s="3067"/>
      <c r="V87" s="3067"/>
      <c r="W87" s="3067"/>
      <c r="X87" s="3067"/>
      <c r="Y87" s="3067"/>
      <c r="Z87" s="3067"/>
      <c r="AA87" s="3067"/>
      <c r="AB87" s="3067"/>
      <c r="AC87" s="3067"/>
      <c r="AD87" s="3067"/>
      <c r="AE87" s="3067"/>
      <c r="AF87" s="3067"/>
      <c r="AG87" s="3068"/>
    </row>
    <row r="88" spans="1:33">
      <c r="A88" s="63">
        <v>2000.07</v>
      </c>
      <c r="B88" s="260">
        <v>98850.766666666663</v>
      </c>
      <c r="C88" s="3078"/>
      <c r="D88" s="810"/>
      <c r="E88" s="222">
        <v>855.13444105424958</v>
      </c>
      <c r="F88" s="2754"/>
      <c r="G88" s="1403"/>
      <c r="H88" s="3067"/>
      <c r="I88" s="1887"/>
      <c r="J88" s="1402"/>
      <c r="K88" s="3067"/>
      <c r="L88" s="1402"/>
      <c r="M88" s="1887"/>
      <c r="N88" s="1402"/>
      <c r="O88" s="3067"/>
      <c r="P88" s="3067"/>
      <c r="Q88" s="3067"/>
      <c r="R88" s="3067"/>
      <c r="S88" s="3067"/>
      <c r="T88" s="3067"/>
      <c r="U88" s="3067"/>
      <c r="V88" s="3067"/>
      <c r="W88" s="3067"/>
      <c r="X88" s="3067"/>
      <c r="Y88" s="3067"/>
      <c r="Z88" s="3067"/>
      <c r="AA88" s="3067"/>
      <c r="AB88" s="3067"/>
      <c r="AC88" s="3067"/>
      <c r="AD88" s="3067"/>
      <c r="AE88" s="3067"/>
      <c r="AF88" s="3067"/>
      <c r="AG88" s="3068"/>
    </row>
    <row r="89" spans="1:33">
      <c r="A89" s="63">
        <v>2000.08</v>
      </c>
      <c r="B89" s="260">
        <v>98682.7</v>
      </c>
      <c r="C89" s="3078"/>
      <c r="D89" s="810"/>
      <c r="E89" s="222">
        <v>977.26550046546788</v>
      </c>
      <c r="F89" s="2754"/>
      <c r="G89" s="1403"/>
      <c r="H89" s="3067"/>
      <c r="I89" s="1887"/>
      <c r="J89" s="1402"/>
      <c r="K89" s="3067"/>
      <c r="L89" s="1402"/>
      <c r="M89" s="1887"/>
      <c r="N89" s="1402"/>
      <c r="O89" s="3067"/>
      <c r="P89" s="3067"/>
      <c r="Q89" s="3067"/>
      <c r="R89" s="3067"/>
      <c r="S89" s="3067"/>
      <c r="T89" s="3067"/>
      <c r="U89" s="3067"/>
      <c r="V89" s="3067"/>
      <c r="W89" s="3067"/>
      <c r="X89" s="3067"/>
      <c r="Y89" s="3067"/>
      <c r="Z89" s="3067"/>
      <c r="AA89" s="3067"/>
      <c r="AB89" s="3067"/>
      <c r="AC89" s="3067"/>
      <c r="AD89" s="3067"/>
      <c r="AE89" s="3067"/>
      <c r="AF89" s="3067"/>
      <c r="AG89" s="3068"/>
    </row>
    <row r="90" spans="1:33">
      <c r="A90" s="63">
        <v>2000.09</v>
      </c>
      <c r="B90" s="260">
        <v>99084.7</v>
      </c>
      <c r="C90" s="3078"/>
      <c r="D90" s="810"/>
      <c r="E90" s="222">
        <v>1098.7677646265306</v>
      </c>
      <c r="F90" s="2754"/>
      <c r="G90" s="1403"/>
      <c r="H90" s="3067"/>
      <c r="I90" s="1887"/>
      <c r="J90" s="1402"/>
      <c r="K90" s="3067"/>
      <c r="L90" s="1402"/>
      <c r="M90" s="1887"/>
      <c r="N90" s="1402"/>
      <c r="O90" s="3067"/>
      <c r="P90" s="3067"/>
      <c r="Q90" s="3067"/>
      <c r="R90" s="3067"/>
      <c r="S90" s="3067"/>
      <c r="T90" s="3067"/>
      <c r="U90" s="3067"/>
      <c r="V90" s="3067"/>
      <c r="W90" s="3067"/>
      <c r="X90" s="3067"/>
      <c r="Y90" s="3067"/>
      <c r="Z90" s="3067"/>
      <c r="AA90" s="3067"/>
      <c r="AB90" s="3067"/>
      <c r="AC90" s="3067"/>
      <c r="AD90" s="3067"/>
      <c r="AE90" s="3067"/>
      <c r="AF90" s="3067"/>
      <c r="AG90" s="3068"/>
    </row>
    <row r="91" spans="1:33">
      <c r="A91" s="63">
        <v>2000.1</v>
      </c>
      <c r="B91" s="260">
        <v>99058.6</v>
      </c>
      <c r="C91" s="3078"/>
      <c r="D91" s="810"/>
      <c r="E91" s="222">
        <v>1228.6341780239427</v>
      </c>
      <c r="F91" s="2754"/>
      <c r="G91" s="1403"/>
      <c r="H91" s="3067"/>
      <c r="I91" s="1887"/>
      <c r="J91" s="1402"/>
      <c r="K91" s="3067"/>
      <c r="L91" s="1402"/>
      <c r="M91" s="1887"/>
      <c r="N91" s="1402"/>
      <c r="O91" s="3067"/>
      <c r="P91" s="3067"/>
      <c r="Q91" s="3067"/>
      <c r="R91" s="3067"/>
      <c r="S91" s="3067"/>
      <c r="T91" s="3067"/>
      <c r="U91" s="3067"/>
      <c r="V91" s="3067"/>
      <c r="W91" s="3067"/>
      <c r="X91" s="3067"/>
      <c r="Y91" s="3067"/>
      <c r="Z91" s="3067"/>
      <c r="AA91" s="3067"/>
      <c r="AB91" s="3067"/>
      <c r="AC91" s="3067"/>
      <c r="AD91" s="3067"/>
      <c r="AE91" s="3067"/>
      <c r="AF91" s="3067"/>
      <c r="AG91" s="3068"/>
    </row>
    <row r="92" spans="1:33">
      <c r="A92" s="63">
        <v>2000.11</v>
      </c>
      <c r="B92" s="260">
        <v>99001.600000000006</v>
      </c>
      <c r="C92" s="3078"/>
      <c r="D92" s="810"/>
      <c r="E92" s="222">
        <v>1368.0168006278916</v>
      </c>
      <c r="F92" s="2754"/>
      <c r="G92" s="1403"/>
      <c r="H92" s="3067"/>
      <c r="I92" s="1887"/>
      <c r="J92" s="1402"/>
      <c r="K92" s="3067"/>
      <c r="L92" s="1402"/>
      <c r="M92" s="1887"/>
      <c r="N92" s="1402"/>
      <c r="O92" s="3067"/>
      <c r="P92" s="3067"/>
      <c r="Q92" s="3067"/>
      <c r="R92" s="3067"/>
      <c r="S92" s="3067"/>
      <c r="T92" s="3067"/>
      <c r="U92" s="3067"/>
      <c r="V92" s="3067"/>
      <c r="W92" s="3067"/>
      <c r="X92" s="3067"/>
      <c r="Y92" s="3067"/>
      <c r="Z92" s="3067"/>
      <c r="AA92" s="3067"/>
      <c r="AB92" s="3067"/>
      <c r="AC92" s="3067"/>
      <c r="AD92" s="3067"/>
      <c r="AE92" s="3067"/>
      <c r="AF92" s="3067"/>
      <c r="AG92" s="3068"/>
    </row>
    <row r="93" spans="1:33">
      <c r="A93" s="63">
        <v>2000.12</v>
      </c>
      <c r="B93" s="260">
        <v>99042.6</v>
      </c>
      <c r="C93" s="3078"/>
      <c r="D93" s="810"/>
      <c r="E93" s="222">
        <v>1634.492</v>
      </c>
      <c r="F93" s="2754"/>
      <c r="G93" s="1403"/>
      <c r="H93" s="3067"/>
      <c r="I93" s="1887"/>
      <c r="J93" s="1402"/>
      <c r="K93" s="3067"/>
      <c r="L93" s="1402"/>
      <c r="M93" s="1887"/>
      <c r="N93" s="1402"/>
      <c r="O93" s="3067"/>
      <c r="P93" s="3067"/>
      <c r="Q93" s="3067"/>
      <c r="R93" s="3067"/>
      <c r="S93" s="3067"/>
      <c r="T93" s="3067"/>
      <c r="U93" s="3067"/>
      <c r="V93" s="3067"/>
      <c r="W93" s="3067"/>
      <c r="X93" s="3067"/>
      <c r="Y93" s="3067"/>
      <c r="Z93" s="3067"/>
      <c r="AA93" s="3067"/>
      <c r="AB93" s="3067"/>
      <c r="AC93" s="3067"/>
      <c r="AD93" s="3067"/>
      <c r="AE93" s="3067"/>
      <c r="AF93" s="3067"/>
      <c r="AG93" s="3068"/>
    </row>
    <row r="94" spans="1:33">
      <c r="A94" s="63">
        <v>2001.01</v>
      </c>
      <c r="B94" s="260">
        <v>99041.600000000006</v>
      </c>
      <c r="C94" s="3078"/>
      <c r="D94" s="810"/>
      <c r="E94" s="222">
        <v>99.845222611492531</v>
      </c>
      <c r="F94" s="2754"/>
      <c r="G94" s="1403"/>
      <c r="H94" s="3067"/>
      <c r="I94" s="1887"/>
      <c r="J94" s="1402"/>
      <c r="K94" s="3067"/>
      <c r="L94" s="1402"/>
      <c r="M94" s="1887"/>
      <c r="N94" s="1402"/>
      <c r="O94" s="3067"/>
      <c r="P94" s="3067"/>
      <c r="Q94" s="3067"/>
      <c r="R94" s="3067"/>
      <c r="S94" s="3067"/>
      <c r="T94" s="3067"/>
      <c r="U94" s="3067"/>
      <c r="V94" s="3067"/>
      <c r="W94" s="3067"/>
      <c r="X94" s="3067"/>
      <c r="Y94" s="3067"/>
      <c r="Z94" s="3067"/>
      <c r="AA94" s="3067"/>
      <c r="AB94" s="3067"/>
      <c r="AC94" s="3067"/>
      <c r="AD94" s="3067"/>
      <c r="AE94" s="3067"/>
      <c r="AF94" s="3067"/>
      <c r="AG94" s="3068"/>
    </row>
    <row r="95" spans="1:33">
      <c r="A95" s="63">
        <v>2001.02</v>
      </c>
      <c r="B95" s="260">
        <v>99016.666666666672</v>
      </c>
      <c r="C95" s="3078"/>
      <c r="D95" s="810"/>
      <c r="E95" s="222">
        <v>206.04362154894918</v>
      </c>
      <c r="F95" s="2754"/>
      <c r="G95" s="1403"/>
      <c r="H95" s="3067"/>
      <c r="I95" s="1887"/>
      <c r="J95" s="1402"/>
      <c r="K95" s="3067"/>
      <c r="L95" s="1402"/>
      <c r="M95" s="1887"/>
      <c r="N95" s="1402"/>
      <c r="O95" s="3067"/>
      <c r="P95" s="3067"/>
      <c r="Q95" s="3067"/>
      <c r="R95" s="3067"/>
      <c r="S95" s="3067"/>
      <c r="T95" s="3067"/>
      <c r="U95" s="3067"/>
      <c r="V95" s="3067"/>
      <c r="W95" s="3067"/>
      <c r="X95" s="3067"/>
      <c r="Y95" s="3067"/>
      <c r="Z95" s="3067"/>
      <c r="AA95" s="3067"/>
      <c r="AB95" s="3067"/>
      <c r="AC95" s="3067"/>
      <c r="AD95" s="3067"/>
      <c r="AE95" s="3067"/>
      <c r="AF95" s="3067"/>
      <c r="AG95" s="3068"/>
    </row>
    <row r="96" spans="1:33">
      <c r="A96" s="63">
        <v>2001.03</v>
      </c>
      <c r="B96" s="260">
        <v>98955.666666666672</v>
      </c>
      <c r="C96" s="3078"/>
      <c r="D96" s="810"/>
      <c r="E96" s="222">
        <v>316.4811167040624</v>
      </c>
      <c r="F96" s="2754"/>
      <c r="G96" s="1403"/>
      <c r="H96" s="3067"/>
      <c r="I96" s="1887"/>
      <c r="J96" s="1402"/>
      <c r="K96" s="3067"/>
      <c r="L96" s="1402"/>
      <c r="M96" s="1887"/>
      <c r="N96" s="1402"/>
      <c r="O96" s="3067"/>
      <c r="P96" s="3067"/>
      <c r="Q96" s="3067"/>
      <c r="R96" s="3067"/>
      <c r="S96" s="3067"/>
      <c r="T96" s="3067"/>
      <c r="U96" s="3067"/>
      <c r="V96" s="3067"/>
      <c r="W96" s="3067"/>
      <c r="X96" s="3067"/>
      <c r="Y96" s="3067"/>
      <c r="Z96" s="3067"/>
      <c r="AA96" s="3067"/>
      <c r="AB96" s="3067"/>
      <c r="AC96" s="3067"/>
      <c r="AD96" s="3067"/>
      <c r="AE96" s="3067"/>
      <c r="AF96" s="3067"/>
      <c r="AG96" s="3068"/>
    </row>
    <row r="97" spans="1:33">
      <c r="A97" s="63">
        <v>2001.04</v>
      </c>
      <c r="B97" s="260">
        <v>98990</v>
      </c>
      <c r="C97" s="3078"/>
      <c r="D97" s="810"/>
      <c r="E97" s="222">
        <v>428.58924403171375</v>
      </c>
      <c r="F97" s="2754"/>
      <c r="G97" s="1403"/>
      <c r="H97" s="3067"/>
      <c r="I97" s="1887"/>
      <c r="J97" s="1402"/>
      <c r="K97" s="3067"/>
      <c r="L97" s="1402"/>
      <c r="M97" s="1887"/>
      <c r="N97" s="1402"/>
      <c r="O97" s="3067"/>
      <c r="P97" s="3067"/>
      <c r="Q97" s="3067"/>
      <c r="R97" s="3067"/>
      <c r="S97" s="3067"/>
      <c r="T97" s="3067"/>
      <c r="U97" s="3067"/>
      <c r="V97" s="3067"/>
      <c r="W97" s="3067"/>
      <c r="X97" s="3067"/>
      <c r="Y97" s="3067"/>
      <c r="Z97" s="3067"/>
      <c r="AA97" s="3067"/>
      <c r="AB97" s="3067"/>
      <c r="AC97" s="3067"/>
      <c r="AD97" s="3067"/>
      <c r="AE97" s="3067"/>
      <c r="AF97" s="3067"/>
      <c r="AG97" s="3068"/>
    </row>
    <row r="98" spans="1:33">
      <c r="A98" s="63">
        <v>2001.05</v>
      </c>
      <c r="B98" s="260">
        <v>98949.066666666666</v>
      </c>
      <c r="C98" s="3078"/>
      <c r="D98" s="810"/>
      <c r="E98" s="222">
        <v>542.28410390676686</v>
      </c>
      <c r="F98" s="2754"/>
      <c r="G98" s="1403"/>
      <c r="H98" s="3067"/>
      <c r="I98" s="1887"/>
      <c r="J98" s="1402"/>
      <c r="K98" s="3067"/>
      <c r="L98" s="1402"/>
      <c r="M98" s="1887"/>
      <c r="N98" s="1402"/>
      <c r="O98" s="3067"/>
      <c r="P98" s="3067"/>
      <c r="Q98" s="3067"/>
      <c r="R98" s="3067"/>
      <c r="S98" s="3067"/>
      <c r="T98" s="3067"/>
      <c r="U98" s="3067"/>
      <c r="V98" s="3067"/>
      <c r="W98" s="3067"/>
      <c r="X98" s="3067"/>
      <c r="Y98" s="3067"/>
      <c r="Z98" s="3067"/>
      <c r="AA98" s="3067"/>
      <c r="AB98" s="3067"/>
      <c r="AC98" s="3067"/>
      <c r="AD98" s="3067"/>
      <c r="AE98" s="3067"/>
      <c r="AF98" s="3067"/>
      <c r="AG98" s="3068"/>
    </row>
    <row r="99" spans="1:33">
      <c r="A99" s="63">
        <v>2001.06</v>
      </c>
      <c r="B99" s="260">
        <v>98915.066666666666</v>
      </c>
      <c r="C99" s="3078"/>
      <c r="D99" s="810"/>
      <c r="E99" s="222">
        <v>688.81516275202034</v>
      </c>
      <c r="F99" s="2754"/>
      <c r="G99" s="1403"/>
      <c r="H99" s="3067"/>
      <c r="I99" s="1887"/>
      <c r="J99" s="1402"/>
      <c r="K99" s="3067"/>
      <c r="L99" s="1402"/>
      <c r="M99" s="1887"/>
      <c r="N99" s="1402"/>
      <c r="O99" s="3067"/>
      <c r="P99" s="3067"/>
      <c r="Q99" s="3067"/>
      <c r="R99" s="3067"/>
      <c r="S99" s="3067"/>
      <c r="T99" s="3067"/>
      <c r="U99" s="3067"/>
      <c r="V99" s="3067"/>
      <c r="W99" s="3067"/>
      <c r="X99" s="3067"/>
      <c r="Y99" s="3067"/>
      <c r="Z99" s="3067"/>
      <c r="AA99" s="3067"/>
      <c r="AB99" s="3067"/>
      <c r="AC99" s="3067"/>
      <c r="AD99" s="3067"/>
      <c r="AE99" s="3067"/>
      <c r="AF99" s="3067"/>
      <c r="AG99" s="3068"/>
    </row>
    <row r="100" spans="1:33">
      <c r="A100" s="63">
        <v>2001.07</v>
      </c>
      <c r="B100" s="260">
        <v>100206.56666666667</v>
      </c>
      <c r="C100" s="3078"/>
      <c r="D100" s="810"/>
      <c r="E100" s="222">
        <v>803.90512372899411</v>
      </c>
      <c r="F100" s="2754"/>
      <c r="G100" s="1403"/>
      <c r="H100" s="3067"/>
      <c r="I100" s="1887"/>
      <c r="J100" s="1402"/>
      <c r="K100" s="3067"/>
      <c r="L100" s="1402"/>
      <c r="M100" s="1887"/>
      <c r="N100" s="1402"/>
      <c r="O100" s="3067"/>
      <c r="P100" s="3067"/>
      <c r="Q100" s="3067"/>
      <c r="R100" s="3067"/>
      <c r="S100" s="3067"/>
      <c r="T100" s="3067"/>
      <c r="U100" s="3067"/>
      <c r="V100" s="3067"/>
      <c r="W100" s="3067"/>
      <c r="X100" s="3067"/>
      <c r="Y100" s="3067"/>
      <c r="Z100" s="3067"/>
      <c r="AA100" s="3067"/>
      <c r="AB100" s="3067"/>
      <c r="AC100" s="3067"/>
      <c r="AD100" s="3067"/>
      <c r="AE100" s="3067"/>
      <c r="AF100" s="3067"/>
      <c r="AG100" s="3068"/>
    </row>
    <row r="101" spans="1:33">
      <c r="A101" s="63">
        <v>2001.08</v>
      </c>
      <c r="B101" s="260">
        <v>100464.03333333333</v>
      </c>
      <c r="C101" s="3078"/>
      <c r="D101" s="810"/>
      <c r="E101" s="222">
        <v>918.71956659728232</v>
      </c>
      <c r="F101" s="2754"/>
      <c r="G101" s="1403"/>
      <c r="H101" s="3067"/>
      <c r="I101" s="1887"/>
      <c r="J101" s="1402"/>
      <c r="K101" s="3067"/>
      <c r="L101" s="1402"/>
      <c r="M101" s="1887"/>
      <c r="N101" s="1402"/>
      <c r="O101" s="3067"/>
      <c r="P101" s="3067"/>
      <c r="Q101" s="3067"/>
      <c r="R101" s="3067"/>
      <c r="S101" s="3067"/>
      <c r="T101" s="3067"/>
      <c r="U101" s="3067"/>
      <c r="V101" s="3067"/>
      <c r="W101" s="3067"/>
      <c r="X101" s="3067"/>
      <c r="Y101" s="3067"/>
      <c r="Z101" s="3067"/>
      <c r="AA101" s="3067"/>
      <c r="AB101" s="3067"/>
      <c r="AC101" s="3067"/>
      <c r="AD101" s="3067"/>
      <c r="AE101" s="3067"/>
      <c r="AF101" s="3067"/>
      <c r="AG101" s="3068"/>
    </row>
    <row r="102" spans="1:33">
      <c r="A102" s="63">
        <v>2001.09</v>
      </c>
      <c r="B102" s="260">
        <v>100382.3</v>
      </c>
      <c r="C102" s="3078"/>
      <c r="D102" s="810"/>
      <c r="E102" s="222">
        <v>1032.9428840248113</v>
      </c>
      <c r="F102" s="2754"/>
      <c r="G102" s="1403"/>
      <c r="H102" s="3067"/>
      <c r="I102" s="1887"/>
      <c r="J102" s="1402"/>
      <c r="K102" s="3067"/>
      <c r="L102" s="1402"/>
      <c r="M102" s="1887"/>
      <c r="N102" s="1402"/>
      <c r="O102" s="3067"/>
      <c r="P102" s="3067"/>
      <c r="Q102" s="3067"/>
      <c r="R102" s="3067"/>
      <c r="S102" s="3067"/>
      <c r="T102" s="3067"/>
      <c r="U102" s="3067"/>
      <c r="V102" s="3067"/>
      <c r="W102" s="3067"/>
      <c r="X102" s="3067"/>
      <c r="Y102" s="3067"/>
      <c r="Z102" s="3067"/>
      <c r="AA102" s="3067"/>
      <c r="AB102" s="3067"/>
      <c r="AC102" s="3067"/>
      <c r="AD102" s="3067"/>
      <c r="AE102" s="3067"/>
      <c r="AF102" s="3067"/>
      <c r="AG102" s="3068"/>
    </row>
    <row r="103" spans="1:33">
      <c r="A103" s="63">
        <v>2001.1</v>
      </c>
      <c r="B103" s="260">
        <v>100388.3</v>
      </c>
      <c r="C103" s="3078"/>
      <c r="D103" s="810"/>
      <c r="E103" s="222">
        <v>1155.0292719871272</v>
      </c>
      <c r="F103" s="2754"/>
      <c r="G103" s="1403"/>
      <c r="H103" s="3067"/>
      <c r="I103" s="1887"/>
      <c r="J103" s="1402"/>
      <c r="K103" s="3067"/>
      <c r="L103" s="1402"/>
      <c r="M103" s="1887"/>
      <c r="N103" s="1402"/>
      <c r="O103" s="3067"/>
      <c r="P103" s="3067"/>
      <c r="Q103" s="3067"/>
      <c r="R103" s="3067"/>
      <c r="S103" s="3067"/>
      <c r="T103" s="3067"/>
      <c r="U103" s="3067"/>
      <c r="V103" s="3067"/>
      <c r="W103" s="3067"/>
      <c r="X103" s="3067"/>
      <c r="Y103" s="3067"/>
      <c r="Z103" s="3067"/>
      <c r="AA103" s="3067"/>
      <c r="AB103" s="3067"/>
      <c r="AC103" s="3067"/>
      <c r="AD103" s="3067"/>
      <c r="AE103" s="3067"/>
      <c r="AF103" s="3067"/>
      <c r="AG103" s="3068"/>
    </row>
    <row r="104" spans="1:33">
      <c r="A104" s="63">
        <v>2001.11</v>
      </c>
      <c r="B104" s="260">
        <v>100341.3</v>
      </c>
      <c r="C104" s="3078"/>
      <c r="D104" s="810"/>
      <c r="E104" s="222">
        <v>1286.0617729491496</v>
      </c>
      <c r="F104" s="2754"/>
      <c r="G104" s="1403"/>
      <c r="H104" s="3067"/>
      <c r="I104" s="1887"/>
      <c r="J104" s="1402"/>
      <c r="K104" s="3067"/>
      <c r="L104" s="1402"/>
      <c r="M104" s="1887"/>
      <c r="N104" s="1402"/>
      <c r="O104" s="3067"/>
      <c r="P104" s="3067"/>
      <c r="Q104" s="3067"/>
      <c r="R104" s="3067"/>
      <c r="S104" s="3067"/>
      <c r="T104" s="3067"/>
      <c r="U104" s="3067"/>
      <c r="V104" s="3067"/>
      <c r="W104" s="3067"/>
      <c r="X104" s="3067"/>
      <c r="Y104" s="3067"/>
      <c r="Z104" s="3067"/>
      <c r="AA104" s="3067"/>
      <c r="AB104" s="3067"/>
      <c r="AC104" s="3067"/>
      <c r="AD104" s="3067"/>
      <c r="AE104" s="3067"/>
      <c r="AF104" s="3067"/>
      <c r="AG104" s="3068"/>
    </row>
    <row r="105" spans="1:33">
      <c r="A105" s="63">
        <v>2001.12</v>
      </c>
      <c r="B105" s="260">
        <v>100254.13333333333</v>
      </c>
      <c r="C105" s="3078"/>
      <c r="D105" s="810"/>
      <c r="E105" s="222">
        <v>1536.5730000000001</v>
      </c>
      <c r="F105" s="2754"/>
      <c r="G105" s="1403"/>
      <c r="H105" s="3067"/>
      <c r="I105" s="1887"/>
      <c r="J105" s="1402"/>
      <c r="K105" s="3067"/>
      <c r="L105" s="1402"/>
      <c r="M105" s="1887"/>
      <c r="N105" s="1402"/>
      <c r="O105" s="3067"/>
      <c r="P105" s="3067"/>
      <c r="Q105" s="3067"/>
      <c r="R105" s="3067"/>
      <c r="S105" s="3067"/>
      <c r="T105" s="3067"/>
      <c r="U105" s="3067"/>
      <c r="V105" s="3067"/>
      <c r="W105" s="3067"/>
      <c r="X105" s="3067"/>
      <c r="Y105" s="3067"/>
      <c r="Z105" s="3067"/>
      <c r="AA105" s="3067"/>
      <c r="AB105" s="3067"/>
      <c r="AC105" s="3067"/>
      <c r="AD105" s="3067"/>
      <c r="AE105" s="3067"/>
      <c r="AF105" s="3067"/>
      <c r="AG105" s="3068"/>
    </row>
    <row r="106" spans="1:33">
      <c r="A106" s="63">
        <v>2002.01</v>
      </c>
      <c r="B106" s="260">
        <v>100200.2</v>
      </c>
      <c r="C106" s="3079"/>
      <c r="D106" s="1401"/>
      <c r="E106" s="222">
        <v>98.180131639947732</v>
      </c>
      <c r="F106" s="2754"/>
      <c r="G106" s="1403"/>
      <c r="H106" s="3067"/>
      <c r="I106" s="1887"/>
      <c r="J106" s="1402"/>
      <c r="K106" s="3067"/>
      <c r="L106" s="1402"/>
      <c r="M106" s="1887"/>
      <c r="N106" s="1402"/>
      <c r="O106" s="3067"/>
      <c r="P106" s="3067"/>
      <c r="Q106" s="3067"/>
      <c r="R106" s="3067"/>
      <c r="S106" s="3067"/>
      <c r="T106" s="3067"/>
      <c r="U106" s="3067"/>
      <c r="V106" s="3067"/>
      <c r="W106" s="3067"/>
      <c r="X106" s="3067"/>
      <c r="Y106" s="3067"/>
      <c r="Z106" s="3067"/>
      <c r="AA106" s="3067"/>
      <c r="AB106" s="3067"/>
      <c r="AC106" s="3067"/>
      <c r="AD106" s="3067"/>
      <c r="AE106" s="3067"/>
      <c r="AF106" s="3067"/>
      <c r="AG106" s="3068"/>
    </row>
    <row r="107" spans="1:33">
      <c r="A107" s="63">
        <v>2002.02</v>
      </c>
      <c r="B107" s="260">
        <v>100202.5</v>
      </c>
      <c r="C107" s="3078"/>
      <c r="D107" s="810"/>
      <c r="E107" s="222">
        <v>202.60748945357082</v>
      </c>
      <c r="F107" s="2754"/>
      <c r="G107" s="1403"/>
      <c r="H107" s="3067"/>
      <c r="I107" s="1887"/>
      <c r="J107" s="1402"/>
      <c r="K107" s="3067"/>
      <c r="L107" s="1402"/>
      <c r="M107" s="1887"/>
      <c r="N107" s="1402"/>
      <c r="O107" s="3067"/>
      <c r="P107" s="3067"/>
      <c r="Q107" s="3067"/>
      <c r="R107" s="3067"/>
      <c r="S107" s="3067"/>
      <c r="T107" s="3067"/>
      <c r="U107" s="3067"/>
      <c r="V107" s="3067"/>
      <c r="W107" s="3067"/>
      <c r="X107" s="3067"/>
      <c r="Y107" s="3067"/>
      <c r="Z107" s="3067"/>
      <c r="AA107" s="3067"/>
      <c r="AB107" s="3067"/>
      <c r="AC107" s="3067"/>
      <c r="AD107" s="3067"/>
      <c r="AE107" s="3067"/>
      <c r="AF107" s="3067"/>
      <c r="AG107" s="3068"/>
    </row>
    <row r="108" spans="1:33">
      <c r="A108" s="63">
        <v>2002.03</v>
      </c>
      <c r="B108" s="260">
        <v>100175.36666666667</v>
      </c>
      <c r="C108" s="3078"/>
      <c r="D108" s="810"/>
      <c r="E108" s="222">
        <v>311.20324925777669</v>
      </c>
      <c r="F108" s="2754"/>
      <c r="G108" s="1403"/>
      <c r="H108" s="3067"/>
      <c r="I108" s="1887"/>
      <c r="J108" s="1402"/>
      <c r="K108" s="3067"/>
      <c r="L108" s="1402"/>
      <c r="M108" s="1887"/>
      <c r="N108" s="1402"/>
      <c r="O108" s="3067"/>
      <c r="P108" s="3067"/>
      <c r="Q108" s="3067"/>
      <c r="R108" s="3067"/>
      <c r="S108" s="3067"/>
      <c r="T108" s="3067"/>
      <c r="U108" s="3067"/>
      <c r="V108" s="3067"/>
      <c r="W108" s="3067"/>
      <c r="X108" s="3067"/>
      <c r="Y108" s="3067"/>
      <c r="Z108" s="3067"/>
      <c r="AA108" s="3067"/>
      <c r="AB108" s="3067"/>
      <c r="AC108" s="3067"/>
      <c r="AD108" s="3067"/>
      <c r="AE108" s="3067"/>
      <c r="AF108" s="3067"/>
      <c r="AG108" s="3068"/>
    </row>
    <row r="109" spans="1:33">
      <c r="A109" s="63">
        <v>2002.04</v>
      </c>
      <c r="B109" s="260">
        <v>100288.66666666667</v>
      </c>
      <c r="C109" s="3078"/>
      <c r="D109" s="810"/>
      <c r="E109" s="222">
        <v>421.44178056703441</v>
      </c>
      <c r="F109" s="2754"/>
      <c r="G109" s="1403"/>
      <c r="H109" s="3067"/>
      <c r="I109" s="1887"/>
      <c r="J109" s="1402"/>
      <c r="K109" s="3067"/>
      <c r="L109" s="1402"/>
      <c r="M109" s="1887"/>
      <c r="N109" s="1402"/>
      <c r="O109" s="3067"/>
      <c r="P109" s="3067"/>
      <c r="Q109" s="3067"/>
      <c r="R109" s="3067"/>
      <c r="S109" s="3067"/>
      <c r="T109" s="3067"/>
      <c r="U109" s="3067"/>
      <c r="V109" s="3067"/>
      <c r="W109" s="3067"/>
      <c r="X109" s="3067"/>
      <c r="Y109" s="3067"/>
      <c r="Z109" s="3067"/>
      <c r="AA109" s="3067"/>
      <c r="AB109" s="3067"/>
      <c r="AC109" s="3067"/>
      <c r="AD109" s="3067"/>
      <c r="AE109" s="3067"/>
      <c r="AF109" s="3067"/>
      <c r="AG109" s="3068"/>
    </row>
    <row r="110" spans="1:33">
      <c r="A110" s="63">
        <v>2002.05</v>
      </c>
      <c r="B110" s="260">
        <v>100293</v>
      </c>
      <c r="C110" s="3078"/>
      <c r="D110" s="810"/>
      <c r="E110" s="222">
        <v>533.24058292689097</v>
      </c>
      <c r="F110" s="2754"/>
      <c r="G110" s="1403"/>
      <c r="H110" s="3067"/>
      <c r="I110" s="1887"/>
      <c r="J110" s="1402"/>
      <c r="K110" s="3067"/>
      <c r="L110" s="1402"/>
      <c r="M110" s="1887"/>
      <c r="N110" s="1402"/>
      <c r="O110" s="3067"/>
      <c r="P110" s="3067"/>
      <c r="Q110" s="3067"/>
      <c r="R110" s="3067"/>
      <c r="S110" s="3067"/>
      <c r="T110" s="3067"/>
      <c r="U110" s="3067"/>
      <c r="V110" s="3067"/>
      <c r="W110" s="3067"/>
      <c r="X110" s="3067"/>
      <c r="Y110" s="3067"/>
      <c r="Z110" s="3067"/>
      <c r="AA110" s="3067"/>
      <c r="AB110" s="3067"/>
      <c r="AC110" s="3067"/>
      <c r="AD110" s="3067"/>
      <c r="AE110" s="3067"/>
      <c r="AF110" s="3067"/>
      <c r="AG110" s="3068"/>
    </row>
    <row r="111" spans="1:33">
      <c r="A111" s="63">
        <v>2002.06</v>
      </c>
      <c r="B111" s="260">
        <v>100181.3</v>
      </c>
      <c r="C111" s="3078"/>
      <c r="D111" s="810"/>
      <c r="E111" s="222">
        <v>677.3279841112917</v>
      </c>
      <c r="F111" s="2754"/>
      <c r="G111" s="1403"/>
      <c r="H111" s="3067"/>
      <c r="I111" s="1887"/>
      <c r="J111" s="1402"/>
      <c r="K111" s="3067"/>
      <c r="L111" s="1402"/>
      <c r="M111" s="1887"/>
      <c r="N111" s="1402"/>
      <c r="O111" s="3067"/>
      <c r="P111" s="3067"/>
      <c r="Q111" s="3067"/>
      <c r="R111" s="3067"/>
      <c r="S111" s="3067"/>
      <c r="T111" s="3067"/>
      <c r="U111" s="3067"/>
      <c r="V111" s="3067"/>
      <c r="W111" s="3067"/>
      <c r="X111" s="3067"/>
      <c r="Y111" s="3067"/>
      <c r="Z111" s="3067"/>
      <c r="AA111" s="3067"/>
      <c r="AB111" s="3067"/>
      <c r="AC111" s="3067"/>
      <c r="AD111" s="3067"/>
      <c r="AE111" s="3067"/>
      <c r="AF111" s="3067"/>
      <c r="AG111" s="3068"/>
    </row>
    <row r="112" spans="1:33">
      <c r="A112" s="63">
        <v>2002.07</v>
      </c>
      <c r="B112" s="260">
        <v>100123.43333333333</v>
      </c>
      <c r="C112" s="3078"/>
      <c r="D112" s="810"/>
      <c r="E112" s="222">
        <v>790.49862186051439</v>
      </c>
      <c r="F112" s="2754"/>
      <c r="G112" s="1403"/>
      <c r="H112" s="3067"/>
      <c r="I112" s="1887"/>
      <c r="J112" s="1402"/>
      <c r="K112" s="3067"/>
      <c r="L112" s="1402"/>
      <c r="M112" s="1887"/>
      <c r="N112" s="1402"/>
      <c r="O112" s="3067"/>
      <c r="P112" s="3067"/>
      <c r="Q112" s="3067"/>
      <c r="R112" s="3067"/>
      <c r="S112" s="3067"/>
      <c r="T112" s="3067"/>
      <c r="U112" s="3067"/>
      <c r="V112" s="3067"/>
      <c r="W112" s="3067"/>
      <c r="X112" s="3067"/>
      <c r="Y112" s="3067"/>
      <c r="Z112" s="3067"/>
      <c r="AA112" s="3067"/>
      <c r="AB112" s="3067"/>
      <c r="AC112" s="3067"/>
      <c r="AD112" s="3067"/>
      <c r="AE112" s="3067"/>
      <c r="AF112" s="3067"/>
      <c r="AG112" s="3068"/>
    </row>
    <row r="113" spans="1:33">
      <c r="A113" s="63">
        <v>2002.08</v>
      </c>
      <c r="B113" s="260">
        <v>101690</v>
      </c>
      <c r="C113" s="3078"/>
      <c r="D113" s="810"/>
      <c r="E113" s="222">
        <v>903.39833623982111</v>
      </c>
      <c r="F113" s="2754"/>
      <c r="G113" s="1403"/>
      <c r="H113" s="3067"/>
      <c r="I113" s="1887"/>
      <c r="J113" s="1402"/>
      <c r="K113" s="3067"/>
      <c r="L113" s="1402"/>
      <c r="M113" s="1887"/>
      <c r="N113" s="1402"/>
      <c r="O113" s="3067"/>
      <c r="P113" s="3067"/>
      <c r="Q113" s="3067"/>
      <c r="R113" s="3067"/>
      <c r="S113" s="3067"/>
      <c r="T113" s="3067"/>
      <c r="U113" s="3067"/>
      <c r="V113" s="3067"/>
      <c r="W113" s="3067"/>
      <c r="X113" s="3067"/>
      <c r="Y113" s="3067"/>
      <c r="Z113" s="3067"/>
      <c r="AA113" s="3067"/>
      <c r="AB113" s="3067"/>
      <c r="AC113" s="3067"/>
      <c r="AD113" s="3067"/>
      <c r="AE113" s="3067"/>
      <c r="AF113" s="3067"/>
      <c r="AG113" s="3068"/>
    </row>
    <row r="114" spans="1:33">
      <c r="A114" s="63">
        <v>2002.09</v>
      </c>
      <c r="B114" s="260">
        <v>101742</v>
      </c>
      <c r="C114" s="3078"/>
      <c r="D114" s="810"/>
      <c r="E114" s="222">
        <v>1015.7167832127211</v>
      </c>
      <c r="F114" s="2754"/>
      <c r="G114" s="1403"/>
      <c r="H114" s="3067"/>
      <c r="I114" s="1887"/>
      <c r="J114" s="1402"/>
      <c r="K114" s="3067"/>
      <c r="L114" s="1402"/>
      <c r="M114" s="1887"/>
      <c r="N114" s="1402"/>
      <c r="O114" s="3067"/>
      <c r="P114" s="3067"/>
      <c r="Q114" s="3067"/>
      <c r="R114" s="3067"/>
      <c r="S114" s="3067"/>
      <c r="T114" s="3067"/>
      <c r="U114" s="3067"/>
      <c r="V114" s="3067"/>
      <c r="W114" s="3067"/>
      <c r="X114" s="3067"/>
      <c r="Y114" s="3067"/>
      <c r="Z114" s="3067"/>
      <c r="AA114" s="3067"/>
      <c r="AB114" s="3067"/>
      <c r="AC114" s="3067"/>
      <c r="AD114" s="3067"/>
      <c r="AE114" s="3067"/>
      <c r="AF114" s="3067"/>
      <c r="AG114" s="3068"/>
    </row>
    <row r="115" spans="1:33">
      <c r="A115" s="63">
        <v>2002.1</v>
      </c>
      <c r="B115" s="260">
        <v>101672</v>
      </c>
      <c r="C115" s="3078"/>
      <c r="D115" s="810"/>
      <c r="E115" s="222">
        <v>1135.7671704828902</v>
      </c>
      <c r="F115" s="2754"/>
      <c r="G115" s="1403"/>
      <c r="H115" s="3067"/>
      <c r="I115" s="1887"/>
      <c r="J115" s="1402"/>
      <c r="K115" s="3067"/>
      <c r="L115" s="1402"/>
      <c r="M115" s="1887"/>
      <c r="N115" s="1402"/>
      <c r="O115" s="3067"/>
      <c r="P115" s="3067"/>
      <c r="Q115" s="3067"/>
      <c r="R115" s="3067"/>
      <c r="S115" s="3067"/>
      <c r="T115" s="3067"/>
      <c r="U115" s="3067"/>
      <c r="V115" s="3067"/>
      <c r="W115" s="3067"/>
      <c r="X115" s="3067"/>
      <c r="Y115" s="3067"/>
      <c r="Z115" s="3067"/>
      <c r="AA115" s="3067"/>
      <c r="AB115" s="3067"/>
      <c r="AC115" s="3067"/>
      <c r="AD115" s="3067"/>
      <c r="AE115" s="3067"/>
      <c r="AF115" s="3067"/>
      <c r="AG115" s="3068"/>
    </row>
    <row r="116" spans="1:33">
      <c r="A116" s="63">
        <v>2002.11</v>
      </c>
      <c r="B116" s="260">
        <v>101582.9</v>
      </c>
      <c r="C116" s="3078"/>
      <c r="D116" s="810"/>
      <c r="E116" s="222">
        <v>1264.6144789176769</v>
      </c>
      <c r="F116" s="2754"/>
      <c r="G116" s="1403"/>
      <c r="H116" s="3067"/>
      <c r="I116" s="1887"/>
      <c r="J116" s="1402"/>
      <c r="K116" s="3067"/>
      <c r="L116" s="1402"/>
      <c r="M116" s="1887"/>
      <c r="N116" s="1402"/>
      <c r="O116" s="3067"/>
      <c r="P116" s="3067"/>
      <c r="Q116" s="3067"/>
      <c r="R116" s="3067"/>
      <c r="S116" s="3067"/>
      <c r="T116" s="3067"/>
      <c r="U116" s="3067"/>
      <c r="V116" s="3067"/>
      <c r="W116" s="3067"/>
      <c r="X116" s="3067"/>
      <c r="Y116" s="3067"/>
      <c r="Z116" s="3067"/>
      <c r="AA116" s="3067"/>
      <c r="AB116" s="3067"/>
      <c r="AC116" s="3067"/>
      <c r="AD116" s="3067"/>
      <c r="AE116" s="3067"/>
      <c r="AF116" s="3067"/>
      <c r="AG116" s="3068"/>
    </row>
    <row r="117" spans="1:33">
      <c r="A117" s="63">
        <v>2002.12</v>
      </c>
      <c r="B117" s="260">
        <v>101493.3</v>
      </c>
      <c r="C117" s="3078"/>
      <c r="D117" s="810"/>
      <c r="E117" s="222">
        <v>1510.9480000000001</v>
      </c>
      <c r="F117" s="2754"/>
      <c r="G117" s="1403"/>
      <c r="H117" s="3067"/>
      <c r="I117" s="1887"/>
      <c r="J117" s="1402"/>
      <c r="K117" s="3067"/>
      <c r="L117" s="1402"/>
      <c r="M117" s="1887"/>
      <c r="N117" s="1402"/>
      <c r="O117" s="3067"/>
      <c r="P117" s="3067"/>
      <c r="Q117" s="3067"/>
      <c r="R117" s="3067"/>
      <c r="S117" s="3067"/>
      <c r="T117" s="3067"/>
      <c r="U117" s="3067"/>
      <c r="V117" s="3067"/>
      <c r="W117" s="3067"/>
      <c r="X117" s="3067"/>
      <c r="Y117" s="3067"/>
      <c r="Z117" s="3067"/>
      <c r="AA117" s="3067"/>
      <c r="AB117" s="3067"/>
      <c r="AC117" s="3067"/>
      <c r="AD117" s="3067"/>
      <c r="AE117" s="3067"/>
      <c r="AF117" s="3067"/>
      <c r="AG117" s="3068"/>
    </row>
    <row r="118" spans="1:33">
      <c r="A118" s="63">
        <v>2003.01</v>
      </c>
      <c r="B118" s="260">
        <v>101095.43333333333</v>
      </c>
      <c r="C118" s="3078"/>
      <c r="D118" s="810"/>
      <c r="E118" s="223">
        <v>107.6</v>
      </c>
      <c r="F118" s="2754"/>
      <c r="G118" s="1403"/>
      <c r="H118" s="3067"/>
      <c r="I118" s="1887"/>
      <c r="J118" s="1402"/>
      <c r="K118" s="3067"/>
      <c r="L118" s="1402"/>
      <c r="M118" s="1887"/>
      <c r="N118" s="1402"/>
      <c r="O118" s="3067"/>
      <c r="P118" s="3067"/>
      <c r="Q118" s="3067"/>
      <c r="R118" s="3067"/>
      <c r="S118" s="3067"/>
      <c r="T118" s="3067"/>
      <c r="U118" s="3067"/>
      <c r="V118" s="3067"/>
      <c r="W118" s="3067"/>
      <c r="X118" s="3067"/>
      <c r="Y118" s="3067"/>
      <c r="Z118" s="3067"/>
      <c r="AA118" s="3067"/>
      <c r="AB118" s="3067"/>
      <c r="AC118" s="3067"/>
      <c r="AD118" s="3067"/>
      <c r="AE118" s="3067"/>
      <c r="AF118" s="3067"/>
      <c r="AG118" s="3068"/>
    </row>
    <row r="119" spans="1:33">
      <c r="A119" s="63">
        <v>2003.02</v>
      </c>
      <c r="B119" s="260">
        <v>101278.73333333334</v>
      </c>
      <c r="C119" s="3078"/>
      <c r="D119" s="810"/>
      <c r="E119" s="260">
        <v>220.3</v>
      </c>
      <c r="F119" s="2754"/>
      <c r="G119" s="1403"/>
      <c r="H119" s="3067"/>
      <c r="I119" s="1887"/>
      <c r="J119" s="1402"/>
      <c r="K119" s="3067"/>
      <c r="L119" s="1402"/>
      <c r="M119" s="1887"/>
      <c r="N119" s="1402"/>
      <c r="O119" s="3067"/>
      <c r="P119" s="3067"/>
      <c r="Q119" s="3067"/>
      <c r="R119" s="3067"/>
      <c r="S119" s="3067"/>
      <c r="T119" s="3067"/>
      <c r="U119" s="3067"/>
      <c r="V119" s="3067"/>
      <c r="W119" s="3067"/>
      <c r="X119" s="3067"/>
      <c r="Y119" s="3067"/>
      <c r="Z119" s="3067"/>
      <c r="AA119" s="3067"/>
      <c r="AB119" s="3067"/>
      <c r="AC119" s="3067"/>
      <c r="AD119" s="3067"/>
      <c r="AE119" s="3067"/>
      <c r="AF119" s="3067"/>
      <c r="AG119" s="3068"/>
    </row>
    <row r="120" spans="1:33">
      <c r="A120" s="63">
        <v>2003.03</v>
      </c>
      <c r="B120" s="260">
        <v>101238.53333333333</v>
      </c>
      <c r="C120" s="3078"/>
      <c r="D120" s="810"/>
      <c r="E120" s="260">
        <v>330.4</v>
      </c>
      <c r="F120" s="2754"/>
      <c r="G120" s="1403"/>
      <c r="H120" s="3067"/>
      <c r="I120" s="1887"/>
      <c r="J120" s="1402"/>
      <c r="K120" s="3067"/>
      <c r="L120" s="1402"/>
      <c r="M120" s="1887"/>
      <c r="N120" s="1402"/>
      <c r="O120" s="3067"/>
      <c r="P120" s="3067"/>
      <c r="Q120" s="3067"/>
      <c r="R120" s="3067"/>
      <c r="S120" s="3067"/>
      <c r="T120" s="3067"/>
      <c r="U120" s="3067"/>
      <c r="V120" s="3067"/>
      <c r="W120" s="3067"/>
      <c r="X120" s="3067"/>
      <c r="Y120" s="3067"/>
      <c r="Z120" s="3067"/>
      <c r="AA120" s="3067"/>
      <c r="AB120" s="3067"/>
      <c r="AC120" s="3067"/>
      <c r="AD120" s="3067"/>
      <c r="AE120" s="3067"/>
      <c r="AF120" s="3067"/>
      <c r="AG120" s="3068"/>
    </row>
    <row r="121" spans="1:33">
      <c r="A121" s="63">
        <v>2003.04</v>
      </c>
      <c r="B121" s="260">
        <v>101240</v>
      </c>
      <c r="C121" s="3078"/>
      <c r="D121" s="810"/>
      <c r="E121" s="260">
        <v>441.3</v>
      </c>
      <c r="F121" s="2754"/>
      <c r="G121" s="1403"/>
      <c r="H121" s="3067"/>
      <c r="I121" s="1887"/>
      <c r="J121" s="1402"/>
      <c r="K121" s="3067"/>
      <c r="L121" s="1402"/>
      <c r="M121" s="1887"/>
      <c r="N121" s="1402"/>
      <c r="O121" s="3067"/>
      <c r="P121" s="3067"/>
      <c r="Q121" s="3067"/>
      <c r="R121" s="3067"/>
      <c r="S121" s="3067"/>
      <c r="T121" s="3067"/>
      <c r="U121" s="3067"/>
      <c r="V121" s="3067"/>
      <c r="W121" s="3067"/>
      <c r="X121" s="3067"/>
      <c r="Y121" s="3067"/>
      <c r="Z121" s="3067"/>
      <c r="AA121" s="3067"/>
      <c r="AB121" s="3067"/>
      <c r="AC121" s="3067"/>
      <c r="AD121" s="3067"/>
      <c r="AE121" s="3067"/>
      <c r="AF121" s="3067"/>
      <c r="AG121" s="3068"/>
    </row>
    <row r="122" spans="1:33">
      <c r="A122" s="63">
        <v>2003.05</v>
      </c>
      <c r="B122" s="260">
        <v>101237.7</v>
      </c>
      <c r="C122" s="3078"/>
      <c r="D122" s="810"/>
      <c r="E122" s="260">
        <v>551.9</v>
      </c>
      <c r="F122" s="2754"/>
      <c r="G122" s="1403"/>
      <c r="H122" s="3067"/>
      <c r="I122" s="1887"/>
      <c r="J122" s="1402"/>
      <c r="K122" s="3067"/>
      <c r="L122" s="1402"/>
      <c r="M122" s="1887"/>
      <c r="N122" s="1402"/>
      <c r="O122" s="3067"/>
      <c r="P122" s="3067"/>
      <c r="Q122" s="3067"/>
      <c r="R122" s="3067"/>
      <c r="S122" s="3067"/>
      <c r="T122" s="3067"/>
      <c r="U122" s="3067"/>
      <c r="V122" s="3067"/>
      <c r="W122" s="3067"/>
      <c r="X122" s="3067"/>
      <c r="Y122" s="3067"/>
      <c r="Z122" s="3067"/>
      <c r="AA122" s="3067"/>
      <c r="AB122" s="3067"/>
      <c r="AC122" s="3067"/>
      <c r="AD122" s="3067"/>
      <c r="AE122" s="3067"/>
      <c r="AF122" s="3067"/>
      <c r="AG122" s="3068"/>
    </row>
    <row r="123" spans="1:33">
      <c r="A123" s="63">
        <v>2003.06</v>
      </c>
      <c r="B123" s="260">
        <v>101279</v>
      </c>
      <c r="C123" s="3078"/>
      <c r="D123" s="810"/>
      <c r="E123" s="260">
        <v>697.1</v>
      </c>
      <c r="F123" s="2754"/>
      <c r="G123" s="1403"/>
      <c r="H123" s="3067"/>
      <c r="I123" s="1887"/>
      <c r="J123" s="1402"/>
      <c r="K123" s="3067"/>
      <c r="L123" s="1402"/>
      <c r="M123" s="1887"/>
      <c r="N123" s="1402"/>
      <c r="O123" s="3067"/>
      <c r="P123" s="3067"/>
      <c r="Q123" s="3067"/>
      <c r="R123" s="3067"/>
      <c r="S123" s="3067"/>
      <c r="T123" s="3067"/>
      <c r="U123" s="3067"/>
      <c r="V123" s="3067"/>
      <c r="W123" s="3067"/>
      <c r="X123" s="3067"/>
      <c r="Y123" s="3067"/>
      <c r="Z123" s="3067"/>
      <c r="AA123" s="3067"/>
      <c r="AB123" s="3067"/>
      <c r="AC123" s="3067"/>
      <c r="AD123" s="3067"/>
      <c r="AE123" s="3067"/>
      <c r="AF123" s="3067"/>
      <c r="AG123" s="3068"/>
    </row>
    <row r="124" spans="1:33">
      <c r="A124" s="63">
        <v>2003.07</v>
      </c>
      <c r="B124" s="260">
        <v>101778</v>
      </c>
      <c r="C124" s="3078"/>
      <c r="D124" s="810"/>
      <c r="E124" s="260">
        <v>812.9</v>
      </c>
      <c r="F124" s="2754"/>
      <c r="G124" s="1403"/>
      <c r="H124" s="3067"/>
      <c r="I124" s="1887"/>
      <c r="J124" s="1402"/>
      <c r="K124" s="3067"/>
      <c r="L124" s="1402"/>
      <c r="M124" s="1887"/>
      <c r="N124" s="1402"/>
      <c r="O124" s="3067"/>
      <c r="P124" s="3067"/>
      <c r="Q124" s="3067"/>
      <c r="R124" s="3067"/>
      <c r="S124" s="3067"/>
      <c r="T124" s="3067"/>
      <c r="U124" s="3067"/>
      <c r="V124" s="3067"/>
      <c r="W124" s="3067"/>
      <c r="X124" s="3067"/>
      <c r="Y124" s="3067"/>
      <c r="Z124" s="3067"/>
      <c r="AA124" s="3067"/>
      <c r="AB124" s="3067"/>
      <c r="AC124" s="3067"/>
      <c r="AD124" s="3067"/>
      <c r="AE124" s="3067"/>
      <c r="AF124" s="3067"/>
      <c r="AG124" s="3068"/>
    </row>
    <row r="125" spans="1:33">
      <c r="A125" s="63">
        <v>2003.08</v>
      </c>
      <c r="B125" s="260">
        <v>101713.9</v>
      </c>
      <c r="C125" s="3078"/>
      <c r="D125" s="810"/>
      <c r="E125" s="260">
        <v>928.3</v>
      </c>
      <c r="F125" s="2754"/>
      <c r="G125" s="1403"/>
      <c r="H125" s="3067"/>
      <c r="I125" s="1887"/>
      <c r="J125" s="1402"/>
      <c r="K125" s="3067"/>
      <c r="L125" s="1402"/>
      <c r="M125" s="1887"/>
      <c r="N125" s="1402"/>
      <c r="O125" s="3067"/>
      <c r="P125" s="3067"/>
      <c r="Q125" s="3067"/>
      <c r="R125" s="3067"/>
      <c r="S125" s="3067"/>
      <c r="T125" s="3067"/>
      <c r="U125" s="3067"/>
      <c r="V125" s="3067"/>
      <c r="W125" s="3067"/>
      <c r="X125" s="3067"/>
      <c r="Y125" s="3067"/>
      <c r="Z125" s="3067"/>
      <c r="AA125" s="3067"/>
      <c r="AB125" s="3067"/>
      <c r="AC125" s="3067"/>
      <c r="AD125" s="3067"/>
      <c r="AE125" s="3067"/>
      <c r="AF125" s="3067"/>
      <c r="AG125" s="3068"/>
    </row>
    <row r="126" spans="1:33">
      <c r="A126" s="63">
        <v>2003.09</v>
      </c>
      <c r="B126" s="260">
        <v>101682</v>
      </c>
      <c r="C126" s="3078"/>
      <c r="D126" s="810"/>
      <c r="E126" s="260">
        <v>1043.0999999999999</v>
      </c>
      <c r="F126" s="2754"/>
      <c r="G126" s="1403"/>
      <c r="H126" s="3067"/>
      <c r="I126" s="1887"/>
      <c r="J126" s="1402"/>
      <c r="K126" s="3067"/>
      <c r="L126" s="1402"/>
      <c r="M126" s="1887"/>
      <c r="N126" s="1402"/>
      <c r="O126" s="3067"/>
      <c r="P126" s="3067"/>
      <c r="Q126" s="3067"/>
      <c r="R126" s="3067"/>
      <c r="S126" s="3067"/>
      <c r="T126" s="3067"/>
      <c r="U126" s="3067"/>
      <c r="V126" s="3067"/>
      <c r="W126" s="3067"/>
      <c r="X126" s="3067"/>
      <c r="Y126" s="3067"/>
      <c r="Z126" s="3067"/>
      <c r="AA126" s="3067"/>
      <c r="AB126" s="3067"/>
      <c r="AC126" s="3067"/>
      <c r="AD126" s="3067"/>
      <c r="AE126" s="3067"/>
      <c r="AF126" s="3067"/>
      <c r="AG126" s="3068"/>
    </row>
    <row r="127" spans="1:33">
      <c r="A127" s="63">
        <v>2003.1</v>
      </c>
      <c r="B127" s="260">
        <v>101918.13333333333</v>
      </c>
      <c r="C127" s="3078"/>
      <c r="D127" s="810"/>
      <c r="E127" s="260">
        <v>1161.5999999999999</v>
      </c>
      <c r="F127" s="2754"/>
      <c r="G127" s="1403"/>
      <c r="H127" s="3067"/>
      <c r="I127" s="1887"/>
      <c r="J127" s="1402"/>
      <c r="K127" s="3067"/>
      <c r="L127" s="1402"/>
      <c r="M127" s="1887"/>
      <c r="N127" s="1402"/>
      <c r="O127" s="3067"/>
      <c r="P127" s="3067"/>
      <c r="Q127" s="3067"/>
      <c r="R127" s="3067"/>
      <c r="S127" s="3067"/>
      <c r="T127" s="3067"/>
      <c r="U127" s="3067"/>
      <c r="V127" s="3067"/>
      <c r="W127" s="3067"/>
      <c r="X127" s="3067"/>
      <c r="Y127" s="3067"/>
      <c r="Z127" s="3067"/>
      <c r="AA127" s="3067"/>
      <c r="AB127" s="3067"/>
      <c r="AC127" s="3067"/>
      <c r="AD127" s="3067"/>
      <c r="AE127" s="3067"/>
      <c r="AF127" s="3067"/>
      <c r="AG127" s="3068"/>
    </row>
    <row r="128" spans="1:33">
      <c r="A128" s="63">
        <v>2003.11</v>
      </c>
      <c r="B128" s="260">
        <v>101758.3</v>
      </c>
      <c r="C128" s="3078"/>
      <c r="D128" s="810"/>
      <c r="E128" s="260">
        <v>1325.7</v>
      </c>
      <c r="F128" s="2754"/>
      <c r="G128" s="1403"/>
      <c r="H128" s="3067"/>
      <c r="I128" s="1887"/>
      <c r="J128" s="1402"/>
      <c r="K128" s="3067"/>
      <c r="L128" s="1402"/>
      <c r="M128" s="1887"/>
      <c r="N128" s="1402"/>
      <c r="O128" s="3067"/>
      <c r="P128" s="3067"/>
      <c r="Q128" s="3067"/>
      <c r="R128" s="3067"/>
      <c r="S128" s="3067"/>
      <c r="T128" s="3067"/>
      <c r="U128" s="3067"/>
      <c r="V128" s="3067"/>
      <c r="W128" s="3067"/>
      <c r="X128" s="3067"/>
      <c r="Y128" s="3067"/>
      <c r="Z128" s="3067"/>
      <c r="AA128" s="3067"/>
      <c r="AB128" s="3067"/>
      <c r="AC128" s="3067"/>
      <c r="AD128" s="3067"/>
      <c r="AE128" s="3067"/>
      <c r="AF128" s="3067"/>
      <c r="AG128" s="3068"/>
    </row>
    <row r="129" spans="1:33">
      <c r="A129" s="63">
        <v>2003.12</v>
      </c>
      <c r="B129" s="260">
        <v>101765.8</v>
      </c>
      <c r="C129" s="3078"/>
      <c r="D129" s="810"/>
      <c r="E129" s="260">
        <v>1576.0150000000001</v>
      </c>
      <c r="F129" s="2754"/>
      <c r="G129" s="1403"/>
      <c r="H129" s="3067"/>
      <c r="I129" s="1887"/>
      <c r="J129" s="1402"/>
      <c r="K129" s="3067"/>
      <c r="L129" s="1402"/>
      <c r="M129" s="1887"/>
      <c r="N129" s="1402"/>
      <c r="O129" s="3067"/>
      <c r="P129" s="3067"/>
      <c r="Q129" s="3067"/>
      <c r="R129" s="3067"/>
      <c r="S129" s="3067"/>
      <c r="T129" s="3067"/>
      <c r="U129" s="3067"/>
      <c r="V129" s="3067"/>
      <c r="W129" s="3067"/>
      <c r="X129" s="3067"/>
      <c r="Y129" s="3067"/>
      <c r="Z129" s="3067"/>
      <c r="AA129" s="3067"/>
      <c r="AB129" s="3067"/>
      <c r="AC129" s="3067"/>
      <c r="AD129" s="3067"/>
      <c r="AE129" s="3067"/>
      <c r="AF129" s="3067"/>
      <c r="AG129" s="3068"/>
    </row>
    <row r="130" spans="1:33">
      <c r="A130" s="63">
        <v>2004.01</v>
      </c>
      <c r="B130" s="260">
        <v>102112.26666666666</v>
      </c>
      <c r="C130" s="3078"/>
      <c r="D130" s="810"/>
      <c r="E130" s="260">
        <v>120.5</v>
      </c>
      <c r="F130" s="2754"/>
      <c r="G130" s="1403"/>
      <c r="H130" s="3067"/>
      <c r="I130" s="1887"/>
      <c r="J130" s="1402"/>
      <c r="K130" s="3067"/>
      <c r="L130" s="1402"/>
      <c r="M130" s="1887"/>
      <c r="N130" s="1402"/>
      <c r="O130" s="3067"/>
      <c r="P130" s="3067"/>
      <c r="Q130" s="3067"/>
      <c r="R130" s="3067"/>
      <c r="S130" s="3067"/>
      <c r="T130" s="3067"/>
      <c r="U130" s="3067"/>
      <c r="V130" s="3067"/>
      <c r="W130" s="3067"/>
      <c r="X130" s="3067"/>
      <c r="Y130" s="3067"/>
      <c r="Z130" s="3067"/>
      <c r="AA130" s="3067"/>
      <c r="AB130" s="3067"/>
      <c r="AC130" s="3067"/>
      <c r="AD130" s="3067"/>
      <c r="AE130" s="3067"/>
      <c r="AF130" s="3067"/>
      <c r="AG130" s="3068"/>
    </row>
    <row r="131" spans="1:33">
      <c r="A131" s="63">
        <v>2004.02</v>
      </c>
      <c r="B131" s="260">
        <v>102592.26666666666</v>
      </c>
      <c r="C131" s="3078"/>
      <c r="D131" s="810"/>
      <c r="E131" s="260">
        <v>250.9</v>
      </c>
      <c r="F131" s="2754"/>
      <c r="G131" s="1403"/>
      <c r="H131" s="3067"/>
      <c r="I131" s="1887"/>
      <c r="J131" s="1402"/>
      <c r="K131" s="3067"/>
      <c r="L131" s="1402"/>
      <c r="M131" s="1887"/>
      <c r="N131" s="1402"/>
      <c r="O131" s="3067"/>
      <c r="P131" s="3067"/>
      <c r="Q131" s="3067"/>
      <c r="R131" s="3067"/>
      <c r="S131" s="3067"/>
      <c r="T131" s="3067"/>
      <c r="U131" s="3067"/>
      <c r="V131" s="3067"/>
      <c r="W131" s="3067"/>
      <c r="X131" s="3067"/>
      <c r="Y131" s="3067"/>
      <c r="Z131" s="3067"/>
      <c r="AA131" s="3067"/>
      <c r="AB131" s="3067"/>
      <c r="AC131" s="3067"/>
      <c r="AD131" s="3067"/>
      <c r="AE131" s="3067"/>
      <c r="AF131" s="3067"/>
      <c r="AG131" s="3068"/>
    </row>
    <row r="132" spans="1:33">
      <c r="A132" s="63">
        <v>2004.03</v>
      </c>
      <c r="B132" s="260">
        <v>102435.9</v>
      </c>
      <c r="C132" s="3078"/>
      <c r="D132" s="810"/>
      <c r="E132" s="260">
        <v>380.3</v>
      </c>
      <c r="F132" s="2754"/>
      <c r="G132" s="1403"/>
      <c r="H132" s="3067"/>
      <c r="I132" s="1887"/>
      <c r="J132" s="1402"/>
      <c r="K132" s="3067"/>
      <c r="L132" s="1402"/>
      <c r="M132" s="1887"/>
      <c r="N132" s="1402"/>
      <c r="O132" s="3067"/>
      <c r="P132" s="3067"/>
      <c r="Q132" s="3067"/>
      <c r="R132" s="3067"/>
      <c r="S132" s="3067"/>
      <c r="T132" s="3067"/>
      <c r="U132" s="3067"/>
      <c r="V132" s="3067"/>
      <c r="W132" s="3067"/>
      <c r="X132" s="3067"/>
      <c r="Y132" s="3067"/>
      <c r="Z132" s="3067"/>
      <c r="AA132" s="3067"/>
      <c r="AB132" s="3067"/>
      <c r="AC132" s="3067"/>
      <c r="AD132" s="3067"/>
      <c r="AE132" s="3067"/>
      <c r="AF132" s="3067"/>
      <c r="AG132" s="3068"/>
    </row>
    <row r="133" spans="1:33">
      <c r="A133" s="63">
        <v>2004.04</v>
      </c>
      <c r="B133" s="260">
        <v>102504.9</v>
      </c>
      <c r="C133" s="3078"/>
      <c r="D133" s="810"/>
      <c r="E133" s="260">
        <v>510.4</v>
      </c>
      <c r="F133" s="2754"/>
      <c r="G133" s="1403"/>
      <c r="H133" s="3067"/>
      <c r="I133" s="1887"/>
      <c r="J133" s="1402"/>
      <c r="K133" s="3067"/>
      <c r="L133" s="1402"/>
      <c r="M133" s="1887"/>
      <c r="N133" s="1402"/>
      <c r="O133" s="3067"/>
      <c r="P133" s="3067"/>
      <c r="Q133" s="3067"/>
      <c r="R133" s="3067"/>
      <c r="S133" s="3067"/>
      <c r="T133" s="3067"/>
      <c r="U133" s="3067"/>
      <c r="V133" s="3067"/>
      <c r="W133" s="3067"/>
      <c r="X133" s="3067"/>
      <c r="Y133" s="3067"/>
      <c r="Z133" s="3067"/>
      <c r="AA133" s="3067"/>
      <c r="AB133" s="3067"/>
      <c r="AC133" s="3067"/>
      <c r="AD133" s="3067"/>
      <c r="AE133" s="3067"/>
      <c r="AF133" s="3067"/>
      <c r="AG133" s="3068"/>
    </row>
    <row r="134" spans="1:33">
      <c r="A134" s="63">
        <v>2004.05</v>
      </c>
      <c r="B134" s="260">
        <v>102477.1</v>
      </c>
      <c r="C134" s="3078"/>
      <c r="D134" s="810"/>
      <c r="E134" s="260">
        <v>642.70000000000005</v>
      </c>
      <c r="F134" s="2754"/>
      <c r="G134" s="1403"/>
      <c r="H134" s="3067"/>
      <c r="I134" s="1887"/>
      <c r="J134" s="1402"/>
      <c r="K134" s="3067"/>
      <c r="L134" s="1402"/>
      <c r="M134" s="1887"/>
      <c r="N134" s="1402"/>
      <c r="O134" s="3067"/>
      <c r="P134" s="3067"/>
      <c r="Q134" s="3067"/>
      <c r="R134" s="3067"/>
      <c r="S134" s="3067"/>
      <c r="T134" s="3067"/>
      <c r="U134" s="3067"/>
      <c r="V134" s="3067"/>
      <c r="W134" s="3067"/>
      <c r="X134" s="3067"/>
      <c r="Y134" s="3067"/>
      <c r="Z134" s="3067"/>
      <c r="AA134" s="3067"/>
      <c r="AB134" s="3067"/>
      <c r="AC134" s="3067"/>
      <c r="AD134" s="3067"/>
      <c r="AE134" s="3067"/>
      <c r="AF134" s="3067"/>
      <c r="AG134" s="3068"/>
    </row>
    <row r="135" spans="1:33">
      <c r="A135" s="63">
        <v>2004.06</v>
      </c>
      <c r="B135" s="260">
        <v>102499.46666666667</v>
      </c>
      <c r="C135" s="3078"/>
      <c r="D135" s="810"/>
      <c r="E135" s="260">
        <v>813.5</v>
      </c>
      <c r="F135" s="2754"/>
      <c r="G135" s="1403"/>
      <c r="H135" s="3067"/>
      <c r="I135" s="1887"/>
      <c r="J135" s="1402"/>
      <c r="K135" s="3067"/>
      <c r="L135" s="1402"/>
      <c r="M135" s="1887"/>
      <c r="N135" s="1402"/>
      <c r="O135" s="3067"/>
      <c r="P135" s="3067"/>
      <c r="Q135" s="3067"/>
      <c r="R135" s="3067"/>
      <c r="S135" s="3067"/>
      <c r="T135" s="3067"/>
      <c r="U135" s="3067"/>
      <c r="V135" s="3067"/>
      <c r="W135" s="3067"/>
      <c r="X135" s="3067"/>
      <c r="Y135" s="3067"/>
      <c r="Z135" s="3067"/>
      <c r="AA135" s="3067"/>
      <c r="AB135" s="3067"/>
      <c r="AC135" s="3067"/>
      <c r="AD135" s="3067"/>
      <c r="AE135" s="3067"/>
      <c r="AF135" s="3067"/>
      <c r="AG135" s="3068"/>
    </row>
    <row r="136" spans="1:33">
      <c r="A136" s="63">
        <v>2004.07</v>
      </c>
      <c r="B136" s="260">
        <v>102464.4</v>
      </c>
      <c r="C136" s="3078"/>
      <c r="D136" s="810"/>
      <c r="E136" s="260">
        <v>948.7</v>
      </c>
      <c r="F136" s="2754"/>
      <c r="G136" s="1403"/>
      <c r="H136" s="3067"/>
      <c r="I136" s="1887"/>
      <c r="J136" s="1402"/>
      <c r="K136" s="3067"/>
      <c r="L136" s="1402"/>
      <c r="M136" s="1887"/>
      <c r="N136" s="1402"/>
      <c r="O136" s="3067"/>
      <c r="P136" s="3067"/>
      <c r="Q136" s="3067"/>
      <c r="R136" s="3067"/>
      <c r="S136" s="3067"/>
      <c r="T136" s="3067"/>
      <c r="U136" s="3067"/>
      <c r="V136" s="3067"/>
      <c r="W136" s="3067"/>
      <c r="X136" s="3067"/>
      <c r="Y136" s="3067"/>
      <c r="Z136" s="3067"/>
      <c r="AA136" s="3067"/>
      <c r="AB136" s="3067"/>
      <c r="AC136" s="3067"/>
      <c r="AD136" s="3067"/>
      <c r="AE136" s="3067"/>
      <c r="AF136" s="3067"/>
      <c r="AG136" s="3068"/>
    </row>
    <row r="137" spans="1:33">
      <c r="A137" s="63">
        <v>2004.08</v>
      </c>
      <c r="B137" s="260">
        <v>102710.23333333334</v>
      </c>
      <c r="C137" s="3078"/>
      <c r="D137" s="810"/>
      <c r="E137" s="260">
        <v>1083.4000000000001</v>
      </c>
      <c r="F137" s="2754"/>
      <c r="G137" s="1403"/>
      <c r="H137" s="3067"/>
      <c r="I137" s="1887"/>
      <c r="J137" s="1402"/>
      <c r="K137" s="3067"/>
      <c r="L137" s="1402"/>
      <c r="M137" s="1887"/>
      <c r="N137" s="1402"/>
      <c r="O137" s="3067"/>
      <c r="P137" s="3067"/>
      <c r="Q137" s="3067"/>
      <c r="R137" s="3067"/>
      <c r="S137" s="3067"/>
      <c r="T137" s="3067"/>
      <c r="U137" s="3067"/>
      <c r="V137" s="3067"/>
      <c r="W137" s="3067"/>
      <c r="X137" s="3067"/>
      <c r="Y137" s="3067"/>
      <c r="Z137" s="3067"/>
      <c r="AA137" s="3067"/>
      <c r="AB137" s="3067"/>
      <c r="AC137" s="3067"/>
      <c r="AD137" s="3067"/>
      <c r="AE137" s="3067"/>
      <c r="AF137" s="3067"/>
      <c r="AG137" s="3068"/>
    </row>
    <row r="138" spans="1:33">
      <c r="A138" s="63">
        <v>2004.09</v>
      </c>
      <c r="B138" s="260">
        <v>102836.56666666667</v>
      </c>
      <c r="C138" s="3078"/>
      <c r="D138" s="810"/>
      <c r="E138" s="260">
        <v>1214.8</v>
      </c>
      <c r="F138" s="2754"/>
      <c r="G138" s="1403"/>
      <c r="H138" s="3067"/>
      <c r="I138" s="1887"/>
      <c r="J138" s="1402"/>
      <c r="K138" s="3067"/>
      <c r="L138" s="1402"/>
      <c r="M138" s="1887"/>
      <c r="N138" s="1402"/>
      <c r="O138" s="3067"/>
      <c r="P138" s="3067"/>
      <c r="Q138" s="3067"/>
      <c r="R138" s="3067"/>
      <c r="S138" s="3067"/>
      <c r="T138" s="3067"/>
      <c r="U138" s="3067"/>
      <c r="V138" s="3067"/>
      <c r="W138" s="3067"/>
      <c r="X138" s="3067"/>
      <c r="Y138" s="3067"/>
      <c r="Z138" s="3067"/>
      <c r="AA138" s="3067"/>
      <c r="AB138" s="3067"/>
      <c r="AC138" s="3067"/>
      <c r="AD138" s="3067"/>
      <c r="AE138" s="3067"/>
      <c r="AF138" s="3067"/>
      <c r="AG138" s="3068"/>
    </row>
    <row r="139" spans="1:33">
      <c r="A139" s="63">
        <v>2004.1</v>
      </c>
      <c r="B139" s="260">
        <v>102804.9</v>
      </c>
      <c r="C139" s="3078"/>
      <c r="D139" s="810"/>
      <c r="E139" s="260">
        <v>1376.6</v>
      </c>
      <c r="F139" s="2754"/>
      <c r="G139" s="1403"/>
      <c r="H139" s="3067"/>
      <c r="I139" s="1887"/>
      <c r="J139" s="1402"/>
      <c r="K139" s="3067"/>
      <c r="L139" s="1402"/>
      <c r="M139" s="1887"/>
      <c r="N139" s="1402"/>
      <c r="O139" s="3067"/>
      <c r="P139" s="3067"/>
      <c r="Q139" s="3067"/>
      <c r="R139" s="3067"/>
      <c r="S139" s="3067"/>
      <c r="T139" s="3067"/>
      <c r="U139" s="3067"/>
      <c r="V139" s="3067"/>
      <c r="W139" s="3067"/>
      <c r="X139" s="3067"/>
      <c r="Y139" s="3067"/>
      <c r="Z139" s="3067"/>
      <c r="AA139" s="3067"/>
      <c r="AB139" s="3067"/>
      <c r="AC139" s="3067"/>
      <c r="AD139" s="3067"/>
      <c r="AE139" s="3067"/>
      <c r="AF139" s="3067"/>
      <c r="AG139" s="3068"/>
    </row>
    <row r="140" spans="1:33">
      <c r="A140" s="63">
        <v>2004.11</v>
      </c>
      <c r="B140" s="260">
        <v>102688.66666666667</v>
      </c>
      <c r="C140" s="3078"/>
      <c r="D140" s="810"/>
      <c r="E140" s="260">
        <v>1523.1</v>
      </c>
      <c r="F140" s="2754"/>
      <c r="G140" s="1403"/>
      <c r="H140" s="3067"/>
      <c r="I140" s="1887"/>
      <c r="J140" s="1402"/>
      <c r="K140" s="3067"/>
      <c r="L140" s="1402"/>
      <c r="M140" s="1887"/>
      <c r="N140" s="1402"/>
      <c r="O140" s="3067"/>
      <c r="P140" s="3067"/>
      <c r="Q140" s="3067"/>
      <c r="R140" s="3067"/>
      <c r="S140" s="3067"/>
      <c r="T140" s="3067"/>
      <c r="U140" s="3067"/>
      <c r="V140" s="3067"/>
      <c r="W140" s="3067"/>
      <c r="X140" s="3067"/>
      <c r="Y140" s="3067"/>
      <c r="Z140" s="3067"/>
      <c r="AA140" s="3067"/>
      <c r="AB140" s="3067"/>
      <c r="AC140" s="3067"/>
      <c r="AD140" s="3067"/>
      <c r="AE140" s="3067"/>
      <c r="AF140" s="3067"/>
      <c r="AG140" s="3068"/>
    </row>
    <row r="141" spans="1:33">
      <c r="A141" s="63">
        <v>2004.12</v>
      </c>
      <c r="B141" s="260">
        <v>102967.66666666667</v>
      </c>
      <c r="C141" s="3078"/>
      <c r="D141" s="810"/>
      <c r="E141" s="260">
        <v>1879.3689999999999</v>
      </c>
      <c r="F141" s="2754"/>
      <c r="G141" s="1403"/>
      <c r="H141" s="3067"/>
      <c r="I141" s="1887"/>
      <c r="J141" s="1402"/>
      <c r="K141" s="3067"/>
      <c r="L141" s="1402"/>
      <c r="M141" s="1887"/>
      <c r="N141" s="1402"/>
      <c r="O141" s="3067"/>
      <c r="P141" s="3067"/>
      <c r="Q141" s="3067"/>
      <c r="R141" s="3067"/>
      <c r="S141" s="3067"/>
      <c r="T141" s="3067"/>
      <c r="U141" s="3067"/>
      <c r="V141" s="3067"/>
      <c r="W141" s="3067"/>
      <c r="X141" s="3067"/>
      <c r="Y141" s="3067"/>
      <c r="Z141" s="3067"/>
      <c r="AA141" s="3067"/>
      <c r="AB141" s="3067"/>
      <c r="AC141" s="3067"/>
      <c r="AD141" s="3067"/>
      <c r="AE141" s="3067"/>
      <c r="AF141" s="3067"/>
      <c r="AG141" s="3068"/>
    </row>
    <row r="142" spans="1:33">
      <c r="A142" s="63">
        <v>2005.01</v>
      </c>
      <c r="B142" s="260">
        <v>102872.66666666667</v>
      </c>
      <c r="C142" s="3078"/>
      <c r="D142" s="810"/>
      <c r="E142" s="260">
        <v>157.30000000000001</v>
      </c>
      <c r="F142" s="2754"/>
      <c r="G142" s="1403"/>
      <c r="H142" s="3067"/>
      <c r="I142" s="1887"/>
      <c r="J142" s="1402"/>
      <c r="K142" s="3067"/>
      <c r="L142" s="1402"/>
      <c r="M142" s="1887"/>
      <c r="N142" s="1402"/>
      <c r="O142" s="3067"/>
      <c r="P142" s="3067"/>
      <c r="Q142" s="3067"/>
      <c r="R142" s="3067"/>
      <c r="S142" s="3067"/>
      <c r="T142" s="3067"/>
      <c r="U142" s="3067"/>
      <c r="V142" s="3067"/>
      <c r="W142" s="3067"/>
      <c r="X142" s="3067"/>
      <c r="Y142" s="3067"/>
      <c r="Z142" s="3067"/>
      <c r="AA142" s="3067"/>
      <c r="AB142" s="3067"/>
      <c r="AC142" s="3067"/>
      <c r="AD142" s="3067"/>
      <c r="AE142" s="3067"/>
      <c r="AF142" s="3067"/>
      <c r="AG142" s="3068"/>
    </row>
    <row r="143" spans="1:33">
      <c r="A143" s="63">
        <v>2005.02</v>
      </c>
      <c r="B143" s="260">
        <v>103493.03333333333</v>
      </c>
      <c r="C143" s="3078"/>
      <c r="D143" s="810"/>
      <c r="E143" s="260">
        <v>315.89999999999998</v>
      </c>
      <c r="F143" s="2754"/>
      <c r="G143" s="1403"/>
      <c r="H143" s="3067"/>
      <c r="I143" s="1887"/>
      <c r="J143" s="1402"/>
      <c r="K143" s="3067"/>
      <c r="L143" s="1402"/>
      <c r="M143" s="1887"/>
      <c r="N143" s="1402"/>
      <c r="O143" s="3067"/>
      <c r="P143" s="3067"/>
      <c r="Q143" s="3067"/>
      <c r="R143" s="3067"/>
      <c r="S143" s="3067"/>
      <c r="T143" s="3067"/>
      <c r="U143" s="3067"/>
      <c r="V143" s="3067"/>
      <c r="W143" s="3067"/>
      <c r="X143" s="3067"/>
      <c r="Y143" s="3067"/>
      <c r="Z143" s="3067"/>
      <c r="AA143" s="3067"/>
      <c r="AB143" s="3067"/>
      <c r="AC143" s="3067"/>
      <c r="AD143" s="3067"/>
      <c r="AE143" s="3067"/>
      <c r="AF143" s="3067"/>
      <c r="AG143" s="3068"/>
    </row>
    <row r="144" spans="1:33">
      <c r="A144" s="63">
        <v>2005.03</v>
      </c>
      <c r="B144" s="260">
        <v>103351</v>
      </c>
      <c r="C144" s="3078"/>
      <c r="D144" s="810"/>
      <c r="E144" s="260">
        <v>481.6</v>
      </c>
      <c r="F144" s="2754"/>
      <c r="G144" s="1403"/>
      <c r="H144" s="3067"/>
      <c r="I144" s="1887"/>
      <c r="J144" s="1402"/>
      <c r="K144" s="3067"/>
      <c r="L144" s="1402"/>
      <c r="M144" s="1887"/>
      <c r="N144" s="1402"/>
      <c r="O144" s="3067"/>
      <c r="P144" s="3067"/>
      <c r="Q144" s="3067"/>
      <c r="R144" s="3067"/>
      <c r="S144" s="3067"/>
      <c r="T144" s="3067"/>
      <c r="U144" s="3067"/>
      <c r="V144" s="3067"/>
      <c r="W144" s="3067"/>
      <c r="X144" s="3067"/>
      <c r="Y144" s="3067"/>
      <c r="Z144" s="3067"/>
      <c r="AA144" s="3067"/>
      <c r="AB144" s="3067"/>
      <c r="AC144" s="3067"/>
      <c r="AD144" s="3067"/>
      <c r="AE144" s="3067"/>
      <c r="AF144" s="3067"/>
      <c r="AG144" s="3068"/>
    </row>
    <row r="145" spans="1:33">
      <c r="A145" s="63">
        <v>2005.04</v>
      </c>
      <c r="B145" s="260">
        <v>103445.66666666667</v>
      </c>
      <c r="C145" s="3078"/>
      <c r="D145" s="810"/>
      <c r="E145" s="260">
        <v>664.8</v>
      </c>
      <c r="F145" s="2754"/>
      <c r="G145" s="1403"/>
      <c r="H145" s="3067"/>
      <c r="I145" s="1887"/>
      <c r="J145" s="1402"/>
      <c r="K145" s="3067"/>
      <c r="L145" s="1402"/>
      <c r="M145" s="1887"/>
      <c r="N145" s="1402"/>
      <c r="O145" s="3067"/>
      <c r="P145" s="3067"/>
      <c r="Q145" s="3067"/>
      <c r="R145" s="3067"/>
      <c r="S145" s="3067"/>
      <c r="T145" s="3067"/>
      <c r="U145" s="3067"/>
      <c r="V145" s="3067"/>
      <c r="W145" s="3067"/>
      <c r="X145" s="3067"/>
      <c r="Y145" s="3067"/>
      <c r="Z145" s="3067"/>
      <c r="AA145" s="3067"/>
      <c r="AB145" s="3067"/>
      <c r="AC145" s="3067"/>
      <c r="AD145" s="3067"/>
      <c r="AE145" s="3067"/>
      <c r="AF145" s="3067"/>
      <c r="AG145" s="3068"/>
    </row>
    <row r="146" spans="1:33">
      <c r="A146" s="63">
        <v>2005.05</v>
      </c>
      <c r="B146" s="260">
        <v>103097.73333333334</v>
      </c>
      <c r="C146" s="3078"/>
      <c r="D146" s="810"/>
      <c r="E146" s="260">
        <v>852.8</v>
      </c>
      <c r="F146" s="2754"/>
      <c r="G146" s="1403"/>
      <c r="H146" s="3067"/>
      <c r="I146" s="1887"/>
      <c r="J146" s="1402"/>
      <c r="K146" s="3067"/>
      <c r="L146" s="1402"/>
      <c r="M146" s="1887"/>
      <c r="N146" s="1402"/>
      <c r="O146" s="3067"/>
      <c r="P146" s="3067"/>
      <c r="Q146" s="3067"/>
      <c r="R146" s="3067"/>
      <c r="S146" s="3067"/>
      <c r="T146" s="3067"/>
      <c r="U146" s="3067"/>
      <c r="V146" s="3067"/>
      <c r="W146" s="3067"/>
      <c r="X146" s="3067"/>
      <c r="Y146" s="3067"/>
      <c r="Z146" s="3067"/>
      <c r="AA146" s="3067"/>
      <c r="AB146" s="3067"/>
      <c r="AC146" s="3067"/>
      <c r="AD146" s="3067"/>
      <c r="AE146" s="3067"/>
      <c r="AF146" s="3067"/>
      <c r="AG146" s="3068"/>
    </row>
    <row r="147" spans="1:33">
      <c r="A147" s="63">
        <v>2005.06</v>
      </c>
      <c r="B147" s="260">
        <v>102980.23333333334</v>
      </c>
      <c r="C147" s="3078"/>
      <c r="D147" s="810"/>
      <c r="E147" s="260">
        <v>1081</v>
      </c>
      <c r="F147" s="2754"/>
      <c r="G147" s="1403"/>
      <c r="H147" s="3067"/>
      <c r="I147" s="1887"/>
      <c r="J147" s="1402"/>
      <c r="K147" s="3067"/>
      <c r="L147" s="1402"/>
      <c r="M147" s="1887"/>
      <c r="N147" s="1402"/>
      <c r="O147" s="3067"/>
      <c r="P147" s="3067"/>
      <c r="Q147" s="3067"/>
      <c r="R147" s="3067"/>
      <c r="S147" s="3067"/>
      <c r="T147" s="3067"/>
      <c r="U147" s="3067"/>
      <c r="V147" s="3067"/>
      <c r="W147" s="3067"/>
      <c r="X147" s="3067"/>
      <c r="Y147" s="3067"/>
      <c r="Z147" s="3067"/>
      <c r="AA147" s="3067"/>
      <c r="AB147" s="3067"/>
      <c r="AC147" s="3067"/>
      <c r="AD147" s="3067"/>
      <c r="AE147" s="3067"/>
      <c r="AF147" s="3067"/>
      <c r="AG147" s="3068"/>
    </row>
    <row r="148" spans="1:33">
      <c r="A148" s="63">
        <v>2005.07</v>
      </c>
      <c r="B148" s="260">
        <v>103404.06666666667</v>
      </c>
      <c r="C148" s="3078"/>
      <c r="D148" s="810"/>
      <c r="E148" s="260">
        <v>1268.2</v>
      </c>
      <c r="F148" s="2754"/>
      <c r="G148" s="1403"/>
      <c r="H148" s="3067"/>
      <c r="I148" s="1887"/>
      <c r="J148" s="1402"/>
      <c r="K148" s="3067"/>
      <c r="L148" s="1402"/>
      <c r="M148" s="1887"/>
      <c r="N148" s="1402"/>
      <c r="O148" s="3067"/>
      <c r="P148" s="3067"/>
      <c r="Q148" s="3067"/>
      <c r="R148" s="3067"/>
      <c r="S148" s="3067"/>
      <c r="T148" s="3067"/>
      <c r="U148" s="3067"/>
      <c r="V148" s="3067"/>
      <c r="W148" s="3067"/>
      <c r="X148" s="3067"/>
      <c r="Y148" s="3067"/>
      <c r="Z148" s="3067"/>
      <c r="AA148" s="3067"/>
      <c r="AB148" s="3067"/>
      <c r="AC148" s="3067"/>
      <c r="AD148" s="3067"/>
      <c r="AE148" s="3067"/>
      <c r="AF148" s="3067"/>
      <c r="AG148" s="3068"/>
    </row>
    <row r="149" spans="1:33">
      <c r="A149" s="63">
        <v>2005.08</v>
      </c>
      <c r="B149" s="260">
        <v>103799.2</v>
      </c>
      <c r="C149" s="3078"/>
      <c r="D149" s="810"/>
      <c r="E149" s="260">
        <v>1453</v>
      </c>
      <c r="F149" s="2754"/>
      <c r="G149" s="1403"/>
      <c r="H149" s="3067"/>
      <c r="I149" s="1887"/>
      <c r="J149" s="1402"/>
      <c r="K149" s="3067"/>
      <c r="L149" s="1402"/>
      <c r="M149" s="1887"/>
      <c r="N149" s="1402"/>
      <c r="O149" s="3067"/>
      <c r="P149" s="3067"/>
      <c r="Q149" s="3067"/>
      <c r="R149" s="3067"/>
      <c r="S149" s="3067"/>
      <c r="T149" s="3067"/>
      <c r="U149" s="3067"/>
      <c r="V149" s="3067"/>
      <c r="W149" s="3067"/>
      <c r="X149" s="3067"/>
      <c r="Y149" s="3067"/>
      <c r="Z149" s="3067"/>
      <c r="AA149" s="3067"/>
      <c r="AB149" s="3067"/>
      <c r="AC149" s="3067"/>
      <c r="AD149" s="3067"/>
      <c r="AE149" s="3067"/>
      <c r="AF149" s="3067"/>
      <c r="AG149" s="3068"/>
    </row>
    <row r="150" spans="1:33">
      <c r="A150" s="63">
        <v>2005.09</v>
      </c>
      <c r="B150" s="260">
        <v>103693.33333333333</v>
      </c>
      <c r="C150" s="3078"/>
      <c r="D150" s="810"/>
      <c r="E150" s="260">
        <v>1639</v>
      </c>
      <c r="F150" s="2754"/>
      <c r="G150" s="1403"/>
      <c r="H150" s="3067"/>
      <c r="I150" s="1887"/>
      <c r="J150" s="1402"/>
      <c r="K150" s="3067"/>
      <c r="L150" s="1402"/>
      <c r="M150" s="1887"/>
      <c r="N150" s="1402"/>
      <c r="O150" s="3067"/>
      <c r="P150" s="3067"/>
      <c r="Q150" s="3067"/>
      <c r="R150" s="3067"/>
      <c r="S150" s="3067"/>
      <c r="T150" s="3067"/>
      <c r="U150" s="3067"/>
      <c r="V150" s="3067"/>
      <c r="W150" s="3067"/>
      <c r="X150" s="3067"/>
      <c r="Y150" s="3067"/>
      <c r="Z150" s="3067"/>
      <c r="AA150" s="3067"/>
      <c r="AB150" s="3067"/>
      <c r="AC150" s="3067"/>
      <c r="AD150" s="3067"/>
      <c r="AE150" s="3067"/>
      <c r="AF150" s="3067"/>
      <c r="AG150" s="3068"/>
    </row>
    <row r="151" spans="1:33">
      <c r="A151" s="63">
        <v>2005.1</v>
      </c>
      <c r="B151" s="260">
        <v>103997.16666666667</v>
      </c>
      <c r="C151" s="3078"/>
      <c r="D151" s="810"/>
      <c r="E151" s="260">
        <v>1827.3</v>
      </c>
      <c r="F151" s="2754"/>
      <c r="G151" s="1403"/>
      <c r="H151" s="3067"/>
      <c r="I151" s="1887"/>
      <c r="J151" s="1402"/>
      <c r="K151" s="3067"/>
      <c r="L151" s="1402"/>
      <c r="M151" s="1887"/>
      <c r="N151" s="1402"/>
      <c r="O151" s="3067"/>
      <c r="P151" s="3067"/>
      <c r="Q151" s="3067"/>
      <c r="R151" s="3067"/>
      <c r="S151" s="3067"/>
      <c r="T151" s="3067"/>
      <c r="U151" s="3067"/>
      <c r="V151" s="3067"/>
      <c r="W151" s="3067"/>
      <c r="X151" s="3067"/>
      <c r="Y151" s="3067"/>
      <c r="Z151" s="3067"/>
      <c r="AA151" s="3067"/>
      <c r="AB151" s="3067"/>
      <c r="AC151" s="3067"/>
      <c r="AD151" s="3067"/>
      <c r="AE151" s="3067"/>
      <c r="AF151" s="3067"/>
      <c r="AG151" s="3068"/>
    </row>
    <row r="152" spans="1:33">
      <c r="A152" s="63">
        <v>2005.11</v>
      </c>
      <c r="B152" s="260">
        <v>104118</v>
      </c>
      <c r="C152" s="3078"/>
      <c r="D152" s="810"/>
      <c r="E152" s="260">
        <v>2018.7</v>
      </c>
      <c r="F152" s="2754"/>
      <c r="G152" s="1403"/>
      <c r="H152" s="3067"/>
      <c r="I152" s="1887"/>
      <c r="J152" s="1402"/>
      <c r="K152" s="3067"/>
      <c r="L152" s="1402"/>
      <c r="M152" s="1887"/>
      <c r="N152" s="1402"/>
      <c r="O152" s="3067"/>
      <c r="P152" s="3067"/>
      <c r="Q152" s="3067"/>
      <c r="R152" s="3067"/>
      <c r="S152" s="3067"/>
      <c r="T152" s="3067"/>
      <c r="U152" s="3067"/>
      <c r="V152" s="3067"/>
      <c r="W152" s="3067"/>
      <c r="X152" s="3067"/>
      <c r="Y152" s="3067"/>
      <c r="Z152" s="3067"/>
      <c r="AA152" s="3067"/>
      <c r="AB152" s="3067"/>
      <c r="AC152" s="3067"/>
      <c r="AD152" s="3067"/>
      <c r="AE152" s="3067"/>
      <c r="AF152" s="3067"/>
      <c r="AG152" s="3068"/>
    </row>
    <row r="153" spans="1:33">
      <c r="A153" s="63">
        <v>2005.12</v>
      </c>
      <c r="B153" s="260">
        <v>104878.2</v>
      </c>
      <c r="C153" s="3078"/>
      <c r="D153" s="810"/>
      <c r="E153" s="260">
        <v>2463.5189999999998</v>
      </c>
      <c r="F153" s="2754"/>
      <c r="G153" s="1403"/>
      <c r="H153" s="3067"/>
      <c r="I153" s="1887"/>
      <c r="J153" s="1402"/>
      <c r="K153" s="3067"/>
      <c r="L153" s="1402"/>
      <c r="M153" s="1887"/>
      <c r="N153" s="1402"/>
      <c r="O153" s="3067"/>
      <c r="P153" s="3067"/>
      <c r="Q153" s="3067"/>
      <c r="R153" s="3067"/>
      <c r="S153" s="3067"/>
      <c r="T153" s="3067"/>
      <c r="U153" s="3067"/>
      <c r="V153" s="3067"/>
      <c r="W153" s="3067"/>
      <c r="X153" s="3067"/>
      <c r="Y153" s="3067"/>
      <c r="Z153" s="3067"/>
      <c r="AA153" s="3067"/>
      <c r="AB153" s="3067"/>
      <c r="AC153" s="3067"/>
      <c r="AD153" s="3067"/>
      <c r="AE153" s="3067"/>
      <c r="AF153" s="3067"/>
      <c r="AG153" s="3068"/>
    </row>
    <row r="154" spans="1:33">
      <c r="A154" s="63">
        <v>2006.01</v>
      </c>
      <c r="B154" s="260">
        <v>105719</v>
      </c>
      <c r="C154" s="3078"/>
      <c r="D154" s="810"/>
      <c r="E154" s="260">
        <v>190.8</v>
      </c>
      <c r="F154" s="2754"/>
      <c r="G154" s="1403"/>
      <c r="H154" s="3067"/>
      <c r="I154" s="1887"/>
      <c r="J154" s="1402"/>
      <c r="K154" s="3067"/>
      <c r="L154" s="1402"/>
      <c r="M154" s="1887"/>
      <c r="N154" s="1402"/>
      <c r="O154" s="3067"/>
      <c r="P154" s="3067"/>
      <c r="Q154" s="3067"/>
      <c r="R154" s="3067"/>
      <c r="S154" s="3067"/>
      <c r="T154" s="3067"/>
      <c r="U154" s="3067"/>
      <c r="V154" s="3067"/>
      <c r="W154" s="3067"/>
      <c r="X154" s="3067"/>
      <c r="Y154" s="3067"/>
      <c r="Z154" s="3067"/>
      <c r="AA154" s="3067"/>
      <c r="AB154" s="3067"/>
      <c r="AC154" s="3067"/>
      <c r="AD154" s="3067"/>
      <c r="AE154" s="3067"/>
      <c r="AF154" s="3067"/>
      <c r="AG154" s="3068"/>
    </row>
    <row r="155" spans="1:33">
      <c r="A155" s="63">
        <v>2006.02</v>
      </c>
      <c r="B155" s="260">
        <v>105647.1</v>
      </c>
      <c r="C155" s="3078"/>
      <c r="D155" s="810"/>
      <c r="E155" s="260">
        <v>404.5</v>
      </c>
      <c r="F155" s="2754"/>
      <c r="G155" s="1403"/>
      <c r="H155" s="3067"/>
      <c r="I155" s="1887"/>
      <c r="J155" s="1402"/>
      <c r="K155" s="3067"/>
      <c r="L155" s="1402"/>
      <c r="M155" s="1887"/>
      <c r="N155" s="1402"/>
      <c r="O155" s="3067"/>
      <c r="P155" s="3067"/>
      <c r="Q155" s="3067"/>
      <c r="R155" s="3067"/>
      <c r="S155" s="3067"/>
      <c r="T155" s="3067"/>
      <c r="U155" s="3067"/>
      <c r="V155" s="3067"/>
      <c r="W155" s="3067"/>
      <c r="X155" s="3067"/>
      <c r="Y155" s="3067"/>
      <c r="Z155" s="3067"/>
      <c r="AA155" s="3067"/>
      <c r="AB155" s="3067"/>
      <c r="AC155" s="3067"/>
      <c r="AD155" s="3067"/>
      <c r="AE155" s="3067"/>
      <c r="AF155" s="3067"/>
      <c r="AG155" s="3068"/>
    </row>
    <row r="156" spans="1:33">
      <c r="A156" s="63">
        <v>2006.03</v>
      </c>
      <c r="B156" s="260">
        <v>105740.63333333333</v>
      </c>
      <c r="C156" s="3078"/>
      <c r="D156" s="810"/>
      <c r="E156" s="260">
        <v>650.6</v>
      </c>
      <c r="F156" s="2754"/>
      <c r="G156" s="1403"/>
      <c r="H156" s="3067"/>
      <c r="I156" s="1887"/>
      <c r="J156" s="1402"/>
      <c r="K156" s="3067"/>
      <c r="L156" s="1402"/>
      <c r="M156" s="1887"/>
      <c r="N156" s="1402"/>
      <c r="O156" s="3067"/>
      <c r="P156" s="3067"/>
      <c r="Q156" s="3067"/>
      <c r="R156" s="3067"/>
      <c r="S156" s="3067"/>
      <c r="T156" s="3067"/>
      <c r="U156" s="3067"/>
      <c r="V156" s="3067"/>
      <c r="W156" s="3067"/>
      <c r="X156" s="3067"/>
      <c r="Y156" s="3067"/>
      <c r="Z156" s="3067"/>
      <c r="AA156" s="3067"/>
      <c r="AB156" s="3067"/>
      <c r="AC156" s="3067"/>
      <c r="AD156" s="3067"/>
      <c r="AE156" s="3067"/>
      <c r="AF156" s="3067"/>
      <c r="AG156" s="3068"/>
    </row>
    <row r="157" spans="1:33">
      <c r="A157" s="63">
        <v>2006.04</v>
      </c>
      <c r="B157" s="260">
        <v>105747</v>
      </c>
      <c r="C157" s="3078"/>
      <c r="D157" s="810"/>
      <c r="E157" s="260">
        <v>884.6</v>
      </c>
      <c r="F157" s="2754"/>
      <c r="G157" s="1403"/>
      <c r="H157" s="3067"/>
      <c r="I157" s="1887"/>
      <c r="J157" s="1402"/>
      <c r="K157" s="3067"/>
      <c r="L157" s="1402"/>
      <c r="M157" s="1887"/>
      <c r="N157" s="1402"/>
      <c r="O157" s="3067"/>
      <c r="P157" s="3067"/>
      <c r="Q157" s="3067"/>
      <c r="R157" s="3067"/>
      <c r="S157" s="3067"/>
      <c r="T157" s="3067"/>
      <c r="U157" s="3067"/>
      <c r="V157" s="3067"/>
      <c r="W157" s="3067"/>
      <c r="X157" s="3067"/>
      <c r="Y157" s="3067"/>
      <c r="Z157" s="3067"/>
      <c r="AA157" s="3067"/>
      <c r="AB157" s="3067"/>
      <c r="AC157" s="3067"/>
      <c r="AD157" s="3067"/>
      <c r="AE157" s="3067"/>
      <c r="AF157" s="3067"/>
      <c r="AG157" s="3068"/>
    </row>
    <row r="158" spans="1:33">
      <c r="A158" s="63">
        <v>2006.05</v>
      </c>
      <c r="B158" s="260">
        <v>105958</v>
      </c>
      <c r="C158" s="3078"/>
      <c r="D158" s="810"/>
      <c r="E158" s="260">
        <v>1122.5</v>
      </c>
      <c r="F158" s="2754"/>
      <c r="G158" s="1403"/>
      <c r="H158" s="3067"/>
      <c r="I158" s="1887"/>
      <c r="J158" s="1402"/>
      <c r="K158" s="3067"/>
      <c r="L158" s="1402"/>
      <c r="M158" s="1887"/>
      <c r="N158" s="1402"/>
      <c r="O158" s="3067"/>
      <c r="P158" s="3067"/>
      <c r="Q158" s="3067"/>
      <c r="R158" s="3067"/>
      <c r="S158" s="3067"/>
      <c r="T158" s="3067"/>
      <c r="U158" s="3067"/>
      <c r="V158" s="3067"/>
      <c r="W158" s="3067"/>
      <c r="X158" s="3067"/>
      <c r="Y158" s="3067"/>
      <c r="Z158" s="3067"/>
      <c r="AA158" s="3067"/>
      <c r="AB158" s="3067"/>
      <c r="AC158" s="3067"/>
      <c r="AD158" s="3067"/>
      <c r="AE158" s="3067"/>
      <c r="AF158" s="3067"/>
      <c r="AG158" s="3068"/>
    </row>
    <row r="159" spans="1:33">
      <c r="A159" s="63">
        <v>2006.06</v>
      </c>
      <c r="B159" s="260">
        <v>105907.33333333333</v>
      </c>
      <c r="C159" s="3078"/>
      <c r="D159" s="810"/>
      <c r="E159" s="260">
        <v>1442</v>
      </c>
      <c r="F159" s="2754"/>
      <c r="G159" s="1403"/>
      <c r="H159" s="3067"/>
      <c r="I159" s="1887"/>
      <c r="J159" s="1402"/>
      <c r="K159" s="3067"/>
      <c r="L159" s="1402"/>
      <c r="M159" s="1887"/>
      <c r="N159" s="1402"/>
      <c r="O159" s="3067"/>
      <c r="P159" s="3067"/>
      <c r="Q159" s="3067"/>
      <c r="R159" s="3067"/>
      <c r="S159" s="3067"/>
      <c r="T159" s="3067"/>
      <c r="U159" s="3067"/>
      <c r="V159" s="3067"/>
      <c r="W159" s="3067"/>
      <c r="X159" s="3067"/>
      <c r="Y159" s="3067"/>
      <c r="Z159" s="3067"/>
      <c r="AA159" s="3067"/>
      <c r="AB159" s="3067"/>
      <c r="AC159" s="3067"/>
      <c r="AD159" s="3067"/>
      <c r="AE159" s="3067"/>
      <c r="AF159" s="3067"/>
      <c r="AG159" s="3068"/>
    </row>
    <row r="160" spans="1:33">
      <c r="A160" s="63">
        <v>2006.07</v>
      </c>
      <c r="B160" s="260">
        <v>105969.33333333333</v>
      </c>
      <c r="C160" s="3078"/>
      <c r="D160" s="810"/>
      <c r="E160" s="260">
        <v>1676.9</v>
      </c>
      <c r="F160" s="2754"/>
      <c r="G160" s="1403"/>
      <c r="H160" s="3067"/>
      <c r="I160" s="1887"/>
      <c r="J160" s="1402"/>
      <c r="K160" s="3067"/>
      <c r="L160" s="1402"/>
      <c r="M160" s="1887"/>
      <c r="N160" s="1402"/>
      <c r="O160" s="3067"/>
      <c r="P160" s="3067"/>
      <c r="Q160" s="3067"/>
      <c r="R160" s="3067"/>
      <c r="S160" s="3067"/>
      <c r="T160" s="3067"/>
      <c r="U160" s="3067"/>
      <c r="V160" s="3067"/>
      <c r="W160" s="3067"/>
      <c r="X160" s="3067"/>
      <c r="Y160" s="3067"/>
      <c r="Z160" s="3067"/>
      <c r="AA160" s="3067"/>
      <c r="AB160" s="3067"/>
      <c r="AC160" s="3067"/>
      <c r="AD160" s="3067"/>
      <c r="AE160" s="3067"/>
      <c r="AF160" s="3067"/>
      <c r="AG160" s="3068"/>
    </row>
    <row r="161" spans="1:33">
      <c r="A161" s="63">
        <v>2006.08</v>
      </c>
      <c r="B161" s="260">
        <v>106318.63333333333</v>
      </c>
      <c r="C161" s="3078"/>
      <c r="D161" s="810"/>
      <c r="E161" s="260">
        <v>1914.4</v>
      </c>
      <c r="F161" s="2754"/>
      <c r="G161" s="1403"/>
      <c r="H161" s="3067"/>
      <c r="I161" s="1887"/>
      <c r="J161" s="1402"/>
      <c r="K161" s="3067"/>
      <c r="L161" s="1402"/>
      <c r="M161" s="1887"/>
      <c r="N161" s="1402"/>
      <c r="O161" s="3067"/>
      <c r="P161" s="3067"/>
      <c r="Q161" s="3067"/>
      <c r="R161" s="3067"/>
      <c r="S161" s="3067"/>
      <c r="T161" s="3067"/>
      <c r="U161" s="3067"/>
      <c r="V161" s="3067"/>
      <c r="W161" s="3067"/>
      <c r="X161" s="3067"/>
      <c r="Y161" s="3067"/>
      <c r="Z161" s="3067"/>
      <c r="AA161" s="3067"/>
      <c r="AB161" s="3067"/>
      <c r="AC161" s="3067"/>
      <c r="AD161" s="3067"/>
      <c r="AE161" s="3067"/>
      <c r="AF161" s="3067"/>
      <c r="AG161" s="3068"/>
    </row>
    <row r="162" spans="1:33">
      <c r="A162" s="63">
        <v>2006.09</v>
      </c>
      <c r="B162" s="260">
        <v>106321.63333333333</v>
      </c>
      <c r="C162" s="3078"/>
      <c r="D162" s="810"/>
      <c r="E162" s="260">
        <v>2152.5</v>
      </c>
      <c r="F162" s="2754"/>
      <c r="G162" s="1403"/>
      <c r="H162" s="3067"/>
      <c r="I162" s="1887"/>
      <c r="J162" s="1402"/>
      <c r="K162" s="3067"/>
      <c r="L162" s="1402"/>
      <c r="M162" s="1887"/>
      <c r="N162" s="1402"/>
      <c r="O162" s="3067"/>
      <c r="P162" s="3067"/>
      <c r="Q162" s="3067"/>
      <c r="R162" s="3067"/>
      <c r="S162" s="3067"/>
      <c r="T162" s="3067"/>
      <c r="U162" s="3067"/>
      <c r="V162" s="3067"/>
      <c r="W162" s="3067"/>
      <c r="X162" s="3067"/>
      <c r="Y162" s="3067"/>
      <c r="Z162" s="3067"/>
      <c r="AA162" s="3067"/>
      <c r="AB162" s="3067"/>
      <c r="AC162" s="3067"/>
      <c r="AD162" s="3067"/>
      <c r="AE162" s="3067"/>
      <c r="AF162" s="3067"/>
      <c r="AG162" s="3068"/>
    </row>
    <row r="163" spans="1:33">
      <c r="A163" s="63">
        <v>2006.1</v>
      </c>
      <c r="B163" s="260">
        <v>106364.66666666667</v>
      </c>
      <c r="C163" s="3078"/>
      <c r="D163" s="810"/>
      <c r="E163" s="260">
        <v>2392.1999999999998</v>
      </c>
      <c r="F163" s="2754"/>
      <c r="G163" s="1403"/>
      <c r="H163" s="3067"/>
      <c r="I163" s="1887"/>
      <c r="J163" s="1402"/>
      <c r="K163" s="3067"/>
      <c r="L163" s="1402"/>
      <c r="M163" s="1887"/>
      <c r="N163" s="1402"/>
      <c r="O163" s="3067"/>
      <c r="P163" s="3067"/>
      <c r="Q163" s="3067"/>
      <c r="R163" s="3067"/>
      <c r="S163" s="3067"/>
      <c r="T163" s="3067"/>
      <c r="U163" s="3067"/>
      <c r="V163" s="3067"/>
      <c r="W163" s="3067"/>
      <c r="X163" s="3067"/>
      <c r="Y163" s="3067"/>
      <c r="Z163" s="3067"/>
      <c r="AA163" s="3067"/>
      <c r="AB163" s="3067"/>
      <c r="AC163" s="3067"/>
      <c r="AD163" s="3067"/>
      <c r="AE163" s="3067"/>
      <c r="AF163" s="3067"/>
      <c r="AG163" s="3068"/>
    </row>
    <row r="164" spans="1:33">
      <c r="A164" s="63">
        <v>2006.11</v>
      </c>
      <c r="B164" s="260">
        <v>106360.13333333333</v>
      </c>
      <c r="C164" s="3078"/>
      <c r="D164" s="810"/>
      <c r="E164" s="260">
        <v>2636.8</v>
      </c>
      <c r="F164" s="2754"/>
      <c r="G164" s="1403"/>
      <c r="H164" s="3067"/>
      <c r="I164" s="1887"/>
      <c r="J164" s="1402"/>
      <c r="K164" s="3067"/>
      <c r="L164" s="1402"/>
      <c r="M164" s="1887"/>
      <c r="N164" s="1402"/>
      <c r="O164" s="3067"/>
      <c r="P164" s="3067"/>
      <c r="Q164" s="3067"/>
      <c r="R164" s="3067"/>
      <c r="S164" s="3067"/>
      <c r="T164" s="3067"/>
      <c r="U164" s="3067"/>
      <c r="V164" s="3067"/>
      <c r="W164" s="3067"/>
      <c r="X164" s="3067"/>
      <c r="Y164" s="3067"/>
      <c r="Z164" s="3067"/>
      <c r="AA164" s="3067"/>
      <c r="AB164" s="3067"/>
      <c r="AC164" s="3067"/>
      <c r="AD164" s="3067"/>
      <c r="AE164" s="3067"/>
      <c r="AF164" s="3067"/>
      <c r="AG164" s="3068"/>
    </row>
    <row r="165" spans="1:33">
      <c r="A165" s="63">
        <v>2006.12</v>
      </c>
      <c r="B165" s="260">
        <v>106422.9</v>
      </c>
      <c r="C165" s="3078"/>
      <c r="D165" s="810"/>
      <c r="E165" s="260">
        <v>3007.2</v>
      </c>
      <c r="F165" s="2754"/>
      <c r="G165" s="1403"/>
      <c r="H165" s="3067"/>
      <c r="I165" s="1887"/>
      <c r="J165" s="1402"/>
      <c r="K165" s="3067"/>
      <c r="L165" s="1402"/>
      <c r="M165" s="1887"/>
      <c r="N165" s="1402"/>
      <c r="O165" s="3067"/>
      <c r="P165" s="3067"/>
      <c r="Q165" s="3067"/>
      <c r="R165" s="3067"/>
      <c r="S165" s="3067"/>
      <c r="T165" s="3067"/>
      <c r="U165" s="3067"/>
      <c r="V165" s="3067"/>
      <c r="W165" s="3067"/>
      <c r="X165" s="3067"/>
      <c r="Y165" s="3067"/>
      <c r="Z165" s="3067"/>
      <c r="AA165" s="3067"/>
      <c r="AB165" s="3067"/>
      <c r="AC165" s="3067"/>
      <c r="AD165" s="3067"/>
      <c r="AE165" s="3067"/>
      <c r="AF165" s="3067"/>
      <c r="AG165" s="3068"/>
    </row>
    <row r="166" spans="1:33">
      <c r="A166" s="63">
        <v>2007.01</v>
      </c>
      <c r="B166" s="260">
        <v>107648.56666666667</v>
      </c>
      <c r="C166" s="3078"/>
      <c r="D166" s="810"/>
      <c r="E166" s="260">
        <v>247.2</v>
      </c>
      <c r="F166" s="2754"/>
      <c r="G166" s="1403"/>
      <c r="H166" s="3067"/>
      <c r="I166" s="1887"/>
      <c r="J166" s="1402"/>
      <c r="K166" s="3067"/>
      <c r="L166" s="1402"/>
      <c r="M166" s="1887"/>
      <c r="N166" s="1402"/>
      <c r="O166" s="3067"/>
      <c r="P166" s="3067"/>
      <c r="Q166" s="3067"/>
      <c r="R166" s="3067"/>
      <c r="S166" s="3067"/>
      <c r="T166" s="3067"/>
      <c r="U166" s="3067"/>
      <c r="V166" s="3067"/>
      <c r="W166" s="3067"/>
      <c r="X166" s="3067"/>
      <c r="Y166" s="3067"/>
      <c r="Z166" s="3067"/>
      <c r="AA166" s="3067"/>
      <c r="AB166" s="3067"/>
      <c r="AC166" s="3067"/>
      <c r="AD166" s="3067"/>
      <c r="AE166" s="3067"/>
      <c r="AF166" s="3067"/>
      <c r="AG166" s="3068"/>
    </row>
    <row r="167" spans="1:33">
      <c r="A167" s="63">
        <v>2007.02</v>
      </c>
      <c r="B167" s="260">
        <v>107710.63333333333</v>
      </c>
      <c r="C167" s="3078"/>
      <c r="D167" s="810"/>
      <c r="E167" s="260">
        <v>501.3</v>
      </c>
      <c r="F167" s="2754"/>
      <c r="G167" s="1403"/>
      <c r="H167" s="3067"/>
      <c r="I167" s="1887"/>
      <c r="J167" s="1402"/>
      <c r="K167" s="3067"/>
      <c r="L167" s="1402"/>
      <c r="M167" s="1887"/>
      <c r="N167" s="1402"/>
      <c r="O167" s="3067"/>
      <c r="P167" s="3067"/>
      <c r="Q167" s="3067"/>
      <c r="R167" s="3067"/>
      <c r="S167" s="3067"/>
      <c r="T167" s="3067"/>
      <c r="U167" s="3067"/>
      <c r="V167" s="3067"/>
      <c r="W167" s="3067"/>
      <c r="X167" s="3067"/>
      <c r="Y167" s="3067"/>
      <c r="Z167" s="3067"/>
      <c r="AA167" s="3067"/>
      <c r="AB167" s="3067"/>
      <c r="AC167" s="3067"/>
      <c r="AD167" s="3067"/>
      <c r="AE167" s="3067"/>
      <c r="AF167" s="3067"/>
      <c r="AG167" s="3068"/>
    </row>
    <row r="168" spans="1:33">
      <c r="A168" s="63">
        <v>2007.03</v>
      </c>
      <c r="B168" s="260">
        <v>107532.13333333333</v>
      </c>
      <c r="C168" s="3078"/>
      <c r="D168" s="810"/>
      <c r="E168" s="260">
        <v>844</v>
      </c>
      <c r="F168" s="2754"/>
      <c r="G168" s="1403"/>
      <c r="H168" s="3067"/>
      <c r="I168" s="1887"/>
      <c r="J168" s="1402"/>
      <c r="K168" s="3067"/>
      <c r="L168" s="1402"/>
      <c r="M168" s="1887"/>
      <c r="N168" s="1402"/>
      <c r="O168" s="3067"/>
      <c r="P168" s="3067"/>
      <c r="Q168" s="3067"/>
      <c r="R168" s="3067"/>
      <c r="S168" s="3067"/>
      <c r="T168" s="3067"/>
      <c r="U168" s="3067"/>
      <c r="V168" s="3067"/>
      <c r="W168" s="3067"/>
      <c r="X168" s="3067"/>
      <c r="Y168" s="3067"/>
      <c r="Z168" s="3067"/>
      <c r="AA168" s="3067"/>
      <c r="AB168" s="3067"/>
      <c r="AC168" s="3067"/>
      <c r="AD168" s="3067"/>
      <c r="AE168" s="3067"/>
      <c r="AF168" s="3067"/>
      <c r="AG168" s="3068"/>
    </row>
    <row r="169" spans="1:33">
      <c r="A169" s="63">
        <v>2007.04</v>
      </c>
      <c r="B169" s="260">
        <v>107979.46666666667</v>
      </c>
      <c r="C169" s="3078"/>
      <c r="D169" s="810"/>
      <c r="E169" s="260">
        <v>1141.5999999999999</v>
      </c>
      <c r="F169" s="2754"/>
      <c r="G169" s="1403"/>
      <c r="H169" s="3067"/>
      <c r="I169" s="1887"/>
      <c r="J169" s="1402"/>
      <c r="K169" s="3067"/>
      <c r="L169" s="1402"/>
      <c r="M169" s="1887"/>
      <c r="N169" s="1402"/>
      <c r="O169" s="3067"/>
      <c r="P169" s="3067"/>
      <c r="Q169" s="3067"/>
      <c r="R169" s="3067"/>
      <c r="S169" s="3067"/>
      <c r="T169" s="3067"/>
      <c r="U169" s="3067"/>
      <c r="V169" s="3067"/>
      <c r="W169" s="3067"/>
      <c r="X169" s="3067"/>
      <c r="Y169" s="3067"/>
      <c r="Z169" s="3067"/>
      <c r="AA169" s="3067"/>
      <c r="AB169" s="3067"/>
      <c r="AC169" s="3067"/>
      <c r="AD169" s="3067"/>
      <c r="AE169" s="3067"/>
      <c r="AF169" s="3067"/>
      <c r="AG169" s="3068"/>
    </row>
    <row r="170" spans="1:33">
      <c r="A170" s="63">
        <v>2007.05</v>
      </c>
      <c r="B170" s="260">
        <v>107721.7</v>
      </c>
      <c r="C170" s="3078"/>
      <c r="D170" s="810"/>
      <c r="E170" s="260">
        <v>1453.8</v>
      </c>
      <c r="F170" s="2754"/>
      <c r="G170" s="1403"/>
      <c r="H170" s="3067"/>
      <c r="I170" s="1887"/>
      <c r="J170" s="1402"/>
      <c r="K170" s="3067"/>
      <c r="L170" s="1402"/>
      <c r="M170" s="1887"/>
      <c r="N170" s="1402"/>
      <c r="O170" s="3067"/>
      <c r="P170" s="3067"/>
      <c r="Q170" s="3067"/>
      <c r="R170" s="3067"/>
      <c r="S170" s="3067"/>
      <c r="T170" s="3067"/>
      <c r="U170" s="3067"/>
      <c r="V170" s="3067"/>
      <c r="W170" s="3067"/>
      <c r="X170" s="3067"/>
      <c r="Y170" s="3067"/>
      <c r="Z170" s="3067"/>
      <c r="AA170" s="3067"/>
      <c r="AB170" s="3067"/>
      <c r="AC170" s="3067"/>
      <c r="AD170" s="3067"/>
      <c r="AE170" s="3067"/>
      <c r="AF170" s="3067"/>
      <c r="AG170" s="3068"/>
    </row>
    <row r="171" spans="1:33">
      <c r="A171" s="63">
        <v>2007.06</v>
      </c>
      <c r="B171" s="260">
        <v>107756.26666666666</v>
      </c>
      <c r="C171" s="3078"/>
      <c r="D171" s="810"/>
      <c r="E171" s="260">
        <v>1871.5</v>
      </c>
      <c r="F171" s="2754"/>
      <c r="G171" s="1403"/>
      <c r="H171" s="3067"/>
      <c r="I171" s="1887"/>
      <c r="J171" s="1402"/>
      <c r="K171" s="3067"/>
      <c r="L171" s="1402"/>
      <c r="M171" s="1887"/>
      <c r="N171" s="1402"/>
      <c r="O171" s="3067"/>
      <c r="P171" s="3067"/>
      <c r="Q171" s="3067"/>
      <c r="R171" s="3067"/>
      <c r="S171" s="3067"/>
      <c r="T171" s="3067"/>
      <c r="U171" s="3067"/>
      <c r="V171" s="3067"/>
      <c r="W171" s="3067"/>
      <c r="X171" s="3067"/>
      <c r="Y171" s="3067"/>
      <c r="Z171" s="3067"/>
      <c r="AA171" s="3067"/>
      <c r="AB171" s="3067"/>
      <c r="AC171" s="3067"/>
      <c r="AD171" s="3067"/>
      <c r="AE171" s="3067"/>
      <c r="AF171" s="3067"/>
      <c r="AG171" s="3068"/>
    </row>
    <row r="172" spans="1:33">
      <c r="A172" s="63">
        <v>2007.07</v>
      </c>
      <c r="B172" s="260">
        <v>108323.93333333333</v>
      </c>
      <c r="C172" s="3078"/>
      <c r="D172" s="810"/>
      <c r="E172" s="260">
        <v>2180.8000000000002</v>
      </c>
      <c r="F172" s="2754"/>
      <c r="G172" s="1403"/>
      <c r="H172" s="3067"/>
      <c r="I172" s="1887"/>
      <c r="J172" s="1402"/>
      <c r="K172" s="3067"/>
      <c r="L172" s="1402"/>
      <c r="M172" s="1887"/>
      <c r="N172" s="1402"/>
      <c r="O172" s="3067"/>
      <c r="P172" s="3067"/>
      <c r="Q172" s="3067"/>
      <c r="R172" s="3067"/>
      <c r="S172" s="3067"/>
      <c r="T172" s="3067"/>
      <c r="U172" s="3067"/>
      <c r="V172" s="3067"/>
      <c r="W172" s="3067"/>
      <c r="X172" s="3067"/>
      <c r="Y172" s="3067"/>
      <c r="Z172" s="3067"/>
      <c r="AA172" s="3067"/>
      <c r="AB172" s="3067"/>
      <c r="AC172" s="3067"/>
      <c r="AD172" s="3067"/>
      <c r="AE172" s="3067"/>
      <c r="AF172" s="3067"/>
      <c r="AG172" s="3068"/>
    </row>
    <row r="173" spans="1:33">
      <c r="A173" s="63">
        <v>2007.08</v>
      </c>
      <c r="B173" s="260">
        <v>109109.83333333333</v>
      </c>
      <c r="C173" s="3078"/>
      <c r="D173" s="810"/>
      <c r="E173" s="260">
        <v>2500.6</v>
      </c>
      <c r="F173" s="2754"/>
      <c r="G173" s="1403"/>
      <c r="H173" s="3067"/>
      <c r="I173" s="1887"/>
      <c r="J173" s="1402"/>
      <c r="K173" s="3067"/>
      <c r="L173" s="1402"/>
      <c r="M173" s="1887"/>
      <c r="N173" s="1402"/>
      <c r="O173" s="3067"/>
      <c r="P173" s="3067"/>
      <c r="Q173" s="3067"/>
      <c r="R173" s="3067"/>
      <c r="S173" s="3067"/>
      <c r="T173" s="3067"/>
      <c r="U173" s="3067"/>
      <c r="V173" s="3067"/>
      <c r="W173" s="3067"/>
      <c r="X173" s="3067"/>
      <c r="Y173" s="3067"/>
      <c r="Z173" s="3067"/>
      <c r="AA173" s="3067"/>
      <c r="AB173" s="3067"/>
      <c r="AC173" s="3067"/>
      <c r="AD173" s="3067"/>
      <c r="AE173" s="3067"/>
      <c r="AF173" s="3067"/>
      <c r="AG173" s="3068"/>
    </row>
    <row r="174" spans="1:33">
      <c r="A174" s="63">
        <v>2007.09</v>
      </c>
      <c r="B174" s="260">
        <v>110375.73333333334</v>
      </c>
      <c r="C174" s="3078"/>
      <c r="D174" s="810"/>
      <c r="E174" s="260">
        <v>2876.6</v>
      </c>
      <c r="F174" s="2754"/>
      <c r="G174" s="1403"/>
      <c r="H174" s="3067"/>
      <c r="I174" s="1887"/>
      <c r="J174" s="1402"/>
      <c r="K174" s="3067"/>
      <c r="L174" s="1402"/>
      <c r="M174" s="1887"/>
      <c r="N174" s="1402"/>
      <c r="O174" s="3067"/>
      <c r="P174" s="3067"/>
      <c r="Q174" s="3067"/>
      <c r="R174" s="3067"/>
      <c r="S174" s="3067"/>
      <c r="T174" s="3067"/>
      <c r="U174" s="3067"/>
      <c r="V174" s="3067"/>
      <c r="W174" s="3067"/>
      <c r="X174" s="3067"/>
      <c r="Y174" s="3067"/>
      <c r="Z174" s="3067"/>
      <c r="AA174" s="3067"/>
      <c r="AB174" s="3067"/>
      <c r="AC174" s="3067"/>
      <c r="AD174" s="3067"/>
      <c r="AE174" s="3067"/>
      <c r="AF174" s="3067"/>
      <c r="AG174" s="3068"/>
    </row>
    <row r="175" spans="1:33">
      <c r="A175" s="63">
        <v>2007.1</v>
      </c>
      <c r="B175" s="260">
        <v>110794.03333333333</v>
      </c>
      <c r="C175" s="3078"/>
      <c r="D175" s="810"/>
      <c r="E175" s="260">
        <v>3230.8</v>
      </c>
      <c r="F175" s="2754"/>
      <c r="G175" s="1403"/>
      <c r="H175" s="3067"/>
      <c r="I175" s="1887"/>
      <c r="J175" s="1402"/>
      <c r="K175" s="3067"/>
      <c r="L175" s="1402"/>
      <c r="M175" s="1887"/>
      <c r="N175" s="1402"/>
      <c r="O175" s="3067"/>
      <c r="P175" s="3067"/>
      <c r="Q175" s="3067"/>
      <c r="R175" s="3067"/>
      <c r="S175" s="3067"/>
      <c r="T175" s="3067"/>
      <c r="U175" s="3067"/>
      <c r="V175" s="3067"/>
      <c r="W175" s="3067"/>
      <c r="X175" s="3067"/>
      <c r="Y175" s="3067"/>
      <c r="Z175" s="3067"/>
      <c r="AA175" s="3067"/>
      <c r="AB175" s="3067"/>
      <c r="AC175" s="3067"/>
      <c r="AD175" s="3067"/>
      <c r="AE175" s="3067"/>
      <c r="AF175" s="3067"/>
      <c r="AG175" s="3068"/>
    </row>
    <row r="176" spans="1:33">
      <c r="A176" s="63">
        <v>2007.11</v>
      </c>
      <c r="B176" s="260">
        <v>110861.83333333333</v>
      </c>
      <c r="C176" s="3078"/>
      <c r="D176" s="810"/>
      <c r="E176" s="260">
        <v>3584.1</v>
      </c>
      <c r="F176" s="2754"/>
      <c r="G176" s="1403"/>
      <c r="H176" s="3067"/>
      <c r="I176" s="1887"/>
      <c r="J176" s="1402"/>
      <c r="K176" s="3067"/>
      <c r="L176" s="1402"/>
      <c r="M176" s="1887"/>
      <c r="N176" s="1402"/>
      <c r="O176" s="3067"/>
      <c r="P176" s="3067"/>
      <c r="Q176" s="3067"/>
      <c r="R176" s="3067"/>
      <c r="S176" s="3067"/>
      <c r="T176" s="3067"/>
      <c r="U176" s="3067"/>
      <c r="V176" s="3067"/>
      <c r="W176" s="3067"/>
      <c r="X176" s="3067"/>
      <c r="Y176" s="3067"/>
      <c r="Z176" s="3067"/>
      <c r="AA176" s="3067"/>
      <c r="AB176" s="3067"/>
      <c r="AC176" s="3067"/>
      <c r="AD176" s="3067"/>
      <c r="AE176" s="3067"/>
      <c r="AF176" s="3067"/>
      <c r="AG176" s="3068"/>
    </row>
    <row r="177" spans="1:33">
      <c r="A177" s="63">
        <v>2007.12</v>
      </c>
      <c r="B177" s="260">
        <v>110754.03333333333</v>
      </c>
      <c r="C177" s="3078"/>
      <c r="D177" s="810"/>
      <c r="E177" s="260">
        <v>4064.5</v>
      </c>
      <c r="F177" s="2754"/>
      <c r="G177" s="1403"/>
      <c r="H177" s="3067"/>
      <c r="I177" s="1887"/>
      <c r="J177" s="1402"/>
      <c r="K177" s="3067"/>
      <c r="L177" s="1402"/>
      <c r="M177" s="1887"/>
      <c r="N177" s="1402"/>
      <c r="O177" s="3067"/>
      <c r="P177" s="3067"/>
      <c r="Q177" s="3067"/>
      <c r="R177" s="3067"/>
      <c r="S177" s="3067"/>
      <c r="T177" s="3067"/>
      <c r="U177" s="3067"/>
      <c r="V177" s="3067"/>
      <c r="W177" s="3067"/>
      <c r="X177" s="3067"/>
      <c r="Y177" s="3067"/>
      <c r="Z177" s="3067"/>
      <c r="AA177" s="3067"/>
      <c r="AB177" s="3067"/>
      <c r="AC177" s="3067"/>
      <c r="AD177" s="3067"/>
      <c r="AE177" s="3067"/>
      <c r="AF177" s="3067"/>
      <c r="AG177" s="3068"/>
    </row>
    <row r="178" spans="1:33">
      <c r="A178" s="63">
        <f t="shared" ref="A178:A241" si="0">A166+1</f>
        <v>2008.01</v>
      </c>
      <c r="B178" s="260">
        <v>110791.86666666667</v>
      </c>
      <c r="C178" s="3078"/>
      <c r="D178" s="810"/>
      <c r="E178" s="260">
        <v>344.8</v>
      </c>
      <c r="F178" s="2754"/>
      <c r="G178" s="1403"/>
      <c r="H178" s="3067"/>
      <c r="I178" s="1887"/>
      <c r="J178" s="1402"/>
      <c r="K178" s="3067"/>
      <c r="L178" s="1402"/>
      <c r="M178" s="1887"/>
      <c r="N178" s="1402"/>
      <c r="O178" s="3067"/>
      <c r="P178" s="3067"/>
      <c r="Q178" s="3067"/>
      <c r="R178" s="3067"/>
      <c r="S178" s="3067"/>
      <c r="T178" s="3067"/>
      <c r="U178" s="3067"/>
      <c r="V178" s="3067"/>
      <c r="W178" s="3067"/>
      <c r="X178" s="3067"/>
      <c r="Y178" s="3067"/>
      <c r="Z178" s="3067"/>
      <c r="AA178" s="3067"/>
      <c r="AB178" s="3067"/>
      <c r="AC178" s="3067"/>
      <c r="AD178" s="3067"/>
      <c r="AE178" s="3067"/>
      <c r="AF178" s="3067"/>
      <c r="AG178" s="3068"/>
    </row>
    <row r="179" spans="1:33">
      <c r="A179" s="63">
        <f t="shared" si="0"/>
        <v>2008.02</v>
      </c>
      <c r="B179" s="260">
        <v>110739.6</v>
      </c>
      <c r="C179" s="3078"/>
      <c r="D179" s="810"/>
      <c r="E179" s="260">
        <v>682.7</v>
      </c>
      <c r="F179" s="2754"/>
      <c r="G179" s="1403"/>
      <c r="H179" s="3067"/>
      <c r="I179" s="1887"/>
      <c r="J179" s="1402"/>
      <c r="K179" s="3067"/>
      <c r="L179" s="1402"/>
      <c r="M179" s="1887"/>
      <c r="N179" s="1402"/>
      <c r="O179" s="3067"/>
      <c r="P179" s="3067"/>
      <c r="Q179" s="3067"/>
      <c r="R179" s="3067"/>
      <c r="S179" s="3067"/>
      <c r="T179" s="3067"/>
      <c r="U179" s="3067"/>
      <c r="V179" s="3067"/>
      <c r="W179" s="3067"/>
      <c r="X179" s="3067"/>
      <c r="Y179" s="3067"/>
      <c r="Z179" s="3067"/>
      <c r="AA179" s="3067"/>
      <c r="AB179" s="3067"/>
      <c r="AC179" s="3067"/>
      <c r="AD179" s="3067"/>
      <c r="AE179" s="3067"/>
      <c r="AF179" s="3067"/>
      <c r="AG179" s="3068"/>
    </row>
    <row r="180" spans="1:33">
      <c r="A180" s="63">
        <f t="shared" si="0"/>
        <v>2008.03</v>
      </c>
      <c r="B180" s="260">
        <v>110701</v>
      </c>
      <c r="C180" s="3078"/>
      <c r="D180" s="810"/>
      <c r="E180" s="260">
        <v>1094.2</v>
      </c>
      <c r="F180" s="2754"/>
      <c r="G180" s="1403"/>
      <c r="H180" s="3067"/>
      <c r="I180" s="1887"/>
      <c r="J180" s="1402"/>
      <c r="K180" s="3067"/>
      <c r="L180" s="1402"/>
      <c r="M180" s="1887"/>
      <c r="N180" s="1402"/>
      <c r="O180" s="3067"/>
      <c r="P180" s="3067"/>
      <c r="Q180" s="3067"/>
      <c r="R180" s="3067"/>
      <c r="S180" s="3067"/>
      <c r="T180" s="3067"/>
      <c r="U180" s="3067"/>
      <c r="V180" s="3067"/>
      <c r="W180" s="3067"/>
      <c r="X180" s="3067"/>
      <c r="Y180" s="3067"/>
      <c r="Z180" s="3067"/>
      <c r="AA180" s="3067"/>
      <c r="AB180" s="3067"/>
      <c r="AC180" s="3067"/>
      <c r="AD180" s="3067"/>
      <c r="AE180" s="3067"/>
      <c r="AF180" s="3067"/>
      <c r="AG180" s="3068"/>
    </row>
    <row r="181" spans="1:33">
      <c r="A181" s="63">
        <f t="shared" si="0"/>
        <v>2008.04</v>
      </c>
      <c r="B181" s="260">
        <v>110528.2</v>
      </c>
      <c r="C181" s="3078"/>
      <c r="D181" s="810"/>
      <c r="E181" s="260">
        <v>1599.5</v>
      </c>
      <c r="F181" s="2754"/>
      <c r="G181" s="1403"/>
      <c r="H181" s="3067"/>
      <c r="I181" s="1887"/>
      <c r="J181" s="1402"/>
      <c r="K181" s="3067"/>
      <c r="L181" s="1402"/>
      <c r="M181" s="1887"/>
      <c r="N181" s="1402"/>
      <c r="O181" s="3067"/>
      <c r="P181" s="3067"/>
      <c r="Q181" s="3067"/>
      <c r="R181" s="3067"/>
      <c r="S181" s="3067"/>
      <c r="T181" s="3067"/>
      <c r="U181" s="3067"/>
      <c r="V181" s="3067"/>
      <c r="W181" s="3067"/>
      <c r="X181" s="3067"/>
      <c r="Y181" s="3067"/>
      <c r="Z181" s="3067"/>
      <c r="AA181" s="3067"/>
      <c r="AB181" s="3067"/>
      <c r="AC181" s="3067"/>
      <c r="AD181" s="3067"/>
      <c r="AE181" s="3067"/>
      <c r="AF181" s="3067"/>
      <c r="AG181" s="3068"/>
    </row>
    <row r="182" spans="1:33" ht="12.75" customHeight="1">
      <c r="A182" s="63">
        <f t="shared" si="0"/>
        <v>2008.05</v>
      </c>
      <c r="B182" s="260">
        <v>110605.93333333333</v>
      </c>
      <c r="C182" s="3078"/>
      <c r="D182" s="810"/>
      <c r="E182" s="260">
        <v>2032.2</v>
      </c>
      <c r="F182" s="2754"/>
      <c r="G182" s="1403"/>
      <c r="H182" s="3067"/>
      <c r="I182" s="1887"/>
      <c r="J182" s="1402"/>
      <c r="K182" s="3067"/>
      <c r="L182" s="1402"/>
      <c r="M182" s="1887"/>
      <c r="N182" s="1402"/>
      <c r="O182" s="3067"/>
      <c r="P182" s="3067"/>
      <c r="Q182" s="3067"/>
      <c r="R182" s="3067"/>
      <c r="S182" s="3067"/>
      <c r="T182" s="3067"/>
      <c r="U182" s="3067"/>
      <c r="V182" s="3067"/>
      <c r="W182" s="3067"/>
      <c r="X182" s="3067"/>
      <c r="Y182" s="3067"/>
      <c r="Z182" s="3067"/>
      <c r="AA182" s="3067"/>
      <c r="AB182" s="3067"/>
      <c r="AC182" s="3067"/>
      <c r="AD182" s="3067"/>
      <c r="AE182" s="3067"/>
      <c r="AF182" s="3067"/>
      <c r="AG182" s="3068"/>
    </row>
    <row r="183" spans="1:33">
      <c r="A183" s="63">
        <f t="shared" si="0"/>
        <v>2008.06</v>
      </c>
      <c r="B183" s="260">
        <v>110716.56666666667</v>
      </c>
      <c r="C183" s="3078"/>
      <c r="D183" s="810"/>
      <c r="E183" s="260">
        <v>2618.1</v>
      </c>
      <c r="F183" s="2754"/>
      <c r="G183" s="1403"/>
      <c r="H183" s="3067"/>
      <c r="I183" s="1887"/>
      <c r="J183" s="1402"/>
      <c r="K183" s="3067"/>
      <c r="L183" s="1402"/>
      <c r="M183" s="1887"/>
      <c r="N183" s="1402"/>
      <c r="O183" s="3067"/>
      <c r="P183" s="3067"/>
      <c r="Q183" s="3067"/>
      <c r="R183" s="3067"/>
      <c r="S183" s="3067"/>
      <c r="T183" s="3067"/>
      <c r="U183" s="3067"/>
      <c r="V183" s="3067"/>
      <c r="W183" s="3067"/>
      <c r="X183" s="3067"/>
      <c r="Y183" s="3067"/>
      <c r="Z183" s="3067"/>
      <c r="AA183" s="3067"/>
      <c r="AB183" s="3067"/>
      <c r="AC183" s="3067"/>
      <c r="AD183" s="3067"/>
      <c r="AE183" s="3067"/>
      <c r="AF183" s="3067"/>
      <c r="AG183" s="3068"/>
    </row>
    <row r="184" spans="1:33">
      <c r="A184" s="63">
        <f t="shared" si="0"/>
        <v>2008.07</v>
      </c>
      <c r="B184" s="260">
        <v>110826</v>
      </c>
      <c r="C184" s="3078"/>
      <c r="D184" s="810"/>
      <c r="E184" s="260">
        <v>3059.7</v>
      </c>
      <c r="F184" s="2754"/>
      <c r="G184" s="1403"/>
      <c r="H184" s="3067"/>
      <c r="I184" s="1887"/>
      <c r="J184" s="1402"/>
      <c r="K184" s="3067"/>
      <c r="L184" s="1402"/>
      <c r="M184" s="1887"/>
      <c r="N184" s="1402"/>
      <c r="O184" s="3067"/>
      <c r="P184" s="3067"/>
      <c r="Q184" s="3067"/>
      <c r="R184" s="3067"/>
      <c r="S184" s="3067"/>
      <c r="T184" s="3067"/>
      <c r="U184" s="3067"/>
      <c r="V184" s="3067"/>
      <c r="W184" s="3067"/>
      <c r="X184" s="3067"/>
      <c r="Y184" s="3067"/>
      <c r="Z184" s="3067"/>
      <c r="AA184" s="3067"/>
      <c r="AB184" s="3067"/>
      <c r="AC184" s="3067"/>
      <c r="AD184" s="3067"/>
      <c r="AE184" s="3067"/>
      <c r="AF184" s="3067"/>
      <c r="AG184" s="3068"/>
    </row>
    <row r="185" spans="1:33">
      <c r="A185" s="63">
        <f t="shared" si="0"/>
        <v>2008.08</v>
      </c>
      <c r="B185" s="260">
        <v>111956</v>
      </c>
      <c r="C185" s="3078"/>
      <c r="D185" s="810"/>
      <c r="E185" s="260">
        <v>3495</v>
      </c>
      <c r="F185" s="2754"/>
      <c r="G185" s="1403"/>
      <c r="H185" s="3067"/>
      <c r="I185" s="1887"/>
      <c r="J185" s="1402"/>
      <c r="K185" s="3067"/>
      <c r="L185" s="1402"/>
      <c r="M185" s="1887"/>
      <c r="N185" s="1402"/>
      <c r="O185" s="3067"/>
      <c r="P185" s="3067"/>
      <c r="Q185" s="3067"/>
      <c r="R185" s="3067"/>
      <c r="S185" s="3067"/>
      <c r="T185" s="3067"/>
      <c r="U185" s="3067"/>
      <c r="V185" s="3067"/>
      <c r="W185" s="3067"/>
      <c r="X185" s="3067"/>
      <c r="Y185" s="3067"/>
      <c r="Z185" s="3067"/>
      <c r="AA185" s="3067"/>
      <c r="AB185" s="3067"/>
      <c r="AC185" s="3067"/>
      <c r="AD185" s="3067"/>
      <c r="AE185" s="3067"/>
      <c r="AF185" s="3067"/>
      <c r="AG185" s="3068"/>
    </row>
    <row r="186" spans="1:33">
      <c r="A186" s="63">
        <f t="shared" si="0"/>
        <v>2008.09</v>
      </c>
      <c r="B186" s="260">
        <v>112000</v>
      </c>
      <c r="C186" s="3078"/>
      <c r="D186" s="810"/>
      <c r="E186" s="260">
        <v>4001.4</v>
      </c>
      <c r="F186" s="2754"/>
      <c r="G186" s="1403"/>
      <c r="H186" s="3067"/>
      <c r="I186" s="1887"/>
      <c r="J186" s="1402"/>
      <c r="K186" s="3067"/>
      <c r="L186" s="1402"/>
      <c r="M186" s="1887"/>
      <c r="N186" s="1402"/>
      <c r="O186" s="3067"/>
      <c r="P186" s="3067"/>
      <c r="Q186" s="3067"/>
      <c r="R186" s="3067"/>
      <c r="S186" s="3067"/>
      <c r="T186" s="3067"/>
      <c r="U186" s="3067"/>
      <c r="V186" s="3067"/>
      <c r="W186" s="3067"/>
      <c r="X186" s="3067"/>
      <c r="Y186" s="3067"/>
      <c r="Z186" s="3067"/>
      <c r="AA186" s="3067"/>
      <c r="AB186" s="3067"/>
      <c r="AC186" s="3067"/>
      <c r="AD186" s="3067"/>
      <c r="AE186" s="3067"/>
      <c r="AF186" s="3067"/>
      <c r="AG186" s="3068"/>
    </row>
    <row r="187" spans="1:33">
      <c r="A187" s="63">
        <f t="shared" si="0"/>
        <v>2008.1</v>
      </c>
      <c r="B187" s="260">
        <v>111907</v>
      </c>
      <c r="C187" s="3078"/>
      <c r="D187" s="810"/>
      <c r="E187" s="260">
        <v>4476.8999999999996</v>
      </c>
      <c r="F187" s="2754"/>
      <c r="G187" s="1403"/>
      <c r="H187" s="3067"/>
      <c r="I187" s="1887"/>
      <c r="J187" s="1402"/>
      <c r="K187" s="3067"/>
      <c r="L187" s="1402"/>
      <c r="M187" s="1887"/>
      <c r="N187" s="1402"/>
      <c r="O187" s="3067"/>
      <c r="P187" s="3067"/>
      <c r="Q187" s="3067"/>
      <c r="R187" s="3067"/>
      <c r="S187" s="3067"/>
      <c r="T187" s="3067"/>
      <c r="U187" s="3067"/>
      <c r="V187" s="3067"/>
      <c r="W187" s="3067"/>
      <c r="X187" s="3067"/>
      <c r="Y187" s="3067"/>
      <c r="Z187" s="3067"/>
      <c r="AA187" s="3067"/>
      <c r="AB187" s="3067"/>
      <c r="AC187" s="3067"/>
      <c r="AD187" s="3067"/>
      <c r="AE187" s="3067"/>
      <c r="AF187" s="3067"/>
      <c r="AG187" s="3068"/>
    </row>
    <row r="188" spans="1:33">
      <c r="A188" s="63">
        <f t="shared" si="0"/>
        <v>2008.11</v>
      </c>
      <c r="B188" s="260">
        <v>112925</v>
      </c>
      <c r="C188" s="3078"/>
      <c r="D188" s="810"/>
      <c r="E188" s="260">
        <v>4964.2</v>
      </c>
      <c r="F188" s="2754"/>
      <c r="G188" s="1403"/>
      <c r="H188" s="3067"/>
      <c r="I188" s="1887"/>
      <c r="J188" s="1402"/>
      <c r="K188" s="3067"/>
      <c r="L188" s="1402"/>
      <c r="M188" s="1887"/>
      <c r="N188" s="1402"/>
      <c r="O188" s="3067"/>
      <c r="P188" s="3067"/>
      <c r="Q188" s="3067"/>
      <c r="R188" s="3067"/>
      <c r="S188" s="3067"/>
      <c r="T188" s="3067"/>
      <c r="U188" s="3067"/>
      <c r="V188" s="3067"/>
      <c r="W188" s="3067"/>
      <c r="X188" s="3067"/>
      <c r="Y188" s="3067"/>
      <c r="Z188" s="3067"/>
      <c r="AA188" s="3067"/>
      <c r="AB188" s="3067"/>
      <c r="AC188" s="3067"/>
      <c r="AD188" s="3067"/>
      <c r="AE188" s="3067"/>
      <c r="AF188" s="3067"/>
      <c r="AG188" s="3068"/>
    </row>
    <row r="189" spans="1:33">
      <c r="A189" s="63">
        <f t="shared" si="0"/>
        <v>2008.12</v>
      </c>
      <c r="B189" s="260">
        <v>112886</v>
      </c>
      <c r="C189" s="3078"/>
      <c r="D189" s="810"/>
      <c r="E189" s="260">
        <v>5629.2</v>
      </c>
      <c r="F189" s="2754"/>
      <c r="G189" s="1403"/>
      <c r="H189" s="3067"/>
      <c r="I189" s="1887"/>
      <c r="J189" s="1402"/>
      <c r="K189" s="3067"/>
      <c r="L189" s="1402"/>
      <c r="M189" s="1887"/>
      <c r="N189" s="1402"/>
      <c r="O189" s="3067"/>
      <c r="P189" s="3067"/>
      <c r="Q189" s="3067"/>
      <c r="R189" s="3067"/>
      <c r="S189" s="3067"/>
      <c r="T189" s="3067"/>
      <c r="U189" s="3067"/>
      <c r="V189" s="3067"/>
      <c r="W189" s="3067"/>
      <c r="X189" s="3067"/>
      <c r="Y189" s="3067"/>
      <c r="Z189" s="3067"/>
      <c r="AA189" s="3067"/>
      <c r="AB189" s="3067"/>
      <c r="AC189" s="3067"/>
      <c r="AD189" s="3067"/>
      <c r="AE189" s="3067"/>
      <c r="AF189" s="3067"/>
      <c r="AG189" s="3068"/>
    </row>
    <row r="190" spans="1:33">
      <c r="A190" s="63">
        <f t="shared" si="0"/>
        <v>2009.01</v>
      </c>
      <c r="B190" s="260">
        <v>113377.03333333333</v>
      </c>
      <c r="C190" s="3078"/>
      <c r="D190" s="810"/>
      <c r="E190" s="260">
        <v>477.4</v>
      </c>
      <c r="F190" s="437">
        <v>459.32499999999999</v>
      </c>
      <c r="G190" s="1403"/>
      <c r="H190" s="3067"/>
      <c r="I190" s="1887"/>
      <c r="J190" s="1402"/>
      <c r="K190" s="3067"/>
      <c r="L190" s="1402"/>
      <c r="M190" s="1887"/>
      <c r="N190" s="1402"/>
      <c r="O190" s="3067"/>
      <c r="P190" s="3067"/>
      <c r="Q190" s="3067"/>
      <c r="R190" s="3067"/>
      <c r="S190" s="3067"/>
      <c r="T190" s="3067"/>
      <c r="U190" s="3067"/>
      <c r="V190" s="3067"/>
      <c r="W190" s="3067"/>
      <c r="X190" s="3067"/>
      <c r="Y190" s="3067"/>
      <c r="Z190" s="3067"/>
      <c r="AA190" s="3067"/>
      <c r="AB190" s="3067"/>
      <c r="AC190" s="3067"/>
      <c r="AD190" s="3067"/>
      <c r="AE190" s="3067"/>
      <c r="AF190" s="3067"/>
      <c r="AG190" s="3068"/>
    </row>
    <row r="191" spans="1:33">
      <c r="A191" s="63">
        <f t="shared" si="0"/>
        <v>2009.02</v>
      </c>
      <c r="B191" s="260">
        <v>113001.3</v>
      </c>
      <c r="C191" s="3078"/>
      <c r="D191" s="810"/>
      <c r="E191" s="260">
        <v>948.5</v>
      </c>
      <c r="F191" s="1738">
        <v>453.637</v>
      </c>
      <c r="G191" s="1403"/>
      <c r="H191" s="3067"/>
      <c r="I191" s="1887"/>
      <c r="J191" s="1402"/>
      <c r="K191" s="3067"/>
      <c r="L191" s="1402"/>
      <c r="M191" s="1887"/>
      <c r="N191" s="1402"/>
      <c r="O191" s="3067"/>
      <c r="P191" s="3067"/>
      <c r="Q191" s="3067"/>
      <c r="R191" s="3067"/>
      <c r="S191" s="3067"/>
      <c r="T191" s="3067"/>
      <c r="U191" s="3067"/>
      <c r="V191" s="3067"/>
      <c r="W191" s="3067"/>
      <c r="X191" s="3067"/>
      <c r="Y191" s="3067"/>
      <c r="Z191" s="3067"/>
      <c r="AA191" s="3067"/>
      <c r="AB191" s="3067"/>
      <c r="AC191" s="3067"/>
      <c r="AD191" s="3067"/>
      <c r="AE191" s="3067"/>
      <c r="AF191" s="3067"/>
      <c r="AG191" s="3068"/>
    </row>
    <row r="192" spans="1:33">
      <c r="A192" s="63">
        <f t="shared" si="0"/>
        <v>2009.03</v>
      </c>
      <c r="B192" s="260">
        <v>112936.3</v>
      </c>
      <c r="C192" s="3078"/>
      <c r="D192" s="810"/>
      <c r="E192" s="260">
        <v>1516.5</v>
      </c>
      <c r="F192" s="1738">
        <v>454.63200000000001</v>
      </c>
      <c r="G192" s="1403"/>
      <c r="H192" s="3067"/>
      <c r="I192" s="1887"/>
      <c r="J192" s="1402"/>
      <c r="K192" s="3067"/>
      <c r="L192" s="1402"/>
      <c r="M192" s="1887"/>
      <c r="N192" s="1402"/>
      <c r="O192" s="3067"/>
      <c r="P192" s="3067"/>
      <c r="Q192" s="3067"/>
      <c r="R192" s="3067"/>
      <c r="S192" s="3067"/>
      <c r="T192" s="3067"/>
      <c r="U192" s="3067"/>
      <c r="V192" s="3067"/>
      <c r="W192" s="3067"/>
      <c r="X192" s="3067"/>
      <c r="Y192" s="3067"/>
      <c r="Z192" s="3067"/>
      <c r="AA192" s="3067"/>
      <c r="AB192" s="3067"/>
      <c r="AC192" s="3067"/>
      <c r="AD192" s="3067"/>
      <c r="AE192" s="3067"/>
      <c r="AF192" s="3067"/>
      <c r="AG192" s="3068"/>
    </row>
    <row r="193" spans="1:33">
      <c r="A193" s="63">
        <f t="shared" si="0"/>
        <v>2009.04</v>
      </c>
      <c r="B193" s="260">
        <v>112954.03333333333</v>
      </c>
      <c r="C193" s="3078"/>
      <c r="D193" s="810"/>
      <c r="E193" s="260">
        <v>2064</v>
      </c>
      <c r="F193" s="1738">
        <v>452.58300000000003</v>
      </c>
      <c r="G193" s="1403"/>
      <c r="H193" s="3067"/>
      <c r="I193" s="1887"/>
      <c r="J193" s="1402"/>
      <c r="K193" s="3067"/>
      <c r="L193" s="1402"/>
      <c r="M193" s="1887"/>
      <c r="N193" s="1402"/>
      <c r="O193" s="3067"/>
      <c r="P193" s="3067"/>
      <c r="Q193" s="3067"/>
      <c r="R193" s="3067"/>
      <c r="S193" s="3067"/>
      <c r="T193" s="3067"/>
      <c r="U193" s="3067"/>
      <c r="V193" s="3067"/>
      <c r="W193" s="3067"/>
      <c r="X193" s="3067"/>
      <c r="Y193" s="3067"/>
      <c r="Z193" s="3067"/>
      <c r="AA193" s="3067"/>
      <c r="AB193" s="3067"/>
      <c r="AC193" s="3067"/>
      <c r="AD193" s="3067"/>
      <c r="AE193" s="3067"/>
      <c r="AF193" s="3067"/>
      <c r="AG193" s="3068"/>
    </row>
    <row r="194" spans="1:33">
      <c r="A194" s="63">
        <f t="shared" si="0"/>
        <v>2009.05</v>
      </c>
      <c r="B194" s="260">
        <v>112707.03333333333</v>
      </c>
      <c r="C194" s="3078"/>
      <c r="D194" s="810"/>
      <c r="E194" s="260">
        <v>2619.5</v>
      </c>
      <c r="F194" s="1738">
        <v>449.09100000000001</v>
      </c>
      <c r="G194" s="1403"/>
      <c r="H194" s="3067"/>
      <c r="I194" s="1887"/>
      <c r="J194" s="1402"/>
      <c r="K194" s="3067"/>
      <c r="L194" s="1402"/>
      <c r="M194" s="1887"/>
      <c r="N194" s="1402"/>
      <c r="O194" s="3067"/>
      <c r="P194" s="3067"/>
      <c r="Q194" s="3067"/>
      <c r="R194" s="3067"/>
      <c r="S194" s="3067"/>
      <c r="T194" s="3067"/>
      <c r="U194" s="3067"/>
      <c r="V194" s="3067"/>
      <c r="W194" s="3067"/>
      <c r="X194" s="3067"/>
      <c r="Y194" s="3067"/>
      <c r="Z194" s="3067"/>
      <c r="AA194" s="3067"/>
      <c r="AB194" s="3067"/>
      <c r="AC194" s="3067"/>
      <c r="AD194" s="3067"/>
      <c r="AE194" s="3067"/>
      <c r="AF194" s="3067"/>
      <c r="AG194" s="3068"/>
    </row>
    <row r="195" spans="1:33">
      <c r="A195" s="63">
        <f t="shared" si="0"/>
        <v>2009.06</v>
      </c>
      <c r="B195" s="260">
        <v>113104.66666666667</v>
      </c>
      <c r="C195" s="3078"/>
      <c r="D195" s="810"/>
      <c r="E195" s="260">
        <v>3377.8</v>
      </c>
      <c r="F195" s="1738">
        <v>447.70600000000002</v>
      </c>
      <c r="G195" s="1403"/>
      <c r="H195" s="3067"/>
      <c r="I195" s="1887"/>
      <c r="J195" s="1402"/>
      <c r="K195" s="3067"/>
      <c r="L195" s="1402"/>
      <c r="M195" s="1887"/>
      <c r="N195" s="1402"/>
      <c r="O195" s="3067"/>
      <c r="P195" s="3067"/>
      <c r="Q195" s="3067"/>
      <c r="R195" s="3067"/>
      <c r="S195" s="3067"/>
      <c r="T195" s="3067"/>
      <c r="U195" s="3067"/>
      <c r="V195" s="3067"/>
      <c r="W195" s="3067"/>
      <c r="X195" s="3067"/>
      <c r="Y195" s="3067"/>
      <c r="Z195" s="3067"/>
      <c r="AA195" s="3067"/>
      <c r="AB195" s="3067"/>
      <c r="AC195" s="3067"/>
      <c r="AD195" s="3067"/>
      <c r="AE195" s="3067"/>
      <c r="AF195" s="3067"/>
      <c r="AG195" s="3068"/>
    </row>
    <row r="196" spans="1:33">
      <c r="A196" s="63">
        <f t="shared" si="0"/>
        <v>2009.07</v>
      </c>
      <c r="B196" s="260">
        <v>113625.03333333333</v>
      </c>
      <c r="C196" s="3078"/>
      <c r="D196" s="810"/>
      <c r="E196" s="260">
        <v>3940.9</v>
      </c>
      <c r="F196" s="1738">
        <v>446.59500000000003</v>
      </c>
      <c r="G196" s="1403"/>
      <c r="H196" s="3067"/>
      <c r="I196" s="1887"/>
      <c r="J196" s="1402"/>
      <c r="K196" s="3067"/>
      <c r="L196" s="1402"/>
      <c r="M196" s="1887"/>
      <c r="N196" s="1402"/>
      <c r="O196" s="3067"/>
      <c r="P196" s="3067"/>
      <c r="Q196" s="3067"/>
      <c r="R196" s="3067"/>
      <c r="S196" s="3067"/>
      <c r="T196" s="3067"/>
      <c r="U196" s="3067"/>
      <c r="V196" s="3067"/>
      <c r="W196" s="3067"/>
      <c r="X196" s="3067"/>
      <c r="Y196" s="3067"/>
      <c r="Z196" s="3067"/>
      <c r="AA196" s="3067"/>
      <c r="AB196" s="3067"/>
      <c r="AC196" s="3067"/>
      <c r="AD196" s="3067"/>
      <c r="AE196" s="3067"/>
      <c r="AF196" s="3067"/>
      <c r="AG196" s="3068"/>
    </row>
    <row r="197" spans="1:33">
      <c r="A197" s="63">
        <f t="shared" si="0"/>
        <v>2009.08</v>
      </c>
      <c r="B197" s="260">
        <v>113427.66666666667</v>
      </c>
      <c r="C197" s="3078"/>
      <c r="D197" s="810"/>
      <c r="E197" s="260">
        <v>4488.2</v>
      </c>
      <c r="F197" s="1738">
        <v>445.55500000000001</v>
      </c>
      <c r="G197" s="1403"/>
      <c r="H197" s="3067"/>
      <c r="I197" s="1887"/>
      <c r="J197" s="1402"/>
      <c r="K197" s="3067"/>
      <c r="L197" s="1402"/>
      <c r="M197" s="1887"/>
      <c r="N197" s="1402"/>
      <c r="O197" s="3067"/>
      <c r="P197" s="3067"/>
      <c r="Q197" s="3067"/>
      <c r="R197" s="3067"/>
      <c r="S197" s="3067"/>
      <c r="T197" s="3067"/>
      <c r="U197" s="3067"/>
      <c r="V197" s="3067"/>
      <c r="W197" s="3067"/>
      <c r="X197" s="3067"/>
      <c r="Y197" s="3067"/>
      <c r="Z197" s="3067"/>
      <c r="AA197" s="3067"/>
      <c r="AB197" s="3067"/>
      <c r="AC197" s="3067"/>
      <c r="AD197" s="3067"/>
      <c r="AE197" s="3067"/>
      <c r="AF197" s="3067"/>
      <c r="AG197" s="3068"/>
    </row>
    <row r="198" spans="1:33">
      <c r="A198" s="63">
        <f t="shared" si="0"/>
        <v>2009.09</v>
      </c>
      <c r="B198" s="260">
        <v>113804.26666666666</v>
      </c>
      <c r="C198" s="3078"/>
      <c r="D198" s="810"/>
      <c r="E198" s="260">
        <v>5045.8999999999996</v>
      </c>
      <c r="F198" s="1738">
        <v>450.31299999999999</v>
      </c>
      <c r="G198" s="1403"/>
      <c r="H198" s="3067"/>
      <c r="I198" s="1887"/>
      <c r="J198" s="1402"/>
      <c r="K198" s="3067"/>
      <c r="L198" s="1402"/>
      <c r="M198" s="1887"/>
      <c r="N198" s="1402"/>
      <c r="O198" s="3067"/>
      <c r="P198" s="3067"/>
      <c r="Q198" s="3067"/>
      <c r="R198" s="3067"/>
      <c r="S198" s="3067"/>
      <c r="T198" s="3067"/>
      <c r="U198" s="3067"/>
      <c r="V198" s="3067"/>
      <c r="W198" s="3067"/>
      <c r="X198" s="3067"/>
      <c r="Y198" s="3067"/>
      <c r="Z198" s="3067"/>
      <c r="AA198" s="3067"/>
      <c r="AB198" s="3067"/>
      <c r="AC198" s="3067"/>
      <c r="AD198" s="3067"/>
      <c r="AE198" s="3067"/>
      <c r="AF198" s="3067"/>
      <c r="AG198" s="3068"/>
    </row>
    <row r="199" spans="1:33">
      <c r="A199" s="63">
        <f t="shared" si="0"/>
        <v>2009.1</v>
      </c>
      <c r="B199" s="260">
        <v>113644.86666666667</v>
      </c>
      <c r="C199" s="3078"/>
      <c r="D199" s="810"/>
      <c r="E199" s="260">
        <v>5618.3</v>
      </c>
      <c r="F199" s="1738">
        <v>453.29</v>
      </c>
      <c r="G199" s="1403"/>
      <c r="H199" s="3067"/>
      <c r="I199" s="1887"/>
      <c r="J199" s="1402"/>
      <c r="K199" s="3067"/>
      <c r="L199" s="1402"/>
      <c r="M199" s="1887"/>
      <c r="N199" s="1402"/>
      <c r="O199" s="3067"/>
      <c r="P199" s="3067"/>
      <c r="Q199" s="3067"/>
      <c r="R199" s="3067"/>
      <c r="S199" s="3067"/>
      <c r="T199" s="3067"/>
      <c r="U199" s="3067"/>
      <c r="V199" s="3067"/>
      <c r="W199" s="3067"/>
      <c r="X199" s="3067"/>
      <c r="Y199" s="3067"/>
      <c r="Z199" s="3067"/>
      <c r="AA199" s="3067"/>
      <c r="AB199" s="3067"/>
      <c r="AC199" s="3067"/>
      <c r="AD199" s="3067"/>
      <c r="AE199" s="3067"/>
      <c r="AF199" s="3067"/>
      <c r="AG199" s="3068"/>
    </row>
    <row r="200" spans="1:33">
      <c r="A200" s="63">
        <f t="shared" si="0"/>
        <v>2009.11</v>
      </c>
      <c r="B200" s="260">
        <v>113727.66666666667</v>
      </c>
      <c r="C200" s="3078"/>
      <c r="D200" s="810"/>
      <c r="E200" s="260">
        <v>6183.7</v>
      </c>
      <c r="F200" s="1738">
        <v>455.45699999999999</v>
      </c>
      <c r="G200" s="1403"/>
      <c r="H200" s="3067"/>
      <c r="I200" s="1887"/>
      <c r="J200" s="1402"/>
      <c r="K200" s="3067"/>
      <c r="L200" s="1402"/>
      <c r="M200" s="1887"/>
      <c r="N200" s="1402"/>
      <c r="O200" s="3067"/>
      <c r="P200" s="3067"/>
      <c r="Q200" s="3067"/>
      <c r="R200" s="3067"/>
      <c r="S200" s="3067"/>
      <c r="T200" s="3067"/>
      <c r="U200" s="3067"/>
      <c r="V200" s="3067"/>
      <c r="W200" s="3067"/>
      <c r="X200" s="3067"/>
      <c r="Y200" s="3067"/>
      <c r="Z200" s="3067"/>
      <c r="AA200" s="3067"/>
      <c r="AB200" s="3067"/>
      <c r="AC200" s="3067"/>
      <c r="AD200" s="3067"/>
      <c r="AE200" s="3067"/>
      <c r="AF200" s="3067"/>
      <c r="AG200" s="3068"/>
    </row>
    <row r="201" spans="1:33">
      <c r="A201" s="63">
        <f t="shared" si="0"/>
        <v>2009.12</v>
      </c>
      <c r="B201" s="260">
        <v>113760.83333333333</v>
      </c>
      <c r="C201" s="3078"/>
      <c r="D201" s="810"/>
      <c r="E201" s="260">
        <v>6957.5</v>
      </c>
      <c r="F201" s="1738">
        <v>459.49400000000003</v>
      </c>
      <c r="G201" s="1403"/>
      <c r="H201" s="3067"/>
      <c r="I201" s="1887"/>
      <c r="J201" s="1402"/>
      <c r="K201" s="3067"/>
      <c r="L201" s="1402"/>
      <c r="M201" s="1887"/>
      <c r="N201" s="1402"/>
      <c r="O201" s="3067"/>
      <c r="P201" s="3067"/>
      <c r="Q201" s="3067"/>
      <c r="R201" s="3067"/>
      <c r="S201" s="3067"/>
      <c r="T201" s="3067"/>
      <c r="U201" s="3067"/>
      <c r="V201" s="3067"/>
      <c r="W201" s="3067"/>
      <c r="X201" s="3067"/>
      <c r="Y201" s="3067"/>
      <c r="Z201" s="3067"/>
      <c r="AA201" s="3067"/>
      <c r="AB201" s="3067"/>
      <c r="AC201" s="3067"/>
      <c r="AD201" s="3067"/>
      <c r="AE201" s="3067"/>
      <c r="AF201" s="3067"/>
      <c r="AG201" s="3068"/>
    </row>
    <row r="202" spans="1:33">
      <c r="A202" s="63">
        <f t="shared" si="0"/>
        <v>2010.01</v>
      </c>
      <c r="B202" s="260">
        <v>114735.63333333333</v>
      </c>
      <c r="C202" s="3078"/>
      <c r="D202" s="810"/>
      <c r="E202" s="260">
        <v>554.70000000000005</v>
      </c>
      <c r="F202" s="1738">
        <v>455.25900000000001</v>
      </c>
      <c r="G202" s="1403"/>
      <c r="H202" s="3067"/>
      <c r="I202" s="1887"/>
      <c r="J202" s="1402"/>
      <c r="K202" s="3067"/>
      <c r="L202" s="1402"/>
      <c r="M202" s="1887"/>
      <c r="N202" s="1402"/>
      <c r="O202" s="3067"/>
      <c r="P202" s="3067"/>
      <c r="Q202" s="3067"/>
      <c r="R202" s="3067"/>
      <c r="S202" s="3067"/>
      <c r="T202" s="3067"/>
      <c r="U202" s="3067"/>
      <c r="V202" s="3067"/>
      <c r="W202" s="3067"/>
      <c r="X202" s="3067"/>
      <c r="Y202" s="3067"/>
      <c r="Z202" s="3067"/>
      <c r="AA202" s="3067"/>
      <c r="AB202" s="3067"/>
      <c r="AC202" s="3067"/>
      <c r="AD202" s="3067"/>
      <c r="AE202" s="3067"/>
      <c r="AF202" s="3067"/>
      <c r="AG202" s="3068"/>
    </row>
    <row r="203" spans="1:33">
      <c r="A203" s="63">
        <f t="shared" si="0"/>
        <v>2010.02</v>
      </c>
      <c r="B203" s="260">
        <v>114667.63333333333</v>
      </c>
      <c r="C203" s="3078"/>
      <c r="D203" s="810"/>
      <c r="E203" s="260">
        <v>1104.5</v>
      </c>
      <c r="F203" s="1738">
        <v>454.95</v>
      </c>
      <c r="G203" s="1403"/>
      <c r="H203" s="3067"/>
      <c r="I203" s="1887"/>
      <c r="J203" s="1402"/>
      <c r="K203" s="3067"/>
      <c r="L203" s="1402"/>
      <c r="M203" s="1887"/>
      <c r="N203" s="1402"/>
      <c r="O203" s="3067"/>
      <c r="P203" s="3067"/>
      <c r="Q203" s="3067"/>
      <c r="R203" s="3067"/>
      <c r="S203" s="3067"/>
      <c r="T203" s="3067"/>
      <c r="U203" s="3067"/>
      <c r="V203" s="3067"/>
      <c r="W203" s="3067"/>
      <c r="X203" s="3067"/>
      <c r="Y203" s="3067"/>
      <c r="Z203" s="3067"/>
      <c r="AA203" s="3067"/>
      <c r="AB203" s="3067"/>
      <c r="AC203" s="3067"/>
      <c r="AD203" s="3067"/>
      <c r="AE203" s="3067"/>
      <c r="AF203" s="3067"/>
      <c r="AG203" s="3068"/>
    </row>
    <row r="204" spans="1:33">
      <c r="A204" s="63">
        <f t="shared" si="0"/>
        <v>2010.03</v>
      </c>
      <c r="B204" s="260">
        <v>114466.13333333333</v>
      </c>
      <c r="C204" s="3078"/>
      <c r="D204" s="810"/>
      <c r="E204" s="260">
        <v>1653.6</v>
      </c>
      <c r="F204" s="1738">
        <v>459.452</v>
      </c>
      <c r="G204" s="1403"/>
      <c r="H204" s="3067"/>
      <c r="I204" s="1887"/>
      <c r="J204" s="1402"/>
      <c r="K204" s="3067"/>
      <c r="L204" s="1402"/>
      <c r="M204" s="1887"/>
      <c r="N204" s="1402"/>
      <c r="O204" s="3067"/>
      <c r="P204" s="3067"/>
      <c r="Q204" s="3067"/>
      <c r="R204" s="3067"/>
      <c r="S204" s="3067"/>
      <c r="T204" s="3067"/>
      <c r="U204" s="3067"/>
      <c r="V204" s="3067"/>
      <c r="W204" s="3067"/>
      <c r="X204" s="3067"/>
      <c r="Y204" s="3067"/>
      <c r="Z204" s="3067"/>
      <c r="AA204" s="3067"/>
      <c r="AB204" s="3067"/>
      <c r="AC204" s="3067"/>
      <c r="AD204" s="3067"/>
      <c r="AE204" s="3067"/>
      <c r="AF204" s="3067"/>
      <c r="AG204" s="3068"/>
    </row>
    <row r="205" spans="1:33">
      <c r="A205" s="63">
        <f t="shared" si="0"/>
        <v>2010.04</v>
      </c>
      <c r="B205" s="260">
        <v>114404.3</v>
      </c>
      <c r="C205" s="3078"/>
      <c r="D205" s="810"/>
      <c r="E205" s="260">
        <v>2396.6</v>
      </c>
      <c r="F205" s="1738">
        <v>459.57400000000001</v>
      </c>
      <c r="G205" s="1403"/>
      <c r="H205" s="3067"/>
      <c r="I205" s="1887"/>
      <c r="J205" s="1402"/>
      <c r="K205" s="3067"/>
      <c r="L205" s="1402"/>
      <c r="M205" s="1887"/>
      <c r="N205" s="1402"/>
      <c r="O205" s="3067"/>
      <c r="P205" s="3067"/>
      <c r="Q205" s="3067"/>
      <c r="R205" s="3067"/>
      <c r="S205" s="3067"/>
      <c r="T205" s="3067"/>
      <c r="U205" s="3067"/>
      <c r="V205" s="3067"/>
      <c r="W205" s="3067"/>
      <c r="X205" s="3067"/>
      <c r="Y205" s="3067"/>
      <c r="Z205" s="3067"/>
      <c r="AA205" s="3067"/>
      <c r="AB205" s="3067"/>
      <c r="AC205" s="3067"/>
      <c r="AD205" s="3067"/>
      <c r="AE205" s="3067"/>
      <c r="AF205" s="3067"/>
      <c r="AG205" s="3068"/>
    </row>
    <row r="206" spans="1:33">
      <c r="A206" s="63">
        <f t="shared" si="0"/>
        <v>2010.05</v>
      </c>
      <c r="B206" s="260">
        <v>114698.36666666667</v>
      </c>
      <c r="C206" s="3078"/>
      <c r="D206" s="810"/>
      <c r="E206" s="260">
        <v>3055.8</v>
      </c>
      <c r="F206" s="1738">
        <v>459.00799999999998</v>
      </c>
      <c r="G206" s="1403"/>
      <c r="H206" s="3067"/>
      <c r="I206" s="1887"/>
      <c r="J206" s="1402"/>
      <c r="K206" s="3067"/>
      <c r="L206" s="1402"/>
      <c r="M206" s="1887"/>
      <c r="N206" s="1402"/>
      <c r="O206" s="3067"/>
      <c r="P206" s="3067"/>
      <c r="Q206" s="3067"/>
      <c r="R206" s="3067"/>
      <c r="S206" s="3067"/>
      <c r="T206" s="3067"/>
      <c r="U206" s="3067"/>
      <c r="V206" s="3067"/>
      <c r="W206" s="3067"/>
      <c r="X206" s="3067"/>
      <c r="Y206" s="3067"/>
      <c r="Z206" s="3067"/>
      <c r="AA206" s="3067"/>
      <c r="AB206" s="3067"/>
      <c r="AC206" s="3067"/>
      <c r="AD206" s="3067"/>
      <c r="AE206" s="3067"/>
      <c r="AF206" s="3067"/>
      <c r="AG206" s="3068"/>
    </row>
    <row r="207" spans="1:33">
      <c r="A207" s="63">
        <f t="shared" si="0"/>
        <v>2010.06</v>
      </c>
      <c r="B207" s="260">
        <v>114500.06666666667</v>
      </c>
      <c r="C207" s="3078"/>
      <c r="D207" s="810"/>
      <c r="E207" s="260">
        <v>3940.6</v>
      </c>
      <c r="F207" s="1738">
        <v>459.96199999999999</v>
      </c>
      <c r="G207" s="1403"/>
      <c r="H207" s="3067"/>
      <c r="I207" s="1887"/>
      <c r="J207" s="1402"/>
      <c r="K207" s="3067"/>
      <c r="L207" s="1402"/>
      <c r="M207" s="1887"/>
      <c r="N207" s="1402"/>
      <c r="O207" s="3067"/>
      <c r="P207" s="3067"/>
      <c r="Q207" s="3067"/>
      <c r="R207" s="3067"/>
      <c r="S207" s="3067"/>
      <c r="T207" s="3067"/>
      <c r="U207" s="3067"/>
      <c r="V207" s="3067"/>
      <c r="W207" s="3067"/>
      <c r="X207" s="3067"/>
      <c r="Y207" s="3067"/>
      <c r="Z207" s="3067"/>
      <c r="AA207" s="3067"/>
      <c r="AB207" s="3067"/>
      <c r="AC207" s="3067"/>
      <c r="AD207" s="3067"/>
      <c r="AE207" s="3067"/>
      <c r="AF207" s="3067"/>
      <c r="AG207" s="3068"/>
    </row>
    <row r="208" spans="1:33">
      <c r="A208" s="63">
        <f t="shared" si="0"/>
        <v>2010.07</v>
      </c>
      <c r="B208" s="260">
        <v>114150.13333333333</v>
      </c>
      <c r="C208" s="3078"/>
      <c r="D208" s="810"/>
      <c r="E208" s="260">
        <v>4623.5</v>
      </c>
      <c r="F208" s="1738">
        <v>460.33</v>
      </c>
      <c r="G208" s="1403"/>
      <c r="H208" s="3067"/>
      <c r="I208" s="1887"/>
      <c r="J208" s="1402"/>
      <c r="K208" s="3067"/>
      <c r="L208" s="1402"/>
      <c r="M208" s="1887"/>
      <c r="N208" s="1402"/>
      <c r="O208" s="3067"/>
      <c r="P208" s="3067"/>
      <c r="Q208" s="3067"/>
      <c r="R208" s="3067"/>
      <c r="S208" s="3067"/>
      <c r="T208" s="3067"/>
      <c r="U208" s="3067"/>
      <c r="V208" s="3067"/>
      <c r="W208" s="3067"/>
      <c r="X208" s="3067"/>
      <c r="Y208" s="3067"/>
      <c r="Z208" s="3067"/>
      <c r="AA208" s="3067"/>
      <c r="AB208" s="3067"/>
      <c r="AC208" s="3067"/>
      <c r="AD208" s="3067"/>
      <c r="AE208" s="3067"/>
      <c r="AF208" s="3067"/>
      <c r="AG208" s="3068"/>
    </row>
    <row r="209" spans="1:33">
      <c r="A209" s="63">
        <f t="shared" si="0"/>
        <v>2010.08</v>
      </c>
      <c r="B209" s="260">
        <v>113944.03333333333</v>
      </c>
      <c r="C209" s="3078"/>
      <c r="D209" s="810"/>
      <c r="E209" s="260">
        <v>5294.9</v>
      </c>
      <c r="F209" s="1738">
        <v>462.05599999999998</v>
      </c>
      <c r="G209" s="1403"/>
      <c r="H209" s="3067"/>
      <c r="I209" s="1887"/>
      <c r="J209" s="1402"/>
      <c r="K209" s="3067"/>
      <c r="L209" s="1402"/>
      <c r="M209" s="1887"/>
      <c r="N209" s="1402"/>
      <c r="O209" s="3067"/>
      <c r="P209" s="3067"/>
      <c r="Q209" s="3067"/>
      <c r="R209" s="3067"/>
      <c r="S209" s="3067"/>
      <c r="T209" s="3067"/>
      <c r="U209" s="3067"/>
      <c r="V209" s="3067"/>
      <c r="W209" s="3067"/>
      <c r="X209" s="3067"/>
      <c r="Y209" s="3067"/>
      <c r="Z209" s="3067"/>
      <c r="AA209" s="3067"/>
      <c r="AB209" s="3067"/>
      <c r="AC209" s="3067"/>
      <c r="AD209" s="3067"/>
      <c r="AE209" s="3067"/>
      <c r="AF209" s="3067"/>
      <c r="AG209" s="3068"/>
    </row>
    <row r="210" spans="1:33">
      <c r="A210" s="63">
        <f t="shared" si="0"/>
        <v>2010.09</v>
      </c>
      <c r="B210" s="260">
        <v>114579.63333333333</v>
      </c>
      <c r="C210" s="3078"/>
      <c r="D210" s="810"/>
      <c r="E210" s="260">
        <v>5984</v>
      </c>
      <c r="F210" s="1738">
        <v>464.50200000000001</v>
      </c>
      <c r="G210" s="1403"/>
      <c r="H210" s="3067"/>
      <c r="I210" s="1887"/>
      <c r="J210" s="1402"/>
      <c r="K210" s="3067"/>
      <c r="L210" s="1402"/>
      <c r="M210" s="1887"/>
      <c r="N210" s="1402"/>
      <c r="O210" s="3067"/>
      <c r="P210" s="3067"/>
      <c r="Q210" s="3067"/>
      <c r="R210" s="3067"/>
      <c r="S210" s="3067"/>
      <c r="T210" s="3067"/>
      <c r="U210" s="3067"/>
      <c r="V210" s="3067"/>
      <c r="W210" s="3067"/>
      <c r="X210" s="3067"/>
      <c r="Y210" s="3067"/>
      <c r="Z210" s="3067"/>
      <c r="AA210" s="3067"/>
      <c r="AB210" s="3067"/>
      <c r="AC210" s="3067"/>
      <c r="AD210" s="3067"/>
      <c r="AE210" s="3067"/>
      <c r="AF210" s="3067"/>
      <c r="AG210" s="3068"/>
    </row>
    <row r="211" spans="1:33">
      <c r="A211" s="63">
        <f t="shared" si="0"/>
        <v>2010.1</v>
      </c>
      <c r="B211" s="260">
        <v>114577.3</v>
      </c>
      <c r="C211" s="3078"/>
      <c r="D211" s="810"/>
      <c r="E211" s="260">
        <v>6702.1</v>
      </c>
      <c r="F211" s="1738">
        <v>467.31299999999999</v>
      </c>
      <c r="G211" s="1403"/>
      <c r="H211" s="3067"/>
      <c r="I211" s="1887"/>
      <c r="J211" s="1402"/>
      <c r="K211" s="3067"/>
      <c r="L211" s="1402"/>
      <c r="M211" s="1887"/>
      <c r="N211" s="1402"/>
      <c r="O211" s="3067"/>
      <c r="P211" s="3067"/>
      <c r="Q211" s="3067"/>
      <c r="R211" s="3067"/>
      <c r="S211" s="3067"/>
      <c r="T211" s="3067"/>
      <c r="U211" s="3067"/>
      <c r="V211" s="3067"/>
      <c r="W211" s="3067"/>
      <c r="X211" s="3067"/>
      <c r="Y211" s="3067"/>
      <c r="Z211" s="3067"/>
      <c r="AA211" s="3067"/>
      <c r="AB211" s="3067"/>
      <c r="AC211" s="3067"/>
      <c r="AD211" s="3067"/>
      <c r="AE211" s="3067"/>
      <c r="AF211" s="3067"/>
      <c r="AG211" s="3068"/>
    </row>
    <row r="212" spans="1:33">
      <c r="A212" s="63">
        <f t="shared" si="0"/>
        <v>2010.11</v>
      </c>
      <c r="B212" s="260">
        <v>115118.3</v>
      </c>
      <c r="C212" s="3078"/>
      <c r="D212" s="810"/>
      <c r="E212" s="260">
        <v>7483.6</v>
      </c>
      <c r="F212" s="1738">
        <v>472.01</v>
      </c>
      <c r="G212" s="1403"/>
      <c r="H212" s="3067"/>
      <c r="I212" s="1887"/>
      <c r="J212" s="1402"/>
      <c r="K212" s="3067"/>
      <c r="L212" s="1402"/>
      <c r="M212" s="1887"/>
      <c r="N212" s="1402"/>
      <c r="O212" s="3067"/>
      <c r="P212" s="3067"/>
      <c r="Q212" s="3067"/>
      <c r="R212" s="3067"/>
      <c r="S212" s="3067"/>
      <c r="T212" s="3067"/>
      <c r="U212" s="3067"/>
      <c r="V212" s="3067"/>
      <c r="W212" s="3067"/>
      <c r="X212" s="3067"/>
      <c r="Y212" s="3067"/>
      <c r="Z212" s="3067"/>
      <c r="AA212" s="3067"/>
      <c r="AB212" s="3067"/>
      <c r="AC212" s="3067"/>
      <c r="AD212" s="3067"/>
      <c r="AE212" s="3067"/>
      <c r="AF212" s="3067"/>
      <c r="AG212" s="3068"/>
    </row>
    <row r="213" spans="1:33">
      <c r="A213" s="63">
        <f t="shared" si="0"/>
        <v>2010.12</v>
      </c>
      <c r="B213" s="260">
        <v>116513.76666666666</v>
      </c>
      <c r="C213" s="3078"/>
      <c r="D213" s="810"/>
      <c r="E213" s="260">
        <v>8527.2000000000007</v>
      </c>
      <c r="F213" s="1738">
        <v>477.78800000000001</v>
      </c>
      <c r="G213" s="1403"/>
      <c r="H213" s="3067"/>
      <c r="I213" s="1887"/>
      <c r="J213" s="1402"/>
      <c r="K213" s="3067"/>
      <c r="L213" s="1402"/>
      <c r="M213" s="1887"/>
      <c r="N213" s="1402"/>
      <c r="O213" s="3067"/>
      <c r="P213" s="3067"/>
      <c r="Q213" s="3067"/>
      <c r="R213" s="3067"/>
      <c r="S213" s="3067"/>
      <c r="T213" s="3067"/>
      <c r="U213" s="3067"/>
      <c r="V213" s="3067"/>
      <c r="W213" s="3067"/>
      <c r="X213" s="3067"/>
      <c r="Y213" s="3067"/>
      <c r="Z213" s="3067"/>
      <c r="AA213" s="3067"/>
      <c r="AB213" s="3067"/>
      <c r="AC213" s="3067"/>
      <c r="AD213" s="3067"/>
      <c r="AE213" s="3067"/>
      <c r="AF213" s="3067"/>
      <c r="AG213" s="3068"/>
    </row>
    <row r="214" spans="1:33">
      <c r="A214" s="63">
        <f t="shared" si="0"/>
        <v>2011.01</v>
      </c>
      <c r="B214" s="260">
        <v>116706.7</v>
      </c>
      <c r="C214" s="3078"/>
      <c r="D214" s="810"/>
      <c r="E214" s="260">
        <v>759.1</v>
      </c>
      <c r="F214" s="1738">
        <v>475.04199999999997</v>
      </c>
      <c r="G214" s="1403"/>
      <c r="H214" s="3067"/>
      <c r="I214" s="1887"/>
      <c r="J214" s="1402"/>
      <c r="K214" s="3067"/>
      <c r="L214" s="1402"/>
      <c r="M214" s="1887"/>
      <c r="N214" s="1402"/>
      <c r="O214" s="3067"/>
      <c r="P214" s="3067"/>
      <c r="Q214" s="3067"/>
      <c r="R214" s="3067"/>
      <c r="S214" s="3067"/>
      <c r="T214" s="3067"/>
      <c r="U214" s="3067"/>
      <c r="V214" s="3067"/>
      <c r="W214" s="3067"/>
      <c r="X214" s="3067"/>
      <c r="Y214" s="3067"/>
      <c r="Z214" s="3067"/>
      <c r="AA214" s="3067"/>
      <c r="AB214" s="3067"/>
      <c r="AC214" s="3067"/>
      <c r="AD214" s="3067"/>
      <c r="AE214" s="3067"/>
      <c r="AF214" s="3067"/>
      <c r="AG214" s="3068"/>
    </row>
    <row r="215" spans="1:33">
      <c r="A215" s="63">
        <f t="shared" si="0"/>
        <v>2011.02</v>
      </c>
      <c r="B215" s="260">
        <v>116730.13333333333</v>
      </c>
      <c r="C215" s="3078"/>
      <c r="D215" s="810"/>
      <c r="E215" s="260">
        <v>1653.2</v>
      </c>
      <c r="F215" s="1738">
        <v>474.11500000000001</v>
      </c>
      <c r="G215" s="1403"/>
      <c r="H215" s="3067"/>
      <c r="I215" s="1887"/>
      <c r="J215" s="1402"/>
      <c r="K215" s="3067"/>
      <c r="L215" s="1402"/>
      <c r="M215" s="1887"/>
      <c r="N215" s="1402"/>
      <c r="O215" s="3067"/>
      <c r="P215" s="3067"/>
      <c r="Q215" s="3067"/>
      <c r="R215" s="3067"/>
      <c r="S215" s="3067"/>
      <c r="T215" s="3067"/>
      <c r="U215" s="3067"/>
      <c r="V215" s="3067"/>
      <c r="W215" s="3067"/>
      <c r="X215" s="3067"/>
      <c r="Y215" s="3067"/>
      <c r="Z215" s="3067"/>
      <c r="AA215" s="3067"/>
      <c r="AB215" s="3067"/>
      <c r="AC215" s="3067"/>
      <c r="AD215" s="3067"/>
      <c r="AE215" s="3067"/>
      <c r="AF215" s="3067"/>
      <c r="AG215" s="3068"/>
    </row>
    <row r="216" spans="1:33">
      <c r="A216" s="63">
        <f t="shared" si="0"/>
        <v>2011.03</v>
      </c>
      <c r="B216" s="260">
        <v>116771.53333333333</v>
      </c>
      <c r="C216" s="3078"/>
      <c r="D216" s="810"/>
      <c r="E216" s="260">
        <v>2651.7</v>
      </c>
      <c r="F216" s="1738">
        <v>478.83600000000001</v>
      </c>
      <c r="G216" s="1403"/>
      <c r="H216" s="3067"/>
      <c r="I216" s="1887"/>
      <c r="J216" s="1402"/>
      <c r="K216" s="3067"/>
      <c r="L216" s="1402"/>
      <c r="M216" s="1887"/>
      <c r="N216" s="1402"/>
      <c r="O216" s="3067"/>
      <c r="P216" s="3067"/>
      <c r="Q216" s="3067"/>
      <c r="R216" s="3067"/>
      <c r="S216" s="3067"/>
      <c r="T216" s="3067"/>
      <c r="U216" s="3067"/>
      <c r="V216" s="3067"/>
      <c r="W216" s="3067"/>
      <c r="X216" s="3067"/>
      <c r="Y216" s="3067"/>
      <c r="Z216" s="3067"/>
      <c r="AA216" s="3067"/>
      <c r="AB216" s="3067"/>
      <c r="AC216" s="3067"/>
      <c r="AD216" s="3067"/>
      <c r="AE216" s="3067"/>
      <c r="AF216" s="3067"/>
      <c r="AG216" s="3068"/>
    </row>
    <row r="217" spans="1:33">
      <c r="A217" s="63">
        <f t="shared" si="0"/>
        <v>2011.04</v>
      </c>
      <c r="B217" s="260">
        <v>116849.46666666667</v>
      </c>
      <c r="C217" s="3078"/>
      <c r="D217" s="810"/>
      <c r="E217" s="260">
        <v>3621.9</v>
      </c>
      <c r="F217" s="1738">
        <v>481.31400000000002</v>
      </c>
      <c r="G217" s="1403"/>
      <c r="H217" s="3067"/>
      <c r="I217" s="1887"/>
      <c r="J217" s="1402"/>
      <c r="K217" s="3067"/>
      <c r="L217" s="1402"/>
      <c r="M217" s="1887"/>
      <c r="N217" s="1402"/>
      <c r="O217" s="3067"/>
      <c r="P217" s="3067"/>
      <c r="Q217" s="3067"/>
      <c r="R217" s="3067"/>
      <c r="S217" s="3067"/>
      <c r="T217" s="3067"/>
      <c r="U217" s="3067"/>
      <c r="V217" s="3067"/>
      <c r="W217" s="3067"/>
      <c r="X217" s="3067"/>
      <c r="Y217" s="3067"/>
      <c r="Z217" s="3067"/>
      <c r="AA217" s="3067"/>
      <c r="AB217" s="3067"/>
      <c r="AC217" s="3067"/>
      <c r="AD217" s="3067"/>
      <c r="AE217" s="3067"/>
      <c r="AF217" s="3067"/>
      <c r="AG217" s="3068"/>
    </row>
    <row r="218" spans="1:33">
      <c r="A218" s="63">
        <f t="shared" si="0"/>
        <v>2011.05</v>
      </c>
      <c r="B218" s="260">
        <v>117356.13333333333</v>
      </c>
      <c r="C218" s="3078"/>
      <c r="D218" s="810"/>
      <c r="E218" s="260">
        <v>4603</v>
      </c>
      <c r="F218" s="1738">
        <v>482.327</v>
      </c>
      <c r="G218" s="1403"/>
      <c r="H218" s="3067"/>
      <c r="I218" s="1887"/>
      <c r="J218" s="1402"/>
      <c r="K218" s="3067"/>
      <c r="L218" s="1402"/>
      <c r="M218" s="1887"/>
      <c r="N218" s="1402"/>
      <c r="O218" s="3067"/>
      <c r="P218" s="3067"/>
      <c r="Q218" s="3067"/>
      <c r="R218" s="3067"/>
      <c r="S218" s="3067"/>
      <c r="T218" s="3067"/>
      <c r="U218" s="3067"/>
      <c r="V218" s="3067"/>
      <c r="W218" s="3067"/>
      <c r="X218" s="3067"/>
      <c r="Y218" s="3067"/>
      <c r="Z218" s="3067"/>
      <c r="AA218" s="3067"/>
      <c r="AB218" s="3067"/>
      <c r="AC218" s="3067"/>
      <c r="AD218" s="3067"/>
      <c r="AE218" s="3067"/>
      <c r="AF218" s="3067"/>
      <c r="AG218" s="3068"/>
    </row>
    <row r="219" spans="1:33">
      <c r="A219" s="63">
        <f t="shared" si="0"/>
        <v>2011.06</v>
      </c>
      <c r="B219" s="260">
        <v>117321.86666666667</v>
      </c>
      <c r="C219" s="3078"/>
      <c r="D219" s="810"/>
      <c r="E219" s="260">
        <v>5930.6</v>
      </c>
      <c r="F219" s="1738">
        <v>484.44</v>
      </c>
      <c r="G219" s="1403"/>
      <c r="H219" s="3067"/>
      <c r="I219" s="1887"/>
      <c r="J219" s="1402"/>
      <c r="K219" s="3067"/>
      <c r="L219" s="1402"/>
      <c r="M219" s="1887"/>
      <c r="N219" s="1402"/>
      <c r="O219" s="3067"/>
      <c r="P219" s="3067"/>
      <c r="Q219" s="3067"/>
      <c r="R219" s="3067"/>
      <c r="S219" s="3067"/>
      <c r="T219" s="3067"/>
      <c r="U219" s="3067"/>
      <c r="V219" s="3067"/>
      <c r="W219" s="3067"/>
      <c r="X219" s="3067"/>
      <c r="Y219" s="3067"/>
      <c r="Z219" s="3067"/>
      <c r="AA219" s="3067"/>
      <c r="AB219" s="3067"/>
      <c r="AC219" s="3067"/>
      <c r="AD219" s="3067"/>
      <c r="AE219" s="3067"/>
      <c r="AF219" s="3067"/>
      <c r="AG219" s="3068"/>
    </row>
    <row r="220" spans="1:33">
      <c r="A220" s="63">
        <f t="shared" si="0"/>
        <v>2011.07</v>
      </c>
      <c r="B220" s="260">
        <v>117275.9</v>
      </c>
      <c r="C220" s="3078"/>
      <c r="D220" s="810"/>
      <c r="E220" s="260">
        <v>6950.1</v>
      </c>
      <c r="F220" s="1738">
        <v>484.298</v>
      </c>
      <c r="G220" s="1403"/>
      <c r="H220" s="3067"/>
      <c r="I220" s="1887"/>
      <c r="J220" s="1402"/>
      <c r="K220" s="3067"/>
      <c r="L220" s="1402"/>
      <c r="M220" s="1887"/>
      <c r="N220" s="1402"/>
      <c r="O220" s="3067"/>
      <c r="P220" s="3067"/>
      <c r="Q220" s="3067"/>
      <c r="R220" s="3067"/>
      <c r="S220" s="3067"/>
      <c r="T220" s="3067"/>
      <c r="U220" s="3067"/>
      <c r="V220" s="3067"/>
      <c r="W220" s="3067"/>
      <c r="X220" s="3067"/>
      <c r="Y220" s="3067"/>
      <c r="Z220" s="3067"/>
      <c r="AA220" s="3067"/>
      <c r="AB220" s="3067"/>
      <c r="AC220" s="3067"/>
      <c r="AD220" s="3067"/>
      <c r="AE220" s="3067"/>
      <c r="AF220" s="3067"/>
      <c r="AG220" s="3068"/>
    </row>
    <row r="221" spans="1:33">
      <c r="A221" s="63">
        <f t="shared" si="0"/>
        <v>2011.08</v>
      </c>
      <c r="B221" s="260">
        <v>117277.93333333333</v>
      </c>
      <c r="C221" s="3078"/>
      <c r="D221" s="810"/>
      <c r="E221" s="260">
        <v>7947.9</v>
      </c>
      <c r="F221" s="1738">
        <v>487.82100000000003</v>
      </c>
      <c r="G221" s="1403"/>
      <c r="H221" s="3067"/>
      <c r="I221" s="1887"/>
      <c r="J221" s="1402"/>
      <c r="K221" s="3067"/>
      <c r="L221" s="1402"/>
      <c r="M221" s="1887"/>
      <c r="N221" s="1402"/>
      <c r="O221" s="3067"/>
      <c r="P221" s="3067"/>
      <c r="Q221" s="3067"/>
      <c r="R221" s="3067"/>
      <c r="S221" s="3067"/>
      <c r="T221" s="3067"/>
      <c r="U221" s="3067"/>
      <c r="V221" s="3067"/>
      <c r="W221" s="3067"/>
      <c r="X221" s="3067"/>
      <c r="Y221" s="3067"/>
      <c r="Z221" s="3067"/>
      <c r="AA221" s="3067"/>
      <c r="AB221" s="3067"/>
      <c r="AC221" s="3067"/>
      <c r="AD221" s="3067"/>
      <c r="AE221" s="3067"/>
      <c r="AF221" s="3067"/>
      <c r="AG221" s="3068"/>
    </row>
    <row r="222" spans="1:33">
      <c r="A222" s="63">
        <f t="shared" si="0"/>
        <v>2011.09</v>
      </c>
      <c r="B222" s="260">
        <v>117348.73333333334</v>
      </c>
      <c r="C222" s="3078"/>
      <c r="D222" s="810"/>
      <c r="E222" s="260">
        <v>8960.9</v>
      </c>
      <c r="F222" s="1738">
        <v>488.52</v>
      </c>
      <c r="G222" s="1403"/>
      <c r="H222" s="3067"/>
      <c r="I222" s="1887"/>
      <c r="J222" s="1402"/>
      <c r="K222" s="3067"/>
      <c r="L222" s="1402"/>
      <c r="M222" s="1887"/>
      <c r="N222" s="1402"/>
      <c r="O222" s="3067"/>
      <c r="P222" s="3067"/>
      <c r="Q222" s="3067"/>
      <c r="R222" s="3067"/>
      <c r="S222" s="3067"/>
      <c r="T222" s="3067"/>
      <c r="U222" s="3067"/>
      <c r="V222" s="3067"/>
      <c r="W222" s="3067"/>
      <c r="X222" s="3067"/>
      <c r="Y222" s="3067"/>
      <c r="Z222" s="3067"/>
      <c r="AA222" s="3067"/>
      <c r="AB222" s="3067"/>
      <c r="AC222" s="3067"/>
      <c r="AD222" s="3067"/>
      <c r="AE222" s="3067"/>
      <c r="AF222" s="3067"/>
      <c r="AG222" s="3068"/>
    </row>
    <row r="223" spans="1:33">
      <c r="A223" s="63">
        <f t="shared" si="0"/>
        <v>2011.1</v>
      </c>
      <c r="B223" s="260">
        <v>117275.66666666667</v>
      </c>
      <c r="C223" s="3078"/>
      <c r="D223" s="810"/>
      <c r="E223" s="260">
        <v>9966.2999999999993</v>
      </c>
      <c r="F223" s="1738">
        <v>490.649</v>
      </c>
      <c r="G223" s="1403"/>
      <c r="H223" s="3067"/>
      <c r="I223" s="1887"/>
      <c r="J223" s="1402"/>
      <c r="K223" s="3067"/>
      <c r="L223" s="1402"/>
      <c r="M223" s="1887"/>
      <c r="N223" s="1402"/>
      <c r="O223" s="3067"/>
      <c r="P223" s="3067"/>
      <c r="Q223" s="3067"/>
      <c r="R223" s="3067"/>
      <c r="S223" s="3067"/>
      <c r="T223" s="3067"/>
      <c r="U223" s="3067"/>
      <c r="V223" s="3067"/>
      <c r="W223" s="3067"/>
      <c r="X223" s="3067"/>
      <c r="Y223" s="3067"/>
      <c r="Z223" s="3067"/>
      <c r="AA223" s="3067"/>
      <c r="AB223" s="3067"/>
      <c r="AC223" s="3067"/>
      <c r="AD223" s="3067"/>
      <c r="AE223" s="3067"/>
      <c r="AF223" s="3067"/>
      <c r="AG223" s="3068"/>
    </row>
    <row r="224" spans="1:33">
      <c r="A224" s="63">
        <f t="shared" si="0"/>
        <v>2011.11</v>
      </c>
      <c r="B224" s="260">
        <v>117220.96666666667</v>
      </c>
      <c r="C224" s="3078"/>
      <c r="D224" s="810"/>
      <c r="E224" s="260">
        <v>10979.1</v>
      </c>
      <c r="F224" s="1738">
        <v>495.20299999999997</v>
      </c>
      <c r="G224" s="1403"/>
      <c r="H224" s="3067"/>
      <c r="I224" s="1887"/>
      <c r="J224" s="1402"/>
      <c r="K224" s="3067"/>
      <c r="L224" s="1402"/>
      <c r="M224" s="1887"/>
      <c r="N224" s="1402"/>
      <c r="O224" s="3067"/>
      <c r="P224" s="3067"/>
      <c r="Q224" s="3067"/>
      <c r="R224" s="3067"/>
      <c r="S224" s="3067"/>
      <c r="T224" s="3067"/>
      <c r="U224" s="3067"/>
      <c r="V224" s="3067"/>
      <c r="W224" s="3067"/>
      <c r="X224" s="3067"/>
      <c r="Y224" s="3067"/>
      <c r="Z224" s="3067"/>
      <c r="AA224" s="3067"/>
      <c r="AB224" s="3067"/>
      <c r="AC224" s="3067"/>
      <c r="AD224" s="3067"/>
      <c r="AE224" s="3067"/>
      <c r="AF224" s="3067"/>
      <c r="AG224" s="3068"/>
    </row>
    <row r="225" spans="1:33">
      <c r="A225" s="63">
        <f t="shared" si="0"/>
        <v>2011.12</v>
      </c>
      <c r="B225" s="260">
        <v>117341.9</v>
      </c>
      <c r="C225" s="3078"/>
      <c r="D225" s="810"/>
      <c r="E225" s="260">
        <v>12397.7</v>
      </c>
      <c r="F225" s="1738">
        <v>497.96800000000002</v>
      </c>
      <c r="G225" s="1403"/>
      <c r="H225" s="3067"/>
      <c r="I225" s="1887"/>
      <c r="J225" s="1402"/>
      <c r="K225" s="3067"/>
      <c r="L225" s="1402"/>
      <c r="M225" s="1887"/>
      <c r="N225" s="1402"/>
      <c r="O225" s="3067"/>
      <c r="P225" s="3067"/>
      <c r="Q225" s="3067"/>
      <c r="R225" s="3067"/>
      <c r="S225" s="3067"/>
      <c r="T225" s="3067"/>
      <c r="U225" s="3067"/>
      <c r="V225" s="3067"/>
      <c r="W225" s="3067"/>
      <c r="X225" s="3067"/>
      <c r="Y225" s="3067"/>
      <c r="Z225" s="3067"/>
      <c r="AA225" s="3067"/>
      <c r="AB225" s="3067"/>
      <c r="AC225" s="3067"/>
      <c r="AD225" s="3067"/>
      <c r="AE225" s="3067"/>
      <c r="AF225" s="3067"/>
      <c r="AG225" s="3068"/>
    </row>
    <row r="226" spans="1:33">
      <c r="A226" s="63">
        <f t="shared" si="0"/>
        <v>2012.01</v>
      </c>
      <c r="B226" s="260">
        <v>119810.26666666666</v>
      </c>
      <c r="C226" s="3078"/>
      <c r="D226" s="810"/>
      <c r="E226" s="260">
        <v>1011.77</v>
      </c>
      <c r="F226" s="1738">
        <v>493.45699999999999</v>
      </c>
      <c r="G226" s="1403"/>
      <c r="H226" s="3067"/>
      <c r="I226" s="1887"/>
      <c r="J226" s="1402"/>
      <c r="K226" s="3067"/>
      <c r="L226" s="1402"/>
      <c r="M226" s="1887"/>
      <c r="N226" s="1402"/>
      <c r="O226" s="3067"/>
      <c r="P226" s="3067"/>
      <c r="Q226" s="3067"/>
      <c r="R226" s="3067"/>
      <c r="S226" s="3067"/>
      <c r="T226" s="3067"/>
      <c r="U226" s="3067"/>
      <c r="V226" s="3067"/>
      <c r="W226" s="3067"/>
      <c r="X226" s="3067"/>
      <c r="Y226" s="3067"/>
      <c r="Z226" s="3067"/>
      <c r="AA226" s="3067"/>
      <c r="AB226" s="3067"/>
      <c r="AC226" s="3067"/>
      <c r="AD226" s="3067"/>
      <c r="AE226" s="3067"/>
      <c r="AF226" s="3067"/>
      <c r="AG226" s="3068"/>
    </row>
    <row r="227" spans="1:33">
      <c r="A227" s="63">
        <f t="shared" si="0"/>
        <v>2012.02</v>
      </c>
      <c r="B227" s="260">
        <v>119633.36666666667</v>
      </c>
      <c r="C227" s="3078"/>
      <c r="D227" s="810"/>
      <c r="E227" s="260">
        <v>2023.95</v>
      </c>
      <c r="F227" s="1738">
        <v>490.28699999999998</v>
      </c>
      <c r="G227" s="1403"/>
      <c r="H227" s="3067"/>
      <c r="I227" s="1887"/>
      <c r="J227" s="1402"/>
      <c r="K227" s="3067"/>
      <c r="L227" s="1402"/>
      <c r="M227" s="1887"/>
      <c r="N227" s="1402"/>
      <c r="O227" s="3067"/>
      <c r="P227" s="3067"/>
      <c r="Q227" s="3067"/>
      <c r="R227" s="3067"/>
      <c r="S227" s="3067"/>
      <c r="T227" s="3067"/>
      <c r="U227" s="3067"/>
      <c r="V227" s="3067"/>
      <c r="W227" s="3067"/>
      <c r="X227" s="3067"/>
      <c r="Y227" s="3067"/>
      <c r="Z227" s="3067"/>
      <c r="AA227" s="3067"/>
      <c r="AB227" s="3067"/>
      <c r="AC227" s="3067"/>
      <c r="AD227" s="3067"/>
      <c r="AE227" s="3067"/>
      <c r="AF227" s="3067"/>
      <c r="AG227" s="3068"/>
    </row>
    <row r="228" spans="1:33">
      <c r="A228" s="63">
        <f t="shared" si="0"/>
        <v>2012.03</v>
      </c>
      <c r="B228" s="260">
        <v>120515.26666666666</v>
      </c>
      <c r="C228" s="3078"/>
      <c r="D228" s="810"/>
      <c r="E228" s="260">
        <v>3146.09</v>
      </c>
      <c r="F228" s="1738">
        <v>493.33499999999998</v>
      </c>
      <c r="G228" s="1403"/>
      <c r="H228" s="3067"/>
      <c r="I228" s="1887"/>
      <c r="J228" s="1402"/>
      <c r="K228" s="3067"/>
      <c r="L228" s="1402"/>
      <c r="M228" s="1887"/>
      <c r="N228" s="1402"/>
      <c r="O228" s="3067"/>
      <c r="P228" s="3067"/>
      <c r="Q228" s="3067"/>
      <c r="R228" s="3067"/>
      <c r="S228" s="3067"/>
      <c r="T228" s="3067"/>
      <c r="U228" s="3067"/>
      <c r="V228" s="3067"/>
      <c r="W228" s="3067"/>
      <c r="X228" s="3067"/>
      <c r="Y228" s="3067"/>
      <c r="Z228" s="3067"/>
      <c r="AA228" s="3067"/>
      <c r="AB228" s="3067"/>
      <c r="AC228" s="3067"/>
      <c r="AD228" s="3067"/>
      <c r="AE228" s="3067"/>
      <c r="AF228" s="3067"/>
      <c r="AG228" s="3068"/>
    </row>
    <row r="229" spans="1:33">
      <c r="A229" s="63">
        <f t="shared" si="0"/>
        <v>2012.04</v>
      </c>
      <c r="B229" s="260">
        <v>122317.7</v>
      </c>
      <c r="C229" s="3078"/>
      <c r="D229" s="810"/>
      <c r="E229" s="260">
        <v>4483.9399999999996</v>
      </c>
      <c r="F229" s="1738">
        <v>492.66199999999998</v>
      </c>
      <c r="G229" s="1403"/>
      <c r="H229" s="3067"/>
      <c r="I229" s="1887"/>
      <c r="J229" s="1402"/>
      <c r="K229" s="3067"/>
      <c r="L229" s="1402"/>
      <c r="M229" s="1887"/>
      <c r="N229" s="1402"/>
      <c r="O229" s="3067"/>
      <c r="P229" s="3067"/>
      <c r="Q229" s="3067"/>
      <c r="R229" s="3067"/>
      <c r="S229" s="3067"/>
      <c r="T229" s="3067"/>
      <c r="U229" s="3067"/>
      <c r="V229" s="3067"/>
      <c r="W229" s="3067"/>
      <c r="X229" s="3067"/>
      <c r="Y229" s="3067"/>
      <c r="Z229" s="3067"/>
      <c r="AA229" s="3067"/>
      <c r="AB229" s="3067"/>
      <c r="AC229" s="3067"/>
      <c r="AD229" s="3067"/>
      <c r="AE229" s="3067"/>
      <c r="AF229" s="3067"/>
      <c r="AG229" s="3068"/>
    </row>
    <row r="230" spans="1:33">
      <c r="A230" s="63">
        <f t="shared" si="0"/>
        <v>2012.05</v>
      </c>
      <c r="B230" s="260">
        <v>122109.1</v>
      </c>
      <c r="C230" s="3066">
        <v>121347</v>
      </c>
      <c r="D230" s="721">
        <v>762</v>
      </c>
      <c r="E230" s="260">
        <v>5712.27</v>
      </c>
      <c r="F230" s="1738">
        <v>492.00700000000001</v>
      </c>
      <c r="G230" s="1403"/>
      <c r="H230" s="3067"/>
      <c r="I230" s="1887"/>
      <c r="J230" s="1402"/>
      <c r="K230" s="3067"/>
      <c r="L230" s="1402"/>
      <c r="M230" s="1887"/>
      <c r="N230" s="1402"/>
      <c r="O230" s="3067"/>
      <c r="P230" s="3067"/>
      <c r="Q230" s="3067"/>
      <c r="R230" s="3067"/>
      <c r="S230" s="3067"/>
      <c r="T230" s="3067"/>
      <c r="U230" s="3067"/>
      <c r="V230" s="3067"/>
      <c r="W230" s="3067"/>
      <c r="X230" s="3067"/>
      <c r="Y230" s="3067"/>
      <c r="Z230" s="3067"/>
      <c r="AA230" s="3067"/>
      <c r="AB230" s="3067"/>
      <c r="AC230" s="3067"/>
      <c r="AD230" s="3067"/>
      <c r="AE230" s="3067"/>
      <c r="AF230" s="3067"/>
      <c r="AG230" s="3068"/>
    </row>
    <row r="231" spans="1:33">
      <c r="A231" s="63">
        <f t="shared" si="0"/>
        <v>2012.06</v>
      </c>
      <c r="B231" s="260">
        <v>122452.26666666666</v>
      </c>
      <c r="C231" s="3034">
        <v>121691</v>
      </c>
      <c r="D231" s="169">
        <v>761</v>
      </c>
      <c r="E231" s="260">
        <v>7407.24</v>
      </c>
      <c r="F231" s="1738">
        <v>491.11</v>
      </c>
      <c r="G231" s="1403"/>
      <c r="H231" s="3067"/>
      <c r="I231" s="1887"/>
      <c r="J231" s="1402"/>
      <c r="K231" s="3067"/>
      <c r="L231" s="1402"/>
      <c r="M231" s="1887"/>
      <c r="N231" s="1402"/>
      <c r="O231" s="3067"/>
      <c r="P231" s="3067"/>
      <c r="Q231" s="3067"/>
      <c r="R231" s="3067"/>
      <c r="S231" s="3067"/>
      <c r="T231" s="3067"/>
      <c r="U231" s="3067"/>
      <c r="V231" s="3067"/>
      <c r="W231" s="3067"/>
      <c r="X231" s="3067"/>
      <c r="Y231" s="3067"/>
      <c r="Z231" s="3067"/>
      <c r="AA231" s="3067"/>
      <c r="AB231" s="3067"/>
      <c r="AC231" s="3067"/>
      <c r="AD231" s="3067"/>
      <c r="AE231" s="3067"/>
      <c r="AF231" s="3067"/>
      <c r="AG231" s="3068"/>
    </row>
    <row r="232" spans="1:33">
      <c r="A232" s="63">
        <f t="shared" si="0"/>
        <v>2012.07</v>
      </c>
      <c r="B232" s="260">
        <v>122510.8</v>
      </c>
      <c r="C232" s="3034">
        <v>121733</v>
      </c>
      <c r="D232" s="169">
        <v>778</v>
      </c>
      <c r="E232" s="260">
        <v>8705.34</v>
      </c>
      <c r="F232" s="1738">
        <v>488.642</v>
      </c>
      <c r="G232" s="1403"/>
      <c r="H232" s="3067"/>
      <c r="I232" s="1887"/>
      <c r="J232" s="1402"/>
      <c r="K232" s="3067"/>
      <c r="L232" s="1402"/>
      <c r="M232" s="1887"/>
      <c r="N232" s="1402"/>
      <c r="O232" s="3067"/>
      <c r="P232" s="3067"/>
      <c r="Q232" s="3067"/>
      <c r="R232" s="3067"/>
      <c r="S232" s="3067"/>
      <c r="T232" s="3067"/>
      <c r="U232" s="3067"/>
      <c r="V232" s="3067"/>
      <c r="W232" s="3067"/>
      <c r="X232" s="3067"/>
      <c r="Y232" s="3067"/>
      <c r="Z232" s="3067"/>
      <c r="AA232" s="3067"/>
      <c r="AB232" s="3067"/>
      <c r="AC232" s="3067"/>
      <c r="AD232" s="3067"/>
      <c r="AE232" s="3067"/>
      <c r="AF232" s="3067"/>
      <c r="AG232" s="3068"/>
    </row>
    <row r="233" spans="1:33">
      <c r="A233" s="63">
        <f t="shared" si="0"/>
        <v>2012.08</v>
      </c>
      <c r="B233" s="260">
        <v>122970</v>
      </c>
      <c r="C233" s="3034">
        <v>122166</v>
      </c>
      <c r="D233" s="169">
        <v>804</v>
      </c>
      <c r="E233" s="260">
        <v>9982.43</v>
      </c>
      <c r="F233" s="1738">
        <v>488.553</v>
      </c>
      <c r="G233" s="1403"/>
      <c r="H233" s="3067"/>
      <c r="I233" s="1887"/>
      <c r="J233" s="1402"/>
      <c r="K233" s="3067"/>
      <c r="L233" s="1402"/>
      <c r="M233" s="1887"/>
      <c r="N233" s="1402"/>
      <c r="O233" s="3067"/>
      <c r="P233" s="3067"/>
      <c r="Q233" s="3067"/>
      <c r="R233" s="3067"/>
      <c r="S233" s="3067"/>
      <c r="T233" s="3067"/>
      <c r="U233" s="3067"/>
      <c r="V233" s="3067"/>
      <c r="W233" s="3067"/>
      <c r="X233" s="3067"/>
      <c r="Y233" s="3067"/>
      <c r="Z233" s="3067"/>
      <c r="AA233" s="3067"/>
      <c r="AB233" s="3067"/>
      <c r="AC233" s="3067"/>
      <c r="AD233" s="3067"/>
      <c r="AE233" s="3067"/>
      <c r="AF233" s="3067"/>
      <c r="AG233" s="3068"/>
    </row>
    <row r="234" spans="1:33">
      <c r="A234" s="63">
        <f t="shared" si="0"/>
        <v>2012.09</v>
      </c>
      <c r="B234" s="260">
        <v>122911</v>
      </c>
      <c r="C234" s="3034">
        <v>122095</v>
      </c>
      <c r="D234" s="169">
        <v>816</v>
      </c>
      <c r="E234" s="260">
        <v>11282.44</v>
      </c>
      <c r="F234" s="1738">
        <v>487.66399999999999</v>
      </c>
      <c r="G234" s="1403"/>
      <c r="H234" s="3067"/>
      <c r="I234" s="1887"/>
      <c r="J234" s="1402"/>
      <c r="K234" s="3067"/>
      <c r="L234" s="1402"/>
      <c r="M234" s="1887"/>
      <c r="N234" s="1402"/>
      <c r="O234" s="3067"/>
      <c r="P234" s="3067"/>
      <c r="Q234" s="3067"/>
      <c r="R234" s="3067"/>
      <c r="S234" s="3067"/>
      <c r="T234" s="3067"/>
      <c r="U234" s="3067"/>
      <c r="V234" s="3067"/>
      <c r="W234" s="3067"/>
      <c r="X234" s="3067"/>
      <c r="Y234" s="3067"/>
      <c r="Z234" s="3067"/>
      <c r="AA234" s="3067"/>
      <c r="AB234" s="3067"/>
      <c r="AC234" s="3067"/>
      <c r="AD234" s="3067"/>
      <c r="AE234" s="3067"/>
      <c r="AF234" s="3067"/>
      <c r="AG234" s="3068"/>
    </row>
    <row r="235" spans="1:33">
      <c r="A235" s="63">
        <f t="shared" si="0"/>
        <v>2012.1</v>
      </c>
      <c r="B235" s="260">
        <v>123567</v>
      </c>
      <c r="C235" s="3034">
        <v>122741</v>
      </c>
      <c r="D235" s="169">
        <v>826</v>
      </c>
      <c r="E235" s="260">
        <v>12574.5</v>
      </c>
      <c r="F235" s="1738">
        <v>490.89100000000002</v>
      </c>
      <c r="G235" s="1403"/>
      <c r="H235" s="3067"/>
      <c r="I235" s="1887"/>
      <c r="J235" s="1402"/>
      <c r="K235" s="3067"/>
      <c r="L235" s="1402"/>
      <c r="M235" s="1887"/>
      <c r="N235" s="1402"/>
      <c r="O235" s="3067"/>
      <c r="P235" s="3067"/>
      <c r="Q235" s="3067"/>
      <c r="R235" s="3067"/>
      <c r="S235" s="3067"/>
      <c r="T235" s="3067"/>
      <c r="U235" s="3067"/>
      <c r="V235" s="3067"/>
      <c r="W235" s="3067"/>
      <c r="X235" s="3067"/>
      <c r="Y235" s="3067"/>
      <c r="Z235" s="3067"/>
      <c r="AA235" s="3067"/>
      <c r="AB235" s="3067"/>
      <c r="AC235" s="3067"/>
      <c r="AD235" s="3067"/>
      <c r="AE235" s="3067"/>
      <c r="AF235" s="3067"/>
      <c r="AG235" s="3068"/>
    </row>
    <row r="236" spans="1:33">
      <c r="A236" s="63">
        <f t="shared" si="0"/>
        <v>2012.11</v>
      </c>
      <c r="B236" s="260">
        <v>123532</v>
      </c>
      <c r="C236" s="3034">
        <v>122703</v>
      </c>
      <c r="D236" s="169">
        <v>829</v>
      </c>
      <c r="E236" s="260">
        <v>13877.93</v>
      </c>
      <c r="F236" s="1738">
        <v>492.74599999999998</v>
      </c>
      <c r="G236" s="1403"/>
      <c r="H236" s="3067"/>
      <c r="I236" s="1887"/>
      <c r="J236" s="1402"/>
      <c r="K236" s="3067"/>
      <c r="L236" s="1402"/>
      <c r="M236" s="1887"/>
      <c r="N236" s="1402"/>
      <c r="O236" s="3067"/>
      <c r="P236" s="3067"/>
      <c r="Q236" s="3067"/>
      <c r="R236" s="3067"/>
      <c r="S236" s="3067"/>
      <c r="T236" s="3067"/>
      <c r="U236" s="3067"/>
      <c r="V236" s="3067"/>
      <c r="W236" s="3067"/>
      <c r="X236" s="3067"/>
      <c r="Y236" s="3067"/>
      <c r="Z236" s="3067"/>
      <c r="AA236" s="3067"/>
      <c r="AB236" s="3067"/>
      <c r="AC236" s="3067"/>
      <c r="AD236" s="3067"/>
      <c r="AE236" s="3067"/>
      <c r="AF236" s="3067"/>
      <c r="AG236" s="3068"/>
    </row>
    <row r="237" spans="1:33">
      <c r="A237" s="63">
        <f t="shared" si="0"/>
        <v>2012.12</v>
      </c>
      <c r="B237" s="260">
        <v>123511</v>
      </c>
      <c r="C237" s="3034">
        <v>122680</v>
      </c>
      <c r="D237" s="169">
        <v>831</v>
      </c>
      <c r="E237" s="260">
        <v>15677.51</v>
      </c>
      <c r="F237" s="1738">
        <v>495.68099999999998</v>
      </c>
      <c r="G237" s="1403"/>
      <c r="H237" s="3067"/>
      <c r="I237" s="1887"/>
      <c r="J237" s="1402"/>
      <c r="K237" s="3067"/>
      <c r="L237" s="1402"/>
      <c r="M237" s="1887"/>
      <c r="N237" s="1402"/>
      <c r="O237" s="3067"/>
      <c r="P237" s="3067"/>
      <c r="Q237" s="3067"/>
      <c r="R237" s="3067"/>
      <c r="S237" s="3067"/>
      <c r="T237" s="3067"/>
      <c r="U237" s="3067"/>
      <c r="V237" s="3067"/>
      <c r="W237" s="3067"/>
      <c r="X237" s="3067"/>
      <c r="Y237" s="3067"/>
      <c r="Z237" s="3067"/>
      <c r="AA237" s="3067"/>
      <c r="AB237" s="3067"/>
      <c r="AC237" s="3067"/>
      <c r="AD237" s="3067"/>
      <c r="AE237" s="3067"/>
      <c r="AF237" s="3067"/>
      <c r="AG237" s="3068"/>
    </row>
    <row r="238" spans="1:33">
      <c r="A238" s="63">
        <f t="shared" si="0"/>
        <v>2013.01</v>
      </c>
      <c r="B238" s="260">
        <v>123865</v>
      </c>
      <c r="C238" s="3034">
        <v>122974</v>
      </c>
      <c r="D238" s="169">
        <v>891</v>
      </c>
      <c r="E238" s="260">
        <v>1282.04</v>
      </c>
      <c r="F238" s="1738">
        <v>493.57499999999999</v>
      </c>
      <c r="G238" s="1403"/>
      <c r="H238" s="3067"/>
      <c r="I238" s="1887"/>
      <c r="J238" s="1402"/>
      <c r="K238" s="3067"/>
      <c r="L238" s="1402"/>
      <c r="M238" s="1887"/>
      <c r="N238" s="1392">
        <v>24750</v>
      </c>
      <c r="O238" s="3069">
        <v>1207</v>
      </c>
      <c r="P238" s="3069">
        <v>133531</v>
      </c>
      <c r="Q238" s="3069">
        <v>5363</v>
      </c>
      <c r="R238" s="3069">
        <v>4340</v>
      </c>
      <c r="S238" s="3069">
        <v>32689</v>
      </c>
      <c r="T238" s="3069">
        <v>95756</v>
      </c>
      <c r="U238" s="3069">
        <v>34880</v>
      </c>
      <c r="V238" s="3069">
        <v>14834</v>
      </c>
      <c r="W238" s="3069">
        <v>11323</v>
      </c>
      <c r="X238" s="3069">
        <v>15828</v>
      </c>
      <c r="Y238" s="3069">
        <v>6394</v>
      </c>
      <c r="Z238" s="3069">
        <v>10424</v>
      </c>
      <c r="AA238" s="3069">
        <v>35368</v>
      </c>
      <c r="AB238" s="3069">
        <v>161772</v>
      </c>
      <c r="AC238" s="3069">
        <v>49267</v>
      </c>
      <c r="AD238" s="3069">
        <v>20829</v>
      </c>
      <c r="AE238" s="3069">
        <v>7440</v>
      </c>
      <c r="AF238" s="3069">
        <v>23902</v>
      </c>
      <c r="AG238" s="3070">
        <v>13</v>
      </c>
    </row>
    <row r="239" spans="1:33">
      <c r="A239" s="63">
        <f t="shared" si="0"/>
        <v>2013.02</v>
      </c>
      <c r="B239" s="260">
        <v>123924</v>
      </c>
      <c r="C239" s="3034">
        <v>123025</v>
      </c>
      <c r="D239" s="169">
        <v>899</v>
      </c>
      <c r="E239" s="260">
        <v>2533.1</v>
      </c>
      <c r="F239" s="1738">
        <v>491.601</v>
      </c>
      <c r="G239" s="1403"/>
      <c r="H239" s="3067"/>
      <c r="I239" s="1887"/>
      <c r="J239" s="1402"/>
      <c r="K239" s="3067"/>
      <c r="L239" s="1402"/>
      <c r="M239" s="1887"/>
      <c r="N239" s="1393">
        <v>25507</v>
      </c>
      <c r="O239" s="3071">
        <v>1248</v>
      </c>
      <c r="P239" s="3071">
        <v>134059</v>
      </c>
      <c r="Q239" s="3071">
        <v>5664</v>
      </c>
      <c r="R239" s="3071">
        <v>4343</v>
      </c>
      <c r="S239" s="3071">
        <v>32749</v>
      </c>
      <c r="T239" s="3071">
        <v>97610</v>
      </c>
      <c r="U239" s="3071">
        <v>35362</v>
      </c>
      <c r="V239" s="3071">
        <v>14862</v>
      </c>
      <c r="W239" s="3071">
        <v>11435</v>
      </c>
      <c r="X239" s="3071">
        <v>15980</v>
      </c>
      <c r="Y239" s="3071">
        <v>6550</v>
      </c>
      <c r="Z239" s="3071">
        <v>10868</v>
      </c>
      <c r="AA239" s="3071">
        <v>35367</v>
      </c>
      <c r="AB239" s="3071">
        <v>161752</v>
      </c>
      <c r="AC239" s="3071">
        <v>48317</v>
      </c>
      <c r="AD239" s="3071">
        <v>21210</v>
      </c>
      <c r="AE239" s="3071">
        <v>7496</v>
      </c>
      <c r="AF239" s="3071">
        <v>24638</v>
      </c>
      <c r="AG239" s="3072">
        <v>21</v>
      </c>
    </row>
    <row r="240" spans="1:33">
      <c r="A240" s="63">
        <f t="shared" si="0"/>
        <v>2013.03</v>
      </c>
      <c r="B240" s="260">
        <v>123925</v>
      </c>
      <c r="C240" s="3034">
        <v>123016</v>
      </c>
      <c r="D240" s="169">
        <v>909</v>
      </c>
      <c r="E240" s="260">
        <v>4065.37</v>
      </c>
      <c r="F240" s="1738">
        <v>494.81700000000001</v>
      </c>
      <c r="G240" s="1403"/>
      <c r="H240" s="3067"/>
      <c r="I240" s="1887"/>
      <c r="J240" s="1402"/>
      <c r="K240" s="3067"/>
      <c r="L240" s="1402"/>
      <c r="M240" s="1887"/>
      <c r="N240" s="1393">
        <v>26573</v>
      </c>
      <c r="O240" s="3071">
        <v>1237</v>
      </c>
      <c r="P240" s="3071">
        <v>134541</v>
      </c>
      <c r="Q240" s="3071">
        <v>5682</v>
      </c>
      <c r="R240" s="3071">
        <v>4359</v>
      </c>
      <c r="S240" s="3071">
        <v>33263</v>
      </c>
      <c r="T240" s="3071">
        <v>98766</v>
      </c>
      <c r="U240" s="3071">
        <v>35616</v>
      </c>
      <c r="V240" s="3071">
        <v>14921</v>
      </c>
      <c r="W240" s="3071">
        <v>11662</v>
      </c>
      <c r="X240" s="3071">
        <v>16019</v>
      </c>
      <c r="Y240" s="3071">
        <v>6550</v>
      </c>
      <c r="Z240" s="3071">
        <v>10968</v>
      </c>
      <c r="AA240" s="3071">
        <v>35259</v>
      </c>
      <c r="AB240" s="3071">
        <v>165442</v>
      </c>
      <c r="AC240" s="3071">
        <v>49455</v>
      </c>
      <c r="AD240" s="3071">
        <v>21221</v>
      </c>
      <c r="AE240" s="3071">
        <v>7251</v>
      </c>
      <c r="AF240" s="3071">
        <v>24751</v>
      </c>
      <c r="AG240" s="3072">
        <v>22</v>
      </c>
    </row>
    <row r="241" spans="1:33">
      <c r="A241" s="63">
        <f t="shared" si="0"/>
        <v>2013.04</v>
      </c>
      <c r="B241" s="260">
        <v>124131</v>
      </c>
      <c r="C241" s="3034">
        <v>123208</v>
      </c>
      <c r="D241" s="169">
        <v>923</v>
      </c>
      <c r="E241" s="260">
        <v>5567.91</v>
      </c>
      <c r="F241" s="1738">
        <v>495.17899999999997</v>
      </c>
      <c r="G241" s="1403"/>
      <c r="H241" s="3067"/>
      <c r="I241" s="1887"/>
      <c r="J241" s="1402"/>
      <c r="K241" s="3067"/>
      <c r="L241" s="1402"/>
      <c r="M241" s="1887"/>
      <c r="N241" s="1393">
        <v>27184</v>
      </c>
      <c r="O241" s="3071">
        <v>1203</v>
      </c>
      <c r="P241" s="3071">
        <v>134265</v>
      </c>
      <c r="Q241" s="3071">
        <v>5716</v>
      </c>
      <c r="R241" s="3071">
        <v>4346</v>
      </c>
      <c r="S241" s="3071">
        <v>33363</v>
      </c>
      <c r="T241" s="3071">
        <v>98752</v>
      </c>
      <c r="U241" s="3071">
        <v>35555</v>
      </c>
      <c r="V241" s="3071">
        <v>14416</v>
      </c>
      <c r="W241" s="3071">
        <v>11734</v>
      </c>
      <c r="X241" s="3071">
        <v>16087</v>
      </c>
      <c r="Y241" s="3071">
        <v>6535</v>
      </c>
      <c r="Z241" s="3071">
        <v>10888</v>
      </c>
      <c r="AA241" s="3071">
        <v>34813</v>
      </c>
      <c r="AB241" s="3071">
        <v>165225</v>
      </c>
      <c r="AC241" s="3071">
        <v>51677</v>
      </c>
      <c r="AD241" s="3071">
        <v>21143</v>
      </c>
      <c r="AE241" s="3071">
        <v>7103</v>
      </c>
      <c r="AF241" s="3071">
        <v>24724</v>
      </c>
      <c r="AG241" s="3072">
        <v>24</v>
      </c>
    </row>
    <row r="242" spans="1:33">
      <c r="A242" s="63">
        <f t="shared" ref="A242:A305" si="1">A230+1</f>
        <v>2013.05</v>
      </c>
      <c r="B242" s="260">
        <v>127760</v>
      </c>
      <c r="C242" s="3034">
        <v>126734</v>
      </c>
      <c r="D242" s="169">
        <v>1026</v>
      </c>
      <c r="E242" s="260">
        <v>7103.63</v>
      </c>
      <c r="F242" s="1738">
        <v>496.23200000000003</v>
      </c>
      <c r="G242" s="1403"/>
      <c r="H242" s="3067"/>
      <c r="I242" s="1887"/>
      <c r="J242" s="1402"/>
      <c r="K242" s="3067"/>
      <c r="L242" s="1402"/>
      <c r="M242" s="1887"/>
      <c r="N242" s="1393">
        <v>26651</v>
      </c>
      <c r="O242" s="3071">
        <v>1239</v>
      </c>
      <c r="P242" s="3071">
        <v>134088</v>
      </c>
      <c r="Q242" s="3071">
        <v>5702</v>
      </c>
      <c r="R242" s="3071">
        <v>4872</v>
      </c>
      <c r="S242" s="3071">
        <v>33534</v>
      </c>
      <c r="T242" s="3071">
        <v>97893</v>
      </c>
      <c r="U242" s="3071">
        <v>35761</v>
      </c>
      <c r="V242" s="3071">
        <v>14269</v>
      </c>
      <c r="W242" s="3071">
        <v>11778</v>
      </c>
      <c r="X242" s="3071">
        <v>16099</v>
      </c>
      <c r="Y242" s="3071">
        <v>6478</v>
      </c>
      <c r="Z242" s="3071">
        <v>10983</v>
      </c>
      <c r="AA242" s="3071">
        <v>35663</v>
      </c>
      <c r="AB242" s="3071">
        <v>167502</v>
      </c>
      <c r="AC242" s="3071">
        <v>53202</v>
      </c>
      <c r="AD242" s="3071">
        <v>21107</v>
      </c>
      <c r="AE242" s="3071">
        <v>7153</v>
      </c>
      <c r="AF242" s="3071">
        <v>24890</v>
      </c>
      <c r="AG242" s="3072">
        <v>22</v>
      </c>
    </row>
    <row r="243" spans="1:33">
      <c r="A243" s="63">
        <f t="shared" si="1"/>
        <v>2013.06</v>
      </c>
      <c r="B243" s="260">
        <v>127914</v>
      </c>
      <c r="C243" s="3034">
        <v>126836</v>
      </c>
      <c r="D243" s="169">
        <v>1078</v>
      </c>
      <c r="E243" s="260">
        <v>9200.43</v>
      </c>
      <c r="F243" s="1738">
        <v>493.94900000000001</v>
      </c>
      <c r="G243" s="1403"/>
      <c r="H243" s="3067"/>
      <c r="I243" s="1887"/>
      <c r="J243" s="1402"/>
      <c r="K243" s="3067"/>
      <c r="L243" s="1402"/>
      <c r="M243" s="1887"/>
      <c r="N243" s="1393">
        <v>25864</v>
      </c>
      <c r="O243" s="3071">
        <v>1274</v>
      </c>
      <c r="P243" s="3071">
        <v>134335</v>
      </c>
      <c r="Q243" s="3071">
        <v>5731</v>
      </c>
      <c r="R243" s="3071">
        <v>4336</v>
      </c>
      <c r="S243" s="3071">
        <v>32988</v>
      </c>
      <c r="T243" s="3071">
        <v>97646</v>
      </c>
      <c r="U243" s="3071">
        <v>35381</v>
      </c>
      <c r="V243" s="3071">
        <v>14256</v>
      </c>
      <c r="W243" s="3071">
        <v>11907</v>
      </c>
      <c r="X243" s="3071">
        <v>16117</v>
      </c>
      <c r="Y243" s="3071">
        <v>6022</v>
      </c>
      <c r="Z243" s="3071">
        <v>10945</v>
      </c>
      <c r="AA243" s="3071">
        <v>34291</v>
      </c>
      <c r="AB243" s="3071">
        <v>168489</v>
      </c>
      <c r="AC243" s="3071">
        <v>54377</v>
      </c>
      <c r="AD243" s="3071">
        <v>21108</v>
      </c>
      <c r="AE243" s="3071">
        <v>7130</v>
      </c>
      <c r="AF243" s="3071">
        <v>24900</v>
      </c>
      <c r="AG243" s="3072">
        <v>23</v>
      </c>
    </row>
    <row r="244" spans="1:33">
      <c r="A244" s="63">
        <f t="shared" si="1"/>
        <v>2013.07</v>
      </c>
      <c r="B244" s="260">
        <v>127934</v>
      </c>
      <c r="C244" s="3034">
        <v>126847</v>
      </c>
      <c r="D244" s="169">
        <v>1087</v>
      </c>
      <c r="E244" s="260">
        <v>10819.63</v>
      </c>
      <c r="F244" s="1738">
        <v>493.37200000000001</v>
      </c>
      <c r="G244" s="1403"/>
      <c r="H244" s="3067"/>
      <c r="I244" s="1887"/>
      <c r="J244" s="1402"/>
      <c r="K244" s="3067"/>
      <c r="L244" s="1402"/>
      <c r="M244" s="1887"/>
      <c r="N244" s="1393">
        <v>25197</v>
      </c>
      <c r="O244" s="3071">
        <v>1282</v>
      </c>
      <c r="P244" s="3071">
        <v>134560</v>
      </c>
      <c r="Q244" s="3071">
        <v>5728</v>
      </c>
      <c r="R244" s="3071">
        <v>4317</v>
      </c>
      <c r="S244" s="3071">
        <v>33251</v>
      </c>
      <c r="T244" s="3071">
        <v>97267</v>
      </c>
      <c r="U244" s="3071">
        <v>35102</v>
      </c>
      <c r="V244" s="3071">
        <v>14229</v>
      </c>
      <c r="W244" s="3071">
        <v>11986</v>
      </c>
      <c r="X244" s="3071">
        <v>16103</v>
      </c>
      <c r="Y244" s="3071">
        <v>6011</v>
      </c>
      <c r="Z244" s="3071">
        <v>10784</v>
      </c>
      <c r="AA244" s="3071">
        <v>34236</v>
      </c>
      <c r="AB244" s="3071">
        <v>169951</v>
      </c>
      <c r="AC244" s="3071">
        <v>53818</v>
      </c>
      <c r="AD244" s="3071">
        <v>21301</v>
      </c>
      <c r="AE244" s="3071">
        <v>7097</v>
      </c>
      <c r="AF244" s="3071">
        <v>24808</v>
      </c>
      <c r="AG244" s="3072">
        <v>23</v>
      </c>
    </row>
    <row r="245" spans="1:33">
      <c r="A245" s="63">
        <f t="shared" si="1"/>
        <v>2013.08</v>
      </c>
      <c r="B245" s="260">
        <v>128120</v>
      </c>
      <c r="C245" s="3034">
        <v>126966</v>
      </c>
      <c r="D245" s="169">
        <v>1154</v>
      </c>
      <c r="E245" s="260">
        <v>12446.55</v>
      </c>
      <c r="F245" s="1738">
        <v>494.56099999999998</v>
      </c>
      <c r="G245" s="1403"/>
      <c r="H245" s="3067"/>
      <c r="I245" s="1887"/>
      <c r="J245" s="1402"/>
      <c r="K245" s="3067"/>
      <c r="L245" s="1402"/>
      <c r="M245" s="1887"/>
      <c r="N245" s="1393">
        <v>24901</v>
      </c>
      <c r="O245" s="3071">
        <v>1243</v>
      </c>
      <c r="P245" s="3071">
        <v>134833</v>
      </c>
      <c r="Q245" s="3071">
        <v>5736</v>
      </c>
      <c r="R245" s="3071">
        <v>4320</v>
      </c>
      <c r="S245" s="3071">
        <v>32784</v>
      </c>
      <c r="T245" s="3071">
        <v>97214</v>
      </c>
      <c r="U245" s="3071">
        <v>35106</v>
      </c>
      <c r="V245" s="3071">
        <v>14427</v>
      </c>
      <c r="W245" s="3071">
        <v>12002</v>
      </c>
      <c r="X245" s="3071">
        <v>16162</v>
      </c>
      <c r="Y245" s="3071">
        <v>5951</v>
      </c>
      <c r="Z245" s="3071">
        <v>10874</v>
      </c>
      <c r="AA245" s="3071">
        <v>36142</v>
      </c>
      <c r="AB245" s="3071">
        <v>169941</v>
      </c>
      <c r="AC245" s="3071">
        <v>53735</v>
      </c>
      <c r="AD245" s="3071">
        <v>21412</v>
      </c>
      <c r="AE245" s="3071">
        <v>7049</v>
      </c>
      <c r="AF245" s="3071">
        <v>24860</v>
      </c>
      <c r="AG245" s="3072">
        <v>22</v>
      </c>
    </row>
    <row r="246" spans="1:33">
      <c r="A246" s="63">
        <f t="shared" si="1"/>
        <v>2013.09</v>
      </c>
      <c r="B246" s="260">
        <v>128085</v>
      </c>
      <c r="C246" s="3034">
        <v>126921</v>
      </c>
      <c r="D246" s="169">
        <v>1164</v>
      </c>
      <c r="E246" s="260">
        <v>14131.32</v>
      </c>
      <c r="F246" s="1738">
        <v>493.45800000000003</v>
      </c>
      <c r="G246" s="1403"/>
      <c r="H246" s="3067"/>
      <c r="I246" s="1887"/>
      <c r="J246" s="1402"/>
      <c r="K246" s="3067"/>
      <c r="L246" s="1402"/>
      <c r="M246" s="1887"/>
      <c r="N246" s="1393">
        <v>24781</v>
      </c>
      <c r="O246" s="3071">
        <v>1250</v>
      </c>
      <c r="P246" s="3071">
        <v>134858</v>
      </c>
      <c r="Q246" s="3071">
        <v>5753</v>
      </c>
      <c r="R246" s="3071">
        <v>4316</v>
      </c>
      <c r="S246" s="3071">
        <v>33038</v>
      </c>
      <c r="T246" s="3071">
        <v>97274</v>
      </c>
      <c r="U246" s="3071">
        <v>35270</v>
      </c>
      <c r="V246" s="3071">
        <v>14556</v>
      </c>
      <c r="W246" s="3071">
        <v>11947</v>
      </c>
      <c r="X246" s="3071">
        <v>16203</v>
      </c>
      <c r="Y246" s="3071">
        <v>5944</v>
      </c>
      <c r="Z246" s="3071">
        <v>10833</v>
      </c>
      <c r="AA246" s="3071">
        <v>33521</v>
      </c>
      <c r="AB246" s="3071">
        <v>172263</v>
      </c>
      <c r="AC246" s="3071">
        <v>54437</v>
      </c>
      <c r="AD246" s="3071">
        <v>21514</v>
      </c>
      <c r="AE246" s="3071">
        <v>7092</v>
      </c>
      <c r="AF246" s="3071">
        <v>25058</v>
      </c>
      <c r="AG246" s="3072">
        <v>22</v>
      </c>
    </row>
    <row r="247" spans="1:33">
      <c r="A247" s="63">
        <f t="shared" si="1"/>
        <v>2013.1</v>
      </c>
      <c r="B247" s="260">
        <v>128888</v>
      </c>
      <c r="C247" s="3034">
        <v>127689</v>
      </c>
      <c r="D247" s="169">
        <v>1199</v>
      </c>
      <c r="E247" s="260">
        <v>15820.69</v>
      </c>
      <c r="F247" s="1738">
        <v>495.61</v>
      </c>
      <c r="G247" s="1403"/>
      <c r="H247" s="3067"/>
      <c r="I247" s="1887"/>
      <c r="J247" s="1402"/>
      <c r="K247" s="3067"/>
      <c r="L247" s="1402"/>
      <c r="M247" s="1887"/>
      <c r="N247" s="1393">
        <v>24881</v>
      </c>
      <c r="O247" s="3071">
        <v>1236</v>
      </c>
      <c r="P247" s="3071">
        <v>135423</v>
      </c>
      <c r="Q247" s="3071">
        <v>5779</v>
      </c>
      <c r="R247" s="3071">
        <v>4368</v>
      </c>
      <c r="S247" s="3071">
        <v>33295</v>
      </c>
      <c r="T247" s="3071">
        <v>97758</v>
      </c>
      <c r="U247" s="3071">
        <v>35084</v>
      </c>
      <c r="V247" s="3071">
        <v>14915</v>
      </c>
      <c r="W247" s="3071">
        <v>11856</v>
      </c>
      <c r="X247" s="3071">
        <v>16194</v>
      </c>
      <c r="Y247" s="3071">
        <v>5934</v>
      </c>
      <c r="Z247" s="3071">
        <v>10838</v>
      </c>
      <c r="AA247" s="3071">
        <v>34027</v>
      </c>
      <c r="AB247" s="3071">
        <v>174485</v>
      </c>
      <c r="AC247" s="3071">
        <v>54700</v>
      </c>
      <c r="AD247" s="3071">
        <v>21607</v>
      </c>
      <c r="AE247" s="3071">
        <v>7132</v>
      </c>
      <c r="AF247" s="3071">
        <v>25168</v>
      </c>
      <c r="AG247" s="3072">
        <v>22</v>
      </c>
    </row>
    <row r="248" spans="1:33">
      <c r="A248" s="63">
        <f t="shared" si="1"/>
        <v>2013.11</v>
      </c>
      <c r="B248" s="260">
        <v>128867</v>
      </c>
      <c r="C248" s="3034">
        <v>127663</v>
      </c>
      <c r="D248" s="169">
        <v>1204</v>
      </c>
      <c r="E248" s="260">
        <v>17514.41</v>
      </c>
      <c r="F248" s="1738">
        <v>498.98599999999999</v>
      </c>
      <c r="G248" s="1403"/>
      <c r="H248" s="3067"/>
      <c r="I248" s="1887"/>
      <c r="J248" s="1402"/>
      <c r="K248" s="3067"/>
      <c r="L248" s="1402"/>
      <c r="M248" s="1887"/>
      <c r="N248" s="1393">
        <v>25416</v>
      </c>
      <c r="O248" s="3071">
        <v>1248</v>
      </c>
      <c r="P248" s="3071">
        <v>135406</v>
      </c>
      <c r="Q248" s="3071">
        <v>5770</v>
      </c>
      <c r="R248" s="3071">
        <v>4453</v>
      </c>
      <c r="S248" s="3071">
        <v>33373</v>
      </c>
      <c r="T248" s="3071">
        <v>98268</v>
      </c>
      <c r="U248" s="3071">
        <v>35266</v>
      </c>
      <c r="V248" s="3071">
        <v>14976</v>
      </c>
      <c r="W248" s="3071">
        <v>11827</v>
      </c>
      <c r="X248" s="3071">
        <v>16174</v>
      </c>
      <c r="Y248" s="3071">
        <v>5976</v>
      </c>
      <c r="Z248" s="3071">
        <v>10841</v>
      </c>
      <c r="AA248" s="3071">
        <v>36430</v>
      </c>
      <c r="AB248" s="3071">
        <v>176168</v>
      </c>
      <c r="AC248" s="3071">
        <v>55142</v>
      </c>
      <c r="AD248" s="3071">
        <v>21679</v>
      </c>
      <c r="AE248" s="3071">
        <v>7096</v>
      </c>
      <c r="AF248" s="3071">
        <v>25128</v>
      </c>
      <c r="AG248" s="3072">
        <v>22</v>
      </c>
    </row>
    <row r="249" spans="1:33">
      <c r="A249" s="63">
        <f t="shared" si="1"/>
        <v>2013.12</v>
      </c>
      <c r="B249" s="260">
        <v>129148</v>
      </c>
      <c r="C249" s="3034">
        <v>128050</v>
      </c>
      <c r="D249" s="169">
        <v>1098</v>
      </c>
      <c r="E249" s="260">
        <v>19997.86</v>
      </c>
      <c r="F249" s="1738">
        <v>499.988</v>
      </c>
      <c r="G249" s="1403"/>
      <c r="H249" s="3067"/>
      <c r="I249" s="1887"/>
      <c r="J249" s="1402"/>
      <c r="K249" s="3067"/>
      <c r="L249" s="1402"/>
      <c r="M249" s="1887"/>
      <c r="N249" s="1393">
        <v>25952</v>
      </c>
      <c r="O249" s="3071">
        <v>1237</v>
      </c>
      <c r="P249" s="3071">
        <v>135764</v>
      </c>
      <c r="Q249" s="3071">
        <v>5793</v>
      </c>
      <c r="R249" s="3071">
        <v>4422</v>
      </c>
      <c r="S249" s="3071">
        <v>32853</v>
      </c>
      <c r="T249" s="3071">
        <v>99513</v>
      </c>
      <c r="U249" s="3071">
        <v>35115</v>
      </c>
      <c r="V249" s="3071">
        <v>15004</v>
      </c>
      <c r="W249" s="3071">
        <v>11791</v>
      </c>
      <c r="X249" s="3071">
        <v>16200</v>
      </c>
      <c r="Y249" s="3071">
        <v>6013</v>
      </c>
      <c r="Z249" s="3071">
        <v>10942</v>
      </c>
      <c r="AA249" s="3071">
        <v>35002</v>
      </c>
      <c r="AB249" s="3071">
        <v>176320</v>
      </c>
      <c r="AC249" s="3071">
        <v>54561</v>
      </c>
      <c r="AD249" s="3071">
        <v>21811</v>
      </c>
      <c r="AE249" s="3071">
        <v>7362</v>
      </c>
      <c r="AF249" s="3071">
        <v>25312</v>
      </c>
      <c r="AG249" s="3072">
        <v>22</v>
      </c>
    </row>
    <row r="250" spans="1:33">
      <c r="A250" s="63">
        <f t="shared" si="1"/>
        <v>2014.01</v>
      </c>
      <c r="B250" s="260">
        <v>129386</v>
      </c>
      <c r="C250" s="3034">
        <v>128308</v>
      </c>
      <c r="D250" s="169">
        <v>1078</v>
      </c>
      <c r="E250" s="260">
        <v>1641.1</v>
      </c>
      <c r="F250" s="1738">
        <v>496.38900000000001</v>
      </c>
      <c r="G250" s="1394">
        <v>199801</v>
      </c>
      <c r="H250" s="3080">
        <v>512704</v>
      </c>
      <c r="I250" s="1888">
        <f>+G250+H250</f>
        <v>712505</v>
      </c>
      <c r="J250" s="1395">
        <v>10400.473684210527</v>
      </c>
      <c r="K250" s="1395">
        <v>8551.6315789473683</v>
      </c>
      <c r="L250" s="1396">
        <v>8527</v>
      </c>
      <c r="M250" s="1889">
        <v>7245</v>
      </c>
      <c r="N250" s="1393">
        <v>25034</v>
      </c>
      <c r="O250" s="3071">
        <v>1197</v>
      </c>
      <c r="P250" s="3071">
        <v>135653</v>
      </c>
      <c r="Q250" s="3071">
        <v>5844</v>
      </c>
      <c r="R250" s="3071">
        <v>4431</v>
      </c>
      <c r="S250" s="3071">
        <v>33251</v>
      </c>
      <c r="T250" s="3071">
        <v>98874</v>
      </c>
      <c r="U250" s="3071">
        <v>35229</v>
      </c>
      <c r="V250" s="3071">
        <v>15001</v>
      </c>
      <c r="W250" s="3071">
        <v>11859</v>
      </c>
      <c r="X250" s="3071">
        <v>16204</v>
      </c>
      <c r="Y250" s="3071">
        <v>5927</v>
      </c>
      <c r="Z250" s="3071">
        <v>10651</v>
      </c>
      <c r="AA250" s="3071">
        <v>34946</v>
      </c>
      <c r="AB250" s="3071">
        <v>162691</v>
      </c>
      <c r="AC250" s="3071">
        <v>50528</v>
      </c>
      <c r="AD250" s="3071">
        <v>22005</v>
      </c>
      <c r="AE250" s="3071">
        <v>7390</v>
      </c>
      <c r="AF250" s="3071">
        <v>24884</v>
      </c>
      <c r="AG250" s="3072">
        <v>18</v>
      </c>
    </row>
    <row r="251" spans="1:33">
      <c r="A251" s="63">
        <f t="shared" si="1"/>
        <v>2014.02</v>
      </c>
      <c r="B251" s="260">
        <v>130998</v>
      </c>
      <c r="C251" s="3034">
        <v>129959</v>
      </c>
      <c r="D251" s="169">
        <v>1039</v>
      </c>
      <c r="E251" s="260">
        <v>3477.7</v>
      </c>
      <c r="F251" s="1738">
        <v>492.21300000000002</v>
      </c>
      <c r="G251" s="1397">
        <v>201671</v>
      </c>
      <c r="H251" s="3081">
        <v>508005</v>
      </c>
      <c r="I251" s="1890">
        <f t="shared" ref="I251:I314" si="2">+G251+H251</f>
        <v>709676</v>
      </c>
      <c r="J251" s="1398">
        <v>10467.631578947368</v>
      </c>
      <c r="K251" s="3081">
        <v>8284.21052631579</v>
      </c>
      <c r="L251" s="1398">
        <v>8785</v>
      </c>
      <c r="M251" s="1891">
        <v>7107</v>
      </c>
      <c r="N251" s="1393">
        <v>24444</v>
      </c>
      <c r="O251" s="3071">
        <v>1185</v>
      </c>
      <c r="P251" s="3071">
        <v>134658</v>
      </c>
      <c r="Q251" s="3071">
        <v>5893</v>
      </c>
      <c r="R251" s="3071">
        <v>4407</v>
      </c>
      <c r="S251" s="3071">
        <v>32929</v>
      </c>
      <c r="T251" s="3071">
        <v>98454</v>
      </c>
      <c r="U251" s="3071">
        <v>35185</v>
      </c>
      <c r="V251" s="3071">
        <v>14901</v>
      </c>
      <c r="W251" s="3071">
        <v>11783</v>
      </c>
      <c r="X251" s="3071">
        <v>16204</v>
      </c>
      <c r="Y251" s="3071">
        <v>5903</v>
      </c>
      <c r="Z251" s="3071">
        <v>10480</v>
      </c>
      <c r="AA251" s="3071">
        <v>34482</v>
      </c>
      <c r="AB251" s="3071">
        <v>164981</v>
      </c>
      <c r="AC251" s="3071">
        <v>48849</v>
      </c>
      <c r="AD251" s="3071">
        <v>21984</v>
      </c>
      <c r="AE251" s="3071">
        <v>7378</v>
      </c>
      <c r="AF251" s="3071">
        <v>24740</v>
      </c>
      <c r="AG251" s="3072">
        <v>18</v>
      </c>
    </row>
    <row r="252" spans="1:33">
      <c r="A252" s="63">
        <f t="shared" si="1"/>
        <v>2014.03</v>
      </c>
      <c r="B252" s="260">
        <v>130654</v>
      </c>
      <c r="C252" s="3034">
        <v>129602</v>
      </c>
      <c r="D252" s="169">
        <v>1052</v>
      </c>
      <c r="E252" s="260">
        <v>5586.43</v>
      </c>
      <c r="F252" s="1738">
        <v>492.99900000000002</v>
      </c>
      <c r="G252" s="1397">
        <v>203202</v>
      </c>
      <c r="H252" s="3081">
        <v>510828</v>
      </c>
      <c r="I252" s="1890">
        <f t="shared" si="2"/>
        <v>714030</v>
      </c>
      <c r="J252" s="1398">
        <v>11520.315789473685</v>
      </c>
      <c r="K252" s="3081">
        <v>8495.1578947368416</v>
      </c>
      <c r="L252" s="1398">
        <v>10194</v>
      </c>
      <c r="M252" s="1891">
        <v>7400</v>
      </c>
      <c r="N252" s="1393">
        <v>25816</v>
      </c>
      <c r="O252" s="3071">
        <v>1198</v>
      </c>
      <c r="P252" s="3071">
        <v>134455</v>
      </c>
      <c r="Q252" s="3071">
        <v>5894</v>
      </c>
      <c r="R252" s="3071">
        <v>4431</v>
      </c>
      <c r="S252" s="3071">
        <v>32716</v>
      </c>
      <c r="T252" s="3071">
        <v>98641</v>
      </c>
      <c r="U252" s="3071">
        <v>35184</v>
      </c>
      <c r="V252" s="3071">
        <v>14888</v>
      </c>
      <c r="W252" s="3071">
        <v>11851</v>
      </c>
      <c r="X252" s="3071">
        <v>16149</v>
      </c>
      <c r="Y252" s="3071">
        <v>5892</v>
      </c>
      <c r="Z252" s="3071">
        <v>10386</v>
      </c>
      <c r="AA252" s="3071">
        <v>34311</v>
      </c>
      <c r="AB252" s="3071">
        <v>167149</v>
      </c>
      <c r="AC252" s="3071">
        <v>50513</v>
      </c>
      <c r="AD252" s="3071">
        <v>21916</v>
      </c>
      <c r="AE252" s="3071">
        <v>7077</v>
      </c>
      <c r="AF252" s="3071">
        <v>24879</v>
      </c>
      <c r="AG252" s="3072">
        <v>18</v>
      </c>
    </row>
    <row r="253" spans="1:33">
      <c r="A253" s="63">
        <f t="shared" si="1"/>
        <v>2014.04</v>
      </c>
      <c r="B253" s="260">
        <v>130574</v>
      </c>
      <c r="C253" s="3034">
        <v>129490</v>
      </c>
      <c r="D253" s="169">
        <v>1084</v>
      </c>
      <c r="E253" s="260">
        <v>7610.36</v>
      </c>
      <c r="F253" s="1738">
        <v>494.09800000000001</v>
      </c>
      <c r="G253" s="1397">
        <v>209548</v>
      </c>
      <c r="H253" s="3081">
        <v>512771</v>
      </c>
      <c r="I253" s="1890">
        <f t="shared" si="2"/>
        <v>722319</v>
      </c>
      <c r="J253" s="1398">
        <v>11762.631578947368</v>
      </c>
      <c r="K253" s="3081">
        <v>9169.21052631579</v>
      </c>
      <c r="L253" s="1398">
        <v>10332</v>
      </c>
      <c r="M253" s="1891">
        <v>7988</v>
      </c>
      <c r="N253" s="1393">
        <v>26694</v>
      </c>
      <c r="O253" s="3071">
        <v>1195</v>
      </c>
      <c r="P253" s="3071">
        <v>133873</v>
      </c>
      <c r="Q253" s="3071">
        <v>5886</v>
      </c>
      <c r="R253" s="3071">
        <v>4438</v>
      </c>
      <c r="S253" s="3071">
        <v>32766</v>
      </c>
      <c r="T253" s="3071">
        <v>98967</v>
      </c>
      <c r="U253" s="3071">
        <v>35505</v>
      </c>
      <c r="V253" s="3071">
        <v>14636</v>
      </c>
      <c r="W253" s="3071">
        <v>11866</v>
      </c>
      <c r="X253" s="3071">
        <v>16176</v>
      </c>
      <c r="Y253" s="3071">
        <v>5838</v>
      </c>
      <c r="Z253" s="3071">
        <v>10340</v>
      </c>
      <c r="AA253" s="3071">
        <v>33738</v>
      </c>
      <c r="AB253" s="3071">
        <v>173481</v>
      </c>
      <c r="AC253" s="3071">
        <v>53370</v>
      </c>
      <c r="AD253" s="3071">
        <v>21808</v>
      </c>
      <c r="AE253" s="3071">
        <v>7040</v>
      </c>
      <c r="AF253" s="3071">
        <v>24983</v>
      </c>
      <c r="AG253" s="3072">
        <v>18</v>
      </c>
    </row>
    <row r="254" spans="1:33">
      <c r="A254" s="63">
        <f t="shared" si="1"/>
        <v>2014.05</v>
      </c>
      <c r="B254" s="260">
        <v>130861</v>
      </c>
      <c r="C254" s="3034">
        <v>129727</v>
      </c>
      <c r="D254" s="169">
        <v>1134</v>
      </c>
      <c r="E254" s="260">
        <v>9676.14</v>
      </c>
      <c r="F254" s="1738">
        <v>494.608</v>
      </c>
      <c r="G254" s="1397">
        <v>212937</v>
      </c>
      <c r="H254" s="3081">
        <v>513047</v>
      </c>
      <c r="I254" s="1890">
        <f t="shared" si="2"/>
        <v>725984</v>
      </c>
      <c r="J254" s="1398">
        <v>11538.736842105263</v>
      </c>
      <c r="K254" s="3081">
        <v>9224.6842105263149</v>
      </c>
      <c r="L254" s="1398">
        <v>10233</v>
      </c>
      <c r="M254" s="1891">
        <v>8089</v>
      </c>
      <c r="N254" s="1393">
        <v>26406</v>
      </c>
      <c r="O254" s="3071">
        <v>1194</v>
      </c>
      <c r="P254" s="3071">
        <v>133570</v>
      </c>
      <c r="Q254" s="3071">
        <v>5906</v>
      </c>
      <c r="R254" s="3071">
        <v>4407</v>
      </c>
      <c r="S254" s="3071">
        <v>32979</v>
      </c>
      <c r="T254" s="3071">
        <v>98554</v>
      </c>
      <c r="U254" s="3071">
        <v>35638</v>
      </c>
      <c r="V254" s="3071">
        <v>14710</v>
      </c>
      <c r="W254" s="3071">
        <v>11847</v>
      </c>
      <c r="X254" s="3071">
        <v>16213</v>
      </c>
      <c r="Y254" s="3071">
        <v>5859</v>
      </c>
      <c r="Z254" s="3071">
        <v>10285</v>
      </c>
      <c r="AA254" s="3071">
        <v>33701</v>
      </c>
      <c r="AB254" s="3071">
        <v>176713</v>
      </c>
      <c r="AC254" s="3071">
        <v>55170</v>
      </c>
      <c r="AD254" s="3071">
        <v>21497</v>
      </c>
      <c r="AE254" s="3071">
        <v>7061</v>
      </c>
      <c r="AF254" s="3071">
        <v>25086</v>
      </c>
      <c r="AG254" s="3072">
        <v>18</v>
      </c>
    </row>
    <row r="255" spans="1:33">
      <c r="A255" s="63">
        <f t="shared" si="1"/>
        <v>2014.06</v>
      </c>
      <c r="B255" s="260">
        <v>131325</v>
      </c>
      <c r="C255" s="3034">
        <v>130186</v>
      </c>
      <c r="D255" s="169">
        <v>1139</v>
      </c>
      <c r="E255" s="260">
        <v>12529.98</v>
      </c>
      <c r="F255" s="1738">
        <v>494.94400000000002</v>
      </c>
      <c r="G255" s="1397">
        <v>214605</v>
      </c>
      <c r="H255" s="3081">
        <v>513468</v>
      </c>
      <c r="I255" s="1890">
        <f t="shared" si="2"/>
        <v>728073</v>
      </c>
      <c r="J255" s="1398">
        <v>16221.947368421053</v>
      </c>
      <c r="K255" s="3081">
        <v>13295.421052631578</v>
      </c>
      <c r="L255" s="1398">
        <v>14489</v>
      </c>
      <c r="M255" s="1891">
        <v>11844</v>
      </c>
      <c r="N255" s="1393">
        <v>26148</v>
      </c>
      <c r="O255" s="3071">
        <v>1181</v>
      </c>
      <c r="P255" s="3071">
        <v>133331</v>
      </c>
      <c r="Q255" s="3071">
        <v>5971</v>
      </c>
      <c r="R255" s="3071">
        <v>4435</v>
      </c>
      <c r="S255" s="3071">
        <v>33159</v>
      </c>
      <c r="T255" s="3071">
        <v>98541</v>
      </c>
      <c r="U255" s="3071">
        <v>35481</v>
      </c>
      <c r="V255" s="3071">
        <v>14547</v>
      </c>
      <c r="W255" s="3071">
        <v>11896</v>
      </c>
      <c r="X255" s="3071">
        <v>16242</v>
      </c>
      <c r="Y255" s="3071">
        <v>5803</v>
      </c>
      <c r="Z255" s="3071">
        <v>10213</v>
      </c>
      <c r="AA255" s="3071">
        <v>33896</v>
      </c>
      <c r="AB255" s="3071">
        <v>179333</v>
      </c>
      <c r="AC255" s="3071">
        <v>56604</v>
      </c>
      <c r="AD255" s="3071">
        <v>21472</v>
      </c>
      <c r="AE255" s="3071">
        <v>7010</v>
      </c>
      <c r="AF255" s="3071">
        <v>25093</v>
      </c>
      <c r="AG255" s="3072">
        <v>18</v>
      </c>
    </row>
    <row r="256" spans="1:33">
      <c r="A256" s="63">
        <f t="shared" si="1"/>
        <v>2014.07</v>
      </c>
      <c r="B256" s="260">
        <v>131368</v>
      </c>
      <c r="C256" s="3034">
        <v>130213</v>
      </c>
      <c r="D256" s="169">
        <v>1155</v>
      </c>
      <c r="E256" s="260">
        <v>14770.66</v>
      </c>
      <c r="F256" s="1738">
        <v>494.35599999999999</v>
      </c>
      <c r="G256" s="1397">
        <v>213052</v>
      </c>
      <c r="H256" s="3081">
        <v>512082</v>
      </c>
      <c r="I256" s="1890">
        <f t="shared" si="2"/>
        <v>725134</v>
      </c>
      <c r="J256" s="1398">
        <v>12343.736842105263</v>
      </c>
      <c r="K256" s="3081">
        <v>9836.105263157895</v>
      </c>
      <c r="L256" s="1398">
        <v>10805</v>
      </c>
      <c r="M256" s="1891">
        <v>8813</v>
      </c>
      <c r="N256" s="1393">
        <v>25719</v>
      </c>
      <c r="O256" s="3071">
        <v>1172</v>
      </c>
      <c r="P256" s="3071">
        <v>133015</v>
      </c>
      <c r="Q256" s="3071">
        <v>5943</v>
      </c>
      <c r="R256" s="3071">
        <v>4424</v>
      </c>
      <c r="S256" s="3071">
        <v>33407</v>
      </c>
      <c r="T256" s="3071">
        <v>98632</v>
      </c>
      <c r="U256" s="3071">
        <v>35495</v>
      </c>
      <c r="V256" s="3071">
        <v>14591</v>
      </c>
      <c r="W256" s="3071">
        <v>11962</v>
      </c>
      <c r="X256" s="3071">
        <v>16235</v>
      </c>
      <c r="Y256" s="3071">
        <v>5727</v>
      </c>
      <c r="Z256" s="3071">
        <v>10131</v>
      </c>
      <c r="AA256" s="3071">
        <v>33500</v>
      </c>
      <c r="AB256" s="3071">
        <v>178091</v>
      </c>
      <c r="AC256" s="3071">
        <v>55832</v>
      </c>
      <c r="AD256" s="3071">
        <v>21580</v>
      </c>
      <c r="AE256" s="3071">
        <v>6976</v>
      </c>
      <c r="AF256" s="3071">
        <v>25048</v>
      </c>
      <c r="AG256" s="3072">
        <v>18</v>
      </c>
    </row>
    <row r="257" spans="1:33">
      <c r="A257" s="63">
        <f t="shared" si="1"/>
        <v>2014.08</v>
      </c>
      <c r="B257" s="260">
        <v>132072</v>
      </c>
      <c r="C257" s="3034">
        <v>130895</v>
      </c>
      <c r="D257" s="169">
        <v>1177</v>
      </c>
      <c r="E257" s="260">
        <v>16969.72</v>
      </c>
      <c r="F257" s="1738">
        <v>494.19499999999999</v>
      </c>
      <c r="G257" s="1397">
        <v>216422</v>
      </c>
      <c r="H257" s="3081">
        <v>511961</v>
      </c>
      <c r="I257" s="1890">
        <f t="shared" si="2"/>
        <v>728383</v>
      </c>
      <c r="J257" s="1398">
        <v>12284.263157894737</v>
      </c>
      <c r="K257" s="3081">
        <v>9562.1578947368416</v>
      </c>
      <c r="L257" s="1398">
        <v>10711</v>
      </c>
      <c r="M257" s="1891">
        <v>8628</v>
      </c>
      <c r="N257" s="1393">
        <v>25191</v>
      </c>
      <c r="O257" s="3071">
        <v>1173</v>
      </c>
      <c r="P257" s="3071">
        <v>132934</v>
      </c>
      <c r="Q257" s="3071">
        <v>5980</v>
      </c>
      <c r="R257" s="3071">
        <v>4419</v>
      </c>
      <c r="S257" s="3071">
        <v>33140</v>
      </c>
      <c r="T257" s="3071">
        <v>98579</v>
      </c>
      <c r="U257" s="3071">
        <v>35625</v>
      </c>
      <c r="V257" s="3071">
        <v>14704</v>
      </c>
      <c r="W257" s="3071">
        <v>11825</v>
      </c>
      <c r="X257" s="3071">
        <v>16208</v>
      </c>
      <c r="Y257" s="3071">
        <v>5643</v>
      </c>
      <c r="Z257" s="3071">
        <v>10259</v>
      </c>
      <c r="AA257" s="3071">
        <v>33377</v>
      </c>
      <c r="AB257" s="3071">
        <v>181386</v>
      </c>
      <c r="AC257" s="3071">
        <v>56283</v>
      </c>
      <c r="AD257" s="3071">
        <v>21639</v>
      </c>
      <c r="AE257" s="3071">
        <v>6989</v>
      </c>
      <c r="AF257" s="3071">
        <v>25104</v>
      </c>
      <c r="AG257" s="3072">
        <v>18</v>
      </c>
    </row>
    <row r="258" spans="1:33">
      <c r="A258" s="63">
        <f t="shared" si="1"/>
        <v>2014.09</v>
      </c>
      <c r="B258" s="260">
        <v>132235</v>
      </c>
      <c r="C258" s="3034">
        <v>131060</v>
      </c>
      <c r="D258" s="169">
        <v>1175</v>
      </c>
      <c r="E258" s="260">
        <v>19210.48</v>
      </c>
      <c r="F258" s="1738">
        <v>494.36500000000001</v>
      </c>
      <c r="G258" s="1397">
        <v>218789</v>
      </c>
      <c r="H258" s="3081">
        <v>513507</v>
      </c>
      <c r="I258" s="1890">
        <f t="shared" si="2"/>
        <v>732296</v>
      </c>
      <c r="J258" s="1398">
        <v>12313.105263157895</v>
      </c>
      <c r="K258" s="3081">
        <v>10233.421052631578</v>
      </c>
      <c r="L258" s="1398">
        <v>10774</v>
      </c>
      <c r="M258" s="1891">
        <v>8930</v>
      </c>
      <c r="N258" s="1393">
        <v>24850</v>
      </c>
      <c r="O258" s="3071">
        <v>1158</v>
      </c>
      <c r="P258" s="3071">
        <v>133091</v>
      </c>
      <c r="Q258" s="3071">
        <v>5991</v>
      </c>
      <c r="R258" s="3071">
        <v>4439</v>
      </c>
      <c r="S258" s="3071">
        <v>33484</v>
      </c>
      <c r="T258" s="3071">
        <v>98464</v>
      </c>
      <c r="U258" s="3071">
        <v>35477</v>
      </c>
      <c r="V258" s="3071">
        <v>14711</v>
      </c>
      <c r="W258" s="3071">
        <v>11856</v>
      </c>
      <c r="X258" s="3071">
        <v>16224</v>
      </c>
      <c r="Y258" s="3071">
        <v>5683</v>
      </c>
      <c r="Z258" s="3071">
        <v>10197</v>
      </c>
      <c r="AA258" s="3071">
        <v>33279</v>
      </c>
      <c r="AB258" s="3071">
        <v>182996</v>
      </c>
      <c r="AC258" s="3071">
        <v>57546</v>
      </c>
      <c r="AD258" s="3071">
        <v>21780</v>
      </c>
      <c r="AE258" s="3071">
        <v>7082</v>
      </c>
      <c r="AF258" s="3071">
        <v>25329</v>
      </c>
      <c r="AG258" s="3072">
        <v>18</v>
      </c>
    </row>
    <row r="259" spans="1:33">
      <c r="A259" s="63">
        <f t="shared" si="1"/>
        <v>2014.1</v>
      </c>
      <c r="B259" s="260">
        <v>132716</v>
      </c>
      <c r="C259" s="3034">
        <v>131537</v>
      </c>
      <c r="D259" s="169">
        <v>1179</v>
      </c>
      <c r="E259" s="260">
        <v>21458.65</v>
      </c>
      <c r="F259" s="1738">
        <v>496.22199999999998</v>
      </c>
      <c r="G259" s="1397">
        <v>219129</v>
      </c>
      <c r="H259" s="3081">
        <v>516375</v>
      </c>
      <c r="I259" s="1890">
        <f t="shared" si="2"/>
        <v>735504</v>
      </c>
      <c r="J259" s="1398">
        <v>12437.368421052632</v>
      </c>
      <c r="K259" s="3081">
        <v>10269.526315789473</v>
      </c>
      <c r="L259" s="1398">
        <v>10738</v>
      </c>
      <c r="M259" s="1891">
        <v>9154</v>
      </c>
      <c r="N259" s="1393">
        <v>25140</v>
      </c>
      <c r="O259" s="3071">
        <v>1172</v>
      </c>
      <c r="P259" s="3071">
        <v>132939</v>
      </c>
      <c r="Q259" s="3071">
        <v>5994</v>
      </c>
      <c r="R259" s="3071">
        <v>4463</v>
      </c>
      <c r="S259" s="3071">
        <v>34105</v>
      </c>
      <c r="T259" s="3071">
        <v>98631</v>
      </c>
      <c r="U259" s="3071">
        <v>35402</v>
      </c>
      <c r="V259" s="3071">
        <v>15212</v>
      </c>
      <c r="W259" s="3071">
        <v>11825</v>
      </c>
      <c r="X259" s="3071">
        <v>16180</v>
      </c>
      <c r="Y259" s="3071">
        <v>5700</v>
      </c>
      <c r="Z259" s="3071">
        <v>10158</v>
      </c>
      <c r="AA259" s="3071">
        <v>33921</v>
      </c>
      <c r="AB259" s="3071">
        <v>184271</v>
      </c>
      <c r="AC259" s="3071">
        <v>57964</v>
      </c>
      <c r="AD259" s="3071">
        <v>21880</v>
      </c>
      <c r="AE259" s="3071">
        <v>7022</v>
      </c>
      <c r="AF259" s="3071">
        <v>25425</v>
      </c>
      <c r="AG259" s="3072">
        <v>18</v>
      </c>
    </row>
    <row r="260" spans="1:33">
      <c r="A260" s="63">
        <f t="shared" si="1"/>
        <v>2014.11</v>
      </c>
      <c r="B260" s="260">
        <v>133018</v>
      </c>
      <c r="C260" s="3034">
        <v>131833</v>
      </c>
      <c r="D260" s="169">
        <v>1185</v>
      </c>
      <c r="E260" s="260">
        <v>23917.09</v>
      </c>
      <c r="F260" s="1738">
        <v>498.41</v>
      </c>
      <c r="G260" s="1397">
        <v>220960</v>
      </c>
      <c r="H260" s="3081">
        <v>518620</v>
      </c>
      <c r="I260" s="1890">
        <f t="shared" si="2"/>
        <v>739580</v>
      </c>
      <c r="J260" s="1398">
        <v>12885.368421052632</v>
      </c>
      <c r="K260" s="3081">
        <v>10377.105263157895</v>
      </c>
      <c r="L260" s="1398">
        <v>10942</v>
      </c>
      <c r="M260" s="1891">
        <v>9162</v>
      </c>
      <c r="N260" s="1393">
        <v>25768</v>
      </c>
      <c r="O260" s="3071">
        <v>1171</v>
      </c>
      <c r="P260" s="3071">
        <v>133603</v>
      </c>
      <c r="Q260" s="3071">
        <v>6012</v>
      </c>
      <c r="R260" s="3071">
        <v>4491</v>
      </c>
      <c r="S260" s="3071">
        <v>34294</v>
      </c>
      <c r="T260" s="3071">
        <v>99365</v>
      </c>
      <c r="U260" s="3071">
        <v>35526</v>
      </c>
      <c r="V260" s="3071">
        <v>15224</v>
      </c>
      <c r="W260" s="3071">
        <v>11842</v>
      </c>
      <c r="X260" s="3071">
        <v>16222</v>
      </c>
      <c r="Y260" s="3071">
        <v>5666</v>
      </c>
      <c r="Z260" s="3071">
        <v>10235</v>
      </c>
      <c r="AA260" s="3071">
        <v>34243</v>
      </c>
      <c r="AB260" s="3071">
        <v>185686</v>
      </c>
      <c r="AC260" s="3071">
        <v>57552</v>
      </c>
      <c r="AD260" s="3071">
        <v>21908</v>
      </c>
      <c r="AE260" s="3071">
        <v>7082</v>
      </c>
      <c r="AF260" s="3071">
        <v>25400</v>
      </c>
      <c r="AG260" s="3072">
        <v>18</v>
      </c>
    </row>
    <row r="261" spans="1:33">
      <c r="A261" s="63">
        <f t="shared" si="1"/>
        <v>2014.12</v>
      </c>
      <c r="B261" s="260">
        <v>133057</v>
      </c>
      <c r="C261" s="3034">
        <v>131859</v>
      </c>
      <c r="D261" s="169">
        <v>1198</v>
      </c>
      <c r="E261" s="260">
        <v>27332.904524000001</v>
      </c>
      <c r="F261" s="1738">
        <v>500.77499999999998</v>
      </c>
      <c r="G261" s="1397">
        <v>220696</v>
      </c>
      <c r="H261" s="3081">
        <v>519192</v>
      </c>
      <c r="I261" s="1890">
        <f t="shared" si="2"/>
        <v>739888</v>
      </c>
      <c r="J261" s="1398">
        <v>17419.63157894737</v>
      </c>
      <c r="K261" s="3081">
        <v>15739.315789473685</v>
      </c>
      <c r="L261" s="1398">
        <v>15217</v>
      </c>
      <c r="M261" s="1891">
        <v>13904</v>
      </c>
      <c r="N261" s="1393">
        <v>25713</v>
      </c>
      <c r="O261" s="3071">
        <v>1187</v>
      </c>
      <c r="P261" s="3071">
        <v>134392</v>
      </c>
      <c r="Q261" s="3071">
        <v>6016</v>
      </c>
      <c r="R261" s="3071">
        <v>4495</v>
      </c>
      <c r="S261" s="3071">
        <v>34022</v>
      </c>
      <c r="T261" s="3071">
        <v>99996</v>
      </c>
      <c r="U261" s="3071">
        <v>35586</v>
      </c>
      <c r="V261" s="3071">
        <v>15270</v>
      </c>
      <c r="W261" s="3071">
        <v>11907</v>
      </c>
      <c r="X261" s="3071">
        <v>16216</v>
      </c>
      <c r="Y261" s="3071">
        <v>5667</v>
      </c>
      <c r="Z261" s="3071">
        <v>10258</v>
      </c>
      <c r="AA261" s="3071">
        <v>34980</v>
      </c>
      <c r="AB261" s="3071">
        <v>185158</v>
      </c>
      <c r="AC261" s="3071">
        <v>56233</v>
      </c>
      <c r="AD261" s="3071">
        <v>22006</v>
      </c>
      <c r="AE261" s="3071">
        <v>7216</v>
      </c>
      <c r="AF261" s="3071">
        <v>25499</v>
      </c>
      <c r="AG261" s="3072">
        <v>17</v>
      </c>
    </row>
    <row r="262" spans="1:33">
      <c r="A262" s="63">
        <f t="shared" si="1"/>
        <v>2015.01</v>
      </c>
      <c r="B262" s="260">
        <v>132646</v>
      </c>
      <c r="C262" s="3034">
        <v>131466</v>
      </c>
      <c r="D262" s="169">
        <v>1180</v>
      </c>
      <c r="E262" s="260">
        <v>2304.86</v>
      </c>
      <c r="F262" s="1738">
        <v>497.82600000000002</v>
      </c>
      <c r="G262" s="1397">
        <v>217776</v>
      </c>
      <c r="H262" s="3081">
        <v>515566</v>
      </c>
      <c r="I262" s="1890">
        <f t="shared" si="2"/>
        <v>733342</v>
      </c>
      <c r="J262" s="1398">
        <v>12957.157894736842</v>
      </c>
      <c r="K262" s="3081">
        <v>11486.842105263158</v>
      </c>
      <c r="L262" s="1398">
        <v>10830</v>
      </c>
      <c r="M262" s="1891">
        <v>9670</v>
      </c>
      <c r="N262" s="1393">
        <v>24987</v>
      </c>
      <c r="O262" s="3071">
        <v>1194</v>
      </c>
      <c r="P262" s="3071">
        <v>134145</v>
      </c>
      <c r="Q262" s="3071">
        <v>5999</v>
      </c>
      <c r="R262" s="3071">
        <v>4437</v>
      </c>
      <c r="S262" s="3071">
        <v>34428</v>
      </c>
      <c r="T262" s="3071">
        <v>99256</v>
      </c>
      <c r="U262" s="3071">
        <v>35761</v>
      </c>
      <c r="V262" s="3071">
        <v>15173</v>
      </c>
      <c r="W262" s="3071">
        <v>11860</v>
      </c>
      <c r="X262" s="3071">
        <v>16257</v>
      </c>
      <c r="Y262" s="3071">
        <v>5648</v>
      </c>
      <c r="Z262" s="3071">
        <v>10258</v>
      </c>
      <c r="AA262" s="3071">
        <v>35149</v>
      </c>
      <c r="AB262" s="3071">
        <v>183154</v>
      </c>
      <c r="AC262" s="3071">
        <v>52514</v>
      </c>
      <c r="AD262" s="3071">
        <v>22062</v>
      </c>
      <c r="AE262" s="3071">
        <v>7298</v>
      </c>
      <c r="AF262" s="3071">
        <v>25198</v>
      </c>
      <c r="AG262" s="3072">
        <v>18</v>
      </c>
    </row>
    <row r="263" spans="1:33">
      <c r="A263" s="63">
        <f t="shared" si="1"/>
        <v>2015.02</v>
      </c>
      <c r="B263" s="260">
        <v>133593</v>
      </c>
      <c r="C263" s="3034">
        <v>132406</v>
      </c>
      <c r="D263" s="169">
        <v>1187</v>
      </c>
      <c r="E263" s="260">
        <v>4513.26</v>
      </c>
      <c r="F263" s="1738">
        <v>495.80500000000001</v>
      </c>
      <c r="G263" s="1397">
        <v>208578</v>
      </c>
      <c r="H263" s="3081">
        <v>513809</v>
      </c>
      <c r="I263" s="1890">
        <f t="shared" si="2"/>
        <v>722387</v>
      </c>
      <c r="J263" s="1398">
        <v>13111.052631578947</v>
      </c>
      <c r="K263" s="3081">
        <v>11046.473684210527</v>
      </c>
      <c r="L263" s="1398">
        <v>10939</v>
      </c>
      <c r="M263" s="1891">
        <v>9596</v>
      </c>
      <c r="N263" s="1393">
        <v>24625</v>
      </c>
      <c r="O263" s="3071">
        <v>1189</v>
      </c>
      <c r="P263" s="3071">
        <v>133407</v>
      </c>
      <c r="Q263" s="3071">
        <v>6048</v>
      </c>
      <c r="R263" s="3071">
        <v>4457</v>
      </c>
      <c r="S263" s="3071">
        <v>34124</v>
      </c>
      <c r="T263" s="3071">
        <v>98881</v>
      </c>
      <c r="U263" s="3071">
        <v>35414</v>
      </c>
      <c r="V263" s="3071">
        <v>15169</v>
      </c>
      <c r="W263" s="3071">
        <v>11894</v>
      </c>
      <c r="X263" s="3071">
        <v>16302</v>
      </c>
      <c r="Y263" s="3071">
        <v>5593</v>
      </c>
      <c r="Z263" s="3071">
        <v>10267</v>
      </c>
      <c r="AA263" s="3071">
        <v>34786</v>
      </c>
      <c r="AB263" s="3071">
        <v>173433</v>
      </c>
      <c r="AC263" s="3071">
        <v>52544</v>
      </c>
      <c r="AD263" s="3071">
        <v>22145</v>
      </c>
      <c r="AE263" s="3071">
        <v>7327</v>
      </c>
      <c r="AF263" s="3071">
        <v>25246</v>
      </c>
      <c r="AG263" s="3072">
        <v>18</v>
      </c>
    </row>
    <row r="264" spans="1:33">
      <c r="A264" s="63">
        <f t="shared" si="1"/>
        <v>2015.03</v>
      </c>
      <c r="B264" s="260">
        <v>133468</v>
      </c>
      <c r="C264" s="3034">
        <v>132266</v>
      </c>
      <c r="D264" s="169">
        <v>1202</v>
      </c>
      <c r="E264" s="260">
        <v>7045.24</v>
      </c>
      <c r="F264" s="1738">
        <v>499.86799999999999</v>
      </c>
      <c r="G264" s="1397">
        <v>212827</v>
      </c>
      <c r="H264" s="3081">
        <v>519705</v>
      </c>
      <c r="I264" s="1890">
        <f t="shared" si="2"/>
        <v>732532</v>
      </c>
      <c r="J264" s="1398">
        <v>14125.578947368422</v>
      </c>
      <c r="K264" s="3081">
        <v>11154.842105263158</v>
      </c>
      <c r="L264" s="1398">
        <v>11952</v>
      </c>
      <c r="M264" s="1891">
        <v>9630</v>
      </c>
      <c r="N264" s="1393">
        <v>25813</v>
      </c>
      <c r="O264" s="3071">
        <v>1192</v>
      </c>
      <c r="P264" s="3071">
        <v>133724</v>
      </c>
      <c r="Q264" s="3071">
        <v>6070</v>
      </c>
      <c r="R264" s="3071">
        <v>4939</v>
      </c>
      <c r="S264" s="3071">
        <v>34799</v>
      </c>
      <c r="T264" s="3071">
        <v>100082</v>
      </c>
      <c r="U264" s="3071">
        <v>35991</v>
      </c>
      <c r="V264" s="3071">
        <v>15241</v>
      </c>
      <c r="W264" s="3071">
        <v>11872</v>
      </c>
      <c r="X264" s="3071">
        <v>16326</v>
      </c>
      <c r="Y264" s="3071">
        <v>5592</v>
      </c>
      <c r="Z264" s="3071">
        <v>10360</v>
      </c>
      <c r="AA264" s="3071">
        <v>34905</v>
      </c>
      <c r="AB264" s="3071">
        <v>177377</v>
      </c>
      <c r="AC264" s="3071">
        <v>54470</v>
      </c>
      <c r="AD264" s="3071">
        <v>22134</v>
      </c>
      <c r="AE264" s="3071">
        <v>7162</v>
      </c>
      <c r="AF264" s="3071">
        <v>25352</v>
      </c>
      <c r="AG264" s="3072">
        <v>18</v>
      </c>
    </row>
    <row r="265" spans="1:33">
      <c r="A265" s="63">
        <f t="shared" si="1"/>
        <v>2015.04</v>
      </c>
      <c r="B265" s="260">
        <v>134231</v>
      </c>
      <c r="C265" s="3034">
        <v>133027</v>
      </c>
      <c r="D265" s="169">
        <v>1204</v>
      </c>
      <c r="E265" s="260">
        <v>10131.85</v>
      </c>
      <c r="F265" s="1738">
        <v>502.00400000000002</v>
      </c>
      <c r="G265" s="1397">
        <v>221923</v>
      </c>
      <c r="H265" s="3081">
        <v>522038</v>
      </c>
      <c r="I265" s="1890">
        <f t="shared" si="2"/>
        <v>743961</v>
      </c>
      <c r="J265" s="1398">
        <v>16236.315789473685</v>
      </c>
      <c r="K265" s="3081">
        <v>11521.263157894737</v>
      </c>
      <c r="L265" s="1398">
        <v>13998</v>
      </c>
      <c r="M265" s="1891">
        <v>9838</v>
      </c>
      <c r="N265" s="1393">
        <v>26225</v>
      </c>
      <c r="O265" s="3071">
        <v>1172</v>
      </c>
      <c r="P265" s="3071">
        <v>133545</v>
      </c>
      <c r="Q265" s="3071">
        <v>6105</v>
      </c>
      <c r="R265" s="3071">
        <v>4921</v>
      </c>
      <c r="S265" s="3071">
        <v>34854</v>
      </c>
      <c r="T265" s="3071">
        <v>100382</v>
      </c>
      <c r="U265" s="3071">
        <v>35869</v>
      </c>
      <c r="V265" s="3071">
        <v>15121</v>
      </c>
      <c r="W265" s="3071">
        <v>11938</v>
      </c>
      <c r="X265" s="3071">
        <v>16378</v>
      </c>
      <c r="Y265" s="3071">
        <v>5619</v>
      </c>
      <c r="Z265" s="3071">
        <v>10481</v>
      </c>
      <c r="AA265" s="3071">
        <v>36768</v>
      </c>
      <c r="AB265" s="3071">
        <v>184610</v>
      </c>
      <c r="AC265" s="3071">
        <v>56793</v>
      </c>
      <c r="AD265" s="3071">
        <v>22109</v>
      </c>
      <c r="AE265" s="3071">
        <v>7085</v>
      </c>
      <c r="AF265" s="3071">
        <v>25331</v>
      </c>
      <c r="AG265" s="3072">
        <v>18</v>
      </c>
    </row>
    <row r="266" spans="1:33">
      <c r="A266" s="63">
        <f t="shared" si="1"/>
        <v>2015.05</v>
      </c>
      <c r="B266" s="260">
        <v>135152</v>
      </c>
      <c r="C266" s="3034">
        <v>133930</v>
      </c>
      <c r="D266" s="169">
        <v>1222</v>
      </c>
      <c r="E266" s="260">
        <v>13066.82</v>
      </c>
      <c r="F266" s="1738">
        <v>500.822</v>
      </c>
      <c r="G266" s="1397">
        <v>222539</v>
      </c>
      <c r="H266" s="3081">
        <v>521845</v>
      </c>
      <c r="I266" s="1890">
        <f t="shared" si="2"/>
        <v>744384</v>
      </c>
      <c r="J266" s="1398">
        <v>15071.947368421053</v>
      </c>
      <c r="K266" s="3081">
        <v>11880</v>
      </c>
      <c r="L266" s="1398">
        <v>12956</v>
      </c>
      <c r="M266" s="1891">
        <v>10717</v>
      </c>
      <c r="N266" s="1393">
        <v>25716</v>
      </c>
      <c r="O266" s="3071">
        <v>1168</v>
      </c>
      <c r="P266" s="3071">
        <v>133733</v>
      </c>
      <c r="Q266" s="3071">
        <v>6108</v>
      </c>
      <c r="R266" s="3071">
        <v>4917</v>
      </c>
      <c r="S266" s="3071">
        <v>35175</v>
      </c>
      <c r="T266" s="3071">
        <v>99490</v>
      </c>
      <c r="U266" s="3071">
        <v>35810</v>
      </c>
      <c r="V266" s="3071">
        <v>15017</v>
      </c>
      <c r="W266" s="3071">
        <v>11915</v>
      </c>
      <c r="X266" s="3071">
        <v>16390</v>
      </c>
      <c r="Y266" s="3071">
        <v>5593</v>
      </c>
      <c r="Z266" s="3071">
        <v>10472</v>
      </c>
      <c r="AA266" s="3071">
        <v>34505</v>
      </c>
      <c r="AB266" s="3071">
        <v>187207</v>
      </c>
      <c r="AC266" s="3071">
        <v>57822</v>
      </c>
      <c r="AD266" s="3071">
        <v>22058</v>
      </c>
      <c r="AE266" s="3071">
        <v>7024</v>
      </c>
      <c r="AF266" s="3071">
        <v>25376</v>
      </c>
      <c r="AG266" s="3072">
        <v>18</v>
      </c>
    </row>
    <row r="267" spans="1:33">
      <c r="A267" s="63">
        <f t="shared" si="1"/>
        <v>2015.06</v>
      </c>
      <c r="B267" s="260">
        <v>136563</v>
      </c>
      <c r="C267" s="3034">
        <v>135302</v>
      </c>
      <c r="D267" s="169">
        <v>1261</v>
      </c>
      <c r="E267" s="260">
        <v>17045.22</v>
      </c>
      <c r="F267" s="1738">
        <v>503.29700000000003</v>
      </c>
      <c r="G267" s="1397">
        <v>226794</v>
      </c>
      <c r="H267" s="3081">
        <v>524574</v>
      </c>
      <c r="I267" s="1890">
        <f t="shared" si="2"/>
        <v>751368</v>
      </c>
      <c r="J267" s="1398">
        <v>21411.315789473683</v>
      </c>
      <c r="K267" s="3081">
        <v>17996</v>
      </c>
      <c r="L267" s="1398">
        <v>18872</v>
      </c>
      <c r="M267" s="1891">
        <v>15886</v>
      </c>
      <c r="N267" s="1393">
        <v>25221</v>
      </c>
      <c r="O267" s="3071">
        <v>1182</v>
      </c>
      <c r="P267" s="3071">
        <v>133577</v>
      </c>
      <c r="Q267" s="3071">
        <v>6138</v>
      </c>
      <c r="R267" s="3071">
        <v>4888</v>
      </c>
      <c r="S267" s="3071">
        <v>35510</v>
      </c>
      <c r="T267" s="3071">
        <v>99794</v>
      </c>
      <c r="U267" s="3071">
        <v>35873</v>
      </c>
      <c r="V267" s="3071">
        <v>15052</v>
      </c>
      <c r="W267" s="3071">
        <v>11909</v>
      </c>
      <c r="X267" s="3071">
        <v>16442</v>
      </c>
      <c r="Y267" s="3071">
        <v>5540</v>
      </c>
      <c r="Z267" s="3071">
        <v>10545</v>
      </c>
      <c r="AA267" s="3071">
        <v>36240</v>
      </c>
      <c r="AB267" s="3071">
        <v>189079</v>
      </c>
      <c r="AC267" s="3071">
        <v>59625</v>
      </c>
      <c r="AD267" s="3071">
        <v>22174</v>
      </c>
      <c r="AE267" s="3071">
        <v>6924</v>
      </c>
      <c r="AF267" s="3071">
        <v>25489</v>
      </c>
      <c r="AG267" s="3072">
        <v>18</v>
      </c>
    </row>
    <row r="268" spans="1:33">
      <c r="A268" s="63">
        <f t="shared" si="1"/>
        <v>2015.07</v>
      </c>
      <c r="B268" s="260">
        <v>137855</v>
      </c>
      <c r="C268" s="3034">
        <v>136498</v>
      </c>
      <c r="D268" s="169">
        <v>1357</v>
      </c>
      <c r="E268" s="260">
        <v>20204.009999999998</v>
      </c>
      <c r="F268" s="1738">
        <v>501.41500000000002</v>
      </c>
      <c r="G268" s="1397">
        <v>226501</v>
      </c>
      <c r="H268" s="3081">
        <v>523336</v>
      </c>
      <c r="I268" s="1890">
        <f t="shared" si="2"/>
        <v>749837</v>
      </c>
      <c r="J268" s="1398">
        <v>16308.157894736842</v>
      </c>
      <c r="K268" s="3081">
        <v>12975.842105263158</v>
      </c>
      <c r="L268" s="1398">
        <v>14228</v>
      </c>
      <c r="M268" s="1891">
        <v>11590</v>
      </c>
      <c r="N268" s="1393">
        <v>24713</v>
      </c>
      <c r="O268" s="3071">
        <v>1180</v>
      </c>
      <c r="P268" s="3071">
        <v>133557</v>
      </c>
      <c r="Q268" s="3071">
        <v>6105</v>
      </c>
      <c r="R268" s="3071">
        <v>4896</v>
      </c>
      <c r="S268" s="3071">
        <v>35329</v>
      </c>
      <c r="T268" s="3071">
        <v>99530</v>
      </c>
      <c r="U268" s="3071">
        <v>36103</v>
      </c>
      <c r="V268" s="3071">
        <v>15128</v>
      </c>
      <c r="W268" s="3071">
        <v>11936</v>
      </c>
      <c r="X268" s="3071">
        <v>16466</v>
      </c>
      <c r="Y268" s="3071">
        <v>5403</v>
      </c>
      <c r="Z268" s="3071">
        <v>10460</v>
      </c>
      <c r="AA268" s="3071">
        <v>34498</v>
      </c>
      <c r="AB268" s="3071">
        <v>191005</v>
      </c>
      <c r="AC268" s="3071">
        <v>58173</v>
      </c>
      <c r="AD268" s="3071">
        <v>22280</v>
      </c>
      <c r="AE268" s="3071">
        <v>7088</v>
      </c>
      <c r="AF268" s="3071">
        <v>25461</v>
      </c>
      <c r="AG268" s="3072">
        <v>20</v>
      </c>
    </row>
    <row r="269" spans="1:33">
      <c r="A269" s="63">
        <f t="shared" si="1"/>
        <v>2015.08</v>
      </c>
      <c r="B269" s="260">
        <v>137905</v>
      </c>
      <c r="C269" s="3034">
        <v>136544</v>
      </c>
      <c r="D269" s="169">
        <v>1361</v>
      </c>
      <c r="E269" s="260">
        <v>23365.62</v>
      </c>
      <c r="F269" s="1738">
        <v>502.83600000000001</v>
      </c>
      <c r="G269" s="1397">
        <v>228137</v>
      </c>
      <c r="H269" s="3081">
        <v>523736</v>
      </c>
      <c r="I269" s="1890">
        <f t="shared" si="2"/>
        <v>751873</v>
      </c>
      <c r="J269" s="1398">
        <v>16447.36842105263</v>
      </c>
      <c r="K269" s="3081">
        <v>12656.105263157895</v>
      </c>
      <c r="L269" s="1398">
        <v>14255</v>
      </c>
      <c r="M269" s="1891">
        <v>11279</v>
      </c>
      <c r="N269" s="1393">
        <v>24313</v>
      </c>
      <c r="O269" s="3071">
        <v>1176</v>
      </c>
      <c r="P269" s="3071">
        <v>133264</v>
      </c>
      <c r="Q269" s="3071">
        <v>6123</v>
      </c>
      <c r="R269" s="3071">
        <v>4929</v>
      </c>
      <c r="S269" s="3071">
        <v>35002</v>
      </c>
      <c r="T269" s="3071">
        <v>99896</v>
      </c>
      <c r="U269" s="3071">
        <v>36974</v>
      </c>
      <c r="V269" s="3071">
        <v>15176</v>
      </c>
      <c r="W269" s="3071">
        <v>11929</v>
      </c>
      <c r="X269" s="3071">
        <v>16439</v>
      </c>
      <c r="Y269" s="3071">
        <v>5413</v>
      </c>
      <c r="Z269" s="3071">
        <v>10449</v>
      </c>
      <c r="AA269" s="3071">
        <v>35875</v>
      </c>
      <c r="AB269" s="3071">
        <v>190577</v>
      </c>
      <c r="AC269" s="3071">
        <v>58972</v>
      </c>
      <c r="AD269" s="3071">
        <v>22328</v>
      </c>
      <c r="AE269" s="3071">
        <v>7081</v>
      </c>
      <c r="AF269" s="3071">
        <v>25594</v>
      </c>
      <c r="AG269" s="3072">
        <v>20</v>
      </c>
    </row>
    <row r="270" spans="1:33">
      <c r="A270" s="63">
        <f t="shared" si="1"/>
        <v>2015.09</v>
      </c>
      <c r="B270" s="260">
        <v>138031</v>
      </c>
      <c r="C270" s="3034">
        <v>136772</v>
      </c>
      <c r="D270" s="169">
        <v>1259</v>
      </c>
      <c r="E270" s="260">
        <v>26575.119999999999</v>
      </c>
      <c r="F270" s="1738">
        <v>502.16899999999998</v>
      </c>
      <c r="G270" s="1397">
        <v>227486</v>
      </c>
      <c r="H270" s="3081">
        <v>525632</v>
      </c>
      <c r="I270" s="1890">
        <f t="shared" si="2"/>
        <v>753118</v>
      </c>
      <c r="J270" s="1398">
        <v>16506.842105263157</v>
      </c>
      <c r="K270" s="3081">
        <v>13135.947368421053</v>
      </c>
      <c r="L270" s="1398">
        <v>14260</v>
      </c>
      <c r="M270" s="1891">
        <v>11738</v>
      </c>
      <c r="N270" s="1393">
        <v>24179</v>
      </c>
      <c r="O270" s="3071">
        <v>1178</v>
      </c>
      <c r="P270" s="3071">
        <v>133468</v>
      </c>
      <c r="Q270" s="3071">
        <v>6156</v>
      </c>
      <c r="R270" s="3071">
        <v>4934</v>
      </c>
      <c r="S270" s="3071">
        <v>35207</v>
      </c>
      <c r="T270" s="3071">
        <v>99511</v>
      </c>
      <c r="U270" s="3071">
        <v>36381</v>
      </c>
      <c r="V270" s="3071">
        <v>15127</v>
      </c>
      <c r="W270" s="3071">
        <v>11943</v>
      </c>
      <c r="X270" s="3071">
        <v>16477</v>
      </c>
      <c r="Y270" s="3071">
        <v>5448</v>
      </c>
      <c r="Z270" s="3071">
        <v>10511</v>
      </c>
      <c r="AA270" s="3071">
        <v>34822</v>
      </c>
      <c r="AB270" s="3071">
        <v>191619</v>
      </c>
      <c r="AC270" s="3071">
        <v>59606</v>
      </c>
      <c r="AD270" s="3071">
        <v>22364</v>
      </c>
      <c r="AE270" s="3071">
        <v>7182</v>
      </c>
      <c r="AF270" s="3071">
        <v>25745</v>
      </c>
      <c r="AG270" s="3072">
        <v>20</v>
      </c>
    </row>
    <row r="271" spans="1:33">
      <c r="A271" s="63">
        <f t="shared" si="1"/>
        <v>2015.1</v>
      </c>
      <c r="B271" s="260">
        <v>138032</v>
      </c>
      <c r="C271" s="3034">
        <v>136801</v>
      </c>
      <c r="D271" s="169">
        <v>1231</v>
      </c>
      <c r="E271" s="260">
        <v>29746.87</v>
      </c>
      <c r="F271" s="1738">
        <v>504.57799999999997</v>
      </c>
      <c r="G271" s="1397">
        <v>231333</v>
      </c>
      <c r="H271" s="3081">
        <v>527470</v>
      </c>
      <c r="I271" s="1890">
        <f t="shared" si="2"/>
        <v>758803</v>
      </c>
      <c r="J271" s="1398">
        <v>16520.947368421053</v>
      </c>
      <c r="K271" s="3081">
        <v>13273.105263157895</v>
      </c>
      <c r="L271" s="1398">
        <v>14261</v>
      </c>
      <c r="M271" s="1891">
        <v>11419</v>
      </c>
      <c r="N271" s="1393">
        <v>24243</v>
      </c>
      <c r="O271" s="3071">
        <v>1179</v>
      </c>
      <c r="P271" s="3071">
        <v>133662</v>
      </c>
      <c r="Q271" s="3071">
        <v>6149</v>
      </c>
      <c r="R271" s="3071">
        <v>4945</v>
      </c>
      <c r="S271" s="3071">
        <v>35461</v>
      </c>
      <c r="T271" s="3071">
        <v>99828</v>
      </c>
      <c r="U271" s="3071">
        <v>37314</v>
      </c>
      <c r="V271" s="3071">
        <v>15414</v>
      </c>
      <c r="W271" s="3071">
        <v>11997</v>
      </c>
      <c r="X271" s="3071">
        <v>16495</v>
      </c>
      <c r="Y271" s="3071">
        <v>5507</v>
      </c>
      <c r="Z271" s="3071">
        <v>10543</v>
      </c>
      <c r="AA271" s="3071">
        <v>36171</v>
      </c>
      <c r="AB271" s="3071">
        <v>193527</v>
      </c>
      <c r="AC271" s="3071">
        <v>59864</v>
      </c>
      <c r="AD271" s="3071">
        <v>22405</v>
      </c>
      <c r="AE271" s="3071">
        <v>7185</v>
      </c>
      <c r="AF271" s="3071">
        <v>25774</v>
      </c>
      <c r="AG271" s="3072">
        <v>20</v>
      </c>
    </row>
    <row r="272" spans="1:33">
      <c r="A272" s="63">
        <f t="shared" si="1"/>
        <v>2015.11</v>
      </c>
      <c r="B272" s="260">
        <v>137859</v>
      </c>
      <c r="C272" s="3034">
        <v>136662</v>
      </c>
      <c r="D272" s="169">
        <v>1197</v>
      </c>
      <c r="E272" s="260">
        <v>32919.61</v>
      </c>
      <c r="F272" s="1738">
        <v>505.83100000000002</v>
      </c>
      <c r="G272" s="1397">
        <v>231466</v>
      </c>
      <c r="H272" s="3081">
        <v>528472</v>
      </c>
      <c r="I272" s="1890">
        <f t="shared" si="2"/>
        <v>759938</v>
      </c>
      <c r="J272" s="1398">
        <v>16626.63157894737</v>
      </c>
      <c r="K272" s="3081">
        <v>13575</v>
      </c>
      <c r="L272" s="1398">
        <v>14262</v>
      </c>
      <c r="M272" s="1891">
        <v>12001</v>
      </c>
      <c r="N272" s="1393">
        <v>24546</v>
      </c>
      <c r="O272" s="3071">
        <v>1186</v>
      </c>
      <c r="P272" s="3071">
        <v>133551</v>
      </c>
      <c r="Q272" s="3071">
        <v>6152</v>
      </c>
      <c r="R272" s="3071">
        <v>4998</v>
      </c>
      <c r="S272" s="3071">
        <v>35277</v>
      </c>
      <c r="T272" s="3071">
        <v>100413</v>
      </c>
      <c r="U272" s="3071">
        <v>37230</v>
      </c>
      <c r="V272" s="3071">
        <v>15630</v>
      </c>
      <c r="W272" s="3071">
        <v>12012</v>
      </c>
      <c r="X272" s="3071">
        <v>16557</v>
      </c>
      <c r="Y272" s="3071">
        <v>5469</v>
      </c>
      <c r="Z272" s="3071">
        <v>10601</v>
      </c>
      <c r="AA272" s="3071">
        <v>36610</v>
      </c>
      <c r="AB272" s="3071">
        <v>193497</v>
      </c>
      <c r="AC272" s="3071">
        <v>59326</v>
      </c>
      <c r="AD272" s="3071">
        <v>22429</v>
      </c>
      <c r="AE272" s="3071">
        <v>7211</v>
      </c>
      <c r="AF272" s="3071">
        <v>25870</v>
      </c>
      <c r="AG272" s="3072">
        <v>20</v>
      </c>
    </row>
    <row r="273" spans="1:33">
      <c r="A273" s="63">
        <f t="shared" si="1"/>
        <v>2015.12</v>
      </c>
      <c r="B273" s="260">
        <v>138233</v>
      </c>
      <c r="C273" s="3034">
        <v>137260</v>
      </c>
      <c r="D273" s="169">
        <v>973</v>
      </c>
      <c r="E273" s="260">
        <v>37436.99</v>
      </c>
      <c r="F273" s="1738">
        <v>505.01799999999997</v>
      </c>
      <c r="G273" s="1397">
        <v>231032</v>
      </c>
      <c r="H273" s="3081">
        <v>527181</v>
      </c>
      <c r="I273" s="1890">
        <f t="shared" si="2"/>
        <v>758213</v>
      </c>
      <c r="J273" s="1398">
        <v>22967.894736842107</v>
      </c>
      <c r="K273" s="3081">
        <v>20478.315789473683</v>
      </c>
      <c r="L273" s="1398">
        <v>20393</v>
      </c>
      <c r="M273" s="1891">
        <v>18248</v>
      </c>
      <c r="N273" s="1393">
        <v>24701</v>
      </c>
      <c r="O273" s="3071">
        <v>1199</v>
      </c>
      <c r="P273" s="3071">
        <v>133305</v>
      </c>
      <c r="Q273" s="3071">
        <v>6143</v>
      </c>
      <c r="R273" s="3071">
        <v>5000</v>
      </c>
      <c r="S273" s="3071">
        <v>33717</v>
      </c>
      <c r="T273" s="3071">
        <v>101284</v>
      </c>
      <c r="U273" s="3071">
        <v>36662</v>
      </c>
      <c r="V273" s="3071">
        <v>15684</v>
      </c>
      <c r="W273" s="3071">
        <v>12004</v>
      </c>
      <c r="X273" s="3071">
        <v>16703</v>
      </c>
      <c r="Y273" s="3071">
        <v>5477</v>
      </c>
      <c r="Z273" s="3071">
        <v>10596</v>
      </c>
      <c r="AA273" s="3071">
        <v>35820</v>
      </c>
      <c r="AB273" s="3071">
        <v>194829</v>
      </c>
      <c r="AC273" s="3071">
        <v>57907</v>
      </c>
      <c r="AD273" s="3071">
        <v>22585</v>
      </c>
      <c r="AE273" s="3071">
        <v>7435</v>
      </c>
      <c r="AF273" s="3071">
        <v>25859</v>
      </c>
      <c r="AG273" s="3072">
        <v>20</v>
      </c>
    </row>
    <row r="274" spans="1:33">
      <c r="A274" s="63">
        <f t="shared" si="1"/>
        <v>2016.01</v>
      </c>
      <c r="B274" s="260">
        <v>138519</v>
      </c>
      <c r="C274" s="3034">
        <v>137513</v>
      </c>
      <c r="D274" s="169">
        <v>1006</v>
      </c>
      <c r="E274" s="260">
        <v>3136.7370000000001</v>
      </c>
      <c r="F274" s="1738">
        <v>501.05700000000002</v>
      </c>
      <c r="G274" s="1397">
        <v>215181</v>
      </c>
      <c r="H274" s="3081">
        <v>521947</v>
      </c>
      <c r="I274" s="1890">
        <f t="shared" si="2"/>
        <v>737128</v>
      </c>
      <c r="J274" s="1398">
        <v>17700.157894736843</v>
      </c>
      <c r="K274" s="3081">
        <v>14878.78947368421</v>
      </c>
      <c r="L274" s="1398">
        <v>14456</v>
      </c>
      <c r="M274" s="1891">
        <v>12500</v>
      </c>
      <c r="N274" s="1393">
        <v>24287</v>
      </c>
      <c r="O274" s="3071">
        <v>1190</v>
      </c>
      <c r="P274" s="3071">
        <v>133163</v>
      </c>
      <c r="Q274" s="3071">
        <v>6144</v>
      </c>
      <c r="R274" s="3071">
        <v>4967</v>
      </c>
      <c r="S274" s="3071">
        <v>33713</v>
      </c>
      <c r="T274" s="3071">
        <v>100050</v>
      </c>
      <c r="U274" s="3071">
        <v>36632</v>
      </c>
      <c r="V274" s="3071">
        <v>15456</v>
      </c>
      <c r="W274" s="3071">
        <v>12020</v>
      </c>
      <c r="X274" s="3071">
        <v>16693</v>
      </c>
      <c r="Y274" s="3071">
        <v>6135</v>
      </c>
      <c r="Z274" s="3071">
        <v>10359</v>
      </c>
      <c r="AA274" s="3071">
        <v>36162</v>
      </c>
      <c r="AB274" s="3071">
        <v>179034</v>
      </c>
      <c r="AC274" s="3071">
        <v>54148</v>
      </c>
      <c r="AD274" s="3071">
        <v>22679</v>
      </c>
      <c r="AE274" s="3071">
        <v>7597</v>
      </c>
      <c r="AF274" s="3071">
        <v>25492</v>
      </c>
      <c r="AG274" s="3072">
        <v>22</v>
      </c>
    </row>
    <row r="275" spans="1:33">
      <c r="A275" s="63">
        <f t="shared" si="1"/>
        <v>2016.02</v>
      </c>
      <c r="B275" s="260">
        <v>138494</v>
      </c>
      <c r="C275" s="3034">
        <v>137427</v>
      </c>
      <c r="D275" s="169">
        <v>1067</v>
      </c>
      <c r="E275" s="260">
        <v>6170.4170000000004</v>
      </c>
      <c r="F275" s="1738">
        <v>499.31700000000001</v>
      </c>
      <c r="G275" s="1397">
        <v>216033</v>
      </c>
      <c r="H275" s="3081">
        <v>520609</v>
      </c>
      <c r="I275" s="1890">
        <f t="shared" si="2"/>
        <v>736642</v>
      </c>
      <c r="J275" s="1398">
        <v>17439.157894736843</v>
      </c>
      <c r="K275" s="3081">
        <v>14793.947368421053</v>
      </c>
      <c r="L275" s="1398">
        <v>14704</v>
      </c>
      <c r="M275" s="1891">
        <v>12569</v>
      </c>
      <c r="N275" s="1393">
        <v>23776</v>
      </c>
      <c r="O275" s="3071">
        <v>1198</v>
      </c>
      <c r="P275" s="3071">
        <v>132637</v>
      </c>
      <c r="Q275" s="3071">
        <v>6144</v>
      </c>
      <c r="R275" s="3071">
        <v>4970</v>
      </c>
      <c r="S275" s="3071">
        <v>33708</v>
      </c>
      <c r="T275" s="3071">
        <v>99752</v>
      </c>
      <c r="U275" s="3071">
        <v>36399</v>
      </c>
      <c r="V275" s="3071">
        <v>15341</v>
      </c>
      <c r="W275" s="3071">
        <v>12145</v>
      </c>
      <c r="X275" s="3071">
        <v>16604</v>
      </c>
      <c r="Y275" s="3071">
        <v>6074</v>
      </c>
      <c r="Z275" s="3071">
        <v>10391</v>
      </c>
      <c r="AA275" s="3071">
        <v>35907</v>
      </c>
      <c r="AB275" s="3071">
        <v>179921</v>
      </c>
      <c r="AC275" s="3071">
        <v>54140</v>
      </c>
      <c r="AD275" s="3071">
        <v>22653</v>
      </c>
      <c r="AE275" s="3071">
        <v>7394</v>
      </c>
      <c r="AF275" s="3071">
        <v>25645</v>
      </c>
      <c r="AG275" s="3072">
        <v>22</v>
      </c>
    </row>
    <row r="276" spans="1:33">
      <c r="A276" s="63">
        <f t="shared" si="1"/>
        <v>2016.03</v>
      </c>
      <c r="B276" s="260">
        <v>138787</v>
      </c>
      <c r="C276" s="3034">
        <v>137665</v>
      </c>
      <c r="D276" s="169">
        <v>1122</v>
      </c>
      <c r="E276" s="260">
        <v>10052.790000000001</v>
      </c>
      <c r="F276" s="1738">
        <v>502.32900000000001</v>
      </c>
      <c r="G276" s="1397">
        <v>219248</v>
      </c>
      <c r="H276" s="3081">
        <v>525378</v>
      </c>
      <c r="I276" s="1890">
        <f t="shared" si="2"/>
        <v>744626</v>
      </c>
      <c r="J276" s="1398">
        <v>20135.947368421053</v>
      </c>
      <c r="K276" s="3081">
        <v>14957.473684210527</v>
      </c>
      <c r="L276" s="1398">
        <v>17357</v>
      </c>
      <c r="M276" s="1891">
        <v>12900</v>
      </c>
      <c r="N276" s="1393">
        <v>25013</v>
      </c>
      <c r="O276" s="3071">
        <v>1197</v>
      </c>
      <c r="P276" s="3071">
        <v>132184</v>
      </c>
      <c r="Q276" s="3071">
        <v>6149</v>
      </c>
      <c r="R276" s="3071">
        <v>4982</v>
      </c>
      <c r="S276" s="3071">
        <v>33954</v>
      </c>
      <c r="T276" s="3071">
        <v>100715</v>
      </c>
      <c r="U276" s="3071">
        <v>36602</v>
      </c>
      <c r="V276" s="3071">
        <v>15378</v>
      </c>
      <c r="W276" s="3071">
        <v>12232</v>
      </c>
      <c r="X276" s="3071">
        <v>16713</v>
      </c>
      <c r="Y276" s="3071">
        <v>6104</v>
      </c>
      <c r="Z276" s="3071">
        <v>10404</v>
      </c>
      <c r="AA276" s="3071">
        <v>35904</v>
      </c>
      <c r="AB276" s="3071">
        <v>183248</v>
      </c>
      <c r="AC276" s="3071">
        <v>56857</v>
      </c>
      <c r="AD276" s="3071">
        <v>22679</v>
      </c>
      <c r="AE276" s="3071">
        <v>7380</v>
      </c>
      <c r="AF276" s="3071">
        <v>25890</v>
      </c>
      <c r="AG276" s="3072">
        <v>22</v>
      </c>
    </row>
    <row r="277" spans="1:33">
      <c r="A277" s="63">
        <f t="shared" si="1"/>
        <v>2016.04</v>
      </c>
      <c r="B277" s="260">
        <v>138693</v>
      </c>
      <c r="C277" s="3034">
        <v>137537</v>
      </c>
      <c r="D277" s="169">
        <v>1156</v>
      </c>
      <c r="E277" s="260">
        <v>13942.57</v>
      </c>
      <c r="F277" s="1738">
        <v>499.762</v>
      </c>
      <c r="G277" s="1397">
        <v>225788</v>
      </c>
      <c r="H277" s="3081">
        <v>522721</v>
      </c>
      <c r="I277" s="1890">
        <f t="shared" si="2"/>
        <v>748509</v>
      </c>
      <c r="J277" s="1398">
        <v>19909.42105263158</v>
      </c>
      <c r="K277" s="3081">
        <v>15728.368421052632</v>
      </c>
      <c r="L277" s="1398">
        <v>17305</v>
      </c>
      <c r="M277" s="1891">
        <v>13352</v>
      </c>
      <c r="N277" s="1393">
        <v>25100</v>
      </c>
      <c r="O277" s="3071">
        <v>1192</v>
      </c>
      <c r="P277" s="3071">
        <v>131594</v>
      </c>
      <c r="Q277" s="3071">
        <v>6151</v>
      </c>
      <c r="R277" s="3071">
        <v>4982</v>
      </c>
      <c r="S277" s="3071">
        <v>33242</v>
      </c>
      <c r="T277" s="3071">
        <v>99742</v>
      </c>
      <c r="U277" s="3071">
        <v>36190</v>
      </c>
      <c r="V277" s="3071">
        <v>15127</v>
      </c>
      <c r="W277" s="3071">
        <v>12322</v>
      </c>
      <c r="X277" s="3071">
        <v>16811</v>
      </c>
      <c r="Y277" s="3071">
        <v>6044</v>
      </c>
      <c r="Z277" s="3071">
        <v>10317</v>
      </c>
      <c r="AA277" s="3071">
        <v>35230</v>
      </c>
      <c r="AB277" s="3071">
        <v>190147</v>
      </c>
      <c r="AC277" s="3071">
        <v>58296</v>
      </c>
      <c r="AD277" s="3071">
        <v>22552</v>
      </c>
      <c r="AE277" s="3071">
        <v>7232</v>
      </c>
      <c r="AF277" s="3071">
        <v>25776</v>
      </c>
      <c r="AG277" s="3072">
        <v>21</v>
      </c>
    </row>
    <row r="278" spans="1:33">
      <c r="A278" s="63">
        <f t="shared" si="1"/>
        <v>2016.05</v>
      </c>
      <c r="B278" s="260">
        <v>139254</v>
      </c>
      <c r="C278" s="3034">
        <v>138096</v>
      </c>
      <c r="D278" s="169">
        <v>1158</v>
      </c>
      <c r="E278" s="260">
        <v>17794.97</v>
      </c>
      <c r="F278" s="1738">
        <v>499.18400000000003</v>
      </c>
      <c r="G278" s="1397">
        <v>228307</v>
      </c>
      <c r="H278" s="3081">
        <v>522810</v>
      </c>
      <c r="I278" s="1890">
        <f t="shared" si="2"/>
        <v>751117</v>
      </c>
      <c r="J278" s="1398">
        <v>20278.36842105263</v>
      </c>
      <c r="K278" s="3081">
        <v>16066.368421052632</v>
      </c>
      <c r="L278" s="1398">
        <v>17357</v>
      </c>
      <c r="M278" s="1891">
        <v>14326</v>
      </c>
      <c r="N278" s="1393">
        <v>25314</v>
      </c>
      <c r="O278" s="3071">
        <v>1176</v>
      </c>
      <c r="P278" s="3071">
        <v>130444</v>
      </c>
      <c r="Q278" s="3071">
        <v>6173</v>
      </c>
      <c r="R278" s="3071">
        <v>4967</v>
      </c>
      <c r="S278" s="3071">
        <v>33636</v>
      </c>
      <c r="T278" s="3071">
        <v>99982</v>
      </c>
      <c r="U278" s="3071">
        <v>36277</v>
      </c>
      <c r="V278" s="3071">
        <v>14960</v>
      </c>
      <c r="W278" s="3071">
        <v>12292</v>
      </c>
      <c r="X278" s="3071">
        <v>16847</v>
      </c>
      <c r="Y278" s="3071">
        <v>5931</v>
      </c>
      <c r="Z278" s="3071">
        <v>10303</v>
      </c>
      <c r="AA278" s="3071">
        <v>34808</v>
      </c>
      <c r="AB278" s="3071">
        <v>192437</v>
      </c>
      <c r="AC278" s="3071">
        <v>59284</v>
      </c>
      <c r="AD278" s="3071">
        <v>22445</v>
      </c>
      <c r="AE278" s="3071">
        <v>7237</v>
      </c>
      <c r="AF278" s="3071">
        <v>25819</v>
      </c>
      <c r="AG278" s="3072">
        <v>22</v>
      </c>
    </row>
    <row r="279" spans="1:33">
      <c r="A279" s="63">
        <f t="shared" si="1"/>
        <v>2016.06</v>
      </c>
      <c r="B279" s="260">
        <v>139309</v>
      </c>
      <c r="C279" s="3034">
        <v>138151</v>
      </c>
      <c r="D279" s="169">
        <v>1158</v>
      </c>
      <c r="E279" s="260">
        <v>23185.85</v>
      </c>
      <c r="F279" s="1738">
        <v>499.08800000000002</v>
      </c>
      <c r="G279" s="1397">
        <v>229904</v>
      </c>
      <c r="H279" s="3081">
        <v>521357</v>
      </c>
      <c r="I279" s="1890">
        <f t="shared" si="2"/>
        <v>751261</v>
      </c>
      <c r="J279" s="1398">
        <v>27857.36842105263</v>
      </c>
      <c r="K279" s="3081">
        <v>23209.63157894737</v>
      </c>
      <c r="L279" s="1398">
        <v>25435</v>
      </c>
      <c r="M279" s="1891">
        <v>20582</v>
      </c>
      <c r="N279" s="1393">
        <v>24695</v>
      </c>
      <c r="O279" s="3071">
        <v>1179</v>
      </c>
      <c r="P279" s="3071">
        <v>130495</v>
      </c>
      <c r="Q279" s="3071">
        <v>6205</v>
      </c>
      <c r="R279" s="3071">
        <v>4921</v>
      </c>
      <c r="S279" s="3071">
        <v>33718</v>
      </c>
      <c r="T279" s="3071">
        <v>99654</v>
      </c>
      <c r="U279" s="3071">
        <v>36126</v>
      </c>
      <c r="V279" s="3071">
        <v>14791</v>
      </c>
      <c r="W279" s="3071">
        <v>12333</v>
      </c>
      <c r="X279" s="3071">
        <v>16785</v>
      </c>
      <c r="Y279" s="3071">
        <v>5924</v>
      </c>
      <c r="Z279" s="3071">
        <v>10166</v>
      </c>
      <c r="AA279" s="3071">
        <v>34572</v>
      </c>
      <c r="AB279" s="3071">
        <v>193511</v>
      </c>
      <c r="AC279" s="3071">
        <v>60735</v>
      </c>
      <c r="AD279" s="3071">
        <v>22403</v>
      </c>
      <c r="AE279" s="3071">
        <v>7142</v>
      </c>
      <c r="AF279" s="3071">
        <v>25928</v>
      </c>
      <c r="AG279" s="3072">
        <v>22</v>
      </c>
    </row>
    <row r="280" spans="1:33">
      <c r="A280" s="63">
        <f t="shared" si="1"/>
        <v>2016.07</v>
      </c>
      <c r="B280" s="260">
        <v>139241</v>
      </c>
      <c r="C280" s="3034">
        <v>138066</v>
      </c>
      <c r="D280" s="169">
        <v>1175</v>
      </c>
      <c r="E280" s="260">
        <v>27395.05</v>
      </c>
      <c r="F280" s="1738">
        <v>497.589</v>
      </c>
      <c r="G280" s="1397">
        <v>230431</v>
      </c>
      <c r="H280" s="3081">
        <v>518753</v>
      </c>
      <c r="I280" s="1890">
        <f t="shared" si="2"/>
        <v>749184</v>
      </c>
      <c r="J280" s="1398">
        <v>21513.473684210527</v>
      </c>
      <c r="K280" s="3081">
        <v>16670</v>
      </c>
      <c r="L280" s="1398">
        <v>18804</v>
      </c>
      <c r="M280" s="1891">
        <v>14647</v>
      </c>
      <c r="N280" s="1393">
        <v>24033</v>
      </c>
      <c r="O280" s="3071">
        <v>1171</v>
      </c>
      <c r="P280" s="3071">
        <v>130290</v>
      </c>
      <c r="Q280" s="3071">
        <v>6198</v>
      </c>
      <c r="R280" s="3071">
        <v>4923</v>
      </c>
      <c r="S280" s="3071">
        <v>33967</v>
      </c>
      <c r="T280" s="3071">
        <v>99469</v>
      </c>
      <c r="U280" s="3071">
        <v>36074</v>
      </c>
      <c r="V280" s="3071">
        <v>14807</v>
      </c>
      <c r="W280" s="3071">
        <v>12462</v>
      </c>
      <c r="X280" s="3071">
        <v>16785</v>
      </c>
      <c r="Y280" s="3071">
        <v>5745</v>
      </c>
      <c r="Z280" s="3071">
        <v>10257</v>
      </c>
      <c r="AA280" s="3071">
        <v>34059</v>
      </c>
      <c r="AB280" s="3071">
        <v>194528</v>
      </c>
      <c r="AC280" s="3071">
        <v>58952</v>
      </c>
      <c r="AD280" s="3071">
        <v>22500</v>
      </c>
      <c r="AE280" s="3071">
        <v>7197</v>
      </c>
      <c r="AF280" s="3071">
        <v>25736</v>
      </c>
      <c r="AG280" s="3072">
        <v>22</v>
      </c>
    </row>
    <row r="281" spans="1:33">
      <c r="A281" s="63">
        <f t="shared" si="1"/>
        <v>2016.08</v>
      </c>
      <c r="B281" s="260">
        <v>138486</v>
      </c>
      <c r="C281" s="3034">
        <v>137304</v>
      </c>
      <c r="D281" s="169">
        <v>1182</v>
      </c>
      <c r="E281" s="260">
        <v>31539.22</v>
      </c>
      <c r="F281" s="1738">
        <v>498.99299999999999</v>
      </c>
      <c r="G281" s="1397">
        <v>229300</v>
      </c>
      <c r="H281" s="3081">
        <v>521733</v>
      </c>
      <c r="I281" s="1890">
        <f t="shared" si="2"/>
        <v>751033</v>
      </c>
      <c r="J281" s="1398">
        <v>21692.736842105263</v>
      </c>
      <c r="K281" s="3081">
        <v>17302.894736842107</v>
      </c>
      <c r="L281" s="1398">
        <v>18804</v>
      </c>
      <c r="M281" s="1891">
        <v>15118</v>
      </c>
      <c r="N281" s="1393">
        <v>23917</v>
      </c>
      <c r="O281" s="3071">
        <v>1180</v>
      </c>
      <c r="P281" s="3071">
        <v>130241</v>
      </c>
      <c r="Q281" s="3071">
        <v>6269</v>
      </c>
      <c r="R281" s="3071">
        <v>4919</v>
      </c>
      <c r="S281" s="3071">
        <v>34141</v>
      </c>
      <c r="T281" s="3071">
        <v>100131</v>
      </c>
      <c r="U281" s="3071">
        <v>36189</v>
      </c>
      <c r="V281" s="3071">
        <v>15039</v>
      </c>
      <c r="W281" s="3071">
        <v>12400</v>
      </c>
      <c r="X281" s="3071">
        <v>16768</v>
      </c>
      <c r="Y281" s="3071">
        <v>5770</v>
      </c>
      <c r="Z281" s="3071">
        <v>10434</v>
      </c>
      <c r="AA281" s="3071">
        <v>34187</v>
      </c>
      <c r="AB281" s="3071">
        <v>193193</v>
      </c>
      <c r="AC281" s="3071">
        <v>60153</v>
      </c>
      <c r="AD281" s="3071">
        <v>22496</v>
      </c>
      <c r="AE281" s="3071">
        <v>7201</v>
      </c>
      <c r="AF281" s="3071">
        <v>25925</v>
      </c>
      <c r="AG281" s="3072">
        <v>22</v>
      </c>
    </row>
    <row r="282" spans="1:33">
      <c r="A282" s="63">
        <f t="shared" si="1"/>
        <v>2016.09</v>
      </c>
      <c r="B282" s="260">
        <v>138687</v>
      </c>
      <c r="C282" s="3034">
        <v>137504</v>
      </c>
      <c r="D282" s="169">
        <v>1183</v>
      </c>
      <c r="E282" s="260">
        <v>35747.75</v>
      </c>
      <c r="F282" s="1738">
        <v>499.30099999999999</v>
      </c>
      <c r="G282" s="1397">
        <v>230561</v>
      </c>
      <c r="H282" s="3081">
        <v>521808</v>
      </c>
      <c r="I282" s="1890">
        <f t="shared" si="2"/>
        <v>752369</v>
      </c>
      <c r="J282" s="1398">
        <v>21946.052631578947</v>
      </c>
      <c r="K282" s="3081">
        <v>17302.052631578947</v>
      </c>
      <c r="L282" s="1398">
        <v>18804</v>
      </c>
      <c r="M282" s="1891">
        <v>15027</v>
      </c>
      <c r="N282" s="1393">
        <v>23907</v>
      </c>
      <c r="O282" s="3071">
        <v>1180</v>
      </c>
      <c r="P282" s="3071">
        <v>130523</v>
      </c>
      <c r="Q282" s="3071">
        <v>6281</v>
      </c>
      <c r="R282" s="3071">
        <v>4928</v>
      </c>
      <c r="S282" s="3071">
        <v>33978</v>
      </c>
      <c r="T282" s="3071">
        <v>99907</v>
      </c>
      <c r="U282" s="3071">
        <v>35972</v>
      </c>
      <c r="V282" s="3071">
        <v>15307</v>
      </c>
      <c r="W282" s="3071">
        <v>12366</v>
      </c>
      <c r="X282" s="3071">
        <v>16774</v>
      </c>
      <c r="Y282" s="3071">
        <v>5728</v>
      </c>
      <c r="Z282" s="3071">
        <v>10482</v>
      </c>
      <c r="AA282" s="3071">
        <v>34281</v>
      </c>
      <c r="AB282" s="3071">
        <v>194534</v>
      </c>
      <c r="AC282" s="3071">
        <v>60304</v>
      </c>
      <c r="AD282" s="3071">
        <v>22549</v>
      </c>
      <c r="AE282" s="3071">
        <v>7289</v>
      </c>
      <c r="AF282" s="3071">
        <v>25965</v>
      </c>
      <c r="AG282" s="3072">
        <v>22</v>
      </c>
    </row>
    <row r="283" spans="1:33">
      <c r="A283" s="63">
        <f t="shared" si="1"/>
        <v>2016.1</v>
      </c>
      <c r="B283" s="260">
        <v>139409</v>
      </c>
      <c r="C283" s="3034">
        <v>138225</v>
      </c>
      <c r="D283" s="169">
        <v>1184</v>
      </c>
      <c r="E283" s="260">
        <v>39953.980000000003</v>
      </c>
      <c r="F283" s="1738">
        <v>501.166</v>
      </c>
      <c r="G283" s="1397">
        <v>229436</v>
      </c>
      <c r="H283" s="3081">
        <v>523052</v>
      </c>
      <c r="I283" s="1890">
        <f t="shared" si="2"/>
        <v>752488</v>
      </c>
      <c r="J283" s="1398">
        <v>22017</v>
      </c>
      <c r="K283" s="3081">
        <v>18179.157894736843</v>
      </c>
      <c r="L283" s="1398">
        <v>18804</v>
      </c>
      <c r="M283" s="1891">
        <v>15996</v>
      </c>
      <c r="N283" s="1393">
        <v>23843</v>
      </c>
      <c r="O283" s="3071">
        <v>1183</v>
      </c>
      <c r="P283" s="3071">
        <v>130630</v>
      </c>
      <c r="Q283" s="3071">
        <v>6339</v>
      </c>
      <c r="R283" s="3071">
        <v>4945</v>
      </c>
      <c r="S283" s="3071">
        <v>34507</v>
      </c>
      <c r="T283" s="3071">
        <v>100296</v>
      </c>
      <c r="U283" s="3071">
        <v>36002</v>
      </c>
      <c r="V283" s="3071">
        <v>15531</v>
      </c>
      <c r="W283" s="3071">
        <v>12341</v>
      </c>
      <c r="X283" s="3071">
        <v>16778</v>
      </c>
      <c r="Y283" s="3071">
        <v>5653</v>
      </c>
      <c r="Z283" s="3071">
        <v>10524</v>
      </c>
      <c r="AA283" s="3071">
        <v>34558</v>
      </c>
      <c r="AB283" s="3071">
        <v>193448</v>
      </c>
      <c r="AC283" s="3071">
        <v>60470</v>
      </c>
      <c r="AD283" s="3071">
        <v>22675</v>
      </c>
      <c r="AE283" s="3071">
        <v>7524</v>
      </c>
      <c r="AF283" s="3071">
        <v>25945</v>
      </c>
      <c r="AG283" s="3072">
        <v>22</v>
      </c>
    </row>
    <row r="284" spans="1:33">
      <c r="A284" s="63">
        <f t="shared" si="1"/>
        <v>2016.11</v>
      </c>
      <c r="B284" s="260">
        <v>139523</v>
      </c>
      <c r="C284" s="3034">
        <v>138347</v>
      </c>
      <c r="D284" s="169">
        <v>1176</v>
      </c>
      <c r="E284" s="260">
        <v>44215.334000000003</v>
      </c>
      <c r="F284" s="1738">
        <v>504.005</v>
      </c>
      <c r="G284" s="1397">
        <v>232166</v>
      </c>
      <c r="H284" s="3081">
        <v>526380</v>
      </c>
      <c r="I284" s="1890">
        <f t="shared" si="2"/>
        <v>758546</v>
      </c>
      <c r="J284" s="1398">
        <v>22354.526315789473</v>
      </c>
      <c r="K284" s="3081">
        <v>18561.157894736843</v>
      </c>
      <c r="L284" s="1398">
        <v>18804</v>
      </c>
      <c r="M284" s="1891">
        <v>16297</v>
      </c>
      <c r="N284" s="1393">
        <v>24357</v>
      </c>
      <c r="O284" s="3071">
        <v>1181</v>
      </c>
      <c r="P284" s="3071">
        <v>131168</v>
      </c>
      <c r="Q284" s="3071">
        <v>6364</v>
      </c>
      <c r="R284" s="3071">
        <v>4987</v>
      </c>
      <c r="S284" s="3071">
        <v>35147</v>
      </c>
      <c r="T284" s="3071">
        <v>100969</v>
      </c>
      <c r="U284" s="3071">
        <v>35930</v>
      </c>
      <c r="V284" s="3071">
        <v>15709</v>
      </c>
      <c r="W284" s="3071">
        <v>12387</v>
      </c>
      <c r="X284" s="3071">
        <v>16784</v>
      </c>
      <c r="Y284" s="3071">
        <v>5644</v>
      </c>
      <c r="Z284" s="3071">
        <v>10429</v>
      </c>
      <c r="AA284" s="3071">
        <v>35042</v>
      </c>
      <c r="AB284" s="3071">
        <v>196552</v>
      </c>
      <c r="AC284" s="3071">
        <v>60306</v>
      </c>
      <c r="AD284" s="3071">
        <v>22802</v>
      </c>
      <c r="AE284" s="3071">
        <v>7985</v>
      </c>
      <c r="AF284" s="3071">
        <v>25981</v>
      </c>
      <c r="AG284" s="3072">
        <v>21</v>
      </c>
    </row>
    <row r="285" spans="1:33">
      <c r="A285" s="63">
        <f t="shared" si="1"/>
        <v>2016.12</v>
      </c>
      <c r="B285" s="260">
        <v>139647</v>
      </c>
      <c r="C285" s="3034">
        <v>138488</v>
      </c>
      <c r="D285" s="169">
        <v>1159</v>
      </c>
      <c r="E285" s="260">
        <v>50340.75</v>
      </c>
      <c r="F285" s="1738">
        <v>505.00099999999998</v>
      </c>
      <c r="G285" s="1397">
        <v>233013</v>
      </c>
      <c r="H285" s="3081">
        <v>526229</v>
      </c>
      <c r="I285" s="1890">
        <f t="shared" si="2"/>
        <v>759242</v>
      </c>
      <c r="J285" s="1398">
        <v>32053</v>
      </c>
      <c r="K285" s="3081">
        <v>27797.684210526317</v>
      </c>
      <c r="L285" s="1398">
        <v>27912</v>
      </c>
      <c r="M285" s="1891">
        <v>24274</v>
      </c>
      <c r="N285" s="1393">
        <v>24531</v>
      </c>
      <c r="O285" s="3071">
        <v>1189</v>
      </c>
      <c r="P285" s="3071">
        <v>132103</v>
      </c>
      <c r="Q285" s="3071">
        <v>6472</v>
      </c>
      <c r="R285" s="3071">
        <v>4975</v>
      </c>
      <c r="S285" s="3071">
        <v>34730</v>
      </c>
      <c r="T285" s="3071">
        <v>101971</v>
      </c>
      <c r="U285" s="3071">
        <v>35924</v>
      </c>
      <c r="V285" s="3071">
        <v>15752</v>
      </c>
      <c r="W285" s="3071">
        <v>12356</v>
      </c>
      <c r="X285" s="3071">
        <v>16808</v>
      </c>
      <c r="Y285" s="3071">
        <v>5589</v>
      </c>
      <c r="Z285" s="3071">
        <v>10523</v>
      </c>
      <c r="AA285" s="3071">
        <v>35068</v>
      </c>
      <c r="AB285" s="3071">
        <v>196961</v>
      </c>
      <c r="AC285" s="3071">
        <v>59065</v>
      </c>
      <c r="AD285" s="3071">
        <v>22917</v>
      </c>
      <c r="AE285" s="3071">
        <v>7514</v>
      </c>
      <c r="AF285" s="3071">
        <v>26144</v>
      </c>
      <c r="AG285" s="3072">
        <v>21</v>
      </c>
    </row>
    <row r="286" spans="1:33">
      <c r="A286" s="63">
        <f t="shared" si="1"/>
        <v>2017.01</v>
      </c>
      <c r="B286" s="260">
        <v>140610</v>
      </c>
      <c r="C286" s="3034">
        <v>139455</v>
      </c>
      <c r="D286" s="169">
        <v>1155</v>
      </c>
      <c r="E286" s="260">
        <v>4364.28</v>
      </c>
      <c r="F286" s="1738">
        <v>502.37400000000002</v>
      </c>
      <c r="G286" s="1397">
        <v>229066</v>
      </c>
      <c r="H286" s="3081">
        <v>521973</v>
      </c>
      <c r="I286" s="1890">
        <f t="shared" si="2"/>
        <v>751039</v>
      </c>
      <c r="J286" s="1398">
        <v>23303.526315789473</v>
      </c>
      <c r="K286" s="3081">
        <v>20418.052631578947</v>
      </c>
      <c r="L286" s="1398">
        <v>19152</v>
      </c>
      <c r="M286" s="1891">
        <v>17434</v>
      </c>
      <c r="N286" s="1393">
        <v>23900</v>
      </c>
      <c r="O286" s="3071">
        <v>1180</v>
      </c>
      <c r="P286" s="3071">
        <v>132520</v>
      </c>
      <c r="Q286" s="3071">
        <v>6468</v>
      </c>
      <c r="R286" s="3071">
        <v>4968</v>
      </c>
      <c r="S286" s="3071">
        <v>35379</v>
      </c>
      <c r="T286" s="3071">
        <v>100770</v>
      </c>
      <c r="U286" s="3071">
        <v>35994</v>
      </c>
      <c r="V286" s="3071">
        <v>15756</v>
      </c>
      <c r="W286" s="3071">
        <v>12403</v>
      </c>
      <c r="X286" s="3071">
        <v>16826</v>
      </c>
      <c r="Y286" s="3071">
        <v>5478</v>
      </c>
      <c r="Z286" s="3071">
        <v>10376</v>
      </c>
      <c r="AA286" s="3071">
        <v>35170</v>
      </c>
      <c r="AB286" s="3071">
        <v>193668</v>
      </c>
      <c r="AC286" s="3071">
        <v>55325</v>
      </c>
      <c r="AD286" s="3071">
        <v>23069</v>
      </c>
      <c r="AE286" s="3071">
        <v>7432</v>
      </c>
      <c r="AF286" s="3071">
        <v>25719</v>
      </c>
      <c r="AG286" s="3072">
        <v>21</v>
      </c>
    </row>
    <row r="287" spans="1:33">
      <c r="A287" s="63">
        <f t="shared" si="1"/>
        <v>2017.02</v>
      </c>
      <c r="B287" s="260">
        <v>140617</v>
      </c>
      <c r="C287" s="3034">
        <v>139461</v>
      </c>
      <c r="D287" s="169">
        <v>1156</v>
      </c>
      <c r="E287" s="260">
        <v>8497.67</v>
      </c>
      <c r="F287" s="1738">
        <v>502.52800000000002</v>
      </c>
      <c r="G287" s="1397">
        <v>219602</v>
      </c>
      <c r="H287" s="3081">
        <v>522154</v>
      </c>
      <c r="I287" s="1890">
        <f t="shared" si="2"/>
        <v>741756</v>
      </c>
      <c r="J287" s="1398">
        <v>23511.842105263157</v>
      </c>
      <c r="K287" s="3081">
        <v>19579.736842105263</v>
      </c>
      <c r="L287" s="1398">
        <v>19232</v>
      </c>
      <c r="M287" s="1891">
        <v>16967</v>
      </c>
      <c r="N287" s="1393">
        <v>23500</v>
      </c>
      <c r="O287" s="3071">
        <v>1183</v>
      </c>
      <c r="P287" s="3071">
        <v>132285</v>
      </c>
      <c r="Q287" s="3071">
        <v>6472</v>
      </c>
      <c r="R287" s="3071">
        <v>5007</v>
      </c>
      <c r="S287" s="3071">
        <v>36284</v>
      </c>
      <c r="T287" s="3071">
        <v>100611</v>
      </c>
      <c r="U287" s="3071">
        <v>36012</v>
      </c>
      <c r="V287" s="3071">
        <v>15794</v>
      </c>
      <c r="W287" s="3071">
        <v>12387</v>
      </c>
      <c r="X287" s="3071">
        <v>16815</v>
      </c>
      <c r="Y287" s="3071">
        <v>5380</v>
      </c>
      <c r="Z287" s="3071">
        <v>10462</v>
      </c>
      <c r="AA287" s="3071">
        <v>35070</v>
      </c>
      <c r="AB287" s="3071">
        <v>183768</v>
      </c>
      <c r="AC287" s="3071">
        <v>55181</v>
      </c>
      <c r="AD287" s="3071">
        <v>23122</v>
      </c>
      <c r="AE287" s="3071">
        <v>7516</v>
      </c>
      <c r="AF287" s="3071">
        <v>25734</v>
      </c>
      <c r="AG287" s="3072">
        <v>21</v>
      </c>
    </row>
    <row r="288" spans="1:33">
      <c r="A288" s="63">
        <f t="shared" si="1"/>
        <v>2017.03</v>
      </c>
      <c r="B288" s="260">
        <v>140622</v>
      </c>
      <c r="C288" s="3034">
        <v>139457</v>
      </c>
      <c r="D288" s="169">
        <v>1165</v>
      </c>
      <c r="E288" s="260">
        <v>12869.055515999999</v>
      </c>
      <c r="F288" s="1738">
        <v>506.59</v>
      </c>
      <c r="G288" s="1397">
        <v>220897</v>
      </c>
      <c r="H288" s="3081">
        <v>528855</v>
      </c>
      <c r="I288" s="1890">
        <f t="shared" si="2"/>
        <v>749752</v>
      </c>
      <c r="J288" s="1398">
        <v>24304.684210526317</v>
      </c>
      <c r="K288" s="3081">
        <v>20133.36842105263</v>
      </c>
      <c r="L288" s="1398">
        <v>20380</v>
      </c>
      <c r="M288" s="1891">
        <v>17131</v>
      </c>
      <c r="N288" s="1393">
        <v>24731</v>
      </c>
      <c r="O288" s="3071">
        <v>1195</v>
      </c>
      <c r="P288" s="3071">
        <v>133001</v>
      </c>
      <c r="Q288" s="3071">
        <v>6506</v>
      </c>
      <c r="R288" s="3071">
        <v>5005</v>
      </c>
      <c r="S288" s="3071">
        <v>37280</v>
      </c>
      <c r="T288" s="3071">
        <v>101731</v>
      </c>
      <c r="U288" s="3071">
        <v>36229</v>
      </c>
      <c r="V288" s="3071">
        <v>15953</v>
      </c>
      <c r="W288" s="3071">
        <v>12497</v>
      </c>
      <c r="X288" s="3071">
        <v>16872</v>
      </c>
      <c r="Y288" s="3071">
        <v>5416</v>
      </c>
      <c r="Z288" s="3071">
        <v>10434</v>
      </c>
      <c r="AA288" s="3071">
        <v>34994</v>
      </c>
      <c r="AB288" s="3071">
        <v>185019</v>
      </c>
      <c r="AC288" s="3071">
        <v>57495</v>
      </c>
      <c r="AD288" s="3071">
        <v>23104</v>
      </c>
      <c r="AE288" s="3071">
        <v>7253</v>
      </c>
      <c r="AF288" s="3071">
        <v>25969</v>
      </c>
      <c r="AG288" s="3072">
        <v>21</v>
      </c>
    </row>
    <row r="289" spans="1:33">
      <c r="A289" s="63">
        <f t="shared" si="1"/>
        <v>2017.04</v>
      </c>
      <c r="B289" s="260">
        <v>140125</v>
      </c>
      <c r="C289" s="3034">
        <v>138957</v>
      </c>
      <c r="D289" s="169">
        <v>1168</v>
      </c>
      <c r="E289" s="260">
        <v>17675.36</v>
      </c>
      <c r="F289" s="1738">
        <v>502.83600000000001</v>
      </c>
      <c r="G289" s="1397">
        <v>227205</v>
      </c>
      <c r="H289" s="3081">
        <v>526794</v>
      </c>
      <c r="I289" s="1890">
        <f t="shared" si="2"/>
        <v>753999</v>
      </c>
      <c r="J289" s="1398">
        <v>25318.36842105263</v>
      </c>
      <c r="K289" s="3081">
        <v>20157.263157894737</v>
      </c>
      <c r="L289" s="1398">
        <v>21784</v>
      </c>
      <c r="M289" s="1891">
        <v>18067</v>
      </c>
      <c r="N289" s="1393">
        <v>24702</v>
      </c>
      <c r="O289" s="3071">
        <v>1188</v>
      </c>
      <c r="P289" s="3071">
        <v>131402</v>
      </c>
      <c r="Q289" s="3071">
        <v>6484</v>
      </c>
      <c r="R289" s="3071">
        <v>4980</v>
      </c>
      <c r="S289" s="3071">
        <v>36439</v>
      </c>
      <c r="T289" s="3071">
        <v>100868</v>
      </c>
      <c r="U289" s="3071">
        <v>36190</v>
      </c>
      <c r="V289" s="3071">
        <v>15436</v>
      </c>
      <c r="W289" s="3071">
        <v>12441</v>
      </c>
      <c r="X289" s="3071">
        <v>16808</v>
      </c>
      <c r="Y289" s="3071">
        <v>5346</v>
      </c>
      <c r="Z289" s="3071">
        <v>10442</v>
      </c>
      <c r="AA289" s="3071">
        <v>34133</v>
      </c>
      <c r="AB289" s="3071">
        <v>191564</v>
      </c>
      <c r="AC289" s="3071">
        <v>58585</v>
      </c>
      <c r="AD289" s="3071">
        <v>22898</v>
      </c>
      <c r="AE289" s="3071">
        <v>7400</v>
      </c>
      <c r="AF289" s="3071">
        <v>25715</v>
      </c>
      <c r="AG289" s="3072">
        <v>21</v>
      </c>
    </row>
    <row r="290" spans="1:33">
      <c r="A290" s="63">
        <f t="shared" si="1"/>
        <v>2017.05</v>
      </c>
      <c r="B290" s="260">
        <v>140207</v>
      </c>
      <c r="C290" s="3034">
        <v>139027</v>
      </c>
      <c r="D290" s="169">
        <v>1180</v>
      </c>
      <c r="E290" s="260">
        <v>23355.05</v>
      </c>
      <c r="F290" s="1738">
        <v>506.23500000000001</v>
      </c>
      <c r="G290" s="1397">
        <v>230971</v>
      </c>
      <c r="H290" s="3081">
        <v>528987</v>
      </c>
      <c r="I290" s="1890">
        <f t="shared" si="2"/>
        <v>759958</v>
      </c>
      <c r="J290" s="1398">
        <v>28865.526315789473</v>
      </c>
      <c r="K290" s="3081">
        <v>20841.842105263157</v>
      </c>
      <c r="L290" s="1398">
        <v>24888</v>
      </c>
      <c r="M290" s="1891">
        <v>18487</v>
      </c>
      <c r="N290" s="1393">
        <v>24788</v>
      </c>
      <c r="O290" s="3071">
        <v>1194</v>
      </c>
      <c r="P290" s="3071">
        <v>131681</v>
      </c>
      <c r="Q290" s="3071">
        <v>6511</v>
      </c>
      <c r="R290" s="3071">
        <v>4976</v>
      </c>
      <c r="S290" s="3071">
        <v>36747</v>
      </c>
      <c r="T290" s="3071">
        <v>101253</v>
      </c>
      <c r="U290" s="3071">
        <v>36398</v>
      </c>
      <c r="V290" s="3071">
        <v>15670</v>
      </c>
      <c r="W290" s="3071">
        <v>12549</v>
      </c>
      <c r="X290" s="3071">
        <v>16835</v>
      </c>
      <c r="Y290" s="3071">
        <v>5254</v>
      </c>
      <c r="Z290" s="3071">
        <v>10893</v>
      </c>
      <c r="AA290" s="3071">
        <v>34030</v>
      </c>
      <c r="AB290" s="3071">
        <v>195142</v>
      </c>
      <c r="AC290" s="3071">
        <v>60910</v>
      </c>
      <c r="AD290" s="3071">
        <v>22969</v>
      </c>
      <c r="AE290" s="3071">
        <v>7368</v>
      </c>
      <c r="AF290" s="3071">
        <v>26040</v>
      </c>
      <c r="AG290" s="3072">
        <v>21</v>
      </c>
    </row>
    <row r="291" spans="1:33">
      <c r="A291" s="63">
        <f t="shared" si="1"/>
        <v>2017.06</v>
      </c>
      <c r="B291" s="260">
        <v>140239</v>
      </c>
      <c r="C291" s="3034">
        <v>139045</v>
      </c>
      <c r="D291" s="169">
        <v>1194</v>
      </c>
      <c r="E291" s="260">
        <v>30247.165974</v>
      </c>
      <c r="F291" s="1738">
        <v>505.20699999999999</v>
      </c>
      <c r="G291" s="1397">
        <v>230795</v>
      </c>
      <c r="H291" s="3081">
        <v>528971</v>
      </c>
      <c r="I291" s="1890">
        <f t="shared" si="2"/>
        <v>759766</v>
      </c>
      <c r="J291" s="1398">
        <v>36256.84210526316</v>
      </c>
      <c r="K291" s="3081">
        <v>30616.947368421053</v>
      </c>
      <c r="L291" s="1398">
        <v>32365</v>
      </c>
      <c r="M291" s="1891">
        <v>27121</v>
      </c>
      <c r="N291" s="1393">
        <v>24153</v>
      </c>
      <c r="O291" s="3071">
        <v>1182</v>
      </c>
      <c r="P291" s="3071">
        <v>130997</v>
      </c>
      <c r="Q291" s="3071">
        <v>6538</v>
      </c>
      <c r="R291" s="3071">
        <v>4974</v>
      </c>
      <c r="S291" s="3071">
        <v>36958</v>
      </c>
      <c r="T291" s="3071">
        <v>101006</v>
      </c>
      <c r="U291" s="3071">
        <v>36221</v>
      </c>
      <c r="V291" s="3071">
        <v>15721</v>
      </c>
      <c r="W291" s="3071">
        <v>12382</v>
      </c>
      <c r="X291" s="3071">
        <v>16824</v>
      </c>
      <c r="Y291" s="3071">
        <v>5218</v>
      </c>
      <c r="Z291" s="3071">
        <v>10976</v>
      </c>
      <c r="AA291" s="3071">
        <v>33871</v>
      </c>
      <c r="AB291" s="3071">
        <v>194857</v>
      </c>
      <c r="AC291" s="3071">
        <v>62139</v>
      </c>
      <c r="AD291" s="3071">
        <v>22954</v>
      </c>
      <c r="AE291" s="3071">
        <v>7171</v>
      </c>
      <c r="AF291" s="3071">
        <v>26270</v>
      </c>
      <c r="AG291" s="3072">
        <v>21</v>
      </c>
    </row>
    <row r="292" spans="1:33">
      <c r="A292" s="63">
        <f t="shared" si="1"/>
        <v>2017.07</v>
      </c>
      <c r="B292" s="260">
        <v>140243</v>
      </c>
      <c r="C292" s="3034">
        <v>139044</v>
      </c>
      <c r="D292" s="169">
        <v>1199</v>
      </c>
      <c r="E292" s="260">
        <v>35568.918986000004</v>
      </c>
      <c r="F292" s="1738">
        <v>504.06400000000002</v>
      </c>
      <c r="G292" s="1397">
        <v>231758</v>
      </c>
      <c r="H292" s="3081">
        <v>526464</v>
      </c>
      <c r="I292" s="1890">
        <f t="shared" si="2"/>
        <v>758222</v>
      </c>
      <c r="J292" s="1398">
        <v>27600.36842105263</v>
      </c>
      <c r="K292" s="3081">
        <v>21848.36842105263</v>
      </c>
      <c r="L292" s="1398">
        <v>23560</v>
      </c>
      <c r="M292" s="1891">
        <v>19709</v>
      </c>
      <c r="N292" s="1393">
        <v>23716</v>
      </c>
      <c r="O292" s="3071">
        <v>1189</v>
      </c>
      <c r="P292" s="3071">
        <v>130498</v>
      </c>
      <c r="Q292" s="3071">
        <v>6532</v>
      </c>
      <c r="R292" s="3071">
        <v>4983</v>
      </c>
      <c r="S292" s="3071">
        <v>37298</v>
      </c>
      <c r="T292" s="3071">
        <v>101180</v>
      </c>
      <c r="U292" s="3071">
        <v>36216</v>
      </c>
      <c r="V292" s="3071">
        <v>15817</v>
      </c>
      <c r="W292" s="3071">
        <v>12366</v>
      </c>
      <c r="X292" s="3071">
        <v>16818</v>
      </c>
      <c r="Y292" s="3071">
        <v>5157</v>
      </c>
      <c r="Z292" s="3071">
        <v>10909</v>
      </c>
      <c r="AA292" s="3071">
        <v>33438</v>
      </c>
      <c r="AB292" s="3071">
        <v>196188</v>
      </c>
      <c r="AC292" s="3071">
        <v>60735</v>
      </c>
      <c r="AD292" s="3071">
        <v>23052</v>
      </c>
      <c r="AE292" s="3071">
        <v>7363</v>
      </c>
      <c r="AF292" s="3071">
        <v>26007</v>
      </c>
      <c r="AG292" s="3072">
        <v>21</v>
      </c>
    </row>
    <row r="293" spans="1:33">
      <c r="A293" s="63">
        <f t="shared" si="1"/>
        <v>2017.08</v>
      </c>
      <c r="B293" s="260">
        <v>140331</v>
      </c>
      <c r="C293" s="3034">
        <v>139131</v>
      </c>
      <c r="D293" s="169">
        <v>1200</v>
      </c>
      <c r="E293" s="260">
        <v>40899.194280000003</v>
      </c>
      <c r="F293" s="1738">
        <v>505.50799999999998</v>
      </c>
      <c r="G293" s="1397">
        <v>233277</v>
      </c>
      <c r="H293" s="3081">
        <v>529116</v>
      </c>
      <c r="I293" s="1890">
        <f t="shared" si="2"/>
        <v>762393</v>
      </c>
      <c r="J293" s="1398">
        <v>27423.684210526317</v>
      </c>
      <c r="K293" s="3081">
        <v>22080.526315789473</v>
      </c>
      <c r="L293" s="1398">
        <v>23564</v>
      </c>
      <c r="M293" s="1891">
        <v>19958</v>
      </c>
      <c r="N293" s="1393">
        <v>23662</v>
      </c>
      <c r="O293" s="3071">
        <v>1198</v>
      </c>
      <c r="P293" s="3071">
        <v>130781</v>
      </c>
      <c r="Q293" s="3071">
        <v>6551</v>
      </c>
      <c r="R293" s="3071">
        <v>4995</v>
      </c>
      <c r="S293" s="3071">
        <v>37452</v>
      </c>
      <c r="T293" s="3071">
        <v>101718</v>
      </c>
      <c r="U293" s="3071">
        <v>38828</v>
      </c>
      <c r="V293" s="3071">
        <v>15985</v>
      </c>
      <c r="W293" s="3071">
        <v>12264</v>
      </c>
      <c r="X293" s="3071">
        <v>16806</v>
      </c>
      <c r="Y293" s="3071">
        <v>5182</v>
      </c>
      <c r="Z293" s="3071">
        <v>10934</v>
      </c>
      <c r="AA293" s="3071">
        <v>33089</v>
      </c>
      <c r="AB293" s="3071">
        <v>195182</v>
      </c>
      <c r="AC293" s="3071">
        <v>61928</v>
      </c>
      <c r="AD293" s="3071">
        <v>23146</v>
      </c>
      <c r="AE293" s="3071">
        <v>7309</v>
      </c>
      <c r="AF293" s="3071">
        <v>26240</v>
      </c>
      <c r="AG293" s="3072">
        <v>21</v>
      </c>
    </row>
    <row r="294" spans="1:33">
      <c r="A294" s="63">
        <f t="shared" si="1"/>
        <v>2017.09</v>
      </c>
      <c r="B294" s="260">
        <v>140308</v>
      </c>
      <c r="C294" s="3034">
        <v>139103</v>
      </c>
      <c r="D294" s="169">
        <v>1205</v>
      </c>
      <c r="E294" s="260">
        <v>46335.913677999997</v>
      </c>
      <c r="F294" s="1738">
        <v>507.13400000000001</v>
      </c>
      <c r="G294" s="1397">
        <v>233584</v>
      </c>
      <c r="H294" s="3081">
        <v>530783</v>
      </c>
      <c r="I294" s="1890">
        <f t="shared" si="2"/>
        <v>764367</v>
      </c>
      <c r="J294" s="1398">
        <v>27966.473684210527</v>
      </c>
      <c r="K294" s="3081">
        <v>22127</v>
      </c>
      <c r="L294" s="1398">
        <v>23696</v>
      </c>
      <c r="M294" s="1891">
        <v>19999</v>
      </c>
      <c r="N294" s="1393">
        <v>23423</v>
      </c>
      <c r="O294" s="3071">
        <v>1182</v>
      </c>
      <c r="P294" s="3071">
        <v>131187</v>
      </c>
      <c r="Q294" s="3071">
        <v>6533</v>
      </c>
      <c r="R294" s="3071">
        <v>4998</v>
      </c>
      <c r="S294" s="3071">
        <v>37942</v>
      </c>
      <c r="T294" s="3071">
        <v>101591</v>
      </c>
      <c r="U294" s="3071">
        <v>36330</v>
      </c>
      <c r="V294" s="3071">
        <v>16372</v>
      </c>
      <c r="W294" s="3071">
        <v>12371</v>
      </c>
      <c r="X294" s="3071">
        <v>16780</v>
      </c>
      <c r="Y294" s="3071">
        <v>5144</v>
      </c>
      <c r="Z294" s="3071">
        <v>10935</v>
      </c>
      <c r="AA294" s="3071">
        <v>33408</v>
      </c>
      <c r="AB294" s="3071">
        <v>198064</v>
      </c>
      <c r="AC294" s="3071">
        <v>62487</v>
      </c>
      <c r="AD294" s="3071">
        <v>23148</v>
      </c>
      <c r="AE294" s="3071">
        <v>7532</v>
      </c>
      <c r="AF294" s="3071">
        <v>26245</v>
      </c>
      <c r="AG294" s="3072">
        <v>21</v>
      </c>
    </row>
    <row r="295" spans="1:33">
      <c r="A295" s="63">
        <f t="shared" si="1"/>
        <v>2017.1</v>
      </c>
      <c r="B295" s="260">
        <v>140431</v>
      </c>
      <c r="C295" s="3034">
        <v>139219</v>
      </c>
      <c r="D295" s="169">
        <v>1212</v>
      </c>
      <c r="E295" s="260">
        <v>51833.462004000001</v>
      </c>
      <c r="F295" s="1738">
        <v>510.92500000000001</v>
      </c>
      <c r="G295" s="1397">
        <v>235938</v>
      </c>
      <c r="H295" s="3081">
        <v>535061</v>
      </c>
      <c r="I295" s="1890">
        <f t="shared" si="2"/>
        <v>770999</v>
      </c>
      <c r="J295" s="1398">
        <v>27761.947368421053</v>
      </c>
      <c r="K295" s="3081">
        <v>23284.315789473683</v>
      </c>
      <c r="L295" s="1398">
        <v>23592</v>
      </c>
      <c r="M295" s="1891">
        <v>20604</v>
      </c>
      <c r="N295" s="1393">
        <v>23881</v>
      </c>
      <c r="O295" s="3071">
        <v>1218</v>
      </c>
      <c r="P295" s="3071">
        <v>131905</v>
      </c>
      <c r="Q295" s="3071">
        <v>6563</v>
      </c>
      <c r="R295" s="3071">
        <v>5033</v>
      </c>
      <c r="S295" s="3071">
        <v>38568</v>
      </c>
      <c r="T295" s="3071">
        <v>102248</v>
      </c>
      <c r="U295" s="3071">
        <v>39194</v>
      </c>
      <c r="V295" s="3071">
        <v>16586</v>
      </c>
      <c r="W295" s="3071">
        <v>12372</v>
      </c>
      <c r="X295" s="3071">
        <v>16840</v>
      </c>
      <c r="Y295" s="3071">
        <v>5119</v>
      </c>
      <c r="Z295" s="3071">
        <v>11225</v>
      </c>
      <c r="AA295" s="3071">
        <v>34302</v>
      </c>
      <c r="AB295" s="3071">
        <v>197855</v>
      </c>
      <c r="AC295" s="3071">
        <v>62912</v>
      </c>
      <c r="AD295" s="3071">
        <v>23289</v>
      </c>
      <c r="AE295" s="3071">
        <v>7486</v>
      </c>
      <c r="AF295" s="3071">
        <v>26337</v>
      </c>
      <c r="AG295" s="3072">
        <v>21</v>
      </c>
    </row>
    <row r="296" spans="1:33">
      <c r="A296" s="63">
        <f t="shared" si="1"/>
        <v>2017.11</v>
      </c>
      <c r="B296" s="260">
        <v>140588</v>
      </c>
      <c r="C296" s="3034">
        <v>139377</v>
      </c>
      <c r="D296" s="169">
        <v>1211</v>
      </c>
      <c r="E296" s="260">
        <v>57231.3</v>
      </c>
      <c r="F296" s="1738">
        <v>513.58000000000004</v>
      </c>
      <c r="G296" s="1397">
        <v>234806</v>
      </c>
      <c r="H296" s="3081">
        <v>537281</v>
      </c>
      <c r="I296" s="1890">
        <f t="shared" si="2"/>
        <v>772087</v>
      </c>
      <c r="J296" s="1398">
        <v>28242.63157894737</v>
      </c>
      <c r="K296" s="3081">
        <v>23267.842105263157</v>
      </c>
      <c r="L296" s="1398">
        <v>23737</v>
      </c>
      <c r="M296" s="1891">
        <v>20500</v>
      </c>
      <c r="N296" s="1393">
        <v>24391</v>
      </c>
      <c r="O296" s="3071">
        <v>1219</v>
      </c>
      <c r="P296" s="3071">
        <v>132021</v>
      </c>
      <c r="Q296" s="3071">
        <v>6571</v>
      </c>
      <c r="R296" s="3071">
        <v>5088</v>
      </c>
      <c r="S296" s="3071">
        <v>39428</v>
      </c>
      <c r="T296" s="3071">
        <v>102977</v>
      </c>
      <c r="U296" s="3071">
        <v>36727</v>
      </c>
      <c r="V296" s="3071">
        <v>16800</v>
      </c>
      <c r="W296" s="3071">
        <v>12380</v>
      </c>
      <c r="X296" s="3071">
        <v>16831</v>
      </c>
      <c r="Y296" s="3071">
        <v>5107</v>
      </c>
      <c r="Z296" s="3071">
        <v>11256</v>
      </c>
      <c r="AA296" s="3071">
        <v>34824</v>
      </c>
      <c r="AB296" s="3071">
        <v>199095</v>
      </c>
      <c r="AC296" s="3071">
        <v>62101</v>
      </c>
      <c r="AD296" s="3071">
        <v>23351</v>
      </c>
      <c r="AE296" s="3071">
        <v>7622</v>
      </c>
      <c r="AF296" s="3071">
        <v>26377</v>
      </c>
      <c r="AG296" s="3072">
        <v>21</v>
      </c>
    </row>
    <row r="297" spans="1:33">
      <c r="A297" s="63">
        <f t="shared" si="1"/>
        <v>2017.12</v>
      </c>
      <c r="B297" s="260">
        <v>140717</v>
      </c>
      <c r="C297" s="3034">
        <v>139472</v>
      </c>
      <c r="D297" s="169">
        <v>1245</v>
      </c>
      <c r="E297" s="260">
        <v>64737.802141</v>
      </c>
      <c r="F297" s="1738">
        <v>514.26900000000001</v>
      </c>
      <c r="G297" s="1397">
        <v>235814</v>
      </c>
      <c r="H297" s="3081">
        <v>536429</v>
      </c>
      <c r="I297" s="1890">
        <f t="shared" si="2"/>
        <v>772243</v>
      </c>
      <c r="J297" s="1398">
        <v>38841.15789473684</v>
      </c>
      <c r="K297" s="3081">
        <v>34069.684210526313</v>
      </c>
      <c r="L297" s="1398">
        <v>34577</v>
      </c>
      <c r="M297" s="1891">
        <v>30459</v>
      </c>
      <c r="N297" s="1393">
        <v>23908</v>
      </c>
      <c r="O297" s="3071">
        <v>1225</v>
      </c>
      <c r="P297" s="3071">
        <v>132815</v>
      </c>
      <c r="Q297" s="3071">
        <v>6585</v>
      </c>
      <c r="R297" s="3071">
        <v>5067</v>
      </c>
      <c r="S297" s="3071">
        <v>38546</v>
      </c>
      <c r="T297" s="3071">
        <v>103517</v>
      </c>
      <c r="U297" s="3071">
        <v>36735</v>
      </c>
      <c r="V297" s="3071">
        <v>16959</v>
      </c>
      <c r="W297" s="3071">
        <v>12367</v>
      </c>
      <c r="X297" s="3071">
        <v>16850</v>
      </c>
      <c r="Y297" s="3071">
        <v>5150</v>
      </c>
      <c r="Z297" s="3071">
        <v>11365</v>
      </c>
      <c r="AA297" s="3071">
        <v>35313</v>
      </c>
      <c r="AB297" s="3071">
        <v>199690</v>
      </c>
      <c r="AC297" s="3071">
        <v>60450</v>
      </c>
      <c r="AD297" s="3071">
        <v>23435</v>
      </c>
      <c r="AE297" s="3071">
        <v>7810</v>
      </c>
      <c r="AF297" s="3071">
        <v>26452</v>
      </c>
      <c r="AG297" s="3072">
        <v>21</v>
      </c>
    </row>
    <row r="298" spans="1:33">
      <c r="A298" s="63">
        <f t="shared" si="1"/>
        <v>2018.01</v>
      </c>
      <c r="B298" s="260">
        <v>140603</v>
      </c>
      <c r="C298" s="3034">
        <v>139356</v>
      </c>
      <c r="D298" s="169">
        <v>1247</v>
      </c>
      <c r="E298" s="260">
        <v>5306.68</v>
      </c>
      <c r="F298" s="1738">
        <v>510.55200000000002</v>
      </c>
      <c r="G298" s="1397">
        <v>230724</v>
      </c>
      <c r="H298" s="3081">
        <v>532663</v>
      </c>
      <c r="I298" s="1890">
        <f t="shared" si="2"/>
        <v>763387</v>
      </c>
      <c r="J298" s="1398">
        <v>28929.36842105263</v>
      </c>
      <c r="K298" s="3081">
        <v>25264.894736842107</v>
      </c>
      <c r="L298" s="1398">
        <v>23777</v>
      </c>
      <c r="M298" s="1891">
        <v>21376</v>
      </c>
      <c r="N298" s="1393">
        <v>23645</v>
      </c>
      <c r="O298" s="3071">
        <v>1238</v>
      </c>
      <c r="P298" s="3071">
        <v>132530</v>
      </c>
      <c r="Q298" s="3071">
        <v>6577</v>
      </c>
      <c r="R298" s="3071">
        <v>5071</v>
      </c>
      <c r="S298" s="3071">
        <v>39222</v>
      </c>
      <c r="T298" s="3071">
        <v>102944</v>
      </c>
      <c r="U298" s="3071">
        <v>37106</v>
      </c>
      <c r="V298" s="3071">
        <v>16598</v>
      </c>
      <c r="W298" s="3071">
        <v>12448</v>
      </c>
      <c r="X298" s="3071">
        <v>16888</v>
      </c>
      <c r="Y298" s="3071">
        <v>4979</v>
      </c>
      <c r="Z298" s="3071">
        <v>11208</v>
      </c>
      <c r="AA298" s="3071">
        <v>35171</v>
      </c>
      <c r="AB298" s="3071">
        <v>195142</v>
      </c>
      <c r="AC298" s="3071">
        <v>56134</v>
      </c>
      <c r="AD298" s="3071">
        <v>23588</v>
      </c>
      <c r="AE298" s="3071">
        <v>7692</v>
      </c>
      <c r="AF298" s="3071">
        <v>26065</v>
      </c>
      <c r="AG298" s="3072">
        <v>21</v>
      </c>
    </row>
    <row r="299" spans="1:33">
      <c r="A299" s="63">
        <f t="shared" si="1"/>
        <v>2018.02</v>
      </c>
      <c r="B299" s="260">
        <v>140971</v>
      </c>
      <c r="C299" s="3034">
        <v>139726</v>
      </c>
      <c r="D299" s="169">
        <v>1245</v>
      </c>
      <c r="E299" s="260">
        <v>10598.57</v>
      </c>
      <c r="F299" s="1738">
        <v>509.09300000000002</v>
      </c>
      <c r="G299" s="1397">
        <v>221143</v>
      </c>
      <c r="H299" s="3081">
        <v>530971</v>
      </c>
      <c r="I299" s="1890">
        <f t="shared" si="2"/>
        <v>752114</v>
      </c>
      <c r="J299" s="1398">
        <v>29606.473684210527</v>
      </c>
      <c r="K299" s="3081">
        <v>24045.894736842107</v>
      </c>
      <c r="L299" s="1398">
        <v>24738</v>
      </c>
      <c r="M299" s="1891">
        <v>21022</v>
      </c>
      <c r="N299" s="1393">
        <v>23681</v>
      </c>
      <c r="O299" s="3071">
        <v>1232</v>
      </c>
      <c r="P299" s="3071">
        <v>131576</v>
      </c>
      <c r="Q299" s="3071">
        <v>6567</v>
      </c>
      <c r="R299" s="3071">
        <v>5088</v>
      </c>
      <c r="S299" s="3071">
        <v>38855</v>
      </c>
      <c r="T299" s="3071">
        <v>102714</v>
      </c>
      <c r="U299" s="3071">
        <v>36825</v>
      </c>
      <c r="V299" s="3071">
        <v>16663</v>
      </c>
      <c r="W299" s="3071">
        <v>12495</v>
      </c>
      <c r="X299" s="3071">
        <v>16852</v>
      </c>
      <c r="Y299" s="3071">
        <v>5101</v>
      </c>
      <c r="Z299" s="3071">
        <v>11189</v>
      </c>
      <c r="AA299" s="3071">
        <v>34825</v>
      </c>
      <c r="AB299" s="3071">
        <v>185124</v>
      </c>
      <c r="AC299" s="3071">
        <v>56030</v>
      </c>
      <c r="AD299" s="3071">
        <v>23572</v>
      </c>
      <c r="AE299" s="3071">
        <v>7853</v>
      </c>
      <c r="AF299" s="3071">
        <v>26093</v>
      </c>
      <c r="AG299" s="3072">
        <v>22</v>
      </c>
    </row>
    <row r="300" spans="1:33">
      <c r="A300" s="63">
        <f t="shared" si="1"/>
        <v>2018.03</v>
      </c>
      <c r="B300" s="260">
        <v>140676</v>
      </c>
      <c r="C300" s="3034">
        <v>139426</v>
      </c>
      <c r="D300" s="169">
        <v>1250</v>
      </c>
      <c r="E300" s="260">
        <v>15907.15</v>
      </c>
      <c r="F300" s="1738">
        <v>511.71899999999999</v>
      </c>
      <c r="G300" s="1397">
        <v>223806</v>
      </c>
      <c r="H300" s="3081">
        <v>536678</v>
      </c>
      <c r="I300" s="1890">
        <f t="shared" si="2"/>
        <v>760484</v>
      </c>
      <c r="J300" s="1398">
        <v>29219.157894736843</v>
      </c>
      <c r="K300" s="3081">
        <v>24671.526315789473</v>
      </c>
      <c r="L300" s="1398">
        <v>24484</v>
      </c>
      <c r="M300" s="1891">
        <v>21511</v>
      </c>
      <c r="N300" s="1393">
        <v>25337</v>
      </c>
      <c r="O300" s="3071">
        <v>1235</v>
      </c>
      <c r="P300" s="3071">
        <v>131177</v>
      </c>
      <c r="Q300" s="3071">
        <v>6611</v>
      </c>
      <c r="R300" s="3071">
        <v>5100</v>
      </c>
      <c r="S300" s="3071">
        <v>39024</v>
      </c>
      <c r="T300" s="3071">
        <v>103210</v>
      </c>
      <c r="U300" s="3071">
        <v>37036</v>
      </c>
      <c r="V300" s="3071">
        <v>16657</v>
      </c>
      <c r="W300" s="3071">
        <v>12570</v>
      </c>
      <c r="X300" s="3071">
        <v>16904</v>
      </c>
      <c r="Y300" s="3071">
        <v>5008</v>
      </c>
      <c r="Z300" s="3071">
        <v>11247</v>
      </c>
      <c r="AA300" s="3071">
        <v>34836</v>
      </c>
      <c r="AB300" s="3071">
        <v>187858</v>
      </c>
      <c r="AC300" s="3071">
        <v>58394</v>
      </c>
      <c r="AD300" s="3071">
        <v>23722</v>
      </c>
      <c r="AE300" s="3071">
        <v>7690</v>
      </c>
      <c r="AF300" s="3071">
        <v>26283</v>
      </c>
      <c r="AG300" s="3072">
        <v>28</v>
      </c>
    </row>
    <row r="301" spans="1:33">
      <c r="A301" s="63">
        <f t="shared" si="1"/>
        <v>2018.04</v>
      </c>
      <c r="B301" s="260">
        <v>140151</v>
      </c>
      <c r="C301" s="3034">
        <v>138890</v>
      </c>
      <c r="D301" s="169">
        <v>1261</v>
      </c>
      <c r="E301" s="260">
        <v>21785.49</v>
      </c>
      <c r="F301" s="1738">
        <v>510.87200000000001</v>
      </c>
      <c r="G301" s="1397">
        <v>228500</v>
      </c>
      <c r="H301" s="3081">
        <v>535236</v>
      </c>
      <c r="I301" s="1890">
        <f t="shared" si="2"/>
        <v>763736</v>
      </c>
      <c r="J301" s="1398">
        <v>30175.894736842107</v>
      </c>
      <c r="K301" s="3081">
        <v>25138.63157894737</v>
      </c>
      <c r="L301" s="1398">
        <v>25725</v>
      </c>
      <c r="M301" s="1891">
        <v>22622</v>
      </c>
      <c r="N301" s="1393">
        <v>25401</v>
      </c>
      <c r="O301" s="3071">
        <v>1411</v>
      </c>
      <c r="P301" s="3071">
        <v>130447</v>
      </c>
      <c r="Q301" s="3071">
        <v>6582</v>
      </c>
      <c r="R301" s="3071">
        <v>5098</v>
      </c>
      <c r="S301" s="3071">
        <v>38636</v>
      </c>
      <c r="T301" s="3071">
        <v>103064</v>
      </c>
      <c r="U301" s="3071">
        <v>37012</v>
      </c>
      <c r="V301" s="3071">
        <v>16587</v>
      </c>
      <c r="W301" s="3071">
        <v>12613</v>
      </c>
      <c r="X301" s="3071">
        <v>16962</v>
      </c>
      <c r="Y301" s="3071">
        <v>4570</v>
      </c>
      <c r="Z301" s="3071">
        <v>11078</v>
      </c>
      <c r="AA301" s="3071">
        <v>34146</v>
      </c>
      <c r="AB301" s="3071">
        <v>192808</v>
      </c>
      <c r="AC301" s="3071">
        <v>60464</v>
      </c>
      <c r="AD301" s="3071">
        <v>23689</v>
      </c>
      <c r="AE301" s="3071">
        <v>7372</v>
      </c>
      <c r="AF301" s="3071">
        <v>26262</v>
      </c>
      <c r="AG301" s="3072">
        <v>28</v>
      </c>
    </row>
    <row r="302" spans="1:33">
      <c r="A302" s="63">
        <f t="shared" si="1"/>
        <v>2018.05</v>
      </c>
      <c r="B302" s="260">
        <v>139954</v>
      </c>
      <c r="C302" s="3034">
        <v>138737</v>
      </c>
      <c r="D302" s="169">
        <v>1217</v>
      </c>
      <c r="E302" s="260">
        <v>28444.98</v>
      </c>
      <c r="F302" s="1738">
        <v>510.053</v>
      </c>
      <c r="G302" s="1397">
        <v>234604</v>
      </c>
      <c r="H302" s="3081">
        <v>534506</v>
      </c>
      <c r="I302" s="1890">
        <f t="shared" si="2"/>
        <v>769110</v>
      </c>
      <c r="J302" s="1398">
        <v>33049.42105263158</v>
      </c>
      <c r="K302" s="3081">
        <v>26063.63157894737</v>
      </c>
      <c r="L302" s="1398">
        <v>27954</v>
      </c>
      <c r="M302" s="1891">
        <v>23306</v>
      </c>
      <c r="N302" s="1393">
        <v>25258</v>
      </c>
      <c r="O302" s="3071">
        <v>1407</v>
      </c>
      <c r="P302" s="3071">
        <v>129775</v>
      </c>
      <c r="Q302" s="3071">
        <v>6620</v>
      </c>
      <c r="R302" s="3071">
        <v>5103</v>
      </c>
      <c r="S302" s="3071">
        <v>38543</v>
      </c>
      <c r="T302" s="3071">
        <v>102619</v>
      </c>
      <c r="U302" s="3071">
        <v>36591</v>
      </c>
      <c r="V302" s="3071">
        <v>16295</v>
      </c>
      <c r="W302" s="3071">
        <v>12660</v>
      </c>
      <c r="X302" s="3071">
        <v>16992</v>
      </c>
      <c r="Y302" s="3071">
        <v>4829</v>
      </c>
      <c r="Z302" s="3071">
        <v>11015</v>
      </c>
      <c r="AA302" s="3071">
        <v>34140</v>
      </c>
      <c r="AB302" s="3071">
        <v>199006</v>
      </c>
      <c r="AC302" s="3071">
        <v>61968</v>
      </c>
      <c r="AD302" s="3071">
        <v>23648</v>
      </c>
      <c r="AE302" s="3071">
        <v>7444</v>
      </c>
      <c r="AF302" s="3071">
        <v>26363</v>
      </c>
      <c r="AG302" s="3072">
        <v>28</v>
      </c>
    </row>
    <row r="303" spans="1:33">
      <c r="A303" s="63">
        <f t="shared" si="1"/>
        <v>2018.06</v>
      </c>
      <c r="B303" s="260">
        <v>140017</v>
      </c>
      <c r="C303" s="3034">
        <v>138798</v>
      </c>
      <c r="D303" s="169">
        <v>1219</v>
      </c>
      <c r="E303" s="260">
        <v>36605.83</v>
      </c>
      <c r="F303" s="1738">
        <v>507.73200000000003</v>
      </c>
      <c r="G303" s="1397">
        <v>233139</v>
      </c>
      <c r="H303" s="3081">
        <v>532039</v>
      </c>
      <c r="I303" s="1890">
        <f t="shared" si="2"/>
        <v>765178</v>
      </c>
      <c r="J303" s="1398">
        <v>43166.526315789473</v>
      </c>
      <c r="K303" s="3081">
        <v>37759.526315789473</v>
      </c>
      <c r="L303" s="1398">
        <v>38185</v>
      </c>
      <c r="M303" s="1891">
        <v>34263</v>
      </c>
      <c r="N303" s="1393">
        <v>24802</v>
      </c>
      <c r="O303" s="3071">
        <v>1389</v>
      </c>
      <c r="P303" s="3071">
        <v>128941</v>
      </c>
      <c r="Q303" s="3071">
        <v>6563</v>
      </c>
      <c r="R303" s="3071">
        <v>5104</v>
      </c>
      <c r="S303" s="3071">
        <v>38670</v>
      </c>
      <c r="T303" s="3071">
        <v>102218</v>
      </c>
      <c r="U303" s="3071">
        <v>36328</v>
      </c>
      <c r="V303" s="3071">
        <v>16224</v>
      </c>
      <c r="W303" s="3071">
        <v>12548</v>
      </c>
      <c r="X303" s="3071">
        <v>16976</v>
      </c>
      <c r="Y303" s="3071">
        <v>4399</v>
      </c>
      <c r="Z303" s="3071">
        <v>10981</v>
      </c>
      <c r="AA303" s="3071">
        <v>33208</v>
      </c>
      <c r="AB303" s="3071">
        <v>197167</v>
      </c>
      <c r="AC303" s="3071">
        <v>62626</v>
      </c>
      <c r="AD303" s="3071">
        <v>23585</v>
      </c>
      <c r="AE303" s="3071">
        <v>7311</v>
      </c>
      <c r="AF303" s="3071">
        <v>26453</v>
      </c>
      <c r="AG303" s="3072">
        <v>28</v>
      </c>
    </row>
    <row r="304" spans="1:33">
      <c r="A304" s="63">
        <f t="shared" si="1"/>
        <v>2018.07</v>
      </c>
      <c r="B304" s="260">
        <v>139798</v>
      </c>
      <c r="C304" s="3034">
        <v>138573</v>
      </c>
      <c r="D304" s="169">
        <v>1225</v>
      </c>
      <c r="E304" s="260">
        <v>42725.53</v>
      </c>
      <c r="F304" s="1738">
        <v>505.74</v>
      </c>
      <c r="G304" s="1397">
        <v>231388</v>
      </c>
      <c r="H304" s="3081">
        <v>530281</v>
      </c>
      <c r="I304" s="1890">
        <f t="shared" si="2"/>
        <v>761669</v>
      </c>
      <c r="J304" s="1398">
        <v>32260.526315789473</v>
      </c>
      <c r="K304" s="3081">
        <v>26579.684210526317</v>
      </c>
      <c r="L304" s="1398">
        <v>27502</v>
      </c>
      <c r="M304" s="1891">
        <v>23597</v>
      </c>
      <c r="N304" s="1393">
        <v>24277</v>
      </c>
      <c r="O304" s="3071">
        <v>1388</v>
      </c>
      <c r="P304" s="3071">
        <v>128049</v>
      </c>
      <c r="Q304" s="3071">
        <v>6563</v>
      </c>
      <c r="R304" s="3071">
        <v>5072</v>
      </c>
      <c r="S304" s="3071">
        <v>39183</v>
      </c>
      <c r="T304" s="3071">
        <v>102279</v>
      </c>
      <c r="U304" s="3071">
        <v>36623</v>
      </c>
      <c r="V304" s="3071">
        <v>16039</v>
      </c>
      <c r="W304" s="3071">
        <v>12708</v>
      </c>
      <c r="X304" s="3071">
        <v>16950</v>
      </c>
      <c r="Y304" s="3071">
        <v>4291</v>
      </c>
      <c r="Z304" s="3071">
        <v>11171</v>
      </c>
      <c r="AA304" s="3071">
        <v>33006</v>
      </c>
      <c r="AB304" s="3071">
        <v>195887</v>
      </c>
      <c r="AC304" s="3071">
        <v>60516</v>
      </c>
      <c r="AD304" s="3071">
        <v>23627</v>
      </c>
      <c r="AE304" s="3071">
        <v>7479</v>
      </c>
      <c r="AF304" s="3071">
        <v>26190</v>
      </c>
      <c r="AG304" s="3072">
        <v>28</v>
      </c>
    </row>
    <row r="305" spans="1:33">
      <c r="A305" s="63">
        <f t="shared" si="1"/>
        <v>2018.08</v>
      </c>
      <c r="B305" s="260">
        <v>140501</v>
      </c>
      <c r="C305" s="3034">
        <v>139289</v>
      </c>
      <c r="D305" s="169">
        <v>1212</v>
      </c>
      <c r="E305" s="260">
        <v>49144.81</v>
      </c>
      <c r="F305" s="1738">
        <v>509.733</v>
      </c>
      <c r="G305" s="1397">
        <v>231953</v>
      </c>
      <c r="H305" s="3081">
        <v>534157</v>
      </c>
      <c r="I305" s="1890">
        <f t="shared" si="2"/>
        <v>766110</v>
      </c>
      <c r="J305" s="1398">
        <v>33283.73684210526</v>
      </c>
      <c r="K305" s="3081">
        <v>27322</v>
      </c>
      <c r="L305" s="1398">
        <v>28201</v>
      </c>
      <c r="M305" s="1891">
        <v>24409</v>
      </c>
      <c r="N305" s="1393">
        <v>24202</v>
      </c>
      <c r="O305" s="3071">
        <v>1384</v>
      </c>
      <c r="P305" s="3071">
        <v>128257</v>
      </c>
      <c r="Q305" s="3071">
        <v>6604</v>
      </c>
      <c r="R305" s="3071">
        <v>5064</v>
      </c>
      <c r="S305" s="3071">
        <v>39496</v>
      </c>
      <c r="T305" s="3071">
        <v>105003</v>
      </c>
      <c r="U305" s="3071">
        <v>36723</v>
      </c>
      <c r="V305" s="3071">
        <v>16732</v>
      </c>
      <c r="W305" s="3071">
        <v>12594</v>
      </c>
      <c r="X305" s="3071">
        <v>16981</v>
      </c>
      <c r="Y305" s="3071">
        <v>4700</v>
      </c>
      <c r="Z305" s="3071">
        <v>10933</v>
      </c>
      <c r="AA305" s="3071">
        <v>33239</v>
      </c>
      <c r="AB305" s="3071">
        <v>196134</v>
      </c>
      <c r="AC305" s="3071">
        <v>61972</v>
      </c>
      <c r="AD305" s="3071">
        <v>23614</v>
      </c>
      <c r="AE305" s="3071">
        <v>7750</v>
      </c>
      <c r="AF305" s="3071">
        <v>26527</v>
      </c>
      <c r="AG305" s="3072">
        <v>28</v>
      </c>
    </row>
    <row r="306" spans="1:33">
      <c r="A306" s="63">
        <f t="shared" ref="A306:A369" si="3">A294+1</f>
        <v>2018.09</v>
      </c>
      <c r="B306" s="260">
        <v>140373</v>
      </c>
      <c r="C306" s="3034">
        <v>139165</v>
      </c>
      <c r="D306" s="169">
        <v>1208</v>
      </c>
      <c r="E306" s="260">
        <v>55838.71</v>
      </c>
      <c r="F306" s="1738">
        <v>506.78699999999998</v>
      </c>
      <c r="G306" s="1397">
        <v>233778</v>
      </c>
      <c r="H306" s="3081">
        <v>531063</v>
      </c>
      <c r="I306" s="1890">
        <f t="shared" si="2"/>
        <v>764841</v>
      </c>
      <c r="J306" s="1398">
        <v>34258.15789473684</v>
      </c>
      <c r="K306" s="3081">
        <v>27943.473684210527</v>
      </c>
      <c r="L306" s="1398">
        <v>29153</v>
      </c>
      <c r="M306" s="1891">
        <v>24791</v>
      </c>
      <c r="N306" s="1393">
        <v>24048</v>
      </c>
      <c r="O306" s="3071">
        <v>1376</v>
      </c>
      <c r="P306" s="3071">
        <v>127540</v>
      </c>
      <c r="Q306" s="3071">
        <v>6596</v>
      </c>
      <c r="R306" s="3071">
        <v>5079</v>
      </c>
      <c r="S306" s="3071">
        <v>39151</v>
      </c>
      <c r="T306" s="3071">
        <v>104444</v>
      </c>
      <c r="U306" s="3071">
        <v>36429</v>
      </c>
      <c r="V306" s="3071">
        <v>16492</v>
      </c>
      <c r="W306" s="3071">
        <v>12540</v>
      </c>
      <c r="X306" s="3071">
        <v>16879</v>
      </c>
      <c r="Y306" s="3071">
        <v>4279</v>
      </c>
      <c r="Z306" s="3071">
        <v>10853</v>
      </c>
      <c r="AA306" s="3071">
        <v>32658</v>
      </c>
      <c r="AB306" s="3071">
        <v>198154</v>
      </c>
      <c r="AC306" s="3071">
        <v>62149</v>
      </c>
      <c r="AD306" s="3071">
        <v>23644</v>
      </c>
      <c r="AE306" s="3071">
        <v>7466</v>
      </c>
      <c r="AF306" s="3071">
        <v>26473</v>
      </c>
      <c r="AG306" s="3072">
        <v>28</v>
      </c>
    </row>
    <row r="307" spans="1:33">
      <c r="A307" s="63">
        <f t="shared" si="3"/>
        <v>2018.1</v>
      </c>
      <c r="B307" s="260">
        <v>140258</v>
      </c>
      <c r="C307" s="3034">
        <v>139044</v>
      </c>
      <c r="D307" s="169">
        <v>1214</v>
      </c>
      <c r="E307" s="260">
        <v>62477.77</v>
      </c>
      <c r="F307" s="1738">
        <v>507.27600000000001</v>
      </c>
      <c r="G307" s="1397">
        <v>233684</v>
      </c>
      <c r="H307" s="3081">
        <v>531567</v>
      </c>
      <c r="I307" s="1890">
        <f t="shared" si="2"/>
        <v>765251</v>
      </c>
      <c r="J307" s="1398">
        <v>35795.315789473687</v>
      </c>
      <c r="K307" s="3081">
        <v>29566.36842105263</v>
      </c>
      <c r="L307" s="1398">
        <v>30035</v>
      </c>
      <c r="M307" s="1891">
        <v>26315</v>
      </c>
      <c r="N307" s="1393">
        <v>24177</v>
      </c>
      <c r="O307" s="3071">
        <v>1397</v>
      </c>
      <c r="P307" s="3071">
        <v>127423</v>
      </c>
      <c r="Q307" s="3071">
        <v>6613</v>
      </c>
      <c r="R307" s="3071">
        <v>5101</v>
      </c>
      <c r="S307" s="3071">
        <v>39555</v>
      </c>
      <c r="T307" s="3071">
        <v>103822</v>
      </c>
      <c r="U307" s="3071">
        <v>36407</v>
      </c>
      <c r="V307" s="3071">
        <v>16678</v>
      </c>
      <c r="W307" s="3071">
        <v>12548</v>
      </c>
      <c r="X307" s="3071">
        <v>16953</v>
      </c>
      <c r="Y307" s="3071">
        <v>4275</v>
      </c>
      <c r="Z307" s="3071">
        <v>10930</v>
      </c>
      <c r="AA307" s="3071">
        <v>32784</v>
      </c>
      <c r="AB307" s="3071">
        <v>197997</v>
      </c>
      <c r="AC307" s="3071">
        <v>62203</v>
      </c>
      <c r="AD307" s="3071">
        <v>23753</v>
      </c>
      <c r="AE307" s="3071">
        <v>7563</v>
      </c>
      <c r="AF307" s="3071">
        <v>26615</v>
      </c>
      <c r="AG307" s="3072">
        <v>28</v>
      </c>
    </row>
    <row r="308" spans="1:33">
      <c r="A308" s="63">
        <f t="shared" si="3"/>
        <v>2018.11</v>
      </c>
      <c r="B308" s="260">
        <v>140271</v>
      </c>
      <c r="C308" s="3034">
        <v>139058</v>
      </c>
      <c r="D308" s="169">
        <v>1213</v>
      </c>
      <c r="E308" s="260">
        <v>69466.87</v>
      </c>
      <c r="F308" s="1738">
        <v>505.76499999999999</v>
      </c>
      <c r="G308" s="1397">
        <v>234840</v>
      </c>
      <c r="H308" s="3081">
        <v>529231</v>
      </c>
      <c r="I308" s="1890">
        <f t="shared" si="2"/>
        <v>764071</v>
      </c>
      <c r="J308" s="1398">
        <v>37633.368421052633</v>
      </c>
      <c r="K308" s="3081">
        <v>30980.947368421053</v>
      </c>
      <c r="L308" s="1398">
        <v>31600</v>
      </c>
      <c r="M308" s="1891">
        <v>28112</v>
      </c>
      <c r="N308" s="1393">
        <v>24764</v>
      </c>
      <c r="O308" s="3071">
        <v>1393</v>
      </c>
      <c r="P308" s="3071">
        <v>127263</v>
      </c>
      <c r="Q308" s="3071">
        <v>6611</v>
      </c>
      <c r="R308" s="3071">
        <v>5102</v>
      </c>
      <c r="S308" s="3071">
        <v>39697</v>
      </c>
      <c r="T308" s="3071">
        <v>102521</v>
      </c>
      <c r="U308" s="3071">
        <v>36061</v>
      </c>
      <c r="V308" s="3071">
        <v>16858</v>
      </c>
      <c r="W308" s="3071">
        <v>12613</v>
      </c>
      <c r="X308" s="3071">
        <v>16735</v>
      </c>
      <c r="Y308" s="3071">
        <v>4256</v>
      </c>
      <c r="Z308" s="3071">
        <v>10935</v>
      </c>
      <c r="AA308" s="3071">
        <v>32694</v>
      </c>
      <c r="AB308" s="3071">
        <v>199066</v>
      </c>
      <c r="AC308" s="3071">
        <v>61760</v>
      </c>
      <c r="AD308" s="3071">
        <v>23795</v>
      </c>
      <c r="AE308" s="3071">
        <v>7512</v>
      </c>
      <c r="AF308" s="3071">
        <v>26466</v>
      </c>
      <c r="AG308" s="3072">
        <v>28</v>
      </c>
    </row>
    <row r="309" spans="1:33">
      <c r="A309" s="63">
        <f t="shared" si="3"/>
        <v>2018.12</v>
      </c>
      <c r="B309" s="260">
        <v>140465</v>
      </c>
      <c r="C309" s="3034">
        <v>139243</v>
      </c>
      <c r="D309" s="169">
        <v>1222</v>
      </c>
      <c r="E309" s="260">
        <v>79817.36</v>
      </c>
      <c r="F309" s="1738">
        <v>504.46899999999999</v>
      </c>
      <c r="G309" s="1397">
        <v>234412</v>
      </c>
      <c r="H309" s="3081">
        <v>525632</v>
      </c>
      <c r="I309" s="1890">
        <f t="shared" si="2"/>
        <v>760044</v>
      </c>
      <c r="J309" s="1398">
        <v>53745.84210526316</v>
      </c>
      <c r="K309" s="3081">
        <v>44964.210526315786</v>
      </c>
      <c r="L309" s="1398">
        <v>47921</v>
      </c>
      <c r="M309" s="1891">
        <v>40434</v>
      </c>
      <c r="N309" s="1393">
        <v>24927</v>
      </c>
      <c r="O309" s="3071">
        <v>1361</v>
      </c>
      <c r="P309" s="3071">
        <v>127000</v>
      </c>
      <c r="Q309" s="3071">
        <v>6617</v>
      </c>
      <c r="R309" s="3071">
        <v>5076</v>
      </c>
      <c r="S309" s="3071">
        <v>38843</v>
      </c>
      <c r="T309" s="3071">
        <v>102463</v>
      </c>
      <c r="U309" s="3071">
        <v>35826</v>
      </c>
      <c r="V309" s="3071">
        <v>17211</v>
      </c>
      <c r="W309" s="3071">
        <v>12641</v>
      </c>
      <c r="X309" s="3071">
        <v>16692</v>
      </c>
      <c r="Y309" s="3071">
        <v>4217</v>
      </c>
      <c r="Z309" s="3071">
        <v>10914</v>
      </c>
      <c r="AA309" s="3071">
        <v>32749</v>
      </c>
      <c r="AB309" s="3071">
        <v>198395</v>
      </c>
      <c r="AC309" s="3071">
        <v>59688</v>
      </c>
      <c r="AD309" s="3071">
        <v>23848</v>
      </c>
      <c r="AE309" s="3071">
        <v>7478</v>
      </c>
      <c r="AF309" s="3071">
        <v>26538</v>
      </c>
      <c r="AG309" s="3072">
        <v>27</v>
      </c>
    </row>
    <row r="310" spans="1:33">
      <c r="A310" s="63">
        <f t="shared" si="3"/>
        <v>2019.01</v>
      </c>
      <c r="B310" s="260">
        <v>140519</v>
      </c>
      <c r="C310" s="3034">
        <v>139292</v>
      </c>
      <c r="D310" s="169">
        <v>1227</v>
      </c>
      <c r="E310" s="260">
        <v>7770.9638716500003</v>
      </c>
      <c r="F310" s="1738">
        <v>501.08699999999999</v>
      </c>
      <c r="G310" s="1397">
        <v>230279</v>
      </c>
      <c r="H310" s="3081">
        <v>522385</v>
      </c>
      <c r="I310" s="1890">
        <f t="shared" si="2"/>
        <v>752664</v>
      </c>
      <c r="J310" s="1398">
        <v>40305.73684210526</v>
      </c>
      <c r="K310" s="3081">
        <v>34613.947368421053</v>
      </c>
      <c r="L310" s="1398">
        <v>33429</v>
      </c>
      <c r="M310" s="1891">
        <v>29893</v>
      </c>
      <c r="N310" s="1393">
        <v>24378</v>
      </c>
      <c r="O310" s="3071">
        <v>1362</v>
      </c>
      <c r="P310" s="3071">
        <v>126545</v>
      </c>
      <c r="Q310" s="3071">
        <v>6600</v>
      </c>
      <c r="R310" s="3071">
        <v>5074</v>
      </c>
      <c r="S310" s="3071">
        <v>39909</v>
      </c>
      <c r="T310" s="3071">
        <v>101503</v>
      </c>
      <c r="U310" s="3071">
        <v>36273</v>
      </c>
      <c r="V310" s="3071">
        <v>16776</v>
      </c>
      <c r="W310" s="3071">
        <v>12669</v>
      </c>
      <c r="X310" s="3071">
        <v>16809</v>
      </c>
      <c r="Y310" s="3071">
        <v>4199</v>
      </c>
      <c r="Z310" s="3071">
        <v>10806</v>
      </c>
      <c r="AA310" s="3071">
        <v>32864</v>
      </c>
      <c r="AB310" s="3071">
        <v>195951</v>
      </c>
      <c r="AC310" s="3071">
        <v>55911</v>
      </c>
      <c r="AD310" s="3071">
        <v>24234</v>
      </c>
      <c r="AE310" s="3071">
        <v>7511</v>
      </c>
      <c r="AF310" s="3071">
        <v>25508</v>
      </c>
      <c r="AG310" s="3072">
        <v>27</v>
      </c>
    </row>
    <row r="311" spans="1:33">
      <c r="A311" s="63">
        <f t="shared" si="3"/>
        <v>2019.02</v>
      </c>
      <c r="B311" s="260">
        <v>139786</v>
      </c>
      <c r="C311" s="3034">
        <v>138558</v>
      </c>
      <c r="D311" s="169">
        <v>1228</v>
      </c>
      <c r="E311" s="260">
        <v>15419.37629016</v>
      </c>
      <c r="F311" s="1738">
        <v>501.30200000000002</v>
      </c>
      <c r="G311" s="1397">
        <v>221223</v>
      </c>
      <c r="H311" s="3081">
        <v>521794</v>
      </c>
      <c r="I311" s="1890">
        <f t="shared" si="2"/>
        <v>743017</v>
      </c>
      <c r="J311" s="1398">
        <v>42329.57894736842</v>
      </c>
      <c r="K311" s="3081">
        <v>33278.57894736842</v>
      </c>
      <c r="L311" s="1398">
        <v>35846</v>
      </c>
      <c r="M311" s="1891">
        <v>28770</v>
      </c>
      <c r="N311" s="1393">
        <v>24280</v>
      </c>
      <c r="O311" s="3071">
        <v>1350</v>
      </c>
      <c r="P311" s="3071">
        <v>126155</v>
      </c>
      <c r="Q311" s="3071">
        <v>6595</v>
      </c>
      <c r="R311" s="3071">
        <v>5064</v>
      </c>
      <c r="S311" s="3071">
        <v>39936</v>
      </c>
      <c r="T311" s="3071">
        <v>101332</v>
      </c>
      <c r="U311" s="3071">
        <v>37519</v>
      </c>
      <c r="V311" s="3071">
        <v>16815</v>
      </c>
      <c r="W311" s="3071">
        <v>12631</v>
      </c>
      <c r="X311" s="3071">
        <v>16734</v>
      </c>
      <c r="Y311" s="3071">
        <v>4591</v>
      </c>
      <c r="Z311" s="3071">
        <v>10712</v>
      </c>
      <c r="AA311" s="3071">
        <v>32620</v>
      </c>
      <c r="AB311" s="3071">
        <v>186238</v>
      </c>
      <c r="AC311" s="3071">
        <v>55869</v>
      </c>
      <c r="AD311" s="3071">
        <v>24311</v>
      </c>
      <c r="AE311" s="3071">
        <v>7569</v>
      </c>
      <c r="AF311" s="3071">
        <v>25510</v>
      </c>
      <c r="AG311" s="3072">
        <v>27</v>
      </c>
    </row>
    <row r="312" spans="1:33">
      <c r="A312" s="63">
        <f t="shared" si="3"/>
        <v>2019.03</v>
      </c>
      <c r="B312" s="260">
        <v>139827</v>
      </c>
      <c r="C312" s="3034">
        <v>138600</v>
      </c>
      <c r="D312" s="169">
        <v>1227</v>
      </c>
      <c r="E312" s="260">
        <v>23036.890597999998</v>
      </c>
      <c r="F312" s="1738">
        <v>501.13200000000001</v>
      </c>
      <c r="G312" s="1397">
        <v>221908</v>
      </c>
      <c r="H312" s="3081">
        <v>523811</v>
      </c>
      <c r="I312" s="1890">
        <f t="shared" si="2"/>
        <v>745719</v>
      </c>
      <c r="J312" s="1398">
        <v>41854.684210526313</v>
      </c>
      <c r="K312" s="3081">
        <v>35139.947368421053</v>
      </c>
      <c r="L312" s="1398">
        <v>35466</v>
      </c>
      <c r="M312" s="1891">
        <v>30624</v>
      </c>
      <c r="N312" s="1393">
        <v>25360</v>
      </c>
      <c r="O312" s="3071">
        <v>1295</v>
      </c>
      <c r="P312" s="3071">
        <v>125689</v>
      </c>
      <c r="Q312" s="3071">
        <v>6641</v>
      </c>
      <c r="R312" s="3071">
        <v>5066</v>
      </c>
      <c r="S312" s="3071">
        <v>39704</v>
      </c>
      <c r="T312" s="3071">
        <v>101354</v>
      </c>
      <c r="U312" s="3071">
        <v>36674</v>
      </c>
      <c r="V312" s="3071">
        <v>16790</v>
      </c>
      <c r="W312" s="3071">
        <v>12636</v>
      </c>
      <c r="X312" s="3071">
        <v>16728</v>
      </c>
      <c r="Y312" s="3071">
        <v>4149</v>
      </c>
      <c r="Z312" s="3071">
        <v>10671</v>
      </c>
      <c r="AA312" s="3071">
        <v>32345</v>
      </c>
      <c r="AB312" s="3071">
        <v>187027</v>
      </c>
      <c r="AC312" s="3071">
        <v>57925</v>
      </c>
      <c r="AD312" s="3071">
        <v>24245</v>
      </c>
      <c r="AE312" s="3071">
        <v>7482</v>
      </c>
      <c r="AF312" s="3071">
        <v>25548</v>
      </c>
      <c r="AG312" s="3072">
        <v>27</v>
      </c>
    </row>
    <row r="313" spans="1:33">
      <c r="A313" s="63">
        <f t="shared" si="3"/>
        <v>2019.04</v>
      </c>
      <c r="B313" s="260">
        <v>139675</v>
      </c>
      <c r="C313" s="3034">
        <v>138449</v>
      </c>
      <c r="D313" s="169">
        <v>1226</v>
      </c>
      <c r="E313" s="260">
        <v>33061.97</v>
      </c>
      <c r="F313" s="1738">
        <v>501.16500000000002</v>
      </c>
      <c r="G313" s="1397">
        <v>232602</v>
      </c>
      <c r="H313" s="3081">
        <v>522452</v>
      </c>
      <c r="I313" s="1890">
        <f t="shared" si="2"/>
        <v>755054</v>
      </c>
      <c r="J313" s="1398">
        <v>48965.894736842107</v>
      </c>
      <c r="K313" s="3081">
        <v>36205.368421052633</v>
      </c>
      <c r="L313" s="1398">
        <v>43026</v>
      </c>
      <c r="M313" s="1891">
        <v>31159</v>
      </c>
      <c r="N313" s="1393">
        <v>25592</v>
      </c>
      <c r="O313" s="3071">
        <v>1280</v>
      </c>
      <c r="P313" s="3071">
        <v>124935</v>
      </c>
      <c r="Q313" s="3071">
        <v>6649</v>
      </c>
      <c r="R313" s="3071">
        <v>5060</v>
      </c>
      <c r="S313" s="3071">
        <v>38830</v>
      </c>
      <c r="T313" s="3071">
        <v>100935</v>
      </c>
      <c r="U313" s="3071">
        <v>40764</v>
      </c>
      <c r="V313" s="3071">
        <v>16485</v>
      </c>
      <c r="W313" s="3071">
        <v>12603</v>
      </c>
      <c r="X313" s="3071">
        <v>16759</v>
      </c>
      <c r="Y313" s="3071">
        <v>4101</v>
      </c>
      <c r="Z313" s="3071">
        <v>10486</v>
      </c>
      <c r="AA313" s="3071">
        <v>31753</v>
      </c>
      <c r="AB313" s="3071">
        <v>195529</v>
      </c>
      <c r="AC313" s="3071">
        <v>60621</v>
      </c>
      <c r="AD313" s="3071">
        <v>24118</v>
      </c>
      <c r="AE313" s="3071">
        <v>7173</v>
      </c>
      <c r="AF313" s="3071">
        <v>25536</v>
      </c>
      <c r="AG313" s="3072">
        <v>27</v>
      </c>
    </row>
    <row r="314" spans="1:33">
      <c r="A314" s="63">
        <f t="shared" si="3"/>
        <v>2019.05</v>
      </c>
      <c r="B314" s="260">
        <v>139726</v>
      </c>
      <c r="C314" s="3034">
        <v>138502</v>
      </c>
      <c r="D314" s="169">
        <v>1224</v>
      </c>
      <c r="E314" s="260">
        <v>42347.770118999993</v>
      </c>
      <c r="F314" s="1738">
        <v>500.83300000000003</v>
      </c>
      <c r="G314" s="1397">
        <v>231101</v>
      </c>
      <c r="H314" s="3081">
        <v>521774</v>
      </c>
      <c r="I314" s="1890">
        <f t="shared" si="2"/>
        <v>752875</v>
      </c>
      <c r="J314" s="1398">
        <v>46648.210526315786</v>
      </c>
      <c r="K314" s="3081">
        <v>37569.210526315786</v>
      </c>
      <c r="L314" s="1398">
        <v>39794</v>
      </c>
      <c r="M314" s="1891">
        <v>33192</v>
      </c>
      <c r="N314" s="1393">
        <v>25325</v>
      </c>
      <c r="O314" s="3071">
        <v>1272</v>
      </c>
      <c r="P314" s="3071">
        <v>125004</v>
      </c>
      <c r="Q314" s="3071">
        <v>6674</v>
      </c>
      <c r="R314" s="3071">
        <v>5058</v>
      </c>
      <c r="S314" s="3071">
        <v>38910</v>
      </c>
      <c r="T314" s="3071">
        <v>100618</v>
      </c>
      <c r="U314" s="3071">
        <v>38147</v>
      </c>
      <c r="V314" s="3071">
        <v>16280</v>
      </c>
      <c r="W314" s="3071">
        <v>12582</v>
      </c>
      <c r="X314" s="3071">
        <v>16785</v>
      </c>
      <c r="Y314" s="3071">
        <v>4091</v>
      </c>
      <c r="Z314" s="3071">
        <v>10443</v>
      </c>
      <c r="AA314" s="3071">
        <v>31737</v>
      </c>
      <c r="AB314" s="3071">
        <v>196444</v>
      </c>
      <c r="AC314" s="3071">
        <v>61881</v>
      </c>
      <c r="AD314" s="3071">
        <v>24030</v>
      </c>
      <c r="AE314" s="3071">
        <v>7117</v>
      </c>
      <c r="AF314" s="3071">
        <v>25651</v>
      </c>
      <c r="AG314" s="3072">
        <v>27</v>
      </c>
    </row>
    <row r="315" spans="1:33">
      <c r="A315" s="63">
        <f t="shared" si="3"/>
        <v>2019.06</v>
      </c>
      <c r="B315" s="260">
        <v>139723</v>
      </c>
      <c r="C315" s="3034">
        <v>138503</v>
      </c>
      <c r="D315" s="169">
        <v>1220</v>
      </c>
      <c r="E315" s="260">
        <v>54903.992714</v>
      </c>
      <c r="F315" s="1738">
        <v>499.17399999999998</v>
      </c>
      <c r="G315" s="1397">
        <v>236025</v>
      </c>
      <c r="H315" s="3081">
        <v>521017</v>
      </c>
      <c r="I315" s="1890">
        <f t="shared" ref="I315:I378" si="4">+G315+H315</f>
        <v>757042</v>
      </c>
      <c r="J315" s="1398">
        <v>64879.894736842107</v>
      </c>
      <c r="K315" s="3081">
        <v>53621.26315789474</v>
      </c>
      <c r="L315" s="1398">
        <v>59338</v>
      </c>
      <c r="M315" s="1891">
        <v>48109</v>
      </c>
      <c r="N315" s="1393">
        <v>24680</v>
      </c>
      <c r="O315" s="3071">
        <v>1272</v>
      </c>
      <c r="P315" s="3071">
        <v>124675</v>
      </c>
      <c r="Q315" s="3071">
        <v>6779</v>
      </c>
      <c r="R315" s="3071">
        <v>5050</v>
      </c>
      <c r="S315" s="3071">
        <v>38481</v>
      </c>
      <c r="T315" s="3071">
        <v>100307</v>
      </c>
      <c r="U315" s="3071">
        <v>40870</v>
      </c>
      <c r="V315" s="3071">
        <v>16288</v>
      </c>
      <c r="W315" s="3071">
        <v>12648</v>
      </c>
      <c r="X315" s="3071">
        <v>16771</v>
      </c>
      <c r="Y315" s="3071">
        <v>3993</v>
      </c>
      <c r="Z315" s="3071">
        <v>10371</v>
      </c>
      <c r="AA315" s="3071">
        <v>31488</v>
      </c>
      <c r="AB315" s="3071">
        <v>197808</v>
      </c>
      <c r="AC315" s="3071">
        <v>63001</v>
      </c>
      <c r="AD315" s="3071">
        <v>23832</v>
      </c>
      <c r="AE315" s="3071">
        <v>6954</v>
      </c>
      <c r="AF315" s="3071">
        <v>25700</v>
      </c>
      <c r="AG315" s="3072">
        <v>27</v>
      </c>
    </row>
    <row r="316" spans="1:33">
      <c r="A316" s="63">
        <f t="shared" si="3"/>
        <v>2019.07</v>
      </c>
      <c r="B316" s="260">
        <v>139656</v>
      </c>
      <c r="C316" s="3034">
        <v>138442</v>
      </c>
      <c r="D316" s="169">
        <v>1214</v>
      </c>
      <c r="E316" s="260">
        <v>64348.004840000001</v>
      </c>
      <c r="F316" s="1738">
        <v>496.96499999999997</v>
      </c>
      <c r="G316" s="1397">
        <v>233805</v>
      </c>
      <c r="H316" s="3081">
        <v>519525</v>
      </c>
      <c r="I316" s="1890">
        <f t="shared" si="4"/>
        <v>753330</v>
      </c>
      <c r="J316" s="1398">
        <v>48560.789473684214</v>
      </c>
      <c r="K316" s="3081">
        <v>39268.84210526316</v>
      </c>
      <c r="L316" s="1398">
        <v>41854</v>
      </c>
      <c r="M316" s="1891">
        <v>34528</v>
      </c>
      <c r="N316" s="1393">
        <v>24446</v>
      </c>
      <c r="O316" s="3071">
        <v>1114</v>
      </c>
      <c r="P316" s="3071">
        <v>124687</v>
      </c>
      <c r="Q316" s="3071">
        <v>6700</v>
      </c>
      <c r="R316" s="3071">
        <v>5034</v>
      </c>
      <c r="S316" s="3071">
        <v>38462</v>
      </c>
      <c r="T316" s="3071">
        <v>100306</v>
      </c>
      <c r="U316" s="3071">
        <v>37884</v>
      </c>
      <c r="V316" s="3071">
        <v>16412</v>
      </c>
      <c r="W316" s="3071">
        <v>12751</v>
      </c>
      <c r="X316" s="3071">
        <v>16742</v>
      </c>
      <c r="Y316" s="3071">
        <v>3949</v>
      </c>
      <c r="Z316" s="3071">
        <v>10308</v>
      </c>
      <c r="AA316" s="3071">
        <v>31358</v>
      </c>
      <c r="AB316" s="3071">
        <v>197833</v>
      </c>
      <c r="AC316" s="3071">
        <v>61687</v>
      </c>
      <c r="AD316" s="3071">
        <v>23938</v>
      </c>
      <c r="AE316" s="3071">
        <v>7004</v>
      </c>
      <c r="AF316" s="3071">
        <v>25506</v>
      </c>
      <c r="AG316" s="3072">
        <v>27</v>
      </c>
    </row>
    <row r="317" spans="1:33">
      <c r="A317" s="63">
        <f t="shared" si="3"/>
        <v>2019.08</v>
      </c>
      <c r="B317" s="260">
        <v>142591</v>
      </c>
      <c r="C317" s="3034">
        <v>141415</v>
      </c>
      <c r="D317" s="169">
        <v>1176</v>
      </c>
      <c r="E317" s="260">
        <v>73878.572275999992</v>
      </c>
      <c r="F317" s="1738">
        <v>498.572</v>
      </c>
      <c r="G317" s="1397">
        <v>235221</v>
      </c>
      <c r="H317" s="3081">
        <v>519672</v>
      </c>
      <c r="I317" s="1890">
        <f t="shared" si="4"/>
        <v>754893</v>
      </c>
      <c r="J317" s="1398">
        <v>49393.57894736842</v>
      </c>
      <c r="K317" s="3081">
        <v>40950.210526315786</v>
      </c>
      <c r="L317" s="1398">
        <v>42776</v>
      </c>
      <c r="M317" s="1891">
        <v>35186</v>
      </c>
      <c r="N317" s="1393">
        <v>24239</v>
      </c>
      <c r="O317" s="3071">
        <v>1272</v>
      </c>
      <c r="P317" s="3071">
        <v>124965</v>
      </c>
      <c r="Q317" s="3071">
        <v>6737</v>
      </c>
      <c r="R317" s="3071">
        <v>4788</v>
      </c>
      <c r="S317" s="3071">
        <v>37654</v>
      </c>
      <c r="T317" s="3071">
        <v>100714</v>
      </c>
      <c r="U317" s="3071">
        <v>42456</v>
      </c>
      <c r="V317" s="3071">
        <v>16604</v>
      </c>
      <c r="W317" s="3071">
        <v>12585</v>
      </c>
      <c r="X317" s="3071">
        <v>16825</v>
      </c>
      <c r="Y317" s="3071">
        <v>3903</v>
      </c>
      <c r="Z317" s="3071">
        <v>10267</v>
      </c>
      <c r="AA317" s="3071">
        <v>31306</v>
      </c>
      <c r="AB317" s="3071">
        <v>197140</v>
      </c>
      <c r="AC317" s="3071">
        <v>62425</v>
      </c>
      <c r="AD317" s="3071">
        <v>23948</v>
      </c>
      <c r="AE317" s="3071">
        <v>7067</v>
      </c>
      <c r="AF317" s="3071">
        <v>25757</v>
      </c>
      <c r="AG317" s="3072">
        <v>29</v>
      </c>
    </row>
    <row r="318" spans="1:33">
      <c r="A318" s="63">
        <f t="shared" si="3"/>
        <v>2019.09</v>
      </c>
      <c r="B318" s="260">
        <v>142467</v>
      </c>
      <c r="C318" s="3034">
        <v>141295</v>
      </c>
      <c r="D318" s="169">
        <v>1172</v>
      </c>
      <c r="E318" s="260">
        <v>83597.241271000006</v>
      </c>
      <c r="F318" s="1738">
        <v>496.61099999999999</v>
      </c>
      <c r="G318" s="1397">
        <v>233554</v>
      </c>
      <c r="H318" s="3081">
        <v>517891</v>
      </c>
      <c r="I318" s="1890">
        <f t="shared" si="4"/>
        <v>751445</v>
      </c>
      <c r="J318" s="1398">
        <v>51354.315789473687</v>
      </c>
      <c r="K318" s="3081">
        <v>41833</v>
      </c>
      <c r="L318" s="1398">
        <v>44282</v>
      </c>
      <c r="M318" s="1891">
        <v>36665</v>
      </c>
      <c r="N318" s="1393">
        <v>24168</v>
      </c>
      <c r="O318" s="3071">
        <v>1286</v>
      </c>
      <c r="P318" s="3071">
        <v>124715</v>
      </c>
      <c r="Q318" s="3071">
        <v>6777</v>
      </c>
      <c r="R318" s="3071">
        <v>4798</v>
      </c>
      <c r="S318" s="3071">
        <v>36445</v>
      </c>
      <c r="T318" s="3071">
        <v>100543</v>
      </c>
      <c r="U318" s="3071">
        <v>37788</v>
      </c>
      <c r="V318" s="3071">
        <v>16564</v>
      </c>
      <c r="W318" s="3071">
        <v>12636</v>
      </c>
      <c r="X318" s="3071">
        <v>16892</v>
      </c>
      <c r="Y318" s="3071">
        <v>3872</v>
      </c>
      <c r="Z318" s="3071">
        <v>10245</v>
      </c>
      <c r="AA318" s="3071">
        <v>31110</v>
      </c>
      <c r="AB318" s="3071">
        <v>198801</v>
      </c>
      <c r="AC318" s="3071">
        <v>62988</v>
      </c>
      <c r="AD318" s="3071">
        <v>23888</v>
      </c>
      <c r="AE318" s="3071">
        <v>7035</v>
      </c>
      <c r="AF318" s="3071">
        <v>25655</v>
      </c>
      <c r="AG318" s="3072">
        <v>29</v>
      </c>
    </row>
    <row r="319" spans="1:33">
      <c r="A319" s="63">
        <f t="shared" si="3"/>
        <v>2019.1</v>
      </c>
      <c r="B319" s="260">
        <v>142882</v>
      </c>
      <c r="C319" s="3034">
        <v>141698</v>
      </c>
      <c r="D319" s="169">
        <v>1184</v>
      </c>
      <c r="E319" s="260">
        <v>93639.814952999994</v>
      </c>
      <c r="F319" s="1738">
        <v>494.81200000000001</v>
      </c>
      <c r="G319" s="1397">
        <v>237495</v>
      </c>
      <c r="H319" s="3081">
        <v>518150</v>
      </c>
      <c r="I319" s="1890">
        <f t="shared" si="4"/>
        <v>755645</v>
      </c>
      <c r="J319" s="1398">
        <v>52547.368421052633</v>
      </c>
      <c r="K319" s="3081">
        <v>45342.894736842107</v>
      </c>
      <c r="L319" s="1398">
        <v>45540</v>
      </c>
      <c r="M319" s="1891">
        <v>38208</v>
      </c>
      <c r="N319" s="1393">
        <v>24182</v>
      </c>
      <c r="O319" s="3071">
        <v>1290</v>
      </c>
      <c r="P319" s="3071">
        <v>124460</v>
      </c>
      <c r="Q319" s="3071">
        <v>6765</v>
      </c>
      <c r="R319" s="3071">
        <v>5033</v>
      </c>
      <c r="S319" s="3071">
        <v>35594</v>
      </c>
      <c r="T319" s="3071">
        <v>100288</v>
      </c>
      <c r="U319" s="3071">
        <v>39966</v>
      </c>
      <c r="V319" s="3071">
        <v>16510</v>
      </c>
      <c r="W319" s="3071">
        <v>12745</v>
      </c>
      <c r="X319" s="3071">
        <v>16774</v>
      </c>
      <c r="Y319" s="3071">
        <v>3805</v>
      </c>
      <c r="Z319" s="3071">
        <v>10370</v>
      </c>
      <c r="AA319" s="3071">
        <v>31701</v>
      </c>
      <c r="AB319" s="3071">
        <v>198820</v>
      </c>
      <c r="AC319" s="3071">
        <v>63341</v>
      </c>
      <c r="AD319" s="3071">
        <v>24003</v>
      </c>
      <c r="AE319" s="3071">
        <v>7181</v>
      </c>
      <c r="AF319" s="3071">
        <v>25549</v>
      </c>
      <c r="AG319" s="3072">
        <v>30</v>
      </c>
    </row>
    <row r="320" spans="1:33">
      <c r="A320" s="63">
        <f t="shared" si="3"/>
        <v>2019.11</v>
      </c>
      <c r="B320" s="260">
        <f>AVERAGE(B319,B321)</f>
        <v>142622.5</v>
      </c>
      <c r="C320" s="3034">
        <f t="shared" ref="C320:D320" si="5">AVERAGE(C319,C321)</f>
        <v>141617.5</v>
      </c>
      <c r="D320" s="169">
        <f t="shared" si="5"/>
        <v>1005</v>
      </c>
      <c r="E320" s="260">
        <v>104264.86632099999</v>
      </c>
      <c r="F320" s="1738">
        <v>493.87099999999998</v>
      </c>
      <c r="G320" s="1397">
        <v>235032</v>
      </c>
      <c r="H320" s="3081">
        <v>518328</v>
      </c>
      <c r="I320" s="1890">
        <f t="shared" si="4"/>
        <v>753360</v>
      </c>
      <c r="J320" s="1398">
        <v>55493.73684210526</v>
      </c>
      <c r="K320" s="3081">
        <v>45480.105263157893</v>
      </c>
      <c r="L320" s="1398">
        <v>47495</v>
      </c>
      <c r="M320" s="1891">
        <v>38707</v>
      </c>
      <c r="N320" s="1393">
        <v>24481</v>
      </c>
      <c r="O320" s="3071">
        <v>1299</v>
      </c>
      <c r="P320" s="3071">
        <v>124495</v>
      </c>
      <c r="Q320" s="3071">
        <v>6808</v>
      </c>
      <c r="R320" s="3071">
        <v>5051</v>
      </c>
      <c r="S320" s="3071">
        <v>35447</v>
      </c>
      <c r="T320" s="3071">
        <v>100294</v>
      </c>
      <c r="U320" s="3071">
        <v>36033</v>
      </c>
      <c r="V320" s="3071">
        <v>16888</v>
      </c>
      <c r="W320" s="3071">
        <v>12673</v>
      </c>
      <c r="X320" s="3071">
        <v>16775</v>
      </c>
      <c r="Y320" s="3071">
        <v>3827</v>
      </c>
      <c r="Z320" s="3071">
        <v>10378</v>
      </c>
      <c r="AA320" s="3071">
        <v>32137</v>
      </c>
      <c r="AB320" s="3071">
        <v>199675</v>
      </c>
      <c r="AC320" s="3071">
        <v>62638</v>
      </c>
      <c r="AD320" s="3071">
        <v>24079</v>
      </c>
      <c r="AE320" s="3071">
        <v>7091</v>
      </c>
      <c r="AF320" s="3071">
        <v>25378</v>
      </c>
      <c r="AG320" s="3072">
        <v>30</v>
      </c>
    </row>
    <row r="321" spans="1:33">
      <c r="A321" s="63">
        <f t="shared" si="3"/>
        <v>2019.12</v>
      </c>
      <c r="B321" s="260">
        <v>142363</v>
      </c>
      <c r="C321" s="3034">
        <v>141537</v>
      </c>
      <c r="D321" s="169">
        <v>826</v>
      </c>
      <c r="E321" s="260">
        <v>119699.318579</v>
      </c>
      <c r="F321" s="1738">
        <v>493.06</v>
      </c>
      <c r="G321" s="1397">
        <v>235846</v>
      </c>
      <c r="H321" s="3081">
        <v>515181</v>
      </c>
      <c r="I321" s="1890">
        <f t="shared" si="4"/>
        <v>751027</v>
      </c>
      <c r="J321" s="1398">
        <v>78031.15789473684</v>
      </c>
      <c r="K321" s="3081">
        <v>66965.947368421053</v>
      </c>
      <c r="L321" s="1398">
        <v>69637</v>
      </c>
      <c r="M321" s="1891">
        <v>57701</v>
      </c>
      <c r="N321" s="1393">
        <v>24735</v>
      </c>
      <c r="O321" s="3071">
        <v>1342</v>
      </c>
      <c r="P321" s="3071">
        <v>124420</v>
      </c>
      <c r="Q321" s="3071">
        <v>6766</v>
      </c>
      <c r="R321" s="3071">
        <v>5045</v>
      </c>
      <c r="S321" s="3071">
        <v>33905</v>
      </c>
      <c r="T321" s="3071">
        <v>101034</v>
      </c>
      <c r="U321" s="3071">
        <v>36228</v>
      </c>
      <c r="V321" s="3071">
        <v>16904</v>
      </c>
      <c r="W321" s="3071">
        <v>12698</v>
      </c>
      <c r="X321" s="3071">
        <v>16702</v>
      </c>
      <c r="Y321" s="3071">
        <v>3784</v>
      </c>
      <c r="Z321" s="3071">
        <v>10284</v>
      </c>
      <c r="AA321" s="3071">
        <v>32204</v>
      </c>
      <c r="AB321" s="3071">
        <v>199801</v>
      </c>
      <c r="AC321" s="3071">
        <v>60701</v>
      </c>
      <c r="AD321" s="3071">
        <v>25031</v>
      </c>
      <c r="AE321" s="3071">
        <v>7107</v>
      </c>
      <c r="AF321" s="3071">
        <v>25207</v>
      </c>
      <c r="AG321" s="3072">
        <v>30</v>
      </c>
    </row>
    <row r="322" spans="1:33">
      <c r="A322" s="63">
        <f t="shared" si="3"/>
        <v>2020.01</v>
      </c>
      <c r="B322" s="260">
        <v>142095</v>
      </c>
      <c r="C322" s="3034">
        <v>141362</v>
      </c>
      <c r="D322" s="169">
        <v>733</v>
      </c>
      <c r="E322" s="260">
        <v>10947.02521043</v>
      </c>
      <c r="F322" s="1738">
        <v>488.12200000000001</v>
      </c>
      <c r="G322" s="1397">
        <v>231112</v>
      </c>
      <c r="H322" s="3081">
        <v>509498</v>
      </c>
      <c r="I322" s="1890">
        <f t="shared" si="4"/>
        <v>740610</v>
      </c>
      <c r="J322" s="1398">
        <v>60048.315789473687</v>
      </c>
      <c r="K322" s="3081">
        <v>51649</v>
      </c>
      <c r="L322" s="1398">
        <v>50162</v>
      </c>
      <c r="M322" s="1891">
        <v>43729</v>
      </c>
      <c r="N322" s="1393">
        <v>23776</v>
      </c>
      <c r="O322" s="3071">
        <v>1363</v>
      </c>
      <c r="P322" s="3071">
        <v>124341</v>
      </c>
      <c r="Q322" s="3071">
        <v>6775</v>
      </c>
      <c r="R322" s="3071">
        <v>5043</v>
      </c>
      <c r="S322" s="3071">
        <v>33406</v>
      </c>
      <c r="T322" s="3071">
        <v>100260</v>
      </c>
      <c r="U322" s="3071">
        <v>36152</v>
      </c>
      <c r="V322" s="3071">
        <v>16292</v>
      </c>
      <c r="W322" s="3071">
        <v>12801</v>
      </c>
      <c r="X322" s="3071">
        <v>16749</v>
      </c>
      <c r="Y322" s="3071">
        <v>3710</v>
      </c>
      <c r="Z322" s="3071">
        <v>10077</v>
      </c>
      <c r="AA322" s="3071">
        <v>32298</v>
      </c>
      <c r="AB322" s="3071">
        <v>196195</v>
      </c>
      <c r="AC322" s="3071">
        <v>56567</v>
      </c>
      <c r="AD322" s="3071">
        <v>24984</v>
      </c>
      <c r="AE322" s="3071">
        <v>7039</v>
      </c>
      <c r="AF322" s="3071">
        <v>24850</v>
      </c>
      <c r="AG322" s="3072">
        <v>31</v>
      </c>
    </row>
    <row r="323" spans="1:33">
      <c r="A323" s="63">
        <f t="shared" si="3"/>
        <v>2020.02</v>
      </c>
      <c r="B323" s="260">
        <v>142552</v>
      </c>
      <c r="C323" s="3034">
        <v>141799</v>
      </c>
      <c r="D323" s="169">
        <v>753</v>
      </c>
      <c r="E323" s="260">
        <v>21830.205322639998</v>
      </c>
      <c r="F323" s="1738">
        <v>486.72199999999998</v>
      </c>
      <c r="G323" s="1397">
        <v>221544</v>
      </c>
      <c r="H323" s="3081">
        <v>507825</v>
      </c>
      <c r="I323" s="1890">
        <f t="shared" si="4"/>
        <v>729369</v>
      </c>
      <c r="J323" s="1398">
        <v>62138.15789473684</v>
      </c>
      <c r="K323" s="3081">
        <v>51873.57894736842</v>
      </c>
      <c r="L323" s="1398">
        <v>52313</v>
      </c>
      <c r="M323" s="1891">
        <v>44344</v>
      </c>
      <c r="N323" s="1393">
        <v>23775</v>
      </c>
      <c r="O323" s="3071">
        <v>1372</v>
      </c>
      <c r="P323" s="3071">
        <v>124049</v>
      </c>
      <c r="Q323" s="3071">
        <v>6773</v>
      </c>
      <c r="R323" s="3071">
        <v>5048</v>
      </c>
      <c r="S323" s="3071">
        <v>32033</v>
      </c>
      <c r="T323" s="3071">
        <v>100094</v>
      </c>
      <c r="U323" s="3071">
        <v>35977</v>
      </c>
      <c r="V323" s="3071">
        <v>16366</v>
      </c>
      <c r="W323" s="3071">
        <v>12750</v>
      </c>
      <c r="X323" s="3071">
        <v>16690</v>
      </c>
      <c r="Y323" s="3071">
        <v>3685</v>
      </c>
      <c r="Z323" s="3071">
        <v>10036</v>
      </c>
      <c r="AA323" s="3071">
        <v>32564</v>
      </c>
      <c r="AB323" s="3071">
        <v>186078</v>
      </c>
      <c r="AC323" s="3071">
        <v>56553</v>
      </c>
      <c r="AD323" s="3071">
        <v>24898</v>
      </c>
      <c r="AE323" s="3071">
        <v>7106</v>
      </c>
      <c r="AF323" s="3071">
        <v>24890</v>
      </c>
      <c r="AG323" s="3072">
        <v>31</v>
      </c>
    </row>
    <row r="324" spans="1:33">
      <c r="A324" s="63">
        <f t="shared" si="3"/>
        <v>2020.03</v>
      </c>
      <c r="B324" s="260">
        <v>142502</v>
      </c>
      <c r="C324" s="3034">
        <v>141741</v>
      </c>
      <c r="D324" s="169">
        <v>761</v>
      </c>
      <c r="E324" s="260">
        <v>33090.806915169997</v>
      </c>
      <c r="F324" s="1738">
        <v>487.41699999999997</v>
      </c>
      <c r="G324" s="1397">
        <v>224746</v>
      </c>
      <c r="H324" s="3081">
        <v>508299</v>
      </c>
      <c r="I324" s="1890">
        <f t="shared" si="4"/>
        <v>733045</v>
      </c>
      <c r="J324" s="1398">
        <v>62520.631578947367</v>
      </c>
      <c r="K324" s="3081">
        <v>52270.315789473687</v>
      </c>
      <c r="L324" s="1398">
        <v>53774</v>
      </c>
      <c r="M324" s="1891">
        <v>45863</v>
      </c>
      <c r="N324" s="1393">
        <v>25001</v>
      </c>
      <c r="O324" s="3071">
        <v>1360</v>
      </c>
      <c r="P324" s="3071">
        <v>123757</v>
      </c>
      <c r="Q324" s="3071">
        <v>6790</v>
      </c>
      <c r="R324" s="3071">
        <v>5054</v>
      </c>
      <c r="S324" s="3071">
        <v>30850</v>
      </c>
      <c r="T324" s="3071">
        <v>101354</v>
      </c>
      <c r="U324" s="3071">
        <v>35809</v>
      </c>
      <c r="V324" s="3071">
        <v>16326</v>
      </c>
      <c r="W324" s="3071">
        <v>12775</v>
      </c>
      <c r="X324" s="3071">
        <v>16657</v>
      </c>
      <c r="Y324" s="3071">
        <v>3720</v>
      </c>
      <c r="Z324" s="3071">
        <v>9917</v>
      </c>
      <c r="AA324" s="3071">
        <v>32187</v>
      </c>
      <c r="AB324" s="3071">
        <v>189156</v>
      </c>
      <c r="AC324" s="3071">
        <v>57729</v>
      </c>
      <c r="AD324" s="3071">
        <v>24979</v>
      </c>
      <c r="AE324" s="3071">
        <v>6815</v>
      </c>
      <c r="AF324" s="3071">
        <v>24844</v>
      </c>
      <c r="AG324" s="3072">
        <v>31</v>
      </c>
    </row>
    <row r="325" spans="1:33">
      <c r="A325" s="63">
        <f t="shared" si="3"/>
        <v>2020.04</v>
      </c>
      <c r="B325" s="260">
        <v>142268</v>
      </c>
      <c r="C325" s="3034">
        <v>141503</v>
      </c>
      <c r="D325" s="169">
        <v>765</v>
      </c>
      <c r="E325" s="260">
        <v>44621.312180970002</v>
      </c>
      <c r="F325" s="1738">
        <v>478.04199999999997</v>
      </c>
      <c r="G325" s="1397">
        <v>227388</v>
      </c>
      <c r="H325" s="3081">
        <v>497473</v>
      </c>
      <c r="I325" s="1890">
        <f t="shared" si="4"/>
        <v>724861</v>
      </c>
      <c r="J325" s="1398">
        <v>61907.105263157893</v>
      </c>
      <c r="K325" s="3081">
        <v>51360.84210526316</v>
      </c>
      <c r="L325" s="1398">
        <v>53032</v>
      </c>
      <c r="M325" s="1891">
        <v>44837</v>
      </c>
      <c r="N325" s="1393">
        <v>25309</v>
      </c>
      <c r="O325" s="3071">
        <v>1350</v>
      </c>
      <c r="P325" s="3071">
        <v>122649</v>
      </c>
      <c r="Q325" s="3071">
        <v>6745</v>
      </c>
      <c r="R325" s="3071">
        <v>5044</v>
      </c>
      <c r="S325" s="3071">
        <v>27863</v>
      </c>
      <c r="T325" s="3071">
        <v>99789</v>
      </c>
      <c r="U325" s="3071">
        <v>35930</v>
      </c>
      <c r="V325" s="3071">
        <v>15083</v>
      </c>
      <c r="W325" s="3071">
        <v>12643</v>
      </c>
      <c r="X325" s="3071">
        <v>16485</v>
      </c>
      <c r="Y325" s="3071">
        <v>3595</v>
      </c>
      <c r="Z325" s="3071">
        <v>9686</v>
      </c>
      <c r="AA325" s="3071">
        <v>30891</v>
      </c>
      <c r="AB325" s="3071">
        <v>191133</v>
      </c>
      <c r="AC325" s="3071">
        <v>57121</v>
      </c>
      <c r="AD325" s="3071">
        <v>24818</v>
      </c>
      <c r="AE325" s="3071">
        <v>6601</v>
      </c>
      <c r="AF325" s="3071">
        <v>24374</v>
      </c>
      <c r="AG325" s="3072">
        <v>31</v>
      </c>
    </row>
    <row r="326" spans="1:33">
      <c r="A326" s="63">
        <f t="shared" si="3"/>
        <v>2020.05</v>
      </c>
      <c r="B326" s="260">
        <v>142555</v>
      </c>
      <c r="C326" s="3034">
        <v>141777</v>
      </c>
      <c r="D326" s="169">
        <v>778</v>
      </c>
      <c r="E326" s="260">
        <f>55789110691.55/1000000</f>
        <v>55789.110691550006</v>
      </c>
      <c r="F326" s="1738">
        <v>474.67700000000002</v>
      </c>
      <c r="G326" s="1397">
        <v>227350</v>
      </c>
      <c r="H326" s="3081">
        <v>493941</v>
      </c>
      <c r="I326" s="1890">
        <f t="shared" si="4"/>
        <v>721291</v>
      </c>
      <c r="J326" s="1398">
        <v>62656.84210526316</v>
      </c>
      <c r="K326" s="3081">
        <v>52439.57894736842</v>
      </c>
      <c r="L326" s="1398">
        <v>53617</v>
      </c>
      <c r="M326" s="1891">
        <v>45715</v>
      </c>
      <c r="N326" s="1393">
        <v>25040</v>
      </c>
      <c r="O326" s="3071">
        <v>1337</v>
      </c>
      <c r="P326" s="3071">
        <v>121700</v>
      </c>
      <c r="Q326" s="3071">
        <v>6733</v>
      </c>
      <c r="R326" s="3071">
        <v>5033</v>
      </c>
      <c r="S326" s="3071">
        <v>27462</v>
      </c>
      <c r="T326" s="3071">
        <v>99546</v>
      </c>
      <c r="U326" s="3071">
        <v>36001</v>
      </c>
      <c r="V326" s="3071">
        <v>14745</v>
      </c>
      <c r="W326" s="3071">
        <v>12697</v>
      </c>
      <c r="X326" s="3071">
        <v>16483</v>
      </c>
      <c r="Y326" s="3071">
        <v>3573</v>
      </c>
      <c r="Z326" s="3071">
        <v>9620</v>
      </c>
      <c r="AA326" s="3071">
        <v>30408</v>
      </c>
      <c r="AB326" s="3071">
        <v>190966</v>
      </c>
      <c r="AC326" s="3071">
        <v>56496</v>
      </c>
      <c r="AD326" s="3071">
        <v>24642</v>
      </c>
      <c r="AE326" s="3071">
        <v>6517</v>
      </c>
      <c r="AF326" s="3071">
        <v>24237</v>
      </c>
      <c r="AG326" s="3072">
        <v>31</v>
      </c>
    </row>
    <row r="327" spans="1:33">
      <c r="A327" s="63">
        <f t="shared" si="3"/>
        <v>2020.06</v>
      </c>
      <c r="B327" s="260">
        <v>142783</v>
      </c>
      <c r="C327" s="3034">
        <v>141997</v>
      </c>
      <c r="D327" s="169">
        <v>786</v>
      </c>
      <c r="E327" s="260">
        <f>71542387292.31/1000000</f>
        <v>71542.387292309999</v>
      </c>
      <c r="F327" s="1738">
        <v>474.00799999999998</v>
      </c>
      <c r="G327" s="1397">
        <v>223458</v>
      </c>
      <c r="H327" s="3081">
        <v>493444</v>
      </c>
      <c r="I327" s="1890">
        <f t="shared" si="4"/>
        <v>716902</v>
      </c>
      <c r="J327" s="1398">
        <v>86299.421052631573</v>
      </c>
      <c r="K327" s="3081">
        <v>78446.368421052626</v>
      </c>
      <c r="L327" s="1398">
        <v>75381</v>
      </c>
      <c r="M327" s="1891">
        <v>69510</v>
      </c>
      <c r="N327" s="1393">
        <v>24661</v>
      </c>
      <c r="O327" s="3071">
        <v>1336</v>
      </c>
      <c r="P327" s="3071">
        <v>121884</v>
      </c>
      <c r="Q327" s="3071">
        <v>6727</v>
      </c>
      <c r="R327" s="3071">
        <v>5020</v>
      </c>
      <c r="S327" s="3071">
        <v>27910</v>
      </c>
      <c r="T327" s="3071">
        <v>99190</v>
      </c>
      <c r="U327" s="3071">
        <v>36042</v>
      </c>
      <c r="V327" s="3071">
        <v>14467</v>
      </c>
      <c r="W327" s="3071">
        <v>12715</v>
      </c>
      <c r="X327" s="3071">
        <v>16452</v>
      </c>
      <c r="Y327" s="3071">
        <v>3573</v>
      </c>
      <c r="Z327" s="3071">
        <v>9637</v>
      </c>
      <c r="AA327" s="3071">
        <v>30426</v>
      </c>
      <c r="AB327" s="3071">
        <v>186570</v>
      </c>
      <c r="AC327" s="3071">
        <v>56834</v>
      </c>
      <c r="AD327" s="3071">
        <v>24572</v>
      </c>
      <c r="AE327" s="3071">
        <v>6477</v>
      </c>
      <c r="AF327" s="3071">
        <v>24147</v>
      </c>
      <c r="AG327" s="3072">
        <v>31</v>
      </c>
    </row>
    <row r="328" spans="1:33">
      <c r="A328" s="63">
        <f t="shared" si="3"/>
        <v>2020.07</v>
      </c>
      <c r="B328" s="260">
        <v>142746</v>
      </c>
      <c r="C328" s="3034">
        <v>141955</v>
      </c>
      <c r="D328" s="169">
        <v>791</v>
      </c>
      <c r="E328" s="260">
        <v>82907.100000000006</v>
      </c>
      <c r="F328" s="1738">
        <v>474.21199999999999</v>
      </c>
      <c r="G328" s="1397">
        <v>223128</v>
      </c>
      <c r="H328" s="3081">
        <v>493316</v>
      </c>
      <c r="I328" s="1890">
        <f t="shared" si="4"/>
        <v>716444</v>
      </c>
      <c r="J328" s="1398">
        <v>63765.57894736842</v>
      </c>
      <c r="K328" s="3081">
        <v>55334.052631578947</v>
      </c>
      <c r="L328" s="1398">
        <v>53084</v>
      </c>
      <c r="M328" s="1891">
        <v>47823</v>
      </c>
      <c r="N328" s="1393">
        <v>24470</v>
      </c>
      <c r="O328" s="3071">
        <v>1339</v>
      </c>
      <c r="P328" s="3071">
        <v>122591</v>
      </c>
      <c r="Q328" s="3071">
        <v>6707</v>
      </c>
      <c r="R328" s="3071">
        <v>5021</v>
      </c>
      <c r="S328" s="3071">
        <v>28401</v>
      </c>
      <c r="T328" s="3071">
        <v>99067</v>
      </c>
      <c r="U328" s="3071">
        <v>35827</v>
      </c>
      <c r="V328" s="3071">
        <v>14182</v>
      </c>
      <c r="W328" s="3071">
        <v>12741</v>
      </c>
      <c r="X328" s="3071">
        <v>16463</v>
      </c>
      <c r="Y328" s="3071">
        <v>3558</v>
      </c>
      <c r="Z328" s="3071">
        <v>9606</v>
      </c>
      <c r="AA328" s="3071">
        <v>30762</v>
      </c>
      <c r="AB328" s="3071">
        <v>186758</v>
      </c>
      <c r="AC328" s="3071">
        <v>56009</v>
      </c>
      <c r="AD328" s="3071">
        <v>24586</v>
      </c>
      <c r="AE328" s="3071">
        <v>6405</v>
      </c>
      <c r="AF328" s="3071">
        <v>23967</v>
      </c>
      <c r="AG328" s="3072">
        <v>32</v>
      </c>
    </row>
    <row r="329" spans="1:33">
      <c r="A329" s="63">
        <f t="shared" si="3"/>
        <v>2020.08</v>
      </c>
      <c r="B329" s="260">
        <v>142703</v>
      </c>
      <c r="C329" s="3034">
        <v>141905</v>
      </c>
      <c r="D329" s="169">
        <v>798</v>
      </c>
      <c r="E329" s="260">
        <v>94304.960000000006</v>
      </c>
      <c r="F329" s="1738">
        <v>475.34800000000001</v>
      </c>
      <c r="G329" s="1397">
        <v>223950</v>
      </c>
      <c r="H329" s="3081">
        <v>494092</v>
      </c>
      <c r="I329" s="1890">
        <f t="shared" si="4"/>
        <v>718042</v>
      </c>
      <c r="J329" s="1398">
        <v>64482.631578947367</v>
      </c>
      <c r="K329" s="3081">
        <v>56046.473684210527</v>
      </c>
      <c r="L329" s="1398">
        <v>54380</v>
      </c>
      <c r="M329" s="1891">
        <v>48321</v>
      </c>
      <c r="N329" s="1393">
        <v>24251</v>
      </c>
      <c r="O329" s="3071">
        <v>1352</v>
      </c>
      <c r="P329" s="3071">
        <v>123180</v>
      </c>
      <c r="Q329" s="3071">
        <v>6694</v>
      </c>
      <c r="R329" s="3071">
        <v>4914</v>
      </c>
      <c r="S329" s="3071">
        <v>28664</v>
      </c>
      <c r="T329" s="3071">
        <v>99337</v>
      </c>
      <c r="U329" s="3071">
        <v>35905</v>
      </c>
      <c r="V329" s="3071">
        <v>13937</v>
      </c>
      <c r="W329" s="3071">
        <v>12779</v>
      </c>
      <c r="X329" s="3071">
        <v>16419</v>
      </c>
      <c r="Y329" s="3071">
        <v>3567</v>
      </c>
      <c r="Z329" s="3071">
        <v>9629</v>
      </c>
      <c r="AA329" s="3071">
        <v>31392</v>
      </c>
      <c r="AB329" s="3071">
        <v>187344</v>
      </c>
      <c r="AC329" s="3071">
        <v>55901</v>
      </c>
      <c r="AD329" s="3071">
        <v>24656</v>
      </c>
      <c r="AE329" s="3071">
        <v>6369</v>
      </c>
      <c r="AF329" s="3071">
        <v>23938</v>
      </c>
      <c r="AG329" s="3072">
        <v>33</v>
      </c>
    </row>
    <row r="330" spans="1:33">
      <c r="A330" s="63">
        <f t="shared" si="3"/>
        <v>2020.09</v>
      </c>
      <c r="B330" s="260">
        <v>143177</v>
      </c>
      <c r="C330" s="3034">
        <v>142378</v>
      </c>
      <c r="D330" s="169">
        <v>799</v>
      </c>
      <c r="E330" s="260">
        <v>107085.24</v>
      </c>
      <c r="F330" s="1738">
        <v>477.08199999999999</v>
      </c>
      <c r="G330" s="1397">
        <v>222738</v>
      </c>
      <c r="H330" s="3081">
        <v>496155</v>
      </c>
      <c r="I330" s="1890">
        <f t="shared" si="4"/>
        <v>718893</v>
      </c>
      <c r="J330" s="1398">
        <v>67048.105263157893</v>
      </c>
      <c r="K330" s="3081">
        <v>58406.789473684214</v>
      </c>
      <c r="L330" s="1398">
        <v>56693</v>
      </c>
      <c r="M330" s="1891">
        <v>49347</v>
      </c>
      <c r="N330" s="1393">
        <v>24259</v>
      </c>
      <c r="O330" s="3071">
        <v>1359</v>
      </c>
      <c r="P330" s="3071">
        <v>123976</v>
      </c>
      <c r="Q330" s="3071">
        <v>6690</v>
      </c>
      <c r="R330" s="3071">
        <v>4945</v>
      </c>
      <c r="S330" s="3071">
        <v>28883</v>
      </c>
      <c r="T330" s="3071">
        <v>99341</v>
      </c>
      <c r="U330" s="3071">
        <v>35924</v>
      </c>
      <c r="V330" s="3071">
        <v>13635</v>
      </c>
      <c r="W330" s="3071">
        <v>12772</v>
      </c>
      <c r="X330" s="3071">
        <v>16372</v>
      </c>
      <c r="Y330" s="3071">
        <v>3554</v>
      </c>
      <c r="Z330" s="3071">
        <v>9819</v>
      </c>
      <c r="AA330" s="3071">
        <v>32342</v>
      </c>
      <c r="AB330" s="3071">
        <v>185864</v>
      </c>
      <c r="AC330" s="3071">
        <v>55675</v>
      </c>
      <c r="AD330" s="3071">
        <v>24935</v>
      </c>
      <c r="AE330" s="3071">
        <v>6347</v>
      </c>
      <c r="AF330" s="3071">
        <v>23940</v>
      </c>
      <c r="AG330" s="3072">
        <v>33</v>
      </c>
    </row>
    <row r="331" spans="1:33">
      <c r="A331" s="63">
        <f t="shared" si="3"/>
        <v>2020.1</v>
      </c>
      <c r="B331" s="260">
        <v>142731</v>
      </c>
      <c r="C331" s="3034">
        <v>141970</v>
      </c>
      <c r="D331" s="169">
        <v>761</v>
      </c>
      <c r="E331" s="260">
        <v>119231.6</v>
      </c>
      <c r="F331" s="1738">
        <v>479.09</v>
      </c>
      <c r="G331" s="1397">
        <v>223437</v>
      </c>
      <c r="H331" s="3081">
        <v>498198</v>
      </c>
      <c r="I331" s="1890">
        <f t="shared" si="4"/>
        <v>721635</v>
      </c>
      <c r="J331" s="1398">
        <v>72798.105263157893</v>
      </c>
      <c r="K331" s="3081">
        <v>62185.57894736842</v>
      </c>
      <c r="L331" s="1398">
        <v>62274</v>
      </c>
      <c r="M331" s="1891">
        <v>53586</v>
      </c>
      <c r="N331" s="1393">
        <v>24513</v>
      </c>
      <c r="O331" s="3071">
        <v>1393</v>
      </c>
      <c r="P331" s="3071">
        <v>124546</v>
      </c>
      <c r="Q331" s="3071">
        <v>6689</v>
      </c>
      <c r="R331" s="3071">
        <v>4960</v>
      </c>
      <c r="S331" s="3071">
        <v>29561</v>
      </c>
      <c r="T331" s="3071">
        <v>99545</v>
      </c>
      <c r="U331" s="3071">
        <v>35729</v>
      </c>
      <c r="V331" s="3071">
        <v>13437</v>
      </c>
      <c r="W331" s="3071">
        <v>12813</v>
      </c>
      <c r="X331" s="3071">
        <v>16474</v>
      </c>
      <c r="Y331" s="3071">
        <v>3549</v>
      </c>
      <c r="Z331" s="3071">
        <v>9749</v>
      </c>
      <c r="AA331" s="3071">
        <v>33390</v>
      </c>
      <c r="AB331" s="3071">
        <v>186513</v>
      </c>
      <c r="AC331" s="3071">
        <v>55521</v>
      </c>
      <c r="AD331" s="3071">
        <v>25077</v>
      </c>
      <c r="AE331" s="3071">
        <v>6371</v>
      </c>
      <c r="AF331" s="3071">
        <v>24101</v>
      </c>
      <c r="AG331" s="3072">
        <v>33</v>
      </c>
    </row>
    <row r="332" spans="1:33">
      <c r="A332" s="63">
        <f t="shared" si="3"/>
        <v>2020.11</v>
      </c>
      <c r="B332" s="260">
        <v>142660</v>
      </c>
      <c r="C332" s="3034">
        <v>141894</v>
      </c>
      <c r="D332" s="169">
        <v>766</v>
      </c>
      <c r="E332" s="260">
        <v>131537.17000000001</v>
      </c>
      <c r="F332" s="1738">
        <v>481.44799999999998</v>
      </c>
      <c r="G332" s="1397">
        <v>224379</v>
      </c>
      <c r="H332" s="3081">
        <v>499928</v>
      </c>
      <c r="I332" s="1890">
        <f t="shared" si="4"/>
        <v>724307</v>
      </c>
      <c r="J332" s="1398">
        <v>70925.526315789481</v>
      </c>
      <c r="K332" s="3081">
        <v>62253.42105263158</v>
      </c>
      <c r="L332" s="1398">
        <v>60254</v>
      </c>
      <c r="M332" s="1891">
        <v>53517</v>
      </c>
      <c r="N332" s="1393">
        <v>25213</v>
      </c>
      <c r="O332" s="3071">
        <v>1388</v>
      </c>
      <c r="P332" s="3071">
        <v>125271</v>
      </c>
      <c r="Q332" s="3071">
        <v>6709</v>
      </c>
      <c r="R332" s="3071">
        <v>4920</v>
      </c>
      <c r="S332" s="3071">
        <v>30107</v>
      </c>
      <c r="T332" s="3071">
        <v>99722</v>
      </c>
      <c r="U332" s="3071">
        <v>35502</v>
      </c>
      <c r="V332" s="3071">
        <v>13516</v>
      </c>
      <c r="W332" s="3071">
        <v>12836</v>
      </c>
      <c r="X332" s="3071">
        <v>16506</v>
      </c>
      <c r="Y332" s="3071">
        <v>3510</v>
      </c>
      <c r="Z332" s="3071">
        <v>9862</v>
      </c>
      <c r="AA332" s="3071">
        <v>33521</v>
      </c>
      <c r="AB332" s="3071">
        <v>187380</v>
      </c>
      <c r="AC332" s="3071">
        <v>55455</v>
      </c>
      <c r="AD332" s="3071">
        <v>24995</v>
      </c>
      <c r="AE332" s="3071">
        <v>6379</v>
      </c>
      <c r="AF332" s="3071">
        <v>24122</v>
      </c>
      <c r="AG332" s="3072">
        <v>33</v>
      </c>
    </row>
    <row r="333" spans="1:33">
      <c r="A333" s="63">
        <f t="shared" si="3"/>
        <v>2020.12</v>
      </c>
      <c r="B333" s="260">
        <v>142623</v>
      </c>
      <c r="C333" s="3034">
        <v>141853</v>
      </c>
      <c r="D333" s="169">
        <v>770</v>
      </c>
      <c r="E333" s="260">
        <v>151113.57</v>
      </c>
      <c r="F333" s="1738">
        <v>482.72199999999998</v>
      </c>
      <c r="G333" s="1397">
        <v>225359</v>
      </c>
      <c r="H333" s="3081">
        <v>500580</v>
      </c>
      <c r="I333" s="1890">
        <f t="shared" si="4"/>
        <v>725939</v>
      </c>
      <c r="J333" s="1398">
        <v>100338.47368421052</v>
      </c>
      <c r="K333" s="3081">
        <v>92440.526315789481</v>
      </c>
      <c r="L333" s="1398">
        <v>87681</v>
      </c>
      <c r="M333" s="1891">
        <v>79849</v>
      </c>
      <c r="N333" s="1393">
        <v>25604</v>
      </c>
      <c r="O333" s="3071">
        <v>1410</v>
      </c>
      <c r="P333" s="3071">
        <v>125207</v>
      </c>
      <c r="Q333" s="3071">
        <v>6711</v>
      </c>
      <c r="R333" s="3071">
        <v>4915</v>
      </c>
      <c r="S333" s="3071">
        <v>29648</v>
      </c>
      <c r="T333" s="3071">
        <v>100253</v>
      </c>
      <c r="U333" s="3071">
        <v>35694</v>
      </c>
      <c r="V333" s="3071">
        <v>13591</v>
      </c>
      <c r="W333" s="3071">
        <v>12890</v>
      </c>
      <c r="X333" s="3071">
        <v>16435</v>
      </c>
      <c r="Y333" s="3071">
        <v>3463</v>
      </c>
      <c r="Z333" s="3071">
        <v>9788</v>
      </c>
      <c r="AA333" s="3071">
        <v>33925</v>
      </c>
      <c r="AB333" s="3071">
        <v>188043</v>
      </c>
      <c r="AC333" s="3071">
        <v>55575</v>
      </c>
      <c r="AD333" s="3071">
        <v>24939</v>
      </c>
      <c r="AE333" s="3071">
        <v>6457</v>
      </c>
      <c r="AF333" s="3071">
        <v>24369</v>
      </c>
      <c r="AG333" s="3072">
        <v>33</v>
      </c>
    </row>
    <row r="334" spans="1:33">
      <c r="A334" s="63">
        <f t="shared" si="3"/>
        <v>2021.01</v>
      </c>
      <c r="B334" s="260">
        <v>142526</v>
      </c>
      <c r="C334" s="3034">
        <v>141756</v>
      </c>
      <c r="D334" s="169">
        <v>770</v>
      </c>
      <c r="E334" s="260">
        <v>14147.04</v>
      </c>
      <c r="F334" s="1738">
        <v>483.04300000000001</v>
      </c>
      <c r="G334" s="1397">
        <v>225725</v>
      </c>
      <c r="H334" s="3081">
        <v>501951</v>
      </c>
      <c r="I334" s="1890">
        <f t="shared" si="4"/>
        <v>727676</v>
      </c>
      <c r="J334" s="1398">
        <v>81653.526315789481</v>
      </c>
      <c r="K334" s="3081">
        <v>70232.894736842107</v>
      </c>
      <c r="L334" s="1398">
        <v>68784</v>
      </c>
      <c r="M334" s="1891">
        <v>57380</v>
      </c>
      <c r="N334" s="1393">
        <v>24777</v>
      </c>
      <c r="O334" s="3071">
        <v>1428</v>
      </c>
      <c r="P334" s="3071">
        <v>125922</v>
      </c>
      <c r="Q334" s="3071">
        <v>6757</v>
      </c>
      <c r="R334" s="3071">
        <v>4919</v>
      </c>
      <c r="S334" s="3071">
        <v>30688</v>
      </c>
      <c r="T334" s="3071">
        <v>100080</v>
      </c>
      <c r="U334" s="3071">
        <v>35752</v>
      </c>
      <c r="V334" s="3071">
        <v>13530</v>
      </c>
      <c r="W334" s="3071">
        <v>13000</v>
      </c>
      <c r="X334" s="3071">
        <v>16429</v>
      </c>
      <c r="Y334" s="3071">
        <v>3455</v>
      </c>
      <c r="Z334" s="3071">
        <v>9802</v>
      </c>
      <c r="AA334" s="3071">
        <v>34481</v>
      </c>
      <c r="AB334" s="3071">
        <v>188857</v>
      </c>
      <c r="AC334" s="3071">
        <v>54615</v>
      </c>
      <c r="AD334" s="3071">
        <v>25091</v>
      </c>
      <c r="AE334" s="3071">
        <v>6495</v>
      </c>
      <c r="AF334" s="3071">
        <v>24382</v>
      </c>
      <c r="AG334" s="3072">
        <v>33</v>
      </c>
    </row>
    <row r="335" spans="1:33">
      <c r="A335" s="63">
        <f t="shared" si="3"/>
        <v>2021.02</v>
      </c>
      <c r="B335" s="260">
        <v>143009</v>
      </c>
      <c r="C335" s="3034">
        <v>142241</v>
      </c>
      <c r="D335" s="169">
        <v>768</v>
      </c>
      <c r="E335" s="260">
        <v>27547.3</v>
      </c>
      <c r="F335" s="1738">
        <v>484.28</v>
      </c>
      <c r="G335" s="1397">
        <v>222139</v>
      </c>
      <c r="H335" s="3081">
        <v>503071</v>
      </c>
      <c r="I335" s="1890">
        <f t="shared" si="4"/>
        <v>725210</v>
      </c>
      <c r="J335" s="1398">
        <v>78735.15789473684</v>
      </c>
      <c r="K335" s="3081">
        <v>71112.789473684214</v>
      </c>
      <c r="L335" s="1398">
        <v>67004</v>
      </c>
      <c r="M335" s="1891">
        <v>60270</v>
      </c>
      <c r="N335" s="1393">
        <v>24619</v>
      </c>
      <c r="O335" s="3071">
        <v>1435</v>
      </c>
      <c r="P335" s="3071">
        <v>126609</v>
      </c>
      <c r="Q335" s="3071">
        <v>6770</v>
      </c>
      <c r="R335" s="3071">
        <v>4932</v>
      </c>
      <c r="S335" s="3071">
        <v>31330</v>
      </c>
      <c r="T335" s="3071">
        <v>100259</v>
      </c>
      <c r="U335" s="3071">
        <v>35658</v>
      </c>
      <c r="V335" s="3071">
        <v>13539</v>
      </c>
      <c r="W335" s="3071">
        <v>12988</v>
      </c>
      <c r="X335" s="3071">
        <v>16385</v>
      </c>
      <c r="Y335" s="3071">
        <v>3442</v>
      </c>
      <c r="Z335" s="3071">
        <v>9800</v>
      </c>
      <c r="AA335" s="3071">
        <v>34517</v>
      </c>
      <c r="AB335" s="3071">
        <v>185254</v>
      </c>
      <c r="AC335" s="3071">
        <v>54639</v>
      </c>
      <c r="AD335" s="3071">
        <v>25053</v>
      </c>
      <c r="AE335" s="3071">
        <v>6531</v>
      </c>
      <c r="AF335" s="3071">
        <v>24328</v>
      </c>
      <c r="AG335" s="3072">
        <v>33</v>
      </c>
    </row>
    <row r="336" spans="1:33">
      <c r="A336" s="63">
        <f t="shared" si="3"/>
        <v>2021.03</v>
      </c>
      <c r="B336" s="260">
        <v>143370</v>
      </c>
      <c r="C336" s="3034">
        <v>142596</v>
      </c>
      <c r="D336" s="169">
        <v>774</v>
      </c>
      <c r="E336" s="260">
        <v>43564.83</v>
      </c>
      <c r="F336" s="1738">
        <v>488.69</v>
      </c>
      <c r="G336" s="1397">
        <v>225402</v>
      </c>
      <c r="H336" s="3081">
        <v>509426</v>
      </c>
      <c r="I336" s="1890">
        <f t="shared" si="4"/>
        <v>734828</v>
      </c>
      <c r="J336" s="1398">
        <v>88846.421052631573</v>
      </c>
      <c r="K336" s="3081">
        <v>73645.894736842107</v>
      </c>
      <c r="L336" s="1398">
        <v>76480</v>
      </c>
      <c r="M336" s="1891">
        <v>62848</v>
      </c>
      <c r="N336" s="1393">
        <v>25328</v>
      </c>
      <c r="O336" s="3071">
        <v>1431</v>
      </c>
      <c r="P336" s="3071">
        <v>127903</v>
      </c>
      <c r="Q336" s="3071">
        <v>6787</v>
      </c>
      <c r="R336" s="3071">
        <v>5083</v>
      </c>
      <c r="S336" s="3071">
        <v>32460</v>
      </c>
      <c r="T336" s="3071">
        <v>100977</v>
      </c>
      <c r="U336" s="3071">
        <v>35882</v>
      </c>
      <c r="V336" s="3071">
        <v>13327</v>
      </c>
      <c r="W336" s="3071">
        <v>13032</v>
      </c>
      <c r="X336" s="3071">
        <v>16389</v>
      </c>
      <c r="Y336" s="3071">
        <v>3409</v>
      </c>
      <c r="Z336" s="3071">
        <v>9815</v>
      </c>
      <c r="AA336" s="3071">
        <v>34672</v>
      </c>
      <c r="AB336" s="3071">
        <v>188462</v>
      </c>
      <c r="AC336" s="3071">
        <v>56629</v>
      </c>
      <c r="AD336" s="3071">
        <v>25135</v>
      </c>
      <c r="AE336" s="3071">
        <v>6334</v>
      </c>
      <c r="AF336" s="3071">
        <v>24383</v>
      </c>
      <c r="AG336" s="3072">
        <v>32</v>
      </c>
    </row>
    <row r="337" spans="1:33">
      <c r="A337" s="63">
        <f t="shared" si="3"/>
        <v>2021.04</v>
      </c>
      <c r="B337" s="260">
        <v>143236</v>
      </c>
      <c r="C337" s="3034">
        <v>142462</v>
      </c>
      <c r="D337" s="169">
        <v>774</v>
      </c>
      <c r="E337" s="260">
        <v>60185.26</v>
      </c>
      <c r="F337" s="1738">
        <v>491.01900000000001</v>
      </c>
      <c r="G337" s="1397">
        <v>230902</v>
      </c>
      <c r="H337" s="3081">
        <v>512287</v>
      </c>
      <c r="I337" s="1890">
        <f t="shared" si="4"/>
        <v>743189</v>
      </c>
      <c r="J337" s="1398">
        <v>90164.210526315786</v>
      </c>
      <c r="K337" s="3081">
        <v>76852.15789473684</v>
      </c>
      <c r="L337" s="1398">
        <v>77925</v>
      </c>
      <c r="M337" s="1891">
        <v>64638</v>
      </c>
      <c r="N337" s="1393">
        <v>26057</v>
      </c>
      <c r="O337" s="3071">
        <v>1423</v>
      </c>
      <c r="P337" s="3071">
        <v>128208</v>
      </c>
      <c r="Q337" s="3071">
        <v>6789</v>
      </c>
      <c r="R337" s="3071">
        <v>5086</v>
      </c>
      <c r="S337" s="3071">
        <v>32399</v>
      </c>
      <c r="T337" s="3071">
        <v>101382</v>
      </c>
      <c r="U337" s="3071">
        <v>35834</v>
      </c>
      <c r="V337" s="3071">
        <v>12994</v>
      </c>
      <c r="W337" s="3071">
        <v>13107</v>
      </c>
      <c r="X337" s="3071">
        <v>16375</v>
      </c>
      <c r="Y337" s="3071">
        <v>3379</v>
      </c>
      <c r="Z337" s="3071">
        <v>9810</v>
      </c>
      <c r="AA337" s="3071">
        <v>34583</v>
      </c>
      <c r="AB337" s="3071">
        <v>194066</v>
      </c>
      <c r="AC337" s="3071">
        <v>58986</v>
      </c>
      <c r="AD337" s="3071">
        <v>25180</v>
      </c>
      <c r="AE337" s="3071">
        <v>6259</v>
      </c>
      <c r="AF337" s="3071">
        <v>24585</v>
      </c>
      <c r="AG337" s="3072">
        <v>32</v>
      </c>
    </row>
    <row r="338" spans="1:33">
      <c r="A338" s="63">
        <f t="shared" si="3"/>
        <v>2021.05</v>
      </c>
      <c r="B338" s="260">
        <v>143182</v>
      </c>
      <c r="C338" s="3034">
        <v>142396</v>
      </c>
      <c r="D338" s="169">
        <v>786</v>
      </c>
      <c r="E338" s="260">
        <v>77373.98</v>
      </c>
      <c r="F338" s="1738">
        <v>490.113</v>
      </c>
      <c r="G338" s="1397">
        <v>234887</v>
      </c>
      <c r="H338" s="3081">
        <v>510639</v>
      </c>
      <c r="I338" s="1890">
        <f t="shared" si="4"/>
        <v>745526</v>
      </c>
      <c r="J338" s="1398">
        <v>88843.578947368427</v>
      </c>
      <c r="K338" s="3081">
        <v>77525.578947368427</v>
      </c>
      <c r="L338" s="1398">
        <v>77881</v>
      </c>
      <c r="M338" s="1891">
        <v>67703</v>
      </c>
      <c r="N338" s="1393">
        <v>26040</v>
      </c>
      <c r="O338" s="3071">
        <v>1429</v>
      </c>
      <c r="P338" s="3071">
        <v>127871</v>
      </c>
      <c r="Q338" s="3071">
        <v>6793</v>
      </c>
      <c r="R338" s="3071">
        <v>5089</v>
      </c>
      <c r="S338" s="3071">
        <v>32610</v>
      </c>
      <c r="T338" s="3071">
        <v>100591</v>
      </c>
      <c r="U338" s="3071">
        <v>35659</v>
      </c>
      <c r="V338" s="3071">
        <v>12555</v>
      </c>
      <c r="W338" s="3071">
        <v>13163</v>
      </c>
      <c r="X338" s="3071">
        <v>16356</v>
      </c>
      <c r="Y338" s="3071">
        <v>3384</v>
      </c>
      <c r="Z338" s="3071">
        <v>9844</v>
      </c>
      <c r="AA338" s="3071">
        <v>34235</v>
      </c>
      <c r="AB338" s="3071">
        <v>197796</v>
      </c>
      <c r="AC338" s="3071">
        <v>59468</v>
      </c>
      <c r="AD338" s="3071">
        <v>25130</v>
      </c>
      <c r="AE338" s="3071">
        <v>6146</v>
      </c>
      <c r="AF338" s="3071">
        <v>24587</v>
      </c>
      <c r="AG338" s="3072">
        <v>32</v>
      </c>
    </row>
    <row r="339" spans="1:33">
      <c r="A339" s="63">
        <f t="shared" si="3"/>
        <v>2021.06</v>
      </c>
      <c r="B339" s="260">
        <v>142685</v>
      </c>
      <c r="C339" s="3034">
        <v>141895</v>
      </c>
      <c r="D339" s="169">
        <v>790</v>
      </c>
      <c r="E339" s="260">
        <v>102731.34</v>
      </c>
      <c r="F339" s="1738">
        <v>488.66199999999998</v>
      </c>
      <c r="G339" s="1397">
        <v>235711</v>
      </c>
      <c r="H339" s="3081">
        <v>508634</v>
      </c>
      <c r="I339" s="1890">
        <f t="shared" si="4"/>
        <v>744345</v>
      </c>
      <c r="J339" s="1398">
        <v>131387.94736842104</v>
      </c>
      <c r="K339" s="3081">
        <v>114197</v>
      </c>
      <c r="L339" s="1398">
        <v>116041</v>
      </c>
      <c r="M339" s="1891">
        <v>100201</v>
      </c>
      <c r="N339" s="1393">
        <v>25435</v>
      </c>
      <c r="O339" s="3071">
        <v>1432</v>
      </c>
      <c r="P339" s="3071">
        <v>127903</v>
      </c>
      <c r="Q339" s="3071">
        <v>6774</v>
      </c>
      <c r="R339" s="3071">
        <v>5081</v>
      </c>
      <c r="S339" s="3071">
        <v>33203</v>
      </c>
      <c r="T339" s="3071">
        <v>100328</v>
      </c>
      <c r="U339" s="3071">
        <v>36244</v>
      </c>
      <c r="V339" s="3071">
        <v>12286</v>
      </c>
      <c r="W339" s="3071">
        <v>13311</v>
      </c>
      <c r="X339" s="3071">
        <v>16409</v>
      </c>
      <c r="Y339" s="3071">
        <v>3363</v>
      </c>
      <c r="Z339" s="3071">
        <v>9685</v>
      </c>
      <c r="AA339" s="3071">
        <v>33750</v>
      </c>
      <c r="AB339" s="3071">
        <v>197556</v>
      </c>
      <c r="AC339" s="3071">
        <v>58867</v>
      </c>
      <c r="AD339" s="3071">
        <v>25078</v>
      </c>
      <c r="AE339" s="3071">
        <v>6088</v>
      </c>
      <c r="AF339" s="3071">
        <v>24385</v>
      </c>
      <c r="AG339" s="3072">
        <v>33</v>
      </c>
    </row>
    <row r="340" spans="1:33">
      <c r="A340" s="63">
        <f t="shared" si="3"/>
        <v>2021.07</v>
      </c>
      <c r="B340" s="260">
        <v>142776</v>
      </c>
      <c r="C340" s="3034">
        <v>141973</v>
      </c>
      <c r="D340" s="169">
        <v>803</v>
      </c>
      <c r="E340" s="260">
        <v>120833.25</v>
      </c>
      <c r="F340" s="1738">
        <v>489.197</v>
      </c>
      <c r="G340" s="1397">
        <v>233245</v>
      </c>
      <c r="H340" s="3081">
        <v>509536</v>
      </c>
      <c r="I340" s="1890">
        <f t="shared" si="4"/>
        <v>742781</v>
      </c>
      <c r="J340" s="1398">
        <v>96856.894736842107</v>
      </c>
      <c r="K340" s="3081">
        <v>83019.789473684214</v>
      </c>
      <c r="L340" s="1398">
        <v>83647</v>
      </c>
      <c r="M340" s="1891">
        <v>70229</v>
      </c>
      <c r="N340" s="1393">
        <v>25221</v>
      </c>
      <c r="O340" s="3071">
        <v>1432</v>
      </c>
      <c r="P340" s="3071">
        <v>128334</v>
      </c>
      <c r="Q340" s="3071">
        <v>6836</v>
      </c>
      <c r="R340" s="3071">
        <v>5032</v>
      </c>
      <c r="S340" s="3071">
        <v>33732</v>
      </c>
      <c r="T340" s="3071">
        <v>100173</v>
      </c>
      <c r="U340" s="3071">
        <v>36286</v>
      </c>
      <c r="V340" s="3071">
        <v>12495</v>
      </c>
      <c r="W340" s="3071">
        <v>13275</v>
      </c>
      <c r="X340" s="3071">
        <v>16329</v>
      </c>
      <c r="Y340" s="3071">
        <v>3346</v>
      </c>
      <c r="Z340" s="3071">
        <v>9835</v>
      </c>
      <c r="AA340" s="3071">
        <v>33531</v>
      </c>
      <c r="AB340" s="3071">
        <v>195374</v>
      </c>
      <c r="AC340" s="3071">
        <v>58776</v>
      </c>
      <c r="AD340" s="3071">
        <v>24967</v>
      </c>
      <c r="AE340" s="3071">
        <v>6064</v>
      </c>
      <c r="AF340" s="3071">
        <v>24335</v>
      </c>
      <c r="AG340" s="3072">
        <v>33</v>
      </c>
    </row>
    <row r="341" spans="1:33">
      <c r="A341" s="63">
        <f t="shared" si="3"/>
        <v>2021.08</v>
      </c>
      <c r="B341" s="260">
        <v>142905</v>
      </c>
      <c r="C341" s="3034">
        <v>142104</v>
      </c>
      <c r="D341" s="169">
        <v>801</v>
      </c>
      <c r="E341" s="260">
        <v>139610.89000000001</v>
      </c>
      <c r="F341" s="1738">
        <v>491.62900000000002</v>
      </c>
      <c r="G341" s="1397">
        <v>236357</v>
      </c>
      <c r="H341" s="3081">
        <v>513460</v>
      </c>
      <c r="I341" s="1890">
        <f t="shared" si="4"/>
        <v>749817</v>
      </c>
      <c r="J341" s="1398">
        <v>98586.631578947374</v>
      </c>
      <c r="K341" s="3081">
        <v>87315</v>
      </c>
      <c r="L341" s="1398">
        <v>86220</v>
      </c>
      <c r="M341" s="1891">
        <v>74092</v>
      </c>
      <c r="N341" s="1393">
        <v>25038</v>
      </c>
      <c r="O341" s="3071">
        <v>1425</v>
      </c>
      <c r="P341" s="3071">
        <v>128852</v>
      </c>
      <c r="Q341" s="3071">
        <v>6858</v>
      </c>
      <c r="R341" s="3071">
        <v>5026</v>
      </c>
      <c r="S341" s="3071">
        <v>34070</v>
      </c>
      <c r="T341" s="3071">
        <v>100454</v>
      </c>
      <c r="U341" s="3071">
        <v>36685</v>
      </c>
      <c r="V341" s="3071">
        <v>12762</v>
      </c>
      <c r="W341" s="3071">
        <v>13397</v>
      </c>
      <c r="X341" s="3071">
        <v>16349</v>
      </c>
      <c r="Y341" s="3071">
        <v>3344</v>
      </c>
      <c r="Z341" s="3071">
        <v>9875</v>
      </c>
      <c r="AA341" s="3071">
        <v>33695</v>
      </c>
      <c r="AB341" s="3071">
        <v>197732</v>
      </c>
      <c r="AC341" s="3071">
        <v>61035</v>
      </c>
      <c r="AD341" s="3071">
        <v>24947</v>
      </c>
      <c r="AE341" s="3071">
        <v>6039</v>
      </c>
      <c r="AF341" s="3071">
        <v>24544</v>
      </c>
      <c r="AG341" s="3072">
        <v>33</v>
      </c>
    </row>
    <row r="342" spans="1:33">
      <c r="A342" s="63">
        <f t="shared" si="3"/>
        <v>2021.09</v>
      </c>
      <c r="B342" s="260">
        <v>142951</v>
      </c>
      <c r="C342" s="3034">
        <v>142147</v>
      </c>
      <c r="D342" s="169">
        <v>804</v>
      </c>
      <c r="E342" s="260">
        <v>159416.76999999999</v>
      </c>
      <c r="F342" s="1738">
        <v>493.89</v>
      </c>
      <c r="G342" s="1397">
        <v>241431</v>
      </c>
      <c r="H342" s="3081">
        <v>516504</v>
      </c>
      <c r="I342" s="1890">
        <f t="shared" si="4"/>
        <v>757935</v>
      </c>
      <c r="J342" s="1398">
        <v>101939.63157894737</v>
      </c>
      <c r="K342" s="3081">
        <v>89884.15789473684</v>
      </c>
      <c r="L342" s="1398">
        <v>88020</v>
      </c>
      <c r="M342" s="1891">
        <v>75350</v>
      </c>
      <c r="N342" s="1393">
        <v>25073</v>
      </c>
      <c r="O342" s="3071">
        <v>1427</v>
      </c>
      <c r="P342" s="3071">
        <v>129628</v>
      </c>
      <c r="Q342" s="3071">
        <v>6885</v>
      </c>
      <c r="R342" s="3071">
        <v>5035</v>
      </c>
      <c r="S342" s="3071">
        <v>34664</v>
      </c>
      <c r="T342" s="3071">
        <v>100946</v>
      </c>
      <c r="U342" s="3071">
        <v>38784</v>
      </c>
      <c r="V342" s="3071">
        <v>13222</v>
      </c>
      <c r="W342" s="3071">
        <v>13340</v>
      </c>
      <c r="X342" s="3071">
        <v>16236</v>
      </c>
      <c r="Y342" s="3071">
        <v>3349</v>
      </c>
      <c r="Z342" s="3071">
        <v>9984</v>
      </c>
      <c r="AA342" s="3071">
        <v>33329</v>
      </c>
      <c r="AB342" s="3071">
        <v>200672</v>
      </c>
      <c r="AC342" s="3071">
        <v>62003</v>
      </c>
      <c r="AD342" s="3071">
        <v>24882</v>
      </c>
      <c r="AE342" s="3071">
        <v>6035</v>
      </c>
      <c r="AF342" s="3071">
        <v>24595</v>
      </c>
      <c r="AG342" s="3072">
        <v>32</v>
      </c>
    </row>
    <row r="343" spans="1:33">
      <c r="A343" s="63">
        <f t="shared" si="3"/>
        <v>2021.1</v>
      </c>
      <c r="B343" s="260">
        <v>143012</v>
      </c>
      <c r="C343" s="3034">
        <v>142208</v>
      </c>
      <c r="D343" s="169">
        <v>804</v>
      </c>
      <c r="E343" s="260">
        <v>180376.72</v>
      </c>
      <c r="F343" s="1738">
        <v>496.28199999999998</v>
      </c>
      <c r="G343" s="1397">
        <v>239299</v>
      </c>
      <c r="H343" s="3081">
        <v>519988</v>
      </c>
      <c r="I343" s="1890">
        <f t="shared" si="4"/>
        <v>759287</v>
      </c>
      <c r="J343" s="1398">
        <v>107577.84210526316</v>
      </c>
      <c r="K343" s="3081">
        <v>92956.631578947374</v>
      </c>
      <c r="L343" s="1398">
        <v>91147</v>
      </c>
      <c r="M343" s="1891">
        <v>77359</v>
      </c>
      <c r="N343" s="1393">
        <v>25303</v>
      </c>
      <c r="O343" s="3071">
        <v>1428</v>
      </c>
      <c r="P343" s="3071">
        <v>130013</v>
      </c>
      <c r="Q343" s="3071">
        <v>6885</v>
      </c>
      <c r="R343" s="3071">
        <v>5093</v>
      </c>
      <c r="S343" s="3071">
        <v>35175</v>
      </c>
      <c r="T343" s="3071">
        <v>101434</v>
      </c>
      <c r="U343" s="3071">
        <v>37029</v>
      </c>
      <c r="V343" s="3071">
        <v>13445</v>
      </c>
      <c r="W343" s="3071">
        <v>13333</v>
      </c>
      <c r="X343" s="3071">
        <v>16196</v>
      </c>
      <c r="Y343" s="3071">
        <v>3333</v>
      </c>
      <c r="Z343" s="3071">
        <v>10070</v>
      </c>
      <c r="AA343" s="3071">
        <v>33761</v>
      </c>
      <c r="AB343" s="3071">
        <v>200501</v>
      </c>
      <c r="AC343" s="3071">
        <v>62197</v>
      </c>
      <c r="AD343" s="3071">
        <v>24833</v>
      </c>
      <c r="AE343" s="3071">
        <v>6150</v>
      </c>
      <c r="AF343" s="3071">
        <v>24743</v>
      </c>
      <c r="AG343" s="3072">
        <v>32</v>
      </c>
    </row>
    <row r="344" spans="1:33">
      <c r="A344" s="63">
        <f t="shared" si="3"/>
        <v>2021.11</v>
      </c>
      <c r="B344" s="260">
        <v>139671</v>
      </c>
      <c r="C344" s="3034">
        <v>138865</v>
      </c>
      <c r="D344" s="169">
        <v>806</v>
      </c>
      <c r="E344" s="1292">
        <v>202362.44</v>
      </c>
      <c r="F344" s="1738">
        <v>500.39499999999998</v>
      </c>
      <c r="G344" s="1397">
        <v>242502</v>
      </c>
      <c r="H344" s="3081">
        <v>524400</v>
      </c>
      <c r="I344" s="1890">
        <f t="shared" si="4"/>
        <v>766902</v>
      </c>
      <c r="J344" s="1398">
        <v>112358.52631578948</v>
      </c>
      <c r="K344" s="3081">
        <v>96356.052631578947</v>
      </c>
      <c r="L344" s="1398">
        <v>96845</v>
      </c>
      <c r="M344" s="1891">
        <v>81641</v>
      </c>
      <c r="N344" s="1393">
        <v>26146</v>
      </c>
      <c r="O344" s="3071">
        <v>1426</v>
      </c>
      <c r="P344" s="3071">
        <v>131258</v>
      </c>
      <c r="Q344" s="3071">
        <v>6887</v>
      </c>
      <c r="R344" s="3071">
        <v>5107</v>
      </c>
      <c r="S344" s="3071">
        <v>36043</v>
      </c>
      <c r="T344" s="3071">
        <v>102313</v>
      </c>
      <c r="U344" s="3071">
        <v>38991</v>
      </c>
      <c r="V344" s="3071">
        <v>13527</v>
      </c>
      <c r="W344" s="3071">
        <v>13435</v>
      </c>
      <c r="X344" s="3071">
        <v>16286</v>
      </c>
      <c r="Y344" s="3071">
        <v>3354</v>
      </c>
      <c r="Z344" s="3071">
        <v>10096</v>
      </c>
      <c r="AA344" s="3071">
        <v>34092</v>
      </c>
      <c r="AB344" s="3071">
        <v>201535</v>
      </c>
      <c r="AC344" s="3071">
        <v>62357</v>
      </c>
      <c r="AD344" s="3071">
        <v>24862</v>
      </c>
      <c r="AE344" s="3071">
        <v>6160</v>
      </c>
      <c r="AF344" s="3071">
        <v>24795</v>
      </c>
      <c r="AG344" s="3072">
        <v>33</v>
      </c>
    </row>
    <row r="345" spans="1:33">
      <c r="A345" s="63">
        <f t="shared" si="3"/>
        <v>2021.12</v>
      </c>
      <c r="B345" s="260">
        <v>142984</v>
      </c>
      <c r="C345" s="3034">
        <v>142161</v>
      </c>
      <c r="D345" s="169">
        <v>823</v>
      </c>
      <c r="E345" s="1292">
        <v>233546.59</v>
      </c>
      <c r="F345" s="1738">
        <v>502.834</v>
      </c>
      <c r="G345" s="1397">
        <v>241721</v>
      </c>
      <c r="H345" s="3081">
        <v>525502</v>
      </c>
      <c r="I345" s="1890">
        <f t="shared" si="4"/>
        <v>767223</v>
      </c>
      <c r="J345" s="1398">
        <v>158865.15789473685</v>
      </c>
      <c r="K345" s="3081">
        <v>143287.42105263157</v>
      </c>
      <c r="L345" s="1398">
        <v>139002</v>
      </c>
      <c r="M345" s="1891">
        <v>120608</v>
      </c>
      <c r="N345" s="1393">
        <v>26528</v>
      </c>
      <c r="O345" s="3071">
        <v>1439</v>
      </c>
      <c r="P345" s="3071">
        <v>131682</v>
      </c>
      <c r="Q345" s="3071">
        <v>6900</v>
      </c>
      <c r="R345" s="3071">
        <v>5128</v>
      </c>
      <c r="S345" s="3071">
        <v>35155</v>
      </c>
      <c r="T345" s="3071">
        <v>103452</v>
      </c>
      <c r="U345" s="3071">
        <v>36101</v>
      </c>
      <c r="V345" s="3071">
        <v>13836</v>
      </c>
      <c r="W345" s="3071">
        <v>13506</v>
      </c>
      <c r="X345" s="3071">
        <v>16269</v>
      </c>
      <c r="Y345" s="3071">
        <v>3354</v>
      </c>
      <c r="Z345" s="3071">
        <v>10028</v>
      </c>
      <c r="AA345" s="3071">
        <v>35010</v>
      </c>
      <c r="AB345" s="3071">
        <v>203463</v>
      </c>
      <c r="AC345" s="3071">
        <v>61133</v>
      </c>
      <c r="AD345" s="3071">
        <v>25010</v>
      </c>
      <c r="AE345" s="3071">
        <v>6531</v>
      </c>
      <c r="AF345" s="3071">
        <v>24866</v>
      </c>
      <c r="AG345" s="3072">
        <v>33</v>
      </c>
    </row>
    <row r="346" spans="1:33">
      <c r="A346" s="63">
        <f t="shared" si="3"/>
        <v>2022.01</v>
      </c>
      <c r="B346" s="260">
        <v>142656</v>
      </c>
      <c r="C346" s="3034">
        <v>141822</v>
      </c>
      <c r="D346" s="169">
        <v>834</v>
      </c>
      <c r="E346" s="260">
        <v>22083.21</v>
      </c>
      <c r="F346" s="1738">
        <v>501.44299999999998</v>
      </c>
      <c r="G346" s="1397">
        <v>237267</v>
      </c>
      <c r="H346" s="3081">
        <v>523938</v>
      </c>
      <c r="I346" s="1890">
        <f t="shared" si="4"/>
        <v>761205</v>
      </c>
      <c r="J346" s="1398">
        <v>120021.31578947368</v>
      </c>
      <c r="K346" s="3081">
        <v>108217.26315789473</v>
      </c>
      <c r="L346" s="1398">
        <v>100783</v>
      </c>
      <c r="M346" s="1891">
        <v>88825</v>
      </c>
      <c r="N346" s="1393">
        <v>25588</v>
      </c>
      <c r="O346" s="3071">
        <v>1478</v>
      </c>
      <c r="P346" s="3071">
        <v>132198</v>
      </c>
      <c r="Q346" s="3071">
        <v>6898</v>
      </c>
      <c r="R346" s="3071">
        <v>5169</v>
      </c>
      <c r="S346" s="3071">
        <v>35893</v>
      </c>
      <c r="T346" s="3071">
        <v>102785</v>
      </c>
      <c r="U346" s="3071">
        <v>36082</v>
      </c>
      <c r="V346" s="3071">
        <v>13923</v>
      </c>
      <c r="W346" s="3071">
        <v>13977</v>
      </c>
      <c r="X346" s="3071">
        <v>16269</v>
      </c>
      <c r="Y346" s="3071">
        <v>3281</v>
      </c>
      <c r="Z346" s="3071">
        <v>10185</v>
      </c>
      <c r="AA346" s="3071">
        <v>34928</v>
      </c>
      <c r="AB346" s="3071">
        <v>199468</v>
      </c>
      <c r="AC346" s="3071">
        <v>57288</v>
      </c>
      <c r="AD346" s="3071">
        <v>25124</v>
      </c>
      <c r="AE346" s="3071">
        <v>6317</v>
      </c>
      <c r="AF346" s="3071">
        <v>24506</v>
      </c>
      <c r="AG346" s="3072">
        <v>33</v>
      </c>
    </row>
    <row r="347" spans="1:33">
      <c r="A347" s="63">
        <f t="shared" si="3"/>
        <v>2022.02</v>
      </c>
      <c r="B347" s="260">
        <v>142712</v>
      </c>
      <c r="C347" s="3034">
        <v>141882</v>
      </c>
      <c r="D347" s="169">
        <v>830</v>
      </c>
      <c r="E347" s="260">
        <v>43851.92</v>
      </c>
      <c r="F347" s="1738">
        <v>501.92899999999997</v>
      </c>
      <c r="G347" s="1397">
        <v>227362</v>
      </c>
      <c r="H347" s="3081">
        <v>524993</v>
      </c>
      <c r="I347" s="1890">
        <f t="shared" si="4"/>
        <v>752355</v>
      </c>
      <c r="J347" s="1398">
        <v>123334.21052631579</v>
      </c>
      <c r="K347" s="3081">
        <v>107375.94736842105</v>
      </c>
      <c r="L347" s="1398">
        <v>103640</v>
      </c>
      <c r="M347" s="1891">
        <v>90105</v>
      </c>
      <c r="N347" s="1393">
        <v>25460</v>
      </c>
      <c r="O347" s="3071">
        <v>1474</v>
      </c>
      <c r="P347" s="3071">
        <v>132635</v>
      </c>
      <c r="Q347" s="3071">
        <v>6911</v>
      </c>
      <c r="R347" s="3071">
        <v>5171</v>
      </c>
      <c r="S347" s="3071">
        <v>36126</v>
      </c>
      <c r="T347" s="3071">
        <v>102213</v>
      </c>
      <c r="U347" s="3071">
        <v>36323</v>
      </c>
      <c r="V347" s="3071">
        <v>14116</v>
      </c>
      <c r="W347" s="3071">
        <v>14000</v>
      </c>
      <c r="X347" s="3071">
        <v>16284</v>
      </c>
      <c r="Y347" s="3071">
        <v>3283</v>
      </c>
      <c r="Z347" s="3071">
        <v>10184</v>
      </c>
      <c r="AA347" s="3071">
        <v>34817</v>
      </c>
      <c r="AB347" s="3071">
        <v>189526</v>
      </c>
      <c r="AC347" s="3071">
        <v>57024</v>
      </c>
      <c r="AD347" s="3071">
        <v>25087</v>
      </c>
      <c r="AE347" s="3071">
        <v>6647</v>
      </c>
      <c r="AF347" s="3071">
        <v>24434</v>
      </c>
      <c r="AG347" s="3072">
        <v>32</v>
      </c>
    </row>
    <row r="348" spans="1:33">
      <c r="A348" s="63">
        <f t="shared" si="3"/>
        <v>2022.03</v>
      </c>
      <c r="B348" s="260">
        <v>142574</v>
      </c>
      <c r="C348" s="3034">
        <v>141752</v>
      </c>
      <c r="D348" s="169">
        <v>822</v>
      </c>
      <c r="E348" s="260">
        <v>71198.23</v>
      </c>
      <c r="F348" s="1738">
        <v>506.54599999999999</v>
      </c>
      <c r="G348" s="1397">
        <v>231385</v>
      </c>
      <c r="H348" s="3081">
        <v>532182</v>
      </c>
      <c r="I348" s="1890">
        <f t="shared" si="4"/>
        <v>763567</v>
      </c>
      <c r="J348" s="1398">
        <v>145749.42105263157</v>
      </c>
      <c r="K348" s="3081">
        <v>116847.26315789473</v>
      </c>
      <c r="L348" s="1398">
        <v>126216.5</v>
      </c>
      <c r="M348" s="1891">
        <v>97189</v>
      </c>
      <c r="N348" s="1393">
        <v>26157</v>
      </c>
      <c r="O348" s="3071">
        <v>1466</v>
      </c>
      <c r="P348" s="3071">
        <v>133444</v>
      </c>
      <c r="Q348" s="3071">
        <v>6916</v>
      </c>
      <c r="R348" s="3071">
        <v>5183</v>
      </c>
      <c r="S348" s="3071">
        <v>36464</v>
      </c>
      <c r="T348" s="3071">
        <v>103422</v>
      </c>
      <c r="U348" s="3071">
        <v>36290</v>
      </c>
      <c r="V348" s="3071">
        <v>14454</v>
      </c>
      <c r="W348" s="3071">
        <v>13973</v>
      </c>
      <c r="X348" s="3071">
        <v>16259</v>
      </c>
      <c r="Y348" s="3071">
        <v>3324</v>
      </c>
      <c r="Z348" s="3071">
        <v>10282</v>
      </c>
      <c r="AA348" s="3071">
        <v>35323</v>
      </c>
      <c r="AB348" s="3071">
        <v>193611</v>
      </c>
      <c r="AC348" s="3071">
        <v>60070</v>
      </c>
      <c r="AD348" s="3071">
        <v>25154</v>
      </c>
      <c r="AE348" s="3071">
        <v>6419</v>
      </c>
      <c r="AF348" s="3071">
        <v>24940</v>
      </c>
      <c r="AG348" s="3072">
        <v>32</v>
      </c>
    </row>
    <row r="349" spans="1:33">
      <c r="A349" s="63">
        <f t="shared" si="3"/>
        <v>2022.04</v>
      </c>
      <c r="B349" s="260">
        <v>142426</v>
      </c>
      <c r="C349" s="3034">
        <v>141605</v>
      </c>
      <c r="D349" s="169">
        <v>821</v>
      </c>
      <c r="E349" s="260">
        <v>100430.63</v>
      </c>
      <c r="F349" s="1738">
        <v>508.14699999999999</v>
      </c>
      <c r="G349" s="1397">
        <v>238604</v>
      </c>
      <c r="H349" s="3081">
        <v>533969</v>
      </c>
      <c r="I349" s="1890">
        <f t="shared" si="4"/>
        <v>772573</v>
      </c>
      <c r="J349" s="1398">
        <v>145218.57894736843</v>
      </c>
      <c r="K349" s="3081">
        <v>121532.05263157895</v>
      </c>
      <c r="L349" s="1398">
        <v>125942</v>
      </c>
      <c r="M349" s="1891">
        <v>101572</v>
      </c>
      <c r="N349" s="1393">
        <v>26600</v>
      </c>
      <c r="O349" s="3071">
        <v>1434</v>
      </c>
      <c r="P349" s="3071">
        <v>133550</v>
      </c>
      <c r="Q349" s="3071">
        <v>6935</v>
      </c>
      <c r="R349" s="3071">
        <v>5201</v>
      </c>
      <c r="S349" s="3071">
        <v>36632</v>
      </c>
      <c r="T349" s="3071">
        <v>103565</v>
      </c>
      <c r="U349" s="3071">
        <v>36311</v>
      </c>
      <c r="V349" s="3071">
        <v>14605</v>
      </c>
      <c r="W349" s="3071">
        <v>13921</v>
      </c>
      <c r="X349" s="3071">
        <v>16226</v>
      </c>
      <c r="Y349" s="3071">
        <v>3308</v>
      </c>
      <c r="Z349" s="3071">
        <v>10258</v>
      </c>
      <c r="AA349" s="3071">
        <v>34662</v>
      </c>
      <c r="AB349" s="3071">
        <v>201146</v>
      </c>
      <c r="AC349" s="3071">
        <v>62428</v>
      </c>
      <c r="AD349" s="3071">
        <v>24899</v>
      </c>
      <c r="AE349" s="3071">
        <v>6330</v>
      </c>
      <c r="AF349" s="3071">
        <v>25135</v>
      </c>
      <c r="AG349" s="3072">
        <v>31</v>
      </c>
    </row>
    <row r="350" spans="1:33">
      <c r="A350" s="63">
        <f t="shared" si="3"/>
        <v>2022.05</v>
      </c>
      <c r="B350" s="260">
        <v>142554</v>
      </c>
      <c r="C350" s="3034">
        <v>141733</v>
      </c>
      <c r="D350" s="169">
        <v>821</v>
      </c>
      <c r="E350" s="260">
        <v>131214.42000000001</v>
      </c>
      <c r="F350" s="1738">
        <v>508.91699999999997</v>
      </c>
      <c r="G350" s="1397">
        <v>241666</v>
      </c>
      <c r="H350" s="3081">
        <v>535793</v>
      </c>
      <c r="I350" s="1890">
        <f t="shared" si="4"/>
        <v>777459</v>
      </c>
      <c r="J350" s="1398">
        <v>155877.89473684211</v>
      </c>
      <c r="K350" s="3081">
        <v>127066.36842105263</v>
      </c>
      <c r="L350" s="1398">
        <v>133947</v>
      </c>
      <c r="M350" s="1891">
        <v>109124</v>
      </c>
      <c r="N350" s="1393">
        <v>26564</v>
      </c>
      <c r="O350" s="3071">
        <v>1420</v>
      </c>
      <c r="P350" s="3071">
        <v>133877</v>
      </c>
      <c r="Q350" s="3071">
        <v>6947</v>
      </c>
      <c r="R350" s="3071">
        <v>5229</v>
      </c>
      <c r="S350" s="3071">
        <v>36814</v>
      </c>
      <c r="T350" s="3071">
        <v>103426</v>
      </c>
      <c r="U350" s="3071">
        <v>36119</v>
      </c>
      <c r="V350" s="3071">
        <v>14668</v>
      </c>
      <c r="W350" s="3071">
        <v>13889</v>
      </c>
      <c r="X350" s="3071">
        <v>16226</v>
      </c>
      <c r="Y350" s="3071">
        <v>3326</v>
      </c>
      <c r="Z350" s="3071">
        <v>10365</v>
      </c>
      <c r="AA350" s="3071">
        <v>34034</v>
      </c>
      <c r="AB350" s="3071">
        <v>204066</v>
      </c>
      <c r="AC350" s="3071">
        <v>63633</v>
      </c>
      <c r="AD350" s="3071">
        <v>24824</v>
      </c>
      <c r="AE350" s="3071">
        <v>6379</v>
      </c>
      <c r="AF350" s="3071">
        <v>25324</v>
      </c>
      <c r="AG350" s="3072">
        <v>32</v>
      </c>
    </row>
    <row r="351" spans="1:33">
      <c r="A351" s="63">
        <f t="shared" si="3"/>
        <v>2022.06</v>
      </c>
      <c r="B351" s="260">
        <v>142578</v>
      </c>
      <c r="C351" s="3034">
        <v>141735</v>
      </c>
      <c r="D351" s="169">
        <v>843</v>
      </c>
      <c r="E351" s="260">
        <v>174355.21</v>
      </c>
      <c r="F351" s="1738">
        <v>509.49</v>
      </c>
      <c r="G351" s="1397">
        <v>242547</v>
      </c>
      <c r="H351" s="3081">
        <v>536753</v>
      </c>
      <c r="I351" s="1890">
        <f t="shared" si="4"/>
        <v>779300</v>
      </c>
      <c r="J351" s="1398">
        <v>215056</v>
      </c>
      <c r="K351" s="3081">
        <v>185967</v>
      </c>
      <c r="L351" s="1398">
        <v>188420</v>
      </c>
      <c r="M351" s="1891">
        <v>160332</v>
      </c>
      <c r="N351" s="1393">
        <v>26112</v>
      </c>
      <c r="O351" s="3071">
        <v>1418</v>
      </c>
      <c r="P351" s="3071">
        <v>133986</v>
      </c>
      <c r="Q351" s="3071">
        <v>6942</v>
      </c>
      <c r="R351" s="3071">
        <v>5251</v>
      </c>
      <c r="S351" s="3071">
        <v>36808</v>
      </c>
      <c r="T351" s="3071">
        <v>103660</v>
      </c>
      <c r="U351" s="3071">
        <v>36301</v>
      </c>
      <c r="V351" s="3071">
        <v>14595</v>
      </c>
      <c r="W351" s="3071">
        <v>13569</v>
      </c>
      <c r="X351" s="3071">
        <v>16292</v>
      </c>
      <c r="Y351" s="3071">
        <v>3370</v>
      </c>
      <c r="Z351" s="3071">
        <v>10406</v>
      </c>
      <c r="AA351" s="3071">
        <v>33916</v>
      </c>
      <c r="AB351" s="3071">
        <v>204468</v>
      </c>
      <c r="AC351" s="3071">
        <v>64972</v>
      </c>
      <c r="AD351" s="3071">
        <v>24979</v>
      </c>
      <c r="AE351" s="3071">
        <v>6399</v>
      </c>
      <c r="AF351" s="3071">
        <v>25291</v>
      </c>
      <c r="AG351" s="3072">
        <v>32</v>
      </c>
    </row>
    <row r="352" spans="1:33">
      <c r="A352" s="63">
        <f t="shared" si="3"/>
        <v>2022.07</v>
      </c>
      <c r="B352" s="260">
        <v>142585</v>
      </c>
      <c r="C352" s="3034">
        <v>141734</v>
      </c>
      <c r="D352" s="169">
        <v>851</v>
      </c>
      <c r="E352" s="260">
        <v>205598.86</v>
      </c>
      <c r="F352" s="1738">
        <v>511.17899999999997</v>
      </c>
      <c r="G352" s="1397">
        <v>242211</v>
      </c>
      <c r="H352" s="3081">
        <v>537471</v>
      </c>
      <c r="I352" s="1890">
        <f t="shared" si="4"/>
        <v>779682</v>
      </c>
      <c r="J352" s="1398">
        <v>161520.42105263157</v>
      </c>
      <c r="K352" s="3081">
        <v>138129.05263157896</v>
      </c>
      <c r="L352" s="1398">
        <v>135319</v>
      </c>
      <c r="M352" s="1891">
        <v>116025</v>
      </c>
      <c r="N352" s="1393">
        <v>25709</v>
      </c>
      <c r="O352" s="3071">
        <v>1418</v>
      </c>
      <c r="P352" s="3071">
        <v>134881</v>
      </c>
      <c r="Q352" s="3071">
        <v>6960</v>
      </c>
      <c r="R352" s="3071">
        <v>5251</v>
      </c>
      <c r="S352" s="3071">
        <v>37254</v>
      </c>
      <c r="T352" s="3071">
        <v>104657</v>
      </c>
      <c r="U352" s="3071">
        <v>36254</v>
      </c>
      <c r="V352" s="3071">
        <v>14755</v>
      </c>
      <c r="W352" s="3071">
        <v>14003</v>
      </c>
      <c r="X352" s="3071">
        <v>16336</v>
      </c>
      <c r="Y352" s="3071">
        <v>3384</v>
      </c>
      <c r="Z352" s="3071">
        <v>10389</v>
      </c>
      <c r="AA352" s="3071">
        <v>34031</v>
      </c>
      <c r="AB352" s="3071">
        <v>204502</v>
      </c>
      <c r="AC352" s="3071">
        <v>63132</v>
      </c>
      <c r="AD352" s="3071">
        <v>25195</v>
      </c>
      <c r="AE352" s="3071">
        <v>6631</v>
      </c>
      <c r="AF352" s="3071">
        <v>24933</v>
      </c>
      <c r="AG352" s="3072">
        <v>32</v>
      </c>
    </row>
    <row r="353" spans="1:33">
      <c r="A353" s="63">
        <f t="shared" si="3"/>
        <v>2022.08</v>
      </c>
      <c r="B353" s="260">
        <v>142740</v>
      </c>
      <c r="C353" s="3034">
        <v>141888</v>
      </c>
      <c r="D353" s="169">
        <v>852</v>
      </c>
      <c r="E353" s="260">
        <v>238368.78</v>
      </c>
      <c r="F353" s="1738">
        <v>511.64299999999997</v>
      </c>
      <c r="G353" s="1397">
        <v>241765</v>
      </c>
      <c r="H353" s="3081">
        <v>538638</v>
      </c>
      <c r="I353" s="1890">
        <f t="shared" si="4"/>
        <v>780403</v>
      </c>
      <c r="J353" s="1398">
        <v>168946.42105263157</v>
      </c>
      <c r="K353" s="3081">
        <v>149604.47368421053</v>
      </c>
      <c r="L353" s="1398">
        <v>143998</v>
      </c>
      <c r="M353" s="1891">
        <v>130801</v>
      </c>
      <c r="N353" s="1393">
        <v>25613</v>
      </c>
      <c r="O353" s="3071">
        <v>1428</v>
      </c>
      <c r="P353" s="3071">
        <v>134924</v>
      </c>
      <c r="Q353" s="3071">
        <v>6990</v>
      </c>
      <c r="R353" s="3071">
        <v>5239</v>
      </c>
      <c r="S353" s="3071">
        <v>37788</v>
      </c>
      <c r="T353" s="3071">
        <v>104534</v>
      </c>
      <c r="U353" s="3071">
        <v>36327</v>
      </c>
      <c r="V353" s="3071">
        <v>14746</v>
      </c>
      <c r="W353" s="3071">
        <v>13893</v>
      </c>
      <c r="X353" s="3071">
        <v>16368</v>
      </c>
      <c r="Y353" s="3071">
        <v>3341</v>
      </c>
      <c r="Z353" s="3071">
        <v>10388</v>
      </c>
      <c r="AA353" s="3071">
        <v>33882</v>
      </c>
      <c r="AB353" s="3071">
        <v>203900</v>
      </c>
      <c r="AC353" s="3071">
        <v>63536</v>
      </c>
      <c r="AD353" s="3071">
        <v>25217</v>
      </c>
      <c r="AE353" s="3071">
        <v>6419</v>
      </c>
      <c r="AF353" s="3071">
        <v>25169</v>
      </c>
      <c r="AG353" s="3072">
        <v>34</v>
      </c>
    </row>
    <row r="354" spans="1:33">
      <c r="A354" s="63">
        <f t="shared" si="3"/>
        <v>2022.09</v>
      </c>
      <c r="B354" s="260">
        <v>142729</v>
      </c>
      <c r="C354" s="3034">
        <v>141868</v>
      </c>
      <c r="D354" s="169">
        <v>861</v>
      </c>
      <c r="E354" s="260">
        <v>274453.73</v>
      </c>
      <c r="F354" s="1738">
        <v>513.553</v>
      </c>
      <c r="G354" s="1397">
        <v>240753</v>
      </c>
      <c r="H354" s="3081">
        <v>541312</v>
      </c>
      <c r="I354" s="1890">
        <f t="shared" si="4"/>
        <v>782065</v>
      </c>
      <c r="J354" s="1398">
        <v>171120.05263157896</v>
      </c>
      <c r="K354" s="3081">
        <v>159116.47368421053</v>
      </c>
      <c r="L354" s="1398">
        <v>141390</v>
      </c>
      <c r="M354" s="1891">
        <v>139756</v>
      </c>
      <c r="N354" s="1393">
        <v>25395</v>
      </c>
      <c r="O354" s="3071">
        <v>1428</v>
      </c>
      <c r="P354" s="3071">
        <v>135716</v>
      </c>
      <c r="Q354" s="3071">
        <v>6997</v>
      </c>
      <c r="R354" s="3071">
        <v>5284</v>
      </c>
      <c r="S354" s="3071">
        <v>37719</v>
      </c>
      <c r="T354" s="3071">
        <v>104762</v>
      </c>
      <c r="U354" s="3071">
        <v>36258</v>
      </c>
      <c r="V354" s="3071">
        <v>15013</v>
      </c>
      <c r="W354" s="3071">
        <v>13859</v>
      </c>
      <c r="X354" s="3071">
        <v>16457</v>
      </c>
      <c r="Y354" s="3071">
        <v>3435</v>
      </c>
      <c r="Z354" s="3071">
        <v>10532</v>
      </c>
      <c r="AA354" s="3071">
        <v>33945</v>
      </c>
      <c r="AB354" s="3071">
        <v>202837</v>
      </c>
      <c r="AC354" s="3071">
        <v>64513</v>
      </c>
      <c r="AD354" s="3071">
        <v>25235</v>
      </c>
      <c r="AE354" s="3071">
        <v>6536</v>
      </c>
      <c r="AF354" s="3071">
        <v>25213</v>
      </c>
      <c r="AG354" s="3072">
        <v>34</v>
      </c>
    </row>
    <row r="355" spans="1:33">
      <c r="A355" s="63">
        <f t="shared" si="3"/>
        <v>2022.1</v>
      </c>
      <c r="B355" s="260">
        <v>143031</v>
      </c>
      <c r="C355" s="3034">
        <v>142170</v>
      </c>
      <c r="D355" s="169">
        <v>861</v>
      </c>
      <c r="E355" s="260">
        <v>316675.12</v>
      </c>
      <c r="F355" s="1738">
        <v>516.35599999999999</v>
      </c>
      <c r="G355" s="1397">
        <v>242300</v>
      </c>
      <c r="H355" s="3081">
        <v>543651</v>
      </c>
      <c r="I355" s="1890">
        <f t="shared" si="4"/>
        <v>785951</v>
      </c>
      <c r="J355" s="1398">
        <v>220896.15789473685</v>
      </c>
      <c r="K355" s="3081">
        <v>167230.73684210525</v>
      </c>
      <c r="L355" s="1398">
        <v>191297</v>
      </c>
      <c r="M355" s="1891">
        <v>142997</v>
      </c>
      <c r="N355" s="1393">
        <v>25473</v>
      </c>
      <c r="O355" s="3071">
        <v>1424</v>
      </c>
      <c r="P355" s="3071">
        <v>135993</v>
      </c>
      <c r="Q355" s="3071">
        <v>7033</v>
      </c>
      <c r="R355" s="3071">
        <v>5305</v>
      </c>
      <c r="S355" s="3071">
        <v>37638</v>
      </c>
      <c r="T355" s="3071">
        <v>105298</v>
      </c>
      <c r="U355" s="3071">
        <v>35534</v>
      </c>
      <c r="V355" s="3071">
        <v>15225</v>
      </c>
      <c r="W355" s="3071">
        <v>13756</v>
      </c>
      <c r="X355" s="3071">
        <v>16348</v>
      </c>
      <c r="Y355" s="3071">
        <v>3445</v>
      </c>
      <c r="Z355" s="3071">
        <v>10594</v>
      </c>
      <c r="AA355" s="3071">
        <v>34206</v>
      </c>
      <c r="AB355" s="3071">
        <v>204262</v>
      </c>
      <c r="AC355" s="3071">
        <v>65534</v>
      </c>
      <c r="AD355" s="3071">
        <v>25378</v>
      </c>
      <c r="AE355" s="3071">
        <v>6591</v>
      </c>
      <c r="AF355" s="3071">
        <v>25479</v>
      </c>
      <c r="AG355" s="3072">
        <v>34</v>
      </c>
    </row>
    <row r="356" spans="1:33">
      <c r="A356" s="63">
        <f t="shared" si="3"/>
        <v>2022.11</v>
      </c>
      <c r="B356" s="260">
        <v>143108</v>
      </c>
      <c r="C356" s="3034">
        <v>142272</v>
      </c>
      <c r="D356" s="169">
        <v>836</v>
      </c>
      <c r="E356" s="260">
        <v>359351.52</v>
      </c>
      <c r="F356" s="1738">
        <v>519.77300000000002</v>
      </c>
      <c r="G356" s="1397">
        <v>245578</v>
      </c>
      <c r="H356" s="3081">
        <v>547508</v>
      </c>
      <c r="I356" s="1890">
        <f t="shared" si="4"/>
        <v>793086</v>
      </c>
      <c r="J356" s="1398">
        <v>215467.10526315789</v>
      </c>
      <c r="K356" s="3081">
        <v>179317.21052631579</v>
      </c>
      <c r="L356" s="1398">
        <v>181947</v>
      </c>
      <c r="M356" s="1891">
        <v>152282</v>
      </c>
      <c r="N356" s="1393">
        <v>25973</v>
      </c>
      <c r="O356" s="3071">
        <v>1423</v>
      </c>
      <c r="P356" s="3071">
        <v>136577</v>
      </c>
      <c r="Q356" s="3071">
        <v>7040</v>
      </c>
      <c r="R356" s="3071">
        <v>5335</v>
      </c>
      <c r="S356" s="3071">
        <v>37756</v>
      </c>
      <c r="T356" s="3071">
        <v>106271</v>
      </c>
      <c r="U356" s="3071">
        <v>35498</v>
      </c>
      <c r="V356" s="3071">
        <v>15529</v>
      </c>
      <c r="W356" s="3071">
        <v>13822</v>
      </c>
      <c r="X356" s="3071">
        <v>16410</v>
      </c>
      <c r="Y356" s="3071">
        <v>3445</v>
      </c>
      <c r="Z356" s="3071">
        <v>10633</v>
      </c>
      <c r="AA356" s="3071">
        <v>35015</v>
      </c>
      <c r="AB356" s="3071">
        <v>207683</v>
      </c>
      <c r="AC356" s="3071">
        <v>65579</v>
      </c>
      <c r="AD356" s="3071">
        <v>25483</v>
      </c>
      <c r="AE356" s="3071">
        <v>6697</v>
      </c>
      <c r="AF356" s="3071">
        <v>25487</v>
      </c>
      <c r="AG356" s="3072">
        <v>42</v>
      </c>
    </row>
    <row r="357" spans="1:33">
      <c r="A357" s="63">
        <f t="shared" si="3"/>
        <v>2022.12</v>
      </c>
      <c r="B357" s="260">
        <v>143721</v>
      </c>
      <c r="C357" s="3034">
        <v>142884</v>
      </c>
      <c r="D357" s="169">
        <v>837</v>
      </c>
      <c r="E357" s="260">
        <v>424877.38</v>
      </c>
      <c r="F357" s="1738">
        <v>519.65800000000002</v>
      </c>
      <c r="G357" s="1397">
        <v>243939</v>
      </c>
      <c r="H357" s="3081">
        <v>545533</v>
      </c>
      <c r="I357" s="1890">
        <f t="shared" si="4"/>
        <v>789472</v>
      </c>
      <c r="J357" s="1398">
        <v>326346.15789473685</v>
      </c>
      <c r="K357" s="3081">
        <v>284061.73684210528</v>
      </c>
      <c r="L357" s="1398">
        <v>285655</v>
      </c>
      <c r="M357" s="1891">
        <v>244788</v>
      </c>
      <c r="N357" s="1393">
        <v>26327</v>
      </c>
      <c r="O357" s="3071">
        <v>1431</v>
      </c>
      <c r="P357" s="3071">
        <v>136400</v>
      </c>
      <c r="Q357" s="3071">
        <v>7042</v>
      </c>
      <c r="R357" s="3071">
        <v>5334</v>
      </c>
      <c r="S357" s="3071">
        <v>36897</v>
      </c>
      <c r="T357" s="3071">
        <v>107127</v>
      </c>
      <c r="U357" s="3071">
        <v>36277</v>
      </c>
      <c r="V357" s="3071">
        <v>15794</v>
      </c>
      <c r="W357" s="3071">
        <v>13575</v>
      </c>
      <c r="X357" s="3071">
        <v>16341</v>
      </c>
      <c r="Y357" s="3071">
        <v>3453</v>
      </c>
      <c r="Z357" s="3071">
        <v>10480</v>
      </c>
      <c r="AA357" s="3071">
        <v>34802</v>
      </c>
      <c r="AB357" s="3071">
        <v>205682</v>
      </c>
      <c r="AC357" s="3071">
        <v>63334</v>
      </c>
      <c r="AD357" s="3071">
        <v>25492</v>
      </c>
      <c r="AE357" s="3071">
        <v>6688</v>
      </c>
      <c r="AF357" s="3071">
        <v>25448</v>
      </c>
      <c r="AG357" s="3072">
        <v>35</v>
      </c>
    </row>
    <row r="358" spans="1:33">
      <c r="A358" s="63">
        <f t="shared" si="3"/>
        <v>2023.01</v>
      </c>
      <c r="B358" s="260">
        <v>143349</v>
      </c>
      <c r="C358" s="3034">
        <v>142513</v>
      </c>
      <c r="D358" s="169">
        <v>836</v>
      </c>
      <c r="E358" s="260">
        <v>52726.9</v>
      </c>
      <c r="F358" s="1738">
        <v>517.31700000000001</v>
      </c>
      <c r="G358" s="1397">
        <v>235414</v>
      </c>
      <c r="H358" s="3081">
        <v>542874</v>
      </c>
      <c r="I358" s="1890">
        <f t="shared" si="4"/>
        <v>778288</v>
      </c>
      <c r="J358" s="1398">
        <v>257562.63157894736</v>
      </c>
      <c r="K358" s="3081">
        <v>212213.73684210525</v>
      </c>
      <c r="L358" s="1398">
        <v>216045</v>
      </c>
      <c r="M358" s="1891">
        <v>171556</v>
      </c>
      <c r="N358" s="1393">
        <v>25588</v>
      </c>
      <c r="O358" s="3071">
        <v>1457</v>
      </c>
      <c r="P358" s="3071">
        <v>137579</v>
      </c>
      <c r="Q358" s="3071">
        <v>7096</v>
      </c>
      <c r="R358" s="3071">
        <v>5352</v>
      </c>
      <c r="S358" s="3071">
        <v>37722</v>
      </c>
      <c r="T358" s="3071">
        <v>106585</v>
      </c>
      <c r="U358" s="3071">
        <v>37351</v>
      </c>
      <c r="V358" s="3071">
        <v>16222</v>
      </c>
      <c r="W358" s="3071">
        <v>13787</v>
      </c>
      <c r="X358" s="3071">
        <v>16345</v>
      </c>
      <c r="Y358" s="3071">
        <v>3271</v>
      </c>
      <c r="Z358" s="3071">
        <v>10558</v>
      </c>
      <c r="AA358" s="3071">
        <v>35270</v>
      </c>
      <c r="AB358" s="3071">
        <v>197364</v>
      </c>
      <c r="AC358" s="3071">
        <v>59151</v>
      </c>
      <c r="AD358" s="3071">
        <v>25331</v>
      </c>
      <c r="AE358" s="3071">
        <v>6649</v>
      </c>
      <c r="AF358" s="3071">
        <v>24872</v>
      </c>
      <c r="AG358" s="3072">
        <v>38</v>
      </c>
    </row>
    <row r="359" spans="1:33">
      <c r="A359" s="63">
        <f t="shared" si="3"/>
        <v>2023.02</v>
      </c>
      <c r="B359" s="260">
        <v>145142</v>
      </c>
      <c r="C359" s="3034">
        <v>144309</v>
      </c>
      <c r="D359" s="169">
        <v>833</v>
      </c>
      <c r="E359" s="260">
        <v>102139.8</v>
      </c>
      <c r="F359" s="1738">
        <v>517.47</v>
      </c>
      <c r="G359" s="1397">
        <v>243855</v>
      </c>
      <c r="H359" s="3081">
        <v>541973</v>
      </c>
      <c r="I359" s="1890">
        <f t="shared" si="4"/>
        <v>785828</v>
      </c>
      <c r="J359" s="1398">
        <v>259784.26315789475</v>
      </c>
      <c r="K359" s="3081">
        <v>217794.94736842104</v>
      </c>
      <c r="L359" s="1398">
        <v>219169</v>
      </c>
      <c r="M359" s="1891">
        <v>175384</v>
      </c>
      <c r="N359" s="1393">
        <v>25409</v>
      </c>
      <c r="O359" s="3071">
        <v>1449</v>
      </c>
      <c r="P359" s="3071">
        <v>137401</v>
      </c>
      <c r="Q359" s="3071">
        <v>7078</v>
      </c>
      <c r="R359" s="3071">
        <v>5363</v>
      </c>
      <c r="S359" s="3071">
        <v>37812</v>
      </c>
      <c r="T359" s="3071">
        <v>106553</v>
      </c>
      <c r="U359" s="3071">
        <v>36879</v>
      </c>
      <c r="V359" s="3071">
        <v>16245</v>
      </c>
      <c r="W359" s="3071">
        <v>13927</v>
      </c>
      <c r="X359" s="3071">
        <v>16406</v>
      </c>
      <c r="Y359" s="3071">
        <v>3283</v>
      </c>
      <c r="Z359" s="3071">
        <v>10627</v>
      </c>
      <c r="AA359" s="3071">
        <v>34994</v>
      </c>
      <c r="AB359" s="3071">
        <v>206205</v>
      </c>
      <c r="AC359" s="3071">
        <v>58648</v>
      </c>
      <c r="AD359" s="3071">
        <v>25324</v>
      </c>
      <c r="AE359" s="3071">
        <v>7085</v>
      </c>
      <c r="AF359" s="3071">
        <v>24916</v>
      </c>
      <c r="AG359" s="3072">
        <v>38</v>
      </c>
    </row>
    <row r="360" spans="1:33">
      <c r="A360" s="63">
        <f t="shared" si="3"/>
        <v>2023.03</v>
      </c>
      <c r="B360" s="260">
        <v>145014</v>
      </c>
      <c r="C360" s="3034">
        <v>144181</v>
      </c>
      <c r="D360" s="169">
        <v>833</v>
      </c>
      <c r="E360" s="260">
        <v>163877.17000000001</v>
      </c>
      <c r="F360" s="1738">
        <v>522.25099999999998</v>
      </c>
      <c r="G360" s="1397">
        <v>236372</v>
      </c>
      <c r="H360" s="3081">
        <v>548547</v>
      </c>
      <c r="I360" s="1890">
        <f t="shared" si="4"/>
        <v>784919</v>
      </c>
      <c r="J360" s="1398">
        <v>308482.89473684208</v>
      </c>
      <c r="K360" s="3081">
        <v>237177.15789473685</v>
      </c>
      <c r="L360" s="3081">
        <v>261704</v>
      </c>
      <c r="M360" s="1891">
        <v>193413</v>
      </c>
      <c r="N360" s="1393">
        <v>25843</v>
      </c>
      <c r="O360" s="1393">
        <v>1435</v>
      </c>
      <c r="P360" s="1393">
        <v>138423</v>
      </c>
      <c r="Q360" s="1393">
        <v>7147</v>
      </c>
      <c r="R360" s="1393">
        <v>5360</v>
      </c>
      <c r="S360" s="1393">
        <v>38935</v>
      </c>
      <c r="T360" s="1393">
        <v>107084</v>
      </c>
      <c r="U360" s="1393">
        <v>36923</v>
      </c>
      <c r="V360" s="1393">
        <v>16560</v>
      </c>
      <c r="W360" s="1393">
        <v>14007</v>
      </c>
      <c r="X360" s="1393">
        <v>16458</v>
      </c>
      <c r="Y360" s="1393">
        <v>3297</v>
      </c>
      <c r="Z360" s="1393">
        <v>10808</v>
      </c>
      <c r="AA360" s="1393">
        <v>35570</v>
      </c>
      <c r="AB360" s="1393">
        <v>198494</v>
      </c>
      <c r="AC360" s="1393">
        <v>61814</v>
      </c>
      <c r="AD360" s="1393">
        <v>25353</v>
      </c>
      <c r="AE360" s="1393">
        <v>7101</v>
      </c>
      <c r="AF360" s="1393">
        <v>25169</v>
      </c>
      <c r="AG360" s="3072">
        <v>38</v>
      </c>
    </row>
    <row r="361" spans="1:33">
      <c r="A361" s="63">
        <f t="shared" si="3"/>
        <v>2023.04</v>
      </c>
      <c r="B361" s="260">
        <v>145261</v>
      </c>
      <c r="C361" s="3034">
        <v>144447</v>
      </c>
      <c r="D361" s="169">
        <v>814</v>
      </c>
      <c r="E361" s="260">
        <v>227648.85</v>
      </c>
      <c r="F361" s="1738">
        <v>521.447</v>
      </c>
      <c r="G361" s="1399">
        <v>243398</v>
      </c>
      <c r="H361" s="3082">
        <v>549559</v>
      </c>
      <c r="I361" s="1890">
        <f t="shared" si="4"/>
        <v>792957</v>
      </c>
      <c r="J361" s="1400">
        <v>313326.42105263157</v>
      </c>
      <c r="K361" s="3082">
        <v>248731.21049999999</v>
      </c>
      <c r="L361" s="3082">
        <v>262035</v>
      </c>
      <c r="M361" s="1892">
        <v>213861</v>
      </c>
      <c r="N361" s="1393">
        <v>26184</v>
      </c>
      <c r="O361" s="1393">
        <v>1417</v>
      </c>
      <c r="P361" s="1393">
        <v>137619</v>
      </c>
      <c r="Q361" s="1393">
        <v>7123</v>
      </c>
      <c r="R361" s="1393">
        <v>5336</v>
      </c>
      <c r="S361" s="1393">
        <v>38638</v>
      </c>
      <c r="T361" s="1393">
        <v>107288</v>
      </c>
      <c r="U361" s="1393">
        <v>37619</v>
      </c>
      <c r="V361" s="1393">
        <v>16151</v>
      </c>
      <c r="W361" s="1393">
        <v>13991</v>
      </c>
      <c r="X361" s="1393">
        <v>16427</v>
      </c>
      <c r="Y361" s="1393">
        <v>3306</v>
      </c>
      <c r="Z361" s="1393">
        <v>10768</v>
      </c>
      <c r="AA361" s="1393">
        <v>34777</v>
      </c>
      <c r="AB361" s="1393">
        <v>205731</v>
      </c>
      <c r="AC361" s="1393">
        <v>64195</v>
      </c>
      <c r="AD361" s="1393">
        <v>25273</v>
      </c>
      <c r="AE361" s="1393">
        <v>6713</v>
      </c>
      <c r="AF361" s="1393">
        <v>25280</v>
      </c>
      <c r="AG361" s="3072">
        <v>38</v>
      </c>
    </row>
    <row r="362" spans="1:33">
      <c r="A362" s="63">
        <f t="shared" si="3"/>
        <v>2023.05</v>
      </c>
      <c r="B362" s="260">
        <v>145404</v>
      </c>
      <c r="C362" s="3034">
        <v>144590</v>
      </c>
      <c r="D362" s="169">
        <v>814</v>
      </c>
      <c r="E362" s="260">
        <v>296066.23</v>
      </c>
      <c r="F362" s="1738">
        <v>522.47199999999998</v>
      </c>
      <c r="G362" s="1399">
        <v>247109</v>
      </c>
      <c r="H362" s="3082">
        <v>550099</v>
      </c>
      <c r="I362" s="1890">
        <f t="shared" si="4"/>
        <v>797208</v>
      </c>
      <c r="J362" s="1400">
        <v>335312.8947</v>
      </c>
      <c r="K362" s="3082">
        <v>264954.26319999999</v>
      </c>
      <c r="L362" s="3082">
        <v>284707</v>
      </c>
      <c r="M362" s="1892">
        <v>230349</v>
      </c>
      <c r="N362" s="1393">
        <v>26112</v>
      </c>
      <c r="O362" s="1393">
        <v>1408</v>
      </c>
      <c r="P362" s="1393">
        <v>137474</v>
      </c>
      <c r="Q362" s="1393">
        <v>7121</v>
      </c>
      <c r="R362" s="1393">
        <v>5337</v>
      </c>
      <c r="S362" s="1393">
        <v>38622</v>
      </c>
      <c r="T362" s="1393">
        <v>107461</v>
      </c>
      <c r="U362" s="1393">
        <v>36664</v>
      </c>
      <c r="V362" s="1393">
        <v>16109</v>
      </c>
      <c r="W362" s="1393">
        <v>14049</v>
      </c>
      <c r="X362" s="1393">
        <v>16399</v>
      </c>
      <c r="Y362" s="1393">
        <v>3339</v>
      </c>
      <c r="Z362" s="1393">
        <v>10864</v>
      </c>
      <c r="AA362" s="1393">
        <v>35087</v>
      </c>
      <c r="AB362" s="1393">
        <v>209518</v>
      </c>
      <c r="AC362" s="1393">
        <v>65645</v>
      </c>
      <c r="AD362" s="1393">
        <v>25240</v>
      </c>
      <c r="AE362" s="1393">
        <v>6798</v>
      </c>
      <c r="AF362" s="1393">
        <v>25416</v>
      </c>
      <c r="AG362" s="3072">
        <v>38</v>
      </c>
    </row>
    <row r="363" spans="1:33">
      <c r="A363" s="63">
        <f t="shared" si="3"/>
        <v>2023.06</v>
      </c>
      <c r="B363" s="260">
        <v>145832</v>
      </c>
      <c r="C363" s="3034">
        <v>144996</v>
      </c>
      <c r="D363" s="169">
        <v>836</v>
      </c>
      <c r="E363" s="260">
        <v>397577.19</v>
      </c>
      <c r="F363" s="1738">
        <v>520.99300000000005</v>
      </c>
      <c r="G363" s="1399">
        <v>246514</v>
      </c>
      <c r="H363" s="3082">
        <v>549362</v>
      </c>
      <c r="I363" s="1890">
        <f t="shared" si="4"/>
        <v>795876</v>
      </c>
      <c r="J363" s="1400">
        <v>485787.26319999999</v>
      </c>
      <c r="K363" s="3082">
        <v>401866.36839999998</v>
      </c>
      <c r="L363" s="3082">
        <v>425490</v>
      </c>
      <c r="M363" s="1892">
        <v>345112</v>
      </c>
      <c r="N363" s="1393">
        <v>25776</v>
      </c>
      <c r="O363" s="1393">
        <v>1415</v>
      </c>
      <c r="P363" s="1393">
        <v>137450</v>
      </c>
      <c r="Q363" s="1393">
        <v>7066</v>
      </c>
      <c r="R363" s="1393">
        <v>5356</v>
      </c>
      <c r="S363" s="1393">
        <v>37582</v>
      </c>
      <c r="T363" s="1393">
        <v>107342</v>
      </c>
      <c r="U363" s="1393">
        <v>36667</v>
      </c>
      <c r="V363" s="1393">
        <v>16052</v>
      </c>
      <c r="W363" s="1393">
        <v>14110</v>
      </c>
      <c r="X363" s="1393">
        <v>16328</v>
      </c>
      <c r="Y363" s="1393">
        <v>3340</v>
      </c>
      <c r="Z363" s="1393">
        <v>10685</v>
      </c>
      <c r="AA363" s="1393">
        <v>34580</v>
      </c>
      <c r="AB363" s="1393">
        <v>208290</v>
      </c>
      <c r="AC363" s="1393">
        <v>66668</v>
      </c>
      <c r="AD363" s="1393">
        <v>25282</v>
      </c>
      <c r="AE363" s="1393">
        <v>6675</v>
      </c>
      <c r="AF363" s="1393">
        <v>25539</v>
      </c>
      <c r="AG363" s="3072">
        <v>37</v>
      </c>
    </row>
    <row r="364" spans="1:33">
      <c r="A364" s="63">
        <f t="shared" si="3"/>
        <v>2023.07</v>
      </c>
      <c r="B364" s="260">
        <v>150459</v>
      </c>
      <c r="C364" s="3034">
        <v>149647</v>
      </c>
      <c r="D364" s="169">
        <v>812</v>
      </c>
      <c r="E364" s="260">
        <v>481049.67</v>
      </c>
      <c r="F364" s="1738">
        <v>520.92899999999997</v>
      </c>
      <c r="G364" s="1399">
        <v>249322</v>
      </c>
      <c r="H364" s="3082">
        <v>548660</v>
      </c>
      <c r="I364" s="1890">
        <f t="shared" si="4"/>
        <v>797982</v>
      </c>
      <c r="J364" s="1400">
        <v>388135.26319999999</v>
      </c>
      <c r="K364" s="3082">
        <v>305570.52630000003</v>
      </c>
      <c r="L364" s="3082">
        <v>329471</v>
      </c>
      <c r="M364" s="1892">
        <v>308408</v>
      </c>
      <c r="N364" s="1393">
        <v>25723</v>
      </c>
      <c r="O364" s="1393">
        <v>1428</v>
      </c>
      <c r="P364" s="1393">
        <v>137978</v>
      </c>
      <c r="Q364" s="1393">
        <v>7109</v>
      </c>
      <c r="R364" s="1393">
        <v>5326</v>
      </c>
      <c r="S364" s="1393">
        <v>37317</v>
      </c>
      <c r="T364" s="1393">
        <v>107639</v>
      </c>
      <c r="U364" s="1393">
        <v>39063</v>
      </c>
      <c r="V364" s="1393">
        <v>16180</v>
      </c>
      <c r="W364" s="1393">
        <v>14131</v>
      </c>
      <c r="X364" s="1393">
        <v>16395</v>
      </c>
      <c r="Y364" s="1393">
        <v>3340</v>
      </c>
      <c r="Z364" s="1393">
        <v>10559</v>
      </c>
      <c r="AA364" s="1393">
        <v>34653</v>
      </c>
      <c r="AB364" s="1393">
        <v>208618</v>
      </c>
      <c r="AC364" s="1393">
        <v>65254</v>
      </c>
      <c r="AD364" s="1393">
        <v>25397</v>
      </c>
      <c r="AE364" s="1393">
        <v>6659</v>
      </c>
      <c r="AF364" s="1393">
        <v>25321</v>
      </c>
      <c r="AG364" s="3072">
        <v>37</v>
      </c>
    </row>
    <row r="365" spans="1:33">
      <c r="A365" s="63">
        <f t="shared" si="3"/>
        <v>2023.08</v>
      </c>
      <c r="B365" s="260">
        <v>151548</v>
      </c>
      <c r="C365" s="3034">
        <v>150736</v>
      </c>
      <c r="D365" s="169">
        <v>812</v>
      </c>
      <c r="E365" s="260">
        <v>574955.15</v>
      </c>
      <c r="F365" s="1738">
        <v>522.61599999999999</v>
      </c>
      <c r="G365" s="1399">
        <v>250619</v>
      </c>
      <c r="H365" s="3082">
        <v>550757</v>
      </c>
      <c r="I365" s="1890">
        <f t="shared" si="4"/>
        <v>801376</v>
      </c>
      <c r="J365" s="1400">
        <v>431247.78950000001</v>
      </c>
      <c r="K365" s="3082">
        <v>351825.47369999997</v>
      </c>
      <c r="L365" s="3082">
        <v>370263</v>
      </c>
      <c r="M365" s="1892">
        <v>310619</v>
      </c>
      <c r="N365" s="1393">
        <v>25578</v>
      </c>
      <c r="O365" s="1393">
        <v>1424</v>
      </c>
      <c r="P365" s="1393">
        <v>138114</v>
      </c>
      <c r="Q365" s="1393">
        <v>7135</v>
      </c>
      <c r="R365" s="1393">
        <v>5306</v>
      </c>
      <c r="S365" s="1393">
        <v>37914</v>
      </c>
      <c r="T365" s="1393">
        <v>108225</v>
      </c>
      <c r="U365" s="1393">
        <v>39153</v>
      </c>
      <c r="V365" s="1393">
        <v>16179</v>
      </c>
      <c r="W365" s="1393">
        <v>14113</v>
      </c>
      <c r="X365" s="1393">
        <v>16386</v>
      </c>
      <c r="Y365" s="1393">
        <v>3348</v>
      </c>
      <c r="Z365" s="1393">
        <v>10528</v>
      </c>
      <c r="AA365" s="1393">
        <v>34671</v>
      </c>
      <c r="AB365" s="1393">
        <v>209896</v>
      </c>
      <c r="AC365" s="1393">
        <v>66463</v>
      </c>
      <c r="AD365" s="1393">
        <v>25411</v>
      </c>
      <c r="AE365" s="1393">
        <v>6683</v>
      </c>
      <c r="AF365" s="1393">
        <v>25605</v>
      </c>
      <c r="AG365" s="3072">
        <v>37</v>
      </c>
    </row>
    <row r="366" spans="1:33">
      <c r="A366" s="63">
        <f t="shared" si="3"/>
        <v>2023.09</v>
      </c>
      <c r="B366" s="260">
        <v>154799</v>
      </c>
      <c r="C366" s="3034">
        <v>154012</v>
      </c>
      <c r="D366" s="169">
        <v>787</v>
      </c>
      <c r="E366" s="260">
        <v>676120.62</v>
      </c>
      <c r="F366" s="1738">
        <v>522.80100000000004</v>
      </c>
      <c r="G366" s="1399">
        <v>255289</v>
      </c>
      <c r="H366" s="3082">
        <v>550960</v>
      </c>
      <c r="I366" s="1890">
        <f t="shared" si="4"/>
        <v>806249</v>
      </c>
      <c r="J366" s="1400">
        <v>460625.68420000002</v>
      </c>
      <c r="K366" s="3082">
        <v>385071.57890000002</v>
      </c>
      <c r="L366" s="3082">
        <v>386857</v>
      </c>
      <c r="M366" s="1892">
        <v>336653</v>
      </c>
      <c r="N366" s="1393">
        <v>25476</v>
      </c>
      <c r="O366" s="1393">
        <v>1416</v>
      </c>
      <c r="P366" s="1393">
        <v>138195</v>
      </c>
      <c r="Q366" s="1393">
        <v>7148</v>
      </c>
      <c r="R366" s="1393">
        <v>5295</v>
      </c>
      <c r="S366" s="1393">
        <v>37724</v>
      </c>
      <c r="T366" s="1393">
        <v>108322</v>
      </c>
      <c r="U366" s="1393">
        <v>38887</v>
      </c>
      <c r="V366" s="1393">
        <v>16098</v>
      </c>
      <c r="W366" s="1393">
        <v>14169</v>
      </c>
      <c r="X366" s="1393">
        <v>16340</v>
      </c>
      <c r="Y366" s="1393">
        <v>3362</v>
      </c>
      <c r="Z366" s="1393">
        <v>10608</v>
      </c>
      <c r="AA366" s="1393">
        <v>34682</v>
      </c>
      <c r="AB366" s="1393">
        <v>214400</v>
      </c>
      <c r="AC366" s="1393">
        <v>67301</v>
      </c>
      <c r="AD366" s="1393">
        <v>25418</v>
      </c>
      <c r="AE366" s="1393">
        <v>6789</v>
      </c>
      <c r="AF366" s="1393">
        <v>25618</v>
      </c>
      <c r="AG366" s="3072">
        <v>37</v>
      </c>
    </row>
    <row r="367" spans="1:33">
      <c r="A367" s="63">
        <f t="shared" si="3"/>
        <v>2023.1</v>
      </c>
      <c r="B367" s="260">
        <v>155476</v>
      </c>
      <c r="C367" s="3034">
        <v>154691</v>
      </c>
      <c r="D367" s="169">
        <v>785</v>
      </c>
      <c r="E367" s="260">
        <v>782599.5</v>
      </c>
      <c r="F367" s="1738">
        <v>523.38800000000003</v>
      </c>
      <c r="G367" s="1399">
        <v>257872</v>
      </c>
      <c r="H367" s="3082">
        <v>551630</v>
      </c>
      <c r="I367" s="1890">
        <f t="shared" si="4"/>
        <v>809502</v>
      </c>
      <c r="J367" s="1400">
        <v>490975.15789999999</v>
      </c>
      <c r="K367" s="3082">
        <v>415903.42109999998</v>
      </c>
      <c r="L367" s="3082">
        <v>410638</v>
      </c>
      <c r="M367" s="1892">
        <v>355054</v>
      </c>
      <c r="N367" s="1393">
        <v>25534</v>
      </c>
      <c r="O367" s="1393">
        <v>1423</v>
      </c>
      <c r="P367" s="1393">
        <v>138424</v>
      </c>
      <c r="Q367" s="1393">
        <v>7175</v>
      </c>
      <c r="R367" s="1393">
        <v>5447</v>
      </c>
      <c r="S367" s="1393">
        <v>37394</v>
      </c>
      <c r="T367" s="1393">
        <v>108296</v>
      </c>
      <c r="U367" s="1393">
        <v>38890</v>
      </c>
      <c r="V367" s="1393">
        <v>16254</v>
      </c>
      <c r="W367" s="1393">
        <v>14151</v>
      </c>
      <c r="X367" s="1393">
        <v>16343</v>
      </c>
      <c r="Y367" s="1393">
        <v>3383</v>
      </c>
      <c r="Z367" s="1393">
        <v>10535</v>
      </c>
      <c r="AA367" s="1393">
        <v>34464</v>
      </c>
      <c r="AB367" s="1393">
        <v>216918</v>
      </c>
      <c r="AC367" s="1393">
        <v>67489</v>
      </c>
      <c r="AD367" s="1393">
        <v>25614</v>
      </c>
      <c r="AE367" s="1393">
        <v>7171</v>
      </c>
      <c r="AF367" s="1393">
        <v>25797</v>
      </c>
      <c r="AG367" s="3072">
        <v>27</v>
      </c>
    </row>
    <row r="368" spans="1:33">
      <c r="A368" s="63">
        <f t="shared" si="3"/>
        <v>2023.11</v>
      </c>
      <c r="B368" s="260">
        <v>155653</v>
      </c>
      <c r="C368" s="3034">
        <v>154870</v>
      </c>
      <c r="D368" s="169">
        <v>783</v>
      </c>
      <c r="E368" s="260">
        <v>906797.02</v>
      </c>
      <c r="F368" s="1738">
        <v>524.31700000000001</v>
      </c>
      <c r="G368" s="1399">
        <v>257359</v>
      </c>
      <c r="H368" s="3082">
        <v>552197</v>
      </c>
      <c r="I368" s="1890">
        <f t="shared" si="4"/>
        <v>809556</v>
      </c>
      <c r="J368" s="1400">
        <v>565966.47369999997</v>
      </c>
      <c r="K368" s="3082">
        <v>464608.8947</v>
      </c>
      <c r="L368" s="3082">
        <v>478335</v>
      </c>
      <c r="M368" s="1892">
        <v>400082</v>
      </c>
      <c r="N368" s="1393">
        <v>26050</v>
      </c>
      <c r="O368" s="1393">
        <v>1433</v>
      </c>
      <c r="P368" s="1393">
        <v>138662</v>
      </c>
      <c r="Q368" s="1393">
        <v>7201</v>
      </c>
      <c r="R368" s="1393">
        <v>5503</v>
      </c>
      <c r="S368" s="1393">
        <v>37213</v>
      </c>
      <c r="T368" s="1393">
        <v>109165</v>
      </c>
      <c r="U368" s="1393">
        <v>38771</v>
      </c>
      <c r="V368" s="1393">
        <v>16178</v>
      </c>
      <c r="W368" s="1393">
        <v>14152</v>
      </c>
      <c r="X368" s="1393">
        <v>16312</v>
      </c>
      <c r="Y368" s="1393">
        <v>3397</v>
      </c>
      <c r="Z368" s="1393">
        <v>10510</v>
      </c>
      <c r="AA368" s="1393">
        <v>34607</v>
      </c>
      <c r="AB368" s="1393">
        <v>216477</v>
      </c>
      <c r="AC368" s="1393">
        <v>67039</v>
      </c>
      <c r="AD368" s="1393">
        <v>25733</v>
      </c>
      <c r="AE368" s="1393">
        <v>6872</v>
      </c>
      <c r="AF368" s="1393">
        <v>25630</v>
      </c>
      <c r="AG368" s="3072">
        <v>29</v>
      </c>
    </row>
    <row r="369" spans="1:33">
      <c r="A369" s="63">
        <f t="shared" si="3"/>
        <v>2023.12</v>
      </c>
      <c r="B369" s="260">
        <v>155716</v>
      </c>
      <c r="C369" s="3034">
        <v>154974</v>
      </c>
      <c r="D369" s="169">
        <v>742</v>
      </c>
      <c r="E369" s="260">
        <v>1088637.08</v>
      </c>
      <c r="F369" s="1738">
        <v>523.65300000000002</v>
      </c>
      <c r="G369" s="1399" t="e">
        <v>#N/A</v>
      </c>
      <c r="H369" s="3082" t="e">
        <v>#N/A</v>
      </c>
      <c r="I369" s="1890" t="e">
        <f t="shared" si="4"/>
        <v>#N/A</v>
      </c>
      <c r="J369" s="1400" t="e">
        <v>#N/A</v>
      </c>
      <c r="K369" s="3082" t="e">
        <v>#N/A</v>
      </c>
      <c r="L369" s="3082" t="e">
        <v>#N/A</v>
      </c>
      <c r="M369" s="1892" t="e">
        <v>#N/A</v>
      </c>
      <c r="N369" s="1393" t="e">
        <v>#N/A</v>
      </c>
      <c r="O369" s="1393" t="e">
        <v>#N/A</v>
      </c>
      <c r="P369" s="1393" t="e">
        <v>#N/A</v>
      </c>
      <c r="Q369" s="1393" t="e">
        <v>#N/A</v>
      </c>
      <c r="R369" s="1393" t="e">
        <v>#N/A</v>
      </c>
      <c r="S369" s="1393" t="e">
        <v>#N/A</v>
      </c>
      <c r="T369" s="1393" t="e">
        <v>#N/A</v>
      </c>
      <c r="U369" s="1393" t="e">
        <v>#N/A</v>
      </c>
      <c r="V369" s="1393" t="e">
        <v>#N/A</v>
      </c>
      <c r="W369" s="1393" t="e">
        <v>#N/A</v>
      </c>
      <c r="X369" s="1393" t="e">
        <v>#N/A</v>
      </c>
      <c r="Y369" s="1393" t="e">
        <v>#N/A</v>
      </c>
      <c r="Z369" s="1393" t="e">
        <v>#N/A</v>
      </c>
      <c r="AA369" s="1393" t="e">
        <v>#N/A</v>
      </c>
      <c r="AB369" s="1393" t="e">
        <v>#N/A</v>
      </c>
      <c r="AC369" s="1393" t="e">
        <v>#N/A</v>
      </c>
      <c r="AD369" s="1393" t="e">
        <v>#N/A</v>
      </c>
      <c r="AE369" s="1393" t="e">
        <v>#N/A</v>
      </c>
      <c r="AF369" s="1393" t="e">
        <v>#N/A</v>
      </c>
      <c r="AG369" s="3072" t="e">
        <v>#N/A</v>
      </c>
    </row>
    <row r="370" spans="1:33">
      <c r="A370" s="63">
        <f t="shared" ref="A370:A433" si="6">A358+1</f>
        <v>2024.01</v>
      </c>
      <c r="B370" s="3033">
        <v>155524</v>
      </c>
      <c r="C370" s="3034" t="e">
        <v>#N/A</v>
      </c>
      <c r="D370" s="169" t="e">
        <v>#N/A</v>
      </c>
      <c r="E370" s="260">
        <v>142596.98000000001</v>
      </c>
      <c r="F370" s="1738">
        <v>518.43600000000004</v>
      </c>
      <c r="G370" s="1399" t="e">
        <v>#N/A</v>
      </c>
      <c r="H370" s="3082" t="e">
        <v>#N/A</v>
      </c>
      <c r="I370" s="1890" t="e">
        <f t="shared" si="4"/>
        <v>#N/A</v>
      </c>
      <c r="J370" s="1400" t="e">
        <v>#N/A</v>
      </c>
      <c r="K370" s="3082" t="e">
        <v>#N/A</v>
      </c>
      <c r="L370" s="3082" t="e">
        <v>#N/A</v>
      </c>
      <c r="M370" s="1892" t="e">
        <v>#N/A</v>
      </c>
      <c r="N370" s="1393" t="e">
        <v>#N/A</v>
      </c>
      <c r="O370" s="1393" t="e">
        <v>#N/A</v>
      </c>
      <c r="P370" s="1393" t="e">
        <v>#N/A</v>
      </c>
      <c r="Q370" s="1393" t="e">
        <v>#N/A</v>
      </c>
      <c r="R370" s="1393" t="e">
        <v>#N/A</v>
      </c>
      <c r="S370" s="1393" t="e">
        <v>#N/A</v>
      </c>
      <c r="T370" s="1393" t="e">
        <v>#N/A</v>
      </c>
      <c r="U370" s="1393" t="e">
        <v>#N/A</v>
      </c>
      <c r="V370" s="1393" t="e">
        <v>#N/A</v>
      </c>
      <c r="W370" s="1393" t="e">
        <v>#N/A</v>
      </c>
      <c r="X370" s="1393" t="e">
        <v>#N/A</v>
      </c>
      <c r="Y370" s="1393" t="e">
        <v>#N/A</v>
      </c>
      <c r="Z370" s="1393" t="e">
        <v>#N/A</v>
      </c>
      <c r="AA370" s="1393" t="e">
        <v>#N/A</v>
      </c>
      <c r="AB370" s="1393" t="e">
        <v>#N/A</v>
      </c>
      <c r="AC370" s="1393" t="e">
        <v>#N/A</v>
      </c>
      <c r="AD370" s="1393" t="e">
        <v>#N/A</v>
      </c>
      <c r="AE370" s="1393" t="e">
        <v>#N/A</v>
      </c>
      <c r="AF370" s="1393" t="e">
        <v>#N/A</v>
      </c>
      <c r="AG370" s="3072" t="e">
        <v>#N/A</v>
      </c>
    </row>
    <row r="371" spans="1:33">
      <c r="A371" s="63">
        <f t="shared" si="6"/>
        <v>2024.02</v>
      </c>
      <c r="B371" s="3033">
        <v>155332</v>
      </c>
      <c r="C371" s="3034" t="e">
        <v>#N/A</v>
      </c>
      <c r="D371" s="169" t="e">
        <v>#N/A</v>
      </c>
      <c r="E371" s="260">
        <v>304624.11</v>
      </c>
      <c r="F371" s="1738">
        <v>514.80200000000002</v>
      </c>
      <c r="G371" s="1399" t="e">
        <v>#N/A</v>
      </c>
      <c r="H371" s="3082" t="e">
        <v>#N/A</v>
      </c>
      <c r="I371" s="1890" t="e">
        <f t="shared" si="4"/>
        <v>#N/A</v>
      </c>
      <c r="J371" s="1400" t="e">
        <v>#N/A</v>
      </c>
      <c r="K371" s="3082" t="e">
        <v>#N/A</v>
      </c>
      <c r="L371" s="3082" t="e">
        <v>#N/A</v>
      </c>
      <c r="M371" s="1892" t="e">
        <v>#N/A</v>
      </c>
      <c r="N371" s="1393" t="e">
        <v>#N/A</v>
      </c>
      <c r="O371" s="1393" t="e">
        <v>#N/A</v>
      </c>
      <c r="P371" s="1393" t="e">
        <v>#N/A</v>
      </c>
      <c r="Q371" s="1393" t="e">
        <v>#N/A</v>
      </c>
      <c r="R371" s="1393" t="e">
        <v>#N/A</v>
      </c>
      <c r="S371" s="1393" t="e">
        <v>#N/A</v>
      </c>
      <c r="T371" s="1393" t="e">
        <v>#N/A</v>
      </c>
      <c r="U371" s="1393" t="e">
        <v>#N/A</v>
      </c>
      <c r="V371" s="1393" t="e">
        <v>#N/A</v>
      </c>
      <c r="W371" s="1393" t="e">
        <v>#N/A</v>
      </c>
      <c r="X371" s="1393" t="e">
        <v>#N/A</v>
      </c>
      <c r="Y371" s="1393" t="e">
        <v>#N/A</v>
      </c>
      <c r="Z371" s="1393" t="e">
        <v>#N/A</v>
      </c>
      <c r="AA371" s="1393" t="e">
        <v>#N/A</v>
      </c>
      <c r="AB371" s="1393" t="e">
        <v>#N/A</v>
      </c>
      <c r="AC371" s="1393" t="e">
        <v>#N/A</v>
      </c>
      <c r="AD371" s="1393" t="e">
        <v>#N/A</v>
      </c>
      <c r="AE371" s="1393" t="e">
        <v>#N/A</v>
      </c>
      <c r="AF371" s="1393" t="e">
        <v>#N/A</v>
      </c>
      <c r="AG371" s="3072" t="e">
        <v>#N/A</v>
      </c>
    </row>
    <row r="372" spans="1:33">
      <c r="A372" s="63">
        <f t="shared" si="6"/>
        <v>2024.03</v>
      </c>
      <c r="B372" s="3033">
        <v>155140</v>
      </c>
      <c r="C372" s="3034" t="e">
        <v>#N/A</v>
      </c>
      <c r="D372" s="169" t="e">
        <v>#N/A</v>
      </c>
      <c r="E372" s="260">
        <v>498215.67</v>
      </c>
      <c r="F372" s="1764">
        <v>514.41200000000003</v>
      </c>
      <c r="G372" s="1399" t="e">
        <v>#N/A</v>
      </c>
      <c r="H372" s="3082" t="e">
        <v>#N/A</v>
      </c>
      <c r="I372" s="1890" t="e">
        <f t="shared" si="4"/>
        <v>#N/A</v>
      </c>
      <c r="J372" s="1400" t="e">
        <v>#N/A</v>
      </c>
      <c r="K372" s="3082" t="e">
        <v>#N/A</v>
      </c>
      <c r="L372" s="3082" t="e">
        <v>#N/A</v>
      </c>
      <c r="M372" s="1892" t="e">
        <v>#N/A</v>
      </c>
      <c r="N372" s="1393" t="e">
        <v>#N/A</v>
      </c>
      <c r="O372" s="1393" t="e">
        <v>#N/A</v>
      </c>
      <c r="P372" s="1393" t="e">
        <v>#N/A</v>
      </c>
      <c r="Q372" s="1393" t="e">
        <v>#N/A</v>
      </c>
      <c r="R372" s="1393" t="e">
        <v>#N/A</v>
      </c>
      <c r="S372" s="1393" t="e">
        <v>#N/A</v>
      </c>
      <c r="T372" s="1393" t="e">
        <v>#N/A</v>
      </c>
      <c r="U372" s="1393" t="e">
        <v>#N/A</v>
      </c>
      <c r="V372" s="1393" t="e">
        <v>#N/A</v>
      </c>
      <c r="W372" s="1393" t="e">
        <v>#N/A</v>
      </c>
      <c r="X372" s="1393" t="e">
        <v>#N/A</v>
      </c>
      <c r="Y372" s="1393" t="e">
        <v>#N/A</v>
      </c>
      <c r="Z372" s="1393" t="e">
        <v>#N/A</v>
      </c>
      <c r="AA372" s="1393" t="e">
        <v>#N/A</v>
      </c>
      <c r="AB372" s="1393" t="e">
        <v>#N/A</v>
      </c>
      <c r="AC372" s="1393" t="e">
        <v>#N/A</v>
      </c>
      <c r="AD372" s="1393" t="e">
        <v>#N/A</v>
      </c>
      <c r="AE372" s="1393" t="e">
        <v>#N/A</v>
      </c>
      <c r="AF372" s="1393" t="e">
        <v>#N/A</v>
      </c>
      <c r="AG372" s="3072" t="e">
        <v>#N/A</v>
      </c>
    </row>
    <row r="373" spans="1:33">
      <c r="A373" s="63">
        <f t="shared" si="6"/>
        <v>2024.04</v>
      </c>
      <c r="B373" s="3033">
        <v>154948</v>
      </c>
      <c r="C373" s="3034" t="e">
        <v>#N/A</v>
      </c>
      <c r="D373" s="169" t="e">
        <v>#N/A</v>
      </c>
      <c r="E373" s="260">
        <v>698836.52</v>
      </c>
      <c r="F373" s="1764">
        <v>512.03</v>
      </c>
      <c r="G373" s="1399" t="e">
        <v>#N/A</v>
      </c>
      <c r="H373" s="3082" t="e">
        <v>#N/A</v>
      </c>
      <c r="I373" s="1890" t="e">
        <f t="shared" si="4"/>
        <v>#N/A</v>
      </c>
      <c r="J373" s="1400" t="e">
        <v>#N/A</v>
      </c>
      <c r="K373" s="3082" t="e">
        <v>#N/A</v>
      </c>
      <c r="L373" s="3082" t="e">
        <v>#N/A</v>
      </c>
      <c r="M373" s="1892" t="e">
        <v>#N/A</v>
      </c>
      <c r="N373" s="1393" t="e">
        <v>#N/A</v>
      </c>
      <c r="O373" s="1393" t="e">
        <v>#N/A</v>
      </c>
      <c r="P373" s="1393" t="e">
        <v>#N/A</v>
      </c>
      <c r="Q373" s="1393" t="e">
        <v>#N/A</v>
      </c>
      <c r="R373" s="1393" t="e">
        <v>#N/A</v>
      </c>
      <c r="S373" s="1393" t="e">
        <v>#N/A</v>
      </c>
      <c r="T373" s="1393" t="e">
        <v>#N/A</v>
      </c>
      <c r="U373" s="1393" t="e">
        <v>#N/A</v>
      </c>
      <c r="V373" s="1393" t="e">
        <v>#N/A</v>
      </c>
      <c r="W373" s="1393" t="e">
        <v>#N/A</v>
      </c>
      <c r="X373" s="1393" t="e">
        <v>#N/A</v>
      </c>
      <c r="Y373" s="1393" t="e">
        <v>#N/A</v>
      </c>
      <c r="Z373" s="1393" t="e">
        <v>#N/A</v>
      </c>
      <c r="AA373" s="1393" t="e">
        <v>#N/A</v>
      </c>
      <c r="AB373" s="1393" t="e">
        <v>#N/A</v>
      </c>
      <c r="AC373" s="1393" t="e">
        <v>#N/A</v>
      </c>
      <c r="AD373" s="1393" t="e">
        <v>#N/A</v>
      </c>
      <c r="AE373" s="1393" t="e">
        <v>#N/A</v>
      </c>
      <c r="AF373" s="1393" t="e">
        <v>#N/A</v>
      </c>
      <c r="AG373" s="3072" t="e">
        <v>#N/A</v>
      </c>
    </row>
    <row r="374" spans="1:33">
      <c r="A374" s="63">
        <f t="shared" si="6"/>
        <v>2024.05</v>
      </c>
      <c r="B374" s="3033">
        <v>154756</v>
      </c>
      <c r="C374" s="3034" t="e">
        <v>#N/A</v>
      </c>
      <c r="D374" s="169" t="e">
        <v>#N/A</v>
      </c>
      <c r="E374" s="260">
        <v>943029.63</v>
      </c>
      <c r="F374" s="1764">
        <v>509.86700000000002</v>
      </c>
      <c r="G374" s="1399" t="e">
        <v>#N/A</v>
      </c>
      <c r="H374" s="3082" t="e">
        <v>#N/A</v>
      </c>
      <c r="I374" s="1890" t="e">
        <f t="shared" si="4"/>
        <v>#N/A</v>
      </c>
      <c r="J374" s="1400" t="e">
        <v>#N/A</v>
      </c>
      <c r="K374" s="3082" t="e">
        <v>#N/A</v>
      </c>
      <c r="L374" s="3082" t="e">
        <v>#N/A</v>
      </c>
      <c r="M374" s="1892" t="e">
        <v>#N/A</v>
      </c>
      <c r="N374" s="1393" t="e">
        <v>#N/A</v>
      </c>
      <c r="O374" s="1393" t="e">
        <v>#N/A</v>
      </c>
      <c r="P374" s="1393" t="e">
        <v>#N/A</v>
      </c>
      <c r="Q374" s="1393" t="e">
        <v>#N/A</v>
      </c>
      <c r="R374" s="1393" t="e">
        <v>#N/A</v>
      </c>
      <c r="S374" s="1393" t="e">
        <v>#N/A</v>
      </c>
      <c r="T374" s="1393" t="e">
        <v>#N/A</v>
      </c>
      <c r="U374" s="1393" t="e">
        <v>#N/A</v>
      </c>
      <c r="V374" s="1393" t="e">
        <v>#N/A</v>
      </c>
      <c r="W374" s="1393" t="e">
        <v>#N/A</v>
      </c>
      <c r="X374" s="1393" t="e">
        <v>#N/A</v>
      </c>
      <c r="Y374" s="1393" t="e">
        <v>#N/A</v>
      </c>
      <c r="Z374" s="1393" t="e">
        <v>#N/A</v>
      </c>
      <c r="AA374" s="1393" t="e">
        <v>#N/A</v>
      </c>
      <c r="AB374" s="1393" t="e">
        <v>#N/A</v>
      </c>
      <c r="AC374" s="1393" t="e">
        <v>#N/A</v>
      </c>
      <c r="AD374" s="1393" t="e">
        <v>#N/A</v>
      </c>
      <c r="AE374" s="1393" t="e">
        <v>#N/A</v>
      </c>
      <c r="AF374" s="1393" t="e">
        <v>#N/A</v>
      </c>
      <c r="AG374" s="3072" t="e">
        <v>#N/A</v>
      </c>
    </row>
    <row r="375" spans="1:33">
      <c r="A375" s="63">
        <f t="shared" si="6"/>
        <v>2024.06</v>
      </c>
      <c r="B375" s="3033">
        <v>154564</v>
      </c>
      <c r="C375" s="3034" t="e">
        <v>#N/A</v>
      </c>
      <c r="D375" s="169" t="e">
        <v>#N/A</v>
      </c>
      <c r="E375" s="260">
        <v>1264642.98</v>
      </c>
      <c r="F375" s="1764">
        <v>507.07100000000003</v>
      </c>
      <c r="G375" s="1399" t="e">
        <v>#N/A</v>
      </c>
      <c r="H375" s="3082" t="e">
        <v>#N/A</v>
      </c>
      <c r="I375" s="1890" t="e">
        <f t="shared" si="4"/>
        <v>#N/A</v>
      </c>
      <c r="J375" s="1400" t="e">
        <v>#N/A</v>
      </c>
      <c r="K375" s="3082" t="e">
        <v>#N/A</v>
      </c>
      <c r="L375" s="3082" t="e">
        <v>#N/A</v>
      </c>
      <c r="M375" s="1892" t="e">
        <v>#N/A</v>
      </c>
      <c r="N375" s="1393" t="e">
        <v>#N/A</v>
      </c>
      <c r="O375" s="1393" t="e">
        <v>#N/A</v>
      </c>
      <c r="P375" s="1393" t="e">
        <v>#N/A</v>
      </c>
      <c r="Q375" s="1393" t="e">
        <v>#N/A</v>
      </c>
      <c r="R375" s="1393" t="e">
        <v>#N/A</v>
      </c>
      <c r="S375" s="1393" t="e">
        <v>#N/A</v>
      </c>
      <c r="T375" s="1393" t="e">
        <v>#N/A</v>
      </c>
      <c r="U375" s="1393" t="e">
        <v>#N/A</v>
      </c>
      <c r="V375" s="1393" t="e">
        <v>#N/A</v>
      </c>
      <c r="W375" s="1393" t="e">
        <v>#N/A</v>
      </c>
      <c r="X375" s="1393" t="e">
        <v>#N/A</v>
      </c>
      <c r="Y375" s="1393" t="e">
        <v>#N/A</v>
      </c>
      <c r="Z375" s="1393" t="e">
        <v>#N/A</v>
      </c>
      <c r="AA375" s="1393" t="e">
        <v>#N/A</v>
      </c>
      <c r="AB375" s="1393" t="e">
        <v>#N/A</v>
      </c>
      <c r="AC375" s="1393" t="e">
        <v>#N/A</v>
      </c>
      <c r="AD375" s="1393" t="e">
        <v>#N/A</v>
      </c>
      <c r="AE375" s="1393" t="e">
        <v>#N/A</v>
      </c>
      <c r="AF375" s="1393" t="e">
        <v>#N/A</v>
      </c>
      <c r="AG375" s="3072" t="e">
        <v>#N/A</v>
      </c>
    </row>
    <row r="376" spans="1:33">
      <c r="A376" s="63">
        <f t="shared" si="6"/>
        <v>2024.07</v>
      </c>
      <c r="B376" s="3033">
        <v>154372</v>
      </c>
      <c r="C376" s="3034" t="e">
        <v>#N/A</v>
      </c>
      <c r="D376" s="169" t="e">
        <v>#N/A</v>
      </c>
      <c r="E376" s="260">
        <v>1514744.37</v>
      </c>
      <c r="F376" s="1764">
        <v>507.25</v>
      </c>
      <c r="G376" s="1399" t="e">
        <v>#N/A</v>
      </c>
      <c r="H376" s="3082" t="e">
        <v>#N/A</v>
      </c>
      <c r="I376" s="1890" t="e">
        <f t="shared" si="4"/>
        <v>#N/A</v>
      </c>
      <c r="J376" s="1400" t="e">
        <v>#N/A</v>
      </c>
      <c r="K376" s="3082" t="e">
        <v>#N/A</v>
      </c>
      <c r="L376" s="3082" t="e">
        <v>#N/A</v>
      </c>
      <c r="M376" s="1892" t="e">
        <v>#N/A</v>
      </c>
      <c r="N376" s="1393" t="e">
        <v>#N/A</v>
      </c>
      <c r="O376" s="1393" t="e">
        <v>#N/A</v>
      </c>
      <c r="P376" s="1393" t="e">
        <v>#N/A</v>
      </c>
      <c r="Q376" s="1393" t="e">
        <v>#N/A</v>
      </c>
      <c r="R376" s="1393" t="e">
        <v>#N/A</v>
      </c>
      <c r="S376" s="1393" t="e">
        <v>#N/A</v>
      </c>
      <c r="T376" s="1393" t="e">
        <v>#N/A</v>
      </c>
      <c r="U376" s="1393" t="e">
        <v>#N/A</v>
      </c>
      <c r="V376" s="1393" t="e">
        <v>#N/A</v>
      </c>
      <c r="W376" s="1393" t="e">
        <v>#N/A</v>
      </c>
      <c r="X376" s="1393" t="e">
        <v>#N/A</v>
      </c>
      <c r="Y376" s="1393" t="e">
        <v>#N/A</v>
      </c>
      <c r="Z376" s="1393" t="e">
        <v>#N/A</v>
      </c>
      <c r="AA376" s="1393" t="e">
        <v>#N/A</v>
      </c>
      <c r="AB376" s="1393" t="e">
        <v>#N/A</v>
      </c>
      <c r="AC376" s="1393" t="e">
        <v>#N/A</v>
      </c>
      <c r="AD376" s="1393" t="e">
        <v>#N/A</v>
      </c>
      <c r="AE376" s="1393" t="e">
        <v>#N/A</v>
      </c>
      <c r="AF376" s="1393" t="e">
        <v>#N/A</v>
      </c>
      <c r="AG376" s="3072" t="e">
        <v>#N/A</v>
      </c>
    </row>
    <row r="377" spans="1:33">
      <c r="A377" s="63">
        <f t="shared" si="6"/>
        <v>2024.08</v>
      </c>
      <c r="B377" s="3033">
        <v>154180</v>
      </c>
      <c r="C377" s="3034" t="e">
        <v>#N/A</v>
      </c>
      <c r="D377" s="169" t="e">
        <v>#N/A</v>
      </c>
      <c r="E377" s="260">
        <v>1764991.64</v>
      </c>
      <c r="F377" s="1764">
        <v>508.209</v>
      </c>
      <c r="G377" s="1399" t="e">
        <v>#N/A</v>
      </c>
      <c r="H377" s="3082" t="e">
        <v>#N/A</v>
      </c>
      <c r="I377" s="1890" t="e">
        <f t="shared" si="4"/>
        <v>#N/A</v>
      </c>
      <c r="J377" s="1400" t="e">
        <v>#N/A</v>
      </c>
      <c r="K377" s="3082" t="e">
        <v>#N/A</v>
      </c>
      <c r="L377" s="3082" t="e">
        <v>#N/A</v>
      </c>
      <c r="M377" s="1892" t="e">
        <v>#N/A</v>
      </c>
      <c r="N377" s="1393" t="e">
        <v>#N/A</v>
      </c>
      <c r="O377" s="1393" t="e">
        <v>#N/A</v>
      </c>
      <c r="P377" s="1393" t="e">
        <v>#N/A</v>
      </c>
      <c r="Q377" s="1393" t="e">
        <v>#N/A</v>
      </c>
      <c r="R377" s="1393" t="e">
        <v>#N/A</v>
      </c>
      <c r="S377" s="1393" t="e">
        <v>#N/A</v>
      </c>
      <c r="T377" s="1393" t="e">
        <v>#N/A</v>
      </c>
      <c r="U377" s="1393" t="e">
        <v>#N/A</v>
      </c>
      <c r="V377" s="1393" t="e">
        <v>#N/A</v>
      </c>
      <c r="W377" s="1393" t="e">
        <v>#N/A</v>
      </c>
      <c r="X377" s="1393" t="e">
        <v>#N/A</v>
      </c>
      <c r="Y377" s="1393" t="e">
        <v>#N/A</v>
      </c>
      <c r="Z377" s="1393" t="e">
        <v>#N/A</v>
      </c>
      <c r="AA377" s="1393" t="e">
        <v>#N/A</v>
      </c>
      <c r="AB377" s="1393" t="e">
        <v>#N/A</v>
      </c>
      <c r="AC377" s="1393" t="e">
        <v>#N/A</v>
      </c>
      <c r="AD377" s="1393" t="e">
        <v>#N/A</v>
      </c>
      <c r="AE377" s="1393" t="e">
        <v>#N/A</v>
      </c>
      <c r="AF377" s="1393" t="e">
        <v>#N/A</v>
      </c>
      <c r="AG377" s="3072" t="e">
        <v>#N/A</v>
      </c>
    </row>
    <row r="378" spans="1:33">
      <c r="A378" s="63">
        <f t="shared" si="6"/>
        <v>2024.09</v>
      </c>
      <c r="B378" s="3033">
        <v>153988</v>
      </c>
      <c r="C378" s="3034" t="e">
        <v>#N/A</v>
      </c>
      <c r="D378" s="169" t="e">
        <v>#N/A</v>
      </c>
      <c r="E378" s="260">
        <v>2024654.04</v>
      </c>
      <c r="F378" s="1764">
        <v>508.84500000000003</v>
      </c>
      <c r="G378" s="1399" t="e">
        <v>#N/A</v>
      </c>
      <c r="H378" s="3082" t="e">
        <v>#N/A</v>
      </c>
      <c r="I378" s="1890" t="e">
        <f t="shared" si="4"/>
        <v>#N/A</v>
      </c>
      <c r="J378" s="1400" t="e">
        <v>#N/A</v>
      </c>
      <c r="K378" s="3082" t="e">
        <v>#N/A</v>
      </c>
      <c r="L378" s="3082" t="e">
        <v>#N/A</v>
      </c>
      <c r="M378" s="1892" t="e">
        <v>#N/A</v>
      </c>
      <c r="N378" s="1393" t="e">
        <v>#N/A</v>
      </c>
      <c r="O378" s="1393" t="e">
        <v>#N/A</v>
      </c>
      <c r="P378" s="1393" t="e">
        <v>#N/A</v>
      </c>
      <c r="Q378" s="1393" t="e">
        <v>#N/A</v>
      </c>
      <c r="R378" s="1393" t="e">
        <v>#N/A</v>
      </c>
      <c r="S378" s="1393" t="e">
        <v>#N/A</v>
      </c>
      <c r="T378" s="1393" t="e">
        <v>#N/A</v>
      </c>
      <c r="U378" s="1393" t="e">
        <v>#N/A</v>
      </c>
      <c r="V378" s="1393" t="e">
        <v>#N/A</v>
      </c>
      <c r="W378" s="1393" t="e">
        <v>#N/A</v>
      </c>
      <c r="X378" s="1393" t="e">
        <v>#N/A</v>
      </c>
      <c r="Y378" s="1393" t="e">
        <v>#N/A</v>
      </c>
      <c r="Z378" s="1393" t="e">
        <v>#N/A</v>
      </c>
      <c r="AA378" s="1393" t="e">
        <v>#N/A</v>
      </c>
      <c r="AB378" s="1393" t="e">
        <v>#N/A</v>
      </c>
      <c r="AC378" s="1393" t="e">
        <v>#N/A</v>
      </c>
      <c r="AD378" s="1393" t="e">
        <v>#N/A</v>
      </c>
      <c r="AE378" s="1393" t="e">
        <v>#N/A</v>
      </c>
      <c r="AF378" s="1393" t="e">
        <v>#N/A</v>
      </c>
      <c r="AG378" s="3072" t="e">
        <v>#N/A</v>
      </c>
    </row>
    <row r="379" spans="1:33">
      <c r="A379" s="63">
        <f t="shared" si="6"/>
        <v>2024.1</v>
      </c>
      <c r="B379" s="3033">
        <v>153796</v>
      </c>
      <c r="C379" s="3034" t="e">
        <v>#N/A</v>
      </c>
      <c r="D379" s="169" t="e">
        <v>#N/A</v>
      </c>
      <c r="E379" s="260">
        <v>2304438.09</v>
      </c>
      <c r="F379" s="1764">
        <v>511.66300000000001</v>
      </c>
      <c r="G379" s="1399" t="e">
        <v>#N/A</v>
      </c>
      <c r="H379" s="3082" t="e">
        <v>#N/A</v>
      </c>
      <c r="I379" s="1890" t="e">
        <f t="shared" ref="I379:I442" si="7">+G379+H379</f>
        <v>#N/A</v>
      </c>
      <c r="J379" s="1400" t="e">
        <v>#N/A</v>
      </c>
      <c r="K379" s="3082" t="e">
        <v>#N/A</v>
      </c>
      <c r="L379" s="3082" t="e">
        <v>#N/A</v>
      </c>
      <c r="M379" s="1892" t="e">
        <v>#N/A</v>
      </c>
      <c r="N379" s="1393" t="e">
        <v>#N/A</v>
      </c>
      <c r="O379" s="1393" t="e">
        <v>#N/A</v>
      </c>
      <c r="P379" s="1393" t="e">
        <v>#N/A</v>
      </c>
      <c r="Q379" s="1393" t="e">
        <v>#N/A</v>
      </c>
      <c r="R379" s="1393" t="e">
        <v>#N/A</v>
      </c>
      <c r="S379" s="1393" t="e">
        <v>#N/A</v>
      </c>
      <c r="T379" s="1393" t="e">
        <v>#N/A</v>
      </c>
      <c r="U379" s="1393" t="e">
        <v>#N/A</v>
      </c>
      <c r="V379" s="1393" t="e">
        <v>#N/A</v>
      </c>
      <c r="W379" s="1393" t="e">
        <v>#N/A</v>
      </c>
      <c r="X379" s="1393" t="e">
        <v>#N/A</v>
      </c>
      <c r="Y379" s="1393" t="e">
        <v>#N/A</v>
      </c>
      <c r="Z379" s="1393" t="e">
        <v>#N/A</v>
      </c>
      <c r="AA379" s="1393" t="e">
        <v>#N/A</v>
      </c>
      <c r="AB379" s="1393" t="e">
        <v>#N/A</v>
      </c>
      <c r="AC379" s="1393" t="e">
        <v>#N/A</v>
      </c>
      <c r="AD379" s="1393" t="e">
        <v>#N/A</v>
      </c>
      <c r="AE379" s="1393" t="e">
        <v>#N/A</v>
      </c>
      <c r="AF379" s="1393" t="e">
        <v>#N/A</v>
      </c>
      <c r="AG379" s="3072" t="e">
        <v>#N/A</v>
      </c>
    </row>
    <row r="380" spans="1:33">
      <c r="A380" s="63">
        <f t="shared" si="6"/>
        <v>2024.11</v>
      </c>
      <c r="B380" s="3033">
        <v>153604</v>
      </c>
      <c r="C380" s="3034" t="e">
        <v>#N/A</v>
      </c>
      <c r="D380" s="169" t="e">
        <v>#N/A</v>
      </c>
      <c r="E380" s="260">
        <v>2600685.2400000002</v>
      </c>
      <c r="F380" s="1764">
        <v>512.98199999999997</v>
      </c>
      <c r="G380" s="1399" t="e">
        <v>#N/A</v>
      </c>
      <c r="H380" s="3082" t="e">
        <v>#N/A</v>
      </c>
      <c r="I380" s="1890" t="e">
        <f t="shared" si="7"/>
        <v>#N/A</v>
      </c>
      <c r="J380" s="1400" t="e">
        <v>#N/A</v>
      </c>
      <c r="K380" s="3082" t="e">
        <v>#N/A</v>
      </c>
      <c r="L380" s="3082" t="e">
        <v>#N/A</v>
      </c>
      <c r="M380" s="1892" t="e">
        <v>#N/A</v>
      </c>
      <c r="N380" s="1393" t="e">
        <v>#N/A</v>
      </c>
      <c r="O380" s="1393" t="e">
        <v>#N/A</v>
      </c>
      <c r="P380" s="1393" t="e">
        <v>#N/A</v>
      </c>
      <c r="Q380" s="1393" t="e">
        <v>#N/A</v>
      </c>
      <c r="R380" s="1393" t="e">
        <v>#N/A</v>
      </c>
      <c r="S380" s="1393" t="e">
        <v>#N/A</v>
      </c>
      <c r="T380" s="1393" t="e">
        <v>#N/A</v>
      </c>
      <c r="U380" s="1393" t="e">
        <v>#N/A</v>
      </c>
      <c r="V380" s="1393" t="e">
        <v>#N/A</v>
      </c>
      <c r="W380" s="1393" t="e">
        <v>#N/A</v>
      </c>
      <c r="X380" s="1393" t="e">
        <v>#N/A</v>
      </c>
      <c r="Y380" s="1393" t="e">
        <v>#N/A</v>
      </c>
      <c r="Z380" s="1393" t="e">
        <v>#N/A</v>
      </c>
      <c r="AA380" s="1393" t="e">
        <v>#N/A</v>
      </c>
      <c r="AB380" s="1393" t="e">
        <v>#N/A</v>
      </c>
      <c r="AC380" s="1393" t="e">
        <v>#N/A</v>
      </c>
      <c r="AD380" s="1393" t="e">
        <v>#N/A</v>
      </c>
      <c r="AE380" s="1393" t="e">
        <v>#N/A</v>
      </c>
      <c r="AF380" s="1393" t="e">
        <v>#N/A</v>
      </c>
      <c r="AG380" s="3072" t="e">
        <v>#N/A</v>
      </c>
    </row>
    <row r="381" spans="1:33">
      <c r="A381" s="63">
        <f t="shared" si="6"/>
        <v>2024.12</v>
      </c>
      <c r="B381" s="260">
        <v>153555</v>
      </c>
      <c r="C381" s="3034" t="e">
        <v>#N/A</v>
      </c>
      <c r="D381" s="169" t="e">
        <v>#N/A</v>
      </c>
      <c r="E381" s="260">
        <v>3026935.07</v>
      </c>
      <c r="F381" s="1764">
        <v>512.52200000000005</v>
      </c>
      <c r="G381" s="1399" t="e">
        <v>#N/A</v>
      </c>
      <c r="H381" s="3082" t="e">
        <v>#N/A</v>
      </c>
      <c r="I381" s="1890" t="e">
        <f t="shared" si="7"/>
        <v>#N/A</v>
      </c>
      <c r="J381" s="1400" t="e">
        <v>#N/A</v>
      </c>
      <c r="K381" s="3082" t="e">
        <v>#N/A</v>
      </c>
      <c r="L381" s="3082" t="e">
        <v>#N/A</v>
      </c>
      <c r="M381" s="1892" t="e">
        <v>#N/A</v>
      </c>
      <c r="N381" s="1393" t="e">
        <v>#N/A</v>
      </c>
      <c r="O381" s="1393" t="e">
        <v>#N/A</v>
      </c>
      <c r="P381" s="1393" t="e">
        <v>#N/A</v>
      </c>
      <c r="Q381" s="1393" t="e">
        <v>#N/A</v>
      </c>
      <c r="R381" s="1393" t="e">
        <v>#N/A</v>
      </c>
      <c r="S381" s="1393" t="e">
        <v>#N/A</v>
      </c>
      <c r="T381" s="1393" t="e">
        <v>#N/A</v>
      </c>
      <c r="U381" s="1393" t="e">
        <v>#N/A</v>
      </c>
      <c r="V381" s="1393" t="e">
        <v>#N/A</v>
      </c>
      <c r="W381" s="1393" t="e">
        <v>#N/A</v>
      </c>
      <c r="X381" s="1393" t="e">
        <v>#N/A</v>
      </c>
      <c r="Y381" s="1393" t="e">
        <v>#N/A</v>
      </c>
      <c r="Z381" s="1393" t="e">
        <v>#N/A</v>
      </c>
      <c r="AA381" s="1393" t="e">
        <v>#N/A</v>
      </c>
      <c r="AB381" s="1393" t="e">
        <v>#N/A</v>
      </c>
      <c r="AC381" s="1393" t="e">
        <v>#N/A</v>
      </c>
      <c r="AD381" s="1393" t="e">
        <v>#N/A</v>
      </c>
      <c r="AE381" s="1393" t="e">
        <v>#N/A</v>
      </c>
      <c r="AF381" s="1393" t="e">
        <v>#N/A</v>
      </c>
      <c r="AG381" s="3072" t="e">
        <v>#N/A</v>
      </c>
    </row>
    <row r="382" spans="1:33">
      <c r="A382" s="63">
        <f t="shared" si="6"/>
        <v>2025.01</v>
      </c>
      <c r="B382" s="222">
        <v>153289</v>
      </c>
      <c r="C382" s="3034" t="e">
        <v>#N/A</v>
      </c>
      <c r="D382" s="169" t="e">
        <v>#N/A</v>
      </c>
      <c r="E382" s="260">
        <v>293580.76</v>
      </c>
      <c r="F382" s="1764">
        <v>509.35700000000003</v>
      </c>
      <c r="G382" s="1399" t="e">
        <v>#N/A</v>
      </c>
      <c r="H382" s="3082" t="e">
        <v>#N/A</v>
      </c>
      <c r="I382" s="1890" t="e">
        <f t="shared" si="7"/>
        <v>#N/A</v>
      </c>
      <c r="J382" s="1400" t="e">
        <v>#N/A</v>
      </c>
      <c r="K382" s="3082" t="e">
        <v>#N/A</v>
      </c>
      <c r="L382" s="3082" t="e">
        <v>#N/A</v>
      </c>
      <c r="M382" s="1892" t="e">
        <v>#N/A</v>
      </c>
      <c r="N382" s="1393" t="e">
        <v>#N/A</v>
      </c>
      <c r="O382" s="1393" t="e">
        <v>#N/A</v>
      </c>
      <c r="P382" s="1393" t="e">
        <v>#N/A</v>
      </c>
      <c r="Q382" s="1393" t="e">
        <v>#N/A</v>
      </c>
      <c r="R382" s="1393" t="e">
        <v>#N/A</v>
      </c>
      <c r="S382" s="1393" t="e">
        <v>#N/A</v>
      </c>
      <c r="T382" s="1393" t="e">
        <v>#N/A</v>
      </c>
      <c r="U382" s="1393" t="e">
        <v>#N/A</v>
      </c>
      <c r="V382" s="1393" t="e">
        <v>#N/A</v>
      </c>
      <c r="W382" s="1393" t="e">
        <v>#N/A</v>
      </c>
      <c r="X382" s="1393" t="e">
        <v>#N/A</v>
      </c>
      <c r="Y382" s="1393" t="e">
        <v>#N/A</v>
      </c>
      <c r="Z382" s="1393" t="e">
        <v>#N/A</v>
      </c>
      <c r="AA382" s="1393" t="e">
        <v>#N/A</v>
      </c>
      <c r="AB382" s="1393" t="e">
        <v>#N/A</v>
      </c>
      <c r="AC382" s="1393" t="e">
        <v>#N/A</v>
      </c>
      <c r="AD382" s="1393" t="e">
        <v>#N/A</v>
      </c>
      <c r="AE382" s="1393" t="e">
        <v>#N/A</v>
      </c>
      <c r="AF382" s="1393" t="e">
        <v>#N/A</v>
      </c>
      <c r="AG382" s="3072" t="e">
        <v>#N/A</v>
      </c>
    </row>
    <row r="383" spans="1:33">
      <c r="A383" s="63">
        <f t="shared" si="6"/>
        <v>2025.02</v>
      </c>
      <c r="B383" s="222">
        <v>153024</v>
      </c>
      <c r="C383" s="3034" t="e">
        <v>#N/A</v>
      </c>
      <c r="D383" s="169" t="e">
        <v>#N/A</v>
      </c>
      <c r="E383" s="260">
        <v>610035.18000000005</v>
      </c>
      <c r="F383" s="1764">
        <v>509.02499999999998</v>
      </c>
      <c r="G383" s="1399" t="e">
        <v>#N/A</v>
      </c>
      <c r="H383" s="3082" t="e">
        <v>#N/A</v>
      </c>
      <c r="I383" s="1890" t="e">
        <f t="shared" si="7"/>
        <v>#N/A</v>
      </c>
      <c r="J383" s="1400" t="e">
        <v>#N/A</v>
      </c>
      <c r="K383" s="3082" t="e">
        <v>#N/A</v>
      </c>
      <c r="L383" s="3082" t="e">
        <v>#N/A</v>
      </c>
      <c r="M383" s="1892" t="e">
        <v>#N/A</v>
      </c>
      <c r="N383" s="1393" t="e">
        <v>#N/A</v>
      </c>
      <c r="O383" s="1393" t="e">
        <v>#N/A</v>
      </c>
      <c r="P383" s="1393" t="e">
        <v>#N/A</v>
      </c>
      <c r="Q383" s="1393" t="e">
        <v>#N/A</v>
      </c>
      <c r="R383" s="1393" t="e">
        <v>#N/A</v>
      </c>
      <c r="S383" s="1393" t="e">
        <v>#N/A</v>
      </c>
      <c r="T383" s="1393" t="e">
        <v>#N/A</v>
      </c>
      <c r="U383" s="1393" t="e">
        <v>#N/A</v>
      </c>
      <c r="V383" s="1393" t="e">
        <v>#N/A</v>
      </c>
      <c r="W383" s="1393" t="e">
        <v>#N/A</v>
      </c>
      <c r="X383" s="1393" t="e">
        <v>#N/A</v>
      </c>
      <c r="Y383" s="1393" t="e">
        <v>#N/A</v>
      </c>
      <c r="Z383" s="1393" t="e">
        <v>#N/A</v>
      </c>
      <c r="AA383" s="1393" t="e">
        <v>#N/A</v>
      </c>
      <c r="AB383" s="1393" t="e">
        <v>#N/A</v>
      </c>
      <c r="AC383" s="1393" t="e">
        <v>#N/A</v>
      </c>
      <c r="AD383" s="1393" t="e">
        <v>#N/A</v>
      </c>
      <c r="AE383" s="1393" t="e">
        <v>#N/A</v>
      </c>
      <c r="AF383" s="1393" t="e">
        <v>#N/A</v>
      </c>
      <c r="AG383" s="3072" t="e">
        <v>#N/A</v>
      </c>
    </row>
    <row r="384" spans="1:33">
      <c r="A384" s="63">
        <f t="shared" si="6"/>
        <v>2025.03</v>
      </c>
      <c r="B384" s="260">
        <v>152759</v>
      </c>
      <c r="C384" s="3034">
        <v>150656</v>
      </c>
      <c r="D384" s="169">
        <v>2103</v>
      </c>
      <c r="E384" s="260">
        <v>917226.28</v>
      </c>
      <c r="F384" s="1764">
        <v>511.24900000000002</v>
      </c>
      <c r="G384" s="1399" t="e">
        <v>#N/A</v>
      </c>
      <c r="H384" s="3082" t="e">
        <v>#N/A</v>
      </c>
      <c r="I384" s="1890" t="e">
        <f t="shared" si="7"/>
        <v>#N/A</v>
      </c>
      <c r="J384" s="1400" t="e">
        <v>#N/A</v>
      </c>
      <c r="K384" s="3082" t="e">
        <v>#N/A</v>
      </c>
      <c r="L384" s="3082" t="e">
        <v>#N/A</v>
      </c>
      <c r="M384" s="1892" t="e">
        <v>#N/A</v>
      </c>
      <c r="N384" s="1393" t="e">
        <v>#N/A</v>
      </c>
      <c r="O384" s="1393" t="e">
        <v>#N/A</v>
      </c>
      <c r="P384" s="1393" t="e">
        <v>#N/A</v>
      </c>
      <c r="Q384" s="1393" t="e">
        <v>#N/A</v>
      </c>
      <c r="R384" s="1393" t="e">
        <v>#N/A</v>
      </c>
      <c r="S384" s="1393" t="e">
        <v>#N/A</v>
      </c>
      <c r="T384" s="1393" t="e">
        <v>#N/A</v>
      </c>
      <c r="U384" s="1393" t="e">
        <v>#N/A</v>
      </c>
      <c r="V384" s="1393" t="e">
        <v>#N/A</v>
      </c>
      <c r="W384" s="1393" t="e">
        <v>#N/A</v>
      </c>
      <c r="X384" s="1393" t="e">
        <v>#N/A</v>
      </c>
      <c r="Y384" s="1393" t="e">
        <v>#N/A</v>
      </c>
      <c r="Z384" s="1393" t="e">
        <v>#N/A</v>
      </c>
      <c r="AA384" s="1393" t="e">
        <v>#N/A</v>
      </c>
      <c r="AB384" s="1393" t="e">
        <v>#N/A</v>
      </c>
      <c r="AC384" s="1393" t="e">
        <v>#N/A</v>
      </c>
      <c r="AD384" s="1393" t="e">
        <v>#N/A</v>
      </c>
      <c r="AE384" s="1393" t="e">
        <v>#N/A</v>
      </c>
      <c r="AF384" s="1393" t="e">
        <v>#N/A</v>
      </c>
      <c r="AG384" s="3072" t="e">
        <v>#N/A</v>
      </c>
    </row>
    <row r="385" spans="1:33">
      <c r="A385" s="63">
        <f t="shared" si="6"/>
        <v>2025.04</v>
      </c>
      <c r="B385" s="260" t="e">
        <v>#N/A</v>
      </c>
      <c r="C385" s="3034" t="e">
        <v>#N/A</v>
      </c>
      <c r="D385" s="169" t="e">
        <v>#N/A</v>
      </c>
      <c r="E385" s="260" t="e">
        <v>#N/A</v>
      </c>
      <c r="F385" s="2097" t="e">
        <v>#N/A</v>
      </c>
      <c r="G385" s="1399" t="e">
        <v>#N/A</v>
      </c>
      <c r="H385" s="3082" t="e">
        <v>#N/A</v>
      </c>
      <c r="I385" s="1890" t="e">
        <f t="shared" si="7"/>
        <v>#N/A</v>
      </c>
      <c r="J385" s="1400" t="e">
        <v>#N/A</v>
      </c>
      <c r="K385" s="3082" t="e">
        <v>#N/A</v>
      </c>
      <c r="L385" s="3082" t="e">
        <v>#N/A</v>
      </c>
      <c r="M385" s="1892" t="e">
        <v>#N/A</v>
      </c>
      <c r="N385" s="1393" t="e">
        <v>#N/A</v>
      </c>
      <c r="O385" s="1393" t="e">
        <v>#N/A</v>
      </c>
      <c r="P385" s="1393" t="e">
        <v>#N/A</v>
      </c>
      <c r="Q385" s="1393" t="e">
        <v>#N/A</v>
      </c>
      <c r="R385" s="1393" t="e">
        <v>#N/A</v>
      </c>
      <c r="S385" s="1393" t="e">
        <v>#N/A</v>
      </c>
      <c r="T385" s="1393" t="e">
        <v>#N/A</v>
      </c>
      <c r="U385" s="1393" t="e">
        <v>#N/A</v>
      </c>
      <c r="V385" s="1393" t="e">
        <v>#N/A</v>
      </c>
      <c r="W385" s="1393" t="e">
        <v>#N/A</v>
      </c>
      <c r="X385" s="1393" t="e">
        <v>#N/A</v>
      </c>
      <c r="Y385" s="1393" t="e">
        <v>#N/A</v>
      </c>
      <c r="Z385" s="1393" t="e">
        <v>#N/A</v>
      </c>
      <c r="AA385" s="1393" t="e">
        <v>#N/A</v>
      </c>
      <c r="AB385" s="1393" t="e">
        <v>#N/A</v>
      </c>
      <c r="AC385" s="1393" t="e">
        <v>#N/A</v>
      </c>
      <c r="AD385" s="1393" t="e">
        <v>#N/A</v>
      </c>
      <c r="AE385" s="1393" t="e">
        <v>#N/A</v>
      </c>
      <c r="AF385" s="1393" t="e">
        <v>#N/A</v>
      </c>
      <c r="AG385" s="3072" t="e">
        <v>#N/A</v>
      </c>
    </row>
    <row r="386" spans="1:33">
      <c r="A386" s="63">
        <f t="shared" si="6"/>
        <v>2025.05</v>
      </c>
      <c r="B386" s="260" t="e">
        <v>#N/A</v>
      </c>
      <c r="C386" s="3034" t="e">
        <v>#N/A</v>
      </c>
      <c r="D386" s="169" t="e">
        <v>#N/A</v>
      </c>
      <c r="E386" s="260" t="e">
        <v>#N/A</v>
      </c>
      <c r="F386" s="2097" t="e">
        <v>#N/A</v>
      </c>
      <c r="G386" s="1399" t="e">
        <v>#N/A</v>
      </c>
      <c r="H386" s="3082" t="e">
        <v>#N/A</v>
      </c>
      <c r="I386" s="1890" t="e">
        <f t="shared" si="7"/>
        <v>#N/A</v>
      </c>
      <c r="J386" s="1400" t="e">
        <v>#N/A</v>
      </c>
      <c r="K386" s="3082" t="e">
        <v>#N/A</v>
      </c>
      <c r="L386" s="3082" t="e">
        <v>#N/A</v>
      </c>
      <c r="M386" s="1892" t="e">
        <v>#N/A</v>
      </c>
      <c r="N386" s="1393" t="e">
        <v>#N/A</v>
      </c>
      <c r="O386" s="1393" t="e">
        <v>#N/A</v>
      </c>
      <c r="P386" s="1393" t="e">
        <v>#N/A</v>
      </c>
      <c r="Q386" s="1393" t="e">
        <v>#N/A</v>
      </c>
      <c r="R386" s="1393" t="e">
        <v>#N/A</v>
      </c>
      <c r="S386" s="1393" t="e">
        <v>#N/A</v>
      </c>
      <c r="T386" s="1393" t="e">
        <v>#N/A</v>
      </c>
      <c r="U386" s="1393" t="e">
        <v>#N/A</v>
      </c>
      <c r="V386" s="1393" t="e">
        <v>#N/A</v>
      </c>
      <c r="W386" s="1393" t="e">
        <v>#N/A</v>
      </c>
      <c r="X386" s="1393" t="e">
        <v>#N/A</v>
      </c>
      <c r="Y386" s="1393" t="e">
        <v>#N/A</v>
      </c>
      <c r="Z386" s="1393" t="e">
        <v>#N/A</v>
      </c>
      <c r="AA386" s="1393" t="e">
        <v>#N/A</v>
      </c>
      <c r="AB386" s="1393" t="e">
        <v>#N/A</v>
      </c>
      <c r="AC386" s="1393" t="e">
        <v>#N/A</v>
      </c>
      <c r="AD386" s="1393" t="e">
        <v>#N/A</v>
      </c>
      <c r="AE386" s="1393" t="e">
        <v>#N/A</v>
      </c>
      <c r="AF386" s="1393" t="e">
        <v>#N/A</v>
      </c>
      <c r="AG386" s="3072" t="e">
        <v>#N/A</v>
      </c>
    </row>
    <row r="387" spans="1:33">
      <c r="A387" s="63">
        <f t="shared" si="6"/>
        <v>2025.06</v>
      </c>
      <c r="B387" s="260" t="e">
        <v>#N/A</v>
      </c>
      <c r="C387" s="3034" t="e">
        <v>#N/A</v>
      </c>
      <c r="D387" s="169" t="e">
        <v>#N/A</v>
      </c>
      <c r="E387" s="260" t="e">
        <v>#N/A</v>
      </c>
      <c r="F387" s="2097" t="e">
        <v>#N/A</v>
      </c>
      <c r="G387" s="1399" t="e">
        <v>#N/A</v>
      </c>
      <c r="H387" s="3082" t="e">
        <v>#N/A</v>
      </c>
      <c r="I387" s="1890" t="e">
        <f t="shared" si="7"/>
        <v>#N/A</v>
      </c>
      <c r="J387" s="1400" t="e">
        <v>#N/A</v>
      </c>
      <c r="K387" s="3082" t="e">
        <v>#N/A</v>
      </c>
      <c r="L387" s="3082" t="e">
        <v>#N/A</v>
      </c>
      <c r="M387" s="1892" t="e">
        <v>#N/A</v>
      </c>
      <c r="N387" s="1393" t="e">
        <v>#N/A</v>
      </c>
      <c r="O387" s="1393" t="e">
        <v>#N/A</v>
      </c>
      <c r="P387" s="1393" t="e">
        <v>#N/A</v>
      </c>
      <c r="Q387" s="1393" t="e">
        <v>#N/A</v>
      </c>
      <c r="R387" s="1393" t="e">
        <v>#N/A</v>
      </c>
      <c r="S387" s="1393" t="e">
        <v>#N/A</v>
      </c>
      <c r="T387" s="1393" t="e">
        <v>#N/A</v>
      </c>
      <c r="U387" s="1393" t="e">
        <v>#N/A</v>
      </c>
      <c r="V387" s="1393" t="e">
        <v>#N/A</v>
      </c>
      <c r="W387" s="1393" t="e">
        <v>#N/A</v>
      </c>
      <c r="X387" s="1393" t="e">
        <v>#N/A</v>
      </c>
      <c r="Y387" s="1393" t="e">
        <v>#N/A</v>
      </c>
      <c r="Z387" s="1393" t="e">
        <v>#N/A</v>
      </c>
      <c r="AA387" s="1393" t="e">
        <v>#N/A</v>
      </c>
      <c r="AB387" s="1393" t="e">
        <v>#N/A</v>
      </c>
      <c r="AC387" s="1393" t="e">
        <v>#N/A</v>
      </c>
      <c r="AD387" s="1393" t="e">
        <v>#N/A</v>
      </c>
      <c r="AE387" s="1393" t="e">
        <v>#N/A</v>
      </c>
      <c r="AF387" s="1393" t="e">
        <v>#N/A</v>
      </c>
      <c r="AG387" s="3072" t="e">
        <v>#N/A</v>
      </c>
    </row>
    <row r="388" spans="1:33">
      <c r="A388" s="63">
        <f t="shared" si="6"/>
        <v>2025.07</v>
      </c>
      <c r="B388" s="260" t="e">
        <v>#N/A</v>
      </c>
      <c r="C388" s="3034" t="e">
        <v>#N/A</v>
      </c>
      <c r="D388" s="169" t="e">
        <v>#N/A</v>
      </c>
      <c r="E388" s="260" t="e">
        <v>#N/A</v>
      </c>
      <c r="F388" s="2097" t="e">
        <v>#N/A</v>
      </c>
      <c r="G388" s="1399" t="e">
        <v>#N/A</v>
      </c>
      <c r="H388" s="3082" t="e">
        <v>#N/A</v>
      </c>
      <c r="I388" s="1890" t="e">
        <f t="shared" si="7"/>
        <v>#N/A</v>
      </c>
      <c r="J388" s="1400" t="e">
        <v>#N/A</v>
      </c>
      <c r="K388" s="3082" t="e">
        <v>#N/A</v>
      </c>
      <c r="L388" s="3082" t="e">
        <v>#N/A</v>
      </c>
      <c r="M388" s="1892" t="e">
        <v>#N/A</v>
      </c>
      <c r="N388" s="1393" t="e">
        <v>#N/A</v>
      </c>
      <c r="O388" s="1393" t="e">
        <v>#N/A</v>
      </c>
      <c r="P388" s="1393" t="e">
        <v>#N/A</v>
      </c>
      <c r="Q388" s="1393" t="e">
        <v>#N/A</v>
      </c>
      <c r="R388" s="1393" t="e">
        <v>#N/A</v>
      </c>
      <c r="S388" s="1393" t="e">
        <v>#N/A</v>
      </c>
      <c r="T388" s="1393" t="e">
        <v>#N/A</v>
      </c>
      <c r="U388" s="1393" t="e">
        <v>#N/A</v>
      </c>
      <c r="V388" s="1393" t="e">
        <v>#N/A</v>
      </c>
      <c r="W388" s="1393" t="e">
        <v>#N/A</v>
      </c>
      <c r="X388" s="1393" t="e">
        <v>#N/A</v>
      </c>
      <c r="Y388" s="1393" t="e">
        <v>#N/A</v>
      </c>
      <c r="Z388" s="1393" t="e">
        <v>#N/A</v>
      </c>
      <c r="AA388" s="1393" t="e">
        <v>#N/A</v>
      </c>
      <c r="AB388" s="1393" t="e">
        <v>#N/A</v>
      </c>
      <c r="AC388" s="1393" t="e">
        <v>#N/A</v>
      </c>
      <c r="AD388" s="1393" t="e">
        <v>#N/A</v>
      </c>
      <c r="AE388" s="1393" t="e">
        <v>#N/A</v>
      </c>
      <c r="AF388" s="1393" t="e">
        <v>#N/A</v>
      </c>
      <c r="AG388" s="3072" t="e">
        <v>#N/A</v>
      </c>
    </row>
    <row r="389" spans="1:33">
      <c r="A389" s="63">
        <f t="shared" si="6"/>
        <v>2025.08</v>
      </c>
      <c r="B389" s="260" t="e">
        <v>#N/A</v>
      </c>
      <c r="C389" s="3034" t="e">
        <v>#N/A</v>
      </c>
      <c r="D389" s="169" t="e">
        <v>#N/A</v>
      </c>
      <c r="E389" s="260" t="e">
        <v>#N/A</v>
      </c>
      <c r="F389" s="2097" t="e">
        <v>#N/A</v>
      </c>
      <c r="G389" s="1399" t="e">
        <v>#N/A</v>
      </c>
      <c r="H389" s="3082" t="e">
        <v>#N/A</v>
      </c>
      <c r="I389" s="1890" t="e">
        <f t="shared" si="7"/>
        <v>#N/A</v>
      </c>
      <c r="J389" s="1400" t="e">
        <v>#N/A</v>
      </c>
      <c r="K389" s="3082" t="e">
        <v>#N/A</v>
      </c>
      <c r="L389" s="3082" t="e">
        <v>#N/A</v>
      </c>
      <c r="M389" s="1892" t="e">
        <v>#N/A</v>
      </c>
      <c r="N389" s="1393" t="e">
        <v>#N/A</v>
      </c>
      <c r="O389" s="1393" t="e">
        <v>#N/A</v>
      </c>
      <c r="P389" s="1393" t="e">
        <v>#N/A</v>
      </c>
      <c r="Q389" s="1393" t="e">
        <v>#N/A</v>
      </c>
      <c r="R389" s="1393" t="e">
        <v>#N/A</v>
      </c>
      <c r="S389" s="1393" t="e">
        <v>#N/A</v>
      </c>
      <c r="T389" s="1393" t="e">
        <v>#N/A</v>
      </c>
      <c r="U389" s="1393" t="e">
        <v>#N/A</v>
      </c>
      <c r="V389" s="1393" t="e">
        <v>#N/A</v>
      </c>
      <c r="W389" s="1393" t="e">
        <v>#N/A</v>
      </c>
      <c r="X389" s="1393" t="e">
        <v>#N/A</v>
      </c>
      <c r="Y389" s="1393" t="e">
        <v>#N/A</v>
      </c>
      <c r="Z389" s="1393" t="e">
        <v>#N/A</v>
      </c>
      <c r="AA389" s="1393" t="e">
        <v>#N/A</v>
      </c>
      <c r="AB389" s="1393" t="e">
        <v>#N/A</v>
      </c>
      <c r="AC389" s="1393" t="e">
        <v>#N/A</v>
      </c>
      <c r="AD389" s="1393" t="e">
        <v>#N/A</v>
      </c>
      <c r="AE389" s="1393" t="e">
        <v>#N/A</v>
      </c>
      <c r="AF389" s="1393" t="e">
        <v>#N/A</v>
      </c>
      <c r="AG389" s="3072" t="e">
        <v>#N/A</v>
      </c>
    </row>
    <row r="390" spans="1:33">
      <c r="A390" s="63">
        <f t="shared" si="6"/>
        <v>2025.09</v>
      </c>
      <c r="B390" s="260" t="e">
        <v>#N/A</v>
      </c>
      <c r="C390" s="3034" t="e">
        <v>#N/A</v>
      </c>
      <c r="D390" s="169" t="e">
        <v>#N/A</v>
      </c>
      <c r="E390" s="260" t="e">
        <v>#N/A</v>
      </c>
      <c r="F390" s="2097" t="e">
        <v>#N/A</v>
      </c>
      <c r="G390" s="1399" t="e">
        <v>#N/A</v>
      </c>
      <c r="H390" s="3082" t="e">
        <v>#N/A</v>
      </c>
      <c r="I390" s="1890" t="e">
        <f t="shared" si="7"/>
        <v>#N/A</v>
      </c>
      <c r="J390" s="1400" t="e">
        <v>#N/A</v>
      </c>
      <c r="K390" s="3082" t="e">
        <v>#N/A</v>
      </c>
      <c r="L390" s="3082" t="e">
        <v>#N/A</v>
      </c>
      <c r="M390" s="1892" t="e">
        <v>#N/A</v>
      </c>
      <c r="N390" s="1393" t="e">
        <v>#N/A</v>
      </c>
      <c r="O390" s="1393" t="e">
        <v>#N/A</v>
      </c>
      <c r="P390" s="1393" t="e">
        <v>#N/A</v>
      </c>
      <c r="Q390" s="1393" t="e">
        <v>#N/A</v>
      </c>
      <c r="R390" s="1393" t="e">
        <v>#N/A</v>
      </c>
      <c r="S390" s="1393" t="e">
        <v>#N/A</v>
      </c>
      <c r="T390" s="1393" t="e">
        <v>#N/A</v>
      </c>
      <c r="U390" s="1393" t="e">
        <v>#N/A</v>
      </c>
      <c r="V390" s="1393" t="e">
        <v>#N/A</v>
      </c>
      <c r="W390" s="1393" t="e">
        <v>#N/A</v>
      </c>
      <c r="X390" s="1393" t="e">
        <v>#N/A</v>
      </c>
      <c r="Y390" s="1393" t="e">
        <v>#N/A</v>
      </c>
      <c r="Z390" s="1393" t="e">
        <v>#N/A</v>
      </c>
      <c r="AA390" s="1393" t="e">
        <v>#N/A</v>
      </c>
      <c r="AB390" s="1393" t="e">
        <v>#N/A</v>
      </c>
      <c r="AC390" s="1393" t="e">
        <v>#N/A</v>
      </c>
      <c r="AD390" s="1393" t="e">
        <v>#N/A</v>
      </c>
      <c r="AE390" s="1393" t="e">
        <v>#N/A</v>
      </c>
      <c r="AF390" s="1393" t="e">
        <v>#N/A</v>
      </c>
      <c r="AG390" s="3072" t="e">
        <v>#N/A</v>
      </c>
    </row>
    <row r="391" spans="1:33">
      <c r="A391" s="63">
        <f t="shared" si="6"/>
        <v>2025.1</v>
      </c>
      <c r="B391" s="260" t="e">
        <v>#N/A</v>
      </c>
      <c r="C391" s="3034" t="e">
        <v>#N/A</v>
      </c>
      <c r="D391" s="169" t="e">
        <v>#N/A</v>
      </c>
      <c r="E391" s="260" t="e">
        <v>#N/A</v>
      </c>
      <c r="F391" s="2097" t="e">
        <v>#N/A</v>
      </c>
      <c r="G391" s="1399" t="e">
        <v>#N/A</v>
      </c>
      <c r="H391" s="3082" t="e">
        <v>#N/A</v>
      </c>
      <c r="I391" s="1890" t="e">
        <f t="shared" si="7"/>
        <v>#N/A</v>
      </c>
      <c r="J391" s="1400" t="e">
        <v>#N/A</v>
      </c>
      <c r="K391" s="3082" t="e">
        <v>#N/A</v>
      </c>
      <c r="L391" s="3082" t="e">
        <v>#N/A</v>
      </c>
      <c r="M391" s="1892" t="e">
        <v>#N/A</v>
      </c>
      <c r="N391" s="1393" t="e">
        <v>#N/A</v>
      </c>
      <c r="O391" s="1393" t="e">
        <v>#N/A</v>
      </c>
      <c r="P391" s="1393" t="e">
        <v>#N/A</v>
      </c>
      <c r="Q391" s="1393" t="e">
        <v>#N/A</v>
      </c>
      <c r="R391" s="1393" t="e">
        <v>#N/A</v>
      </c>
      <c r="S391" s="1393" t="e">
        <v>#N/A</v>
      </c>
      <c r="T391" s="1393" t="e">
        <v>#N/A</v>
      </c>
      <c r="U391" s="1393" t="e">
        <v>#N/A</v>
      </c>
      <c r="V391" s="1393" t="e">
        <v>#N/A</v>
      </c>
      <c r="W391" s="1393" t="e">
        <v>#N/A</v>
      </c>
      <c r="X391" s="1393" t="e">
        <v>#N/A</v>
      </c>
      <c r="Y391" s="1393" t="e">
        <v>#N/A</v>
      </c>
      <c r="Z391" s="1393" t="e">
        <v>#N/A</v>
      </c>
      <c r="AA391" s="1393" t="e">
        <v>#N/A</v>
      </c>
      <c r="AB391" s="1393" t="e">
        <v>#N/A</v>
      </c>
      <c r="AC391" s="1393" t="e">
        <v>#N/A</v>
      </c>
      <c r="AD391" s="1393" t="e">
        <v>#N/A</v>
      </c>
      <c r="AE391" s="1393" t="e">
        <v>#N/A</v>
      </c>
      <c r="AF391" s="1393" t="e">
        <v>#N/A</v>
      </c>
      <c r="AG391" s="3072" t="e">
        <v>#N/A</v>
      </c>
    </row>
    <row r="392" spans="1:33">
      <c r="A392" s="63">
        <f t="shared" si="6"/>
        <v>2025.11</v>
      </c>
      <c r="B392" s="260" t="e">
        <v>#N/A</v>
      </c>
      <c r="C392" s="3034" t="e">
        <v>#N/A</v>
      </c>
      <c r="D392" s="169" t="e">
        <v>#N/A</v>
      </c>
      <c r="E392" s="260" t="e">
        <v>#N/A</v>
      </c>
      <c r="F392" s="2097" t="e">
        <v>#N/A</v>
      </c>
      <c r="G392" s="1399" t="e">
        <v>#N/A</v>
      </c>
      <c r="H392" s="3082" t="e">
        <v>#N/A</v>
      </c>
      <c r="I392" s="1890" t="e">
        <f t="shared" si="7"/>
        <v>#N/A</v>
      </c>
      <c r="J392" s="1400" t="e">
        <v>#N/A</v>
      </c>
      <c r="K392" s="3082" t="e">
        <v>#N/A</v>
      </c>
      <c r="L392" s="3082" t="e">
        <v>#N/A</v>
      </c>
      <c r="M392" s="1892" t="e">
        <v>#N/A</v>
      </c>
      <c r="N392" s="1393" t="e">
        <v>#N/A</v>
      </c>
      <c r="O392" s="1393" t="e">
        <v>#N/A</v>
      </c>
      <c r="P392" s="1393" t="e">
        <v>#N/A</v>
      </c>
      <c r="Q392" s="1393" t="e">
        <v>#N/A</v>
      </c>
      <c r="R392" s="1393" t="e">
        <v>#N/A</v>
      </c>
      <c r="S392" s="1393" t="e">
        <v>#N/A</v>
      </c>
      <c r="T392" s="1393" t="e">
        <v>#N/A</v>
      </c>
      <c r="U392" s="1393" t="e">
        <v>#N/A</v>
      </c>
      <c r="V392" s="1393" t="e">
        <v>#N/A</v>
      </c>
      <c r="W392" s="1393" t="e">
        <v>#N/A</v>
      </c>
      <c r="X392" s="1393" t="e">
        <v>#N/A</v>
      </c>
      <c r="Y392" s="1393" t="e">
        <v>#N/A</v>
      </c>
      <c r="Z392" s="1393" t="e">
        <v>#N/A</v>
      </c>
      <c r="AA392" s="1393" t="e">
        <v>#N/A</v>
      </c>
      <c r="AB392" s="1393" t="e">
        <v>#N/A</v>
      </c>
      <c r="AC392" s="1393" t="e">
        <v>#N/A</v>
      </c>
      <c r="AD392" s="1393" t="e">
        <v>#N/A</v>
      </c>
      <c r="AE392" s="1393" t="e">
        <v>#N/A</v>
      </c>
      <c r="AF392" s="1393" t="e">
        <v>#N/A</v>
      </c>
      <c r="AG392" s="3072" t="e">
        <v>#N/A</v>
      </c>
    </row>
    <row r="393" spans="1:33">
      <c r="A393" s="63">
        <f t="shared" si="6"/>
        <v>2025.12</v>
      </c>
      <c r="B393" s="260" t="e">
        <v>#N/A</v>
      </c>
      <c r="C393" s="3034" t="e">
        <v>#N/A</v>
      </c>
      <c r="D393" s="169" t="e">
        <v>#N/A</v>
      </c>
      <c r="E393" s="260" t="e">
        <v>#N/A</v>
      </c>
      <c r="F393" s="2097" t="e">
        <v>#N/A</v>
      </c>
      <c r="G393" s="1399" t="e">
        <v>#N/A</v>
      </c>
      <c r="H393" s="3082" t="e">
        <v>#N/A</v>
      </c>
      <c r="I393" s="1890" t="e">
        <f t="shared" si="7"/>
        <v>#N/A</v>
      </c>
      <c r="J393" s="1400" t="e">
        <v>#N/A</v>
      </c>
      <c r="K393" s="3082" t="e">
        <v>#N/A</v>
      </c>
      <c r="L393" s="3082" t="e">
        <v>#N/A</v>
      </c>
      <c r="M393" s="1892" t="e">
        <v>#N/A</v>
      </c>
      <c r="N393" s="1393" t="e">
        <v>#N/A</v>
      </c>
      <c r="O393" s="1393" t="e">
        <v>#N/A</v>
      </c>
      <c r="P393" s="1393" t="e">
        <v>#N/A</v>
      </c>
      <c r="Q393" s="1393" t="e">
        <v>#N/A</v>
      </c>
      <c r="R393" s="1393" t="e">
        <v>#N/A</v>
      </c>
      <c r="S393" s="1393" t="e">
        <v>#N/A</v>
      </c>
      <c r="T393" s="1393" t="e">
        <v>#N/A</v>
      </c>
      <c r="U393" s="1393" t="e">
        <v>#N/A</v>
      </c>
      <c r="V393" s="1393" t="e">
        <v>#N/A</v>
      </c>
      <c r="W393" s="1393" t="e">
        <v>#N/A</v>
      </c>
      <c r="X393" s="1393" t="e">
        <v>#N/A</v>
      </c>
      <c r="Y393" s="1393" t="e">
        <v>#N/A</v>
      </c>
      <c r="Z393" s="1393" t="e">
        <v>#N/A</v>
      </c>
      <c r="AA393" s="1393" t="e">
        <v>#N/A</v>
      </c>
      <c r="AB393" s="1393" t="e">
        <v>#N/A</v>
      </c>
      <c r="AC393" s="1393" t="e">
        <v>#N/A</v>
      </c>
      <c r="AD393" s="1393" t="e">
        <v>#N/A</v>
      </c>
      <c r="AE393" s="1393" t="e">
        <v>#N/A</v>
      </c>
      <c r="AF393" s="1393" t="e">
        <v>#N/A</v>
      </c>
      <c r="AG393" s="3072" t="e">
        <v>#N/A</v>
      </c>
    </row>
    <row r="394" spans="1:33">
      <c r="A394" s="63">
        <f t="shared" si="6"/>
        <v>2026.01</v>
      </c>
      <c r="B394" s="260" t="e">
        <v>#N/A</v>
      </c>
      <c r="C394" s="3034" t="e">
        <v>#N/A</v>
      </c>
      <c r="D394" s="169" t="e">
        <v>#N/A</v>
      </c>
      <c r="E394" s="260" t="e">
        <v>#N/A</v>
      </c>
      <c r="F394" s="2097" t="e">
        <v>#N/A</v>
      </c>
      <c r="G394" s="1399" t="e">
        <v>#N/A</v>
      </c>
      <c r="H394" s="3082" t="e">
        <v>#N/A</v>
      </c>
      <c r="I394" s="1890" t="e">
        <f t="shared" si="7"/>
        <v>#N/A</v>
      </c>
      <c r="J394" s="1400" t="e">
        <v>#N/A</v>
      </c>
      <c r="K394" s="3082" t="e">
        <v>#N/A</v>
      </c>
      <c r="L394" s="3082" t="e">
        <v>#N/A</v>
      </c>
      <c r="M394" s="1892" t="e">
        <v>#N/A</v>
      </c>
      <c r="N394" s="1393" t="e">
        <v>#N/A</v>
      </c>
      <c r="O394" s="1393" t="e">
        <v>#N/A</v>
      </c>
      <c r="P394" s="1393" t="e">
        <v>#N/A</v>
      </c>
      <c r="Q394" s="1393" t="e">
        <v>#N/A</v>
      </c>
      <c r="R394" s="1393" t="e">
        <v>#N/A</v>
      </c>
      <c r="S394" s="1393" t="e">
        <v>#N/A</v>
      </c>
      <c r="T394" s="1393" t="e">
        <v>#N/A</v>
      </c>
      <c r="U394" s="1393" t="e">
        <v>#N/A</v>
      </c>
      <c r="V394" s="1393" t="e">
        <v>#N/A</v>
      </c>
      <c r="W394" s="1393" t="e">
        <v>#N/A</v>
      </c>
      <c r="X394" s="1393" t="e">
        <v>#N/A</v>
      </c>
      <c r="Y394" s="1393" t="e">
        <v>#N/A</v>
      </c>
      <c r="Z394" s="1393" t="e">
        <v>#N/A</v>
      </c>
      <c r="AA394" s="1393" t="e">
        <v>#N/A</v>
      </c>
      <c r="AB394" s="1393" t="e">
        <v>#N/A</v>
      </c>
      <c r="AC394" s="1393" t="e">
        <v>#N/A</v>
      </c>
      <c r="AD394" s="1393" t="e">
        <v>#N/A</v>
      </c>
      <c r="AE394" s="1393" t="e">
        <v>#N/A</v>
      </c>
      <c r="AF394" s="1393" t="e">
        <v>#N/A</v>
      </c>
      <c r="AG394" s="3072" t="e">
        <v>#N/A</v>
      </c>
    </row>
    <row r="395" spans="1:33">
      <c r="A395" s="63">
        <f t="shared" si="6"/>
        <v>2026.02</v>
      </c>
      <c r="B395" s="260" t="e">
        <v>#N/A</v>
      </c>
      <c r="C395" s="3034" t="e">
        <v>#N/A</v>
      </c>
      <c r="D395" s="169" t="e">
        <v>#N/A</v>
      </c>
      <c r="E395" s="260" t="e">
        <v>#N/A</v>
      </c>
      <c r="F395" s="2097" t="e">
        <v>#N/A</v>
      </c>
      <c r="G395" s="1399" t="e">
        <v>#N/A</v>
      </c>
      <c r="H395" s="3082" t="e">
        <v>#N/A</v>
      </c>
      <c r="I395" s="1890" t="e">
        <f t="shared" si="7"/>
        <v>#N/A</v>
      </c>
      <c r="J395" s="1400" t="e">
        <v>#N/A</v>
      </c>
      <c r="K395" s="3082" t="e">
        <v>#N/A</v>
      </c>
      <c r="L395" s="3082" t="e">
        <v>#N/A</v>
      </c>
      <c r="M395" s="1892" t="e">
        <v>#N/A</v>
      </c>
      <c r="N395" s="1393" t="e">
        <v>#N/A</v>
      </c>
      <c r="O395" s="1393" t="e">
        <v>#N/A</v>
      </c>
      <c r="P395" s="1393" t="e">
        <v>#N/A</v>
      </c>
      <c r="Q395" s="1393" t="e">
        <v>#N/A</v>
      </c>
      <c r="R395" s="1393" t="e">
        <v>#N/A</v>
      </c>
      <c r="S395" s="1393" t="e">
        <v>#N/A</v>
      </c>
      <c r="T395" s="1393" t="e">
        <v>#N/A</v>
      </c>
      <c r="U395" s="1393" t="e">
        <v>#N/A</v>
      </c>
      <c r="V395" s="1393" t="e">
        <v>#N/A</v>
      </c>
      <c r="W395" s="1393" t="e">
        <v>#N/A</v>
      </c>
      <c r="X395" s="1393" t="e">
        <v>#N/A</v>
      </c>
      <c r="Y395" s="1393" t="e">
        <v>#N/A</v>
      </c>
      <c r="Z395" s="1393" t="e">
        <v>#N/A</v>
      </c>
      <c r="AA395" s="1393" t="e">
        <v>#N/A</v>
      </c>
      <c r="AB395" s="1393" t="e">
        <v>#N/A</v>
      </c>
      <c r="AC395" s="1393" t="e">
        <v>#N/A</v>
      </c>
      <c r="AD395" s="1393" t="e">
        <v>#N/A</v>
      </c>
      <c r="AE395" s="1393" t="e">
        <v>#N/A</v>
      </c>
      <c r="AF395" s="1393" t="e">
        <v>#N/A</v>
      </c>
      <c r="AG395" s="3072" t="e">
        <v>#N/A</v>
      </c>
    </row>
    <row r="396" spans="1:33">
      <c r="A396" s="63">
        <f t="shared" si="6"/>
        <v>2026.03</v>
      </c>
      <c r="B396" s="260" t="e">
        <v>#N/A</v>
      </c>
      <c r="C396" s="3034" t="e">
        <v>#N/A</v>
      </c>
      <c r="D396" s="169" t="e">
        <v>#N/A</v>
      </c>
      <c r="E396" s="260" t="e">
        <v>#N/A</v>
      </c>
      <c r="F396" s="2097" t="e">
        <v>#N/A</v>
      </c>
      <c r="G396" s="1399" t="e">
        <v>#N/A</v>
      </c>
      <c r="H396" s="3082" t="e">
        <v>#N/A</v>
      </c>
      <c r="I396" s="1890" t="e">
        <f t="shared" si="7"/>
        <v>#N/A</v>
      </c>
      <c r="J396" s="1400" t="e">
        <v>#N/A</v>
      </c>
      <c r="K396" s="3082" t="e">
        <v>#N/A</v>
      </c>
      <c r="L396" s="3082" t="e">
        <v>#N/A</v>
      </c>
      <c r="M396" s="1892" t="e">
        <v>#N/A</v>
      </c>
      <c r="N396" s="1393" t="e">
        <v>#N/A</v>
      </c>
      <c r="O396" s="1393" t="e">
        <v>#N/A</v>
      </c>
      <c r="P396" s="1393" t="e">
        <v>#N/A</v>
      </c>
      <c r="Q396" s="1393" t="e">
        <v>#N/A</v>
      </c>
      <c r="R396" s="1393" t="e">
        <v>#N/A</v>
      </c>
      <c r="S396" s="1393" t="e">
        <v>#N/A</v>
      </c>
      <c r="T396" s="1393" t="e">
        <v>#N/A</v>
      </c>
      <c r="U396" s="1393" t="e">
        <v>#N/A</v>
      </c>
      <c r="V396" s="1393" t="e">
        <v>#N/A</v>
      </c>
      <c r="W396" s="1393" t="e">
        <v>#N/A</v>
      </c>
      <c r="X396" s="1393" t="e">
        <v>#N/A</v>
      </c>
      <c r="Y396" s="1393" t="e">
        <v>#N/A</v>
      </c>
      <c r="Z396" s="1393" t="e">
        <v>#N/A</v>
      </c>
      <c r="AA396" s="1393" t="e">
        <v>#N/A</v>
      </c>
      <c r="AB396" s="1393" t="e">
        <v>#N/A</v>
      </c>
      <c r="AC396" s="1393" t="e">
        <v>#N/A</v>
      </c>
      <c r="AD396" s="1393" t="e">
        <v>#N/A</v>
      </c>
      <c r="AE396" s="1393" t="e">
        <v>#N/A</v>
      </c>
      <c r="AF396" s="1393" t="e">
        <v>#N/A</v>
      </c>
      <c r="AG396" s="3072" t="e">
        <v>#N/A</v>
      </c>
    </row>
    <row r="397" spans="1:33">
      <c r="A397" s="63">
        <f t="shared" si="6"/>
        <v>2026.04</v>
      </c>
      <c r="B397" s="260" t="e">
        <v>#N/A</v>
      </c>
      <c r="C397" s="3034" t="e">
        <v>#N/A</v>
      </c>
      <c r="D397" s="169" t="e">
        <v>#N/A</v>
      </c>
      <c r="E397" s="260" t="e">
        <v>#N/A</v>
      </c>
      <c r="F397" s="2097" t="e">
        <v>#N/A</v>
      </c>
      <c r="G397" s="1399" t="e">
        <v>#N/A</v>
      </c>
      <c r="H397" s="3082" t="e">
        <v>#N/A</v>
      </c>
      <c r="I397" s="1890" t="e">
        <f t="shared" si="7"/>
        <v>#N/A</v>
      </c>
      <c r="J397" s="1400" t="e">
        <v>#N/A</v>
      </c>
      <c r="K397" s="3082" t="e">
        <v>#N/A</v>
      </c>
      <c r="L397" s="3082" t="e">
        <v>#N/A</v>
      </c>
      <c r="M397" s="1892" t="e">
        <v>#N/A</v>
      </c>
      <c r="N397" s="1393" t="e">
        <v>#N/A</v>
      </c>
      <c r="O397" s="1393" t="e">
        <v>#N/A</v>
      </c>
      <c r="P397" s="1393" t="e">
        <v>#N/A</v>
      </c>
      <c r="Q397" s="1393" t="e">
        <v>#N/A</v>
      </c>
      <c r="R397" s="1393" t="e">
        <v>#N/A</v>
      </c>
      <c r="S397" s="1393" t="e">
        <v>#N/A</v>
      </c>
      <c r="T397" s="1393" t="e">
        <v>#N/A</v>
      </c>
      <c r="U397" s="1393" t="e">
        <v>#N/A</v>
      </c>
      <c r="V397" s="1393" t="e">
        <v>#N/A</v>
      </c>
      <c r="W397" s="1393" t="e">
        <v>#N/A</v>
      </c>
      <c r="X397" s="1393" t="e">
        <v>#N/A</v>
      </c>
      <c r="Y397" s="1393" t="e">
        <v>#N/A</v>
      </c>
      <c r="Z397" s="1393" t="e">
        <v>#N/A</v>
      </c>
      <c r="AA397" s="1393" t="e">
        <v>#N/A</v>
      </c>
      <c r="AB397" s="1393" t="e">
        <v>#N/A</v>
      </c>
      <c r="AC397" s="1393" t="e">
        <v>#N/A</v>
      </c>
      <c r="AD397" s="1393" t="e">
        <v>#N/A</v>
      </c>
      <c r="AE397" s="1393" t="e">
        <v>#N/A</v>
      </c>
      <c r="AF397" s="1393" t="e">
        <v>#N/A</v>
      </c>
      <c r="AG397" s="3072" t="e">
        <v>#N/A</v>
      </c>
    </row>
    <row r="398" spans="1:33">
      <c r="A398" s="63">
        <f t="shared" si="6"/>
        <v>2026.05</v>
      </c>
      <c r="B398" s="260" t="e">
        <v>#N/A</v>
      </c>
      <c r="C398" s="3034" t="e">
        <v>#N/A</v>
      </c>
      <c r="D398" s="169" t="e">
        <v>#N/A</v>
      </c>
      <c r="E398" s="260" t="e">
        <v>#N/A</v>
      </c>
      <c r="F398" s="2097" t="e">
        <v>#N/A</v>
      </c>
      <c r="G398" s="1399" t="e">
        <v>#N/A</v>
      </c>
      <c r="H398" s="3082" t="e">
        <v>#N/A</v>
      </c>
      <c r="I398" s="1890" t="e">
        <f t="shared" si="7"/>
        <v>#N/A</v>
      </c>
      <c r="J398" s="1400" t="e">
        <v>#N/A</v>
      </c>
      <c r="K398" s="3082" t="e">
        <v>#N/A</v>
      </c>
      <c r="L398" s="3082" t="e">
        <v>#N/A</v>
      </c>
      <c r="M398" s="1892" t="e">
        <v>#N/A</v>
      </c>
      <c r="N398" s="1393" t="e">
        <v>#N/A</v>
      </c>
      <c r="O398" s="1393" t="e">
        <v>#N/A</v>
      </c>
      <c r="P398" s="1393" t="e">
        <v>#N/A</v>
      </c>
      <c r="Q398" s="1393" t="e">
        <v>#N/A</v>
      </c>
      <c r="R398" s="1393" t="e">
        <v>#N/A</v>
      </c>
      <c r="S398" s="1393" t="e">
        <v>#N/A</v>
      </c>
      <c r="T398" s="1393" t="e">
        <v>#N/A</v>
      </c>
      <c r="U398" s="1393" t="e">
        <v>#N/A</v>
      </c>
      <c r="V398" s="1393" t="e">
        <v>#N/A</v>
      </c>
      <c r="W398" s="1393" t="e">
        <v>#N/A</v>
      </c>
      <c r="X398" s="1393" t="e">
        <v>#N/A</v>
      </c>
      <c r="Y398" s="1393" t="e">
        <v>#N/A</v>
      </c>
      <c r="Z398" s="1393" t="e">
        <v>#N/A</v>
      </c>
      <c r="AA398" s="1393" t="e">
        <v>#N/A</v>
      </c>
      <c r="AB398" s="1393" t="e">
        <v>#N/A</v>
      </c>
      <c r="AC398" s="1393" t="e">
        <v>#N/A</v>
      </c>
      <c r="AD398" s="1393" t="e">
        <v>#N/A</v>
      </c>
      <c r="AE398" s="1393" t="e">
        <v>#N/A</v>
      </c>
      <c r="AF398" s="1393" t="e">
        <v>#N/A</v>
      </c>
      <c r="AG398" s="3072" t="e">
        <v>#N/A</v>
      </c>
    </row>
    <row r="399" spans="1:33">
      <c r="A399" s="63">
        <f t="shared" si="6"/>
        <v>2026.06</v>
      </c>
      <c r="B399" s="260" t="e">
        <v>#N/A</v>
      </c>
      <c r="C399" s="3034" t="e">
        <v>#N/A</v>
      </c>
      <c r="D399" s="169" t="e">
        <v>#N/A</v>
      </c>
      <c r="E399" s="260" t="e">
        <v>#N/A</v>
      </c>
      <c r="F399" s="2097" t="e">
        <v>#N/A</v>
      </c>
      <c r="G399" s="1399" t="e">
        <v>#N/A</v>
      </c>
      <c r="H399" s="3082" t="e">
        <v>#N/A</v>
      </c>
      <c r="I399" s="1890" t="e">
        <f t="shared" si="7"/>
        <v>#N/A</v>
      </c>
      <c r="J399" s="1400" t="e">
        <v>#N/A</v>
      </c>
      <c r="K399" s="3082" t="e">
        <v>#N/A</v>
      </c>
      <c r="L399" s="3082" t="e">
        <v>#N/A</v>
      </c>
      <c r="M399" s="1892" t="e">
        <v>#N/A</v>
      </c>
      <c r="N399" s="1393" t="e">
        <v>#N/A</v>
      </c>
      <c r="O399" s="1393" t="e">
        <v>#N/A</v>
      </c>
      <c r="P399" s="1393" t="e">
        <v>#N/A</v>
      </c>
      <c r="Q399" s="1393" t="e">
        <v>#N/A</v>
      </c>
      <c r="R399" s="1393" t="e">
        <v>#N/A</v>
      </c>
      <c r="S399" s="1393" t="e">
        <v>#N/A</v>
      </c>
      <c r="T399" s="1393" t="e">
        <v>#N/A</v>
      </c>
      <c r="U399" s="1393" t="e">
        <v>#N/A</v>
      </c>
      <c r="V399" s="1393" t="e">
        <v>#N/A</v>
      </c>
      <c r="W399" s="1393" t="e">
        <v>#N/A</v>
      </c>
      <c r="X399" s="1393" t="e">
        <v>#N/A</v>
      </c>
      <c r="Y399" s="1393" t="e">
        <v>#N/A</v>
      </c>
      <c r="Z399" s="1393" t="e">
        <v>#N/A</v>
      </c>
      <c r="AA399" s="1393" t="e">
        <v>#N/A</v>
      </c>
      <c r="AB399" s="1393" t="e">
        <v>#N/A</v>
      </c>
      <c r="AC399" s="1393" t="e">
        <v>#N/A</v>
      </c>
      <c r="AD399" s="1393" t="e">
        <v>#N/A</v>
      </c>
      <c r="AE399" s="1393" t="e">
        <v>#N/A</v>
      </c>
      <c r="AF399" s="1393" t="e">
        <v>#N/A</v>
      </c>
      <c r="AG399" s="3072" t="e">
        <v>#N/A</v>
      </c>
    </row>
    <row r="400" spans="1:33">
      <c r="A400" s="63">
        <f t="shared" si="6"/>
        <v>2026.07</v>
      </c>
      <c r="B400" s="260" t="e">
        <v>#N/A</v>
      </c>
      <c r="C400" s="3034" t="e">
        <v>#N/A</v>
      </c>
      <c r="D400" s="169" t="e">
        <v>#N/A</v>
      </c>
      <c r="E400" s="260" t="e">
        <v>#N/A</v>
      </c>
      <c r="F400" s="2097" t="e">
        <v>#N/A</v>
      </c>
      <c r="G400" s="1399" t="e">
        <v>#N/A</v>
      </c>
      <c r="H400" s="3082" t="e">
        <v>#N/A</v>
      </c>
      <c r="I400" s="1890" t="e">
        <f t="shared" si="7"/>
        <v>#N/A</v>
      </c>
      <c r="J400" s="1400" t="e">
        <v>#N/A</v>
      </c>
      <c r="K400" s="3082" t="e">
        <v>#N/A</v>
      </c>
      <c r="L400" s="3082" t="e">
        <v>#N/A</v>
      </c>
      <c r="M400" s="1892" t="e">
        <v>#N/A</v>
      </c>
      <c r="N400" s="1393" t="e">
        <v>#N/A</v>
      </c>
      <c r="O400" s="1393" t="e">
        <v>#N/A</v>
      </c>
      <c r="P400" s="1393" t="e">
        <v>#N/A</v>
      </c>
      <c r="Q400" s="1393" t="e">
        <v>#N/A</v>
      </c>
      <c r="R400" s="1393" t="e">
        <v>#N/A</v>
      </c>
      <c r="S400" s="1393" t="e">
        <v>#N/A</v>
      </c>
      <c r="T400" s="1393" t="e">
        <v>#N/A</v>
      </c>
      <c r="U400" s="1393" t="e">
        <v>#N/A</v>
      </c>
      <c r="V400" s="1393" t="e">
        <v>#N/A</v>
      </c>
      <c r="W400" s="1393" t="e">
        <v>#N/A</v>
      </c>
      <c r="X400" s="1393" t="e">
        <v>#N/A</v>
      </c>
      <c r="Y400" s="1393" t="e">
        <v>#N/A</v>
      </c>
      <c r="Z400" s="1393" t="e">
        <v>#N/A</v>
      </c>
      <c r="AA400" s="1393" t="e">
        <v>#N/A</v>
      </c>
      <c r="AB400" s="1393" t="e">
        <v>#N/A</v>
      </c>
      <c r="AC400" s="1393" t="e">
        <v>#N/A</v>
      </c>
      <c r="AD400" s="1393" t="e">
        <v>#N/A</v>
      </c>
      <c r="AE400" s="1393" t="e">
        <v>#N/A</v>
      </c>
      <c r="AF400" s="1393" t="e">
        <v>#N/A</v>
      </c>
      <c r="AG400" s="3072" t="e">
        <v>#N/A</v>
      </c>
    </row>
    <row r="401" spans="1:33">
      <c r="A401" s="63">
        <f t="shared" si="6"/>
        <v>2026.08</v>
      </c>
      <c r="B401" s="260" t="e">
        <v>#N/A</v>
      </c>
      <c r="C401" s="3034" t="e">
        <v>#N/A</v>
      </c>
      <c r="D401" s="169" t="e">
        <v>#N/A</v>
      </c>
      <c r="E401" s="260" t="e">
        <v>#N/A</v>
      </c>
      <c r="F401" s="2097" t="e">
        <v>#N/A</v>
      </c>
      <c r="G401" s="1399" t="e">
        <v>#N/A</v>
      </c>
      <c r="H401" s="3082" t="e">
        <v>#N/A</v>
      </c>
      <c r="I401" s="1890" t="e">
        <f t="shared" si="7"/>
        <v>#N/A</v>
      </c>
      <c r="J401" s="1400" t="e">
        <v>#N/A</v>
      </c>
      <c r="K401" s="3082" t="e">
        <v>#N/A</v>
      </c>
      <c r="L401" s="3082" t="e">
        <v>#N/A</v>
      </c>
      <c r="M401" s="1892" t="e">
        <v>#N/A</v>
      </c>
      <c r="N401" s="1393" t="e">
        <v>#N/A</v>
      </c>
      <c r="O401" s="1393" t="e">
        <v>#N/A</v>
      </c>
      <c r="P401" s="1393" t="e">
        <v>#N/A</v>
      </c>
      <c r="Q401" s="1393" t="e">
        <v>#N/A</v>
      </c>
      <c r="R401" s="1393" t="e">
        <v>#N/A</v>
      </c>
      <c r="S401" s="1393" t="e">
        <v>#N/A</v>
      </c>
      <c r="T401" s="1393" t="e">
        <v>#N/A</v>
      </c>
      <c r="U401" s="1393" t="e">
        <v>#N/A</v>
      </c>
      <c r="V401" s="1393" t="e">
        <v>#N/A</v>
      </c>
      <c r="W401" s="1393" t="e">
        <v>#N/A</v>
      </c>
      <c r="X401" s="1393" t="e">
        <v>#N/A</v>
      </c>
      <c r="Y401" s="1393" t="e">
        <v>#N/A</v>
      </c>
      <c r="Z401" s="1393" t="e">
        <v>#N/A</v>
      </c>
      <c r="AA401" s="1393" t="e">
        <v>#N/A</v>
      </c>
      <c r="AB401" s="1393" t="e">
        <v>#N/A</v>
      </c>
      <c r="AC401" s="1393" t="e">
        <v>#N/A</v>
      </c>
      <c r="AD401" s="1393" t="e">
        <v>#N/A</v>
      </c>
      <c r="AE401" s="1393" t="e">
        <v>#N/A</v>
      </c>
      <c r="AF401" s="1393" t="e">
        <v>#N/A</v>
      </c>
      <c r="AG401" s="3072" t="e">
        <v>#N/A</v>
      </c>
    </row>
    <row r="402" spans="1:33">
      <c r="A402" s="63">
        <f t="shared" si="6"/>
        <v>2026.09</v>
      </c>
      <c r="B402" s="260" t="e">
        <v>#N/A</v>
      </c>
      <c r="C402" s="3034" t="e">
        <v>#N/A</v>
      </c>
      <c r="D402" s="169" t="e">
        <v>#N/A</v>
      </c>
      <c r="E402" s="260" t="e">
        <v>#N/A</v>
      </c>
      <c r="F402" s="2097" t="e">
        <v>#N/A</v>
      </c>
      <c r="G402" s="1399" t="e">
        <v>#N/A</v>
      </c>
      <c r="H402" s="3082" t="e">
        <v>#N/A</v>
      </c>
      <c r="I402" s="1890" t="e">
        <f t="shared" si="7"/>
        <v>#N/A</v>
      </c>
      <c r="J402" s="1400" t="e">
        <v>#N/A</v>
      </c>
      <c r="K402" s="3082" t="e">
        <v>#N/A</v>
      </c>
      <c r="L402" s="3082" t="e">
        <v>#N/A</v>
      </c>
      <c r="M402" s="1892" t="e">
        <v>#N/A</v>
      </c>
      <c r="N402" s="1393" t="e">
        <v>#N/A</v>
      </c>
      <c r="O402" s="1393" t="e">
        <v>#N/A</v>
      </c>
      <c r="P402" s="1393" t="e">
        <v>#N/A</v>
      </c>
      <c r="Q402" s="1393" t="e">
        <v>#N/A</v>
      </c>
      <c r="R402" s="1393" t="e">
        <v>#N/A</v>
      </c>
      <c r="S402" s="1393" t="e">
        <v>#N/A</v>
      </c>
      <c r="T402" s="1393" t="e">
        <v>#N/A</v>
      </c>
      <c r="U402" s="1393" t="e">
        <v>#N/A</v>
      </c>
      <c r="V402" s="1393" t="e">
        <v>#N/A</v>
      </c>
      <c r="W402" s="1393" t="e">
        <v>#N/A</v>
      </c>
      <c r="X402" s="1393" t="e">
        <v>#N/A</v>
      </c>
      <c r="Y402" s="1393" t="e">
        <v>#N/A</v>
      </c>
      <c r="Z402" s="1393" t="e">
        <v>#N/A</v>
      </c>
      <c r="AA402" s="1393" t="e">
        <v>#N/A</v>
      </c>
      <c r="AB402" s="1393" t="e">
        <v>#N/A</v>
      </c>
      <c r="AC402" s="1393" t="e">
        <v>#N/A</v>
      </c>
      <c r="AD402" s="1393" t="e">
        <v>#N/A</v>
      </c>
      <c r="AE402" s="1393" t="e">
        <v>#N/A</v>
      </c>
      <c r="AF402" s="1393" t="e">
        <v>#N/A</v>
      </c>
      <c r="AG402" s="3072" t="e">
        <v>#N/A</v>
      </c>
    </row>
    <row r="403" spans="1:33">
      <c r="A403" s="63">
        <f t="shared" si="6"/>
        <v>2026.1</v>
      </c>
      <c r="B403" s="260" t="e">
        <v>#N/A</v>
      </c>
      <c r="C403" s="3034" t="e">
        <v>#N/A</v>
      </c>
      <c r="D403" s="169" t="e">
        <v>#N/A</v>
      </c>
      <c r="E403" s="260" t="e">
        <v>#N/A</v>
      </c>
      <c r="F403" s="2097" t="e">
        <v>#N/A</v>
      </c>
      <c r="G403" s="1399" t="e">
        <v>#N/A</v>
      </c>
      <c r="H403" s="3082" t="e">
        <v>#N/A</v>
      </c>
      <c r="I403" s="1890" t="e">
        <f t="shared" si="7"/>
        <v>#N/A</v>
      </c>
      <c r="J403" s="1400" t="e">
        <v>#N/A</v>
      </c>
      <c r="K403" s="3082" t="e">
        <v>#N/A</v>
      </c>
      <c r="L403" s="3082" t="e">
        <v>#N/A</v>
      </c>
      <c r="M403" s="1892" t="e">
        <v>#N/A</v>
      </c>
      <c r="N403" s="1393" t="e">
        <v>#N/A</v>
      </c>
      <c r="O403" s="1393" t="e">
        <v>#N/A</v>
      </c>
      <c r="P403" s="1393" t="e">
        <v>#N/A</v>
      </c>
      <c r="Q403" s="1393" t="e">
        <v>#N/A</v>
      </c>
      <c r="R403" s="1393" t="e">
        <v>#N/A</v>
      </c>
      <c r="S403" s="1393" t="e">
        <v>#N/A</v>
      </c>
      <c r="T403" s="1393" t="e">
        <v>#N/A</v>
      </c>
      <c r="U403" s="1393" t="e">
        <v>#N/A</v>
      </c>
      <c r="V403" s="1393" t="e">
        <v>#N/A</v>
      </c>
      <c r="W403" s="1393" t="e">
        <v>#N/A</v>
      </c>
      <c r="X403" s="1393" t="e">
        <v>#N/A</v>
      </c>
      <c r="Y403" s="1393" t="e">
        <v>#N/A</v>
      </c>
      <c r="Z403" s="1393" t="e">
        <v>#N/A</v>
      </c>
      <c r="AA403" s="1393" t="e">
        <v>#N/A</v>
      </c>
      <c r="AB403" s="1393" t="e">
        <v>#N/A</v>
      </c>
      <c r="AC403" s="1393" t="e">
        <v>#N/A</v>
      </c>
      <c r="AD403" s="1393" t="e">
        <v>#N/A</v>
      </c>
      <c r="AE403" s="1393" t="e">
        <v>#N/A</v>
      </c>
      <c r="AF403" s="1393" t="e">
        <v>#N/A</v>
      </c>
      <c r="AG403" s="3072" t="e">
        <v>#N/A</v>
      </c>
    </row>
    <row r="404" spans="1:33">
      <c r="A404" s="63">
        <f t="shared" si="6"/>
        <v>2026.11</v>
      </c>
      <c r="B404" s="260" t="e">
        <v>#N/A</v>
      </c>
      <c r="C404" s="3034" t="e">
        <v>#N/A</v>
      </c>
      <c r="D404" s="169" t="e">
        <v>#N/A</v>
      </c>
      <c r="E404" s="260" t="e">
        <v>#N/A</v>
      </c>
      <c r="F404" s="2097" t="e">
        <v>#N/A</v>
      </c>
      <c r="G404" s="1399" t="e">
        <v>#N/A</v>
      </c>
      <c r="H404" s="3082" t="e">
        <v>#N/A</v>
      </c>
      <c r="I404" s="1890" t="e">
        <f t="shared" si="7"/>
        <v>#N/A</v>
      </c>
      <c r="J404" s="1400" t="e">
        <v>#N/A</v>
      </c>
      <c r="K404" s="3082" t="e">
        <v>#N/A</v>
      </c>
      <c r="L404" s="3082" t="e">
        <v>#N/A</v>
      </c>
      <c r="M404" s="1892" t="e">
        <v>#N/A</v>
      </c>
      <c r="N404" s="1393" t="e">
        <v>#N/A</v>
      </c>
      <c r="O404" s="1393" t="e">
        <v>#N/A</v>
      </c>
      <c r="P404" s="1393" t="e">
        <v>#N/A</v>
      </c>
      <c r="Q404" s="1393" t="e">
        <v>#N/A</v>
      </c>
      <c r="R404" s="1393" t="e">
        <v>#N/A</v>
      </c>
      <c r="S404" s="1393" t="e">
        <v>#N/A</v>
      </c>
      <c r="T404" s="1393" t="e">
        <v>#N/A</v>
      </c>
      <c r="U404" s="1393" t="e">
        <v>#N/A</v>
      </c>
      <c r="V404" s="1393" t="e">
        <v>#N/A</v>
      </c>
      <c r="W404" s="1393" t="e">
        <v>#N/A</v>
      </c>
      <c r="X404" s="1393" t="e">
        <v>#N/A</v>
      </c>
      <c r="Y404" s="1393" t="e">
        <v>#N/A</v>
      </c>
      <c r="Z404" s="1393" t="e">
        <v>#N/A</v>
      </c>
      <c r="AA404" s="1393" t="e">
        <v>#N/A</v>
      </c>
      <c r="AB404" s="1393" t="e">
        <v>#N/A</v>
      </c>
      <c r="AC404" s="1393" t="e">
        <v>#N/A</v>
      </c>
      <c r="AD404" s="1393" t="e">
        <v>#N/A</v>
      </c>
      <c r="AE404" s="1393" t="e">
        <v>#N/A</v>
      </c>
      <c r="AF404" s="1393" t="e">
        <v>#N/A</v>
      </c>
      <c r="AG404" s="3072" t="e">
        <v>#N/A</v>
      </c>
    </row>
    <row r="405" spans="1:33">
      <c r="A405" s="63">
        <f t="shared" si="6"/>
        <v>2026.12</v>
      </c>
      <c r="B405" s="260" t="e">
        <v>#N/A</v>
      </c>
      <c r="C405" s="3034" t="e">
        <v>#N/A</v>
      </c>
      <c r="D405" s="169" t="e">
        <v>#N/A</v>
      </c>
      <c r="E405" s="260" t="e">
        <v>#N/A</v>
      </c>
      <c r="F405" s="2097" t="e">
        <v>#N/A</v>
      </c>
      <c r="G405" s="1399" t="e">
        <v>#N/A</v>
      </c>
      <c r="H405" s="3082" t="e">
        <v>#N/A</v>
      </c>
      <c r="I405" s="1890" t="e">
        <f t="shared" si="7"/>
        <v>#N/A</v>
      </c>
      <c r="J405" s="1400" t="e">
        <v>#N/A</v>
      </c>
      <c r="K405" s="3082" t="e">
        <v>#N/A</v>
      </c>
      <c r="L405" s="3082" t="e">
        <v>#N/A</v>
      </c>
      <c r="M405" s="1892" t="e">
        <v>#N/A</v>
      </c>
      <c r="N405" s="1393" t="e">
        <v>#N/A</v>
      </c>
      <c r="O405" s="1393" t="e">
        <v>#N/A</v>
      </c>
      <c r="P405" s="1393" t="e">
        <v>#N/A</v>
      </c>
      <c r="Q405" s="1393" t="e">
        <v>#N/A</v>
      </c>
      <c r="R405" s="1393" t="e">
        <v>#N/A</v>
      </c>
      <c r="S405" s="1393" t="e">
        <v>#N/A</v>
      </c>
      <c r="T405" s="1393" t="e">
        <v>#N/A</v>
      </c>
      <c r="U405" s="1393" t="e">
        <v>#N/A</v>
      </c>
      <c r="V405" s="1393" t="e">
        <v>#N/A</v>
      </c>
      <c r="W405" s="1393" t="e">
        <v>#N/A</v>
      </c>
      <c r="X405" s="1393" t="e">
        <v>#N/A</v>
      </c>
      <c r="Y405" s="1393" t="e">
        <v>#N/A</v>
      </c>
      <c r="Z405" s="1393" t="e">
        <v>#N/A</v>
      </c>
      <c r="AA405" s="1393" t="e">
        <v>#N/A</v>
      </c>
      <c r="AB405" s="1393" t="e">
        <v>#N/A</v>
      </c>
      <c r="AC405" s="1393" t="e">
        <v>#N/A</v>
      </c>
      <c r="AD405" s="1393" t="e">
        <v>#N/A</v>
      </c>
      <c r="AE405" s="1393" t="e">
        <v>#N/A</v>
      </c>
      <c r="AF405" s="1393" t="e">
        <v>#N/A</v>
      </c>
      <c r="AG405" s="3072" t="e">
        <v>#N/A</v>
      </c>
    </row>
    <row r="406" spans="1:33">
      <c r="A406" s="63">
        <f t="shared" si="6"/>
        <v>2027.01</v>
      </c>
      <c r="B406" s="260" t="e">
        <v>#N/A</v>
      </c>
      <c r="C406" s="3034" t="e">
        <v>#N/A</v>
      </c>
      <c r="D406" s="169" t="e">
        <v>#N/A</v>
      </c>
      <c r="E406" s="260" t="e">
        <v>#N/A</v>
      </c>
      <c r="F406" s="2097" t="e">
        <v>#N/A</v>
      </c>
      <c r="G406" s="1399" t="e">
        <v>#N/A</v>
      </c>
      <c r="H406" s="3082" t="e">
        <v>#N/A</v>
      </c>
      <c r="I406" s="1890" t="e">
        <f t="shared" si="7"/>
        <v>#N/A</v>
      </c>
      <c r="J406" s="1400" t="e">
        <v>#N/A</v>
      </c>
      <c r="K406" s="3082" t="e">
        <v>#N/A</v>
      </c>
      <c r="L406" s="3082" t="e">
        <v>#N/A</v>
      </c>
      <c r="M406" s="1892" t="e">
        <v>#N/A</v>
      </c>
      <c r="N406" s="1393" t="e">
        <v>#N/A</v>
      </c>
      <c r="O406" s="1393" t="e">
        <v>#N/A</v>
      </c>
      <c r="P406" s="1393" t="e">
        <v>#N/A</v>
      </c>
      <c r="Q406" s="1393" t="e">
        <v>#N/A</v>
      </c>
      <c r="R406" s="1393" t="e">
        <v>#N/A</v>
      </c>
      <c r="S406" s="1393" t="e">
        <v>#N/A</v>
      </c>
      <c r="T406" s="1393" t="e">
        <v>#N/A</v>
      </c>
      <c r="U406" s="1393" t="e">
        <v>#N/A</v>
      </c>
      <c r="V406" s="1393" t="e">
        <v>#N/A</v>
      </c>
      <c r="W406" s="1393" t="e">
        <v>#N/A</v>
      </c>
      <c r="X406" s="1393" t="e">
        <v>#N/A</v>
      </c>
      <c r="Y406" s="1393" t="e">
        <v>#N/A</v>
      </c>
      <c r="Z406" s="1393" t="e">
        <v>#N/A</v>
      </c>
      <c r="AA406" s="1393" t="e">
        <v>#N/A</v>
      </c>
      <c r="AB406" s="1393" t="e">
        <v>#N/A</v>
      </c>
      <c r="AC406" s="1393" t="e">
        <v>#N/A</v>
      </c>
      <c r="AD406" s="1393" t="e">
        <v>#N/A</v>
      </c>
      <c r="AE406" s="1393" t="e">
        <v>#N/A</v>
      </c>
      <c r="AF406" s="1393" t="e">
        <v>#N/A</v>
      </c>
      <c r="AG406" s="3072" t="e">
        <v>#N/A</v>
      </c>
    </row>
    <row r="407" spans="1:33">
      <c r="A407" s="63">
        <f t="shared" si="6"/>
        <v>2027.02</v>
      </c>
      <c r="B407" s="260" t="e">
        <v>#N/A</v>
      </c>
      <c r="C407" s="3034" t="e">
        <v>#N/A</v>
      </c>
      <c r="D407" s="169" t="e">
        <v>#N/A</v>
      </c>
      <c r="E407" s="260" t="e">
        <v>#N/A</v>
      </c>
      <c r="F407" s="2097" t="e">
        <v>#N/A</v>
      </c>
      <c r="G407" s="1399" t="e">
        <v>#N/A</v>
      </c>
      <c r="H407" s="3082" t="e">
        <v>#N/A</v>
      </c>
      <c r="I407" s="1890" t="e">
        <f t="shared" si="7"/>
        <v>#N/A</v>
      </c>
      <c r="J407" s="1400" t="e">
        <v>#N/A</v>
      </c>
      <c r="K407" s="3082" t="e">
        <v>#N/A</v>
      </c>
      <c r="L407" s="3082" t="e">
        <v>#N/A</v>
      </c>
      <c r="M407" s="1892" t="e">
        <v>#N/A</v>
      </c>
      <c r="N407" s="1393" t="e">
        <v>#N/A</v>
      </c>
      <c r="O407" s="1393" t="e">
        <v>#N/A</v>
      </c>
      <c r="P407" s="1393" t="e">
        <v>#N/A</v>
      </c>
      <c r="Q407" s="1393" t="e">
        <v>#N/A</v>
      </c>
      <c r="R407" s="1393" t="e">
        <v>#N/A</v>
      </c>
      <c r="S407" s="1393" t="e">
        <v>#N/A</v>
      </c>
      <c r="T407" s="1393" t="e">
        <v>#N/A</v>
      </c>
      <c r="U407" s="1393" t="e">
        <v>#N/A</v>
      </c>
      <c r="V407" s="1393" t="e">
        <v>#N/A</v>
      </c>
      <c r="W407" s="1393" t="e">
        <v>#N/A</v>
      </c>
      <c r="X407" s="1393" t="e">
        <v>#N/A</v>
      </c>
      <c r="Y407" s="1393" t="e">
        <v>#N/A</v>
      </c>
      <c r="Z407" s="1393" t="e">
        <v>#N/A</v>
      </c>
      <c r="AA407" s="1393" t="e">
        <v>#N/A</v>
      </c>
      <c r="AB407" s="1393" t="e">
        <v>#N/A</v>
      </c>
      <c r="AC407" s="1393" t="e">
        <v>#N/A</v>
      </c>
      <c r="AD407" s="1393" t="e">
        <v>#N/A</v>
      </c>
      <c r="AE407" s="1393" t="e">
        <v>#N/A</v>
      </c>
      <c r="AF407" s="1393" t="e">
        <v>#N/A</v>
      </c>
      <c r="AG407" s="3072" t="e">
        <v>#N/A</v>
      </c>
    </row>
    <row r="408" spans="1:33">
      <c r="A408" s="63">
        <f t="shared" si="6"/>
        <v>2027.03</v>
      </c>
      <c r="B408" s="260" t="e">
        <v>#N/A</v>
      </c>
      <c r="C408" s="3034" t="e">
        <v>#N/A</v>
      </c>
      <c r="D408" s="169" t="e">
        <v>#N/A</v>
      </c>
      <c r="E408" s="260" t="e">
        <v>#N/A</v>
      </c>
      <c r="F408" s="2097" t="e">
        <v>#N/A</v>
      </c>
      <c r="G408" s="1399" t="e">
        <v>#N/A</v>
      </c>
      <c r="H408" s="3082" t="e">
        <v>#N/A</v>
      </c>
      <c r="I408" s="1890" t="e">
        <f t="shared" si="7"/>
        <v>#N/A</v>
      </c>
      <c r="J408" s="1400" t="e">
        <v>#N/A</v>
      </c>
      <c r="K408" s="3082" t="e">
        <v>#N/A</v>
      </c>
      <c r="L408" s="3082" t="e">
        <v>#N/A</v>
      </c>
      <c r="M408" s="1892" t="e">
        <v>#N/A</v>
      </c>
      <c r="N408" s="1393" t="e">
        <v>#N/A</v>
      </c>
      <c r="O408" s="1393" t="e">
        <v>#N/A</v>
      </c>
      <c r="P408" s="1393" t="e">
        <v>#N/A</v>
      </c>
      <c r="Q408" s="1393" t="e">
        <v>#N/A</v>
      </c>
      <c r="R408" s="1393" t="e">
        <v>#N/A</v>
      </c>
      <c r="S408" s="1393" t="e">
        <v>#N/A</v>
      </c>
      <c r="T408" s="1393" t="e">
        <v>#N/A</v>
      </c>
      <c r="U408" s="1393" t="e">
        <v>#N/A</v>
      </c>
      <c r="V408" s="1393" t="e">
        <v>#N/A</v>
      </c>
      <c r="W408" s="1393" t="e">
        <v>#N/A</v>
      </c>
      <c r="X408" s="1393" t="e">
        <v>#N/A</v>
      </c>
      <c r="Y408" s="1393" t="e">
        <v>#N/A</v>
      </c>
      <c r="Z408" s="1393" t="e">
        <v>#N/A</v>
      </c>
      <c r="AA408" s="1393" t="e">
        <v>#N/A</v>
      </c>
      <c r="AB408" s="1393" t="e">
        <v>#N/A</v>
      </c>
      <c r="AC408" s="1393" t="e">
        <v>#N/A</v>
      </c>
      <c r="AD408" s="1393" t="e">
        <v>#N/A</v>
      </c>
      <c r="AE408" s="1393" t="e">
        <v>#N/A</v>
      </c>
      <c r="AF408" s="1393" t="e">
        <v>#N/A</v>
      </c>
      <c r="AG408" s="3072" t="e">
        <v>#N/A</v>
      </c>
    </row>
    <row r="409" spans="1:33">
      <c r="A409" s="63">
        <f t="shared" si="6"/>
        <v>2027.04</v>
      </c>
      <c r="B409" s="260" t="e">
        <v>#N/A</v>
      </c>
      <c r="C409" s="3034" t="e">
        <v>#N/A</v>
      </c>
      <c r="D409" s="169" t="e">
        <v>#N/A</v>
      </c>
      <c r="E409" s="260" t="e">
        <v>#N/A</v>
      </c>
      <c r="F409" s="2097" t="e">
        <v>#N/A</v>
      </c>
      <c r="G409" s="1399" t="e">
        <v>#N/A</v>
      </c>
      <c r="H409" s="3082" t="e">
        <v>#N/A</v>
      </c>
      <c r="I409" s="1890" t="e">
        <f t="shared" si="7"/>
        <v>#N/A</v>
      </c>
      <c r="J409" s="1400" t="e">
        <v>#N/A</v>
      </c>
      <c r="K409" s="3082" t="e">
        <v>#N/A</v>
      </c>
      <c r="L409" s="3082" t="e">
        <v>#N/A</v>
      </c>
      <c r="M409" s="1892" t="e">
        <v>#N/A</v>
      </c>
      <c r="N409" s="1393" t="e">
        <v>#N/A</v>
      </c>
      <c r="O409" s="1393" t="e">
        <v>#N/A</v>
      </c>
      <c r="P409" s="1393" t="e">
        <v>#N/A</v>
      </c>
      <c r="Q409" s="1393" t="e">
        <v>#N/A</v>
      </c>
      <c r="R409" s="1393" t="e">
        <v>#N/A</v>
      </c>
      <c r="S409" s="1393" t="e">
        <v>#N/A</v>
      </c>
      <c r="T409" s="1393" t="e">
        <v>#N/A</v>
      </c>
      <c r="U409" s="1393" t="e">
        <v>#N/A</v>
      </c>
      <c r="V409" s="1393" t="e">
        <v>#N/A</v>
      </c>
      <c r="W409" s="1393" t="e">
        <v>#N/A</v>
      </c>
      <c r="X409" s="1393" t="e">
        <v>#N/A</v>
      </c>
      <c r="Y409" s="1393" t="e">
        <v>#N/A</v>
      </c>
      <c r="Z409" s="1393" t="e">
        <v>#N/A</v>
      </c>
      <c r="AA409" s="1393" t="e">
        <v>#N/A</v>
      </c>
      <c r="AB409" s="1393" t="e">
        <v>#N/A</v>
      </c>
      <c r="AC409" s="1393" t="e">
        <v>#N/A</v>
      </c>
      <c r="AD409" s="1393" t="e">
        <v>#N/A</v>
      </c>
      <c r="AE409" s="1393" t="e">
        <v>#N/A</v>
      </c>
      <c r="AF409" s="1393" t="e">
        <v>#N/A</v>
      </c>
      <c r="AG409" s="3072" t="e">
        <v>#N/A</v>
      </c>
    </row>
    <row r="410" spans="1:33">
      <c r="A410" s="63">
        <f t="shared" si="6"/>
        <v>2027.05</v>
      </c>
      <c r="B410" s="260" t="e">
        <v>#N/A</v>
      </c>
      <c r="C410" s="3034" t="e">
        <v>#N/A</v>
      </c>
      <c r="D410" s="169" t="e">
        <v>#N/A</v>
      </c>
      <c r="E410" s="260" t="e">
        <v>#N/A</v>
      </c>
      <c r="F410" s="2097" t="e">
        <v>#N/A</v>
      </c>
      <c r="G410" s="1399" t="e">
        <v>#N/A</v>
      </c>
      <c r="H410" s="3082" t="e">
        <v>#N/A</v>
      </c>
      <c r="I410" s="1890" t="e">
        <f t="shared" si="7"/>
        <v>#N/A</v>
      </c>
      <c r="J410" s="1400" t="e">
        <v>#N/A</v>
      </c>
      <c r="K410" s="3082" t="e">
        <v>#N/A</v>
      </c>
      <c r="L410" s="3082" t="e">
        <v>#N/A</v>
      </c>
      <c r="M410" s="1892" t="e">
        <v>#N/A</v>
      </c>
      <c r="N410" s="1393" t="e">
        <v>#N/A</v>
      </c>
      <c r="O410" s="1393" t="e">
        <v>#N/A</v>
      </c>
      <c r="P410" s="1393" t="e">
        <v>#N/A</v>
      </c>
      <c r="Q410" s="1393" t="e">
        <v>#N/A</v>
      </c>
      <c r="R410" s="1393" t="e">
        <v>#N/A</v>
      </c>
      <c r="S410" s="1393" t="e">
        <v>#N/A</v>
      </c>
      <c r="T410" s="1393" t="e">
        <v>#N/A</v>
      </c>
      <c r="U410" s="1393" t="e">
        <v>#N/A</v>
      </c>
      <c r="V410" s="1393" t="e">
        <v>#N/A</v>
      </c>
      <c r="W410" s="1393" t="e">
        <v>#N/A</v>
      </c>
      <c r="X410" s="1393" t="e">
        <v>#N/A</v>
      </c>
      <c r="Y410" s="1393" t="e">
        <v>#N/A</v>
      </c>
      <c r="Z410" s="1393" t="e">
        <v>#N/A</v>
      </c>
      <c r="AA410" s="1393" t="e">
        <v>#N/A</v>
      </c>
      <c r="AB410" s="1393" t="e">
        <v>#N/A</v>
      </c>
      <c r="AC410" s="1393" t="e">
        <v>#N/A</v>
      </c>
      <c r="AD410" s="1393" t="e">
        <v>#N/A</v>
      </c>
      <c r="AE410" s="1393" t="e">
        <v>#N/A</v>
      </c>
      <c r="AF410" s="1393" t="e">
        <v>#N/A</v>
      </c>
      <c r="AG410" s="3072" t="e">
        <v>#N/A</v>
      </c>
    </row>
    <row r="411" spans="1:33">
      <c r="A411" s="63">
        <f t="shared" si="6"/>
        <v>2027.06</v>
      </c>
      <c r="B411" s="260" t="e">
        <v>#N/A</v>
      </c>
      <c r="C411" s="3034" t="e">
        <v>#N/A</v>
      </c>
      <c r="D411" s="169" t="e">
        <v>#N/A</v>
      </c>
      <c r="E411" s="260" t="e">
        <v>#N/A</v>
      </c>
      <c r="F411" s="2097" t="e">
        <v>#N/A</v>
      </c>
      <c r="G411" s="1399" t="e">
        <v>#N/A</v>
      </c>
      <c r="H411" s="3082" t="e">
        <v>#N/A</v>
      </c>
      <c r="I411" s="1890" t="e">
        <f t="shared" si="7"/>
        <v>#N/A</v>
      </c>
      <c r="J411" s="1400" t="e">
        <v>#N/A</v>
      </c>
      <c r="K411" s="3082" t="e">
        <v>#N/A</v>
      </c>
      <c r="L411" s="3082" t="e">
        <v>#N/A</v>
      </c>
      <c r="M411" s="1892" t="e">
        <v>#N/A</v>
      </c>
      <c r="N411" s="1393" t="e">
        <v>#N/A</v>
      </c>
      <c r="O411" s="1393" t="e">
        <v>#N/A</v>
      </c>
      <c r="P411" s="1393" t="e">
        <v>#N/A</v>
      </c>
      <c r="Q411" s="1393" t="e">
        <v>#N/A</v>
      </c>
      <c r="R411" s="1393" t="e">
        <v>#N/A</v>
      </c>
      <c r="S411" s="1393" t="e">
        <v>#N/A</v>
      </c>
      <c r="T411" s="1393" t="e">
        <v>#N/A</v>
      </c>
      <c r="U411" s="1393" t="e">
        <v>#N/A</v>
      </c>
      <c r="V411" s="1393" t="e">
        <v>#N/A</v>
      </c>
      <c r="W411" s="1393" t="e">
        <v>#N/A</v>
      </c>
      <c r="X411" s="1393" t="e">
        <v>#N/A</v>
      </c>
      <c r="Y411" s="1393" t="e">
        <v>#N/A</v>
      </c>
      <c r="Z411" s="1393" t="e">
        <v>#N/A</v>
      </c>
      <c r="AA411" s="1393" t="e">
        <v>#N/A</v>
      </c>
      <c r="AB411" s="1393" t="e">
        <v>#N/A</v>
      </c>
      <c r="AC411" s="1393" t="e">
        <v>#N/A</v>
      </c>
      <c r="AD411" s="1393" t="e">
        <v>#N/A</v>
      </c>
      <c r="AE411" s="1393" t="e">
        <v>#N/A</v>
      </c>
      <c r="AF411" s="1393" t="e">
        <v>#N/A</v>
      </c>
      <c r="AG411" s="3072" t="e">
        <v>#N/A</v>
      </c>
    </row>
    <row r="412" spans="1:33">
      <c r="A412" s="63">
        <f t="shared" si="6"/>
        <v>2027.07</v>
      </c>
      <c r="B412" s="260" t="e">
        <v>#N/A</v>
      </c>
      <c r="C412" s="3034" t="e">
        <v>#N/A</v>
      </c>
      <c r="D412" s="169" t="e">
        <v>#N/A</v>
      </c>
      <c r="E412" s="260" t="e">
        <v>#N/A</v>
      </c>
      <c r="F412" s="2097" t="e">
        <v>#N/A</v>
      </c>
      <c r="G412" s="1399" t="e">
        <v>#N/A</v>
      </c>
      <c r="H412" s="3082" t="e">
        <v>#N/A</v>
      </c>
      <c r="I412" s="1890" t="e">
        <f t="shared" si="7"/>
        <v>#N/A</v>
      </c>
      <c r="J412" s="1400" t="e">
        <v>#N/A</v>
      </c>
      <c r="K412" s="3082" t="e">
        <v>#N/A</v>
      </c>
      <c r="L412" s="3082" t="e">
        <v>#N/A</v>
      </c>
      <c r="M412" s="1892" t="e">
        <v>#N/A</v>
      </c>
      <c r="N412" s="1393" t="e">
        <v>#N/A</v>
      </c>
      <c r="O412" s="1393" t="e">
        <v>#N/A</v>
      </c>
      <c r="P412" s="1393" t="e">
        <v>#N/A</v>
      </c>
      <c r="Q412" s="1393" t="e">
        <v>#N/A</v>
      </c>
      <c r="R412" s="1393" t="e">
        <v>#N/A</v>
      </c>
      <c r="S412" s="1393" t="e">
        <v>#N/A</v>
      </c>
      <c r="T412" s="1393" t="e">
        <v>#N/A</v>
      </c>
      <c r="U412" s="1393" t="e">
        <v>#N/A</v>
      </c>
      <c r="V412" s="1393" t="e">
        <v>#N/A</v>
      </c>
      <c r="W412" s="1393" t="e">
        <v>#N/A</v>
      </c>
      <c r="X412" s="1393" t="e">
        <v>#N/A</v>
      </c>
      <c r="Y412" s="1393" t="e">
        <v>#N/A</v>
      </c>
      <c r="Z412" s="1393" t="e">
        <v>#N/A</v>
      </c>
      <c r="AA412" s="1393" t="e">
        <v>#N/A</v>
      </c>
      <c r="AB412" s="1393" t="e">
        <v>#N/A</v>
      </c>
      <c r="AC412" s="1393" t="e">
        <v>#N/A</v>
      </c>
      <c r="AD412" s="1393" t="e">
        <v>#N/A</v>
      </c>
      <c r="AE412" s="1393" t="e">
        <v>#N/A</v>
      </c>
      <c r="AF412" s="1393" t="e">
        <v>#N/A</v>
      </c>
      <c r="AG412" s="3072" t="e">
        <v>#N/A</v>
      </c>
    </row>
    <row r="413" spans="1:33">
      <c r="A413" s="63">
        <f t="shared" si="6"/>
        <v>2027.08</v>
      </c>
      <c r="B413" s="260" t="e">
        <v>#N/A</v>
      </c>
      <c r="C413" s="3034" t="e">
        <v>#N/A</v>
      </c>
      <c r="D413" s="169" t="e">
        <v>#N/A</v>
      </c>
      <c r="E413" s="260" t="e">
        <v>#N/A</v>
      </c>
      <c r="F413" s="2097" t="e">
        <v>#N/A</v>
      </c>
      <c r="G413" s="1399" t="e">
        <v>#N/A</v>
      </c>
      <c r="H413" s="3082" t="e">
        <v>#N/A</v>
      </c>
      <c r="I413" s="1890" t="e">
        <f t="shared" si="7"/>
        <v>#N/A</v>
      </c>
      <c r="J413" s="1400" t="e">
        <v>#N/A</v>
      </c>
      <c r="K413" s="3082" t="e">
        <v>#N/A</v>
      </c>
      <c r="L413" s="3082" t="e">
        <v>#N/A</v>
      </c>
      <c r="M413" s="1892" t="e">
        <v>#N/A</v>
      </c>
      <c r="N413" s="1393" t="e">
        <v>#N/A</v>
      </c>
      <c r="O413" s="1393" t="e">
        <v>#N/A</v>
      </c>
      <c r="P413" s="1393" t="e">
        <v>#N/A</v>
      </c>
      <c r="Q413" s="1393" t="e">
        <v>#N/A</v>
      </c>
      <c r="R413" s="1393" t="e">
        <v>#N/A</v>
      </c>
      <c r="S413" s="1393" t="e">
        <v>#N/A</v>
      </c>
      <c r="T413" s="1393" t="e">
        <v>#N/A</v>
      </c>
      <c r="U413" s="1393" t="e">
        <v>#N/A</v>
      </c>
      <c r="V413" s="1393" t="e">
        <v>#N/A</v>
      </c>
      <c r="W413" s="1393" t="e">
        <v>#N/A</v>
      </c>
      <c r="X413" s="1393" t="e">
        <v>#N/A</v>
      </c>
      <c r="Y413" s="1393" t="e">
        <v>#N/A</v>
      </c>
      <c r="Z413" s="1393" t="e">
        <v>#N/A</v>
      </c>
      <c r="AA413" s="1393" t="e">
        <v>#N/A</v>
      </c>
      <c r="AB413" s="1393" t="e">
        <v>#N/A</v>
      </c>
      <c r="AC413" s="1393" t="e">
        <v>#N/A</v>
      </c>
      <c r="AD413" s="1393" t="e">
        <v>#N/A</v>
      </c>
      <c r="AE413" s="1393" t="e">
        <v>#N/A</v>
      </c>
      <c r="AF413" s="1393" t="e">
        <v>#N/A</v>
      </c>
      <c r="AG413" s="3072" t="e">
        <v>#N/A</v>
      </c>
    </row>
    <row r="414" spans="1:33">
      <c r="A414" s="63">
        <f t="shared" si="6"/>
        <v>2027.09</v>
      </c>
      <c r="B414" s="260" t="e">
        <v>#N/A</v>
      </c>
      <c r="C414" s="3034" t="e">
        <v>#N/A</v>
      </c>
      <c r="D414" s="169" t="e">
        <v>#N/A</v>
      </c>
      <c r="E414" s="260" t="e">
        <v>#N/A</v>
      </c>
      <c r="F414" s="2097" t="e">
        <v>#N/A</v>
      </c>
      <c r="G414" s="1399" t="e">
        <v>#N/A</v>
      </c>
      <c r="H414" s="3082" t="e">
        <v>#N/A</v>
      </c>
      <c r="I414" s="1890" t="e">
        <f t="shared" si="7"/>
        <v>#N/A</v>
      </c>
      <c r="J414" s="1400" t="e">
        <v>#N/A</v>
      </c>
      <c r="K414" s="3082" t="e">
        <v>#N/A</v>
      </c>
      <c r="L414" s="3082" t="e">
        <v>#N/A</v>
      </c>
      <c r="M414" s="1892" t="e">
        <v>#N/A</v>
      </c>
      <c r="N414" s="1393" t="e">
        <v>#N/A</v>
      </c>
      <c r="O414" s="1393" t="e">
        <v>#N/A</v>
      </c>
      <c r="P414" s="1393" t="e">
        <v>#N/A</v>
      </c>
      <c r="Q414" s="1393" t="e">
        <v>#N/A</v>
      </c>
      <c r="R414" s="1393" t="e">
        <v>#N/A</v>
      </c>
      <c r="S414" s="1393" t="e">
        <v>#N/A</v>
      </c>
      <c r="T414" s="1393" t="e">
        <v>#N/A</v>
      </c>
      <c r="U414" s="1393" t="e">
        <v>#N/A</v>
      </c>
      <c r="V414" s="1393" t="e">
        <v>#N/A</v>
      </c>
      <c r="W414" s="1393" t="e">
        <v>#N/A</v>
      </c>
      <c r="X414" s="1393" t="e">
        <v>#N/A</v>
      </c>
      <c r="Y414" s="1393" t="e">
        <v>#N/A</v>
      </c>
      <c r="Z414" s="1393" t="e">
        <v>#N/A</v>
      </c>
      <c r="AA414" s="1393" t="e">
        <v>#N/A</v>
      </c>
      <c r="AB414" s="1393" t="e">
        <v>#N/A</v>
      </c>
      <c r="AC414" s="1393" t="e">
        <v>#N/A</v>
      </c>
      <c r="AD414" s="1393" t="e">
        <v>#N/A</v>
      </c>
      <c r="AE414" s="1393" t="e">
        <v>#N/A</v>
      </c>
      <c r="AF414" s="1393" t="e">
        <v>#N/A</v>
      </c>
      <c r="AG414" s="3072" t="e">
        <v>#N/A</v>
      </c>
    </row>
    <row r="415" spans="1:33">
      <c r="A415" s="63">
        <f t="shared" si="6"/>
        <v>2027.1</v>
      </c>
      <c r="B415" s="260" t="e">
        <v>#N/A</v>
      </c>
      <c r="C415" s="3034" t="e">
        <v>#N/A</v>
      </c>
      <c r="D415" s="169" t="e">
        <v>#N/A</v>
      </c>
      <c r="E415" s="260" t="e">
        <v>#N/A</v>
      </c>
      <c r="F415" s="2097" t="e">
        <v>#N/A</v>
      </c>
      <c r="G415" s="1399" t="e">
        <v>#N/A</v>
      </c>
      <c r="H415" s="3082" t="e">
        <v>#N/A</v>
      </c>
      <c r="I415" s="1890" t="e">
        <f t="shared" si="7"/>
        <v>#N/A</v>
      </c>
      <c r="J415" s="1400" t="e">
        <v>#N/A</v>
      </c>
      <c r="K415" s="3082" t="e">
        <v>#N/A</v>
      </c>
      <c r="L415" s="3082" t="e">
        <v>#N/A</v>
      </c>
      <c r="M415" s="1892" t="e">
        <v>#N/A</v>
      </c>
      <c r="N415" s="1393" t="e">
        <v>#N/A</v>
      </c>
      <c r="O415" s="1393" t="e">
        <v>#N/A</v>
      </c>
      <c r="P415" s="1393" t="e">
        <v>#N/A</v>
      </c>
      <c r="Q415" s="1393" t="e">
        <v>#N/A</v>
      </c>
      <c r="R415" s="1393" t="e">
        <v>#N/A</v>
      </c>
      <c r="S415" s="1393" t="e">
        <v>#N/A</v>
      </c>
      <c r="T415" s="1393" t="e">
        <v>#N/A</v>
      </c>
      <c r="U415" s="1393" t="e">
        <v>#N/A</v>
      </c>
      <c r="V415" s="1393" t="e">
        <v>#N/A</v>
      </c>
      <c r="W415" s="1393" t="e">
        <v>#N/A</v>
      </c>
      <c r="X415" s="1393" t="e">
        <v>#N/A</v>
      </c>
      <c r="Y415" s="1393" t="e">
        <v>#N/A</v>
      </c>
      <c r="Z415" s="1393" t="e">
        <v>#N/A</v>
      </c>
      <c r="AA415" s="1393" t="e">
        <v>#N/A</v>
      </c>
      <c r="AB415" s="1393" t="e">
        <v>#N/A</v>
      </c>
      <c r="AC415" s="1393" t="e">
        <v>#N/A</v>
      </c>
      <c r="AD415" s="1393" t="e">
        <v>#N/A</v>
      </c>
      <c r="AE415" s="1393" t="e">
        <v>#N/A</v>
      </c>
      <c r="AF415" s="1393" t="e">
        <v>#N/A</v>
      </c>
      <c r="AG415" s="3072" t="e">
        <v>#N/A</v>
      </c>
    </row>
    <row r="416" spans="1:33">
      <c r="A416" s="63">
        <f t="shared" si="6"/>
        <v>2027.11</v>
      </c>
      <c r="B416" s="260" t="e">
        <v>#N/A</v>
      </c>
      <c r="C416" s="3034" t="e">
        <v>#N/A</v>
      </c>
      <c r="D416" s="169" t="e">
        <v>#N/A</v>
      </c>
      <c r="E416" s="260" t="e">
        <v>#N/A</v>
      </c>
      <c r="F416" s="2097" t="e">
        <v>#N/A</v>
      </c>
      <c r="G416" s="1399" t="e">
        <v>#N/A</v>
      </c>
      <c r="H416" s="3082" t="e">
        <v>#N/A</v>
      </c>
      <c r="I416" s="1890" t="e">
        <f t="shared" si="7"/>
        <v>#N/A</v>
      </c>
      <c r="J416" s="1400" t="e">
        <v>#N/A</v>
      </c>
      <c r="K416" s="3082" t="e">
        <v>#N/A</v>
      </c>
      <c r="L416" s="3082" t="e">
        <v>#N/A</v>
      </c>
      <c r="M416" s="1892" t="e">
        <v>#N/A</v>
      </c>
      <c r="N416" s="1393" t="e">
        <v>#N/A</v>
      </c>
      <c r="O416" s="1393" t="e">
        <v>#N/A</v>
      </c>
      <c r="P416" s="1393" t="e">
        <v>#N/A</v>
      </c>
      <c r="Q416" s="1393" t="e">
        <v>#N/A</v>
      </c>
      <c r="R416" s="1393" t="e">
        <v>#N/A</v>
      </c>
      <c r="S416" s="1393" t="e">
        <v>#N/A</v>
      </c>
      <c r="T416" s="1393" t="e">
        <v>#N/A</v>
      </c>
      <c r="U416" s="1393" t="e">
        <v>#N/A</v>
      </c>
      <c r="V416" s="1393" t="e">
        <v>#N/A</v>
      </c>
      <c r="W416" s="1393" t="e">
        <v>#N/A</v>
      </c>
      <c r="X416" s="1393" t="e">
        <v>#N/A</v>
      </c>
      <c r="Y416" s="1393" t="e">
        <v>#N/A</v>
      </c>
      <c r="Z416" s="1393" t="e">
        <v>#N/A</v>
      </c>
      <c r="AA416" s="1393" t="e">
        <v>#N/A</v>
      </c>
      <c r="AB416" s="1393" t="e">
        <v>#N/A</v>
      </c>
      <c r="AC416" s="1393" t="e">
        <v>#N/A</v>
      </c>
      <c r="AD416" s="1393" t="e">
        <v>#N/A</v>
      </c>
      <c r="AE416" s="1393" t="e">
        <v>#N/A</v>
      </c>
      <c r="AF416" s="1393" t="e">
        <v>#N/A</v>
      </c>
      <c r="AG416" s="3072" t="e">
        <v>#N/A</v>
      </c>
    </row>
    <row r="417" spans="1:33">
      <c r="A417" s="63">
        <f t="shared" si="6"/>
        <v>2027.12</v>
      </c>
      <c r="B417" s="260" t="e">
        <v>#N/A</v>
      </c>
      <c r="C417" s="3034" t="e">
        <v>#N/A</v>
      </c>
      <c r="D417" s="169" t="e">
        <v>#N/A</v>
      </c>
      <c r="E417" s="260" t="e">
        <v>#N/A</v>
      </c>
      <c r="F417" s="2097" t="e">
        <v>#N/A</v>
      </c>
      <c r="G417" s="1399" t="e">
        <v>#N/A</v>
      </c>
      <c r="H417" s="3082" t="e">
        <v>#N/A</v>
      </c>
      <c r="I417" s="1890" t="e">
        <f t="shared" si="7"/>
        <v>#N/A</v>
      </c>
      <c r="J417" s="1400" t="e">
        <v>#N/A</v>
      </c>
      <c r="K417" s="3082" t="e">
        <v>#N/A</v>
      </c>
      <c r="L417" s="3082" t="e">
        <v>#N/A</v>
      </c>
      <c r="M417" s="1892" t="e">
        <v>#N/A</v>
      </c>
      <c r="N417" s="1393" t="e">
        <v>#N/A</v>
      </c>
      <c r="O417" s="1393" t="e">
        <v>#N/A</v>
      </c>
      <c r="P417" s="1393" t="e">
        <v>#N/A</v>
      </c>
      <c r="Q417" s="1393" t="e">
        <v>#N/A</v>
      </c>
      <c r="R417" s="1393" t="e">
        <v>#N/A</v>
      </c>
      <c r="S417" s="1393" t="e">
        <v>#N/A</v>
      </c>
      <c r="T417" s="1393" t="e">
        <v>#N/A</v>
      </c>
      <c r="U417" s="1393" t="e">
        <v>#N/A</v>
      </c>
      <c r="V417" s="1393" t="e">
        <v>#N/A</v>
      </c>
      <c r="W417" s="1393" t="e">
        <v>#N/A</v>
      </c>
      <c r="X417" s="1393" t="e">
        <v>#N/A</v>
      </c>
      <c r="Y417" s="1393" t="e">
        <v>#N/A</v>
      </c>
      <c r="Z417" s="1393" t="e">
        <v>#N/A</v>
      </c>
      <c r="AA417" s="1393" t="e">
        <v>#N/A</v>
      </c>
      <c r="AB417" s="1393" t="e">
        <v>#N/A</v>
      </c>
      <c r="AC417" s="1393" t="e">
        <v>#N/A</v>
      </c>
      <c r="AD417" s="1393" t="e">
        <v>#N/A</v>
      </c>
      <c r="AE417" s="1393" t="e">
        <v>#N/A</v>
      </c>
      <c r="AF417" s="1393" t="e">
        <v>#N/A</v>
      </c>
      <c r="AG417" s="3072" t="e">
        <v>#N/A</v>
      </c>
    </row>
    <row r="418" spans="1:33">
      <c r="A418" s="63">
        <f t="shared" si="6"/>
        <v>2028.01</v>
      </c>
      <c r="B418" s="260" t="e">
        <v>#N/A</v>
      </c>
      <c r="C418" s="3034" t="e">
        <v>#N/A</v>
      </c>
      <c r="D418" s="169" t="e">
        <v>#N/A</v>
      </c>
      <c r="E418" s="260" t="e">
        <v>#N/A</v>
      </c>
      <c r="F418" s="2097" t="e">
        <v>#N/A</v>
      </c>
      <c r="G418" s="1399" t="e">
        <v>#N/A</v>
      </c>
      <c r="H418" s="3082" t="e">
        <v>#N/A</v>
      </c>
      <c r="I418" s="1890" t="e">
        <f t="shared" si="7"/>
        <v>#N/A</v>
      </c>
      <c r="J418" s="1400" t="e">
        <v>#N/A</v>
      </c>
      <c r="K418" s="3082" t="e">
        <v>#N/A</v>
      </c>
      <c r="L418" s="3082" t="e">
        <v>#N/A</v>
      </c>
      <c r="M418" s="1892" t="e">
        <v>#N/A</v>
      </c>
      <c r="N418" s="1393" t="e">
        <v>#N/A</v>
      </c>
      <c r="O418" s="1393" t="e">
        <v>#N/A</v>
      </c>
      <c r="P418" s="1393" t="e">
        <v>#N/A</v>
      </c>
      <c r="Q418" s="1393" t="e">
        <v>#N/A</v>
      </c>
      <c r="R418" s="1393" t="e">
        <v>#N/A</v>
      </c>
      <c r="S418" s="1393" t="e">
        <v>#N/A</v>
      </c>
      <c r="T418" s="1393" t="e">
        <v>#N/A</v>
      </c>
      <c r="U418" s="1393" t="e">
        <v>#N/A</v>
      </c>
      <c r="V418" s="1393" t="e">
        <v>#N/A</v>
      </c>
      <c r="W418" s="1393" t="e">
        <v>#N/A</v>
      </c>
      <c r="X418" s="1393" t="e">
        <v>#N/A</v>
      </c>
      <c r="Y418" s="1393" t="e">
        <v>#N/A</v>
      </c>
      <c r="Z418" s="1393" t="e">
        <v>#N/A</v>
      </c>
      <c r="AA418" s="1393" t="e">
        <v>#N/A</v>
      </c>
      <c r="AB418" s="1393" t="e">
        <v>#N/A</v>
      </c>
      <c r="AC418" s="1393" t="e">
        <v>#N/A</v>
      </c>
      <c r="AD418" s="1393" t="e">
        <v>#N/A</v>
      </c>
      <c r="AE418" s="1393" t="e">
        <v>#N/A</v>
      </c>
      <c r="AF418" s="1393" t="e">
        <v>#N/A</v>
      </c>
      <c r="AG418" s="3072" t="e">
        <v>#N/A</v>
      </c>
    </row>
    <row r="419" spans="1:33">
      <c r="A419" s="63">
        <f t="shared" si="6"/>
        <v>2028.02</v>
      </c>
      <c r="B419" s="260" t="e">
        <v>#N/A</v>
      </c>
      <c r="C419" s="3034" t="e">
        <v>#N/A</v>
      </c>
      <c r="D419" s="169" t="e">
        <v>#N/A</v>
      </c>
      <c r="E419" s="260" t="e">
        <v>#N/A</v>
      </c>
      <c r="F419" s="2097" t="e">
        <v>#N/A</v>
      </c>
      <c r="G419" s="1399" t="e">
        <v>#N/A</v>
      </c>
      <c r="H419" s="3082" t="e">
        <v>#N/A</v>
      </c>
      <c r="I419" s="1890" t="e">
        <f t="shared" si="7"/>
        <v>#N/A</v>
      </c>
      <c r="J419" s="1400" t="e">
        <v>#N/A</v>
      </c>
      <c r="K419" s="3082" t="e">
        <v>#N/A</v>
      </c>
      <c r="L419" s="3082" t="e">
        <v>#N/A</v>
      </c>
      <c r="M419" s="1892" t="e">
        <v>#N/A</v>
      </c>
      <c r="N419" s="1393" t="e">
        <v>#N/A</v>
      </c>
      <c r="O419" s="1393" t="e">
        <v>#N/A</v>
      </c>
      <c r="P419" s="1393" t="e">
        <v>#N/A</v>
      </c>
      <c r="Q419" s="1393" t="e">
        <v>#N/A</v>
      </c>
      <c r="R419" s="1393" t="e">
        <v>#N/A</v>
      </c>
      <c r="S419" s="1393" t="e">
        <v>#N/A</v>
      </c>
      <c r="T419" s="1393" t="e">
        <v>#N/A</v>
      </c>
      <c r="U419" s="1393" t="e">
        <v>#N/A</v>
      </c>
      <c r="V419" s="1393" t="e">
        <v>#N/A</v>
      </c>
      <c r="W419" s="1393" t="e">
        <v>#N/A</v>
      </c>
      <c r="X419" s="1393" t="e">
        <v>#N/A</v>
      </c>
      <c r="Y419" s="1393" t="e">
        <v>#N/A</v>
      </c>
      <c r="Z419" s="1393" t="e">
        <v>#N/A</v>
      </c>
      <c r="AA419" s="1393" t="e">
        <v>#N/A</v>
      </c>
      <c r="AB419" s="1393" t="e">
        <v>#N/A</v>
      </c>
      <c r="AC419" s="1393" t="e">
        <v>#N/A</v>
      </c>
      <c r="AD419" s="1393" t="e">
        <v>#N/A</v>
      </c>
      <c r="AE419" s="1393" t="e">
        <v>#N/A</v>
      </c>
      <c r="AF419" s="1393" t="e">
        <v>#N/A</v>
      </c>
      <c r="AG419" s="3072" t="e">
        <v>#N/A</v>
      </c>
    </row>
    <row r="420" spans="1:33">
      <c r="A420" s="63">
        <f t="shared" si="6"/>
        <v>2028.03</v>
      </c>
      <c r="B420" s="260" t="e">
        <v>#N/A</v>
      </c>
      <c r="C420" s="3034" t="e">
        <v>#N/A</v>
      </c>
      <c r="D420" s="169" t="e">
        <v>#N/A</v>
      </c>
      <c r="E420" s="260" t="e">
        <v>#N/A</v>
      </c>
      <c r="F420" s="2097" t="e">
        <v>#N/A</v>
      </c>
      <c r="G420" s="1399" t="e">
        <v>#N/A</v>
      </c>
      <c r="H420" s="3082" t="e">
        <v>#N/A</v>
      </c>
      <c r="I420" s="1890" t="e">
        <f t="shared" si="7"/>
        <v>#N/A</v>
      </c>
      <c r="J420" s="1400" t="e">
        <v>#N/A</v>
      </c>
      <c r="K420" s="3082" t="e">
        <v>#N/A</v>
      </c>
      <c r="L420" s="3082" t="e">
        <v>#N/A</v>
      </c>
      <c r="M420" s="1892" t="e">
        <v>#N/A</v>
      </c>
      <c r="N420" s="1393" t="e">
        <v>#N/A</v>
      </c>
      <c r="O420" s="1393" t="e">
        <v>#N/A</v>
      </c>
      <c r="P420" s="1393" t="e">
        <v>#N/A</v>
      </c>
      <c r="Q420" s="1393" t="e">
        <v>#N/A</v>
      </c>
      <c r="R420" s="1393" t="e">
        <v>#N/A</v>
      </c>
      <c r="S420" s="1393" t="e">
        <v>#N/A</v>
      </c>
      <c r="T420" s="1393" t="e">
        <v>#N/A</v>
      </c>
      <c r="U420" s="1393" t="e">
        <v>#N/A</v>
      </c>
      <c r="V420" s="1393" t="e">
        <v>#N/A</v>
      </c>
      <c r="W420" s="1393" t="e">
        <v>#N/A</v>
      </c>
      <c r="X420" s="1393" t="e">
        <v>#N/A</v>
      </c>
      <c r="Y420" s="1393" t="e">
        <v>#N/A</v>
      </c>
      <c r="Z420" s="1393" t="e">
        <v>#N/A</v>
      </c>
      <c r="AA420" s="1393" t="e">
        <v>#N/A</v>
      </c>
      <c r="AB420" s="1393" t="e">
        <v>#N/A</v>
      </c>
      <c r="AC420" s="1393" t="e">
        <v>#N/A</v>
      </c>
      <c r="AD420" s="1393" t="e">
        <v>#N/A</v>
      </c>
      <c r="AE420" s="1393" t="e">
        <v>#N/A</v>
      </c>
      <c r="AF420" s="1393" t="e">
        <v>#N/A</v>
      </c>
      <c r="AG420" s="3072" t="e">
        <v>#N/A</v>
      </c>
    </row>
    <row r="421" spans="1:33">
      <c r="A421" s="63">
        <f t="shared" si="6"/>
        <v>2028.04</v>
      </c>
      <c r="B421" s="260" t="e">
        <v>#N/A</v>
      </c>
      <c r="C421" s="3034" t="e">
        <v>#N/A</v>
      </c>
      <c r="D421" s="169" t="e">
        <v>#N/A</v>
      </c>
      <c r="E421" s="260" t="e">
        <v>#N/A</v>
      </c>
      <c r="F421" s="2097" t="e">
        <v>#N/A</v>
      </c>
      <c r="G421" s="1399" t="e">
        <v>#N/A</v>
      </c>
      <c r="H421" s="3082" t="e">
        <v>#N/A</v>
      </c>
      <c r="I421" s="1890" t="e">
        <f t="shared" si="7"/>
        <v>#N/A</v>
      </c>
      <c r="J421" s="1400" t="e">
        <v>#N/A</v>
      </c>
      <c r="K421" s="3082" t="e">
        <v>#N/A</v>
      </c>
      <c r="L421" s="3082" t="e">
        <v>#N/A</v>
      </c>
      <c r="M421" s="1892" t="e">
        <v>#N/A</v>
      </c>
      <c r="N421" s="1393" t="e">
        <v>#N/A</v>
      </c>
      <c r="O421" s="1393" t="e">
        <v>#N/A</v>
      </c>
      <c r="P421" s="1393" t="e">
        <v>#N/A</v>
      </c>
      <c r="Q421" s="1393" t="e">
        <v>#N/A</v>
      </c>
      <c r="R421" s="1393" t="e">
        <v>#N/A</v>
      </c>
      <c r="S421" s="1393" t="e">
        <v>#N/A</v>
      </c>
      <c r="T421" s="1393" t="e">
        <v>#N/A</v>
      </c>
      <c r="U421" s="1393" t="e">
        <v>#N/A</v>
      </c>
      <c r="V421" s="1393" t="e">
        <v>#N/A</v>
      </c>
      <c r="W421" s="1393" t="e">
        <v>#N/A</v>
      </c>
      <c r="X421" s="1393" t="e">
        <v>#N/A</v>
      </c>
      <c r="Y421" s="1393" t="e">
        <v>#N/A</v>
      </c>
      <c r="Z421" s="1393" t="e">
        <v>#N/A</v>
      </c>
      <c r="AA421" s="1393" t="e">
        <v>#N/A</v>
      </c>
      <c r="AB421" s="1393" t="e">
        <v>#N/A</v>
      </c>
      <c r="AC421" s="1393" t="e">
        <v>#N/A</v>
      </c>
      <c r="AD421" s="1393" t="e">
        <v>#N/A</v>
      </c>
      <c r="AE421" s="1393" t="e">
        <v>#N/A</v>
      </c>
      <c r="AF421" s="1393" t="e">
        <v>#N/A</v>
      </c>
      <c r="AG421" s="3072" t="e">
        <v>#N/A</v>
      </c>
    </row>
    <row r="422" spans="1:33">
      <c r="A422" s="63">
        <f t="shared" si="6"/>
        <v>2028.05</v>
      </c>
      <c r="B422" s="260" t="e">
        <v>#N/A</v>
      </c>
      <c r="C422" s="3034" t="e">
        <v>#N/A</v>
      </c>
      <c r="D422" s="169" t="e">
        <v>#N/A</v>
      </c>
      <c r="E422" s="260" t="e">
        <v>#N/A</v>
      </c>
      <c r="F422" s="2097" t="e">
        <v>#N/A</v>
      </c>
      <c r="G422" s="1399" t="e">
        <v>#N/A</v>
      </c>
      <c r="H422" s="3082" t="e">
        <v>#N/A</v>
      </c>
      <c r="I422" s="1890" t="e">
        <f t="shared" si="7"/>
        <v>#N/A</v>
      </c>
      <c r="J422" s="1400" t="e">
        <v>#N/A</v>
      </c>
      <c r="K422" s="3082" t="e">
        <v>#N/A</v>
      </c>
      <c r="L422" s="3082" t="e">
        <v>#N/A</v>
      </c>
      <c r="M422" s="1892" t="e">
        <v>#N/A</v>
      </c>
      <c r="N422" s="1393" t="e">
        <v>#N/A</v>
      </c>
      <c r="O422" s="1393" t="e">
        <v>#N/A</v>
      </c>
      <c r="P422" s="1393" t="e">
        <v>#N/A</v>
      </c>
      <c r="Q422" s="1393" t="e">
        <v>#N/A</v>
      </c>
      <c r="R422" s="1393" t="e">
        <v>#N/A</v>
      </c>
      <c r="S422" s="1393" t="e">
        <v>#N/A</v>
      </c>
      <c r="T422" s="1393" t="e">
        <v>#N/A</v>
      </c>
      <c r="U422" s="1393" t="e">
        <v>#N/A</v>
      </c>
      <c r="V422" s="1393" t="e">
        <v>#N/A</v>
      </c>
      <c r="W422" s="1393" t="e">
        <v>#N/A</v>
      </c>
      <c r="X422" s="1393" t="e">
        <v>#N/A</v>
      </c>
      <c r="Y422" s="1393" t="e">
        <v>#N/A</v>
      </c>
      <c r="Z422" s="1393" t="e">
        <v>#N/A</v>
      </c>
      <c r="AA422" s="1393" t="e">
        <v>#N/A</v>
      </c>
      <c r="AB422" s="1393" t="e">
        <v>#N/A</v>
      </c>
      <c r="AC422" s="1393" t="e">
        <v>#N/A</v>
      </c>
      <c r="AD422" s="1393" t="e">
        <v>#N/A</v>
      </c>
      <c r="AE422" s="1393" t="e">
        <v>#N/A</v>
      </c>
      <c r="AF422" s="1393" t="e">
        <v>#N/A</v>
      </c>
      <c r="AG422" s="3072" t="e">
        <v>#N/A</v>
      </c>
    </row>
    <row r="423" spans="1:33">
      <c r="A423" s="63">
        <f t="shared" si="6"/>
        <v>2028.06</v>
      </c>
      <c r="B423" s="260" t="e">
        <v>#N/A</v>
      </c>
      <c r="C423" s="3034" t="e">
        <v>#N/A</v>
      </c>
      <c r="D423" s="169" t="e">
        <v>#N/A</v>
      </c>
      <c r="E423" s="260" t="e">
        <v>#N/A</v>
      </c>
      <c r="F423" s="2097" t="e">
        <v>#N/A</v>
      </c>
      <c r="G423" s="1399" t="e">
        <v>#N/A</v>
      </c>
      <c r="H423" s="3082" t="e">
        <v>#N/A</v>
      </c>
      <c r="I423" s="1890" t="e">
        <f t="shared" si="7"/>
        <v>#N/A</v>
      </c>
      <c r="J423" s="1400" t="e">
        <v>#N/A</v>
      </c>
      <c r="K423" s="3082" t="e">
        <v>#N/A</v>
      </c>
      <c r="L423" s="3082" t="e">
        <v>#N/A</v>
      </c>
      <c r="M423" s="1892" t="e">
        <v>#N/A</v>
      </c>
      <c r="N423" s="1393" t="e">
        <v>#N/A</v>
      </c>
      <c r="O423" s="1393" t="e">
        <v>#N/A</v>
      </c>
      <c r="P423" s="1393" t="e">
        <v>#N/A</v>
      </c>
      <c r="Q423" s="1393" t="e">
        <v>#N/A</v>
      </c>
      <c r="R423" s="1393" t="e">
        <v>#N/A</v>
      </c>
      <c r="S423" s="1393" t="e">
        <v>#N/A</v>
      </c>
      <c r="T423" s="1393" t="e">
        <v>#N/A</v>
      </c>
      <c r="U423" s="1393" t="e">
        <v>#N/A</v>
      </c>
      <c r="V423" s="1393" t="e">
        <v>#N/A</v>
      </c>
      <c r="W423" s="1393" t="e">
        <v>#N/A</v>
      </c>
      <c r="X423" s="1393" t="e">
        <v>#N/A</v>
      </c>
      <c r="Y423" s="1393" t="e">
        <v>#N/A</v>
      </c>
      <c r="Z423" s="1393" t="e">
        <v>#N/A</v>
      </c>
      <c r="AA423" s="1393" t="e">
        <v>#N/A</v>
      </c>
      <c r="AB423" s="1393" t="e">
        <v>#N/A</v>
      </c>
      <c r="AC423" s="1393" t="e">
        <v>#N/A</v>
      </c>
      <c r="AD423" s="1393" t="e">
        <v>#N/A</v>
      </c>
      <c r="AE423" s="1393" t="e">
        <v>#N/A</v>
      </c>
      <c r="AF423" s="1393" t="e">
        <v>#N/A</v>
      </c>
      <c r="AG423" s="3072" t="e">
        <v>#N/A</v>
      </c>
    </row>
    <row r="424" spans="1:33">
      <c r="A424" s="63">
        <f t="shared" si="6"/>
        <v>2028.07</v>
      </c>
      <c r="B424" s="260" t="e">
        <v>#N/A</v>
      </c>
      <c r="C424" s="3034" t="e">
        <v>#N/A</v>
      </c>
      <c r="D424" s="169" t="e">
        <v>#N/A</v>
      </c>
      <c r="E424" s="260" t="e">
        <v>#N/A</v>
      </c>
      <c r="F424" s="2097" t="e">
        <v>#N/A</v>
      </c>
      <c r="G424" s="1399" t="e">
        <v>#N/A</v>
      </c>
      <c r="H424" s="3082" t="e">
        <v>#N/A</v>
      </c>
      <c r="I424" s="1890" t="e">
        <f t="shared" si="7"/>
        <v>#N/A</v>
      </c>
      <c r="J424" s="1400" t="e">
        <v>#N/A</v>
      </c>
      <c r="K424" s="3082" t="e">
        <v>#N/A</v>
      </c>
      <c r="L424" s="3082" t="e">
        <v>#N/A</v>
      </c>
      <c r="M424" s="1892" t="e">
        <v>#N/A</v>
      </c>
      <c r="N424" s="1393" t="e">
        <v>#N/A</v>
      </c>
      <c r="O424" s="1393" t="e">
        <v>#N/A</v>
      </c>
      <c r="P424" s="1393" t="e">
        <v>#N/A</v>
      </c>
      <c r="Q424" s="1393" t="e">
        <v>#N/A</v>
      </c>
      <c r="R424" s="1393" t="e">
        <v>#N/A</v>
      </c>
      <c r="S424" s="1393" t="e">
        <v>#N/A</v>
      </c>
      <c r="T424" s="1393" t="e">
        <v>#N/A</v>
      </c>
      <c r="U424" s="1393" t="e">
        <v>#N/A</v>
      </c>
      <c r="V424" s="1393" t="e">
        <v>#N/A</v>
      </c>
      <c r="W424" s="1393" t="e">
        <v>#N/A</v>
      </c>
      <c r="X424" s="1393" t="e">
        <v>#N/A</v>
      </c>
      <c r="Y424" s="1393" t="e">
        <v>#N/A</v>
      </c>
      <c r="Z424" s="1393" t="e">
        <v>#N/A</v>
      </c>
      <c r="AA424" s="1393" t="e">
        <v>#N/A</v>
      </c>
      <c r="AB424" s="1393" t="e">
        <v>#N/A</v>
      </c>
      <c r="AC424" s="1393" t="e">
        <v>#N/A</v>
      </c>
      <c r="AD424" s="1393" t="e">
        <v>#N/A</v>
      </c>
      <c r="AE424" s="1393" t="e">
        <v>#N/A</v>
      </c>
      <c r="AF424" s="1393" t="e">
        <v>#N/A</v>
      </c>
      <c r="AG424" s="3072" t="e">
        <v>#N/A</v>
      </c>
    </row>
    <row r="425" spans="1:33">
      <c r="A425" s="63">
        <f t="shared" si="6"/>
        <v>2028.08</v>
      </c>
      <c r="B425" s="260" t="e">
        <v>#N/A</v>
      </c>
      <c r="C425" s="3034" t="e">
        <v>#N/A</v>
      </c>
      <c r="D425" s="169" t="e">
        <v>#N/A</v>
      </c>
      <c r="E425" s="260" t="e">
        <v>#N/A</v>
      </c>
      <c r="F425" s="2097" t="e">
        <v>#N/A</v>
      </c>
      <c r="G425" s="1399" t="e">
        <v>#N/A</v>
      </c>
      <c r="H425" s="3082" t="e">
        <v>#N/A</v>
      </c>
      <c r="I425" s="1890" t="e">
        <f t="shared" si="7"/>
        <v>#N/A</v>
      </c>
      <c r="J425" s="1400" t="e">
        <v>#N/A</v>
      </c>
      <c r="K425" s="3082" t="e">
        <v>#N/A</v>
      </c>
      <c r="L425" s="3082" t="e">
        <v>#N/A</v>
      </c>
      <c r="M425" s="1892" t="e">
        <v>#N/A</v>
      </c>
      <c r="N425" s="1393" t="e">
        <v>#N/A</v>
      </c>
      <c r="O425" s="1393" t="e">
        <v>#N/A</v>
      </c>
      <c r="P425" s="1393" t="e">
        <v>#N/A</v>
      </c>
      <c r="Q425" s="1393" t="e">
        <v>#N/A</v>
      </c>
      <c r="R425" s="1393" t="e">
        <v>#N/A</v>
      </c>
      <c r="S425" s="1393" t="e">
        <v>#N/A</v>
      </c>
      <c r="T425" s="1393" t="e">
        <v>#N/A</v>
      </c>
      <c r="U425" s="1393" t="e">
        <v>#N/A</v>
      </c>
      <c r="V425" s="1393" t="e">
        <v>#N/A</v>
      </c>
      <c r="W425" s="1393" t="e">
        <v>#N/A</v>
      </c>
      <c r="X425" s="1393" t="e">
        <v>#N/A</v>
      </c>
      <c r="Y425" s="1393" t="e">
        <v>#N/A</v>
      </c>
      <c r="Z425" s="1393" t="e">
        <v>#N/A</v>
      </c>
      <c r="AA425" s="1393" t="e">
        <v>#N/A</v>
      </c>
      <c r="AB425" s="1393" t="e">
        <v>#N/A</v>
      </c>
      <c r="AC425" s="1393" t="e">
        <v>#N/A</v>
      </c>
      <c r="AD425" s="1393" t="e">
        <v>#N/A</v>
      </c>
      <c r="AE425" s="1393" t="e">
        <v>#N/A</v>
      </c>
      <c r="AF425" s="1393" t="e">
        <v>#N/A</v>
      </c>
      <c r="AG425" s="3072" t="e">
        <v>#N/A</v>
      </c>
    </row>
    <row r="426" spans="1:33">
      <c r="A426" s="63">
        <f t="shared" si="6"/>
        <v>2028.09</v>
      </c>
      <c r="B426" s="260" t="e">
        <v>#N/A</v>
      </c>
      <c r="C426" s="3034" t="e">
        <v>#N/A</v>
      </c>
      <c r="D426" s="169" t="e">
        <v>#N/A</v>
      </c>
      <c r="E426" s="260" t="e">
        <v>#N/A</v>
      </c>
      <c r="F426" s="2097" t="e">
        <v>#N/A</v>
      </c>
      <c r="G426" s="1399" t="e">
        <v>#N/A</v>
      </c>
      <c r="H426" s="3082" t="e">
        <v>#N/A</v>
      </c>
      <c r="I426" s="1890" t="e">
        <f t="shared" si="7"/>
        <v>#N/A</v>
      </c>
      <c r="J426" s="1400" t="e">
        <v>#N/A</v>
      </c>
      <c r="K426" s="3082" t="e">
        <v>#N/A</v>
      </c>
      <c r="L426" s="3082" t="e">
        <v>#N/A</v>
      </c>
      <c r="M426" s="1892" t="e">
        <v>#N/A</v>
      </c>
      <c r="N426" s="1393" t="e">
        <v>#N/A</v>
      </c>
      <c r="O426" s="1393" t="e">
        <v>#N/A</v>
      </c>
      <c r="P426" s="1393" t="e">
        <v>#N/A</v>
      </c>
      <c r="Q426" s="1393" t="e">
        <v>#N/A</v>
      </c>
      <c r="R426" s="1393" t="e">
        <v>#N/A</v>
      </c>
      <c r="S426" s="1393" t="e">
        <v>#N/A</v>
      </c>
      <c r="T426" s="1393" t="e">
        <v>#N/A</v>
      </c>
      <c r="U426" s="1393" t="e">
        <v>#N/A</v>
      </c>
      <c r="V426" s="1393" t="e">
        <v>#N/A</v>
      </c>
      <c r="W426" s="1393" t="e">
        <v>#N/A</v>
      </c>
      <c r="X426" s="1393" t="e">
        <v>#N/A</v>
      </c>
      <c r="Y426" s="1393" t="e">
        <v>#N/A</v>
      </c>
      <c r="Z426" s="1393" t="e">
        <v>#N/A</v>
      </c>
      <c r="AA426" s="1393" t="e">
        <v>#N/A</v>
      </c>
      <c r="AB426" s="1393" t="e">
        <v>#N/A</v>
      </c>
      <c r="AC426" s="1393" t="e">
        <v>#N/A</v>
      </c>
      <c r="AD426" s="1393" t="e">
        <v>#N/A</v>
      </c>
      <c r="AE426" s="1393" t="e">
        <v>#N/A</v>
      </c>
      <c r="AF426" s="1393" t="e">
        <v>#N/A</v>
      </c>
      <c r="AG426" s="3072" t="e">
        <v>#N/A</v>
      </c>
    </row>
    <row r="427" spans="1:33">
      <c r="A427" s="63">
        <f t="shared" si="6"/>
        <v>2028.1</v>
      </c>
      <c r="B427" s="260" t="e">
        <v>#N/A</v>
      </c>
      <c r="C427" s="3034" t="e">
        <v>#N/A</v>
      </c>
      <c r="D427" s="169" t="e">
        <v>#N/A</v>
      </c>
      <c r="E427" s="260" t="e">
        <v>#N/A</v>
      </c>
      <c r="F427" s="2097" t="e">
        <v>#N/A</v>
      </c>
      <c r="G427" s="1399" t="e">
        <v>#N/A</v>
      </c>
      <c r="H427" s="3082" t="e">
        <v>#N/A</v>
      </c>
      <c r="I427" s="1890" t="e">
        <f t="shared" si="7"/>
        <v>#N/A</v>
      </c>
      <c r="J427" s="1400" t="e">
        <v>#N/A</v>
      </c>
      <c r="K427" s="3082" t="e">
        <v>#N/A</v>
      </c>
      <c r="L427" s="3082" t="e">
        <v>#N/A</v>
      </c>
      <c r="M427" s="1892" t="e">
        <v>#N/A</v>
      </c>
      <c r="N427" s="1393" t="e">
        <v>#N/A</v>
      </c>
      <c r="O427" s="1393" t="e">
        <v>#N/A</v>
      </c>
      <c r="P427" s="1393" t="e">
        <v>#N/A</v>
      </c>
      <c r="Q427" s="1393" t="e">
        <v>#N/A</v>
      </c>
      <c r="R427" s="1393" t="e">
        <v>#N/A</v>
      </c>
      <c r="S427" s="1393" t="e">
        <v>#N/A</v>
      </c>
      <c r="T427" s="1393" t="e">
        <v>#N/A</v>
      </c>
      <c r="U427" s="1393" t="e">
        <v>#N/A</v>
      </c>
      <c r="V427" s="1393" t="e">
        <v>#N/A</v>
      </c>
      <c r="W427" s="1393" t="e">
        <v>#N/A</v>
      </c>
      <c r="X427" s="1393" t="e">
        <v>#N/A</v>
      </c>
      <c r="Y427" s="1393" t="e">
        <v>#N/A</v>
      </c>
      <c r="Z427" s="1393" t="e">
        <v>#N/A</v>
      </c>
      <c r="AA427" s="1393" t="e">
        <v>#N/A</v>
      </c>
      <c r="AB427" s="1393" t="e">
        <v>#N/A</v>
      </c>
      <c r="AC427" s="1393" t="e">
        <v>#N/A</v>
      </c>
      <c r="AD427" s="1393" t="e">
        <v>#N/A</v>
      </c>
      <c r="AE427" s="1393" t="e">
        <v>#N/A</v>
      </c>
      <c r="AF427" s="1393" t="e">
        <v>#N/A</v>
      </c>
      <c r="AG427" s="3072" t="e">
        <v>#N/A</v>
      </c>
    </row>
    <row r="428" spans="1:33">
      <c r="A428" s="63">
        <f t="shared" si="6"/>
        <v>2028.11</v>
      </c>
      <c r="B428" s="260" t="e">
        <v>#N/A</v>
      </c>
      <c r="C428" s="3034" t="e">
        <v>#N/A</v>
      </c>
      <c r="D428" s="169" t="e">
        <v>#N/A</v>
      </c>
      <c r="E428" s="260" t="e">
        <v>#N/A</v>
      </c>
      <c r="F428" s="2097" t="e">
        <v>#N/A</v>
      </c>
      <c r="G428" s="1399" t="e">
        <v>#N/A</v>
      </c>
      <c r="H428" s="3082" t="e">
        <v>#N/A</v>
      </c>
      <c r="I428" s="1890" t="e">
        <f t="shared" si="7"/>
        <v>#N/A</v>
      </c>
      <c r="J428" s="1400" t="e">
        <v>#N/A</v>
      </c>
      <c r="K428" s="3082" t="e">
        <v>#N/A</v>
      </c>
      <c r="L428" s="3082" t="e">
        <v>#N/A</v>
      </c>
      <c r="M428" s="1892" t="e">
        <v>#N/A</v>
      </c>
      <c r="N428" s="1393" t="e">
        <v>#N/A</v>
      </c>
      <c r="O428" s="1393" t="e">
        <v>#N/A</v>
      </c>
      <c r="P428" s="1393" t="e">
        <v>#N/A</v>
      </c>
      <c r="Q428" s="1393" t="e">
        <v>#N/A</v>
      </c>
      <c r="R428" s="1393" t="e">
        <v>#N/A</v>
      </c>
      <c r="S428" s="1393" t="e">
        <v>#N/A</v>
      </c>
      <c r="T428" s="1393" t="e">
        <v>#N/A</v>
      </c>
      <c r="U428" s="1393" t="e">
        <v>#N/A</v>
      </c>
      <c r="V428" s="1393" t="e">
        <v>#N/A</v>
      </c>
      <c r="W428" s="1393" t="e">
        <v>#N/A</v>
      </c>
      <c r="X428" s="1393" t="e">
        <v>#N/A</v>
      </c>
      <c r="Y428" s="1393" t="e">
        <v>#N/A</v>
      </c>
      <c r="Z428" s="1393" t="e">
        <v>#N/A</v>
      </c>
      <c r="AA428" s="1393" t="e">
        <v>#N/A</v>
      </c>
      <c r="AB428" s="1393" t="e">
        <v>#N/A</v>
      </c>
      <c r="AC428" s="1393" t="e">
        <v>#N/A</v>
      </c>
      <c r="AD428" s="1393" t="e">
        <v>#N/A</v>
      </c>
      <c r="AE428" s="1393" t="e">
        <v>#N/A</v>
      </c>
      <c r="AF428" s="1393" t="e">
        <v>#N/A</v>
      </c>
      <c r="AG428" s="3072" t="e">
        <v>#N/A</v>
      </c>
    </row>
    <row r="429" spans="1:33">
      <c r="A429" s="63">
        <f t="shared" si="6"/>
        <v>2028.12</v>
      </c>
      <c r="B429" s="260" t="e">
        <v>#N/A</v>
      </c>
      <c r="C429" s="3034" t="e">
        <v>#N/A</v>
      </c>
      <c r="D429" s="169" t="e">
        <v>#N/A</v>
      </c>
      <c r="E429" s="260" t="e">
        <v>#N/A</v>
      </c>
      <c r="F429" s="2097" t="e">
        <v>#N/A</v>
      </c>
      <c r="G429" s="1399" t="e">
        <v>#N/A</v>
      </c>
      <c r="H429" s="3082" t="e">
        <v>#N/A</v>
      </c>
      <c r="I429" s="1890" t="e">
        <f t="shared" si="7"/>
        <v>#N/A</v>
      </c>
      <c r="J429" s="1400" t="e">
        <v>#N/A</v>
      </c>
      <c r="K429" s="3082" t="e">
        <v>#N/A</v>
      </c>
      <c r="L429" s="3082" t="e">
        <v>#N/A</v>
      </c>
      <c r="M429" s="1892" t="e">
        <v>#N/A</v>
      </c>
      <c r="N429" s="1393" t="e">
        <v>#N/A</v>
      </c>
      <c r="O429" s="1393" t="e">
        <v>#N/A</v>
      </c>
      <c r="P429" s="1393" t="e">
        <v>#N/A</v>
      </c>
      <c r="Q429" s="1393" t="e">
        <v>#N/A</v>
      </c>
      <c r="R429" s="1393" t="e">
        <v>#N/A</v>
      </c>
      <c r="S429" s="1393" t="e">
        <v>#N/A</v>
      </c>
      <c r="T429" s="1393" t="e">
        <v>#N/A</v>
      </c>
      <c r="U429" s="1393" t="e">
        <v>#N/A</v>
      </c>
      <c r="V429" s="1393" t="e">
        <v>#N/A</v>
      </c>
      <c r="W429" s="1393" t="e">
        <v>#N/A</v>
      </c>
      <c r="X429" s="1393" t="e">
        <v>#N/A</v>
      </c>
      <c r="Y429" s="1393" t="e">
        <v>#N/A</v>
      </c>
      <c r="Z429" s="1393" t="e">
        <v>#N/A</v>
      </c>
      <c r="AA429" s="1393" t="e">
        <v>#N/A</v>
      </c>
      <c r="AB429" s="1393" t="e">
        <v>#N/A</v>
      </c>
      <c r="AC429" s="1393" t="e">
        <v>#N/A</v>
      </c>
      <c r="AD429" s="1393" t="e">
        <v>#N/A</v>
      </c>
      <c r="AE429" s="1393" t="e">
        <v>#N/A</v>
      </c>
      <c r="AF429" s="1393" t="e">
        <v>#N/A</v>
      </c>
      <c r="AG429" s="3072" t="e">
        <v>#N/A</v>
      </c>
    </row>
    <row r="430" spans="1:33">
      <c r="A430" s="63">
        <f t="shared" si="6"/>
        <v>2029.01</v>
      </c>
      <c r="B430" s="260" t="e">
        <v>#N/A</v>
      </c>
      <c r="C430" s="3034" t="e">
        <v>#N/A</v>
      </c>
      <c r="D430" s="169" t="e">
        <v>#N/A</v>
      </c>
      <c r="E430" s="260" t="e">
        <v>#N/A</v>
      </c>
      <c r="F430" s="2097" t="e">
        <v>#N/A</v>
      </c>
      <c r="G430" s="1399" t="e">
        <v>#N/A</v>
      </c>
      <c r="H430" s="3082" t="e">
        <v>#N/A</v>
      </c>
      <c r="I430" s="1890" t="e">
        <f t="shared" si="7"/>
        <v>#N/A</v>
      </c>
      <c r="J430" s="1400" t="e">
        <v>#N/A</v>
      </c>
      <c r="K430" s="3082" t="e">
        <v>#N/A</v>
      </c>
      <c r="L430" s="3082" t="e">
        <v>#N/A</v>
      </c>
      <c r="M430" s="1892" t="e">
        <v>#N/A</v>
      </c>
      <c r="N430" s="1393" t="e">
        <v>#N/A</v>
      </c>
      <c r="O430" s="1393" t="e">
        <v>#N/A</v>
      </c>
      <c r="P430" s="1393" t="e">
        <v>#N/A</v>
      </c>
      <c r="Q430" s="1393" t="e">
        <v>#N/A</v>
      </c>
      <c r="R430" s="1393" t="e">
        <v>#N/A</v>
      </c>
      <c r="S430" s="1393" t="e">
        <v>#N/A</v>
      </c>
      <c r="T430" s="1393" t="e">
        <v>#N/A</v>
      </c>
      <c r="U430" s="1393" t="e">
        <v>#N/A</v>
      </c>
      <c r="V430" s="1393" t="e">
        <v>#N/A</v>
      </c>
      <c r="W430" s="1393" t="e">
        <v>#N/A</v>
      </c>
      <c r="X430" s="1393" t="e">
        <v>#N/A</v>
      </c>
      <c r="Y430" s="1393" t="e">
        <v>#N/A</v>
      </c>
      <c r="Z430" s="1393" t="e">
        <v>#N/A</v>
      </c>
      <c r="AA430" s="1393" t="e">
        <v>#N/A</v>
      </c>
      <c r="AB430" s="1393" t="e">
        <v>#N/A</v>
      </c>
      <c r="AC430" s="1393" t="e">
        <v>#N/A</v>
      </c>
      <c r="AD430" s="1393" t="e">
        <v>#N/A</v>
      </c>
      <c r="AE430" s="1393" t="e">
        <v>#N/A</v>
      </c>
      <c r="AF430" s="1393" t="e">
        <v>#N/A</v>
      </c>
      <c r="AG430" s="3072" t="e">
        <v>#N/A</v>
      </c>
    </row>
    <row r="431" spans="1:33">
      <c r="A431" s="63">
        <f t="shared" si="6"/>
        <v>2029.02</v>
      </c>
      <c r="B431" s="260" t="e">
        <v>#N/A</v>
      </c>
      <c r="C431" s="3034" t="e">
        <v>#N/A</v>
      </c>
      <c r="D431" s="169" t="e">
        <v>#N/A</v>
      </c>
      <c r="E431" s="260" t="e">
        <v>#N/A</v>
      </c>
      <c r="F431" s="2097" t="e">
        <v>#N/A</v>
      </c>
      <c r="G431" s="1399" t="e">
        <v>#N/A</v>
      </c>
      <c r="H431" s="3082" t="e">
        <v>#N/A</v>
      </c>
      <c r="I431" s="1890" t="e">
        <f t="shared" si="7"/>
        <v>#N/A</v>
      </c>
      <c r="J431" s="1400" t="e">
        <v>#N/A</v>
      </c>
      <c r="K431" s="3082" t="e">
        <v>#N/A</v>
      </c>
      <c r="L431" s="3082" t="e">
        <v>#N/A</v>
      </c>
      <c r="M431" s="1892" t="e">
        <v>#N/A</v>
      </c>
      <c r="N431" s="1393" t="e">
        <v>#N/A</v>
      </c>
      <c r="O431" s="1393" t="e">
        <v>#N/A</v>
      </c>
      <c r="P431" s="1393" t="e">
        <v>#N/A</v>
      </c>
      <c r="Q431" s="1393" t="e">
        <v>#N/A</v>
      </c>
      <c r="R431" s="1393" t="e">
        <v>#N/A</v>
      </c>
      <c r="S431" s="1393" t="e">
        <v>#N/A</v>
      </c>
      <c r="T431" s="1393" t="e">
        <v>#N/A</v>
      </c>
      <c r="U431" s="1393" t="e">
        <v>#N/A</v>
      </c>
      <c r="V431" s="1393" t="e">
        <v>#N/A</v>
      </c>
      <c r="W431" s="1393" t="e">
        <v>#N/A</v>
      </c>
      <c r="X431" s="1393" t="e">
        <v>#N/A</v>
      </c>
      <c r="Y431" s="1393" t="e">
        <v>#N/A</v>
      </c>
      <c r="Z431" s="1393" t="e">
        <v>#N/A</v>
      </c>
      <c r="AA431" s="1393" t="e">
        <v>#N/A</v>
      </c>
      <c r="AB431" s="1393" t="e">
        <v>#N/A</v>
      </c>
      <c r="AC431" s="1393" t="e">
        <v>#N/A</v>
      </c>
      <c r="AD431" s="1393" t="e">
        <v>#N/A</v>
      </c>
      <c r="AE431" s="1393" t="e">
        <v>#N/A</v>
      </c>
      <c r="AF431" s="1393" t="e">
        <v>#N/A</v>
      </c>
      <c r="AG431" s="3072" t="e">
        <v>#N/A</v>
      </c>
    </row>
    <row r="432" spans="1:33">
      <c r="A432" s="63">
        <f t="shared" si="6"/>
        <v>2029.03</v>
      </c>
      <c r="B432" s="260" t="e">
        <v>#N/A</v>
      </c>
      <c r="C432" s="3034" t="e">
        <v>#N/A</v>
      </c>
      <c r="D432" s="169" t="e">
        <v>#N/A</v>
      </c>
      <c r="E432" s="260" t="e">
        <v>#N/A</v>
      </c>
      <c r="F432" s="2097" t="e">
        <v>#N/A</v>
      </c>
      <c r="G432" s="1399" t="e">
        <v>#N/A</v>
      </c>
      <c r="H432" s="3082" t="e">
        <v>#N/A</v>
      </c>
      <c r="I432" s="1890" t="e">
        <f t="shared" si="7"/>
        <v>#N/A</v>
      </c>
      <c r="J432" s="1400" t="e">
        <v>#N/A</v>
      </c>
      <c r="K432" s="3082" t="e">
        <v>#N/A</v>
      </c>
      <c r="L432" s="3082" t="e">
        <v>#N/A</v>
      </c>
      <c r="M432" s="1892" t="e">
        <v>#N/A</v>
      </c>
      <c r="N432" s="1393" t="e">
        <v>#N/A</v>
      </c>
      <c r="O432" s="1393" t="e">
        <v>#N/A</v>
      </c>
      <c r="P432" s="1393" t="e">
        <v>#N/A</v>
      </c>
      <c r="Q432" s="1393" t="e">
        <v>#N/A</v>
      </c>
      <c r="R432" s="1393" t="e">
        <v>#N/A</v>
      </c>
      <c r="S432" s="1393" t="e">
        <v>#N/A</v>
      </c>
      <c r="T432" s="1393" t="e">
        <v>#N/A</v>
      </c>
      <c r="U432" s="1393" t="e">
        <v>#N/A</v>
      </c>
      <c r="V432" s="1393" t="e">
        <v>#N/A</v>
      </c>
      <c r="W432" s="1393" t="e">
        <v>#N/A</v>
      </c>
      <c r="X432" s="1393" t="e">
        <v>#N/A</v>
      </c>
      <c r="Y432" s="1393" t="e">
        <v>#N/A</v>
      </c>
      <c r="Z432" s="1393" t="e">
        <v>#N/A</v>
      </c>
      <c r="AA432" s="1393" t="e">
        <v>#N/A</v>
      </c>
      <c r="AB432" s="1393" t="e">
        <v>#N/A</v>
      </c>
      <c r="AC432" s="1393" t="e">
        <v>#N/A</v>
      </c>
      <c r="AD432" s="1393" t="e">
        <v>#N/A</v>
      </c>
      <c r="AE432" s="1393" t="e">
        <v>#N/A</v>
      </c>
      <c r="AF432" s="1393" t="e">
        <v>#N/A</v>
      </c>
      <c r="AG432" s="3072" t="e">
        <v>#N/A</v>
      </c>
    </row>
    <row r="433" spans="1:33">
      <c r="A433" s="63">
        <f t="shared" si="6"/>
        <v>2029.04</v>
      </c>
      <c r="B433" s="260" t="e">
        <v>#N/A</v>
      </c>
      <c r="C433" s="3034" t="e">
        <v>#N/A</v>
      </c>
      <c r="D433" s="169" t="e">
        <v>#N/A</v>
      </c>
      <c r="E433" s="260" t="e">
        <v>#N/A</v>
      </c>
      <c r="F433" s="2097" t="e">
        <v>#N/A</v>
      </c>
      <c r="G433" s="1399" t="e">
        <v>#N/A</v>
      </c>
      <c r="H433" s="3082" t="e">
        <v>#N/A</v>
      </c>
      <c r="I433" s="1890" t="e">
        <f t="shared" si="7"/>
        <v>#N/A</v>
      </c>
      <c r="J433" s="1400" t="e">
        <v>#N/A</v>
      </c>
      <c r="K433" s="3082" t="e">
        <v>#N/A</v>
      </c>
      <c r="L433" s="3082" t="e">
        <v>#N/A</v>
      </c>
      <c r="M433" s="1892" t="e">
        <v>#N/A</v>
      </c>
      <c r="N433" s="1393" t="e">
        <v>#N/A</v>
      </c>
      <c r="O433" s="1393" t="e">
        <v>#N/A</v>
      </c>
      <c r="P433" s="1393" t="e">
        <v>#N/A</v>
      </c>
      <c r="Q433" s="1393" t="e">
        <v>#N/A</v>
      </c>
      <c r="R433" s="1393" t="e">
        <v>#N/A</v>
      </c>
      <c r="S433" s="1393" t="e">
        <v>#N/A</v>
      </c>
      <c r="T433" s="1393" t="e">
        <v>#N/A</v>
      </c>
      <c r="U433" s="1393" t="e">
        <v>#N/A</v>
      </c>
      <c r="V433" s="1393" t="e">
        <v>#N/A</v>
      </c>
      <c r="W433" s="1393" t="e">
        <v>#N/A</v>
      </c>
      <c r="X433" s="1393" t="e">
        <v>#N/A</v>
      </c>
      <c r="Y433" s="1393" t="e">
        <v>#N/A</v>
      </c>
      <c r="Z433" s="1393" t="e">
        <v>#N/A</v>
      </c>
      <c r="AA433" s="1393" t="e">
        <v>#N/A</v>
      </c>
      <c r="AB433" s="1393" t="e">
        <v>#N/A</v>
      </c>
      <c r="AC433" s="1393" t="e">
        <v>#N/A</v>
      </c>
      <c r="AD433" s="1393" t="e">
        <v>#N/A</v>
      </c>
      <c r="AE433" s="1393" t="e">
        <v>#N/A</v>
      </c>
      <c r="AF433" s="1393" t="e">
        <v>#N/A</v>
      </c>
      <c r="AG433" s="3072" t="e">
        <v>#N/A</v>
      </c>
    </row>
    <row r="434" spans="1:33">
      <c r="A434" s="63">
        <f t="shared" ref="A434:A453" si="8">A422+1</f>
        <v>2029.05</v>
      </c>
      <c r="B434" s="260" t="e">
        <v>#N/A</v>
      </c>
      <c r="C434" s="3034" t="e">
        <v>#N/A</v>
      </c>
      <c r="D434" s="169" t="e">
        <v>#N/A</v>
      </c>
      <c r="E434" s="260" t="e">
        <v>#N/A</v>
      </c>
      <c r="F434" s="2097" t="e">
        <v>#N/A</v>
      </c>
      <c r="G434" s="1399" t="e">
        <v>#N/A</v>
      </c>
      <c r="H434" s="3082" t="e">
        <v>#N/A</v>
      </c>
      <c r="I434" s="1890" t="e">
        <f t="shared" si="7"/>
        <v>#N/A</v>
      </c>
      <c r="J434" s="1400" t="e">
        <v>#N/A</v>
      </c>
      <c r="K434" s="3082" t="e">
        <v>#N/A</v>
      </c>
      <c r="L434" s="3082" t="e">
        <v>#N/A</v>
      </c>
      <c r="M434" s="1892" t="e">
        <v>#N/A</v>
      </c>
      <c r="N434" s="1393" t="e">
        <v>#N/A</v>
      </c>
      <c r="O434" s="1393" t="e">
        <v>#N/A</v>
      </c>
      <c r="P434" s="1393" t="e">
        <v>#N/A</v>
      </c>
      <c r="Q434" s="1393" t="e">
        <v>#N/A</v>
      </c>
      <c r="R434" s="1393" t="e">
        <v>#N/A</v>
      </c>
      <c r="S434" s="1393" t="e">
        <v>#N/A</v>
      </c>
      <c r="T434" s="1393" t="e">
        <v>#N/A</v>
      </c>
      <c r="U434" s="1393" t="e">
        <v>#N/A</v>
      </c>
      <c r="V434" s="1393" t="e">
        <v>#N/A</v>
      </c>
      <c r="W434" s="1393" t="e">
        <v>#N/A</v>
      </c>
      <c r="X434" s="1393" t="e">
        <v>#N/A</v>
      </c>
      <c r="Y434" s="1393" t="e">
        <v>#N/A</v>
      </c>
      <c r="Z434" s="1393" t="e">
        <v>#N/A</v>
      </c>
      <c r="AA434" s="1393" t="e">
        <v>#N/A</v>
      </c>
      <c r="AB434" s="1393" t="e">
        <v>#N/A</v>
      </c>
      <c r="AC434" s="1393" t="e">
        <v>#N/A</v>
      </c>
      <c r="AD434" s="1393" t="e">
        <v>#N/A</v>
      </c>
      <c r="AE434" s="1393" t="e">
        <v>#N/A</v>
      </c>
      <c r="AF434" s="1393" t="e">
        <v>#N/A</v>
      </c>
      <c r="AG434" s="3072" t="e">
        <v>#N/A</v>
      </c>
    </row>
    <row r="435" spans="1:33">
      <c r="A435" s="63">
        <f t="shared" si="8"/>
        <v>2029.06</v>
      </c>
      <c r="B435" s="260" t="e">
        <v>#N/A</v>
      </c>
      <c r="C435" s="3034" t="e">
        <v>#N/A</v>
      </c>
      <c r="D435" s="169" t="e">
        <v>#N/A</v>
      </c>
      <c r="E435" s="260" t="e">
        <v>#N/A</v>
      </c>
      <c r="F435" s="2097" t="e">
        <v>#N/A</v>
      </c>
      <c r="G435" s="1399" t="e">
        <v>#N/A</v>
      </c>
      <c r="H435" s="3082" t="e">
        <v>#N/A</v>
      </c>
      <c r="I435" s="1890" t="e">
        <f t="shared" si="7"/>
        <v>#N/A</v>
      </c>
      <c r="J435" s="1400" t="e">
        <v>#N/A</v>
      </c>
      <c r="K435" s="3082" t="e">
        <v>#N/A</v>
      </c>
      <c r="L435" s="3082" t="e">
        <v>#N/A</v>
      </c>
      <c r="M435" s="1892" t="e">
        <v>#N/A</v>
      </c>
      <c r="N435" s="1393" t="e">
        <v>#N/A</v>
      </c>
      <c r="O435" s="1393" t="e">
        <v>#N/A</v>
      </c>
      <c r="P435" s="1393" t="e">
        <v>#N/A</v>
      </c>
      <c r="Q435" s="1393" t="e">
        <v>#N/A</v>
      </c>
      <c r="R435" s="1393" t="e">
        <v>#N/A</v>
      </c>
      <c r="S435" s="1393" t="e">
        <v>#N/A</v>
      </c>
      <c r="T435" s="1393" t="e">
        <v>#N/A</v>
      </c>
      <c r="U435" s="1393" t="e">
        <v>#N/A</v>
      </c>
      <c r="V435" s="1393" t="e">
        <v>#N/A</v>
      </c>
      <c r="W435" s="1393" t="e">
        <v>#N/A</v>
      </c>
      <c r="X435" s="1393" t="e">
        <v>#N/A</v>
      </c>
      <c r="Y435" s="1393" t="e">
        <v>#N/A</v>
      </c>
      <c r="Z435" s="1393" t="e">
        <v>#N/A</v>
      </c>
      <c r="AA435" s="1393" t="e">
        <v>#N/A</v>
      </c>
      <c r="AB435" s="1393" t="e">
        <v>#N/A</v>
      </c>
      <c r="AC435" s="1393" t="e">
        <v>#N/A</v>
      </c>
      <c r="AD435" s="1393" t="e">
        <v>#N/A</v>
      </c>
      <c r="AE435" s="1393" t="e">
        <v>#N/A</v>
      </c>
      <c r="AF435" s="1393" t="e">
        <v>#N/A</v>
      </c>
      <c r="AG435" s="3072" t="e">
        <v>#N/A</v>
      </c>
    </row>
    <row r="436" spans="1:33">
      <c r="A436" s="63">
        <f t="shared" si="8"/>
        <v>2029.07</v>
      </c>
      <c r="B436" s="260" t="e">
        <v>#N/A</v>
      </c>
      <c r="C436" s="3034" t="e">
        <v>#N/A</v>
      </c>
      <c r="D436" s="169" t="e">
        <v>#N/A</v>
      </c>
      <c r="E436" s="260" t="e">
        <v>#N/A</v>
      </c>
      <c r="F436" s="2097" t="e">
        <v>#N/A</v>
      </c>
      <c r="G436" s="1399" t="e">
        <v>#N/A</v>
      </c>
      <c r="H436" s="3082" t="e">
        <v>#N/A</v>
      </c>
      <c r="I436" s="1890" t="e">
        <f t="shared" si="7"/>
        <v>#N/A</v>
      </c>
      <c r="J436" s="1400" t="e">
        <v>#N/A</v>
      </c>
      <c r="K436" s="3082" t="e">
        <v>#N/A</v>
      </c>
      <c r="L436" s="3082" t="e">
        <v>#N/A</v>
      </c>
      <c r="M436" s="1892" t="e">
        <v>#N/A</v>
      </c>
      <c r="N436" s="1393" t="e">
        <v>#N/A</v>
      </c>
      <c r="O436" s="1393" t="e">
        <v>#N/A</v>
      </c>
      <c r="P436" s="1393" t="e">
        <v>#N/A</v>
      </c>
      <c r="Q436" s="1393" t="e">
        <v>#N/A</v>
      </c>
      <c r="R436" s="1393" t="e">
        <v>#N/A</v>
      </c>
      <c r="S436" s="1393" t="e">
        <v>#N/A</v>
      </c>
      <c r="T436" s="1393" t="e">
        <v>#N/A</v>
      </c>
      <c r="U436" s="1393" t="e">
        <v>#N/A</v>
      </c>
      <c r="V436" s="1393" t="e">
        <v>#N/A</v>
      </c>
      <c r="W436" s="1393" t="e">
        <v>#N/A</v>
      </c>
      <c r="X436" s="1393" t="e">
        <v>#N/A</v>
      </c>
      <c r="Y436" s="1393" t="e">
        <v>#N/A</v>
      </c>
      <c r="Z436" s="1393" t="e">
        <v>#N/A</v>
      </c>
      <c r="AA436" s="1393" t="e">
        <v>#N/A</v>
      </c>
      <c r="AB436" s="1393" t="e">
        <v>#N/A</v>
      </c>
      <c r="AC436" s="1393" t="e">
        <v>#N/A</v>
      </c>
      <c r="AD436" s="1393" t="e">
        <v>#N/A</v>
      </c>
      <c r="AE436" s="1393" t="e">
        <v>#N/A</v>
      </c>
      <c r="AF436" s="1393" t="e">
        <v>#N/A</v>
      </c>
      <c r="AG436" s="3072" t="e">
        <v>#N/A</v>
      </c>
    </row>
    <row r="437" spans="1:33">
      <c r="A437" s="63">
        <f t="shared" si="8"/>
        <v>2029.08</v>
      </c>
      <c r="B437" s="260" t="e">
        <v>#N/A</v>
      </c>
      <c r="C437" s="3034" t="e">
        <v>#N/A</v>
      </c>
      <c r="D437" s="169" t="e">
        <v>#N/A</v>
      </c>
      <c r="E437" s="260" t="e">
        <v>#N/A</v>
      </c>
      <c r="F437" s="2097" t="e">
        <v>#N/A</v>
      </c>
      <c r="G437" s="1399" t="e">
        <v>#N/A</v>
      </c>
      <c r="H437" s="3082" t="e">
        <v>#N/A</v>
      </c>
      <c r="I437" s="1890" t="e">
        <f t="shared" si="7"/>
        <v>#N/A</v>
      </c>
      <c r="J437" s="1400" t="e">
        <v>#N/A</v>
      </c>
      <c r="K437" s="3082" t="e">
        <v>#N/A</v>
      </c>
      <c r="L437" s="3082" t="e">
        <v>#N/A</v>
      </c>
      <c r="M437" s="1892" t="e">
        <v>#N/A</v>
      </c>
      <c r="N437" s="1393" t="e">
        <v>#N/A</v>
      </c>
      <c r="O437" s="1393" t="e">
        <v>#N/A</v>
      </c>
      <c r="P437" s="1393" t="e">
        <v>#N/A</v>
      </c>
      <c r="Q437" s="1393" t="e">
        <v>#N/A</v>
      </c>
      <c r="R437" s="1393" t="e">
        <v>#N/A</v>
      </c>
      <c r="S437" s="1393" t="e">
        <v>#N/A</v>
      </c>
      <c r="T437" s="1393" t="e">
        <v>#N/A</v>
      </c>
      <c r="U437" s="1393" t="e">
        <v>#N/A</v>
      </c>
      <c r="V437" s="1393" t="e">
        <v>#N/A</v>
      </c>
      <c r="W437" s="1393" t="e">
        <v>#N/A</v>
      </c>
      <c r="X437" s="1393" t="e">
        <v>#N/A</v>
      </c>
      <c r="Y437" s="1393" t="e">
        <v>#N/A</v>
      </c>
      <c r="Z437" s="1393" t="e">
        <v>#N/A</v>
      </c>
      <c r="AA437" s="1393" t="e">
        <v>#N/A</v>
      </c>
      <c r="AB437" s="1393" t="e">
        <v>#N/A</v>
      </c>
      <c r="AC437" s="1393" t="e">
        <v>#N/A</v>
      </c>
      <c r="AD437" s="1393" t="e">
        <v>#N/A</v>
      </c>
      <c r="AE437" s="1393" t="e">
        <v>#N/A</v>
      </c>
      <c r="AF437" s="1393" t="e">
        <v>#N/A</v>
      </c>
      <c r="AG437" s="3072" t="e">
        <v>#N/A</v>
      </c>
    </row>
    <row r="438" spans="1:33">
      <c r="A438" s="63">
        <f t="shared" si="8"/>
        <v>2029.09</v>
      </c>
      <c r="B438" s="260" t="e">
        <v>#N/A</v>
      </c>
      <c r="C438" s="3034" t="e">
        <v>#N/A</v>
      </c>
      <c r="D438" s="169" t="e">
        <v>#N/A</v>
      </c>
      <c r="E438" s="260" t="e">
        <v>#N/A</v>
      </c>
      <c r="F438" s="2097" t="e">
        <v>#N/A</v>
      </c>
      <c r="G438" s="1399" t="e">
        <v>#N/A</v>
      </c>
      <c r="H438" s="3082" t="e">
        <v>#N/A</v>
      </c>
      <c r="I438" s="1890" t="e">
        <f t="shared" si="7"/>
        <v>#N/A</v>
      </c>
      <c r="J438" s="1400" t="e">
        <v>#N/A</v>
      </c>
      <c r="K438" s="3082" t="e">
        <v>#N/A</v>
      </c>
      <c r="L438" s="3082" t="e">
        <v>#N/A</v>
      </c>
      <c r="M438" s="1892" t="e">
        <v>#N/A</v>
      </c>
      <c r="N438" s="1393" t="e">
        <v>#N/A</v>
      </c>
      <c r="O438" s="1393" t="e">
        <v>#N/A</v>
      </c>
      <c r="P438" s="1393" t="e">
        <v>#N/A</v>
      </c>
      <c r="Q438" s="1393" t="e">
        <v>#N/A</v>
      </c>
      <c r="R438" s="1393" t="e">
        <v>#N/A</v>
      </c>
      <c r="S438" s="1393" t="e">
        <v>#N/A</v>
      </c>
      <c r="T438" s="1393" t="e">
        <v>#N/A</v>
      </c>
      <c r="U438" s="1393" t="e">
        <v>#N/A</v>
      </c>
      <c r="V438" s="1393" t="e">
        <v>#N/A</v>
      </c>
      <c r="W438" s="1393" t="e">
        <v>#N/A</v>
      </c>
      <c r="X438" s="1393" t="e">
        <v>#N/A</v>
      </c>
      <c r="Y438" s="1393" t="e">
        <v>#N/A</v>
      </c>
      <c r="Z438" s="1393" t="e">
        <v>#N/A</v>
      </c>
      <c r="AA438" s="1393" t="e">
        <v>#N/A</v>
      </c>
      <c r="AB438" s="1393" t="e">
        <v>#N/A</v>
      </c>
      <c r="AC438" s="1393" t="e">
        <v>#N/A</v>
      </c>
      <c r="AD438" s="1393" t="e">
        <v>#N/A</v>
      </c>
      <c r="AE438" s="1393" t="e">
        <v>#N/A</v>
      </c>
      <c r="AF438" s="1393" t="e">
        <v>#N/A</v>
      </c>
      <c r="AG438" s="3072" t="e">
        <v>#N/A</v>
      </c>
    </row>
    <row r="439" spans="1:33">
      <c r="A439" s="63">
        <f t="shared" si="8"/>
        <v>2029.1</v>
      </c>
      <c r="B439" s="260" t="e">
        <v>#N/A</v>
      </c>
      <c r="C439" s="3034" t="e">
        <v>#N/A</v>
      </c>
      <c r="D439" s="169" t="e">
        <v>#N/A</v>
      </c>
      <c r="E439" s="260" t="e">
        <v>#N/A</v>
      </c>
      <c r="F439" s="2097" t="e">
        <v>#N/A</v>
      </c>
      <c r="G439" s="1399" t="e">
        <v>#N/A</v>
      </c>
      <c r="H439" s="3082" t="e">
        <v>#N/A</v>
      </c>
      <c r="I439" s="1890" t="e">
        <f t="shared" si="7"/>
        <v>#N/A</v>
      </c>
      <c r="J439" s="1400" t="e">
        <v>#N/A</v>
      </c>
      <c r="K439" s="3082" t="e">
        <v>#N/A</v>
      </c>
      <c r="L439" s="3082" t="e">
        <v>#N/A</v>
      </c>
      <c r="M439" s="1892" t="e">
        <v>#N/A</v>
      </c>
      <c r="N439" s="1393" t="e">
        <v>#N/A</v>
      </c>
      <c r="O439" s="1393" t="e">
        <v>#N/A</v>
      </c>
      <c r="P439" s="1393" t="e">
        <v>#N/A</v>
      </c>
      <c r="Q439" s="1393" t="e">
        <v>#N/A</v>
      </c>
      <c r="R439" s="1393" t="e">
        <v>#N/A</v>
      </c>
      <c r="S439" s="1393" t="e">
        <v>#N/A</v>
      </c>
      <c r="T439" s="1393" t="e">
        <v>#N/A</v>
      </c>
      <c r="U439" s="1393" t="e">
        <v>#N/A</v>
      </c>
      <c r="V439" s="1393" t="e">
        <v>#N/A</v>
      </c>
      <c r="W439" s="1393" t="e">
        <v>#N/A</v>
      </c>
      <c r="X439" s="1393" t="e">
        <v>#N/A</v>
      </c>
      <c r="Y439" s="1393" t="e">
        <v>#N/A</v>
      </c>
      <c r="Z439" s="1393" t="e">
        <v>#N/A</v>
      </c>
      <c r="AA439" s="1393" t="e">
        <v>#N/A</v>
      </c>
      <c r="AB439" s="1393" t="e">
        <v>#N/A</v>
      </c>
      <c r="AC439" s="1393" t="e">
        <v>#N/A</v>
      </c>
      <c r="AD439" s="1393" t="e">
        <v>#N/A</v>
      </c>
      <c r="AE439" s="1393" t="e">
        <v>#N/A</v>
      </c>
      <c r="AF439" s="1393" t="e">
        <v>#N/A</v>
      </c>
      <c r="AG439" s="3072" t="e">
        <v>#N/A</v>
      </c>
    </row>
    <row r="440" spans="1:33">
      <c r="A440" s="63">
        <f t="shared" si="8"/>
        <v>2029.11</v>
      </c>
      <c r="B440" s="260" t="e">
        <v>#N/A</v>
      </c>
      <c r="C440" s="3034" t="e">
        <v>#N/A</v>
      </c>
      <c r="D440" s="169" t="e">
        <v>#N/A</v>
      </c>
      <c r="E440" s="260" t="e">
        <v>#N/A</v>
      </c>
      <c r="F440" s="2097" t="e">
        <v>#N/A</v>
      </c>
      <c r="G440" s="1399" t="e">
        <v>#N/A</v>
      </c>
      <c r="H440" s="3082" t="e">
        <v>#N/A</v>
      </c>
      <c r="I440" s="1890" t="e">
        <f t="shared" si="7"/>
        <v>#N/A</v>
      </c>
      <c r="J440" s="1400" t="e">
        <v>#N/A</v>
      </c>
      <c r="K440" s="3082" t="e">
        <v>#N/A</v>
      </c>
      <c r="L440" s="3082" t="e">
        <v>#N/A</v>
      </c>
      <c r="M440" s="1892" t="e">
        <v>#N/A</v>
      </c>
      <c r="N440" s="1393" t="e">
        <v>#N/A</v>
      </c>
      <c r="O440" s="1393" t="e">
        <v>#N/A</v>
      </c>
      <c r="P440" s="1393" t="e">
        <v>#N/A</v>
      </c>
      <c r="Q440" s="1393" t="e">
        <v>#N/A</v>
      </c>
      <c r="R440" s="1393" t="e">
        <v>#N/A</v>
      </c>
      <c r="S440" s="1393" t="e">
        <v>#N/A</v>
      </c>
      <c r="T440" s="1393" t="e">
        <v>#N/A</v>
      </c>
      <c r="U440" s="1393" t="e">
        <v>#N/A</v>
      </c>
      <c r="V440" s="1393" t="e">
        <v>#N/A</v>
      </c>
      <c r="W440" s="1393" t="e">
        <v>#N/A</v>
      </c>
      <c r="X440" s="1393" t="e">
        <v>#N/A</v>
      </c>
      <c r="Y440" s="1393" t="e">
        <v>#N/A</v>
      </c>
      <c r="Z440" s="1393" t="e">
        <v>#N/A</v>
      </c>
      <c r="AA440" s="1393" t="e">
        <v>#N/A</v>
      </c>
      <c r="AB440" s="1393" t="e">
        <v>#N/A</v>
      </c>
      <c r="AC440" s="1393" t="e">
        <v>#N/A</v>
      </c>
      <c r="AD440" s="1393" t="e">
        <v>#N/A</v>
      </c>
      <c r="AE440" s="1393" t="e">
        <v>#N/A</v>
      </c>
      <c r="AF440" s="1393" t="e">
        <v>#N/A</v>
      </c>
      <c r="AG440" s="3072" t="e">
        <v>#N/A</v>
      </c>
    </row>
    <row r="441" spans="1:33">
      <c r="A441" s="63">
        <f t="shared" si="8"/>
        <v>2029.12</v>
      </c>
      <c r="B441" s="260" t="e">
        <v>#N/A</v>
      </c>
      <c r="C441" s="3034" t="e">
        <v>#N/A</v>
      </c>
      <c r="D441" s="169" t="e">
        <v>#N/A</v>
      </c>
      <c r="E441" s="260" t="e">
        <v>#N/A</v>
      </c>
      <c r="F441" s="2097" t="e">
        <v>#N/A</v>
      </c>
      <c r="G441" s="1399" t="e">
        <v>#N/A</v>
      </c>
      <c r="H441" s="3082" t="e">
        <v>#N/A</v>
      </c>
      <c r="I441" s="1890" t="e">
        <f t="shared" si="7"/>
        <v>#N/A</v>
      </c>
      <c r="J441" s="1400" t="e">
        <v>#N/A</v>
      </c>
      <c r="K441" s="3082" t="e">
        <v>#N/A</v>
      </c>
      <c r="L441" s="3082" t="e">
        <v>#N/A</v>
      </c>
      <c r="M441" s="1892" t="e">
        <v>#N/A</v>
      </c>
      <c r="N441" s="1393" t="e">
        <v>#N/A</v>
      </c>
      <c r="O441" s="1393" t="e">
        <v>#N/A</v>
      </c>
      <c r="P441" s="1393" t="e">
        <v>#N/A</v>
      </c>
      <c r="Q441" s="1393" t="e">
        <v>#N/A</v>
      </c>
      <c r="R441" s="1393" t="e">
        <v>#N/A</v>
      </c>
      <c r="S441" s="1393" t="e">
        <v>#N/A</v>
      </c>
      <c r="T441" s="1393" t="e">
        <v>#N/A</v>
      </c>
      <c r="U441" s="1393" t="e">
        <v>#N/A</v>
      </c>
      <c r="V441" s="1393" t="e">
        <v>#N/A</v>
      </c>
      <c r="W441" s="1393" t="e">
        <v>#N/A</v>
      </c>
      <c r="X441" s="1393" t="e">
        <v>#N/A</v>
      </c>
      <c r="Y441" s="1393" t="e">
        <v>#N/A</v>
      </c>
      <c r="Z441" s="1393" t="e">
        <v>#N/A</v>
      </c>
      <c r="AA441" s="1393" t="e">
        <v>#N/A</v>
      </c>
      <c r="AB441" s="1393" t="e">
        <v>#N/A</v>
      </c>
      <c r="AC441" s="1393" t="e">
        <v>#N/A</v>
      </c>
      <c r="AD441" s="1393" t="e">
        <v>#N/A</v>
      </c>
      <c r="AE441" s="1393" t="e">
        <v>#N/A</v>
      </c>
      <c r="AF441" s="1393" t="e">
        <v>#N/A</v>
      </c>
      <c r="AG441" s="3072" t="e">
        <v>#N/A</v>
      </c>
    </row>
    <row r="442" spans="1:33">
      <c r="A442" s="63">
        <f t="shared" si="8"/>
        <v>2030.01</v>
      </c>
      <c r="B442" s="260" t="e">
        <v>#N/A</v>
      </c>
      <c r="C442" s="3034" t="e">
        <v>#N/A</v>
      </c>
      <c r="D442" s="169" t="e">
        <v>#N/A</v>
      </c>
      <c r="E442" s="260" t="e">
        <v>#N/A</v>
      </c>
      <c r="F442" s="2097" t="e">
        <v>#N/A</v>
      </c>
      <c r="G442" s="1399" t="e">
        <v>#N/A</v>
      </c>
      <c r="H442" s="3082" t="e">
        <v>#N/A</v>
      </c>
      <c r="I442" s="1890" t="e">
        <f t="shared" si="7"/>
        <v>#N/A</v>
      </c>
      <c r="J442" s="1400" t="e">
        <v>#N/A</v>
      </c>
      <c r="K442" s="3082" t="e">
        <v>#N/A</v>
      </c>
      <c r="L442" s="3082" t="e">
        <v>#N/A</v>
      </c>
      <c r="M442" s="1892" t="e">
        <v>#N/A</v>
      </c>
      <c r="N442" s="1393" t="e">
        <v>#N/A</v>
      </c>
      <c r="O442" s="1393" t="e">
        <v>#N/A</v>
      </c>
      <c r="P442" s="1393" t="e">
        <v>#N/A</v>
      </c>
      <c r="Q442" s="1393" t="e">
        <v>#N/A</v>
      </c>
      <c r="R442" s="1393" t="e">
        <v>#N/A</v>
      </c>
      <c r="S442" s="1393" t="e">
        <v>#N/A</v>
      </c>
      <c r="T442" s="1393" t="e">
        <v>#N/A</v>
      </c>
      <c r="U442" s="1393" t="e">
        <v>#N/A</v>
      </c>
      <c r="V442" s="1393" t="e">
        <v>#N/A</v>
      </c>
      <c r="W442" s="1393" t="e">
        <v>#N/A</v>
      </c>
      <c r="X442" s="1393" t="e">
        <v>#N/A</v>
      </c>
      <c r="Y442" s="1393" t="e">
        <v>#N/A</v>
      </c>
      <c r="Z442" s="1393" t="e">
        <v>#N/A</v>
      </c>
      <c r="AA442" s="1393" t="e">
        <v>#N/A</v>
      </c>
      <c r="AB442" s="1393" t="e">
        <v>#N/A</v>
      </c>
      <c r="AC442" s="1393" t="e">
        <v>#N/A</v>
      </c>
      <c r="AD442" s="1393" t="e">
        <v>#N/A</v>
      </c>
      <c r="AE442" s="1393" t="e">
        <v>#N/A</v>
      </c>
      <c r="AF442" s="1393" t="e">
        <v>#N/A</v>
      </c>
      <c r="AG442" s="3072" t="e">
        <v>#N/A</v>
      </c>
    </row>
    <row r="443" spans="1:33">
      <c r="A443" s="63">
        <f t="shared" si="8"/>
        <v>2030.02</v>
      </c>
      <c r="B443" s="260" t="e">
        <v>#N/A</v>
      </c>
      <c r="C443" s="3034" t="e">
        <v>#N/A</v>
      </c>
      <c r="D443" s="169" t="e">
        <v>#N/A</v>
      </c>
      <c r="E443" s="260" t="e">
        <v>#N/A</v>
      </c>
      <c r="F443" s="2097" t="e">
        <v>#N/A</v>
      </c>
      <c r="G443" s="1399" t="e">
        <v>#N/A</v>
      </c>
      <c r="H443" s="3082" t="e">
        <v>#N/A</v>
      </c>
      <c r="I443" s="1890" t="e">
        <f t="shared" ref="I443:I453" si="9">+G443+H443</f>
        <v>#N/A</v>
      </c>
      <c r="J443" s="1400" t="e">
        <v>#N/A</v>
      </c>
      <c r="K443" s="3082" t="e">
        <v>#N/A</v>
      </c>
      <c r="L443" s="3082" t="e">
        <v>#N/A</v>
      </c>
      <c r="M443" s="1892" t="e">
        <v>#N/A</v>
      </c>
      <c r="N443" s="1393" t="e">
        <v>#N/A</v>
      </c>
      <c r="O443" s="1393" t="e">
        <v>#N/A</v>
      </c>
      <c r="P443" s="1393" t="e">
        <v>#N/A</v>
      </c>
      <c r="Q443" s="1393" t="e">
        <v>#N/A</v>
      </c>
      <c r="R443" s="1393" t="e">
        <v>#N/A</v>
      </c>
      <c r="S443" s="1393" t="e">
        <v>#N/A</v>
      </c>
      <c r="T443" s="1393" t="e">
        <v>#N/A</v>
      </c>
      <c r="U443" s="1393" t="e">
        <v>#N/A</v>
      </c>
      <c r="V443" s="1393" t="e">
        <v>#N/A</v>
      </c>
      <c r="W443" s="1393" t="e">
        <v>#N/A</v>
      </c>
      <c r="X443" s="1393" t="e">
        <v>#N/A</v>
      </c>
      <c r="Y443" s="1393" t="e">
        <v>#N/A</v>
      </c>
      <c r="Z443" s="1393" t="e">
        <v>#N/A</v>
      </c>
      <c r="AA443" s="1393" t="e">
        <v>#N/A</v>
      </c>
      <c r="AB443" s="1393" t="e">
        <v>#N/A</v>
      </c>
      <c r="AC443" s="1393" t="e">
        <v>#N/A</v>
      </c>
      <c r="AD443" s="1393" t="e">
        <v>#N/A</v>
      </c>
      <c r="AE443" s="1393" t="e">
        <v>#N/A</v>
      </c>
      <c r="AF443" s="1393" t="e">
        <v>#N/A</v>
      </c>
      <c r="AG443" s="3072" t="e">
        <v>#N/A</v>
      </c>
    </row>
    <row r="444" spans="1:33">
      <c r="A444" s="63">
        <f t="shared" si="8"/>
        <v>2030.03</v>
      </c>
      <c r="B444" s="260" t="e">
        <v>#N/A</v>
      </c>
      <c r="C444" s="3034" t="e">
        <v>#N/A</v>
      </c>
      <c r="D444" s="169" t="e">
        <v>#N/A</v>
      </c>
      <c r="E444" s="260" t="e">
        <v>#N/A</v>
      </c>
      <c r="F444" s="2097" t="e">
        <v>#N/A</v>
      </c>
      <c r="G444" s="1399" t="e">
        <v>#N/A</v>
      </c>
      <c r="H444" s="3082" t="e">
        <v>#N/A</v>
      </c>
      <c r="I444" s="1890" t="e">
        <f t="shared" si="9"/>
        <v>#N/A</v>
      </c>
      <c r="J444" s="1400" t="e">
        <v>#N/A</v>
      </c>
      <c r="K444" s="3082" t="e">
        <v>#N/A</v>
      </c>
      <c r="L444" s="3082" t="e">
        <v>#N/A</v>
      </c>
      <c r="M444" s="1892" t="e">
        <v>#N/A</v>
      </c>
      <c r="N444" s="1393" t="e">
        <v>#N/A</v>
      </c>
      <c r="O444" s="1393" t="e">
        <v>#N/A</v>
      </c>
      <c r="P444" s="1393" t="e">
        <v>#N/A</v>
      </c>
      <c r="Q444" s="1393" t="e">
        <v>#N/A</v>
      </c>
      <c r="R444" s="1393" t="e">
        <v>#N/A</v>
      </c>
      <c r="S444" s="1393" t="e">
        <v>#N/A</v>
      </c>
      <c r="T444" s="1393" t="e">
        <v>#N/A</v>
      </c>
      <c r="U444" s="1393" t="e">
        <v>#N/A</v>
      </c>
      <c r="V444" s="1393" t="e">
        <v>#N/A</v>
      </c>
      <c r="W444" s="1393" t="e">
        <v>#N/A</v>
      </c>
      <c r="X444" s="1393" t="e">
        <v>#N/A</v>
      </c>
      <c r="Y444" s="1393" t="e">
        <v>#N/A</v>
      </c>
      <c r="Z444" s="1393" t="e">
        <v>#N/A</v>
      </c>
      <c r="AA444" s="1393" t="e">
        <v>#N/A</v>
      </c>
      <c r="AB444" s="1393" t="e">
        <v>#N/A</v>
      </c>
      <c r="AC444" s="1393" t="e">
        <v>#N/A</v>
      </c>
      <c r="AD444" s="1393" t="e">
        <v>#N/A</v>
      </c>
      <c r="AE444" s="1393" t="e">
        <v>#N/A</v>
      </c>
      <c r="AF444" s="1393" t="e">
        <v>#N/A</v>
      </c>
      <c r="AG444" s="3072" t="e">
        <v>#N/A</v>
      </c>
    </row>
    <row r="445" spans="1:33">
      <c r="A445" s="63">
        <f t="shared" si="8"/>
        <v>2030.04</v>
      </c>
      <c r="B445" s="260" t="e">
        <v>#N/A</v>
      </c>
      <c r="C445" s="3034" t="e">
        <v>#N/A</v>
      </c>
      <c r="D445" s="169" t="e">
        <v>#N/A</v>
      </c>
      <c r="E445" s="260" t="e">
        <v>#N/A</v>
      </c>
      <c r="F445" s="2097" t="e">
        <v>#N/A</v>
      </c>
      <c r="G445" s="1399" t="e">
        <v>#N/A</v>
      </c>
      <c r="H445" s="3082" t="e">
        <v>#N/A</v>
      </c>
      <c r="I445" s="1890" t="e">
        <f t="shared" si="9"/>
        <v>#N/A</v>
      </c>
      <c r="J445" s="1400" t="e">
        <v>#N/A</v>
      </c>
      <c r="K445" s="3082" t="e">
        <v>#N/A</v>
      </c>
      <c r="L445" s="3082" t="e">
        <v>#N/A</v>
      </c>
      <c r="M445" s="1892" t="e">
        <v>#N/A</v>
      </c>
      <c r="N445" s="1393" t="e">
        <v>#N/A</v>
      </c>
      <c r="O445" s="1393" t="e">
        <v>#N/A</v>
      </c>
      <c r="P445" s="1393" t="e">
        <v>#N/A</v>
      </c>
      <c r="Q445" s="1393" t="e">
        <v>#N/A</v>
      </c>
      <c r="R445" s="1393" t="e">
        <v>#N/A</v>
      </c>
      <c r="S445" s="1393" t="e">
        <v>#N/A</v>
      </c>
      <c r="T445" s="1393" t="e">
        <v>#N/A</v>
      </c>
      <c r="U445" s="1393" t="e">
        <v>#N/A</v>
      </c>
      <c r="V445" s="1393" t="e">
        <v>#N/A</v>
      </c>
      <c r="W445" s="1393" t="e">
        <v>#N/A</v>
      </c>
      <c r="X445" s="1393" t="e">
        <v>#N/A</v>
      </c>
      <c r="Y445" s="1393" t="e">
        <v>#N/A</v>
      </c>
      <c r="Z445" s="1393" t="e">
        <v>#N/A</v>
      </c>
      <c r="AA445" s="1393" t="e">
        <v>#N/A</v>
      </c>
      <c r="AB445" s="1393" t="e">
        <v>#N/A</v>
      </c>
      <c r="AC445" s="1393" t="e">
        <v>#N/A</v>
      </c>
      <c r="AD445" s="1393" t="e">
        <v>#N/A</v>
      </c>
      <c r="AE445" s="1393" t="e">
        <v>#N/A</v>
      </c>
      <c r="AF445" s="1393" t="e">
        <v>#N/A</v>
      </c>
      <c r="AG445" s="3072" t="e">
        <v>#N/A</v>
      </c>
    </row>
    <row r="446" spans="1:33">
      <c r="A446" s="63">
        <f t="shared" si="8"/>
        <v>2030.05</v>
      </c>
      <c r="B446" s="260" t="e">
        <v>#N/A</v>
      </c>
      <c r="C446" s="3034" t="e">
        <v>#N/A</v>
      </c>
      <c r="D446" s="169" t="e">
        <v>#N/A</v>
      </c>
      <c r="E446" s="260" t="e">
        <v>#N/A</v>
      </c>
      <c r="F446" s="2097" t="e">
        <v>#N/A</v>
      </c>
      <c r="G446" s="1399" t="e">
        <v>#N/A</v>
      </c>
      <c r="H446" s="3082" t="e">
        <v>#N/A</v>
      </c>
      <c r="I446" s="1890" t="e">
        <f t="shared" si="9"/>
        <v>#N/A</v>
      </c>
      <c r="J446" s="1400" t="e">
        <v>#N/A</v>
      </c>
      <c r="K446" s="3082" t="e">
        <v>#N/A</v>
      </c>
      <c r="L446" s="3082" t="e">
        <v>#N/A</v>
      </c>
      <c r="M446" s="1892" t="e">
        <v>#N/A</v>
      </c>
      <c r="N446" s="1393" t="e">
        <v>#N/A</v>
      </c>
      <c r="O446" s="1393" t="e">
        <v>#N/A</v>
      </c>
      <c r="P446" s="1393" t="e">
        <v>#N/A</v>
      </c>
      <c r="Q446" s="1393" t="e">
        <v>#N/A</v>
      </c>
      <c r="R446" s="1393" t="e">
        <v>#N/A</v>
      </c>
      <c r="S446" s="1393" t="e">
        <v>#N/A</v>
      </c>
      <c r="T446" s="1393" t="e">
        <v>#N/A</v>
      </c>
      <c r="U446" s="1393" t="e">
        <v>#N/A</v>
      </c>
      <c r="V446" s="1393" t="e">
        <v>#N/A</v>
      </c>
      <c r="W446" s="1393" t="e">
        <v>#N/A</v>
      </c>
      <c r="X446" s="1393" t="e">
        <v>#N/A</v>
      </c>
      <c r="Y446" s="1393" t="e">
        <v>#N/A</v>
      </c>
      <c r="Z446" s="1393" t="e">
        <v>#N/A</v>
      </c>
      <c r="AA446" s="1393" t="e">
        <v>#N/A</v>
      </c>
      <c r="AB446" s="1393" t="e">
        <v>#N/A</v>
      </c>
      <c r="AC446" s="1393" t="e">
        <v>#N/A</v>
      </c>
      <c r="AD446" s="1393" t="e">
        <v>#N/A</v>
      </c>
      <c r="AE446" s="1393" t="e">
        <v>#N/A</v>
      </c>
      <c r="AF446" s="1393" t="e">
        <v>#N/A</v>
      </c>
      <c r="AG446" s="3072" t="e">
        <v>#N/A</v>
      </c>
    </row>
    <row r="447" spans="1:33">
      <c r="A447" s="63">
        <f t="shared" si="8"/>
        <v>2030.06</v>
      </c>
      <c r="B447" s="260" t="e">
        <v>#N/A</v>
      </c>
      <c r="C447" s="3034" t="e">
        <v>#N/A</v>
      </c>
      <c r="D447" s="169" t="e">
        <v>#N/A</v>
      </c>
      <c r="E447" s="260" t="e">
        <v>#N/A</v>
      </c>
      <c r="F447" s="2097" t="e">
        <v>#N/A</v>
      </c>
      <c r="G447" s="1399" t="e">
        <v>#N/A</v>
      </c>
      <c r="H447" s="3082" t="e">
        <v>#N/A</v>
      </c>
      <c r="I447" s="1890" t="e">
        <f t="shared" si="9"/>
        <v>#N/A</v>
      </c>
      <c r="J447" s="1400" t="e">
        <v>#N/A</v>
      </c>
      <c r="K447" s="3082" t="e">
        <v>#N/A</v>
      </c>
      <c r="L447" s="3082" t="e">
        <v>#N/A</v>
      </c>
      <c r="M447" s="1892" t="e">
        <v>#N/A</v>
      </c>
      <c r="N447" s="1393" t="e">
        <v>#N/A</v>
      </c>
      <c r="O447" s="1393" t="e">
        <v>#N/A</v>
      </c>
      <c r="P447" s="1393" t="e">
        <v>#N/A</v>
      </c>
      <c r="Q447" s="1393" t="e">
        <v>#N/A</v>
      </c>
      <c r="R447" s="1393" t="e">
        <v>#N/A</v>
      </c>
      <c r="S447" s="1393" t="e">
        <v>#N/A</v>
      </c>
      <c r="T447" s="1393" t="e">
        <v>#N/A</v>
      </c>
      <c r="U447" s="1393" t="e">
        <v>#N/A</v>
      </c>
      <c r="V447" s="1393" t="e">
        <v>#N/A</v>
      </c>
      <c r="W447" s="1393" t="e">
        <v>#N/A</v>
      </c>
      <c r="X447" s="1393" t="e">
        <v>#N/A</v>
      </c>
      <c r="Y447" s="1393" t="e">
        <v>#N/A</v>
      </c>
      <c r="Z447" s="1393" t="e">
        <v>#N/A</v>
      </c>
      <c r="AA447" s="1393" t="e">
        <v>#N/A</v>
      </c>
      <c r="AB447" s="1393" t="e">
        <v>#N/A</v>
      </c>
      <c r="AC447" s="1393" t="e">
        <v>#N/A</v>
      </c>
      <c r="AD447" s="1393" t="e">
        <v>#N/A</v>
      </c>
      <c r="AE447" s="1393" t="e">
        <v>#N/A</v>
      </c>
      <c r="AF447" s="1393" t="e">
        <v>#N/A</v>
      </c>
      <c r="AG447" s="3072" t="e">
        <v>#N/A</v>
      </c>
    </row>
    <row r="448" spans="1:33">
      <c r="A448" s="63">
        <f t="shared" si="8"/>
        <v>2030.07</v>
      </c>
      <c r="B448" s="260" t="e">
        <v>#N/A</v>
      </c>
      <c r="C448" s="3034" t="e">
        <v>#N/A</v>
      </c>
      <c r="D448" s="169" t="e">
        <v>#N/A</v>
      </c>
      <c r="E448" s="260" t="e">
        <v>#N/A</v>
      </c>
      <c r="F448" s="2097" t="e">
        <v>#N/A</v>
      </c>
      <c r="G448" s="1399" t="e">
        <v>#N/A</v>
      </c>
      <c r="H448" s="3082" t="e">
        <v>#N/A</v>
      </c>
      <c r="I448" s="1890" t="e">
        <f t="shared" si="9"/>
        <v>#N/A</v>
      </c>
      <c r="J448" s="1400" t="e">
        <v>#N/A</v>
      </c>
      <c r="K448" s="3082" t="e">
        <v>#N/A</v>
      </c>
      <c r="L448" s="3082" t="e">
        <v>#N/A</v>
      </c>
      <c r="M448" s="1892" t="e">
        <v>#N/A</v>
      </c>
      <c r="N448" s="1393" t="e">
        <v>#N/A</v>
      </c>
      <c r="O448" s="1393" t="e">
        <v>#N/A</v>
      </c>
      <c r="P448" s="1393" t="e">
        <v>#N/A</v>
      </c>
      <c r="Q448" s="1393" t="e">
        <v>#N/A</v>
      </c>
      <c r="R448" s="1393" t="e">
        <v>#N/A</v>
      </c>
      <c r="S448" s="1393" t="e">
        <v>#N/A</v>
      </c>
      <c r="T448" s="1393" t="e">
        <v>#N/A</v>
      </c>
      <c r="U448" s="1393" t="e">
        <v>#N/A</v>
      </c>
      <c r="V448" s="1393" t="e">
        <v>#N/A</v>
      </c>
      <c r="W448" s="1393" t="e">
        <v>#N/A</v>
      </c>
      <c r="X448" s="1393" t="e">
        <v>#N/A</v>
      </c>
      <c r="Y448" s="1393" t="e">
        <v>#N/A</v>
      </c>
      <c r="Z448" s="1393" t="e">
        <v>#N/A</v>
      </c>
      <c r="AA448" s="1393" t="e">
        <v>#N/A</v>
      </c>
      <c r="AB448" s="1393" t="e">
        <v>#N/A</v>
      </c>
      <c r="AC448" s="1393" t="e">
        <v>#N/A</v>
      </c>
      <c r="AD448" s="1393" t="e">
        <v>#N/A</v>
      </c>
      <c r="AE448" s="1393" t="e">
        <v>#N/A</v>
      </c>
      <c r="AF448" s="1393" t="e">
        <v>#N/A</v>
      </c>
      <c r="AG448" s="3072" t="e">
        <v>#N/A</v>
      </c>
    </row>
    <row r="449" spans="1:33">
      <c r="A449" s="63">
        <f t="shared" si="8"/>
        <v>2030.08</v>
      </c>
      <c r="B449" s="260" t="e">
        <v>#N/A</v>
      </c>
      <c r="C449" s="3034" t="e">
        <v>#N/A</v>
      </c>
      <c r="D449" s="169" t="e">
        <v>#N/A</v>
      </c>
      <c r="E449" s="260" t="e">
        <v>#N/A</v>
      </c>
      <c r="F449" s="2097" t="e">
        <v>#N/A</v>
      </c>
      <c r="G449" s="1399" t="e">
        <v>#N/A</v>
      </c>
      <c r="H449" s="3082" t="e">
        <v>#N/A</v>
      </c>
      <c r="I449" s="1890" t="e">
        <f t="shared" si="9"/>
        <v>#N/A</v>
      </c>
      <c r="J449" s="1400" t="e">
        <v>#N/A</v>
      </c>
      <c r="K449" s="3082" t="e">
        <v>#N/A</v>
      </c>
      <c r="L449" s="3082" t="e">
        <v>#N/A</v>
      </c>
      <c r="M449" s="1892" t="e">
        <v>#N/A</v>
      </c>
      <c r="N449" s="1393" t="e">
        <v>#N/A</v>
      </c>
      <c r="O449" s="1393" t="e">
        <v>#N/A</v>
      </c>
      <c r="P449" s="1393" t="e">
        <v>#N/A</v>
      </c>
      <c r="Q449" s="1393" t="e">
        <v>#N/A</v>
      </c>
      <c r="R449" s="1393" t="e">
        <v>#N/A</v>
      </c>
      <c r="S449" s="1393" t="e">
        <v>#N/A</v>
      </c>
      <c r="T449" s="1393" t="e">
        <v>#N/A</v>
      </c>
      <c r="U449" s="1393" t="e">
        <v>#N/A</v>
      </c>
      <c r="V449" s="1393" t="e">
        <v>#N/A</v>
      </c>
      <c r="W449" s="1393" t="e">
        <v>#N/A</v>
      </c>
      <c r="X449" s="1393" t="e">
        <v>#N/A</v>
      </c>
      <c r="Y449" s="1393" t="e">
        <v>#N/A</v>
      </c>
      <c r="Z449" s="1393" t="e">
        <v>#N/A</v>
      </c>
      <c r="AA449" s="1393" t="e">
        <v>#N/A</v>
      </c>
      <c r="AB449" s="1393" t="e">
        <v>#N/A</v>
      </c>
      <c r="AC449" s="1393" t="e">
        <v>#N/A</v>
      </c>
      <c r="AD449" s="1393" t="e">
        <v>#N/A</v>
      </c>
      <c r="AE449" s="1393" t="e">
        <v>#N/A</v>
      </c>
      <c r="AF449" s="1393" t="e">
        <v>#N/A</v>
      </c>
      <c r="AG449" s="3072" t="e">
        <v>#N/A</v>
      </c>
    </row>
    <row r="450" spans="1:33">
      <c r="A450" s="63">
        <f t="shared" si="8"/>
        <v>2030.09</v>
      </c>
      <c r="B450" s="260" t="e">
        <v>#N/A</v>
      </c>
      <c r="C450" s="3034" t="e">
        <v>#N/A</v>
      </c>
      <c r="D450" s="169" t="e">
        <v>#N/A</v>
      </c>
      <c r="E450" s="260" t="e">
        <v>#N/A</v>
      </c>
      <c r="F450" s="2097" t="e">
        <v>#N/A</v>
      </c>
      <c r="G450" s="1399" t="e">
        <v>#N/A</v>
      </c>
      <c r="H450" s="3082" t="e">
        <v>#N/A</v>
      </c>
      <c r="I450" s="1890" t="e">
        <f t="shared" si="9"/>
        <v>#N/A</v>
      </c>
      <c r="J450" s="1400" t="e">
        <v>#N/A</v>
      </c>
      <c r="K450" s="3082" t="e">
        <v>#N/A</v>
      </c>
      <c r="L450" s="3082" t="e">
        <v>#N/A</v>
      </c>
      <c r="M450" s="1892" t="e">
        <v>#N/A</v>
      </c>
      <c r="N450" s="1393" t="e">
        <v>#N/A</v>
      </c>
      <c r="O450" s="1393" t="e">
        <v>#N/A</v>
      </c>
      <c r="P450" s="1393" t="e">
        <v>#N/A</v>
      </c>
      <c r="Q450" s="1393" t="e">
        <v>#N/A</v>
      </c>
      <c r="R450" s="1393" t="e">
        <v>#N/A</v>
      </c>
      <c r="S450" s="1393" t="e">
        <v>#N/A</v>
      </c>
      <c r="T450" s="1393" t="e">
        <v>#N/A</v>
      </c>
      <c r="U450" s="1393" t="e">
        <v>#N/A</v>
      </c>
      <c r="V450" s="1393" t="e">
        <v>#N/A</v>
      </c>
      <c r="W450" s="1393" t="e">
        <v>#N/A</v>
      </c>
      <c r="X450" s="1393" t="e">
        <v>#N/A</v>
      </c>
      <c r="Y450" s="1393" t="e">
        <v>#N/A</v>
      </c>
      <c r="Z450" s="1393" t="e">
        <v>#N/A</v>
      </c>
      <c r="AA450" s="1393" t="e">
        <v>#N/A</v>
      </c>
      <c r="AB450" s="1393" t="e">
        <v>#N/A</v>
      </c>
      <c r="AC450" s="1393" t="e">
        <v>#N/A</v>
      </c>
      <c r="AD450" s="1393" t="e">
        <v>#N/A</v>
      </c>
      <c r="AE450" s="1393" t="e">
        <v>#N/A</v>
      </c>
      <c r="AF450" s="1393" t="e">
        <v>#N/A</v>
      </c>
      <c r="AG450" s="3072" t="e">
        <v>#N/A</v>
      </c>
    </row>
    <row r="451" spans="1:33">
      <c r="A451" s="63">
        <f t="shared" si="8"/>
        <v>2030.1</v>
      </c>
      <c r="B451" s="260" t="e">
        <v>#N/A</v>
      </c>
      <c r="C451" s="3034" t="e">
        <v>#N/A</v>
      </c>
      <c r="D451" s="169" t="e">
        <v>#N/A</v>
      </c>
      <c r="E451" s="260" t="e">
        <v>#N/A</v>
      </c>
      <c r="F451" s="2097" t="e">
        <v>#N/A</v>
      </c>
      <c r="G451" s="1399" t="e">
        <v>#N/A</v>
      </c>
      <c r="H451" s="3082" t="e">
        <v>#N/A</v>
      </c>
      <c r="I451" s="1890" t="e">
        <f t="shared" si="9"/>
        <v>#N/A</v>
      </c>
      <c r="J451" s="1400" t="e">
        <v>#N/A</v>
      </c>
      <c r="K451" s="3082" t="e">
        <v>#N/A</v>
      </c>
      <c r="L451" s="3082" t="e">
        <v>#N/A</v>
      </c>
      <c r="M451" s="1892" t="e">
        <v>#N/A</v>
      </c>
      <c r="N451" s="1393" t="e">
        <v>#N/A</v>
      </c>
      <c r="O451" s="1393" t="e">
        <v>#N/A</v>
      </c>
      <c r="P451" s="1393" t="e">
        <v>#N/A</v>
      </c>
      <c r="Q451" s="1393" t="e">
        <v>#N/A</v>
      </c>
      <c r="R451" s="1393" t="e">
        <v>#N/A</v>
      </c>
      <c r="S451" s="1393" t="e">
        <v>#N/A</v>
      </c>
      <c r="T451" s="1393" t="e">
        <v>#N/A</v>
      </c>
      <c r="U451" s="1393" t="e">
        <v>#N/A</v>
      </c>
      <c r="V451" s="1393" t="e">
        <v>#N/A</v>
      </c>
      <c r="W451" s="1393" t="e">
        <v>#N/A</v>
      </c>
      <c r="X451" s="1393" t="e">
        <v>#N/A</v>
      </c>
      <c r="Y451" s="1393" t="e">
        <v>#N/A</v>
      </c>
      <c r="Z451" s="1393" t="e">
        <v>#N/A</v>
      </c>
      <c r="AA451" s="1393" t="e">
        <v>#N/A</v>
      </c>
      <c r="AB451" s="1393" t="e">
        <v>#N/A</v>
      </c>
      <c r="AC451" s="1393" t="e">
        <v>#N/A</v>
      </c>
      <c r="AD451" s="1393" t="e">
        <v>#N/A</v>
      </c>
      <c r="AE451" s="1393" t="e">
        <v>#N/A</v>
      </c>
      <c r="AF451" s="1393" t="e">
        <v>#N/A</v>
      </c>
      <c r="AG451" s="3072" t="e">
        <v>#N/A</v>
      </c>
    </row>
    <row r="452" spans="1:33">
      <c r="A452" s="63">
        <f t="shared" si="8"/>
        <v>2030.11</v>
      </c>
      <c r="B452" s="260" t="e">
        <v>#N/A</v>
      </c>
      <c r="C452" s="3034" t="e">
        <v>#N/A</v>
      </c>
      <c r="D452" s="169" t="e">
        <v>#N/A</v>
      </c>
      <c r="E452" s="260" t="e">
        <v>#N/A</v>
      </c>
      <c r="F452" s="2097" t="e">
        <v>#N/A</v>
      </c>
      <c r="G452" s="1399" t="e">
        <v>#N/A</v>
      </c>
      <c r="H452" s="3082" t="e">
        <v>#N/A</v>
      </c>
      <c r="I452" s="1890" t="e">
        <f t="shared" si="9"/>
        <v>#N/A</v>
      </c>
      <c r="J452" s="1400" t="e">
        <v>#N/A</v>
      </c>
      <c r="K452" s="3082" t="e">
        <v>#N/A</v>
      </c>
      <c r="L452" s="3082" t="e">
        <v>#N/A</v>
      </c>
      <c r="M452" s="1892" t="e">
        <v>#N/A</v>
      </c>
      <c r="N452" s="1393" t="e">
        <v>#N/A</v>
      </c>
      <c r="O452" s="1393" t="e">
        <v>#N/A</v>
      </c>
      <c r="P452" s="1393" t="e">
        <v>#N/A</v>
      </c>
      <c r="Q452" s="1393" t="e">
        <v>#N/A</v>
      </c>
      <c r="R452" s="1393" t="e">
        <v>#N/A</v>
      </c>
      <c r="S452" s="1393" t="e">
        <v>#N/A</v>
      </c>
      <c r="T452" s="1393" t="e">
        <v>#N/A</v>
      </c>
      <c r="U452" s="1393" t="e">
        <v>#N/A</v>
      </c>
      <c r="V452" s="1393" t="e">
        <v>#N/A</v>
      </c>
      <c r="W452" s="1393" t="e">
        <v>#N/A</v>
      </c>
      <c r="X452" s="1393" t="e">
        <v>#N/A</v>
      </c>
      <c r="Y452" s="1393" t="e">
        <v>#N/A</v>
      </c>
      <c r="Z452" s="1393" t="e">
        <v>#N/A</v>
      </c>
      <c r="AA452" s="1393" t="e">
        <v>#N/A</v>
      </c>
      <c r="AB452" s="1393" t="e">
        <v>#N/A</v>
      </c>
      <c r="AC452" s="1393" t="e">
        <v>#N/A</v>
      </c>
      <c r="AD452" s="1393" t="e">
        <v>#N/A</v>
      </c>
      <c r="AE452" s="1393" t="e">
        <v>#N/A</v>
      </c>
      <c r="AF452" s="1393" t="e">
        <v>#N/A</v>
      </c>
      <c r="AG452" s="3072" t="e">
        <v>#N/A</v>
      </c>
    </row>
    <row r="453" spans="1:33">
      <c r="A453" s="63">
        <f t="shared" si="8"/>
        <v>2030.12</v>
      </c>
      <c r="B453" s="260" t="e">
        <v>#N/A</v>
      </c>
      <c r="C453" s="3034" t="e">
        <v>#N/A</v>
      </c>
      <c r="D453" s="169" t="e">
        <v>#N/A</v>
      </c>
      <c r="E453" s="260" t="e">
        <v>#N/A</v>
      </c>
      <c r="F453" s="2097" t="e">
        <v>#N/A</v>
      </c>
      <c r="G453" s="1399" t="e">
        <v>#N/A</v>
      </c>
      <c r="H453" s="3082" t="e">
        <v>#N/A</v>
      </c>
      <c r="I453" s="1890" t="e">
        <f t="shared" si="9"/>
        <v>#N/A</v>
      </c>
      <c r="J453" s="1400" t="e">
        <v>#N/A</v>
      </c>
      <c r="K453" s="3082" t="e">
        <v>#N/A</v>
      </c>
      <c r="L453" s="3082" t="e">
        <v>#N/A</v>
      </c>
      <c r="M453" s="1892" t="e">
        <v>#N/A</v>
      </c>
      <c r="N453" s="1393" t="e">
        <v>#N/A</v>
      </c>
      <c r="O453" s="1393" t="e">
        <v>#N/A</v>
      </c>
      <c r="P453" s="1393" t="e">
        <v>#N/A</v>
      </c>
      <c r="Q453" s="1393" t="e">
        <v>#N/A</v>
      </c>
      <c r="R453" s="1393" t="e">
        <v>#N/A</v>
      </c>
      <c r="S453" s="1393" t="e">
        <v>#N/A</v>
      </c>
      <c r="T453" s="1393" t="e">
        <v>#N/A</v>
      </c>
      <c r="U453" s="1393" t="e">
        <v>#N/A</v>
      </c>
      <c r="V453" s="1393" t="e">
        <v>#N/A</v>
      </c>
      <c r="W453" s="1393" t="e">
        <v>#N/A</v>
      </c>
      <c r="X453" s="1393" t="e">
        <v>#N/A</v>
      </c>
      <c r="Y453" s="1393" t="e">
        <v>#N/A</v>
      </c>
      <c r="Z453" s="1393" t="e">
        <v>#N/A</v>
      </c>
      <c r="AA453" s="1393" t="e">
        <v>#N/A</v>
      </c>
      <c r="AB453" s="1393" t="e">
        <v>#N/A</v>
      </c>
      <c r="AC453" s="1393" t="e">
        <v>#N/A</v>
      </c>
      <c r="AD453" s="1393" t="e">
        <v>#N/A</v>
      </c>
      <c r="AE453" s="1393" t="e">
        <v>#N/A</v>
      </c>
      <c r="AF453" s="1393" t="e">
        <v>#N/A</v>
      </c>
      <c r="AG453" s="3072" t="e">
        <v>#N/A</v>
      </c>
    </row>
  </sheetData>
  <phoneticPr fontId="62" type="noConversion"/>
  <hyperlinks>
    <hyperlink ref="A5" location="INDICE!A13" display="VOLVER AL INDICE" xr:uid="{00000000-0004-0000-0B00-000000000000}"/>
  </hyperlinks>
  <pageMargins left="0.75" right="0.75" top="1" bottom="1" header="0" footer="0"/>
  <pageSetup paperSize="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3"/>
  <dimension ref="A1:H285"/>
  <sheetViews>
    <sheetView zoomScale="130" zoomScaleNormal="130" workbookViewId="0">
      <pane xSplit="1" ySplit="9" topLeftCell="B201" activePane="bottomRight" state="frozen"/>
      <selection pane="topRight" activeCell="B1" sqref="B1"/>
      <selection pane="bottomLeft" activeCell="A10" sqref="A10"/>
      <selection pane="bottomRight" activeCell="B210" sqref="B210:E210"/>
    </sheetView>
  </sheetViews>
  <sheetFormatPr baseColWidth="10" defaultColWidth="11.42578125" defaultRowHeight="15"/>
  <cols>
    <col min="1" max="1" width="11.42578125" style="397"/>
    <col min="2" max="8" width="25.5703125" style="377" customWidth="1"/>
    <col min="9" max="16384" width="11.42578125" style="397"/>
  </cols>
  <sheetData>
    <row r="1" spans="1:8" ht="4.9000000000000004" customHeight="1">
      <c r="A1" s="34"/>
      <c r="B1" s="367"/>
      <c r="C1" s="386"/>
      <c r="D1" s="386"/>
      <c r="E1" s="386"/>
      <c r="F1" s="398"/>
      <c r="G1" s="367"/>
      <c r="H1" s="368"/>
    </row>
    <row r="2" spans="1:8" ht="33.75">
      <c r="A2" s="59" t="s">
        <v>105</v>
      </c>
      <c r="B2" s="1893" t="s">
        <v>431</v>
      </c>
      <c r="C2" s="1894" t="s">
        <v>432</v>
      </c>
      <c r="D2" s="1894"/>
      <c r="E2" s="387"/>
      <c r="F2" s="1893" t="s">
        <v>1721</v>
      </c>
      <c r="G2" s="2608" t="s">
        <v>1715</v>
      </c>
      <c r="H2" s="2609"/>
    </row>
    <row r="3" spans="1:8">
      <c r="A3" s="94" t="s">
        <v>212</v>
      </c>
      <c r="B3" s="2408" t="s">
        <v>433</v>
      </c>
      <c r="C3" s="2408"/>
      <c r="D3" s="2408"/>
      <c r="E3" s="2408"/>
      <c r="F3" s="2408"/>
      <c r="G3" s="2408" t="s">
        <v>1718</v>
      </c>
      <c r="H3" s="369"/>
    </row>
    <row r="4" spans="1:8" ht="4.5" hidden="1" customHeight="1">
      <c r="A4" s="34"/>
      <c r="B4" s="2409"/>
      <c r="C4" s="371"/>
      <c r="D4" s="371"/>
      <c r="E4" s="371"/>
      <c r="F4" s="406"/>
      <c r="G4" s="2409"/>
      <c r="H4" s="370"/>
    </row>
    <row r="5" spans="1:8" ht="33.75">
      <c r="A5" s="2390" t="s">
        <v>137</v>
      </c>
      <c r="B5" s="2410" t="s">
        <v>434</v>
      </c>
      <c r="C5" s="2410" t="s">
        <v>435</v>
      </c>
      <c r="D5" s="723" t="s">
        <v>436</v>
      </c>
      <c r="E5" s="400" t="s">
        <v>437</v>
      </c>
      <c r="F5" s="1895" t="s">
        <v>1720</v>
      </c>
      <c r="G5" s="753" t="s">
        <v>438</v>
      </c>
      <c r="H5" s="403" t="s">
        <v>439</v>
      </c>
    </row>
    <row r="6" spans="1:8" ht="2.4500000000000002" hidden="1" customHeight="1">
      <c r="A6" s="34"/>
      <c r="B6" s="2409"/>
      <c r="C6" s="371"/>
      <c r="D6" s="724"/>
      <c r="E6" s="371"/>
      <c r="F6" s="406"/>
      <c r="G6" s="754"/>
      <c r="H6" s="370"/>
    </row>
    <row r="7" spans="1:8" ht="22.5">
      <c r="A7" s="2373" t="s">
        <v>123</v>
      </c>
      <c r="B7" s="1896" t="s">
        <v>357</v>
      </c>
      <c r="C7" s="2411" t="s">
        <v>357</v>
      </c>
      <c r="D7" s="725" t="s">
        <v>357</v>
      </c>
      <c r="E7" s="401" t="s">
        <v>440</v>
      </c>
      <c r="F7" s="1896" t="s">
        <v>358</v>
      </c>
      <c r="G7" s="755" t="s">
        <v>358</v>
      </c>
      <c r="H7" s="404" t="s">
        <v>358</v>
      </c>
    </row>
    <row r="8" spans="1:8">
      <c r="A8" s="147" t="s">
        <v>141</v>
      </c>
      <c r="B8" s="1897" t="s">
        <v>441</v>
      </c>
      <c r="C8" s="2412" t="s">
        <v>442</v>
      </c>
      <c r="D8" s="726" t="s">
        <v>443</v>
      </c>
      <c r="E8" s="402" t="s">
        <v>444</v>
      </c>
      <c r="F8" s="1897" t="s">
        <v>445</v>
      </c>
      <c r="G8" s="756" t="s">
        <v>446</v>
      </c>
      <c r="H8" s="405" t="s">
        <v>447</v>
      </c>
    </row>
    <row r="9" spans="1:8" hidden="1">
      <c r="A9" s="2990"/>
      <c r="B9" s="2413"/>
      <c r="C9" s="749"/>
      <c r="D9" s="750"/>
      <c r="E9" s="751"/>
      <c r="F9" s="399"/>
      <c r="G9" s="749"/>
      <c r="H9" s="372"/>
    </row>
    <row r="10" spans="1:8" ht="12.75" customHeight="1">
      <c r="A10" s="373">
        <v>2008.01</v>
      </c>
      <c r="B10" s="1898">
        <v>473089</v>
      </c>
      <c r="C10" s="3083">
        <v>6757815</v>
      </c>
      <c r="D10" s="3313">
        <v>1109152</v>
      </c>
      <c r="E10" s="3084">
        <v>5648663</v>
      </c>
      <c r="F10" s="388">
        <v>2793</v>
      </c>
      <c r="G10" s="757"/>
      <c r="H10" s="374"/>
    </row>
    <row r="11" spans="1:8" ht="12.75" customHeight="1">
      <c r="A11" s="373">
        <v>2008.02</v>
      </c>
      <c r="B11" s="1899">
        <v>468138</v>
      </c>
      <c r="C11" s="375">
        <v>6721543</v>
      </c>
      <c r="D11" s="3085">
        <v>1065244</v>
      </c>
      <c r="E11" s="375">
        <v>5656299</v>
      </c>
      <c r="F11" s="1899">
        <v>2094</v>
      </c>
      <c r="G11" s="757"/>
      <c r="H11" s="374"/>
    </row>
    <row r="12" spans="1:8" ht="12.75" customHeight="1">
      <c r="A12" s="373">
        <v>2008.03</v>
      </c>
      <c r="B12" s="1899">
        <v>467989</v>
      </c>
      <c r="C12" s="375">
        <v>6820339</v>
      </c>
      <c r="D12" s="3085">
        <v>1098113</v>
      </c>
      <c r="E12" s="375">
        <v>5722226</v>
      </c>
      <c r="F12" s="1899">
        <v>2017</v>
      </c>
      <c r="G12" s="757"/>
      <c r="H12" s="374"/>
    </row>
    <row r="13" spans="1:8" ht="12.75" customHeight="1">
      <c r="A13" s="373">
        <v>2008.04</v>
      </c>
      <c r="B13" s="1899">
        <v>474118</v>
      </c>
      <c r="C13" s="375">
        <v>6879948</v>
      </c>
      <c r="D13" s="3085">
        <v>1097569</v>
      </c>
      <c r="E13" s="375">
        <v>5782379</v>
      </c>
      <c r="F13" s="1899">
        <v>2039</v>
      </c>
      <c r="G13" s="757"/>
      <c r="H13" s="374"/>
    </row>
    <row r="14" spans="1:8" ht="12.75" customHeight="1">
      <c r="A14" s="373">
        <v>2008.05</v>
      </c>
      <c r="B14" s="1899">
        <v>477415</v>
      </c>
      <c r="C14" s="375">
        <v>6914018</v>
      </c>
      <c r="D14" s="3085">
        <v>1104056</v>
      </c>
      <c r="E14" s="375">
        <v>5809962</v>
      </c>
      <c r="F14" s="1899">
        <v>2140</v>
      </c>
      <c r="G14" s="757"/>
      <c r="H14" s="374"/>
    </row>
    <row r="15" spans="1:8" ht="12.75" customHeight="1">
      <c r="A15" s="373">
        <v>2008.06</v>
      </c>
      <c r="B15" s="1899">
        <v>476839</v>
      </c>
      <c r="C15" s="375">
        <v>6911906</v>
      </c>
      <c r="D15" s="3085">
        <v>1110678</v>
      </c>
      <c r="E15" s="375">
        <v>5801228</v>
      </c>
      <c r="F15" s="1899">
        <v>2193</v>
      </c>
      <c r="G15" s="757"/>
      <c r="H15" s="374"/>
    </row>
    <row r="16" spans="1:8" ht="12.75" customHeight="1">
      <c r="A16" s="373">
        <v>2008.07</v>
      </c>
      <c r="B16" s="1899">
        <v>474596</v>
      </c>
      <c r="C16" s="375">
        <v>6924964</v>
      </c>
      <c r="D16" s="3085">
        <v>1133607</v>
      </c>
      <c r="E16" s="375">
        <v>5791357</v>
      </c>
      <c r="F16" s="1899">
        <v>3141</v>
      </c>
      <c r="G16" s="757"/>
      <c r="H16" s="374"/>
    </row>
    <row r="17" spans="1:8" ht="12.75" customHeight="1">
      <c r="A17" s="373">
        <v>2008.08</v>
      </c>
      <c r="B17" s="1899">
        <v>475201</v>
      </c>
      <c r="C17" s="375">
        <v>6931996</v>
      </c>
      <c r="D17" s="3085">
        <v>1126867</v>
      </c>
      <c r="E17" s="375">
        <v>5805129</v>
      </c>
      <c r="F17" s="1899">
        <v>2309</v>
      </c>
      <c r="G17" s="757"/>
      <c r="H17" s="374"/>
    </row>
    <row r="18" spans="1:8" ht="12.75" customHeight="1">
      <c r="A18" s="373">
        <v>2008.09</v>
      </c>
      <c r="B18" s="1899">
        <v>476463</v>
      </c>
      <c r="C18" s="375">
        <v>6950982</v>
      </c>
      <c r="D18" s="3085">
        <v>1133929</v>
      </c>
      <c r="E18" s="375">
        <v>5817053</v>
      </c>
      <c r="F18" s="1899">
        <v>2357</v>
      </c>
      <c r="G18" s="757"/>
      <c r="H18" s="374"/>
    </row>
    <row r="19" spans="1:8" ht="12.75" customHeight="1">
      <c r="A19" s="373">
        <v>2008.1</v>
      </c>
      <c r="B19" s="1899">
        <v>478603</v>
      </c>
      <c r="C19" s="375">
        <v>6982335</v>
      </c>
      <c r="D19" s="3085">
        <v>1138210</v>
      </c>
      <c r="E19" s="375">
        <v>5844125</v>
      </c>
      <c r="F19" s="1899">
        <v>2436</v>
      </c>
      <c r="G19" s="757"/>
      <c r="H19" s="374"/>
    </row>
    <row r="20" spans="1:8" ht="12.75" customHeight="1">
      <c r="A20" s="373">
        <v>2008.11</v>
      </c>
      <c r="B20" s="1899">
        <v>481306</v>
      </c>
      <c r="C20" s="375">
        <v>7020007</v>
      </c>
      <c r="D20" s="3085">
        <v>1137030</v>
      </c>
      <c r="E20" s="375">
        <v>5882977</v>
      </c>
      <c r="F20" s="1899">
        <v>2482</v>
      </c>
      <c r="G20" s="757"/>
      <c r="H20" s="374"/>
    </row>
    <row r="21" spans="1:8" ht="12.75" customHeight="1">
      <c r="A21" s="373">
        <v>2008.12</v>
      </c>
      <c r="B21" s="1899">
        <v>479218</v>
      </c>
      <c r="C21" s="375">
        <v>6990041</v>
      </c>
      <c r="D21" s="3085">
        <v>1144078</v>
      </c>
      <c r="E21" s="375">
        <v>5845963</v>
      </c>
      <c r="F21" s="1899">
        <v>2401</v>
      </c>
      <c r="G21" s="757"/>
      <c r="H21" s="374"/>
    </row>
    <row r="22" spans="1:8" ht="12.75" customHeight="1">
      <c r="A22" s="373">
        <v>2009.01</v>
      </c>
      <c r="B22" s="1899">
        <v>480072</v>
      </c>
      <c r="C22" s="375">
        <v>6975206</v>
      </c>
      <c r="D22" s="3085">
        <v>1159926</v>
      </c>
      <c r="E22" s="375">
        <v>5815280</v>
      </c>
      <c r="F22" s="1899">
        <v>3658</v>
      </c>
      <c r="G22" s="758">
        <v>2050</v>
      </c>
      <c r="H22" s="752">
        <v>2907.11</v>
      </c>
    </row>
    <row r="23" spans="1:8" ht="12.75" customHeight="1">
      <c r="A23" s="373">
        <v>2009.02</v>
      </c>
      <c r="B23" s="1899">
        <v>468494</v>
      </c>
      <c r="C23" s="375">
        <v>6915507</v>
      </c>
      <c r="D23" s="3085">
        <v>1137994</v>
      </c>
      <c r="E23" s="375">
        <v>5777513</v>
      </c>
      <c r="F23" s="1899">
        <v>2628</v>
      </c>
      <c r="G23" s="759">
        <v>2014.08</v>
      </c>
      <c r="H23" s="376">
        <v>2791.44</v>
      </c>
    </row>
    <row r="24" spans="1:8" ht="12.75" customHeight="1">
      <c r="A24" s="373">
        <v>2009.03</v>
      </c>
      <c r="B24" s="1899">
        <v>463144</v>
      </c>
      <c r="C24" s="375">
        <v>6925839</v>
      </c>
      <c r="D24" s="3085">
        <v>1147995</v>
      </c>
      <c r="E24" s="375">
        <v>5777844</v>
      </c>
      <c r="F24" s="1899">
        <v>2533</v>
      </c>
      <c r="G24" s="759">
        <v>2025.53</v>
      </c>
      <c r="H24" s="376">
        <v>2869.86</v>
      </c>
    </row>
    <row r="25" spans="1:8" ht="12.75" customHeight="1">
      <c r="A25" s="373">
        <v>2009.04</v>
      </c>
      <c r="B25" s="1899">
        <v>465857</v>
      </c>
      <c r="C25" s="375">
        <v>6907895</v>
      </c>
      <c r="D25" s="3085">
        <v>1144195</v>
      </c>
      <c r="E25" s="375">
        <v>5763700</v>
      </c>
      <c r="F25" s="1899">
        <v>2556</v>
      </c>
      <c r="G25" s="759">
        <v>2157.8000000000002</v>
      </c>
      <c r="H25" s="376">
        <v>2885.72</v>
      </c>
    </row>
    <row r="26" spans="1:8" ht="12.75" customHeight="1">
      <c r="A26" s="373">
        <v>2009.05</v>
      </c>
      <c r="B26" s="1899">
        <v>463719</v>
      </c>
      <c r="C26" s="375">
        <v>6812702</v>
      </c>
      <c r="D26" s="3085">
        <v>1133246</v>
      </c>
      <c r="E26" s="375">
        <v>5679456</v>
      </c>
      <c r="F26" s="1899">
        <v>2610</v>
      </c>
      <c r="G26" s="759">
        <v>2223.66</v>
      </c>
      <c r="H26" s="376">
        <v>2886.88</v>
      </c>
    </row>
    <row r="27" spans="1:8" ht="12.75" customHeight="1">
      <c r="A27" s="373">
        <v>2009.06</v>
      </c>
      <c r="B27" s="1899">
        <v>461193</v>
      </c>
      <c r="C27" s="375">
        <v>6836657</v>
      </c>
      <c r="D27" s="3085">
        <v>1154117</v>
      </c>
      <c r="E27" s="375">
        <v>5682540</v>
      </c>
      <c r="F27" s="1899">
        <v>2612</v>
      </c>
      <c r="G27" s="759">
        <v>3263.85</v>
      </c>
      <c r="H27" s="376">
        <v>4245.8100000000004</v>
      </c>
    </row>
    <row r="28" spans="1:8" ht="12.75" customHeight="1">
      <c r="A28" s="373">
        <v>2009.07</v>
      </c>
      <c r="B28" s="1899">
        <v>460032</v>
      </c>
      <c r="C28" s="375">
        <v>6877745</v>
      </c>
      <c r="D28" s="3085">
        <v>1177463</v>
      </c>
      <c r="E28" s="375">
        <v>5700282</v>
      </c>
      <c r="F28" s="1899">
        <v>3911</v>
      </c>
      <c r="G28" s="759">
        <v>2277.19</v>
      </c>
      <c r="H28" s="376">
        <v>2991.46</v>
      </c>
    </row>
    <row r="29" spans="1:8" ht="12.75" customHeight="1">
      <c r="A29" s="373">
        <v>2009.08</v>
      </c>
      <c r="B29" s="1899">
        <v>459661</v>
      </c>
      <c r="C29" s="375">
        <v>6910648</v>
      </c>
      <c r="D29" s="3085">
        <v>1219335</v>
      </c>
      <c r="E29" s="375">
        <v>5691313</v>
      </c>
      <c r="F29" s="1899">
        <v>2714</v>
      </c>
      <c r="G29" s="759">
        <v>2286.15</v>
      </c>
      <c r="H29" s="376">
        <v>3026.88</v>
      </c>
    </row>
    <row r="30" spans="1:8" ht="12.75" customHeight="1">
      <c r="A30" s="373">
        <v>2009.09</v>
      </c>
      <c r="B30" s="1899">
        <v>458348</v>
      </c>
      <c r="C30" s="375">
        <v>6914149</v>
      </c>
      <c r="D30" s="3085">
        <v>1223555</v>
      </c>
      <c r="E30" s="375">
        <v>5690594</v>
      </c>
      <c r="F30" s="1899">
        <v>2742</v>
      </c>
      <c r="G30" s="759">
        <v>2322</v>
      </c>
      <c r="H30" s="376">
        <v>3112.32</v>
      </c>
    </row>
    <row r="31" spans="1:8" ht="12.75" customHeight="1">
      <c r="A31" s="373">
        <v>2009.1</v>
      </c>
      <c r="B31" s="1899">
        <v>465064</v>
      </c>
      <c r="C31" s="375">
        <v>6950683</v>
      </c>
      <c r="D31" s="3085">
        <v>1239720</v>
      </c>
      <c r="E31" s="375">
        <v>5710963</v>
      </c>
      <c r="F31" s="1899">
        <v>2872</v>
      </c>
      <c r="G31" s="759">
        <v>2334.71</v>
      </c>
      <c r="H31" s="376">
        <v>3135.62</v>
      </c>
    </row>
    <row r="32" spans="1:8" ht="12.75" customHeight="1">
      <c r="A32" s="373">
        <v>2009.11</v>
      </c>
      <c r="B32" s="1899">
        <v>468357</v>
      </c>
      <c r="C32" s="375">
        <v>6994729</v>
      </c>
      <c r="D32" s="3085">
        <v>1236896</v>
      </c>
      <c r="E32" s="375">
        <v>5757833</v>
      </c>
      <c r="F32" s="1899">
        <v>2889</v>
      </c>
      <c r="G32" s="759">
        <v>2321.91</v>
      </c>
      <c r="H32" s="376">
        <v>3110.03</v>
      </c>
    </row>
    <row r="33" spans="1:8" ht="12.75" customHeight="1">
      <c r="A33" s="373">
        <v>2009.12</v>
      </c>
      <c r="B33" s="1899">
        <v>470159</v>
      </c>
      <c r="C33" s="375">
        <v>7031652</v>
      </c>
      <c r="D33" s="3085">
        <v>1246735</v>
      </c>
      <c r="E33" s="375">
        <v>5784917</v>
      </c>
      <c r="F33" s="1899">
        <v>2830</v>
      </c>
      <c r="G33" s="759">
        <v>3501.62</v>
      </c>
      <c r="H33" s="376">
        <v>4723.8100000000004</v>
      </c>
    </row>
    <row r="34" spans="1:8" ht="12.75" customHeight="1">
      <c r="A34" s="373">
        <v>2010.01</v>
      </c>
      <c r="B34" s="1899">
        <v>473198</v>
      </c>
      <c r="C34" s="375">
        <v>7046486</v>
      </c>
      <c r="D34" s="3085">
        <v>1256008</v>
      </c>
      <c r="E34" s="375">
        <v>5790478</v>
      </c>
      <c r="F34" s="1899">
        <v>4302</v>
      </c>
      <c r="G34" s="759">
        <v>2481.36</v>
      </c>
      <c r="H34" s="376">
        <v>3468.61</v>
      </c>
    </row>
    <row r="35" spans="1:8" ht="12.75" customHeight="1">
      <c r="A35" s="373">
        <v>2010.02</v>
      </c>
      <c r="B35" s="1899">
        <v>465521</v>
      </c>
      <c r="C35" s="375">
        <v>7014854</v>
      </c>
      <c r="D35" s="3085">
        <v>1228866</v>
      </c>
      <c r="E35" s="375">
        <v>5785988</v>
      </c>
      <c r="F35" s="1899">
        <v>3172</v>
      </c>
      <c r="G35" s="759">
        <v>2474.04</v>
      </c>
      <c r="H35" s="376">
        <v>3376.54</v>
      </c>
    </row>
    <row r="36" spans="1:8" ht="12.75" customHeight="1">
      <c r="A36" s="373">
        <v>2010.03</v>
      </c>
      <c r="B36" s="1899">
        <v>466781</v>
      </c>
      <c r="C36" s="375">
        <v>7085670</v>
      </c>
      <c r="D36" s="3085">
        <v>1237796</v>
      </c>
      <c r="E36" s="375">
        <v>5847874</v>
      </c>
      <c r="F36" s="1899">
        <v>3066</v>
      </c>
      <c r="G36" s="759">
        <v>2534.38</v>
      </c>
      <c r="H36" s="376">
        <v>3578.79</v>
      </c>
    </row>
    <row r="37" spans="1:8" ht="12.75" customHeight="1">
      <c r="A37" s="373">
        <v>2010.04</v>
      </c>
      <c r="B37" s="1899">
        <v>473997</v>
      </c>
      <c r="C37" s="375">
        <v>7131302</v>
      </c>
      <c r="D37" s="3085">
        <v>1238086</v>
      </c>
      <c r="E37" s="375">
        <v>5893216</v>
      </c>
      <c r="F37" s="1899">
        <v>3210</v>
      </c>
      <c r="G37" s="759">
        <v>2557.3000000000002</v>
      </c>
      <c r="H37" s="376">
        <v>3546.73</v>
      </c>
    </row>
    <row r="38" spans="1:8" ht="12.75" customHeight="1">
      <c r="A38" s="373">
        <v>2010.05</v>
      </c>
      <c r="B38" s="1899">
        <v>474752</v>
      </c>
      <c r="C38" s="375">
        <v>7111340</v>
      </c>
      <c r="D38" s="3085">
        <v>1240700</v>
      </c>
      <c r="E38" s="375">
        <v>5870640</v>
      </c>
      <c r="F38" s="1899">
        <v>3290</v>
      </c>
      <c r="G38" s="759">
        <v>2635.36</v>
      </c>
      <c r="H38" s="376">
        <v>3575.29</v>
      </c>
    </row>
    <row r="39" spans="1:8" ht="12.75" customHeight="1">
      <c r="A39" s="373">
        <v>2010.06</v>
      </c>
      <c r="B39" s="1899">
        <v>474176</v>
      </c>
      <c r="C39" s="375">
        <v>7097259</v>
      </c>
      <c r="D39" s="3085">
        <v>1248993</v>
      </c>
      <c r="E39" s="375">
        <v>5848266</v>
      </c>
      <c r="F39" s="1899">
        <v>3272</v>
      </c>
      <c r="G39" s="759">
        <v>4200</v>
      </c>
      <c r="H39" s="376">
        <v>5323</v>
      </c>
    </row>
    <row r="40" spans="1:8" ht="12.75" customHeight="1">
      <c r="A40" s="373">
        <v>2010.07</v>
      </c>
      <c r="B40" s="1899">
        <v>475162</v>
      </c>
      <c r="C40" s="375">
        <v>7115881</v>
      </c>
      <c r="D40" s="3085">
        <v>1258348</v>
      </c>
      <c r="E40" s="375">
        <v>5857533</v>
      </c>
      <c r="F40" s="1899">
        <v>4950</v>
      </c>
      <c r="G40" s="759">
        <v>2897.92</v>
      </c>
      <c r="H40" s="376">
        <v>3796.59</v>
      </c>
    </row>
    <row r="41" spans="1:8" ht="12.75" customHeight="1">
      <c r="A41" s="373">
        <v>2010.08</v>
      </c>
      <c r="B41" s="1899">
        <v>476136</v>
      </c>
      <c r="C41" s="375">
        <v>7136011</v>
      </c>
      <c r="D41" s="3085">
        <v>1257966</v>
      </c>
      <c r="E41" s="375">
        <v>5878045</v>
      </c>
      <c r="F41" s="1899">
        <v>3512</v>
      </c>
      <c r="G41" s="759">
        <v>2943.55</v>
      </c>
      <c r="H41" s="376">
        <v>3875.35</v>
      </c>
    </row>
    <row r="42" spans="1:8" ht="12.75" customHeight="1">
      <c r="A42" s="373">
        <v>2010.09</v>
      </c>
      <c r="B42" s="1899">
        <v>478177</v>
      </c>
      <c r="C42" s="375">
        <v>7173652</v>
      </c>
      <c r="D42" s="3085">
        <v>1259054</v>
      </c>
      <c r="E42" s="375">
        <v>5914598</v>
      </c>
      <c r="F42" s="1899">
        <v>3573</v>
      </c>
      <c r="G42" s="759">
        <v>3064.54</v>
      </c>
      <c r="H42" s="376">
        <v>4013.63</v>
      </c>
    </row>
    <row r="43" spans="1:8" ht="12.75" customHeight="1">
      <c r="A43" s="373">
        <v>2010.1</v>
      </c>
      <c r="B43" s="1899">
        <v>480296</v>
      </c>
      <c r="C43" s="375">
        <v>7197778</v>
      </c>
      <c r="D43" s="3085">
        <v>1261896</v>
      </c>
      <c r="E43" s="375">
        <v>5935882</v>
      </c>
      <c r="F43" s="1899">
        <v>3668</v>
      </c>
      <c r="G43" s="759">
        <v>3086.84</v>
      </c>
      <c r="H43" s="376">
        <v>4055.92</v>
      </c>
    </row>
    <row r="44" spans="1:8" ht="12.75" customHeight="1">
      <c r="A44" s="373">
        <v>2010.11</v>
      </c>
      <c r="B44" s="1899">
        <v>483641</v>
      </c>
      <c r="C44" s="375">
        <v>7253191</v>
      </c>
      <c r="D44" s="3085">
        <v>1263246</v>
      </c>
      <c r="E44" s="375">
        <v>5989945</v>
      </c>
      <c r="F44" s="1899">
        <v>3753</v>
      </c>
      <c r="G44" s="759">
        <v>3123.44</v>
      </c>
      <c r="H44" s="376">
        <v>4099.6899999999996</v>
      </c>
    </row>
    <row r="45" spans="1:8" ht="12.75" customHeight="1">
      <c r="A45" s="373">
        <v>2010.12</v>
      </c>
      <c r="B45" s="1899">
        <v>489210</v>
      </c>
      <c r="C45" s="375">
        <v>7306179</v>
      </c>
      <c r="D45" s="3085">
        <v>1269064</v>
      </c>
      <c r="E45" s="375">
        <v>6037115</v>
      </c>
      <c r="F45" s="1899">
        <v>3768</v>
      </c>
      <c r="G45" s="759">
        <v>4766.2299999999996</v>
      </c>
      <c r="H45" s="376">
        <v>6166.26</v>
      </c>
    </row>
    <row r="46" spans="1:8" ht="12.75" customHeight="1">
      <c r="A46" s="373">
        <v>2011.01</v>
      </c>
      <c r="B46" s="1899">
        <v>495022</v>
      </c>
      <c r="C46" s="375">
        <v>7362798</v>
      </c>
      <c r="D46" s="3085">
        <v>1287745</v>
      </c>
      <c r="E46" s="375">
        <v>6075053</v>
      </c>
      <c r="F46" s="1899">
        <v>5714</v>
      </c>
      <c r="G46" s="759">
        <v>3330.81</v>
      </c>
      <c r="H46" s="376">
        <v>4608.6899999999996</v>
      </c>
    </row>
    <row r="47" spans="1:8" ht="12.75" customHeight="1">
      <c r="A47" s="373">
        <v>2011.02</v>
      </c>
      <c r="B47" s="1899">
        <v>488867</v>
      </c>
      <c r="C47" s="375">
        <v>7367912</v>
      </c>
      <c r="D47" s="3085">
        <v>1276595</v>
      </c>
      <c r="E47" s="375">
        <v>6091317</v>
      </c>
      <c r="F47" s="1899">
        <v>4197</v>
      </c>
      <c r="G47" s="759">
        <v>3281.56</v>
      </c>
      <c r="H47" s="376">
        <v>4365.13</v>
      </c>
    </row>
    <row r="48" spans="1:8" ht="12.75" customHeight="1">
      <c r="A48" s="373">
        <v>2011.03</v>
      </c>
      <c r="B48" s="1899">
        <v>488259</v>
      </c>
      <c r="C48" s="375">
        <v>7429126</v>
      </c>
      <c r="D48" s="3085">
        <v>1290107</v>
      </c>
      <c r="E48" s="375">
        <v>6139019</v>
      </c>
      <c r="F48" s="1899">
        <v>4078</v>
      </c>
      <c r="G48" s="759">
        <v>3418.64</v>
      </c>
      <c r="H48" s="376">
        <v>4757.17</v>
      </c>
    </row>
    <row r="49" spans="1:8" ht="12.75" customHeight="1">
      <c r="A49" s="373">
        <v>2011.04</v>
      </c>
      <c r="B49" s="1899">
        <v>494951</v>
      </c>
      <c r="C49" s="375">
        <v>7455046</v>
      </c>
      <c r="D49" s="3085">
        <v>1290900</v>
      </c>
      <c r="E49" s="375">
        <v>6164146</v>
      </c>
      <c r="F49" s="1899">
        <v>4322</v>
      </c>
      <c r="G49" s="759">
        <v>3427.54</v>
      </c>
      <c r="H49" s="376">
        <v>4633.46</v>
      </c>
    </row>
    <row r="50" spans="1:8" ht="12.75" customHeight="1">
      <c r="A50" s="373">
        <v>2011.05</v>
      </c>
      <c r="B50" s="1899">
        <v>498086</v>
      </c>
      <c r="C50" s="375">
        <v>7471656</v>
      </c>
      <c r="D50" s="3085">
        <v>1297684</v>
      </c>
      <c r="E50" s="375">
        <v>6173972</v>
      </c>
      <c r="F50" s="1899">
        <v>4268</v>
      </c>
      <c r="G50" s="759">
        <v>3601.48</v>
      </c>
      <c r="H50" s="376">
        <v>4862.1499999999996</v>
      </c>
    </row>
    <row r="51" spans="1:8" ht="12.75" customHeight="1">
      <c r="A51" s="373">
        <v>2011.06</v>
      </c>
      <c r="B51" s="1899">
        <v>500281</v>
      </c>
      <c r="C51" s="375">
        <v>7485442</v>
      </c>
      <c r="D51" s="3085">
        <v>1307384</v>
      </c>
      <c r="E51" s="375">
        <v>6178058</v>
      </c>
      <c r="F51" s="1899">
        <v>4456</v>
      </c>
      <c r="G51" s="759">
        <v>5527.12</v>
      </c>
      <c r="H51" s="376">
        <v>7042.69</v>
      </c>
    </row>
    <row r="52" spans="1:8" ht="12.75" customHeight="1">
      <c r="A52" s="373">
        <v>2011.07</v>
      </c>
      <c r="B52" s="1899">
        <v>502217</v>
      </c>
      <c r="C52" s="375">
        <v>7499979</v>
      </c>
      <c r="D52" s="3085">
        <v>1319810</v>
      </c>
      <c r="E52" s="375">
        <v>6180169</v>
      </c>
      <c r="F52" s="1899">
        <v>6488</v>
      </c>
      <c r="G52" s="759">
        <v>3913.73</v>
      </c>
      <c r="H52" s="376">
        <v>5019.54</v>
      </c>
    </row>
    <row r="53" spans="1:8" ht="12.75" customHeight="1">
      <c r="A53" s="373">
        <v>2011.08</v>
      </c>
      <c r="B53" s="1899">
        <v>501798</v>
      </c>
      <c r="C53" s="375">
        <v>7527948</v>
      </c>
      <c r="D53" s="3085">
        <v>1334586</v>
      </c>
      <c r="E53" s="375">
        <v>6193362</v>
      </c>
      <c r="F53" s="1899">
        <v>4635</v>
      </c>
      <c r="G53" s="759">
        <v>3972.79</v>
      </c>
      <c r="H53" s="376">
        <v>5114.96</v>
      </c>
    </row>
    <row r="54" spans="1:8" ht="12.75" customHeight="1">
      <c r="A54" s="373">
        <v>2011.09</v>
      </c>
      <c r="B54" s="1899">
        <v>506571</v>
      </c>
      <c r="C54" s="375">
        <v>7577900</v>
      </c>
      <c r="D54" s="3085">
        <v>1341326</v>
      </c>
      <c r="E54" s="375">
        <v>6236574</v>
      </c>
      <c r="F54" s="1899">
        <v>4669</v>
      </c>
      <c r="G54" s="759">
        <v>4176.76</v>
      </c>
      <c r="H54" s="376">
        <v>5277.16</v>
      </c>
    </row>
    <row r="55" spans="1:8" ht="12.75" customHeight="1">
      <c r="A55" s="373">
        <v>2011.1</v>
      </c>
      <c r="B55" s="1899">
        <v>507192</v>
      </c>
      <c r="C55" s="375">
        <v>7589104</v>
      </c>
      <c r="D55" s="3085">
        <v>1338604</v>
      </c>
      <c r="E55" s="375">
        <v>6250500</v>
      </c>
      <c r="F55" s="1899">
        <v>4883</v>
      </c>
      <c r="G55" s="759">
        <v>4189.9799999999996</v>
      </c>
      <c r="H55" s="376">
        <v>5332.89</v>
      </c>
    </row>
    <row r="56" spans="1:8" ht="12.75" customHeight="1">
      <c r="A56" s="373">
        <v>2011.11</v>
      </c>
      <c r="B56" s="1899">
        <v>509469</v>
      </c>
      <c r="C56" s="375">
        <v>7642985</v>
      </c>
      <c r="D56" s="3085">
        <v>1347269</v>
      </c>
      <c r="E56" s="375">
        <v>6295716</v>
      </c>
      <c r="F56" s="1899">
        <v>4898</v>
      </c>
      <c r="G56" s="759">
        <v>4259.99</v>
      </c>
      <c r="H56" s="376">
        <v>5402.56</v>
      </c>
    </row>
    <row r="57" spans="1:8" ht="12.75" customHeight="1">
      <c r="A57" s="373">
        <v>2011.12</v>
      </c>
      <c r="B57" s="1899">
        <v>514673</v>
      </c>
      <c r="C57" s="375">
        <v>7684680</v>
      </c>
      <c r="D57" s="3085">
        <v>1346036</v>
      </c>
      <c r="E57" s="375">
        <v>6338644</v>
      </c>
      <c r="F57" s="1899">
        <v>4957</v>
      </c>
      <c r="G57" s="759">
        <v>6480.21</v>
      </c>
      <c r="H57" s="376">
        <v>8130.47</v>
      </c>
    </row>
    <row r="58" spans="1:8" ht="12.75" customHeight="1">
      <c r="A58" s="373">
        <v>2012.01</v>
      </c>
      <c r="B58" s="1899">
        <v>515743</v>
      </c>
      <c r="C58" s="375">
        <v>7688171</v>
      </c>
      <c r="D58" s="3085">
        <v>1357910</v>
      </c>
      <c r="E58" s="375">
        <v>6330261</v>
      </c>
      <c r="F58" s="1899">
        <v>7514</v>
      </c>
      <c r="G58" s="759">
        <v>4513.45</v>
      </c>
      <c r="H58" s="376">
        <v>6028.03</v>
      </c>
    </row>
    <row r="59" spans="1:8" ht="12.75" customHeight="1">
      <c r="A59" s="373">
        <v>2012.02</v>
      </c>
      <c r="B59" s="1899">
        <v>508234</v>
      </c>
      <c r="C59" s="375">
        <v>7664054</v>
      </c>
      <c r="D59" s="3085">
        <v>1349436</v>
      </c>
      <c r="E59" s="375">
        <v>6314618</v>
      </c>
      <c r="F59" s="1899">
        <v>5616</v>
      </c>
      <c r="G59" s="759">
        <v>4483.49</v>
      </c>
      <c r="H59" s="376">
        <v>5824.77</v>
      </c>
    </row>
    <row r="60" spans="1:8" ht="12.75" customHeight="1">
      <c r="A60" s="373">
        <v>2012.03</v>
      </c>
      <c r="B60" s="1899">
        <v>505229</v>
      </c>
      <c r="C60" s="375">
        <v>7692342</v>
      </c>
      <c r="D60" s="3085">
        <v>1358168</v>
      </c>
      <c r="E60" s="375">
        <v>6334174</v>
      </c>
      <c r="F60" s="1899">
        <v>5378</v>
      </c>
      <c r="G60" s="759">
        <v>4540.95</v>
      </c>
      <c r="H60" s="376">
        <v>6145.19</v>
      </c>
    </row>
    <row r="61" spans="1:8" ht="12.75" customHeight="1">
      <c r="A61" s="373">
        <v>2012.04</v>
      </c>
      <c r="B61" s="1899">
        <v>509290</v>
      </c>
      <c r="C61" s="375">
        <v>7696316</v>
      </c>
      <c r="D61" s="3085">
        <v>1347815</v>
      </c>
      <c r="E61" s="375">
        <v>6348501</v>
      </c>
      <c r="F61" s="1899">
        <v>5467</v>
      </c>
      <c r="G61" s="759">
        <v>4682.46</v>
      </c>
      <c r="H61" s="376">
        <v>6087.02</v>
      </c>
    </row>
    <row r="62" spans="1:8" ht="12.75" customHeight="1">
      <c r="A62" s="373">
        <v>2012.05</v>
      </c>
      <c r="B62" s="1899">
        <v>510648</v>
      </c>
      <c r="C62" s="375">
        <v>7661949</v>
      </c>
      <c r="D62" s="3085">
        <v>1354407</v>
      </c>
      <c r="E62" s="375">
        <v>6307542</v>
      </c>
      <c r="F62" s="1899">
        <v>5620</v>
      </c>
      <c r="G62" s="759">
        <v>5049.43</v>
      </c>
      <c r="H62" s="376">
        <v>6278.22</v>
      </c>
    </row>
    <row r="63" spans="1:8" ht="12.75" customHeight="1">
      <c r="A63" s="373">
        <v>2012.06</v>
      </c>
      <c r="B63" s="1899">
        <v>510150</v>
      </c>
      <c r="C63" s="375">
        <v>7644490</v>
      </c>
      <c r="D63" s="3085">
        <v>1359854</v>
      </c>
      <c r="E63" s="375">
        <v>6284636</v>
      </c>
      <c r="F63" s="1899">
        <v>5828</v>
      </c>
      <c r="G63" s="759">
        <v>7396.13</v>
      </c>
      <c r="H63" s="376">
        <v>9107.16</v>
      </c>
    </row>
    <row r="64" spans="1:8" ht="12.75" customHeight="1">
      <c r="A64" s="373">
        <v>2012.07</v>
      </c>
      <c r="B64" s="1899">
        <v>509193</v>
      </c>
      <c r="C64" s="375">
        <v>7653771</v>
      </c>
      <c r="D64" s="3085">
        <v>1377172</v>
      </c>
      <c r="E64" s="375">
        <v>6276599</v>
      </c>
      <c r="F64" s="1899">
        <v>8449</v>
      </c>
      <c r="G64" s="759">
        <v>5301.21</v>
      </c>
      <c r="H64" s="376">
        <v>6612.18</v>
      </c>
    </row>
    <row r="65" spans="1:8" ht="12.75" customHeight="1">
      <c r="A65" s="373">
        <v>2012.08</v>
      </c>
      <c r="B65" s="1899">
        <v>506869</v>
      </c>
      <c r="C65" s="375">
        <v>7646638</v>
      </c>
      <c r="D65" s="3085">
        <v>1366988</v>
      </c>
      <c r="E65" s="375">
        <v>6279650</v>
      </c>
      <c r="F65" s="1899">
        <v>6079</v>
      </c>
      <c r="G65" s="759">
        <v>5341.93</v>
      </c>
      <c r="H65" s="376">
        <v>6609.57</v>
      </c>
    </row>
    <row r="66" spans="1:8" ht="12.75" customHeight="1">
      <c r="A66" s="373">
        <v>2012.09</v>
      </c>
      <c r="B66" s="1899">
        <v>506590</v>
      </c>
      <c r="C66" s="375">
        <v>7653538</v>
      </c>
      <c r="D66" s="3085">
        <v>1373788</v>
      </c>
      <c r="E66" s="375">
        <v>6279750</v>
      </c>
      <c r="F66" s="1899">
        <v>6071</v>
      </c>
      <c r="G66" s="759">
        <v>5358.82</v>
      </c>
      <c r="H66" s="376">
        <v>6695.82</v>
      </c>
    </row>
    <row r="67" spans="1:8" ht="12.75" customHeight="1">
      <c r="A67" s="373">
        <v>2012.1</v>
      </c>
      <c r="B67" s="1899">
        <v>506300</v>
      </c>
      <c r="C67" s="375">
        <v>7650704</v>
      </c>
      <c r="D67" s="3085">
        <v>1364658</v>
      </c>
      <c r="E67" s="375">
        <v>6286046</v>
      </c>
      <c r="F67" s="1899">
        <v>6104</v>
      </c>
      <c r="G67" s="759">
        <v>5425.52</v>
      </c>
      <c r="H67" s="376">
        <v>6858.57</v>
      </c>
    </row>
    <row r="68" spans="1:8" ht="12.75" customHeight="1">
      <c r="A68" s="373">
        <v>2012.11</v>
      </c>
      <c r="B68" s="1899">
        <v>510558</v>
      </c>
      <c r="C68" s="375">
        <v>7695175</v>
      </c>
      <c r="D68" s="3085">
        <v>1363354</v>
      </c>
      <c r="E68" s="375">
        <v>6331821</v>
      </c>
      <c r="F68" s="1899">
        <v>6292</v>
      </c>
      <c r="G68" s="759">
        <v>5694.83</v>
      </c>
      <c r="H68" s="376">
        <v>7006.19</v>
      </c>
    </row>
    <row r="69" spans="1:8" ht="12.75" customHeight="1">
      <c r="A69" s="373">
        <v>2012.12</v>
      </c>
      <c r="B69" s="1899">
        <v>512052</v>
      </c>
      <c r="C69" s="375">
        <v>7717979</v>
      </c>
      <c r="D69" s="3085">
        <v>1369507</v>
      </c>
      <c r="E69" s="375">
        <v>6348472</v>
      </c>
      <c r="F69" s="1899">
        <v>6434</v>
      </c>
      <c r="G69" s="759">
        <v>8454.58</v>
      </c>
      <c r="H69" s="376">
        <v>10426.35</v>
      </c>
    </row>
    <row r="70" spans="1:8" ht="12.75" customHeight="1">
      <c r="A70" s="373">
        <v>2013.01</v>
      </c>
      <c r="B70" s="1899">
        <v>513832</v>
      </c>
      <c r="C70" s="375">
        <v>7758087</v>
      </c>
      <c r="D70" s="3085">
        <v>1383047</v>
      </c>
      <c r="E70" s="375">
        <v>6375040</v>
      </c>
      <c r="F70" s="1899">
        <v>9601</v>
      </c>
      <c r="G70" s="759">
        <v>5890.8</v>
      </c>
      <c r="H70" s="376">
        <v>7722.74</v>
      </c>
    </row>
    <row r="71" spans="1:8" ht="12.75" customHeight="1">
      <c r="A71" s="373">
        <v>2013.02</v>
      </c>
      <c r="B71" s="1899">
        <v>510255</v>
      </c>
      <c r="C71" s="375">
        <v>7727227</v>
      </c>
      <c r="D71" s="3085">
        <v>1364529</v>
      </c>
      <c r="E71" s="375">
        <v>6362698</v>
      </c>
      <c r="F71" s="1899">
        <v>7141</v>
      </c>
      <c r="G71" s="759">
        <v>5818.99</v>
      </c>
      <c r="H71" s="376">
        <v>7426.73</v>
      </c>
    </row>
    <row r="72" spans="1:8" ht="12.75" customHeight="1">
      <c r="A72" s="373">
        <v>2013.03</v>
      </c>
      <c r="B72" s="1899">
        <v>507071</v>
      </c>
      <c r="C72" s="375">
        <v>7761759</v>
      </c>
      <c r="D72" s="3085">
        <v>1377408</v>
      </c>
      <c r="E72" s="375">
        <v>6384351</v>
      </c>
      <c r="F72" s="1899">
        <v>6750</v>
      </c>
      <c r="G72" s="759">
        <v>5869.75</v>
      </c>
      <c r="H72" s="376">
        <v>7840.12</v>
      </c>
    </row>
    <row r="73" spans="1:8" ht="12.75" customHeight="1">
      <c r="A73" s="373">
        <v>2013.04</v>
      </c>
      <c r="B73" s="1899">
        <v>513375</v>
      </c>
      <c r="C73" s="375">
        <v>7786496</v>
      </c>
      <c r="D73" s="3085">
        <v>1377877</v>
      </c>
      <c r="E73" s="375">
        <v>6408619</v>
      </c>
      <c r="F73" s="1899">
        <v>6992</v>
      </c>
      <c r="G73" s="759">
        <v>5983</v>
      </c>
      <c r="H73" s="376">
        <v>7730.75</v>
      </c>
    </row>
    <row r="74" spans="1:8" ht="12.75" customHeight="1">
      <c r="A74" s="373">
        <v>2013.05</v>
      </c>
      <c r="B74" s="1899">
        <v>514661</v>
      </c>
      <c r="C74" s="375">
        <v>7780885</v>
      </c>
      <c r="D74" s="3085">
        <v>1376985</v>
      </c>
      <c r="E74" s="375">
        <v>6403900</v>
      </c>
      <c r="F74" s="1899">
        <v>7100</v>
      </c>
      <c r="G74" s="759">
        <v>6500</v>
      </c>
      <c r="H74" s="376">
        <v>8037.64</v>
      </c>
    </row>
    <row r="75" spans="1:8" ht="12.75" customHeight="1">
      <c r="A75" s="373">
        <v>2013.06</v>
      </c>
      <c r="B75" s="1899">
        <v>514892</v>
      </c>
      <c r="C75" s="375">
        <v>7721314</v>
      </c>
      <c r="D75" s="3085">
        <v>1384056</v>
      </c>
      <c r="E75" s="375">
        <v>6337258</v>
      </c>
      <c r="F75" s="1899">
        <v>7507</v>
      </c>
      <c r="G75" s="759">
        <v>9360.43</v>
      </c>
      <c r="H75" s="376">
        <v>11545.88</v>
      </c>
    </row>
    <row r="76" spans="1:8" ht="12.75" customHeight="1">
      <c r="A76" s="373">
        <v>2013.07</v>
      </c>
      <c r="B76" s="1899">
        <v>512697</v>
      </c>
      <c r="C76" s="375">
        <v>7720736</v>
      </c>
      <c r="D76" s="3085">
        <v>1402138</v>
      </c>
      <c r="E76" s="375">
        <v>6318598</v>
      </c>
      <c r="F76" s="1899">
        <v>10629</v>
      </c>
      <c r="G76" s="759">
        <v>6728.92</v>
      </c>
      <c r="H76" s="376">
        <v>8365.09</v>
      </c>
    </row>
    <row r="77" spans="1:8" ht="12.75" customHeight="1">
      <c r="A77" s="373">
        <v>2013.08</v>
      </c>
      <c r="B77" s="1899">
        <v>512405</v>
      </c>
      <c r="C77" s="375">
        <v>7738561</v>
      </c>
      <c r="D77" s="3085">
        <v>1398455</v>
      </c>
      <c r="E77" s="375">
        <v>6340106</v>
      </c>
      <c r="F77" s="1899">
        <v>7709</v>
      </c>
      <c r="G77" s="759">
        <v>6767.94</v>
      </c>
      <c r="H77" s="376">
        <v>8291.44</v>
      </c>
    </row>
    <row r="78" spans="1:8" ht="12.75" customHeight="1">
      <c r="A78" s="373">
        <v>2013.09</v>
      </c>
      <c r="B78" s="1899">
        <v>514390</v>
      </c>
      <c r="C78" s="375">
        <v>7783753</v>
      </c>
      <c r="D78" s="3085">
        <v>1411332</v>
      </c>
      <c r="E78" s="375">
        <v>6372421</v>
      </c>
      <c r="F78" s="1899">
        <v>7647</v>
      </c>
      <c r="G78" s="759">
        <v>6810.9</v>
      </c>
      <c r="H78" s="376">
        <v>8459.2199999999993</v>
      </c>
    </row>
    <row r="79" spans="1:8" ht="12.75" customHeight="1">
      <c r="A79" s="373">
        <v>2013.1</v>
      </c>
      <c r="B79" s="1899">
        <v>513841</v>
      </c>
      <c r="C79" s="375">
        <v>7776702</v>
      </c>
      <c r="D79" s="3085">
        <v>1412043</v>
      </c>
      <c r="E79" s="375">
        <v>6364659</v>
      </c>
      <c r="F79" s="1899">
        <v>7776</v>
      </c>
      <c r="G79" s="759">
        <v>6899.5</v>
      </c>
      <c r="H79" s="376">
        <v>8638.4599999999991</v>
      </c>
    </row>
    <row r="80" spans="1:8" ht="12.75" customHeight="1">
      <c r="A80" s="373">
        <v>2013.11</v>
      </c>
      <c r="B80" s="1899">
        <v>515974</v>
      </c>
      <c r="C80" s="375">
        <v>7817092</v>
      </c>
      <c r="D80" s="3085">
        <v>1419976</v>
      </c>
      <c r="E80" s="375">
        <v>6397116</v>
      </c>
      <c r="F80" s="1899">
        <v>7956</v>
      </c>
      <c r="G80" s="759">
        <v>7154.93</v>
      </c>
      <c r="H80" s="376">
        <v>8786.7999999999993</v>
      </c>
    </row>
    <row r="81" spans="1:8" ht="12.75" customHeight="1">
      <c r="A81" s="373">
        <v>2013.12</v>
      </c>
      <c r="B81" s="1899">
        <v>518931</v>
      </c>
      <c r="C81" s="375">
        <v>7832367</v>
      </c>
      <c r="D81" s="3085">
        <v>1418597</v>
      </c>
      <c r="E81" s="375">
        <v>6413770</v>
      </c>
      <c r="F81" s="1899">
        <v>8103</v>
      </c>
      <c r="G81" s="759">
        <v>10668.4</v>
      </c>
      <c r="H81" s="376">
        <v>13174.71</v>
      </c>
    </row>
    <row r="82" spans="1:8" ht="12.75" customHeight="1">
      <c r="A82" s="373">
        <v>2014.01</v>
      </c>
      <c r="B82" s="1899">
        <v>519438</v>
      </c>
      <c r="C82" s="375">
        <v>7850645</v>
      </c>
      <c r="D82" s="3085">
        <v>1437826</v>
      </c>
      <c r="E82" s="375">
        <v>6412819</v>
      </c>
      <c r="F82" s="1899">
        <v>12216</v>
      </c>
      <c r="G82" s="759">
        <v>7411</v>
      </c>
      <c r="H82" s="376">
        <v>9713.2000000000007</v>
      </c>
    </row>
    <row r="83" spans="1:8" ht="12.75" customHeight="1">
      <c r="A83" s="373">
        <v>2014.02</v>
      </c>
      <c r="B83" s="1899">
        <v>513280</v>
      </c>
      <c r="C83" s="375">
        <v>7813423</v>
      </c>
      <c r="D83" s="3085">
        <v>1410910</v>
      </c>
      <c r="E83" s="375">
        <v>6402513</v>
      </c>
      <c r="F83" s="1899">
        <v>8964</v>
      </c>
      <c r="G83" s="759">
        <v>7380.13</v>
      </c>
      <c r="H83" s="376">
        <v>9428.09</v>
      </c>
    </row>
    <row r="84" spans="1:8" ht="12.75" customHeight="1">
      <c r="A84" s="373">
        <v>2014.03</v>
      </c>
      <c r="B84" s="1899">
        <v>508183</v>
      </c>
      <c r="C84" s="375">
        <v>7828210</v>
      </c>
      <c r="D84" s="3085">
        <v>1425817</v>
      </c>
      <c r="E84" s="375">
        <v>6402393</v>
      </c>
      <c r="F84" s="1899">
        <v>8703</v>
      </c>
      <c r="G84" s="759">
        <v>7579.12</v>
      </c>
      <c r="H84" s="376">
        <v>10097.4</v>
      </c>
    </row>
    <row r="85" spans="1:8" ht="12.75" customHeight="1">
      <c r="A85" s="373">
        <v>2014.04</v>
      </c>
      <c r="B85" s="1899">
        <v>509827</v>
      </c>
      <c r="C85" s="375">
        <v>7803504</v>
      </c>
      <c r="D85" s="3085">
        <v>1412599</v>
      </c>
      <c r="E85" s="375">
        <v>6390905</v>
      </c>
      <c r="F85" s="1899">
        <v>8993</v>
      </c>
      <c r="G85" s="759">
        <v>8219.33</v>
      </c>
      <c r="H85" s="376">
        <v>10327.23</v>
      </c>
    </row>
    <row r="86" spans="1:8" ht="12.75" customHeight="1">
      <c r="A86" s="373">
        <v>2014.05</v>
      </c>
      <c r="B86" s="1899">
        <v>513113</v>
      </c>
      <c r="C86" s="375">
        <v>7763720</v>
      </c>
      <c r="D86" s="3085">
        <v>1408286</v>
      </c>
      <c r="E86" s="375">
        <v>6355434</v>
      </c>
      <c r="F86" s="1899">
        <v>9639</v>
      </c>
      <c r="G86" s="759">
        <v>8486.74</v>
      </c>
      <c r="H86" s="376">
        <v>10398.99</v>
      </c>
    </row>
    <row r="87" spans="1:8" ht="12.75" customHeight="1">
      <c r="A87" s="373">
        <v>2014.06</v>
      </c>
      <c r="B87" s="1899">
        <v>512786</v>
      </c>
      <c r="C87" s="375">
        <v>7736952</v>
      </c>
      <c r="D87" s="3085">
        <v>1418959</v>
      </c>
      <c r="E87" s="375">
        <v>6317993</v>
      </c>
      <c r="F87" s="1899">
        <v>9668</v>
      </c>
      <c r="G87" s="759">
        <v>12175.5</v>
      </c>
      <c r="H87" s="376">
        <v>15007.04</v>
      </c>
    </row>
    <row r="88" spans="1:8" ht="12.75" customHeight="1">
      <c r="A88" s="373">
        <v>2014.07</v>
      </c>
      <c r="B88" s="1899">
        <v>513903</v>
      </c>
      <c r="C88" s="375">
        <v>7739920</v>
      </c>
      <c r="D88" s="3085">
        <v>1417626</v>
      </c>
      <c r="E88" s="375">
        <v>6322294</v>
      </c>
      <c r="F88" s="1899">
        <v>13976</v>
      </c>
      <c r="G88" s="759">
        <v>9156.57</v>
      </c>
      <c r="H88" s="376">
        <v>11094.08</v>
      </c>
    </row>
    <row r="89" spans="1:8" ht="12.75" customHeight="1">
      <c r="A89" s="373">
        <v>2014.08</v>
      </c>
      <c r="B89" s="1899">
        <v>513181</v>
      </c>
      <c r="C89" s="375">
        <v>7769785</v>
      </c>
      <c r="D89" s="3085">
        <v>1433220</v>
      </c>
      <c r="E89" s="375">
        <v>6336565</v>
      </c>
      <c r="F89" s="1899">
        <v>10345</v>
      </c>
      <c r="G89" s="759">
        <v>8914.36</v>
      </c>
      <c r="H89" s="376">
        <v>11002.19</v>
      </c>
    </row>
    <row r="90" spans="1:8" ht="12.75" customHeight="1">
      <c r="A90" s="373">
        <v>2014.09</v>
      </c>
      <c r="B90" s="1899">
        <v>513599</v>
      </c>
      <c r="C90" s="375">
        <v>7779063</v>
      </c>
      <c r="D90" s="3085">
        <v>1437594</v>
      </c>
      <c r="E90" s="375">
        <v>6341469</v>
      </c>
      <c r="F90" s="1899">
        <v>9983</v>
      </c>
      <c r="G90" s="759">
        <v>9301.7999999999993</v>
      </c>
      <c r="H90" s="376">
        <v>11382.62</v>
      </c>
    </row>
    <row r="91" spans="1:8" ht="12.75" customHeight="1">
      <c r="A91" s="373">
        <v>2014.1</v>
      </c>
      <c r="B91" s="1899">
        <v>515711</v>
      </c>
      <c r="C91" s="375">
        <v>7798508</v>
      </c>
      <c r="D91" s="3085">
        <v>1432996</v>
      </c>
      <c r="E91" s="375">
        <v>6365512</v>
      </c>
      <c r="F91" s="1899">
        <v>10404</v>
      </c>
      <c r="G91" s="759">
        <v>9528.7999999999993</v>
      </c>
      <c r="H91" s="376">
        <v>11734.64</v>
      </c>
    </row>
    <row r="92" spans="1:8" ht="12.75" customHeight="1">
      <c r="A92" s="373">
        <v>2014.11</v>
      </c>
      <c r="B92" s="1899">
        <v>517827</v>
      </c>
      <c r="C92" s="375">
        <v>7859477</v>
      </c>
      <c r="D92" s="3085">
        <v>1449134</v>
      </c>
      <c r="E92" s="375">
        <v>6410343</v>
      </c>
      <c r="F92" s="1899">
        <v>10700</v>
      </c>
      <c r="G92" s="759">
        <v>9664.2999999999993</v>
      </c>
      <c r="H92" s="376">
        <v>11850.1</v>
      </c>
    </row>
    <row r="93" spans="1:8" ht="12.75" customHeight="1">
      <c r="A93" s="373">
        <v>2014.12</v>
      </c>
      <c r="B93" s="1899">
        <v>519737</v>
      </c>
      <c r="C93" s="375">
        <v>7878814</v>
      </c>
      <c r="D93" s="3085">
        <v>1455391</v>
      </c>
      <c r="E93" s="375">
        <v>6423423</v>
      </c>
      <c r="F93" s="1899">
        <v>10776</v>
      </c>
      <c r="G93" s="759">
        <v>14302.11</v>
      </c>
      <c r="H93" s="376">
        <v>17751.599999999999</v>
      </c>
    </row>
    <row r="94" spans="1:8" ht="12.75" customHeight="1">
      <c r="A94" s="373">
        <v>2015.01</v>
      </c>
      <c r="B94" s="1899">
        <v>520299</v>
      </c>
      <c r="C94" s="375">
        <v>7907526</v>
      </c>
      <c r="D94" s="3085">
        <v>1468930</v>
      </c>
      <c r="E94" s="375">
        <v>6438596</v>
      </c>
      <c r="F94" s="1899">
        <v>16343</v>
      </c>
      <c r="G94" s="759">
        <v>9826.7000000000007</v>
      </c>
      <c r="H94" s="376">
        <v>13089.84</v>
      </c>
    </row>
    <row r="95" spans="1:8" ht="12.75" customHeight="1">
      <c r="A95" s="373">
        <v>2015.02</v>
      </c>
      <c r="B95" s="1899">
        <v>515719</v>
      </c>
      <c r="C95" s="375">
        <v>7908778</v>
      </c>
      <c r="D95" s="3085">
        <v>1461213</v>
      </c>
      <c r="E95" s="375">
        <v>6447565</v>
      </c>
      <c r="F95" s="1899">
        <v>11990</v>
      </c>
      <c r="G95" s="759">
        <v>9808.24</v>
      </c>
      <c r="H95" s="376">
        <v>12694.8</v>
      </c>
    </row>
    <row r="96" spans="1:8" ht="12.75" customHeight="1">
      <c r="A96" s="373">
        <v>2015.03</v>
      </c>
      <c r="B96" s="1899">
        <v>513785</v>
      </c>
      <c r="C96" s="375">
        <v>7939639</v>
      </c>
      <c r="D96" s="3085">
        <v>1460331</v>
      </c>
      <c r="E96" s="375">
        <v>6479308</v>
      </c>
      <c r="F96" s="1899">
        <v>11432</v>
      </c>
      <c r="G96" s="759">
        <v>9889.76</v>
      </c>
      <c r="H96" s="376">
        <v>13338.17</v>
      </c>
    </row>
    <row r="97" spans="1:8" ht="12.75" customHeight="1">
      <c r="A97" s="373">
        <v>2015.04</v>
      </c>
      <c r="B97" s="1899">
        <v>519917</v>
      </c>
      <c r="C97" s="375">
        <v>7973635</v>
      </c>
      <c r="D97" s="3085">
        <v>1457284</v>
      </c>
      <c r="E97" s="375">
        <v>6516351</v>
      </c>
      <c r="F97" s="1899">
        <v>11698</v>
      </c>
      <c r="G97" s="759">
        <v>10051.69</v>
      </c>
      <c r="H97" s="376">
        <v>13093.16</v>
      </c>
    </row>
    <row r="98" spans="1:8" ht="12.75" customHeight="1">
      <c r="A98" s="373">
        <v>2015.05</v>
      </c>
      <c r="B98" s="1899">
        <v>523745</v>
      </c>
      <c r="C98" s="375">
        <v>7989286</v>
      </c>
      <c r="D98" s="3085">
        <v>1463609</v>
      </c>
      <c r="E98" s="375">
        <v>6525677</v>
      </c>
      <c r="F98" s="1899">
        <v>11921</v>
      </c>
      <c r="G98" s="759">
        <v>10884.99</v>
      </c>
      <c r="H98" s="376">
        <v>13454.92</v>
      </c>
    </row>
    <row r="99" spans="1:8" ht="12.75" customHeight="1">
      <c r="A99" s="373">
        <v>2015.06</v>
      </c>
      <c r="B99" s="1899">
        <v>522716</v>
      </c>
      <c r="C99" s="375">
        <v>7976184</v>
      </c>
      <c r="D99" s="3085">
        <v>1473503</v>
      </c>
      <c r="E99" s="375">
        <v>6502681</v>
      </c>
      <c r="F99" s="1899">
        <v>12244</v>
      </c>
      <c r="G99" s="759">
        <v>16196.68</v>
      </c>
      <c r="H99" s="376">
        <v>20156.66</v>
      </c>
    </row>
    <row r="100" spans="1:8" ht="12.75" customHeight="1">
      <c r="A100" s="373">
        <v>2015.07</v>
      </c>
      <c r="B100" s="1899">
        <v>525934</v>
      </c>
      <c r="C100" s="375">
        <v>8028150</v>
      </c>
      <c r="D100" s="3085">
        <v>1492833</v>
      </c>
      <c r="E100" s="375">
        <v>6535317</v>
      </c>
      <c r="F100" s="1899">
        <v>18627</v>
      </c>
      <c r="G100" s="759">
        <v>11955.24</v>
      </c>
      <c r="H100" s="376">
        <v>14583.64</v>
      </c>
    </row>
    <row r="101" spans="1:8" ht="12.75" customHeight="1">
      <c r="A101" s="373">
        <v>2015.08</v>
      </c>
      <c r="B101" s="1899">
        <v>523512</v>
      </c>
      <c r="C101" s="375">
        <v>8032858</v>
      </c>
      <c r="D101" s="3085">
        <v>1491799</v>
      </c>
      <c r="E101" s="375">
        <v>6541059</v>
      </c>
      <c r="F101" s="1899">
        <v>13789</v>
      </c>
      <c r="G101" s="759">
        <v>11565.12</v>
      </c>
      <c r="H101" s="376">
        <v>14434.43</v>
      </c>
    </row>
    <row r="102" spans="1:8" ht="12.75" customHeight="1">
      <c r="A102" s="373">
        <v>2015.09</v>
      </c>
      <c r="B102" s="1899">
        <v>525379</v>
      </c>
      <c r="C102" s="375">
        <v>8061911</v>
      </c>
      <c r="D102" s="3085">
        <v>1503864</v>
      </c>
      <c r="E102" s="375">
        <v>6558047</v>
      </c>
      <c r="F102" s="1899">
        <v>13108</v>
      </c>
      <c r="G102" s="759">
        <v>12237.17</v>
      </c>
      <c r="H102" s="376">
        <v>14957.68</v>
      </c>
    </row>
    <row r="103" spans="1:8" ht="12.75" customHeight="1">
      <c r="A103" s="373">
        <v>2015.1</v>
      </c>
      <c r="B103" s="1899">
        <v>525371</v>
      </c>
      <c r="C103" s="375">
        <v>8056690</v>
      </c>
      <c r="D103" s="3085">
        <v>1497614</v>
      </c>
      <c r="E103" s="375">
        <v>6559076</v>
      </c>
      <c r="F103" s="1899">
        <v>13680</v>
      </c>
      <c r="G103" s="759">
        <v>11810.7</v>
      </c>
      <c r="H103" s="376">
        <v>15013.59</v>
      </c>
    </row>
    <row r="104" spans="1:8" ht="12.75" customHeight="1">
      <c r="A104" s="373">
        <v>2015.11</v>
      </c>
      <c r="B104" s="1899">
        <v>528327</v>
      </c>
      <c r="C104" s="375">
        <v>8083814</v>
      </c>
      <c r="D104" s="3085">
        <v>1502367</v>
      </c>
      <c r="E104" s="375">
        <v>6581447</v>
      </c>
      <c r="F104" s="1899">
        <v>13898</v>
      </c>
      <c r="G104" s="759">
        <v>12307.97</v>
      </c>
      <c r="H104" s="376">
        <v>15303.76</v>
      </c>
    </row>
    <row r="105" spans="1:8" ht="12.75" customHeight="1">
      <c r="A105" s="373">
        <v>2015.12</v>
      </c>
      <c r="B105" s="1899">
        <v>528437</v>
      </c>
      <c r="C105" s="375">
        <v>8096281</v>
      </c>
      <c r="D105" s="3085">
        <v>1513460</v>
      </c>
      <c r="E105" s="375">
        <v>6582821</v>
      </c>
      <c r="F105" s="1899">
        <v>14076</v>
      </c>
      <c r="G105" s="759">
        <v>18553.23</v>
      </c>
      <c r="H105" s="376">
        <v>23203.599999999999</v>
      </c>
    </row>
    <row r="106" spans="1:8" ht="12.75" customHeight="1">
      <c r="A106" s="373">
        <v>2016.01</v>
      </c>
      <c r="B106" s="1899">
        <v>526292</v>
      </c>
      <c r="C106" s="375">
        <v>8062865</v>
      </c>
      <c r="D106" s="3085">
        <v>1523605</v>
      </c>
      <c r="E106" s="375">
        <v>6539260</v>
      </c>
      <c r="F106" s="1899">
        <v>21281</v>
      </c>
      <c r="G106" s="759">
        <v>12687.98</v>
      </c>
      <c r="H106" s="376">
        <v>16866.104578826071</v>
      </c>
    </row>
    <row r="107" spans="1:8" ht="12.75" customHeight="1">
      <c r="A107" s="373">
        <v>2016.02</v>
      </c>
      <c r="B107" s="1899">
        <v>520243</v>
      </c>
      <c r="C107" s="375">
        <v>8020221</v>
      </c>
      <c r="D107" s="3085">
        <v>1501329</v>
      </c>
      <c r="E107" s="375">
        <v>6518892</v>
      </c>
      <c r="F107" s="1899">
        <v>15626</v>
      </c>
      <c r="G107" s="759">
        <v>12877.37</v>
      </c>
      <c r="H107" s="376">
        <v>16779.260381425251</v>
      </c>
    </row>
    <row r="108" spans="1:8" ht="12.75" customHeight="1">
      <c r="A108" s="373">
        <v>2016.03</v>
      </c>
      <c r="B108" s="1899">
        <v>519275</v>
      </c>
      <c r="C108" s="375">
        <v>8059625</v>
      </c>
      <c r="D108" s="3085">
        <v>1504213</v>
      </c>
      <c r="E108" s="375">
        <v>6555412</v>
      </c>
      <c r="F108" s="1899">
        <v>15382</v>
      </c>
      <c r="G108" s="759">
        <v>13233.78</v>
      </c>
      <c r="H108" s="376">
        <v>17576.293697275501</v>
      </c>
    </row>
    <row r="109" spans="1:8" ht="12.75" customHeight="1">
      <c r="A109" s="373">
        <v>2016.04</v>
      </c>
      <c r="B109" s="1899">
        <v>523973</v>
      </c>
      <c r="C109" s="375">
        <v>8060316</v>
      </c>
      <c r="D109" s="3085">
        <v>1501762</v>
      </c>
      <c r="E109" s="375">
        <v>6558554</v>
      </c>
      <c r="F109" s="1899">
        <v>15771</v>
      </c>
      <c r="G109" s="759">
        <v>14231.13</v>
      </c>
      <c r="H109" s="376">
        <v>17798.78130438711</v>
      </c>
    </row>
    <row r="110" spans="1:8" ht="12.75" customHeight="1">
      <c r="A110" s="373">
        <v>2016.05</v>
      </c>
      <c r="B110" s="1899">
        <v>521582</v>
      </c>
      <c r="C110" s="375">
        <v>7999062</v>
      </c>
      <c r="D110" s="3085">
        <v>1498811</v>
      </c>
      <c r="E110" s="375">
        <v>6500251</v>
      </c>
      <c r="F110" s="1899">
        <v>16550</v>
      </c>
      <c r="G110" s="759">
        <v>14824</v>
      </c>
      <c r="H110" s="376">
        <v>18128.704128074656</v>
      </c>
    </row>
    <row r="111" spans="1:8" ht="12.75" customHeight="1">
      <c r="A111" s="373">
        <v>2016.06</v>
      </c>
      <c r="B111" s="1899">
        <v>521266</v>
      </c>
      <c r="C111" s="375">
        <v>7961656</v>
      </c>
      <c r="D111" s="3085">
        <v>1503760</v>
      </c>
      <c r="E111" s="375">
        <v>6457896</v>
      </c>
      <c r="F111" s="1899">
        <v>16771</v>
      </c>
      <c r="G111" s="759">
        <v>21632.065000000002</v>
      </c>
      <c r="H111" s="376">
        <v>26326.315403341676</v>
      </c>
    </row>
    <row r="112" spans="1:8" ht="12.75" customHeight="1">
      <c r="A112" s="373">
        <v>2016.07</v>
      </c>
      <c r="B112" s="1899">
        <v>521009</v>
      </c>
      <c r="C112" s="375">
        <v>7952223</v>
      </c>
      <c r="D112" s="3085">
        <v>1513838</v>
      </c>
      <c r="E112" s="375">
        <v>6438385</v>
      </c>
      <c r="F112" s="1899">
        <v>24378</v>
      </c>
      <c r="G112" s="759">
        <v>15302.69</v>
      </c>
      <c r="H112" s="376">
        <v>19147.223427919453</v>
      </c>
    </row>
    <row r="113" spans="1:8" ht="12.75" customHeight="1">
      <c r="A113" s="373">
        <v>2016.08</v>
      </c>
      <c r="B113" s="1899">
        <v>518513</v>
      </c>
      <c r="C113" s="375">
        <v>7941750</v>
      </c>
      <c r="D113" s="3085">
        <v>1501441</v>
      </c>
      <c r="E113" s="375">
        <v>6440309</v>
      </c>
      <c r="F113" s="1899">
        <v>17574</v>
      </c>
      <c r="G113" s="759">
        <v>15460.705</v>
      </c>
      <c r="H113" s="376">
        <v>19304.549892857063</v>
      </c>
    </row>
    <row r="114" spans="1:8" ht="12.75" customHeight="1">
      <c r="A114" s="373">
        <v>2016.09</v>
      </c>
      <c r="B114" s="1899">
        <v>521579</v>
      </c>
      <c r="C114" s="375">
        <v>7968686</v>
      </c>
      <c r="D114" s="3085">
        <v>1505741</v>
      </c>
      <c r="E114" s="375">
        <v>6462945</v>
      </c>
      <c r="F114" s="1899">
        <v>17956</v>
      </c>
      <c r="G114" s="759">
        <v>15483.91</v>
      </c>
      <c r="H114" s="376">
        <v>19538.657823303867</v>
      </c>
    </row>
    <row r="115" spans="1:8" ht="12.75" customHeight="1">
      <c r="A115" s="373">
        <v>2016.1</v>
      </c>
      <c r="B115" s="1899">
        <v>521889</v>
      </c>
      <c r="C115" s="375">
        <v>7978155</v>
      </c>
      <c r="D115" s="3085">
        <v>1507223</v>
      </c>
      <c r="E115" s="375">
        <v>6470932</v>
      </c>
      <c r="F115" s="1899">
        <v>18023</v>
      </c>
      <c r="G115" s="759">
        <v>16239.88</v>
      </c>
      <c r="H115" s="376">
        <v>20209.047218003449</v>
      </c>
    </row>
    <row r="116" spans="1:8" ht="12.75" customHeight="1">
      <c r="A116" s="373">
        <v>2016.11</v>
      </c>
      <c r="B116" s="1899">
        <v>524177</v>
      </c>
      <c r="C116" s="375">
        <v>8008951</v>
      </c>
      <c r="D116" s="3085">
        <v>1509563</v>
      </c>
      <c r="E116" s="375">
        <v>6499388</v>
      </c>
      <c r="F116" s="1899">
        <v>18874</v>
      </c>
      <c r="G116" s="759">
        <v>16565.86</v>
      </c>
      <c r="H116" s="376">
        <v>20679.63633158831</v>
      </c>
    </row>
    <row r="117" spans="1:8" ht="12.75" customHeight="1">
      <c r="A117" s="373">
        <v>2016.12</v>
      </c>
      <c r="B117" s="1899">
        <v>527570</v>
      </c>
      <c r="C117" s="375">
        <v>8038195</v>
      </c>
      <c r="D117" s="3085">
        <v>1515013</v>
      </c>
      <c r="E117" s="375">
        <v>6523182</v>
      </c>
      <c r="F117" s="1899">
        <v>19281</v>
      </c>
      <c r="G117" s="759">
        <v>24811.37</v>
      </c>
      <c r="H117" s="376">
        <v>31181.920881228358</v>
      </c>
    </row>
    <row r="118" spans="1:8" ht="12.75" customHeight="1">
      <c r="A118" s="373">
        <v>2017.01</v>
      </c>
      <c r="B118" s="1899">
        <v>526917</v>
      </c>
      <c r="C118" s="375">
        <v>8044543</v>
      </c>
      <c r="D118" s="3085">
        <v>1525193</v>
      </c>
      <c r="E118" s="375">
        <v>6519350</v>
      </c>
      <c r="F118" s="1899">
        <v>29054</v>
      </c>
      <c r="G118" s="759">
        <v>17632</v>
      </c>
      <c r="H118" s="376">
        <v>23149.704032809957</v>
      </c>
    </row>
    <row r="119" spans="1:8" ht="12.75" customHeight="1">
      <c r="A119" s="373">
        <v>2017.02</v>
      </c>
      <c r="B119" s="1899">
        <v>521996</v>
      </c>
      <c r="C119" s="375">
        <v>8016517</v>
      </c>
      <c r="D119" s="3085">
        <v>1506986</v>
      </c>
      <c r="E119" s="375">
        <v>6509531</v>
      </c>
      <c r="F119" s="1899">
        <v>21446</v>
      </c>
      <c r="G119" s="759">
        <v>17391.310000000001</v>
      </c>
      <c r="H119" s="376">
        <v>22287.30297369328</v>
      </c>
    </row>
    <row r="120" spans="1:8" ht="12.75" customHeight="1">
      <c r="A120" s="373">
        <v>2017.03</v>
      </c>
      <c r="B120" s="1899">
        <v>522471</v>
      </c>
      <c r="C120" s="375">
        <v>8032026</v>
      </c>
      <c r="D120" s="3085">
        <v>1502135</v>
      </c>
      <c r="E120" s="375">
        <v>6529891</v>
      </c>
      <c r="F120" s="1899">
        <v>20552</v>
      </c>
      <c r="G120" s="759">
        <v>17628.12</v>
      </c>
      <c r="H120" s="376">
        <v>23420.153735300129</v>
      </c>
    </row>
    <row r="121" spans="1:8" ht="12.75" customHeight="1">
      <c r="A121" s="373">
        <v>2017.04</v>
      </c>
      <c r="B121" s="1899">
        <v>529258</v>
      </c>
      <c r="C121" s="375">
        <v>8053417</v>
      </c>
      <c r="D121" s="3085">
        <v>1485164</v>
      </c>
      <c r="E121" s="375">
        <v>6568253</v>
      </c>
      <c r="F121" s="1899">
        <v>21274</v>
      </c>
      <c r="G121" s="759">
        <v>18425.48</v>
      </c>
      <c r="H121" s="376">
        <v>23056.485262773014</v>
      </c>
    </row>
    <row r="122" spans="1:8" ht="12.75" customHeight="1">
      <c r="A122" s="373">
        <v>2017.05</v>
      </c>
      <c r="B122" s="1899">
        <v>525739</v>
      </c>
      <c r="C122" s="375">
        <v>8008214</v>
      </c>
      <c r="D122" s="3085">
        <v>1498249</v>
      </c>
      <c r="E122" s="375">
        <v>6509965</v>
      </c>
      <c r="F122" s="1899">
        <v>21119</v>
      </c>
      <c r="G122" s="759">
        <v>18878.45</v>
      </c>
      <c r="H122" s="376">
        <v>23275.427871501139</v>
      </c>
    </row>
    <row r="123" spans="1:8" ht="12.75" customHeight="1">
      <c r="A123" s="373">
        <v>2017.06</v>
      </c>
      <c r="B123" s="1899">
        <v>529916</v>
      </c>
      <c r="C123" s="375">
        <v>8019103</v>
      </c>
      <c r="D123" s="3085">
        <v>1514139</v>
      </c>
      <c r="E123" s="375">
        <v>6504964</v>
      </c>
      <c r="F123" s="1899">
        <v>22095</v>
      </c>
      <c r="G123" s="759">
        <v>27812.880000000001</v>
      </c>
      <c r="H123" s="376">
        <v>34215.977544048743</v>
      </c>
    </row>
    <row r="124" spans="1:8" ht="12.75" customHeight="1">
      <c r="A124" s="373">
        <v>2017.07</v>
      </c>
      <c r="B124" s="1899">
        <v>528172</v>
      </c>
      <c r="C124" s="375">
        <v>8019790</v>
      </c>
      <c r="D124" s="3085">
        <v>1524086</v>
      </c>
      <c r="E124" s="375">
        <v>6495704</v>
      </c>
      <c r="F124" s="1899">
        <v>31855</v>
      </c>
      <c r="G124" s="759">
        <v>20405.150000000001</v>
      </c>
      <c r="H124" s="376">
        <v>24880.928445936042</v>
      </c>
    </row>
    <row r="125" spans="1:8" ht="12.75" customHeight="1">
      <c r="A125" s="373">
        <v>2017.08</v>
      </c>
      <c r="B125" s="1899">
        <v>526998</v>
      </c>
      <c r="C125" s="375">
        <v>8014862</v>
      </c>
      <c r="D125" s="3085">
        <v>1503381</v>
      </c>
      <c r="E125" s="375">
        <v>6511481</v>
      </c>
      <c r="F125" s="1899">
        <v>22926</v>
      </c>
      <c r="G125" s="759">
        <v>20509.599999999999</v>
      </c>
      <c r="H125" s="376">
        <v>24911.782346448832</v>
      </c>
    </row>
    <row r="126" spans="1:8" ht="12.75" customHeight="1">
      <c r="A126" s="373">
        <v>2017.09</v>
      </c>
      <c r="B126" s="1899">
        <v>529761</v>
      </c>
      <c r="C126" s="375">
        <v>8077955</v>
      </c>
      <c r="D126" s="3085">
        <v>1553483</v>
      </c>
      <c r="E126" s="375">
        <v>6524472</v>
      </c>
      <c r="F126" s="1899">
        <v>23123</v>
      </c>
      <c r="G126" s="759">
        <v>20557.349999999999</v>
      </c>
      <c r="H126" s="376">
        <v>25118.445697676812</v>
      </c>
    </row>
    <row r="127" spans="1:8" ht="12.75" customHeight="1">
      <c r="A127" s="373">
        <v>2017.1</v>
      </c>
      <c r="B127" s="1899">
        <v>531376</v>
      </c>
      <c r="C127" s="722">
        <v>8053958</v>
      </c>
      <c r="D127" s="3085">
        <v>1520393</v>
      </c>
      <c r="E127" s="389">
        <v>6533565</v>
      </c>
      <c r="F127" s="1899">
        <v>23121</v>
      </c>
      <c r="G127" s="759">
        <v>20945.310000000001</v>
      </c>
      <c r="H127" s="376">
        <v>25836.755718749791</v>
      </c>
    </row>
    <row r="128" spans="1:8" ht="12.75" customHeight="1">
      <c r="A128" s="373">
        <v>2017.11</v>
      </c>
      <c r="B128" s="1899">
        <v>535999</v>
      </c>
      <c r="C128" s="722">
        <v>8124734</v>
      </c>
      <c r="D128" s="3085">
        <v>1550024</v>
      </c>
      <c r="E128" s="389">
        <v>6574710</v>
      </c>
      <c r="F128" s="1899">
        <v>25238</v>
      </c>
      <c r="G128" s="759">
        <v>20991.61</v>
      </c>
      <c r="H128" s="376">
        <v>26075.652536574646</v>
      </c>
    </row>
    <row r="129" spans="1:8" ht="12.75" customHeight="1">
      <c r="A129" s="373">
        <v>2017.12</v>
      </c>
      <c r="B129" s="1899">
        <v>538633</v>
      </c>
      <c r="C129" s="722">
        <v>8119097</v>
      </c>
      <c r="D129" s="3085">
        <v>1522750</v>
      </c>
      <c r="E129" s="389">
        <v>6596347</v>
      </c>
      <c r="F129" s="1899">
        <v>24302</v>
      </c>
      <c r="G129" s="759">
        <v>31028.67</v>
      </c>
      <c r="H129" s="376">
        <v>38563.677218769437</v>
      </c>
    </row>
    <row r="130" spans="1:8" ht="12.75" customHeight="1">
      <c r="A130" s="373">
        <v>2018.01</v>
      </c>
      <c r="B130" s="1899">
        <v>537811</v>
      </c>
      <c r="C130" s="722">
        <v>8138343</v>
      </c>
      <c r="D130" s="3085">
        <v>1535877</v>
      </c>
      <c r="E130" s="389">
        <v>6602466</v>
      </c>
      <c r="F130" s="1899">
        <v>38954</v>
      </c>
      <c r="G130" s="759">
        <v>21865</v>
      </c>
      <c r="H130" s="376">
        <v>28795.139188535133</v>
      </c>
    </row>
    <row r="131" spans="1:8" ht="12.75" customHeight="1">
      <c r="A131" s="373">
        <v>2018.02</v>
      </c>
      <c r="B131" s="1899">
        <v>531686</v>
      </c>
      <c r="C131" s="722">
        <v>8085362</v>
      </c>
      <c r="D131" s="3085">
        <v>1499371</v>
      </c>
      <c r="E131" s="389">
        <v>6585991</v>
      </c>
      <c r="F131" s="1899">
        <v>28928</v>
      </c>
      <c r="G131" s="759">
        <v>21737.86</v>
      </c>
      <c r="H131" s="376">
        <v>27724.878411126843</v>
      </c>
    </row>
    <row r="132" spans="1:8" ht="12.75" customHeight="1">
      <c r="A132" s="373">
        <v>2018.03</v>
      </c>
      <c r="B132" s="1899">
        <v>530285</v>
      </c>
      <c r="C132" s="722">
        <v>8119564</v>
      </c>
      <c r="D132" s="3085">
        <v>1519638</v>
      </c>
      <c r="E132" s="389">
        <v>6599926</v>
      </c>
      <c r="F132" s="1899">
        <v>27743</v>
      </c>
      <c r="G132" s="759">
        <v>22049.94</v>
      </c>
      <c r="H132" s="376">
        <v>29174.536250615645</v>
      </c>
    </row>
    <row r="133" spans="1:8" ht="12.75" customHeight="1">
      <c r="A133" s="373">
        <v>2018.04</v>
      </c>
      <c r="B133" s="1899">
        <v>535133</v>
      </c>
      <c r="C133" s="722">
        <v>8142951</v>
      </c>
      <c r="D133" s="3085">
        <v>1506520</v>
      </c>
      <c r="E133" s="389">
        <v>6636431</v>
      </c>
      <c r="F133" s="1899">
        <v>29628</v>
      </c>
      <c r="G133" s="759">
        <v>23121.05</v>
      </c>
      <c r="H133" s="376">
        <v>29146.481043466247</v>
      </c>
    </row>
    <row r="134" spans="1:8" ht="12.75" customHeight="1">
      <c r="A134" s="373">
        <v>2018.05</v>
      </c>
      <c r="B134" s="1899">
        <v>532531</v>
      </c>
      <c r="C134" s="722">
        <v>8098805</v>
      </c>
      <c r="D134" s="3085">
        <v>1519409</v>
      </c>
      <c r="E134" s="389">
        <v>6579396</v>
      </c>
      <c r="F134" s="1899">
        <v>29213</v>
      </c>
      <c r="G134" s="759">
        <v>23687.66</v>
      </c>
      <c r="H134" s="376">
        <v>29453.375658827765</v>
      </c>
    </row>
    <row r="135" spans="1:8" ht="12.75" customHeight="1">
      <c r="A135" s="373">
        <v>2018.06</v>
      </c>
      <c r="B135" s="1899">
        <v>534782</v>
      </c>
      <c r="C135" s="722">
        <v>8079305</v>
      </c>
      <c r="D135" s="3085">
        <v>1521346</v>
      </c>
      <c r="E135" s="389">
        <v>6557959</v>
      </c>
      <c r="F135" s="1899">
        <v>29637</v>
      </c>
      <c r="G135" s="759">
        <v>34649.31</v>
      </c>
      <c r="H135" s="376">
        <v>42512.181887360304</v>
      </c>
    </row>
    <row r="136" spans="1:8" ht="12.75" customHeight="1">
      <c r="A136" s="373">
        <v>2018.07</v>
      </c>
      <c r="B136" s="1899">
        <v>531990</v>
      </c>
      <c r="C136" s="722">
        <v>8065612</v>
      </c>
      <c r="D136" s="3085">
        <v>1537720</v>
      </c>
      <c r="E136" s="389">
        <v>6527892</v>
      </c>
      <c r="F136" s="1899">
        <v>42627</v>
      </c>
      <c r="G136" s="759">
        <v>24398.67</v>
      </c>
      <c r="H136" s="376">
        <v>30591.83637160002</v>
      </c>
    </row>
    <row r="137" spans="1:8" ht="12.75" customHeight="1">
      <c r="A137" s="373">
        <v>2018.08</v>
      </c>
      <c r="B137" s="1899">
        <v>529414</v>
      </c>
      <c r="C137" s="722">
        <v>8051336</v>
      </c>
      <c r="D137" s="3085">
        <v>1526569</v>
      </c>
      <c r="E137" s="389">
        <v>6524767</v>
      </c>
      <c r="F137" s="1899">
        <v>30768</v>
      </c>
      <c r="G137" s="759">
        <v>25315.59</v>
      </c>
      <c r="H137" s="376">
        <v>31293.17047671858</v>
      </c>
    </row>
    <row r="138" spans="1:8" ht="12.75" customHeight="1">
      <c r="A138" s="373">
        <v>2018.09</v>
      </c>
      <c r="B138" s="1899">
        <v>535715</v>
      </c>
      <c r="C138" s="722">
        <v>8066696</v>
      </c>
      <c r="D138" s="3085">
        <v>1539672</v>
      </c>
      <c r="E138" s="389">
        <v>6527024</v>
      </c>
      <c r="F138" s="1899">
        <v>31597</v>
      </c>
      <c r="G138" s="759">
        <v>25397.625</v>
      </c>
      <c r="H138" s="376">
        <v>32034.89541287356</v>
      </c>
    </row>
    <row r="139" spans="1:8" ht="12.75" customHeight="1">
      <c r="A139" s="373">
        <v>2018.1</v>
      </c>
      <c r="B139" s="1899">
        <v>533227</v>
      </c>
      <c r="C139" s="722">
        <v>8045403</v>
      </c>
      <c r="D139" s="3085">
        <v>1537383</v>
      </c>
      <c r="E139" s="389">
        <v>6508020</v>
      </c>
      <c r="F139" s="1899">
        <v>32232</v>
      </c>
      <c r="G139" s="759">
        <v>26980.880000000001</v>
      </c>
      <c r="H139" s="376">
        <v>33586.963734294419</v>
      </c>
    </row>
    <row r="140" spans="1:8" ht="12.75" customHeight="1">
      <c r="A140" s="373">
        <v>2018.11</v>
      </c>
      <c r="B140" s="1899">
        <v>533819</v>
      </c>
      <c r="C140" s="722">
        <v>8067573</v>
      </c>
      <c r="D140" s="3085">
        <v>1532113</v>
      </c>
      <c r="E140" s="389">
        <v>6535460</v>
      </c>
      <c r="F140" s="1899">
        <v>33926</v>
      </c>
      <c r="G140" s="759">
        <v>28601.71</v>
      </c>
      <c r="H140" s="376">
        <v>35225.642319905768</v>
      </c>
    </row>
    <row r="141" spans="1:8" ht="12.75" customHeight="1">
      <c r="A141" s="373">
        <v>2018.12</v>
      </c>
      <c r="B141" s="1899">
        <v>530660</v>
      </c>
      <c r="C141" s="722">
        <v>8038188</v>
      </c>
      <c r="D141" s="3085">
        <v>1533155</v>
      </c>
      <c r="E141" s="389">
        <v>6505033</v>
      </c>
      <c r="F141" s="1899">
        <v>35374</v>
      </c>
      <c r="G141" s="759">
        <v>41098.505000000005</v>
      </c>
      <c r="H141" s="376">
        <v>51732.16898481005</v>
      </c>
    </row>
    <row r="142" spans="1:8" ht="12.75" customHeight="1">
      <c r="A142" s="373">
        <v>2019.01</v>
      </c>
      <c r="B142" s="1899">
        <v>528602</v>
      </c>
      <c r="C142" s="722">
        <v>8029028</v>
      </c>
      <c r="D142" s="3085">
        <v>1546855</v>
      </c>
      <c r="E142" s="389">
        <v>6482173</v>
      </c>
      <c r="F142" s="1899">
        <v>52009</v>
      </c>
      <c r="G142" s="759">
        <v>30357.74</v>
      </c>
      <c r="H142" s="376">
        <v>39454.580717995988</v>
      </c>
    </row>
    <row r="143" spans="1:8" ht="12.75" customHeight="1">
      <c r="A143" s="373">
        <v>2019.02</v>
      </c>
      <c r="B143" s="1899">
        <v>523041</v>
      </c>
      <c r="C143" s="722">
        <v>8006932</v>
      </c>
      <c r="D143" s="3085">
        <v>1532474</v>
      </c>
      <c r="E143" s="389">
        <v>6474458</v>
      </c>
      <c r="F143" s="1899">
        <v>39755</v>
      </c>
      <c r="G143" s="759">
        <v>29558.080000000002</v>
      </c>
      <c r="H143" s="376">
        <v>38365.91604121781</v>
      </c>
    </row>
    <row r="144" spans="1:8" ht="12.75" customHeight="1">
      <c r="A144" s="373">
        <v>2019.03</v>
      </c>
      <c r="B144" s="1899">
        <v>524542</v>
      </c>
      <c r="C144" s="722">
        <v>8045060</v>
      </c>
      <c r="D144" s="3085">
        <v>1535913</v>
      </c>
      <c r="E144" s="389">
        <v>6509147</v>
      </c>
      <c r="F144" s="1899">
        <v>38410</v>
      </c>
      <c r="G144" s="759">
        <v>31011.74</v>
      </c>
      <c r="H144" s="376">
        <v>41439.230975936618</v>
      </c>
    </row>
    <row r="145" spans="1:8" ht="12.75" customHeight="1">
      <c r="A145" s="373">
        <v>2019.04</v>
      </c>
      <c r="B145" s="1899">
        <v>525026</v>
      </c>
      <c r="C145" s="722">
        <v>8043592</v>
      </c>
      <c r="D145" s="3085">
        <v>1525607</v>
      </c>
      <c r="E145" s="389">
        <v>6517985</v>
      </c>
      <c r="F145" s="1899">
        <v>41996</v>
      </c>
      <c r="G145" s="759">
        <v>31686.864999999998</v>
      </c>
      <c r="H145" s="376">
        <v>41133.988426517397</v>
      </c>
    </row>
    <row r="146" spans="1:8" ht="12.75" customHeight="1">
      <c r="A146" s="373">
        <v>2019.05</v>
      </c>
      <c r="B146" s="1899">
        <v>526409</v>
      </c>
      <c r="C146" s="722">
        <v>7999746</v>
      </c>
      <c r="D146" s="3085">
        <v>1537632</v>
      </c>
      <c r="E146" s="389">
        <v>6462114</v>
      </c>
      <c r="F146" s="1899">
        <v>41655</v>
      </c>
      <c r="G146" s="759">
        <v>33383</v>
      </c>
      <c r="H146" s="376">
        <v>42462.100161395771</v>
      </c>
    </row>
    <row r="147" spans="1:8" ht="12.75" customHeight="1">
      <c r="A147" s="373">
        <v>2019.06</v>
      </c>
      <c r="B147" s="1899">
        <v>525602</v>
      </c>
      <c r="C147" s="722">
        <v>7948194</v>
      </c>
      <c r="D147" s="3085">
        <v>1540941</v>
      </c>
      <c r="E147" s="389">
        <v>6407253</v>
      </c>
      <c r="F147" s="1899">
        <v>42806</v>
      </c>
      <c r="G147" s="759">
        <v>48913.31</v>
      </c>
      <c r="H147" s="376">
        <v>61343.269379963247</v>
      </c>
    </row>
    <row r="148" spans="1:8" ht="12.75" customHeight="1">
      <c r="A148" s="373">
        <v>2019.07</v>
      </c>
      <c r="B148" s="1899">
        <v>525124</v>
      </c>
      <c r="C148" s="722">
        <v>7953439</v>
      </c>
      <c r="D148" s="3085">
        <v>1561403</v>
      </c>
      <c r="E148" s="389">
        <v>6392036</v>
      </c>
      <c r="F148" s="1899">
        <v>61332</v>
      </c>
      <c r="G148" s="759">
        <v>35454.11</v>
      </c>
      <c r="H148" s="376">
        <v>45090.724995546414</v>
      </c>
    </row>
    <row r="149" spans="1:8" ht="12.75" customHeight="1">
      <c r="A149" s="373">
        <v>2019.08</v>
      </c>
      <c r="B149" s="1899">
        <v>522340</v>
      </c>
      <c r="C149" s="722">
        <v>7965268</v>
      </c>
      <c r="D149" s="3085">
        <v>1552959</v>
      </c>
      <c r="E149" s="389">
        <v>6412309</v>
      </c>
      <c r="F149" s="1899">
        <v>45144</v>
      </c>
      <c r="G149" s="759">
        <v>36145</v>
      </c>
      <c r="H149" s="376">
        <v>46149.952702700044</v>
      </c>
    </row>
    <row r="150" spans="1:8" ht="12.75" customHeight="1">
      <c r="A150" s="373">
        <v>2019.09</v>
      </c>
      <c r="B150" s="1899">
        <v>524496</v>
      </c>
      <c r="C150" s="722">
        <v>7989712</v>
      </c>
      <c r="D150" s="3085">
        <v>1585378</v>
      </c>
      <c r="E150" s="389">
        <v>6404334</v>
      </c>
      <c r="F150" s="1899">
        <v>46429</v>
      </c>
      <c r="G150" s="759">
        <v>37476.239999999998</v>
      </c>
      <c r="H150" s="376">
        <v>47494.739545752767</v>
      </c>
    </row>
    <row r="151" spans="1:8" ht="12.75" customHeight="1">
      <c r="A151" s="373">
        <v>2019.1</v>
      </c>
      <c r="B151" s="1899">
        <v>522352</v>
      </c>
      <c r="C151" s="722">
        <v>7923214</v>
      </c>
      <c r="D151" s="3085">
        <v>1549000</v>
      </c>
      <c r="E151" s="389">
        <v>6374214</v>
      </c>
      <c r="F151" s="1899">
        <v>47823</v>
      </c>
      <c r="G151" s="759">
        <v>39623.51</v>
      </c>
      <c r="H151" s="376">
        <v>51085.492164387331</v>
      </c>
    </row>
    <row r="152" spans="1:8" ht="12.75" customHeight="1">
      <c r="A152" s="373">
        <v>2019.11</v>
      </c>
      <c r="B152" s="1899">
        <v>521643</v>
      </c>
      <c r="C152" s="722">
        <v>7982396</v>
      </c>
      <c r="D152" s="3085">
        <v>1597656</v>
      </c>
      <c r="E152" s="389">
        <v>6384740</v>
      </c>
      <c r="F152" s="1899">
        <v>51899</v>
      </c>
      <c r="G152" s="759">
        <v>39828.43</v>
      </c>
      <c r="H152" s="376">
        <v>51307.775886545911</v>
      </c>
    </row>
    <row r="153" spans="1:8" ht="12.75" customHeight="1">
      <c r="A153" s="373">
        <v>2019.12</v>
      </c>
      <c r="B153" s="1899">
        <v>520613</v>
      </c>
      <c r="C153" s="722">
        <v>7927546</v>
      </c>
      <c r="D153" s="3085">
        <v>1554170</v>
      </c>
      <c r="E153" s="389">
        <v>6373376</v>
      </c>
      <c r="F153" s="1899">
        <v>51971</v>
      </c>
      <c r="G153" s="759">
        <v>59149.26</v>
      </c>
      <c r="H153" s="376">
        <v>76103.151364060992</v>
      </c>
    </row>
    <row r="154" spans="1:8" ht="12.75" customHeight="1">
      <c r="A154" s="373">
        <v>2020.01</v>
      </c>
      <c r="B154" s="1899">
        <v>515685</v>
      </c>
      <c r="C154" s="722">
        <v>7880084</v>
      </c>
      <c r="D154" s="3085">
        <v>1567693</v>
      </c>
      <c r="E154" s="389">
        <v>6312391</v>
      </c>
      <c r="F154" s="1899">
        <v>78635.822362932915</v>
      </c>
      <c r="G154" s="759">
        <v>44309.724999999999</v>
      </c>
      <c r="H154" s="376">
        <v>59174.55358271618</v>
      </c>
    </row>
    <row r="155" spans="1:8" ht="12.75" customHeight="1">
      <c r="A155" s="373">
        <v>2020.02</v>
      </c>
      <c r="B155" s="1899">
        <v>510915</v>
      </c>
      <c r="C155" s="722">
        <v>7868105</v>
      </c>
      <c r="D155" s="3085">
        <v>1546505</v>
      </c>
      <c r="E155" s="389">
        <v>6321600</v>
      </c>
      <c r="F155" s="1899">
        <v>60326.814144980279</v>
      </c>
      <c r="G155" s="759">
        <v>45298.01</v>
      </c>
      <c r="H155" s="376">
        <v>59859.772662604308</v>
      </c>
    </row>
    <row r="156" spans="1:8" ht="12.75" customHeight="1">
      <c r="A156" s="373">
        <v>2020.03</v>
      </c>
      <c r="B156" s="1899">
        <v>507872</v>
      </c>
      <c r="C156" s="722">
        <v>7880585</v>
      </c>
      <c r="D156" s="3085">
        <v>1542678</v>
      </c>
      <c r="E156" s="389">
        <v>6337907</v>
      </c>
      <c r="F156" s="1899">
        <v>60696.064566248577</v>
      </c>
      <c r="G156" s="759">
        <v>46338.19</v>
      </c>
      <c r="H156" s="376">
        <v>61896.580723787476</v>
      </c>
    </row>
    <row r="157" spans="1:8" ht="12.75" customHeight="1">
      <c r="A157" s="373">
        <v>2020.04</v>
      </c>
      <c r="B157" s="1899">
        <v>506162</v>
      </c>
      <c r="C157" s="722">
        <v>7789348</v>
      </c>
      <c r="D157" s="3085">
        <v>1542287</v>
      </c>
      <c r="E157" s="389">
        <v>6247061</v>
      </c>
      <c r="F157" s="1899">
        <v>62410.916552662668</v>
      </c>
      <c r="G157" s="759">
        <v>44895.56</v>
      </c>
      <c r="H157" s="376">
        <v>57845.259066480656</v>
      </c>
    </row>
    <row r="158" spans="1:8" ht="12.75" customHeight="1">
      <c r="A158" s="373">
        <v>2020.05</v>
      </c>
      <c r="B158" s="1899">
        <v>496798</v>
      </c>
      <c r="C158" s="722">
        <v>7595704</v>
      </c>
      <c r="D158" s="3085">
        <v>1543787</v>
      </c>
      <c r="E158" s="389">
        <v>6051917</v>
      </c>
      <c r="F158" s="1899">
        <v>58829.591333070646</v>
      </c>
      <c r="G158" s="759">
        <v>45638.425000000003</v>
      </c>
      <c r="H158" s="376">
        <v>57342.538342523316</v>
      </c>
    </row>
    <row r="159" spans="1:8" ht="12.75" customHeight="1">
      <c r="A159" s="373">
        <v>2020.06</v>
      </c>
      <c r="B159" s="1899">
        <v>495906</v>
      </c>
      <c r="C159" s="722">
        <v>7620868</v>
      </c>
      <c r="D159" s="3085">
        <v>1540941</v>
      </c>
      <c r="E159" s="389">
        <v>6407253</v>
      </c>
      <c r="F159" s="1899">
        <v>59224.673790847708</v>
      </c>
      <c r="G159" s="759">
        <v>68707.235000000001</v>
      </c>
      <c r="H159" s="376">
        <v>85458.223721310918</v>
      </c>
    </row>
    <row r="160" spans="1:8" ht="12.75" customHeight="1">
      <c r="A160" s="373">
        <v>2020.07</v>
      </c>
      <c r="B160" s="1899">
        <v>494799</v>
      </c>
      <c r="C160" s="722">
        <v>7629109</v>
      </c>
      <c r="D160" s="3085">
        <v>1561403</v>
      </c>
      <c r="E160" s="389">
        <v>6392036</v>
      </c>
      <c r="F160" s="1899">
        <v>86129.565525389655</v>
      </c>
      <c r="G160" s="759">
        <v>47636.79</v>
      </c>
      <c r="H160" s="376">
        <v>60868.416224538123</v>
      </c>
    </row>
    <row r="161" spans="1:8" ht="12.75" customHeight="1">
      <c r="A161" s="373">
        <v>2020.08</v>
      </c>
      <c r="B161" s="1899">
        <v>496882</v>
      </c>
      <c r="C161" s="722">
        <v>7638943</v>
      </c>
      <c r="D161" s="3085">
        <v>1552959</v>
      </c>
      <c r="E161" s="389">
        <v>6412309</v>
      </c>
      <c r="F161" s="1899">
        <v>63156.312810785523</v>
      </c>
      <c r="G161" s="759">
        <v>48338.92</v>
      </c>
      <c r="H161" s="376">
        <v>61913.348028283697</v>
      </c>
    </row>
    <row r="162" spans="1:8" ht="12.75" customHeight="1">
      <c r="A162" s="373">
        <v>2020.09</v>
      </c>
      <c r="B162" s="1899">
        <v>498455</v>
      </c>
      <c r="C162" s="722">
        <v>7638445</v>
      </c>
      <c r="D162" s="3085">
        <v>1585378</v>
      </c>
      <c r="E162" s="389">
        <v>6404334</v>
      </c>
      <c r="F162" s="1899">
        <v>63871.927120243738</v>
      </c>
      <c r="G162" s="759">
        <v>49478.014999999999</v>
      </c>
      <c r="H162" s="376">
        <v>64161.745935572093</v>
      </c>
    </row>
    <row r="163" spans="1:8" ht="12.75" customHeight="1">
      <c r="A163" s="373">
        <v>2020.1</v>
      </c>
      <c r="B163" s="1899">
        <v>500284</v>
      </c>
      <c r="C163" s="722">
        <v>7665944</v>
      </c>
      <c r="D163" s="3085">
        <v>1549000</v>
      </c>
      <c r="E163" s="389">
        <v>6374214</v>
      </c>
      <c r="F163" s="1899">
        <v>65918.311863715688</v>
      </c>
      <c r="G163" s="759">
        <v>53377.2</v>
      </c>
      <c r="H163" s="376">
        <v>68108.729498612331</v>
      </c>
    </row>
    <row r="164" spans="1:8" ht="12.75" customHeight="1">
      <c r="A164" s="373">
        <v>2020.11</v>
      </c>
      <c r="B164" s="1899">
        <v>503229</v>
      </c>
      <c r="C164" s="722">
        <v>7686034</v>
      </c>
      <c r="D164" s="3085">
        <v>1597656</v>
      </c>
      <c r="E164" s="389">
        <v>6374214</v>
      </c>
      <c r="F164" s="1899">
        <v>69682.603539981763</v>
      </c>
      <c r="G164" s="759">
        <v>53874.06</v>
      </c>
      <c r="H164" s="376">
        <v>69308.323222926905</v>
      </c>
    </row>
    <row r="165" spans="1:8" ht="12.75" customHeight="1">
      <c r="A165" s="373">
        <v>2020.12</v>
      </c>
      <c r="B165" s="1899">
        <v>504886</v>
      </c>
      <c r="C165" s="722">
        <v>7692165</v>
      </c>
      <c r="D165" s="3085">
        <v>1554170</v>
      </c>
      <c r="E165" s="389">
        <v>6373376</v>
      </c>
      <c r="F165" s="1899">
        <v>71268.080619621382</v>
      </c>
      <c r="G165" s="759">
        <v>80166.67</v>
      </c>
      <c r="H165" s="376">
        <v>103375.19709824334</v>
      </c>
    </row>
    <row r="166" spans="1:8" ht="12.75" customHeight="1">
      <c r="A166" s="373">
        <f>A154+1</f>
        <v>2021.01</v>
      </c>
      <c r="B166" s="1899">
        <v>506328</v>
      </c>
      <c r="C166" s="722">
        <v>7725522</v>
      </c>
      <c r="D166" s="3085">
        <v>1567693</v>
      </c>
      <c r="E166" s="389">
        <v>6157829</v>
      </c>
      <c r="F166" s="1899">
        <v>105495.01330370871</v>
      </c>
      <c r="G166" s="759">
        <v>57813.05</v>
      </c>
      <c r="H166" s="376">
        <v>78852.767204403121</v>
      </c>
    </row>
    <row r="167" spans="1:8" ht="12.75" customHeight="1">
      <c r="A167" s="373">
        <f t="shared" ref="A167:A230" si="0">A155+1</f>
        <v>2021.02</v>
      </c>
      <c r="B167" s="1899">
        <v>506005</v>
      </c>
      <c r="C167" s="722">
        <v>7721132</v>
      </c>
      <c r="D167" s="3085">
        <v>1546505</v>
      </c>
      <c r="E167" s="389">
        <v>6174627</v>
      </c>
      <c r="F167" s="1899">
        <v>80286.202081690819</v>
      </c>
      <c r="G167" s="759">
        <v>60346.759999999995</v>
      </c>
      <c r="H167" s="376">
        <v>79789.417900367145</v>
      </c>
    </row>
    <row r="168" spans="1:8" ht="12.75" customHeight="1">
      <c r="A168" s="373">
        <f t="shared" si="0"/>
        <v>2021.03</v>
      </c>
      <c r="B168" s="1899">
        <v>508335</v>
      </c>
      <c r="C168" s="722">
        <v>7764404</v>
      </c>
      <c r="D168" s="3085">
        <v>1542678</v>
      </c>
      <c r="E168" s="389">
        <v>6221726</v>
      </c>
      <c r="F168" s="1899">
        <v>80497.02250985759</v>
      </c>
      <c r="G168" s="759">
        <v>62883.425000000003</v>
      </c>
      <c r="H168" s="376">
        <v>85611.507050311091</v>
      </c>
    </row>
    <row r="169" spans="1:8" ht="12.75" customHeight="1">
      <c r="A169" s="373">
        <f t="shared" si="0"/>
        <v>2021.04</v>
      </c>
      <c r="B169" s="1899">
        <v>514369</v>
      </c>
      <c r="C169" s="722">
        <v>7809980</v>
      </c>
      <c r="D169" s="3085">
        <v>1542287</v>
      </c>
      <c r="E169" s="389">
        <v>6267693</v>
      </c>
      <c r="F169" s="1899">
        <v>86291.290750558517</v>
      </c>
      <c r="G169" s="759">
        <v>65156.480000000003</v>
      </c>
      <c r="H169" s="376">
        <v>86145.089498562607</v>
      </c>
    </row>
    <row r="170" spans="1:8" ht="12.75" customHeight="1">
      <c r="A170" s="373">
        <f t="shared" si="0"/>
        <v>2021.05</v>
      </c>
      <c r="B170" s="1899">
        <v>517342</v>
      </c>
      <c r="C170" s="722">
        <v>7768747</v>
      </c>
      <c r="D170" s="3085">
        <v>1543787</v>
      </c>
      <c r="E170" s="389">
        <v>6224960</v>
      </c>
      <c r="F170" s="1899">
        <v>86995.274869947039</v>
      </c>
      <c r="G170" s="759">
        <v>68128.2</v>
      </c>
      <c r="H170" s="376">
        <v>86697.121972828478</v>
      </c>
    </row>
    <row r="171" spans="1:8" ht="12.75" customHeight="1">
      <c r="A171" s="373">
        <f t="shared" si="0"/>
        <v>2021.06</v>
      </c>
      <c r="B171" s="1899">
        <v>515650</v>
      </c>
      <c r="C171" s="722">
        <v>7728936</v>
      </c>
      <c r="D171" s="3085">
        <v>1548137</v>
      </c>
      <c r="E171" s="389">
        <v>6180799</v>
      </c>
      <c r="F171" s="1899">
        <v>87072.012061446716</v>
      </c>
      <c r="G171" s="759">
        <v>99971.26</v>
      </c>
      <c r="H171" s="376">
        <v>127132.85117371191</v>
      </c>
    </row>
    <row r="172" spans="1:8" ht="12.75" customHeight="1">
      <c r="A172" s="373">
        <f t="shared" si="0"/>
        <v>2021.07</v>
      </c>
      <c r="B172" s="1899">
        <v>513903</v>
      </c>
      <c r="C172" s="722">
        <v>7775462</v>
      </c>
      <c r="D172" s="3085">
        <v>1560653</v>
      </c>
      <c r="E172" s="389">
        <v>6214809</v>
      </c>
      <c r="F172" s="1899">
        <v>129327.10714448321</v>
      </c>
      <c r="G172" s="759">
        <v>72268</v>
      </c>
      <c r="H172" s="376">
        <v>94460.722216312293</v>
      </c>
    </row>
    <row r="173" spans="1:8" ht="12.75" customHeight="1">
      <c r="A173" s="373">
        <f t="shared" si="0"/>
        <v>2021.08</v>
      </c>
      <c r="B173" s="1899">
        <v>514325</v>
      </c>
      <c r="C173" s="722">
        <v>7778081</v>
      </c>
      <c r="D173" s="3085">
        <v>1554317</v>
      </c>
      <c r="E173" s="389">
        <v>6223764</v>
      </c>
      <c r="F173" s="1899">
        <v>95224.141024898563</v>
      </c>
      <c r="G173" s="759">
        <v>75189.100000000006</v>
      </c>
      <c r="H173" s="376">
        <v>96663.931774012322</v>
      </c>
    </row>
    <row r="174" spans="1:8" ht="12.75" customHeight="1">
      <c r="A174" s="373">
        <f t="shared" si="0"/>
        <v>2021.09</v>
      </c>
      <c r="B174" s="1899">
        <v>517907</v>
      </c>
      <c r="C174" s="722">
        <v>7792328</v>
      </c>
      <c r="D174" s="3085">
        <v>1537446</v>
      </c>
      <c r="E174" s="389">
        <v>6254882</v>
      </c>
      <c r="F174" s="1899">
        <v>97456.260269070117</v>
      </c>
      <c r="G174" s="759">
        <v>77319.7</v>
      </c>
      <c r="H174" s="376">
        <v>99916.201908129296</v>
      </c>
    </row>
    <row r="175" spans="1:8" ht="12.75" customHeight="1">
      <c r="A175" s="373">
        <f t="shared" si="0"/>
        <v>2021.1</v>
      </c>
      <c r="B175" s="1899">
        <v>520489</v>
      </c>
      <c r="C175" s="722">
        <v>7825162</v>
      </c>
      <c r="D175" s="3085">
        <v>1547885</v>
      </c>
      <c r="E175" s="389">
        <v>6277277</v>
      </c>
      <c r="F175" s="1899">
        <v>101705.8115744469</v>
      </c>
      <c r="G175" s="759">
        <v>79281.929999999993</v>
      </c>
      <c r="H175" s="376">
        <v>104455.59429117682</v>
      </c>
    </row>
    <row r="176" spans="1:8" ht="12.75" customHeight="1">
      <c r="A176" s="373">
        <f t="shared" si="0"/>
        <v>2021.11</v>
      </c>
      <c r="B176" s="1899">
        <v>523515</v>
      </c>
      <c r="C176" s="722">
        <v>7851887</v>
      </c>
      <c r="D176" s="3085">
        <v>1546162</v>
      </c>
      <c r="E176" s="389">
        <v>6305725</v>
      </c>
      <c r="F176" s="1899">
        <v>106080.4612482673</v>
      </c>
      <c r="G176" s="759">
        <v>83262.31</v>
      </c>
      <c r="H176" s="376">
        <v>108278.84745911909</v>
      </c>
    </row>
    <row r="177" spans="1:8" ht="12.75" customHeight="1">
      <c r="A177" s="373">
        <f t="shared" si="0"/>
        <v>2021.12</v>
      </c>
      <c r="B177" s="1899">
        <v>528289</v>
      </c>
      <c r="C177" s="722">
        <v>7892244</v>
      </c>
      <c r="D177" s="3085">
        <v>1535636</v>
      </c>
      <c r="E177" s="389">
        <v>6356608</v>
      </c>
      <c r="F177" s="1899">
        <v>109469.67006863659</v>
      </c>
      <c r="G177" s="759">
        <v>121726.16</v>
      </c>
      <c r="H177" s="376">
        <v>160794.05004048796</v>
      </c>
    </row>
    <row r="178" spans="1:8" ht="12.75" customHeight="1">
      <c r="A178" s="373">
        <f t="shared" si="0"/>
        <v>2022.01</v>
      </c>
      <c r="B178" s="1899">
        <v>529257</v>
      </c>
      <c r="C178" s="722">
        <v>7910785</v>
      </c>
      <c r="D178" s="3085">
        <v>1535862</v>
      </c>
      <c r="E178" s="389">
        <v>6374923</v>
      </c>
      <c r="F178" s="1899">
        <v>161147.42462373429</v>
      </c>
      <c r="G178" s="1311">
        <v>89498.69</v>
      </c>
      <c r="H178" s="1312">
        <v>122700.73199273103</v>
      </c>
    </row>
    <row r="179" spans="1:8" ht="12.75" customHeight="1">
      <c r="A179" s="373">
        <f t="shared" si="0"/>
        <v>2022.02</v>
      </c>
      <c r="B179" s="1899">
        <v>525057</v>
      </c>
      <c r="C179" s="722">
        <v>7918796</v>
      </c>
      <c r="D179" s="3085">
        <v>1503282</v>
      </c>
      <c r="E179" s="389">
        <v>6415514</v>
      </c>
      <c r="F179" s="1899">
        <v>123205.20163532963</v>
      </c>
      <c r="G179" s="1311">
        <v>91635.010000000009</v>
      </c>
      <c r="H179" s="1312">
        <v>123340.77111761941</v>
      </c>
    </row>
    <row r="180" spans="1:8" ht="12.75" customHeight="1">
      <c r="A180" s="373">
        <f t="shared" si="0"/>
        <v>2022.03</v>
      </c>
      <c r="B180" s="1899">
        <v>524808</v>
      </c>
      <c r="C180" s="722">
        <v>7969997</v>
      </c>
      <c r="D180" s="3085">
        <v>1516865</v>
      </c>
      <c r="E180" s="389">
        <v>6453132</v>
      </c>
      <c r="F180" s="1899">
        <v>123532.01858344914</v>
      </c>
      <c r="G180" s="759">
        <v>98681.94</v>
      </c>
      <c r="H180" s="376">
        <v>136935.1480921834</v>
      </c>
    </row>
    <row r="181" spans="1:8" ht="12.75" customHeight="1">
      <c r="A181" s="373">
        <f t="shared" si="0"/>
        <v>2022.04</v>
      </c>
      <c r="B181" s="1899">
        <v>533087</v>
      </c>
      <c r="C181" s="722">
        <v>8024604</v>
      </c>
      <c r="D181" s="3085">
        <v>1512186</v>
      </c>
      <c r="E181" s="389">
        <v>6512418</v>
      </c>
      <c r="F181" s="1899">
        <v>137621.10007023203</v>
      </c>
      <c r="G181" s="759">
        <v>103832.32000000001</v>
      </c>
      <c r="H181" s="376">
        <v>138254.29995655469</v>
      </c>
    </row>
    <row r="182" spans="1:8" ht="12.75" customHeight="1">
      <c r="A182" s="373">
        <f t="shared" si="0"/>
        <v>2022.05</v>
      </c>
      <c r="B182" s="1899">
        <v>535538</v>
      </c>
      <c r="C182" s="722">
        <v>7975011</v>
      </c>
      <c r="D182" s="3085">
        <v>1490599</v>
      </c>
      <c r="E182" s="389">
        <v>6484412</v>
      </c>
      <c r="F182" s="1899">
        <v>138128.71408706755</v>
      </c>
      <c r="G182" s="759">
        <v>111655.37</v>
      </c>
      <c r="H182" s="376">
        <v>144485.41890339175</v>
      </c>
    </row>
    <row r="183" spans="1:8" ht="12.75" customHeight="1">
      <c r="A183" s="373">
        <f t="shared" si="0"/>
        <v>2022.06</v>
      </c>
      <c r="B183" s="1899">
        <v>535541</v>
      </c>
      <c r="C183" s="722">
        <v>7997696</v>
      </c>
      <c r="D183" s="3085">
        <v>1514479</v>
      </c>
      <c r="E183" s="389">
        <v>6483217</v>
      </c>
      <c r="F183" s="1899">
        <v>144591.16855404808</v>
      </c>
      <c r="G183" s="759">
        <v>165158.01</v>
      </c>
      <c r="H183" s="376">
        <v>211726.8424179501</v>
      </c>
    </row>
    <row r="184" spans="1:8" ht="12.75" customHeight="1">
      <c r="A184" s="373">
        <f t="shared" si="0"/>
        <v>2022.07</v>
      </c>
      <c r="B184" s="1899">
        <v>536869</v>
      </c>
      <c r="C184" s="722">
        <v>8034410</v>
      </c>
      <c r="D184" s="3085">
        <v>1529095</v>
      </c>
      <c r="E184" s="389">
        <v>6505315</v>
      </c>
      <c r="F184" s="1899">
        <v>211285.05205859212</v>
      </c>
      <c r="G184" s="759">
        <v>119847.76000000001</v>
      </c>
      <c r="H184" s="376">
        <v>157052.74764504106</v>
      </c>
    </row>
    <row r="185" spans="1:8" ht="12.75" customHeight="1">
      <c r="A185" s="373">
        <f t="shared" si="0"/>
        <v>2022.08</v>
      </c>
      <c r="B185" s="1899">
        <v>538922</v>
      </c>
      <c r="C185" s="722">
        <v>8086623</v>
      </c>
      <c r="D185" s="3085">
        <v>1541701</v>
      </c>
      <c r="E185" s="389">
        <v>6544922</v>
      </c>
      <c r="F185" s="1899">
        <v>157859.87534751062</v>
      </c>
      <c r="G185" s="759">
        <v>132656.82999999999</v>
      </c>
      <c r="H185" s="376">
        <v>167585.69576273681</v>
      </c>
    </row>
    <row r="186" spans="1:8" ht="12.75" customHeight="1">
      <c r="A186" s="373">
        <f t="shared" si="0"/>
        <v>2022.09</v>
      </c>
      <c r="B186" s="1899">
        <v>539763</v>
      </c>
      <c r="C186" s="722">
        <v>8114788</v>
      </c>
      <c r="D186" s="3085">
        <v>1546327</v>
      </c>
      <c r="E186" s="389">
        <v>6568461</v>
      </c>
      <c r="F186" s="1899">
        <v>167914.68608101804</v>
      </c>
      <c r="G186" s="759">
        <v>141428.1</v>
      </c>
      <c r="H186" s="376">
        <v>179438.98010555984</v>
      </c>
    </row>
    <row r="187" spans="1:8" ht="12.75" customHeight="1">
      <c r="A187" s="373">
        <f t="shared" si="0"/>
        <v>2022.1</v>
      </c>
      <c r="B187" s="1899">
        <v>542253</v>
      </c>
      <c r="C187" s="722">
        <v>8137438</v>
      </c>
      <c r="D187" s="3085">
        <v>1544572</v>
      </c>
      <c r="E187" s="389">
        <v>6592866</v>
      </c>
      <c r="F187" s="1899">
        <v>180191.3212161327</v>
      </c>
      <c r="G187" s="759">
        <v>144779.58000000002</v>
      </c>
      <c r="H187" s="376">
        <v>189111.68705435234</v>
      </c>
    </row>
    <row r="188" spans="1:8" ht="12.75" customHeight="1">
      <c r="A188" s="373">
        <f t="shared" si="0"/>
        <v>2022.11</v>
      </c>
      <c r="B188" s="1899">
        <v>545711</v>
      </c>
      <c r="C188" s="722">
        <v>8165974</v>
      </c>
      <c r="D188" s="3085">
        <v>1542628</v>
      </c>
      <c r="E188" s="389">
        <v>6623346</v>
      </c>
      <c r="F188" s="1899">
        <v>188615.68152358948</v>
      </c>
      <c r="G188" s="759">
        <v>155238.01999999999</v>
      </c>
      <c r="H188" s="376">
        <v>203119.44492676225</v>
      </c>
    </row>
    <row r="189" spans="1:8" ht="12.75" customHeight="1">
      <c r="A189" s="373">
        <f t="shared" si="0"/>
        <v>2022.12</v>
      </c>
      <c r="B189" s="1899">
        <v>548503</v>
      </c>
      <c r="C189" s="722">
        <v>8203206</v>
      </c>
      <c r="D189" s="3085">
        <v>1548004</v>
      </c>
      <c r="E189" s="389">
        <v>6655202</v>
      </c>
      <c r="F189" s="1899">
        <v>203233.15801631863</v>
      </c>
      <c r="G189" s="759">
        <v>245866.42</v>
      </c>
      <c r="H189" s="376">
        <v>317848.34373875044</v>
      </c>
    </row>
    <row r="190" spans="1:8" ht="12.75" customHeight="1">
      <c r="A190" s="373">
        <f t="shared" si="0"/>
        <v>2023.01</v>
      </c>
      <c r="B190" s="1899">
        <v>546552</v>
      </c>
      <c r="C190" s="722">
        <v>8226555</v>
      </c>
      <c r="D190" s="3085">
        <v>1563700</v>
      </c>
      <c r="E190" s="389">
        <v>6662855</v>
      </c>
      <c r="F190" s="1899">
        <v>318402.84730378492</v>
      </c>
      <c r="G190" s="759">
        <v>171129.625</v>
      </c>
      <c r="H190" s="376">
        <v>241706.31650662312</v>
      </c>
    </row>
    <row r="191" spans="1:8" ht="12.75" customHeight="1">
      <c r="A191" s="373">
        <f t="shared" si="0"/>
        <v>2023.02</v>
      </c>
      <c r="B191" s="1899">
        <v>542896</v>
      </c>
      <c r="C191" s="722">
        <v>8248603</v>
      </c>
      <c r="D191" s="3085">
        <v>1554555</v>
      </c>
      <c r="E191" s="389">
        <v>6694048</v>
      </c>
      <c r="F191" s="1899">
        <v>242218.10135608504</v>
      </c>
      <c r="G191" s="759">
        <v>180620.07500000001</v>
      </c>
      <c r="H191" s="376">
        <v>249422.72890812758</v>
      </c>
    </row>
    <row r="192" spans="1:8" ht="12.75" customHeight="1">
      <c r="A192" s="373">
        <f t="shared" si="0"/>
        <v>2023.03</v>
      </c>
      <c r="B192" s="1899">
        <v>542849</v>
      </c>
      <c r="C192" s="722">
        <v>8294988</v>
      </c>
      <c r="D192" s="3085">
        <v>1558661</v>
      </c>
      <c r="E192" s="389">
        <v>6736327</v>
      </c>
      <c r="F192" s="1899">
        <v>248908.97159810984</v>
      </c>
      <c r="G192" s="759">
        <v>198161.45</v>
      </c>
      <c r="H192" s="376">
        <v>276739.77145745169</v>
      </c>
    </row>
    <row r="193" spans="1:8" ht="12.75" customHeight="1">
      <c r="A193" s="373">
        <f t="shared" si="0"/>
        <v>2023.04</v>
      </c>
      <c r="B193" s="1899">
        <v>550260</v>
      </c>
      <c r="C193" s="722">
        <v>8345377</v>
      </c>
      <c r="D193" s="3085">
        <v>1560046</v>
      </c>
      <c r="E193" s="389">
        <v>6785331</v>
      </c>
      <c r="F193" s="1899">
        <v>278559.6136942397</v>
      </c>
      <c r="G193" s="759">
        <v>218966.54</v>
      </c>
      <c r="H193" s="376">
        <v>287934.52449078363</v>
      </c>
    </row>
    <row r="194" spans="1:8" ht="12.75" customHeight="1">
      <c r="A194" s="373">
        <f t="shared" si="0"/>
        <v>2023.05</v>
      </c>
      <c r="B194" s="1899">
        <v>551863</v>
      </c>
      <c r="C194" s="722">
        <v>8301816</v>
      </c>
      <c r="D194" s="3085">
        <v>1562778</v>
      </c>
      <c r="E194" s="389">
        <v>6739038</v>
      </c>
      <c r="F194" s="1899">
        <v>287911.92302235577</v>
      </c>
      <c r="G194" s="759">
        <v>238171.285</v>
      </c>
      <c r="H194" s="376">
        <v>303249.57101265091</v>
      </c>
    </row>
    <row r="195" spans="1:8" ht="12.75" customHeight="1">
      <c r="A195" s="373">
        <f t="shared" si="0"/>
        <v>2023.06</v>
      </c>
      <c r="B195" s="1899">
        <v>552367</v>
      </c>
      <c r="C195" s="722">
        <v>8323174</v>
      </c>
      <c r="D195" s="3085">
        <v>1574549</v>
      </c>
      <c r="E195" s="389">
        <v>6748625</v>
      </c>
      <c r="F195" s="1899">
        <v>304434.96095905174</v>
      </c>
      <c r="G195" s="759">
        <v>356955.27</v>
      </c>
      <c r="H195" s="376">
        <v>458848.37937334151</v>
      </c>
    </row>
    <row r="196" spans="1:8" ht="12.75" customHeight="1">
      <c r="A196" s="373">
        <f t="shared" si="0"/>
        <v>2023.07</v>
      </c>
      <c r="B196" s="1899">
        <v>550294</v>
      </c>
      <c r="C196" s="722">
        <v>8344714</v>
      </c>
      <c r="D196" s="3085">
        <v>1590520</v>
      </c>
      <c r="E196" s="389">
        <v>6754194</v>
      </c>
      <c r="F196" s="1899">
        <v>458980.84913860343</v>
      </c>
      <c r="G196" s="759">
        <v>270081.58999999997</v>
      </c>
      <c r="H196" s="376">
        <v>352070.04744146537</v>
      </c>
    </row>
    <row r="197" spans="1:8" ht="12.75" customHeight="1">
      <c r="A197" s="373">
        <f t="shared" si="0"/>
        <v>2023.08</v>
      </c>
      <c r="B197" s="1899">
        <v>550888</v>
      </c>
      <c r="C197" s="722">
        <v>8387085</v>
      </c>
      <c r="D197" s="3085">
        <v>1600475</v>
      </c>
      <c r="E197" s="389">
        <v>6786610</v>
      </c>
      <c r="F197" s="1899">
        <v>352515.43809035001</v>
      </c>
      <c r="G197" s="759">
        <v>312312.65999999997</v>
      </c>
      <c r="H197" s="376">
        <v>389265.25468164257</v>
      </c>
    </row>
    <row r="198" spans="1:8" ht="12.75" customHeight="1">
      <c r="A198" s="373">
        <f t="shared" si="0"/>
        <v>2023.09</v>
      </c>
      <c r="B198" s="1899">
        <v>553225</v>
      </c>
      <c r="C198" s="722">
        <v>8427342</v>
      </c>
      <c r="D198" s="3085">
        <v>1630566</v>
      </c>
      <c r="E198" s="389">
        <v>6796776</v>
      </c>
      <c r="F198" s="1899">
        <v>392030.72576083837</v>
      </c>
      <c r="G198" s="759">
        <v>342176.65</v>
      </c>
      <c r="H198" s="376">
        <v>431695.0896687198</v>
      </c>
    </row>
    <row r="199" spans="1:8" ht="12.75" customHeight="1">
      <c r="A199" s="373">
        <f t="shared" si="0"/>
        <v>2023.1</v>
      </c>
      <c r="B199" s="1899">
        <v>553664</v>
      </c>
      <c r="C199" s="722">
        <v>8376280</v>
      </c>
      <c r="D199" s="3085">
        <v>1602360</v>
      </c>
      <c r="E199" s="389">
        <v>6773920</v>
      </c>
      <c r="F199" s="1899">
        <v>432780.37841087149</v>
      </c>
      <c r="G199" s="759">
        <v>365339.03</v>
      </c>
      <c r="H199" s="376">
        <v>473146.30133314576</v>
      </c>
    </row>
    <row r="200" spans="1:8" ht="12.75" customHeight="1">
      <c r="A200" s="373">
        <f t="shared" si="0"/>
        <v>2023.11</v>
      </c>
      <c r="B200" s="1899">
        <v>554893</v>
      </c>
      <c r="C200" s="722">
        <v>8412064</v>
      </c>
      <c r="D200" s="3085">
        <v>1626312</v>
      </c>
      <c r="E200" s="389">
        <v>6785752</v>
      </c>
      <c r="F200" s="1899">
        <v>473425.62532616709</v>
      </c>
      <c r="G200" s="759">
        <v>404394.81</v>
      </c>
      <c r="H200" s="376">
        <v>521738.97275143315</v>
      </c>
    </row>
    <row r="201" spans="1:8" ht="12.75" customHeight="1">
      <c r="A201" s="373">
        <f t="shared" si="0"/>
        <v>2023.12</v>
      </c>
      <c r="B201" s="1899">
        <v>555285</v>
      </c>
      <c r="C201" s="722">
        <v>8428071</v>
      </c>
      <c r="D201" s="3085">
        <v>1634487</v>
      </c>
      <c r="E201" s="389">
        <v>6793584</v>
      </c>
      <c r="F201" s="1899">
        <v>524804.39879066183</v>
      </c>
      <c r="G201" s="759">
        <v>647022.48</v>
      </c>
      <c r="H201" s="376">
        <v>841141.56067055184</v>
      </c>
    </row>
    <row r="202" spans="1:8" ht="12.75" customHeight="1">
      <c r="A202" s="373">
        <f t="shared" si="0"/>
        <v>2024.01</v>
      </c>
      <c r="B202" s="1899">
        <v>553443</v>
      </c>
      <c r="C202" s="722">
        <v>8388104</v>
      </c>
      <c r="D202" s="3085">
        <v>1607921</v>
      </c>
      <c r="E202" s="389">
        <v>6780183</v>
      </c>
      <c r="F202" s="1899">
        <v>318403</v>
      </c>
      <c r="G202" s="759">
        <v>547961.31999999995</v>
      </c>
      <c r="H202" s="376">
        <v>756262.77</v>
      </c>
    </row>
    <row r="203" spans="1:8" ht="12.75" customHeight="1">
      <c r="A203" s="373">
        <f t="shared" si="0"/>
        <v>2024.02</v>
      </c>
      <c r="B203" s="1899">
        <v>545746</v>
      </c>
      <c r="C203" s="722">
        <v>8318932</v>
      </c>
      <c r="D203" s="3085">
        <v>1559396</v>
      </c>
      <c r="E203" s="389">
        <v>6759536</v>
      </c>
      <c r="F203" s="1899">
        <v>242218</v>
      </c>
      <c r="G203" s="759">
        <v>618067.87</v>
      </c>
      <c r="H203" s="376">
        <v>858752.2</v>
      </c>
    </row>
    <row r="204" spans="1:8" ht="12.75" customHeight="1">
      <c r="A204" s="373">
        <f t="shared" si="0"/>
        <v>2024.03</v>
      </c>
      <c r="B204" s="1899">
        <v>542428</v>
      </c>
      <c r="C204" s="722">
        <v>8311391</v>
      </c>
      <c r="D204" s="3085">
        <v>1564003</v>
      </c>
      <c r="E204" s="389">
        <v>6747388</v>
      </c>
      <c r="F204" s="1899">
        <v>248909</v>
      </c>
      <c r="G204" s="759">
        <v>681345.48</v>
      </c>
      <c r="H204" s="376">
        <v>948619.51</v>
      </c>
    </row>
    <row r="205" spans="1:8" ht="12.75" customHeight="1">
      <c r="A205" s="373">
        <f t="shared" si="0"/>
        <v>2024.04</v>
      </c>
      <c r="B205" s="1899">
        <v>543397</v>
      </c>
      <c r="C205" s="722">
        <v>8281137</v>
      </c>
      <c r="D205" s="3085">
        <v>1556560</v>
      </c>
      <c r="E205" s="389">
        <v>6724577</v>
      </c>
      <c r="F205" s="1899">
        <v>278560</v>
      </c>
      <c r="G205" s="759">
        <v>786240.88</v>
      </c>
      <c r="H205" s="376">
        <v>1056108.28</v>
      </c>
    </row>
    <row r="206" spans="1:8" ht="12.75" customHeight="1">
      <c r="A206" s="373">
        <f t="shared" si="0"/>
        <v>2024.05</v>
      </c>
      <c r="B206" s="1899">
        <v>542530</v>
      </c>
      <c r="C206" s="722">
        <v>8233951</v>
      </c>
      <c r="D206" s="3085">
        <v>1569009</v>
      </c>
      <c r="E206" s="389">
        <v>6664942</v>
      </c>
      <c r="F206" s="1899">
        <v>287912</v>
      </c>
      <c r="G206" s="3511">
        <v>826613.25</v>
      </c>
      <c r="H206" s="3512">
        <v>1076308.1200000001</v>
      </c>
    </row>
    <row r="207" spans="1:8" ht="12.75" customHeight="1">
      <c r="A207" s="373">
        <f t="shared" si="0"/>
        <v>2024.06</v>
      </c>
      <c r="B207" s="1899">
        <v>540042</v>
      </c>
      <c r="C207" s="722">
        <v>8188593</v>
      </c>
      <c r="D207" s="3085">
        <v>1565098</v>
      </c>
      <c r="E207" s="389">
        <v>6623495</v>
      </c>
      <c r="F207" s="1899">
        <v>304435</v>
      </c>
      <c r="G207" s="3511">
        <v>1258946.46</v>
      </c>
      <c r="H207" s="3512">
        <v>1627921.11</v>
      </c>
    </row>
    <row r="208" spans="1:8" ht="12.75" customHeight="1">
      <c r="A208" s="373">
        <f t="shared" si="0"/>
        <v>2024.07</v>
      </c>
      <c r="B208" s="1899">
        <v>537323</v>
      </c>
      <c r="C208" s="722">
        <v>8169515</v>
      </c>
      <c r="D208" s="3085">
        <v>1575524</v>
      </c>
      <c r="E208" s="389">
        <v>6593991</v>
      </c>
      <c r="F208" s="1899">
        <v>458981</v>
      </c>
      <c r="G208" s="3511">
        <v>934832.67</v>
      </c>
      <c r="H208" s="3512">
        <v>1219985.98</v>
      </c>
    </row>
    <row r="209" spans="1:8" ht="12.75" customHeight="1">
      <c r="A209" s="373">
        <f t="shared" si="0"/>
        <v>2024.08</v>
      </c>
      <c r="B209" s="1899">
        <v>537337</v>
      </c>
      <c r="C209" s="722">
        <v>8173627</v>
      </c>
      <c r="D209" s="3085">
        <v>1559352</v>
      </c>
      <c r="E209" s="389">
        <v>6614275</v>
      </c>
      <c r="F209" s="1899">
        <v>352515</v>
      </c>
      <c r="G209" s="3511">
        <v>969201.68</v>
      </c>
      <c r="H209" s="3512">
        <v>1259402.45</v>
      </c>
    </row>
    <row r="210" spans="1:8" ht="12.75" customHeight="1">
      <c r="A210" s="373">
        <f t="shared" si="0"/>
        <v>2024.09</v>
      </c>
      <c r="B210" s="1899">
        <v>539084</v>
      </c>
      <c r="C210" s="722">
        <v>8173431</v>
      </c>
      <c r="D210" s="3085">
        <v>1550334</v>
      </c>
      <c r="E210" s="389">
        <v>6623097</v>
      </c>
      <c r="F210" s="1899">
        <v>392031</v>
      </c>
      <c r="G210" s="3511">
        <v>1000000</v>
      </c>
      <c r="H210" s="3512">
        <v>1304851.68</v>
      </c>
    </row>
    <row r="211" spans="1:8" ht="12.75" customHeight="1">
      <c r="A211" s="373">
        <f t="shared" si="0"/>
        <v>2024.1</v>
      </c>
      <c r="B211" s="1899">
        <v>553664</v>
      </c>
      <c r="C211" s="722">
        <v>8376280</v>
      </c>
      <c r="D211" s="3085">
        <v>1602360</v>
      </c>
      <c r="E211" s="389">
        <v>6773920</v>
      </c>
      <c r="F211" s="1899">
        <v>432780</v>
      </c>
      <c r="G211" s="3511">
        <v>1063794.53</v>
      </c>
      <c r="H211" s="3512">
        <v>1377186.77</v>
      </c>
    </row>
    <row r="212" spans="1:8" ht="12.75" customHeight="1">
      <c r="A212" s="373">
        <f t="shared" si="0"/>
        <v>2024.11</v>
      </c>
      <c r="B212" s="1899">
        <v>554893</v>
      </c>
      <c r="C212" s="722">
        <v>8412064</v>
      </c>
      <c r="D212" s="3085">
        <v>1626312</v>
      </c>
      <c r="E212" s="389">
        <v>6785752</v>
      </c>
      <c r="F212" s="1899">
        <v>473426</v>
      </c>
      <c r="G212" s="3511">
        <v>1077200</v>
      </c>
      <c r="H212" s="3512">
        <v>1411428.28</v>
      </c>
    </row>
    <row r="213" spans="1:8" ht="12.75" customHeight="1">
      <c r="A213" s="373">
        <f t="shared" si="0"/>
        <v>2024.12</v>
      </c>
      <c r="B213" s="1899">
        <v>555285</v>
      </c>
      <c r="C213" s="722">
        <v>8428071</v>
      </c>
      <c r="D213" s="3085">
        <v>1634487</v>
      </c>
      <c r="E213" s="389">
        <v>6793584</v>
      </c>
      <c r="F213" s="1899">
        <v>524804</v>
      </c>
      <c r="G213" s="3511">
        <v>1640801.15</v>
      </c>
      <c r="H213" s="3512">
        <v>2126874.46</v>
      </c>
    </row>
    <row r="214" spans="1:8" ht="12.75" customHeight="1">
      <c r="A214" s="373">
        <f t="shared" si="0"/>
        <v>2025.01</v>
      </c>
      <c r="B214" s="1899" t="e">
        <v>#N/A</v>
      </c>
      <c r="C214" s="722" t="e">
        <v>#N/A</v>
      </c>
      <c r="D214" s="3085" t="e">
        <v>#N/A</v>
      </c>
      <c r="E214" s="389" t="e">
        <v>#N/A</v>
      </c>
      <c r="F214" s="1899" t="e">
        <v>#N/A</v>
      </c>
      <c r="G214" s="3511">
        <v>1161529.48</v>
      </c>
      <c r="H214" s="3512">
        <v>1598083.32</v>
      </c>
    </row>
    <row r="215" spans="1:8" ht="12.75" customHeight="1">
      <c r="A215" s="373">
        <f t="shared" si="0"/>
        <v>2025.02</v>
      </c>
      <c r="B215" s="1899" t="e">
        <v>#N/A</v>
      </c>
      <c r="C215" s="722" t="e">
        <v>#N/A</v>
      </c>
      <c r="D215" s="3085" t="e">
        <v>#N/A</v>
      </c>
      <c r="E215" s="389" t="e">
        <v>#N/A</v>
      </c>
      <c r="F215" s="1899" t="e">
        <v>#N/A</v>
      </c>
      <c r="G215" s="3511">
        <v>1172386.7614624703</v>
      </c>
      <c r="H215" s="3512">
        <v>1599507.4364971744</v>
      </c>
    </row>
    <row r="216" spans="1:8" ht="12.75" customHeight="1">
      <c r="A216" s="373">
        <f t="shared" si="0"/>
        <v>2025.03</v>
      </c>
      <c r="B216" s="1899" t="e">
        <v>#N/A</v>
      </c>
      <c r="C216" s="722" t="e">
        <v>#N/A</v>
      </c>
      <c r="D216" s="3085" t="e">
        <v>#N/A</v>
      </c>
      <c r="E216" s="389" t="e">
        <v>#N/A</v>
      </c>
      <c r="F216" s="1899" t="e">
        <v>#N/A</v>
      </c>
      <c r="G216" s="759" t="e">
        <v>#N/A</v>
      </c>
      <c r="H216" s="376" t="e">
        <v>#N/A</v>
      </c>
    </row>
    <row r="217" spans="1:8" ht="12.75" customHeight="1">
      <c r="A217" s="373">
        <f>A205+1</f>
        <v>2025.04</v>
      </c>
      <c r="B217" s="1899" t="e">
        <v>#N/A</v>
      </c>
      <c r="C217" s="722" t="e">
        <v>#N/A</v>
      </c>
      <c r="D217" s="3085" t="e">
        <v>#N/A</v>
      </c>
      <c r="E217" s="389" t="e">
        <v>#N/A</v>
      </c>
      <c r="F217" s="1899" t="e">
        <v>#N/A</v>
      </c>
      <c r="G217" s="759" t="e">
        <v>#N/A</v>
      </c>
      <c r="H217" s="376" t="e">
        <v>#N/A</v>
      </c>
    </row>
    <row r="218" spans="1:8" ht="12.75" customHeight="1">
      <c r="A218" s="373">
        <f t="shared" si="0"/>
        <v>2025.05</v>
      </c>
      <c r="B218" s="1899" t="e">
        <v>#N/A</v>
      </c>
      <c r="C218" s="722" t="e">
        <v>#N/A</v>
      </c>
      <c r="D218" s="3085" t="e">
        <v>#N/A</v>
      </c>
      <c r="E218" s="389" t="e">
        <v>#N/A</v>
      </c>
      <c r="F218" s="1899" t="e">
        <v>#N/A</v>
      </c>
      <c r="G218" s="759" t="e">
        <v>#N/A</v>
      </c>
      <c r="H218" s="376" t="e">
        <v>#N/A</v>
      </c>
    </row>
    <row r="219" spans="1:8" ht="12.75" customHeight="1">
      <c r="A219" s="373">
        <f t="shared" si="0"/>
        <v>2025.06</v>
      </c>
      <c r="B219" s="1899" t="e">
        <v>#N/A</v>
      </c>
      <c r="C219" s="722" t="e">
        <v>#N/A</v>
      </c>
      <c r="D219" s="3085" t="e">
        <v>#N/A</v>
      </c>
      <c r="E219" s="389" t="e">
        <v>#N/A</v>
      </c>
      <c r="F219" s="1899" t="e">
        <v>#N/A</v>
      </c>
      <c r="G219" s="759" t="e">
        <v>#N/A</v>
      </c>
      <c r="H219" s="376" t="e">
        <v>#N/A</v>
      </c>
    </row>
    <row r="220" spans="1:8" ht="12.75" customHeight="1">
      <c r="A220" s="373">
        <f t="shared" si="0"/>
        <v>2025.07</v>
      </c>
      <c r="B220" s="1899" t="e">
        <v>#N/A</v>
      </c>
      <c r="C220" s="722" t="e">
        <v>#N/A</v>
      </c>
      <c r="D220" s="3085" t="e">
        <v>#N/A</v>
      </c>
      <c r="E220" s="389" t="e">
        <v>#N/A</v>
      </c>
      <c r="F220" s="1899" t="e">
        <v>#N/A</v>
      </c>
      <c r="G220" s="759" t="e">
        <v>#N/A</v>
      </c>
      <c r="H220" s="376" t="e">
        <v>#N/A</v>
      </c>
    </row>
    <row r="221" spans="1:8" ht="12.75" customHeight="1">
      <c r="A221" s="373">
        <f t="shared" si="0"/>
        <v>2025.08</v>
      </c>
      <c r="B221" s="1899" t="e">
        <v>#N/A</v>
      </c>
      <c r="C221" s="722" t="e">
        <v>#N/A</v>
      </c>
      <c r="D221" s="3085" t="e">
        <v>#N/A</v>
      </c>
      <c r="E221" s="389" t="e">
        <v>#N/A</v>
      </c>
      <c r="F221" s="1899" t="e">
        <v>#N/A</v>
      </c>
      <c r="G221" s="759" t="e">
        <v>#N/A</v>
      </c>
      <c r="H221" s="376" t="e">
        <v>#N/A</v>
      </c>
    </row>
    <row r="222" spans="1:8" ht="12.75" customHeight="1">
      <c r="A222" s="373">
        <f t="shared" si="0"/>
        <v>2025.09</v>
      </c>
      <c r="B222" s="1899" t="e">
        <v>#N/A</v>
      </c>
      <c r="C222" s="722" t="e">
        <v>#N/A</v>
      </c>
      <c r="D222" s="3085" t="e">
        <v>#N/A</v>
      </c>
      <c r="E222" s="389" t="e">
        <v>#N/A</v>
      </c>
      <c r="F222" s="1899" t="e">
        <v>#N/A</v>
      </c>
      <c r="G222" s="759" t="e">
        <v>#N/A</v>
      </c>
      <c r="H222" s="376" t="e">
        <v>#N/A</v>
      </c>
    </row>
    <row r="223" spans="1:8" ht="12.75" customHeight="1">
      <c r="A223" s="373">
        <f>A211+1</f>
        <v>2025.1</v>
      </c>
      <c r="B223" s="1899" t="e">
        <v>#N/A</v>
      </c>
      <c r="C223" s="722" t="e">
        <v>#N/A</v>
      </c>
      <c r="D223" s="3085" t="e">
        <v>#N/A</v>
      </c>
      <c r="E223" s="389" t="e">
        <v>#N/A</v>
      </c>
      <c r="F223" s="1899" t="e">
        <v>#N/A</v>
      </c>
      <c r="G223" s="759" t="e">
        <v>#N/A</v>
      </c>
      <c r="H223" s="376" t="e">
        <v>#N/A</v>
      </c>
    </row>
    <row r="224" spans="1:8" ht="12.75" customHeight="1">
      <c r="A224" s="373">
        <f t="shared" si="0"/>
        <v>2025.11</v>
      </c>
      <c r="B224" s="1899" t="e">
        <v>#N/A</v>
      </c>
      <c r="C224" s="722" t="e">
        <v>#N/A</v>
      </c>
      <c r="D224" s="3085" t="e">
        <v>#N/A</v>
      </c>
      <c r="E224" s="389" t="e">
        <v>#N/A</v>
      </c>
      <c r="F224" s="1899" t="e">
        <v>#N/A</v>
      </c>
      <c r="G224" s="759" t="e">
        <v>#N/A</v>
      </c>
      <c r="H224" s="376" t="e">
        <v>#N/A</v>
      </c>
    </row>
    <row r="225" spans="1:8" ht="12.75" customHeight="1">
      <c r="A225" s="373">
        <f t="shared" si="0"/>
        <v>2025.12</v>
      </c>
      <c r="B225" s="1899" t="e">
        <v>#N/A</v>
      </c>
      <c r="C225" s="722" t="e">
        <v>#N/A</v>
      </c>
      <c r="D225" s="3085" t="e">
        <v>#N/A</v>
      </c>
      <c r="E225" s="389" t="e">
        <v>#N/A</v>
      </c>
      <c r="F225" s="1899" t="e">
        <v>#N/A</v>
      </c>
      <c r="G225" s="759" t="e">
        <v>#N/A</v>
      </c>
      <c r="H225" s="376" t="e">
        <v>#N/A</v>
      </c>
    </row>
    <row r="226" spans="1:8" ht="12.75" customHeight="1">
      <c r="A226" s="373">
        <f t="shared" si="0"/>
        <v>2026.01</v>
      </c>
      <c r="B226" s="1899" t="e">
        <v>#N/A</v>
      </c>
      <c r="C226" s="722" t="e">
        <v>#N/A</v>
      </c>
      <c r="D226" s="3085" t="e">
        <v>#N/A</v>
      </c>
      <c r="E226" s="389" t="e">
        <v>#N/A</v>
      </c>
      <c r="F226" s="1899" t="e">
        <v>#N/A</v>
      </c>
      <c r="G226" s="759" t="e">
        <v>#N/A</v>
      </c>
      <c r="H226" s="376" t="e">
        <v>#N/A</v>
      </c>
    </row>
    <row r="227" spans="1:8" ht="12.75" customHeight="1">
      <c r="A227" s="373">
        <f t="shared" si="0"/>
        <v>2026.02</v>
      </c>
      <c r="B227" s="1899" t="e">
        <v>#N/A</v>
      </c>
      <c r="C227" s="722" t="e">
        <v>#N/A</v>
      </c>
      <c r="D227" s="3085" t="e">
        <v>#N/A</v>
      </c>
      <c r="E227" s="389" t="e">
        <v>#N/A</v>
      </c>
      <c r="F227" s="1899" t="e">
        <v>#N/A</v>
      </c>
      <c r="G227" s="759" t="e">
        <v>#N/A</v>
      </c>
      <c r="H227" s="376" t="e">
        <v>#N/A</v>
      </c>
    </row>
    <row r="228" spans="1:8" ht="12.75" customHeight="1">
      <c r="A228" s="373">
        <f t="shared" si="0"/>
        <v>2026.03</v>
      </c>
      <c r="B228" s="1899" t="e">
        <v>#N/A</v>
      </c>
      <c r="C228" s="722" t="e">
        <v>#N/A</v>
      </c>
      <c r="D228" s="3085" t="e">
        <v>#N/A</v>
      </c>
      <c r="E228" s="389" t="e">
        <v>#N/A</v>
      </c>
      <c r="F228" s="1899" t="e">
        <v>#N/A</v>
      </c>
      <c r="G228" s="759" t="e">
        <v>#N/A</v>
      </c>
      <c r="H228" s="376" t="e">
        <v>#N/A</v>
      </c>
    </row>
    <row r="229" spans="1:8" ht="12.75" customHeight="1">
      <c r="A229" s="373">
        <f t="shared" si="0"/>
        <v>2026.04</v>
      </c>
      <c r="B229" s="1899" t="e">
        <v>#N/A</v>
      </c>
      <c r="C229" s="722" t="e">
        <v>#N/A</v>
      </c>
      <c r="D229" s="3085" t="e">
        <v>#N/A</v>
      </c>
      <c r="E229" s="389" t="e">
        <v>#N/A</v>
      </c>
      <c r="F229" s="1899" t="e">
        <v>#N/A</v>
      </c>
      <c r="G229" s="759" t="e">
        <v>#N/A</v>
      </c>
      <c r="H229" s="376" t="e">
        <v>#N/A</v>
      </c>
    </row>
    <row r="230" spans="1:8" ht="12.75" customHeight="1">
      <c r="A230" s="373">
        <f t="shared" si="0"/>
        <v>2026.05</v>
      </c>
      <c r="B230" s="1899" t="e">
        <v>#N/A</v>
      </c>
      <c r="C230" s="722" t="e">
        <v>#N/A</v>
      </c>
      <c r="D230" s="3085" t="e">
        <v>#N/A</v>
      </c>
      <c r="E230" s="389" t="e">
        <v>#N/A</v>
      </c>
      <c r="F230" s="1899" t="e">
        <v>#N/A</v>
      </c>
      <c r="G230" s="759" t="e">
        <v>#N/A</v>
      </c>
      <c r="H230" s="376" t="e">
        <v>#N/A</v>
      </c>
    </row>
    <row r="231" spans="1:8" ht="12.75" customHeight="1">
      <c r="A231" s="373">
        <f t="shared" ref="A231:A285" si="1">A219+1</f>
        <v>2026.06</v>
      </c>
      <c r="B231" s="1899" t="e">
        <v>#N/A</v>
      </c>
      <c r="C231" s="722" t="e">
        <v>#N/A</v>
      </c>
      <c r="D231" s="3085" t="e">
        <v>#N/A</v>
      </c>
      <c r="E231" s="389" t="e">
        <v>#N/A</v>
      </c>
      <c r="F231" s="1899" t="e">
        <v>#N/A</v>
      </c>
      <c r="G231" s="759" t="e">
        <v>#N/A</v>
      </c>
      <c r="H231" s="376" t="e">
        <v>#N/A</v>
      </c>
    </row>
    <row r="232" spans="1:8" ht="12.75" customHeight="1">
      <c r="A232" s="373">
        <f t="shared" si="1"/>
        <v>2026.07</v>
      </c>
      <c r="B232" s="1899" t="e">
        <v>#N/A</v>
      </c>
      <c r="C232" s="722" t="e">
        <v>#N/A</v>
      </c>
      <c r="D232" s="3085" t="e">
        <v>#N/A</v>
      </c>
      <c r="E232" s="389" t="e">
        <v>#N/A</v>
      </c>
      <c r="F232" s="1899" t="e">
        <v>#N/A</v>
      </c>
      <c r="G232" s="759" t="e">
        <v>#N/A</v>
      </c>
      <c r="H232" s="376" t="e">
        <v>#N/A</v>
      </c>
    </row>
    <row r="233" spans="1:8" ht="12.75" customHeight="1">
      <c r="A233" s="373">
        <f t="shared" si="1"/>
        <v>2026.08</v>
      </c>
      <c r="B233" s="1899" t="e">
        <v>#N/A</v>
      </c>
      <c r="C233" s="722" t="e">
        <v>#N/A</v>
      </c>
      <c r="D233" s="3085" t="e">
        <v>#N/A</v>
      </c>
      <c r="E233" s="389" t="e">
        <v>#N/A</v>
      </c>
      <c r="F233" s="1899" t="e">
        <v>#N/A</v>
      </c>
      <c r="G233" s="759" t="e">
        <v>#N/A</v>
      </c>
      <c r="H233" s="376" t="e">
        <v>#N/A</v>
      </c>
    </row>
    <row r="234" spans="1:8" ht="12.75" customHeight="1">
      <c r="A234" s="373">
        <f t="shared" si="1"/>
        <v>2026.09</v>
      </c>
      <c r="B234" s="1899" t="e">
        <v>#N/A</v>
      </c>
      <c r="C234" s="722" t="e">
        <v>#N/A</v>
      </c>
      <c r="D234" s="3085" t="e">
        <v>#N/A</v>
      </c>
      <c r="E234" s="389" t="e">
        <v>#N/A</v>
      </c>
      <c r="F234" s="1899" t="e">
        <v>#N/A</v>
      </c>
      <c r="G234" s="759" t="e">
        <v>#N/A</v>
      </c>
      <c r="H234" s="376" t="e">
        <v>#N/A</v>
      </c>
    </row>
    <row r="235" spans="1:8" ht="12.75" customHeight="1">
      <c r="A235" s="373">
        <f t="shared" si="1"/>
        <v>2026.1</v>
      </c>
      <c r="B235" s="1899" t="e">
        <v>#N/A</v>
      </c>
      <c r="C235" s="722" t="e">
        <v>#N/A</v>
      </c>
      <c r="D235" s="3085" t="e">
        <v>#N/A</v>
      </c>
      <c r="E235" s="389" t="e">
        <v>#N/A</v>
      </c>
      <c r="F235" s="1899" t="e">
        <v>#N/A</v>
      </c>
      <c r="G235" s="759" t="e">
        <v>#N/A</v>
      </c>
      <c r="H235" s="376" t="e">
        <v>#N/A</v>
      </c>
    </row>
    <row r="236" spans="1:8" ht="12.75" customHeight="1">
      <c r="A236" s="373">
        <f t="shared" si="1"/>
        <v>2026.11</v>
      </c>
      <c r="B236" s="1899" t="e">
        <v>#N/A</v>
      </c>
      <c r="C236" s="722" t="e">
        <v>#N/A</v>
      </c>
      <c r="D236" s="3085" t="e">
        <v>#N/A</v>
      </c>
      <c r="E236" s="389" t="e">
        <v>#N/A</v>
      </c>
      <c r="F236" s="1899" t="e">
        <v>#N/A</v>
      </c>
      <c r="G236" s="759" t="e">
        <v>#N/A</v>
      </c>
      <c r="H236" s="376" t="e">
        <v>#N/A</v>
      </c>
    </row>
    <row r="237" spans="1:8" ht="12.75" customHeight="1">
      <c r="A237" s="373">
        <f t="shared" si="1"/>
        <v>2026.12</v>
      </c>
      <c r="B237" s="1899" t="e">
        <v>#N/A</v>
      </c>
      <c r="C237" s="722" t="e">
        <v>#N/A</v>
      </c>
      <c r="D237" s="3085" t="e">
        <v>#N/A</v>
      </c>
      <c r="E237" s="389" t="e">
        <v>#N/A</v>
      </c>
      <c r="F237" s="1899" t="e">
        <v>#N/A</v>
      </c>
      <c r="G237" s="759" t="e">
        <v>#N/A</v>
      </c>
      <c r="H237" s="376" t="e">
        <v>#N/A</v>
      </c>
    </row>
    <row r="238" spans="1:8" ht="12.75" customHeight="1">
      <c r="A238" s="373">
        <f t="shared" si="1"/>
        <v>2027.01</v>
      </c>
      <c r="B238" s="1899" t="e">
        <v>#N/A</v>
      </c>
      <c r="C238" s="722" t="e">
        <v>#N/A</v>
      </c>
      <c r="D238" s="3085" t="e">
        <v>#N/A</v>
      </c>
      <c r="E238" s="389" t="e">
        <v>#N/A</v>
      </c>
      <c r="F238" s="1899" t="e">
        <v>#N/A</v>
      </c>
      <c r="G238" s="759" t="e">
        <v>#N/A</v>
      </c>
      <c r="H238" s="376" t="e">
        <v>#N/A</v>
      </c>
    </row>
    <row r="239" spans="1:8" ht="12.75" customHeight="1">
      <c r="A239" s="373">
        <f t="shared" si="1"/>
        <v>2027.02</v>
      </c>
      <c r="B239" s="1899" t="e">
        <v>#N/A</v>
      </c>
      <c r="C239" s="722" t="e">
        <v>#N/A</v>
      </c>
      <c r="D239" s="3085" t="e">
        <v>#N/A</v>
      </c>
      <c r="E239" s="389" t="e">
        <v>#N/A</v>
      </c>
      <c r="F239" s="1899" t="e">
        <v>#N/A</v>
      </c>
      <c r="G239" s="759" t="e">
        <v>#N/A</v>
      </c>
      <c r="H239" s="376" t="e">
        <v>#N/A</v>
      </c>
    </row>
    <row r="240" spans="1:8" ht="12.75" customHeight="1">
      <c r="A240" s="373">
        <f t="shared" si="1"/>
        <v>2027.03</v>
      </c>
      <c r="B240" s="1899" t="e">
        <v>#N/A</v>
      </c>
      <c r="C240" s="722" t="e">
        <v>#N/A</v>
      </c>
      <c r="D240" s="3085" t="e">
        <v>#N/A</v>
      </c>
      <c r="E240" s="389" t="e">
        <v>#N/A</v>
      </c>
      <c r="F240" s="1899" t="e">
        <v>#N/A</v>
      </c>
      <c r="G240" s="759" t="e">
        <v>#N/A</v>
      </c>
      <c r="H240" s="376" t="e">
        <v>#N/A</v>
      </c>
    </row>
    <row r="241" spans="1:8" ht="12.75" customHeight="1">
      <c r="A241" s="373">
        <f t="shared" si="1"/>
        <v>2027.04</v>
      </c>
      <c r="B241" s="1899" t="e">
        <v>#N/A</v>
      </c>
      <c r="C241" s="722" t="e">
        <v>#N/A</v>
      </c>
      <c r="D241" s="3085" t="e">
        <v>#N/A</v>
      </c>
      <c r="E241" s="389" t="e">
        <v>#N/A</v>
      </c>
      <c r="F241" s="1899" t="e">
        <v>#N/A</v>
      </c>
      <c r="G241" s="759" t="e">
        <v>#N/A</v>
      </c>
      <c r="H241" s="376" t="e">
        <v>#N/A</v>
      </c>
    </row>
    <row r="242" spans="1:8" ht="12.75" customHeight="1">
      <c r="A242" s="373">
        <f t="shared" si="1"/>
        <v>2027.05</v>
      </c>
      <c r="B242" s="1899" t="e">
        <v>#N/A</v>
      </c>
      <c r="C242" s="722" t="e">
        <v>#N/A</v>
      </c>
      <c r="D242" s="3085" t="e">
        <v>#N/A</v>
      </c>
      <c r="E242" s="389" t="e">
        <v>#N/A</v>
      </c>
      <c r="F242" s="1899" t="e">
        <v>#N/A</v>
      </c>
      <c r="G242" s="759" t="e">
        <v>#N/A</v>
      </c>
      <c r="H242" s="376" t="e">
        <v>#N/A</v>
      </c>
    </row>
    <row r="243" spans="1:8" ht="12.75" customHeight="1">
      <c r="A243" s="373">
        <f t="shared" si="1"/>
        <v>2027.06</v>
      </c>
      <c r="B243" s="1899" t="e">
        <v>#N/A</v>
      </c>
      <c r="C243" s="722" t="e">
        <v>#N/A</v>
      </c>
      <c r="D243" s="3085" t="e">
        <v>#N/A</v>
      </c>
      <c r="E243" s="389" t="e">
        <v>#N/A</v>
      </c>
      <c r="F243" s="1899" t="e">
        <v>#N/A</v>
      </c>
      <c r="G243" s="759" t="e">
        <v>#N/A</v>
      </c>
      <c r="H243" s="376" t="e">
        <v>#N/A</v>
      </c>
    </row>
    <row r="244" spans="1:8" ht="12.75" customHeight="1">
      <c r="A244" s="373">
        <f t="shared" si="1"/>
        <v>2027.07</v>
      </c>
      <c r="B244" s="1899" t="e">
        <v>#N/A</v>
      </c>
      <c r="C244" s="722" t="e">
        <v>#N/A</v>
      </c>
      <c r="D244" s="3085" t="e">
        <v>#N/A</v>
      </c>
      <c r="E244" s="389" t="e">
        <v>#N/A</v>
      </c>
      <c r="F244" s="1899" t="e">
        <v>#N/A</v>
      </c>
      <c r="G244" s="759" t="e">
        <v>#N/A</v>
      </c>
      <c r="H244" s="376" t="e">
        <v>#N/A</v>
      </c>
    </row>
    <row r="245" spans="1:8" ht="12.75" customHeight="1">
      <c r="A245" s="373">
        <f t="shared" si="1"/>
        <v>2027.08</v>
      </c>
      <c r="B245" s="1899" t="e">
        <v>#N/A</v>
      </c>
      <c r="C245" s="722" t="e">
        <v>#N/A</v>
      </c>
      <c r="D245" s="3085" t="e">
        <v>#N/A</v>
      </c>
      <c r="E245" s="389" t="e">
        <v>#N/A</v>
      </c>
      <c r="F245" s="1899" t="e">
        <v>#N/A</v>
      </c>
      <c r="G245" s="759" t="e">
        <v>#N/A</v>
      </c>
      <c r="H245" s="376" t="e">
        <v>#N/A</v>
      </c>
    </row>
    <row r="246" spans="1:8" ht="12.75" customHeight="1">
      <c r="A246" s="373">
        <f t="shared" si="1"/>
        <v>2027.09</v>
      </c>
      <c r="B246" s="1899" t="e">
        <v>#N/A</v>
      </c>
      <c r="C246" s="722" t="e">
        <v>#N/A</v>
      </c>
      <c r="D246" s="3085" t="e">
        <v>#N/A</v>
      </c>
      <c r="E246" s="389" t="e">
        <v>#N/A</v>
      </c>
      <c r="F246" s="1899" t="e">
        <v>#N/A</v>
      </c>
      <c r="G246" s="759" t="e">
        <v>#N/A</v>
      </c>
      <c r="H246" s="376" t="e">
        <v>#N/A</v>
      </c>
    </row>
    <row r="247" spans="1:8" ht="12.75" customHeight="1">
      <c r="A247" s="373">
        <f t="shared" si="1"/>
        <v>2027.1</v>
      </c>
      <c r="B247" s="1899" t="e">
        <v>#N/A</v>
      </c>
      <c r="C247" s="722" t="e">
        <v>#N/A</v>
      </c>
      <c r="D247" s="3085" t="e">
        <v>#N/A</v>
      </c>
      <c r="E247" s="389" t="e">
        <v>#N/A</v>
      </c>
      <c r="F247" s="1899" t="e">
        <v>#N/A</v>
      </c>
      <c r="G247" s="759" t="e">
        <v>#N/A</v>
      </c>
      <c r="H247" s="376" t="e">
        <v>#N/A</v>
      </c>
    </row>
    <row r="248" spans="1:8" ht="12.75" customHeight="1">
      <c r="A248" s="373">
        <f t="shared" si="1"/>
        <v>2027.11</v>
      </c>
      <c r="B248" s="1899" t="e">
        <v>#N/A</v>
      </c>
      <c r="C248" s="722" t="e">
        <v>#N/A</v>
      </c>
      <c r="D248" s="3085" t="e">
        <v>#N/A</v>
      </c>
      <c r="E248" s="389" t="e">
        <v>#N/A</v>
      </c>
      <c r="F248" s="1899" t="e">
        <v>#N/A</v>
      </c>
      <c r="G248" s="759" t="e">
        <v>#N/A</v>
      </c>
      <c r="H248" s="376" t="e">
        <v>#N/A</v>
      </c>
    </row>
    <row r="249" spans="1:8" ht="12.75" customHeight="1">
      <c r="A249" s="373">
        <f t="shared" si="1"/>
        <v>2027.12</v>
      </c>
      <c r="B249" s="1899" t="e">
        <v>#N/A</v>
      </c>
      <c r="C249" s="722" t="e">
        <v>#N/A</v>
      </c>
      <c r="D249" s="3085" t="e">
        <v>#N/A</v>
      </c>
      <c r="E249" s="389" t="e">
        <v>#N/A</v>
      </c>
      <c r="F249" s="1899" t="e">
        <v>#N/A</v>
      </c>
      <c r="G249" s="759" t="e">
        <v>#N/A</v>
      </c>
      <c r="H249" s="376" t="e">
        <v>#N/A</v>
      </c>
    </row>
    <row r="250" spans="1:8" ht="12.75" customHeight="1">
      <c r="A250" s="373">
        <f t="shared" si="1"/>
        <v>2028.01</v>
      </c>
      <c r="B250" s="1899" t="e">
        <v>#N/A</v>
      </c>
      <c r="C250" s="722" t="e">
        <v>#N/A</v>
      </c>
      <c r="D250" s="3085" t="e">
        <v>#N/A</v>
      </c>
      <c r="E250" s="389" t="e">
        <v>#N/A</v>
      </c>
      <c r="F250" s="1899" t="e">
        <v>#N/A</v>
      </c>
      <c r="G250" s="759" t="e">
        <v>#N/A</v>
      </c>
      <c r="H250" s="376" t="e">
        <v>#N/A</v>
      </c>
    </row>
    <row r="251" spans="1:8" ht="12.75" customHeight="1">
      <c r="A251" s="373">
        <f t="shared" si="1"/>
        <v>2028.02</v>
      </c>
      <c r="B251" s="1899" t="e">
        <v>#N/A</v>
      </c>
      <c r="C251" s="722" t="e">
        <v>#N/A</v>
      </c>
      <c r="D251" s="3085" t="e">
        <v>#N/A</v>
      </c>
      <c r="E251" s="389" t="e">
        <v>#N/A</v>
      </c>
      <c r="F251" s="1899" t="e">
        <v>#N/A</v>
      </c>
      <c r="G251" s="759" t="e">
        <v>#N/A</v>
      </c>
      <c r="H251" s="376" t="e">
        <v>#N/A</v>
      </c>
    </row>
    <row r="252" spans="1:8" ht="12.75" customHeight="1">
      <c r="A252" s="373">
        <f t="shared" si="1"/>
        <v>2028.03</v>
      </c>
      <c r="B252" s="1899" t="e">
        <v>#N/A</v>
      </c>
      <c r="C252" s="722" t="e">
        <v>#N/A</v>
      </c>
      <c r="D252" s="3085" t="e">
        <v>#N/A</v>
      </c>
      <c r="E252" s="389" t="e">
        <v>#N/A</v>
      </c>
      <c r="F252" s="1899" t="e">
        <v>#N/A</v>
      </c>
      <c r="G252" s="759" t="e">
        <v>#N/A</v>
      </c>
      <c r="H252" s="376" t="e">
        <v>#N/A</v>
      </c>
    </row>
    <row r="253" spans="1:8" ht="12.75" customHeight="1">
      <c r="A253" s="373">
        <f t="shared" si="1"/>
        <v>2028.04</v>
      </c>
      <c r="B253" s="1899" t="e">
        <v>#N/A</v>
      </c>
      <c r="C253" s="722" t="e">
        <v>#N/A</v>
      </c>
      <c r="D253" s="3085" t="e">
        <v>#N/A</v>
      </c>
      <c r="E253" s="389" t="e">
        <v>#N/A</v>
      </c>
      <c r="F253" s="1899" t="e">
        <v>#N/A</v>
      </c>
      <c r="G253" s="759" t="e">
        <v>#N/A</v>
      </c>
      <c r="H253" s="376" t="e">
        <v>#N/A</v>
      </c>
    </row>
    <row r="254" spans="1:8" ht="12.75" customHeight="1">
      <c r="A254" s="373">
        <f t="shared" si="1"/>
        <v>2028.05</v>
      </c>
      <c r="B254" s="1899" t="e">
        <v>#N/A</v>
      </c>
      <c r="C254" s="722" t="e">
        <v>#N/A</v>
      </c>
      <c r="D254" s="3085" t="e">
        <v>#N/A</v>
      </c>
      <c r="E254" s="389" t="e">
        <v>#N/A</v>
      </c>
      <c r="F254" s="1899" t="e">
        <v>#N/A</v>
      </c>
      <c r="G254" s="759" t="e">
        <v>#N/A</v>
      </c>
      <c r="H254" s="376" t="e">
        <v>#N/A</v>
      </c>
    </row>
    <row r="255" spans="1:8" ht="12.75" customHeight="1">
      <c r="A255" s="373">
        <f t="shared" si="1"/>
        <v>2028.06</v>
      </c>
      <c r="B255" s="1899" t="e">
        <v>#N/A</v>
      </c>
      <c r="C255" s="722" t="e">
        <v>#N/A</v>
      </c>
      <c r="D255" s="3085" t="e">
        <v>#N/A</v>
      </c>
      <c r="E255" s="389" t="e">
        <v>#N/A</v>
      </c>
      <c r="F255" s="1899" t="e">
        <v>#N/A</v>
      </c>
      <c r="G255" s="759" t="e">
        <v>#N/A</v>
      </c>
      <c r="H255" s="376" t="e">
        <v>#N/A</v>
      </c>
    </row>
    <row r="256" spans="1:8" ht="12.75" customHeight="1">
      <c r="A256" s="373">
        <f t="shared" si="1"/>
        <v>2028.07</v>
      </c>
      <c r="B256" s="1899" t="e">
        <v>#N/A</v>
      </c>
      <c r="C256" s="722" t="e">
        <v>#N/A</v>
      </c>
      <c r="D256" s="3085" t="e">
        <v>#N/A</v>
      </c>
      <c r="E256" s="389" t="e">
        <v>#N/A</v>
      </c>
      <c r="F256" s="1899" t="e">
        <v>#N/A</v>
      </c>
      <c r="G256" s="759" t="e">
        <v>#N/A</v>
      </c>
      <c r="H256" s="376" t="e">
        <v>#N/A</v>
      </c>
    </row>
    <row r="257" spans="1:8" ht="12.75" customHeight="1">
      <c r="A257" s="373">
        <f t="shared" si="1"/>
        <v>2028.08</v>
      </c>
      <c r="B257" s="1899" t="e">
        <v>#N/A</v>
      </c>
      <c r="C257" s="722" t="e">
        <v>#N/A</v>
      </c>
      <c r="D257" s="3085" t="e">
        <v>#N/A</v>
      </c>
      <c r="E257" s="389" t="e">
        <v>#N/A</v>
      </c>
      <c r="F257" s="1899" t="e">
        <v>#N/A</v>
      </c>
      <c r="G257" s="759" t="e">
        <v>#N/A</v>
      </c>
      <c r="H257" s="376" t="e">
        <v>#N/A</v>
      </c>
    </row>
    <row r="258" spans="1:8" ht="12.75" customHeight="1">
      <c r="A258" s="373">
        <f t="shared" si="1"/>
        <v>2028.09</v>
      </c>
      <c r="B258" s="1899" t="e">
        <v>#N/A</v>
      </c>
      <c r="C258" s="722" t="e">
        <v>#N/A</v>
      </c>
      <c r="D258" s="3085" t="e">
        <v>#N/A</v>
      </c>
      <c r="E258" s="389" t="e">
        <v>#N/A</v>
      </c>
      <c r="F258" s="1899" t="e">
        <v>#N/A</v>
      </c>
      <c r="G258" s="759" t="e">
        <v>#N/A</v>
      </c>
      <c r="H258" s="376" t="e">
        <v>#N/A</v>
      </c>
    </row>
    <row r="259" spans="1:8" ht="12.75" customHeight="1">
      <c r="A259" s="373">
        <f t="shared" si="1"/>
        <v>2028.1</v>
      </c>
      <c r="B259" s="1899" t="e">
        <v>#N/A</v>
      </c>
      <c r="C259" s="722" t="e">
        <v>#N/A</v>
      </c>
      <c r="D259" s="3085" t="e">
        <v>#N/A</v>
      </c>
      <c r="E259" s="389" t="e">
        <v>#N/A</v>
      </c>
      <c r="F259" s="1899" t="e">
        <v>#N/A</v>
      </c>
      <c r="G259" s="759" t="e">
        <v>#N/A</v>
      </c>
      <c r="H259" s="376" t="e">
        <v>#N/A</v>
      </c>
    </row>
    <row r="260" spans="1:8" ht="12.75" customHeight="1">
      <c r="A260" s="373">
        <f t="shared" si="1"/>
        <v>2028.11</v>
      </c>
      <c r="B260" s="1899" t="e">
        <v>#N/A</v>
      </c>
      <c r="C260" s="722" t="e">
        <v>#N/A</v>
      </c>
      <c r="D260" s="3085" t="e">
        <v>#N/A</v>
      </c>
      <c r="E260" s="389" t="e">
        <v>#N/A</v>
      </c>
      <c r="F260" s="1899" t="e">
        <v>#N/A</v>
      </c>
      <c r="G260" s="759" t="e">
        <v>#N/A</v>
      </c>
      <c r="H260" s="376" t="e">
        <v>#N/A</v>
      </c>
    </row>
    <row r="261" spans="1:8" ht="12.75" customHeight="1">
      <c r="A261" s="373">
        <f t="shared" si="1"/>
        <v>2028.12</v>
      </c>
      <c r="B261" s="1899" t="e">
        <v>#N/A</v>
      </c>
      <c r="C261" s="722" t="e">
        <v>#N/A</v>
      </c>
      <c r="D261" s="3085" t="e">
        <v>#N/A</v>
      </c>
      <c r="E261" s="389" t="e">
        <v>#N/A</v>
      </c>
      <c r="F261" s="1899" t="e">
        <v>#N/A</v>
      </c>
      <c r="G261" s="759" t="e">
        <v>#N/A</v>
      </c>
      <c r="H261" s="376" t="e">
        <v>#N/A</v>
      </c>
    </row>
    <row r="262" spans="1:8" ht="12.75" customHeight="1">
      <c r="A262" s="373">
        <f t="shared" si="1"/>
        <v>2029.01</v>
      </c>
      <c r="B262" s="1899" t="e">
        <v>#N/A</v>
      </c>
      <c r="C262" s="722" t="e">
        <v>#N/A</v>
      </c>
      <c r="D262" s="3085" t="e">
        <v>#N/A</v>
      </c>
      <c r="E262" s="389" t="e">
        <v>#N/A</v>
      </c>
      <c r="F262" s="1899" t="e">
        <v>#N/A</v>
      </c>
      <c r="G262" s="759" t="e">
        <v>#N/A</v>
      </c>
      <c r="H262" s="376" t="e">
        <v>#N/A</v>
      </c>
    </row>
    <row r="263" spans="1:8" ht="12.75" customHeight="1">
      <c r="A263" s="373">
        <f t="shared" si="1"/>
        <v>2029.02</v>
      </c>
      <c r="B263" s="1899" t="e">
        <v>#N/A</v>
      </c>
      <c r="C263" s="722" t="e">
        <v>#N/A</v>
      </c>
      <c r="D263" s="3085" t="e">
        <v>#N/A</v>
      </c>
      <c r="E263" s="389" t="e">
        <v>#N/A</v>
      </c>
      <c r="F263" s="1899" t="e">
        <v>#N/A</v>
      </c>
      <c r="G263" s="759" t="e">
        <v>#N/A</v>
      </c>
      <c r="H263" s="376" t="e">
        <v>#N/A</v>
      </c>
    </row>
    <row r="264" spans="1:8" ht="12.75" customHeight="1">
      <c r="A264" s="373">
        <f t="shared" si="1"/>
        <v>2029.03</v>
      </c>
      <c r="B264" s="1899" t="e">
        <v>#N/A</v>
      </c>
      <c r="C264" s="722" t="e">
        <v>#N/A</v>
      </c>
      <c r="D264" s="3085" t="e">
        <v>#N/A</v>
      </c>
      <c r="E264" s="389" t="e">
        <v>#N/A</v>
      </c>
      <c r="F264" s="1899" t="e">
        <v>#N/A</v>
      </c>
      <c r="G264" s="759" t="e">
        <v>#N/A</v>
      </c>
      <c r="H264" s="376" t="e">
        <v>#N/A</v>
      </c>
    </row>
    <row r="265" spans="1:8" ht="12.75" customHeight="1">
      <c r="A265" s="373">
        <f t="shared" si="1"/>
        <v>2029.04</v>
      </c>
      <c r="B265" s="1899" t="e">
        <v>#N/A</v>
      </c>
      <c r="C265" s="722" t="e">
        <v>#N/A</v>
      </c>
      <c r="D265" s="3085" t="e">
        <v>#N/A</v>
      </c>
      <c r="E265" s="389" t="e">
        <v>#N/A</v>
      </c>
      <c r="F265" s="1899" t="e">
        <v>#N/A</v>
      </c>
      <c r="G265" s="759" t="e">
        <v>#N/A</v>
      </c>
      <c r="H265" s="376" t="e">
        <v>#N/A</v>
      </c>
    </row>
    <row r="266" spans="1:8" ht="12.75" customHeight="1">
      <c r="A266" s="373">
        <f t="shared" si="1"/>
        <v>2029.05</v>
      </c>
      <c r="B266" s="1899" t="e">
        <v>#N/A</v>
      </c>
      <c r="C266" s="722" t="e">
        <v>#N/A</v>
      </c>
      <c r="D266" s="3085" t="e">
        <v>#N/A</v>
      </c>
      <c r="E266" s="389" t="e">
        <v>#N/A</v>
      </c>
      <c r="F266" s="1899" t="e">
        <v>#N/A</v>
      </c>
      <c r="G266" s="759" t="e">
        <v>#N/A</v>
      </c>
      <c r="H266" s="376" t="e">
        <v>#N/A</v>
      </c>
    </row>
    <row r="267" spans="1:8" ht="12.75" customHeight="1">
      <c r="A267" s="373">
        <f t="shared" si="1"/>
        <v>2029.06</v>
      </c>
      <c r="B267" s="1899" t="e">
        <v>#N/A</v>
      </c>
      <c r="C267" s="722" t="e">
        <v>#N/A</v>
      </c>
      <c r="D267" s="3085" t="e">
        <v>#N/A</v>
      </c>
      <c r="E267" s="389" t="e">
        <v>#N/A</v>
      </c>
      <c r="F267" s="1899" t="e">
        <v>#N/A</v>
      </c>
      <c r="G267" s="759" t="e">
        <v>#N/A</v>
      </c>
      <c r="H267" s="376" t="e">
        <v>#N/A</v>
      </c>
    </row>
    <row r="268" spans="1:8" ht="12.75" customHeight="1">
      <c r="A268" s="373">
        <f t="shared" si="1"/>
        <v>2029.07</v>
      </c>
      <c r="B268" s="1899" t="e">
        <v>#N/A</v>
      </c>
      <c r="C268" s="722" t="e">
        <v>#N/A</v>
      </c>
      <c r="D268" s="3085" t="e">
        <v>#N/A</v>
      </c>
      <c r="E268" s="389" t="e">
        <v>#N/A</v>
      </c>
      <c r="F268" s="1899" t="e">
        <v>#N/A</v>
      </c>
      <c r="G268" s="759" t="e">
        <v>#N/A</v>
      </c>
      <c r="H268" s="376" t="e">
        <v>#N/A</v>
      </c>
    </row>
    <row r="269" spans="1:8" ht="12.75" customHeight="1">
      <c r="A269" s="373">
        <f t="shared" si="1"/>
        <v>2029.08</v>
      </c>
      <c r="B269" s="1899" t="e">
        <v>#N/A</v>
      </c>
      <c r="C269" s="722" t="e">
        <v>#N/A</v>
      </c>
      <c r="D269" s="3085" t="e">
        <v>#N/A</v>
      </c>
      <c r="E269" s="389" t="e">
        <v>#N/A</v>
      </c>
      <c r="F269" s="1899" t="e">
        <v>#N/A</v>
      </c>
      <c r="G269" s="759" t="e">
        <v>#N/A</v>
      </c>
      <c r="H269" s="376" t="e">
        <v>#N/A</v>
      </c>
    </row>
    <row r="270" spans="1:8" ht="12.75" customHeight="1">
      <c r="A270" s="373">
        <f t="shared" si="1"/>
        <v>2029.09</v>
      </c>
      <c r="B270" s="1899" t="e">
        <v>#N/A</v>
      </c>
      <c r="C270" s="722" t="e">
        <v>#N/A</v>
      </c>
      <c r="D270" s="3085" t="e">
        <v>#N/A</v>
      </c>
      <c r="E270" s="389" t="e">
        <v>#N/A</v>
      </c>
      <c r="F270" s="1899" t="e">
        <v>#N/A</v>
      </c>
      <c r="G270" s="759" t="e">
        <v>#N/A</v>
      </c>
      <c r="H270" s="376" t="e">
        <v>#N/A</v>
      </c>
    </row>
    <row r="271" spans="1:8" ht="12.75" customHeight="1">
      <c r="A271" s="373">
        <f t="shared" si="1"/>
        <v>2029.1</v>
      </c>
      <c r="B271" s="1899" t="e">
        <v>#N/A</v>
      </c>
      <c r="C271" s="722" t="e">
        <v>#N/A</v>
      </c>
      <c r="D271" s="3085" t="e">
        <v>#N/A</v>
      </c>
      <c r="E271" s="389" t="e">
        <v>#N/A</v>
      </c>
      <c r="F271" s="1899" t="e">
        <v>#N/A</v>
      </c>
      <c r="G271" s="759" t="e">
        <v>#N/A</v>
      </c>
      <c r="H271" s="376" t="e">
        <v>#N/A</v>
      </c>
    </row>
    <row r="272" spans="1:8" ht="12.75" customHeight="1">
      <c r="A272" s="373">
        <f t="shared" si="1"/>
        <v>2029.11</v>
      </c>
      <c r="B272" s="1899" t="e">
        <v>#N/A</v>
      </c>
      <c r="C272" s="722" t="e">
        <v>#N/A</v>
      </c>
      <c r="D272" s="3085" t="e">
        <v>#N/A</v>
      </c>
      <c r="E272" s="389" t="e">
        <v>#N/A</v>
      </c>
      <c r="F272" s="1899" t="e">
        <v>#N/A</v>
      </c>
      <c r="G272" s="759" t="e">
        <v>#N/A</v>
      </c>
      <c r="H272" s="376" t="e">
        <v>#N/A</v>
      </c>
    </row>
    <row r="273" spans="1:8" ht="12.75" customHeight="1">
      <c r="A273" s="373">
        <f t="shared" si="1"/>
        <v>2029.12</v>
      </c>
      <c r="B273" s="1899" t="e">
        <v>#N/A</v>
      </c>
      <c r="C273" s="722" t="e">
        <v>#N/A</v>
      </c>
      <c r="D273" s="3085" t="e">
        <v>#N/A</v>
      </c>
      <c r="E273" s="389" t="e">
        <v>#N/A</v>
      </c>
      <c r="F273" s="1899" t="e">
        <v>#N/A</v>
      </c>
      <c r="G273" s="759" t="e">
        <v>#N/A</v>
      </c>
      <c r="H273" s="376" t="e">
        <v>#N/A</v>
      </c>
    </row>
    <row r="274" spans="1:8" ht="12.75" customHeight="1">
      <c r="A274" s="373">
        <f t="shared" si="1"/>
        <v>2030.01</v>
      </c>
      <c r="B274" s="1899" t="e">
        <v>#N/A</v>
      </c>
      <c r="C274" s="722" t="e">
        <v>#N/A</v>
      </c>
      <c r="D274" s="3085" t="e">
        <v>#N/A</v>
      </c>
      <c r="E274" s="389" t="e">
        <v>#N/A</v>
      </c>
      <c r="F274" s="1899" t="e">
        <v>#N/A</v>
      </c>
      <c r="G274" s="759" t="e">
        <v>#N/A</v>
      </c>
      <c r="H274" s="376" t="e">
        <v>#N/A</v>
      </c>
    </row>
    <row r="275" spans="1:8" ht="12.75" customHeight="1">
      <c r="A275" s="373">
        <f t="shared" si="1"/>
        <v>2030.02</v>
      </c>
      <c r="B275" s="1899" t="e">
        <v>#N/A</v>
      </c>
      <c r="C275" s="722" t="e">
        <v>#N/A</v>
      </c>
      <c r="D275" s="3085" t="e">
        <v>#N/A</v>
      </c>
      <c r="E275" s="389" t="e">
        <v>#N/A</v>
      </c>
      <c r="F275" s="1899" t="e">
        <v>#N/A</v>
      </c>
      <c r="G275" s="759" t="e">
        <v>#N/A</v>
      </c>
      <c r="H275" s="376" t="e">
        <v>#N/A</v>
      </c>
    </row>
    <row r="276" spans="1:8" ht="12.75" customHeight="1">
      <c r="A276" s="373">
        <f t="shared" si="1"/>
        <v>2030.03</v>
      </c>
      <c r="B276" s="1899" t="e">
        <v>#N/A</v>
      </c>
      <c r="C276" s="722" t="e">
        <v>#N/A</v>
      </c>
      <c r="D276" s="3085" t="e">
        <v>#N/A</v>
      </c>
      <c r="E276" s="389" t="e">
        <v>#N/A</v>
      </c>
      <c r="F276" s="1899" t="e">
        <v>#N/A</v>
      </c>
      <c r="G276" s="759" t="e">
        <v>#N/A</v>
      </c>
      <c r="H276" s="376" t="e">
        <v>#N/A</v>
      </c>
    </row>
    <row r="277" spans="1:8" ht="12.75" customHeight="1">
      <c r="A277" s="373">
        <f t="shared" si="1"/>
        <v>2030.04</v>
      </c>
      <c r="B277" s="1899" t="e">
        <v>#N/A</v>
      </c>
      <c r="C277" s="722" t="e">
        <v>#N/A</v>
      </c>
      <c r="D277" s="3085" t="e">
        <v>#N/A</v>
      </c>
      <c r="E277" s="389" t="e">
        <v>#N/A</v>
      </c>
      <c r="F277" s="1899" t="e">
        <v>#N/A</v>
      </c>
      <c r="G277" s="759" t="e">
        <v>#N/A</v>
      </c>
      <c r="H277" s="376" t="e">
        <v>#N/A</v>
      </c>
    </row>
    <row r="278" spans="1:8" ht="12.75" customHeight="1">
      <c r="A278" s="373">
        <f t="shared" si="1"/>
        <v>2030.05</v>
      </c>
      <c r="B278" s="1899" t="e">
        <v>#N/A</v>
      </c>
      <c r="C278" s="722" t="e">
        <v>#N/A</v>
      </c>
      <c r="D278" s="3085" t="e">
        <v>#N/A</v>
      </c>
      <c r="E278" s="389" t="e">
        <v>#N/A</v>
      </c>
      <c r="F278" s="1899" t="e">
        <v>#N/A</v>
      </c>
      <c r="G278" s="759" t="e">
        <v>#N/A</v>
      </c>
      <c r="H278" s="376" t="e">
        <v>#N/A</v>
      </c>
    </row>
    <row r="279" spans="1:8" ht="12.75" customHeight="1">
      <c r="A279" s="373">
        <f t="shared" si="1"/>
        <v>2030.06</v>
      </c>
      <c r="B279" s="1899" t="e">
        <v>#N/A</v>
      </c>
      <c r="C279" s="722" t="e">
        <v>#N/A</v>
      </c>
      <c r="D279" s="3085" t="e">
        <v>#N/A</v>
      </c>
      <c r="E279" s="389" t="e">
        <v>#N/A</v>
      </c>
      <c r="F279" s="1899" t="e">
        <v>#N/A</v>
      </c>
      <c r="G279" s="759" t="e">
        <v>#N/A</v>
      </c>
      <c r="H279" s="376" t="e">
        <v>#N/A</v>
      </c>
    </row>
    <row r="280" spans="1:8" ht="12.75" customHeight="1">
      <c r="A280" s="373">
        <f t="shared" si="1"/>
        <v>2030.07</v>
      </c>
      <c r="B280" s="1899" t="e">
        <v>#N/A</v>
      </c>
      <c r="C280" s="722" t="e">
        <v>#N/A</v>
      </c>
      <c r="D280" s="3085" t="e">
        <v>#N/A</v>
      </c>
      <c r="E280" s="389" t="e">
        <v>#N/A</v>
      </c>
      <c r="F280" s="1899" t="e">
        <v>#N/A</v>
      </c>
      <c r="G280" s="759" t="e">
        <v>#N/A</v>
      </c>
      <c r="H280" s="376" t="e">
        <v>#N/A</v>
      </c>
    </row>
    <row r="281" spans="1:8" ht="12.75" customHeight="1">
      <c r="A281" s="373">
        <f t="shared" si="1"/>
        <v>2030.08</v>
      </c>
      <c r="B281" s="1899" t="e">
        <v>#N/A</v>
      </c>
      <c r="C281" s="722" t="e">
        <v>#N/A</v>
      </c>
      <c r="D281" s="3085" t="e">
        <v>#N/A</v>
      </c>
      <c r="E281" s="389" t="e">
        <v>#N/A</v>
      </c>
      <c r="F281" s="1899" t="e">
        <v>#N/A</v>
      </c>
      <c r="G281" s="759" t="e">
        <v>#N/A</v>
      </c>
      <c r="H281" s="376" t="e">
        <v>#N/A</v>
      </c>
    </row>
    <row r="282" spans="1:8" ht="12.75" customHeight="1">
      <c r="A282" s="373">
        <f t="shared" si="1"/>
        <v>2030.09</v>
      </c>
      <c r="B282" s="1899" t="e">
        <v>#N/A</v>
      </c>
      <c r="C282" s="722" t="e">
        <v>#N/A</v>
      </c>
      <c r="D282" s="3085" t="e">
        <v>#N/A</v>
      </c>
      <c r="E282" s="389" t="e">
        <v>#N/A</v>
      </c>
      <c r="F282" s="1899" t="e">
        <v>#N/A</v>
      </c>
      <c r="G282" s="759" t="e">
        <v>#N/A</v>
      </c>
      <c r="H282" s="376" t="e">
        <v>#N/A</v>
      </c>
    </row>
    <row r="283" spans="1:8" ht="12.75" customHeight="1">
      <c r="A283" s="373">
        <f t="shared" si="1"/>
        <v>2030.1</v>
      </c>
      <c r="B283" s="1899" t="e">
        <v>#N/A</v>
      </c>
      <c r="C283" s="722" t="e">
        <v>#N/A</v>
      </c>
      <c r="D283" s="3085" t="e">
        <v>#N/A</v>
      </c>
      <c r="E283" s="389" t="e">
        <v>#N/A</v>
      </c>
      <c r="F283" s="1899" t="e">
        <v>#N/A</v>
      </c>
      <c r="G283" s="759" t="e">
        <v>#N/A</v>
      </c>
      <c r="H283" s="376" t="e">
        <v>#N/A</v>
      </c>
    </row>
    <row r="284" spans="1:8" ht="12.75" customHeight="1">
      <c r="A284" s="373">
        <f t="shared" si="1"/>
        <v>2030.11</v>
      </c>
      <c r="B284" s="1899" t="e">
        <v>#N/A</v>
      </c>
      <c r="C284" s="722" t="e">
        <v>#N/A</v>
      </c>
      <c r="D284" s="3085" t="e">
        <v>#N/A</v>
      </c>
      <c r="E284" s="389" t="e">
        <v>#N/A</v>
      </c>
      <c r="F284" s="1899" t="e">
        <v>#N/A</v>
      </c>
      <c r="G284" s="759" t="e">
        <v>#N/A</v>
      </c>
      <c r="H284" s="376" t="e">
        <v>#N/A</v>
      </c>
    </row>
    <row r="285" spans="1:8" ht="12.75" customHeight="1">
      <c r="A285" s="373">
        <f t="shared" si="1"/>
        <v>2030.12</v>
      </c>
      <c r="B285" s="1899" t="e">
        <v>#N/A</v>
      </c>
      <c r="C285" s="722" t="e">
        <v>#N/A</v>
      </c>
      <c r="D285" s="3085" t="e">
        <v>#N/A</v>
      </c>
      <c r="E285" s="389" t="e">
        <v>#N/A</v>
      </c>
      <c r="F285" s="1899" t="e">
        <v>#N/A</v>
      </c>
      <c r="G285" s="759" t="e">
        <v>#N/A</v>
      </c>
      <c r="H285" s="376" t="e">
        <v>#N/A</v>
      </c>
    </row>
  </sheetData>
  <hyperlinks>
    <hyperlink ref="A5" location="INDICE!A13" display="VOLVER AL INDICE" xr:uid="{00000000-0004-0000-0C00-000000000000}"/>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4"/>
  <dimension ref="A1:I370"/>
  <sheetViews>
    <sheetView zoomScale="130" zoomScaleNormal="130" workbookViewId="0">
      <pane xSplit="1" ySplit="9" topLeftCell="B289" activePane="bottomRight" state="frozen"/>
      <selection pane="topRight" activeCell="B3" sqref="B3"/>
      <selection pane="bottomLeft" activeCell="B3" sqref="B3"/>
      <selection pane="bottomRight" activeCell="A5" sqref="A5"/>
    </sheetView>
  </sheetViews>
  <sheetFormatPr baseColWidth="10" defaultColWidth="11.42578125" defaultRowHeight="15"/>
  <cols>
    <col min="1" max="1" width="12.140625" style="526" customWidth="1"/>
    <col min="2" max="6" width="14.85546875" style="526" bestFit="1" customWidth="1"/>
    <col min="7" max="7" width="11.42578125" style="526"/>
    <col min="8" max="8" width="10.28515625" style="526" bestFit="1" customWidth="1"/>
    <col min="9" max="9" width="15.7109375" style="526" customWidth="1"/>
    <col min="10" max="16384" width="11.42578125" style="526"/>
  </cols>
  <sheetData>
    <row r="1" spans="1:9" s="530" customFormat="1" ht="3.75" customHeight="1">
      <c r="A1" s="1900"/>
      <c r="B1" s="2414"/>
      <c r="C1" s="523"/>
      <c r="D1" s="523"/>
      <c r="E1" s="524"/>
      <c r="F1" s="525"/>
      <c r="H1" s="527"/>
      <c r="I1" s="527"/>
    </row>
    <row r="2" spans="1:9" s="530" customFormat="1" ht="15" customHeight="1">
      <c r="A2" s="2373" t="s">
        <v>105</v>
      </c>
      <c r="B2" s="2414" t="s">
        <v>448</v>
      </c>
      <c r="C2" s="523"/>
      <c r="D2" s="528"/>
      <c r="E2" s="529"/>
      <c r="F2" s="525"/>
      <c r="I2" s="531"/>
    </row>
    <row r="3" spans="1:9" s="530" customFormat="1" ht="15" customHeight="1">
      <c r="A3" s="1900" t="s">
        <v>109</v>
      </c>
      <c r="B3" s="532" t="s">
        <v>449</v>
      </c>
      <c r="C3" s="533"/>
      <c r="D3" s="533"/>
      <c r="E3" s="534"/>
      <c r="F3" s="535"/>
      <c r="H3" s="536"/>
      <c r="I3" s="537"/>
    </row>
    <row r="4" spans="1:9" s="530" customFormat="1" ht="22.5">
      <c r="A4" s="1900"/>
      <c r="B4" s="538" t="s">
        <v>450</v>
      </c>
      <c r="C4" s="539"/>
      <c r="D4" s="540"/>
      <c r="E4" s="3086" t="s">
        <v>451</v>
      </c>
      <c r="F4" s="3087" t="s">
        <v>452</v>
      </c>
      <c r="H4" s="536"/>
      <c r="I4" s="537"/>
    </row>
    <row r="5" spans="1:9" s="530" customFormat="1" ht="22.5">
      <c r="A5" s="1901" t="s">
        <v>137</v>
      </c>
      <c r="B5" s="760" t="s">
        <v>453</v>
      </c>
      <c r="C5" s="763" t="s">
        <v>454</v>
      </c>
      <c r="D5" s="541" t="s">
        <v>455</v>
      </c>
      <c r="E5" s="542"/>
      <c r="F5" s="543"/>
      <c r="H5" s="544"/>
      <c r="I5" s="531"/>
    </row>
    <row r="6" spans="1:9" s="530" customFormat="1" ht="22.5">
      <c r="A6" s="1900" t="s">
        <v>123</v>
      </c>
      <c r="B6" s="1081" t="s">
        <v>456</v>
      </c>
      <c r="C6" s="1082" t="s">
        <v>456</v>
      </c>
      <c r="D6" s="1083" t="s">
        <v>456</v>
      </c>
      <c r="E6" s="1902" t="s">
        <v>456</v>
      </c>
      <c r="F6" s="1084" t="s">
        <v>456</v>
      </c>
      <c r="H6" s="544"/>
      <c r="I6" s="547"/>
    </row>
    <row r="7" spans="1:9" s="530" customFormat="1" ht="24.75" customHeight="1">
      <c r="A7" s="1900" t="s">
        <v>457</v>
      </c>
      <c r="B7" s="2415">
        <v>50.16</v>
      </c>
      <c r="C7" s="765">
        <v>29.91</v>
      </c>
      <c r="D7" s="765"/>
      <c r="E7" s="1903">
        <v>19.93</v>
      </c>
      <c r="F7" s="1904">
        <v>100</v>
      </c>
    </row>
    <row r="8" spans="1:9" s="530" customFormat="1" ht="14.25" customHeight="1">
      <c r="A8" s="548" t="s">
        <v>141</v>
      </c>
      <c r="B8" s="762" t="s">
        <v>458</v>
      </c>
      <c r="C8" s="766" t="s">
        <v>459</v>
      </c>
      <c r="D8" s="550" t="s">
        <v>460</v>
      </c>
      <c r="E8" s="550" t="s">
        <v>461</v>
      </c>
      <c r="F8" s="1905" t="s">
        <v>462</v>
      </c>
    </row>
    <row r="9" spans="1:9" s="530" customFormat="1" ht="4.5" hidden="1" customHeight="1">
      <c r="A9" s="3088"/>
      <c r="B9" s="761"/>
      <c r="C9" s="764"/>
      <c r="D9" s="545"/>
      <c r="E9" s="1902"/>
      <c r="F9" s="546"/>
    </row>
    <row r="10" spans="1:9" ht="12.75" customHeight="1">
      <c r="A10" s="1219">
        <v>2001.01</v>
      </c>
      <c r="B10" s="3089"/>
      <c r="C10" s="3314"/>
      <c r="D10" s="3090"/>
      <c r="E10" s="3091"/>
      <c r="F10" s="3092"/>
    </row>
    <row r="11" spans="1:9" ht="12.75" customHeight="1">
      <c r="A11" s="1219">
        <v>2001.02</v>
      </c>
      <c r="B11" s="2610"/>
      <c r="C11" s="3093"/>
      <c r="D11" s="2611"/>
      <c r="E11" s="2612"/>
      <c r="F11" s="2613"/>
    </row>
    <row r="12" spans="1:9" ht="12.75" customHeight="1">
      <c r="A12" s="1219">
        <v>2001.03</v>
      </c>
      <c r="B12" s="2610"/>
      <c r="C12" s="3093"/>
      <c r="D12" s="2611"/>
      <c r="E12" s="2612"/>
      <c r="F12" s="2613"/>
    </row>
    <row r="13" spans="1:9" ht="12.75" customHeight="1">
      <c r="A13" s="1219">
        <v>2001.04</v>
      </c>
      <c r="B13" s="2610"/>
      <c r="C13" s="3093"/>
      <c r="D13" s="2611"/>
      <c r="E13" s="2612"/>
      <c r="F13" s="2613"/>
    </row>
    <row r="14" spans="1:9" ht="12.75" customHeight="1">
      <c r="A14" s="1219">
        <v>2001.05</v>
      </c>
      <c r="B14" s="2610"/>
      <c r="C14" s="3093"/>
      <c r="D14" s="2611"/>
      <c r="E14" s="2612"/>
      <c r="F14" s="2613"/>
    </row>
    <row r="15" spans="1:9" ht="12.75" customHeight="1">
      <c r="A15" s="1219">
        <v>2001.06</v>
      </c>
      <c r="B15" s="2610"/>
      <c r="C15" s="3093"/>
      <c r="D15" s="2611"/>
      <c r="E15" s="2612"/>
      <c r="F15" s="2613"/>
    </row>
    <row r="16" spans="1:9" ht="12.75" customHeight="1">
      <c r="A16" s="1219">
        <v>2001.07</v>
      </c>
      <c r="B16" s="2610"/>
      <c r="C16" s="3093"/>
      <c r="D16" s="2611"/>
      <c r="E16" s="2612"/>
      <c r="F16" s="2613"/>
    </row>
    <row r="17" spans="1:6" ht="12.75" customHeight="1">
      <c r="A17" s="1219">
        <v>2001.08</v>
      </c>
      <c r="B17" s="2610"/>
      <c r="C17" s="3093"/>
      <c r="D17" s="2611"/>
      <c r="E17" s="2612"/>
      <c r="F17" s="2613"/>
    </row>
    <row r="18" spans="1:6" ht="12.75" customHeight="1">
      <c r="A18" s="1219">
        <v>2001.09</v>
      </c>
      <c r="B18" s="2610"/>
      <c r="C18" s="3093"/>
      <c r="D18" s="2611"/>
      <c r="E18" s="2612"/>
      <c r="F18" s="2613"/>
    </row>
    <row r="19" spans="1:6" ht="12.75" customHeight="1">
      <c r="A19" s="1219">
        <v>2001.1</v>
      </c>
      <c r="B19" s="3513">
        <v>4.371687962921273</v>
      </c>
      <c r="C19" s="3514">
        <v>8.6332709881748997</v>
      </c>
      <c r="D19" s="3515">
        <v>5.9633892228535021</v>
      </c>
      <c r="E19" s="3516">
        <v>4.6386108567215247</v>
      </c>
      <c r="F19" s="3517">
        <v>5.6995251785090231</v>
      </c>
    </row>
    <row r="20" spans="1:6" ht="12.75" customHeight="1">
      <c r="A20" s="1219">
        <v>2001.11</v>
      </c>
      <c r="B20" s="3518">
        <v>4.3800008203367558</v>
      </c>
      <c r="C20" s="3519">
        <v>8.6057024150163741</v>
      </c>
      <c r="D20" s="3515">
        <v>5.9583003659495937</v>
      </c>
      <c r="E20" s="3516">
        <v>4.6187482529733641</v>
      </c>
      <c r="F20" s="3517">
        <v>5.6914905306299053</v>
      </c>
    </row>
    <row r="21" spans="1:6" ht="12.75" customHeight="1">
      <c r="A21" s="1219">
        <v>2001.12</v>
      </c>
      <c r="B21" s="3518">
        <v>4.3738755569779793</v>
      </c>
      <c r="C21" s="3519">
        <v>8.6065639329275783</v>
      </c>
      <c r="D21" s="3515">
        <v>5.9547846653951551</v>
      </c>
      <c r="E21" s="3516">
        <v>4.6002714122774018</v>
      </c>
      <c r="F21" s="3517">
        <v>5.6849933441856795</v>
      </c>
    </row>
    <row r="22" spans="1:6" ht="12.75" customHeight="1">
      <c r="A22" s="1219">
        <v>2002.01</v>
      </c>
      <c r="B22" s="3518">
        <v>4.3607499926377429</v>
      </c>
      <c r="C22" s="3519">
        <v>8.5988102717267427</v>
      </c>
      <c r="D22" s="3515">
        <v>5.9436655068774851</v>
      </c>
      <c r="E22" s="3516">
        <v>4.58087072954664</v>
      </c>
      <c r="F22" s="3517">
        <v>5.6722238849792053</v>
      </c>
    </row>
    <row r="23" spans="1:6" ht="12.75" customHeight="1">
      <c r="A23" s="1219">
        <v>2002.02</v>
      </c>
      <c r="B23" s="3518">
        <v>4.3598749550150604</v>
      </c>
      <c r="C23" s="3519">
        <v>8.5988102717267427</v>
      </c>
      <c r="D23" s="3515">
        <v>5.9431172958068741</v>
      </c>
      <c r="E23" s="3516">
        <v>4.56147004681588</v>
      </c>
      <c r="F23" s="3517">
        <v>5.6679184100394275</v>
      </c>
    </row>
    <row r="24" spans="1:6" ht="12.75" customHeight="1">
      <c r="A24" s="1219">
        <v>2002.03</v>
      </c>
      <c r="B24" s="3518">
        <v>4.3607499926377429</v>
      </c>
      <c r="C24" s="3519">
        <v>8.5988102717267427</v>
      </c>
      <c r="D24" s="3515">
        <v>5.9436655068774851</v>
      </c>
      <c r="E24" s="3516">
        <v>4.5429932061199167</v>
      </c>
      <c r="F24" s="3517">
        <v>5.6646748945602603</v>
      </c>
    </row>
    <row r="25" spans="1:6" ht="12.75" customHeight="1">
      <c r="A25" s="1219">
        <v>2002.04</v>
      </c>
      <c r="B25" s="3518">
        <v>4.3686253312418843</v>
      </c>
      <c r="C25" s="3519">
        <v>8.5970872359043344</v>
      </c>
      <c r="D25" s="3515">
        <v>5.9479558526333101</v>
      </c>
      <c r="E25" s="3516">
        <v>4.5111206559193802</v>
      </c>
      <c r="F25" s="3517">
        <v>5.6617576051346479</v>
      </c>
    </row>
    <row r="26" spans="1:6" ht="12.75" customHeight="1">
      <c r="A26" s="1219">
        <v>2002.05</v>
      </c>
      <c r="B26" s="3518">
        <v>4.3769381886573679</v>
      </c>
      <c r="C26" s="3519">
        <v>8.6186251836844328</v>
      </c>
      <c r="D26" s="3515">
        <v>5.9612082812999772</v>
      </c>
      <c r="E26" s="3516">
        <v>4.4801719477536412</v>
      </c>
      <c r="F26" s="3517">
        <v>5.6662012570578506</v>
      </c>
    </row>
    <row r="27" spans="1:6" ht="12.75" customHeight="1">
      <c r="A27" s="1219">
        <v>2002.06</v>
      </c>
      <c r="B27" s="3518">
        <v>4.3988141292244274</v>
      </c>
      <c r="C27" s="3519">
        <v>8.6186251836844328</v>
      </c>
      <c r="D27" s="3515">
        <v>5.9749135580652384</v>
      </c>
      <c r="E27" s="3516">
        <v>4.4487613185705044</v>
      </c>
      <c r="F27" s="3517">
        <v>5.6709140904500881</v>
      </c>
    </row>
    <row r="28" spans="1:6" ht="12.75" customHeight="1">
      <c r="A28" s="1219">
        <v>2002.07</v>
      </c>
      <c r="B28" s="3518">
        <v>4.9527129443823865</v>
      </c>
      <c r="C28" s="3519">
        <v>8.6186251836844328</v>
      </c>
      <c r="D28" s="3515">
        <v>6.3219311657617006</v>
      </c>
      <c r="E28" s="3516">
        <v>4.4173506893873666</v>
      </c>
      <c r="F28" s="3517">
        <v>5.9424895977371213</v>
      </c>
    </row>
    <row r="29" spans="1:6" ht="12.75" customHeight="1">
      <c r="A29" s="1219">
        <v>2002.08</v>
      </c>
      <c r="B29" s="3518">
        <v>5.0095903898567427</v>
      </c>
      <c r="C29" s="3519">
        <v>8.6367170598197145</v>
      </c>
      <c r="D29" s="3515">
        <v>6.364322201087913</v>
      </c>
      <c r="E29" s="3516">
        <v>4.3891735073260234</v>
      </c>
      <c r="F29" s="3517">
        <v>5.9708148921542943</v>
      </c>
    </row>
    <row r="30" spans="1:6" ht="12.75" customHeight="1">
      <c r="A30" s="1219">
        <v>2002.09</v>
      </c>
      <c r="B30" s="3518">
        <v>5.0270911423103906</v>
      </c>
      <c r="C30" s="3519">
        <v>8.6711777762678732</v>
      </c>
      <c r="D30" s="3515">
        <v>6.3881575000935102</v>
      </c>
      <c r="E30" s="3516">
        <v>4.3586867201776842</v>
      </c>
      <c r="F30" s="3517">
        <v>5.983824453196025</v>
      </c>
    </row>
    <row r="31" spans="1:6" ht="12.75" customHeight="1">
      <c r="A31" s="1219">
        <v>2002.1</v>
      </c>
      <c r="B31" s="3518">
        <v>5.0441543759526981</v>
      </c>
      <c r="C31" s="3519">
        <v>8.6634241150670359</v>
      </c>
      <c r="D31" s="3515">
        <v>6.3959516235119027</v>
      </c>
      <c r="E31" s="3516">
        <v>4.3286618540467448</v>
      </c>
      <c r="F31" s="3517">
        <v>5.9840802953059402</v>
      </c>
    </row>
    <row r="32" spans="1:6" ht="12.75" customHeight="1">
      <c r="A32" s="1219">
        <v>2002.11</v>
      </c>
      <c r="B32" s="3518">
        <v>5.0893500691642428</v>
      </c>
      <c r="C32" s="3519">
        <v>8.6634241150670359</v>
      </c>
      <c r="D32" s="3515">
        <v>6.4242667253089358</v>
      </c>
      <c r="E32" s="3516">
        <v>4.3383621954121265</v>
      </c>
      <c r="F32" s="3517">
        <v>6.0086837330549709</v>
      </c>
    </row>
    <row r="33" spans="1:6" ht="12.75" customHeight="1">
      <c r="A33" s="1219">
        <v>2002.12</v>
      </c>
      <c r="B33" s="3518">
        <v>5.1128448293332669</v>
      </c>
      <c r="C33" s="3519">
        <v>8.6634241150670359</v>
      </c>
      <c r="D33" s="3515">
        <v>6.4389861925548306</v>
      </c>
      <c r="E33" s="3516">
        <v>4.3476006157601086</v>
      </c>
      <c r="F33" s="3517">
        <v>6.0223099219311074</v>
      </c>
    </row>
    <row r="34" spans="1:6" ht="12.75" customHeight="1">
      <c r="A34" s="1219">
        <f>A22+1</f>
        <v>2003.01</v>
      </c>
      <c r="B34" s="3518">
        <v>5.2935400984171821</v>
      </c>
      <c r="C34" s="3519">
        <v>9.0571378004872454</v>
      </c>
      <c r="D34" s="3515">
        <v>6.6992438401403502</v>
      </c>
      <c r="E34" s="3516">
        <v>4.3573009571254886</v>
      </c>
      <c r="F34" s="3517">
        <v>6.2326397102469038</v>
      </c>
    </row>
    <row r="35" spans="1:6" ht="12.75" customHeight="1">
      <c r="A35" s="1219">
        <f t="shared" ref="A35:A98" si="0">A23+1</f>
        <v>2003.02</v>
      </c>
      <c r="B35" s="3518">
        <v>5.3031655122666894</v>
      </c>
      <c r="C35" s="3519">
        <v>9.1105519109818918</v>
      </c>
      <c r="D35" s="3515">
        <v>6.7252243321868175</v>
      </c>
      <c r="E35" s="3516">
        <v>4.3670012984908695</v>
      </c>
      <c r="F35" s="3517">
        <v>6.2553772563168852</v>
      </c>
    </row>
    <row r="36" spans="1:6" ht="12.75" customHeight="1">
      <c r="A36" s="1219">
        <f t="shared" si="0"/>
        <v>2003.03</v>
      </c>
      <c r="B36" s="3518">
        <v>5.3329167914378912</v>
      </c>
      <c r="C36" s="3519">
        <v>9.0278461915063115</v>
      </c>
      <c r="D36" s="3515">
        <v>6.7129729223634467</v>
      </c>
      <c r="E36" s="3516">
        <v>4.3767016398562495</v>
      </c>
      <c r="F36" s="3517">
        <v>6.2474964952881349</v>
      </c>
    </row>
    <row r="37" spans="1:6" ht="12.75" customHeight="1">
      <c r="A37" s="1219">
        <f t="shared" si="0"/>
        <v>2003.04</v>
      </c>
      <c r="B37" s="3518">
        <v>5.3652931834771405</v>
      </c>
      <c r="C37" s="3519">
        <v>9.0304307452399222</v>
      </c>
      <c r="D37" s="3515">
        <v>6.7342220627955394</v>
      </c>
      <c r="E37" s="3516">
        <v>4.3859400602042307</v>
      </c>
      <c r="F37" s="3517">
        <v>6.266350750732097</v>
      </c>
    </row>
    <row r="38" spans="1:6" ht="12.75" customHeight="1">
      <c r="A38" s="1219">
        <f t="shared" si="0"/>
        <v>2003.05</v>
      </c>
      <c r="B38" s="3518">
        <v>5.6548060487282985</v>
      </c>
      <c r="C38" s="3519">
        <v>9.0304307452399222</v>
      </c>
      <c r="D38" s="3515">
        <v>6.9156018728753903</v>
      </c>
      <c r="E38" s="3516">
        <v>4.3767016398562495</v>
      </c>
      <c r="F38" s="3517">
        <v>6.4097291867667261</v>
      </c>
    </row>
    <row r="39" spans="1:6" ht="12.75" customHeight="1">
      <c r="A39" s="1219">
        <f t="shared" si="0"/>
        <v>2003.06</v>
      </c>
      <c r="B39" s="3518">
        <v>5.711280289991687</v>
      </c>
      <c r="C39" s="3519">
        <v>9.0304307452399222</v>
      </c>
      <c r="D39" s="3515">
        <v>6.9509829850269034</v>
      </c>
      <c r="E39" s="3516">
        <v>4.3734681927344567</v>
      </c>
      <c r="F39" s="3517">
        <v>6.4374122401730665</v>
      </c>
    </row>
    <row r="40" spans="1:6" ht="12.75" customHeight="1">
      <c r="A40" s="1219">
        <f t="shared" si="0"/>
        <v>2003.07</v>
      </c>
      <c r="B40" s="3518">
        <v>5.7573027712514007</v>
      </c>
      <c r="C40" s="3519">
        <v>9.0803987840897538</v>
      </c>
      <c r="D40" s="3515">
        <v>6.9984791320465254</v>
      </c>
      <c r="E40" s="3516">
        <v>4.3734681927344567</v>
      </c>
      <c r="F40" s="3517">
        <v>6.4754425571929257</v>
      </c>
    </row>
    <row r="41" spans="1:6" ht="12.75" customHeight="1">
      <c r="A41" s="1219">
        <f t="shared" si="0"/>
        <v>2003.08</v>
      </c>
      <c r="B41" s="3518">
        <v>5.7936240997801773</v>
      </c>
      <c r="C41" s="3519">
        <v>9.0803987840897538</v>
      </c>
      <c r="D41" s="3515">
        <v>7.0212344443698047</v>
      </c>
      <c r="E41" s="3516">
        <v>4.492181894206019</v>
      </c>
      <c r="F41" s="3517">
        <v>6.5173209762862419</v>
      </c>
    </row>
    <row r="42" spans="1:6" ht="12.75" customHeight="1">
      <c r="A42" s="1219">
        <f t="shared" si="0"/>
        <v>2003.09</v>
      </c>
      <c r="B42" s="3518">
        <v>5.8115623710451674</v>
      </c>
      <c r="C42" s="3519">
        <v>9.1519047707196819</v>
      </c>
      <c r="D42" s="3515">
        <v>7.0591802573235984</v>
      </c>
      <c r="E42" s="3516">
        <v>4.6141290427993749</v>
      </c>
      <c r="F42" s="3517">
        <v>6.5720103204684275</v>
      </c>
    </row>
    <row r="43" spans="1:6" ht="12.75" customHeight="1">
      <c r="A43" s="1219">
        <f t="shared" si="0"/>
        <v>2003.1</v>
      </c>
      <c r="B43" s="3518">
        <v>5.8483139511978273</v>
      </c>
      <c r="C43" s="3519">
        <v>9.1519047707196819</v>
      </c>
      <c r="D43" s="3515">
        <v>7.0822051222892402</v>
      </c>
      <c r="E43" s="3516">
        <v>4.7393096385145244</v>
      </c>
      <c r="F43" s="3517">
        <v>6.6153934057990309</v>
      </c>
    </row>
    <row r="44" spans="1:6" ht="12.75" customHeight="1">
      <c r="A44" s="1219">
        <f t="shared" si="0"/>
        <v>2003.11</v>
      </c>
      <c r="B44" s="3518">
        <v>5.8846280125391477</v>
      </c>
      <c r="C44" s="3519">
        <v>9.1519047707196819</v>
      </c>
      <c r="D44" s="3515">
        <v>7.1049558817195768</v>
      </c>
      <c r="E44" s="3516">
        <v>4.7393096385145244</v>
      </c>
      <c r="F44" s="3517">
        <v>6.6336085389678381</v>
      </c>
    </row>
    <row r="45" spans="1:6" ht="12.75" customHeight="1">
      <c r="A45" s="1219">
        <f t="shared" si="0"/>
        <v>2003.12</v>
      </c>
      <c r="B45" s="3518">
        <v>5.9205045550691251</v>
      </c>
      <c r="C45" s="3519">
        <v>9.1519047707196819</v>
      </c>
      <c r="D45" s="3515">
        <v>7.1274325356146075</v>
      </c>
      <c r="E45" s="3516">
        <v>4.8146027643505747</v>
      </c>
      <c r="F45" s="3517">
        <v>6.6666101326799989</v>
      </c>
    </row>
    <row r="46" spans="1:6" ht="12.75" customHeight="1">
      <c r="A46" s="1219">
        <f t="shared" si="0"/>
        <v>2004.01</v>
      </c>
      <c r="B46" s="3518">
        <v>6.1725153904016574</v>
      </c>
      <c r="C46" s="3519">
        <v>9.1725812005885761</v>
      </c>
      <c r="D46" s="3515">
        <v>7.293039970506471</v>
      </c>
      <c r="E46" s="3516">
        <v>4.856637576933891</v>
      </c>
      <c r="F46" s="3517">
        <v>6.8075806260044383</v>
      </c>
    </row>
    <row r="47" spans="1:6" ht="12.75" customHeight="1">
      <c r="A47" s="1219">
        <f t="shared" si="0"/>
        <v>2004.02</v>
      </c>
      <c r="B47" s="3518">
        <v>6.3282720872391236</v>
      </c>
      <c r="C47" s="3519">
        <v>9.1725812005885761</v>
      </c>
      <c r="D47" s="3515">
        <v>7.3906215410751441</v>
      </c>
      <c r="E47" s="3516">
        <v>4.9319307027699404</v>
      </c>
      <c r="F47" s="3517">
        <v>6.9007141051172356</v>
      </c>
    </row>
    <row r="48" spans="1:6" ht="12.75" customHeight="1">
      <c r="A48" s="1219">
        <f t="shared" si="0"/>
        <v>2004.03</v>
      </c>
      <c r="B48" s="3518">
        <v>6.3750866000526329</v>
      </c>
      <c r="C48" s="3519">
        <v>9.1725812005885761</v>
      </c>
      <c r="D48" s="3515">
        <v>7.4199508333528073</v>
      </c>
      <c r="E48" s="3516">
        <v>5.0658877978156731</v>
      </c>
      <c r="F48" s="3517">
        <v>6.9508939137871071</v>
      </c>
    </row>
    <row r="49" spans="1:6" ht="12.75" customHeight="1">
      <c r="A49" s="1219">
        <f t="shared" si="0"/>
        <v>2004.04</v>
      </c>
      <c r="B49" s="3518">
        <v>6.3921498336949387</v>
      </c>
      <c r="C49" s="3519">
        <v>9.1725812005885761</v>
      </c>
      <c r="D49" s="3515">
        <v>7.4306409492297121</v>
      </c>
      <c r="E49" s="3516">
        <v>5.1578100802780886</v>
      </c>
      <c r="F49" s="3517">
        <v>6.9777729426768467</v>
      </c>
    </row>
    <row r="50" spans="1:6" ht="12.75" customHeight="1">
      <c r="A50" s="1219">
        <f t="shared" si="0"/>
        <v>2004.05</v>
      </c>
      <c r="B50" s="3518">
        <v>6.4197135188094343</v>
      </c>
      <c r="C50" s="3519">
        <v>9.2819939753114777</v>
      </c>
      <c r="D50" s="3515">
        <v>7.4887752693129483</v>
      </c>
      <c r="E50" s="3516">
        <v>5.0825169544420392</v>
      </c>
      <c r="F50" s="3517">
        <v>7.0093183280707736</v>
      </c>
    </row>
    <row r="51" spans="1:6" ht="12.75" customHeight="1">
      <c r="A51" s="1219">
        <f t="shared" si="0"/>
        <v>2004.06</v>
      </c>
      <c r="B51" s="3518">
        <v>6.429776451470282</v>
      </c>
      <c r="C51" s="3519">
        <v>9.420698359015315</v>
      </c>
      <c r="D51" s="3515">
        <v>7.5468857839383521</v>
      </c>
      <c r="E51" s="3516">
        <v>4.9942900401188162</v>
      </c>
      <c r="F51" s="3517">
        <v>7.0382687522346545</v>
      </c>
    </row>
    <row r="52" spans="1:6" ht="12.75" customHeight="1">
      <c r="A52" s="1219">
        <f t="shared" si="0"/>
        <v>2004.07</v>
      </c>
      <c r="B52" s="3518">
        <v>6.4499023167919765</v>
      </c>
      <c r="C52" s="3519">
        <v>9.5266650620934019</v>
      </c>
      <c r="D52" s="3515">
        <v>7.5990732021620593</v>
      </c>
      <c r="E52" s="3516">
        <v>5.0478728781371087</v>
      </c>
      <c r="F52" s="3517">
        <v>7.0907375867877178</v>
      </c>
    </row>
    <row r="53" spans="1:6" ht="12.75" customHeight="1">
      <c r="A53" s="1219">
        <f t="shared" si="0"/>
        <v>2004.08</v>
      </c>
      <c r="B53" s="3518">
        <v>6.4704657009250131</v>
      </c>
      <c r="C53" s="3519">
        <v>9.5266650620934019</v>
      </c>
      <c r="D53" s="3515">
        <v>7.6119561623214063</v>
      </c>
      <c r="E53" s="3516">
        <v>5.2552754149492937</v>
      </c>
      <c r="F53" s="3517">
        <v>7.1423875058555177</v>
      </c>
    </row>
    <row r="54" spans="1:6" ht="12.75" customHeight="1">
      <c r="A54" s="1219">
        <f t="shared" si="0"/>
        <v>2004.09</v>
      </c>
      <c r="B54" s="3518">
        <v>6.4892790098126847</v>
      </c>
      <c r="C54" s="3519">
        <v>9.5266650620934019</v>
      </c>
      <c r="D54" s="3515">
        <v>7.6237427003395331</v>
      </c>
      <c r="E54" s="3516">
        <v>5.3033152007587976</v>
      </c>
      <c r="F54" s="3517">
        <v>7.1613985909054074</v>
      </c>
    </row>
    <row r="55" spans="1:6" ht="12.75" customHeight="1">
      <c r="A55" s="1219">
        <f t="shared" si="0"/>
        <v>2004.1</v>
      </c>
      <c r="B55" s="3518">
        <v>6.5269056275880279</v>
      </c>
      <c r="C55" s="3519">
        <v>9.5266650620934019</v>
      </c>
      <c r="D55" s="3515">
        <v>7.6473157763757857</v>
      </c>
      <c r="E55" s="3516">
        <v>5.2391081793403247</v>
      </c>
      <c r="F55" s="3517">
        <v>7.1674756430128177</v>
      </c>
    </row>
    <row r="56" spans="1:6" ht="12.75" customHeight="1">
      <c r="A56" s="1219">
        <f t="shared" si="0"/>
        <v>2004.11</v>
      </c>
      <c r="B56" s="3518">
        <v>6.5422187859849696</v>
      </c>
      <c r="C56" s="3519">
        <v>9.5438954203174831</v>
      </c>
      <c r="D56" s="3515">
        <v>7.6633450089081636</v>
      </c>
      <c r="E56" s="3516">
        <v>5.3065486478805903</v>
      </c>
      <c r="F56" s="3517">
        <v>7.1937512087896209</v>
      </c>
    </row>
    <row r="57" spans="1:6" ht="12.75" customHeight="1">
      <c r="A57" s="1219">
        <f t="shared" si="0"/>
        <v>2004.12</v>
      </c>
      <c r="B57" s="3518">
        <v>6.5719700651561714</v>
      </c>
      <c r="C57" s="3519">
        <v>9.5438954203174831</v>
      </c>
      <c r="D57" s="3515">
        <v>7.681984185308921</v>
      </c>
      <c r="E57" s="3516">
        <v>5.3698318272642638</v>
      </c>
      <c r="F57" s="3517">
        <v>7.221286788073062</v>
      </c>
    </row>
    <row r="58" spans="1:6" ht="12.75" customHeight="1">
      <c r="A58" s="1219">
        <f t="shared" si="0"/>
        <v>2005.01</v>
      </c>
      <c r="B58" s="3518">
        <v>6.9276728587765666</v>
      </c>
      <c r="C58" s="3519">
        <v>9.6937995368669707</v>
      </c>
      <c r="D58" s="3515">
        <v>7.9608211730433318</v>
      </c>
      <c r="E58" s="3516">
        <v>5.4234146652825563</v>
      </c>
      <c r="F58" s="3517">
        <v>7.45522269023005</v>
      </c>
    </row>
    <row r="59" spans="1:6" ht="12.75" customHeight="1">
      <c r="A59" s="1219">
        <f t="shared" si="0"/>
        <v>2005.02</v>
      </c>
      <c r="B59" s="3518">
        <v>7.054115795254174</v>
      </c>
      <c r="C59" s="3519">
        <v>10.121973938735339</v>
      </c>
      <c r="D59" s="3515">
        <v>8.1999608118443899</v>
      </c>
      <c r="E59" s="3516">
        <v>5.392927878134218</v>
      </c>
      <c r="F59" s="3517">
        <v>7.640637414087383</v>
      </c>
    </row>
    <row r="60" spans="1:6" ht="12.75" customHeight="1">
      <c r="A60" s="1219">
        <f t="shared" si="0"/>
        <v>2005.03</v>
      </c>
      <c r="B60" s="3518">
        <v>7.1175560228986487</v>
      </c>
      <c r="C60" s="3519">
        <v>10.133173671580993</v>
      </c>
      <c r="D60" s="3515">
        <v>8.2438892146815039</v>
      </c>
      <c r="E60" s="3516">
        <v>5.431267322578341</v>
      </c>
      <c r="F60" s="3517">
        <v>7.6834499236457008</v>
      </c>
    </row>
    <row r="61" spans="1:6" ht="12.75" customHeight="1">
      <c r="A61" s="1219">
        <f t="shared" si="0"/>
        <v>2005.04</v>
      </c>
      <c r="B61" s="3518">
        <v>7.2264982069226065</v>
      </c>
      <c r="C61" s="3519">
        <v>10.133173671580993</v>
      </c>
      <c r="D61" s="3515">
        <v>8.3121414929725148</v>
      </c>
      <c r="E61" s="3516">
        <v>5.5629148125370786</v>
      </c>
      <c r="F61" s="3517">
        <v>7.7643326679008942</v>
      </c>
    </row>
    <row r="62" spans="1:6" ht="12.75" customHeight="1">
      <c r="A62" s="1219">
        <f t="shared" si="0"/>
        <v>2005.05</v>
      </c>
      <c r="B62" s="3518">
        <v>7.3678167829858152</v>
      </c>
      <c r="C62" s="3519">
        <v>10.133173671580993</v>
      </c>
      <c r="D62" s="3515">
        <v>8.4006775808761134</v>
      </c>
      <c r="E62" s="3516">
        <v>5.6913288553740209</v>
      </c>
      <c r="F62" s="3517">
        <v>7.8608109843916019</v>
      </c>
    </row>
    <row r="63" spans="1:6" ht="12.75" customHeight="1">
      <c r="A63" s="1219">
        <f t="shared" si="0"/>
        <v>2005.06</v>
      </c>
      <c r="B63" s="3518">
        <v>7.4688836284056332</v>
      </c>
      <c r="C63" s="3519">
        <v>10.133173671580993</v>
      </c>
      <c r="D63" s="3515">
        <v>8.4639959595316299</v>
      </c>
      <c r="E63" s="3516">
        <v>5.7162725903135723</v>
      </c>
      <c r="F63" s="3517">
        <v>7.9164774004276346</v>
      </c>
    </row>
    <row r="64" spans="1:6" ht="12.75" customHeight="1">
      <c r="A64" s="1219">
        <f t="shared" si="0"/>
        <v>2005.07</v>
      </c>
      <c r="B64" s="3518">
        <v>7.6172025054503001</v>
      </c>
      <c r="C64" s="3519">
        <v>10.328738237424293</v>
      </c>
      <c r="D64" s="3515">
        <v>8.6299611013425874</v>
      </c>
      <c r="E64" s="3516">
        <v>5.7176583533657697</v>
      </c>
      <c r="F64" s="3517">
        <v>8.0496436933732749</v>
      </c>
    </row>
    <row r="65" spans="1:6" ht="12.75" customHeight="1">
      <c r="A65" s="1219">
        <f t="shared" si="0"/>
        <v>2005.08</v>
      </c>
      <c r="B65" s="3518">
        <v>7.7904599547414159</v>
      </c>
      <c r="C65" s="3519">
        <v>10.470027174861743</v>
      </c>
      <c r="D65" s="3515">
        <v>8.7912783114563577</v>
      </c>
      <c r="E65" s="3516">
        <v>5.6663851204344731</v>
      </c>
      <c r="F65" s="3517">
        <v>8.1685903958020329</v>
      </c>
    </row>
    <row r="66" spans="1:6" ht="12.75" customHeight="1">
      <c r="A66" s="1219">
        <f t="shared" si="0"/>
        <v>2005.09</v>
      </c>
      <c r="B66" s="3518">
        <v>7.9120901842942706</v>
      </c>
      <c r="C66" s="3519">
        <v>10.687991206396344</v>
      </c>
      <c r="D66" s="3515">
        <v>8.9488892160493947</v>
      </c>
      <c r="E66" s="3516">
        <v>5.8155856090543745</v>
      </c>
      <c r="F66" s="3517">
        <v>8.3245288181596884</v>
      </c>
    </row>
    <row r="67" spans="1:6" ht="12.75" customHeight="1">
      <c r="A67" s="1219">
        <f t="shared" si="0"/>
        <v>2005.1</v>
      </c>
      <c r="B67" s="3518">
        <v>8.0765972573585607</v>
      </c>
      <c r="C67" s="3519">
        <v>10.774142997516741</v>
      </c>
      <c r="D67" s="3515">
        <v>9.0841305913076411</v>
      </c>
      <c r="E67" s="3516">
        <v>5.8068091097237913</v>
      </c>
      <c r="F67" s="3517">
        <v>8.431064410416262</v>
      </c>
    </row>
    <row r="68" spans="1:6" ht="12.75" customHeight="1">
      <c r="A68" s="1219">
        <f t="shared" si="0"/>
        <v>2005.11</v>
      </c>
      <c r="B68" s="3518">
        <v>8.151850492909249</v>
      </c>
      <c r="C68" s="3519">
        <v>10.774142997516741</v>
      </c>
      <c r="D68" s="3515">
        <v>9.1312767433801465</v>
      </c>
      <c r="E68" s="3516">
        <v>5.9592430454654863</v>
      </c>
      <c r="F68" s="3517">
        <v>8.4991915167618064</v>
      </c>
    </row>
    <row r="69" spans="1:6" ht="12.75" customHeight="1">
      <c r="A69" s="1219">
        <f t="shared" si="0"/>
        <v>2005.12</v>
      </c>
      <c r="B69" s="3518">
        <v>8.2778559105755143</v>
      </c>
      <c r="C69" s="3519">
        <v>10.774142997516741</v>
      </c>
      <c r="D69" s="3515">
        <v>9.2102191375480622</v>
      </c>
      <c r="E69" s="3516">
        <v>6.0456222757191131</v>
      </c>
      <c r="F69" s="3517">
        <v>8.5796112148527541</v>
      </c>
    </row>
    <row r="70" spans="1:6" ht="12.75" customHeight="1">
      <c r="A70" s="1219">
        <f t="shared" si="0"/>
        <v>2006.01</v>
      </c>
      <c r="B70" s="3518">
        <v>8.3990486213170268</v>
      </c>
      <c r="C70" s="3519">
        <v>10.837895322945833</v>
      </c>
      <c r="D70" s="3515">
        <v>9.3099578643753844</v>
      </c>
      <c r="E70" s="3516">
        <v>6.2909023359580232</v>
      </c>
      <c r="F70" s="3517">
        <v>8.7083541151021535</v>
      </c>
    </row>
    <row r="71" spans="1:6" ht="12.75" customHeight="1">
      <c r="A71" s="1219">
        <f t="shared" si="0"/>
        <v>2006.02</v>
      </c>
      <c r="B71" s="3518">
        <v>8.5128035122657391</v>
      </c>
      <c r="C71" s="3519">
        <v>10.837895322945833</v>
      </c>
      <c r="D71" s="3515">
        <v>9.3812253035547535</v>
      </c>
      <c r="E71" s="3516">
        <v>6.3426374899067204</v>
      </c>
      <c r="F71" s="3517">
        <v>8.7757243845840023</v>
      </c>
    </row>
    <row r="72" spans="1:6" ht="12.75" customHeight="1">
      <c r="A72" s="1219">
        <f t="shared" si="0"/>
        <v>2006.03</v>
      </c>
      <c r="B72" s="3518">
        <v>8.6134328388742141</v>
      </c>
      <c r="C72" s="3519">
        <v>10.854264163258707</v>
      </c>
      <c r="D72" s="3515">
        <v>9.4503833385318234</v>
      </c>
      <c r="E72" s="3516">
        <v>6.384210381472637</v>
      </c>
      <c r="F72" s="3517">
        <v>8.8393814522374807</v>
      </c>
    </row>
    <row r="73" spans="1:6" ht="12.75" customHeight="1">
      <c r="A73" s="1219">
        <f t="shared" si="0"/>
        <v>2006.04</v>
      </c>
      <c r="B73" s="3518">
        <v>8.784940212919965</v>
      </c>
      <c r="C73" s="3519">
        <v>10.871494521482788</v>
      </c>
      <c r="D73" s="3515">
        <v>9.5642682471681795</v>
      </c>
      <c r="E73" s="3516">
        <v>6.5315631860229431</v>
      </c>
      <c r="F73" s="3517">
        <v>8.959930565150529</v>
      </c>
    </row>
    <row r="74" spans="1:6" ht="12.75" customHeight="1">
      <c r="A74" s="1219">
        <f t="shared" si="0"/>
        <v>2006.05</v>
      </c>
      <c r="B74" s="3518">
        <v>8.9271338266058553</v>
      </c>
      <c r="C74" s="3519">
        <v>10.991245511140139</v>
      </c>
      <c r="D74" s="3515">
        <v>9.6980795407794105</v>
      </c>
      <c r="E74" s="3516">
        <v>6.6488911244423079</v>
      </c>
      <c r="F74" s="3517">
        <v>9.0904558609088646</v>
      </c>
    </row>
    <row r="75" spans="1:6" ht="12.75" customHeight="1">
      <c r="A75" s="1219">
        <f t="shared" si="0"/>
        <v>2006.06</v>
      </c>
      <c r="B75" s="3518">
        <v>9.0554580939722324</v>
      </c>
      <c r="C75" s="3519">
        <v>11.078258820171738</v>
      </c>
      <c r="D75" s="3515">
        <v>9.8109741652077496</v>
      </c>
      <c r="E75" s="3516">
        <v>6.7186411980695677</v>
      </c>
      <c r="F75" s="3517">
        <v>9.1947501838251036</v>
      </c>
    </row>
    <row r="76" spans="1:6" ht="12.75" customHeight="1">
      <c r="A76" s="1219">
        <f t="shared" si="0"/>
        <v>2006.07</v>
      </c>
      <c r="B76" s="3518">
        <v>9.2745237628107713</v>
      </c>
      <c r="C76" s="3519">
        <v>11.299668923351154</v>
      </c>
      <c r="D76" s="3515">
        <v>10.030915480272604</v>
      </c>
      <c r="E76" s="3516">
        <v>6.7107885407737848</v>
      </c>
      <c r="F76" s="3517">
        <v>9.3692922505764287</v>
      </c>
    </row>
    <row r="77" spans="1:6" ht="12.75" customHeight="1">
      <c r="A77" s="1219">
        <f t="shared" si="0"/>
        <v>2006.08</v>
      </c>
      <c r="B77" s="3518">
        <v>9.4364057230070149</v>
      </c>
      <c r="C77" s="3519">
        <v>11.419419913008506</v>
      </c>
      <c r="D77" s="3515">
        <v>10.177061522972572</v>
      </c>
      <c r="E77" s="3516">
        <v>6.788853192714229</v>
      </c>
      <c r="F77" s="3517">
        <v>9.5018680479491096</v>
      </c>
    </row>
    <row r="78" spans="1:6" ht="12.75" customHeight="1">
      <c r="A78" s="1219">
        <f t="shared" si="0"/>
        <v>2006.09</v>
      </c>
      <c r="B78" s="3518">
        <v>9.5365975308041495</v>
      </c>
      <c r="C78" s="3519">
        <v>11.853624940255301</v>
      </c>
      <c r="D78" s="3515">
        <v>10.402007268234154</v>
      </c>
      <c r="E78" s="3516">
        <v>6.9791646518826482</v>
      </c>
      <c r="F78" s="3517">
        <v>9.7199240562019344</v>
      </c>
    </row>
    <row r="79" spans="1:6" ht="12.75" customHeight="1">
      <c r="A79" s="1219">
        <f t="shared" si="0"/>
        <v>2006.1</v>
      </c>
      <c r="B79" s="3518">
        <v>9.6766035504333328</v>
      </c>
      <c r="C79" s="3519">
        <v>12.20340121220411</v>
      </c>
      <c r="D79" s="3515">
        <v>10.620362477104718</v>
      </c>
      <c r="E79" s="3516">
        <v>7.0817111177452423</v>
      </c>
      <c r="F79" s="3517">
        <v>9.9152066692342355</v>
      </c>
    </row>
    <row r="80" spans="1:6" ht="12.75" customHeight="1">
      <c r="A80" s="1219">
        <f t="shared" si="0"/>
        <v>2006.11</v>
      </c>
      <c r="B80" s="3518">
        <v>9.753606861229386</v>
      </c>
      <c r="C80" s="3519">
        <v>12.435149530317974</v>
      </c>
      <c r="D80" s="3515">
        <v>10.755163048133973</v>
      </c>
      <c r="E80" s="3516">
        <v>7.2771037081050522</v>
      </c>
      <c r="F80" s="3517">
        <v>10.062089195136103</v>
      </c>
    </row>
    <row r="81" spans="1:6" ht="12.75" customHeight="1">
      <c r="A81" s="1219">
        <f t="shared" si="0"/>
        <v>2006.12</v>
      </c>
      <c r="B81" s="3518">
        <v>9.8870500986884515</v>
      </c>
      <c r="C81" s="3519">
        <v>12.52991650055041</v>
      </c>
      <c r="D81" s="3515">
        <v>10.874160699783893</v>
      </c>
      <c r="E81" s="3516">
        <v>7.2932709437140195</v>
      </c>
      <c r="F81" s="3517">
        <v>10.160591253898959</v>
      </c>
    </row>
    <row r="82" spans="1:6" ht="12.75" customHeight="1">
      <c r="A82" s="1219">
        <f t="shared" si="0"/>
        <v>2007.01</v>
      </c>
      <c r="B82" s="3518">
        <v>9.979804086692786</v>
      </c>
      <c r="C82" s="3519">
        <v>12.627268024516454</v>
      </c>
      <c r="D82" s="3515">
        <v>10.968631867469925</v>
      </c>
      <c r="E82" s="3516">
        <v>7.5348556358137371</v>
      </c>
      <c r="F82" s="3517">
        <v>10.284382324235651</v>
      </c>
    </row>
    <row r="83" spans="1:6" ht="12.75" customHeight="1">
      <c r="A83" s="1219">
        <f t="shared" si="0"/>
        <v>2007.02</v>
      </c>
      <c r="B83" s="3518">
        <v>10.06862040539505</v>
      </c>
      <c r="C83" s="3519">
        <v>12.73926535297297</v>
      </c>
      <c r="D83" s="3515">
        <v>11.066106293315404</v>
      </c>
      <c r="E83" s="3516">
        <v>7.730248226173547</v>
      </c>
      <c r="F83" s="3517">
        <v>10.401372733896761</v>
      </c>
    </row>
    <row r="84" spans="1:6" ht="12.75" customHeight="1">
      <c r="A84" s="1219">
        <f t="shared" si="0"/>
        <v>2007.03</v>
      </c>
      <c r="B84" s="3518">
        <v>10.165749581512797</v>
      </c>
      <c r="C84" s="3519">
        <v>12.846390932620322</v>
      </c>
      <c r="D84" s="3515">
        <v>11.166969126151457</v>
      </c>
      <c r="E84" s="3516">
        <v>7.8337185340709397</v>
      </c>
      <c r="F84" s="3517">
        <v>10.502755621873895</v>
      </c>
    </row>
    <row r="85" spans="1:6" ht="12.75" customHeight="1">
      <c r="A85" s="1219">
        <f t="shared" si="0"/>
        <v>2007.04</v>
      </c>
      <c r="B85" s="3518">
        <v>10.330256654577092</v>
      </c>
      <c r="C85" s="3519">
        <v>12.983936439754894</v>
      </c>
      <c r="D85" s="3515">
        <v>11.321406054341001</v>
      </c>
      <c r="E85" s="3516">
        <v>7.9815332596386437</v>
      </c>
      <c r="F85" s="3517">
        <v>10.655871705712538</v>
      </c>
    </row>
    <row r="86" spans="1:6" ht="12.75" customHeight="1">
      <c r="A86" s="1219">
        <f t="shared" si="0"/>
        <v>2007.05</v>
      </c>
      <c r="B86" s="3518">
        <v>10.520577337510515</v>
      </c>
      <c r="C86" s="3519">
        <v>13.124363859281141</v>
      </c>
      <c r="D86" s="3515">
        <v>11.493091603391845</v>
      </c>
      <c r="E86" s="3516">
        <v>8.0018577844042031</v>
      </c>
      <c r="F86" s="3517">
        <v>10.797389079238021</v>
      </c>
    </row>
    <row r="87" spans="1:6" ht="12.75" customHeight="1">
      <c r="A87" s="1219">
        <f t="shared" si="0"/>
        <v>2007.06</v>
      </c>
      <c r="B87" s="3518">
        <v>10.757275014446103</v>
      </c>
      <c r="C87" s="3519">
        <v>13.735180058324749</v>
      </c>
      <c r="D87" s="3515">
        <v>11.869522548334777</v>
      </c>
      <c r="E87" s="3516">
        <v>8.0623694376834827</v>
      </c>
      <c r="F87" s="3517">
        <v>11.110871731621417</v>
      </c>
    </row>
    <row r="88" spans="1:6" ht="12.75" customHeight="1">
      <c r="A88" s="1219">
        <f t="shared" si="0"/>
        <v>2007.07</v>
      </c>
      <c r="B88" s="3518">
        <v>10.96072126171976</v>
      </c>
      <c r="C88" s="3519">
        <v>14.271905717004815</v>
      </c>
      <c r="D88" s="3515">
        <v>12.197448655768728</v>
      </c>
      <c r="E88" s="3516">
        <v>8.1755400869462562</v>
      </c>
      <c r="F88" s="3517">
        <v>11.39600992416316</v>
      </c>
    </row>
    <row r="89" spans="1:6" ht="12.75" customHeight="1">
      <c r="A89" s="1219">
        <f t="shared" si="0"/>
        <v>2007.08</v>
      </c>
      <c r="B89" s="3518">
        <v>11.16941773472951</v>
      </c>
      <c r="C89" s="3519">
        <v>15.366033464233848</v>
      </c>
      <c r="D89" s="3515">
        <v>12.73685370969938</v>
      </c>
      <c r="E89" s="3516">
        <v>8.467012248925073</v>
      </c>
      <c r="F89" s="3517">
        <v>11.886036086103434</v>
      </c>
    </row>
    <row r="90" spans="1:6" ht="12.75" customHeight="1">
      <c r="A90" s="1219">
        <f t="shared" si="0"/>
        <v>2007.09</v>
      </c>
      <c r="B90" s="3518">
        <v>11.361926011719637</v>
      </c>
      <c r="C90" s="3519">
        <v>15.411693913527655</v>
      </c>
      <c r="D90" s="3515">
        <v>12.874514323044933</v>
      </c>
      <c r="E90" s="3516">
        <v>8.593116686675021</v>
      </c>
      <c r="F90" s="3517">
        <v>12.021387892669022</v>
      </c>
    </row>
    <row r="91" spans="1:6" ht="12.75" customHeight="1">
      <c r="A91" s="1219">
        <f t="shared" si="0"/>
        <v>2007.1</v>
      </c>
      <c r="B91" s="3518">
        <v>11.570622484729389</v>
      </c>
      <c r="C91" s="3519">
        <v>15.617596694305405</v>
      </c>
      <c r="D91" s="3515">
        <v>13.082167352006032</v>
      </c>
      <c r="E91" s="3516">
        <v>8.753403279712499</v>
      </c>
      <c r="F91" s="3517">
        <v>12.219600683253708</v>
      </c>
    </row>
    <row r="92" spans="1:6" ht="12.75" customHeight="1">
      <c r="A92" s="1219">
        <f t="shared" si="0"/>
        <v>2007.11</v>
      </c>
      <c r="B92" s="3518">
        <v>11.713253617226622</v>
      </c>
      <c r="C92" s="3519">
        <v>15.891559390068265</v>
      </c>
      <c r="D92" s="3515">
        <v>13.273850823382976</v>
      </c>
      <c r="E92" s="3516">
        <v>8.8965987951062147</v>
      </c>
      <c r="F92" s="3517">
        <v>12.401625567834961</v>
      </c>
    </row>
    <row r="93" spans="1:6" ht="12.75" customHeight="1">
      <c r="A93" s="1219">
        <f t="shared" si="0"/>
        <v>2007.12</v>
      </c>
      <c r="B93" s="3518">
        <v>11.869010314064086</v>
      </c>
      <c r="C93" s="3519">
        <v>16.091431545467582</v>
      </c>
      <c r="D93" s="3515">
        <v>13.44608464399329</v>
      </c>
      <c r="E93" s="3516">
        <v>9.0531900200045001</v>
      </c>
      <c r="F93" s="3517">
        <v>12.570743519770797</v>
      </c>
    </row>
    <row r="94" spans="1:6" ht="12.75" customHeight="1">
      <c r="A94" s="1219">
        <f t="shared" si="0"/>
        <v>2008.01</v>
      </c>
      <c r="B94" s="3518">
        <v>11.514620076877716</v>
      </c>
      <c r="C94" s="3519">
        <v>16.091431545467582</v>
      </c>
      <c r="D94" s="3515">
        <v>13.224059160396031</v>
      </c>
      <c r="E94" s="3516">
        <v>9.2767597924256542</v>
      </c>
      <c r="F94" s="3517">
        <v>12.437538832441648</v>
      </c>
    </row>
    <row r="95" spans="1:6" ht="12.75" customHeight="1">
      <c r="A95" s="1219">
        <f t="shared" si="0"/>
        <v>2008.02</v>
      </c>
      <c r="B95" s="3518">
        <v>11.613499328240826</v>
      </c>
      <c r="C95" s="3519">
        <v>16.617818989213202</v>
      </c>
      <c r="D95" s="3515">
        <v>13.482612721614009</v>
      </c>
      <c r="E95" s="3516">
        <v>9.6726261043366613</v>
      </c>
      <c r="F95" s="3517">
        <v>12.723475305313563</v>
      </c>
    </row>
    <row r="96" spans="1:6" ht="12.75" customHeight="1">
      <c r="A96" s="1219">
        <f t="shared" si="0"/>
        <v>2008.03</v>
      </c>
      <c r="B96" s="3518">
        <v>11.747380084511233</v>
      </c>
      <c r="C96" s="3519">
        <v>16.642803008638118</v>
      </c>
      <c r="D96" s="3515">
        <v>13.575820546672626</v>
      </c>
      <c r="E96" s="3516">
        <v>9.9622505822458827</v>
      </c>
      <c r="F96" s="3517">
        <v>12.855824771316099</v>
      </c>
    </row>
    <row r="97" spans="1:6" ht="12.75" customHeight="1">
      <c r="A97" s="1219">
        <f t="shared" si="0"/>
        <v>2008.04</v>
      </c>
      <c r="B97" s="3518">
        <v>12.127583931566736</v>
      </c>
      <c r="C97" s="3519">
        <v>16.704832298244803</v>
      </c>
      <c r="D97" s="3515">
        <v>13.837186196520992</v>
      </c>
      <c r="E97" s="3516">
        <v>10.280976084251247</v>
      </c>
      <c r="F97" s="3517">
        <v>13.128609974070168</v>
      </c>
    </row>
    <row r="98" spans="1:6" ht="12.75" customHeight="1">
      <c r="A98" s="1219">
        <f t="shared" si="0"/>
        <v>2008.05</v>
      </c>
      <c r="B98" s="3518">
        <v>12.499037402395418</v>
      </c>
      <c r="C98" s="3519">
        <v>16.827167841635767</v>
      </c>
      <c r="D98" s="3515">
        <v>14.115594121451688</v>
      </c>
      <c r="E98" s="3516">
        <v>10.572448246230065</v>
      </c>
      <c r="F98" s="3517">
        <v>13.409611997948453</v>
      </c>
    </row>
    <row r="99" spans="1:6" ht="12.75" customHeight="1">
      <c r="A99" s="1219">
        <f t="shared" ref="A99:A162" si="1">A87+1</f>
        <v>2008.06</v>
      </c>
      <c r="B99" s="3518">
        <v>12.692858235819568</v>
      </c>
      <c r="C99" s="3519">
        <v>17.325125194311656</v>
      </c>
      <c r="D99" s="3515">
        <v>14.423009944816362</v>
      </c>
      <c r="E99" s="3516">
        <v>10.854220066843501</v>
      </c>
      <c r="F99" s="3517">
        <v>13.711928696027622</v>
      </c>
    </row>
    <row r="100" spans="1:6" ht="12.75" customHeight="1">
      <c r="A100" s="1219">
        <f t="shared" si="1"/>
        <v>2008.07</v>
      </c>
      <c r="B100" s="3518">
        <v>13.070874488818365</v>
      </c>
      <c r="C100" s="3519">
        <v>17.530166457178197</v>
      </c>
      <c r="D100" s="3515">
        <v>14.736420039000764</v>
      </c>
      <c r="E100" s="3516">
        <v>11.044069604994522</v>
      </c>
      <c r="F100" s="3517">
        <v>14.000706503208699</v>
      </c>
    </row>
    <row r="101" spans="1:6" ht="12.75" customHeight="1">
      <c r="A101" s="1219">
        <f t="shared" si="1"/>
        <v>2008.08</v>
      </c>
      <c r="B101" s="3518">
        <v>13.374950062700499</v>
      </c>
      <c r="C101" s="3519">
        <v>19.091236912279776</v>
      </c>
      <c r="D101" s="3515">
        <v>15.509983201018358</v>
      </c>
      <c r="E101" s="3516">
        <v>11.404367998565801</v>
      </c>
      <c r="F101" s="3517">
        <v>14.691954454027615</v>
      </c>
    </row>
    <row r="102" spans="1:6" ht="12.75" customHeight="1">
      <c r="A102" s="1219">
        <f t="shared" si="1"/>
        <v>2008.09</v>
      </c>
      <c r="B102" s="3518">
        <v>13.606397513899994</v>
      </c>
      <c r="C102" s="3519">
        <v>19.248894690030099</v>
      </c>
      <c r="D102" s="3515">
        <v>15.713870209184588</v>
      </c>
      <c r="E102" s="3516">
        <v>11.781295548763449</v>
      </c>
      <c r="F102" s="3517">
        <v>14.930325597628796</v>
      </c>
    </row>
    <row r="103" spans="1:6" ht="12.75" customHeight="1">
      <c r="A103" s="1219">
        <f t="shared" si="1"/>
        <v>2008.1</v>
      </c>
      <c r="B103" s="3518">
        <v>13.827782032438643</v>
      </c>
      <c r="C103" s="3519">
        <v>19.248894690030099</v>
      </c>
      <c r="D103" s="3515">
        <v>15.852567610049052</v>
      </c>
      <c r="E103" s="3516">
        <v>12.191943333231228</v>
      </c>
      <c r="F103" s="3517">
        <v>15.123214175572208</v>
      </c>
    </row>
    <row r="104" spans="1:6" ht="12.75" customHeight="1">
      <c r="A104" s="1219">
        <f t="shared" si="1"/>
        <v>2008.11</v>
      </c>
      <c r="B104" s="3518">
        <v>13.962100307520391</v>
      </c>
      <c r="C104" s="3519">
        <v>19.248894690030099</v>
      </c>
      <c r="D104" s="3515">
        <v>15.936718009387768</v>
      </c>
      <c r="E104" s="3516">
        <v>12.303266298424406</v>
      </c>
      <c r="F104" s="3517">
        <v>15.212774889316215</v>
      </c>
    </row>
    <row r="105" spans="1:6" ht="12.75" customHeight="1">
      <c r="A105" s="1219">
        <f t="shared" si="1"/>
        <v>2008.12</v>
      </c>
      <c r="B105" s="3518">
        <v>14.071042491544352</v>
      </c>
      <c r="C105" s="3519">
        <v>19.498734884279248</v>
      </c>
      <c r="D105" s="3515">
        <v>16.098285600230835</v>
      </c>
      <c r="E105" s="3516">
        <v>12.450619102974713</v>
      </c>
      <c r="F105" s="3517">
        <v>15.371514904869427</v>
      </c>
    </row>
    <row r="106" spans="1:6" ht="12.75" customHeight="1">
      <c r="A106" s="1219">
        <f t="shared" si="1"/>
        <v>2009.01</v>
      </c>
      <c r="B106" s="3518">
        <v>14.192235202285863</v>
      </c>
      <c r="C106" s="3519">
        <v>19.54439533357306</v>
      </c>
      <c r="D106" s="3515">
        <v>16.191267011321631</v>
      </c>
      <c r="E106" s="3516">
        <v>12.836995088837533</v>
      </c>
      <c r="F106" s="3517">
        <v>15.52296694294361</v>
      </c>
    </row>
    <row r="107" spans="1:6" ht="12.75" customHeight="1">
      <c r="A107" s="1219">
        <f t="shared" si="1"/>
        <v>2009.02</v>
      </c>
      <c r="B107" s="3518">
        <v>14.256550467553021</v>
      </c>
      <c r="C107" s="3519">
        <v>19.544395333573057</v>
      </c>
      <c r="D107" s="3515">
        <v>16.231560525011506</v>
      </c>
      <c r="E107" s="3516">
        <v>13.349774404105503</v>
      </c>
      <c r="F107" s="3517">
        <v>15.657424397534523</v>
      </c>
    </row>
    <row r="108" spans="1:6" ht="12.75" customHeight="1">
      <c r="A108" s="1219">
        <f t="shared" si="1"/>
        <v>2009.03</v>
      </c>
      <c r="B108" s="3518">
        <v>14.340991598141871</v>
      </c>
      <c r="C108" s="3519">
        <v>19.621931945581412</v>
      </c>
      <c r="D108" s="3515">
        <v>16.313422817910542</v>
      </c>
      <c r="E108" s="3516">
        <v>13.458068841922097</v>
      </c>
      <c r="F108" s="3517">
        <v>15.744554350746437</v>
      </c>
    </row>
    <row r="109" spans="1:6" ht="12.75" customHeight="1">
      <c r="A109" s="1219">
        <f t="shared" si="1"/>
        <v>2009.04</v>
      </c>
      <c r="B109" s="3518">
        <v>14.527374611773226</v>
      </c>
      <c r="C109" s="3519">
        <v>19.652946590384758</v>
      </c>
      <c r="D109" s="3515">
        <v>16.441775745784636</v>
      </c>
      <c r="E109" s="3516">
        <v>13.855320916885301</v>
      </c>
      <c r="F109" s="3517">
        <v>15.92649288918477</v>
      </c>
    </row>
    <row r="110" spans="1:6" ht="12.75" customHeight="1">
      <c r="A110" s="1219">
        <f t="shared" si="1"/>
        <v>2009.05</v>
      </c>
      <c r="B110" s="3518">
        <v>14.73344597191493</v>
      </c>
      <c r="C110" s="3519">
        <v>19.777005169598127</v>
      </c>
      <c r="D110" s="3515">
        <v>16.617215332249604</v>
      </c>
      <c r="E110" s="3516">
        <v>13.798042710727817</v>
      </c>
      <c r="F110" s="3517">
        <v>16.055548657987384</v>
      </c>
    </row>
    <row r="111" spans="1:6" ht="12.75" customHeight="1">
      <c r="A111" s="1219">
        <f t="shared" si="1"/>
        <v>2009.06</v>
      </c>
      <c r="B111" s="3518">
        <v>15.018708236909394</v>
      </c>
      <c r="C111" s="3519">
        <v>19.955339377217346</v>
      </c>
      <c r="D111" s="3515">
        <v>16.862539967814413</v>
      </c>
      <c r="E111" s="3516">
        <v>13.931075963738749</v>
      </c>
      <c r="F111" s="3517">
        <v>16.278489498932593</v>
      </c>
    </row>
    <row r="112" spans="1:6" ht="12.75" customHeight="1">
      <c r="A112" s="1219">
        <f t="shared" si="1"/>
        <v>2009.07</v>
      </c>
      <c r="B112" s="3518">
        <v>15.365660654302964</v>
      </c>
      <c r="C112" s="3519">
        <v>20.555817361326508</v>
      </c>
      <c r="D112" s="3515">
        <v>17.304184184376258</v>
      </c>
      <c r="E112" s="3516">
        <v>14.068728426923675</v>
      </c>
      <c r="F112" s="3517">
        <v>16.659557932457016</v>
      </c>
    </row>
    <row r="113" spans="1:6" ht="12.75" customHeight="1">
      <c r="A113" s="1219">
        <f t="shared" si="1"/>
        <v>2009.08</v>
      </c>
      <c r="B113" s="3518">
        <v>15.625109309428298</v>
      </c>
      <c r="C113" s="3519">
        <v>20.792734786907598</v>
      </c>
      <c r="D113" s="3515">
        <v>17.555217425266815</v>
      </c>
      <c r="E113" s="3516">
        <v>14.242410729465728</v>
      </c>
      <c r="F113" s="3517">
        <v>16.895174262755816</v>
      </c>
    </row>
    <row r="114" spans="1:6" ht="12.75" customHeight="1">
      <c r="A114" s="1219">
        <f t="shared" si="1"/>
        <v>2009.09</v>
      </c>
      <c r="B114" s="3518">
        <v>15.854806685382428</v>
      </c>
      <c r="C114" s="3519">
        <v>21.039990427423135</v>
      </c>
      <c r="D114" s="3515">
        <v>17.79147281303463</v>
      </c>
      <c r="E114" s="3516">
        <v>14.713108246195388</v>
      </c>
      <c r="F114" s="3517">
        <v>17.178154643696825</v>
      </c>
    </row>
    <row r="115" spans="1:6" ht="12.75" customHeight="1">
      <c r="A115" s="1219">
        <f t="shared" si="1"/>
        <v>2009.1</v>
      </c>
      <c r="B115" s="3518">
        <v>16.154507071151151</v>
      </c>
      <c r="C115" s="3519">
        <v>21.730066274297503</v>
      </c>
      <c r="D115" s="3515">
        <v>18.236978433526314</v>
      </c>
      <c r="E115" s="3516">
        <v>14.543121311792527</v>
      </c>
      <c r="F115" s="3517">
        <v>17.501007646972049</v>
      </c>
    </row>
    <row r="116" spans="1:6" ht="12.75" customHeight="1">
      <c r="A116" s="1219">
        <f t="shared" si="1"/>
        <v>2009.11</v>
      </c>
      <c r="B116" s="3518">
        <v>16.287512789798875</v>
      </c>
      <c r="C116" s="3519">
        <v>21.730066274297503</v>
      </c>
      <c r="D116" s="3515">
        <v>18.320306516259112</v>
      </c>
      <c r="E116" s="3516">
        <v>14.939911465738335</v>
      </c>
      <c r="F116" s="3517">
        <v>17.646803593127146</v>
      </c>
    </row>
    <row r="117" spans="1:6" ht="12.75" customHeight="1">
      <c r="A117" s="1219">
        <f t="shared" si="1"/>
        <v>2009.12</v>
      </c>
      <c r="B117" s="3518">
        <v>16.504084601412771</v>
      </c>
      <c r="C117" s="3519">
        <v>21.730066274297503</v>
      </c>
      <c r="D117" s="3515">
        <v>18.455988756235218</v>
      </c>
      <c r="E117" s="3516">
        <v>15.130684845924153</v>
      </c>
      <c r="F117" s="3517">
        <v>17.793457148503713</v>
      </c>
    </row>
    <row r="118" spans="1:6" ht="12.75" customHeight="1">
      <c r="A118" s="1219">
        <f t="shared" si="1"/>
        <v>2010.01</v>
      </c>
      <c r="B118" s="3518">
        <v>16.746470022895792</v>
      </c>
      <c r="C118" s="3519">
        <v>21.773142169857703</v>
      </c>
      <c r="D118" s="3515">
        <v>18.623932069786068</v>
      </c>
      <c r="E118" s="3516">
        <v>15.542856969749351</v>
      </c>
      <c r="F118" s="3517">
        <v>18.010067580560015</v>
      </c>
    </row>
    <row r="119" spans="1:6" ht="12.75" customHeight="1">
      <c r="A119" s="1219">
        <f t="shared" si="1"/>
        <v>2010.02</v>
      </c>
      <c r="B119" s="3518">
        <v>16.998918377039665</v>
      </c>
      <c r="C119" s="3519">
        <v>21.854124853510875</v>
      </c>
      <c r="D119" s="3515">
        <v>18.812337996001663</v>
      </c>
      <c r="E119" s="3516">
        <v>15.745501720082327</v>
      </c>
      <c r="F119" s="3517">
        <v>18.201304694420607</v>
      </c>
    </row>
    <row r="120" spans="1:6" ht="12.75" customHeight="1">
      <c r="A120" s="1219">
        <f t="shared" si="1"/>
        <v>2010.03</v>
      </c>
      <c r="B120" s="3518">
        <v>17.381747336963215</v>
      </c>
      <c r="C120" s="3519">
        <v>22.464079534643279</v>
      </c>
      <c r="D120" s="3515">
        <v>19.279998412796719</v>
      </c>
      <c r="E120" s="3516">
        <v>15.805089531326809</v>
      </c>
      <c r="F120" s="3517">
        <v>18.587644996625986</v>
      </c>
    </row>
    <row r="121" spans="1:6" ht="12.75" customHeight="1">
      <c r="A121" s="1219">
        <f t="shared" si="1"/>
        <v>2010.04</v>
      </c>
      <c r="B121" s="3518">
        <v>17.75845103352799</v>
      </c>
      <c r="C121" s="3519">
        <v>22.464079534643279</v>
      </c>
      <c r="D121" s="3515">
        <v>19.516003278694551</v>
      </c>
      <c r="E121" s="3516">
        <v>15.988010254216842</v>
      </c>
      <c r="F121" s="3517">
        <v>18.813055670894858</v>
      </c>
    </row>
    <row r="122" spans="1:6" ht="12.75" customHeight="1">
      <c r="A122" s="1219">
        <f t="shared" si="1"/>
        <v>2010.05</v>
      </c>
      <c r="B122" s="3518">
        <v>18.143467587508248</v>
      </c>
      <c r="C122" s="3519">
        <v>22.759580178186241</v>
      </c>
      <c r="D122" s="3515">
        <v>19.867585640126478</v>
      </c>
      <c r="E122" s="3516">
        <v>16.339070227440143</v>
      </c>
      <c r="F122" s="3517">
        <v>19.164530469518464</v>
      </c>
    </row>
    <row r="123" spans="1:6" ht="12.75" customHeight="1">
      <c r="A123" s="1219">
        <f t="shared" si="1"/>
        <v>2010.06</v>
      </c>
      <c r="B123" s="3518">
        <v>18.577996162095214</v>
      </c>
      <c r="C123" s="3519">
        <v>24.54464529020084</v>
      </c>
      <c r="D123" s="3515">
        <v>20.806539611442666</v>
      </c>
      <c r="E123" s="3516">
        <v>16.839958711913198</v>
      </c>
      <c r="F123" s="3517">
        <v>20.016230052490329</v>
      </c>
    </row>
    <row r="124" spans="1:6" ht="12.75" customHeight="1">
      <c r="A124" s="1219">
        <f t="shared" si="1"/>
        <v>2010.07</v>
      </c>
      <c r="B124" s="3518">
        <v>19.316018001902663</v>
      </c>
      <c r="C124" s="3519">
        <v>24.696272442572742</v>
      </c>
      <c r="D124" s="3515">
        <v>21.325543035492938</v>
      </c>
      <c r="E124" s="3516">
        <v>17.229078329858282</v>
      </c>
      <c r="F124" s="3517">
        <v>20.509325028468638</v>
      </c>
    </row>
    <row r="125" spans="1:6" ht="12.75" customHeight="1">
      <c r="A125" s="1219">
        <f t="shared" si="1"/>
        <v>2010.08</v>
      </c>
      <c r="B125" s="3518">
        <v>19.900290926220563</v>
      </c>
      <c r="C125" s="3519">
        <v>25.270203932858536</v>
      </c>
      <c r="D125" s="3515">
        <v>21.905953434199844</v>
      </c>
      <c r="E125" s="3516">
        <v>17.38998011280604</v>
      </c>
      <c r="F125" s="3517">
        <v>21.006126961392464</v>
      </c>
    </row>
    <row r="126" spans="1:6" ht="12.75" customHeight="1">
      <c r="A126" s="1219">
        <f t="shared" si="1"/>
        <v>2010.09</v>
      </c>
      <c r="B126" s="3518">
        <v>20.337129714787821</v>
      </c>
      <c r="C126" s="3519">
        <v>25.627319600268656</v>
      </c>
      <c r="D126" s="3515">
        <v>22.313015637014914</v>
      </c>
      <c r="E126" s="3516">
        <v>17.907164415138112</v>
      </c>
      <c r="F126" s="3517">
        <v>21.435133425314952</v>
      </c>
    </row>
    <row r="127" spans="1:6" ht="12.75" customHeight="1">
      <c r="A127" s="1219">
        <f t="shared" si="1"/>
        <v>2010.1</v>
      </c>
      <c r="B127" s="3518">
        <v>20.779739486264145</v>
      </c>
      <c r="C127" s="3519">
        <v>26.463225237739721</v>
      </c>
      <c r="D127" s="3515">
        <v>22.902521414440272</v>
      </c>
      <c r="E127" s="3516">
        <v>17.842037502992593</v>
      </c>
      <c r="F127" s="3517">
        <v>21.894186069264471</v>
      </c>
    </row>
    <row r="128" spans="1:6" ht="12.75" customHeight="1">
      <c r="A128" s="1219">
        <f t="shared" si="1"/>
        <v>2010.11</v>
      </c>
      <c r="B128" s="3518">
        <v>20.988539493032363</v>
      </c>
      <c r="C128" s="3519">
        <v>26.463225237739721</v>
      </c>
      <c r="D128" s="3515">
        <v>23.033334618680566</v>
      </c>
      <c r="E128" s="3516">
        <v>18.338972261212191</v>
      </c>
      <c r="F128" s="3517">
        <v>22.097959249972572</v>
      </c>
    </row>
    <row r="129" spans="1:6" ht="12.75" customHeight="1">
      <c r="A129" s="1219">
        <f t="shared" si="1"/>
        <v>2010.12</v>
      </c>
      <c r="B129" s="3518">
        <v>21.332364474653676</v>
      </c>
      <c r="C129" s="3519">
        <v>26.463225237739721</v>
      </c>
      <c r="D129" s="3515">
        <v>23.248740969666315</v>
      </c>
      <c r="E129" s="3516">
        <v>18.641620852947259</v>
      </c>
      <c r="F129" s="3517">
        <v>22.330739725086623</v>
      </c>
    </row>
    <row r="130" spans="1:6" ht="12.75" customHeight="1">
      <c r="A130" s="1219">
        <f t="shared" si="1"/>
        <v>2011.01</v>
      </c>
      <c r="B130" s="3518">
        <v>21.676941658514281</v>
      </c>
      <c r="C130" s="3519">
        <v>26.571512372263385</v>
      </c>
      <c r="D130" s="3515">
        <v>23.505063820099572</v>
      </c>
      <c r="E130" s="3516">
        <v>19.401252399652996</v>
      </c>
      <c r="F130" s="3517">
        <v>22.687362889705582</v>
      </c>
    </row>
    <row r="131" spans="1:6" ht="12.75" customHeight="1">
      <c r="A131" s="1219">
        <f t="shared" si="1"/>
        <v>2011.02</v>
      </c>
      <c r="B131" s="3518">
        <v>21.890098773641292</v>
      </c>
      <c r="C131" s="3519">
        <v>26.594625508613955</v>
      </c>
      <c r="D131" s="3515">
        <v>23.647239509153582</v>
      </c>
      <c r="E131" s="3516">
        <v>19.933213396337418</v>
      </c>
      <c r="F131" s="3517">
        <v>22.907215464374953</v>
      </c>
    </row>
    <row r="132" spans="1:6" ht="12.75" customHeight="1">
      <c r="A132" s="1219">
        <f t="shared" si="1"/>
        <v>2011.03</v>
      </c>
      <c r="B132" s="3518">
        <v>22.244270130375028</v>
      </c>
      <c r="C132" s="3519">
        <v>26.83269822349191</v>
      </c>
      <c r="D132" s="3515">
        <v>23.958048023154184</v>
      </c>
      <c r="E132" s="3516">
        <v>20.222727148648175</v>
      </c>
      <c r="F132" s="3517">
        <v>23.213775456768122</v>
      </c>
    </row>
    <row r="133" spans="1:6" ht="12.75" customHeight="1">
      <c r="A133" s="1219">
        <f t="shared" si="1"/>
        <v>2011.04</v>
      </c>
      <c r="B133" s="3518">
        <v>22.757660109887798</v>
      </c>
      <c r="C133" s="3519">
        <v>26.856768578676739</v>
      </c>
      <c r="D133" s="3515">
        <v>24.288677122980467</v>
      </c>
      <c r="E133" s="3516">
        <v>20.690655803139101</v>
      </c>
      <c r="F133" s="3517">
        <v>23.571749494567552</v>
      </c>
    </row>
    <row r="134" spans="1:6" ht="12.75" customHeight="1">
      <c r="A134" s="1219">
        <f t="shared" si="1"/>
        <v>2011.05</v>
      </c>
      <c r="B134" s="3518">
        <v>23.67775731803258</v>
      </c>
      <c r="C134" s="3519">
        <v>27.004204208644168</v>
      </c>
      <c r="D134" s="3515">
        <v>24.920185231676005</v>
      </c>
      <c r="E134" s="3516">
        <v>21.154753462797942</v>
      </c>
      <c r="F134" s="3517">
        <v>24.16986291466624</v>
      </c>
    </row>
    <row r="135" spans="1:6" ht="12.75" customHeight="1">
      <c r="A135" s="1219">
        <f t="shared" si="1"/>
        <v>2011.06</v>
      </c>
      <c r="B135" s="3518">
        <v>24.697871978557259</v>
      </c>
      <c r="C135" s="3519">
        <v>27.454269735818745</v>
      </c>
      <c r="D135" s="3515">
        <v>25.727386540894422</v>
      </c>
      <c r="E135" s="3516">
        <v>22.031503994370414</v>
      </c>
      <c r="F135" s="3517">
        <v>24.990903408505734</v>
      </c>
    </row>
    <row r="136" spans="1:6" ht="12.75" customHeight="1">
      <c r="A136" s="1219">
        <f t="shared" si="1"/>
        <v>2011.07</v>
      </c>
      <c r="B136" s="3518">
        <v>25.892440434932602</v>
      </c>
      <c r="C136" s="3519">
        <v>28.287751750832097</v>
      </c>
      <c r="D136" s="3515">
        <v>26.787089211421062</v>
      </c>
      <c r="E136" s="3516">
        <v>22.589734669903446</v>
      </c>
      <c r="F136" s="3517">
        <v>25.950648790547831</v>
      </c>
    </row>
    <row r="137" spans="1:6" ht="12.75" customHeight="1">
      <c r="A137" s="1219">
        <f t="shared" si="1"/>
        <v>2011.08</v>
      </c>
      <c r="B137" s="3518">
        <v>26.64444050132035</v>
      </c>
      <c r="C137" s="3519">
        <v>28.498977394939612</v>
      </c>
      <c r="D137" s="3515">
        <v>27.337110031087139</v>
      </c>
      <c r="E137" s="3516">
        <v>22.815216080020715</v>
      </c>
      <c r="F137" s="3517">
        <v>26.435968059036853</v>
      </c>
    </row>
    <row r="138" spans="1:6" ht="12.75" customHeight="1">
      <c r="A138" s="1219">
        <f t="shared" si="1"/>
        <v>2011.09</v>
      </c>
      <c r="B138" s="3518">
        <v>27.388947731322254</v>
      </c>
      <c r="C138" s="3519">
        <v>28.512546280103177</v>
      </c>
      <c r="D138" s="3515">
        <v>27.808611789291927</v>
      </c>
      <c r="E138" s="3516">
        <v>22.988705417416764</v>
      </c>
      <c r="F138" s="3517">
        <v>26.848047764101267</v>
      </c>
    </row>
    <row r="139" spans="1:6" ht="12.75" customHeight="1">
      <c r="A139" s="1219">
        <f t="shared" si="1"/>
        <v>2011.1</v>
      </c>
      <c r="B139" s="3518">
        <v>27.697863783032648</v>
      </c>
      <c r="C139" s="3519">
        <v>28.974397702831919</v>
      </c>
      <c r="D139" s="3515">
        <v>28.174649202077674</v>
      </c>
      <c r="E139" s="3516">
        <v>23.236078226574541</v>
      </c>
      <c r="F139" s="3517">
        <v>27.190441217042508</v>
      </c>
    </row>
    <row r="140" spans="1:6" ht="12.75" customHeight="1">
      <c r="A140" s="1219">
        <f t="shared" si="1"/>
        <v>2011.11</v>
      </c>
      <c r="B140" s="3518">
        <v>28.087492137956197</v>
      </c>
      <c r="C140" s="3519">
        <v>29.010514343720605</v>
      </c>
      <c r="D140" s="3515">
        <v>28.432240931809201</v>
      </c>
      <c r="E140" s="3516">
        <v>24.198752499381019</v>
      </c>
      <c r="F140" s="3517">
        <v>27.588542269732297</v>
      </c>
    </row>
    <row r="141" spans="1:6" ht="12.75" customHeight="1">
      <c r="A141" s="1219">
        <f t="shared" si="1"/>
        <v>2011.12</v>
      </c>
      <c r="B141" s="3518">
        <v>28.966226274445049</v>
      </c>
      <c r="C141" s="3519">
        <v>29.025351086388611</v>
      </c>
      <c r="D141" s="3515">
        <v>28.988309391705972</v>
      </c>
      <c r="E141" s="3516">
        <v>24.749321185249869</v>
      </c>
      <c r="F141" s="3517">
        <v>28.143481321420769</v>
      </c>
    </row>
    <row r="142" spans="1:6" ht="12.75" customHeight="1">
      <c r="A142" s="1219">
        <f t="shared" si="1"/>
        <v>2012.01</v>
      </c>
      <c r="B142" s="3518">
        <v>29.194455942402687</v>
      </c>
      <c r="C142" s="3519">
        <v>29.025351086388611</v>
      </c>
      <c r="D142" s="3515">
        <v>29.131295278681428</v>
      </c>
      <c r="E142" s="3516">
        <v>25.427954555505718</v>
      </c>
      <c r="F142" s="3517">
        <v>28.393212953560315</v>
      </c>
    </row>
    <row r="143" spans="1:6" ht="12.75" customHeight="1">
      <c r="A143" s="1219">
        <f t="shared" si="1"/>
        <v>2012.02</v>
      </c>
      <c r="B143" s="3518">
        <v>29.578389050178011</v>
      </c>
      <c r="C143" s="3519">
        <v>29.04088010520584</v>
      </c>
      <c r="D143" s="3515">
        <v>29.377629459230903</v>
      </c>
      <c r="E143" s="3516">
        <v>25.993299935726917</v>
      </c>
      <c r="F143" s="3517">
        <v>28.703111864226731</v>
      </c>
    </row>
    <row r="144" spans="1:6" ht="12.75" customHeight="1">
      <c r="A144" s="1219">
        <f t="shared" si="1"/>
        <v>2012.03</v>
      </c>
      <c r="B144" s="3518">
        <v>30.006200751304878</v>
      </c>
      <c r="C144" s="3519">
        <v>29.4118056128635</v>
      </c>
      <c r="D144" s="3515">
        <v>29.78419416709702</v>
      </c>
      <c r="E144" s="3516">
        <v>26.613921098525406</v>
      </c>
      <c r="F144" s="3517">
        <v>29.152335830598112</v>
      </c>
    </row>
    <row r="145" spans="1:6" ht="12.75" customHeight="1">
      <c r="A145" s="1219">
        <f t="shared" si="1"/>
        <v>2012.04</v>
      </c>
      <c r="B145" s="3518">
        <v>30.743258393569718</v>
      </c>
      <c r="C145" s="3519">
        <v>30.848760291922975</v>
      </c>
      <c r="D145" s="3515">
        <v>30.782663352604658</v>
      </c>
      <c r="E145" s="3516">
        <v>27.153544084874003</v>
      </c>
      <c r="F145" s="3517">
        <v>30.059383949644122</v>
      </c>
    </row>
    <row r="146" spans="1:6" ht="12.75" customHeight="1">
      <c r="A146" s="1219">
        <f t="shared" si="1"/>
        <v>2012.05</v>
      </c>
      <c r="B146" s="3518">
        <v>31.91137342053959</v>
      </c>
      <c r="C146" s="3519">
        <v>30.879220218326697</v>
      </c>
      <c r="D146" s="3515">
        <v>31.52586419951307</v>
      </c>
      <c r="E146" s="3516">
        <v>27.444108233215935</v>
      </c>
      <c r="F146" s="3517">
        <v>30.71233044592411</v>
      </c>
    </row>
    <row r="147" spans="1:6" ht="12.75" customHeight="1">
      <c r="A147" s="1219">
        <f t="shared" si="1"/>
        <v>2012.06</v>
      </c>
      <c r="B147" s="3518">
        <v>32.535459047164785</v>
      </c>
      <c r="C147" s="3519">
        <v>31.573308584872503</v>
      </c>
      <c r="D147" s="3515">
        <v>32.176095849498616</v>
      </c>
      <c r="E147" s="3516">
        <v>27.878565274604533</v>
      </c>
      <c r="F147" s="3517">
        <v>31.319560915021903</v>
      </c>
    </row>
    <row r="148" spans="1:6" ht="12.75" customHeight="1">
      <c r="A148" s="1219">
        <f t="shared" si="1"/>
        <v>2012.07</v>
      </c>
      <c r="B148" s="3518">
        <v>33.442381509501892</v>
      </c>
      <c r="C148" s="3519">
        <v>31.955828395768862</v>
      </c>
      <c r="D148" s="3515">
        <v>32.887153921522604</v>
      </c>
      <c r="E148" s="3516">
        <v>28.942985026006596</v>
      </c>
      <c r="F148" s="3517">
        <v>32.101023754023728</v>
      </c>
    </row>
    <row r="149" spans="1:6" ht="12.75" customHeight="1">
      <c r="A149" s="1219">
        <f t="shared" si="1"/>
        <v>2012.08</v>
      </c>
      <c r="B149" s="3518">
        <v>34.103358897306904</v>
      </c>
      <c r="C149" s="3519">
        <v>32.628322902022127</v>
      </c>
      <c r="D149" s="3515">
        <v>33.552432953068042</v>
      </c>
      <c r="E149" s="3516">
        <v>29.741299839558142</v>
      </c>
      <c r="F149" s="3517">
        <v>32.792817260907896</v>
      </c>
    </row>
    <row r="150" spans="1:6" ht="12.75" customHeight="1">
      <c r="A150" s="1219">
        <f t="shared" si="1"/>
        <v>2012.09</v>
      </c>
      <c r="B150" s="3518">
        <v>34.499945329989906</v>
      </c>
      <c r="C150" s="3519">
        <v>33.084878805350037</v>
      </c>
      <c r="D150" s="3515">
        <v>33.971417983036915</v>
      </c>
      <c r="E150" s="3516">
        <v>30.303378636854635</v>
      </c>
      <c r="F150" s="3517">
        <v>33.240323190528258</v>
      </c>
    </row>
    <row r="151" spans="1:6" ht="12.75" customHeight="1">
      <c r="A151" s="1219">
        <f t="shared" si="1"/>
        <v>2012.1</v>
      </c>
      <c r="B151" s="3518">
        <v>34.951869404442633</v>
      </c>
      <c r="C151" s="3519">
        <v>33.467398616246385</v>
      </c>
      <c r="D151" s="3515">
        <v>34.397419565051329</v>
      </c>
      <c r="E151" s="3516">
        <v>30.838303869064344</v>
      </c>
      <c r="F151" s="3517">
        <v>33.688030580492239</v>
      </c>
    </row>
    <row r="152" spans="1:6" ht="12.75" customHeight="1">
      <c r="A152" s="1219">
        <f t="shared" si="1"/>
        <v>2012.11</v>
      </c>
      <c r="B152" s="3518">
        <v>35.794231284715067</v>
      </c>
      <c r="C152" s="3519">
        <v>33.914700008020347</v>
      </c>
      <c r="D152" s="3515">
        <v>35.092226352869588</v>
      </c>
      <c r="E152" s="3516">
        <v>31.902723620466407</v>
      </c>
      <c r="F152" s="3517">
        <v>34.456486002370916</v>
      </c>
    </row>
    <row r="153" spans="1:6" ht="12.75" customHeight="1">
      <c r="A153" s="1219">
        <f t="shared" si="1"/>
        <v>2012.12</v>
      </c>
      <c r="B153" s="3518">
        <v>36.138554389060005</v>
      </c>
      <c r="C153" s="3519">
        <v>34.18925051745402</v>
      </c>
      <c r="D153" s="3515">
        <v>35.410489393015169</v>
      </c>
      <c r="E153" s="3516">
        <v>33.0404579976028</v>
      </c>
      <c r="F153" s="3517">
        <v>34.938066990245233</v>
      </c>
    </row>
    <row r="154" spans="1:6" ht="12.75" customHeight="1">
      <c r="A154" s="1219">
        <f t="shared" si="1"/>
        <v>2013.01</v>
      </c>
      <c r="B154" s="3518">
        <v>36.418316911340263</v>
      </c>
      <c r="C154" s="3519">
        <v>34.284880470178109</v>
      </c>
      <c r="D154" s="3515">
        <v>35.621478400566197</v>
      </c>
      <c r="E154" s="3516">
        <v>33.244109735753703</v>
      </c>
      <c r="F154" s="3517">
        <v>35.147586581694256</v>
      </c>
    </row>
    <row r="155" spans="1:6" ht="12.75" customHeight="1">
      <c r="A155" s="1219">
        <f t="shared" si="1"/>
        <v>2013.02</v>
      </c>
      <c r="B155" s="3518">
        <v>36.704228060483828</v>
      </c>
      <c r="C155" s="3519">
        <v>34.340407539501768</v>
      </c>
      <c r="D155" s="3515">
        <v>35.821341095897033</v>
      </c>
      <c r="E155" s="3516">
        <v>33.638897068615982</v>
      </c>
      <c r="F155" s="3517">
        <v>35.386288875978835</v>
      </c>
    </row>
    <row r="156" spans="1:6" ht="12.75" customHeight="1">
      <c r="A156" s="1219">
        <f t="shared" si="1"/>
        <v>2013.03</v>
      </c>
      <c r="B156" s="3518">
        <v>37.189969582684718</v>
      </c>
      <c r="C156" s="3519">
        <v>36.253006593983542</v>
      </c>
      <c r="D156" s="3515">
        <v>36.840013906404828</v>
      </c>
      <c r="E156" s="3516">
        <v>34.44285932020302</v>
      </c>
      <c r="F156" s="3517">
        <v>36.362224877451588</v>
      </c>
    </row>
    <row r="157" spans="1:6" ht="12.75" customHeight="1">
      <c r="A157" s="1219">
        <f t="shared" si="1"/>
        <v>2013.04</v>
      </c>
      <c r="B157" s="3518">
        <v>37.801757955583305</v>
      </c>
      <c r="C157" s="3519">
        <v>37.169203237824007</v>
      </c>
      <c r="D157" s="3515">
        <v>37.565498768500213</v>
      </c>
      <c r="E157" s="3516">
        <v>35.527578981636303</v>
      </c>
      <c r="F157" s="3517">
        <v>37.15931696999386</v>
      </c>
    </row>
    <row r="158" spans="1:6" ht="12.75" customHeight="1">
      <c r="A158" s="1219">
        <f t="shared" si="1"/>
        <v>2013.05</v>
      </c>
      <c r="B158" s="3518">
        <v>39.652494641437336</v>
      </c>
      <c r="C158" s="3519">
        <v>38.205708531865746</v>
      </c>
      <c r="D158" s="3515">
        <v>39.112120029512347</v>
      </c>
      <c r="E158" s="3516">
        <v>35.994413427248112</v>
      </c>
      <c r="F158" s="3517">
        <v>38.490705330076565</v>
      </c>
    </row>
    <row r="159" spans="1:6" ht="12.75" customHeight="1">
      <c r="A159" s="1219">
        <f t="shared" si="1"/>
        <v>2013.06</v>
      </c>
      <c r="B159" s="3518">
        <v>40.71313277535701</v>
      </c>
      <c r="C159" s="3519">
        <v>38.582058668392804</v>
      </c>
      <c r="D159" s="3515">
        <v>39.917176596405881</v>
      </c>
      <c r="E159" s="3516">
        <v>36.638021056837175</v>
      </c>
      <c r="F159" s="3517">
        <v>39.263558744463012</v>
      </c>
    </row>
    <row r="160" spans="1:6" ht="12.75" customHeight="1">
      <c r="A160" s="1219">
        <f t="shared" si="1"/>
        <v>2013.07</v>
      </c>
      <c r="B160" s="3518">
        <v>41.752250715255116</v>
      </c>
      <c r="C160" s="3519">
        <v>39.387201173585943</v>
      </c>
      <c r="D160" s="3515">
        <v>40.868904711441679</v>
      </c>
      <c r="E160" s="3516">
        <v>37.308998429245769</v>
      </c>
      <c r="F160" s="3517">
        <v>40.159324216740202</v>
      </c>
    </row>
    <row r="161" spans="1:6" ht="12.75" customHeight="1">
      <c r="A161" s="1219">
        <f t="shared" si="1"/>
        <v>2013.08</v>
      </c>
      <c r="B161" s="3518">
        <v>42.542349267189479</v>
      </c>
      <c r="C161" s="3519">
        <v>40.392751070439914</v>
      </c>
      <c r="D161" s="3515">
        <v>41.739474340703516</v>
      </c>
      <c r="E161" s="3516">
        <v>37.676221459329078</v>
      </c>
      <c r="F161" s="3517">
        <v>40.929585174435104</v>
      </c>
    </row>
    <row r="162" spans="1:6" ht="12.75" customHeight="1">
      <c r="A162" s="1219">
        <f t="shared" si="1"/>
        <v>2013.09</v>
      </c>
      <c r="B162" s="3518">
        <v>43.258664296764216</v>
      </c>
      <c r="C162" s="3519">
        <v>41.926022176551257</v>
      </c>
      <c r="D162" s="3515">
        <v>42.760922464864677</v>
      </c>
      <c r="E162" s="3516">
        <v>38.588546219979577</v>
      </c>
      <c r="F162" s="3517">
        <v>41.929316505905334</v>
      </c>
    </row>
    <row r="163" spans="1:6" ht="12.75" customHeight="1">
      <c r="A163" s="1219">
        <f t="shared" ref="A163:A226" si="2">A151+1</f>
        <v>2013.1</v>
      </c>
      <c r="B163" s="3518">
        <v>43.808966401029778</v>
      </c>
      <c r="C163" s="3519">
        <v>42.231421057831412</v>
      </c>
      <c r="D163" s="3515">
        <v>43.219753215345193</v>
      </c>
      <c r="E163" s="3516">
        <v>39.487188845647317</v>
      </c>
      <c r="F163" s="3517">
        <v>42.475792322091422</v>
      </c>
    </row>
    <row r="164" spans="1:6" ht="12.75" customHeight="1">
      <c r="A164" s="1219">
        <f t="shared" si="2"/>
        <v>2013.11</v>
      </c>
      <c r="B164" s="3518">
        <v>44.795821012589819</v>
      </c>
      <c r="C164" s="3519">
        <v>42.475123195418604</v>
      </c>
      <c r="D164" s="3515">
        <v>43.929040377876369</v>
      </c>
      <c r="E164" s="3516">
        <v>41.644040604329753</v>
      </c>
      <c r="F164" s="3517">
        <v>43.473550460107674</v>
      </c>
    </row>
    <row r="165" spans="1:6" ht="12.75" customHeight="1">
      <c r="A165" s="1219">
        <f t="shared" si="2"/>
        <v>2013.12</v>
      </c>
      <c r="B165" s="3518">
        <v>45.235447833315938</v>
      </c>
      <c r="C165" s="3519">
        <v>43.138363190117929</v>
      </c>
      <c r="D165" s="3515">
        <v>44.452186719081482</v>
      </c>
      <c r="E165" s="3516">
        <v>42.183116722650531</v>
      </c>
      <c r="F165" s="3517">
        <v>43.999880226179791</v>
      </c>
    </row>
    <row r="166" spans="1:6" ht="12.75" customHeight="1">
      <c r="A166" s="1219">
        <f t="shared" si="2"/>
        <v>2014.01</v>
      </c>
      <c r="B166" s="3518">
        <v>45.770378370423252</v>
      </c>
      <c r="C166" s="3519">
        <v>44.163835853943468</v>
      </c>
      <c r="D166" s="3515">
        <v>45.170334740518058</v>
      </c>
      <c r="E166" s="3516">
        <v>43.255796105298991</v>
      </c>
      <c r="F166" s="3517">
        <v>44.78870525830488</v>
      </c>
    </row>
    <row r="167" spans="1:6" ht="12.75" customHeight="1">
      <c r="A167" s="1219">
        <f t="shared" si="2"/>
        <v>2014.02</v>
      </c>
      <c r="B167" s="3518">
        <v>46.474396146271374</v>
      </c>
      <c r="C167" s="3519">
        <v>45.64942065842142</v>
      </c>
      <c r="D167" s="3515">
        <v>46.166267801559414</v>
      </c>
      <c r="E167" s="3516">
        <v>44.198221562911556</v>
      </c>
      <c r="F167" s="3517">
        <v>45.774004383391841</v>
      </c>
    </row>
    <row r="168" spans="1:6" ht="12.75" customHeight="1">
      <c r="A168" s="1219">
        <f t="shared" si="2"/>
        <v>2014.03</v>
      </c>
      <c r="B168" s="3518">
        <v>47.249123131047483</v>
      </c>
      <c r="C168" s="3519">
        <v>47.611377107857564</v>
      </c>
      <c r="D168" s="3515">
        <v>47.384424991386048</v>
      </c>
      <c r="E168" s="3516">
        <v>46.271885940898798</v>
      </c>
      <c r="F168" s="3517">
        <v>47.16270992351474</v>
      </c>
    </row>
    <row r="169" spans="1:6" ht="12.75" customHeight="1">
      <c r="A169" s="1219">
        <f t="shared" si="2"/>
        <v>2014.04</v>
      </c>
      <c r="B169" s="3518">
        <v>50.344956756720251</v>
      </c>
      <c r="C169" s="3519">
        <v>48.965620631918043</v>
      </c>
      <c r="D169" s="3515">
        <v>49.829774714106627</v>
      </c>
      <c r="E169" s="3516">
        <v>47.745725521241809</v>
      </c>
      <c r="F169" s="3517">
        <v>49.414370536561051</v>
      </c>
    </row>
    <row r="170" spans="1:6" ht="12.75" customHeight="1">
      <c r="A170" s="1219">
        <f t="shared" si="2"/>
        <v>2014.05</v>
      </c>
      <c r="B170" s="3518">
        <v>51.519344487611022</v>
      </c>
      <c r="C170" s="3519">
        <v>50.13056366507395</v>
      </c>
      <c r="D170" s="3515">
        <v>51.000634850393425</v>
      </c>
      <c r="E170" s="3516">
        <v>50.899183992068544</v>
      </c>
      <c r="F170" s="3517">
        <v>50.980362156828569</v>
      </c>
    </row>
    <row r="171" spans="1:6" ht="12.75" customHeight="1">
      <c r="A171" s="1219">
        <f t="shared" si="2"/>
        <v>2014.06</v>
      </c>
      <c r="B171" s="3518">
        <v>52.607651442415545</v>
      </c>
      <c r="C171" s="3519">
        <v>52.340212032439723</v>
      </c>
      <c r="D171" s="3515">
        <v>52.507762822789573</v>
      </c>
      <c r="E171" s="3516">
        <v>52.785129478092308</v>
      </c>
      <c r="F171" s="3517">
        <v>52.563031687402152</v>
      </c>
    </row>
    <row r="172" spans="1:6" ht="12.75" customHeight="1">
      <c r="A172" s="1219">
        <f t="shared" si="2"/>
        <v>2014.07</v>
      </c>
      <c r="B172" s="3518">
        <v>54.781191038592944</v>
      </c>
      <c r="C172" s="3519">
        <v>53.384150710573124</v>
      </c>
      <c r="D172" s="3515">
        <v>54.259396476077548</v>
      </c>
      <c r="E172" s="3516">
        <v>54.544104751476048</v>
      </c>
      <c r="F172" s="3517">
        <v>54.316084979459809</v>
      </c>
    </row>
    <row r="173" spans="1:6" ht="12.75" customHeight="1">
      <c r="A173" s="1219">
        <f t="shared" si="2"/>
        <v>2014.08</v>
      </c>
      <c r="B173" s="3518">
        <v>55.9616538474544</v>
      </c>
      <c r="C173" s="3519">
        <v>56.107796858388376</v>
      </c>
      <c r="D173" s="3515">
        <v>56.016238262038243</v>
      </c>
      <c r="E173" s="3516">
        <v>53.961793086609738</v>
      </c>
      <c r="F173" s="3517">
        <v>55.606792972388412</v>
      </c>
    </row>
    <row r="174" spans="1:6" ht="12.75" customHeight="1">
      <c r="A174" s="1219">
        <f t="shared" si="2"/>
        <v>2014.09</v>
      </c>
      <c r="B174" s="3518">
        <v>57.335620692387344</v>
      </c>
      <c r="C174" s="3519">
        <v>56.447003118190906</v>
      </c>
      <c r="D174" s="3515">
        <v>57.003722028424981</v>
      </c>
      <c r="E174" s="3516">
        <v>54.425891105224984</v>
      </c>
      <c r="F174" s="3517">
        <v>56.489926069223728</v>
      </c>
    </row>
    <row r="175" spans="1:6" ht="12.75" customHeight="1">
      <c r="A175" s="1219">
        <f t="shared" si="2"/>
        <v>2014.1</v>
      </c>
      <c r="B175" s="3518">
        <v>58.384685231629511</v>
      </c>
      <c r="C175" s="3519">
        <v>56.808560374554887</v>
      </c>
      <c r="D175" s="3515">
        <v>57.796002597512143</v>
      </c>
      <c r="E175" s="3516">
        <v>55.529218470234831</v>
      </c>
      <c r="F175" s="3517">
        <v>57.344171761332539</v>
      </c>
    </row>
    <row r="176" spans="1:6" ht="12.75" customHeight="1">
      <c r="A176" s="1219">
        <f t="shared" si="2"/>
        <v>2014.11</v>
      </c>
      <c r="B176" s="3518">
        <v>59.095726519281556</v>
      </c>
      <c r="C176" s="3519">
        <v>57.201162667305546</v>
      </c>
      <c r="D176" s="3515">
        <v>58.388106920568518</v>
      </c>
      <c r="E176" s="3516">
        <v>57.855181417304195</v>
      </c>
      <c r="F176" s="3517">
        <v>58.281821832331445</v>
      </c>
    </row>
    <row r="177" spans="1:6" ht="12.75" customHeight="1">
      <c r="A177" s="1219">
        <f t="shared" si="2"/>
        <v>2014.12</v>
      </c>
      <c r="B177" s="3518">
        <v>59.4823686234947</v>
      </c>
      <c r="C177" s="3519">
        <v>57.756649329993479</v>
      </c>
      <c r="D177" s="3515">
        <v>58.837812467371997</v>
      </c>
      <c r="E177" s="3516">
        <v>59.064134864380939</v>
      </c>
      <c r="F177" s="3517">
        <v>58.882851994617106</v>
      </c>
    </row>
    <row r="178" spans="1:6" ht="12.75" customHeight="1">
      <c r="A178" s="1219">
        <f t="shared" si="2"/>
        <v>2015.01</v>
      </c>
      <c r="B178" s="3518">
        <v>60.203322600064439</v>
      </c>
      <c r="C178" s="3519">
        <v>59.219621420323222</v>
      </c>
      <c r="D178" s="3515">
        <v>59.835910209431091</v>
      </c>
      <c r="E178" s="3516">
        <v>61.033267731099897</v>
      </c>
      <c r="F178" s="3517">
        <v>60.074505641819215</v>
      </c>
    </row>
    <row r="179" spans="1:6" ht="12.75" customHeight="1">
      <c r="A179" s="1219">
        <f t="shared" si="2"/>
        <v>2015.02</v>
      </c>
      <c r="B179" s="3518">
        <v>60.673769528302792</v>
      </c>
      <c r="C179" s="3519">
        <v>59.957583612262013</v>
      </c>
      <c r="D179" s="3515">
        <v>60.406274088661554</v>
      </c>
      <c r="E179" s="3516">
        <v>61.575627561816539</v>
      </c>
      <c r="F179" s="3517">
        <v>60.639298626894281</v>
      </c>
    </row>
    <row r="180" spans="1:6" ht="12.75" customHeight="1">
      <c r="A180" s="1219">
        <f t="shared" si="2"/>
        <v>2015.03</v>
      </c>
      <c r="B180" s="3518">
        <v>61.669255912051732</v>
      </c>
      <c r="C180" s="3519">
        <v>64.57085220067718</v>
      </c>
      <c r="D180" s="3515">
        <v>62.753002125853335</v>
      </c>
      <c r="E180" s="3516">
        <v>62.500539886651183</v>
      </c>
      <c r="F180" s="3517">
        <v>62.702798258117269</v>
      </c>
    </row>
    <row r="181" spans="1:6" ht="12.75" customHeight="1">
      <c r="A181" s="1219">
        <f t="shared" si="2"/>
        <v>2015.04</v>
      </c>
      <c r="B181" s="3518">
        <v>62.452747840191314</v>
      </c>
      <c r="C181" s="3519">
        <v>66.240654659187967</v>
      </c>
      <c r="D181" s="3515">
        <v>63.867531037086565</v>
      </c>
      <c r="E181" s="3516">
        <v>62.529546012814627</v>
      </c>
      <c r="F181" s="3517">
        <v>63.601016645557038</v>
      </c>
    </row>
    <row r="182" spans="1:6" ht="12.75" customHeight="1">
      <c r="A182" s="1219">
        <f t="shared" si="2"/>
        <v>2015.05</v>
      </c>
      <c r="B182" s="3518">
        <v>65.193580998937932</v>
      </c>
      <c r="C182" s="3519">
        <v>66.309604410372728</v>
      </c>
      <c r="D182" s="3515">
        <v>65.610415743108831</v>
      </c>
      <c r="E182" s="3516">
        <v>64.191651770520437</v>
      </c>
      <c r="F182" s="3517">
        <v>65.327699106074476</v>
      </c>
    </row>
    <row r="183" spans="1:6" ht="12.75" customHeight="1">
      <c r="A183" s="1219">
        <f t="shared" si="2"/>
        <v>2015.06</v>
      </c>
      <c r="B183" s="3518">
        <v>67.509497090030194</v>
      </c>
      <c r="C183" s="3519">
        <v>69.150719233240963</v>
      </c>
      <c r="D183" s="3515">
        <v>68.122493560519416</v>
      </c>
      <c r="E183" s="3516">
        <v>67.055048979712637</v>
      </c>
      <c r="F183" s="3517">
        <v>67.909815124678232</v>
      </c>
    </row>
    <row r="184" spans="1:6" ht="12.75" customHeight="1">
      <c r="A184" s="1219">
        <f t="shared" si="2"/>
        <v>2015.07</v>
      </c>
      <c r="B184" s="3518">
        <v>70.057087922541882</v>
      </c>
      <c r="C184" s="3519">
        <v>70.72297729524054</v>
      </c>
      <c r="D184" s="3515">
        <v>70.305797603244827</v>
      </c>
      <c r="E184" s="3516">
        <v>70.078800810902791</v>
      </c>
      <c r="F184" s="3517">
        <v>70.260582812566383</v>
      </c>
    </row>
    <row r="185" spans="1:6" ht="12.75" customHeight="1">
      <c r="A185" s="1219">
        <f t="shared" si="2"/>
        <v>2015.08</v>
      </c>
      <c r="B185" s="3518">
        <v>71.930000000000007</v>
      </c>
      <c r="C185" s="3519">
        <v>73.22</v>
      </c>
      <c r="D185" s="3515">
        <v>72.410407505804585</v>
      </c>
      <c r="E185" s="3516">
        <v>71.05187425087675</v>
      </c>
      <c r="F185" s="3517">
        <v>72.139706280647587</v>
      </c>
    </row>
    <row r="186" spans="1:6" ht="12.75" customHeight="1">
      <c r="A186" s="1219">
        <f t="shared" si="2"/>
        <v>2015.09</v>
      </c>
      <c r="B186" s="3518">
        <v>74.2</v>
      </c>
      <c r="C186" s="3519">
        <v>74.8</v>
      </c>
      <c r="D186" s="3515">
        <v>73.630868379854263</v>
      </c>
      <c r="E186" s="3516">
        <v>72.825626230041891</v>
      </c>
      <c r="F186" s="3517">
        <v>73.470448509503839</v>
      </c>
    </row>
    <row r="187" spans="1:6" ht="12.75" customHeight="1">
      <c r="A187" s="1219">
        <f t="shared" si="2"/>
        <v>2015.1</v>
      </c>
      <c r="B187" s="3518">
        <v>73.97</v>
      </c>
      <c r="C187" s="3519">
        <v>75.239999999999995</v>
      </c>
      <c r="D187" s="3520">
        <v>74.44</v>
      </c>
      <c r="E187" s="3516">
        <v>73.97</v>
      </c>
      <c r="F187" s="3517">
        <v>74.349856999999986</v>
      </c>
    </row>
    <row r="188" spans="1:6" ht="12.75" customHeight="1">
      <c r="A188" s="1219">
        <f t="shared" si="2"/>
        <v>2015.11</v>
      </c>
      <c r="B188" s="3518">
        <v>75.95</v>
      </c>
      <c r="C188" s="3519">
        <v>76.28</v>
      </c>
      <c r="D188" s="3521">
        <v>76.069999999999993</v>
      </c>
      <c r="E188" s="3516">
        <v>75.95</v>
      </c>
      <c r="F188" s="3517">
        <v>76.048702999999989</v>
      </c>
    </row>
    <row r="189" spans="1:6" ht="12.75" customHeight="1">
      <c r="A189" s="1219">
        <f t="shared" si="2"/>
        <v>2015.12</v>
      </c>
      <c r="B189" s="3518">
        <v>77.36</v>
      </c>
      <c r="C189" s="3519">
        <v>77.180000000000007</v>
      </c>
      <c r="D189" s="3521">
        <v>77.290000000000006</v>
      </c>
      <c r="E189" s="3516">
        <v>77.36</v>
      </c>
      <c r="F189" s="3517">
        <v>77.306162</v>
      </c>
    </row>
    <row r="190" spans="1:6" ht="12.75" customHeight="1">
      <c r="A190" s="1219">
        <f t="shared" si="2"/>
        <v>2016.01</v>
      </c>
      <c r="B190" s="3518">
        <v>78.930000000000007</v>
      </c>
      <c r="C190" s="3519">
        <v>77.459999999999994</v>
      </c>
      <c r="D190" s="3521">
        <v>78.38</v>
      </c>
      <c r="E190" s="3516">
        <v>78.930000000000007</v>
      </c>
      <c r="F190" s="3517">
        <v>78.490322999999989</v>
      </c>
    </row>
    <row r="191" spans="1:6" ht="12.75" customHeight="1">
      <c r="A191" s="1219">
        <f t="shared" si="2"/>
        <v>2016.02</v>
      </c>
      <c r="B191" s="3518">
        <v>80.040000000000006</v>
      </c>
      <c r="C191" s="3519">
        <v>78.36</v>
      </c>
      <c r="D191" s="3521">
        <v>79.42</v>
      </c>
      <c r="E191" s="3516">
        <v>80.040000000000006</v>
      </c>
      <c r="F191" s="3517">
        <v>79.537512000000007</v>
      </c>
    </row>
    <row r="192" spans="1:6" ht="12.75" customHeight="1">
      <c r="A192" s="1219">
        <f t="shared" si="2"/>
        <v>2016.03</v>
      </c>
      <c r="B192" s="3518">
        <v>80.8</v>
      </c>
      <c r="C192" s="3519">
        <v>83.8</v>
      </c>
      <c r="D192" s="3521">
        <v>81.92</v>
      </c>
      <c r="E192" s="3516">
        <v>80.8</v>
      </c>
      <c r="F192" s="3517">
        <v>81.697299999999998</v>
      </c>
    </row>
    <row r="193" spans="1:8" ht="12.75" customHeight="1">
      <c r="A193" s="1219">
        <f t="shared" si="2"/>
        <v>2016.04</v>
      </c>
      <c r="B193" s="3518">
        <v>85.92</v>
      </c>
      <c r="C193" s="3519">
        <v>84.26</v>
      </c>
      <c r="D193" s="3521">
        <v>85.3</v>
      </c>
      <c r="E193" s="3516">
        <v>85.92</v>
      </c>
      <c r="F193" s="3517">
        <v>85.423493999999991</v>
      </c>
    </row>
    <row r="194" spans="1:8" ht="12.75" customHeight="1">
      <c r="A194" s="1219">
        <f t="shared" si="2"/>
        <v>2016.05</v>
      </c>
      <c r="B194" s="3518">
        <v>88.74</v>
      </c>
      <c r="C194" s="3519">
        <v>87.11</v>
      </c>
      <c r="D194" s="3521">
        <v>88.13</v>
      </c>
      <c r="E194" s="3516">
        <v>88.74</v>
      </c>
      <c r="F194" s="3517">
        <v>88.252466999999996</v>
      </c>
    </row>
    <row r="195" spans="1:8" ht="12.75" customHeight="1">
      <c r="A195" s="1219">
        <f t="shared" si="2"/>
        <v>2016.06</v>
      </c>
      <c r="B195" s="3518">
        <v>90.15</v>
      </c>
      <c r="C195" s="3519">
        <v>89.28</v>
      </c>
      <c r="D195" s="3521">
        <v>89.83</v>
      </c>
      <c r="E195" s="3516">
        <v>90.15</v>
      </c>
      <c r="F195" s="3517">
        <v>89.889783000000008</v>
      </c>
    </row>
    <row r="196" spans="1:8" ht="12.75" customHeight="1">
      <c r="A196" s="1219">
        <f t="shared" si="2"/>
        <v>2016.07</v>
      </c>
      <c r="B196" s="3518">
        <v>93.35</v>
      </c>
      <c r="C196" s="3519">
        <v>94.66</v>
      </c>
      <c r="D196" s="3521">
        <v>93.84</v>
      </c>
      <c r="E196" s="3516">
        <v>93.35</v>
      </c>
      <c r="F196" s="3517">
        <v>93.741821000000002</v>
      </c>
    </row>
    <row r="197" spans="1:8" ht="12.75" customHeight="1">
      <c r="A197" s="1219">
        <f t="shared" si="2"/>
        <v>2016.08</v>
      </c>
      <c r="B197" s="3518">
        <v>95.05</v>
      </c>
      <c r="C197" s="3519">
        <v>98.73</v>
      </c>
      <c r="D197" s="3521">
        <v>96.42</v>
      </c>
      <c r="E197" s="3516">
        <v>95.05</v>
      </c>
      <c r="F197" s="3517">
        <v>96.150687999999988</v>
      </c>
    </row>
    <row r="198" spans="1:8" ht="12.75" customHeight="1">
      <c r="A198" s="1219">
        <f t="shared" si="2"/>
        <v>2016.09</v>
      </c>
      <c r="B198" s="3518">
        <v>96.63</v>
      </c>
      <c r="C198" s="3519">
        <v>99.46</v>
      </c>
      <c r="D198" s="3521">
        <v>97.69</v>
      </c>
      <c r="E198" s="3516">
        <v>96.63</v>
      </c>
      <c r="F198" s="3517">
        <v>97.476453000000006</v>
      </c>
    </row>
    <row r="199" spans="1:8" ht="12.75" customHeight="1">
      <c r="A199" s="1219">
        <f t="shared" si="2"/>
        <v>2016.1</v>
      </c>
      <c r="B199" s="3518">
        <v>100</v>
      </c>
      <c r="C199" s="3519">
        <v>100</v>
      </c>
      <c r="D199" s="3521">
        <v>100</v>
      </c>
      <c r="E199" s="3513">
        <v>100</v>
      </c>
      <c r="F199" s="3522">
        <v>100</v>
      </c>
    </row>
    <row r="200" spans="1:8" ht="12.75" customHeight="1">
      <c r="A200" s="1219">
        <f t="shared" si="2"/>
        <v>2016.11</v>
      </c>
      <c r="B200" s="3518">
        <v>101.8</v>
      </c>
      <c r="C200" s="3519">
        <v>101.22</v>
      </c>
      <c r="D200" s="3521">
        <v>101.58</v>
      </c>
      <c r="E200" s="3523">
        <v>100.73</v>
      </c>
      <c r="F200" s="3524">
        <v>101.41</v>
      </c>
      <c r="H200" s="549"/>
    </row>
    <row r="201" spans="1:8" ht="12.75" customHeight="1">
      <c r="A201" s="1219">
        <f t="shared" si="2"/>
        <v>2016.12</v>
      </c>
      <c r="B201" s="3518">
        <v>102.89</v>
      </c>
      <c r="C201" s="3519">
        <v>102.37</v>
      </c>
      <c r="D201" s="3521">
        <v>102.69</v>
      </c>
      <c r="E201" s="3523">
        <v>103.2</v>
      </c>
      <c r="F201" s="3524">
        <v>102.79</v>
      </c>
      <c r="H201" s="549"/>
    </row>
    <row r="202" spans="1:8" ht="12.75" customHeight="1">
      <c r="A202" s="1219">
        <f t="shared" si="2"/>
        <v>2017.01</v>
      </c>
      <c r="B202" s="3518">
        <v>106.34</v>
      </c>
      <c r="C202" s="3519">
        <v>102.68</v>
      </c>
      <c r="D202" s="3521">
        <v>104.98</v>
      </c>
      <c r="E202" s="3523">
        <v>102</v>
      </c>
      <c r="F202" s="3524">
        <v>104.38</v>
      </c>
      <c r="H202" s="549"/>
    </row>
    <row r="203" spans="1:8" ht="12.75" customHeight="1">
      <c r="A203" s="1219">
        <f t="shared" si="2"/>
        <v>2017.02</v>
      </c>
      <c r="B203" s="3518">
        <v>107.69</v>
      </c>
      <c r="C203" s="3519">
        <v>103.08</v>
      </c>
      <c r="D203" s="3521">
        <v>105.97</v>
      </c>
      <c r="E203" s="3523">
        <v>104.94</v>
      </c>
      <c r="F203" s="3524">
        <v>105.76</v>
      </c>
      <c r="H203" s="549"/>
    </row>
    <row r="204" spans="1:8" ht="12.75" customHeight="1">
      <c r="A204" s="1219">
        <f t="shared" si="2"/>
        <v>2017.03</v>
      </c>
      <c r="B204" s="3518">
        <v>109.26</v>
      </c>
      <c r="C204" s="3519">
        <v>107.24</v>
      </c>
      <c r="D204" s="3521">
        <v>108.5</v>
      </c>
      <c r="E204" s="3523">
        <v>110.08</v>
      </c>
      <c r="F204" s="3524">
        <v>108.82</v>
      </c>
      <c r="H204" s="549"/>
    </row>
    <row r="205" spans="1:8" ht="12.75" customHeight="1">
      <c r="A205" s="1219">
        <f t="shared" si="2"/>
        <v>2017.04</v>
      </c>
      <c r="B205" s="3518">
        <v>112.93</v>
      </c>
      <c r="C205" s="3519">
        <v>110.81</v>
      </c>
      <c r="D205" s="3521">
        <v>112.14</v>
      </c>
      <c r="E205" s="3523">
        <v>114.61</v>
      </c>
      <c r="F205" s="3524">
        <v>112.63</v>
      </c>
      <c r="H205" s="549"/>
    </row>
    <row r="206" spans="1:8" ht="12.75" customHeight="1">
      <c r="A206" s="1219">
        <f t="shared" si="2"/>
        <v>2017.05</v>
      </c>
      <c r="B206" s="3518">
        <v>115.18</v>
      </c>
      <c r="C206" s="3519">
        <v>112.28</v>
      </c>
      <c r="D206" s="3521">
        <v>114.09</v>
      </c>
      <c r="E206" s="3523">
        <v>115.79</v>
      </c>
      <c r="F206" s="3524">
        <v>114.43</v>
      </c>
      <c r="H206" s="549"/>
    </row>
    <row r="207" spans="1:8" ht="12.75" customHeight="1">
      <c r="A207" s="1219">
        <f t="shared" si="2"/>
        <v>2017.06</v>
      </c>
      <c r="B207" s="3518">
        <v>117.23</v>
      </c>
      <c r="C207" s="3519">
        <v>115.3</v>
      </c>
      <c r="D207" s="3521">
        <v>116.51</v>
      </c>
      <c r="E207" s="3523">
        <v>116.24</v>
      </c>
      <c r="F207" s="3524">
        <v>116.45</v>
      </c>
      <c r="H207" s="549"/>
    </row>
    <row r="208" spans="1:8" ht="12.75" customHeight="1">
      <c r="A208" s="1219">
        <f t="shared" si="2"/>
        <v>2017.07</v>
      </c>
      <c r="B208" s="3518">
        <v>122.8</v>
      </c>
      <c r="C208" s="3519">
        <v>118.49</v>
      </c>
      <c r="D208" s="3521">
        <v>121.19</v>
      </c>
      <c r="E208" s="3523">
        <v>120.74</v>
      </c>
      <c r="F208" s="3524">
        <v>121.1</v>
      </c>
      <c r="H208" s="549"/>
    </row>
    <row r="209" spans="1:8" ht="12.75" customHeight="1">
      <c r="A209" s="1219">
        <f t="shared" si="2"/>
        <v>2017.08</v>
      </c>
      <c r="B209" s="3518">
        <v>124.55</v>
      </c>
      <c r="C209" s="3519">
        <v>121.54</v>
      </c>
      <c r="D209" s="3521">
        <v>123.43</v>
      </c>
      <c r="E209" s="3523">
        <v>126.06</v>
      </c>
      <c r="F209" s="3524">
        <v>123.95</v>
      </c>
      <c r="H209" s="549"/>
    </row>
    <row r="210" spans="1:8" ht="12.75" customHeight="1">
      <c r="A210" s="1219">
        <f t="shared" si="2"/>
        <v>2017.09</v>
      </c>
      <c r="B210" s="3518">
        <v>126</v>
      </c>
      <c r="C210" s="3519">
        <v>123.89</v>
      </c>
      <c r="D210" s="3521">
        <v>125.21</v>
      </c>
      <c r="E210" s="3523">
        <v>127.7</v>
      </c>
      <c r="F210" s="3524">
        <v>125.71</v>
      </c>
      <c r="H210" s="549"/>
    </row>
    <row r="211" spans="1:8" ht="12.75" customHeight="1">
      <c r="A211" s="1219">
        <f t="shared" si="2"/>
        <v>2017.1</v>
      </c>
      <c r="B211" s="3518">
        <v>128.22999999999999</v>
      </c>
      <c r="C211" s="3519">
        <v>126.03</v>
      </c>
      <c r="D211" s="3521">
        <v>127.4</v>
      </c>
      <c r="E211" s="3523">
        <v>128.5</v>
      </c>
      <c r="F211" s="3524">
        <v>127.62</v>
      </c>
      <c r="H211" s="549"/>
    </row>
    <row r="212" spans="1:8" ht="12.75" customHeight="1">
      <c r="A212" s="1219">
        <f t="shared" si="2"/>
        <v>2017.11</v>
      </c>
      <c r="B212" s="3518">
        <v>130.04</v>
      </c>
      <c r="C212" s="3519">
        <v>127.32</v>
      </c>
      <c r="D212" s="3521">
        <v>129.03</v>
      </c>
      <c r="E212" s="3523">
        <v>131.94999999999999</v>
      </c>
      <c r="F212" s="3524">
        <v>129.61000000000001</v>
      </c>
      <c r="H212" s="549"/>
    </row>
    <row r="213" spans="1:8" ht="12.75" customHeight="1">
      <c r="A213" s="1219">
        <f t="shared" si="2"/>
        <v>2017.12</v>
      </c>
      <c r="B213" s="3518">
        <v>131.01</v>
      </c>
      <c r="C213" s="3519">
        <v>127.94</v>
      </c>
      <c r="D213" s="3521">
        <v>129.86000000000001</v>
      </c>
      <c r="E213" s="3523">
        <v>135.71</v>
      </c>
      <c r="F213" s="3524">
        <v>131.03</v>
      </c>
      <c r="H213" s="549"/>
    </row>
    <row r="214" spans="1:8" ht="12.75" customHeight="1">
      <c r="A214" s="1219">
        <f t="shared" si="2"/>
        <v>2018.01</v>
      </c>
      <c r="B214" s="3518">
        <v>133.25</v>
      </c>
      <c r="C214" s="3519">
        <v>128.44999999999999</v>
      </c>
      <c r="D214" s="3521">
        <v>131.46</v>
      </c>
      <c r="E214" s="3523">
        <v>136.57</v>
      </c>
      <c r="F214" s="3524">
        <v>132.47999999999999</v>
      </c>
      <c r="H214" s="549"/>
    </row>
    <row r="215" spans="1:8" ht="12.75" customHeight="1">
      <c r="A215" s="1219">
        <f t="shared" si="2"/>
        <v>2018.02</v>
      </c>
      <c r="B215" s="3518">
        <v>134.31</v>
      </c>
      <c r="C215" s="3519">
        <v>129.32</v>
      </c>
      <c r="D215" s="3521">
        <v>132.44</v>
      </c>
      <c r="E215" s="3523">
        <v>138.19</v>
      </c>
      <c r="F215" s="3524">
        <v>133.59</v>
      </c>
      <c r="H215" s="549"/>
    </row>
    <row r="216" spans="1:8" ht="12.75" customHeight="1">
      <c r="A216" s="1219">
        <f t="shared" si="2"/>
        <v>2018.03</v>
      </c>
      <c r="B216" s="3518">
        <v>136.22999999999999</v>
      </c>
      <c r="C216" s="3519">
        <v>132.97</v>
      </c>
      <c r="D216" s="3521">
        <v>135.01</v>
      </c>
      <c r="E216" s="3523">
        <v>140.69999999999999</v>
      </c>
      <c r="F216" s="3524">
        <v>136.13999999999999</v>
      </c>
      <c r="H216" s="549"/>
    </row>
    <row r="217" spans="1:8" ht="12.75" customHeight="1">
      <c r="A217" s="1219">
        <f t="shared" si="2"/>
        <v>2018.04</v>
      </c>
      <c r="B217" s="3518">
        <v>141.01</v>
      </c>
      <c r="C217" s="3519">
        <v>135.01</v>
      </c>
      <c r="D217" s="3521">
        <v>138.77000000000001</v>
      </c>
      <c r="E217" s="3523">
        <v>144</v>
      </c>
      <c r="F217" s="3524">
        <v>139.81</v>
      </c>
      <c r="H217" s="549"/>
    </row>
    <row r="218" spans="1:8" ht="12.75" customHeight="1">
      <c r="A218" s="1219">
        <f t="shared" si="2"/>
        <v>2018.05</v>
      </c>
      <c r="B218" s="3518">
        <v>144.47</v>
      </c>
      <c r="C218" s="3519">
        <v>137.16</v>
      </c>
      <c r="D218" s="3521">
        <v>141.74</v>
      </c>
      <c r="E218" s="3523">
        <v>142.72999999999999</v>
      </c>
      <c r="F218" s="3524">
        <v>141.93</v>
      </c>
      <c r="H218" s="549"/>
    </row>
    <row r="219" spans="1:8" ht="12.75" customHeight="1">
      <c r="A219" s="1219">
        <f t="shared" si="2"/>
        <v>2018.06</v>
      </c>
      <c r="B219" s="3518">
        <v>146.47</v>
      </c>
      <c r="C219" s="3519">
        <v>138.97</v>
      </c>
      <c r="D219" s="3521">
        <v>143.66999999999999</v>
      </c>
      <c r="E219" s="3523">
        <v>141.02000000000001</v>
      </c>
      <c r="F219" s="3524">
        <v>143.13999999999999</v>
      </c>
      <c r="H219" s="549"/>
    </row>
    <row r="220" spans="1:8" ht="12.75" customHeight="1">
      <c r="A220" s="1219">
        <f t="shared" si="2"/>
        <v>2018.07</v>
      </c>
      <c r="B220" s="3518">
        <v>149.94</v>
      </c>
      <c r="C220" s="3519">
        <v>143.01</v>
      </c>
      <c r="D220" s="3521">
        <v>147.36000000000001</v>
      </c>
      <c r="E220" s="3523">
        <v>145.09</v>
      </c>
      <c r="F220" s="3524">
        <v>146.9</v>
      </c>
      <c r="H220" s="549"/>
    </row>
    <row r="221" spans="1:8" ht="12.75" customHeight="1">
      <c r="A221" s="1219">
        <f t="shared" si="2"/>
        <v>2018.08</v>
      </c>
      <c r="B221" s="3518">
        <v>154.19999999999999</v>
      </c>
      <c r="C221" s="3519">
        <v>147.26</v>
      </c>
      <c r="D221" s="3521">
        <v>151.61000000000001</v>
      </c>
      <c r="E221" s="3523">
        <v>148.81</v>
      </c>
      <c r="F221" s="3524">
        <v>151.05000000000001</v>
      </c>
      <c r="H221" s="549"/>
    </row>
    <row r="222" spans="1:8" ht="12.75" customHeight="1">
      <c r="A222" s="1219">
        <f t="shared" si="2"/>
        <v>2018.09</v>
      </c>
      <c r="B222" s="3518">
        <v>157.82</v>
      </c>
      <c r="C222" s="3519">
        <v>152.41</v>
      </c>
      <c r="D222" s="3521">
        <v>155.80000000000001</v>
      </c>
      <c r="E222" s="3523">
        <v>154.02000000000001</v>
      </c>
      <c r="F222" s="3524">
        <v>155.44</v>
      </c>
      <c r="H222" s="549"/>
    </row>
    <row r="223" spans="1:8" ht="12.75" customHeight="1">
      <c r="A223" s="1219">
        <f t="shared" si="2"/>
        <v>2018.1</v>
      </c>
      <c r="B223" s="3518">
        <v>163.86</v>
      </c>
      <c r="C223" s="3519">
        <v>159.53</v>
      </c>
      <c r="D223" s="3521">
        <v>162.24</v>
      </c>
      <c r="E223" s="3523">
        <v>156.63</v>
      </c>
      <c r="F223" s="3524">
        <v>161.12</v>
      </c>
      <c r="H223" s="549"/>
    </row>
    <row r="224" spans="1:8" ht="12.75" customHeight="1">
      <c r="A224" s="1219">
        <f t="shared" si="2"/>
        <v>2018.11</v>
      </c>
      <c r="B224" s="3518">
        <v>168.06</v>
      </c>
      <c r="C224" s="3519">
        <v>162.69</v>
      </c>
      <c r="D224" s="3521">
        <v>166.05</v>
      </c>
      <c r="E224" s="3523">
        <v>164.93</v>
      </c>
      <c r="F224" s="3524">
        <v>165.83</v>
      </c>
      <c r="H224" s="549"/>
    </row>
    <row r="225" spans="1:8" ht="12.75" customHeight="1">
      <c r="A225" s="1219">
        <f t="shared" si="2"/>
        <v>2018.12</v>
      </c>
      <c r="B225" s="3518">
        <v>170.85</v>
      </c>
      <c r="C225" s="3519">
        <v>166.66</v>
      </c>
      <c r="D225" s="3521">
        <v>169.29</v>
      </c>
      <c r="E225" s="3523">
        <v>172.61</v>
      </c>
      <c r="F225" s="3524">
        <v>169.94</v>
      </c>
      <c r="H225" s="549"/>
    </row>
    <row r="226" spans="1:8" ht="12.75" customHeight="1">
      <c r="A226" s="1219">
        <f t="shared" si="2"/>
        <v>2019.01</v>
      </c>
      <c r="B226" s="3518">
        <v>176.91</v>
      </c>
      <c r="C226" s="3519">
        <v>170.98</v>
      </c>
      <c r="D226" s="3521">
        <v>174.7</v>
      </c>
      <c r="E226" s="3523">
        <v>177.16</v>
      </c>
      <c r="F226" s="3524">
        <v>175.19</v>
      </c>
      <c r="H226" s="549"/>
    </row>
    <row r="227" spans="1:8" ht="12.75" customHeight="1">
      <c r="A227" s="1219">
        <f t="shared" ref="A227:A290" si="3">A215+1</f>
        <v>2019.02</v>
      </c>
      <c r="B227" s="3518">
        <v>181.76</v>
      </c>
      <c r="C227" s="3519">
        <v>175.37</v>
      </c>
      <c r="D227" s="3521">
        <v>179.37</v>
      </c>
      <c r="E227" s="3523">
        <v>181.72</v>
      </c>
      <c r="F227" s="3524">
        <v>179.84</v>
      </c>
      <c r="H227" s="549"/>
    </row>
    <row r="228" spans="1:8" ht="12.75" customHeight="1">
      <c r="A228" s="1219">
        <f t="shared" si="3"/>
        <v>2019.03</v>
      </c>
      <c r="B228" s="3518">
        <v>188.26</v>
      </c>
      <c r="C228" s="3519">
        <v>184.99</v>
      </c>
      <c r="D228" s="3521">
        <v>187.04</v>
      </c>
      <c r="E228" s="3523">
        <v>186.59</v>
      </c>
      <c r="F228" s="3524">
        <v>186.94</v>
      </c>
      <c r="H228" s="549"/>
    </row>
    <row r="229" spans="1:8" ht="12.75" customHeight="1">
      <c r="A229" s="1219">
        <f t="shared" si="3"/>
        <v>2019.04</v>
      </c>
      <c r="B229" s="3518">
        <v>193.47</v>
      </c>
      <c r="C229" s="3519">
        <v>188.65</v>
      </c>
      <c r="D229" s="3521">
        <v>191.67</v>
      </c>
      <c r="E229" s="3523">
        <v>188.85</v>
      </c>
      <c r="F229" s="3524">
        <v>191.11</v>
      </c>
      <c r="H229" s="549"/>
    </row>
    <row r="230" spans="1:8" ht="12.75" customHeight="1">
      <c r="A230" s="1219">
        <f t="shared" si="3"/>
        <v>2019.05</v>
      </c>
      <c r="B230" s="3518">
        <v>201.66</v>
      </c>
      <c r="C230" s="3519">
        <v>193.23</v>
      </c>
      <c r="D230" s="3521">
        <v>198.51</v>
      </c>
      <c r="E230" s="3523">
        <v>188.44</v>
      </c>
      <c r="F230" s="3524">
        <v>196.51</v>
      </c>
      <c r="H230" s="549"/>
    </row>
    <row r="231" spans="1:8" ht="12.75" customHeight="1">
      <c r="A231" s="1219">
        <f t="shared" si="3"/>
        <v>2019.06</v>
      </c>
      <c r="B231" s="3518">
        <v>206.99</v>
      </c>
      <c r="C231" s="3519">
        <v>197.23</v>
      </c>
      <c r="D231" s="3521">
        <v>203.34</v>
      </c>
      <c r="E231" s="3523">
        <v>188.78</v>
      </c>
      <c r="F231" s="3524">
        <v>200.44</v>
      </c>
      <c r="H231" s="549"/>
    </row>
    <row r="232" spans="1:8" ht="12.75" customHeight="1">
      <c r="A232" s="1219">
        <f t="shared" si="3"/>
        <v>2019.07</v>
      </c>
      <c r="B232" s="3518">
        <v>215.86</v>
      </c>
      <c r="C232" s="3519">
        <v>209.52</v>
      </c>
      <c r="D232" s="3521">
        <v>213.49</v>
      </c>
      <c r="E232" s="3523">
        <v>195.49</v>
      </c>
      <c r="F232" s="3524">
        <v>209.9</v>
      </c>
      <c r="H232" s="549"/>
    </row>
    <row r="233" spans="1:8" ht="12.75" customHeight="1">
      <c r="A233" s="1219">
        <f t="shared" si="3"/>
        <v>2019.08</v>
      </c>
      <c r="B233" s="3518">
        <v>221.87</v>
      </c>
      <c r="C233" s="3519">
        <v>213.21</v>
      </c>
      <c r="D233" s="3521">
        <v>218.63</v>
      </c>
      <c r="E233" s="3523">
        <v>200.52</v>
      </c>
      <c r="F233" s="3524">
        <v>215.02</v>
      </c>
      <c r="H233" s="549"/>
    </row>
    <row r="234" spans="1:8" ht="12.75" customHeight="1">
      <c r="A234" s="1219">
        <f t="shared" si="3"/>
        <v>2019.09</v>
      </c>
      <c r="B234" s="3518">
        <v>227.72</v>
      </c>
      <c r="C234" s="3519">
        <v>220.8</v>
      </c>
      <c r="D234" s="3521">
        <v>225.13</v>
      </c>
      <c r="E234" s="3523">
        <v>203.25</v>
      </c>
      <c r="F234" s="3524">
        <v>220.77</v>
      </c>
      <c r="H234" s="549"/>
    </row>
    <row r="235" spans="1:8" ht="12.75" customHeight="1">
      <c r="A235" s="1219">
        <f t="shared" si="3"/>
        <v>2019.1</v>
      </c>
      <c r="B235" s="3518">
        <v>236.31</v>
      </c>
      <c r="C235" s="3519">
        <v>227.45</v>
      </c>
      <c r="D235" s="3521">
        <v>233</v>
      </c>
      <c r="E235" s="3523">
        <v>207.5</v>
      </c>
      <c r="F235" s="3524">
        <v>227.92</v>
      </c>
      <c r="H235" s="549"/>
    </row>
    <row r="236" spans="1:8" ht="12.75" customHeight="1">
      <c r="A236" s="1219">
        <f t="shared" si="3"/>
        <v>2019.11</v>
      </c>
      <c r="B236" s="3518">
        <v>242.85</v>
      </c>
      <c r="C236" s="3519">
        <v>231.39</v>
      </c>
      <c r="D236" s="3521">
        <v>238.57</v>
      </c>
      <c r="E236" s="3523">
        <v>212.21</v>
      </c>
      <c r="F236" s="3524">
        <v>233.32</v>
      </c>
      <c r="H236" s="549"/>
    </row>
    <row r="237" spans="1:8" ht="12.75" customHeight="1">
      <c r="A237" s="1219">
        <f t="shared" si="3"/>
        <v>2019.12</v>
      </c>
      <c r="B237" s="3518">
        <v>246.54</v>
      </c>
      <c r="C237" s="3519">
        <v>238.13</v>
      </c>
      <c r="D237" s="3521">
        <v>243.4</v>
      </c>
      <c r="E237" s="3523">
        <v>223.54</v>
      </c>
      <c r="F237" s="3524">
        <v>239.44</v>
      </c>
      <c r="H237" s="549"/>
    </row>
    <row r="238" spans="1:8" ht="12.75" customHeight="1">
      <c r="A238" s="1219">
        <f t="shared" si="3"/>
        <v>2020.01</v>
      </c>
      <c r="B238" s="3518">
        <v>267.60000000000002</v>
      </c>
      <c r="C238" s="3519">
        <v>244.59</v>
      </c>
      <c r="D238" s="3521">
        <v>259.01</v>
      </c>
      <c r="E238" s="3523">
        <v>232.76</v>
      </c>
      <c r="F238" s="3524">
        <v>253.78</v>
      </c>
      <c r="H238" s="549"/>
    </row>
    <row r="239" spans="1:8" ht="12.75" customHeight="1">
      <c r="A239" s="1219">
        <f t="shared" si="3"/>
        <v>2020.02</v>
      </c>
      <c r="B239" s="3518">
        <v>279.97000000000003</v>
      </c>
      <c r="C239" s="3519">
        <v>251.57</v>
      </c>
      <c r="D239" s="3521">
        <v>269.36</v>
      </c>
      <c r="E239" s="3523">
        <v>240.22</v>
      </c>
      <c r="F239" s="3524">
        <v>263.55</v>
      </c>
      <c r="H239" s="549"/>
    </row>
    <row r="240" spans="1:8" ht="12.75" customHeight="1">
      <c r="A240" s="1219">
        <f t="shared" si="3"/>
        <v>2020.03</v>
      </c>
      <c r="B240" s="3518">
        <v>286.39999999999998</v>
      </c>
      <c r="C240" s="3519">
        <v>262.08</v>
      </c>
      <c r="D240" s="3521">
        <v>277.31</v>
      </c>
      <c r="E240" s="3523">
        <v>248.53</v>
      </c>
      <c r="F240" s="3524">
        <v>271.58</v>
      </c>
      <c r="H240" s="549"/>
    </row>
    <row r="241" spans="1:8" ht="12.75" customHeight="1">
      <c r="A241" s="1219">
        <f t="shared" si="3"/>
        <v>2020.04</v>
      </c>
      <c r="B241" s="3518">
        <v>285.74</v>
      </c>
      <c r="C241" s="3519">
        <v>263.54000000000002</v>
      </c>
      <c r="D241" s="3521">
        <v>277.45</v>
      </c>
      <c r="E241" s="3523">
        <v>250.23</v>
      </c>
      <c r="F241" s="3524">
        <v>272.02999999999997</v>
      </c>
      <c r="H241" s="549"/>
    </row>
    <row r="242" spans="1:8" ht="12.75" customHeight="1">
      <c r="A242" s="1219">
        <f t="shared" si="3"/>
        <v>2020.05</v>
      </c>
      <c r="B242" s="3518">
        <v>285.06</v>
      </c>
      <c r="C242" s="3519">
        <v>264.92</v>
      </c>
      <c r="D242" s="3521">
        <v>277.54000000000002</v>
      </c>
      <c r="E242" s="3523">
        <v>248.98</v>
      </c>
      <c r="F242" s="3524">
        <v>271.83999999999997</v>
      </c>
      <c r="H242" s="549"/>
    </row>
    <row r="243" spans="1:8" ht="12.75" customHeight="1">
      <c r="A243" s="1219">
        <f t="shared" si="3"/>
        <v>2020.06</v>
      </c>
      <c r="B243" s="3518">
        <v>285.44</v>
      </c>
      <c r="C243" s="3519">
        <v>267.19</v>
      </c>
      <c r="D243" s="3521">
        <v>278.62</v>
      </c>
      <c r="E243" s="3523">
        <v>252.74</v>
      </c>
      <c r="F243" s="3524">
        <v>273.47000000000003</v>
      </c>
      <c r="H243" s="549"/>
    </row>
    <row r="244" spans="1:8" ht="12.75" customHeight="1">
      <c r="A244" s="1219">
        <f t="shared" si="3"/>
        <v>2020.07</v>
      </c>
      <c r="B244" s="3518">
        <v>289.19</v>
      </c>
      <c r="C244" s="3519">
        <v>270.14</v>
      </c>
      <c r="D244" s="3521">
        <v>282.07</v>
      </c>
      <c r="E244" s="3523">
        <v>263.49</v>
      </c>
      <c r="F244" s="3524">
        <v>278.37</v>
      </c>
      <c r="H244" s="549"/>
    </row>
    <row r="245" spans="1:8" ht="12.75" customHeight="1">
      <c r="A245" s="1219">
        <f t="shared" si="3"/>
        <v>2020.08</v>
      </c>
      <c r="B245" s="3518">
        <v>295.13</v>
      </c>
      <c r="C245" s="3519">
        <v>272.2</v>
      </c>
      <c r="D245" s="3521">
        <v>286.56</v>
      </c>
      <c r="E245" s="3523">
        <v>273.32</v>
      </c>
      <c r="F245" s="3524">
        <v>283.92</v>
      </c>
      <c r="H245" s="549"/>
    </row>
    <row r="246" spans="1:8" ht="12.75" customHeight="1">
      <c r="A246" s="1219">
        <f t="shared" si="3"/>
        <v>2020.09</v>
      </c>
      <c r="B246" s="3518">
        <v>301.54000000000002</v>
      </c>
      <c r="C246" s="3519">
        <v>280.93</v>
      </c>
      <c r="D246" s="3521">
        <v>293.83999999999997</v>
      </c>
      <c r="E246" s="3523">
        <v>279.69</v>
      </c>
      <c r="F246" s="3524">
        <v>291.02</v>
      </c>
      <c r="H246" s="549"/>
    </row>
    <row r="247" spans="1:8" ht="12.75" customHeight="1">
      <c r="A247" s="1219">
        <f t="shared" si="3"/>
        <v>2020.1</v>
      </c>
      <c r="B247" s="3518">
        <v>317.66000000000003</v>
      </c>
      <c r="C247" s="3519">
        <v>289.72000000000003</v>
      </c>
      <c r="D247" s="3521">
        <v>307.22000000000003</v>
      </c>
      <c r="E247" s="3523">
        <v>285.74</v>
      </c>
      <c r="F247" s="3524">
        <v>302.94</v>
      </c>
      <c r="H247" s="549"/>
    </row>
    <row r="248" spans="1:8" ht="12.75" customHeight="1">
      <c r="A248" s="1219">
        <f t="shared" si="3"/>
        <v>2020.11</v>
      </c>
      <c r="B248" s="3518">
        <v>326.04000000000002</v>
      </c>
      <c r="C248" s="3519">
        <v>294.87</v>
      </c>
      <c r="D248" s="3521">
        <v>314.39999999999998</v>
      </c>
      <c r="E248" s="3523">
        <v>306.95999999999998</v>
      </c>
      <c r="F248" s="3524">
        <v>312.92</v>
      </c>
      <c r="H248" s="549"/>
    </row>
    <row r="249" spans="1:8" ht="12.75" customHeight="1">
      <c r="A249" s="1219">
        <f t="shared" si="3"/>
        <v>2020.12</v>
      </c>
      <c r="B249" s="3518">
        <v>331.26</v>
      </c>
      <c r="C249" s="3519">
        <v>301.97000000000003</v>
      </c>
      <c r="D249" s="3521">
        <v>320.32</v>
      </c>
      <c r="E249" s="3523">
        <v>310.77999999999997</v>
      </c>
      <c r="F249" s="3524">
        <v>318.42</v>
      </c>
      <c r="H249" s="549"/>
    </row>
    <row r="250" spans="1:8" ht="12.75" customHeight="1">
      <c r="A250" s="1219">
        <f t="shared" si="3"/>
        <v>2021.01</v>
      </c>
      <c r="B250" s="3518">
        <v>344.61</v>
      </c>
      <c r="C250" s="3519">
        <v>309.32</v>
      </c>
      <c r="D250" s="3521">
        <v>331.43</v>
      </c>
      <c r="E250" s="3525">
        <v>318.42</v>
      </c>
      <c r="F250" s="3524">
        <v>328.84</v>
      </c>
      <c r="H250" s="549"/>
    </row>
    <row r="251" spans="1:8" ht="12.75" customHeight="1">
      <c r="A251" s="1219">
        <f t="shared" si="3"/>
        <v>2021.02</v>
      </c>
      <c r="B251" s="3518">
        <v>362.33</v>
      </c>
      <c r="C251" s="3519">
        <v>321.14</v>
      </c>
      <c r="D251" s="3521">
        <v>346.94</v>
      </c>
      <c r="E251" s="3525">
        <v>327.43</v>
      </c>
      <c r="F251" s="3524">
        <v>343.06</v>
      </c>
      <c r="H251" s="549"/>
    </row>
    <row r="252" spans="1:8" ht="12.75" customHeight="1">
      <c r="A252" s="1219">
        <f t="shared" si="3"/>
        <v>2021.03</v>
      </c>
      <c r="B252" s="3518">
        <v>376.68</v>
      </c>
      <c r="C252" s="3519">
        <v>345.37</v>
      </c>
      <c r="D252" s="3521">
        <v>364.98</v>
      </c>
      <c r="E252" s="3525">
        <v>341.36</v>
      </c>
      <c r="F252" s="3524">
        <v>360.28</v>
      </c>
      <c r="H252" s="549"/>
    </row>
    <row r="253" spans="1:8" ht="12.75" customHeight="1">
      <c r="A253" s="1219">
        <f t="shared" si="3"/>
        <v>2021.04</v>
      </c>
      <c r="B253" s="3518">
        <v>394.54</v>
      </c>
      <c r="C253" s="3519">
        <v>350.74</v>
      </c>
      <c r="D253" s="3521">
        <v>378.18</v>
      </c>
      <c r="E253" s="3525">
        <v>346.34</v>
      </c>
      <c r="F253" s="3524">
        <v>371.84</v>
      </c>
      <c r="H253" s="549"/>
    </row>
    <row r="254" spans="1:8" ht="12.75" customHeight="1">
      <c r="A254" s="1219">
        <f t="shared" si="3"/>
        <v>2021.05</v>
      </c>
      <c r="B254" s="3518">
        <v>408.38</v>
      </c>
      <c r="C254" s="3519">
        <v>360.83</v>
      </c>
      <c r="D254" s="3521">
        <v>390.62</v>
      </c>
      <c r="E254" s="3525">
        <v>349.47</v>
      </c>
      <c r="F254" s="3524">
        <v>382.42</v>
      </c>
      <c r="H254" s="549"/>
    </row>
    <row r="255" spans="1:8" ht="12.75" customHeight="1">
      <c r="A255" s="1219">
        <f t="shared" si="3"/>
        <v>2021.06</v>
      </c>
      <c r="B255" s="3518">
        <v>415.55</v>
      </c>
      <c r="C255" s="3519">
        <v>375.32</v>
      </c>
      <c r="D255" s="3521">
        <v>400.52</v>
      </c>
      <c r="E255" s="3525">
        <v>353.54</v>
      </c>
      <c r="F255" s="3524">
        <v>391.16</v>
      </c>
      <c r="H255" s="549"/>
    </row>
    <row r="256" spans="1:8" ht="12.75" customHeight="1">
      <c r="A256" s="1219">
        <f t="shared" si="3"/>
        <v>2021.07</v>
      </c>
      <c r="B256" s="3518">
        <v>437</v>
      </c>
      <c r="C256" s="3519">
        <v>397.93</v>
      </c>
      <c r="D256" s="3521">
        <v>422.41</v>
      </c>
      <c r="E256" s="3525">
        <v>362.03</v>
      </c>
      <c r="F256" s="3524">
        <v>410.37</v>
      </c>
      <c r="H256" s="549"/>
    </row>
    <row r="257" spans="1:8" ht="12.75" customHeight="1">
      <c r="A257" s="1219">
        <f t="shared" si="3"/>
        <v>2021.08</v>
      </c>
      <c r="B257" s="3518">
        <v>451.64</v>
      </c>
      <c r="C257" s="3519">
        <v>410.82</v>
      </c>
      <c r="D257" s="3521">
        <v>436.4</v>
      </c>
      <c r="E257" s="3525">
        <v>371.24</v>
      </c>
      <c r="F257" s="3524">
        <v>423.41</v>
      </c>
      <c r="H257" s="549"/>
    </row>
    <row r="258" spans="1:8" ht="12.75" customHeight="1">
      <c r="A258" s="1219">
        <f t="shared" si="3"/>
        <v>2021.09</v>
      </c>
      <c r="B258" s="3518">
        <v>467.91</v>
      </c>
      <c r="C258" s="3519">
        <v>438.07</v>
      </c>
      <c r="D258" s="3521">
        <v>456.77</v>
      </c>
      <c r="E258" s="3525">
        <v>374.34</v>
      </c>
      <c r="F258" s="3524">
        <v>440.34</v>
      </c>
      <c r="H258" s="549"/>
    </row>
    <row r="259" spans="1:8" ht="12.75" customHeight="1">
      <c r="A259" s="1219">
        <f t="shared" si="3"/>
        <v>2021.1</v>
      </c>
      <c r="B259" s="3518">
        <v>485.29</v>
      </c>
      <c r="C259" s="3519">
        <v>454.12</v>
      </c>
      <c r="D259" s="3521">
        <v>473.64</v>
      </c>
      <c r="E259" s="3525">
        <v>395.51</v>
      </c>
      <c r="F259" s="3524">
        <v>458.07</v>
      </c>
      <c r="H259" s="549"/>
    </row>
    <row r="260" spans="1:8" ht="12.75" customHeight="1">
      <c r="A260" s="1219">
        <f t="shared" si="3"/>
        <v>2021.11</v>
      </c>
      <c r="B260" s="3518">
        <v>507</v>
      </c>
      <c r="C260" s="3519">
        <v>466.54</v>
      </c>
      <c r="D260" s="3521">
        <v>491.89</v>
      </c>
      <c r="E260" s="3525">
        <v>412.7</v>
      </c>
      <c r="F260" s="3524">
        <v>476.11</v>
      </c>
      <c r="H260" s="549"/>
    </row>
    <row r="261" spans="1:8" ht="12.75" customHeight="1">
      <c r="A261" s="1219">
        <f t="shared" si="3"/>
        <v>2021.12</v>
      </c>
      <c r="B261" s="3518">
        <v>514.34</v>
      </c>
      <c r="C261" s="3519">
        <v>479.05</v>
      </c>
      <c r="D261" s="3521">
        <v>501.16</v>
      </c>
      <c r="E261" s="3525">
        <v>436.8</v>
      </c>
      <c r="F261" s="3524">
        <v>488.33</v>
      </c>
      <c r="H261" s="549"/>
    </row>
    <row r="262" spans="1:8" ht="12.75" customHeight="1">
      <c r="A262" s="1219">
        <f t="shared" si="3"/>
        <v>2022.01</v>
      </c>
      <c r="B262" s="3518">
        <v>538.16999999999996</v>
      </c>
      <c r="C262" s="3519">
        <v>493.03</v>
      </c>
      <c r="D262" s="3521">
        <v>521.29999999999995</v>
      </c>
      <c r="E262" s="3525">
        <v>447.94</v>
      </c>
      <c r="F262" s="3524">
        <v>506.68</v>
      </c>
      <c r="H262" s="549"/>
    </row>
    <row r="263" spans="1:8" ht="12.75" customHeight="1">
      <c r="A263" s="1219">
        <f t="shared" si="3"/>
        <v>2022.02</v>
      </c>
      <c r="B263" s="3518">
        <v>559.01</v>
      </c>
      <c r="C263" s="3519">
        <v>504.7</v>
      </c>
      <c r="D263" s="3521">
        <v>538.72</v>
      </c>
      <c r="E263" s="3525">
        <v>457.61</v>
      </c>
      <c r="F263" s="3524">
        <v>522.55999999999995</v>
      </c>
      <c r="H263" s="549"/>
    </row>
    <row r="264" spans="1:8" ht="12.75" customHeight="1">
      <c r="A264" s="1219">
        <f t="shared" si="3"/>
        <v>2022.03</v>
      </c>
      <c r="B264" s="3518">
        <v>589.30999999999995</v>
      </c>
      <c r="C264" s="3519">
        <v>565.82000000000005</v>
      </c>
      <c r="D264" s="3521">
        <v>580.53</v>
      </c>
      <c r="E264" s="3523">
        <v>483.35</v>
      </c>
      <c r="F264" s="3524">
        <v>561.16</v>
      </c>
      <c r="H264" s="549"/>
    </row>
    <row r="265" spans="1:8" ht="12.75" customHeight="1">
      <c r="A265" s="1219">
        <f t="shared" si="3"/>
        <v>2022.04</v>
      </c>
      <c r="B265" s="3518">
        <v>622.29</v>
      </c>
      <c r="C265" s="3519">
        <v>580.87</v>
      </c>
      <c r="D265" s="3521">
        <v>606.82000000000005</v>
      </c>
      <c r="E265" s="3523">
        <v>517.48</v>
      </c>
      <c r="F265" s="3524">
        <v>589.01</v>
      </c>
      <c r="H265" s="549"/>
    </row>
    <row r="266" spans="1:8" ht="12.75" customHeight="1">
      <c r="A266" s="1219">
        <f t="shared" si="3"/>
        <v>2022.05</v>
      </c>
      <c r="B266" s="3518">
        <v>665.66</v>
      </c>
      <c r="C266" s="3519">
        <v>619.44000000000005</v>
      </c>
      <c r="D266" s="3521">
        <v>648.39</v>
      </c>
      <c r="E266" s="3523">
        <v>534.16999999999996</v>
      </c>
      <c r="F266" s="3524">
        <v>625.63</v>
      </c>
      <c r="H266" s="549"/>
    </row>
    <row r="267" spans="1:8" ht="12.75" customHeight="1">
      <c r="A267" s="1219">
        <f t="shared" si="3"/>
        <v>2022.06</v>
      </c>
      <c r="B267" s="3518">
        <v>699.36</v>
      </c>
      <c r="C267" s="3519">
        <v>647.9</v>
      </c>
      <c r="D267" s="3521">
        <v>680.14</v>
      </c>
      <c r="E267" s="3523">
        <v>558.71</v>
      </c>
      <c r="F267" s="3524">
        <v>655.94</v>
      </c>
      <c r="H267" s="549"/>
    </row>
    <row r="268" spans="1:8" ht="12.75" customHeight="1">
      <c r="A268" s="1219">
        <f t="shared" si="3"/>
        <v>2022.07</v>
      </c>
      <c r="B268" s="3518">
        <v>737.01</v>
      </c>
      <c r="C268" s="3519">
        <v>695.34</v>
      </c>
      <c r="D268" s="3521">
        <v>721.44</v>
      </c>
      <c r="E268" s="3523">
        <v>575.30999999999995</v>
      </c>
      <c r="F268" s="3524">
        <v>692.32</v>
      </c>
      <c r="H268" s="549"/>
    </row>
    <row r="269" spans="1:8" ht="12.75" customHeight="1">
      <c r="A269" s="1219">
        <f t="shared" si="3"/>
        <v>2022.08</v>
      </c>
      <c r="B269" s="3518">
        <v>797.04</v>
      </c>
      <c r="C269" s="3519">
        <v>724.84</v>
      </c>
      <c r="D269" s="3521">
        <v>770.07</v>
      </c>
      <c r="E269" s="3523">
        <v>606.44000000000005</v>
      </c>
      <c r="F269" s="3524">
        <v>737.46</v>
      </c>
      <c r="H269" s="549"/>
    </row>
    <row r="270" spans="1:8" ht="12.75" customHeight="1">
      <c r="A270" s="1219">
        <f t="shared" si="3"/>
        <v>2022.09</v>
      </c>
      <c r="B270" s="3518">
        <v>843.4</v>
      </c>
      <c r="C270" s="3519">
        <v>780.81</v>
      </c>
      <c r="D270" s="3521">
        <v>820.02</v>
      </c>
      <c r="E270" s="3523">
        <v>654.74</v>
      </c>
      <c r="F270" s="3524">
        <v>787.08</v>
      </c>
      <c r="H270" s="549"/>
    </row>
    <row r="271" spans="1:8" ht="12.75" customHeight="1">
      <c r="A271" s="1219">
        <f t="shared" si="3"/>
        <v>2022.1</v>
      </c>
      <c r="B271" s="3518">
        <v>888.1</v>
      </c>
      <c r="C271" s="3519">
        <v>827.5</v>
      </c>
      <c r="D271" s="3521">
        <v>865.46</v>
      </c>
      <c r="E271" s="3523">
        <v>675.21</v>
      </c>
      <c r="F271" s="3524">
        <v>827.54</v>
      </c>
      <c r="H271" s="549"/>
    </row>
    <row r="272" spans="1:8" ht="12.75" customHeight="1">
      <c r="A272" s="1219">
        <f t="shared" si="3"/>
        <v>2022.11</v>
      </c>
      <c r="B272" s="3518">
        <v>953.34</v>
      </c>
      <c r="C272" s="3519">
        <v>874.76</v>
      </c>
      <c r="D272" s="3521">
        <v>923.98</v>
      </c>
      <c r="E272" s="3523">
        <v>718.67</v>
      </c>
      <c r="F272" s="3524">
        <v>883.06</v>
      </c>
      <c r="H272" s="549"/>
    </row>
    <row r="273" spans="1:8" ht="12.75" customHeight="1">
      <c r="A273" s="1219">
        <f t="shared" si="3"/>
        <v>2022.12</v>
      </c>
      <c r="B273" s="3518">
        <v>996.62</v>
      </c>
      <c r="C273" s="3519">
        <v>955.04</v>
      </c>
      <c r="D273" s="3521">
        <v>981.09</v>
      </c>
      <c r="E273" s="3523">
        <v>722.55</v>
      </c>
      <c r="F273" s="3524">
        <v>929.56</v>
      </c>
      <c r="H273" s="549"/>
    </row>
    <row r="274" spans="1:8" ht="12.75" customHeight="1">
      <c r="A274" s="1219">
        <f t="shared" si="3"/>
        <v>2023.01</v>
      </c>
      <c r="B274" s="3518">
        <v>1042.3699999999999</v>
      </c>
      <c r="C274" s="3519">
        <v>992.3</v>
      </c>
      <c r="D274" s="3521">
        <v>1023.66</v>
      </c>
      <c r="E274" s="3523">
        <v>771.21</v>
      </c>
      <c r="F274" s="3524">
        <v>973.35</v>
      </c>
      <c r="H274" s="549"/>
    </row>
    <row r="275" spans="1:8" ht="12.75" customHeight="1">
      <c r="A275" s="1219">
        <f t="shared" si="3"/>
        <v>2023.02</v>
      </c>
      <c r="B275" s="3518">
        <v>1114.31</v>
      </c>
      <c r="C275" s="3519">
        <v>1030.47</v>
      </c>
      <c r="D275" s="3521">
        <v>1082.99</v>
      </c>
      <c r="E275" s="3523">
        <v>825.87</v>
      </c>
      <c r="F275" s="3524">
        <v>1031.74</v>
      </c>
      <c r="H275" s="549"/>
    </row>
    <row r="276" spans="1:8" ht="12.75" customHeight="1">
      <c r="A276" s="1219">
        <f t="shared" si="3"/>
        <v>2023.03</v>
      </c>
      <c r="B276" s="3518">
        <v>1202.08</v>
      </c>
      <c r="C276" s="3519">
        <v>1198.55</v>
      </c>
      <c r="D276" s="3521">
        <v>1200.76</v>
      </c>
      <c r="E276" s="3523">
        <v>876.04</v>
      </c>
      <c r="F276" s="3524">
        <v>1136.04</v>
      </c>
      <c r="H276" s="549"/>
    </row>
    <row r="277" spans="1:8" ht="12.75" customHeight="1">
      <c r="A277" s="1219">
        <f t="shared" si="3"/>
        <v>2023.04</v>
      </c>
      <c r="B277" s="3518">
        <v>1284.57</v>
      </c>
      <c r="C277" s="3519">
        <v>1247.3900000000001</v>
      </c>
      <c r="D277" s="3521">
        <v>1270.68</v>
      </c>
      <c r="E277" s="3523">
        <v>918.51</v>
      </c>
      <c r="F277" s="3524">
        <v>1200.49</v>
      </c>
      <c r="H277" s="549"/>
    </row>
    <row r="278" spans="1:8" ht="12.75" customHeight="1">
      <c r="A278" s="1219">
        <f t="shared" si="3"/>
        <v>2023.05</v>
      </c>
      <c r="B278" s="3518">
        <v>1389.24</v>
      </c>
      <c r="C278" s="3519">
        <v>1353.08</v>
      </c>
      <c r="D278" s="3521">
        <v>1375.74</v>
      </c>
      <c r="E278" s="3523">
        <v>947.84</v>
      </c>
      <c r="F278" s="3524">
        <v>1290.46</v>
      </c>
      <c r="H278" s="549"/>
    </row>
    <row r="279" spans="1:8" ht="12.75" customHeight="1">
      <c r="A279" s="1219">
        <f t="shared" si="3"/>
        <v>2023.06</v>
      </c>
      <c r="B279" s="3518">
        <v>1468.48</v>
      </c>
      <c r="C279" s="3519">
        <v>1434.49</v>
      </c>
      <c r="D279" s="3521">
        <v>1455.78</v>
      </c>
      <c r="E279" s="3523">
        <v>1018.88</v>
      </c>
      <c r="F279" s="3524">
        <v>1368.71</v>
      </c>
      <c r="H279" s="549"/>
    </row>
    <row r="280" spans="1:8" ht="12.75" customHeight="1">
      <c r="A280" s="1219">
        <f t="shared" si="3"/>
        <v>2023.07</v>
      </c>
      <c r="B280" s="3518">
        <v>1626.81</v>
      </c>
      <c r="C280" s="3519">
        <v>1625.51</v>
      </c>
      <c r="D280" s="3521">
        <v>1626.33</v>
      </c>
      <c r="E280" s="3523">
        <v>1090.31</v>
      </c>
      <c r="F280" s="3524">
        <v>1519.5</v>
      </c>
      <c r="H280" s="549"/>
    </row>
    <row r="281" spans="1:8" ht="12.75" customHeight="1">
      <c r="A281" s="1219">
        <f t="shared" si="3"/>
        <v>2023.08</v>
      </c>
      <c r="B281" s="3518">
        <v>1762.46</v>
      </c>
      <c r="C281" s="3519">
        <v>1723.25</v>
      </c>
      <c r="D281" s="3521">
        <v>1747.82</v>
      </c>
      <c r="E281" s="3523">
        <v>1183.42</v>
      </c>
      <c r="F281" s="3524">
        <v>1635.33</v>
      </c>
      <c r="H281" s="549"/>
    </row>
    <row r="282" spans="1:8" ht="12.75" customHeight="1">
      <c r="A282" s="1219">
        <f t="shared" si="3"/>
        <v>2023.09</v>
      </c>
      <c r="B282" s="3518">
        <v>1995.58</v>
      </c>
      <c r="C282" s="3519">
        <v>1911.97</v>
      </c>
      <c r="D282" s="3521">
        <v>1964.34</v>
      </c>
      <c r="E282" s="3523">
        <v>1271.6300000000001</v>
      </c>
      <c r="F282" s="3524">
        <v>1826.29</v>
      </c>
      <c r="H282" s="549"/>
    </row>
    <row r="283" spans="1:8" ht="12.75" customHeight="1">
      <c r="A283" s="1219">
        <f t="shared" si="3"/>
        <v>2023.1</v>
      </c>
      <c r="B283" s="3518">
        <v>2169.81</v>
      </c>
      <c r="C283" s="3519">
        <v>2086.8200000000002</v>
      </c>
      <c r="D283" s="3521">
        <v>2138.81</v>
      </c>
      <c r="E283" s="3523">
        <v>1334.03</v>
      </c>
      <c r="F283" s="3524">
        <v>1978.41</v>
      </c>
      <c r="H283" s="549"/>
    </row>
    <row r="284" spans="1:8" ht="12.75" customHeight="1">
      <c r="A284" s="1219">
        <f t="shared" si="3"/>
        <v>2023.11</v>
      </c>
      <c r="B284" s="3518">
        <v>2385.5500000000002</v>
      </c>
      <c r="C284" s="3519">
        <v>2250.34</v>
      </c>
      <c r="D284" s="3521">
        <v>2335.04</v>
      </c>
      <c r="E284" s="3523">
        <v>1445.34</v>
      </c>
      <c r="F284" s="3524">
        <v>2157.73</v>
      </c>
      <c r="H284" s="549"/>
    </row>
    <row r="285" spans="1:8" ht="12.75" customHeight="1">
      <c r="A285" s="1219">
        <f t="shared" si="3"/>
        <v>2023.12</v>
      </c>
      <c r="B285" s="3518">
        <v>2648.87</v>
      </c>
      <c r="C285" s="3519">
        <v>2374.02</v>
      </c>
      <c r="D285" s="3521">
        <v>2546.1999999999998</v>
      </c>
      <c r="E285" s="3523">
        <v>1555.65</v>
      </c>
      <c r="F285" s="3524">
        <v>2348.79</v>
      </c>
      <c r="H285" s="549"/>
    </row>
    <row r="286" spans="1:8" ht="12.75" customHeight="1">
      <c r="A286" s="1219">
        <f t="shared" si="3"/>
        <v>2024.01</v>
      </c>
      <c r="B286" s="3518">
        <v>3178.28</v>
      </c>
      <c r="C286" s="3519">
        <v>2660.85</v>
      </c>
      <c r="D286" s="3521">
        <v>2985</v>
      </c>
      <c r="E286" s="3523">
        <v>1730.47</v>
      </c>
      <c r="F286" s="3524">
        <v>2734.97</v>
      </c>
      <c r="H286" s="549"/>
    </row>
    <row r="287" spans="1:8" ht="12.75" customHeight="1">
      <c r="A287" s="1219">
        <f t="shared" si="3"/>
        <v>2024.02</v>
      </c>
      <c r="B287" s="3518">
        <v>3625.42</v>
      </c>
      <c r="C287" s="3519">
        <v>3062.83</v>
      </c>
      <c r="D287" s="3521">
        <v>3415.26</v>
      </c>
      <c r="E287" s="3523">
        <v>1829.42</v>
      </c>
      <c r="F287" s="3524">
        <v>3099.2</v>
      </c>
      <c r="H287" s="549"/>
    </row>
    <row r="288" spans="1:8" ht="12.75" customHeight="1">
      <c r="A288" s="1219">
        <f t="shared" si="3"/>
        <v>2024.03</v>
      </c>
      <c r="B288" s="3518">
        <v>3987.49</v>
      </c>
      <c r="C288" s="3519">
        <v>3400.49</v>
      </c>
      <c r="D288" s="3521">
        <v>3768.21</v>
      </c>
      <c r="E288" s="3523">
        <v>2007.72</v>
      </c>
      <c r="F288" s="3524">
        <v>3417.34</v>
      </c>
      <c r="H288" s="549"/>
    </row>
    <row r="289" spans="1:8" ht="12.75" customHeight="1">
      <c r="A289" s="1219">
        <f t="shared" si="3"/>
        <v>2024.04</v>
      </c>
      <c r="B289" s="3518">
        <v>4464.6000000000004</v>
      </c>
      <c r="C289" s="3519">
        <v>3656.07</v>
      </c>
      <c r="D289" s="3521">
        <v>4162.57</v>
      </c>
      <c r="E289" s="3523">
        <v>2163.7600000000002</v>
      </c>
      <c r="F289" s="3524">
        <v>3764.21</v>
      </c>
      <c r="H289" s="549"/>
    </row>
    <row r="290" spans="1:8" ht="12.75" customHeight="1">
      <c r="A290" s="1219">
        <f t="shared" si="3"/>
        <v>2024.05</v>
      </c>
      <c r="B290" s="3518">
        <v>4807.34</v>
      </c>
      <c r="C290" s="3519">
        <v>3957.89</v>
      </c>
      <c r="D290" s="3521">
        <v>4490.03</v>
      </c>
      <c r="E290" s="3523">
        <v>2419.2399999999998</v>
      </c>
      <c r="F290" s="3524">
        <v>4077.32</v>
      </c>
      <c r="H290" s="549"/>
    </row>
    <row r="291" spans="1:8" ht="12.75" customHeight="1">
      <c r="A291" s="1219">
        <f t="shared" ref="A291:A354" si="4">A279+1</f>
        <v>2024.06</v>
      </c>
      <c r="B291" s="3518">
        <v>5129.04</v>
      </c>
      <c r="C291" s="3519">
        <v>4113.99</v>
      </c>
      <c r="D291" s="3521">
        <v>4749.88</v>
      </c>
      <c r="E291" s="3523">
        <v>2642.13</v>
      </c>
      <c r="F291" s="3524">
        <v>4329.8</v>
      </c>
      <c r="H291" s="549"/>
    </row>
    <row r="292" spans="1:8" ht="12.75" customHeight="1">
      <c r="A292" s="1219">
        <f t="shared" si="4"/>
        <v>2024.07</v>
      </c>
      <c r="B292" s="3518">
        <v>5450.78</v>
      </c>
      <c r="C292" s="3519">
        <v>4390.43</v>
      </c>
      <c r="D292" s="3521">
        <v>5054.6899999999996</v>
      </c>
      <c r="E292" s="3523">
        <v>3040.48</v>
      </c>
      <c r="F292" s="3524">
        <v>4653.26</v>
      </c>
      <c r="H292" s="549"/>
    </row>
    <row r="293" spans="1:8" ht="12.75" customHeight="1">
      <c r="A293" s="1219">
        <f t="shared" si="4"/>
        <v>2024.08</v>
      </c>
      <c r="B293" s="3518">
        <v>5725.38</v>
      </c>
      <c r="C293" s="3519">
        <v>4594.7299999999996</v>
      </c>
      <c r="D293" s="3521">
        <v>5303.03</v>
      </c>
      <c r="E293" s="3523">
        <v>3362.05</v>
      </c>
      <c r="F293" s="3524">
        <v>4916.1899999999996</v>
      </c>
      <c r="H293" s="549"/>
    </row>
    <row r="294" spans="1:8" ht="12.75" customHeight="1">
      <c r="A294" s="1219">
        <f t="shared" si="4"/>
        <v>2024.09</v>
      </c>
      <c r="B294" s="3518">
        <v>5941.03</v>
      </c>
      <c r="C294" s="3519">
        <v>4774.83</v>
      </c>
      <c r="D294" s="3521">
        <v>5505.4</v>
      </c>
      <c r="E294" s="3523">
        <v>3710.18</v>
      </c>
      <c r="F294" s="3524">
        <v>5147.6099999999997</v>
      </c>
      <c r="H294" s="549"/>
    </row>
    <row r="295" spans="1:8" ht="12.75" customHeight="1">
      <c r="A295" s="1219">
        <f t="shared" si="4"/>
        <v>2024.1</v>
      </c>
      <c r="B295" s="3518">
        <v>6175.77</v>
      </c>
      <c r="C295" s="3519">
        <v>4982.0200000000004</v>
      </c>
      <c r="D295" s="3521">
        <v>5729.85</v>
      </c>
      <c r="E295" s="3523">
        <v>3994.36</v>
      </c>
      <c r="F295" s="3524">
        <v>5383.96</v>
      </c>
      <c r="H295" s="549"/>
    </row>
    <row r="296" spans="1:8" ht="12.75" customHeight="1">
      <c r="A296" s="1219">
        <f t="shared" si="4"/>
        <v>2024.11</v>
      </c>
      <c r="B296" s="3518">
        <v>6378.33</v>
      </c>
      <c r="C296" s="3519">
        <v>5117.7</v>
      </c>
      <c r="D296" s="3521">
        <v>5907.43</v>
      </c>
      <c r="E296" s="3523">
        <v>4319.74</v>
      </c>
      <c r="F296" s="3524">
        <v>5591</v>
      </c>
      <c r="H296" s="549"/>
    </row>
    <row r="297" spans="1:8" ht="12.75" customHeight="1">
      <c r="A297" s="1219">
        <f t="shared" si="4"/>
        <v>2024.12</v>
      </c>
      <c r="B297" s="3518">
        <v>6556.47</v>
      </c>
      <c r="C297" s="3519">
        <v>5205.72</v>
      </c>
      <c r="D297" s="3521">
        <v>6051.9</v>
      </c>
      <c r="E297" s="3523">
        <v>4615.04</v>
      </c>
      <c r="F297" s="3524">
        <v>5765.54</v>
      </c>
      <c r="H297" s="549"/>
    </row>
    <row r="298" spans="1:8" ht="12.75" customHeight="1">
      <c r="A298" s="1219">
        <f t="shared" si="4"/>
        <v>2025.01</v>
      </c>
      <c r="B298" s="3518">
        <v>6707.3</v>
      </c>
      <c r="C298" s="3519">
        <v>5253.88</v>
      </c>
      <c r="D298" s="3521">
        <v>6164.38</v>
      </c>
      <c r="E298" s="3523">
        <v>5010.83</v>
      </c>
      <c r="F298" s="3524">
        <v>5934.47</v>
      </c>
      <c r="H298" s="549"/>
    </row>
    <row r="299" spans="1:8" ht="12.75" customHeight="1">
      <c r="A299" s="1219">
        <f t="shared" si="4"/>
        <v>2025.02</v>
      </c>
      <c r="B299" s="3518">
        <v>6862.13</v>
      </c>
      <c r="C299" s="3519">
        <v>5488.58</v>
      </c>
      <c r="D299" s="3521">
        <v>6349.04</v>
      </c>
      <c r="E299" s="3523">
        <v>5408.11</v>
      </c>
      <c r="F299" s="3524">
        <v>6161.52</v>
      </c>
      <c r="H299" s="3349"/>
    </row>
    <row r="300" spans="1:8" ht="12.75" customHeight="1">
      <c r="A300" s="1219">
        <f t="shared" si="4"/>
        <v>2025.03</v>
      </c>
      <c r="B300" s="3518">
        <v>7010.54</v>
      </c>
      <c r="C300" s="3519">
        <v>5668.51</v>
      </c>
      <c r="D300" s="3521">
        <v>6509.23</v>
      </c>
      <c r="E300" s="3523">
        <v>5684.22</v>
      </c>
      <c r="F300" s="3524">
        <v>6344.81</v>
      </c>
      <c r="H300" s="549"/>
    </row>
    <row r="301" spans="1:8" ht="12.75" customHeight="1">
      <c r="A301" s="1219">
        <f t="shared" si="4"/>
        <v>2025.04</v>
      </c>
      <c r="B301" s="3518" t="e">
        <v>#N/A</v>
      </c>
      <c r="C301" s="3519" t="e">
        <v>#N/A</v>
      </c>
      <c r="D301" s="3521" t="e">
        <v>#N/A</v>
      </c>
      <c r="E301" s="3523" t="e">
        <v>#N/A</v>
      </c>
      <c r="F301" s="3524" t="e">
        <v>#N/A</v>
      </c>
      <c r="H301" s="549"/>
    </row>
    <row r="302" spans="1:8" ht="12.75" customHeight="1">
      <c r="A302" s="1219">
        <f t="shared" si="4"/>
        <v>2025.05</v>
      </c>
      <c r="B302" s="3518" t="e">
        <v>#N/A</v>
      </c>
      <c r="C302" s="3519" t="e">
        <v>#N/A</v>
      </c>
      <c r="D302" s="3521" t="e">
        <v>#N/A</v>
      </c>
      <c r="E302" s="3523" t="e">
        <v>#N/A</v>
      </c>
      <c r="F302" s="3524" t="e">
        <v>#N/A</v>
      </c>
      <c r="H302" s="549"/>
    </row>
    <row r="303" spans="1:8" ht="12.75" customHeight="1">
      <c r="A303" s="1219">
        <f t="shared" si="4"/>
        <v>2025.06</v>
      </c>
      <c r="B303" s="3518" t="e">
        <v>#N/A</v>
      </c>
      <c r="C303" s="3519" t="e">
        <v>#N/A</v>
      </c>
      <c r="D303" s="3521" t="e">
        <v>#N/A</v>
      </c>
      <c r="E303" s="3523" t="e">
        <v>#N/A</v>
      </c>
      <c r="F303" s="3524" t="e">
        <v>#N/A</v>
      </c>
      <c r="H303" s="549"/>
    </row>
    <row r="304" spans="1:8" ht="12.75" customHeight="1">
      <c r="A304" s="1219">
        <f t="shared" si="4"/>
        <v>2025.07</v>
      </c>
      <c r="B304" s="3518" t="e">
        <v>#N/A</v>
      </c>
      <c r="C304" s="3519" t="e">
        <v>#N/A</v>
      </c>
      <c r="D304" s="3521" t="e">
        <v>#N/A</v>
      </c>
      <c r="E304" s="3523" t="e">
        <v>#N/A</v>
      </c>
      <c r="F304" s="3524" t="e">
        <v>#N/A</v>
      </c>
      <c r="H304" s="549"/>
    </row>
    <row r="305" spans="1:8" ht="12.75" customHeight="1">
      <c r="A305" s="1219">
        <f t="shared" si="4"/>
        <v>2025.08</v>
      </c>
      <c r="B305" s="3518" t="e">
        <v>#N/A</v>
      </c>
      <c r="C305" s="3519" t="e">
        <v>#N/A</v>
      </c>
      <c r="D305" s="3521" t="e">
        <v>#N/A</v>
      </c>
      <c r="E305" s="3523" t="e">
        <v>#N/A</v>
      </c>
      <c r="F305" s="3524" t="e">
        <v>#N/A</v>
      </c>
      <c r="H305" s="549"/>
    </row>
    <row r="306" spans="1:8" ht="12.75" customHeight="1">
      <c r="A306" s="1219">
        <f t="shared" si="4"/>
        <v>2025.09</v>
      </c>
      <c r="B306" s="3518" t="e">
        <v>#N/A</v>
      </c>
      <c r="C306" s="3519" t="e">
        <v>#N/A</v>
      </c>
      <c r="D306" s="3521" t="e">
        <v>#N/A</v>
      </c>
      <c r="E306" s="3523" t="e">
        <v>#N/A</v>
      </c>
      <c r="F306" s="3524" t="e">
        <v>#N/A</v>
      </c>
      <c r="H306" s="549"/>
    </row>
    <row r="307" spans="1:8" ht="12.75" customHeight="1">
      <c r="A307" s="1219">
        <f t="shared" si="4"/>
        <v>2025.1</v>
      </c>
      <c r="B307" s="3518" t="e">
        <v>#N/A</v>
      </c>
      <c r="C307" s="3519" t="e">
        <v>#N/A</v>
      </c>
      <c r="D307" s="3521" t="e">
        <v>#N/A</v>
      </c>
      <c r="E307" s="3523" t="e">
        <v>#N/A</v>
      </c>
      <c r="F307" s="3524" t="e">
        <v>#N/A</v>
      </c>
      <c r="H307" s="549"/>
    </row>
    <row r="308" spans="1:8" ht="12.75" customHeight="1">
      <c r="A308" s="1219">
        <f t="shared" si="4"/>
        <v>2025.11</v>
      </c>
      <c r="B308" s="3518" t="e">
        <v>#N/A</v>
      </c>
      <c r="C308" s="3519" t="e">
        <v>#N/A</v>
      </c>
      <c r="D308" s="3521" t="e">
        <v>#N/A</v>
      </c>
      <c r="E308" s="3523" t="e">
        <v>#N/A</v>
      </c>
      <c r="F308" s="3524" t="e">
        <v>#N/A</v>
      </c>
      <c r="H308" s="549"/>
    </row>
    <row r="309" spans="1:8" ht="12.75" customHeight="1">
      <c r="A309" s="1219">
        <f t="shared" si="4"/>
        <v>2025.12</v>
      </c>
      <c r="B309" s="3518" t="e">
        <v>#N/A</v>
      </c>
      <c r="C309" s="3519" t="e">
        <v>#N/A</v>
      </c>
      <c r="D309" s="3521" t="e">
        <v>#N/A</v>
      </c>
      <c r="E309" s="3523" t="e">
        <v>#N/A</v>
      </c>
      <c r="F309" s="3524" t="e">
        <v>#N/A</v>
      </c>
      <c r="H309" s="549"/>
    </row>
    <row r="310" spans="1:8" ht="12.75" customHeight="1">
      <c r="A310" s="1219">
        <f t="shared" si="4"/>
        <v>2026.01</v>
      </c>
      <c r="B310" s="3518" t="e">
        <v>#N/A</v>
      </c>
      <c r="C310" s="3519" t="e">
        <v>#N/A</v>
      </c>
      <c r="D310" s="3521" t="e">
        <v>#N/A</v>
      </c>
      <c r="E310" s="3523" t="e">
        <v>#N/A</v>
      </c>
      <c r="F310" s="3524" t="e">
        <v>#N/A</v>
      </c>
      <c r="H310" s="549"/>
    </row>
    <row r="311" spans="1:8" ht="12.75" customHeight="1">
      <c r="A311" s="1219">
        <f t="shared" si="4"/>
        <v>2026.02</v>
      </c>
      <c r="B311" s="3518" t="e">
        <v>#N/A</v>
      </c>
      <c r="C311" s="3519" t="e">
        <v>#N/A</v>
      </c>
      <c r="D311" s="3521" t="e">
        <v>#N/A</v>
      </c>
      <c r="E311" s="3523" t="e">
        <v>#N/A</v>
      </c>
      <c r="F311" s="3524" t="e">
        <v>#N/A</v>
      </c>
      <c r="H311" s="549"/>
    </row>
    <row r="312" spans="1:8" ht="12.75" customHeight="1">
      <c r="A312" s="1219">
        <f t="shared" si="4"/>
        <v>2026.03</v>
      </c>
      <c r="B312" s="3518" t="e">
        <v>#N/A</v>
      </c>
      <c r="C312" s="3519" t="e">
        <v>#N/A</v>
      </c>
      <c r="D312" s="3521" t="e">
        <v>#N/A</v>
      </c>
      <c r="E312" s="3523" t="e">
        <v>#N/A</v>
      </c>
      <c r="F312" s="3524" t="e">
        <v>#N/A</v>
      </c>
      <c r="H312" s="549"/>
    </row>
    <row r="313" spans="1:8" ht="12.75" customHeight="1">
      <c r="A313" s="1219">
        <f t="shared" si="4"/>
        <v>2026.04</v>
      </c>
      <c r="B313" s="3518" t="e">
        <v>#N/A</v>
      </c>
      <c r="C313" s="3519" t="e">
        <v>#N/A</v>
      </c>
      <c r="D313" s="3521" t="e">
        <v>#N/A</v>
      </c>
      <c r="E313" s="3523" t="e">
        <v>#N/A</v>
      </c>
      <c r="F313" s="3524" t="e">
        <v>#N/A</v>
      </c>
      <c r="H313" s="549"/>
    </row>
    <row r="314" spans="1:8" ht="12.75" customHeight="1">
      <c r="A314" s="1219">
        <f t="shared" si="4"/>
        <v>2026.05</v>
      </c>
      <c r="B314" s="3518" t="e">
        <v>#N/A</v>
      </c>
      <c r="C314" s="3519" t="e">
        <v>#N/A</v>
      </c>
      <c r="D314" s="3521" t="e">
        <v>#N/A</v>
      </c>
      <c r="E314" s="3523" t="e">
        <v>#N/A</v>
      </c>
      <c r="F314" s="3524" t="e">
        <v>#N/A</v>
      </c>
      <c r="H314" s="549"/>
    </row>
    <row r="315" spans="1:8" ht="12.75" customHeight="1">
      <c r="A315" s="1219">
        <f t="shared" si="4"/>
        <v>2026.06</v>
      </c>
      <c r="B315" s="3518" t="e">
        <v>#N/A</v>
      </c>
      <c r="C315" s="3519" t="e">
        <v>#N/A</v>
      </c>
      <c r="D315" s="3521" t="e">
        <v>#N/A</v>
      </c>
      <c r="E315" s="3523" t="e">
        <v>#N/A</v>
      </c>
      <c r="F315" s="3524" t="e">
        <v>#N/A</v>
      </c>
      <c r="H315" s="549"/>
    </row>
    <row r="316" spans="1:8" ht="12.75" customHeight="1">
      <c r="A316" s="1219">
        <f t="shared" si="4"/>
        <v>2026.07</v>
      </c>
      <c r="B316" s="3518" t="e">
        <v>#N/A</v>
      </c>
      <c r="C316" s="3519" t="e">
        <v>#N/A</v>
      </c>
      <c r="D316" s="3521" t="e">
        <v>#N/A</v>
      </c>
      <c r="E316" s="3523" t="e">
        <v>#N/A</v>
      </c>
      <c r="F316" s="3524" t="e">
        <v>#N/A</v>
      </c>
      <c r="H316" s="549"/>
    </row>
    <row r="317" spans="1:8" ht="12.75" customHeight="1">
      <c r="A317" s="1219">
        <f t="shared" si="4"/>
        <v>2026.08</v>
      </c>
      <c r="B317" s="3518" t="e">
        <v>#N/A</v>
      </c>
      <c r="C317" s="3519" t="e">
        <v>#N/A</v>
      </c>
      <c r="D317" s="3521" t="e">
        <v>#N/A</v>
      </c>
      <c r="E317" s="3523" t="e">
        <v>#N/A</v>
      </c>
      <c r="F317" s="3524" t="e">
        <v>#N/A</v>
      </c>
      <c r="H317" s="549"/>
    </row>
    <row r="318" spans="1:8" ht="12.75" customHeight="1">
      <c r="A318" s="1219">
        <f t="shared" si="4"/>
        <v>2026.09</v>
      </c>
      <c r="B318" s="3518" t="e">
        <v>#N/A</v>
      </c>
      <c r="C318" s="3519" t="e">
        <v>#N/A</v>
      </c>
      <c r="D318" s="3521" t="e">
        <v>#N/A</v>
      </c>
      <c r="E318" s="3523" t="e">
        <v>#N/A</v>
      </c>
      <c r="F318" s="3524" t="e">
        <v>#N/A</v>
      </c>
      <c r="H318" s="549"/>
    </row>
    <row r="319" spans="1:8" ht="12.75" customHeight="1">
      <c r="A319" s="1219">
        <f t="shared" si="4"/>
        <v>2026.1</v>
      </c>
      <c r="B319" s="3518" t="e">
        <v>#N/A</v>
      </c>
      <c r="C319" s="3519" t="e">
        <v>#N/A</v>
      </c>
      <c r="D319" s="3521" t="e">
        <v>#N/A</v>
      </c>
      <c r="E319" s="3523" t="e">
        <v>#N/A</v>
      </c>
      <c r="F319" s="3524" t="e">
        <v>#N/A</v>
      </c>
      <c r="H319" s="549"/>
    </row>
    <row r="320" spans="1:8" ht="12.75" customHeight="1">
      <c r="A320" s="1219">
        <f t="shared" si="4"/>
        <v>2026.11</v>
      </c>
      <c r="B320" s="3518" t="e">
        <v>#N/A</v>
      </c>
      <c r="C320" s="3519" t="e">
        <v>#N/A</v>
      </c>
      <c r="D320" s="3521" t="e">
        <v>#N/A</v>
      </c>
      <c r="E320" s="3523" t="e">
        <v>#N/A</v>
      </c>
      <c r="F320" s="3524" t="e">
        <v>#N/A</v>
      </c>
      <c r="H320" s="549"/>
    </row>
    <row r="321" spans="1:8" ht="12.75" customHeight="1">
      <c r="A321" s="1219">
        <f t="shared" si="4"/>
        <v>2026.12</v>
      </c>
      <c r="B321" s="3518" t="e">
        <v>#N/A</v>
      </c>
      <c r="C321" s="3519" t="e">
        <v>#N/A</v>
      </c>
      <c r="D321" s="3521" t="e">
        <v>#N/A</v>
      </c>
      <c r="E321" s="3523" t="e">
        <v>#N/A</v>
      </c>
      <c r="F321" s="3524" t="e">
        <v>#N/A</v>
      </c>
      <c r="H321" s="549"/>
    </row>
    <row r="322" spans="1:8" ht="12.75" customHeight="1">
      <c r="A322" s="1219">
        <f t="shared" si="4"/>
        <v>2027.01</v>
      </c>
      <c r="B322" s="3518" t="e">
        <v>#N/A</v>
      </c>
      <c r="C322" s="3519" t="e">
        <v>#N/A</v>
      </c>
      <c r="D322" s="3521" t="e">
        <v>#N/A</v>
      </c>
      <c r="E322" s="3523" t="e">
        <v>#N/A</v>
      </c>
      <c r="F322" s="3524" t="e">
        <v>#N/A</v>
      </c>
      <c r="H322" s="549"/>
    </row>
    <row r="323" spans="1:8" ht="12.75" customHeight="1">
      <c r="A323" s="1219">
        <f t="shared" si="4"/>
        <v>2027.02</v>
      </c>
      <c r="B323" s="3518" t="e">
        <v>#N/A</v>
      </c>
      <c r="C323" s="3519" t="e">
        <v>#N/A</v>
      </c>
      <c r="D323" s="3521" t="e">
        <v>#N/A</v>
      </c>
      <c r="E323" s="3523" t="e">
        <v>#N/A</v>
      </c>
      <c r="F323" s="3524" t="e">
        <v>#N/A</v>
      </c>
      <c r="H323" s="549"/>
    </row>
    <row r="324" spans="1:8" ht="12.75" customHeight="1">
      <c r="A324" s="1219">
        <f t="shared" si="4"/>
        <v>2027.03</v>
      </c>
      <c r="B324" s="3518" t="e">
        <v>#N/A</v>
      </c>
      <c r="C324" s="3519" t="e">
        <v>#N/A</v>
      </c>
      <c r="D324" s="3521" t="e">
        <v>#N/A</v>
      </c>
      <c r="E324" s="3523" t="e">
        <v>#N/A</v>
      </c>
      <c r="F324" s="3524" t="e">
        <v>#N/A</v>
      </c>
      <c r="H324" s="549"/>
    </row>
    <row r="325" spans="1:8" ht="12.75" customHeight="1">
      <c r="A325" s="1219">
        <f t="shared" si="4"/>
        <v>2027.04</v>
      </c>
      <c r="B325" s="3518" t="e">
        <v>#N/A</v>
      </c>
      <c r="C325" s="3519" t="e">
        <v>#N/A</v>
      </c>
      <c r="D325" s="3521" t="e">
        <v>#N/A</v>
      </c>
      <c r="E325" s="3523" t="e">
        <v>#N/A</v>
      </c>
      <c r="F325" s="3524" t="e">
        <v>#N/A</v>
      </c>
      <c r="H325" s="549"/>
    </row>
    <row r="326" spans="1:8" ht="12.75" customHeight="1">
      <c r="A326" s="1219">
        <f t="shared" si="4"/>
        <v>2027.05</v>
      </c>
      <c r="B326" s="3518" t="e">
        <v>#N/A</v>
      </c>
      <c r="C326" s="3519" t="e">
        <v>#N/A</v>
      </c>
      <c r="D326" s="3521" t="e">
        <v>#N/A</v>
      </c>
      <c r="E326" s="3523" t="e">
        <v>#N/A</v>
      </c>
      <c r="F326" s="3524" t="e">
        <v>#N/A</v>
      </c>
      <c r="H326" s="549"/>
    </row>
    <row r="327" spans="1:8" ht="12.75" customHeight="1">
      <c r="A327" s="1219">
        <f t="shared" si="4"/>
        <v>2027.06</v>
      </c>
      <c r="B327" s="3518" t="e">
        <v>#N/A</v>
      </c>
      <c r="C327" s="3519" t="e">
        <v>#N/A</v>
      </c>
      <c r="D327" s="3521" t="e">
        <v>#N/A</v>
      </c>
      <c r="E327" s="3523" t="e">
        <v>#N/A</v>
      </c>
      <c r="F327" s="3524" t="e">
        <v>#N/A</v>
      </c>
      <c r="H327" s="549"/>
    </row>
    <row r="328" spans="1:8" ht="12.75" customHeight="1">
      <c r="A328" s="1219">
        <f t="shared" si="4"/>
        <v>2027.07</v>
      </c>
      <c r="B328" s="3518" t="e">
        <v>#N/A</v>
      </c>
      <c r="C328" s="3519" t="e">
        <v>#N/A</v>
      </c>
      <c r="D328" s="3521" t="e">
        <v>#N/A</v>
      </c>
      <c r="E328" s="3523" t="e">
        <v>#N/A</v>
      </c>
      <c r="F328" s="3524" t="e">
        <v>#N/A</v>
      </c>
      <c r="H328" s="549"/>
    </row>
    <row r="329" spans="1:8" ht="12.75" customHeight="1">
      <c r="A329" s="1219">
        <f t="shared" si="4"/>
        <v>2027.08</v>
      </c>
      <c r="B329" s="3518" t="e">
        <v>#N/A</v>
      </c>
      <c r="C329" s="3519" t="e">
        <v>#N/A</v>
      </c>
      <c r="D329" s="3521" t="e">
        <v>#N/A</v>
      </c>
      <c r="E329" s="3523" t="e">
        <v>#N/A</v>
      </c>
      <c r="F329" s="3524" t="e">
        <v>#N/A</v>
      </c>
      <c r="H329" s="549"/>
    </row>
    <row r="330" spans="1:8" ht="12.75" customHeight="1">
      <c r="A330" s="1219">
        <f t="shared" si="4"/>
        <v>2027.09</v>
      </c>
      <c r="B330" s="3518" t="e">
        <v>#N/A</v>
      </c>
      <c r="C330" s="3519" t="e">
        <v>#N/A</v>
      </c>
      <c r="D330" s="3521" t="e">
        <v>#N/A</v>
      </c>
      <c r="E330" s="3523" t="e">
        <v>#N/A</v>
      </c>
      <c r="F330" s="3524" t="e">
        <v>#N/A</v>
      </c>
      <c r="H330" s="549"/>
    </row>
    <row r="331" spans="1:8" ht="12.75" customHeight="1">
      <c r="A331" s="1219">
        <f t="shared" si="4"/>
        <v>2027.1</v>
      </c>
      <c r="B331" s="3518" t="e">
        <v>#N/A</v>
      </c>
      <c r="C331" s="3519" t="e">
        <v>#N/A</v>
      </c>
      <c r="D331" s="3521" t="e">
        <v>#N/A</v>
      </c>
      <c r="E331" s="3523" t="e">
        <v>#N/A</v>
      </c>
      <c r="F331" s="3524" t="e">
        <v>#N/A</v>
      </c>
      <c r="H331" s="549"/>
    </row>
    <row r="332" spans="1:8" ht="12.75" customHeight="1">
      <c r="A332" s="1219">
        <f t="shared" si="4"/>
        <v>2027.11</v>
      </c>
      <c r="B332" s="3518" t="e">
        <v>#N/A</v>
      </c>
      <c r="C332" s="3519" t="e">
        <v>#N/A</v>
      </c>
      <c r="D332" s="3521" t="e">
        <v>#N/A</v>
      </c>
      <c r="E332" s="3523" t="e">
        <v>#N/A</v>
      </c>
      <c r="F332" s="3524" t="e">
        <v>#N/A</v>
      </c>
      <c r="H332" s="549"/>
    </row>
    <row r="333" spans="1:8" ht="12.75" customHeight="1">
      <c r="A333" s="1219">
        <f t="shared" si="4"/>
        <v>2027.12</v>
      </c>
      <c r="B333" s="3518" t="e">
        <v>#N/A</v>
      </c>
      <c r="C333" s="3519" t="e">
        <v>#N/A</v>
      </c>
      <c r="D333" s="3521" t="e">
        <v>#N/A</v>
      </c>
      <c r="E333" s="3523" t="e">
        <v>#N/A</v>
      </c>
      <c r="F333" s="3524" t="e">
        <v>#N/A</v>
      </c>
      <c r="H333" s="549"/>
    </row>
    <row r="334" spans="1:8" ht="12.75" customHeight="1">
      <c r="A334" s="1219">
        <f t="shared" si="4"/>
        <v>2028.01</v>
      </c>
      <c r="B334" s="3518" t="e">
        <v>#N/A</v>
      </c>
      <c r="C334" s="3519" t="e">
        <v>#N/A</v>
      </c>
      <c r="D334" s="3521" t="e">
        <v>#N/A</v>
      </c>
      <c r="E334" s="3523" t="e">
        <v>#N/A</v>
      </c>
      <c r="F334" s="3524" t="e">
        <v>#N/A</v>
      </c>
      <c r="H334" s="549"/>
    </row>
    <row r="335" spans="1:8" ht="12.75" customHeight="1">
      <c r="A335" s="1219">
        <f t="shared" si="4"/>
        <v>2028.02</v>
      </c>
      <c r="B335" s="3518" t="e">
        <v>#N/A</v>
      </c>
      <c r="C335" s="3519" t="e">
        <v>#N/A</v>
      </c>
      <c r="D335" s="3521" t="e">
        <v>#N/A</v>
      </c>
      <c r="E335" s="3523" t="e">
        <v>#N/A</v>
      </c>
      <c r="F335" s="3524" t="e">
        <v>#N/A</v>
      </c>
      <c r="H335" s="549"/>
    </row>
    <row r="336" spans="1:8" ht="12.75" customHeight="1">
      <c r="A336" s="1219">
        <f t="shared" si="4"/>
        <v>2028.03</v>
      </c>
      <c r="B336" s="3518" t="e">
        <v>#N/A</v>
      </c>
      <c r="C336" s="3519" t="e">
        <v>#N/A</v>
      </c>
      <c r="D336" s="3521" t="e">
        <v>#N/A</v>
      </c>
      <c r="E336" s="3523" t="e">
        <v>#N/A</v>
      </c>
      <c r="F336" s="3524" t="e">
        <v>#N/A</v>
      </c>
      <c r="H336" s="549"/>
    </row>
    <row r="337" spans="1:6" ht="12.75" customHeight="1">
      <c r="A337" s="1219">
        <f t="shared" si="4"/>
        <v>2028.04</v>
      </c>
      <c r="B337" s="3518" t="e">
        <v>#N/A</v>
      </c>
      <c r="C337" s="3519" t="e">
        <v>#N/A</v>
      </c>
      <c r="D337" s="3521" t="e">
        <v>#N/A</v>
      </c>
      <c r="E337" s="3523" t="e">
        <v>#N/A</v>
      </c>
      <c r="F337" s="3524" t="e">
        <v>#N/A</v>
      </c>
    </row>
    <row r="338" spans="1:6" ht="12.75" customHeight="1">
      <c r="A338" s="1219">
        <f t="shared" si="4"/>
        <v>2028.05</v>
      </c>
      <c r="B338" s="3518" t="e">
        <v>#N/A</v>
      </c>
      <c r="C338" s="3519" t="e">
        <v>#N/A</v>
      </c>
      <c r="D338" s="3521" t="e">
        <v>#N/A</v>
      </c>
      <c r="E338" s="3523" t="e">
        <v>#N/A</v>
      </c>
      <c r="F338" s="3524" t="e">
        <v>#N/A</v>
      </c>
    </row>
    <row r="339" spans="1:6" ht="12.75" customHeight="1">
      <c r="A339" s="1219">
        <f t="shared" si="4"/>
        <v>2028.06</v>
      </c>
      <c r="B339" s="3518" t="e">
        <v>#N/A</v>
      </c>
      <c r="C339" s="3519" t="e">
        <v>#N/A</v>
      </c>
      <c r="D339" s="3521" t="e">
        <v>#N/A</v>
      </c>
      <c r="E339" s="3523" t="e">
        <v>#N/A</v>
      </c>
      <c r="F339" s="3524" t="e">
        <v>#N/A</v>
      </c>
    </row>
    <row r="340" spans="1:6" ht="12.75" customHeight="1">
      <c r="A340" s="1219">
        <f t="shared" si="4"/>
        <v>2028.07</v>
      </c>
      <c r="B340" s="3518" t="e">
        <v>#N/A</v>
      </c>
      <c r="C340" s="3519" t="e">
        <v>#N/A</v>
      </c>
      <c r="D340" s="3521" t="e">
        <v>#N/A</v>
      </c>
      <c r="E340" s="3523" t="e">
        <v>#N/A</v>
      </c>
      <c r="F340" s="3524" t="e">
        <v>#N/A</v>
      </c>
    </row>
    <row r="341" spans="1:6" ht="12.75" customHeight="1">
      <c r="A341" s="1219">
        <f t="shared" si="4"/>
        <v>2028.08</v>
      </c>
      <c r="B341" s="3518" t="e">
        <v>#N/A</v>
      </c>
      <c r="C341" s="3519" t="e">
        <v>#N/A</v>
      </c>
      <c r="D341" s="3521" t="e">
        <v>#N/A</v>
      </c>
      <c r="E341" s="3523" t="e">
        <v>#N/A</v>
      </c>
      <c r="F341" s="3524" t="e">
        <v>#N/A</v>
      </c>
    </row>
    <row r="342" spans="1:6" ht="12.75" customHeight="1">
      <c r="A342" s="1219">
        <f t="shared" si="4"/>
        <v>2028.09</v>
      </c>
      <c r="B342" s="3518" t="e">
        <v>#N/A</v>
      </c>
      <c r="C342" s="3519" t="e">
        <v>#N/A</v>
      </c>
      <c r="D342" s="3521" t="e">
        <v>#N/A</v>
      </c>
      <c r="E342" s="3523" t="e">
        <v>#N/A</v>
      </c>
      <c r="F342" s="3524" t="e">
        <v>#N/A</v>
      </c>
    </row>
    <row r="343" spans="1:6" ht="12.75" customHeight="1">
      <c r="A343" s="1219">
        <f t="shared" si="4"/>
        <v>2028.1</v>
      </c>
      <c r="B343" s="3518" t="e">
        <v>#N/A</v>
      </c>
      <c r="C343" s="3519" t="e">
        <v>#N/A</v>
      </c>
      <c r="D343" s="3521" t="e">
        <v>#N/A</v>
      </c>
      <c r="E343" s="3523" t="e">
        <v>#N/A</v>
      </c>
      <c r="F343" s="3524" t="e">
        <v>#N/A</v>
      </c>
    </row>
    <row r="344" spans="1:6" ht="12.75" customHeight="1">
      <c r="A344" s="1219">
        <f t="shared" si="4"/>
        <v>2028.11</v>
      </c>
      <c r="B344" s="3518" t="e">
        <v>#N/A</v>
      </c>
      <c r="C344" s="3519" t="e">
        <v>#N/A</v>
      </c>
      <c r="D344" s="3521" t="e">
        <v>#N/A</v>
      </c>
      <c r="E344" s="3523" t="e">
        <v>#N/A</v>
      </c>
      <c r="F344" s="3524" t="e">
        <v>#N/A</v>
      </c>
    </row>
    <row r="345" spans="1:6" ht="12.75" customHeight="1">
      <c r="A345" s="1219">
        <f t="shared" si="4"/>
        <v>2028.12</v>
      </c>
      <c r="B345" s="3518" t="e">
        <v>#N/A</v>
      </c>
      <c r="C345" s="3519" t="e">
        <v>#N/A</v>
      </c>
      <c r="D345" s="3521" t="e">
        <v>#N/A</v>
      </c>
      <c r="E345" s="3523" t="e">
        <v>#N/A</v>
      </c>
      <c r="F345" s="3524" t="e">
        <v>#N/A</v>
      </c>
    </row>
    <row r="346" spans="1:6" ht="12.75" customHeight="1">
      <c r="A346" s="1219">
        <f t="shared" si="4"/>
        <v>2029.01</v>
      </c>
      <c r="B346" s="3518" t="e">
        <v>#N/A</v>
      </c>
      <c r="C346" s="3519" t="e">
        <v>#N/A</v>
      </c>
      <c r="D346" s="3521" t="e">
        <v>#N/A</v>
      </c>
      <c r="E346" s="3523" t="e">
        <v>#N/A</v>
      </c>
      <c r="F346" s="3524" t="e">
        <v>#N/A</v>
      </c>
    </row>
    <row r="347" spans="1:6" ht="12.75" customHeight="1">
      <c r="A347" s="1219">
        <f t="shared" si="4"/>
        <v>2029.02</v>
      </c>
      <c r="B347" s="3518" t="e">
        <v>#N/A</v>
      </c>
      <c r="C347" s="3519" t="e">
        <v>#N/A</v>
      </c>
      <c r="D347" s="3521" t="e">
        <v>#N/A</v>
      </c>
      <c r="E347" s="3523" t="e">
        <v>#N/A</v>
      </c>
      <c r="F347" s="3524" t="e">
        <v>#N/A</v>
      </c>
    </row>
    <row r="348" spans="1:6" ht="12.75" customHeight="1">
      <c r="A348" s="1219">
        <f t="shared" si="4"/>
        <v>2029.03</v>
      </c>
      <c r="B348" s="3518" t="e">
        <v>#N/A</v>
      </c>
      <c r="C348" s="3519" t="e">
        <v>#N/A</v>
      </c>
      <c r="D348" s="3521" t="e">
        <v>#N/A</v>
      </c>
      <c r="E348" s="3523" t="e">
        <v>#N/A</v>
      </c>
      <c r="F348" s="3524" t="e">
        <v>#N/A</v>
      </c>
    </row>
    <row r="349" spans="1:6" ht="12.75" customHeight="1">
      <c r="A349" s="1219">
        <f t="shared" si="4"/>
        <v>2029.04</v>
      </c>
      <c r="B349" s="3518" t="e">
        <v>#N/A</v>
      </c>
      <c r="C349" s="3519" t="e">
        <v>#N/A</v>
      </c>
      <c r="D349" s="3521" t="e">
        <v>#N/A</v>
      </c>
      <c r="E349" s="3523" t="e">
        <v>#N/A</v>
      </c>
      <c r="F349" s="3524" t="e">
        <v>#N/A</v>
      </c>
    </row>
    <row r="350" spans="1:6" ht="12.75" customHeight="1">
      <c r="A350" s="1219">
        <f t="shared" si="4"/>
        <v>2029.05</v>
      </c>
      <c r="B350" s="3518" t="e">
        <v>#N/A</v>
      </c>
      <c r="C350" s="3519" t="e">
        <v>#N/A</v>
      </c>
      <c r="D350" s="3521" t="e">
        <v>#N/A</v>
      </c>
      <c r="E350" s="3523" t="e">
        <v>#N/A</v>
      </c>
      <c r="F350" s="3524" t="e">
        <v>#N/A</v>
      </c>
    </row>
    <row r="351" spans="1:6" ht="12.75" customHeight="1">
      <c r="A351" s="1219">
        <f t="shared" si="4"/>
        <v>2029.06</v>
      </c>
      <c r="B351" s="3518" t="e">
        <v>#N/A</v>
      </c>
      <c r="C351" s="3519" t="e">
        <v>#N/A</v>
      </c>
      <c r="D351" s="3521" t="e">
        <v>#N/A</v>
      </c>
      <c r="E351" s="3523" t="e">
        <v>#N/A</v>
      </c>
      <c r="F351" s="3524" t="e">
        <v>#N/A</v>
      </c>
    </row>
    <row r="352" spans="1:6" ht="12.75" customHeight="1">
      <c r="A352" s="1219">
        <f t="shared" si="4"/>
        <v>2029.07</v>
      </c>
      <c r="B352" s="3518" t="e">
        <v>#N/A</v>
      </c>
      <c r="C352" s="3519" t="e">
        <v>#N/A</v>
      </c>
      <c r="D352" s="3521" t="e">
        <v>#N/A</v>
      </c>
      <c r="E352" s="3523" t="e">
        <v>#N/A</v>
      </c>
      <c r="F352" s="3524" t="e">
        <v>#N/A</v>
      </c>
    </row>
    <row r="353" spans="1:6" ht="12.75" customHeight="1">
      <c r="A353" s="1219">
        <f t="shared" si="4"/>
        <v>2029.08</v>
      </c>
      <c r="B353" s="3518" t="e">
        <v>#N/A</v>
      </c>
      <c r="C353" s="3519" t="e">
        <v>#N/A</v>
      </c>
      <c r="D353" s="3521" t="e">
        <v>#N/A</v>
      </c>
      <c r="E353" s="3523" t="e">
        <v>#N/A</v>
      </c>
      <c r="F353" s="3524" t="e">
        <v>#N/A</v>
      </c>
    </row>
    <row r="354" spans="1:6" ht="12.75" customHeight="1">
      <c r="A354" s="1219">
        <f t="shared" si="4"/>
        <v>2029.09</v>
      </c>
      <c r="B354" s="3518" t="e">
        <v>#N/A</v>
      </c>
      <c r="C354" s="3519" t="e">
        <v>#N/A</v>
      </c>
      <c r="D354" s="3521" t="e">
        <v>#N/A</v>
      </c>
      <c r="E354" s="3523" t="e">
        <v>#N/A</v>
      </c>
      <c r="F354" s="3524" t="e">
        <v>#N/A</v>
      </c>
    </row>
    <row r="355" spans="1:6" ht="12.75" customHeight="1">
      <c r="A355" s="1219">
        <f t="shared" ref="A355:A369" si="5">A343+1</f>
        <v>2029.1</v>
      </c>
      <c r="B355" s="3518" t="e">
        <v>#N/A</v>
      </c>
      <c r="C355" s="3519" t="e">
        <v>#N/A</v>
      </c>
      <c r="D355" s="3521" t="e">
        <v>#N/A</v>
      </c>
      <c r="E355" s="3523" t="e">
        <v>#N/A</v>
      </c>
      <c r="F355" s="3524" t="e">
        <v>#N/A</v>
      </c>
    </row>
    <row r="356" spans="1:6" ht="12.75" customHeight="1">
      <c r="A356" s="1219">
        <f t="shared" si="5"/>
        <v>2029.11</v>
      </c>
      <c r="B356" s="3518" t="e">
        <v>#N/A</v>
      </c>
      <c r="C356" s="3519" t="e">
        <v>#N/A</v>
      </c>
      <c r="D356" s="3521" t="e">
        <v>#N/A</v>
      </c>
      <c r="E356" s="3523" t="e">
        <v>#N/A</v>
      </c>
      <c r="F356" s="3524" t="e">
        <v>#N/A</v>
      </c>
    </row>
    <row r="357" spans="1:6" ht="12.75" customHeight="1">
      <c r="A357" s="1219">
        <f t="shared" si="5"/>
        <v>2029.12</v>
      </c>
      <c r="B357" s="3518" t="e">
        <v>#N/A</v>
      </c>
      <c r="C357" s="3519" t="e">
        <v>#N/A</v>
      </c>
      <c r="D357" s="3521" t="e">
        <v>#N/A</v>
      </c>
      <c r="E357" s="3523" t="e">
        <v>#N/A</v>
      </c>
      <c r="F357" s="3524" t="e">
        <v>#N/A</v>
      </c>
    </row>
    <row r="358" spans="1:6" ht="12.75" customHeight="1">
      <c r="A358" s="1219">
        <f t="shared" si="5"/>
        <v>2030.01</v>
      </c>
      <c r="B358" s="3518" t="e">
        <v>#N/A</v>
      </c>
      <c r="C358" s="3519" t="e">
        <v>#N/A</v>
      </c>
      <c r="D358" s="3521" t="e">
        <v>#N/A</v>
      </c>
      <c r="E358" s="3523" t="e">
        <v>#N/A</v>
      </c>
      <c r="F358" s="3524" t="e">
        <v>#N/A</v>
      </c>
    </row>
    <row r="359" spans="1:6" ht="12.75" customHeight="1">
      <c r="A359" s="1219">
        <f t="shared" si="5"/>
        <v>2030.02</v>
      </c>
      <c r="B359" s="3518" t="e">
        <v>#N/A</v>
      </c>
      <c r="C359" s="3519" t="e">
        <v>#N/A</v>
      </c>
      <c r="D359" s="3521" t="e">
        <v>#N/A</v>
      </c>
      <c r="E359" s="3523" t="e">
        <v>#N/A</v>
      </c>
      <c r="F359" s="3524" t="e">
        <v>#N/A</v>
      </c>
    </row>
    <row r="360" spans="1:6" ht="12.75" customHeight="1">
      <c r="A360" s="1219">
        <f t="shared" si="5"/>
        <v>2030.03</v>
      </c>
      <c r="B360" s="3518" t="e">
        <v>#N/A</v>
      </c>
      <c r="C360" s="3519" t="e">
        <v>#N/A</v>
      </c>
      <c r="D360" s="3521" t="e">
        <v>#N/A</v>
      </c>
      <c r="E360" s="3523" t="e">
        <v>#N/A</v>
      </c>
      <c r="F360" s="3524" t="e">
        <v>#N/A</v>
      </c>
    </row>
    <row r="361" spans="1:6" ht="12.75" customHeight="1">
      <c r="A361" s="1219">
        <f t="shared" si="5"/>
        <v>2030.04</v>
      </c>
      <c r="B361" s="3518" t="e">
        <v>#N/A</v>
      </c>
      <c r="C361" s="3519" t="e">
        <v>#N/A</v>
      </c>
      <c r="D361" s="3521" t="e">
        <v>#N/A</v>
      </c>
      <c r="E361" s="3523" t="e">
        <v>#N/A</v>
      </c>
      <c r="F361" s="3524" t="e">
        <v>#N/A</v>
      </c>
    </row>
    <row r="362" spans="1:6" ht="12.75" customHeight="1">
      <c r="A362" s="1219">
        <f t="shared" si="5"/>
        <v>2030.05</v>
      </c>
      <c r="B362" s="3518" t="e">
        <v>#N/A</v>
      </c>
      <c r="C362" s="3519" t="e">
        <v>#N/A</v>
      </c>
      <c r="D362" s="3521" t="e">
        <v>#N/A</v>
      </c>
      <c r="E362" s="3523" t="e">
        <v>#N/A</v>
      </c>
      <c r="F362" s="3524" t="e">
        <v>#N/A</v>
      </c>
    </row>
    <row r="363" spans="1:6" ht="12.75" customHeight="1">
      <c r="A363" s="1219">
        <f t="shared" si="5"/>
        <v>2030.06</v>
      </c>
      <c r="B363" s="3518" t="e">
        <v>#N/A</v>
      </c>
      <c r="C363" s="3519" t="e">
        <v>#N/A</v>
      </c>
      <c r="D363" s="3521" t="e">
        <v>#N/A</v>
      </c>
      <c r="E363" s="3523" t="e">
        <v>#N/A</v>
      </c>
      <c r="F363" s="3524" t="e">
        <v>#N/A</v>
      </c>
    </row>
    <row r="364" spans="1:6" ht="12.75" customHeight="1">
      <c r="A364" s="1219">
        <f t="shared" si="5"/>
        <v>2030.07</v>
      </c>
      <c r="B364" s="3518" t="e">
        <v>#N/A</v>
      </c>
      <c r="C364" s="3519" t="e">
        <v>#N/A</v>
      </c>
      <c r="D364" s="3521" t="e">
        <v>#N/A</v>
      </c>
      <c r="E364" s="3523" t="e">
        <v>#N/A</v>
      </c>
      <c r="F364" s="3524" t="e">
        <v>#N/A</v>
      </c>
    </row>
    <row r="365" spans="1:6" ht="12.75" customHeight="1">
      <c r="A365" s="1219">
        <f t="shared" si="5"/>
        <v>2030.08</v>
      </c>
      <c r="B365" s="3518" t="e">
        <v>#N/A</v>
      </c>
      <c r="C365" s="3519" t="e">
        <v>#N/A</v>
      </c>
      <c r="D365" s="3521" t="e">
        <v>#N/A</v>
      </c>
      <c r="E365" s="3523" t="e">
        <v>#N/A</v>
      </c>
      <c r="F365" s="3524" t="e">
        <v>#N/A</v>
      </c>
    </row>
    <row r="366" spans="1:6" ht="12.75" customHeight="1">
      <c r="A366" s="1219">
        <f t="shared" si="5"/>
        <v>2030.09</v>
      </c>
      <c r="B366" s="3518" t="e">
        <v>#N/A</v>
      </c>
      <c r="C366" s="3519" t="e">
        <v>#N/A</v>
      </c>
      <c r="D366" s="3521" t="e">
        <v>#N/A</v>
      </c>
      <c r="E366" s="3523" t="e">
        <v>#N/A</v>
      </c>
      <c r="F366" s="3524" t="e">
        <v>#N/A</v>
      </c>
    </row>
    <row r="367" spans="1:6" ht="12.75" customHeight="1">
      <c r="A367" s="1219">
        <f t="shared" si="5"/>
        <v>2030.1</v>
      </c>
      <c r="B367" s="3518" t="e">
        <v>#N/A</v>
      </c>
      <c r="C367" s="3519" t="e">
        <v>#N/A</v>
      </c>
      <c r="D367" s="3521" t="e">
        <v>#N/A</v>
      </c>
      <c r="E367" s="3523" t="e">
        <v>#N/A</v>
      </c>
      <c r="F367" s="3524" t="e">
        <v>#N/A</v>
      </c>
    </row>
    <row r="368" spans="1:6" ht="12.75" customHeight="1">
      <c r="A368" s="1219">
        <f t="shared" si="5"/>
        <v>2030.11</v>
      </c>
      <c r="B368" s="3518" t="e">
        <v>#N/A</v>
      </c>
      <c r="C368" s="3519" t="e">
        <v>#N/A</v>
      </c>
      <c r="D368" s="3521" t="e">
        <v>#N/A</v>
      </c>
      <c r="E368" s="3523" t="e">
        <v>#N/A</v>
      </c>
      <c r="F368" s="3524" t="e">
        <v>#N/A</v>
      </c>
    </row>
    <row r="369" spans="1:6" ht="12.75" customHeight="1">
      <c r="A369" s="1219">
        <f t="shared" si="5"/>
        <v>2030.12</v>
      </c>
      <c r="B369" s="3518" t="e">
        <v>#N/A</v>
      </c>
      <c r="C369" s="3519" t="e">
        <v>#N/A</v>
      </c>
      <c r="D369" s="3521" t="e">
        <v>#N/A</v>
      </c>
      <c r="E369" s="3523" t="e">
        <v>#N/A</v>
      </c>
      <c r="F369" s="3524" t="e">
        <v>#N/A</v>
      </c>
    </row>
    <row r="370" spans="1:6">
      <c r="B370" s="1354"/>
      <c r="C370" s="1354"/>
      <c r="D370" s="1354"/>
      <c r="E370" s="1354"/>
      <c r="F370" s="1354"/>
    </row>
  </sheetData>
  <hyperlinks>
    <hyperlink ref="A5" location="INDICE!A13" display="VOLVER AL INDICE" xr:uid="{00000000-0004-0000-0D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5"/>
  <dimension ref="A1:H225"/>
  <sheetViews>
    <sheetView zoomScale="130" zoomScaleNormal="130" workbookViewId="0">
      <pane xSplit="1" ySplit="9" topLeftCell="B134" activePane="bottomRight" state="frozen"/>
      <selection pane="topRight" activeCell="A5" sqref="A5"/>
      <selection pane="bottomLeft" activeCell="A5" sqref="A5"/>
      <selection pane="bottomRight" activeCell="B154" sqref="B154"/>
    </sheetView>
  </sheetViews>
  <sheetFormatPr baseColWidth="10" defaultColWidth="11.42578125" defaultRowHeight="15"/>
  <cols>
    <col min="1" max="1" width="11.42578125" style="606"/>
    <col min="2" max="4" width="18.28515625" style="605" customWidth="1"/>
    <col min="5" max="16384" width="11.42578125" style="605"/>
  </cols>
  <sheetData>
    <row r="1" spans="1:8" s="598" customFormat="1" ht="3.75" customHeight="1">
      <c r="A1" s="34"/>
      <c r="B1" s="596"/>
      <c r="C1" s="597"/>
      <c r="D1" s="609"/>
    </row>
    <row r="2" spans="1:8" s="598" customFormat="1" ht="20.45" customHeight="1">
      <c r="A2" s="59" t="s">
        <v>105</v>
      </c>
      <c r="B2" s="1906" t="s">
        <v>1717</v>
      </c>
      <c r="C2" s="1906"/>
      <c r="D2" s="1907"/>
      <c r="E2" s="607"/>
      <c r="F2" s="3535"/>
      <c r="G2" s="3535"/>
      <c r="H2" s="3535"/>
    </row>
    <row r="3" spans="1:8" s="598" customFormat="1" ht="20.45" customHeight="1">
      <c r="A3" s="59" t="s">
        <v>109</v>
      </c>
      <c r="B3" s="1906" t="s">
        <v>463</v>
      </c>
      <c r="C3" s="1908"/>
      <c r="D3" s="1909"/>
      <c r="E3" s="599"/>
      <c r="F3" s="600"/>
      <c r="G3" s="601"/>
      <c r="H3" s="619"/>
    </row>
    <row r="4" spans="1:8" s="598" customFormat="1" ht="12.75" hidden="1" customHeight="1">
      <c r="A4" s="34"/>
      <c r="B4" s="2416"/>
      <c r="C4" s="614"/>
      <c r="D4" s="615"/>
      <c r="E4" s="608"/>
      <c r="F4" s="602"/>
      <c r="G4" s="602"/>
    </row>
    <row r="5" spans="1:8" s="598" customFormat="1" ht="22.5">
      <c r="A5" s="2390" t="s">
        <v>137</v>
      </c>
      <c r="B5" s="2416" t="s">
        <v>464</v>
      </c>
      <c r="C5" s="1044" t="s">
        <v>465</v>
      </c>
      <c r="D5" s="1041" t="s">
        <v>338</v>
      </c>
    </row>
    <row r="6" spans="1:8" s="598" customFormat="1" ht="22.5">
      <c r="A6" s="2373" t="s">
        <v>123</v>
      </c>
      <c r="B6" s="2417" t="s">
        <v>440</v>
      </c>
      <c r="C6" s="1045" t="s">
        <v>440</v>
      </c>
      <c r="D6" s="1042" t="s">
        <v>440</v>
      </c>
    </row>
    <row r="7" spans="1:8" s="598" customFormat="1" ht="4.5" hidden="1" customHeight="1">
      <c r="A7" s="2373"/>
      <c r="B7" s="2418"/>
      <c r="C7" s="1046"/>
      <c r="D7" s="610"/>
    </row>
    <row r="8" spans="1:8" s="598" customFormat="1" ht="11.25">
      <c r="A8" s="147" t="s">
        <v>141</v>
      </c>
      <c r="B8" s="762" t="s">
        <v>466</v>
      </c>
      <c r="C8" s="766" t="s">
        <v>467</v>
      </c>
      <c r="D8" s="620" t="s">
        <v>468</v>
      </c>
    </row>
    <row r="9" spans="1:8" s="598" customFormat="1" ht="3.75" hidden="1" customHeight="1">
      <c r="A9" s="2990"/>
      <c r="B9" s="2418"/>
      <c r="C9" s="1046"/>
      <c r="D9" s="610"/>
    </row>
    <row r="10" spans="1:8" ht="12.75">
      <c r="A10" s="604">
        <v>2013.01</v>
      </c>
      <c r="B10" s="611">
        <v>4330408</v>
      </c>
      <c r="C10" s="3315">
        <v>1560357</v>
      </c>
      <c r="D10" s="612">
        <v>5890765</v>
      </c>
    </row>
    <row r="11" spans="1:8" ht="12.75">
      <c r="A11" s="604">
        <v>2013.02</v>
      </c>
      <c r="B11" s="1040">
        <v>4331311</v>
      </c>
      <c r="C11" s="3094">
        <v>1560580</v>
      </c>
      <c r="D11" s="1043">
        <v>5891891</v>
      </c>
    </row>
    <row r="12" spans="1:8" ht="12.75">
      <c r="A12" s="604">
        <v>2013.03</v>
      </c>
      <c r="B12" s="1040">
        <v>4329550</v>
      </c>
      <c r="C12" s="3094">
        <v>1560148</v>
      </c>
      <c r="D12" s="1043">
        <v>5889698</v>
      </c>
    </row>
    <row r="13" spans="1:8" ht="12.75">
      <c r="A13" s="604">
        <v>2013.04</v>
      </c>
      <c r="B13" s="1040">
        <v>4329811</v>
      </c>
      <c r="C13" s="3094">
        <v>1561061</v>
      </c>
      <c r="D13" s="1043">
        <v>5890872</v>
      </c>
    </row>
    <row r="14" spans="1:8" ht="12.75">
      <c r="A14" s="604">
        <v>2013.05</v>
      </c>
      <c r="B14" s="1040">
        <v>4330976</v>
      </c>
      <c r="C14" s="3094">
        <v>1563251</v>
      </c>
      <c r="D14" s="1043">
        <v>5894227</v>
      </c>
    </row>
    <row r="15" spans="1:8" ht="12.75">
      <c r="A15" s="604">
        <v>2013.06</v>
      </c>
      <c r="B15" s="1040">
        <v>4333649</v>
      </c>
      <c r="C15" s="3094">
        <v>1566201</v>
      </c>
      <c r="D15" s="1043">
        <v>5899850</v>
      </c>
    </row>
    <row r="16" spans="1:8" ht="12.75">
      <c r="A16" s="604">
        <v>2013.07</v>
      </c>
      <c r="B16" s="1040">
        <v>4336747</v>
      </c>
      <c r="C16" s="3094">
        <v>1568802</v>
      </c>
      <c r="D16" s="1043">
        <v>5905549</v>
      </c>
    </row>
    <row r="17" spans="1:4" ht="12.75">
      <c r="A17" s="604">
        <v>2013.08</v>
      </c>
      <c r="B17" s="1040">
        <v>4337708</v>
      </c>
      <c r="C17" s="3094">
        <v>1570096</v>
      </c>
      <c r="D17" s="1043">
        <v>5907804</v>
      </c>
    </row>
    <row r="18" spans="1:4" ht="12.75">
      <c r="A18" s="604">
        <v>2013.09</v>
      </c>
      <c r="B18" s="1040">
        <v>4336738</v>
      </c>
      <c r="C18" s="3094">
        <v>1569920</v>
      </c>
      <c r="D18" s="1043">
        <v>5906658</v>
      </c>
    </row>
    <row r="19" spans="1:4" ht="12.75">
      <c r="A19" s="604">
        <v>2013.1</v>
      </c>
      <c r="B19" s="1040">
        <v>4335948</v>
      </c>
      <c r="C19" s="3094">
        <v>1570813</v>
      </c>
      <c r="D19" s="1043">
        <v>5906761</v>
      </c>
    </row>
    <row r="20" spans="1:4" ht="12.75">
      <c r="A20" s="604">
        <v>2013.11</v>
      </c>
      <c r="B20" s="1040">
        <v>4336164</v>
      </c>
      <c r="C20" s="3094">
        <v>1571964</v>
      </c>
      <c r="D20" s="1043">
        <v>5908128</v>
      </c>
    </row>
    <row r="21" spans="1:4" ht="12.75">
      <c r="A21" s="604">
        <v>2013.12</v>
      </c>
      <c r="B21" s="1040">
        <v>4338596</v>
      </c>
      <c r="C21" s="3094">
        <v>1573533</v>
      </c>
      <c r="D21" s="1043">
        <v>5912129</v>
      </c>
    </row>
    <row r="22" spans="1:4" ht="12.75">
      <c r="A22" s="604">
        <v>2014.01</v>
      </c>
      <c r="B22" s="1040">
        <v>4342365</v>
      </c>
      <c r="C22" s="3094">
        <v>1575761</v>
      </c>
      <c r="D22" s="1043">
        <v>5918126</v>
      </c>
    </row>
    <row r="23" spans="1:4" ht="12.75">
      <c r="A23" s="604">
        <v>2014.02</v>
      </c>
      <c r="B23" s="1040">
        <v>4344522</v>
      </c>
      <c r="C23" s="3094">
        <v>1576347</v>
      </c>
      <c r="D23" s="1043">
        <v>5920869</v>
      </c>
    </row>
    <row r="24" spans="1:4" ht="12.75">
      <c r="A24" s="604">
        <v>2014.03</v>
      </c>
      <c r="B24" s="1040">
        <v>4344318</v>
      </c>
      <c r="C24" s="3094">
        <v>1576600</v>
      </c>
      <c r="D24" s="1043">
        <v>5920918</v>
      </c>
    </row>
    <row r="25" spans="1:4" ht="12.75">
      <c r="A25" s="604">
        <v>2014.04</v>
      </c>
      <c r="B25" s="1040">
        <v>4343679</v>
      </c>
      <c r="C25" s="3094">
        <v>1577160</v>
      </c>
      <c r="D25" s="1043">
        <v>5920839</v>
      </c>
    </row>
    <row r="26" spans="1:4" ht="12.75">
      <c r="A26" s="604">
        <v>2014.05</v>
      </c>
      <c r="B26" s="1040">
        <v>4345584</v>
      </c>
      <c r="C26" s="3094">
        <v>1577488</v>
      </c>
      <c r="D26" s="1043">
        <v>5923072</v>
      </c>
    </row>
    <row r="27" spans="1:4" ht="12.75">
      <c r="A27" s="604">
        <v>2014.06</v>
      </c>
      <c r="B27" s="1040">
        <v>4349723</v>
      </c>
      <c r="C27" s="3094">
        <v>1579324</v>
      </c>
      <c r="D27" s="1043">
        <v>5929047</v>
      </c>
    </row>
    <row r="28" spans="1:4" ht="12.75">
      <c r="A28" s="604">
        <v>2014.07</v>
      </c>
      <c r="B28" s="1040">
        <v>4354347</v>
      </c>
      <c r="C28" s="3094">
        <v>1582040</v>
      </c>
      <c r="D28" s="1043">
        <v>5936387</v>
      </c>
    </row>
    <row r="29" spans="1:4" ht="12.75">
      <c r="A29" s="604">
        <v>2014.08</v>
      </c>
      <c r="B29" s="1040">
        <v>4357337</v>
      </c>
      <c r="C29" s="3094">
        <v>1583406</v>
      </c>
      <c r="D29" s="1043">
        <v>5940743</v>
      </c>
    </row>
    <row r="30" spans="1:4" ht="12.75">
      <c r="A30" s="604">
        <v>2014.09</v>
      </c>
      <c r="B30" s="1040">
        <v>4358521</v>
      </c>
      <c r="C30" s="3094">
        <v>1584560</v>
      </c>
      <c r="D30" s="1043">
        <v>5943081</v>
      </c>
    </row>
    <row r="31" spans="1:4" ht="12.75">
      <c r="A31" s="604">
        <v>2014.1</v>
      </c>
      <c r="B31" s="1040">
        <v>4361950</v>
      </c>
      <c r="C31" s="3094">
        <v>1586272</v>
      </c>
      <c r="D31" s="1043">
        <v>5948222</v>
      </c>
    </row>
    <row r="32" spans="1:4" ht="12.75">
      <c r="A32" s="604">
        <v>2014.11</v>
      </c>
      <c r="B32" s="1040">
        <v>4403869</v>
      </c>
      <c r="C32" s="3094">
        <v>1587717</v>
      </c>
      <c r="D32" s="1043">
        <v>5991586</v>
      </c>
    </row>
    <row r="33" spans="1:4" ht="12.75">
      <c r="A33" s="604">
        <v>2014.12</v>
      </c>
      <c r="B33" s="1040">
        <v>4508689</v>
      </c>
      <c r="C33" s="3094">
        <v>1588019</v>
      </c>
      <c r="D33" s="1043">
        <v>6096708</v>
      </c>
    </row>
    <row r="34" spans="1:4" ht="12.75">
      <c r="A34" s="604">
        <v>2015.01</v>
      </c>
      <c r="B34" s="1040">
        <v>4555630</v>
      </c>
      <c r="C34" s="3094">
        <v>1586805</v>
      </c>
      <c r="D34" s="1043">
        <v>6142435</v>
      </c>
    </row>
    <row r="35" spans="1:4" ht="12.75">
      <c r="A35" s="604">
        <v>2015.02</v>
      </c>
      <c r="B35" s="1040">
        <v>4638626</v>
      </c>
      <c r="C35" s="3094">
        <v>1585859</v>
      </c>
      <c r="D35" s="1043">
        <v>6224485</v>
      </c>
    </row>
    <row r="36" spans="1:4" ht="12.75">
      <c r="A36" s="604">
        <v>2015.03</v>
      </c>
      <c r="B36" s="1040">
        <v>4692156</v>
      </c>
      <c r="C36" s="3094">
        <v>1586701</v>
      </c>
      <c r="D36" s="1043">
        <v>6278857</v>
      </c>
    </row>
    <row r="37" spans="1:4" ht="12.75">
      <c r="A37" s="604">
        <v>2015.04</v>
      </c>
      <c r="B37" s="1040">
        <v>4737361</v>
      </c>
      <c r="C37" s="3094">
        <v>1588077</v>
      </c>
      <c r="D37" s="1043">
        <v>6325438</v>
      </c>
    </row>
    <row r="38" spans="1:4" ht="12.75">
      <c r="A38" s="604">
        <v>2015.05</v>
      </c>
      <c r="B38" s="1040">
        <v>4778133</v>
      </c>
      <c r="C38" s="3094">
        <v>1589015</v>
      </c>
      <c r="D38" s="1043">
        <v>6367148</v>
      </c>
    </row>
    <row r="39" spans="1:4" ht="12.75">
      <c r="A39" s="604">
        <v>2015.06</v>
      </c>
      <c r="B39" s="1040">
        <v>4828901</v>
      </c>
      <c r="C39" s="3094">
        <v>1592778</v>
      </c>
      <c r="D39" s="1043">
        <v>6421679</v>
      </c>
    </row>
    <row r="40" spans="1:4" ht="12.75">
      <c r="A40" s="604">
        <v>2015.07</v>
      </c>
      <c r="B40" s="1040">
        <v>4859155</v>
      </c>
      <c r="C40" s="3094">
        <v>1594717</v>
      </c>
      <c r="D40" s="1043">
        <v>6453872</v>
      </c>
    </row>
    <row r="41" spans="1:4" ht="12.75">
      <c r="A41" s="604">
        <v>2015.08</v>
      </c>
      <c r="B41" s="1040">
        <v>4914358</v>
      </c>
      <c r="C41" s="3094">
        <v>1597192</v>
      </c>
      <c r="D41" s="1043">
        <v>6511550</v>
      </c>
    </row>
    <row r="42" spans="1:4" ht="12.75">
      <c r="A42" s="604">
        <v>2015.09</v>
      </c>
      <c r="B42" s="1040">
        <v>4950439</v>
      </c>
      <c r="C42" s="3094">
        <v>1599667</v>
      </c>
      <c r="D42" s="1043">
        <v>6550106</v>
      </c>
    </row>
    <row r="43" spans="1:4" ht="12.75">
      <c r="A43" s="604">
        <v>2015.1</v>
      </c>
      <c r="B43" s="1040">
        <v>4966274</v>
      </c>
      <c r="C43" s="3094">
        <v>1599818</v>
      </c>
      <c r="D43" s="1043">
        <v>6566092</v>
      </c>
    </row>
    <row r="44" spans="1:4" ht="12.75">
      <c r="A44" s="604">
        <v>2015.11</v>
      </c>
      <c r="B44" s="1040">
        <v>4982873</v>
      </c>
      <c r="C44" s="3094">
        <v>1601117</v>
      </c>
      <c r="D44" s="1043">
        <v>6583990</v>
      </c>
    </row>
    <row r="45" spans="1:4" ht="12.75">
      <c r="A45" s="604">
        <v>2015.12</v>
      </c>
      <c r="B45" s="1040">
        <v>5016497</v>
      </c>
      <c r="C45" s="3094">
        <v>1605614</v>
      </c>
      <c r="D45" s="1043">
        <v>6622111</v>
      </c>
    </row>
    <row r="46" spans="1:4" ht="12.75">
      <c r="A46" s="604">
        <v>2016.01</v>
      </c>
      <c r="B46" s="1040">
        <v>5027615</v>
      </c>
      <c r="C46" s="3094">
        <v>1606449</v>
      </c>
      <c r="D46" s="1043">
        <v>6634064</v>
      </c>
    </row>
    <row r="47" spans="1:4" ht="12.75">
      <c r="A47" s="604">
        <v>2016.02</v>
      </c>
      <c r="B47" s="1040">
        <v>5038654</v>
      </c>
      <c r="C47" s="3094">
        <v>1606477</v>
      </c>
      <c r="D47" s="1043">
        <v>6645131</v>
      </c>
    </row>
    <row r="48" spans="1:4" ht="12.75">
      <c r="A48" s="604">
        <v>2016.03</v>
      </c>
      <c r="B48" s="1040">
        <v>5052206</v>
      </c>
      <c r="C48" s="3094">
        <v>1608274</v>
      </c>
      <c r="D48" s="1043">
        <v>6660480</v>
      </c>
    </row>
    <row r="49" spans="1:4" ht="12.75">
      <c r="A49" s="604">
        <v>2016.04</v>
      </c>
      <c r="B49" s="1040">
        <v>5061017</v>
      </c>
      <c r="C49" s="3094">
        <v>1607770</v>
      </c>
      <c r="D49" s="1043">
        <v>6668787</v>
      </c>
    </row>
    <row r="50" spans="1:4" ht="12.75">
      <c r="A50" s="604">
        <v>2016.05</v>
      </c>
      <c r="B50" s="1040">
        <v>5080197</v>
      </c>
      <c r="C50" s="3094">
        <v>1609407</v>
      </c>
      <c r="D50" s="1043">
        <v>6689604</v>
      </c>
    </row>
    <row r="51" spans="1:4" ht="12.75">
      <c r="A51" s="604">
        <v>2016.06</v>
      </c>
      <c r="B51" s="1040">
        <v>5103213</v>
      </c>
      <c r="C51" s="3094">
        <v>1612784</v>
      </c>
      <c r="D51" s="1043">
        <v>6715997</v>
      </c>
    </row>
    <row r="52" spans="1:4" ht="12.75">
      <c r="A52" s="604">
        <v>2016.07</v>
      </c>
      <c r="B52" s="1040">
        <v>5121726</v>
      </c>
      <c r="C52" s="3094">
        <v>1615180</v>
      </c>
      <c r="D52" s="1043">
        <v>6736906</v>
      </c>
    </row>
    <row r="53" spans="1:4" ht="12.75">
      <c r="A53" s="604">
        <v>2016.08</v>
      </c>
      <c r="B53" s="1040">
        <v>5128650</v>
      </c>
      <c r="C53" s="3094">
        <v>1614686</v>
      </c>
      <c r="D53" s="1043">
        <v>6743336</v>
      </c>
    </row>
    <row r="54" spans="1:4" ht="12.75">
      <c r="A54" s="604">
        <v>2016.09</v>
      </c>
      <c r="B54" s="1040">
        <v>5149079</v>
      </c>
      <c r="C54" s="3094">
        <v>1617578</v>
      </c>
      <c r="D54" s="1043">
        <v>6766657</v>
      </c>
    </row>
    <row r="55" spans="1:4" ht="12.75">
      <c r="A55" s="604">
        <v>2016.1</v>
      </c>
      <c r="B55" s="1040">
        <v>5166624</v>
      </c>
      <c r="C55" s="3094">
        <v>1620418</v>
      </c>
      <c r="D55" s="1043">
        <v>6787042</v>
      </c>
    </row>
    <row r="56" spans="1:4" ht="12.75">
      <c r="A56" s="604">
        <v>2016.11</v>
      </c>
      <c r="B56" s="1040">
        <v>5189635</v>
      </c>
      <c r="C56" s="3094">
        <v>1625245</v>
      </c>
      <c r="D56" s="1043">
        <v>6814880</v>
      </c>
    </row>
    <row r="57" spans="1:4" ht="12.75">
      <c r="A57" s="604">
        <v>2016.12</v>
      </c>
      <c r="B57" s="1040">
        <v>5204516</v>
      </c>
      <c r="C57" s="3094">
        <v>1628902</v>
      </c>
      <c r="D57" s="1043">
        <v>6833418</v>
      </c>
    </row>
    <row r="58" spans="1:4" ht="12.75">
      <c r="A58" s="604">
        <v>2017.01</v>
      </c>
      <c r="B58" s="1040">
        <v>5222209</v>
      </c>
      <c r="C58" s="3094">
        <v>1632563</v>
      </c>
      <c r="D58" s="1043">
        <v>6854772</v>
      </c>
    </row>
    <row r="59" spans="1:4" ht="12.75">
      <c r="A59" s="604">
        <v>2017.02</v>
      </c>
      <c r="B59" s="1040">
        <v>5231782</v>
      </c>
      <c r="C59" s="3094">
        <v>1634881</v>
      </c>
      <c r="D59" s="1043">
        <v>6866663</v>
      </c>
    </row>
    <row r="60" spans="1:4" ht="12.75">
      <c r="A60" s="604">
        <v>2017.03</v>
      </c>
      <c r="B60" s="1040">
        <v>5236700</v>
      </c>
      <c r="C60" s="3094">
        <v>1636799</v>
      </c>
      <c r="D60" s="1043">
        <v>6873499</v>
      </c>
    </row>
    <row r="61" spans="1:4" ht="12.75">
      <c r="A61" s="604">
        <v>2017.04</v>
      </c>
      <c r="B61" s="1040">
        <v>5242040</v>
      </c>
      <c r="C61" s="3094">
        <v>1639368</v>
      </c>
      <c r="D61" s="1043">
        <v>6881408</v>
      </c>
    </row>
    <row r="62" spans="1:4" ht="12.75">
      <c r="A62" s="604">
        <v>2017.05</v>
      </c>
      <c r="B62" s="1040">
        <v>5247541</v>
      </c>
      <c r="C62" s="3094">
        <v>1641608</v>
      </c>
      <c r="D62" s="1043">
        <v>6889149</v>
      </c>
    </row>
    <row r="63" spans="1:4" ht="12.75">
      <c r="A63" s="604">
        <v>2017.06</v>
      </c>
      <c r="B63" s="1040">
        <v>5251452</v>
      </c>
      <c r="C63" s="3094">
        <v>1642936</v>
      </c>
      <c r="D63" s="1043">
        <v>6894388</v>
      </c>
    </row>
    <row r="64" spans="1:4" ht="12.75">
      <c r="A64" s="604">
        <v>2017.07</v>
      </c>
      <c r="B64" s="1040">
        <v>5255978</v>
      </c>
      <c r="C64" s="3094">
        <v>1645215</v>
      </c>
      <c r="D64" s="1043">
        <v>6901193</v>
      </c>
    </row>
    <row r="65" spans="1:4" ht="12.75">
      <c r="A65" s="604">
        <v>2017.08</v>
      </c>
      <c r="B65" s="1040">
        <v>5257709</v>
      </c>
      <c r="C65" s="3094">
        <v>1646806</v>
      </c>
      <c r="D65" s="1043">
        <v>6904515</v>
      </c>
    </row>
    <row r="66" spans="1:4" ht="12.75">
      <c r="A66" s="604">
        <v>2017.09</v>
      </c>
      <c r="B66" s="1040">
        <v>5257140</v>
      </c>
      <c r="C66" s="3094">
        <v>1647914</v>
      </c>
      <c r="D66" s="1043">
        <v>6905054</v>
      </c>
    </row>
    <row r="67" spans="1:4" ht="12.75">
      <c r="A67" s="604">
        <v>2017.1</v>
      </c>
      <c r="B67" s="1040">
        <v>5259296</v>
      </c>
      <c r="C67" s="3094">
        <v>1650288</v>
      </c>
      <c r="D67" s="1043">
        <v>6909584</v>
      </c>
    </row>
    <row r="68" spans="1:4" ht="12.75">
      <c r="A68" s="604">
        <v>2017.11</v>
      </c>
      <c r="B68" s="1040">
        <v>5260877</v>
      </c>
      <c r="C68" s="3094">
        <v>1651631</v>
      </c>
      <c r="D68" s="1043">
        <v>6912508</v>
      </c>
    </row>
    <row r="69" spans="1:4" ht="12.75">
      <c r="A69" s="604">
        <v>2017.12</v>
      </c>
      <c r="B69" s="1040">
        <v>5264821</v>
      </c>
      <c r="C69" s="3094">
        <v>1653070</v>
      </c>
      <c r="D69" s="1043">
        <v>6917891</v>
      </c>
    </row>
    <row r="70" spans="1:4" ht="12.75">
      <c r="A70" s="604">
        <v>2018.01</v>
      </c>
      <c r="B70" s="1040">
        <v>5265836</v>
      </c>
      <c r="C70" s="3094">
        <v>1653842</v>
      </c>
      <c r="D70" s="1043">
        <v>6919678</v>
      </c>
    </row>
    <row r="71" spans="1:4" ht="12.75">
      <c r="A71" s="604">
        <v>2018.02</v>
      </c>
      <c r="B71" s="1040">
        <v>5265929</v>
      </c>
      <c r="C71" s="3094">
        <v>1654237</v>
      </c>
      <c r="D71" s="1043">
        <v>6920166</v>
      </c>
    </row>
    <row r="72" spans="1:4" ht="12.75">
      <c r="A72" s="604">
        <v>2018.03</v>
      </c>
      <c r="B72" s="1040">
        <v>5265889</v>
      </c>
      <c r="C72" s="3094">
        <v>1654637</v>
      </c>
      <c r="D72" s="1043">
        <v>6920526</v>
      </c>
    </row>
    <row r="73" spans="1:4" ht="12.75">
      <c r="A73" s="604">
        <v>2018.04</v>
      </c>
      <c r="B73" s="1040">
        <v>5265048</v>
      </c>
      <c r="C73" s="3094">
        <v>1655214</v>
      </c>
      <c r="D73" s="1043">
        <v>6920262</v>
      </c>
    </row>
    <row r="74" spans="1:4" ht="12.75">
      <c r="A74" s="604">
        <v>2018.05</v>
      </c>
      <c r="B74" s="1040">
        <v>5266890</v>
      </c>
      <c r="C74" s="3094">
        <v>1656193</v>
      </c>
      <c r="D74" s="1043">
        <v>6923083</v>
      </c>
    </row>
    <row r="75" spans="1:4" ht="12.75">
      <c r="A75" s="604">
        <v>2018.06</v>
      </c>
      <c r="B75" s="1040">
        <v>5268016</v>
      </c>
      <c r="C75" s="3094">
        <v>1657503</v>
      </c>
      <c r="D75" s="1043">
        <v>6925519</v>
      </c>
    </row>
    <row r="76" spans="1:4" ht="12.75">
      <c r="A76" s="604">
        <v>2018.07</v>
      </c>
      <c r="B76" s="1040">
        <v>5271081</v>
      </c>
      <c r="C76" s="3094">
        <v>1658714</v>
      </c>
      <c r="D76" s="1043">
        <v>6929795</v>
      </c>
    </row>
    <row r="77" spans="1:4" ht="12.75">
      <c r="A77" s="604">
        <v>2018.08</v>
      </c>
      <c r="B77" s="1040">
        <v>5267468</v>
      </c>
      <c r="C77" s="3094">
        <v>1659979</v>
      </c>
      <c r="D77" s="1043">
        <v>6927447</v>
      </c>
    </row>
    <row r="78" spans="1:4" ht="12.75">
      <c r="A78" s="604">
        <v>2018.09</v>
      </c>
      <c r="B78" s="1040">
        <v>5262777</v>
      </c>
      <c r="C78" s="3094">
        <v>1659851</v>
      </c>
      <c r="D78" s="1043">
        <v>6922628</v>
      </c>
    </row>
    <row r="79" spans="1:4" ht="12.75">
      <c r="A79" s="604">
        <v>2018.1</v>
      </c>
      <c r="B79" s="1040">
        <v>5261466</v>
      </c>
      <c r="C79" s="3094">
        <v>1659752</v>
      </c>
      <c r="D79" s="1043">
        <v>6921218</v>
      </c>
    </row>
    <row r="80" spans="1:4" ht="12.75">
      <c r="A80" s="604">
        <v>2018.11</v>
      </c>
      <c r="B80" s="1040">
        <v>5261079</v>
      </c>
      <c r="C80" s="3094">
        <v>1660250</v>
      </c>
      <c r="D80" s="1043">
        <v>6921329</v>
      </c>
    </row>
    <row r="81" spans="1:4" ht="12.75">
      <c r="A81" s="604">
        <v>2018.12</v>
      </c>
      <c r="B81" s="1040">
        <v>5261955</v>
      </c>
      <c r="C81" s="3094">
        <v>1660917</v>
      </c>
      <c r="D81" s="1043">
        <v>6922872</v>
      </c>
    </row>
    <row r="82" spans="1:4" ht="12.75">
      <c r="A82" s="604">
        <v>2019.01</v>
      </c>
      <c r="B82" s="1040">
        <v>5260557</v>
      </c>
      <c r="C82" s="3094">
        <v>1661163</v>
      </c>
      <c r="D82" s="1043">
        <v>6921720</v>
      </c>
    </row>
    <row r="83" spans="1:4" ht="12.75">
      <c r="A83" s="604">
        <v>2019.02</v>
      </c>
      <c r="B83" s="1040">
        <v>5260521</v>
      </c>
      <c r="C83" s="3094">
        <v>1660733</v>
      </c>
      <c r="D83" s="1043">
        <v>6921254</v>
      </c>
    </row>
    <row r="84" spans="1:4" ht="12.75">
      <c r="A84" s="604">
        <v>2019.03</v>
      </c>
      <c r="B84" s="1040">
        <v>5262281</v>
      </c>
      <c r="C84" s="3094">
        <v>1662363</v>
      </c>
      <c r="D84" s="1043">
        <v>6924644</v>
      </c>
    </row>
    <row r="85" spans="1:4" ht="12.75">
      <c r="A85" s="604">
        <v>2019.04</v>
      </c>
      <c r="B85" s="1040">
        <v>5263440</v>
      </c>
      <c r="C85" s="3094">
        <v>1663905</v>
      </c>
      <c r="D85" s="1043">
        <v>6927345</v>
      </c>
    </row>
    <row r="86" spans="1:4" ht="12.75">
      <c r="A86" s="604">
        <v>2019.05</v>
      </c>
      <c r="B86" s="1040">
        <v>5266366</v>
      </c>
      <c r="C86" s="3094">
        <v>1664998</v>
      </c>
      <c r="D86" s="1043">
        <v>6931364</v>
      </c>
    </row>
    <row r="87" spans="1:4" ht="12.75">
      <c r="A87" s="604">
        <v>2019.06</v>
      </c>
      <c r="B87" s="1040">
        <v>5271323</v>
      </c>
      <c r="C87" s="3094">
        <v>1666691</v>
      </c>
      <c r="D87" s="1043">
        <v>6938014</v>
      </c>
    </row>
    <row r="88" spans="1:4" ht="12.75">
      <c r="A88" s="604">
        <v>2019.07</v>
      </c>
      <c r="B88" s="1040">
        <v>5275463</v>
      </c>
      <c r="C88" s="3094">
        <v>1668261</v>
      </c>
      <c r="D88" s="1043">
        <v>6943724</v>
      </c>
    </row>
    <row r="89" spans="1:4" ht="12.75">
      <c r="A89" s="604">
        <v>2019.08</v>
      </c>
      <c r="B89" s="1040">
        <v>5268376</v>
      </c>
      <c r="C89" s="3094">
        <v>1663422</v>
      </c>
      <c r="D89" s="1043">
        <v>6931798</v>
      </c>
    </row>
    <row r="90" spans="1:4" ht="12.75">
      <c r="A90" s="604">
        <v>2019.09</v>
      </c>
      <c r="B90" s="1040">
        <v>5257133</v>
      </c>
      <c r="C90" s="3094">
        <v>1661534</v>
      </c>
      <c r="D90" s="1043">
        <v>6918667</v>
      </c>
    </row>
    <row r="91" spans="1:4" ht="12.75">
      <c r="A91" s="604">
        <v>2019.1</v>
      </c>
      <c r="B91" s="1040">
        <v>5272441</v>
      </c>
      <c r="C91" s="3094">
        <v>1666235</v>
      </c>
      <c r="D91" s="1043">
        <v>6938676</v>
      </c>
    </row>
    <row r="92" spans="1:4" ht="12.75">
      <c r="A92" s="604">
        <v>2019.11</v>
      </c>
      <c r="B92" s="1040">
        <v>5270489</v>
      </c>
      <c r="C92" s="3094">
        <v>1666112</v>
      </c>
      <c r="D92" s="1043">
        <v>6936601</v>
      </c>
    </row>
    <row r="93" spans="1:4" ht="12.75">
      <c r="A93" s="604">
        <v>2019.12</v>
      </c>
      <c r="B93" s="1040">
        <v>5268834</v>
      </c>
      <c r="C93" s="3094">
        <v>1669770</v>
      </c>
      <c r="D93" s="1043">
        <v>6938604</v>
      </c>
    </row>
    <row r="94" spans="1:4" ht="12.75">
      <c r="A94" s="604">
        <v>2020.01</v>
      </c>
      <c r="B94" s="1040">
        <v>5265263</v>
      </c>
      <c r="C94" s="3094">
        <v>1670964</v>
      </c>
      <c r="D94" s="1043">
        <v>6936227</v>
      </c>
    </row>
    <row r="95" spans="1:4" ht="12.75">
      <c r="A95" s="604">
        <v>2020.02</v>
      </c>
      <c r="B95" s="1040">
        <v>5261075</v>
      </c>
      <c r="C95" s="3094">
        <v>1671555</v>
      </c>
      <c r="D95" s="1043">
        <v>6932630</v>
      </c>
    </row>
    <row r="96" spans="1:4" ht="12.75">
      <c r="A96" s="604">
        <v>2020.03</v>
      </c>
      <c r="B96" s="1040">
        <v>5259333</v>
      </c>
      <c r="C96" s="3094">
        <v>1672850</v>
      </c>
      <c r="D96" s="1043">
        <v>6932183</v>
      </c>
    </row>
    <row r="97" spans="1:4" ht="12.75">
      <c r="A97" s="604">
        <v>2020.04</v>
      </c>
      <c r="B97" s="1040">
        <v>5256783</v>
      </c>
      <c r="C97" s="3094">
        <v>1673848</v>
      </c>
      <c r="D97" s="1043">
        <v>6930631</v>
      </c>
    </row>
    <row r="98" spans="1:4" ht="12.75">
      <c r="A98" s="604">
        <v>2020.05</v>
      </c>
      <c r="B98" s="1040">
        <v>5249344</v>
      </c>
      <c r="C98" s="3094">
        <v>1671806</v>
      </c>
      <c r="D98" s="1043">
        <v>6921150</v>
      </c>
    </row>
    <row r="99" spans="1:4" ht="12.75">
      <c r="A99" s="604">
        <v>2020.06</v>
      </c>
      <c r="B99" s="1040">
        <v>5242767</v>
      </c>
      <c r="C99" s="3094">
        <v>1669209</v>
      </c>
      <c r="D99" s="1043">
        <v>6911976</v>
      </c>
    </row>
    <row r="100" spans="1:4" ht="12.75">
      <c r="A100" s="604">
        <v>2020.07</v>
      </c>
      <c r="B100" s="1040">
        <v>5237979</v>
      </c>
      <c r="C100" s="3094">
        <v>1669611</v>
      </c>
      <c r="D100" s="1043">
        <v>6907590</v>
      </c>
    </row>
    <row r="101" spans="1:4" ht="12.75">
      <c r="A101" s="604">
        <v>2020.08</v>
      </c>
      <c r="B101" s="1040">
        <v>5231813</v>
      </c>
      <c r="C101" s="3094">
        <v>1669680</v>
      </c>
      <c r="D101" s="1043">
        <v>6901493</v>
      </c>
    </row>
    <row r="102" spans="1:4" ht="12.75">
      <c r="A102" s="604">
        <v>2020.09</v>
      </c>
      <c r="B102" s="1040">
        <v>5226067</v>
      </c>
      <c r="C102" s="3094">
        <v>1671338</v>
      </c>
      <c r="D102" s="1043">
        <v>6897405</v>
      </c>
    </row>
    <row r="103" spans="1:4" ht="12.75">
      <c r="A103" s="604">
        <v>2020.1</v>
      </c>
      <c r="B103" s="1040">
        <v>5217545</v>
      </c>
      <c r="C103" s="3094">
        <v>1670916</v>
      </c>
      <c r="D103" s="1043">
        <v>6888461</v>
      </c>
    </row>
    <row r="104" spans="1:4" ht="12.75">
      <c r="A104" s="604">
        <v>2020.11</v>
      </c>
      <c r="B104" s="1040">
        <v>5204501</v>
      </c>
      <c r="C104" s="3094">
        <v>1669945</v>
      </c>
      <c r="D104" s="1043">
        <v>6874446</v>
      </c>
    </row>
    <row r="105" spans="1:4" ht="12.75">
      <c r="A105" s="604">
        <v>2020.12</v>
      </c>
      <c r="B105" s="1040">
        <v>5192508</v>
      </c>
      <c r="C105" s="3094">
        <v>1668810</v>
      </c>
      <c r="D105" s="1043">
        <v>6861318</v>
      </c>
    </row>
    <row r="106" spans="1:4" ht="12.75">
      <c r="A106" s="604">
        <f>A94+1</f>
        <v>2021.01</v>
      </c>
      <c r="B106" s="1040">
        <v>5184688</v>
      </c>
      <c r="C106" s="3094">
        <v>1669838</v>
      </c>
      <c r="D106" s="1043">
        <v>6854526</v>
      </c>
    </row>
    <row r="107" spans="1:4" ht="12.75">
      <c r="A107" s="604">
        <f t="shared" ref="A107:A170" si="0">A95+1</f>
        <v>2021.02</v>
      </c>
      <c r="B107" s="1040">
        <v>5173153</v>
      </c>
      <c r="C107" s="3094">
        <v>1667421</v>
      </c>
      <c r="D107" s="1043">
        <v>6840574</v>
      </c>
    </row>
    <row r="108" spans="1:4" ht="12.75">
      <c r="A108" s="604">
        <f t="shared" si="0"/>
        <v>2021.03</v>
      </c>
      <c r="B108" s="1040">
        <v>5159630</v>
      </c>
      <c r="C108" s="3094">
        <v>1666655</v>
      </c>
      <c r="D108" s="1043">
        <v>6826285</v>
      </c>
    </row>
    <row r="109" spans="1:4" ht="12.75">
      <c r="A109" s="604">
        <f t="shared" si="0"/>
        <v>2021.04</v>
      </c>
      <c r="B109" s="1040">
        <v>5158948</v>
      </c>
      <c r="C109" s="3094">
        <v>1669079</v>
      </c>
      <c r="D109" s="1043">
        <v>6828027</v>
      </c>
    </row>
    <row r="110" spans="1:4" ht="12.75">
      <c r="A110" s="604">
        <f t="shared" si="0"/>
        <v>2021.05</v>
      </c>
      <c r="B110" s="1040">
        <v>5152919</v>
      </c>
      <c r="C110" s="3094">
        <v>1669139</v>
      </c>
      <c r="D110" s="1043">
        <v>6822058</v>
      </c>
    </row>
    <row r="111" spans="1:4" ht="12.75">
      <c r="A111" s="604">
        <f t="shared" si="0"/>
        <v>2021.06</v>
      </c>
      <c r="B111" s="1040">
        <v>5152060</v>
      </c>
      <c r="C111" s="3094">
        <v>1671375</v>
      </c>
      <c r="D111" s="1043">
        <v>6823435</v>
      </c>
    </row>
    <row r="112" spans="1:4" ht="12.75">
      <c r="A112" s="604">
        <f t="shared" si="0"/>
        <v>2021.07</v>
      </c>
      <c r="B112" s="1040">
        <v>5155272</v>
      </c>
      <c r="C112" s="3094">
        <v>1675989</v>
      </c>
      <c r="D112" s="1043">
        <v>6831261</v>
      </c>
    </row>
    <row r="113" spans="1:4" ht="12.75">
      <c r="A113" s="604">
        <f t="shared" si="0"/>
        <v>2021.08</v>
      </c>
      <c r="B113" s="1040">
        <v>5146958</v>
      </c>
      <c r="C113" s="3094">
        <v>1677634</v>
      </c>
      <c r="D113" s="1043">
        <v>6824592</v>
      </c>
    </row>
    <row r="114" spans="1:4" ht="12.75">
      <c r="A114" s="604">
        <f t="shared" si="0"/>
        <v>2021.09</v>
      </c>
      <c r="B114" s="1040">
        <v>5138940</v>
      </c>
      <c r="C114" s="3094">
        <v>1680572</v>
      </c>
      <c r="D114" s="1043">
        <v>6819512</v>
      </c>
    </row>
    <row r="115" spans="1:4" ht="12.75">
      <c r="A115" s="604">
        <f t="shared" si="0"/>
        <v>2021.1</v>
      </c>
      <c r="B115" s="1040">
        <v>5149989</v>
      </c>
      <c r="C115" s="3094">
        <v>1681113</v>
      </c>
      <c r="D115" s="1043">
        <v>6831102</v>
      </c>
    </row>
    <row r="116" spans="1:4" ht="12.75">
      <c r="A116" s="604">
        <f t="shared" si="0"/>
        <v>2021.11</v>
      </c>
      <c r="B116" s="1040">
        <v>5183427</v>
      </c>
      <c r="C116" s="3094">
        <v>1684250</v>
      </c>
      <c r="D116" s="1043">
        <v>6867677</v>
      </c>
    </row>
    <row r="117" spans="1:4" ht="12.75">
      <c r="A117" s="604">
        <f t="shared" si="0"/>
        <v>2021.12</v>
      </c>
      <c r="B117" s="1040">
        <v>5202492</v>
      </c>
      <c r="C117" s="3094">
        <v>1686926</v>
      </c>
      <c r="D117" s="1043">
        <v>6889418</v>
      </c>
    </row>
    <row r="118" spans="1:4" ht="12.75">
      <c r="A118" s="604">
        <f t="shared" si="0"/>
        <v>2022.01</v>
      </c>
      <c r="B118" s="1040">
        <v>5216472</v>
      </c>
      <c r="C118" s="3094">
        <v>1687384</v>
      </c>
      <c r="D118" s="1043">
        <v>6903856</v>
      </c>
    </row>
    <row r="119" spans="1:4" ht="12.75">
      <c r="A119" s="604">
        <f t="shared" si="0"/>
        <v>2022.02</v>
      </c>
      <c r="B119" s="1040">
        <v>5225456</v>
      </c>
      <c r="C119" s="3094">
        <v>1688230</v>
      </c>
      <c r="D119" s="1043">
        <v>6913686</v>
      </c>
    </row>
    <row r="120" spans="1:4" ht="12.75">
      <c r="A120" s="604">
        <f t="shared" si="0"/>
        <v>2022.03</v>
      </c>
      <c r="B120" s="1040">
        <v>5229189</v>
      </c>
      <c r="C120" s="3094">
        <v>1689415</v>
      </c>
      <c r="D120" s="1043">
        <v>6918604</v>
      </c>
    </row>
    <row r="121" spans="1:4" ht="12.75">
      <c r="A121" s="604">
        <f t="shared" si="0"/>
        <v>2022.04</v>
      </c>
      <c r="B121" s="1040">
        <v>5230002</v>
      </c>
      <c r="C121" s="3094">
        <v>1690442</v>
      </c>
      <c r="D121" s="1043">
        <v>6920444</v>
      </c>
    </row>
    <row r="122" spans="1:4" ht="12.75">
      <c r="A122" s="604">
        <f t="shared" si="0"/>
        <v>2022.05</v>
      </c>
      <c r="B122" s="1040">
        <v>5239882</v>
      </c>
      <c r="C122" s="3094">
        <v>1694554</v>
      </c>
      <c r="D122" s="1043">
        <v>6934436</v>
      </c>
    </row>
    <row r="123" spans="1:4" ht="12.75">
      <c r="A123" s="604">
        <f t="shared" si="0"/>
        <v>2022.06</v>
      </c>
      <c r="B123" s="1040">
        <v>5249231</v>
      </c>
      <c r="C123" s="3094">
        <v>1698081</v>
      </c>
      <c r="D123" s="1043">
        <v>6947312</v>
      </c>
    </row>
    <row r="124" spans="1:4" ht="12.75">
      <c r="A124" s="604">
        <f t="shared" si="0"/>
        <v>2022.07</v>
      </c>
      <c r="B124" s="1040">
        <v>5259926</v>
      </c>
      <c r="C124" s="3094">
        <v>1701720</v>
      </c>
      <c r="D124" s="1043">
        <v>6961646</v>
      </c>
    </row>
    <row r="125" spans="1:4" ht="12.75">
      <c r="A125" s="604">
        <f t="shared" si="0"/>
        <v>2022.08</v>
      </c>
      <c r="B125" s="1040">
        <v>5263949</v>
      </c>
      <c r="C125" s="3094">
        <v>1702783</v>
      </c>
      <c r="D125" s="1043">
        <v>6966732</v>
      </c>
    </row>
    <row r="126" spans="1:4" ht="12.75">
      <c r="A126" s="604">
        <f t="shared" si="0"/>
        <v>2022.09</v>
      </c>
      <c r="B126" s="1040">
        <v>5269819</v>
      </c>
      <c r="C126" s="3094">
        <v>1703589</v>
      </c>
      <c r="D126" s="1043">
        <v>6973408</v>
      </c>
    </row>
    <row r="127" spans="1:4" ht="12.75">
      <c r="A127" s="604">
        <f t="shared" si="0"/>
        <v>2022.1</v>
      </c>
      <c r="B127" s="1040">
        <v>5276668</v>
      </c>
      <c r="C127" s="3094">
        <v>1706930</v>
      </c>
      <c r="D127" s="1043">
        <v>6983598</v>
      </c>
    </row>
    <row r="128" spans="1:4" ht="12.75">
      <c r="A128" s="604">
        <f t="shared" si="0"/>
        <v>2022.11</v>
      </c>
      <c r="B128" s="1040">
        <v>5282124</v>
      </c>
      <c r="C128" s="3094">
        <v>1709687</v>
      </c>
      <c r="D128" s="1043">
        <v>6991811</v>
      </c>
    </row>
    <row r="129" spans="1:4" ht="12.75">
      <c r="A129" s="604">
        <f t="shared" si="0"/>
        <v>2022.12</v>
      </c>
      <c r="B129" s="1040">
        <v>5284476</v>
      </c>
      <c r="C129" s="3094">
        <v>1710839</v>
      </c>
      <c r="D129" s="1043">
        <v>6995315</v>
      </c>
    </row>
    <row r="130" spans="1:4" ht="12.75">
      <c r="A130" s="604">
        <f t="shared" si="0"/>
        <v>2023.01</v>
      </c>
      <c r="B130" s="1040">
        <v>5289537</v>
      </c>
      <c r="C130" s="3094">
        <v>1713385</v>
      </c>
      <c r="D130" s="1043">
        <v>7002922</v>
      </c>
    </row>
    <row r="131" spans="1:4" ht="12.75">
      <c r="A131" s="604">
        <f t="shared" si="0"/>
        <v>2023.02</v>
      </c>
      <c r="B131" s="1040">
        <v>5285556</v>
      </c>
      <c r="C131" s="3094">
        <v>1711204</v>
      </c>
      <c r="D131" s="1043">
        <v>6996760</v>
      </c>
    </row>
    <row r="132" spans="1:4" ht="12.75">
      <c r="A132" s="604">
        <f t="shared" si="0"/>
        <v>2023.03</v>
      </c>
      <c r="B132" s="1040">
        <v>5279990</v>
      </c>
      <c r="C132" s="3094">
        <v>1709843</v>
      </c>
      <c r="D132" s="1043">
        <v>6989833</v>
      </c>
    </row>
    <row r="133" spans="1:4" ht="12.75">
      <c r="A133" s="604">
        <f t="shared" si="0"/>
        <v>2023.04</v>
      </c>
      <c r="B133" s="1040">
        <v>5273858</v>
      </c>
      <c r="C133" s="3094">
        <v>1709663</v>
      </c>
      <c r="D133" s="1043">
        <v>6983521</v>
      </c>
    </row>
    <row r="134" spans="1:4" ht="12.75">
      <c r="A134" s="604">
        <f t="shared" si="0"/>
        <v>2023.05</v>
      </c>
      <c r="B134" s="1040">
        <v>5271761</v>
      </c>
      <c r="C134" s="3094">
        <v>1712358</v>
      </c>
      <c r="D134" s="1043">
        <v>6984119</v>
      </c>
    </row>
    <row r="135" spans="1:4" ht="12.75">
      <c r="A135" s="604">
        <f t="shared" si="0"/>
        <v>2023.06</v>
      </c>
      <c r="B135" s="1040">
        <v>5305761</v>
      </c>
      <c r="C135" s="3094">
        <v>1711037</v>
      </c>
      <c r="D135" s="1043">
        <v>7016798</v>
      </c>
    </row>
    <row r="136" spans="1:4" ht="12.75">
      <c r="A136" s="604">
        <f t="shared" si="0"/>
        <v>2023.07</v>
      </c>
      <c r="B136" s="1040">
        <v>5348366</v>
      </c>
      <c r="C136" s="3094">
        <v>1709590</v>
      </c>
      <c r="D136" s="1043">
        <v>7057956</v>
      </c>
    </row>
    <row r="137" spans="1:4" ht="12.75">
      <c r="A137" s="604">
        <f t="shared" si="0"/>
        <v>2023.08</v>
      </c>
      <c r="B137" s="1040">
        <v>5383035</v>
      </c>
      <c r="C137" s="3094">
        <v>1706572</v>
      </c>
      <c r="D137" s="1043">
        <v>7089607</v>
      </c>
    </row>
    <row r="138" spans="1:4" ht="12.75">
      <c r="A138" s="604">
        <f t="shared" si="0"/>
        <v>2023.09</v>
      </c>
      <c r="B138" s="1040">
        <v>5417649</v>
      </c>
      <c r="C138" s="3094">
        <v>1704831</v>
      </c>
      <c r="D138" s="1043">
        <v>7122480</v>
      </c>
    </row>
    <row r="139" spans="1:4" ht="12.75">
      <c r="A139" s="604">
        <f t="shared" si="0"/>
        <v>2023.1</v>
      </c>
      <c r="B139" s="1040">
        <v>5470976</v>
      </c>
      <c r="C139" s="3094">
        <v>1705514</v>
      </c>
      <c r="D139" s="1043">
        <v>7176490</v>
      </c>
    </row>
    <row r="140" spans="1:4" ht="12.75">
      <c r="A140" s="604">
        <f t="shared" si="0"/>
        <v>2023.11</v>
      </c>
      <c r="B140" s="1040">
        <v>5490069</v>
      </c>
      <c r="C140" s="3094">
        <v>1711513</v>
      </c>
      <c r="D140" s="1043">
        <v>7201582</v>
      </c>
    </row>
    <row r="141" spans="1:4" ht="12.75">
      <c r="A141" s="604">
        <f t="shared" si="0"/>
        <v>2023.12</v>
      </c>
      <c r="B141" s="1040">
        <v>5515902</v>
      </c>
      <c r="C141" s="3094">
        <v>1711680</v>
      </c>
      <c r="D141" s="1043">
        <v>7227582</v>
      </c>
    </row>
    <row r="142" spans="1:4" ht="12.75">
      <c r="A142" s="604">
        <f t="shared" si="0"/>
        <v>2024.01</v>
      </c>
      <c r="B142" s="1040">
        <v>5543723</v>
      </c>
      <c r="C142" s="3094">
        <v>1710845</v>
      </c>
      <c r="D142" s="1043">
        <v>7254568</v>
      </c>
    </row>
    <row r="143" spans="1:4" ht="12.75">
      <c r="A143" s="604">
        <f t="shared" si="0"/>
        <v>2024.02</v>
      </c>
      <c r="B143" s="1040">
        <v>5561360</v>
      </c>
      <c r="C143" s="3094">
        <v>1709779</v>
      </c>
      <c r="D143" s="1043">
        <v>7271139</v>
      </c>
    </row>
    <row r="144" spans="1:4" ht="12.75">
      <c r="A144" s="604">
        <f t="shared" si="0"/>
        <v>2024.03</v>
      </c>
      <c r="B144" s="3283">
        <v>5578146</v>
      </c>
      <c r="C144" s="3284">
        <v>1709674</v>
      </c>
      <c r="D144" s="3285">
        <v>7287820</v>
      </c>
    </row>
    <row r="145" spans="1:4" ht="12.75">
      <c r="A145" s="604">
        <f t="shared" si="0"/>
        <v>2024.04</v>
      </c>
      <c r="B145" s="3283">
        <v>5591563</v>
      </c>
      <c r="C145" s="3284">
        <v>1710014</v>
      </c>
      <c r="D145" s="3285">
        <v>7301577</v>
      </c>
    </row>
    <row r="146" spans="1:4" ht="12.75">
      <c r="A146" s="604">
        <f t="shared" si="0"/>
        <v>2024.05</v>
      </c>
      <c r="B146" s="3283">
        <v>5610017</v>
      </c>
      <c r="C146" s="3284">
        <v>1711474</v>
      </c>
      <c r="D146" s="3285">
        <v>7321491</v>
      </c>
    </row>
    <row r="147" spans="1:4" ht="12.75">
      <c r="A147" s="604">
        <f t="shared" si="0"/>
        <v>2024.06</v>
      </c>
      <c r="B147" s="3283">
        <v>5624830</v>
      </c>
      <c r="C147" s="3284">
        <v>1710939</v>
      </c>
      <c r="D147" s="3285">
        <v>7335769</v>
      </c>
    </row>
    <row r="148" spans="1:4" ht="12.75">
      <c r="A148" s="604">
        <f t="shared" si="0"/>
        <v>2024.07</v>
      </c>
      <c r="B148" s="3283">
        <v>5643734</v>
      </c>
      <c r="C148" s="3284">
        <v>1711845</v>
      </c>
      <c r="D148" s="3285">
        <v>7355579</v>
      </c>
    </row>
    <row r="149" spans="1:4" ht="12.75">
      <c r="A149" s="604">
        <f t="shared" si="0"/>
        <v>2024.08</v>
      </c>
      <c r="B149" s="3283">
        <v>5654375</v>
      </c>
      <c r="C149" s="3284">
        <v>1711214</v>
      </c>
      <c r="D149" s="3285">
        <v>7365589</v>
      </c>
    </row>
    <row r="150" spans="1:4" ht="12.75">
      <c r="A150" s="604">
        <f t="shared" si="0"/>
        <v>2024.09</v>
      </c>
      <c r="B150" s="3283">
        <v>5666805</v>
      </c>
      <c r="C150" s="3284">
        <v>1712673</v>
      </c>
      <c r="D150" s="3285">
        <v>7379478</v>
      </c>
    </row>
    <row r="151" spans="1:4" ht="12.75">
      <c r="A151" s="604">
        <f t="shared" si="0"/>
        <v>2024.1</v>
      </c>
      <c r="B151" s="3283">
        <v>5681342</v>
      </c>
      <c r="C151" s="3284">
        <v>198782</v>
      </c>
      <c r="D151" s="3285">
        <v>7396343</v>
      </c>
    </row>
    <row r="152" spans="1:4" ht="12.75">
      <c r="A152" s="604">
        <f t="shared" si="0"/>
        <v>2024.11</v>
      </c>
      <c r="B152" s="3283">
        <v>5696790</v>
      </c>
      <c r="C152" s="3284">
        <v>198863</v>
      </c>
      <c r="D152" s="3285">
        <v>7414286</v>
      </c>
    </row>
    <row r="153" spans="1:4" ht="12.75">
      <c r="A153" s="604">
        <f t="shared" si="0"/>
        <v>2024.12</v>
      </c>
      <c r="B153" s="3283">
        <v>5715790</v>
      </c>
      <c r="C153" s="3284">
        <v>199034</v>
      </c>
      <c r="D153" s="3285">
        <v>7437437</v>
      </c>
    </row>
    <row r="154" spans="1:4" ht="12.75">
      <c r="A154" s="604">
        <f t="shared" si="0"/>
        <v>2025.01</v>
      </c>
      <c r="B154" s="3283" t="e">
        <v>#N/A</v>
      </c>
      <c r="C154" s="3284" t="e">
        <v>#N/A</v>
      </c>
      <c r="D154" s="3285" t="e">
        <v>#N/A</v>
      </c>
    </row>
    <row r="155" spans="1:4" ht="12.75">
      <c r="A155" s="604">
        <f t="shared" si="0"/>
        <v>2025.02</v>
      </c>
      <c r="B155" s="3283" t="e">
        <v>#N/A</v>
      </c>
      <c r="C155" s="3284" t="e">
        <v>#N/A</v>
      </c>
      <c r="D155" s="3285" t="e">
        <v>#N/A</v>
      </c>
    </row>
    <row r="156" spans="1:4" ht="12.75">
      <c r="A156" s="604">
        <f t="shared" si="0"/>
        <v>2025.03</v>
      </c>
      <c r="B156" s="3283" t="e">
        <v>#N/A</v>
      </c>
      <c r="C156" s="3284" t="e">
        <v>#N/A</v>
      </c>
      <c r="D156" s="3285" t="e">
        <v>#N/A</v>
      </c>
    </row>
    <row r="157" spans="1:4" ht="12.75">
      <c r="A157" s="604">
        <f>A145+1</f>
        <v>2025.04</v>
      </c>
      <c r="B157" s="3283" t="e">
        <v>#N/A</v>
      </c>
      <c r="C157" s="3284" t="e">
        <v>#N/A</v>
      </c>
      <c r="D157" s="3285" t="e">
        <v>#N/A</v>
      </c>
    </row>
    <row r="158" spans="1:4" ht="12.75">
      <c r="A158" s="604">
        <f t="shared" si="0"/>
        <v>2025.05</v>
      </c>
      <c r="B158" s="3283" t="e">
        <v>#N/A</v>
      </c>
      <c r="C158" s="3284" t="e">
        <v>#N/A</v>
      </c>
      <c r="D158" s="3285" t="e">
        <v>#N/A</v>
      </c>
    </row>
    <row r="159" spans="1:4" ht="12.75">
      <c r="A159" s="604">
        <f t="shared" si="0"/>
        <v>2025.06</v>
      </c>
      <c r="B159" s="3283" t="e">
        <v>#N/A</v>
      </c>
      <c r="C159" s="3284" t="e">
        <v>#N/A</v>
      </c>
      <c r="D159" s="3285" t="e">
        <v>#N/A</v>
      </c>
    </row>
    <row r="160" spans="1:4" ht="12.75">
      <c r="A160" s="604">
        <f t="shared" si="0"/>
        <v>2025.07</v>
      </c>
      <c r="B160" s="1358" t="e">
        <v>#N/A</v>
      </c>
      <c r="C160" s="3095" t="e">
        <v>#N/A</v>
      </c>
      <c r="D160" s="1359" t="e">
        <v>#N/A</v>
      </c>
    </row>
    <row r="161" spans="1:4" ht="12.75">
      <c r="A161" s="604">
        <f t="shared" si="0"/>
        <v>2025.08</v>
      </c>
      <c r="B161" s="1358" t="e">
        <v>#N/A</v>
      </c>
      <c r="C161" s="3095" t="e">
        <v>#N/A</v>
      </c>
      <c r="D161" s="1359" t="e">
        <v>#N/A</v>
      </c>
    </row>
    <row r="162" spans="1:4" ht="12.75">
      <c r="A162" s="604">
        <f t="shared" si="0"/>
        <v>2025.09</v>
      </c>
      <c r="B162" s="1358" t="e">
        <v>#N/A</v>
      </c>
      <c r="C162" s="3095" t="e">
        <v>#N/A</v>
      </c>
      <c r="D162" s="1359" t="e">
        <v>#N/A</v>
      </c>
    </row>
    <row r="163" spans="1:4" ht="12.75">
      <c r="A163" s="604">
        <f>A151+1</f>
        <v>2025.1</v>
      </c>
      <c r="B163" s="1358" t="e">
        <v>#N/A</v>
      </c>
      <c r="C163" s="3095" t="e">
        <v>#N/A</v>
      </c>
      <c r="D163" s="1359" t="e">
        <v>#N/A</v>
      </c>
    </row>
    <row r="164" spans="1:4" ht="12.75">
      <c r="A164" s="604">
        <f t="shared" si="0"/>
        <v>2025.11</v>
      </c>
      <c r="B164" s="1358" t="e">
        <v>#N/A</v>
      </c>
      <c r="C164" s="3095" t="e">
        <v>#N/A</v>
      </c>
      <c r="D164" s="1359" t="e">
        <v>#N/A</v>
      </c>
    </row>
    <row r="165" spans="1:4" ht="12.75">
      <c r="A165" s="604">
        <f t="shared" si="0"/>
        <v>2025.12</v>
      </c>
      <c r="B165" s="1358" t="e">
        <v>#N/A</v>
      </c>
      <c r="C165" s="3095" t="e">
        <v>#N/A</v>
      </c>
      <c r="D165" s="1359" t="e">
        <v>#N/A</v>
      </c>
    </row>
    <row r="166" spans="1:4" ht="12.75">
      <c r="A166" s="604">
        <f t="shared" si="0"/>
        <v>2026.01</v>
      </c>
      <c r="B166" s="1358" t="e">
        <v>#N/A</v>
      </c>
      <c r="C166" s="3095" t="e">
        <v>#N/A</v>
      </c>
      <c r="D166" s="1359" t="e">
        <v>#N/A</v>
      </c>
    </row>
    <row r="167" spans="1:4" ht="12.75">
      <c r="A167" s="604">
        <f t="shared" si="0"/>
        <v>2026.02</v>
      </c>
      <c r="B167" s="1358" t="e">
        <v>#N/A</v>
      </c>
      <c r="C167" s="3095" t="e">
        <v>#N/A</v>
      </c>
      <c r="D167" s="1359" t="e">
        <v>#N/A</v>
      </c>
    </row>
    <row r="168" spans="1:4" ht="12.75">
      <c r="A168" s="604">
        <f t="shared" si="0"/>
        <v>2026.03</v>
      </c>
      <c r="B168" s="1358" t="e">
        <v>#N/A</v>
      </c>
      <c r="C168" s="3095" t="e">
        <v>#N/A</v>
      </c>
      <c r="D168" s="1359" t="e">
        <v>#N/A</v>
      </c>
    </row>
    <row r="169" spans="1:4" ht="12.75">
      <c r="A169" s="604">
        <f t="shared" si="0"/>
        <v>2026.04</v>
      </c>
      <c r="B169" s="1358" t="e">
        <v>#N/A</v>
      </c>
      <c r="C169" s="3095" t="e">
        <v>#N/A</v>
      </c>
      <c r="D169" s="1359" t="e">
        <v>#N/A</v>
      </c>
    </row>
    <row r="170" spans="1:4" ht="12.75">
      <c r="A170" s="604">
        <f t="shared" si="0"/>
        <v>2026.05</v>
      </c>
      <c r="B170" s="1358" t="e">
        <v>#N/A</v>
      </c>
      <c r="C170" s="3095" t="e">
        <v>#N/A</v>
      </c>
      <c r="D170" s="1359" t="e">
        <v>#N/A</v>
      </c>
    </row>
    <row r="171" spans="1:4" ht="12.75">
      <c r="A171" s="604">
        <f t="shared" ref="A171:A189" si="1">A159+1</f>
        <v>2026.06</v>
      </c>
      <c r="B171" s="1358" t="e">
        <v>#N/A</v>
      </c>
      <c r="C171" s="3095" t="e">
        <v>#N/A</v>
      </c>
      <c r="D171" s="1359" t="e">
        <v>#N/A</v>
      </c>
    </row>
    <row r="172" spans="1:4" ht="12.75">
      <c r="A172" s="604">
        <f t="shared" si="1"/>
        <v>2026.07</v>
      </c>
      <c r="B172" s="1358" t="e">
        <v>#N/A</v>
      </c>
      <c r="C172" s="3095" t="e">
        <v>#N/A</v>
      </c>
      <c r="D172" s="1359" t="e">
        <v>#N/A</v>
      </c>
    </row>
    <row r="173" spans="1:4" ht="12.75">
      <c r="A173" s="604">
        <f t="shared" si="1"/>
        <v>2026.08</v>
      </c>
      <c r="B173" s="1358" t="e">
        <v>#N/A</v>
      </c>
      <c r="C173" s="3095" t="e">
        <v>#N/A</v>
      </c>
      <c r="D173" s="1359" t="e">
        <v>#N/A</v>
      </c>
    </row>
    <row r="174" spans="1:4" ht="12.75">
      <c r="A174" s="604">
        <f t="shared" si="1"/>
        <v>2026.09</v>
      </c>
      <c r="B174" s="1358" t="e">
        <v>#N/A</v>
      </c>
      <c r="C174" s="3095" t="e">
        <v>#N/A</v>
      </c>
      <c r="D174" s="1359" t="e">
        <v>#N/A</v>
      </c>
    </row>
    <row r="175" spans="1:4" ht="12.75">
      <c r="A175" s="604">
        <f t="shared" si="1"/>
        <v>2026.1</v>
      </c>
      <c r="B175" s="1358" t="e">
        <v>#N/A</v>
      </c>
      <c r="C175" s="3095" t="e">
        <v>#N/A</v>
      </c>
      <c r="D175" s="1359" t="e">
        <v>#N/A</v>
      </c>
    </row>
    <row r="176" spans="1:4" ht="12.75">
      <c r="A176" s="604">
        <f t="shared" si="1"/>
        <v>2026.11</v>
      </c>
      <c r="B176" s="1358" t="e">
        <v>#N/A</v>
      </c>
      <c r="C176" s="3095" t="e">
        <v>#N/A</v>
      </c>
      <c r="D176" s="1359" t="e">
        <v>#N/A</v>
      </c>
    </row>
    <row r="177" spans="1:4" ht="12.75">
      <c r="A177" s="604">
        <f t="shared" si="1"/>
        <v>2026.12</v>
      </c>
      <c r="B177" s="1358" t="e">
        <v>#N/A</v>
      </c>
      <c r="C177" s="3095" t="e">
        <v>#N/A</v>
      </c>
      <c r="D177" s="1359" t="e">
        <v>#N/A</v>
      </c>
    </row>
    <row r="178" spans="1:4" ht="12.75">
      <c r="A178" s="604">
        <f t="shared" si="1"/>
        <v>2027.01</v>
      </c>
      <c r="B178" s="1358" t="e">
        <v>#N/A</v>
      </c>
      <c r="C178" s="3095" t="e">
        <v>#N/A</v>
      </c>
      <c r="D178" s="1359" t="e">
        <v>#N/A</v>
      </c>
    </row>
    <row r="179" spans="1:4" ht="12.75">
      <c r="A179" s="604">
        <f t="shared" si="1"/>
        <v>2027.02</v>
      </c>
      <c r="B179" s="1358" t="e">
        <v>#N/A</v>
      </c>
      <c r="C179" s="3095" t="e">
        <v>#N/A</v>
      </c>
      <c r="D179" s="1359" t="e">
        <v>#N/A</v>
      </c>
    </row>
    <row r="180" spans="1:4" ht="12.75">
      <c r="A180" s="604">
        <f t="shared" si="1"/>
        <v>2027.03</v>
      </c>
      <c r="B180" s="1358" t="e">
        <v>#N/A</v>
      </c>
      <c r="C180" s="3095" t="e">
        <v>#N/A</v>
      </c>
      <c r="D180" s="1359" t="e">
        <v>#N/A</v>
      </c>
    </row>
    <row r="181" spans="1:4" ht="12.75">
      <c r="A181" s="604">
        <f t="shared" si="1"/>
        <v>2027.04</v>
      </c>
      <c r="B181" s="1358" t="e">
        <v>#N/A</v>
      </c>
      <c r="C181" s="3095" t="e">
        <v>#N/A</v>
      </c>
      <c r="D181" s="1359" t="e">
        <v>#N/A</v>
      </c>
    </row>
    <row r="182" spans="1:4" ht="12.75">
      <c r="A182" s="604">
        <f t="shared" si="1"/>
        <v>2027.05</v>
      </c>
      <c r="B182" s="1358" t="e">
        <v>#N/A</v>
      </c>
      <c r="C182" s="3095" t="e">
        <v>#N/A</v>
      </c>
      <c r="D182" s="1359" t="e">
        <v>#N/A</v>
      </c>
    </row>
    <row r="183" spans="1:4" ht="12.75">
      <c r="A183" s="604">
        <f t="shared" si="1"/>
        <v>2027.06</v>
      </c>
      <c r="B183" s="1358" t="e">
        <v>#N/A</v>
      </c>
      <c r="C183" s="3095" t="e">
        <v>#N/A</v>
      </c>
      <c r="D183" s="1359" t="e">
        <v>#N/A</v>
      </c>
    </row>
    <row r="184" spans="1:4" ht="12.75">
      <c r="A184" s="604">
        <f t="shared" si="1"/>
        <v>2027.07</v>
      </c>
      <c r="B184" s="1358" t="e">
        <v>#N/A</v>
      </c>
      <c r="C184" s="3095" t="e">
        <v>#N/A</v>
      </c>
      <c r="D184" s="1359" t="e">
        <v>#N/A</v>
      </c>
    </row>
    <row r="185" spans="1:4" ht="12.75">
      <c r="A185" s="604">
        <f t="shared" si="1"/>
        <v>2027.08</v>
      </c>
      <c r="B185" s="1358" t="e">
        <v>#N/A</v>
      </c>
      <c r="C185" s="3095" t="e">
        <v>#N/A</v>
      </c>
      <c r="D185" s="1359" t="e">
        <v>#N/A</v>
      </c>
    </row>
    <row r="186" spans="1:4" ht="12.75">
      <c r="A186" s="604">
        <f t="shared" si="1"/>
        <v>2027.09</v>
      </c>
      <c r="B186" s="1358" t="e">
        <v>#N/A</v>
      </c>
      <c r="C186" s="3095" t="e">
        <v>#N/A</v>
      </c>
      <c r="D186" s="1359" t="e">
        <v>#N/A</v>
      </c>
    </row>
    <row r="187" spans="1:4" ht="12.75">
      <c r="A187" s="604">
        <f t="shared" si="1"/>
        <v>2027.1</v>
      </c>
      <c r="B187" s="1358" t="e">
        <v>#N/A</v>
      </c>
      <c r="C187" s="3095" t="e">
        <v>#N/A</v>
      </c>
      <c r="D187" s="1359" t="e">
        <v>#N/A</v>
      </c>
    </row>
    <row r="188" spans="1:4" ht="12.75">
      <c r="A188" s="604">
        <f t="shared" si="1"/>
        <v>2027.11</v>
      </c>
      <c r="B188" s="1358" t="e">
        <v>#N/A</v>
      </c>
      <c r="C188" s="3095" t="e">
        <v>#N/A</v>
      </c>
      <c r="D188" s="1359" t="e">
        <v>#N/A</v>
      </c>
    </row>
    <row r="189" spans="1:4" ht="12.75">
      <c r="A189" s="604">
        <f t="shared" si="1"/>
        <v>2027.12</v>
      </c>
      <c r="B189" s="1358" t="e">
        <v>#N/A</v>
      </c>
      <c r="C189" s="3095" t="e">
        <v>#N/A</v>
      </c>
      <c r="D189" s="1359" t="e">
        <v>#N/A</v>
      </c>
    </row>
    <row r="190" spans="1:4" ht="12.75">
      <c r="A190" s="604">
        <f t="shared" ref="A190:A222" si="2">A178+1</f>
        <v>2028.01</v>
      </c>
      <c r="B190" s="1358" t="e">
        <v>#N/A</v>
      </c>
      <c r="C190" s="3095" t="e">
        <v>#N/A</v>
      </c>
      <c r="D190" s="1359" t="e">
        <v>#N/A</v>
      </c>
    </row>
    <row r="191" spans="1:4" ht="12.75">
      <c r="A191" s="604">
        <f t="shared" si="2"/>
        <v>2028.02</v>
      </c>
      <c r="B191" s="1358" t="e">
        <v>#N/A</v>
      </c>
      <c r="C191" s="3095" t="e">
        <v>#N/A</v>
      </c>
      <c r="D191" s="1359" t="e">
        <v>#N/A</v>
      </c>
    </row>
    <row r="192" spans="1:4" ht="12.75">
      <c r="A192" s="604">
        <f t="shared" si="2"/>
        <v>2028.03</v>
      </c>
      <c r="B192" s="1358" t="e">
        <v>#N/A</v>
      </c>
      <c r="C192" s="3095" t="e">
        <v>#N/A</v>
      </c>
      <c r="D192" s="1359" t="e">
        <v>#N/A</v>
      </c>
    </row>
    <row r="193" spans="1:4" ht="12.75">
      <c r="A193" s="604">
        <f t="shared" si="2"/>
        <v>2028.04</v>
      </c>
      <c r="B193" s="1358" t="e">
        <v>#N/A</v>
      </c>
      <c r="C193" s="3095" t="e">
        <v>#N/A</v>
      </c>
      <c r="D193" s="1359" t="e">
        <v>#N/A</v>
      </c>
    </row>
    <row r="194" spans="1:4" ht="12.75">
      <c r="A194" s="604">
        <f t="shared" si="2"/>
        <v>2028.05</v>
      </c>
      <c r="B194" s="1358" t="e">
        <v>#N/A</v>
      </c>
      <c r="C194" s="3095" t="e">
        <v>#N/A</v>
      </c>
      <c r="D194" s="1359" t="e">
        <v>#N/A</v>
      </c>
    </row>
    <row r="195" spans="1:4" ht="12.75">
      <c r="A195" s="604">
        <f t="shared" si="2"/>
        <v>2028.06</v>
      </c>
      <c r="B195" s="1358" t="e">
        <v>#N/A</v>
      </c>
      <c r="C195" s="3095" t="e">
        <v>#N/A</v>
      </c>
      <c r="D195" s="1359" t="e">
        <v>#N/A</v>
      </c>
    </row>
    <row r="196" spans="1:4" ht="12.75">
      <c r="A196" s="604">
        <f t="shared" si="2"/>
        <v>2028.07</v>
      </c>
      <c r="B196" s="1358" t="e">
        <v>#N/A</v>
      </c>
      <c r="C196" s="3095" t="e">
        <v>#N/A</v>
      </c>
      <c r="D196" s="1359" t="e">
        <v>#N/A</v>
      </c>
    </row>
    <row r="197" spans="1:4" ht="12.75">
      <c r="A197" s="604">
        <f t="shared" si="2"/>
        <v>2028.08</v>
      </c>
      <c r="B197" s="1358" t="e">
        <v>#N/A</v>
      </c>
      <c r="C197" s="3095" t="e">
        <v>#N/A</v>
      </c>
      <c r="D197" s="1359" t="e">
        <v>#N/A</v>
      </c>
    </row>
    <row r="198" spans="1:4" ht="12.75">
      <c r="A198" s="604">
        <f t="shared" si="2"/>
        <v>2028.09</v>
      </c>
      <c r="B198" s="1358" t="e">
        <v>#N/A</v>
      </c>
      <c r="C198" s="3095" t="e">
        <v>#N/A</v>
      </c>
      <c r="D198" s="1359" t="e">
        <v>#N/A</v>
      </c>
    </row>
    <row r="199" spans="1:4" ht="12.75">
      <c r="A199" s="604">
        <f t="shared" si="2"/>
        <v>2028.1</v>
      </c>
      <c r="B199" s="1358" t="e">
        <v>#N/A</v>
      </c>
      <c r="C199" s="3095" t="e">
        <v>#N/A</v>
      </c>
      <c r="D199" s="1359" t="e">
        <v>#N/A</v>
      </c>
    </row>
    <row r="200" spans="1:4" ht="12.75">
      <c r="A200" s="604">
        <f t="shared" si="2"/>
        <v>2028.11</v>
      </c>
      <c r="B200" s="1358" t="e">
        <v>#N/A</v>
      </c>
      <c r="C200" s="3095" t="e">
        <v>#N/A</v>
      </c>
      <c r="D200" s="1359" t="e">
        <v>#N/A</v>
      </c>
    </row>
    <row r="201" spans="1:4" ht="12.75">
      <c r="A201" s="604">
        <f t="shared" si="2"/>
        <v>2028.12</v>
      </c>
      <c r="B201" s="1358" t="e">
        <v>#N/A</v>
      </c>
      <c r="C201" s="3095" t="e">
        <v>#N/A</v>
      </c>
      <c r="D201" s="1359" t="e">
        <v>#N/A</v>
      </c>
    </row>
    <row r="202" spans="1:4" ht="12.75">
      <c r="A202" s="604">
        <f t="shared" si="2"/>
        <v>2029.01</v>
      </c>
      <c r="B202" s="1358" t="e">
        <v>#N/A</v>
      </c>
      <c r="C202" s="3095" t="e">
        <v>#N/A</v>
      </c>
      <c r="D202" s="1359" t="e">
        <v>#N/A</v>
      </c>
    </row>
    <row r="203" spans="1:4" ht="12.75">
      <c r="A203" s="604">
        <f t="shared" si="2"/>
        <v>2029.02</v>
      </c>
      <c r="B203" s="1358" t="e">
        <v>#N/A</v>
      </c>
      <c r="C203" s="3095" t="e">
        <v>#N/A</v>
      </c>
      <c r="D203" s="1359" t="e">
        <v>#N/A</v>
      </c>
    </row>
    <row r="204" spans="1:4" ht="12.75">
      <c r="A204" s="604">
        <f t="shared" si="2"/>
        <v>2029.03</v>
      </c>
      <c r="B204" s="1358" t="e">
        <v>#N/A</v>
      </c>
      <c r="C204" s="3095" t="e">
        <v>#N/A</v>
      </c>
      <c r="D204" s="1359" t="e">
        <v>#N/A</v>
      </c>
    </row>
    <row r="205" spans="1:4" ht="12.75">
      <c r="A205" s="604">
        <f t="shared" si="2"/>
        <v>2029.04</v>
      </c>
      <c r="B205" s="1358" t="e">
        <v>#N/A</v>
      </c>
      <c r="C205" s="3095" t="e">
        <v>#N/A</v>
      </c>
      <c r="D205" s="1359" t="e">
        <v>#N/A</v>
      </c>
    </row>
    <row r="206" spans="1:4" ht="12.75">
      <c r="A206" s="604">
        <f t="shared" si="2"/>
        <v>2029.05</v>
      </c>
      <c r="B206" s="1358" t="e">
        <v>#N/A</v>
      </c>
      <c r="C206" s="3095" t="e">
        <v>#N/A</v>
      </c>
      <c r="D206" s="1359" t="e">
        <v>#N/A</v>
      </c>
    </row>
    <row r="207" spans="1:4" ht="12.75">
      <c r="A207" s="604">
        <f t="shared" si="2"/>
        <v>2029.06</v>
      </c>
      <c r="B207" s="1358" t="e">
        <v>#N/A</v>
      </c>
      <c r="C207" s="3095" t="e">
        <v>#N/A</v>
      </c>
      <c r="D207" s="1359" t="e">
        <v>#N/A</v>
      </c>
    </row>
    <row r="208" spans="1:4" ht="12.75">
      <c r="A208" s="604">
        <f t="shared" si="2"/>
        <v>2029.07</v>
      </c>
      <c r="B208" s="1358" t="e">
        <v>#N/A</v>
      </c>
      <c r="C208" s="3095" t="e">
        <v>#N/A</v>
      </c>
      <c r="D208" s="1359" t="e">
        <v>#N/A</v>
      </c>
    </row>
    <row r="209" spans="1:4" ht="12.75">
      <c r="A209" s="604">
        <f t="shared" si="2"/>
        <v>2029.08</v>
      </c>
      <c r="B209" s="1358" t="e">
        <v>#N/A</v>
      </c>
      <c r="C209" s="3095" t="e">
        <v>#N/A</v>
      </c>
      <c r="D209" s="1359" t="e">
        <v>#N/A</v>
      </c>
    </row>
    <row r="210" spans="1:4" ht="12.75">
      <c r="A210" s="604">
        <f t="shared" si="2"/>
        <v>2029.09</v>
      </c>
      <c r="B210" s="1358" t="e">
        <v>#N/A</v>
      </c>
      <c r="C210" s="3095" t="e">
        <v>#N/A</v>
      </c>
      <c r="D210" s="1359" t="e">
        <v>#N/A</v>
      </c>
    </row>
    <row r="211" spans="1:4" ht="12.75">
      <c r="A211" s="604">
        <f t="shared" si="2"/>
        <v>2029.1</v>
      </c>
      <c r="B211" s="1358" t="e">
        <v>#N/A</v>
      </c>
      <c r="C211" s="3095" t="e">
        <v>#N/A</v>
      </c>
      <c r="D211" s="1359" t="e">
        <v>#N/A</v>
      </c>
    </row>
    <row r="212" spans="1:4" ht="12.75">
      <c r="A212" s="604">
        <f t="shared" si="2"/>
        <v>2029.11</v>
      </c>
      <c r="B212" s="1358" t="e">
        <v>#N/A</v>
      </c>
      <c r="C212" s="3095" t="e">
        <v>#N/A</v>
      </c>
      <c r="D212" s="1359" t="e">
        <v>#N/A</v>
      </c>
    </row>
    <row r="213" spans="1:4" ht="12.75">
      <c r="A213" s="604">
        <f t="shared" si="2"/>
        <v>2029.12</v>
      </c>
      <c r="B213" s="1358" t="e">
        <v>#N/A</v>
      </c>
      <c r="C213" s="3095" t="e">
        <v>#N/A</v>
      </c>
      <c r="D213" s="1359" t="e">
        <v>#N/A</v>
      </c>
    </row>
    <row r="214" spans="1:4" ht="12.75">
      <c r="A214" s="604">
        <f t="shared" si="2"/>
        <v>2030.01</v>
      </c>
      <c r="B214" s="1358" t="e">
        <v>#N/A</v>
      </c>
      <c r="C214" s="3095" t="e">
        <v>#N/A</v>
      </c>
      <c r="D214" s="1359" t="e">
        <v>#N/A</v>
      </c>
    </row>
    <row r="215" spans="1:4" ht="12.75">
      <c r="A215" s="604">
        <f t="shared" si="2"/>
        <v>2030.02</v>
      </c>
      <c r="B215" s="1358" t="e">
        <v>#N/A</v>
      </c>
      <c r="C215" s="3095" t="e">
        <v>#N/A</v>
      </c>
      <c r="D215" s="1359" t="e">
        <v>#N/A</v>
      </c>
    </row>
    <row r="216" spans="1:4" ht="12.75">
      <c r="A216" s="604">
        <f t="shared" si="2"/>
        <v>2030.03</v>
      </c>
      <c r="B216" s="1358" t="e">
        <v>#N/A</v>
      </c>
      <c r="C216" s="3095" t="e">
        <v>#N/A</v>
      </c>
      <c r="D216" s="1359" t="e">
        <v>#N/A</v>
      </c>
    </row>
    <row r="217" spans="1:4" ht="12.75">
      <c r="A217" s="604">
        <f t="shared" si="2"/>
        <v>2030.04</v>
      </c>
      <c r="B217" s="1358" t="e">
        <v>#N/A</v>
      </c>
      <c r="C217" s="3095" t="e">
        <v>#N/A</v>
      </c>
      <c r="D217" s="1359" t="e">
        <v>#N/A</v>
      </c>
    </row>
    <row r="218" spans="1:4" ht="12.75">
      <c r="A218" s="604">
        <f t="shared" si="2"/>
        <v>2030.05</v>
      </c>
      <c r="B218" s="1358" t="e">
        <v>#N/A</v>
      </c>
      <c r="C218" s="3095" t="e">
        <v>#N/A</v>
      </c>
      <c r="D218" s="1359" t="e">
        <v>#N/A</v>
      </c>
    </row>
    <row r="219" spans="1:4" ht="12.75">
      <c r="A219" s="604">
        <f t="shared" si="2"/>
        <v>2030.06</v>
      </c>
      <c r="B219" s="1358" t="e">
        <v>#N/A</v>
      </c>
      <c r="C219" s="3095" t="e">
        <v>#N/A</v>
      </c>
      <c r="D219" s="1359" t="e">
        <v>#N/A</v>
      </c>
    </row>
    <row r="220" spans="1:4" ht="12.75">
      <c r="A220" s="604">
        <f t="shared" si="2"/>
        <v>2030.07</v>
      </c>
      <c r="B220" s="1358" t="e">
        <v>#N/A</v>
      </c>
      <c r="C220" s="3095" t="e">
        <v>#N/A</v>
      </c>
      <c r="D220" s="1359" t="e">
        <v>#N/A</v>
      </c>
    </row>
    <row r="221" spans="1:4" ht="12.75">
      <c r="A221" s="604">
        <f t="shared" si="2"/>
        <v>2030.08</v>
      </c>
      <c r="B221" s="1358" t="e">
        <v>#N/A</v>
      </c>
      <c r="C221" s="3095" t="e">
        <v>#N/A</v>
      </c>
      <c r="D221" s="1359" t="e">
        <v>#N/A</v>
      </c>
    </row>
    <row r="222" spans="1:4" ht="12.75">
      <c r="A222" s="604">
        <f t="shared" si="2"/>
        <v>2030.09</v>
      </c>
      <c r="B222" s="1358" t="e">
        <v>#N/A</v>
      </c>
      <c r="C222" s="3095" t="e">
        <v>#N/A</v>
      </c>
      <c r="D222" s="1359" t="e">
        <v>#N/A</v>
      </c>
    </row>
    <row r="223" spans="1:4" ht="12.75">
      <c r="A223" s="604">
        <f t="shared" ref="A223:A225" si="3">A211+1</f>
        <v>2030.1</v>
      </c>
      <c r="B223" s="1358" t="e">
        <v>#N/A</v>
      </c>
      <c r="C223" s="3095" t="e">
        <v>#N/A</v>
      </c>
      <c r="D223" s="1359" t="e">
        <v>#N/A</v>
      </c>
    </row>
    <row r="224" spans="1:4" ht="12.75">
      <c r="A224" s="604">
        <f t="shared" si="3"/>
        <v>2030.11</v>
      </c>
      <c r="B224" s="1358" t="e">
        <v>#N/A</v>
      </c>
      <c r="C224" s="3095" t="e">
        <v>#N/A</v>
      </c>
      <c r="D224" s="1359" t="e">
        <v>#N/A</v>
      </c>
    </row>
    <row r="225" spans="1:4" ht="12.75">
      <c r="A225" s="604">
        <f t="shared" si="3"/>
        <v>2030.12</v>
      </c>
      <c r="B225" s="1358" t="e">
        <v>#N/A</v>
      </c>
      <c r="C225" s="3095" t="e">
        <v>#N/A</v>
      </c>
      <c r="D225" s="1359" t="e">
        <v>#N/A</v>
      </c>
    </row>
  </sheetData>
  <mergeCells count="1">
    <mergeCell ref="F2:H2"/>
  </mergeCells>
  <hyperlinks>
    <hyperlink ref="A5" location="INDICE!A13" display="VOLVER AL INDICE" xr:uid="{00000000-0004-0000-0E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6"/>
  <dimension ref="A1:I237"/>
  <sheetViews>
    <sheetView zoomScale="130" zoomScaleNormal="130" workbookViewId="0">
      <pane xSplit="1" ySplit="9" topLeftCell="B150" activePane="bottomRight" state="frozen"/>
      <selection pane="topRight" activeCell="A5" sqref="A5"/>
      <selection pane="bottomLeft" activeCell="A5" sqref="A5"/>
      <selection pane="bottomRight" activeCell="B167" sqref="B167"/>
    </sheetView>
  </sheetViews>
  <sheetFormatPr baseColWidth="10" defaultColWidth="11.42578125" defaultRowHeight="15"/>
  <cols>
    <col min="1" max="1" width="11.42578125" style="606"/>
    <col min="2" max="8" width="18.7109375" style="605" customWidth="1"/>
    <col min="9" max="16384" width="11.42578125" style="605"/>
  </cols>
  <sheetData>
    <row r="1" spans="1:8" s="598" customFormat="1" ht="3.75" customHeight="1">
      <c r="A1" s="34"/>
      <c r="B1" s="2418"/>
      <c r="C1" s="603"/>
      <c r="D1" s="603"/>
      <c r="E1" s="603"/>
      <c r="F1" s="603"/>
      <c r="G1" s="603"/>
      <c r="H1" s="610"/>
    </row>
    <row r="2" spans="1:8" s="598" customFormat="1" ht="13.5" customHeight="1">
      <c r="A2" s="59" t="s">
        <v>105</v>
      </c>
      <c r="B2" s="2419" t="s">
        <v>1716</v>
      </c>
      <c r="C2" s="613"/>
      <c r="D2" s="613"/>
      <c r="E2" s="614"/>
      <c r="F2" s="614"/>
      <c r="G2" s="614"/>
      <c r="H2" s="615"/>
    </row>
    <row r="3" spans="1:8" s="598" customFormat="1" ht="14.25" customHeight="1">
      <c r="A3" s="59" t="s">
        <v>109</v>
      </c>
      <c r="B3" s="3096" t="s">
        <v>373</v>
      </c>
      <c r="C3" s="614"/>
      <c r="D3" s="614"/>
      <c r="E3" s="614"/>
      <c r="F3" s="614"/>
      <c r="G3" s="614"/>
      <c r="H3" s="615"/>
    </row>
    <row r="4" spans="1:8" s="598" customFormat="1" ht="3" hidden="1" customHeight="1">
      <c r="A4" s="34"/>
      <c r="B4" s="2420"/>
      <c r="C4" s="614"/>
      <c r="D4" s="603"/>
      <c r="E4" s="603"/>
      <c r="F4" s="603"/>
      <c r="G4" s="603"/>
      <c r="H4" s="610"/>
    </row>
    <row r="5" spans="1:8" s="598" customFormat="1" ht="33.75">
      <c r="A5" s="2390" t="s">
        <v>137</v>
      </c>
      <c r="B5" s="2556" t="s">
        <v>469</v>
      </c>
      <c r="C5" s="2557" t="s">
        <v>470</v>
      </c>
      <c r="D5" s="2558" t="s">
        <v>471</v>
      </c>
      <c r="E5" s="2557" t="s">
        <v>472</v>
      </c>
      <c r="F5" s="2558" t="s">
        <v>473</v>
      </c>
      <c r="G5" s="2559" t="s">
        <v>474</v>
      </c>
      <c r="H5" s="2614" t="s">
        <v>475</v>
      </c>
    </row>
    <row r="6" spans="1:8" s="598" customFormat="1" ht="22.5">
      <c r="A6" s="2373" t="s">
        <v>123</v>
      </c>
      <c r="B6" s="2417" t="s">
        <v>134</v>
      </c>
      <c r="C6" s="1045" t="s">
        <v>134</v>
      </c>
      <c r="D6" s="1048" t="s">
        <v>134</v>
      </c>
      <c r="E6" s="1045" t="s">
        <v>134</v>
      </c>
      <c r="F6" s="1048" t="s">
        <v>134</v>
      </c>
      <c r="G6" s="1050" t="s">
        <v>134</v>
      </c>
      <c r="H6" s="1910" t="s">
        <v>134</v>
      </c>
    </row>
    <row r="7" spans="1:8" s="598" customFormat="1" ht="2.25" hidden="1" customHeight="1">
      <c r="A7" s="2373"/>
      <c r="B7" s="2418"/>
      <c r="C7" s="1046"/>
      <c r="D7" s="603"/>
      <c r="E7" s="1046"/>
      <c r="F7" s="603"/>
      <c r="G7" s="1051"/>
      <c r="H7" s="1911"/>
    </row>
    <row r="8" spans="1:8" s="598" customFormat="1" ht="11.25">
      <c r="A8" s="147" t="s">
        <v>141</v>
      </c>
      <c r="B8" s="762" t="s">
        <v>476</v>
      </c>
      <c r="C8" s="766" t="s">
        <v>477</v>
      </c>
      <c r="D8" s="762" t="s">
        <v>478</v>
      </c>
      <c r="E8" s="766" t="s">
        <v>479</v>
      </c>
      <c r="F8" s="762" t="s">
        <v>480</v>
      </c>
      <c r="G8" s="1052" t="s">
        <v>481</v>
      </c>
      <c r="H8" s="620" t="s">
        <v>482</v>
      </c>
    </row>
    <row r="9" spans="1:8" s="598" customFormat="1" ht="3" hidden="1" customHeight="1">
      <c r="A9" s="2990"/>
      <c r="B9" s="2418"/>
      <c r="C9" s="1046"/>
      <c r="D9" s="603"/>
      <c r="E9" s="1046"/>
      <c r="F9" s="603"/>
      <c r="G9" s="1051"/>
      <c r="H9" s="1911"/>
    </row>
    <row r="10" spans="1:8" ht="12.75">
      <c r="A10" s="604">
        <f>+A22-1</f>
        <v>2012.01</v>
      </c>
      <c r="B10" s="616">
        <v>6105.9530000000004</v>
      </c>
      <c r="C10" s="3316">
        <v>2543.7170000000001</v>
      </c>
      <c r="D10" s="3097">
        <v>389.21899999999999</v>
      </c>
      <c r="E10" s="3316">
        <v>409.935</v>
      </c>
      <c r="F10" s="3097">
        <v>1314.711</v>
      </c>
      <c r="G10" s="3317">
        <v>167.762</v>
      </c>
      <c r="H10" s="617">
        <v>10931.296999999999</v>
      </c>
    </row>
    <row r="11" spans="1:8" ht="12.75">
      <c r="A11" s="604">
        <f t="shared" ref="A11:A21" si="0">+A23-1</f>
        <v>2012.02</v>
      </c>
      <c r="B11" s="1047">
        <v>6103.3819999999996</v>
      </c>
      <c r="C11" s="3098">
        <v>2598.154</v>
      </c>
      <c r="D11" s="1049">
        <v>388.83300000000003</v>
      </c>
      <c r="E11" s="3098">
        <v>408.92599999999999</v>
      </c>
      <c r="F11" s="1049">
        <v>1314.5319999999999</v>
      </c>
      <c r="G11" s="1912">
        <v>168.91300000000001</v>
      </c>
      <c r="H11" s="618">
        <v>10982.74</v>
      </c>
    </row>
    <row r="12" spans="1:8" ht="12.75">
      <c r="A12" s="604">
        <f t="shared" si="0"/>
        <v>2012.03</v>
      </c>
      <c r="B12" s="1047">
        <v>6112.3720000000003</v>
      </c>
      <c r="C12" s="3098">
        <v>2602.0569999999998</v>
      </c>
      <c r="D12" s="1049">
        <v>386.59500000000003</v>
      </c>
      <c r="E12" s="3098">
        <v>406.51799999999997</v>
      </c>
      <c r="F12" s="1049">
        <v>1314.626</v>
      </c>
      <c r="G12" s="1912">
        <v>170.047</v>
      </c>
      <c r="H12" s="618">
        <v>10992.215</v>
      </c>
    </row>
    <row r="13" spans="1:8" ht="12.75">
      <c r="A13" s="604">
        <f t="shared" si="0"/>
        <v>2012.04</v>
      </c>
      <c r="B13" s="1047">
        <v>6055.0469999999996</v>
      </c>
      <c r="C13" s="3098">
        <v>2605.39</v>
      </c>
      <c r="D13" s="1049">
        <v>389.983</v>
      </c>
      <c r="E13" s="3098">
        <v>407.66899999999998</v>
      </c>
      <c r="F13" s="1049">
        <v>1317.796</v>
      </c>
      <c r="G13" s="1912">
        <v>172.512</v>
      </c>
      <c r="H13" s="618">
        <v>10948.397000000001</v>
      </c>
    </row>
    <row r="14" spans="1:8" ht="12.75">
      <c r="A14" s="604">
        <f t="shared" si="0"/>
        <v>2012.05</v>
      </c>
      <c r="B14" s="1047">
        <v>6042.6170000000002</v>
      </c>
      <c r="C14" s="3098">
        <v>2591.2779999999998</v>
      </c>
      <c r="D14" s="1049">
        <v>392.21100000000001</v>
      </c>
      <c r="E14" s="3098">
        <v>407.62799999999999</v>
      </c>
      <c r="F14" s="1049">
        <v>1321.8409999999999</v>
      </c>
      <c r="G14" s="1912">
        <v>172.92599999999999</v>
      </c>
      <c r="H14" s="618">
        <v>10928.501</v>
      </c>
    </row>
    <row r="15" spans="1:8" ht="12.75">
      <c r="A15" s="604">
        <f t="shared" si="0"/>
        <v>2012.06</v>
      </c>
      <c r="B15" s="1047">
        <v>6033.3310000000001</v>
      </c>
      <c r="C15" s="3098">
        <v>2648.5459999999998</v>
      </c>
      <c r="D15" s="1049">
        <v>395.00200000000001</v>
      </c>
      <c r="E15" s="3098">
        <v>407.51299999999998</v>
      </c>
      <c r="F15" s="1049">
        <v>1332.556</v>
      </c>
      <c r="G15" s="1912">
        <v>174.56299999999999</v>
      </c>
      <c r="H15" s="618">
        <v>10991.511000000002</v>
      </c>
    </row>
    <row r="16" spans="1:8" ht="12.75">
      <c r="A16" s="604">
        <f t="shared" si="0"/>
        <v>2012.07</v>
      </c>
      <c r="B16" s="1047">
        <v>6026.8770000000004</v>
      </c>
      <c r="C16" s="3098">
        <v>2626.3789999999999</v>
      </c>
      <c r="D16" s="1049">
        <v>398.14299999999997</v>
      </c>
      <c r="E16" s="3098">
        <v>408.25099999999998</v>
      </c>
      <c r="F16" s="1049">
        <v>1342.079</v>
      </c>
      <c r="G16" s="1912">
        <v>178.13399999999999</v>
      </c>
      <c r="H16" s="618">
        <v>10979.863000000001</v>
      </c>
    </row>
    <row r="17" spans="1:8" ht="12.75">
      <c r="A17" s="604">
        <f t="shared" si="0"/>
        <v>2012.08</v>
      </c>
      <c r="B17" s="1047">
        <v>6029.5910000000003</v>
      </c>
      <c r="C17" s="3098">
        <v>2634.373</v>
      </c>
      <c r="D17" s="1049">
        <v>400.83600000000001</v>
      </c>
      <c r="E17" s="3098">
        <v>409.089</v>
      </c>
      <c r="F17" s="1049">
        <v>1346.925</v>
      </c>
      <c r="G17" s="1912">
        <v>179.84200000000001</v>
      </c>
      <c r="H17" s="618">
        <v>11000.655999999999</v>
      </c>
    </row>
    <row r="18" spans="1:8" ht="12.75">
      <c r="A18" s="604">
        <f t="shared" si="0"/>
        <v>2012.09</v>
      </c>
      <c r="B18" s="1047">
        <v>6022.8</v>
      </c>
      <c r="C18" s="3098">
        <v>2633.6950000000002</v>
      </c>
      <c r="D18" s="1049">
        <v>401.79199999999997</v>
      </c>
      <c r="E18" s="3098">
        <v>409.44400000000002</v>
      </c>
      <c r="F18" s="1049">
        <v>1352.3779999999999</v>
      </c>
      <c r="G18" s="1912">
        <v>182.364</v>
      </c>
      <c r="H18" s="618">
        <v>11002.473</v>
      </c>
    </row>
    <row r="19" spans="1:8" ht="12.75">
      <c r="A19" s="604">
        <f t="shared" si="0"/>
        <v>2012.1</v>
      </c>
      <c r="B19" s="1047">
        <v>6063.4549999999999</v>
      </c>
      <c r="C19" s="3098">
        <v>2648.297</v>
      </c>
      <c r="D19" s="1049">
        <v>402.22500000000002</v>
      </c>
      <c r="E19" s="3098">
        <v>409.33699999999999</v>
      </c>
      <c r="F19" s="1049">
        <v>1360.1890000000001</v>
      </c>
      <c r="G19" s="1912">
        <v>183.25399999999999</v>
      </c>
      <c r="H19" s="618">
        <v>11066.757000000001</v>
      </c>
    </row>
    <row r="20" spans="1:8" ht="12.75">
      <c r="A20" s="604">
        <f t="shared" si="0"/>
        <v>2012.11</v>
      </c>
      <c r="B20" s="1047">
        <v>6087.1350000000002</v>
      </c>
      <c r="C20" s="3098">
        <v>2672.6309999999999</v>
      </c>
      <c r="D20" s="1049">
        <v>400.76400000000001</v>
      </c>
      <c r="E20" s="3098">
        <v>409.13900000000001</v>
      </c>
      <c r="F20" s="1049">
        <v>1365.4760000000001</v>
      </c>
      <c r="G20" s="1912">
        <v>184.774</v>
      </c>
      <c r="H20" s="618">
        <v>11119.918999999998</v>
      </c>
    </row>
    <row r="21" spans="1:8" ht="12.75">
      <c r="A21" s="604">
        <f t="shared" si="0"/>
        <v>2012.12</v>
      </c>
      <c r="B21" s="1047">
        <v>6112.6769999999997</v>
      </c>
      <c r="C21" s="3098">
        <v>2691.67</v>
      </c>
      <c r="D21" s="1049">
        <v>399.14100000000002</v>
      </c>
      <c r="E21" s="3098">
        <v>408.291</v>
      </c>
      <c r="F21" s="1049">
        <v>1364.7139999999999</v>
      </c>
      <c r="G21" s="1912">
        <v>186.953</v>
      </c>
      <c r="H21" s="618">
        <v>11163.445999999998</v>
      </c>
    </row>
    <row r="22" spans="1:8" ht="12.75">
      <c r="A22" s="604">
        <v>2013.01</v>
      </c>
      <c r="B22" s="1047">
        <v>6129.5209999999997</v>
      </c>
      <c r="C22" s="3098">
        <v>2707.3670000000002</v>
      </c>
      <c r="D22" s="1049">
        <v>407.63799999999998</v>
      </c>
      <c r="E22" s="3098">
        <v>412.38200000000001</v>
      </c>
      <c r="F22" s="1049">
        <v>1370.088</v>
      </c>
      <c r="G22" s="1912">
        <v>187.364</v>
      </c>
      <c r="H22" s="618">
        <v>11214.359999999999</v>
      </c>
    </row>
    <row r="23" spans="1:8" ht="12.75">
      <c r="A23" s="604">
        <v>2013.02</v>
      </c>
      <c r="B23" s="1047">
        <v>6136.7169999999996</v>
      </c>
      <c r="C23" s="3098">
        <v>2705.7570000000001</v>
      </c>
      <c r="D23" s="1049">
        <v>408.904</v>
      </c>
      <c r="E23" s="3098">
        <v>421.34100000000001</v>
      </c>
      <c r="F23" s="1049">
        <v>1370.248</v>
      </c>
      <c r="G23" s="1912">
        <v>188.774</v>
      </c>
      <c r="H23" s="618">
        <v>11231.741</v>
      </c>
    </row>
    <row r="24" spans="1:8" ht="12.75">
      <c r="A24" s="604">
        <v>2013.03</v>
      </c>
      <c r="B24" s="1047">
        <v>6139.607</v>
      </c>
      <c r="C24" s="3098">
        <v>2701.1709999999998</v>
      </c>
      <c r="D24" s="1049">
        <v>405.44099999999997</v>
      </c>
      <c r="E24" s="3098">
        <v>421.24799999999999</v>
      </c>
      <c r="F24" s="1049">
        <v>1376.771</v>
      </c>
      <c r="G24" s="1912">
        <v>190.37200000000001</v>
      </c>
      <c r="H24" s="618">
        <v>11234.61</v>
      </c>
    </row>
    <row r="25" spans="1:8" ht="12.75">
      <c r="A25" s="604">
        <v>2013.04</v>
      </c>
      <c r="B25" s="1047">
        <v>6121.6090000000004</v>
      </c>
      <c r="C25" s="3098">
        <v>2724.5880000000002</v>
      </c>
      <c r="D25" s="1049">
        <v>408.67200000000003</v>
      </c>
      <c r="E25" s="3098">
        <v>422.96600000000001</v>
      </c>
      <c r="F25" s="1049">
        <v>1384.0219999999999</v>
      </c>
      <c r="G25" s="1912">
        <v>192.11</v>
      </c>
      <c r="H25" s="618">
        <v>11253.967000000001</v>
      </c>
    </row>
    <row r="26" spans="1:8" ht="12.75">
      <c r="A26" s="604">
        <v>2013.05</v>
      </c>
      <c r="B26" s="1047">
        <v>6085.3879999999999</v>
      </c>
      <c r="C26" s="3098">
        <v>2804.973</v>
      </c>
      <c r="D26" s="1049">
        <v>416.92599999999999</v>
      </c>
      <c r="E26" s="3098">
        <v>423.351</v>
      </c>
      <c r="F26" s="1049">
        <v>1393.8720000000001</v>
      </c>
      <c r="G26" s="1912">
        <v>193.74299999999999</v>
      </c>
      <c r="H26" s="618">
        <v>11318.253000000001</v>
      </c>
    </row>
    <row r="27" spans="1:8" ht="12.75">
      <c r="A27" s="604">
        <v>2013.06</v>
      </c>
      <c r="B27" s="1047">
        <v>6065.4040000000005</v>
      </c>
      <c r="C27" s="3098">
        <v>2815.2020000000002</v>
      </c>
      <c r="D27" s="1049">
        <v>434.06200000000001</v>
      </c>
      <c r="E27" s="3098">
        <v>423.38900000000001</v>
      </c>
      <c r="F27" s="1049">
        <v>1402.481</v>
      </c>
      <c r="G27" s="1912">
        <v>196.46899999999999</v>
      </c>
      <c r="H27" s="618">
        <v>11337.006999999998</v>
      </c>
    </row>
    <row r="28" spans="1:8" ht="12.75">
      <c r="A28" s="604">
        <v>2013.07</v>
      </c>
      <c r="B28" s="1047">
        <v>6077.9809999999998</v>
      </c>
      <c r="C28" s="3098">
        <v>2809.1640000000002</v>
      </c>
      <c r="D28" s="1049">
        <v>442.02800000000002</v>
      </c>
      <c r="E28" s="3098">
        <v>425.5</v>
      </c>
      <c r="F28" s="1049">
        <v>1411.92</v>
      </c>
      <c r="G28" s="1912">
        <v>203.751</v>
      </c>
      <c r="H28" s="618">
        <v>11370.344000000001</v>
      </c>
    </row>
    <row r="29" spans="1:8" ht="12.75">
      <c r="A29" s="604">
        <v>2013.08</v>
      </c>
      <c r="B29" s="1047">
        <v>6092.9650000000001</v>
      </c>
      <c r="C29" s="3098">
        <v>2810.962</v>
      </c>
      <c r="D29" s="1049">
        <v>444.12700000000001</v>
      </c>
      <c r="E29" s="3098">
        <v>428.68200000000002</v>
      </c>
      <c r="F29" s="1049">
        <v>1424.1679999999999</v>
      </c>
      <c r="G29" s="1912">
        <v>242.333</v>
      </c>
      <c r="H29" s="618">
        <v>11443.237000000001</v>
      </c>
    </row>
    <row r="30" spans="1:8" ht="12.75">
      <c r="A30" s="604">
        <v>2013.09</v>
      </c>
      <c r="B30" s="1047">
        <v>6085.84</v>
      </c>
      <c r="C30" s="3098">
        <v>2821.5410000000002</v>
      </c>
      <c r="D30" s="1049">
        <v>446.37700000000001</v>
      </c>
      <c r="E30" s="3098">
        <v>430.798</v>
      </c>
      <c r="F30" s="1049">
        <v>1437.7539999999999</v>
      </c>
      <c r="G30" s="1912">
        <v>274.12299999999999</v>
      </c>
      <c r="H30" s="618">
        <v>11496.433000000001</v>
      </c>
    </row>
    <row r="31" spans="1:8" ht="12.75">
      <c r="A31" s="604">
        <v>2013.1</v>
      </c>
      <c r="B31" s="1047">
        <v>6116.5730000000003</v>
      </c>
      <c r="C31" s="3098">
        <v>2846.241</v>
      </c>
      <c r="D31" s="1049">
        <v>448.476</v>
      </c>
      <c r="E31" s="3098">
        <v>429.72800000000001</v>
      </c>
      <c r="F31" s="1049">
        <v>1454.92</v>
      </c>
      <c r="G31" s="1912">
        <v>285.02100000000002</v>
      </c>
      <c r="H31" s="618">
        <v>11580.959000000001</v>
      </c>
    </row>
    <row r="32" spans="1:8" ht="12.75">
      <c r="A32" s="604">
        <v>2013.11</v>
      </c>
      <c r="B32" s="1047">
        <v>6141.6080000000002</v>
      </c>
      <c r="C32" s="3098">
        <v>2857.0230000000001</v>
      </c>
      <c r="D32" s="1049">
        <v>449.149</v>
      </c>
      <c r="E32" s="3098">
        <v>426.86</v>
      </c>
      <c r="F32" s="1049">
        <v>1461.0730000000001</v>
      </c>
      <c r="G32" s="1912">
        <v>289.86099999999999</v>
      </c>
      <c r="H32" s="618">
        <v>11625.574000000002</v>
      </c>
    </row>
    <row r="33" spans="1:8" ht="12.75">
      <c r="A33" s="604">
        <v>2013.12</v>
      </c>
      <c r="B33" s="1047">
        <v>6147.924</v>
      </c>
      <c r="C33" s="3098">
        <v>2888.375</v>
      </c>
      <c r="D33" s="1049">
        <v>449.12099999999998</v>
      </c>
      <c r="E33" s="3098">
        <v>422.97800000000001</v>
      </c>
      <c r="F33" s="1049">
        <v>1461.135</v>
      </c>
      <c r="G33" s="1912">
        <v>293.06900000000002</v>
      </c>
      <c r="H33" s="618">
        <v>11662.601999999997</v>
      </c>
    </row>
    <row r="34" spans="1:8" ht="12.75">
      <c r="A34" s="604">
        <v>2014.01</v>
      </c>
      <c r="B34" s="1047">
        <v>6153.7470000000003</v>
      </c>
      <c r="C34" s="3098">
        <v>2848.9630000000002</v>
      </c>
      <c r="D34" s="1049">
        <v>454.35199999999998</v>
      </c>
      <c r="E34" s="3098">
        <v>424.79500000000002</v>
      </c>
      <c r="F34" s="1049">
        <v>1462.6990000000001</v>
      </c>
      <c r="G34" s="1912">
        <v>294.18299999999999</v>
      </c>
      <c r="H34" s="618">
        <v>11638.739000000001</v>
      </c>
    </row>
    <row r="35" spans="1:8" ht="12.75">
      <c r="A35" s="604">
        <v>2014.02</v>
      </c>
      <c r="B35" s="1047">
        <v>6147.9549999999999</v>
      </c>
      <c r="C35" s="3098">
        <v>2846.69</v>
      </c>
      <c r="D35" s="1049">
        <v>455.20100000000002</v>
      </c>
      <c r="E35" s="3098">
        <v>421.82400000000001</v>
      </c>
      <c r="F35" s="1049">
        <v>1463.739</v>
      </c>
      <c r="G35" s="1912">
        <v>297.15300000000002</v>
      </c>
      <c r="H35" s="618">
        <v>11632.562000000002</v>
      </c>
    </row>
    <row r="36" spans="1:8" ht="12.75">
      <c r="A36" s="604">
        <v>2014.03</v>
      </c>
      <c r="B36" s="1047">
        <v>6127.0529999999999</v>
      </c>
      <c r="C36" s="3098">
        <v>2786.489</v>
      </c>
      <c r="D36" s="1049">
        <v>451.26100000000002</v>
      </c>
      <c r="E36" s="3098">
        <v>422.464</v>
      </c>
      <c r="F36" s="1049">
        <v>1462.85</v>
      </c>
      <c r="G36" s="1912">
        <v>300.505</v>
      </c>
      <c r="H36" s="618">
        <v>11550.621999999999</v>
      </c>
    </row>
    <row r="37" spans="1:8" ht="12.75">
      <c r="A37" s="604">
        <v>2014.04</v>
      </c>
      <c r="B37" s="1047">
        <v>6096.44</v>
      </c>
      <c r="C37" s="3098">
        <v>2852.6080000000002</v>
      </c>
      <c r="D37" s="1049">
        <v>452.702</v>
      </c>
      <c r="E37" s="3098">
        <v>422.42</v>
      </c>
      <c r="F37" s="1049">
        <v>1466.9670000000001</v>
      </c>
      <c r="G37" s="1912">
        <v>304.11500000000001</v>
      </c>
      <c r="H37" s="618">
        <v>11595.251999999999</v>
      </c>
    </row>
    <row r="38" spans="1:8" ht="12.75">
      <c r="A38" s="604">
        <v>2014.05</v>
      </c>
      <c r="B38" s="1047">
        <v>6076.7920000000004</v>
      </c>
      <c r="C38" s="3098">
        <v>2878.5880000000002</v>
      </c>
      <c r="D38" s="1049">
        <v>455.54</v>
      </c>
      <c r="E38" s="3098">
        <v>420.404</v>
      </c>
      <c r="F38" s="1049">
        <v>1473.127</v>
      </c>
      <c r="G38" s="1912">
        <v>306.66000000000003</v>
      </c>
      <c r="H38" s="618">
        <v>11611.111000000003</v>
      </c>
    </row>
    <row r="39" spans="1:8" ht="12.75">
      <c r="A39" s="604">
        <v>2014.06</v>
      </c>
      <c r="B39" s="1047">
        <v>6075.2129999999997</v>
      </c>
      <c r="C39" s="3098">
        <v>2909.7240000000002</v>
      </c>
      <c r="D39" s="1049">
        <v>460.072</v>
      </c>
      <c r="E39" s="3098">
        <v>416.33800000000002</v>
      </c>
      <c r="F39" s="1049">
        <v>1479.749</v>
      </c>
      <c r="G39" s="1912">
        <v>310.05700000000002</v>
      </c>
      <c r="H39" s="618">
        <v>11651.153</v>
      </c>
    </row>
    <row r="40" spans="1:8" ht="12.75">
      <c r="A40" s="604">
        <v>2014.07</v>
      </c>
      <c r="B40" s="1047">
        <v>6080.4949999999999</v>
      </c>
      <c r="C40" s="3098">
        <v>2901.1329999999998</v>
      </c>
      <c r="D40" s="1049">
        <v>462.91500000000002</v>
      </c>
      <c r="E40" s="3098">
        <v>415.26799999999997</v>
      </c>
      <c r="F40" s="1049">
        <v>1480.1310000000001</v>
      </c>
      <c r="G40" s="1912">
        <v>313.79000000000002</v>
      </c>
      <c r="H40" s="618">
        <v>11653.732000000002</v>
      </c>
    </row>
    <row r="41" spans="1:8" ht="12.75">
      <c r="A41" s="604">
        <v>2014.08</v>
      </c>
      <c r="B41" s="1047">
        <v>6076.87</v>
      </c>
      <c r="C41" s="3098">
        <v>2905.8589999999999</v>
      </c>
      <c r="D41" s="1049">
        <v>463.33</v>
      </c>
      <c r="E41" s="3098">
        <v>414.221</v>
      </c>
      <c r="F41" s="1049">
        <v>1480.8489999999999</v>
      </c>
      <c r="G41" s="1912">
        <v>315.99799999999999</v>
      </c>
      <c r="H41" s="618">
        <v>11657.126999999999</v>
      </c>
    </row>
    <row r="42" spans="1:8" ht="12.75">
      <c r="A42" s="604">
        <v>2014.09</v>
      </c>
      <c r="B42" s="1047">
        <v>6097.0360000000001</v>
      </c>
      <c r="C42" s="3098">
        <v>2928.337</v>
      </c>
      <c r="D42" s="1049">
        <v>462.95699999999999</v>
      </c>
      <c r="E42" s="3098">
        <v>412.42599999999999</v>
      </c>
      <c r="F42" s="1049">
        <v>1484.559</v>
      </c>
      <c r="G42" s="1912">
        <v>321.65100000000001</v>
      </c>
      <c r="H42" s="618">
        <v>11706.965999999999</v>
      </c>
    </row>
    <row r="43" spans="1:8" ht="12.75">
      <c r="A43" s="604">
        <v>2014.1</v>
      </c>
      <c r="B43" s="1047">
        <v>6128.9030000000002</v>
      </c>
      <c r="C43" s="3098">
        <v>2940.6680000000001</v>
      </c>
      <c r="D43" s="1049">
        <v>462.64800000000002</v>
      </c>
      <c r="E43" s="3098">
        <v>409.613</v>
      </c>
      <c r="F43" s="1049">
        <v>1484.5139999999999</v>
      </c>
      <c r="G43" s="1912">
        <v>329.10599999999999</v>
      </c>
      <c r="H43" s="618">
        <v>11755.451999999997</v>
      </c>
    </row>
    <row r="44" spans="1:8" ht="12.75">
      <c r="A44" s="604">
        <v>2014.11</v>
      </c>
      <c r="B44" s="1047">
        <v>6145.2460000000001</v>
      </c>
      <c r="C44" s="3098">
        <v>2963.7049999999999</v>
      </c>
      <c r="D44" s="1049">
        <v>459.57600000000002</v>
      </c>
      <c r="E44" s="3098">
        <v>407.57</v>
      </c>
      <c r="F44" s="1049">
        <v>1474.0060000000001</v>
      </c>
      <c r="G44" s="1912">
        <v>333.73</v>
      </c>
      <c r="H44" s="618">
        <v>11783.833000000001</v>
      </c>
    </row>
    <row r="45" spans="1:8" ht="12.75">
      <c r="A45" s="604">
        <v>2014.12</v>
      </c>
      <c r="B45" s="1047">
        <v>6169.0259999999998</v>
      </c>
      <c r="C45" s="3098">
        <v>2977.701</v>
      </c>
      <c r="D45" s="1049">
        <v>445.28500000000003</v>
      </c>
      <c r="E45" s="3098">
        <v>405.27499999999998</v>
      </c>
      <c r="F45" s="1049">
        <v>1452.972</v>
      </c>
      <c r="G45" s="1912">
        <v>337.971</v>
      </c>
      <c r="H45" s="618">
        <v>11788.229999999998</v>
      </c>
    </row>
    <row r="46" spans="1:8" ht="12.75">
      <c r="A46" s="604">
        <v>2015.01</v>
      </c>
      <c r="B46" s="1047">
        <v>6197.18</v>
      </c>
      <c r="C46" s="3098">
        <v>2948.386</v>
      </c>
      <c r="D46" s="1049">
        <v>439.98099999999999</v>
      </c>
      <c r="E46" s="3098">
        <v>408.25200000000001</v>
      </c>
      <c r="F46" s="1049">
        <v>1439.653</v>
      </c>
      <c r="G46" s="1912">
        <v>341.952</v>
      </c>
      <c r="H46" s="618">
        <v>11775.404</v>
      </c>
    </row>
    <row r="47" spans="1:8" ht="12.75">
      <c r="A47" s="604">
        <v>2015.02</v>
      </c>
      <c r="B47" s="1047">
        <v>6215.585</v>
      </c>
      <c r="C47" s="3098">
        <v>2946.0839999999998</v>
      </c>
      <c r="D47" s="1049">
        <v>439.40300000000002</v>
      </c>
      <c r="E47" s="3098">
        <v>413.12099999999998</v>
      </c>
      <c r="F47" s="1049">
        <v>1429.6379999999999</v>
      </c>
      <c r="G47" s="1912">
        <v>346.53500000000003</v>
      </c>
      <c r="H47" s="618">
        <v>11790.365999999998</v>
      </c>
    </row>
    <row r="48" spans="1:8" ht="12.75">
      <c r="A48" s="604">
        <v>2015.03</v>
      </c>
      <c r="B48" s="1047">
        <v>6228.7619999999997</v>
      </c>
      <c r="C48" s="3098">
        <v>2943.7370000000001</v>
      </c>
      <c r="D48" s="1049">
        <v>439.23599999999999</v>
      </c>
      <c r="E48" s="3098">
        <v>409.452</v>
      </c>
      <c r="F48" s="1049">
        <v>1432.931</v>
      </c>
      <c r="G48" s="1912">
        <v>348.214</v>
      </c>
      <c r="H48" s="618">
        <v>11802.332</v>
      </c>
    </row>
    <row r="49" spans="1:8" ht="12.75">
      <c r="A49" s="604">
        <v>2015.04</v>
      </c>
      <c r="B49" s="1047">
        <v>6224.3249999999998</v>
      </c>
      <c r="C49" s="3098">
        <v>2965.7710000000002</v>
      </c>
      <c r="D49" s="1049">
        <v>440.62900000000002</v>
      </c>
      <c r="E49" s="3098">
        <v>410.24599999999998</v>
      </c>
      <c r="F49" s="1049">
        <v>1433.3789999999999</v>
      </c>
      <c r="G49" s="1912">
        <v>349.428</v>
      </c>
      <c r="H49" s="618">
        <v>11823.777999999998</v>
      </c>
    </row>
    <row r="50" spans="1:8" ht="12.75">
      <c r="A50" s="604">
        <v>2015.05</v>
      </c>
      <c r="B50" s="1047">
        <v>6197.6549999999997</v>
      </c>
      <c r="C50" s="3098">
        <v>2997.54</v>
      </c>
      <c r="D50" s="1049">
        <v>440.95100000000002</v>
      </c>
      <c r="E50" s="3098">
        <v>410.74700000000001</v>
      </c>
      <c r="F50" s="1049">
        <v>1439.336</v>
      </c>
      <c r="G50" s="1912">
        <v>351.245</v>
      </c>
      <c r="H50" s="618">
        <v>11837.474</v>
      </c>
    </row>
    <row r="51" spans="1:8" ht="12.75">
      <c r="A51" s="604">
        <v>2015.06</v>
      </c>
      <c r="B51" s="1047">
        <v>6216.0479999999998</v>
      </c>
      <c r="C51" s="3098">
        <v>3032.8310000000001</v>
      </c>
      <c r="D51" s="1049">
        <v>441.95699999999999</v>
      </c>
      <c r="E51" s="3098">
        <v>410.65699999999998</v>
      </c>
      <c r="F51" s="1049">
        <v>1451.923</v>
      </c>
      <c r="G51" s="1912">
        <v>354.31700000000001</v>
      </c>
      <c r="H51" s="618">
        <v>11907.733</v>
      </c>
    </row>
    <row r="52" spans="1:8" ht="12.75">
      <c r="A52" s="604">
        <v>2015.07</v>
      </c>
      <c r="B52" s="1047">
        <v>6223.4070000000002</v>
      </c>
      <c r="C52" s="3098">
        <v>3056.8139999999999</v>
      </c>
      <c r="D52" s="1049">
        <v>444.01499999999999</v>
      </c>
      <c r="E52" s="3098">
        <v>411.029</v>
      </c>
      <c r="F52" s="1049">
        <v>1454.479</v>
      </c>
      <c r="G52" s="1912">
        <v>354.94</v>
      </c>
      <c r="H52" s="618">
        <v>11944.683999999999</v>
      </c>
    </row>
    <row r="53" spans="1:8" ht="12.75">
      <c r="A53" s="604">
        <v>2015.08</v>
      </c>
      <c r="B53" s="1047">
        <v>6234.44</v>
      </c>
      <c r="C53" s="3098">
        <v>3066.395</v>
      </c>
      <c r="D53" s="1049">
        <v>445.46600000000001</v>
      </c>
      <c r="E53" s="3098">
        <v>410.42700000000002</v>
      </c>
      <c r="F53" s="1049">
        <v>1455.4870000000001</v>
      </c>
      <c r="G53" s="1912">
        <v>355.18700000000001</v>
      </c>
      <c r="H53" s="618">
        <v>11967.402</v>
      </c>
    </row>
    <row r="54" spans="1:8" ht="12.75">
      <c r="A54" s="604">
        <v>2015.09</v>
      </c>
      <c r="B54" s="1047">
        <v>6237.5590000000002</v>
      </c>
      <c r="C54" s="3098">
        <v>3073.5790000000002</v>
      </c>
      <c r="D54" s="1049">
        <v>445.79199999999997</v>
      </c>
      <c r="E54" s="3098">
        <v>411.77600000000001</v>
      </c>
      <c r="F54" s="1049">
        <v>1457.8140000000001</v>
      </c>
      <c r="G54" s="1912">
        <v>355.755</v>
      </c>
      <c r="H54" s="618">
        <v>11982.275</v>
      </c>
    </row>
    <row r="55" spans="1:8" ht="12.75">
      <c r="A55" s="604">
        <v>2015.1</v>
      </c>
      <c r="B55" s="1047">
        <v>6262.8329999999996</v>
      </c>
      <c r="C55" s="3098">
        <v>3096.694</v>
      </c>
      <c r="D55" s="1049">
        <v>445.57400000000001</v>
      </c>
      <c r="E55" s="3098">
        <v>410.75200000000001</v>
      </c>
      <c r="F55" s="1049">
        <v>1455.2529999999999</v>
      </c>
      <c r="G55" s="1912">
        <v>355.13</v>
      </c>
      <c r="H55" s="618">
        <v>12026.236000000001</v>
      </c>
    </row>
    <row r="56" spans="1:8" ht="12.75">
      <c r="A56" s="604">
        <v>2015.11</v>
      </c>
      <c r="B56" s="1047">
        <v>6266.76</v>
      </c>
      <c r="C56" s="3098">
        <v>3113.4380000000001</v>
      </c>
      <c r="D56" s="1049">
        <v>444.72699999999998</v>
      </c>
      <c r="E56" s="3098">
        <v>409.19099999999997</v>
      </c>
      <c r="F56" s="1049">
        <v>1453.259</v>
      </c>
      <c r="G56" s="1912">
        <v>354.64299999999997</v>
      </c>
      <c r="H56" s="618">
        <v>12042.018000000002</v>
      </c>
    </row>
    <row r="57" spans="1:8" ht="12.75">
      <c r="A57" s="604">
        <v>2015.12</v>
      </c>
      <c r="B57" s="1047">
        <v>6246.5259999999998</v>
      </c>
      <c r="C57" s="3098">
        <v>3124.6990000000001</v>
      </c>
      <c r="D57" s="1049">
        <v>442.71</v>
      </c>
      <c r="E57" s="3098">
        <v>405.76600000000002</v>
      </c>
      <c r="F57" s="1049">
        <v>1446.308</v>
      </c>
      <c r="G57" s="1912">
        <v>352.947</v>
      </c>
      <c r="H57" s="618">
        <v>12018.955999999998</v>
      </c>
    </row>
    <row r="58" spans="1:8" ht="12.75">
      <c r="A58" s="604">
        <v>2016.01</v>
      </c>
      <c r="B58" s="1047">
        <v>6237.1760000000004</v>
      </c>
      <c r="C58" s="3098">
        <v>3073.2910000000002</v>
      </c>
      <c r="D58" s="1049">
        <v>444.56400000000002</v>
      </c>
      <c r="E58" s="3098">
        <v>408.85199999999998</v>
      </c>
      <c r="F58" s="1049">
        <v>1443.829</v>
      </c>
      <c r="G58" s="1912">
        <v>355.03</v>
      </c>
      <c r="H58" s="618">
        <v>11962.742000000002</v>
      </c>
    </row>
    <row r="59" spans="1:8" ht="12.75">
      <c r="A59" s="604">
        <v>2016.02</v>
      </c>
      <c r="B59" s="1047">
        <v>6247.5309999999999</v>
      </c>
      <c r="C59" s="3098">
        <v>3066.2269999999999</v>
      </c>
      <c r="D59" s="1049">
        <v>444.51100000000002</v>
      </c>
      <c r="E59" s="3098">
        <v>408.60899999999998</v>
      </c>
      <c r="F59" s="1049">
        <v>1440.19</v>
      </c>
      <c r="G59" s="1912">
        <v>355.70600000000002</v>
      </c>
      <c r="H59" s="618">
        <v>11962.774000000001</v>
      </c>
    </row>
    <row r="60" spans="1:8" ht="12.75">
      <c r="A60" s="604">
        <v>2016.03</v>
      </c>
      <c r="B60" s="1047">
        <v>6241.277</v>
      </c>
      <c r="C60" s="3098">
        <v>3067.7950000000001</v>
      </c>
      <c r="D60" s="1049">
        <v>445.76400000000001</v>
      </c>
      <c r="E60" s="3098">
        <v>406.98700000000002</v>
      </c>
      <c r="F60" s="1049">
        <v>1441.6389999999999</v>
      </c>
      <c r="G60" s="1912">
        <v>356.96699999999998</v>
      </c>
      <c r="H60" s="618">
        <v>11960.428999999998</v>
      </c>
    </row>
    <row r="61" spans="1:8" ht="12.75">
      <c r="A61" s="604">
        <v>2016.04</v>
      </c>
      <c r="B61" s="1047">
        <v>6188.5429999999997</v>
      </c>
      <c r="C61" s="3098">
        <v>3079.6129999999998</v>
      </c>
      <c r="D61" s="1049">
        <v>450.17099999999999</v>
      </c>
      <c r="E61" s="3098">
        <v>407.48399999999998</v>
      </c>
      <c r="F61" s="1049">
        <v>1448.0360000000001</v>
      </c>
      <c r="G61" s="1912">
        <v>357.67099999999999</v>
      </c>
      <c r="H61" s="618">
        <v>11931.518</v>
      </c>
    </row>
    <row r="62" spans="1:8" ht="12.75">
      <c r="A62" s="604">
        <v>2016.05</v>
      </c>
      <c r="B62" s="1047">
        <v>6152.616</v>
      </c>
      <c r="C62" s="3098">
        <v>3096.8130000000001</v>
      </c>
      <c r="D62" s="1049">
        <v>452.16199999999998</v>
      </c>
      <c r="E62" s="3098">
        <v>415.61700000000002</v>
      </c>
      <c r="F62" s="1049">
        <v>1455.6859999999999</v>
      </c>
      <c r="G62" s="1912">
        <v>357.57900000000001</v>
      </c>
      <c r="H62" s="618">
        <v>11930.473</v>
      </c>
    </row>
    <row r="63" spans="1:8" ht="12.75">
      <c r="A63" s="604">
        <v>2016.06</v>
      </c>
      <c r="B63" s="1047">
        <v>6136.4740000000002</v>
      </c>
      <c r="C63" s="3098">
        <v>3126.2249999999999</v>
      </c>
      <c r="D63" s="1049">
        <v>454.16300000000001</v>
      </c>
      <c r="E63" s="3098">
        <v>417.85500000000002</v>
      </c>
      <c r="F63" s="1049">
        <v>1472.3879999999999</v>
      </c>
      <c r="G63" s="1912">
        <v>358.72199999999998</v>
      </c>
      <c r="H63" s="618">
        <v>11965.826999999999</v>
      </c>
    </row>
    <row r="64" spans="1:8" ht="12.75">
      <c r="A64" s="604">
        <v>2016.07</v>
      </c>
      <c r="B64" s="1047">
        <v>6135.3450000000003</v>
      </c>
      <c r="C64" s="3098">
        <v>3114.366</v>
      </c>
      <c r="D64" s="1049">
        <v>456.11099999999999</v>
      </c>
      <c r="E64" s="3098">
        <v>417.16500000000002</v>
      </c>
      <c r="F64" s="1049">
        <v>1474.76</v>
      </c>
      <c r="G64" s="1912">
        <v>360.71300000000002</v>
      </c>
      <c r="H64" s="618">
        <v>11958.460000000001</v>
      </c>
    </row>
    <row r="65" spans="1:8" ht="12.75">
      <c r="A65" s="604">
        <v>2016.08</v>
      </c>
      <c r="B65" s="1047">
        <v>6146.2839999999997</v>
      </c>
      <c r="C65" s="3098">
        <v>3116.8760000000002</v>
      </c>
      <c r="D65" s="1049">
        <v>457.39299999999997</v>
      </c>
      <c r="E65" s="3098">
        <v>416.84699999999998</v>
      </c>
      <c r="F65" s="1049">
        <v>1478.183</v>
      </c>
      <c r="G65" s="1912">
        <v>363.279</v>
      </c>
      <c r="H65" s="618">
        <v>11978.861999999999</v>
      </c>
    </row>
    <row r="66" spans="1:8" ht="12.75">
      <c r="A66" s="604">
        <v>2016.09</v>
      </c>
      <c r="B66" s="1047">
        <v>6151.241</v>
      </c>
      <c r="C66" s="3098">
        <v>3121.7849999999999</v>
      </c>
      <c r="D66" s="1049">
        <v>457.77199999999999</v>
      </c>
      <c r="E66" s="3098">
        <v>417.08199999999999</v>
      </c>
      <c r="F66" s="1049">
        <v>1484.971</v>
      </c>
      <c r="G66" s="1912">
        <v>367.53800000000001</v>
      </c>
      <c r="H66" s="618">
        <v>12000.389000000001</v>
      </c>
    </row>
    <row r="67" spans="1:8" ht="12.75">
      <c r="A67" s="604">
        <v>2016.1</v>
      </c>
      <c r="B67" s="1047">
        <v>6175.3969999999999</v>
      </c>
      <c r="C67" s="3098">
        <v>3126.1880000000001</v>
      </c>
      <c r="D67" s="1049">
        <v>457.40199999999999</v>
      </c>
      <c r="E67" s="3098">
        <v>416.48500000000001</v>
      </c>
      <c r="F67" s="1049">
        <v>1489.758</v>
      </c>
      <c r="G67" s="1912">
        <v>376.06400000000002</v>
      </c>
      <c r="H67" s="618">
        <v>12041.294</v>
      </c>
    </row>
    <row r="68" spans="1:8" ht="12.75">
      <c r="A68" s="604">
        <v>2016.11</v>
      </c>
      <c r="B68" s="1047">
        <v>6200.06</v>
      </c>
      <c r="C68" s="3098">
        <v>3136.944</v>
      </c>
      <c r="D68" s="1049">
        <v>457.12599999999998</v>
      </c>
      <c r="E68" s="3098">
        <v>414.99400000000003</v>
      </c>
      <c r="F68" s="1049">
        <v>1490.9110000000001</v>
      </c>
      <c r="G68" s="1912">
        <v>382.45499999999998</v>
      </c>
      <c r="H68" s="618">
        <v>12082.490000000002</v>
      </c>
    </row>
    <row r="69" spans="1:8" ht="12.75">
      <c r="A69" s="604">
        <v>2016.12</v>
      </c>
      <c r="B69" s="1047">
        <v>6206.518</v>
      </c>
      <c r="C69" s="3098">
        <v>3156.944</v>
      </c>
      <c r="D69" s="1049">
        <v>456.55500000000001</v>
      </c>
      <c r="E69" s="3098">
        <v>411.625</v>
      </c>
      <c r="F69" s="1049">
        <v>1490.71</v>
      </c>
      <c r="G69" s="1912">
        <v>381.97699999999998</v>
      </c>
      <c r="H69" s="618">
        <v>12104.329</v>
      </c>
    </row>
    <row r="70" spans="1:8" ht="12.75">
      <c r="A70" s="604">
        <v>2017.01</v>
      </c>
      <c r="B70" s="1047">
        <v>6224.4269999999997</v>
      </c>
      <c r="C70" s="3098">
        <v>3114.3879999999999</v>
      </c>
      <c r="D70" s="1049">
        <v>459.78500000000003</v>
      </c>
      <c r="E70" s="3098">
        <v>410.17599999999999</v>
      </c>
      <c r="F70" s="1049">
        <v>1507.9490000000001</v>
      </c>
      <c r="G70" s="1912">
        <v>380.58199999999999</v>
      </c>
      <c r="H70" s="618">
        <v>12097.306999999999</v>
      </c>
    </row>
    <row r="71" spans="1:8" ht="12.75">
      <c r="A71" s="604">
        <v>2017.02</v>
      </c>
      <c r="B71" s="1047">
        <v>6226.59</v>
      </c>
      <c r="C71" s="3098">
        <v>3098.8820000000001</v>
      </c>
      <c r="D71" s="1049">
        <v>460.70400000000001</v>
      </c>
      <c r="E71" s="3098">
        <v>406.541</v>
      </c>
      <c r="F71" s="1049">
        <v>1522.655</v>
      </c>
      <c r="G71" s="1912">
        <v>380.45600000000002</v>
      </c>
      <c r="H71" s="618">
        <v>12095.828</v>
      </c>
    </row>
    <row r="72" spans="1:8" ht="12.75">
      <c r="A72" s="604">
        <v>2017.03</v>
      </c>
      <c r="B72" s="1047">
        <v>6248.45</v>
      </c>
      <c r="C72" s="3098">
        <v>3091.0189999999998</v>
      </c>
      <c r="D72" s="1049">
        <v>460.08</v>
      </c>
      <c r="E72" s="3098">
        <v>400.43900000000002</v>
      </c>
      <c r="F72" s="1049">
        <v>1519.37</v>
      </c>
      <c r="G72" s="1912">
        <v>387.697</v>
      </c>
      <c r="H72" s="618">
        <v>12107.055</v>
      </c>
    </row>
    <row r="73" spans="1:8" ht="12.75">
      <c r="A73" s="604">
        <v>2017.04</v>
      </c>
      <c r="B73" s="1047">
        <v>6190.308</v>
      </c>
      <c r="C73" s="3098">
        <v>3108.9969999999998</v>
      </c>
      <c r="D73" s="1049">
        <v>462.803</v>
      </c>
      <c r="E73" s="3098">
        <v>396.75799999999998</v>
      </c>
      <c r="F73" s="1049">
        <v>1520.0050000000001</v>
      </c>
      <c r="G73" s="1912">
        <v>388.41399999999999</v>
      </c>
      <c r="H73" s="618">
        <v>12067.285</v>
      </c>
    </row>
    <row r="74" spans="1:8" ht="12.75">
      <c r="A74" s="604">
        <v>2017.05</v>
      </c>
      <c r="B74" s="1047">
        <v>6188.84</v>
      </c>
      <c r="C74" s="3098">
        <v>3134.373</v>
      </c>
      <c r="D74" s="1049">
        <v>465.28300000000002</v>
      </c>
      <c r="E74" s="3098">
        <v>397.65</v>
      </c>
      <c r="F74" s="1049">
        <v>1533.33</v>
      </c>
      <c r="G74" s="1912">
        <v>387.81299999999999</v>
      </c>
      <c r="H74" s="618">
        <v>12107.288999999999</v>
      </c>
    </row>
    <row r="75" spans="1:8" ht="12.75">
      <c r="A75" s="604">
        <v>2017.06</v>
      </c>
      <c r="B75" s="1047">
        <v>6193.17</v>
      </c>
      <c r="C75" s="3098">
        <v>3157.87</v>
      </c>
      <c r="D75" s="1049">
        <v>465.61</v>
      </c>
      <c r="E75" s="3098">
        <v>398.267</v>
      </c>
      <c r="F75" s="1049">
        <v>1540.106</v>
      </c>
      <c r="G75" s="1912">
        <v>393.75799999999998</v>
      </c>
      <c r="H75" s="618">
        <v>12148.781000000001</v>
      </c>
    </row>
    <row r="76" spans="1:8" ht="12.75">
      <c r="A76" s="604">
        <v>2017.07</v>
      </c>
      <c r="B76" s="1047">
        <v>6202.0140000000001</v>
      </c>
      <c r="C76" s="3098">
        <v>3149.145</v>
      </c>
      <c r="D76" s="1049">
        <v>468.56900000000002</v>
      </c>
      <c r="E76" s="3098">
        <v>399.178</v>
      </c>
      <c r="F76" s="1049">
        <v>1550.8050000000001</v>
      </c>
      <c r="G76" s="1912">
        <v>399.97899999999998</v>
      </c>
      <c r="H76" s="618">
        <v>12169.689999999999</v>
      </c>
    </row>
    <row r="77" spans="1:8" ht="12.75">
      <c r="A77" s="604">
        <v>2017.08</v>
      </c>
      <c r="B77" s="1047">
        <v>6212.0410000000002</v>
      </c>
      <c r="C77" s="3098">
        <v>3153.2020000000002</v>
      </c>
      <c r="D77" s="1049">
        <v>469.822</v>
      </c>
      <c r="E77" s="3098">
        <v>399.85399999999998</v>
      </c>
      <c r="F77" s="1049">
        <v>1570.5709999999999</v>
      </c>
      <c r="G77" s="1912">
        <v>399.66399999999999</v>
      </c>
      <c r="H77" s="618">
        <v>12205.154</v>
      </c>
    </row>
    <row r="78" spans="1:8" ht="12.75">
      <c r="A78" s="604">
        <v>2017.09</v>
      </c>
      <c r="B78" s="1047">
        <v>6221.4840000000004</v>
      </c>
      <c r="C78" s="3098">
        <v>3165.6819999999998</v>
      </c>
      <c r="D78" s="1049">
        <v>471.67099999999999</v>
      </c>
      <c r="E78" s="3098">
        <v>401.36900000000003</v>
      </c>
      <c r="F78" s="1049">
        <v>1582.271</v>
      </c>
      <c r="G78" s="1912">
        <v>409.83600000000001</v>
      </c>
      <c r="H78" s="618">
        <v>12252.313000000002</v>
      </c>
    </row>
    <row r="79" spans="1:8" ht="12.75">
      <c r="A79" s="604">
        <v>2017.1</v>
      </c>
      <c r="B79" s="1047">
        <v>6255.2640000000001</v>
      </c>
      <c r="C79" s="3098">
        <v>3169.4859999999999</v>
      </c>
      <c r="D79" s="1049">
        <v>472.92599999999999</v>
      </c>
      <c r="E79" s="3098">
        <v>404.541</v>
      </c>
      <c r="F79" s="1049">
        <v>1599.3340000000001</v>
      </c>
      <c r="G79" s="1912">
        <v>408.57</v>
      </c>
      <c r="H79" s="618">
        <v>12310.120999999999</v>
      </c>
    </row>
    <row r="80" spans="1:8" ht="12.75">
      <c r="A80" s="604">
        <v>2017.11</v>
      </c>
      <c r="B80" s="1047">
        <v>6282.1840000000002</v>
      </c>
      <c r="C80" s="3098">
        <v>3179.0259999999998</v>
      </c>
      <c r="D80" s="1049">
        <v>473.09300000000002</v>
      </c>
      <c r="E80" s="3098">
        <v>404.53500000000003</v>
      </c>
      <c r="F80" s="1049">
        <v>1598.816</v>
      </c>
      <c r="G80" s="1912">
        <v>412.51799999999997</v>
      </c>
      <c r="H80" s="618">
        <v>12350.172</v>
      </c>
    </row>
    <row r="81" spans="1:8" ht="12.75">
      <c r="A81" s="604">
        <v>2017.12</v>
      </c>
      <c r="B81" s="1047">
        <v>6296.8639999999996</v>
      </c>
      <c r="C81" s="3098">
        <v>3201.1750000000002</v>
      </c>
      <c r="D81" s="1049">
        <v>472.43700000000001</v>
      </c>
      <c r="E81" s="3098">
        <v>403.62200000000001</v>
      </c>
      <c r="F81" s="1049">
        <v>1593.8969999999999</v>
      </c>
      <c r="G81" s="1912">
        <v>419.267</v>
      </c>
      <c r="H81" s="618">
        <v>12387.261999999999</v>
      </c>
    </row>
    <row r="82" spans="1:8" ht="12.75">
      <c r="A82" s="604">
        <v>2018.01</v>
      </c>
      <c r="B82" s="1047">
        <v>6309.3339999999998</v>
      </c>
      <c r="C82" s="3098">
        <v>3168.4490000000001</v>
      </c>
      <c r="D82" s="1049">
        <v>477.17599999999999</v>
      </c>
      <c r="E82" s="3098">
        <v>405.28699999999998</v>
      </c>
      <c r="F82" s="1049">
        <v>1595.67</v>
      </c>
      <c r="G82" s="1912">
        <v>418.95</v>
      </c>
      <c r="H82" s="618">
        <v>12374.866</v>
      </c>
    </row>
    <row r="83" spans="1:8" ht="12.75">
      <c r="A83" s="604">
        <v>2018.02</v>
      </c>
      <c r="B83" s="1047">
        <v>6308.0649999999996</v>
      </c>
      <c r="C83" s="3098">
        <v>3135.3510000000001</v>
      </c>
      <c r="D83" s="1049">
        <v>478.64600000000002</v>
      </c>
      <c r="E83" s="3098">
        <v>404.42700000000002</v>
      </c>
      <c r="F83" s="1049">
        <v>1594.605</v>
      </c>
      <c r="G83" s="1912">
        <v>423.45</v>
      </c>
      <c r="H83" s="618">
        <v>12344.544</v>
      </c>
    </row>
    <row r="84" spans="1:8" ht="12.75">
      <c r="A84" s="604">
        <v>2018.03</v>
      </c>
      <c r="B84" s="1047">
        <v>6322.5879999999997</v>
      </c>
      <c r="C84" s="3098">
        <v>3128.163</v>
      </c>
      <c r="D84" s="1049">
        <v>479.65300000000002</v>
      </c>
      <c r="E84" s="3098">
        <v>400.27699999999999</v>
      </c>
      <c r="F84" s="1049">
        <v>1593.8030000000001</v>
      </c>
      <c r="G84" s="1912">
        <v>422.92200000000003</v>
      </c>
      <c r="H84" s="618">
        <v>12347.406000000001</v>
      </c>
    </row>
    <row r="85" spans="1:8" ht="12.75">
      <c r="A85" s="604">
        <v>2018.04</v>
      </c>
      <c r="B85" s="1047">
        <v>6279.701</v>
      </c>
      <c r="C85" s="3098">
        <v>3143.5680000000002</v>
      </c>
      <c r="D85" s="1049">
        <v>481.16199999999998</v>
      </c>
      <c r="E85" s="3098">
        <v>400.21899999999999</v>
      </c>
      <c r="F85" s="1049">
        <v>1596.03</v>
      </c>
      <c r="G85" s="1912">
        <v>417.185</v>
      </c>
      <c r="H85" s="618">
        <v>12317.865</v>
      </c>
    </row>
    <row r="86" spans="1:8" ht="12.75">
      <c r="A86" s="604">
        <v>2018.05</v>
      </c>
      <c r="B86" s="1047">
        <v>6251.076</v>
      </c>
      <c r="C86" s="3098">
        <v>3154.1190000000001</v>
      </c>
      <c r="D86" s="1049">
        <v>481.18900000000002</v>
      </c>
      <c r="E86" s="3098">
        <v>399.76400000000001</v>
      </c>
      <c r="F86" s="1049">
        <v>1600.8040000000001</v>
      </c>
      <c r="G86" s="1912">
        <v>414.33300000000003</v>
      </c>
      <c r="H86" s="618">
        <v>12301.285</v>
      </c>
    </row>
    <row r="87" spans="1:8" ht="12.75">
      <c r="A87" s="604">
        <v>2018.06</v>
      </c>
      <c r="B87" s="1047">
        <v>6216.7039999999997</v>
      </c>
      <c r="C87" s="3098">
        <v>3171.9850000000001</v>
      </c>
      <c r="D87" s="1049">
        <v>482.63499999999999</v>
      </c>
      <c r="E87" s="3098">
        <v>401.70100000000002</v>
      </c>
      <c r="F87" s="1049">
        <v>1606.9639999999999</v>
      </c>
      <c r="G87" s="1912">
        <v>404.96800000000002</v>
      </c>
      <c r="H87" s="618">
        <v>12284.957000000002</v>
      </c>
    </row>
    <row r="88" spans="1:8" ht="12.75">
      <c r="A88" s="604">
        <v>2018.07</v>
      </c>
      <c r="B88" s="1047">
        <v>6215.1059999999998</v>
      </c>
      <c r="C88" s="3098">
        <v>3159.0619999999999</v>
      </c>
      <c r="D88" s="1049">
        <v>487.53199999999998</v>
      </c>
      <c r="E88" s="3098">
        <v>401.92200000000003</v>
      </c>
      <c r="F88" s="1049">
        <v>1606.3530000000001</v>
      </c>
      <c r="G88" s="1912">
        <v>343.524</v>
      </c>
      <c r="H88" s="618">
        <v>12213.498999999998</v>
      </c>
    </row>
    <row r="89" spans="1:8" ht="12.75">
      <c r="A89" s="604">
        <v>2018.08</v>
      </c>
      <c r="B89" s="1047">
        <v>6212.924</v>
      </c>
      <c r="C89" s="3098">
        <v>3170.3040000000001</v>
      </c>
      <c r="D89" s="1049">
        <v>490.78399999999999</v>
      </c>
      <c r="E89" s="3098">
        <v>401.90300000000002</v>
      </c>
      <c r="F89" s="1049">
        <v>1609.538</v>
      </c>
      <c r="G89" s="1912">
        <v>346.56900000000002</v>
      </c>
      <c r="H89" s="618">
        <v>12232.021999999999</v>
      </c>
    </row>
    <row r="90" spans="1:8" ht="12.75">
      <c r="A90" s="604">
        <v>2018.09</v>
      </c>
      <c r="B90" s="1047">
        <v>6181.2430000000004</v>
      </c>
      <c r="C90" s="3098">
        <v>3164.9459999999999</v>
      </c>
      <c r="D90" s="1049">
        <v>492.86799999999999</v>
      </c>
      <c r="E90" s="3098">
        <v>403.24900000000002</v>
      </c>
      <c r="F90" s="1049">
        <v>1615.7249999999999</v>
      </c>
      <c r="G90" s="1912">
        <v>345.80500000000001</v>
      </c>
      <c r="H90" s="618">
        <v>12203.836000000001</v>
      </c>
    </row>
    <row r="91" spans="1:8" ht="12.75">
      <c r="A91" s="604">
        <v>2018.1</v>
      </c>
      <c r="B91" s="1047">
        <v>6194.5919999999996</v>
      </c>
      <c r="C91" s="3098">
        <v>3174.11</v>
      </c>
      <c r="D91" s="1049">
        <v>490.98700000000002</v>
      </c>
      <c r="E91" s="3098">
        <v>401.685</v>
      </c>
      <c r="F91" s="1049">
        <v>1577.672</v>
      </c>
      <c r="G91" s="1912">
        <v>349.41399999999999</v>
      </c>
      <c r="H91" s="618">
        <v>12188.46</v>
      </c>
    </row>
    <row r="92" spans="1:8" ht="12.75">
      <c r="A92" s="604">
        <v>2018.11</v>
      </c>
      <c r="B92" s="1047">
        <v>6182.7669999999998</v>
      </c>
      <c r="C92" s="3098">
        <v>3176.5549999999998</v>
      </c>
      <c r="D92" s="1049">
        <v>490.36399999999998</v>
      </c>
      <c r="E92" s="3098">
        <v>401.53800000000001</v>
      </c>
      <c r="F92" s="1049">
        <v>1573.171</v>
      </c>
      <c r="G92" s="1912">
        <v>353.59899999999999</v>
      </c>
      <c r="H92" s="618">
        <v>12177.994000000001</v>
      </c>
    </row>
    <row r="93" spans="1:8" ht="12.75">
      <c r="A93" s="604">
        <v>2018.12</v>
      </c>
      <c r="B93" s="1047">
        <v>6167.38</v>
      </c>
      <c r="C93" s="3098">
        <v>3195.377</v>
      </c>
      <c r="D93" s="1049">
        <v>488.64499999999998</v>
      </c>
      <c r="E93" s="3098">
        <v>399.84699999999998</v>
      </c>
      <c r="F93" s="1049">
        <v>1566.903</v>
      </c>
      <c r="G93" s="1912">
        <v>361.00400000000002</v>
      </c>
      <c r="H93" s="618">
        <v>12179.156000000001</v>
      </c>
    </row>
    <row r="94" spans="1:8" ht="12.75">
      <c r="A94" s="604">
        <v>2019.01</v>
      </c>
      <c r="B94" s="1047">
        <v>6179.2309999999998</v>
      </c>
      <c r="C94" s="3098">
        <v>3155.8380000000002</v>
      </c>
      <c r="D94" s="1049">
        <v>492.51900000000001</v>
      </c>
      <c r="E94" s="3098">
        <v>403.54700000000003</v>
      </c>
      <c r="F94" s="1049">
        <v>1582.2639999999999</v>
      </c>
      <c r="G94" s="1912">
        <v>352.12900000000002</v>
      </c>
      <c r="H94" s="618">
        <v>12165.528</v>
      </c>
    </row>
    <row r="95" spans="1:8" ht="12.75">
      <c r="A95" s="604">
        <v>2019.02</v>
      </c>
      <c r="B95" s="1047">
        <v>6187.63</v>
      </c>
      <c r="C95" s="3098">
        <v>3145.172</v>
      </c>
      <c r="D95" s="1049">
        <v>493.28300000000002</v>
      </c>
      <c r="E95" s="3098">
        <v>401.87200000000001</v>
      </c>
      <c r="F95" s="1049">
        <v>1596.1279999999999</v>
      </c>
      <c r="G95" s="1912">
        <v>344.529</v>
      </c>
      <c r="H95" s="618">
        <v>12168.614</v>
      </c>
    </row>
    <row r="96" spans="1:8" ht="12.75">
      <c r="A96" s="604">
        <v>2019.03</v>
      </c>
      <c r="B96" s="1047">
        <v>6177.3109999999997</v>
      </c>
      <c r="C96" s="3098">
        <v>3136.2159999999999</v>
      </c>
      <c r="D96" s="1049">
        <v>493.42599999999999</v>
      </c>
      <c r="E96" s="3098">
        <v>396.69299999999998</v>
      </c>
      <c r="F96" s="1049">
        <v>1576.5909999999999</v>
      </c>
      <c r="G96" s="1912">
        <v>358.24799999999999</v>
      </c>
      <c r="H96" s="618">
        <v>12138.484999999999</v>
      </c>
    </row>
    <row r="97" spans="1:8" ht="12.75">
      <c r="A97" s="604">
        <v>2019.04</v>
      </c>
      <c r="B97" s="1047">
        <v>6126.4539999999997</v>
      </c>
      <c r="C97" s="3098">
        <v>3164.348</v>
      </c>
      <c r="D97" s="1049">
        <v>495.81200000000001</v>
      </c>
      <c r="E97" s="3098">
        <v>395.23</v>
      </c>
      <c r="F97" s="1049">
        <v>1578.335</v>
      </c>
      <c r="G97" s="1912">
        <v>358.48</v>
      </c>
      <c r="H97" s="618">
        <v>12118.659</v>
      </c>
    </row>
    <row r="98" spans="1:8" ht="12.75">
      <c r="A98" s="604">
        <v>2019.05</v>
      </c>
      <c r="B98" s="1047">
        <v>6097.027</v>
      </c>
      <c r="C98" s="3098">
        <v>3180.134</v>
      </c>
      <c r="D98" s="1049">
        <v>497.17500000000001</v>
      </c>
      <c r="E98" s="3098">
        <v>394.59100000000001</v>
      </c>
      <c r="F98" s="1049">
        <v>1585.0640000000001</v>
      </c>
      <c r="G98" s="1912">
        <v>355.11200000000002</v>
      </c>
      <c r="H98" s="618">
        <v>12109.102999999999</v>
      </c>
    </row>
    <row r="99" spans="1:8" ht="12.75">
      <c r="A99" s="604">
        <v>2019.06</v>
      </c>
      <c r="B99" s="1047">
        <v>6070.2629999999999</v>
      </c>
      <c r="C99" s="3098">
        <v>3199.9960000000001</v>
      </c>
      <c r="D99" s="1049">
        <v>496.721</v>
      </c>
      <c r="E99" s="3098">
        <v>394.89600000000002</v>
      </c>
      <c r="F99" s="1049">
        <v>1582.443</v>
      </c>
      <c r="G99" s="1912">
        <v>356.62599999999998</v>
      </c>
      <c r="H99" s="618">
        <v>12100.945</v>
      </c>
    </row>
    <row r="100" spans="1:8" ht="12.75">
      <c r="A100" s="604">
        <v>2019.07</v>
      </c>
      <c r="B100" s="1047">
        <v>6079.692</v>
      </c>
      <c r="C100" s="3098">
        <v>3189.0729999999999</v>
      </c>
      <c r="D100" s="1049">
        <v>498.40300000000002</v>
      </c>
      <c r="E100" s="3098">
        <v>396.46499999999997</v>
      </c>
      <c r="F100" s="1049">
        <v>1595.982</v>
      </c>
      <c r="G100" s="1912">
        <v>350.89600000000002</v>
      </c>
      <c r="H100" s="618">
        <v>12110.511</v>
      </c>
    </row>
    <row r="101" spans="1:8" ht="12.75">
      <c r="A101" s="604">
        <v>2019.08</v>
      </c>
      <c r="B101" s="1047">
        <v>6071.1540000000005</v>
      </c>
      <c r="C101" s="3098">
        <v>3192.26</v>
      </c>
      <c r="D101" s="1049">
        <v>499.77800000000002</v>
      </c>
      <c r="E101" s="3098">
        <v>402.815</v>
      </c>
      <c r="F101" s="1049">
        <v>1605.902</v>
      </c>
      <c r="G101" s="1912">
        <v>365.49099999999999</v>
      </c>
      <c r="H101" s="618">
        <v>12137.400000000001</v>
      </c>
    </row>
    <row r="102" spans="1:8" ht="12.75">
      <c r="A102" s="604">
        <v>2019.09</v>
      </c>
      <c r="B102" s="1047">
        <v>6041.85</v>
      </c>
      <c r="C102" s="3098">
        <v>3208.5740000000001</v>
      </c>
      <c r="D102" s="1049">
        <v>500.79</v>
      </c>
      <c r="E102" s="3098">
        <v>403.084</v>
      </c>
      <c r="F102" s="1049">
        <v>1622.095</v>
      </c>
      <c r="G102" s="1912">
        <v>359.30599999999998</v>
      </c>
      <c r="H102" s="618">
        <v>12135.699000000002</v>
      </c>
    </row>
    <row r="103" spans="1:8" ht="12.75">
      <c r="A103" s="604">
        <v>2019.1</v>
      </c>
      <c r="B103" s="1047">
        <v>6039.4390000000003</v>
      </c>
      <c r="C103" s="3098">
        <v>3218.9319999999998</v>
      </c>
      <c r="D103" s="1049">
        <v>501.31900000000002</v>
      </c>
      <c r="E103" s="3098">
        <v>400.68900000000002</v>
      </c>
      <c r="F103" s="1049">
        <v>1629.3579999999999</v>
      </c>
      <c r="G103" s="1912">
        <v>355.48200000000003</v>
      </c>
      <c r="H103" s="618">
        <v>12145.218999999999</v>
      </c>
    </row>
    <row r="104" spans="1:8" ht="12.75">
      <c r="A104" s="604">
        <v>2019.11</v>
      </c>
      <c r="B104" s="1047">
        <v>6033.1440000000002</v>
      </c>
      <c r="C104" s="3098">
        <v>3222.0949999999998</v>
      </c>
      <c r="D104" s="1049">
        <v>500.23500000000001</v>
      </c>
      <c r="E104" s="3098">
        <v>406.08100000000002</v>
      </c>
      <c r="F104" s="1049">
        <v>1620.9459999999999</v>
      </c>
      <c r="G104" s="1912">
        <v>365.12599999999998</v>
      </c>
      <c r="H104" s="618">
        <v>12147.627</v>
      </c>
    </row>
    <row r="105" spans="1:8" ht="12.75">
      <c r="A105" s="604">
        <v>2019.12</v>
      </c>
      <c r="B105" s="1047">
        <v>6020.7030000000004</v>
      </c>
      <c r="C105" s="3098">
        <v>3249.0540000000001</v>
      </c>
      <c r="D105" s="1049">
        <v>498.14499999999998</v>
      </c>
      <c r="E105" s="3098">
        <v>405.024</v>
      </c>
      <c r="F105" s="1049">
        <v>1625.3140000000001</v>
      </c>
      <c r="G105" s="1912">
        <v>365.60399999999998</v>
      </c>
      <c r="H105" s="618">
        <v>12163.844000000001</v>
      </c>
    </row>
    <row r="106" spans="1:8" ht="12.75">
      <c r="A106" s="604">
        <v>2020.01</v>
      </c>
      <c r="B106" s="1047">
        <v>6021.9390000000003</v>
      </c>
      <c r="C106" s="3098">
        <v>3195.502</v>
      </c>
      <c r="D106" s="1049">
        <v>500.37900000000002</v>
      </c>
      <c r="E106" s="3098">
        <v>404.71499999999997</v>
      </c>
      <c r="F106" s="1049">
        <v>1630.375</v>
      </c>
      <c r="G106" s="1912">
        <v>366.08199999999999</v>
      </c>
      <c r="H106" s="618">
        <v>12118.992000000002</v>
      </c>
    </row>
    <row r="107" spans="1:8" ht="12.75">
      <c r="A107" s="604">
        <v>2020.02</v>
      </c>
      <c r="B107" s="1047">
        <v>6028.3919999999998</v>
      </c>
      <c r="C107" s="3098">
        <v>3186.0230000000001</v>
      </c>
      <c r="D107" s="1049">
        <v>500.12599999999998</v>
      </c>
      <c r="E107" s="3098">
        <v>399.03899999999999</v>
      </c>
      <c r="F107" s="1049">
        <v>1627.921</v>
      </c>
      <c r="G107" s="1912">
        <v>365.38099999999997</v>
      </c>
      <c r="H107" s="618">
        <v>12106.882000000001</v>
      </c>
    </row>
    <row r="108" spans="1:8" ht="12.75">
      <c r="A108" s="604">
        <v>2020.03</v>
      </c>
      <c r="B108" s="1047">
        <v>5994.42</v>
      </c>
      <c r="C108" s="3098">
        <v>3186.373</v>
      </c>
      <c r="D108" s="1049">
        <v>498.03399999999999</v>
      </c>
      <c r="E108" s="3098">
        <v>388.96300000000002</v>
      </c>
      <c r="F108" s="1049">
        <v>1606.356</v>
      </c>
      <c r="G108" s="1912">
        <v>362.447</v>
      </c>
      <c r="H108" s="618">
        <v>12036.592999999999</v>
      </c>
    </row>
    <row r="109" spans="1:8" ht="12.75">
      <c r="A109" s="604">
        <v>2020.04</v>
      </c>
      <c r="B109" s="1047">
        <v>5836.8649999999998</v>
      </c>
      <c r="C109" s="3098">
        <v>3190.5610000000001</v>
      </c>
      <c r="D109" s="1049">
        <v>490.54599999999999</v>
      </c>
      <c r="E109" s="3098">
        <v>380.214</v>
      </c>
      <c r="F109" s="1049">
        <v>1586.0709999999999</v>
      </c>
      <c r="G109" s="1912">
        <v>355.49200000000002</v>
      </c>
      <c r="H109" s="618">
        <v>11839.749</v>
      </c>
    </row>
    <row r="110" spans="1:8" ht="12.75">
      <c r="A110" s="604">
        <v>2020.05</v>
      </c>
      <c r="B110" s="1047">
        <v>5787.4390000000003</v>
      </c>
      <c r="C110" s="3098">
        <v>3195.1529999999998</v>
      </c>
      <c r="D110" s="1049">
        <v>482.548</v>
      </c>
      <c r="E110" s="3098">
        <v>377.43</v>
      </c>
      <c r="F110" s="1049">
        <v>1551.6079999999999</v>
      </c>
      <c r="G110" s="1912">
        <v>352.84699999999998</v>
      </c>
      <c r="H110" s="618">
        <v>11747.025000000001</v>
      </c>
    </row>
    <row r="111" spans="1:8" ht="12.75">
      <c r="A111" s="604">
        <v>2020.06</v>
      </c>
      <c r="B111" s="1047">
        <v>5776.5559999999996</v>
      </c>
      <c r="C111" s="3098">
        <v>3210.3139999999999</v>
      </c>
      <c r="D111" s="1049">
        <v>481.68200000000002</v>
      </c>
      <c r="E111" s="3098">
        <v>379.53800000000001</v>
      </c>
      <c r="F111" s="1049">
        <v>1569.694</v>
      </c>
      <c r="G111" s="1912">
        <v>350.22199999999998</v>
      </c>
      <c r="H111" s="618">
        <v>11768.005999999999</v>
      </c>
    </row>
    <row r="112" spans="1:8" ht="12.75">
      <c r="A112" s="604">
        <v>2020.07</v>
      </c>
      <c r="B112" s="1047">
        <v>5768.5469999999996</v>
      </c>
      <c r="C112" s="3098">
        <v>3199.241</v>
      </c>
      <c r="D112" s="1049">
        <v>482.142</v>
      </c>
      <c r="E112" s="3098">
        <v>391.73599999999999</v>
      </c>
      <c r="F112" s="1049">
        <v>1593.8489999999999</v>
      </c>
      <c r="G112" s="1912">
        <v>355.47</v>
      </c>
      <c r="H112" s="618">
        <v>11790.985000000001</v>
      </c>
    </row>
    <row r="113" spans="1:9" ht="12.75">
      <c r="A113" s="604">
        <v>2020.08</v>
      </c>
      <c r="B113" s="1047">
        <v>5770.0209999999997</v>
      </c>
      <c r="C113" s="3098">
        <v>3207.4929999999999</v>
      </c>
      <c r="D113" s="1049">
        <v>481.04700000000003</v>
      </c>
      <c r="E113" s="3098">
        <v>394.77600000000001</v>
      </c>
      <c r="F113" s="1049">
        <v>1625.2339999999999</v>
      </c>
      <c r="G113" s="1912">
        <v>352.06400000000002</v>
      </c>
      <c r="H113" s="618">
        <v>11830.635</v>
      </c>
    </row>
    <row r="114" spans="1:9" ht="12.75">
      <c r="A114" s="604">
        <v>2020.09</v>
      </c>
      <c r="B114" s="1047">
        <v>5780.89</v>
      </c>
      <c r="C114" s="3098">
        <v>3211.527</v>
      </c>
      <c r="D114" s="1049">
        <v>479.774</v>
      </c>
      <c r="E114" s="3098">
        <v>394.4</v>
      </c>
      <c r="F114" s="1049">
        <v>1645.9639999999999</v>
      </c>
      <c r="G114" s="1912">
        <v>352.33800000000002</v>
      </c>
      <c r="H114" s="618">
        <v>11864.893</v>
      </c>
    </row>
    <row r="115" spans="1:9" ht="12.75">
      <c r="A115" s="604">
        <v>2020.1</v>
      </c>
      <c r="B115" s="1047">
        <v>5795.0550000000003</v>
      </c>
      <c r="C115" s="3098">
        <v>3215.029</v>
      </c>
      <c r="D115" s="1049">
        <v>478.173</v>
      </c>
      <c r="E115" s="3098">
        <v>386.83600000000001</v>
      </c>
      <c r="F115" s="1049">
        <v>1665.1289999999999</v>
      </c>
      <c r="G115" s="1912">
        <v>353.12</v>
      </c>
      <c r="H115" s="618">
        <v>11893.342000000002</v>
      </c>
    </row>
    <row r="116" spans="1:9" ht="12.75">
      <c r="A116" s="604">
        <v>2020.11</v>
      </c>
      <c r="B116" s="1047">
        <v>5816.8180000000002</v>
      </c>
      <c r="C116" s="3098">
        <v>3237.8009999999999</v>
      </c>
      <c r="D116" s="1049">
        <v>476.56799999999998</v>
      </c>
      <c r="E116" s="3098">
        <v>381.60700000000003</v>
      </c>
      <c r="F116" s="1049">
        <v>1652.335</v>
      </c>
      <c r="G116" s="1912">
        <v>354.30599999999998</v>
      </c>
      <c r="H116" s="618">
        <v>11919.435000000001</v>
      </c>
    </row>
    <row r="117" spans="1:9" ht="12.75">
      <c r="A117" s="604">
        <v>2020.12</v>
      </c>
      <c r="B117" s="1047">
        <v>5826.0140000000001</v>
      </c>
      <c r="C117" s="3098">
        <v>3257.5790000000002</v>
      </c>
      <c r="D117" s="1049">
        <v>473.08100000000002</v>
      </c>
      <c r="E117" s="3098">
        <v>377.21899999999999</v>
      </c>
      <c r="F117" s="1049">
        <v>1645.7180000000001</v>
      </c>
      <c r="G117" s="1912">
        <v>353.20100000000002</v>
      </c>
      <c r="H117" s="1200">
        <v>11932.812000000002</v>
      </c>
    </row>
    <row r="118" spans="1:9" ht="12.75">
      <c r="A118" s="604">
        <f>A106+1</f>
        <v>2021.01</v>
      </c>
      <c r="B118" s="3098">
        <v>5850.5929999999998</v>
      </c>
      <c r="C118" s="3098">
        <v>3211.2429999999999</v>
      </c>
      <c r="D118" s="3098">
        <v>474.69499999999999</v>
      </c>
      <c r="E118" s="3098">
        <v>378.245</v>
      </c>
      <c r="F118" s="3098">
        <v>1648.9110000000001</v>
      </c>
      <c r="G118" s="1912">
        <v>358.673</v>
      </c>
      <c r="H118" s="1200">
        <v>11922.36</v>
      </c>
    </row>
    <row r="119" spans="1:9" ht="12.75">
      <c r="A119" s="604">
        <f t="shared" ref="A119:A176" si="1">A107+1</f>
        <v>2021.02</v>
      </c>
      <c r="B119" s="3098">
        <v>5872.0110000000004</v>
      </c>
      <c r="C119" s="3098">
        <v>3215.8649999999998</v>
      </c>
      <c r="D119" s="3098">
        <v>473.30700000000002</v>
      </c>
      <c r="E119" s="3098">
        <v>379.2</v>
      </c>
      <c r="F119" s="3098">
        <v>1655.519</v>
      </c>
      <c r="G119" s="1912">
        <v>363.00799999999998</v>
      </c>
      <c r="H119" s="1200">
        <v>11958.910000000002</v>
      </c>
    </row>
    <row r="120" spans="1:9" ht="12.75">
      <c r="A120" s="604">
        <f t="shared" si="1"/>
        <v>2021.03</v>
      </c>
      <c r="B120" s="3099">
        <v>5907.3819999999996</v>
      </c>
      <c r="C120" s="3099">
        <v>3229.3449999999998</v>
      </c>
      <c r="D120" s="3099">
        <v>473.13499999999999</v>
      </c>
      <c r="E120" s="3099">
        <v>377.416</v>
      </c>
      <c r="F120" s="3099">
        <v>1663.8030000000001</v>
      </c>
      <c r="G120" s="1913">
        <v>363.16899999999998</v>
      </c>
      <c r="H120" s="1281">
        <v>12014.249999999998</v>
      </c>
      <c r="I120" s="1282"/>
    </row>
    <row r="121" spans="1:9" ht="12.75">
      <c r="A121" s="604">
        <f t="shared" si="1"/>
        <v>2021.04</v>
      </c>
      <c r="B121" s="3098">
        <v>5895.1120000000001</v>
      </c>
      <c r="C121" s="3098">
        <v>3246.7710000000002</v>
      </c>
      <c r="D121" s="3098">
        <v>475.161</v>
      </c>
      <c r="E121" s="3098">
        <v>377.49599999999998</v>
      </c>
      <c r="F121" s="3098">
        <v>1686.952</v>
      </c>
      <c r="G121" s="1912">
        <v>361.18799999999999</v>
      </c>
      <c r="H121" s="1200">
        <v>12042.679999999998</v>
      </c>
    </row>
    <row r="122" spans="1:9" ht="12.75">
      <c r="A122" s="604">
        <f t="shared" si="1"/>
        <v>2021.05</v>
      </c>
      <c r="B122" s="3098">
        <v>5869.9690000000001</v>
      </c>
      <c r="C122" s="3098">
        <v>3270.6979999999999</v>
      </c>
      <c r="D122" s="3098">
        <v>475.863</v>
      </c>
      <c r="E122" s="3098">
        <v>377.68900000000002</v>
      </c>
      <c r="F122" s="3098">
        <v>1693.213</v>
      </c>
      <c r="G122" s="1912">
        <v>366.73</v>
      </c>
      <c r="H122" s="1200">
        <v>12054.161999999998</v>
      </c>
    </row>
    <row r="123" spans="1:9" ht="12.75">
      <c r="A123" s="604">
        <f t="shared" si="1"/>
        <v>2021.06</v>
      </c>
      <c r="B123" s="3098">
        <v>5869.1819999999998</v>
      </c>
      <c r="C123" s="3098">
        <v>3293.56</v>
      </c>
      <c r="D123" s="3098">
        <v>474.108</v>
      </c>
      <c r="E123" s="3098">
        <v>377.52199999999999</v>
      </c>
      <c r="F123" s="3098">
        <v>1708.8579999999999</v>
      </c>
      <c r="G123" s="1912">
        <v>368.18099999999998</v>
      </c>
      <c r="H123" s="1200">
        <v>12091.411000000002</v>
      </c>
    </row>
    <row r="124" spans="1:9" ht="12.75">
      <c r="A124" s="604">
        <f t="shared" si="1"/>
        <v>2021.07</v>
      </c>
      <c r="B124" s="3098">
        <v>5876.0339999999997</v>
      </c>
      <c r="C124" s="3098">
        <v>3287.4650000000001</v>
      </c>
      <c r="D124" s="3098">
        <v>474.21300000000002</v>
      </c>
      <c r="E124" s="3098">
        <v>377.90499999999997</v>
      </c>
      <c r="F124" s="3098">
        <v>1732.4690000000001</v>
      </c>
      <c r="G124" s="1912">
        <v>367.03899999999999</v>
      </c>
      <c r="H124" s="1200">
        <v>12115.125</v>
      </c>
    </row>
    <row r="125" spans="1:9" ht="12.75">
      <c r="A125" s="604">
        <f t="shared" si="1"/>
        <v>2021.08</v>
      </c>
      <c r="B125" s="3098">
        <v>5895.277</v>
      </c>
      <c r="C125" s="3098">
        <v>3303.2049999999999</v>
      </c>
      <c r="D125" s="3098">
        <v>474.05900000000003</v>
      </c>
      <c r="E125" s="3098">
        <v>387.28399999999999</v>
      </c>
      <c r="F125" s="3098">
        <v>1736.6869999999999</v>
      </c>
      <c r="G125" s="1912">
        <v>394.48599999999999</v>
      </c>
      <c r="H125" s="1200">
        <v>12190.998</v>
      </c>
    </row>
    <row r="126" spans="1:9" ht="12.75">
      <c r="A126" s="604">
        <f t="shared" si="1"/>
        <v>2021.09</v>
      </c>
      <c r="B126" s="3098">
        <v>5916.0870000000004</v>
      </c>
      <c r="C126" s="3098">
        <v>3314.0790000000002</v>
      </c>
      <c r="D126" s="3098">
        <v>473.37400000000002</v>
      </c>
      <c r="E126" s="3098">
        <v>388.72399999999999</v>
      </c>
      <c r="F126" s="3098">
        <v>1767.665</v>
      </c>
      <c r="G126" s="1912">
        <v>401.37</v>
      </c>
      <c r="H126" s="1200">
        <v>12261.299000000001</v>
      </c>
    </row>
    <row r="127" spans="1:9" ht="12.75">
      <c r="A127" s="604">
        <f t="shared" si="1"/>
        <v>2021.1</v>
      </c>
      <c r="B127" s="3098">
        <v>5940.33</v>
      </c>
      <c r="C127" s="3098">
        <v>3329.0459999999998</v>
      </c>
      <c r="D127" s="3098">
        <v>474.108</v>
      </c>
      <c r="E127" s="3098">
        <v>387.625</v>
      </c>
      <c r="F127" s="3098">
        <v>1785.0840000000001</v>
      </c>
      <c r="G127" s="1912">
        <v>398.01600000000002</v>
      </c>
      <c r="H127" s="1200">
        <v>12314.209000000001</v>
      </c>
    </row>
    <row r="128" spans="1:9" ht="12.75">
      <c r="A128" s="604">
        <f t="shared" si="1"/>
        <v>2021.11</v>
      </c>
      <c r="B128" s="3098">
        <v>5988.5410000000002</v>
      </c>
      <c r="C128" s="3098">
        <v>3345.096</v>
      </c>
      <c r="D128" s="3098">
        <v>473.279</v>
      </c>
      <c r="E128" s="3098">
        <v>385.97</v>
      </c>
      <c r="F128" s="3098">
        <v>1800.2370000000001</v>
      </c>
      <c r="G128" s="1912">
        <v>394.20699999999999</v>
      </c>
      <c r="H128" s="1200">
        <v>12387.33</v>
      </c>
    </row>
    <row r="129" spans="1:9" ht="12.75">
      <c r="A129" s="604">
        <f t="shared" si="1"/>
        <v>2021.12</v>
      </c>
      <c r="B129" s="3098">
        <v>6027.6869999999999</v>
      </c>
      <c r="C129" s="3098">
        <v>3372.9059999999999</v>
      </c>
      <c r="D129" s="3098">
        <v>472.87599999999998</v>
      </c>
      <c r="E129" s="3098">
        <v>385.41399999999999</v>
      </c>
      <c r="F129" s="3098">
        <v>1769.9269999999999</v>
      </c>
      <c r="G129" s="1912">
        <v>440.04599999999999</v>
      </c>
      <c r="H129" s="1200">
        <v>12468.856000000002</v>
      </c>
    </row>
    <row r="130" spans="1:9" ht="12.75">
      <c r="A130" s="604">
        <f t="shared" si="1"/>
        <v>2022.01</v>
      </c>
      <c r="B130" s="3098">
        <v>6069.317</v>
      </c>
      <c r="C130" s="3098">
        <v>3320.3270000000002</v>
      </c>
      <c r="D130" s="3098">
        <v>473.399</v>
      </c>
      <c r="E130" s="3098">
        <v>387.10399999999998</v>
      </c>
      <c r="F130" s="3098">
        <v>1777.0730000000001</v>
      </c>
      <c r="G130" s="1912">
        <v>439.56200000000001</v>
      </c>
      <c r="H130" s="1200">
        <v>12466.781999999999</v>
      </c>
    </row>
    <row r="131" spans="1:9" ht="12.75">
      <c r="A131" s="604">
        <f t="shared" si="1"/>
        <v>2022.02</v>
      </c>
      <c r="B131" s="3098">
        <v>6095.1350000000002</v>
      </c>
      <c r="C131" s="3098">
        <v>3311.7449999999999</v>
      </c>
      <c r="D131" s="3098">
        <v>472.50099999999998</v>
      </c>
      <c r="E131" s="3098">
        <v>387.661</v>
      </c>
      <c r="F131" s="3098">
        <v>1799.6849999999999</v>
      </c>
      <c r="G131" s="1912">
        <v>441.73</v>
      </c>
      <c r="H131" s="1200">
        <v>12508.457</v>
      </c>
    </row>
    <row r="132" spans="1:9" ht="12.75">
      <c r="A132" s="604">
        <f t="shared" si="1"/>
        <v>2022.03</v>
      </c>
      <c r="B132" s="3098">
        <v>6129.7150000000001</v>
      </c>
      <c r="C132" s="3098">
        <v>3317.3780000000002</v>
      </c>
      <c r="D132" s="3098">
        <v>472.447</v>
      </c>
      <c r="E132" s="3098">
        <v>385.47399999999999</v>
      </c>
      <c r="F132" s="3098">
        <v>1818.827</v>
      </c>
      <c r="G132" s="1912">
        <v>438.31799999999998</v>
      </c>
      <c r="H132" s="1200">
        <v>12562.159</v>
      </c>
    </row>
    <row r="133" spans="1:9" ht="12.75">
      <c r="A133" s="604">
        <f t="shared" si="1"/>
        <v>2022.04</v>
      </c>
      <c r="B133" s="3098">
        <v>6110.1710000000003</v>
      </c>
      <c r="C133" s="3098">
        <v>3333.8960000000002</v>
      </c>
      <c r="D133" s="3098">
        <v>473.14299999999997</v>
      </c>
      <c r="E133" s="3098">
        <v>387.23599999999999</v>
      </c>
      <c r="F133" s="3098">
        <v>1844.415</v>
      </c>
      <c r="G133" s="1912">
        <v>435.827</v>
      </c>
      <c r="H133" s="1200">
        <v>12584.688</v>
      </c>
    </row>
    <row r="134" spans="1:9" ht="12.75">
      <c r="A134" s="604">
        <f t="shared" si="1"/>
        <v>2022.05</v>
      </c>
      <c r="B134" s="3098">
        <v>6117.9620000000004</v>
      </c>
      <c r="C134" s="3098">
        <v>3353.5450000000001</v>
      </c>
      <c r="D134" s="3098">
        <v>473.34</v>
      </c>
      <c r="E134" s="3098">
        <v>389.86900000000003</v>
      </c>
      <c r="F134" s="3098">
        <v>1873.585</v>
      </c>
      <c r="G134" s="1912">
        <v>432.428</v>
      </c>
      <c r="H134" s="1200">
        <v>12640.729000000003</v>
      </c>
    </row>
    <row r="135" spans="1:9" ht="12.75">
      <c r="A135" s="604">
        <f t="shared" si="1"/>
        <v>2022.06</v>
      </c>
      <c r="B135" s="3098">
        <v>6134.0320000000002</v>
      </c>
      <c r="C135" s="3098">
        <v>3381.3020000000001</v>
      </c>
      <c r="D135" s="3098">
        <v>471.35599999999999</v>
      </c>
      <c r="E135" s="3098">
        <v>392.51100000000002</v>
      </c>
      <c r="F135" s="3098">
        <v>1824.604</v>
      </c>
      <c r="G135" s="1912">
        <v>512.69500000000005</v>
      </c>
      <c r="H135" s="1200">
        <v>12716.5</v>
      </c>
    </row>
    <row r="136" spans="1:9" ht="12.75">
      <c r="A136" s="604">
        <f t="shared" si="1"/>
        <v>2022.07</v>
      </c>
      <c r="B136" s="3098">
        <v>6169.348</v>
      </c>
      <c r="C136" s="3098">
        <v>3375.799</v>
      </c>
      <c r="D136" s="3098">
        <v>472.73099999999999</v>
      </c>
      <c r="E136" s="3098">
        <v>395.00299999999999</v>
      </c>
      <c r="F136" s="3098">
        <v>1862.02</v>
      </c>
      <c r="G136" s="1912">
        <v>509.084</v>
      </c>
      <c r="H136" s="1200">
        <v>12783.985000000002</v>
      </c>
    </row>
    <row r="137" spans="1:9" ht="12.75">
      <c r="A137" s="604">
        <f t="shared" si="1"/>
        <v>2022.08</v>
      </c>
      <c r="B137" s="3098">
        <v>6186.7550000000001</v>
      </c>
      <c r="C137" s="3098">
        <v>3372.5309999999999</v>
      </c>
      <c r="D137" s="3098">
        <v>473.59300000000002</v>
      </c>
      <c r="E137" s="3098">
        <v>395.11399999999998</v>
      </c>
      <c r="F137" s="3098">
        <v>1899.6320000000001</v>
      </c>
      <c r="G137" s="1912">
        <v>503.226</v>
      </c>
      <c r="H137" s="1200">
        <v>12830.851000000001</v>
      </c>
    </row>
    <row r="138" spans="1:9" ht="12.75">
      <c r="A138" s="604">
        <f t="shared" si="1"/>
        <v>2022.09</v>
      </c>
      <c r="B138" s="3098">
        <v>6210.8389999999999</v>
      </c>
      <c r="C138" s="3098">
        <v>3381.9810000000002</v>
      </c>
      <c r="D138" s="3098">
        <v>473.80900000000003</v>
      </c>
      <c r="E138" s="3098">
        <v>394.79500000000002</v>
      </c>
      <c r="F138" s="3098">
        <v>1879.5550000000001</v>
      </c>
      <c r="G138" s="1912">
        <v>559.03300000000002</v>
      </c>
      <c r="H138" s="1200">
        <v>12900.011999999999</v>
      </c>
    </row>
    <row r="139" spans="1:9" ht="12.75">
      <c r="A139" s="604">
        <f t="shared" si="1"/>
        <v>2022.1</v>
      </c>
      <c r="B139" s="3098">
        <v>6236.6229999999996</v>
      </c>
      <c r="C139" s="3098">
        <v>3387.3989999999999</v>
      </c>
      <c r="D139" s="3098">
        <v>471.86500000000001</v>
      </c>
      <c r="E139" s="3098">
        <v>394.303</v>
      </c>
      <c r="F139" s="3098">
        <v>1908.434</v>
      </c>
      <c r="G139" s="1912">
        <v>555.51300000000003</v>
      </c>
      <c r="H139" s="1200">
        <v>12954.136999999999</v>
      </c>
    </row>
    <row r="140" spans="1:9" ht="12.75">
      <c r="A140" s="604">
        <f t="shared" si="1"/>
        <v>2022.11</v>
      </c>
      <c r="B140" s="3098">
        <v>6278.1540000000005</v>
      </c>
      <c r="C140" s="3098">
        <v>3405.2179999999998</v>
      </c>
      <c r="D140" s="3098">
        <v>469.77699999999999</v>
      </c>
      <c r="E140" s="3098">
        <v>394.79500000000002</v>
      </c>
      <c r="F140" s="3098">
        <v>1943.2280000000001</v>
      </c>
      <c r="G140" s="1912">
        <v>550.83600000000001</v>
      </c>
      <c r="H140" s="1200">
        <v>13042.007999999998</v>
      </c>
    </row>
    <row r="141" spans="1:9" ht="12.75">
      <c r="A141" s="604">
        <f t="shared" si="1"/>
        <v>2022.12</v>
      </c>
      <c r="B141" s="3098">
        <v>6296.2039999999997</v>
      </c>
      <c r="C141" s="3098">
        <v>3422.9830000000002</v>
      </c>
      <c r="D141" s="3098">
        <v>467.72399999999999</v>
      </c>
      <c r="E141" s="3098">
        <v>396.459</v>
      </c>
      <c r="F141" s="3098">
        <v>1895.8430000000001</v>
      </c>
      <c r="G141" s="1912">
        <v>611.61800000000005</v>
      </c>
      <c r="H141" s="1200">
        <v>13090.831000000002</v>
      </c>
      <c r="I141" s="1914"/>
    </row>
    <row r="142" spans="1:9" ht="12.75">
      <c r="A142" s="604">
        <f t="shared" si="1"/>
        <v>2023.01</v>
      </c>
      <c r="B142" s="3098">
        <v>6333.4040000000005</v>
      </c>
      <c r="C142" s="3098">
        <v>3382.8380000000002</v>
      </c>
      <c r="D142" s="3098">
        <v>468.22800000000001</v>
      </c>
      <c r="E142" s="3098">
        <v>400.30799999999999</v>
      </c>
      <c r="F142" s="3098">
        <v>1910.5219999999999</v>
      </c>
      <c r="G142" s="1912">
        <v>608.59799999999996</v>
      </c>
      <c r="H142" s="1200">
        <v>13103.897999999999</v>
      </c>
    </row>
    <row r="143" spans="1:9" ht="12.75">
      <c r="A143" s="604">
        <f t="shared" si="1"/>
        <v>2023.02</v>
      </c>
      <c r="B143" s="3098">
        <v>6348.1930000000002</v>
      </c>
      <c r="C143" s="3098">
        <v>3388.3850000000002</v>
      </c>
      <c r="D143" s="3098">
        <v>466.971</v>
      </c>
      <c r="E143" s="3098">
        <v>400.21699999999998</v>
      </c>
      <c r="F143" s="3098">
        <v>1920.933</v>
      </c>
      <c r="G143" s="1912">
        <v>603.94000000000005</v>
      </c>
      <c r="H143" s="1200">
        <v>13128.639000000001</v>
      </c>
    </row>
    <row r="144" spans="1:9" ht="12.75">
      <c r="A144" s="604">
        <f t="shared" si="1"/>
        <v>2023.03</v>
      </c>
      <c r="B144" s="3098">
        <v>6377.5249999999996</v>
      </c>
      <c r="C144" s="3098">
        <v>3392.44</v>
      </c>
      <c r="D144" s="3098">
        <v>466.50099999999998</v>
      </c>
      <c r="E144" s="3098">
        <v>396.61900000000003</v>
      </c>
      <c r="F144" s="3098">
        <v>1920.4059999999999</v>
      </c>
      <c r="G144" s="1912">
        <v>602.11699999999996</v>
      </c>
      <c r="H144" s="1200">
        <v>13155.608000000002</v>
      </c>
    </row>
    <row r="145" spans="1:8" ht="12.75">
      <c r="A145" s="604">
        <f t="shared" si="1"/>
        <v>2023.04</v>
      </c>
      <c r="B145" s="3098">
        <v>6339.7380000000003</v>
      </c>
      <c r="C145" s="3098">
        <v>3412.1660000000002</v>
      </c>
      <c r="D145" s="3098">
        <v>468.43400000000003</v>
      </c>
      <c r="E145" s="3098">
        <v>400.61500000000001</v>
      </c>
      <c r="F145" s="3098">
        <v>1926.3810000000001</v>
      </c>
      <c r="G145" s="1912">
        <v>602.71600000000001</v>
      </c>
      <c r="H145" s="1200">
        <v>13150.05</v>
      </c>
    </row>
    <row r="146" spans="1:8" ht="12.75">
      <c r="A146" s="604">
        <f t="shared" si="1"/>
        <v>2023.05</v>
      </c>
      <c r="B146" s="3098">
        <v>6347.7879999999996</v>
      </c>
      <c r="C146" s="3098">
        <v>3437.8530000000001</v>
      </c>
      <c r="D146" s="3098">
        <v>467.262</v>
      </c>
      <c r="E146" s="3098">
        <v>402.50099999999998</v>
      </c>
      <c r="F146" s="3098">
        <v>1967.51</v>
      </c>
      <c r="G146" s="1912">
        <v>597.92200000000003</v>
      </c>
      <c r="H146" s="1200">
        <v>13220.836000000001</v>
      </c>
    </row>
    <row r="147" spans="1:8" ht="12.75">
      <c r="A147" s="604">
        <f t="shared" si="1"/>
        <v>2023.06</v>
      </c>
      <c r="B147" s="3098">
        <v>6353.1170000000002</v>
      </c>
      <c r="C147" s="3098">
        <v>3467.5210000000002</v>
      </c>
      <c r="D147" s="3098">
        <v>466.392</v>
      </c>
      <c r="E147" s="3098">
        <v>405.21699999999998</v>
      </c>
      <c r="F147" s="3098">
        <v>1987.6010000000001</v>
      </c>
      <c r="G147" s="1912">
        <v>592.52</v>
      </c>
      <c r="H147" s="1200">
        <v>13272.368000000002</v>
      </c>
    </row>
    <row r="148" spans="1:8" ht="12.75">
      <c r="A148" s="604">
        <f t="shared" si="1"/>
        <v>2023.07</v>
      </c>
      <c r="B148" s="3098">
        <v>6374.49</v>
      </c>
      <c r="C148" s="3098">
        <v>3458.2620000000002</v>
      </c>
      <c r="D148" s="3098">
        <v>468.005</v>
      </c>
      <c r="E148" s="3098">
        <v>408.11099999999999</v>
      </c>
      <c r="F148" s="3098">
        <v>1984.376</v>
      </c>
      <c r="G148" s="1912">
        <v>612.02800000000002</v>
      </c>
      <c r="H148" s="1200">
        <v>13305.272000000001</v>
      </c>
    </row>
    <row r="149" spans="1:8" ht="12.75">
      <c r="A149" s="604">
        <f t="shared" si="1"/>
        <v>2023.08</v>
      </c>
      <c r="B149" s="3098">
        <v>6387.7070000000003</v>
      </c>
      <c r="C149" s="3098">
        <v>3470.3939999999998</v>
      </c>
      <c r="D149" s="3098">
        <v>469.40100000000001</v>
      </c>
      <c r="E149" s="3098">
        <v>411.21600000000001</v>
      </c>
      <c r="F149" s="3098">
        <v>2017.037</v>
      </c>
      <c r="G149" s="1912">
        <v>594.98500000000001</v>
      </c>
      <c r="H149" s="1200">
        <v>13350.740000000002</v>
      </c>
    </row>
    <row r="150" spans="1:8" ht="12.75">
      <c r="A150" s="604">
        <f t="shared" si="1"/>
        <v>2023.09</v>
      </c>
      <c r="B150" s="3098">
        <v>6371.65</v>
      </c>
      <c r="C150" s="3098">
        <v>3491.6819999999998</v>
      </c>
      <c r="D150" s="3098">
        <v>470.77600000000001</v>
      </c>
      <c r="E150" s="3098">
        <v>412.899</v>
      </c>
      <c r="F150" s="3098">
        <v>2010.7139999999999</v>
      </c>
      <c r="G150" s="1912">
        <v>623.27099999999996</v>
      </c>
      <c r="H150" s="1200">
        <v>13380.991999999998</v>
      </c>
    </row>
    <row r="151" spans="1:8" ht="12.75">
      <c r="A151" s="604">
        <f t="shared" si="1"/>
        <v>2023.1</v>
      </c>
      <c r="B151" s="3098">
        <v>6374.3990000000003</v>
      </c>
      <c r="C151" s="3098">
        <v>3477.6640000000002</v>
      </c>
      <c r="D151" s="3098">
        <v>468.214</v>
      </c>
      <c r="E151" s="3098">
        <v>409.98</v>
      </c>
      <c r="F151" s="3098">
        <v>2042.4469999999999</v>
      </c>
      <c r="G151" s="1912">
        <v>605.91499999999996</v>
      </c>
      <c r="H151" s="1200">
        <v>13378.618999999999</v>
      </c>
    </row>
    <row r="152" spans="1:8" ht="12.75">
      <c r="A152" s="604">
        <f t="shared" si="1"/>
        <v>2023.11</v>
      </c>
      <c r="B152" s="3098">
        <v>6385.7640000000001</v>
      </c>
      <c r="C152" s="3098">
        <v>3484.3049999999998</v>
      </c>
      <c r="D152" s="3098">
        <v>464.50400000000002</v>
      </c>
      <c r="E152" s="3098">
        <v>385.77300000000002</v>
      </c>
      <c r="F152" s="3098">
        <v>2037.7619999999999</v>
      </c>
      <c r="G152" s="1912">
        <v>634.72</v>
      </c>
      <c r="H152" s="1200">
        <v>13392.828</v>
      </c>
    </row>
    <row r="153" spans="1:8" ht="12.75">
      <c r="A153" s="604">
        <f t="shared" si="1"/>
        <v>2023.12</v>
      </c>
      <c r="B153" s="3098">
        <v>6379.12</v>
      </c>
      <c r="C153" s="3098">
        <v>3508.43</v>
      </c>
      <c r="D153" s="3098">
        <v>460.697</v>
      </c>
      <c r="E153" s="3098">
        <v>382.786</v>
      </c>
      <c r="F153" s="3098">
        <v>2044.8140000000001</v>
      </c>
      <c r="G153" s="1912">
        <v>637.40599999999995</v>
      </c>
      <c r="H153" s="1200">
        <v>13413.253000000001</v>
      </c>
    </row>
    <row r="154" spans="1:8" ht="12.75">
      <c r="A154" s="604">
        <f t="shared" si="1"/>
        <v>2024.01</v>
      </c>
      <c r="B154" s="3098">
        <v>6363.884</v>
      </c>
      <c r="C154" s="3098">
        <v>3426.424</v>
      </c>
      <c r="D154" s="3098">
        <v>459.291</v>
      </c>
      <c r="E154" s="3098">
        <v>385.41399999999999</v>
      </c>
      <c r="F154" s="3098">
        <v>2064.337</v>
      </c>
      <c r="G154" s="1912">
        <v>648.30200000000002</v>
      </c>
      <c r="H154" s="1303">
        <v>13347.652</v>
      </c>
    </row>
    <row r="155" spans="1:8" ht="12.75">
      <c r="A155" s="604">
        <f t="shared" si="1"/>
        <v>2024.02</v>
      </c>
      <c r="B155" s="1272">
        <v>6337.933</v>
      </c>
      <c r="C155" s="3100">
        <v>3420.8290000000002</v>
      </c>
      <c r="D155" s="3100">
        <v>456.66</v>
      </c>
      <c r="E155" s="3100">
        <v>408.17</v>
      </c>
      <c r="F155" s="1273">
        <v>2079.4650000000001</v>
      </c>
      <c r="G155" s="1915">
        <v>643.78</v>
      </c>
      <c r="H155" s="1303">
        <v>13347.445000000002</v>
      </c>
    </row>
    <row r="156" spans="1:8" ht="12.75">
      <c r="A156" s="604">
        <f t="shared" si="1"/>
        <v>2024.03</v>
      </c>
      <c r="B156" s="1272">
        <v>6306.558</v>
      </c>
      <c r="C156" s="3100">
        <v>3415.4549999999999</v>
      </c>
      <c r="D156" s="3100">
        <v>454.84399999999999</v>
      </c>
      <c r="E156" s="3100">
        <v>408.56799999999998</v>
      </c>
      <c r="F156" s="1273">
        <v>2077.0749999999998</v>
      </c>
      <c r="G156" s="1915">
        <v>631.50900000000001</v>
      </c>
      <c r="H156" s="1303">
        <v>13294.662000000002</v>
      </c>
    </row>
    <row r="157" spans="1:8" ht="12.75">
      <c r="A157" s="604">
        <f t="shared" si="1"/>
        <v>2024.04</v>
      </c>
      <c r="B157" s="1272">
        <v>6257.4570000000003</v>
      </c>
      <c r="C157" s="3100">
        <v>3420.1660000000002</v>
      </c>
      <c r="D157" s="3100">
        <v>453.36700000000002</v>
      </c>
      <c r="E157" s="3100">
        <v>410.09199999999998</v>
      </c>
      <c r="F157" s="1273">
        <v>2064.94</v>
      </c>
      <c r="G157" s="1915">
        <v>646.39400000000001</v>
      </c>
      <c r="H157" s="1303">
        <v>13253.717000000002</v>
      </c>
    </row>
    <row r="158" spans="1:8" ht="12.75">
      <c r="A158" s="604">
        <f t="shared" si="1"/>
        <v>2024.05</v>
      </c>
      <c r="B158" s="1272">
        <v>6227.9840000000004</v>
      </c>
      <c r="C158" s="3100">
        <v>3424.7890000000002</v>
      </c>
      <c r="D158" s="3100">
        <v>450.76799999999997</v>
      </c>
      <c r="E158" s="3100">
        <v>405.92899999999997</v>
      </c>
      <c r="F158" s="1273">
        <v>2059.9450000000002</v>
      </c>
      <c r="G158" s="1915">
        <v>666.57399999999996</v>
      </c>
      <c r="H158" s="1303">
        <v>13237.717999999999</v>
      </c>
    </row>
    <row r="159" spans="1:8" ht="12.75">
      <c r="A159" s="604">
        <f t="shared" si="1"/>
        <v>2024.06</v>
      </c>
      <c r="B159" s="1272">
        <v>6198.8419999999996</v>
      </c>
      <c r="C159" s="3100">
        <v>3443.2220000000002</v>
      </c>
      <c r="D159" s="3100">
        <v>450.04300000000001</v>
      </c>
      <c r="E159" s="3100">
        <v>405.12599999999998</v>
      </c>
      <c r="F159" s="1273">
        <v>2056.8789999999999</v>
      </c>
      <c r="G159" s="1915">
        <v>673.28899999999999</v>
      </c>
      <c r="H159" s="1303">
        <v>13229.658000000001</v>
      </c>
    </row>
    <row r="160" spans="1:8" ht="12.75">
      <c r="A160" s="604">
        <f t="shared" si="1"/>
        <v>2024.07</v>
      </c>
      <c r="B160" s="1272">
        <v>6209.6629999999996</v>
      </c>
      <c r="C160" s="3100">
        <v>3423.2280000000001</v>
      </c>
      <c r="D160" s="3100">
        <v>450.46899999999999</v>
      </c>
      <c r="E160" s="3100">
        <v>403.73099999999999</v>
      </c>
      <c r="F160" s="1273">
        <v>2071.1419999999998</v>
      </c>
      <c r="G160" s="1915">
        <v>676.02800000000002</v>
      </c>
      <c r="H160" s="1303">
        <v>13236.569999999998</v>
      </c>
    </row>
    <row r="161" spans="1:8" ht="12.75">
      <c r="A161" s="604">
        <f t="shared" si="1"/>
        <v>2024.08</v>
      </c>
      <c r="B161" s="1272">
        <v>6213.7619999999997</v>
      </c>
      <c r="C161" s="3100">
        <v>3422.2139999999999</v>
      </c>
      <c r="D161" s="3100">
        <v>452.41399999999999</v>
      </c>
      <c r="E161" s="3100">
        <v>402.459</v>
      </c>
      <c r="F161" s="1273">
        <v>2094.6109999999999</v>
      </c>
      <c r="G161" s="1915">
        <v>677.42700000000002</v>
      </c>
      <c r="H161" s="1303">
        <v>13265.518</v>
      </c>
    </row>
    <row r="162" spans="1:8" ht="12.75">
      <c r="A162" s="604">
        <f t="shared" si="1"/>
        <v>2024.09</v>
      </c>
      <c r="B162" s="1272">
        <v>6222.7879999999996</v>
      </c>
      <c r="C162" s="3100">
        <v>3427.6869999999999</v>
      </c>
      <c r="D162" s="3100">
        <v>453.51100000000002</v>
      </c>
      <c r="E162" s="3100">
        <v>400.84100000000001</v>
      </c>
      <c r="F162" s="1273">
        <v>2092.3589999999999</v>
      </c>
      <c r="G162" s="1915">
        <v>678.91399999999999</v>
      </c>
      <c r="H162" s="1303">
        <v>13278.282000000001</v>
      </c>
    </row>
    <row r="163" spans="1:8" ht="12.75">
      <c r="A163" s="604">
        <f t="shared" si="1"/>
        <v>2024.1</v>
      </c>
      <c r="B163" s="1272">
        <v>6247.3509999999997</v>
      </c>
      <c r="C163" s="3100">
        <v>3431.3290000000002</v>
      </c>
      <c r="D163" s="3100">
        <v>451.959</v>
      </c>
      <c r="E163" s="3100">
        <v>396.06099999999998</v>
      </c>
      <c r="F163" s="1273">
        <v>2073.1239999999998</v>
      </c>
      <c r="G163" s="1915">
        <v>678.17899999999997</v>
      </c>
      <c r="H163" s="1303">
        <v>13279.677</v>
      </c>
    </row>
    <row r="164" spans="1:8" ht="12.75">
      <c r="A164" s="604">
        <f t="shared" si="1"/>
        <v>2024.11</v>
      </c>
      <c r="B164" s="1272">
        <v>6264.39</v>
      </c>
      <c r="C164" s="3100">
        <v>3434.3710000000001</v>
      </c>
      <c r="D164" s="3100">
        <v>450.20600000000002</v>
      </c>
      <c r="E164" s="3100">
        <v>392.44799999999998</v>
      </c>
      <c r="F164" s="1273">
        <v>2065.105</v>
      </c>
      <c r="G164" s="1915">
        <v>673.24400000000003</v>
      </c>
      <c r="H164" s="1303">
        <v>13281.371999999999</v>
      </c>
    </row>
    <row r="165" spans="1:8" ht="12.75">
      <c r="A165" s="604">
        <f t="shared" si="1"/>
        <v>2024.12</v>
      </c>
      <c r="B165" s="1272">
        <v>6280.549</v>
      </c>
      <c r="C165" s="3100">
        <v>3447.3710000000001</v>
      </c>
      <c r="D165" s="3100">
        <v>447.32299999999998</v>
      </c>
      <c r="E165" s="3100">
        <v>390.86099999999999</v>
      </c>
      <c r="F165" s="1273">
        <v>2060.3629999999998</v>
      </c>
      <c r="G165" s="1915">
        <v>267.07100000000003</v>
      </c>
      <c r="H165" s="1303">
        <v>12895.706999999999</v>
      </c>
    </row>
    <row r="166" spans="1:8" ht="12.75">
      <c r="A166" s="604">
        <f t="shared" si="1"/>
        <v>2025.01</v>
      </c>
      <c r="B166" s="1272">
        <v>6284.5910000000003</v>
      </c>
      <c r="C166" s="3100">
        <v>3402.5120000000002</v>
      </c>
      <c r="D166" s="3100">
        <v>446.29</v>
      </c>
      <c r="E166" s="3100">
        <v>390.45800000000003</v>
      </c>
      <c r="F166" s="1273">
        <v>2071.7449999999999</v>
      </c>
      <c r="G166" s="1915">
        <v>259.43099999999998</v>
      </c>
      <c r="H166" s="1303">
        <v>12853.789000000001</v>
      </c>
    </row>
    <row r="167" spans="1:8" ht="12.75">
      <c r="A167" s="604">
        <f t="shared" si="1"/>
        <v>2025.02</v>
      </c>
      <c r="B167" s="1272">
        <v>6296.3050000000003</v>
      </c>
      <c r="C167" s="3100">
        <v>3383.8069999999998</v>
      </c>
      <c r="D167" s="3100">
        <v>447.16699999999997</v>
      </c>
      <c r="E167" s="3100">
        <v>388.64</v>
      </c>
      <c r="F167" s="1273">
        <v>2087.7220000000002</v>
      </c>
      <c r="G167" s="1915">
        <v>249.01499999999999</v>
      </c>
      <c r="H167" s="1303">
        <v>12852.655999999999</v>
      </c>
    </row>
    <row r="168" spans="1:8" ht="12.75">
      <c r="A168" s="604">
        <f t="shared" si="1"/>
        <v>2025.03</v>
      </c>
      <c r="B168" s="1355" t="e">
        <v>#N/A</v>
      </c>
      <c r="C168" s="3101" t="e">
        <v>#N/A</v>
      </c>
      <c r="D168" s="1356" t="e">
        <v>#N/A</v>
      </c>
      <c r="E168" s="3101" t="e">
        <v>#N/A</v>
      </c>
      <c r="F168" s="1356" t="e">
        <v>#N/A</v>
      </c>
      <c r="G168" s="1916" t="e">
        <v>#N/A</v>
      </c>
      <c r="H168" s="1357" t="e">
        <v>#N/A</v>
      </c>
    </row>
    <row r="169" spans="1:8" ht="12.75">
      <c r="A169" s="604">
        <f>A157+1</f>
        <v>2025.04</v>
      </c>
      <c r="B169" s="1355" t="e">
        <v>#N/A</v>
      </c>
      <c r="C169" s="3101" t="e">
        <v>#N/A</v>
      </c>
      <c r="D169" s="1356" t="e">
        <v>#N/A</v>
      </c>
      <c r="E169" s="3101" t="e">
        <v>#N/A</v>
      </c>
      <c r="F169" s="1356" t="e">
        <v>#N/A</v>
      </c>
      <c r="G169" s="1916" t="e">
        <v>#N/A</v>
      </c>
      <c r="H169" s="1357" t="e">
        <v>#N/A</v>
      </c>
    </row>
    <row r="170" spans="1:8" ht="12.75">
      <c r="A170" s="604">
        <f t="shared" si="1"/>
        <v>2025.05</v>
      </c>
      <c r="B170" s="1355" t="e">
        <v>#N/A</v>
      </c>
      <c r="C170" s="3101" t="e">
        <v>#N/A</v>
      </c>
      <c r="D170" s="1356" t="e">
        <v>#N/A</v>
      </c>
      <c r="E170" s="3101" t="e">
        <v>#N/A</v>
      </c>
      <c r="F170" s="1356" t="e">
        <v>#N/A</v>
      </c>
      <c r="G170" s="1916" t="e">
        <v>#N/A</v>
      </c>
      <c r="H170" s="1357" t="e">
        <v>#N/A</v>
      </c>
    </row>
    <row r="171" spans="1:8" ht="12.75">
      <c r="A171" s="604">
        <f t="shared" si="1"/>
        <v>2025.06</v>
      </c>
      <c r="B171" s="1355" t="e">
        <v>#N/A</v>
      </c>
      <c r="C171" s="3101" t="e">
        <v>#N/A</v>
      </c>
      <c r="D171" s="1356" t="e">
        <v>#N/A</v>
      </c>
      <c r="E171" s="3101" t="e">
        <v>#N/A</v>
      </c>
      <c r="F171" s="1356" t="e">
        <v>#N/A</v>
      </c>
      <c r="G171" s="1916" t="e">
        <v>#N/A</v>
      </c>
      <c r="H171" s="1357" t="e">
        <v>#N/A</v>
      </c>
    </row>
    <row r="172" spans="1:8" ht="12.75">
      <c r="A172" s="604">
        <f t="shared" si="1"/>
        <v>2025.07</v>
      </c>
      <c r="B172" s="1355" t="e">
        <v>#N/A</v>
      </c>
      <c r="C172" s="3101" t="e">
        <v>#N/A</v>
      </c>
      <c r="D172" s="1356" t="e">
        <v>#N/A</v>
      </c>
      <c r="E172" s="3101" t="e">
        <v>#N/A</v>
      </c>
      <c r="F172" s="1356" t="e">
        <v>#N/A</v>
      </c>
      <c r="G172" s="1916" t="e">
        <v>#N/A</v>
      </c>
      <c r="H172" s="1357" t="e">
        <v>#N/A</v>
      </c>
    </row>
    <row r="173" spans="1:8" ht="12.75">
      <c r="A173" s="604">
        <f t="shared" si="1"/>
        <v>2025.08</v>
      </c>
      <c r="B173" s="1355" t="e">
        <v>#N/A</v>
      </c>
      <c r="C173" s="3101" t="e">
        <v>#N/A</v>
      </c>
      <c r="D173" s="1356" t="e">
        <v>#N/A</v>
      </c>
      <c r="E173" s="3101" t="e">
        <v>#N/A</v>
      </c>
      <c r="F173" s="1356" t="e">
        <v>#N/A</v>
      </c>
      <c r="G173" s="1916" t="e">
        <v>#N/A</v>
      </c>
      <c r="H173" s="1357" t="e">
        <v>#N/A</v>
      </c>
    </row>
    <row r="174" spans="1:8" ht="12.75">
      <c r="A174" s="604">
        <f t="shared" si="1"/>
        <v>2025.09</v>
      </c>
      <c r="B174" s="1355" t="e">
        <v>#N/A</v>
      </c>
      <c r="C174" s="3101" t="e">
        <v>#N/A</v>
      </c>
      <c r="D174" s="1356" t="e">
        <v>#N/A</v>
      </c>
      <c r="E174" s="3101" t="e">
        <v>#N/A</v>
      </c>
      <c r="F174" s="1356" t="e">
        <v>#N/A</v>
      </c>
      <c r="G174" s="1916" t="e">
        <v>#N/A</v>
      </c>
      <c r="H174" s="1357" t="e">
        <v>#N/A</v>
      </c>
    </row>
    <row r="175" spans="1:8" ht="12.75">
      <c r="A175" s="604">
        <f>A163+1</f>
        <v>2025.1</v>
      </c>
      <c r="B175" s="1355" t="e">
        <v>#N/A</v>
      </c>
      <c r="C175" s="3101" t="e">
        <v>#N/A</v>
      </c>
      <c r="D175" s="1356" t="e">
        <v>#N/A</v>
      </c>
      <c r="E175" s="3101" t="e">
        <v>#N/A</v>
      </c>
      <c r="F175" s="1356" t="e">
        <v>#N/A</v>
      </c>
      <c r="G175" s="1916" t="e">
        <v>#N/A</v>
      </c>
      <c r="H175" s="1357" t="e">
        <v>#N/A</v>
      </c>
    </row>
    <row r="176" spans="1:8" ht="12.75">
      <c r="A176" s="604">
        <f t="shared" si="1"/>
        <v>2025.11</v>
      </c>
      <c r="B176" s="1355" t="e">
        <v>#N/A</v>
      </c>
      <c r="C176" s="3101" t="e">
        <v>#N/A</v>
      </c>
      <c r="D176" s="1356" t="e">
        <v>#N/A</v>
      </c>
      <c r="E176" s="3101" t="e">
        <v>#N/A</v>
      </c>
      <c r="F176" s="1356" t="e">
        <v>#N/A</v>
      </c>
      <c r="G176" s="1916" t="e">
        <v>#N/A</v>
      </c>
      <c r="H176" s="1357" t="e">
        <v>#N/A</v>
      </c>
    </row>
    <row r="177" spans="1:8" ht="12.75">
      <c r="A177" s="604">
        <f t="shared" ref="A177:A208" si="2">A165+1</f>
        <v>2025.12</v>
      </c>
      <c r="B177" s="1355" t="e">
        <v>#N/A</v>
      </c>
      <c r="C177" s="3101" t="e">
        <v>#N/A</v>
      </c>
      <c r="D177" s="1356" t="e">
        <v>#N/A</v>
      </c>
      <c r="E177" s="3101" t="e">
        <v>#N/A</v>
      </c>
      <c r="F177" s="1356" t="e">
        <v>#N/A</v>
      </c>
      <c r="G177" s="1916" t="e">
        <v>#N/A</v>
      </c>
      <c r="H177" s="1357" t="e">
        <v>#N/A</v>
      </c>
    </row>
    <row r="178" spans="1:8" ht="12.75">
      <c r="A178" s="604">
        <f t="shared" si="2"/>
        <v>2026.01</v>
      </c>
      <c r="B178" s="1355" t="e">
        <v>#N/A</v>
      </c>
      <c r="C178" s="3101" t="e">
        <v>#N/A</v>
      </c>
      <c r="D178" s="1356" t="e">
        <v>#N/A</v>
      </c>
      <c r="E178" s="3101" t="e">
        <v>#N/A</v>
      </c>
      <c r="F178" s="1356" t="e">
        <v>#N/A</v>
      </c>
      <c r="G178" s="1916" t="e">
        <v>#N/A</v>
      </c>
      <c r="H178" s="1357" t="e">
        <v>#N/A</v>
      </c>
    </row>
    <row r="179" spans="1:8" ht="12.75">
      <c r="A179" s="604">
        <f t="shared" si="2"/>
        <v>2026.02</v>
      </c>
      <c r="B179" s="1355" t="e">
        <v>#N/A</v>
      </c>
      <c r="C179" s="3101" t="e">
        <v>#N/A</v>
      </c>
      <c r="D179" s="1356" t="e">
        <v>#N/A</v>
      </c>
      <c r="E179" s="3101" t="e">
        <v>#N/A</v>
      </c>
      <c r="F179" s="1356" t="e">
        <v>#N/A</v>
      </c>
      <c r="G179" s="1916" t="e">
        <v>#N/A</v>
      </c>
      <c r="H179" s="1357" t="e">
        <v>#N/A</v>
      </c>
    </row>
    <row r="180" spans="1:8" ht="12.75">
      <c r="A180" s="604">
        <f t="shared" si="2"/>
        <v>2026.03</v>
      </c>
      <c r="B180" s="1355" t="e">
        <v>#N/A</v>
      </c>
      <c r="C180" s="3101" t="e">
        <v>#N/A</v>
      </c>
      <c r="D180" s="1356" t="e">
        <v>#N/A</v>
      </c>
      <c r="E180" s="3101" t="e">
        <v>#N/A</v>
      </c>
      <c r="F180" s="1356" t="e">
        <v>#N/A</v>
      </c>
      <c r="G180" s="1916" t="e">
        <v>#N/A</v>
      </c>
      <c r="H180" s="1357" t="e">
        <v>#N/A</v>
      </c>
    </row>
    <row r="181" spans="1:8" ht="12.75">
      <c r="A181" s="604">
        <f t="shared" si="2"/>
        <v>2026.04</v>
      </c>
      <c r="B181" s="1355" t="e">
        <v>#N/A</v>
      </c>
      <c r="C181" s="3101" t="e">
        <v>#N/A</v>
      </c>
      <c r="D181" s="1356" t="e">
        <v>#N/A</v>
      </c>
      <c r="E181" s="3101" t="e">
        <v>#N/A</v>
      </c>
      <c r="F181" s="1356" t="e">
        <v>#N/A</v>
      </c>
      <c r="G181" s="1916" t="e">
        <v>#N/A</v>
      </c>
      <c r="H181" s="1357" t="e">
        <v>#N/A</v>
      </c>
    </row>
    <row r="182" spans="1:8" ht="12.75">
      <c r="A182" s="604">
        <f t="shared" si="2"/>
        <v>2026.05</v>
      </c>
      <c r="B182" s="1355" t="e">
        <v>#N/A</v>
      </c>
      <c r="C182" s="3101" t="e">
        <v>#N/A</v>
      </c>
      <c r="D182" s="1356" t="e">
        <v>#N/A</v>
      </c>
      <c r="E182" s="3101" t="e">
        <v>#N/A</v>
      </c>
      <c r="F182" s="1356" t="e">
        <v>#N/A</v>
      </c>
      <c r="G182" s="1916" t="e">
        <v>#N/A</v>
      </c>
      <c r="H182" s="1357" t="e">
        <v>#N/A</v>
      </c>
    </row>
    <row r="183" spans="1:8" ht="12.75">
      <c r="A183" s="604">
        <f t="shared" si="2"/>
        <v>2026.06</v>
      </c>
      <c r="B183" s="1355" t="e">
        <v>#N/A</v>
      </c>
      <c r="C183" s="3101" t="e">
        <v>#N/A</v>
      </c>
      <c r="D183" s="1356" t="e">
        <v>#N/A</v>
      </c>
      <c r="E183" s="3101" t="e">
        <v>#N/A</v>
      </c>
      <c r="F183" s="1356" t="e">
        <v>#N/A</v>
      </c>
      <c r="G183" s="1916" t="e">
        <v>#N/A</v>
      </c>
      <c r="H183" s="1357" t="e">
        <v>#N/A</v>
      </c>
    </row>
    <row r="184" spans="1:8" ht="12.75">
      <c r="A184" s="604">
        <f t="shared" si="2"/>
        <v>2026.07</v>
      </c>
      <c r="B184" s="1355" t="e">
        <v>#N/A</v>
      </c>
      <c r="C184" s="3101" t="e">
        <v>#N/A</v>
      </c>
      <c r="D184" s="1356" t="e">
        <v>#N/A</v>
      </c>
      <c r="E184" s="3101" t="e">
        <v>#N/A</v>
      </c>
      <c r="F184" s="1356" t="e">
        <v>#N/A</v>
      </c>
      <c r="G184" s="1916" t="e">
        <v>#N/A</v>
      </c>
      <c r="H184" s="1357" t="e">
        <v>#N/A</v>
      </c>
    </row>
    <row r="185" spans="1:8" ht="12.75">
      <c r="A185" s="604">
        <f t="shared" si="2"/>
        <v>2026.08</v>
      </c>
      <c r="B185" s="1355" t="e">
        <v>#N/A</v>
      </c>
      <c r="C185" s="3101" t="e">
        <v>#N/A</v>
      </c>
      <c r="D185" s="1356" t="e">
        <v>#N/A</v>
      </c>
      <c r="E185" s="3101" t="e">
        <v>#N/A</v>
      </c>
      <c r="F185" s="1356" t="e">
        <v>#N/A</v>
      </c>
      <c r="G185" s="1916" t="e">
        <v>#N/A</v>
      </c>
      <c r="H185" s="1357" t="e">
        <v>#N/A</v>
      </c>
    </row>
    <row r="186" spans="1:8" ht="12.75">
      <c r="A186" s="604">
        <f t="shared" si="2"/>
        <v>2026.09</v>
      </c>
      <c r="B186" s="1355" t="e">
        <v>#N/A</v>
      </c>
      <c r="C186" s="3101" t="e">
        <v>#N/A</v>
      </c>
      <c r="D186" s="1356" t="e">
        <v>#N/A</v>
      </c>
      <c r="E186" s="3101" t="e">
        <v>#N/A</v>
      </c>
      <c r="F186" s="1356" t="e">
        <v>#N/A</v>
      </c>
      <c r="G186" s="1916" t="e">
        <v>#N/A</v>
      </c>
      <c r="H186" s="1357" t="e">
        <v>#N/A</v>
      </c>
    </row>
    <row r="187" spans="1:8" ht="12.75">
      <c r="A187" s="604">
        <f t="shared" si="2"/>
        <v>2026.1</v>
      </c>
      <c r="B187" s="1355" t="e">
        <v>#N/A</v>
      </c>
      <c r="C187" s="3101" t="e">
        <v>#N/A</v>
      </c>
      <c r="D187" s="1356" t="e">
        <v>#N/A</v>
      </c>
      <c r="E187" s="3101" t="e">
        <v>#N/A</v>
      </c>
      <c r="F187" s="1356" t="e">
        <v>#N/A</v>
      </c>
      <c r="G187" s="1916" t="e">
        <v>#N/A</v>
      </c>
      <c r="H187" s="1357" t="e">
        <v>#N/A</v>
      </c>
    </row>
    <row r="188" spans="1:8" ht="12.75">
      <c r="A188" s="604">
        <f t="shared" si="2"/>
        <v>2026.11</v>
      </c>
      <c r="B188" s="1355" t="e">
        <v>#N/A</v>
      </c>
      <c r="C188" s="3101" t="e">
        <v>#N/A</v>
      </c>
      <c r="D188" s="1356" t="e">
        <v>#N/A</v>
      </c>
      <c r="E188" s="3101" t="e">
        <v>#N/A</v>
      </c>
      <c r="F188" s="1356" t="e">
        <v>#N/A</v>
      </c>
      <c r="G188" s="1916" t="e">
        <v>#N/A</v>
      </c>
      <c r="H188" s="1357" t="e">
        <v>#N/A</v>
      </c>
    </row>
    <row r="189" spans="1:8" ht="12.75">
      <c r="A189" s="604">
        <f t="shared" si="2"/>
        <v>2026.12</v>
      </c>
      <c r="B189" s="1355" t="e">
        <v>#N/A</v>
      </c>
      <c r="C189" s="3101" t="e">
        <v>#N/A</v>
      </c>
      <c r="D189" s="1356" t="e">
        <v>#N/A</v>
      </c>
      <c r="E189" s="3101" t="e">
        <v>#N/A</v>
      </c>
      <c r="F189" s="1356" t="e">
        <v>#N/A</v>
      </c>
      <c r="G189" s="1916" t="e">
        <v>#N/A</v>
      </c>
      <c r="H189" s="1357" t="e">
        <v>#N/A</v>
      </c>
    </row>
    <row r="190" spans="1:8" ht="12.75">
      <c r="A190" s="604">
        <f t="shared" si="2"/>
        <v>2027.01</v>
      </c>
      <c r="B190" s="1355" t="e">
        <v>#N/A</v>
      </c>
      <c r="C190" s="3101" t="e">
        <v>#N/A</v>
      </c>
      <c r="D190" s="1356" t="e">
        <v>#N/A</v>
      </c>
      <c r="E190" s="3101" t="e">
        <v>#N/A</v>
      </c>
      <c r="F190" s="1356" t="e">
        <v>#N/A</v>
      </c>
      <c r="G190" s="1916" t="e">
        <v>#N/A</v>
      </c>
      <c r="H190" s="1357" t="e">
        <v>#N/A</v>
      </c>
    </row>
    <row r="191" spans="1:8" ht="12.75">
      <c r="A191" s="604">
        <f t="shared" si="2"/>
        <v>2027.02</v>
      </c>
      <c r="B191" s="1355" t="e">
        <v>#N/A</v>
      </c>
      <c r="C191" s="3101" t="e">
        <v>#N/A</v>
      </c>
      <c r="D191" s="1356" t="e">
        <v>#N/A</v>
      </c>
      <c r="E191" s="3101" t="e">
        <v>#N/A</v>
      </c>
      <c r="F191" s="1356" t="e">
        <v>#N/A</v>
      </c>
      <c r="G191" s="1916" t="e">
        <v>#N/A</v>
      </c>
      <c r="H191" s="1357" t="e">
        <v>#N/A</v>
      </c>
    </row>
    <row r="192" spans="1:8" ht="12.75">
      <c r="A192" s="604">
        <f t="shared" si="2"/>
        <v>2027.03</v>
      </c>
      <c r="B192" s="1355" t="e">
        <v>#N/A</v>
      </c>
      <c r="C192" s="3101" t="e">
        <v>#N/A</v>
      </c>
      <c r="D192" s="1356" t="e">
        <v>#N/A</v>
      </c>
      <c r="E192" s="3101" t="e">
        <v>#N/A</v>
      </c>
      <c r="F192" s="1356" t="e">
        <v>#N/A</v>
      </c>
      <c r="G192" s="1916" t="e">
        <v>#N/A</v>
      </c>
      <c r="H192" s="1357" t="e">
        <v>#N/A</v>
      </c>
    </row>
    <row r="193" spans="1:8" ht="12.75">
      <c r="A193" s="604">
        <f t="shared" si="2"/>
        <v>2027.04</v>
      </c>
      <c r="B193" s="1355" t="e">
        <v>#N/A</v>
      </c>
      <c r="C193" s="3101" t="e">
        <v>#N/A</v>
      </c>
      <c r="D193" s="1356" t="e">
        <v>#N/A</v>
      </c>
      <c r="E193" s="3101" t="e">
        <v>#N/A</v>
      </c>
      <c r="F193" s="1356" t="e">
        <v>#N/A</v>
      </c>
      <c r="G193" s="1916" t="e">
        <v>#N/A</v>
      </c>
      <c r="H193" s="1357" t="e">
        <v>#N/A</v>
      </c>
    </row>
    <row r="194" spans="1:8" ht="12.75">
      <c r="A194" s="604">
        <f t="shared" si="2"/>
        <v>2027.05</v>
      </c>
      <c r="B194" s="1355" t="e">
        <v>#N/A</v>
      </c>
      <c r="C194" s="3101" t="e">
        <v>#N/A</v>
      </c>
      <c r="D194" s="1356" t="e">
        <v>#N/A</v>
      </c>
      <c r="E194" s="3101" t="e">
        <v>#N/A</v>
      </c>
      <c r="F194" s="1356" t="e">
        <v>#N/A</v>
      </c>
      <c r="G194" s="1916" t="e">
        <v>#N/A</v>
      </c>
      <c r="H194" s="1357" t="e">
        <v>#N/A</v>
      </c>
    </row>
    <row r="195" spans="1:8" ht="12.75">
      <c r="A195" s="604">
        <f t="shared" si="2"/>
        <v>2027.06</v>
      </c>
      <c r="B195" s="1355" t="e">
        <v>#N/A</v>
      </c>
      <c r="C195" s="3101" t="e">
        <v>#N/A</v>
      </c>
      <c r="D195" s="1356" t="e">
        <v>#N/A</v>
      </c>
      <c r="E195" s="3101" t="e">
        <v>#N/A</v>
      </c>
      <c r="F195" s="1356" t="e">
        <v>#N/A</v>
      </c>
      <c r="G195" s="1916" t="e">
        <v>#N/A</v>
      </c>
      <c r="H195" s="1357" t="e">
        <v>#N/A</v>
      </c>
    </row>
    <row r="196" spans="1:8" ht="12.75">
      <c r="A196" s="604">
        <f t="shared" si="2"/>
        <v>2027.07</v>
      </c>
      <c r="B196" s="1355" t="e">
        <v>#N/A</v>
      </c>
      <c r="C196" s="3101" t="e">
        <v>#N/A</v>
      </c>
      <c r="D196" s="1356" t="e">
        <v>#N/A</v>
      </c>
      <c r="E196" s="3101" t="e">
        <v>#N/A</v>
      </c>
      <c r="F196" s="1356" t="e">
        <v>#N/A</v>
      </c>
      <c r="G196" s="1916" t="e">
        <v>#N/A</v>
      </c>
      <c r="H196" s="1357" t="e">
        <v>#N/A</v>
      </c>
    </row>
    <row r="197" spans="1:8" ht="12.75">
      <c r="A197" s="604">
        <f t="shared" si="2"/>
        <v>2027.08</v>
      </c>
      <c r="B197" s="1355" t="e">
        <v>#N/A</v>
      </c>
      <c r="C197" s="3101" t="e">
        <v>#N/A</v>
      </c>
      <c r="D197" s="1356" t="e">
        <v>#N/A</v>
      </c>
      <c r="E197" s="3101" t="e">
        <v>#N/A</v>
      </c>
      <c r="F197" s="1356" t="e">
        <v>#N/A</v>
      </c>
      <c r="G197" s="1916" t="e">
        <v>#N/A</v>
      </c>
      <c r="H197" s="1357" t="e">
        <v>#N/A</v>
      </c>
    </row>
    <row r="198" spans="1:8" ht="12.75">
      <c r="A198" s="604">
        <f t="shared" si="2"/>
        <v>2027.09</v>
      </c>
      <c r="B198" s="1355" t="e">
        <v>#N/A</v>
      </c>
      <c r="C198" s="3101" t="e">
        <v>#N/A</v>
      </c>
      <c r="D198" s="1356" t="e">
        <v>#N/A</v>
      </c>
      <c r="E198" s="3101" t="e">
        <v>#N/A</v>
      </c>
      <c r="F198" s="1356" t="e">
        <v>#N/A</v>
      </c>
      <c r="G198" s="1916" t="e">
        <v>#N/A</v>
      </c>
      <c r="H198" s="1357" t="e">
        <v>#N/A</v>
      </c>
    </row>
    <row r="199" spans="1:8" ht="12.75">
      <c r="A199" s="604">
        <f t="shared" si="2"/>
        <v>2027.1</v>
      </c>
      <c r="B199" s="1355" t="e">
        <v>#N/A</v>
      </c>
      <c r="C199" s="3101" t="e">
        <v>#N/A</v>
      </c>
      <c r="D199" s="1356" t="e">
        <v>#N/A</v>
      </c>
      <c r="E199" s="3101" t="e">
        <v>#N/A</v>
      </c>
      <c r="F199" s="1356" t="e">
        <v>#N/A</v>
      </c>
      <c r="G199" s="1916" t="e">
        <v>#N/A</v>
      </c>
      <c r="H199" s="1357" t="e">
        <v>#N/A</v>
      </c>
    </row>
    <row r="200" spans="1:8" ht="12.75">
      <c r="A200" s="604">
        <f t="shared" si="2"/>
        <v>2027.11</v>
      </c>
      <c r="B200" s="1355" t="e">
        <v>#N/A</v>
      </c>
      <c r="C200" s="3101" t="e">
        <v>#N/A</v>
      </c>
      <c r="D200" s="1356" t="e">
        <v>#N/A</v>
      </c>
      <c r="E200" s="3101" t="e">
        <v>#N/A</v>
      </c>
      <c r="F200" s="1356" t="e">
        <v>#N/A</v>
      </c>
      <c r="G200" s="1916" t="e">
        <v>#N/A</v>
      </c>
      <c r="H200" s="1357" t="e">
        <v>#N/A</v>
      </c>
    </row>
    <row r="201" spans="1:8" ht="12.75">
      <c r="A201" s="604">
        <f t="shared" si="2"/>
        <v>2027.12</v>
      </c>
      <c r="B201" s="1355" t="e">
        <v>#N/A</v>
      </c>
      <c r="C201" s="3101" t="e">
        <v>#N/A</v>
      </c>
      <c r="D201" s="1356" t="e">
        <v>#N/A</v>
      </c>
      <c r="E201" s="3101" t="e">
        <v>#N/A</v>
      </c>
      <c r="F201" s="1356" t="e">
        <v>#N/A</v>
      </c>
      <c r="G201" s="1916" t="e">
        <v>#N/A</v>
      </c>
      <c r="H201" s="1357" t="e">
        <v>#N/A</v>
      </c>
    </row>
    <row r="202" spans="1:8" ht="12.75">
      <c r="A202" s="604">
        <f t="shared" si="2"/>
        <v>2028.01</v>
      </c>
      <c r="B202" s="1355" t="e">
        <v>#N/A</v>
      </c>
      <c r="C202" s="3101" t="e">
        <v>#N/A</v>
      </c>
      <c r="D202" s="1356" t="e">
        <v>#N/A</v>
      </c>
      <c r="E202" s="3101" t="e">
        <v>#N/A</v>
      </c>
      <c r="F202" s="1356" t="e">
        <v>#N/A</v>
      </c>
      <c r="G202" s="1916" t="e">
        <v>#N/A</v>
      </c>
      <c r="H202" s="1357" t="e">
        <v>#N/A</v>
      </c>
    </row>
    <row r="203" spans="1:8" ht="12.75">
      <c r="A203" s="604">
        <f t="shared" si="2"/>
        <v>2028.02</v>
      </c>
      <c r="B203" s="1355" t="e">
        <v>#N/A</v>
      </c>
      <c r="C203" s="3101" t="e">
        <v>#N/A</v>
      </c>
      <c r="D203" s="1356" t="e">
        <v>#N/A</v>
      </c>
      <c r="E203" s="3101" t="e">
        <v>#N/A</v>
      </c>
      <c r="F203" s="1356" t="e">
        <v>#N/A</v>
      </c>
      <c r="G203" s="1916" t="e">
        <v>#N/A</v>
      </c>
      <c r="H203" s="1357" t="e">
        <v>#N/A</v>
      </c>
    </row>
    <row r="204" spans="1:8" ht="12.75">
      <c r="A204" s="604">
        <f t="shared" si="2"/>
        <v>2028.03</v>
      </c>
      <c r="B204" s="1355" t="e">
        <v>#N/A</v>
      </c>
      <c r="C204" s="3101" t="e">
        <v>#N/A</v>
      </c>
      <c r="D204" s="1356" t="e">
        <v>#N/A</v>
      </c>
      <c r="E204" s="3101" t="e">
        <v>#N/A</v>
      </c>
      <c r="F204" s="1356" t="e">
        <v>#N/A</v>
      </c>
      <c r="G204" s="1916" t="e">
        <v>#N/A</v>
      </c>
      <c r="H204" s="1357" t="e">
        <v>#N/A</v>
      </c>
    </row>
    <row r="205" spans="1:8" ht="12.75">
      <c r="A205" s="604">
        <f t="shared" si="2"/>
        <v>2028.04</v>
      </c>
      <c r="B205" s="1355" t="e">
        <v>#N/A</v>
      </c>
      <c r="C205" s="3101" t="e">
        <v>#N/A</v>
      </c>
      <c r="D205" s="1356" t="e">
        <v>#N/A</v>
      </c>
      <c r="E205" s="3101" t="e">
        <v>#N/A</v>
      </c>
      <c r="F205" s="1356" t="e">
        <v>#N/A</v>
      </c>
      <c r="G205" s="1916" t="e">
        <v>#N/A</v>
      </c>
      <c r="H205" s="1357" t="e">
        <v>#N/A</v>
      </c>
    </row>
    <row r="206" spans="1:8" ht="12.75">
      <c r="A206" s="604">
        <f t="shared" si="2"/>
        <v>2028.05</v>
      </c>
      <c r="B206" s="1355" t="e">
        <v>#N/A</v>
      </c>
      <c r="C206" s="3101" t="e">
        <v>#N/A</v>
      </c>
      <c r="D206" s="1356" t="e">
        <v>#N/A</v>
      </c>
      <c r="E206" s="3101" t="e">
        <v>#N/A</v>
      </c>
      <c r="F206" s="1356" t="e">
        <v>#N/A</v>
      </c>
      <c r="G206" s="1916" t="e">
        <v>#N/A</v>
      </c>
      <c r="H206" s="1357" t="e">
        <v>#N/A</v>
      </c>
    </row>
    <row r="207" spans="1:8" ht="12.75">
      <c r="A207" s="604">
        <f t="shared" si="2"/>
        <v>2028.06</v>
      </c>
      <c r="B207" s="1355" t="e">
        <v>#N/A</v>
      </c>
      <c r="C207" s="3101" t="e">
        <v>#N/A</v>
      </c>
      <c r="D207" s="1356" t="e">
        <v>#N/A</v>
      </c>
      <c r="E207" s="3101" t="e">
        <v>#N/A</v>
      </c>
      <c r="F207" s="1356" t="e">
        <v>#N/A</v>
      </c>
      <c r="G207" s="1916" t="e">
        <v>#N/A</v>
      </c>
      <c r="H207" s="1357" t="e">
        <v>#N/A</v>
      </c>
    </row>
    <row r="208" spans="1:8" ht="12.75">
      <c r="A208" s="604">
        <f t="shared" si="2"/>
        <v>2028.07</v>
      </c>
      <c r="B208" s="1355" t="e">
        <v>#N/A</v>
      </c>
      <c r="C208" s="3101" t="e">
        <v>#N/A</v>
      </c>
      <c r="D208" s="1356" t="e">
        <v>#N/A</v>
      </c>
      <c r="E208" s="3101" t="e">
        <v>#N/A</v>
      </c>
      <c r="F208" s="1356" t="e">
        <v>#N/A</v>
      </c>
      <c r="G208" s="1916" t="e">
        <v>#N/A</v>
      </c>
      <c r="H208" s="1357" t="e">
        <v>#N/A</v>
      </c>
    </row>
    <row r="209" spans="1:8" ht="12.75">
      <c r="A209" s="604">
        <f t="shared" ref="A209:A237" si="3">A197+1</f>
        <v>2028.08</v>
      </c>
      <c r="B209" s="1355" t="e">
        <v>#N/A</v>
      </c>
      <c r="C209" s="3101" t="e">
        <v>#N/A</v>
      </c>
      <c r="D209" s="1356" t="e">
        <v>#N/A</v>
      </c>
      <c r="E209" s="3101" t="e">
        <v>#N/A</v>
      </c>
      <c r="F209" s="1356" t="e">
        <v>#N/A</v>
      </c>
      <c r="G209" s="1916" t="e">
        <v>#N/A</v>
      </c>
      <c r="H209" s="1357" t="e">
        <v>#N/A</v>
      </c>
    </row>
    <row r="210" spans="1:8" ht="12.75">
      <c r="A210" s="604">
        <f t="shared" si="3"/>
        <v>2028.09</v>
      </c>
      <c r="B210" s="1355" t="e">
        <v>#N/A</v>
      </c>
      <c r="C210" s="3101" t="e">
        <v>#N/A</v>
      </c>
      <c r="D210" s="1356" t="e">
        <v>#N/A</v>
      </c>
      <c r="E210" s="3101" t="e">
        <v>#N/A</v>
      </c>
      <c r="F210" s="1356" t="e">
        <v>#N/A</v>
      </c>
      <c r="G210" s="1916" t="e">
        <v>#N/A</v>
      </c>
      <c r="H210" s="1357" t="e">
        <v>#N/A</v>
      </c>
    </row>
    <row r="211" spans="1:8" ht="12.75">
      <c r="A211" s="604">
        <f t="shared" si="3"/>
        <v>2028.1</v>
      </c>
      <c r="B211" s="1355" t="e">
        <v>#N/A</v>
      </c>
      <c r="C211" s="3101" t="e">
        <v>#N/A</v>
      </c>
      <c r="D211" s="1356" t="e">
        <v>#N/A</v>
      </c>
      <c r="E211" s="3101" t="e">
        <v>#N/A</v>
      </c>
      <c r="F211" s="1356" t="e">
        <v>#N/A</v>
      </c>
      <c r="G211" s="1916" t="e">
        <v>#N/A</v>
      </c>
      <c r="H211" s="1357" t="e">
        <v>#N/A</v>
      </c>
    </row>
    <row r="212" spans="1:8" ht="12.75">
      <c r="A212" s="604">
        <f t="shared" si="3"/>
        <v>2028.11</v>
      </c>
      <c r="B212" s="1355" t="e">
        <v>#N/A</v>
      </c>
      <c r="C212" s="3101" t="e">
        <v>#N/A</v>
      </c>
      <c r="D212" s="1356" t="e">
        <v>#N/A</v>
      </c>
      <c r="E212" s="3101" t="e">
        <v>#N/A</v>
      </c>
      <c r="F212" s="1356" t="e">
        <v>#N/A</v>
      </c>
      <c r="G212" s="1916" t="e">
        <v>#N/A</v>
      </c>
      <c r="H212" s="1357" t="e">
        <v>#N/A</v>
      </c>
    </row>
    <row r="213" spans="1:8" ht="12.75">
      <c r="A213" s="604">
        <f t="shared" si="3"/>
        <v>2028.12</v>
      </c>
      <c r="B213" s="1355" t="e">
        <v>#N/A</v>
      </c>
      <c r="C213" s="3101" t="e">
        <v>#N/A</v>
      </c>
      <c r="D213" s="1356" t="e">
        <v>#N/A</v>
      </c>
      <c r="E213" s="3101" t="e">
        <v>#N/A</v>
      </c>
      <c r="F213" s="1356" t="e">
        <v>#N/A</v>
      </c>
      <c r="G213" s="1916" t="e">
        <v>#N/A</v>
      </c>
      <c r="H213" s="1357" t="e">
        <v>#N/A</v>
      </c>
    </row>
    <row r="214" spans="1:8" ht="12.75">
      <c r="A214" s="604">
        <f t="shared" si="3"/>
        <v>2029.01</v>
      </c>
      <c r="B214" s="1355" t="e">
        <v>#N/A</v>
      </c>
      <c r="C214" s="3101" t="e">
        <v>#N/A</v>
      </c>
      <c r="D214" s="1356" t="e">
        <v>#N/A</v>
      </c>
      <c r="E214" s="3101" t="e">
        <v>#N/A</v>
      </c>
      <c r="F214" s="1356" t="e">
        <v>#N/A</v>
      </c>
      <c r="G214" s="1916" t="e">
        <v>#N/A</v>
      </c>
      <c r="H214" s="1357" t="e">
        <v>#N/A</v>
      </c>
    </row>
    <row r="215" spans="1:8" ht="12.75">
      <c r="A215" s="604">
        <f t="shared" si="3"/>
        <v>2029.02</v>
      </c>
      <c r="B215" s="1355" t="e">
        <v>#N/A</v>
      </c>
      <c r="C215" s="3101" t="e">
        <v>#N/A</v>
      </c>
      <c r="D215" s="1356" t="e">
        <v>#N/A</v>
      </c>
      <c r="E215" s="3101" t="e">
        <v>#N/A</v>
      </c>
      <c r="F215" s="1356" t="e">
        <v>#N/A</v>
      </c>
      <c r="G215" s="1916" t="e">
        <v>#N/A</v>
      </c>
      <c r="H215" s="1357" t="e">
        <v>#N/A</v>
      </c>
    </row>
    <row r="216" spans="1:8" ht="12.75">
      <c r="A216" s="604">
        <f t="shared" si="3"/>
        <v>2029.03</v>
      </c>
      <c r="B216" s="1355" t="e">
        <v>#N/A</v>
      </c>
      <c r="C216" s="3101" t="e">
        <v>#N/A</v>
      </c>
      <c r="D216" s="1356" t="e">
        <v>#N/A</v>
      </c>
      <c r="E216" s="3101" t="e">
        <v>#N/A</v>
      </c>
      <c r="F216" s="1356" t="e">
        <v>#N/A</v>
      </c>
      <c r="G216" s="1916" t="e">
        <v>#N/A</v>
      </c>
      <c r="H216" s="1357" t="e">
        <v>#N/A</v>
      </c>
    </row>
    <row r="217" spans="1:8" ht="12.75">
      <c r="A217" s="604">
        <f t="shared" si="3"/>
        <v>2029.04</v>
      </c>
      <c r="B217" s="1355" t="e">
        <v>#N/A</v>
      </c>
      <c r="C217" s="3101" t="e">
        <v>#N/A</v>
      </c>
      <c r="D217" s="1356" t="e">
        <v>#N/A</v>
      </c>
      <c r="E217" s="3101" t="e">
        <v>#N/A</v>
      </c>
      <c r="F217" s="1356" t="e">
        <v>#N/A</v>
      </c>
      <c r="G217" s="1916" t="e">
        <v>#N/A</v>
      </c>
      <c r="H217" s="1357" t="e">
        <v>#N/A</v>
      </c>
    </row>
    <row r="218" spans="1:8" ht="12.75">
      <c r="A218" s="604">
        <f t="shared" si="3"/>
        <v>2029.05</v>
      </c>
      <c r="B218" s="1355" t="e">
        <v>#N/A</v>
      </c>
      <c r="C218" s="3101" t="e">
        <v>#N/A</v>
      </c>
      <c r="D218" s="1356" t="e">
        <v>#N/A</v>
      </c>
      <c r="E218" s="3101" t="e">
        <v>#N/A</v>
      </c>
      <c r="F218" s="1356" t="e">
        <v>#N/A</v>
      </c>
      <c r="G218" s="1916" t="e">
        <v>#N/A</v>
      </c>
      <c r="H218" s="1357" t="e">
        <v>#N/A</v>
      </c>
    </row>
    <row r="219" spans="1:8" ht="12.75">
      <c r="A219" s="604">
        <f t="shared" si="3"/>
        <v>2029.06</v>
      </c>
      <c r="B219" s="1355" t="e">
        <v>#N/A</v>
      </c>
      <c r="C219" s="3101" t="e">
        <v>#N/A</v>
      </c>
      <c r="D219" s="1356" t="e">
        <v>#N/A</v>
      </c>
      <c r="E219" s="3101" t="e">
        <v>#N/A</v>
      </c>
      <c r="F219" s="1356" t="e">
        <v>#N/A</v>
      </c>
      <c r="G219" s="1916" t="e">
        <v>#N/A</v>
      </c>
      <c r="H219" s="1357" t="e">
        <v>#N/A</v>
      </c>
    </row>
    <row r="220" spans="1:8" ht="12.75">
      <c r="A220" s="604">
        <f t="shared" si="3"/>
        <v>2029.07</v>
      </c>
      <c r="B220" s="1355" t="e">
        <v>#N/A</v>
      </c>
      <c r="C220" s="3101" t="e">
        <v>#N/A</v>
      </c>
      <c r="D220" s="1356" t="e">
        <v>#N/A</v>
      </c>
      <c r="E220" s="3101" t="e">
        <v>#N/A</v>
      </c>
      <c r="F220" s="1356" t="e">
        <v>#N/A</v>
      </c>
      <c r="G220" s="1916" t="e">
        <v>#N/A</v>
      </c>
      <c r="H220" s="1357" t="e">
        <v>#N/A</v>
      </c>
    </row>
    <row r="221" spans="1:8" ht="12.75">
      <c r="A221" s="604">
        <f t="shared" si="3"/>
        <v>2029.08</v>
      </c>
      <c r="B221" s="1355" t="e">
        <v>#N/A</v>
      </c>
      <c r="C221" s="3101" t="e">
        <v>#N/A</v>
      </c>
      <c r="D221" s="1356" t="e">
        <v>#N/A</v>
      </c>
      <c r="E221" s="3101" t="e">
        <v>#N/A</v>
      </c>
      <c r="F221" s="1356" t="e">
        <v>#N/A</v>
      </c>
      <c r="G221" s="1916" t="e">
        <v>#N/A</v>
      </c>
      <c r="H221" s="1357" t="e">
        <v>#N/A</v>
      </c>
    </row>
    <row r="222" spans="1:8" ht="12.75">
      <c r="A222" s="604">
        <f t="shared" si="3"/>
        <v>2029.09</v>
      </c>
      <c r="B222" s="1355" t="e">
        <v>#N/A</v>
      </c>
      <c r="C222" s="3101" t="e">
        <v>#N/A</v>
      </c>
      <c r="D222" s="1356" t="e">
        <v>#N/A</v>
      </c>
      <c r="E222" s="3101" t="e">
        <v>#N/A</v>
      </c>
      <c r="F222" s="1356" t="e">
        <v>#N/A</v>
      </c>
      <c r="G222" s="1916" t="e">
        <v>#N/A</v>
      </c>
      <c r="H222" s="1357" t="e">
        <v>#N/A</v>
      </c>
    </row>
    <row r="223" spans="1:8" ht="12.75">
      <c r="A223" s="604">
        <f t="shared" si="3"/>
        <v>2029.1</v>
      </c>
      <c r="B223" s="1355" t="e">
        <v>#N/A</v>
      </c>
      <c r="C223" s="3101" t="e">
        <v>#N/A</v>
      </c>
      <c r="D223" s="1356" t="e">
        <v>#N/A</v>
      </c>
      <c r="E223" s="3101" t="e">
        <v>#N/A</v>
      </c>
      <c r="F223" s="1356" t="e">
        <v>#N/A</v>
      </c>
      <c r="G223" s="1916" t="e">
        <v>#N/A</v>
      </c>
      <c r="H223" s="1357" t="e">
        <v>#N/A</v>
      </c>
    </row>
    <row r="224" spans="1:8" ht="12.75">
      <c r="A224" s="604">
        <f t="shared" si="3"/>
        <v>2029.11</v>
      </c>
      <c r="B224" s="1355" t="e">
        <v>#N/A</v>
      </c>
      <c r="C224" s="3101" t="e">
        <v>#N/A</v>
      </c>
      <c r="D224" s="1356" t="e">
        <v>#N/A</v>
      </c>
      <c r="E224" s="3101" t="e">
        <v>#N/A</v>
      </c>
      <c r="F224" s="1356" t="e">
        <v>#N/A</v>
      </c>
      <c r="G224" s="1916" t="e">
        <v>#N/A</v>
      </c>
      <c r="H224" s="1357" t="e">
        <v>#N/A</v>
      </c>
    </row>
    <row r="225" spans="1:8" ht="12.75">
      <c r="A225" s="604">
        <f t="shared" si="3"/>
        <v>2029.12</v>
      </c>
      <c r="B225" s="1355" t="e">
        <v>#N/A</v>
      </c>
      <c r="C225" s="3101" t="e">
        <v>#N/A</v>
      </c>
      <c r="D225" s="1356" t="e">
        <v>#N/A</v>
      </c>
      <c r="E225" s="3101" t="e">
        <v>#N/A</v>
      </c>
      <c r="F225" s="1356" t="e">
        <v>#N/A</v>
      </c>
      <c r="G225" s="1916" t="e">
        <v>#N/A</v>
      </c>
      <c r="H225" s="1357" t="e">
        <v>#N/A</v>
      </c>
    </row>
    <row r="226" spans="1:8" ht="12.75">
      <c r="A226" s="604">
        <f t="shared" si="3"/>
        <v>2030.01</v>
      </c>
      <c r="B226" s="1355" t="e">
        <v>#N/A</v>
      </c>
      <c r="C226" s="3101" t="e">
        <v>#N/A</v>
      </c>
      <c r="D226" s="1356" t="e">
        <v>#N/A</v>
      </c>
      <c r="E226" s="3101" t="e">
        <v>#N/A</v>
      </c>
      <c r="F226" s="1356" t="e">
        <v>#N/A</v>
      </c>
      <c r="G226" s="1916" t="e">
        <v>#N/A</v>
      </c>
      <c r="H226" s="1357" t="e">
        <v>#N/A</v>
      </c>
    </row>
    <row r="227" spans="1:8" ht="12.75">
      <c r="A227" s="604">
        <f t="shared" si="3"/>
        <v>2030.02</v>
      </c>
      <c r="B227" s="1355" t="e">
        <v>#N/A</v>
      </c>
      <c r="C227" s="3101" t="e">
        <v>#N/A</v>
      </c>
      <c r="D227" s="1356" t="e">
        <v>#N/A</v>
      </c>
      <c r="E227" s="3101" t="e">
        <v>#N/A</v>
      </c>
      <c r="F227" s="1356" t="e">
        <v>#N/A</v>
      </c>
      <c r="G227" s="1916" t="e">
        <v>#N/A</v>
      </c>
      <c r="H227" s="1357" t="e">
        <v>#N/A</v>
      </c>
    </row>
    <row r="228" spans="1:8" ht="12.75">
      <c r="A228" s="604">
        <f t="shared" si="3"/>
        <v>2030.03</v>
      </c>
      <c r="B228" s="1355" t="e">
        <v>#N/A</v>
      </c>
      <c r="C228" s="3101" t="e">
        <v>#N/A</v>
      </c>
      <c r="D228" s="1356" t="e">
        <v>#N/A</v>
      </c>
      <c r="E228" s="3101" t="e">
        <v>#N/A</v>
      </c>
      <c r="F228" s="1356" t="e">
        <v>#N/A</v>
      </c>
      <c r="G228" s="1916" t="e">
        <v>#N/A</v>
      </c>
      <c r="H228" s="1357" t="e">
        <v>#N/A</v>
      </c>
    </row>
    <row r="229" spans="1:8" ht="12.75">
      <c r="A229" s="604">
        <f t="shared" si="3"/>
        <v>2030.04</v>
      </c>
      <c r="B229" s="1355" t="e">
        <v>#N/A</v>
      </c>
      <c r="C229" s="3101" t="e">
        <v>#N/A</v>
      </c>
      <c r="D229" s="1356" t="e">
        <v>#N/A</v>
      </c>
      <c r="E229" s="3101" t="e">
        <v>#N/A</v>
      </c>
      <c r="F229" s="1356" t="e">
        <v>#N/A</v>
      </c>
      <c r="G229" s="1916" t="e">
        <v>#N/A</v>
      </c>
      <c r="H229" s="1357" t="e">
        <v>#N/A</v>
      </c>
    </row>
    <row r="230" spans="1:8" ht="12.75">
      <c r="A230" s="604">
        <f t="shared" si="3"/>
        <v>2030.05</v>
      </c>
      <c r="B230" s="1355" t="e">
        <v>#N/A</v>
      </c>
      <c r="C230" s="3101" t="e">
        <v>#N/A</v>
      </c>
      <c r="D230" s="1356" t="e">
        <v>#N/A</v>
      </c>
      <c r="E230" s="3101" t="e">
        <v>#N/A</v>
      </c>
      <c r="F230" s="1356" t="e">
        <v>#N/A</v>
      </c>
      <c r="G230" s="1916" t="e">
        <v>#N/A</v>
      </c>
      <c r="H230" s="1357" t="e">
        <v>#N/A</v>
      </c>
    </row>
    <row r="231" spans="1:8" ht="12.75">
      <c r="A231" s="604">
        <f t="shared" si="3"/>
        <v>2030.06</v>
      </c>
      <c r="B231" s="1355" t="e">
        <v>#N/A</v>
      </c>
      <c r="C231" s="3101" t="e">
        <v>#N/A</v>
      </c>
      <c r="D231" s="1356" t="e">
        <v>#N/A</v>
      </c>
      <c r="E231" s="3101" t="e">
        <v>#N/A</v>
      </c>
      <c r="F231" s="1356" t="e">
        <v>#N/A</v>
      </c>
      <c r="G231" s="1916" t="e">
        <v>#N/A</v>
      </c>
      <c r="H231" s="1357" t="e">
        <v>#N/A</v>
      </c>
    </row>
    <row r="232" spans="1:8" ht="12.75">
      <c r="A232" s="604">
        <f t="shared" si="3"/>
        <v>2030.07</v>
      </c>
      <c r="B232" s="1355" t="e">
        <v>#N/A</v>
      </c>
      <c r="C232" s="3101" t="e">
        <v>#N/A</v>
      </c>
      <c r="D232" s="1356" t="e">
        <v>#N/A</v>
      </c>
      <c r="E232" s="3101" t="e">
        <v>#N/A</v>
      </c>
      <c r="F232" s="1356" t="e">
        <v>#N/A</v>
      </c>
      <c r="G232" s="1916" t="e">
        <v>#N/A</v>
      </c>
      <c r="H232" s="1357" t="e">
        <v>#N/A</v>
      </c>
    </row>
    <row r="233" spans="1:8" ht="12.75">
      <c r="A233" s="604">
        <f t="shared" si="3"/>
        <v>2030.08</v>
      </c>
      <c r="B233" s="1355" t="e">
        <v>#N/A</v>
      </c>
      <c r="C233" s="3101" t="e">
        <v>#N/A</v>
      </c>
      <c r="D233" s="1356" t="e">
        <v>#N/A</v>
      </c>
      <c r="E233" s="3101" t="e">
        <v>#N/A</v>
      </c>
      <c r="F233" s="1356" t="e">
        <v>#N/A</v>
      </c>
      <c r="G233" s="1916" t="e">
        <v>#N/A</v>
      </c>
      <c r="H233" s="1357" t="e">
        <v>#N/A</v>
      </c>
    </row>
    <row r="234" spans="1:8" ht="12.75">
      <c r="A234" s="604">
        <f t="shared" si="3"/>
        <v>2030.09</v>
      </c>
      <c r="B234" s="1355" t="e">
        <v>#N/A</v>
      </c>
      <c r="C234" s="3101" t="e">
        <v>#N/A</v>
      </c>
      <c r="D234" s="1356" t="e">
        <v>#N/A</v>
      </c>
      <c r="E234" s="3101" t="e">
        <v>#N/A</v>
      </c>
      <c r="F234" s="1356" t="e">
        <v>#N/A</v>
      </c>
      <c r="G234" s="1916" t="e">
        <v>#N/A</v>
      </c>
      <c r="H234" s="1357" t="e">
        <v>#N/A</v>
      </c>
    </row>
    <row r="235" spans="1:8" ht="12.75">
      <c r="A235" s="604">
        <f t="shared" si="3"/>
        <v>2030.1</v>
      </c>
      <c r="B235" s="1355" t="e">
        <v>#N/A</v>
      </c>
      <c r="C235" s="3101" t="e">
        <v>#N/A</v>
      </c>
      <c r="D235" s="1356" t="e">
        <v>#N/A</v>
      </c>
      <c r="E235" s="3101" t="e">
        <v>#N/A</v>
      </c>
      <c r="F235" s="1356" t="e">
        <v>#N/A</v>
      </c>
      <c r="G235" s="1916" t="e">
        <v>#N/A</v>
      </c>
      <c r="H235" s="1357" t="e">
        <v>#N/A</v>
      </c>
    </row>
    <row r="236" spans="1:8" ht="12.75">
      <c r="A236" s="604">
        <f t="shared" si="3"/>
        <v>2030.11</v>
      </c>
      <c r="B236" s="1355" t="e">
        <v>#N/A</v>
      </c>
      <c r="C236" s="3101" t="e">
        <v>#N/A</v>
      </c>
      <c r="D236" s="1356" t="e">
        <v>#N/A</v>
      </c>
      <c r="E236" s="3101" t="e">
        <v>#N/A</v>
      </c>
      <c r="F236" s="1356" t="e">
        <v>#N/A</v>
      </c>
      <c r="G236" s="1916" t="e">
        <v>#N/A</v>
      </c>
      <c r="H236" s="1357" t="e">
        <v>#N/A</v>
      </c>
    </row>
    <row r="237" spans="1:8" ht="12.75">
      <c r="A237" s="604">
        <f t="shared" si="3"/>
        <v>2030.12</v>
      </c>
      <c r="B237" s="1355" t="e">
        <v>#N/A</v>
      </c>
      <c r="C237" s="3101" t="e">
        <v>#N/A</v>
      </c>
      <c r="D237" s="1356" t="e">
        <v>#N/A</v>
      </c>
      <c r="E237" s="3101" t="e">
        <v>#N/A</v>
      </c>
      <c r="F237" s="1356" t="e">
        <v>#N/A</v>
      </c>
      <c r="G237" s="1916" t="e">
        <v>#N/A</v>
      </c>
      <c r="H237" s="1357" t="e">
        <v>#N/A</v>
      </c>
    </row>
  </sheetData>
  <hyperlinks>
    <hyperlink ref="A5" location="INDICE!A13" display="VOLVER AL INDICE" xr:uid="{00000000-0004-0000-0F00-000000000000}"/>
  </hyperlink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8"/>
  <dimension ref="A1:H225"/>
  <sheetViews>
    <sheetView zoomScale="130" zoomScaleNormal="130" workbookViewId="0">
      <pane xSplit="1" ySplit="9" topLeftCell="B143" activePane="bottomRight" state="frozen"/>
      <selection pane="topRight" activeCell="B1" sqref="B1"/>
      <selection pane="bottomLeft" activeCell="A10" sqref="A10"/>
      <selection pane="bottomRight" activeCell="B154" sqref="B154"/>
    </sheetView>
  </sheetViews>
  <sheetFormatPr baseColWidth="10" defaultColWidth="11.42578125" defaultRowHeight="15"/>
  <cols>
    <col min="1" max="1" width="11.42578125" style="637"/>
    <col min="2" max="5" width="16.7109375" style="637" customWidth="1"/>
    <col min="6" max="16384" width="11.42578125" style="637"/>
  </cols>
  <sheetData>
    <row r="1" spans="1:8" s="623" customFormat="1" ht="3" customHeight="1">
      <c r="A1" s="34"/>
      <c r="B1" s="621"/>
      <c r="C1" s="621"/>
      <c r="D1" s="621"/>
      <c r="E1" s="622"/>
    </row>
    <row r="2" spans="1:8" s="623" customFormat="1" ht="23.45" customHeight="1">
      <c r="A2" s="59" t="s">
        <v>105</v>
      </c>
      <c r="B2" s="1917" t="s">
        <v>483</v>
      </c>
      <c r="C2" s="1917"/>
      <c r="D2" s="1917"/>
      <c r="E2" s="1918"/>
    </row>
    <row r="3" spans="1:8" s="623" customFormat="1" ht="18" customHeight="1">
      <c r="A3" s="94" t="s">
        <v>212</v>
      </c>
      <c r="B3" s="1917" t="s">
        <v>463</v>
      </c>
      <c r="C3" s="1917"/>
      <c r="D3" s="1917"/>
      <c r="E3" s="1918"/>
      <c r="H3" s="624"/>
    </row>
    <row r="4" spans="1:8" s="623" customFormat="1" ht="2.25" hidden="1" customHeight="1">
      <c r="A4" s="34"/>
      <c r="B4" s="2421"/>
      <c r="C4" s="621"/>
      <c r="D4" s="621"/>
      <c r="E4" s="622"/>
    </row>
    <row r="5" spans="1:8" s="623" customFormat="1" ht="27" customHeight="1">
      <c r="A5" s="2390" t="s">
        <v>137</v>
      </c>
      <c r="B5" s="2422" t="s">
        <v>484</v>
      </c>
      <c r="C5" s="625" t="s">
        <v>485</v>
      </c>
      <c r="D5" s="2422" t="s">
        <v>484</v>
      </c>
      <c r="E5" s="626" t="s">
        <v>485</v>
      </c>
      <c r="G5" s="627"/>
      <c r="H5" s="627"/>
    </row>
    <row r="6" spans="1:8" s="623" customFormat="1" ht="28.5" customHeight="1">
      <c r="A6" s="2373" t="s">
        <v>123</v>
      </c>
      <c r="B6" s="2422" t="s">
        <v>486</v>
      </c>
      <c r="C6" s="625" t="s">
        <v>486</v>
      </c>
      <c r="D6" s="2423" t="s">
        <v>259</v>
      </c>
      <c r="E6" s="628" t="s">
        <v>259</v>
      </c>
    </row>
    <row r="7" spans="1:8" s="623" customFormat="1" ht="2.25" hidden="1" customHeight="1">
      <c r="A7" s="2373"/>
      <c r="B7" s="629"/>
      <c r="C7" s="630"/>
      <c r="D7" s="631"/>
      <c r="E7" s="632"/>
    </row>
    <row r="8" spans="1:8" s="623" customFormat="1" ht="14.25" customHeight="1">
      <c r="A8" s="147" t="s">
        <v>141</v>
      </c>
      <c r="B8" s="2424" t="s">
        <v>487</v>
      </c>
      <c r="C8" s="633" t="s">
        <v>488</v>
      </c>
      <c r="D8" s="2424" t="s">
        <v>489</v>
      </c>
      <c r="E8" s="634" t="s">
        <v>490</v>
      </c>
    </row>
    <row r="9" spans="1:8" s="623" customFormat="1" ht="3" hidden="1" customHeight="1">
      <c r="A9" s="2990"/>
      <c r="B9" s="635"/>
      <c r="C9" s="1919"/>
      <c r="E9" s="3102"/>
    </row>
    <row r="10" spans="1:8" ht="12.75" customHeight="1">
      <c r="A10" s="636">
        <v>2013.01</v>
      </c>
      <c r="B10" s="3103">
        <v>3292276</v>
      </c>
      <c r="C10" s="3318">
        <v>21903</v>
      </c>
      <c r="D10" s="3104">
        <v>895499.07200000004</v>
      </c>
      <c r="E10" s="3319">
        <v>21026.880000000001</v>
      </c>
    </row>
    <row r="11" spans="1:8" ht="12.75" customHeight="1">
      <c r="A11" s="636">
        <v>2013.02</v>
      </c>
      <c r="B11" s="638">
        <v>3290348</v>
      </c>
      <c r="C11" s="1920">
        <v>22271</v>
      </c>
      <c r="D11" s="638">
        <v>894974.65599999996</v>
      </c>
      <c r="E11" s="3105">
        <v>21380.16</v>
      </c>
    </row>
    <row r="12" spans="1:8" ht="12.75" customHeight="1">
      <c r="A12" s="636">
        <v>2013.03</v>
      </c>
      <c r="B12" s="638">
        <v>3251184</v>
      </c>
      <c r="C12" s="1920">
        <v>22288</v>
      </c>
      <c r="D12" s="638">
        <v>884322.04799999995</v>
      </c>
      <c r="E12" s="3105">
        <v>21396.48</v>
      </c>
    </row>
    <row r="13" spans="1:8" ht="12.75" customHeight="1">
      <c r="A13" s="636">
        <v>2013.04</v>
      </c>
      <c r="B13" s="638">
        <v>3266972</v>
      </c>
      <c r="C13" s="1920">
        <v>22191</v>
      </c>
      <c r="D13" s="638">
        <v>888616.38399999996</v>
      </c>
      <c r="E13" s="3105">
        <v>21303.360000000001</v>
      </c>
    </row>
    <row r="14" spans="1:8" ht="12.75" customHeight="1">
      <c r="A14" s="636">
        <v>2013.05</v>
      </c>
      <c r="B14" s="638">
        <v>3261676</v>
      </c>
      <c r="C14" s="1920">
        <v>21980</v>
      </c>
      <c r="D14" s="638">
        <v>887175.87199999997</v>
      </c>
      <c r="E14" s="3105">
        <v>21100.799999999999</v>
      </c>
    </row>
    <row r="15" spans="1:8" ht="12.75" customHeight="1">
      <c r="A15" s="636">
        <v>2013.06</v>
      </c>
      <c r="B15" s="638">
        <v>3273060</v>
      </c>
      <c r="C15" s="1920">
        <v>21856</v>
      </c>
      <c r="D15" s="638">
        <v>1204486.08</v>
      </c>
      <c r="E15" s="3105">
        <v>26227.200000000001</v>
      </c>
    </row>
    <row r="16" spans="1:8" ht="12.75" customHeight="1">
      <c r="A16" s="636">
        <v>2013.07</v>
      </c>
      <c r="B16" s="638">
        <v>3272876</v>
      </c>
      <c r="C16" s="1920">
        <v>21884</v>
      </c>
      <c r="D16" s="638">
        <v>1204418.368</v>
      </c>
      <c r="E16" s="3105">
        <v>26260.799999999999</v>
      </c>
    </row>
    <row r="17" spans="1:5" ht="12.75" customHeight="1">
      <c r="A17" s="636">
        <v>2013.08</v>
      </c>
      <c r="B17" s="638">
        <v>3309595</v>
      </c>
      <c r="C17" s="1920">
        <v>21679</v>
      </c>
      <c r="D17" s="638">
        <v>1217930.96</v>
      </c>
      <c r="E17" s="3105">
        <v>26014.799999999999</v>
      </c>
    </row>
    <row r="18" spans="1:5" ht="12.75" customHeight="1">
      <c r="A18" s="636">
        <v>2013.09</v>
      </c>
      <c r="B18" s="638">
        <v>3332641</v>
      </c>
      <c r="C18" s="1920">
        <v>22378</v>
      </c>
      <c r="D18" s="638">
        <v>1226411.888</v>
      </c>
      <c r="E18" s="3105">
        <v>26853.599999999999</v>
      </c>
    </row>
    <row r="19" spans="1:5" ht="12.75" customHeight="1">
      <c r="A19" s="636">
        <v>2013.1</v>
      </c>
      <c r="B19" s="638">
        <v>3403442</v>
      </c>
      <c r="C19" s="1920">
        <v>22683</v>
      </c>
      <c r="D19" s="638">
        <v>1252466.656</v>
      </c>
      <c r="E19" s="3105">
        <v>27219.599999999999</v>
      </c>
    </row>
    <row r="20" spans="1:5" ht="12.75" customHeight="1">
      <c r="A20" s="636">
        <v>2013.11</v>
      </c>
      <c r="B20" s="638">
        <v>3416318</v>
      </c>
      <c r="C20" s="1920">
        <v>22828</v>
      </c>
      <c r="D20" s="638">
        <v>1257205.024</v>
      </c>
      <c r="E20" s="3105">
        <v>27393.599999999999</v>
      </c>
    </row>
    <row r="21" spans="1:5" ht="12.75" customHeight="1">
      <c r="A21" s="636">
        <v>2013.12</v>
      </c>
      <c r="B21" s="638">
        <v>3436740</v>
      </c>
      <c r="C21" s="1920">
        <v>22834</v>
      </c>
      <c r="D21" s="638">
        <v>1264720.32</v>
      </c>
      <c r="E21" s="3105">
        <v>27400.799999999999</v>
      </c>
    </row>
    <row r="22" spans="1:5" ht="12.75" customHeight="1">
      <c r="A22" s="636">
        <v>2014.01</v>
      </c>
      <c r="B22" s="638">
        <v>3455646</v>
      </c>
      <c r="C22" s="1920">
        <v>22621</v>
      </c>
      <c r="D22" s="638">
        <v>1271677.7279999999</v>
      </c>
      <c r="E22" s="3105">
        <v>27145.200000000001</v>
      </c>
    </row>
    <row r="23" spans="1:5" ht="12.75" customHeight="1">
      <c r="A23" s="636">
        <v>2014.02</v>
      </c>
      <c r="B23" s="638">
        <v>3414759</v>
      </c>
      <c r="C23" s="1920">
        <v>22616</v>
      </c>
      <c r="D23" s="638">
        <v>1256631.3119999999</v>
      </c>
      <c r="E23" s="3105">
        <v>27139.200000000001</v>
      </c>
    </row>
    <row r="24" spans="1:5" ht="12.75" customHeight="1">
      <c r="A24" s="636">
        <v>2014.03</v>
      </c>
      <c r="B24" s="638">
        <v>3387609</v>
      </c>
      <c r="C24" s="1920">
        <v>22452</v>
      </c>
      <c r="D24" s="638">
        <v>1246640.112</v>
      </c>
      <c r="E24" s="3105">
        <v>26942.400000000001</v>
      </c>
    </row>
    <row r="25" spans="1:5" ht="12.75" customHeight="1">
      <c r="A25" s="636">
        <v>2014.04</v>
      </c>
      <c r="B25" s="638">
        <v>3393433</v>
      </c>
      <c r="C25" s="1920">
        <v>22066</v>
      </c>
      <c r="D25" s="638">
        <v>1248783.344</v>
      </c>
      <c r="E25" s="3105">
        <v>26479.200000000001</v>
      </c>
    </row>
    <row r="26" spans="1:5" ht="12.75" customHeight="1">
      <c r="A26" s="636">
        <v>2014.05</v>
      </c>
      <c r="B26" s="638">
        <v>3326171</v>
      </c>
      <c r="C26" s="1920">
        <v>21861</v>
      </c>
      <c r="D26" s="638">
        <v>1224030.9280000001</v>
      </c>
      <c r="E26" s="3105">
        <v>26233.200000000001</v>
      </c>
    </row>
    <row r="27" spans="1:5" ht="12.75" customHeight="1">
      <c r="A27" s="636">
        <v>2014.06</v>
      </c>
      <c r="B27" s="638">
        <v>3264979</v>
      </c>
      <c r="C27" s="1920">
        <v>21331</v>
      </c>
      <c r="D27" s="638">
        <v>1684729.1640000001</v>
      </c>
      <c r="E27" s="3105">
        <v>35836.080000000002</v>
      </c>
    </row>
    <row r="28" spans="1:5" ht="12.75" customHeight="1">
      <c r="A28" s="636">
        <v>2014.07</v>
      </c>
      <c r="B28" s="638">
        <v>3238256</v>
      </c>
      <c r="C28" s="1920">
        <v>21535</v>
      </c>
      <c r="D28" s="638">
        <v>1670940.0959999999</v>
      </c>
      <c r="E28" s="3105">
        <v>36178.800000000003</v>
      </c>
    </row>
    <row r="29" spans="1:5" ht="12.75" customHeight="1">
      <c r="A29" s="636">
        <v>2014.08</v>
      </c>
      <c r="B29" s="638">
        <v>3314788</v>
      </c>
      <c r="C29" s="1920">
        <v>21900</v>
      </c>
      <c r="D29" s="638">
        <v>1710430.608</v>
      </c>
      <c r="E29" s="3105">
        <v>36792</v>
      </c>
    </row>
    <row r="30" spans="1:5" ht="12.75" customHeight="1">
      <c r="A30" s="636">
        <v>2014.09</v>
      </c>
      <c r="B30" s="638">
        <v>3415456</v>
      </c>
      <c r="C30" s="1920">
        <v>22602</v>
      </c>
      <c r="D30" s="638">
        <v>1762375.2960000001</v>
      </c>
      <c r="E30" s="3105">
        <v>37971.360000000001</v>
      </c>
    </row>
    <row r="31" spans="1:5" ht="12.75" customHeight="1">
      <c r="A31" s="636">
        <v>2014.1</v>
      </c>
      <c r="B31" s="638">
        <v>3501697</v>
      </c>
      <c r="C31" s="1920">
        <v>23227</v>
      </c>
      <c r="D31" s="638">
        <v>1806875.652</v>
      </c>
      <c r="E31" s="3105">
        <v>39021.360000000001</v>
      </c>
    </row>
    <row r="32" spans="1:5" ht="12.75" customHeight="1">
      <c r="A32" s="636">
        <v>2014.11</v>
      </c>
      <c r="B32" s="638">
        <v>3519236</v>
      </c>
      <c r="C32" s="1920">
        <v>23445</v>
      </c>
      <c r="D32" s="638">
        <v>1815925.7760000001</v>
      </c>
      <c r="E32" s="3105">
        <v>39387.599999999999</v>
      </c>
    </row>
    <row r="33" spans="1:5" ht="12.75" customHeight="1">
      <c r="A33" s="636">
        <v>2014.12</v>
      </c>
      <c r="B33" s="638">
        <v>3550859</v>
      </c>
      <c r="C33" s="1920">
        <v>23906</v>
      </c>
      <c r="D33" s="638">
        <v>1832243.2439999999</v>
      </c>
      <c r="E33" s="3105">
        <v>40162.080000000002</v>
      </c>
    </row>
    <row r="34" spans="1:5" ht="12.75" customHeight="1">
      <c r="A34" s="636">
        <v>2015.01</v>
      </c>
      <c r="B34" s="638">
        <v>3573598</v>
      </c>
      <c r="C34" s="1920">
        <v>23769</v>
      </c>
      <c r="D34" s="638">
        <v>1843976.568</v>
      </c>
      <c r="E34" s="3105">
        <v>39931.919999999998</v>
      </c>
    </row>
    <row r="35" spans="1:5" ht="12.75" customHeight="1">
      <c r="A35" s="636">
        <v>2015.02</v>
      </c>
      <c r="B35" s="638">
        <v>3600408</v>
      </c>
      <c r="C35" s="1920">
        <v>23822</v>
      </c>
      <c r="D35" s="638">
        <v>1857810.5279999999</v>
      </c>
      <c r="E35" s="3105">
        <v>40020.959999999999</v>
      </c>
    </row>
    <row r="36" spans="1:5" ht="12.75" customHeight="1">
      <c r="A36" s="636">
        <v>2015.03</v>
      </c>
      <c r="B36" s="638">
        <v>3597630</v>
      </c>
      <c r="C36" s="1920">
        <v>23499</v>
      </c>
      <c r="D36" s="638">
        <v>1856377.08</v>
      </c>
      <c r="E36" s="3105">
        <v>39478.32</v>
      </c>
    </row>
    <row r="37" spans="1:5" ht="12.75" customHeight="1">
      <c r="A37" s="636">
        <v>2015.04</v>
      </c>
      <c r="B37" s="638">
        <v>3618753</v>
      </c>
      <c r="C37" s="1920">
        <v>23549</v>
      </c>
      <c r="D37" s="638">
        <v>1867276.548</v>
      </c>
      <c r="E37" s="3105">
        <v>39562.32</v>
      </c>
    </row>
    <row r="38" spans="1:5" ht="12.75" customHeight="1">
      <c r="A38" s="636">
        <v>2015.05</v>
      </c>
      <c r="B38" s="638">
        <v>3593983</v>
      </c>
      <c r="C38" s="1920">
        <v>23204</v>
      </c>
      <c r="D38" s="638">
        <v>1854495.2279999999</v>
      </c>
      <c r="E38" s="3105">
        <v>38982.720000000001</v>
      </c>
    </row>
    <row r="39" spans="1:5" ht="12.75" customHeight="1">
      <c r="A39" s="636">
        <v>2015.06</v>
      </c>
      <c r="B39" s="638">
        <v>3309094</v>
      </c>
      <c r="C39" s="1920">
        <v>21589</v>
      </c>
      <c r="D39" s="638">
        <v>2217111.7687149998</v>
      </c>
      <c r="E39" s="3105">
        <v>47094.543285</v>
      </c>
    </row>
    <row r="40" spans="1:5" ht="12.75" customHeight="1">
      <c r="A40" s="636">
        <v>2015.07</v>
      </c>
      <c r="B40" s="638">
        <v>3363602</v>
      </c>
      <c r="C40" s="1920">
        <v>21888</v>
      </c>
      <c r="D40" s="638">
        <v>2253613.34</v>
      </c>
      <c r="E40" s="3105">
        <v>47803.392</v>
      </c>
    </row>
    <row r="41" spans="1:5" ht="12.75" customHeight="1">
      <c r="A41" s="636">
        <v>2015.08</v>
      </c>
      <c r="B41" s="638">
        <v>3424650</v>
      </c>
      <c r="C41" s="1920">
        <v>22267</v>
      </c>
      <c r="D41" s="638">
        <v>2294515.5</v>
      </c>
      <c r="E41" s="3105">
        <v>48631.127999999997</v>
      </c>
    </row>
    <row r="42" spans="1:5" ht="12.75" customHeight="1">
      <c r="A42" s="636">
        <v>2015.09</v>
      </c>
      <c r="B42" s="638">
        <v>3509557</v>
      </c>
      <c r="C42" s="1920">
        <v>22564</v>
      </c>
      <c r="D42" s="638">
        <v>2382783.9130000002</v>
      </c>
      <c r="E42" s="3105">
        <v>50147.916000000005</v>
      </c>
    </row>
    <row r="43" spans="1:5" ht="12.75" customHeight="1">
      <c r="A43" s="636">
        <v>2015.1</v>
      </c>
      <c r="B43" s="638">
        <v>3575302</v>
      </c>
      <c r="C43" s="1920">
        <v>22652</v>
      </c>
      <c r="D43" s="638">
        <v>2426088.9610000001</v>
      </c>
      <c r="E43" s="3105">
        <v>50304.727199999994</v>
      </c>
    </row>
    <row r="44" spans="1:5" ht="12.75" customHeight="1">
      <c r="A44" s="636">
        <v>2015.11</v>
      </c>
      <c r="B44" s="638">
        <v>3626064</v>
      </c>
      <c r="C44" s="1920">
        <v>22866</v>
      </c>
      <c r="D44" s="638">
        <v>2460626.9249999998</v>
      </c>
      <c r="E44" s="3105">
        <v>50797.65600000001</v>
      </c>
    </row>
    <row r="45" spans="1:5" ht="12.75" customHeight="1">
      <c r="A45" s="636">
        <v>2015.12</v>
      </c>
      <c r="B45" s="638">
        <v>3661264</v>
      </c>
      <c r="C45" s="1920">
        <v>22874</v>
      </c>
      <c r="D45" s="638">
        <v>2484583.378</v>
      </c>
      <c r="E45" s="3105">
        <v>50813.162399999994</v>
      </c>
    </row>
    <row r="46" spans="1:5" ht="12.75" customHeight="1">
      <c r="A46" s="636">
        <v>2016.01</v>
      </c>
      <c r="B46" s="638">
        <v>3700855</v>
      </c>
      <c r="C46" s="1920">
        <v>22908</v>
      </c>
      <c r="D46" s="638">
        <v>2511478.7859999998</v>
      </c>
      <c r="E46" s="3105">
        <v>50895.936000000002</v>
      </c>
    </row>
    <row r="47" spans="1:5" ht="12.75" customHeight="1">
      <c r="A47" s="636">
        <v>2016.02</v>
      </c>
      <c r="B47" s="638">
        <v>3725699</v>
      </c>
      <c r="C47" s="1920">
        <v>22940</v>
      </c>
      <c r="D47" s="638">
        <v>2528850.4789999998</v>
      </c>
      <c r="E47" s="3105">
        <v>50978.928000000007</v>
      </c>
    </row>
    <row r="48" spans="1:5" ht="12.75" customHeight="1">
      <c r="A48" s="636">
        <v>2016.03</v>
      </c>
      <c r="B48" s="638">
        <v>3743295</v>
      </c>
      <c r="C48" s="1920">
        <v>23305</v>
      </c>
      <c r="D48" s="638">
        <v>2930174.0880000042</v>
      </c>
      <c r="E48" s="3105">
        <v>59743.152000000002</v>
      </c>
    </row>
    <row r="49" spans="1:5" ht="12.75" customHeight="1">
      <c r="A49" s="636">
        <v>2016.04</v>
      </c>
      <c r="B49" s="638">
        <v>3774899</v>
      </c>
      <c r="C49" s="1920">
        <v>23595</v>
      </c>
      <c r="D49" s="638">
        <v>2954673.2911999999</v>
      </c>
      <c r="E49" s="3105">
        <v>60487.56</v>
      </c>
    </row>
    <row r="50" spans="1:5" ht="12.75" customHeight="1">
      <c r="A50" s="636">
        <v>2016.05</v>
      </c>
      <c r="B50" s="638">
        <v>3805351</v>
      </c>
      <c r="C50" s="1920">
        <v>24071</v>
      </c>
      <c r="D50" s="638">
        <v>2978734.8607999999</v>
      </c>
      <c r="E50" s="3105">
        <v>61705.98</v>
      </c>
    </row>
    <row r="51" spans="1:5" ht="12.75" customHeight="1">
      <c r="A51" s="636">
        <v>2016.06</v>
      </c>
      <c r="B51" s="638">
        <v>3843026</v>
      </c>
      <c r="C51" s="1920">
        <v>24264</v>
      </c>
      <c r="D51" s="638">
        <v>3008367.4608</v>
      </c>
      <c r="E51" s="3105">
        <v>62214.264000000003</v>
      </c>
    </row>
    <row r="52" spans="1:5" ht="12.75" customHeight="1">
      <c r="A52" s="636">
        <v>2016.07</v>
      </c>
      <c r="B52" s="638">
        <v>3897334</v>
      </c>
      <c r="C52" s="1920">
        <v>24822</v>
      </c>
      <c r="D52" s="638">
        <v>3051662.5632000002</v>
      </c>
      <c r="E52" s="3105">
        <v>63670.32</v>
      </c>
    </row>
    <row r="53" spans="1:5" ht="12.75" customHeight="1">
      <c r="A53" s="636">
        <v>2016.08</v>
      </c>
      <c r="B53" s="638">
        <v>3890290</v>
      </c>
      <c r="C53" s="1920">
        <v>25032</v>
      </c>
      <c r="D53" s="638">
        <v>3046340.9920000001</v>
      </c>
      <c r="E53" s="3105">
        <v>64219.175999999999</v>
      </c>
    </row>
    <row r="54" spans="1:5" ht="12.75" customHeight="1">
      <c r="A54" s="636">
        <v>2016.09</v>
      </c>
      <c r="B54" s="638">
        <v>3901340</v>
      </c>
      <c r="C54" s="1920">
        <v>25347</v>
      </c>
      <c r="D54" s="638">
        <v>3488081.6608000002</v>
      </c>
      <c r="E54" s="3105">
        <v>74239.711200000049</v>
      </c>
    </row>
    <row r="55" spans="1:5" ht="12.75" customHeight="1">
      <c r="A55" s="636">
        <v>2016.1</v>
      </c>
      <c r="B55" s="638">
        <v>3911221</v>
      </c>
      <c r="C55" s="1920">
        <v>25337</v>
      </c>
      <c r="D55" s="638">
        <v>3496214.9175999998</v>
      </c>
      <c r="E55" s="3105">
        <v>74181.559200000003</v>
      </c>
    </row>
    <row r="56" spans="1:5" ht="12.75" customHeight="1">
      <c r="A56" s="636">
        <v>2016.11</v>
      </c>
      <c r="B56" s="638">
        <v>3926588</v>
      </c>
      <c r="C56" s="1920">
        <v>25677</v>
      </c>
      <c r="D56" s="638">
        <v>3509991.3648000001</v>
      </c>
      <c r="E56" s="3105">
        <v>75159.079199999993</v>
      </c>
    </row>
    <row r="57" spans="1:5" ht="12.75" customHeight="1">
      <c r="A57" s="636">
        <v>2016.12</v>
      </c>
      <c r="B57" s="638">
        <v>3932013</v>
      </c>
      <c r="C57" s="1920">
        <v>25813</v>
      </c>
      <c r="D57" s="638">
        <v>3514984.6639999999</v>
      </c>
      <c r="E57" s="3105">
        <v>75566.848800000007</v>
      </c>
    </row>
    <row r="58" spans="1:5" ht="12.75" customHeight="1">
      <c r="A58" s="636">
        <v>2017.01</v>
      </c>
      <c r="B58" s="638">
        <v>3941618</v>
      </c>
      <c r="C58" s="1920">
        <v>26007</v>
      </c>
      <c r="D58" s="638">
        <v>3522293.1423999998</v>
      </c>
      <c r="E58" s="3105">
        <v>76119.919200000004</v>
      </c>
    </row>
    <row r="59" spans="1:5" ht="12.75" customHeight="1">
      <c r="A59" s="636">
        <v>2017.02</v>
      </c>
      <c r="B59" s="638">
        <v>3954643</v>
      </c>
      <c r="C59" s="1920">
        <v>26112</v>
      </c>
      <c r="D59" s="638">
        <v>3534213.26</v>
      </c>
      <c r="E59" s="3105">
        <v>76431.571200000006</v>
      </c>
    </row>
    <row r="60" spans="1:5" ht="12.75" customHeight="1">
      <c r="A60" s="636">
        <v>2017.03</v>
      </c>
      <c r="B60" s="638">
        <v>3707643</v>
      </c>
      <c r="C60" s="1920">
        <v>25148</v>
      </c>
      <c r="D60" s="638">
        <v>3741713.5216000001</v>
      </c>
      <c r="E60" s="3105">
        <v>83171.497600000002</v>
      </c>
    </row>
    <row r="61" spans="1:5" ht="12.75" customHeight="1">
      <c r="A61" s="636">
        <v>2017.04</v>
      </c>
      <c r="B61" s="638">
        <v>3723847</v>
      </c>
      <c r="C61" s="1920">
        <v>25366</v>
      </c>
      <c r="D61" s="638">
        <v>3758835.0767999999</v>
      </c>
      <c r="E61" s="3105">
        <v>83914.419200000004</v>
      </c>
    </row>
    <row r="62" spans="1:5" ht="12.75" customHeight="1">
      <c r="A62" s="636">
        <v>2017.05</v>
      </c>
      <c r="B62" s="638">
        <v>3776146</v>
      </c>
      <c r="C62" s="1920">
        <v>26083</v>
      </c>
      <c r="D62" s="638">
        <v>3812534.5279999999</v>
      </c>
      <c r="E62" s="3105">
        <v>86293.353600000002</v>
      </c>
    </row>
    <row r="63" spans="1:5" ht="12.75" customHeight="1">
      <c r="A63" s="636">
        <v>2017.06</v>
      </c>
      <c r="B63" s="638">
        <v>3820230</v>
      </c>
      <c r="C63" s="1920">
        <v>26618</v>
      </c>
      <c r="D63" s="638">
        <v>3857138.392</v>
      </c>
      <c r="E63" s="3105">
        <v>88048.361600000004</v>
      </c>
    </row>
    <row r="64" spans="1:5" ht="12.75" customHeight="1">
      <c r="A64" s="636">
        <v>2017.07</v>
      </c>
      <c r="B64" s="638">
        <v>3859662</v>
      </c>
      <c r="C64" s="1920">
        <v>27359</v>
      </c>
      <c r="D64" s="638">
        <v>3897406.1376</v>
      </c>
      <c r="E64" s="3105">
        <v>90487.756800000003</v>
      </c>
    </row>
    <row r="65" spans="1:5" ht="12.75" customHeight="1">
      <c r="A65" s="636">
        <v>2017.08</v>
      </c>
      <c r="B65" s="638">
        <v>3879327</v>
      </c>
      <c r="C65" s="1920">
        <v>27781</v>
      </c>
      <c r="D65" s="638">
        <v>3917378.9183999998</v>
      </c>
      <c r="E65" s="3105">
        <v>91886.1152</v>
      </c>
    </row>
    <row r="66" spans="1:5" ht="12.75" customHeight="1">
      <c r="A66" s="636">
        <v>2017.09</v>
      </c>
      <c r="B66" s="638">
        <v>3894879</v>
      </c>
      <c r="C66" s="1920">
        <v>28155</v>
      </c>
      <c r="D66" s="638">
        <v>4457054.7423999999</v>
      </c>
      <c r="E66" s="3105">
        <v>105543.2496</v>
      </c>
    </row>
    <row r="67" spans="1:5" ht="12.75" customHeight="1">
      <c r="A67" s="636">
        <v>2017.1</v>
      </c>
      <c r="B67" s="638">
        <v>3913418</v>
      </c>
      <c r="C67" s="1920">
        <v>28475</v>
      </c>
      <c r="D67" s="638">
        <v>4478279.6288000001</v>
      </c>
      <c r="E67" s="3105">
        <v>106747.8144</v>
      </c>
    </row>
    <row r="68" spans="1:5" ht="12.75" customHeight="1">
      <c r="A68" s="636">
        <v>2017.11</v>
      </c>
      <c r="B68" s="638">
        <v>3925614</v>
      </c>
      <c r="C68" s="1920">
        <v>28661</v>
      </c>
      <c r="D68" s="638">
        <v>4492813.3247999996</v>
      </c>
      <c r="E68" s="3105">
        <v>107437.6096</v>
      </c>
    </row>
    <row r="69" spans="1:5" ht="12.75" customHeight="1">
      <c r="A69" s="636">
        <v>2017.12</v>
      </c>
      <c r="B69" s="638">
        <v>3927108</v>
      </c>
      <c r="C69" s="1920">
        <v>28934</v>
      </c>
      <c r="D69" s="638">
        <v>4494164.1216000002</v>
      </c>
      <c r="E69" s="3105">
        <v>108444.66559999999</v>
      </c>
    </row>
    <row r="70" spans="1:5" ht="12.75" customHeight="1">
      <c r="A70" s="636">
        <v>2018.01</v>
      </c>
      <c r="B70" s="638">
        <v>3937689</v>
      </c>
      <c r="C70" s="1920">
        <v>29272</v>
      </c>
      <c r="D70" s="638">
        <v>4505961.0656000003</v>
      </c>
      <c r="E70" s="3105">
        <v>109714.4512</v>
      </c>
    </row>
    <row r="71" spans="1:5" ht="12.75" customHeight="1">
      <c r="A71" s="636">
        <v>2018.02</v>
      </c>
      <c r="B71" s="638">
        <v>3958881</v>
      </c>
      <c r="C71" s="1920">
        <v>29677</v>
      </c>
      <c r="D71" s="638">
        <v>4530729.2319999998</v>
      </c>
      <c r="E71" s="3105">
        <v>111232.224</v>
      </c>
    </row>
    <row r="72" spans="1:5" ht="12.75" customHeight="1">
      <c r="A72" s="636">
        <v>2018.03</v>
      </c>
      <c r="B72" s="638">
        <v>3776753</v>
      </c>
      <c r="C72" s="1920">
        <v>29094</v>
      </c>
      <c r="D72" s="638">
        <v>4568650.8071999997</v>
      </c>
      <c r="E72" s="3105">
        <v>115247.28720000001</v>
      </c>
    </row>
    <row r="73" spans="1:5" ht="12.75" customHeight="1">
      <c r="A73" s="636">
        <v>2018.04</v>
      </c>
      <c r="B73" s="638">
        <v>3813735</v>
      </c>
      <c r="C73" s="1920">
        <v>29638</v>
      </c>
      <c r="D73" s="638">
        <v>4613772.2264</v>
      </c>
      <c r="E73" s="3105">
        <v>117420.0408</v>
      </c>
    </row>
    <row r="74" spans="1:5" ht="12.75" customHeight="1">
      <c r="A74" s="636">
        <v>2018.05</v>
      </c>
      <c r="B74" s="638">
        <v>3841579</v>
      </c>
      <c r="C74" s="1920">
        <v>30464</v>
      </c>
      <c r="D74" s="638">
        <v>4647938.3607999999</v>
      </c>
      <c r="E74" s="3105">
        <v>120694.7472</v>
      </c>
    </row>
    <row r="75" spans="1:5" ht="12.75" customHeight="1">
      <c r="A75" s="636">
        <v>2018.06</v>
      </c>
      <c r="B75" s="638">
        <v>3885003</v>
      </c>
      <c r="C75" s="1920">
        <v>31326</v>
      </c>
      <c r="D75" s="638">
        <v>4968799.2624000004</v>
      </c>
      <c r="E75" s="3105">
        <v>131225.09760000001</v>
      </c>
    </row>
    <row r="76" spans="1:5" ht="12.75" customHeight="1">
      <c r="A76" s="636">
        <v>2018.07</v>
      </c>
      <c r="B76" s="638">
        <v>3931495</v>
      </c>
      <c r="C76" s="1920">
        <v>32223</v>
      </c>
      <c r="D76" s="638">
        <v>5028351.9264000002</v>
      </c>
      <c r="E76" s="3105">
        <v>134966.78880000001</v>
      </c>
    </row>
    <row r="77" spans="1:5" ht="12.75" customHeight="1">
      <c r="A77" s="636">
        <v>2018.08</v>
      </c>
      <c r="B77" s="638">
        <v>3979864</v>
      </c>
      <c r="C77" s="1920">
        <v>33390</v>
      </c>
      <c r="D77" s="638">
        <v>5090501.6352000004</v>
      </c>
      <c r="E77" s="3105">
        <v>139822.704</v>
      </c>
    </row>
    <row r="78" spans="1:5" ht="12.75" customHeight="1">
      <c r="A78" s="636">
        <v>2018.09</v>
      </c>
      <c r="B78" s="638">
        <v>3877670</v>
      </c>
      <c r="C78" s="1920">
        <v>32907</v>
      </c>
      <c r="D78" s="638">
        <v>5292198.1327999998</v>
      </c>
      <c r="E78" s="3105">
        <v>146921.71599999999</v>
      </c>
    </row>
    <row r="79" spans="1:5" ht="12.75" customHeight="1">
      <c r="A79" s="636">
        <v>2018.1</v>
      </c>
      <c r="B79" s="638">
        <v>3909872</v>
      </c>
      <c r="C79" s="1920">
        <v>33300</v>
      </c>
      <c r="D79" s="638">
        <v>5336105.2879999997</v>
      </c>
      <c r="E79" s="3105">
        <v>148646.76800000001</v>
      </c>
    </row>
    <row r="80" spans="1:5" ht="12.75" customHeight="1">
      <c r="A80" s="636">
        <v>2018.11</v>
      </c>
      <c r="B80" s="638">
        <v>3947641</v>
      </c>
      <c r="C80" s="1920">
        <v>33815</v>
      </c>
      <c r="D80" s="638">
        <v>5387296.9519999996</v>
      </c>
      <c r="E80" s="3105">
        <v>150887.9656</v>
      </c>
    </row>
    <row r="81" spans="1:5" ht="12.75" customHeight="1">
      <c r="A81" s="636">
        <v>2018.12</v>
      </c>
      <c r="B81" s="638">
        <v>3960198</v>
      </c>
      <c r="C81" s="1920">
        <v>34226</v>
      </c>
      <c r="D81" s="638">
        <v>5828349.3424000004</v>
      </c>
      <c r="E81" s="3105">
        <v>164597.4</v>
      </c>
    </row>
    <row r="82" spans="1:5" ht="12.75" customHeight="1">
      <c r="A82" s="636">
        <v>2019.01</v>
      </c>
      <c r="B82" s="638">
        <v>3989385</v>
      </c>
      <c r="C82" s="1920">
        <v>34779</v>
      </c>
      <c r="D82" s="638">
        <v>5870984.6040000003</v>
      </c>
      <c r="E82" s="3105">
        <v>167260.0104</v>
      </c>
    </row>
    <row r="83" spans="1:5" ht="12.75" customHeight="1">
      <c r="A83" s="636">
        <v>2019.02</v>
      </c>
      <c r="B83" s="638">
        <v>4020149</v>
      </c>
      <c r="C83" s="1920">
        <v>35495</v>
      </c>
      <c r="D83" s="638">
        <v>5916068.3272000002</v>
      </c>
      <c r="E83" s="3105">
        <v>170707.24559999999</v>
      </c>
    </row>
    <row r="84" spans="1:5" ht="12.75" customHeight="1">
      <c r="A84" s="636">
        <v>2019.03</v>
      </c>
      <c r="B84" s="638">
        <v>3877128</v>
      </c>
      <c r="C84" s="1920">
        <v>35214</v>
      </c>
      <c r="D84" s="638">
        <v>8329883.1456000004</v>
      </c>
      <c r="E84" s="3105">
        <v>247195.65359999999</v>
      </c>
    </row>
    <row r="85" spans="1:5" ht="12.75" customHeight="1">
      <c r="A85" s="636">
        <v>2019.04</v>
      </c>
      <c r="B85" s="638">
        <v>3888989</v>
      </c>
      <c r="C85" s="1920">
        <v>35745</v>
      </c>
      <c r="D85" s="638">
        <v>8355074.8256000001</v>
      </c>
      <c r="E85" s="3105">
        <v>250904.11439999999</v>
      </c>
    </row>
    <row r="86" spans="1:5" ht="12.75" customHeight="1">
      <c r="A86" s="636">
        <v>2019.05</v>
      </c>
      <c r="B86" s="638">
        <v>3932308</v>
      </c>
      <c r="C86" s="1920">
        <v>36655</v>
      </c>
      <c r="D86" s="638">
        <v>8448927.7503999993</v>
      </c>
      <c r="E86" s="3105">
        <v>257288.83840000001</v>
      </c>
    </row>
    <row r="87" spans="1:5" ht="12.75" customHeight="1">
      <c r="A87" s="636">
        <v>2019.06</v>
      </c>
      <c r="B87" s="638">
        <v>3886635</v>
      </c>
      <c r="C87" s="1920">
        <v>36405</v>
      </c>
      <c r="D87" s="638">
        <v>8349206.2527999999</v>
      </c>
      <c r="E87" s="3105">
        <v>255411.0816</v>
      </c>
    </row>
    <row r="88" spans="1:5" ht="12.75" customHeight="1">
      <c r="A88" s="636">
        <v>2019.07</v>
      </c>
      <c r="B88" s="638">
        <v>3881003</v>
      </c>
      <c r="C88" s="1920">
        <v>36963</v>
      </c>
      <c r="D88" s="638">
        <v>8337280.3263983605</v>
      </c>
      <c r="E88" s="3105">
        <v>259366.36719999724</v>
      </c>
    </row>
    <row r="89" spans="1:5" ht="12.75" customHeight="1">
      <c r="A89" s="636">
        <v>2019.08</v>
      </c>
      <c r="B89" s="638">
        <v>4229181</v>
      </c>
      <c r="C89" s="1920">
        <v>41802</v>
      </c>
      <c r="D89" s="638">
        <v>9090287.8079993092</v>
      </c>
      <c r="E89" s="3105">
        <v>293424.23440000479</v>
      </c>
    </row>
    <row r="90" spans="1:5" ht="12.75" customHeight="1">
      <c r="A90" s="636">
        <v>2019.09</v>
      </c>
      <c r="B90" s="638">
        <v>4058411</v>
      </c>
      <c r="C90" s="1920">
        <v>40217</v>
      </c>
      <c r="D90" s="638">
        <v>8717998.1056000013</v>
      </c>
      <c r="E90" s="3105">
        <v>282159.86080000002</v>
      </c>
    </row>
    <row r="91" spans="1:5" ht="12.75" customHeight="1">
      <c r="A91" s="636">
        <v>2019.1</v>
      </c>
      <c r="B91" s="638">
        <v>4018413</v>
      </c>
      <c r="C91" s="1920">
        <v>40187</v>
      </c>
      <c r="D91" s="638">
        <v>8632781.1040000003</v>
      </c>
      <c r="E91" s="3105">
        <v>281942.0808</v>
      </c>
    </row>
    <row r="92" spans="1:5" ht="12.75" customHeight="1">
      <c r="A92" s="636">
        <v>2019.11</v>
      </c>
      <c r="B92" s="638">
        <v>4121639</v>
      </c>
      <c r="C92" s="1920">
        <v>41873</v>
      </c>
      <c r="D92" s="638">
        <v>8855157.8783999998</v>
      </c>
      <c r="E92" s="3105">
        <v>293799.62719999999</v>
      </c>
    </row>
    <row r="93" spans="1:5" ht="12.75" customHeight="1">
      <c r="A93" s="636">
        <v>2019.12</v>
      </c>
      <c r="B93" s="638">
        <v>4111785</v>
      </c>
      <c r="C93" s="1920">
        <v>42867</v>
      </c>
      <c r="D93" s="638">
        <v>9148104.2383999992</v>
      </c>
      <c r="E93" s="3105">
        <v>311417.26319999999</v>
      </c>
    </row>
    <row r="94" spans="1:5" ht="12.75" customHeight="1">
      <c r="A94" s="636">
        <v>2020.01</v>
      </c>
      <c r="B94" s="638">
        <v>4144406</v>
      </c>
      <c r="C94" s="1920">
        <v>44328</v>
      </c>
      <c r="D94" s="638">
        <v>9220808.2464000005</v>
      </c>
      <c r="E94" s="3105">
        <v>322069.98480000003</v>
      </c>
    </row>
    <row r="95" spans="1:5" ht="12.75" customHeight="1">
      <c r="A95" s="636">
        <v>2020.02</v>
      </c>
      <c r="B95" s="638">
        <v>4231199</v>
      </c>
      <c r="C95" s="1920">
        <v>46447</v>
      </c>
      <c r="D95" s="638">
        <v>9411622.1103999987</v>
      </c>
      <c r="E95" s="3105">
        <v>337391.59519999998</v>
      </c>
    </row>
    <row r="96" spans="1:5" ht="12.75" customHeight="1">
      <c r="A96" s="636">
        <v>2020.03</v>
      </c>
      <c r="B96" s="638">
        <v>4213520</v>
      </c>
      <c r="C96" s="1920">
        <v>46876</v>
      </c>
      <c r="D96" s="638">
        <v>10589255.868000001</v>
      </c>
      <c r="E96" s="3105">
        <v>384760.43039999995</v>
      </c>
    </row>
    <row r="97" spans="1:5" ht="12.75" customHeight="1">
      <c r="A97" s="636">
        <v>2020.04</v>
      </c>
      <c r="B97" s="638">
        <v>4234538</v>
      </c>
      <c r="C97" s="1920">
        <v>47764</v>
      </c>
      <c r="D97" s="638">
        <v>10641637.260799998</v>
      </c>
      <c r="E97" s="3105">
        <v>392040.37280000001</v>
      </c>
    </row>
    <row r="98" spans="1:5" ht="12.75" customHeight="1">
      <c r="A98" s="636">
        <v>2020.05</v>
      </c>
      <c r="B98" s="638">
        <v>4263867</v>
      </c>
      <c r="C98" s="1920">
        <v>48043</v>
      </c>
      <c r="D98" s="638">
        <v>10716763.622399999</v>
      </c>
      <c r="E98" s="3105">
        <v>394377.24560000002</v>
      </c>
    </row>
    <row r="99" spans="1:5" ht="12.75" customHeight="1">
      <c r="A99" s="636">
        <v>2020.06</v>
      </c>
      <c r="B99" s="638">
        <v>4344464</v>
      </c>
      <c r="C99" s="1920">
        <v>49912</v>
      </c>
      <c r="D99" s="638">
        <v>11587020.495999999</v>
      </c>
      <c r="E99" s="3105">
        <v>434782.1752</v>
      </c>
    </row>
    <row r="100" spans="1:5" ht="12.75" customHeight="1">
      <c r="A100" s="636">
        <v>2020.07</v>
      </c>
      <c r="B100" s="638">
        <v>4317691</v>
      </c>
      <c r="C100" s="1920">
        <v>49938</v>
      </c>
      <c r="D100" s="638">
        <v>11515202.143200001</v>
      </c>
      <c r="E100" s="3105">
        <v>434987.33280000003</v>
      </c>
    </row>
    <row r="101" spans="1:5" ht="12.75" customHeight="1">
      <c r="A101" s="636">
        <v>2020.08</v>
      </c>
      <c r="B101" s="638">
        <v>4327163</v>
      </c>
      <c r="C101" s="1920">
        <v>49710</v>
      </c>
      <c r="D101" s="638">
        <v>11539448.5624</v>
      </c>
      <c r="E101" s="3105">
        <v>433004.42879999999</v>
      </c>
    </row>
    <row r="102" spans="1:5" ht="12.75" customHeight="1">
      <c r="A102" s="636">
        <v>2020.09</v>
      </c>
      <c r="B102" s="638">
        <v>4299907</v>
      </c>
      <c r="C102" s="1920">
        <v>49274</v>
      </c>
      <c r="D102" s="638">
        <v>12326603.6976</v>
      </c>
      <c r="E102" s="3105">
        <v>461459.1128</v>
      </c>
    </row>
    <row r="103" spans="1:5" ht="12.75" customHeight="1">
      <c r="A103" s="636">
        <v>2020.1</v>
      </c>
      <c r="B103" s="638">
        <v>4258758</v>
      </c>
      <c r="C103" s="1920">
        <v>48745</v>
      </c>
      <c r="D103" s="638">
        <v>12208438.4976</v>
      </c>
      <c r="E103" s="3105">
        <v>456533.2</v>
      </c>
    </row>
    <row r="104" spans="1:5" ht="12.75" customHeight="1">
      <c r="A104" s="636">
        <v>2020.11</v>
      </c>
      <c r="B104" s="638">
        <v>4249301</v>
      </c>
      <c r="C104" s="1920">
        <v>48845</v>
      </c>
      <c r="D104" s="638">
        <v>12180450.691200001</v>
      </c>
      <c r="E104" s="3105">
        <v>457370.16719999997</v>
      </c>
    </row>
    <row r="105" spans="1:5" ht="12.75" customHeight="1">
      <c r="A105" s="636">
        <v>2020.12</v>
      </c>
      <c r="B105" s="638">
        <v>4304207</v>
      </c>
      <c r="C105" s="1920">
        <v>49515</v>
      </c>
      <c r="D105" s="638">
        <v>12953221.135200001</v>
      </c>
      <c r="E105" s="3105">
        <v>486810.15360000002</v>
      </c>
    </row>
    <row r="106" spans="1:5" ht="12.75" customHeight="1">
      <c r="A106" s="636">
        <f>A94+1</f>
        <v>2021.01</v>
      </c>
      <c r="B106" s="638">
        <v>4304473</v>
      </c>
      <c r="C106" s="1920">
        <v>49367</v>
      </c>
      <c r="D106" s="638">
        <v>12952636.308</v>
      </c>
      <c r="E106" s="3105">
        <v>485312.13439999998</v>
      </c>
    </row>
    <row r="107" spans="1:5" ht="12.75" customHeight="1">
      <c r="A107" s="636">
        <f t="shared" ref="A107:A170" si="0">A95+1</f>
        <v>2021.02</v>
      </c>
      <c r="B107" s="638">
        <v>4309864</v>
      </c>
      <c r="C107" s="1920">
        <v>49453</v>
      </c>
      <c r="D107" s="638">
        <v>12969408.0096</v>
      </c>
      <c r="E107" s="3105">
        <v>486235.56319999998</v>
      </c>
    </row>
    <row r="108" spans="1:5" ht="12.75" customHeight="1">
      <c r="A108" s="636">
        <f t="shared" si="0"/>
        <v>2021.03</v>
      </c>
      <c r="B108" s="638">
        <v>4331667</v>
      </c>
      <c r="C108" s="1920">
        <v>50067</v>
      </c>
      <c r="D108" s="638">
        <v>14087031.012</v>
      </c>
      <c r="E108" s="3105">
        <v>532001.68559999997</v>
      </c>
    </row>
    <row r="109" spans="1:5" ht="12.75" customHeight="1">
      <c r="A109" s="636">
        <f t="shared" si="0"/>
        <v>2021.04</v>
      </c>
      <c r="B109" s="638">
        <v>4352114</v>
      </c>
      <c r="C109" s="1920">
        <v>48985</v>
      </c>
      <c r="D109" s="638">
        <v>14152469.347200001</v>
      </c>
      <c r="E109" s="3105">
        <v>520275.14</v>
      </c>
    </row>
    <row r="110" spans="1:5" ht="12.75" customHeight="1">
      <c r="A110" s="636">
        <f t="shared" si="0"/>
        <v>2021.05</v>
      </c>
      <c r="B110" s="638">
        <v>4328422</v>
      </c>
      <c r="C110" s="1920">
        <v>48851</v>
      </c>
      <c r="D110" s="638">
        <v>14075179.800000001</v>
      </c>
      <c r="E110" s="3105">
        <v>518859.32560000004</v>
      </c>
    </row>
    <row r="111" spans="1:5" ht="12.75" customHeight="1">
      <c r="A111" s="636">
        <f t="shared" si="0"/>
        <v>2021.06</v>
      </c>
      <c r="B111" s="638">
        <v>4315672</v>
      </c>
      <c r="C111" s="1920">
        <v>48672</v>
      </c>
      <c r="D111" s="638">
        <v>15735572.326399999</v>
      </c>
      <c r="E111" s="3105">
        <v>579555.28320000006</v>
      </c>
    </row>
    <row r="112" spans="1:5" ht="12.75" customHeight="1">
      <c r="A112" s="636">
        <f t="shared" si="0"/>
        <v>2021.07</v>
      </c>
      <c r="B112" s="638">
        <v>4327158</v>
      </c>
      <c r="C112" s="1920">
        <v>49039</v>
      </c>
      <c r="D112" s="638">
        <v>15776694.771200001</v>
      </c>
      <c r="E112" s="3105">
        <v>583769.32400000002</v>
      </c>
    </row>
    <row r="113" spans="1:5" ht="12.75" customHeight="1">
      <c r="A113" s="636">
        <f t="shared" si="0"/>
        <v>2021.08</v>
      </c>
      <c r="B113" s="638">
        <v>4350837</v>
      </c>
      <c r="C113" s="1920">
        <v>50003</v>
      </c>
      <c r="D113" s="638">
        <v>15863202.5408</v>
      </c>
      <c r="E113" s="3105">
        <v>595260.86320000002</v>
      </c>
    </row>
    <row r="114" spans="1:5" ht="12.75" customHeight="1">
      <c r="A114" s="636">
        <f t="shared" si="0"/>
        <v>2021.09</v>
      </c>
      <c r="B114" s="638">
        <v>4352796</v>
      </c>
      <c r="C114" s="1920">
        <v>50357</v>
      </c>
      <c r="D114" s="638">
        <v>17842459.342400003</v>
      </c>
      <c r="E114" s="3105">
        <v>673649.49920000008</v>
      </c>
    </row>
    <row r="115" spans="1:5" ht="12.75" customHeight="1">
      <c r="A115" s="636">
        <f t="shared" si="0"/>
        <v>2021.1</v>
      </c>
      <c r="B115" s="638">
        <v>4333674</v>
      </c>
      <c r="C115" s="1920">
        <v>50690</v>
      </c>
      <c r="D115" s="638">
        <v>17762465.395199999</v>
      </c>
      <c r="E115" s="3105">
        <v>678012.36</v>
      </c>
    </row>
    <row r="116" spans="1:5" ht="12.75" customHeight="1">
      <c r="A116" s="636">
        <f t="shared" si="0"/>
        <v>2021.11</v>
      </c>
      <c r="B116" s="638">
        <v>4333346</v>
      </c>
      <c r="C116" s="1920">
        <v>51423</v>
      </c>
      <c r="D116" s="638">
        <v>17759689.560800001</v>
      </c>
      <c r="E116" s="3105">
        <v>687816.26800000004</v>
      </c>
    </row>
    <row r="117" spans="1:5" ht="12.75" customHeight="1">
      <c r="A117" s="636">
        <f t="shared" si="0"/>
        <v>2021.12</v>
      </c>
      <c r="B117" s="638">
        <v>4339386</v>
      </c>
      <c r="C117" s="1920">
        <v>52126</v>
      </c>
      <c r="D117" s="638">
        <v>19941181.646400001</v>
      </c>
      <c r="E117" s="3105">
        <v>781593.44479999994</v>
      </c>
    </row>
    <row r="118" spans="1:5" ht="12.75" customHeight="1">
      <c r="A118" s="636">
        <f t="shared" si="0"/>
        <v>2022.01</v>
      </c>
      <c r="B118" s="638">
        <v>4321019</v>
      </c>
      <c r="C118" s="1920">
        <v>52567</v>
      </c>
      <c r="D118" s="638">
        <v>19855226.437599998</v>
      </c>
      <c r="E118" s="3105">
        <v>788073.73600000003</v>
      </c>
    </row>
    <row r="119" spans="1:5" ht="12.75" customHeight="1">
      <c r="A119" s="636">
        <f t="shared" si="0"/>
        <v>2022.02</v>
      </c>
      <c r="B119" s="638">
        <v>4320566</v>
      </c>
      <c r="C119" s="1920">
        <v>53167</v>
      </c>
      <c r="D119" s="638">
        <v>19852362.078400001</v>
      </c>
      <c r="E119" s="3105">
        <v>796990.8088</v>
      </c>
    </row>
    <row r="120" spans="1:5" ht="12.75" customHeight="1">
      <c r="A120" s="636">
        <f t="shared" si="0"/>
        <v>2022.03</v>
      </c>
      <c r="B120" s="638">
        <v>4343327</v>
      </c>
      <c r="C120" s="1920">
        <v>54064</v>
      </c>
      <c r="D120" s="638">
        <v>22410358.2568</v>
      </c>
      <c r="E120" s="3105">
        <v>910006.37120000005</v>
      </c>
    </row>
    <row r="121" spans="1:5" ht="12.75" customHeight="1">
      <c r="A121" s="636">
        <f t="shared" si="0"/>
        <v>2022.04</v>
      </c>
      <c r="B121" s="638">
        <v>4327669</v>
      </c>
      <c r="C121" s="1920">
        <v>54330</v>
      </c>
      <c r="D121" s="638">
        <v>22330193.316</v>
      </c>
      <c r="E121" s="3105">
        <v>914664.60800000001</v>
      </c>
    </row>
    <row r="122" spans="1:5" ht="12.75" customHeight="1">
      <c r="A122" s="636">
        <f t="shared" si="0"/>
        <v>2022.05</v>
      </c>
      <c r="B122" s="638">
        <v>4423581</v>
      </c>
      <c r="C122" s="1920">
        <v>57230</v>
      </c>
      <c r="D122" s="638">
        <v>22823674.0176</v>
      </c>
      <c r="E122" s="3105">
        <v>963424.85600000003</v>
      </c>
    </row>
    <row r="123" spans="1:5" ht="12.75" customHeight="1">
      <c r="A123" s="636">
        <f t="shared" si="0"/>
        <v>2022.06</v>
      </c>
      <c r="B123" s="638">
        <v>4314154</v>
      </c>
      <c r="C123" s="1920">
        <v>55052</v>
      </c>
      <c r="D123" s="638">
        <v>25598217.382400002</v>
      </c>
      <c r="E123" s="3105">
        <v>1065330.8256000001</v>
      </c>
    </row>
    <row r="124" spans="1:5" ht="12.75" customHeight="1">
      <c r="A124" s="636">
        <f t="shared" si="0"/>
        <v>2022.07</v>
      </c>
      <c r="B124" s="638">
        <v>4309520</v>
      </c>
      <c r="C124" s="1920">
        <v>55149</v>
      </c>
      <c r="D124" s="638">
        <v>25570791.552000001</v>
      </c>
      <c r="E124" s="3105">
        <v>1067120.9392000001</v>
      </c>
    </row>
    <row r="125" spans="1:5" ht="12.75" customHeight="1">
      <c r="A125" s="636">
        <f t="shared" si="0"/>
        <v>2022.08</v>
      </c>
      <c r="B125" s="638">
        <v>4304708</v>
      </c>
      <c r="C125" s="1920">
        <v>55325</v>
      </c>
      <c r="D125" s="638">
        <v>25540517.6448</v>
      </c>
      <c r="E125" s="3105">
        <v>1070477.652</v>
      </c>
    </row>
    <row r="126" spans="1:5" ht="12.75" customHeight="1">
      <c r="A126" s="636">
        <f t="shared" si="0"/>
        <v>2022.09</v>
      </c>
      <c r="B126" s="638">
        <v>4279101</v>
      </c>
      <c r="C126" s="1920">
        <v>55502</v>
      </c>
      <c r="D126" s="638">
        <v>29331097.122400001</v>
      </c>
      <c r="E126" s="3105">
        <v>1240713.4712</v>
      </c>
    </row>
    <row r="127" spans="1:5" ht="12.75" customHeight="1">
      <c r="A127" s="636">
        <f t="shared" si="0"/>
        <v>2022.1</v>
      </c>
      <c r="B127" s="638">
        <v>4271594</v>
      </c>
      <c r="C127" s="1920">
        <v>55944</v>
      </c>
      <c r="D127" s="638">
        <v>29278692.384</v>
      </c>
      <c r="E127" s="3105">
        <v>1250383.2144000002</v>
      </c>
    </row>
    <row r="128" spans="1:5" ht="12.75" customHeight="1">
      <c r="A128" s="636">
        <f t="shared" si="0"/>
        <v>2022.11</v>
      </c>
      <c r="B128" s="638">
        <v>4272045</v>
      </c>
      <c r="C128" s="1920">
        <v>56978</v>
      </c>
      <c r="D128" s="638">
        <v>29283294.2568</v>
      </c>
      <c r="E128" s="3105">
        <v>1273430.7967999999</v>
      </c>
    </row>
    <row r="129" spans="1:5" ht="12.75" customHeight="1">
      <c r="A129" s="636">
        <f t="shared" si="0"/>
        <v>2022.12</v>
      </c>
      <c r="B129" s="638">
        <v>4256558</v>
      </c>
      <c r="C129" s="1920">
        <v>49965</v>
      </c>
      <c r="D129" s="638">
        <v>33737530.635200001</v>
      </c>
      <c r="E129" s="3105">
        <v>1291666.7279999999</v>
      </c>
    </row>
    <row r="130" spans="1:5" ht="12.75" customHeight="1">
      <c r="A130" s="636">
        <f t="shared" si="0"/>
        <v>2023.01</v>
      </c>
      <c r="B130" s="638">
        <v>4240935</v>
      </c>
      <c r="C130" s="1920">
        <v>50320</v>
      </c>
      <c r="D130" s="638">
        <v>33610262.983999997</v>
      </c>
      <c r="E130" s="3105">
        <v>1300665.08</v>
      </c>
    </row>
    <row r="131" spans="1:5" ht="12.75" customHeight="1">
      <c r="A131" s="636">
        <f t="shared" si="0"/>
        <v>2023.02</v>
      </c>
      <c r="B131" s="638">
        <v>4238330</v>
      </c>
      <c r="C131" s="1920">
        <v>51103</v>
      </c>
      <c r="D131" s="638">
        <v>33588399.513599999</v>
      </c>
      <c r="E131" s="3105">
        <v>1320800.3600000001</v>
      </c>
    </row>
    <row r="132" spans="1:5" ht="12.75" customHeight="1">
      <c r="A132" s="636">
        <f t="shared" si="0"/>
        <v>2023.03</v>
      </c>
      <c r="B132" s="638">
        <v>4218897</v>
      </c>
      <c r="C132" s="1920">
        <v>51474</v>
      </c>
      <c r="D132" s="638">
        <v>39130010.899999999</v>
      </c>
      <c r="E132" s="3105">
        <v>1556812.9783999999</v>
      </c>
    </row>
    <row r="133" spans="1:5" ht="12.75" customHeight="1">
      <c r="A133" s="636">
        <f t="shared" si="0"/>
        <v>2023.04</v>
      </c>
      <c r="B133" s="638">
        <v>4187348</v>
      </c>
      <c r="C133" s="1920">
        <v>52312</v>
      </c>
      <c r="D133" s="638">
        <v>38833647.887999997</v>
      </c>
      <c r="E133" s="3105">
        <v>1582120.8176</v>
      </c>
    </row>
    <row r="134" spans="1:5" ht="12.75" customHeight="1">
      <c r="A134" s="636">
        <f t="shared" si="0"/>
        <v>2023.05</v>
      </c>
      <c r="B134" s="638">
        <v>4172706</v>
      </c>
      <c r="C134" s="1920">
        <v>53608</v>
      </c>
      <c r="D134" s="638">
        <v>38698622.184</v>
      </c>
      <c r="E134" s="3105">
        <v>1621377.3912</v>
      </c>
    </row>
    <row r="135" spans="1:5" ht="12.75" customHeight="1">
      <c r="A135" s="636">
        <f t="shared" si="0"/>
        <v>2023.06</v>
      </c>
      <c r="B135" s="638">
        <v>4169832</v>
      </c>
      <c r="C135" s="1920">
        <v>54973</v>
      </c>
      <c r="D135" s="638">
        <v>46767745.126400001</v>
      </c>
      <c r="E135" s="3105">
        <v>2010610.6728000001</v>
      </c>
    </row>
    <row r="136" spans="1:5" ht="12.75" customHeight="1">
      <c r="A136" s="636">
        <f t="shared" si="0"/>
        <v>2023.07</v>
      </c>
      <c r="B136" s="638">
        <v>4172002</v>
      </c>
      <c r="C136" s="1920">
        <v>56557</v>
      </c>
      <c r="D136" s="638">
        <v>46792561.830399998</v>
      </c>
      <c r="E136" s="3105">
        <v>2068276.0632</v>
      </c>
    </row>
    <row r="137" spans="1:5" ht="12.75" customHeight="1">
      <c r="A137" s="636">
        <f t="shared" si="0"/>
        <v>2023.08</v>
      </c>
      <c r="B137" s="638">
        <v>4166811</v>
      </c>
      <c r="C137" s="1920">
        <v>57922</v>
      </c>
      <c r="D137" s="638">
        <v>46733912.467200004</v>
      </c>
      <c r="E137" s="3105">
        <v>2118248.4191999999</v>
      </c>
    </row>
    <row r="138" spans="1:5" ht="12.75" customHeight="1">
      <c r="A138" s="636">
        <f t="shared" si="0"/>
        <v>2023.09</v>
      </c>
      <c r="B138" s="638">
        <v>4063065</v>
      </c>
      <c r="C138" s="1920">
        <v>57576</v>
      </c>
      <c r="D138" s="638">
        <v>56171487.984800003</v>
      </c>
      <c r="E138" s="3105">
        <v>2595110.1368</v>
      </c>
    </row>
    <row r="139" spans="1:5" ht="12.75" customHeight="1">
      <c r="A139" s="636">
        <f t="shared" si="0"/>
        <v>2023.1</v>
      </c>
      <c r="B139" s="638">
        <v>4057533</v>
      </c>
      <c r="C139" s="1920">
        <v>58640</v>
      </c>
      <c r="D139" s="638">
        <v>56091718.292000003</v>
      </c>
      <c r="E139" s="3105">
        <v>2642556.4271999998</v>
      </c>
    </row>
    <row r="140" spans="1:5" ht="12.75" customHeight="1">
      <c r="A140" s="636">
        <f t="shared" si="0"/>
        <v>2023.11</v>
      </c>
      <c r="B140" s="638">
        <v>4035436</v>
      </c>
      <c r="C140" s="1920">
        <v>59184</v>
      </c>
      <c r="D140" s="638">
        <v>55778671.408</v>
      </c>
      <c r="E140" s="3105">
        <v>2666967.5584</v>
      </c>
    </row>
    <row r="141" spans="1:5" ht="12.75" customHeight="1">
      <c r="A141" s="636">
        <f t="shared" si="0"/>
        <v>2023.12</v>
      </c>
      <c r="B141" s="638">
        <v>4021443</v>
      </c>
      <c r="C141" s="1920">
        <v>60335</v>
      </c>
      <c r="D141" s="638">
        <v>67195272.079999998</v>
      </c>
      <c r="E141" s="3105">
        <v>3286321.3768000002</v>
      </c>
    </row>
    <row r="142" spans="1:5" ht="12.75" customHeight="1">
      <c r="A142" s="636">
        <f t="shared" si="0"/>
        <v>2024.01</v>
      </c>
      <c r="B142" s="638">
        <v>3965325</v>
      </c>
      <c r="C142" s="1920">
        <v>60223</v>
      </c>
      <c r="D142" s="638">
        <v>132489421.8872</v>
      </c>
      <c r="E142" s="3105">
        <v>6559003.9312000005</v>
      </c>
    </row>
    <row r="143" spans="1:5" ht="12.75" customHeight="1">
      <c r="A143" s="636">
        <f t="shared" si="0"/>
        <v>2024.02</v>
      </c>
      <c r="B143" s="638">
        <v>3961841</v>
      </c>
      <c r="C143" s="1920">
        <v>61109</v>
      </c>
      <c r="D143" s="638">
        <v>132365125.0168</v>
      </c>
      <c r="E143" s="3105">
        <v>6655702.7120000003</v>
      </c>
    </row>
    <row r="144" spans="1:5" ht="12.75" customHeight="1">
      <c r="A144" s="636">
        <f t="shared" si="0"/>
        <v>2024.03</v>
      </c>
      <c r="B144" s="638">
        <v>3955557</v>
      </c>
      <c r="C144" s="1920">
        <v>62257</v>
      </c>
      <c r="D144" s="638">
        <v>168075589.29679999</v>
      </c>
      <c r="E144" s="3105">
        <v>8623949.6056000013</v>
      </c>
    </row>
    <row r="145" spans="1:5" ht="12.75" customHeight="1">
      <c r="A145" s="636">
        <f t="shared" si="0"/>
        <v>2024.04</v>
      </c>
      <c r="B145" s="638">
        <v>3977525</v>
      </c>
      <c r="C145" s="1920">
        <v>64247</v>
      </c>
      <c r="D145" s="638">
        <v>169007758.9488</v>
      </c>
      <c r="E145" s="3105">
        <v>8898608.0456000008</v>
      </c>
    </row>
    <row r="146" spans="1:5" ht="12.75" customHeight="1">
      <c r="A146" s="636">
        <f t="shared" si="0"/>
        <v>2024.05</v>
      </c>
      <c r="B146" s="638">
        <v>3995467</v>
      </c>
      <c r="C146" s="1920">
        <v>65876</v>
      </c>
      <c r="D146" s="638">
        <v>169756497.60479999</v>
      </c>
      <c r="E146" s="3105">
        <v>9123392.0607999992</v>
      </c>
    </row>
    <row r="147" spans="1:5" ht="12.75" customHeight="1">
      <c r="A147" s="636">
        <f t="shared" si="0"/>
        <v>2024.06</v>
      </c>
      <c r="B147" s="638">
        <v>4015891</v>
      </c>
      <c r="C147" s="1920">
        <v>68096</v>
      </c>
      <c r="D147" s="638">
        <v>241313151.0336</v>
      </c>
      <c r="E147" s="3105">
        <v>13337297.628799999</v>
      </c>
    </row>
    <row r="148" spans="1:5" ht="12.75" customHeight="1">
      <c r="A148" s="636">
        <f t="shared" si="0"/>
        <v>2024.07</v>
      </c>
      <c r="B148" s="638">
        <v>4006855</v>
      </c>
      <c r="C148" s="1920">
        <v>70184</v>
      </c>
      <c r="D148" s="638">
        <v>250786000.59439999</v>
      </c>
      <c r="E148" s="3105">
        <v>14316586.1632</v>
      </c>
    </row>
    <row r="149" spans="1:5" ht="12.75" customHeight="1">
      <c r="A149" s="636">
        <f t="shared" si="0"/>
        <v>2024.08</v>
      </c>
      <c r="B149" s="638">
        <v>4015604</v>
      </c>
      <c r="C149" s="1920">
        <v>72147</v>
      </c>
      <c r="D149" s="638">
        <v>262822862.2216</v>
      </c>
      <c r="E149" s="3105">
        <v>15390876.8072</v>
      </c>
    </row>
    <row r="150" spans="1:5" ht="12.75" customHeight="1">
      <c r="A150" s="636">
        <f t="shared" si="0"/>
        <v>2024.09</v>
      </c>
      <c r="B150" s="638">
        <v>4033144</v>
      </c>
      <c r="C150" s="1920">
        <v>74410</v>
      </c>
      <c r="D150" s="638">
        <v>274591208.8976</v>
      </c>
      <c r="E150" s="3105">
        <v>16510589.5024</v>
      </c>
    </row>
    <row r="151" spans="1:5" ht="12.75" customHeight="1">
      <c r="A151" s="636">
        <f t="shared" si="0"/>
        <v>2024.1</v>
      </c>
      <c r="B151" s="638">
        <v>4034191</v>
      </c>
      <c r="C151" s="1920">
        <v>76600</v>
      </c>
      <c r="D151" s="638">
        <v>286111226.94800001</v>
      </c>
      <c r="E151" s="3105">
        <v>17704688.063999999</v>
      </c>
    </row>
    <row r="152" spans="1:5" ht="12.75" customHeight="1">
      <c r="A152" s="636">
        <f t="shared" si="0"/>
        <v>2024.11</v>
      </c>
      <c r="B152" s="638">
        <v>4040476</v>
      </c>
      <c r="C152" s="1920">
        <v>78812</v>
      </c>
      <c r="D152" s="638">
        <v>296494599.11040002</v>
      </c>
      <c r="E152" s="3105">
        <v>18848028.614399999</v>
      </c>
    </row>
    <row r="153" spans="1:5" ht="12.75" customHeight="1">
      <c r="A153" s="636">
        <f t="shared" si="0"/>
        <v>2024.12</v>
      </c>
      <c r="B153" s="638">
        <v>4035058</v>
      </c>
      <c r="C153" s="1920">
        <v>80625</v>
      </c>
      <c r="D153" s="638">
        <v>304058612.27039999</v>
      </c>
      <c r="E153" s="3105">
        <v>19800569.009599999</v>
      </c>
    </row>
    <row r="154" spans="1:5" ht="12.75" customHeight="1">
      <c r="A154" s="636">
        <f t="shared" si="0"/>
        <v>2025.01</v>
      </c>
      <c r="B154" s="638" t="e">
        <v>#N/A</v>
      </c>
      <c r="C154" s="1920" t="e">
        <v>#N/A</v>
      </c>
      <c r="D154" s="638" t="e">
        <v>#N/A</v>
      </c>
      <c r="E154" s="3105" t="e">
        <v>#N/A</v>
      </c>
    </row>
    <row r="155" spans="1:5" ht="12.75" customHeight="1">
      <c r="A155" s="636">
        <f t="shared" si="0"/>
        <v>2025.02</v>
      </c>
      <c r="B155" s="638" t="e">
        <v>#N/A</v>
      </c>
      <c r="C155" s="1920" t="e">
        <v>#N/A</v>
      </c>
      <c r="D155" s="638" t="e">
        <v>#N/A</v>
      </c>
      <c r="E155" s="3105" t="e">
        <v>#N/A</v>
      </c>
    </row>
    <row r="156" spans="1:5" ht="12.75" customHeight="1">
      <c r="A156" s="636">
        <f t="shared" si="0"/>
        <v>2025.03</v>
      </c>
      <c r="B156" s="638" t="e">
        <v>#N/A</v>
      </c>
      <c r="C156" s="1920" t="e">
        <v>#N/A</v>
      </c>
      <c r="D156" s="638" t="e">
        <v>#N/A</v>
      </c>
      <c r="E156" s="3105" t="e">
        <v>#N/A</v>
      </c>
    </row>
    <row r="157" spans="1:5" ht="12.75" customHeight="1">
      <c r="A157" s="636">
        <f>A145+1</f>
        <v>2025.04</v>
      </c>
      <c r="B157" s="638" t="e">
        <v>#N/A</v>
      </c>
      <c r="C157" s="1920" t="e">
        <v>#N/A</v>
      </c>
      <c r="D157" s="638" t="e">
        <v>#N/A</v>
      </c>
      <c r="E157" s="3105" t="e">
        <v>#N/A</v>
      </c>
    </row>
    <row r="158" spans="1:5" ht="12.75" customHeight="1">
      <c r="A158" s="636">
        <f t="shared" si="0"/>
        <v>2025.05</v>
      </c>
      <c r="B158" s="638" t="e">
        <v>#N/A</v>
      </c>
      <c r="C158" s="1920" t="e">
        <v>#N/A</v>
      </c>
      <c r="D158" s="638" t="e">
        <v>#N/A</v>
      </c>
      <c r="E158" s="3105" t="e">
        <v>#N/A</v>
      </c>
    </row>
    <row r="159" spans="1:5" ht="12.75" customHeight="1">
      <c r="A159" s="636">
        <f t="shared" si="0"/>
        <v>2025.06</v>
      </c>
      <c r="B159" s="638" t="e">
        <v>#N/A</v>
      </c>
      <c r="C159" s="1920" t="e">
        <v>#N/A</v>
      </c>
      <c r="D159" s="638" t="e">
        <v>#N/A</v>
      </c>
      <c r="E159" s="3105" t="e">
        <v>#N/A</v>
      </c>
    </row>
    <row r="160" spans="1:5" ht="12.75" customHeight="1">
      <c r="A160" s="636">
        <f t="shared" si="0"/>
        <v>2025.07</v>
      </c>
      <c r="B160" s="638" t="e">
        <v>#N/A</v>
      </c>
      <c r="C160" s="1920" t="e">
        <v>#N/A</v>
      </c>
      <c r="D160" s="638" t="e">
        <v>#N/A</v>
      </c>
      <c r="E160" s="3105" t="e">
        <v>#N/A</v>
      </c>
    </row>
    <row r="161" spans="1:5" ht="12.75" customHeight="1">
      <c r="A161" s="636">
        <f t="shared" si="0"/>
        <v>2025.08</v>
      </c>
      <c r="B161" s="638" t="e">
        <v>#N/A</v>
      </c>
      <c r="C161" s="1920" t="e">
        <v>#N/A</v>
      </c>
      <c r="D161" s="638" t="e">
        <v>#N/A</v>
      </c>
      <c r="E161" s="3105" t="e">
        <v>#N/A</v>
      </c>
    </row>
    <row r="162" spans="1:5" ht="12.75" customHeight="1">
      <c r="A162" s="636">
        <f t="shared" si="0"/>
        <v>2025.09</v>
      </c>
      <c r="B162" s="638" t="e">
        <v>#N/A</v>
      </c>
      <c r="C162" s="1920" t="e">
        <v>#N/A</v>
      </c>
      <c r="D162" s="638" t="e">
        <v>#N/A</v>
      </c>
      <c r="E162" s="3105" t="e">
        <v>#N/A</v>
      </c>
    </row>
    <row r="163" spans="1:5" ht="12.75" customHeight="1">
      <c r="A163" s="636">
        <f>A151+1</f>
        <v>2025.1</v>
      </c>
      <c r="B163" s="638" t="e">
        <v>#N/A</v>
      </c>
      <c r="C163" s="1920" t="e">
        <v>#N/A</v>
      </c>
      <c r="D163" s="638" t="e">
        <v>#N/A</v>
      </c>
      <c r="E163" s="3105" t="e">
        <v>#N/A</v>
      </c>
    </row>
    <row r="164" spans="1:5" ht="12.75" customHeight="1">
      <c r="A164" s="636">
        <f t="shared" si="0"/>
        <v>2025.11</v>
      </c>
      <c r="B164" s="638" t="e">
        <v>#N/A</v>
      </c>
      <c r="C164" s="1920" t="e">
        <v>#N/A</v>
      </c>
      <c r="D164" s="638" t="e">
        <v>#N/A</v>
      </c>
      <c r="E164" s="3105" t="e">
        <v>#N/A</v>
      </c>
    </row>
    <row r="165" spans="1:5" ht="12.75" customHeight="1">
      <c r="A165" s="636">
        <f t="shared" si="0"/>
        <v>2025.12</v>
      </c>
      <c r="B165" s="638" t="e">
        <v>#N/A</v>
      </c>
      <c r="C165" s="1920" t="e">
        <v>#N/A</v>
      </c>
      <c r="D165" s="638" t="e">
        <v>#N/A</v>
      </c>
      <c r="E165" s="3105" t="e">
        <v>#N/A</v>
      </c>
    </row>
    <row r="166" spans="1:5" ht="12.75" customHeight="1">
      <c r="A166" s="636">
        <f t="shared" si="0"/>
        <v>2026.01</v>
      </c>
      <c r="B166" s="638" t="e">
        <v>#N/A</v>
      </c>
      <c r="C166" s="1920" t="e">
        <v>#N/A</v>
      </c>
      <c r="D166" s="638" t="e">
        <v>#N/A</v>
      </c>
      <c r="E166" s="3105" t="e">
        <v>#N/A</v>
      </c>
    </row>
    <row r="167" spans="1:5" ht="12.75" customHeight="1">
      <c r="A167" s="636">
        <f t="shared" si="0"/>
        <v>2026.02</v>
      </c>
      <c r="B167" s="638" t="e">
        <v>#N/A</v>
      </c>
      <c r="C167" s="1920" t="e">
        <v>#N/A</v>
      </c>
      <c r="D167" s="638" t="e">
        <v>#N/A</v>
      </c>
      <c r="E167" s="3105" t="e">
        <v>#N/A</v>
      </c>
    </row>
    <row r="168" spans="1:5" ht="12.75" customHeight="1">
      <c r="A168" s="636">
        <f t="shared" si="0"/>
        <v>2026.03</v>
      </c>
      <c r="B168" s="638" t="e">
        <v>#N/A</v>
      </c>
      <c r="C168" s="1920" t="e">
        <v>#N/A</v>
      </c>
      <c r="D168" s="638" t="e">
        <v>#N/A</v>
      </c>
      <c r="E168" s="3105" t="e">
        <v>#N/A</v>
      </c>
    </row>
    <row r="169" spans="1:5" ht="12.75" customHeight="1">
      <c r="A169" s="636">
        <f t="shared" si="0"/>
        <v>2026.04</v>
      </c>
      <c r="B169" s="638" t="e">
        <v>#N/A</v>
      </c>
      <c r="C169" s="1920" t="e">
        <v>#N/A</v>
      </c>
      <c r="D169" s="638" t="e">
        <v>#N/A</v>
      </c>
      <c r="E169" s="3105" t="e">
        <v>#N/A</v>
      </c>
    </row>
    <row r="170" spans="1:5" ht="12.75" customHeight="1">
      <c r="A170" s="636">
        <f t="shared" si="0"/>
        <v>2026.05</v>
      </c>
      <c r="B170" s="638" t="e">
        <v>#N/A</v>
      </c>
      <c r="C170" s="1920" t="e">
        <v>#N/A</v>
      </c>
      <c r="D170" s="638" t="e">
        <v>#N/A</v>
      </c>
      <c r="E170" s="3105" t="e">
        <v>#N/A</v>
      </c>
    </row>
    <row r="171" spans="1:5" ht="12.75" customHeight="1">
      <c r="A171" s="636">
        <f t="shared" ref="A171:A225" si="1">A159+1</f>
        <v>2026.06</v>
      </c>
      <c r="B171" s="638" t="e">
        <v>#N/A</v>
      </c>
      <c r="C171" s="1920" t="e">
        <v>#N/A</v>
      </c>
      <c r="D171" s="638" t="e">
        <v>#N/A</v>
      </c>
      <c r="E171" s="3105" t="e">
        <v>#N/A</v>
      </c>
    </row>
    <row r="172" spans="1:5" ht="12.75" customHeight="1">
      <c r="A172" s="636">
        <f t="shared" si="1"/>
        <v>2026.07</v>
      </c>
      <c r="B172" s="638" t="e">
        <v>#N/A</v>
      </c>
      <c r="C172" s="1920" t="e">
        <v>#N/A</v>
      </c>
      <c r="D172" s="638" t="e">
        <v>#N/A</v>
      </c>
      <c r="E172" s="3105" t="e">
        <v>#N/A</v>
      </c>
    </row>
    <row r="173" spans="1:5" ht="12.75" customHeight="1">
      <c r="A173" s="636">
        <f t="shared" si="1"/>
        <v>2026.08</v>
      </c>
      <c r="B173" s="638" t="e">
        <v>#N/A</v>
      </c>
      <c r="C173" s="1920" t="e">
        <v>#N/A</v>
      </c>
      <c r="D173" s="638" t="e">
        <v>#N/A</v>
      </c>
      <c r="E173" s="3105" t="e">
        <v>#N/A</v>
      </c>
    </row>
    <row r="174" spans="1:5" ht="12.75" customHeight="1">
      <c r="A174" s="636">
        <f t="shared" si="1"/>
        <v>2026.09</v>
      </c>
      <c r="B174" s="638" t="e">
        <v>#N/A</v>
      </c>
      <c r="C174" s="1920" t="e">
        <v>#N/A</v>
      </c>
      <c r="D174" s="638" t="e">
        <v>#N/A</v>
      </c>
      <c r="E174" s="3105" t="e">
        <v>#N/A</v>
      </c>
    </row>
    <row r="175" spans="1:5" ht="12.75" customHeight="1">
      <c r="A175" s="636">
        <f t="shared" si="1"/>
        <v>2026.1</v>
      </c>
      <c r="B175" s="638" t="e">
        <v>#N/A</v>
      </c>
      <c r="C175" s="1920" t="e">
        <v>#N/A</v>
      </c>
      <c r="D175" s="638" t="e">
        <v>#N/A</v>
      </c>
      <c r="E175" s="3105" t="e">
        <v>#N/A</v>
      </c>
    </row>
    <row r="176" spans="1:5" ht="12.75" customHeight="1">
      <c r="A176" s="636">
        <f t="shared" si="1"/>
        <v>2026.11</v>
      </c>
      <c r="B176" s="638" t="e">
        <v>#N/A</v>
      </c>
      <c r="C176" s="1920" t="e">
        <v>#N/A</v>
      </c>
      <c r="D176" s="638" t="e">
        <v>#N/A</v>
      </c>
      <c r="E176" s="3105" t="e">
        <v>#N/A</v>
      </c>
    </row>
    <row r="177" spans="1:5" ht="12.75" customHeight="1">
      <c r="A177" s="636">
        <f t="shared" si="1"/>
        <v>2026.12</v>
      </c>
      <c r="B177" s="638" t="e">
        <v>#N/A</v>
      </c>
      <c r="C177" s="1920" t="e">
        <v>#N/A</v>
      </c>
      <c r="D177" s="638" t="e">
        <v>#N/A</v>
      </c>
      <c r="E177" s="3105" t="e">
        <v>#N/A</v>
      </c>
    </row>
    <row r="178" spans="1:5" ht="12.75" customHeight="1">
      <c r="A178" s="636">
        <f t="shared" si="1"/>
        <v>2027.01</v>
      </c>
      <c r="B178" s="638" t="e">
        <v>#N/A</v>
      </c>
      <c r="C178" s="1920" t="e">
        <v>#N/A</v>
      </c>
      <c r="D178" s="638" t="e">
        <v>#N/A</v>
      </c>
      <c r="E178" s="3105" t="e">
        <v>#N/A</v>
      </c>
    </row>
    <row r="179" spans="1:5" ht="12.75" customHeight="1">
      <c r="A179" s="636">
        <f t="shared" si="1"/>
        <v>2027.02</v>
      </c>
      <c r="B179" s="638" t="e">
        <v>#N/A</v>
      </c>
      <c r="C179" s="1920" t="e">
        <v>#N/A</v>
      </c>
      <c r="D179" s="638" t="e">
        <v>#N/A</v>
      </c>
      <c r="E179" s="3105" t="e">
        <v>#N/A</v>
      </c>
    </row>
    <row r="180" spans="1:5" ht="12.75" customHeight="1">
      <c r="A180" s="636">
        <f t="shared" si="1"/>
        <v>2027.03</v>
      </c>
      <c r="B180" s="638" t="e">
        <v>#N/A</v>
      </c>
      <c r="C180" s="1920" t="e">
        <v>#N/A</v>
      </c>
      <c r="D180" s="638" t="e">
        <v>#N/A</v>
      </c>
      <c r="E180" s="3105" t="e">
        <v>#N/A</v>
      </c>
    </row>
    <row r="181" spans="1:5" ht="12.75" customHeight="1">
      <c r="A181" s="636">
        <f t="shared" si="1"/>
        <v>2027.04</v>
      </c>
      <c r="B181" s="638" t="e">
        <v>#N/A</v>
      </c>
      <c r="C181" s="1920" t="e">
        <v>#N/A</v>
      </c>
      <c r="D181" s="638" t="e">
        <v>#N/A</v>
      </c>
      <c r="E181" s="3105" t="e">
        <v>#N/A</v>
      </c>
    </row>
    <row r="182" spans="1:5" ht="12.75" customHeight="1">
      <c r="A182" s="636">
        <f t="shared" si="1"/>
        <v>2027.05</v>
      </c>
      <c r="B182" s="638" t="e">
        <v>#N/A</v>
      </c>
      <c r="C182" s="1920" t="e">
        <v>#N/A</v>
      </c>
      <c r="D182" s="638" t="e">
        <v>#N/A</v>
      </c>
      <c r="E182" s="3105" t="e">
        <v>#N/A</v>
      </c>
    </row>
    <row r="183" spans="1:5" ht="12.75" customHeight="1">
      <c r="A183" s="636">
        <f t="shared" si="1"/>
        <v>2027.06</v>
      </c>
      <c r="B183" s="638" t="e">
        <v>#N/A</v>
      </c>
      <c r="C183" s="1920" t="e">
        <v>#N/A</v>
      </c>
      <c r="D183" s="638" t="e">
        <v>#N/A</v>
      </c>
      <c r="E183" s="3105" t="e">
        <v>#N/A</v>
      </c>
    </row>
    <row r="184" spans="1:5" ht="12.75" customHeight="1">
      <c r="A184" s="636">
        <f t="shared" si="1"/>
        <v>2027.07</v>
      </c>
      <c r="B184" s="638" t="e">
        <v>#N/A</v>
      </c>
      <c r="C184" s="1920" t="e">
        <v>#N/A</v>
      </c>
      <c r="D184" s="638" t="e">
        <v>#N/A</v>
      </c>
      <c r="E184" s="3105" t="e">
        <v>#N/A</v>
      </c>
    </row>
    <row r="185" spans="1:5" ht="12.75" customHeight="1">
      <c r="A185" s="636">
        <f t="shared" si="1"/>
        <v>2027.08</v>
      </c>
      <c r="B185" s="638" t="e">
        <v>#N/A</v>
      </c>
      <c r="C185" s="1920" t="e">
        <v>#N/A</v>
      </c>
      <c r="D185" s="638" t="e">
        <v>#N/A</v>
      </c>
      <c r="E185" s="3105" t="e">
        <v>#N/A</v>
      </c>
    </row>
    <row r="186" spans="1:5" ht="12.75" customHeight="1">
      <c r="A186" s="636">
        <f t="shared" si="1"/>
        <v>2027.09</v>
      </c>
      <c r="B186" s="638" t="e">
        <v>#N/A</v>
      </c>
      <c r="C186" s="1920" t="e">
        <v>#N/A</v>
      </c>
      <c r="D186" s="638" t="e">
        <v>#N/A</v>
      </c>
      <c r="E186" s="3105" t="e">
        <v>#N/A</v>
      </c>
    </row>
    <row r="187" spans="1:5" ht="12.75" customHeight="1">
      <c r="A187" s="636">
        <f t="shared" si="1"/>
        <v>2027.1</v>
      </c>
      <c r="B187" s="638" t="e">
        <v>#N/A</v>
      </c>
      <c r="C187" s="1920" t="e">
        <v>#N/A</v>
      </c>
      <c r="D187" s="638" t="e">
        <v>#N/A</v>
      </c>
      <c r="E187" s="3105" t="e">
        <v>#N/A</v>
      </c>
    </row>
    <row r="188" spans="1:5" ht="12.75" customHeight="1">
      <c r="A188" s="636">
        <f t="shared" si="1"/>
        <v>2027.11</v>
      </c>
      <c r="B188" s="638" t="e">
        <v>#N/A</v>
      </c>
      <c r="C188" s="1920" t="e">
        <v>#N/A</v>
      </c>
      <c r="D188" s="638" t="e">
        <v>#N/A</v>
      </c>
      <c r="E188" s="3105" t="e">
        <v>#N/A</v>
      </c>
    </row>
    <row r="189" spans="1:5" ht="12.75" customHeight="1">
      <c r="A189" s="636">
        <f t="shared" si="1"/>
        <v>2027.12</v>
      </c>
      <c r="B189" s="638" t="e">
        <v>#N/A</v>
      </c>
      <c r="C189" s="1920" t="e">
        <v>#N/A</v>
      </c>
      <c r="D189" s="638" t="e">
        <v>#N/A</v>
      </c>
      <c r="E189" s="3105" t="e">
        <v>#N/A</v>
      </c>
    </row>
    <row r="190" spans="1:5" ht="12.75" customHeight="1">
      <c r="A190" s="636">
        <f t="shared" si="1"/>
        <v>2028.01</v>
      </c>
      <c r="B190" s="638" t="e">
        <v>#N/A</v>
      </c>
      <c r="C190" s="1920" t="e">
        <v>#N/A</v>
      </c>
      <c r="D190" s="638" t="e">
        <v>#N/A</v>
      </c>
      <c r="E190" s="3105" t="e">
        <v>#N/A</v>
      </c>
    </row>
    <row r="191" spans="1:5" ht="12.75" customHeight="1">
      <c r="A191" s="636">
        <f t="shared" si="1"/>
        <v>2028.02</v>
      </c>
      <c r="B191" s="638" t="e">
        <v>#N/A</v>
      </c>
      <c r="C191" s="1920" t="e">
        <v>#N/A</v>
      </c>
      <c r="D191" s="638" t="e">
        <v>#N/A</v>
      </c>
      <c r="E191" s="3105" t="e">
        <v>#N/A</v>
      </c>
    </row>
    <row r="192" spans="1:5" ht="12.75" customHeight="1">
      <c r="A192" s="636">
        <f t="shared" si="1"/>
        <v>2028.03</v>
      </c>
      <c r="B192" s="638" t="e">
        <v>#N/A</v>
      </c>
      <c r="C192" s="1920" t="e">
        <v>#N/A</v>
      </c>
      <c r="D192" s="638" t="e">
        <v>#N/A</v>
      </c>
      <c r="E192" s="3105" t="e">
        <v>#N/A</v>
      </c>
    </row>
    <row r="193" spans="1:5" ht="12.75" customHeight="1">
      <c r="A193" s="636">
        <f t="shared" si="1"/>
        <v>2028.04</v>
      </c>
      <c r="B193" s="638" t="e">
        <v>#N/A</v>
      </c>
      <c r="C193" s="1920" t="e">
        <v>#N/A</v>
      </c>
      <c r="D193" s="638" t="e">
        <v>#N/A</v>
      </c>
      <c r="E193" s="3105" t="e">
        <v>#N/A</v>
      </c>
    </row>
    <row r="194" spans="1:5" ht="12.75" customHeight="1">
      <c r="A194" s="636">
        <f t="shared" si="1"/>
        <v>2028.05</v>
      </c>
      <c r="B194" s="638" t="e">
        <v>#N/A</v>
      </c>
      <c r="C194" s="1920" t="e">
        <v>#N/A</v>
      </c>
      <c r="D194" s="638" t="e">
        <v>#N/A</v>
      </c>
      <c r="E194" s="3105" t="e">
        <v>#N/A</v>
      </c>
    </row>
    <row r="195" spans="1:5" ht="12.75" customHeight="1">
      <c r="A195" s="636">
        <f t="shared" si="1"/>
        <v>2028.06</v>
      </c>
      <c r="B195" s="638" t="e">
        <v>#N/A</v>
      </c>
      <c r="C195" s="1920" t="e">
        <v>#N/A</v>
      </c>
      <c r="D195" s="638" t="e">
        <v>#N/A</v>
      </c>
      <c r="E195" s="3105" t="e">
        <v>#N/A</v>
      </c>
    </row>
    <row r="196" spans="1:5" ht="12.75" customHeight="1">
      <c r="A196" s="636">
        <f t="shared" si="1"/>
        <v>2028.07</v>
      </c>
      <c r="B196" s="638" t="e">
        <v>#N/A</v>
      </c>
      <c r="C196" s="1920" t="e">
        <v>#N/A</v>
      </c>
      <c r="D196" s="638" t="e">
        <v>#N/A</v>
      </c>
      <c r="E196" s="3105" t="e">
        <v>#N/A</v>
      </c>
    </row>
    <row r="197" spans="1:5" ht="12.75" customHeight="1">
      <c r="A197" s="636">
        <f t="shared" si="1"/>
        <v>2028.08</v>
      </c>
      <c r="B197" s="638" t="e">
        <v>#N/A</v>
      </c>
      <c r="C197" s="1920" t="e">
        <v>#N/A</v>
      </c>
      <c r="D197" s="638" t="e">
        <v>#N/A</v>
      </c>
      <c r="E197" s="3105" t="e">
        <v>#N/A</v>
      </c>
    </row>
    <row r="198" spans="1:5" ht="12.75" customHeight="1">
      <c r="A198" s="636">
        <f t="shared" si="1"/>
        <v>2028.09</v>
      </c>
      <c r="B198" s="638" t="e">
        <v>#N/A</v>
      </c>
      <c r="C198" s="1920" t="e">
        <v>#N/A</v>
      </c>
      <c r="D198" s="638" t="e">
        <v>#N/A</v>
      </c>
      <c r="E198" s="3105" t="e">
        <v>#N/A</v>
      </c>
    </row>
    <row r="199" spans="1:5" ht="12.75" customHeight="1">
      <c r="A199" s="636">
        <f t="shared" si="1"/>
        <v>2028.1</v>
      </c>
      <c r="B199" s="638" t="e">
        <v>#N/A</v>
      </c>
      <c r="C199" s="1920" t="e">
        <v>#N/A</v>
      </c>
      <c r="D199" s="638" t="e">
        <v>#N/A</v>
      </c>
      <c r="E199" s="3105" t="e">
        <v>#N/A</v>
      </c>
    </row>
    <row r="200" spans="1:5" ht="12.75" customHeight="1">
      <c r="A200" s="636">
        <f t="shared" si="1"/>
        <v>2028.11</v>
      </c>
      <c r="B200" s="638" t="e">
        <v>#N/A</v>
      </c>
      <c r="C200" s="1920" t="e">
        <v>#N/A</v>
      </c>
      <c r="D200" s="638" t="e">
        <v>#N/A</v>
      </c>
      <c r="E200" s="3105" t="e">
        <v>#N/A</v>
      </c>
    </row>
    <row r="201" spans="1:5" ht="12.75" customHeight="1">
      <c r="A201" s="636">
        <f t="shared" si="1"/>
        <v>2028.12</v>
      </c>
      <c r="B201" s="638" t="e">
        <v>#N/A</v>
      </c>
      <c r="C201" s="1920" t="e">
        <v>#N/A</v>
      </c>
      <c r="D201" s="638" t="e">
        <v>#N/A</v>
      </c>
      <c r="E201" s="3105" t="e">
        <v>#N/A</v>
      </c>
    </row>
    <row r="202" spans="1:5" ht="12.75" customHeight="1">
      <c r="A202" s="636">
        <f t="shared" si="1"/>
        <v>2029.01</v>
      </c>
      <c r="B202" s="638" t="e">
        <v>#N/A</v>
      </c>
      <c r="C202" s="1920" t="e">
        <v>#N/A</v>
      </c>
      <c r="D202" s="638" t="e">
        <v>#N/A</v>
      </c>
      <c r="E202" s="3105" t="e">
        <v>#N/A</v>
      </c>
    </row>
    <row r="203" spans="1:5" ht="12.75" customHeight="1">
      <c r="A203" s="636">
        <f t="shared" si="1"/>
        <v>2029.02</v>
      </c>
      <c r="B203" s="638" t="e">
        <v>#N/A</v>
      </c>
      <c r="C203" s="1920" t="e">
        <v>#N/A</v>
      </c>
      <c r="D203" s="638" t="e">
        <v>#N/A</v>
      </c>
      <c r="E203" s="3105" t="e">
        <v>#N/A</v>
      </c>
    </row>
    <row r="204" spans="1:5" ht="12.75" customHeight="1">
      <c r="A204" s="636">
        <f t="shared" si="1"/>
        <v>2029.03</v>
      </c>
      <c r="B204" s="638" t="e">
        <v>#N/A</v>
      </c>
      <c r="C204" s="1920" t="e">
        <v>#N/A</v>
      </c>
      <c r="D204" s="638" t="e">
        <v>#N/A</v>
      </c>
      <c r="E204" s="3105" t="e">
        <v>#N/A</v>
      </c>
    </row>
    <row r="205" spans="1:5" ht="12.75" customHeight="1">
      <c r="A205" s="636">
        <f t="shared" si="1"/>
        <v>2029.04</v>
      </c>
      <c r="B205" s="638" t="e">
        <v>#N/A</v>
      </c>
      <c r="C205" s="1920" t="e">
        <v>#N/A</v>
      </c>
      <c r="D205" s="638" t="e">
        <v>#N/A</v>
      </c>
      <c r="E205" s="3105" t="e">
        <v>#N/A</v>
      </c>
    </row>
    <row r="206" spans="1:5" ht="12.75" customHeight="1">
      <c r="A206" s="636">
        <f t="shared" si="1"/>
        <v>2029.05</v>
      </c>
      <c r="B206" s="638" t="e">
        <v>#N/A</v>
      </c>
      <c r="C206" s="1920" t="e">
        <v>#N/A</v>
      </c>
      <c r="D206" s="638" t="e">
        <v>#N/A</v>
      </c>
      <c r="E206" s="3105" t="e">
        <v>#N/A</v>
      </c>
    </row>
    <row r="207" spans="1:5" ht="12.75" customHeight="1">
      <c r="A207" s="636">
        <f t="shared" si="1"/>
        <v>2029.06</v>
      </c>
      <c r="B207" s="638" t="e">
        <v>#N/A</v>
      </c>
      <c r="C207" s="1920" t="e">
        <v>#N/A</v>
      </c>
      <c r="D207" s="638" t="e">
        <v>#N/A</v>
      </c>
      <c r="E207" s="3105" t="e">
        <v>#N/A</v>
      </c>
    </row>
    <row r="208" spans="1:5" ht="12.75" customHeight="1">
      <c r="A208" s="636">
        <f t="shared" si="1"/>
        <v>2029.07</v>
      </c>
      <c r="B208" s="638" t="e">
        <v>#N/A</v>
      </c>
      <c r="C208" s="1920" t="e">
        <v>#N/A</v>
      </c>
      <c r="D208" s="638" t="e">
        <v>#N/A</v>
      </c>
      <c r="E208" s="3105" t="e">
        <v>#N/A</v>
      </c>
    </row>
    <row r="209" spans="1:5" ht="12.75" customHeight="1">
      <c r="A209" s="636">
        <f t="shared" si="1"/>
        <v>2029.08</v>
      </c>
      <c r="B209" s="638" t="e">
        <v>#N/A</v>
      </c>
      <c r="C209" s="1920" t="e">
        <v>#N/A</v>
      </c>
      <c r="D209" s="638" t="e">
        <v>#N/A</v>
      </c>
      <c r="E209" s="3105" t="e">
        <v>#N/A</v>
      </c>
    </row>
    <row r="210" spans="1:5" ht="12.75" customHeight="1">
      <c r="A210" s="636">
        <f t="shared" si="1"/>
        <v>2029.09</v>
      </c>
      <c r="B210" s="638" t="e">
        <v>#N/A</v>
      </c>
      <c r="C210" s="1920" t="e">
        <v>#N/A</v>
      </c>
      <c r="D210" s="638" t="e">
        <v>#N/A</v>
      </c>
      <c r="E210" s="3105" t="e">
        <v>#N/A</v>
      </c>
    </row>
    <row r="211" spans="1:5" ht="12.75" customHeight="1">
      <c r="A211" s="636">
        <f t="shared" si="1"/>
        <v>2029.1</v>
      </c>
      <c r="B211" s="638" t="e">
        <v>#N/A</v>
      </c>
      <c r="C211" s="1920" t="e">
        <v>#N/A</v>
      </c>
      <c r="D211" s="638" t="e">
        <v>#N/A</v>
      </c>
      <c r="E211" s="3105" t="e">
        <v>#N/A</v>
      </c>
    </row>
    <row r="212" spans="1:5" ht="12.75" customHeight="1">
      <c r="A212" s="636">
        <f t="shared" si="1"/>
        <v>2029.11</v>
      </c>
      <c r="B212" s="638" t="e">
        <v>#N/A</v>
      </c>
      <c r="C212" s="1920" t="e">
        <v>#N/A</v>
      </c>
      <c r="D212" s="638" t="e">
        <v>#N/A</v>
      </c>
      <c r="E212" s="3105" t="e">
        <v>#N/A</v>
      </c>
    </row>
    <row r="213" spans="1:5" ht="12.75" customHeight="1">
      <c r="A213" s="636">
        <f t="shared" si="1"/>
        <v>2029.12</v>
      </c>
      <c r="B213" s="638" t="e">
        <v>#N/A</v>
      </c>
      <c r="C213" s="1920" t="e">
        <v>#N/A</v>
      </c>
      <c r="D213" s="638" t="e">
        <v>#N/A</v>
      </c>
      <c r="E213" s="3105" t="e">
        <v>#N/A</v>
      </c>
    </row>
    <row r="214" spans="1:5" ht="12.75" customHeight="1">
      <c r="A214" s="636">
        <f t="shared" si="1"/>
        <v>2030.01</v>
      </c>
      <c r="B214" s="638" t="e">
        <v>#N/A</v>
      </c>
      <c r="C214" s="1920" t="e">
        <v>#N/A</v>
      </c>
      <c r="D214" s="638" t="e">
        <v>#N/A</v>
      </c>
      <c r="E214" s="3105" t="e">
        <v>#N/A</v>
      </c>
    </row>
    <row r="215" spans="1:5" ht="12.75" customHeight="1">
      <c r="A215" s="636">
        <f t="shared" si="1"/>
        <v>2030.02</v>
      </c>
      <c r="B215" s="638" t="e">
        <v>#N/A</v>
      </c>
      <c r="C215" s="1920" t="e">
        <v>#N/A</v>
      </c>
      <c r="D215" s="638" t="e">
        <v>#N/A</v>
      </c>
      <c r="E215" s="3105" t="e">
        <v>#N/A</v>
      </c>
    </row>
    <row r="216" spans="1:5" ht="12.75" customHeight="1">
      <c r="A216" s="636">
        <f t="shared" si="1"/>
        <v>2030.03</v>
      </c>
      <c r="B216" s="638" t="e">
        <v>#N/A</v>
      </c>
      <c r="C216" s="1920" t="e">
        <v>#N/A</v>
      </c>
      <c r="D216" s="638" t="e">
        <v>#N/A</v>
      </c>
      <c r="E216" s="3105" t="e">
        <v>#N/A</v>
      </c>
    </row>
    <row r="217" spans="1:5" ht="12.75" customHeight="1">
      <c r="A217" s="636">
        <f t="shared" si="1"/>
        <v>2030.04</v>
      </c>
      <c r="B217" s="638" t="e">
        <v>#N/A</v>
      </c>
      <c r="C217" s="1920" t="e">
        <v>#N/A</v>
      </c>
      <c r="D217" s="638" t="e">
        <v>#N/A</v>
      </c>
      <c r="E217" s="3105" t="e">
        <v>#N/A</v>
      </c>
    </row>
    <row r="218" spans="1:5" ht="12.75" customHeight="1">
      <c r="A218" s="636">
        <f t="shared" si="1"/>
        <v>2030.05</v>
      </c>
      <c r="B218" s="638" t="e">
        <v>#N/A</v>
      </c>
      <c r="C218" s="1920" t="e">
        <v>#N/A</v>
      </c>
      <c r="D218" s="638" t="e">
        <v>#N/A</v>
      </c>
      <c r="E218" s="3105" t="e">
        <v>#N/A</v>
      </c>
    </row>
    <row r="219" spans="1:5" ht="12.75" customHeight="1">
      <c r="A219" s="636">
        <f t="shared" si="1"/>
        <v>2030.06</v>
      </c>
      <c r="B219" s="638" t="e">
        <v>#N/A</v>
      </c>
      <c r="C219" s="1920" t="e">
        <v>#N/A</v>
      </c>
      <c r="D219" s="638" t="e">
        <v>#N/A</v>
      </c>
      <c r="E219" s="3105" t="e">
        <v>#N/A</v>
      </c>
    </row>
    <row r="220" spans="1:5" ht="12.75" customHeight="1">
      <c r="A220" s="636">
        <f t="shared" si="1"/>
        <v>2030.07</v>
      </c>
      <c r="B220" s="638" t="e">
        <v>#N/A</v>
      </c>
      <c r="C220" s="1920" t="e">
        <v>#N/A</v>
      </c>
      <c r="D220" s="638" t="e">
        <v>#N/A</v>
      </c>
      <c r="E220" s="3105" t="e">
        <v>#N/A</v>
      </c>
    </row>
    <row r="221" spans="1:5" ht="12.75" customHeight="1">
      <c r="A221" s="636">
        <f t="shared" si="1"/>
        <v>2030.08</v>
      </c>
      <c r="B221" s="638" t="e">
        <v>#N/A</v>
      </c>
      <c r="C221" s="1920" t="e">
        <v>#N/A</v>
      </c>
      <c r="D221" s="638" t="e">
        <v>#N/A</v>
      </c>
      <c r="E221" s="3105" t="e">
        <v>#N/A</v>
      </c>
    </row>
    <row r="222" spans="1:5" ht="12.75" customHeight="1">
      <c r="A222" s="636">
        <f t="shared" si="1"/>
        <v>2030.09</v>
      </c>
      <c r="B222" s="638" t="e">
        <v>#N/A</v>
      </c>
      <c r="C222" s="1920" t="e">
        <v>#N/A</v>
      </c>
      <c r="D222" s="638" t="e">
        <v>#N/A</v>
      </c>
      <c r="E222" s="3105" t="e">
        <v>#N/A</v>
      </c>
    </row>
    <row r="223" spans="1:5" ht="12.75" customHeight="1">
      <c r="A223" s="636">
        <f t="shared" si="1"/>
        <v>2030.1</v>
      </c>
      <c r="B223" s="638" t="e">
        <v>#N/A</v>
      </c>
      <c r="C223" s="1920" t="e">
        <v>#N/A</v>
      </c>
      <c r="D223" s="638" t="e">
        <v>#N/A</v>
      </c>
      <c r="E223" s="3105" t="e">
        <v>#N/A</v>
      </c>
    </row>
    <row r="224" spans="1:5" ht="12.75" customHeight="1">
      <c r="A224" s="636">
        <f t="shared" si="1"/>
        <v>2030.11</v>
      </c>
      <c r="B224" s="638" t="e">
        <v>#N/A</v>
      </c>
      <c r="C224" s="1920" t="e">
        <v>#N/A</v>
      </c>
      <c r="D224" s="638" t="e">
        <v>#N/A</v>
      </c>
      <c r="E224" s="3105" t="e">
        <v>#N/A</v>
      </c>
    </row>
    <row r="225" spans="1:5" ht="12.75" customHeight="1">
      <c r="A225" s="636">
        <f t="shared" si="1"/>
        <v>2030.12</v>
      </c>
      <c r="B225" s="638" t="e">
        <v>#N/A</v>
      </c>
      <c r="C225" s="1920" t="e">
        <v>#N/A</v>
      </c>
      <c r="D225" s="638" t="e">
        <v>#N/A</v>
      </c>
      <c r="E225" s="3105" t="e">
        <v>#N/A</v>
      </c>
    </row>
  </sheetData>
  <hyperlinks>
    <hyperlink ref="A5" location="INDICE!A13" display="VOLVER AL INDICE" xr:uid="{00000000-0004-0000-1000-000000000000}"/>
  </hyperlink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D14C-82BC-4A06-9607-E05C8AC36055}">
  <sheetPr codeName="Hoja40"/>
  <dimension ref="A1:U141"/>
  <sheetViews>
    <sheetView zoomScale="130" zoomScaleNormal="130" workbookViewId="0">
      <pane xSplit="1" ySplit="9" topLeftCell="B103" activePane="bottomRight" state="frozen"/>
      <selection pane="topRight" activeCell="G79" sqref="G79"/>
      <selection pane="bottomLeft" activeCell="G79" sqref="G79"/>
      <selection pane="bottomRight" activeCell="A5" sqref="A5"/>
    </sheetView>
  </sheetViews>
  <sheetFormatPr baseColWidth="10" defaultColWidth="11.42578125" defaultRowHeight="12.75"/>
  <cols>
    <col min="1" max="1" width="9.7109375" style="1471" bestFit="1" customWidth="1"/>
    <col min="2" max="6" width="8.85546875" style="1471" customWidth="1"/>
    <col min="7" max="7" width="9.42578125" style="1471" customWidth="1"/>
    <col min="8" max="13" width="10.5703125" style="1471" customWidth="1"/>
    <col min="14" max="14" width="9.42578125" style="1471" bestFit="1" customWidth="1"/>
    <col min="15" max="16" width="10.5703125" style="1471" customWidth="1"/>
    <col min="17" max="21" width="9.140625" style="1471" customWidth="1"/>
    <col min="22" max="22" width="9.28515625" style="1430" bestFit="1" customWidth="1"/>
    <col min="23" max="16384" width="11.42578125" style="1430"/>
  </cols>
  <sheetData>
    <row r="1" spans="1:21" ht="3.75" customHeight="1">
      <c r="A1" s="2425"/>
      <c r="B1" s="2606"/>
      <c r="C1" s="2604"/>
      <c r="D1" s="2604"/>
      <c r="E1" s="2604"/>
      <c r="F1" s="2604"/>
      <c r="G1" s="2604"/>
      <c r="H1" s="2604"/>
      <c r="I1" s="2604"/>
      <c r="J1" s="2604"/>
      <c r="K1" s="2604"/>
      <c r="L1" s="2604"/>
      <c r="M1" s="2604"/>
      <c r="N1" s="2604"/>
      <c r="O1" s="2604"/>
      <c r="P1" s="2604"/>
      <c r="Q1" s="2604"/>
      <c r="R1" s="2604"/>
      <c r="S1" s="2604"/>
      <c r="T1" s="2604"/>
      <c r="U1" s="2605"/>
    </row>
    <row r="2" spans="1:21" ht="12.75" customHeight="1">
      <c r="A2" s="2425" t="s">
        <v>105</v>
      </c>
      <c r="B2" s="1431" t="s">
        <v>491</v>
      </c>
      <c r="C2" s="1432"/>
      <c r="D2" s="1432"/>
      <c r="E2" s="1432"/>
      <c r="F2" s="1432"/>
      <c r="G2" s="1432"/>
      <c r="H2" s="1432"/>
      <c r="I2" s="1432"/>
      <c r="J2" s="1432"/>
      <c r="K2" s="1432"/>
      <c r="L2" s="1432"/>
      <c r="M2" s="1432"/>
      <c r="N2" s="1432"/>
      <c r="O2" s="1432"/>
      <c r="P2" s="1432"/>
      <c r="Q2" s="1432"/>
      <c r="R2" s="1432"/>
      <c r="S2" s="1432"/>
      <c r="T2" s="1432"/>
      <c r="U2" s="1439"/>
    </row>
    <row r="3" spans="1:21" ht="12.75" customHeight="1">
      <c r="A3" s="2425" t="s">
        <v>109</v>
      </c>
      <c r="B3" s="1431" t="s">
        <v>492</v>
      </c>
      <c r="C3" s="1432"/>
      <c r="D3" s="1432"/>
      <c r="E3" s="1432"/>
      <c r="F3" s="1432"/>
      <c r="G3" s="1432"/>
      <c r="H3" s="1432"/>
      <c r="I3" s="1432"/>
      <c r="J3" s="1432"/>
      <c r="K3" s="1432"/>
      <c r="L3" s="1432"/>
      <c r="M3" s="1432"/>
      <c r="N3" s="1432"/>
      <c r="O3" s="1432"/>
      <c r="P3" s="1432"/>
      <c r="Q3" s="1432"/>
      <c r="R3" s="1432"/>
      <c r="S3" s="1432"/>
      <c r="T3" s="1432"/>
      <c r="U3" s="1439"/>
    </row>
    <row r="4" spans="1:21" ht="3" hidden="1" customHeight="1">
      <c r="A4" s="104"/>
      <c r="B4" s="1434"/>
      <c r="C4" s="1435"/>
      <c r="D4" s="1435"/>
      <c r="E4" s="1435"/>
      <c r="F4" s="1435"/>
      <c r="G4" s="1435"/>
      <c r="H4" s="1435"/>
      <c r="I4" s="1435"/>
      <c r="J4" s="1435"/>
      <c r="K4" s="1435"/>
      <c r="L4" s="1435"/>
      <c r="M4" s="1435"/>
      <c r="N4" s="1435"/>
      <c r="O4" s="1435"/>
      <c r="P4" s="1435"/>
      <c r="Q4" s="1435"/>
      <c r="R4" s="1435"/>
      <c r="S4" s="1435"/>
      <c r="T4" s="1435"/>
      <c r="U4" s="1436"/>
    </row>
    <row r="5" spans="1:21" ht="24" customHeight="1">
      <c r="A5" s="2426" t="s">
        <v>137</v>
      </c>
      <c r="B5" s="1437"/>
      <c r="C5" s="1438"/>
      <c r="D5" s="1432"/>
      <c r="E5" s="1432"/>
      <c r="F5" s="1432"/>
      <c r="G5" s="1438"/>
      <c r="H5" s="1438"/>
      <c r="I5" s="1432"/>
      <c r="J5" s="1432"/>
      <c r="K5" s="1432"/>
      <c r="L5" s="1438"/>
      <c r="M5" s="1438"/>
      <c r="N5" s="1432"/>
      <c r="O5" s="1432"/>
      <c r="P5" s="1432"/>
      <c r="Q5" s="1438"/>
      <c r="R5" s="1438"/>
      <c r="S5" s="1432"/>
      <c r="T5" s="1432"/>
      <c r="U5" s="1439"/>
    </row>
    <row r="6" spans="1:21" ht="14.25" customHeight="1">
      <c r="A6" s="2560"/>
      <c r="B6" s="2569" t="s">
        <v>493</v>
      </c>
      <c r="C6" s="2561"/>
      <c r="D6" s="2561"/>
      <c r="E6" s="2561"/>
      <c r="F6" s="2561"/>
      <c r="G6" s="2570" t="s">
        <v>494</v>
      </c>
      <c r="H6" s="2561"/>
      <c r="I6" s="2561"/>
      <c r="J6" s="2561"/>
      <c r="K6" s="2562"/>
      <c r="L6" s="2428" t="s">
        <v>495</v>
      </c>
      <c r="M6" s="2561"/>
      <c r="N6" s="2561"/>
      <c r="O6" s="2561"/>
      <c r="P6" s="2561"/>
      <c r="Q6" s="2428" t="s">
        <v>496</v>
      </c>
      <c r="R6" s="2561"/>
      <c r="S6" s="2561"/>
      <c r="T6" s="2561"/>
      <c r="U6" s="2563"/>
    </row>
    <row r="7" spans="1:21" ht="22.5">
      <c r="A7" s="2425" t="s">
        <v>123</v>
      </c>
      <c r="B7" s="1440" t="s">
        <v>134</v>
      </c>
      <c r="C7" s="1441"/>
      <c r="D7" s="1441"/>
      <c r="E7" s="1441"/>
      <c r="F7" s="1441"/>
      <c r="G7" s="2428" t="s">
        <v>134</v>
      </c>
      <c r="H7" s="1441"/>
      <c r="I7" s="1441"/>
      <c r="J7" s="1441"/>
      <c r="K7" s="1442"/>
      <c r="L7" s="2428" t="s">
        <v>134</v>
      </c>
      <c r="M7" s="1441"/>
      <c r="N7" s="1441"/>
      <c r="O7" s="1441"/>
      <c r="P7" s="1441"/>
      <c r="Q7" s="2428" t="s">
        <v>134</v>
      </c>
      <c r="R7" s="1441"/>
      <c r="S7" s="1441"/>
      <c r="T7" s="1441"/>
      <c r="U7" s="1443"/>
    </row>
    <row r="8" spans="1:21" ht="14.25" customHeight="1">
      <c r="A8" s="100" t="s">
        <v>141</v>
      </c>
      <c r="B8" s="2429" t="s">
        <v>497</v>
      </c>
      <c r="C8" s="1444" t="s">
        <v>498</v>
      </c>
      <c r="D8" s="1445" t="s">
        <v>499</v>
      </c>
      <c r="E8" s="1444" t="s">
        <v>500</v>
      </c>
      <c r="F8" s="1446" t="s">
        <v>501</v>
      </c>
      <c r="G8" s="2429" t="s">
        <v>502</v>
      </c>
      <c r="H8" s="1444" t="s">
        <v>503</v>
      </c>
      <c r="I8" s="1445" t="s">
        <v>504</v>
      </c>
      <c r="J8" s="1444" t="s">
        <v>505</v>
      </c>
      <c r="K8" s="1446" t="s">
        <v>506</v>
      </c>
      <c r="L8" s="2429" t="s">
        <v>507</v>
      </c>
      <c r="M8" s="1444" t="s">
        <v>508</v>
      </c>
      <c r="N8" s="1445" t="s">
        <v>509</v>
      </c>
      <c r="O8" s="1444" t="s">
        <v>510</v>
      </c>
      <c r="P8" s="1446" t="s">
        <v>511</v>
      </c>
      <c r="Q8" s="2429" t="s">
        <v>512</v>
      </c>
      <c r="R8" s="1444" t="s">
        <v>513</v>
      </c>
      <c r="S8" s="1445" t="s">
        <v>514</v>
      </c>
      <c r="T8" s="1444" t="s">
        <v>515</v>
      </c>
      <c r="U8" s="1447" t="s">
        <v>516</v>
      </c>
    </row>
    <row r="9" spans="1:21" ht="13.5" thickBot="1">
      <c r="A9" s="2425" t="s">
        <v>517</v>
      </c>
      <c r="B9" s="2564" t="s">
        <v>518</v>
      </c>
      <c r="C9" s="2565" t="s">
        <v>519</v>
      </c>
      <c r="D9" s="2566" t="s">
        <v>520</v>
      </c>
      <c r="E9" s="2565" t="s">
        <v>521</v>
      </c>
      <c r="F9" s="2566" t="s">
        <v>522</v>
      </c>
      <c r="G9" s="2567" t="s">
        <v>523</v>
      </c>
      <c r="H9" s="2565" t="s">
        <v>524</v>
      </c>
      <c r="I9" s="2566" t="s">
        <v>525</v>
      </c>
      <c r="J9" s="2565" t="s">
        <v>526</v>
      </c>
      <c r="K9" s="2566" t="s">
        <v>527</v>
      </c>
      <c r="L9" s="2567" t="s">
        <v>528</v>
      </c>
      <c r="M9" s="2565" t="s">
        <v>529</v>
      </c>
      <c r="N9" s="2566" t="s">
        <v>530</v>
      </c>
      <c r="O9" s="2565" t="s">
        <v>531</v>
      </c>
      <c r="P9" s="2566" t="s">
        <v>532</v>
      </c>
      <c r="Q9" s="2567" t="s">
        <v>533</v>
      </c>
      <c r="R9" s="2565" t="s">
        <v>534</v>
      </c>
      <c r="S9" s="2566" t="s">
        <v>535</v>
      </c>
      <c r="T9" s="2565" t="s">
        <v>536</v>
      </c>
      <c r="U9" s="2568" t="s">
        <v>537</v>
      </c>
    </row>
    <row r="10" spans="1:21">
      <c r="A10" s="2603" t="s">
        <v>538</v>
      </c>
      <c r="B10" s="1448">
        <v>1196.9380000000001</v>
      </c>
      <c r="C10" s="1449">
        <v>484.66500000000002</v>
      </c>
      <c r="D10" s="1450">
        <v>421.096</v>
      </c>
      <c r="E10" s="1449">
        <v>63.569000000000003</v>
      </c>
      <c r="F10" s="1451"/>
      <c r="G10" s="1452">
        <v>404.791</v>
      </c>
      <c r="H10" s="1449">
        <v>169.62100000000001</v>
      </c>
      <c r="I10" s="1450">
        <v>140.9</v>
      </c>
      <c r="J10" s="1449">
        <v>28.721</v>
      </c>
      <c r="K10" s="1453"/>
      <c r="L10" s="1530">
        <f t="shared" ref="L10:L41" si="0">B10+G10</f>
        <v>1601.729</v>
      </c>
      <c r="M10" s="1531">
        <f t="shared" ref="M10:M41" si="1">C10+H10</f>
        <v>654.28600000000006</v>
      </c>
      <c r="N10" s="1532">
        <f t="shared" ref="N10:N41" si="2">D10+I10</f>
        <v>561.99599999999998</v>
      </c>
      <c r="O10" s="1531">
        <f t="shared" ref="O10:O41" si="3">E10+J10</f>
        <v>92.29</v>
      </c>
      <c r="P10" s="1454"/>
      <c r="Q10" s="1455">
        <v>19463.656000000003</v>
      </c>
      <c r="R10" s="1449">
        <v>8504.279138419457</v>
      </c>
      <c r="S10" s="1450">
        <v>7401.8880380158898</v>
      </c>
      <c r="T10" s="1449">
        <v>1102.3911004035672</v>
      </c>
      <c r="U10" s="1456"/>
    </row>
    <row r="11" spans="1:21">
      <c r="A11" s="2603" t="s">
        <v>539</v>
      </c>
      <c r="B11" s="1457">
        <v>1196.55</v>
      </c>
      <c r="C11" s="3106">
        <v>457.50799999999998</v>
      </c>
      <c r="D11" s="1458">
        <v>401.20299999999997</v>
      </c>
      <c r="E11" s="3106">
        <v>56.305</v>
      </c>
      <c r="F11" s="1459"/>
      <c r="G11" s="1460">
        <v>390.88400000000001</v>
      </c>
      <c r="H11" s="3106">
        <v>159.809</v>
      </c>
      <c r="I11" s="1458">
        <v>134.405</v>
      </c>
      <c r="J11" s="3106">
        <v>25.404</v>
      </c>
      <c r="K11" s="1453"/>
      <c r="L11" s="1461">
        <f t="shared" si="0"/>
        <v>1587.434</v>
      </c>
      <c r="M11" s="3107">
        <f t="shared" si="1"/>
        <v>617.31700000000001</v>
      </c>
      <c r="N11" s="1462">
        <f t="shared" si="2"/>
        <v>535.60799999999995</v>
      </c>
      <c r="O11" s="3107">
        <f t="shared" si="3"/>
        <v>81.709000000000003</v>
      </c>
      <c r="P11" s="1454"/>
      <c r="Q11" s="1460">
        <v>19552.965</v>
      </c>
      <c r="R11" s="3106">
        <v>8475.5130172181107</v>
      </c>
      <c r="S11" s="1458">
        <v>7253.190835368634</v>
      </c>
      <c r="T11" s="3106">
        <v>1222.3221818494767</v>
      </c>
      <c r="U11" s="1463"/>
    </row>
    <row r="12" spans="1:21">
      <c r="A12" s="2603" t="s">
        <v>540</v>
      </c>
      <c r="B12" s="1457">
        <v>1239.7560000000001</v>
      </c>
      <c r="C12" s="3106">
        <v>510.14400000000001</v>
      </c>
      <c r="D12" s="1458">
        <v>403.053</v>
      </c>
      <c r="E12" s="3106">
        <v>107.09099999999999</v>
      </c>
      <c r="F12" s="1459"/>
      <c r="G12" s="1460">
        <v>387.56400000000002</v>
      </c>
      <c r="H12" s="3106">
        <v>154.23500000000001</v>
      </c>
      <c r="I12" s="1458">
        <v>122.181</v>
      </c>
      <c r="J12" s="3106">
        <v>32.054000000000002</v>
      </c>
      <c r="K12" s="1453"/>
      <c r="L12" s="1461">
        <f t="shared" si="0"/>
        <v>1627.3200000000002</v>
      </c>
      <c r="M12" s="3107">
        <f t="shared" si="1"/>
        <v>664.37900000000002</v>
      </c>
      <c r="N12" s="1462">
        <f t="shared" si="2"/>
        <v>525.23400000000004</v>
      </c>
      <c r="O12" s="3107">
        <f t="shared" si="3"/>
        <v>139.14499999999998</v>
      </c>
      <c r="P12" s="1454"/>
      <c r="Q12" s="1460">
        <v>19680.464</v>
      </c>
      <c r="R12" s="3106">
        <v>8893.3145550173085</v>
      </c>
      <c r="S12" s="1458">
        <v>7077.0276044684852</v>
      </c>
      <c r="T12" s="3106">
        <v>1816.2869505488234</v>
      </c>
      <c r="U12" s="1463"/>
    </row>
    <row r="13" spans="1:21">
      <c r="A13" s="2603" t="s">
        <v>541</v>
      </c>
      <c r="B13" s="1457">
        <v>1194.77</v>
      </c>
      <c r="C13" s="3106">
        <v>471.61900000000003</v>
      </c>
      <c r="D13" s="1458">
        <v>386.14</v>
      </c>
      <c r="E13" s="3106">
        <v>85.478999999999999</v>
      </c>
      <c r="F13" s="1459"/>
      <c r="G13" s="1460">
        <v>430.084</v>
      </c>
      <c r="H13" s="3106">
        <v>168.15700000000001</v>
      </c>
      <c r="I13" s="1458">
        <v>133.51300000000001</v>
      </c>
      <c r="J13" s="3106">
        <v>34.643999999999998</v>
      </c>
      <c r="K13" s="1453"/>
      <c r="L13" s="1461">
        <f t="shared" si="0"/>
        <v>1624.854</v>
      </c>
      <c r="M13" s="3107">
        <f t="shared" si="1"/>
        <v>639.77600000000007</v>
      </c>
      <c r="N13" s="1462">
        <f t="shared" si="2"/>
        <v>519.65300000000002</v>
      </c>
      <c r="O13" s="3107">
        <f t="shared" si="3"/>
        <v>120.12299999999999</v>
      </c>
      <c r="P13" s="1454"/>
      <c r="Q13" s="1460">
        <v>20575.482</v>
      </c>
      <c r="R13" s="3106">
        <v>9057.5116060440341</v>
      </c>
      <c r="S13" s="1458">
        <v>7364.3897641031217</v>
      </c>
      <c r="T13" s="3106">
        <v>1693.1218419409124</v>
      </c>
      <c r="U13" s="1463"/>
    </row>
    <row r="14" spans="1:21">
      <c r="A14" s="2603" t="s">
        <v>542</v>
      </c>
      <c r="B14" s="1457">
        <v>1205.4680000000001</v>
      </c>
      <c r="C14" s="3106">
        <v>479.298</v>
      </c>
      <c r="D14" s="1458">
        <v>384.99900000000002</v>
      </c>
      <c r="E14" s="3106">
        <v>94.299000000000007</v>
      </c>
      <c r="F14" s="1459"/>
      <c r="G14" s="1460">
        <v>433.42</v>
      </c>
      <c r="H14" s="3106">
        <v>164.24700000000001</v>
      </c>
      <c r="I14" s="1458">
        <v>129.28800000000001</v>
      </c>
      <c r="J14" s="3106">
        <v>34.959000000000003</v>
      </c>
      <c r="K14" s="1453"/>
      <c r="L14" s="1461">
        <f t="shared" si="0"/>
        <v>1638.8880000000001</v>
      </c>
      <c r="M14" s="3107">
        <f t="shared" si="1"/>
        <v>643.54500000000007</v>
      </c>
      <c r="N14" s="1462">
        <f t="shared" si="2"/>
        <v>514.28700000000003</v>
      </c>
      <c r="O14" s="3107">
        <f t="shared" si="3"/>
        <v>129.25800000000001</v>
      </c>
      <c r="P14" s="1454"/>
      <c r="Q14" s="1460">
        <v>20710.228000000003</v>
      </c>
      <c r="R14" s="3106">
        <v>9022.9527358599662</v>
      </c>
      <c r="S14" s="1458">
        <v>7286.7781339499343</v>
      </c>
      <c r="T14" s="3106">
        <v>1736.1746019100319</v>
      </c>
      <c r="U14" s="1463"/>
    </row>
    <row r="15" spans="1:21">
      <c r="A15" s="2603" t="s">
        <v>543</v>
      </c>
      <c r="B15" s="1457">
        <v>1212.711</v>
      </c>
      <c r="C15" s="3106">
        <v>463.21899999999999</v>
      </c>
      <c r="D15" s="1458">
        <v>378.81599999999997</v>
      </c>
      <c r="E15" s="3106">
        <v>84.403000000000006</v>
      </c>
      <c r="F15" s="1459"/>
      <c r="G15" s="1460">
        <v>436.01100000000002</v>
      </c>
      <c r="H15" s="3106">
        <v>155.304</v>
      </c>
      <c r="I15" s="1458">
        <v>129.31700000000001</v>
      </c>
      <c r="J15" s="3106">
        <v>25.986999999999998</v>
      </c>
      <c r="K15" s="1453"/>
      <c r="L15" s="1461">
        <f t="shared" si="0"/>
        <v>1648.722</v>
      </c>
      <c r="M15" s="3107">
        <f t="shared" si="1"/>
        <v>618.52300000000002</v>
      </c>
      <c r="N15" s="1462">
        <f t="shared" si="2"/>
        <v>508.13299999999998</v>
      </c>
      <c r="O15" s="3107">
        <f t="shared" si="3"/>
        <v>110.39</v>
      </c>
      <c r="P15" s="1454"/>
      <c r="Q15" s="1460">
        <v>19574.98</v>
      </c>
      <c r="R15" s="3106">
        <v>8712.0622794160481</v>
      </c>
      <c r="S15" s="1458">
        <v>7019.0441244952162</v>
      </c>
      <c r="T15" s="3106">
        <v>1693.0181549208319</v>
      </c>
      <c r="U15" s="1463"/>
    </row>
    <row r="16" spans="1:21">
      <c r="A16" s="2603" t="s">
        <v>544</v>
      </c>
      <c r="B16" s="1457">
        <v>1223.42</v>
      </c>
      <c r="C16" s="3106">
        <v>482.38200000000001</v>
      </c>
      <c r="D16" s="1458">
        <v>404.79399999999998</v>
      </c>
      <c r="E16" s="3106">
        <v>77.587999999999994</v>
      </c>
      <c r="F16" s="1459"/>
      <c r="G16" s="1460">
        <v>450.59699999999998</v>
      </c>
      <c r="H16" s="3106">
        <v>169.696</v>
      </c>
      <c r="I16" s="1458">
        <v>138.44300000000001</v>
      </c>
      <c r="J16" s="3106">
        <v>31.253</v>
      </c>
      <c r="K16" s="1453"/>
      <c r="L16" s="1461">
        <f t="shared" si="0"/>
        <v>1674.0170000000001</v>
      </c>
      <c r="M16" s="3107">
        <f t="shared" si="1"/>
        <v>652.07799999999997</v>
      </c>
      <c r="N16" s="1462">
        <f t="shared" si="2"/>
        <v>543.23699999999997</v>
      </c>
      <c r="O16" s="3107">
        <f t="shared" si="3"/>
        <v>108.84099999999999</v>
      </c>
      <c r="P16" s="1454"/>
      <c r="Q16" s="1460">
        <v>20942.720999999998</v>
      </c>
      <c r="R16" s="3106">
        <v>9371.5501532168873</v>
      </c>
      <c r="S16" s="1458">
        <v>7654.2822376545037</v>
      </c>
      <c r="T16" s="3106">
        <v>1717.2679155623837</v>
      </c>
      <c r="U16" s="1463"/>
    </row>
    <row r="17" spans="1:21">
      <c r="A17" s="2603" t="s">
        <v>545</v>
      </c>
      <c r="B17" s="1457">
        <v>1231.5920000000001</v>
      </c>
      <c r="C17" s="3106">
        <v>483.40699999999998</v>
      </c>
      <c r="D17" s="1458">
        <v>419.78899999999999</v>
      </c>
      <c r="E17" s="3106">
        <v>63.618000000000002</v>
      </c>
      <c r="F17" s="1459"/>
      <c r="G17" s="1460">
        <v>442.899</v>
      </c>
      <c r="H17" s="3106">
        <v>167.56700000000001</v>
      </c>
      <c r="I17" s="1458">
        <v>140.40199999999999</v>
      </c>
      <c r="J17" s="3106">
        <v>27.164999999999999</v>
      </c>
      <c r="K17" s="1453"/>
      <c r="L17" s="1461">
        <f t="shared" si="0"/>
        <v>1674.491</v>
      </c>
      <c r="M17" s="3107">
        <f t="shared" si="1"/>
        <v>650.97399999999993</v>
      </c>
      <c r="N17" s="1462">
        <f t="shared" si="2"/>
        <v>560.19100000000003</v>
      </c>
      <c r="O17" s="3107">
        <f t="shared" si="3"/>
        <v>90.783000000000001</v>
      </c>
      <c r="P17" s="1454"/>
      <c r="Q17" s="1460">
        <v>21039.902999999998</v>
      </c>
      <c r="R17" s="3106">
        <v>9468.9419961486965</v>
      </c>
      <c r="S17" s="1458">
        <v>7961.9062508736088</v>
      </c>
      <c r="T17" s="3106">
        <v>1507.0357452750877</v>
      </c>
      <c r="U17" s="1463"/>
    </row>
    <row r="18" spans="1:21">
      <c r="A18" s="2603" t="s">
        <v>546</v>
      </c>
      <c r="B18" s="1457">
        <v>1241.326</v>
      </c>
      <c r="C18" s="3106">
        <v>500.72</v>
      </c>
      <c r="D18" s="1458">
        <v>431.59800000000001</v>
      </c>
      <c r="E18" s="3106">
        <v>69.122</v>
      </c>
      <c r="F18" s="1459"/>
      <c r="G18" s="1460">
        <v>448.51499999999999</v>
      </c>
      <c r="H18" s="3106">
        <v>170.95699999999999</v>
      </c>
      <c r="I18" s="1458">
        <v>144.41399999999999</v>
      </c>
      <c r="J18" s="3106">
        <v>26.542999999999999</v>
      </c>
      <c r="K18" s="1453"/>
      <c r="L18" s="1461">
        <f t="shared" si="0"/>
        <v>1689.8409999999999</v>
      </c>
      <c r="M18" s="3107">
        <f t="shared" si="1"/>
        <v>671.67700000000002</v>
      </c>
      <c r="N18" s="1462">
        <f t="shared" si="2"/>
        <v>576.01199999999994</v>
      </c>
      <c r="O18" s="3107">
        <f t="shared" si="3"/>
        <v>95.664999999999992</v>
      </c>
      <c r="P18" s="1454"/>
      <c r="Q18" s="1460">
        <v>21638.127</v>
      </c>
      <c r="R18" s="3106">
        <v>9779.1446742766711</v>
      </c>
      <c r="S18" s="1458">
        <v>8257.5895776605048</v>
      </c>
      <c r="T18" s="3106">
        <v>1521.5550966161663</v>
      </c>
      <c r="U18" s="1463"/>
    </row>
    <row r="19" spans="1:21">
      <c r="A19" s="2603" t="s">
        <v>547</v>
      </c>
      <c r="B19" s="1457">
        <v>1249.3050000000001</v>
      </c>
      <c r="C19" s="3106">
        <v>477.93900000000002</v>
      </c>
      <c r="D19" s="1458">
        <v>413.28300000000002</v>
      </c>
      <c r="E19" s="3106">
        <v>64.656000000000006</v>
      </c>
      <c r="F19" s="1459"/>
      <c r="G19" s="1460">
        <v>450.72699999999998</v>
      </c>
      <c r="H19" s="3106">
        <v>166.18199999999999</v>
      </c>
      <c r="I19" s="1458">
        <v>143.69900000000001</v>
      </c>
      <c r="J19" s="3106">
        <v>22.483000000000001</v>
      </c>
      <c r="K19" s="1453"/>
      <c r="L19" s="1461">
        <f t="shared" si="0"/>
        <v>1700.0320000000002</v>
      </c>
      <c r="M19" s="3107">
        <f t="shared" si="1"/>
        <v>644.12099999999998</v>
      </c>
      <c r="N19" s="1462">
        <f t="shared" si="2"/>
        <v>556.98199999999997</v>
      </c>
      <c r="O19" s="3107">
        <f t="shared" si="3"/>
        <v>87.13900000000001</v>
      </c>
      <c r="P19" s="1454"/>
      <c r="Q19" s="1460">
        <v>21743.636999999999</v>
      </c>
      <c r="R19" s="3106">
        <v>9753.1095255201726</v>
      </c>
      <c r="S19" s="1458">
        <v>8313.2803701983103</v>
      </c>
      <c r="T19" s="3106">
        <v>1439.8291553218623</v>
      </c>
      <c r="U19" s="1463"/>
    </row>
    <row r="20" spans="1:21">
      <c r="A20" s="2603" t="s">
        <v>548</v>
      </c>
      <c r="B20" s="1457">
        <v>1258.404</v>
      </c>
      <c r="C20" s="3106">
        <v>507.226</v>
      </c>
      <c r="D20" s="1458">
        <v>431.416</v>
      </c>
      <c r="E20" s="3106">
        <v>75.81</v>
      </c>
      <c r="F20" s="1459"/>
      <c r="G20" s="1460">
        <v>454.84500000000003</v>
      </c>
      <c r="H20" s="3106">
        <v>170.02500000000001</v>
      </c>
      <c r="I20" s="1458">
        <v>141.386</v>
      </c>
      <c r="J20" s="3106">
        <v>28.638999999999999</v>
      </c>
      <c r="K20" s="1453"/>
      <c r="L20" s="1461">
        <f t="shared" si="0"/>
        <v>1713.249</v>
      </c>
      <c r="M20" s="3107">
        <f t="shared" si="1"/>
        <v>677.25099999999998</v>
      </c>
      <c r="N20" s="1462">
        <f t="shared" si="2"/>
        <v>572.80200000000002</v>
      </c>
      <c r="O20" s="3107">
        <f t="shared" si="3"/>
        <v>104.449</v>
      </c>
      <c r="P20" s="1454"/>
      <c r="Q20" s="1460">
        <v>21894.374</v>
      </c>
      <c r="R20" s="3106">
        <v>9989.5512733293799</v>
      </c>
      <c r="S20" s="1458">
        <v>8313.6520352216667</v>
      </c>
      <c r="T20" s="3106">
        <v>1675.8992381077132</v>
      </c>
      <c r="U20" s="1463"/>
    </row>
    <row r="21" spans="1:21">
      <c r="A21" s="2603" t="s">
        <v>549</v>
      </c>
      <c r="B21" s="1457">
        <v>1266.712</v>
      </c>
      <c r="C21" s="3106">
        <v>500.05599999999998</v>
      </c>
      <c r="D21" s="1458">
        <v>416.25799999999998</v>
      </c>
      <c r="E21" s="3106">
        <v>83.798000000000002</v>
      </c>
      <c r="F21" s="1459"/>
      <c r="G21" s="1460">
        <v>469.80500000000001</v>
      </c>
      <c r="H21" s="3106">
        <v>169.554</v>
      </c>
      <c r="I21" s="1458">
        <v>146.80799999999999</v>
      </c>
      <c r="J21" s="3106">
        <v>22.745999999999999</v>
      </c>
      <c r="K21" s="1453"/>
      <c r="L21" s="1461">
        <f t="shared" si="0"/>
        <v>1736.5170000000001</v>
      </c>
      <c r="M21" s="3107">
        <f t="shared" si="1"/>
        <v>669.61</v>
      </c>
      <c r="N21" s="1462">
        <f t="shared" si="2"/>
        <v>563.06600000000003</v>
      </c>
      <c r="O21" s="3107">
        <f t="shared" si="3"/>
        <v>106.544</v>
      </c>
      <c r="P21" s="1454"/>
      <c r="Q21" s="1460">
        <v>22001.597000000002</v>
      </c>
      <c r="R21" s="3106">
        <v>10003.641753592919</v>
      </c>
      <c r="S21" s="1458">
        <v>8387.8617912444588</v>
      </c>
      <c r="T21" s="3106">
        <v>1615.7799623484607</v>
      </c>
      <c r="U21" s="1463"/>
    </row>
    <row r="22" spans="1:21">
      <c r="A22" s="2603" t="s">
        <v>550</v>
      </c>
      <c r="B22" s="1457">
        <v>1276.694</v>
      </c>
      <c r="C22" s="3106">
        <v>498.68799999999999</v>
      </c>
      <c r="D22" s="1458">
        <v>406.19099999999997</v>
      </c>
      <c r="E22" s="3106">
        <v>92.497</v>
      </c>
      <c r="F22" s="1459"/>
      <c r="G22" s="1460">
        <v>473.733</v>
      </c>
      <c r="H22" s="3106">
        <v>180.375</v>
      </c>
      <c r="I22" s="1458">
        <v>151.33099999999999</v>
      </c>
      <c r="J22" s="3106">
        <v>29.044</v>
      </c>
      <c r="K22" s="1453"/>
      <c r="L22" s="1461">
        <f t="shared" si="0"/>
        <v>1750.4269999999999</v>
      </c>
      <c r="M22" s="3107">
        <f t="shared" si="1"/>
        <v>679.06299999999999</v>
      </c>
      <c r="N22" s="1462">
        <f t="shared" si="2"/>
        <v>557.52199999999993</v>
      </c>
      <c r="O22" s="3107">
        <f t="shared" si="3"/>
        <v>121.541</v>
      </c>
      <c r="P22" s="1454"/>
      <c r="Q22" s="1460">
        <v>22154.794000000002</v>
      </c>
      <c r="R22" s="3106">
        <v>10000.737529880829</v>
      </c>
      <c r="S22" s="1458">
        <v>8239.5944458537706</v>
      </c>
      <c r="T22" s="3106">
        <v>1761.1430840270586</v>
      </c>
      <c r="U22" s="1463"/>
    </row>
    <row r="23" spans="1:21">
      <c r="A23" s="2603" t="s">
        <v>551</v>
      </c>
      <c r="B23" s="1457">
        <v>1284.981</v>
      </c>
      <c r="C23" s="3106">
        <v>535.80799999999999</v>
      </c>
      <c r="D23" s="1458">
        <v>440.18700000000001</v>
      </c>
      <c r="E23" s="3106">
        <v>95.620999999999995</v>
      </c>
      <c r="F23" s="1459"/>
      <c r="G23" s="1460">
        <v>476.83499999999998</v>
      </c>
      <c r="H23" s="3106">
        <v>186.51499999999999</v>
      </c>
      <c r="I23" s="1458">
        <v>157.30699999999999</v>
      </c>
      <c r="J23" s="3106">
        <v>29.207999999999998</v>
      </c>
      <c r="K23" s="1453"/>
      <c r="L23" s="1461">
        <f t="shared" si="0"/>
        <v>1761.816</v>
      </c>
      <c r="M23" s="3107">
        <f t="shared" si="1"/>
        <v>722.32299999999998</v>
      </c>
      <c r="N23" s="1462">
        <f t="shared" si="2"/>
        <v>597.49400000000003</v>
      </c>
      <c r="O23" s="3107">
        <f t="shared" si="3"/>
        <v>124.82899999999999</v>
      </c>
      <c r="P23" s="1454"/>
      <c r="Q23" s="1460">
        <v>22263.766000000003</v>
      </c>
      <c r="R23" s="3106">
        <v>10121.874361170972</v>
      </c>
      <c r="S23" s="1458">
        <v>8401.9193777454275</v>
      </c>
      <c r="T23" s="3106">
        <v>1719.9549834255449</v>
      </c>
      <c r="U23" s="1463"/>
    </row>
    <row r="24" spans="1:21">
      <c r="A24" s="2603" t="s">
        <v>552</v>
      </c>
      <c r="B24" s="1457">
        <v>1295.2329999999999</v>
      </c>
      <c r="C24" s="3106">
        <v>554.95000000000005</v>
      </c>
      <c r="D24" s="1458">
        <v>442.733</v>
      </c>
      <c r="E24" s="3106">
        <v>112.217</v>
      </c>
      <c r="F24" s="1459"/>
      <c r="G24" s="1460">
        <v>480.53699999999998</v>
      </c>
      <c r="H24" s="3106">
        <v>180.32900000000001</v>
      </c>
      <c r="I24" s="1458">
        <v>150.66499999999999</v>
      </c>
      <c r="J24" s="3106">
        <v>29.664000000000001</v>
      </c>
      <c r="K24" s="1453"/>
      <c r="L24" s="1461">
        <f t="shared" si="0"/>
        <v>1775.77</v>
      </c>
      <c r="M24" s="3107">
        <f t="shared" si="1"/>
        <v>735.279</v>
      </c>
      <c r="N24" s="1462">
        <f t="shared" si="2"/>
        <v>593.39800000000002</v>
      </c>
      <c r="O24" s="3107">
        <f t="shared" si="3"/>
        <v>141.881</v>
      </c>
      <c r="P24" s="1454"/>
      <c r="Q24" s="1460">
        <v>22444.063999999998</v>
      </c>
      <c r="R24" s="3106">
        <v>10207.020713332126</v>
      </c>
      <c r="S24" s="1458">
        <v>8315.4930044646535</v>
      </c>
      <c r="T24" s="3106">
        <v>1891.527708867472</v>
      </c>
      <c r="U24" s="1463"/>
    </row>
    <row r="25" spans="1:21">
      <c r="A25" s="2603" t="s">
        <v>553</v>
      </c>
      <c r="B25" s="1457">
        <v>1303.53</v>
      </c>
      <c r="C25" s="3106">
        <v>570.71699999999998</v>
      </c>
      <c r="D25" s="1458">
        <v>440.38600000000002</v>
      </c>
      <c r="E25" s="3106">
        <v>130.33099999999999</v>
      </c>
      <c r="F25" s="1459"/>
      <c r="G25" s="1460">
        <v>484.42399999999998</v>
      </c>
      <c r="H25" s="3106">
        <v>188.714</v>
      </c>
      <c r="I25" s="1458">
        <v>150.34700000000001</v>
      </c>
      <c r="J25" s="3106">
        <v>38.366999999999997</v>
      </c>
      <c r="K25" s="1453"/>
      <c r="L25" s="1461">
        <f t="shared" si="0"/>
        <v>1787.954</v>
      </c>
      <c r="M25" s="3107">
        <f t="shared" si="1"/>
        <v>759.43100000000004</v>
      </c>
      <c r="N25" s="1462">
        <f t="shared" si="2"/>
        <v>590.73300000000006</v>
      </c>
      <c r="O25" s="3107">
        <f t="shared" si="3"/>
        <v>168.69799999999998</v>
      </c>
      <c r="P25" s="1454"/>
      <c r="Q25" s="1460">
        <v>22499.792031599627</v>
      </c>
      <c r="R25" s="3106">
        <v>10085.361353105709</v>
      </c>
      <c r="S25" s="1458">
        <v>8015.7732929792201</v>
      </c>
      <c r="T25" s="3106">
        <v>2069.5880601264889</v>
      </c>
      <c r="U25" s="1463"/>
    </row>
    <row r="26" spans="1:21">
      <c r="A26" s="2603" t="s">
        <v>554</v>
      </c>
      <c r="B26" s="1457">
        <v>1313.38</v>
      </c>
      <c r="C26" s="3106">
        <v>542.68299999999999</v>
      </c>
      <c r="D26" s="1458">
        <v>410.85500000000002</v>
      </c>
      <c r="E26" s="3106">
        <v>131.828</v>
      </c>
      <c r="F26" s="1459"/>
      <c r="G26" s="1460">
        <v>488.423</v>
      </c>
      <c r="H26" s="3106">
        <v>182.453</v>
      </c>
      <c r="I26" s="1458">
        <v>139.732</v>
      </c>
      <c r="J26" s="3106">
        <v>42.720999999999997</v>
      </c>
      <c r="K26" s="1453"/>
      <c r="L26" s="1461">
        <f t="shared" si="0"/>
        <v>1801.8030000000001</v>
      </c>
      <c r="M26" s="3107">
        <f t="shared" si="1"/>
        <v>725.13599999999997</v>
      </c>
      <c r="N26" s="1462">
        <f t="shared" si="2"/>
        <v>550.58699999999999</v>
      </c>
      <c r="O26" s="3107">
        <f t="shared" si="3"/>
        <v>174.54900000000001</v>
      </c>
      <c r="P26" s="1454"/>
      <c r="Q26" s="1460">
        <v>22665.076999999997</v>
      </c>
      <c r="R26" s="3106">
        <v>10072.088384456121</v>
      </c>
      <c r="S26" s="1458">
        <v>7697.1613968040856</v>
      </c>
      <c r="T26" s="3106">
        <v>2374.9269876520357</v>
      </c>
      <c r="U26" s="1463"/>
    </row>
    <row r="27" spans="1:21">
      <c r="A27" s="2603" t="s">
        <v>555</v>
      </c>
      <c r="B27" s="1457">
        <v>1321.0260000000001</v>
      </c>
      <c r="C27" s="3106">
        <v>569.06299999999999</v>
      </c>
      <c r="D27" s="1458">
        <v>461.08499999999998</v>
      </c>
      <c r="E27" s="3106">
        <v>107.97799999999999</v>
      </c>
      <c r="F27" s="1459"/>
      <c r="G27" s="1460">
        <v>492.07600000000002</v>
      </c>
      <c r="H27" s="3106">
        <v>192.386</v>
      </c>
      <c r="I27" s="1458">
        <v>153.61099999999999</v>
      </c>
      <c r="J27" s="3106">
        <v>38.774999999999999</v>
      </c>
      <c r="K27" s="1453"/>
      <c r="L27" s="1461">
        <f t="shared" si="0"/>
        <v>1813.1020000000001</v>
      </c>
      <c r="M27" s="3107">
        <f t="shared" si="1"/>
        <v>761.44899999999996</v>
      </c>
      <c r="N27" s="1462">
        <f t="shared" si="2"/>
        <v>614.69599999999991</v>
      </c>
      <c r="O27" s="3107">
        <f t="shared" si="3"/>
        <v>146.75299999999999</v>
      </c>
      <c r="P27" s="1454"/>
      <c r="Q27" s="1460">
        <v>22775.296000000002</v>
      </c>
      <c r="R27" s="3106">
        <v>10476.725329691853</v>
      </c>
      <c r="S27" s="1458">
        <v>8290.0150532394982</v>
      </c>
      <c r="T27" s="3106">
        <v>2186.7102764523552</v>
      </c>
      <c r="U27" s="1463"/>
    </row>
    <row r="28" spans="1:21">
      <c r="A28" s="1464">
        <v>2003.1</v>
      </c>
      <c r="B28" s="1457">
        <v>1199</v>
      </c>
      <c r="C28" s="3106">
        <v>528</v>
      </c>
      <c r="D28" s="1458">
        <v>410</v>
      </c>
      <c r="E28" s="3106">
        <v>119</v>
      </c>
      <c r="F28" s="1465">
        <v>86</v>
      </c>
      <c r="G28" s="1558">
        <v>490.24950000000001</v>
      </c>
      <c r="H28" s="3108">
        <v>187.4195</v>
      </c>
      <c r="I28" s="1559">
        <v>146.67149999999998</v>
      </c>
      <c r="J28" s="3108">
        <v>40.747999999999998</v>
      </c>
      <c r="K28" s="1453"/>
      <c r="L28" s="1461">
        <f t="shared" si="0"/>
        <v>1689.2494999999999</v>
      </c>
      <c r="M28" s="3107">
        <f t="shared" si="1"/>
        <v>715.41949999999997</v>
      </c>
      <c r="N28" s="1462">
        <f t="shared" si="2"/>
        <v>556.67149999999992</v>
      </c>
      <c r="O28" s="3107">
        <f t="shared" si="3"/>
        <v>159.74799999999999</v>
      </c>
      <c r="P28" s="1454"/>
      <c r="Q28" s="1460">
        <v>22830.207000000002</v>
      </c>
      <c r="R28" s="3106">
        <v>10414.543922280633</v>
      </c>
      <c r="S28" s="1458">
        <v>8289.198750503052</v>
      </c>
      <c r="T28" s="3106">
        <v>2125.3451717775806</v>
      </c>
      <c r="U28" s="1466"/>
    </row>
    <row r="29" spans="1:21">
      <c r="A29" s="1467">
        <v>2003.2</v>
      </c>
      <c r="B29" s="1457">
        <v>1200</v>
      </c>
      <c r="C29" s="3106">
        <v>535</v>
      </c>
      <c r="D29" s="1458">
        <v>413</v>
      </c>
      <c r="E29" s="3106">
        <v>122</v>
      </c>
      <c r="F29" s="1468">
        <v>83</v>
      </c>
      <c r="G29" s="1558">
        <v>471.6465</v>
      </c>
      <c r="H29" s="3108">
        <v>206.85649999999998</v>
      </c>
      <c r="I29" s="1559">
        <v>171.78300000000002</v>
      </c>
      <c r="J29" s="3108">
        <v>35.073500000000003</v>
      </c>
      <c r="K29" s="1453"/>
      <c r="L29" s="1461">
        <f t="shared" si="0"/>
        <v>1671.6465000000001</v>
      </c>
      <c r="M29" s="3107">
        <f t="shared" si="1"/>
        <v>741.85649999999998</v>
      </c>
      <c r="N29" s="1462">
        <f t="shared" si="2"/>
        <v>584.78300000000002</v>
      </c>
      <c r="O29" s="3107">
        <f t="shared" si="3"/>
        <v>157.0735</v>
      </c>
      <c r="P29" s="1454"/>
      <c r="Q29" s="1460">
        <v>22413.55</v>
      </c>
      <c r="R29" s="3106">
        <v>10223.172116312051</v>
      </c>
      <c r="S29" s="1458">
        <v>8405.719910379099</v>
      </c>
      <c r="T29" s="3106">
        <v>1817.452205932952</v>
      </c>
      <c r="U29" s="1466"/>
    </row>
    <row r="30" spans="1:21">
      <c r="A30" s="1467">
        <v>2003.3</v>
      </c>
      <c r="B30" s="1558">
        <v>1207.066</v>
      </c>
      <c r="C30" s="3108">
        <v>532.202</v>
      </c>
      <c r="D30" s="1559">
        <v>431</v>
      </c>
      <c r="E30" s="3108">
        <v>101.202</v>
      </c>
      <c r="F30" s="1559">
        <v>77.281999999999996</v>
      </c>
      <c r="G30" s="1558">
        <v>471.029</v>
      </c>
      <c r="H30" s="3108">
        <v>209.67699999999999</v>
      </c>
      <c r="I30" s="1559">
        <v>169.602</v>
      </c>
      <c r="J30" s="3108">
        <v>40.075000000000003</v>
      </c>
      <c r="K30" s="1562">
        <v>34.387999999999998</v>
      </c>
      <c r="L30" s="1461">
        <f t="shared" si="0"/>
        <v>1678.095</v>
      </c>
      <c r="M30" s="3107">
        <f t="shared" si="1"/>
        <v>741.87900000000002</v>
      </c>
      <c r="N30" s="1462">
        <f t="shared" si="2"/>
        <v>600.60199999999998</v>
      </c>
      <c r="O30" s="3107">
        <f t="shared" si="3"/>
        <v>141.27699999999999</v>
      </c>
      <c r="P30" s="1533">
        <f t="shared" ref="P30:P61" si="4">F30+K30</f>
        <v>111.66999999999999</v>
      </c>
      <c r="Q30" s="1558">
        <v>20350.478999999999</v>
      </c>
      <c r="R30" s="3108">
        <v>9451.0439999999999</v>
      </c>
      <c r="S30" s="1559">
        <v>7896.1210000000001</v>
      </c>
      <c r="T30" s="3108">
        <v>1554.923</v>
      </c>
      <c r="U30" s="1562">
        <v>1599.11</v>
      </c>
    </row>
    <row r="31" spans="1:21">
      <c r="A31" s="1467">
        <v>2003.4</v>
      </c>
      <c r="B31" s="1558">
        <v>1208.885</v>
      </c>
      <c r="C31" s="3108">
        <v>530.36099999999999</v>
      </c>
      <c r="D31" s="1559">
        <v>441.28399999999999</v>
      </c>
      <c r="E31" s="3108">
        <v>89.076999999999998</v>
      </c>
      <c r="F31" s="1559">
        <v>64.557000000000002</v>
      </c>
      <c r="G31" s="1558">
        <v>472.26400000000001</v>
      </c>
      <c r="H31" s="3108">
        <v>204.036</v>
      </c>
      <c r="I31" s="1559">
        <v>173.964</v>
      </c>
      <c r="J31" s="3108">
        <v>30.071999999999999</v>
      </c>
      <c r="K31" s="1559">
        <v>28.373999999999999</v>
      </c>
      <c r="L31" s="1461">
        <f t="shared" si="0"/>
        <v>1681.1489999999999</v>
      </c>
      <c r="M31" s="3107">
        <f t="shared" si="1"/>
        <v>734.39699999999993</v>
      </c>
      <c r="N31" s="1462">
        <f t="shared" si="2"/>
        <v>615.24800000000005</v>
      </c>
      <c r="O31" s="3107">
        <f t="shared" si="3"/>
        <v>119.149</v>
      </c>
      <c r="P31" s="1462">
        <f t="shared" si="4"/>
        <v>92.930999999999997</v>
      </c>
      <c r="Q31" s="1558">
        <v>22994.239000000001</v>
      </c>
      <c r="R31" s="3108">
        <v>10639.74</v>
      </c>
      <c r="S31" s="1559">
        <v>9102.5990000000002</v>
      </c>
      <c r="T31" s="3108">
        <v>1537.1410000000001</v>
      </c>
      <c r="U31" s="3109">
        <v>1720.47</v>
      </c>
    </row>
    <row r="32" spans="1:21">
      <c r="A32" s="1467">
        <v>2004.1</v>
      </c>
      <c r="B32" s="1558">
        <v>1210.9179999999999</v>
      </c>
      <c r="C32" s="3108">
        <v>542.88699999999994</v>
      </c>
      <c r="D32" s="2878">
        <v>450.11500000000001</v>
      </c>
      <c r="E32" s="3108">
        <v>92.772000000000006</v>
      </c>
      <c r="F32" s="1559">
        <v>57.3</v>
      </c>
      <c r="G32" s="1558">
        <v>473.46699999999998</v>
      </c>
      <c r="H32" s="3108">
        <v>191.19499999999999</v>
      </c>
      <c r="I32" s="1559">
        <v>162.298</v>
      </c>
      <c r="J32" s="3108">
        <v>28.896999999999998</v>
      </c>
      <c r="K32" s="1559">
        <v>27.152999999999999</v>
      </c>
      <c r="L32" s="1461">
        <f t="shared" si="0"/>
        <v>1684.3849999999998</v>
      </c>
      <c r="M32" s="3107">
        <f t="shared" si="1"/>
        <v>734.08199999999988</v>
      </c>
      <c r="N32" s="1462">
        <f t="shared" si="2"/>
        <v>612.41300000000001</v>
      </c>
      <c r="O32" s="3107">
        <f t="shared" si="3"/>
        <v>121.66900000000001</v>
      </c>
      <c r="P32" s="1462">
        <f t="shared" si="4"/>
        <v>84.453000000000003</v>
      </c>
      <c r="Q32" s="1558">
        <v>23050.146000000001</v>
      </c>
      <c r="R32" s="3108">
        <v>10624.54</v>
      </c>
      <c r="S32" s="1559">
        <v>9107.6820000000007</v>
      </c>
      <c r="T32" s="3108">
        <v>1516.8579999999999</v>
      </c>
      <c r="U32" s="3109">
        <v>1640.4280000000001</v>
      </c>
    </row>
    <row r="33" spans="1:21">
      <c r="A33" s="1467">
        <v>2004.2</v>
      </c>
      <c r="B33" s="1558">
        <v>1212.7170000000001</v>
      </c>
      <c r="C33" s="3108">
        <v>545.88499999999999</v>
      </c>
      <c r="D33" s="1559">
        <v>462.245</v>
      </c>
      <c r="E33" s="3108">
        <v>83.64</v>
      </c>
      <c r="F33" s="1559">
        <v>71.638000000000005</v>
      </c>
      <c r="G33" s="1558">
        <v>474.66</v>
      </c>
      <c r="H33" s="3108">
        <v>201.077</v>
      </c>
      <c r="I33" s="1559">
        <v>166.83099999999999</v>
      </c>
      <c r="J33" s="3108">
        <v>34.246000000000002</v>
      </c>
      <c r="K33" s="1559">
        <v>30.888999999999999</v>
      </c>
      <c r="L33" s="1461">
        <f t="shared" si="0"/>
        <v>1687.3770000000002</v>
      </c>
      <c r="M33" s="3107">
        <f t="shared" si="1"/>
        <v>746.96199999999999</v>
      </c>
      <c r="N33" s="1462">
        <f t="shared" si="2"/>
        <v>629.07600000000002</v>
      </c>
      <c r="O33" s="3107">
        <f t="shared" si="3"/>
        <v>117.886</v>
      </c>
      <c r="P33" s="1462">
        <f t="shared" si="4"/>
        <v>102.527</v>
      </c>
      <c r="Q33" s="1558">
        <v>23103.272000000001</v>
      </c>
      <c r="R33" s="3108">
        <v>10778.772000000001</v>
      </c>
      <c r="S33" s="1559">
        <v>9199.3070000000007</v>
      </c>
      <c r="T33" s="3108">
        <v>1579.4649999999999</v>
      </c>
      <c r="U33" s="3109">
        <v>1628.1880000000001</v>
      </c>
    </row>
    <row r="34" spans="1:21">
      <c r="A34" s="1467">
        <v>2004.3</v>
      </c>
      <c r="B34" s="1558">
        <v>1214.4960000000001</v>
      </c>
      <c r="C34" s="3108">
        <v>554.86</v>
      </c>
      <c r="D34" s="1559">
        <v>468.97300000000001</v>
      </c>
      <c r="E34" s="3108">
        <v>85.887</v>
      </c>
      <c r="F34" s="1559">
        <v>54.021999999999998</v>
      </c>
      <c r="G34" s="1558">
        <v>475.83600000000001</v>
      </c>
      <c r="H34" s="3108">
        <v>197.94499999999999</v>
      </c>
      <c r="I34" s="1559">
        <v>174.06100000000001</v>
      </c>
      <c r="J34" s="3108">
        <v>23.884</v>
      </c>
      <c r="K34" s="1559">
        <v>26.571000000000002</v>
      </c>
      <c r="L34" s="1461">
        <f t="shared" si="0"/>
        <v>1690.3320000000001</v>
      </c>
      <c r="M34" s="3107">
        <f t="shared" si="1"/>
        <v>752.80500000000006</v>
      </c>
      <c r="N34" s="1462">
        <f t="shared" si="2"/>
        <v>643.03399999999999</v>
      </c>
      <c r="O34" s="3107">
        <f t="shared" si="3"/>
        <v>109.771</v>
      </c>
      <c r="P34" s="1462">
        <f t="shared" si="4"/>
        <v>80.593000000000004</v>
      </c>
      <c r="Q34" s="1558">
        <v>23155.996999999999</v>
      </c>
      <c r="R34" s="3108">
        <v>10789.562</v>
      </c>
      <c r="S34" s="1559">
        <v>9372.7479999999996</v>
      </c>
      <c r="T34" s="3108">
        <v>1416.8140000000001</v>
      </c>
      <c r="U34" s="3109">
        <v>1621.826</v>
      </c>
    </row>
    <row r="35" spans="1:21">
      <c r="A35" s="1467">
        <v>2004.4</v>
      </c>
      <c r="B35" s="1558">
        <v>1216.2570000000001</v>
      </c>
      <c r="C35" s="3108">
        <v>542.92200000000003</v>
      </c>
      <c r="D35" s="1559">
        <v>466.58499999999998</v>
      </c>
      <c r="E35" s="3108">
        <v>76.337000000000003</v>
      </c>
      <c r="F35" s="1559">
        <v>49.854999999999997</v>
      </c>
      <c r="G35" s="1558">
        <v>476.904</v>
      </c>
      <c r="H35" s="3108">
        <v>192.28299999999999</v>
      </c>
      <c r="I35" s="1559">
        <v>174.39500000000001</v>
      </c>
      <c r="J35" s="3108">
        <v>17.888000000000002</v>
      </c>
      <c r="K35" s="1559">
        <v>17.472000000000001</v>
      </c>
      <c r="L35" s="1461">
        <f t="shared" si="0"/>
        <v>1693.1610000000001</v>
      </c>
      <c r="M35" s="3107">
        <f t="shared" si="1"/>
        <v>735.20500000000004</v>
      </c>
      <c r="N35" s="1462">
        <f t="shared" si="2"/>
        <v>640.98</v>
      </c>
      <c r="O35" s="3107">
        <f t="shared" si="3"/>
        <v>94.225000000000009</v>
      </c>
      <c r="P35" s="1462">
        <f t="shared" si="4"/>
        <v>67.326999999999998</v>
      </c>
      <c r="Q35" s="1558">
        <v>23207</v>
      </c>
      <c r="R35" s="3108">
        <v>10771.102999999999</v>
      </c>
      <c r="S35" s="1559">
        <v>9476.2139999999999</v>
      </c>
      <c r="T35" s="3108">
        <v>1294.8889999999999</v>
      </c>
      <c r="U35" s="3109">
        <v>1520.7860000000001</v>
      </c>
    </row>
    <row r="36" spans="1:21">
      <c r="A36" s="1467">
        <v>2005.1</v>
      </c>
      <c r="B36" s="1560">
        <v>1218.037</v>
      </c>
      <c r="C36" s="3108">
        <v>530.53599999999994</v>
      </c>
      <c r="D36" s="1559">
        <v>458.30900000000003</v>
      </c>
      <c r="E36" s="3108">
        <v>72.227000000000004</v>
      </c>
      <c r="F36" s="1561">
        <v>56.436</v>
      </c>
      <c r="G36" s="1558">
        <v>478.04</v>
      </c>
      <c r="H36" s="3108">
        <v>208.785</v>
      </c>
      <c r="I36" s="1559">
        <v>186.75399999999999</v>
      </c>
      <c r="J36" s="3108">
        <v>22.030999999999999</v>
      </c>
      <c r="K36" s="1559">
        <v>28.369</v>
      </c>
      <c r="L36" s="1461">
        <f t="shared" si="0"/>
        <v>1696.077</v>
      </c>
      <c r="M36" s="3107">
        <f t="shared" si="1"/>
        <v>739.32099999999991</v>
      </c>
      <c r="N36" s="1462">
        <f t="shared" si="2"/>
        <v>645.06299999999999</v>
      </c>
      <c r="O36" s="3107">
        <f t="shared" si="3"/>
        <v>94.25800000000001</v>
      </c>
      <c r="P36" s="1462">
        <f t="shared" si="4"/>
        <v>84.805000000000007</v>
      </c>
      <c r="Q36" s="1558">
        <v>23258.49</v>
      </c>
      <c r="R36" s="3108">
        <v>10696.790999999999</v>
      </c>
      <c r="S36" s="1559">
        <v>9314.93</v>
      </c>
      <c r="T36" s="3108">
        <v>1381.8610000000001</v>
      </c>
      <c r="U36" s="3109">
        <v>1333.2360000000001</v>
      </c>
    </row>
    <row r="37" spans="1:21">
      <c r="A37" s="1467">
        <v>2005.2</v>
      </c>
      <c r="B37" s="1558">
        <v>1220.2170000000001</v>
      </c>
      <c r="C37" s="3108">
        <v>547.85900000000004</v>
      </c>
      <c r="D37" s="1559">
        <v>480.35500000000002</v>
      </c>
      <c r="E37" s="3108">
        <v>67.504000000000005</v>
      </c>
      <c r="F37" s="1559">
        <v>49.222999999999999</v>
      </c>
      <c r="G37" s="1558">
        <v>479.49299999999999</v>
      </c>
      <c r="H37" s="3108">
        <v>203.78399999999999</v>
      </c>
      <c r="I37" s="1559">
        <v>181.495</v>
      </c>
      <c r="J37" s="3108">
        <v>22.289000000000001</v>
      </c>
      <c r="K37" s="1559">
        <v>28.091999999999999</v>
      </c>
      <c r="L37" s="1461">
        <f t="shared" si="0"/>
        <v>1699.71</v>
      </c>
      <c r="M37" s="3107">
        <f t="shared" si="1"/>
        <v>751.64300000000003</v>
      </c>
      <c r="N37" s="1462">
        <f t="shared" si="2"/>
        <v>661.85</v>
      </c>
      <c r="O37" s="3107">
        <f t="shared" si="3"/>
        <v>89.793000000000006</v>
      </c>
      <c r="P37" s="1462">
        <f t="shared" si="4"/>
        <v>77.314999999999998</v>
      </c>
      <c r="Q37" s="1558">
        <v>23320.401999999998</v>
      </c>
      <c r="R37" s="3108">
        <v>10716.448</v>
      </c>
      <c r="S37" s="1559">
        <v>9434.277</v>
      </c>
      <c r="T37" s="3108">
        <v>1282.171</v>
      </c>
      <c r="U37" s="3109">
        <v>1366.604</v>
      </c>
    </row>
    <row r="38" spans="1:21">
      <c r="A38" s="1467">
        <v>2005.3</v>
      </c>
      <c r="B38" s="1560">
        <v>1222.3910000000001</v>
      </c>
      <c r="C38" s="3108">
        <v>561.68700000000001</v>
      </c>
      <c r="D38" s="1559">
        <v>493.91199999999998</v>
      </c>
      <c r="E38" s="3108">
        <v>67.775000000000006</v>
      </c>
      <c r="F38" s="1561">
        <v>47.093000000000004</v>
      </c>
      <c r="G38" s="1558">
        <v>480.92099999999999</v>
      </c>
      <c r="H38" s="3108">
        <v>209.25700000000001</v>
      </c>
      <c r="I38" s="1559">
        <v>184.17500000000001</v>
      </c>
      <c r="J38" s="3108">
        <v>25.082000000000001</v>
      </c>
      <c r="K38" s="1559">
        <v>22.677</v>
      </c>
      <c r="L38" s="1461">
        <f t="shared" si="0"/>
        <v>1703.3120000000001</v>
      </c>
      <c r="M38" s="3107">
        <f t="shared" si="1"/>
        <v>770.94399999999996</v>
      </c>
      <c r="N38" s="1462">
        <f t="shared" si="2"/>
        <v>678.08699999999999</v>
      </c>
      <c r="O38" s="3107">
        <f t="shared" si="3"/>
        <v>92.856999999999999</v>
      </c>
      <c r="P38" s="1462">
        <f t="shared" si="4"/>
        <v>69.77000000000001</v>
      </c>
      <c r="Q38" s="1558">
        <v>23380.63</v>
      </c>
      <c r="R38" s="3108">
        <v>10912.906000000001</v>
      </c>
      <c r="S38" s="1559">
        <v>9699.1980000000003</v>
      </c>
      <c r="T38" s="3108">
        <v>1213.7080000000001</v>
      </c>
      <c r="U38" s="3109">
        <v>1415.336</v>
      </c>
    </row>
    <row r="39" spans="1:21">
      <c r="A39" s="1467">
        <v>2005.4</v>
      </c>
      <c r="B39" s="1558">
        <v>1224.3489999999999</v>
      </c>
      <c r="C39" s="3108">
        <v>566.04999999999995</v>
      </c>
      <c r="D39" s="1559">
        <v>500.88900000000001</v>
      </c>
      <c r="E39" s="3108">
        <v>65.161000000000001</v>
      </c>
      <c r="F39" s="1559">
        <v>45.72</v>
      </c>
      <c r="G39" s="1558">
        <v>482.16300000000001</v>
      </c>
      <c r="H39" s="3108">
        <v>205.709</v>
      </c>
      <c r="I39" s="1559">
        <v>189.48599999999999</v>
      </c>
      <c r="J39" s="3108">
        <v>16.222999999999999</v>
      </c>
      <c r="K39" s="1559">
        <v>24.338000000000001</v>
      </c>
      <c r="L39" s="1461">
        <f t="shared" si="0"/>
        <v>1706.5119999999999</v>
      </c>
      <c r="M39" s="3107">
        <f t="shared" si="1"/>
        <v>771.75900000000001</v>
      </c>
      <c r="N39" s="1462">
        <f t="shared" si="2"/>
        <v>690.375</v>
      </c>
      <c r="O39" s="3107">
        <f t="shared" si="3"/>
        <v>81.384</v>
      </c>
      <c r="P39" s="1462">
        <f t="shared" si="4"/>
        <v>70.057999999999993</v>
      </c>
      <c r="Q39" s="1558">
        <v>23437.852999999999</v>
      </c>
      <c r="R39" s="3108">
        <v>10870.605</v>
      </c>
      <c r="S39" s="1559">
        <v>9779.6859999999997</v>
      </c>
      <c r="T39" s="3108">
        <v>1090.9190000000001</v>
      </c>
      <c r="U39" s="3109">
        <v>1285.2059999999999</v>
      </c>
    </row>
    <row r="40" spans="1:21">
      <c r="A40" s="1467">
        <v>2006.1</v>
      </c>
      <c r="B40" s="1560">
        <v>1226.4110000000001</v>
      </c>
      <c r="C40" s="3108">
        <v>560.11400000000003</v>
      </c>
      <c r="D40" s="1559">
        <v>482.17700000000002</v>
      </c>
      <c r="E40" s="3108">
        <v>77.936999999999998</v>
      </c>
      <c r="F40" s="1561">
        <v>45.668999999999997</v>
      </c>
      <c r="G40" s="1558">
        <v>483.48599999999999</v>
      </c>
      <c r="H40" s="3108">
        <v>191.43700000000001</v>
      </c>
      <c r="I40" s="1559">
        <v>175.083</v>
      </c>
      <c r="J40" s="3108">
        <v>16.353999999999999</v>
      </c>
      <c r="K40" s="1559">
        <v>19.550999999999998</v>
      </c>
      <c r="L40" s="1461">
        <f t="shared" si="0"/>
        <v>1709.8969999999999</v>
      </c>
      <c r="M40" s="3107">
        <f t="shared" si="1"/>
        <v>751.55100000000004</v>
      </c>
      <c r="N40" s="1462">
        <f t="shared" si="2"/>
        <v>657.26</v>
      </c>
      <c r="O40" s="3107">
        <f t="shared" si="3"/>
        <v>94.290999999999997</v>
      </c>
      <c r="P40" s="1462">
        <f t="shared" si="4"/>
        <v>65.22</v>
      </c>
      <c r="Q40" s="1558">
        <v>23495.654999999999</v>
      </c>
      <c r="R40" s="3108">
        <v>10904.115</v>
      </c>
      <c r="S40" s="1559">
        <v>9671.0409999999993</v>
      </c>
      <c r="T40" s="3108">
        <v>1233.0740000000001</v>
      </c>
      <c r="U40" s="3109">
        <v>1196.7460000000001</v>
      </c>
    </row>
    <row r="41" spans="1:21">
      <c r="A41" s="1467">
        <v>2006.2</v>
      </c>
      <c r="B41" s="1560">
        <v>1228.2929999999999</v>
      </c>
      <c r="C41" s="3108">
        <v>557.197</v>
      </c>
      <c r="D41" s="1559">
        <v>489.76400000000001</v>
      </c>
      <c r="E41" s="3108">
        <v>67.433000000000007</v>
      </c>
      <c r="F41" s="1561">
        <v>48.374000000000002</v>
      </c>
      <c r="G41" s="1558">
        <v>484.69799999999998</v>
      </c>
      <c r="H41" s="3108">
        <v>188.86500000000001</v>
      </c>
      <c r="I41" s="1559">
        <v>178.202</v>
      </c>
      <c r="J41" s="3108">
        <v>10.663</v>
      </c>
      <c r="K41" s="1559">
        <v>17.667999999999999</v>
      </c>
      <c r="L41" s="1461">
        <f t="shared" si="0"/>
        <v>1712.991</v>
      </c>
      <c r="M41" s="3107">
        <f t="shared" si="1"/>
        <v>746.06200000000001</v>
      </c>
      <c r="N41" s="1462">
        <f t="shared" si="2"/>
        <v>667.96600000000001</v>
      </c>
      <c r="O41" s="3107">
        <f t="shared" si="3"/>
        <v>78.096000000000004</v>
      </c>
      <c r="P41" s="1462">
        <f t="shared" si="4"/>
        <v>66.042000000000002</v>
      </c>
      <c r="Q41" s="1558">
        <v>23551.456999999999</v>
      </c>
      <c r="R41" s="3108">
        <v>11051.312</v>
      </c>
      <c r="S41" s="1559">
        <v>9910.2739999999994</v>
      </c>
      <c r="T41" s="3108">
        <v>1141.038</v>
      </c>
      <c r="U41" s="3109">
        <v>1331.8409999999999</v>
      </c>
    </row>
    <row r="42" spans="1:21">
      <c r="A42" s="1467">
        <v>2006.3</v>
      </c>
      <c r="B42" s="1560">
        <v>1230.29</v>
      </c>
      <c r="C42" s="3108">
        <v>567.92499999999995</v>
      </c>
      <c r="D42" s="1559">
        <v>507.41500000000002</v>
      </c>
      <c r="E42" s="3108">
        <v>60.51</v>
      </c>
      <c r="F42" s="1561">
        <v>46.481999999999999</v>
      </c>
      <c r="G42" s="1558">
        <v>485.98099999999999</v>
      </c>
      <c r="H42" s="3108">
        <v>194.95599999999999</v>
      </c>
      <c r="I42" s="2878">
        <v>180.40700000000001</v>
      </c>
      <c r="J42" s="3108">
        <v>14.548999999999999</v>
      </c>
      <c r="K42" s="1559">
        <v>21.248000000000001</v>
      </c>
      <c r="L42" s="1461">
        <f t="shared" ref="L42:L73" si="5">B42+G42</f>
        <v>1716.271</v>
      </c>
      <c r="M42" s="3107">
        <f t="shared" ref="M42:M73" si="6">C42+H42</f>
        <v>762.88099999999997</v>
      </c>
      <c r="N42" s="1462">
        <f t="shared" ref="N42:N73" si="7">D42+I42</f>
        <v>687.822</v>
      </c>
      <c r="O42" s="3107">
        <f t="shared" ref="O42:O73" si="8">E42+J42</f>
        <v>75.058999999999997</v>
      </c>
      <c r="P42" s="1462">
        <f t="shared" si="4"/>
        <v>67.73</v>
      </c>
      <c r="Q42" s="1558">
        <v>23975.986000000001</v>
      </c>
      <c r="R42" s="3108">
        <v>11190.281999999999</v>
      </c>
      <c r="S42" s="1559">
        <v>10060.668</v>
      </c>
      <c r="T42" s="3108">
        <v>1129.614</v>
      </c>
      <c r="U42" s="3109">
        <v>1214.509</v>
      </c>
    </row>
    <row r="43" spans="1:21">
      <c r="A43" s="1467">
        <v>2006.4</v>
      </c>
      <c r="B43" s="1560">
        <v>1232.319</v>
      </c>
      <c r="C43" s="3108">
        <v>565.99099999999999</v>
      </c>
      <c r="D43" s="1559">
        <v>513.31700000000001</v>
      </c>
      <c r="E43" s="3108">
        <v>52.673999999999999</v>
      </c>
      <c r="F43" s="1561">
        <v>44.435000000000002</v>
      </c>
      <c r="G43" s="1558">
        <v>487.29399999999998</v>
      </c>
      <c r="H43" s="3108">
        <v>206.38900000000001</v>
      </c>
      <c r="I43" s="1559">
        <v>188.36099999999999</v>
      </c>
      <c r="J43" s="3108">
        <v>18.027999999999999</v>
      </c>
      <c r="K43" s="1559">
        <v>19.187999999999999</v>
      </c>
      <c r="L43" s="1461">
        <f t="shared" si="5"/>
        <v>1719.6129999999998</v>
      </c>
      <c r="M43" s="3107">
        <f t="shared" si="6"/>
        <v>772.38</v>
      </c>
      <c r="N43" s="1462">
        <f t="shared" si="7"/>
        <v>701.678</v>
      </c>
      <c r="O43" s="3107">
        <f t="shared" si="8"/>
        <v>70.701999999999998</v>
      </c>
      <c r="P43" s="1462">
        <f t="shared" si="4"/>
        <v>63.623000000000005</v>
      </c>
      <c r="Q43" s="1558">
        <v>24039.305</v>
      </c>
      <c r="R43" s="3108">
        <v>11142.567999999999</v>
      </c>
      <c r="S43" s="1559">
        <v>10181.592000000001</v>
      </c>
      <c r="T43" s="3108">
        <v>960.976</v>
      </c>
      <c r="U43" s="3109">
        <v>1196.875</v>
      </c>
    </row>
    <row r="44" spans="1:21">
      <c r="A44" s="1467">
        <v>2007.1</v>
      </c>
      <c r="B44" s="1560">
        <v>1234.31</v>
      </c>
      <c r="C44" s="3108">
        <v>565.71500000000003</v>
      </c>
      <c r="D44" s="1559">
        <v>508.49099999999999</v>
      </c>
      <c r="E44" s="3108">
        <v>57.223999999999997</v>
      </c>
      <c r="F44" s="1561">
        <v>38.841000000000001</v>
      </c>
      <c r="G44" s="1558">
        <v>488.62200000000001</v>
      </c>
      <c r="H44" s="3108">
        <v>195.79400000000001</v>
      </c>
      <c r="I44" s="1559">
        <v>179.02199999999999</v>
      </c>
      <c r="J44" s="3108">
        <v>16.771999999999998</v>
      </c>
      <c r="K44" s="1559">
        <v>19.367999999999999</v>
      </c>
      <c r="L44" s="1461">
        <f t="shared" si="5"/>
        <v>1722.932</v>
      </c>
      <c r="M44" s="3107">
        <f t="shared" si="6"/>
        <v>761.50900000000001</v>
      </c>
      <c r="N44" s="1462">
        <f t="shared" si="7"/>
        <v>687.51299999999992</v>
      </c>
      <c r="O44" s="3107">
        <f t="shared" si="8"/>
        <v>73.995999999999995</v>
      </c>
      <c r="P44" s="1462">
        <f t="shared" si="4"/>
        <v>58.209000000000003</v>
      </c>
      <c r="Q44" s="1558">
        <v>24098.608</v>
      </c>
      <c r="R44" s="3108">
        <v>11208.395</v>
      </c>
      <c r="S44" s="1559">
        <v>10122.376</v>
      </c>
      <c r="T44" s="3108">
        <v>1086.019</v>
      </c>
      <c r="U44" s="3109">
        <v>1039.183</v>
      </c>
    </row>
    <row r="45" spans="1:21">
      <c r="A45" s="1467">
        <v>2007.2</v>
      </c>
      <c r="B45" s="1560">
        <v>1236.222</v>
      </c>
      <c r="C45" s="3108">
        <v>569.60599999999999</v>
      </c>
      <c r="D45" s="1559">
        <v>509.476</v>
      </c>
      <c r="E45" s="3108">
        <v>60.13</v>
      </c>
      <c r="F45" s="1561">
        <v>31.667999999999999</v>
      </c>
      <c r="G45" s="1558">
        <v>489.86599999999999</v>
      </c>
      <c r="H45" s="3108">
        <v>195.512</v>
      </c>
      <c r="I45" s="1559">
        <v>177.22200000000001</v>
      </c>
      <c r="J45" s="3108">
        <v>18.29</v>
      </c>
      <c r="K45" s="1559">
        <v>18.411999999999999</v>
      </c>
      <c r="L45" s="1461">
        <f t="shared" si="5"/>
        <v>1726.088</v>
      </c>
      <c r="M45" s="3107">
        <f t="shared" si="6"/>
        <v>765.11799999999994</v>
      </c>
      <c r="N45" s="1462">
        <f t="shared" si="7"/>
        <v>686.69799999999998</v>
      </c>
      <c r="O45" s="3107">
        <f t="shared" si="8"/>
        <v>78.42</v>
      </c>
      <c r="P45" s="1462">
        <f t="shared" si="4"/>
        <v>50.08</v>
      </c>
      <c r="Q45" s="1558">
        <v>24156.21</v>
      </c>
      <c r="R45" s="3108">
        <v>11188.709000000001</v>
      </c>
      <c r="S45" s="1559">
        <v>10261.413</v>
      </c>
      <c r="T45" s="3108">
        <v>927.29600000000005</v>
      </c>
      <c r="U45" s="3109">
        <v>1118.9970000000001</v>
      </c>
    </row>
    <row r="46" spans="1:21">
      <c r="A46" s="1467">
        <v>2007.3</v>
      </c>
      <c r="B46" s="1560">
        <v>1238</v>
      </c>
      <c r="C46" s="3108">
        <v>579</v>
      </c>
      <c r="D46" s="1559">
        <v>519</v>
      </c>
      <c r="E46" s="3108">
        <v>60</v>
      </c>
      <c r="F46" s="1561">
        <v>42</v>
      </c>
      <c r="G46" s="1558">
        <v>491</v>
      </c>
      <c r="H46" s="3108">
        <v>196</v>
      </c>
      <c r="I46" s="1559">
        <v>181</v>
      </c>
      <c r="J46" s="3108">
        <v>14</v>
      </c>
      <c r="K46" s="1559">
        <v>15</v>
      </c>
      <c r="L46" s="1461">
        <f t="shared" si="5"/>
        <v>1729</v>
      </c>
      <c r="M46" s="3107">
        <f t="shared" si="6"/>
        <v>775</v>
      </c>
      <c r="N46" s="1462">
        <f t="shared" si="7"/>
        <v>700</v>
      </c>
      <c r="O46" s="3107">
        <f t="shared" si="8"/>
        <v>74</v>
      </c>
      <c r="P46" s="1462">
        <f t="shared" si="4"/>
        <v>57</v>
      </c>
      <c r="Q46" s="1558">
        <v>24215.391</v>
      </c>
      <c r="R46" s="3108">
        <v>11121.829914</v>
      </c>
      <c r="S46" s="1559">
        <v>10235.548365937</v>
      </c>
      <c r="T46" s="3108">
        <v>886.28154806299972</v>
      </c>
      <c r="U46" s="3109">
        <v>1063.1980000000001</v>
      </c>
    </row>
    <row r="47" spans="1:21">
      <c r="A47" s="1467">
        <v>2007.4</v>
      </c>
      <c r="B47" s="1560">
        <v>1240.396</v>
      </c>
      <c r="C47" s="3108">
        <v>576.53300000000002</v>
      </c>
      <c r="D47" s="1559">
        <v>525.71400000000006</v>
      </c>
      <c r="E47" s="3108">
        <v>50.819000000000003</v>
      </c>
      <c r="F47" s="1561">
        <v>41.460999999999999</v>
      </c>
      <c r="G47" s="1558">
        <v>492.43799999999999</v>
      </c>
      <c r="H47" s="3108">
        <v>204.411</v>
      </c>
      <c r="I47" s="1559">
        <v>185.77</v>
      </c>
      <c r="J47" s="3108">
        <v>18.640999999999998</v>
      </c>
      <c r="K47" s="1559">
        <v>17.736999999999998</v>
      </c>
      <c r="L47" s="1461">
        <f t="shared" si="5"/>
        <v>1732.8339999999998</v>
      </c>
      <c r="M47" s="3107">
        <f t="shared" si="6"/>
        <v>780.94399999999996</v>
      </c>
      <c r="N47" s="1462">
        <f t="shared" si="7"/>
        <v>711.48400000000004</v>
      </c>
      <c r="O47" s="3107">
        <f t="shared" si="8"/>
        <v>69.460000000000008</v>
      </c>
      <c r="P47" s="1462">
        <f t="shared" si="4"/>
        <v>59.197999999999993</v>
      </c>
      <c r="Q47" s="1558">
        <v>24274.795999999998</v>
      </c>
      <c r="R47" s="3108">
        <v>11058.951999999999</v>
      </c>
      <c r="S47" s="1559">
        <v>10227.046</v>
      </c>
      <c r="T47" s="3108">
        <v>831.90599999999995</v>
      </c>
      <c r="U47" s="3109">
        <v>1007.399</v>
      </c>
    </row>
    <row r="48" spans="1:21">
      <c r="A48" s="1467">
        <f t="shared" ref="A48:A111" si="9">A44+1</f>
        <v>2008.1</v>
      </c>
      <c r="B48" s="1558">
        <v>1242.415</v>
      </c>
      <c r="C48" s="3108">
        <v>573.91999999999996</v>
      </c>
      <c r="D48" s="1559">
        <v>529.1</v>
      </c>
      <c r="E48" s="3108">
        <v>44.82</v>
      </c>
      <c r="F48" s="1559">
        <v>38.107999999999997</v>
      </c>
      <c r="G48" s="1558">
        <v>493.80200000000002</v>
      </c>
      <c r="H48" s="3108">
        <v>217.16200000000001</v>
      </c>
      <c r="I48" s="1559">
        <v>197.03</v>
      </c>
      <c r="J48" s="3108">
        <v>20.132000000000001</v>
      </c>
      <c r="K48" s="1559">
        <v>25.934000000000001</v>
      </c>
      <c r="L48" s="1461">
        <f t="shared" si="5"/>
        <v>1736.2170000000001</v>
      </c>
      <c r="M48" s="3107">
        <f t="shared" si="6"/>
        <v>791.08199999999999</v>
      </c>
      <c r="N48" s="1462">
        <f t="shared" si="7"/>
        <v>726.13</v>
      </c>
      <c r="O48" s="3107">
        <f t="shared" si="8"/>
        <v>64.951999999999998</v>
      </c>
      <c r="P48" s="1462">
        <f t="shared" si="4"/>
        <v>64.042000000000002</v>
      </c>
      <c r="Q48" s="1558">
        <v>24334.428</v>
      </c>
      <c r="R48" s="3108">
        <v>11132.002</v>
      </c>
      <c r="S48" s="1559">
        <v>10206.869000000001</v>
      </c>
      <c r="T48" s="3108">
        <v>925.13300000000004</v>
      </c>
      <c r="U48" s="3109">
        <v>920.09100000000001</v>
      </c>
    </row>
    <row r="49" spans="1:21">
      <c r="A49" s="1467">
        <f t="shared" si="9"/>
        <v>2008.2</v>
      </c>
      <c r="B49" s="1558">
        <v>1244.3879999999999</v>
      </c>
      <c r="C49" s="3108">
        <v>593.20399999999995</v>
      </c>
      <c r="D49" s="1559">
        <v>537.54600000000005</v>
      </c>
      <c r="E49" s="3108">
        <v>55.658000000000001</v>
      </c>
      <c r="F49" s="1559">
        <v>44.78</v>
      </c>
      <c r="G49" s="1558">
        <v>495.05099999999999</v>
      </c>
      <c r="H49" s="3108">
        <v>211.691</v>
      </c>
      <c r="I49" s="1559">
        <v>184.39500000000001</v>
      </c>
      <c r="J49" s="3108">
        <v>27.295999999999999</v>
      </c>
      <c r="K49" s="1559">
        <v>23.646999999999998</v>
      </c>
      <c r="L49" s="1461">
        <f t="shared" si="5"/>
        <v>1739.4389999999999</v>
      </c>
      <c r="M49" s="3107">
        <f t="shared" si="6"/>
        <v>804.89499999999998</v>
      </c>
      <c r="N49" s="1462">
        <f t="shared" si="7"/>
        <v>721.94100000000003</v>
      </c>
      <c r="O49" s="3107">
        <f t="shared" si="8"/>
        <v>82.954000000000008</v>
      </c>
      <c r="P49" s="1462">
        <f t="shared" si="4"/>
        <v>68.426999999999992</v>
      </c>
      <c r="Q49" s="1558">
        <v>24391.973000000002</v>
      </c>
      <c r="R49" s="3108">
        <v>11170.459000000001</v>
      </c>
      <c r="S49" s="1559">
        <v>10281.954</v>
      </c>
      <c r="T49" s="3108">
        <v>888.505</v>
      </c>
      <c r="U49" s="3109">
        <v>967.96900000000005</v>
      </c>
    </row>
    <row r="50" spans="1:21">
      <c r="A50" s="1467">
        <f t="shared" si="9"/>
        <v>2008.3</v>
      </c>
      <c r="B50" s="1558">
        <v>1246.386</v>
      </c>
      <c r="C50" s="3108">
        <v>575.75400000000002</v>
      </c>
      <c r="D50" s="1559">
        <v>521.88499999999999</v>
      </c>
      <c r="E50" s="3108">
        <v>53.869</v>
      </c>
      <c r="F50" s="1559">
        <v>45.902000000000001</v>
      </c>
      <c r="G50" s="1558">
        <v>496.38799999999998</v>
      </c>
      <c r="H50" s="3108">
        <v>210.52099999999999</v>
      </c>
      <c r="I50" s="1559">
        <v>185.518</v>
      </c>
      <c r="J50" s="3108">
        <v>25.003</v>
      </c>
      <c r="K50" s="1559">
        <v>23.841000000000001</v>
      </c>
      <c r="L50" s="1461">
        <f t="shared" si="5"/>
        <v>1742.7739999999999</v>
      </c>
      <c r="M50" s="3107">
        <f t="shared" si="6"/>
        <v>786.27499999999998</v>
      </c>
      <c r="N50" s="1462">
        <f t="shared" si="7"/>
        <v>707.40300000000002</v>
      </c>
      <c r="O50" s="3107">
        <f t="shared" si="8"/>
        <v>78.872</v>
      </c>
      <c r="P50" s="1462">
        <f t="shared" si="4"/>
        <v>69.742999999999995</v>
      </c>
      <c r="Q50" s="1558">
        <v>24451.330999999998</v>
      </c>
      <c r="R50" s="3108">
        <v>11126.999</v>
      </c>
      <c r="S50" s="1559">
        <v>10261.884</v>
      </c>
      <c r="T50" s="3108">
        <v>865.11500000000001</v>
      </c>
      <c r="U50" s="3109">
        <v>1044.241</v>
      </c>
    </row>
    <row r="51" spans="1:21">
      <c r="A51" s="1467">
        <f t="shared" si="9"/>
        <v>2008.4</v>
      </c>
      <c r="B51" s="1558">
        <v>1248.3989999999999</v>
      </c>
      <c r="C51" s="3108">
        <v>573.59400000000005</v>
      </c>
      <c r="D51" s="1559">
        <v>530.56299999999999</v>
      </c>
      <c r="E51" s="3108">
        <v>43.030999999999999</v>
      </c>
      <c r="F51" s="1559">
        <v>48.298000000000002</v>
      </c>
      <c r="G51" s="1558">
        <v>497.67</v>
      </c>
      <c r="H51" s="3108">
        <v>215.44399999999999</v>
      </c>
      <c r="I51" s="1559">
        <v>195.68700000000001</v>
      </c>
      <c r="J51" s="3108">
        <v>19.757000000000001</v>
      </c>
      <c r="K51" s="1559">
        <v>17.128</v>
      </c>
      <c r="L51" s="1461">
        <f t="shared" si="5"/>
        <v>1746.069</v>
      </c>
      <c r="M51" s="3107">
        <f t="shared" si="6"/>
        <v>789.03800000000001</v>
      </c>
      <c r="N51" s="1462">
        <f t="shared" si="7"/>
        <v>726.25</v>
      </c>
      <c r="O51" s="3107">
        <f t="shared" si="8"/>
        <v>62.787999999999997</v>
      </c>
      <c r="P51" s="1462">
        <f t="shared" si="4"/>
        <v>65.426000000000002</v>
      </c>
      <c r="Q51" s="1558">
        <v>24510.898000000001</v>
      </c>
      <c r="R51" s="3108">
        <v>11299.556</v>
      </c>
      <c r="S51" s="1559">
        <v>10477.103999999999</v>
      </c>
      <c r="T51" s="3108">
        <v>822.452</v>
      </c>
      <c r="U51" s="3109">
        <v>1031.1569999999999</v>
      </c>
    </row>
    <row r="52" spans="1:21" s="1469" customFormat="1">
      <c r="A52" s="1467">
        <f t="shared" si="9"/>
        <v>2009.1</v>
      </c>
      <c r="B52" s="1558">
        <v>1250.4559999999999</v>
      </c>
      <c r="C52" s="3108">
        <v>593.22699999999998</v>
      </c>
      <c r="D52" s="1559">
        <v>530.62199999999996</v>
      </c>
      <c r="E52" s="3108">
        <v>62.604999999999997</v>
      </c>
      <c r="F52" s="1559">
        <v>49.344000000000001</v>
      </c>
      <c r="G52" s="1558">
        <v>499.00099999999998</v>
      </c>
      <c r="H52" s="3108">
        <v>213.31299999999999</v>
      </c>
      <c r="I52" s="1559">
        <v>187.55600000000001</v>
      </c>
      <c r="J52" s="3108">
        <v>25.757000000000001</v>
      </c>
      <c r="K52" s="1559">
        <v>20.221</v>
      </c>
      <c r="L52" s="1461">
        <f t="shared" si="5"/>
        <v>1749.4569999999999</v>
      </c>
      <c r="M52" s="3107">
        <f t="shared" si="6"/>
        <v>806.54</v>
      </c>
      <c r="N52" s="1462">
        <f t="shared" si="7"/>
        <v>718.178</v>
      </c>
      <c r="O52" s="3107">
        <f t="shared" si="8"/>
        <v>88.361999999999995</v>
      </c>
      <c r="P52" s="1462">
        <f t="shared" si="4"/>
        <v>69.564999999999998</v>
      </c>
      <c r="Q52" s="1558">
        <v>24569.920999999998</v>
      </c>
      <c r="R52" s="3108">
        <v>11417.123</v>
      </c>
      <c r="S52" s="1559">
        <v>10462.531999999999</v>
      </c>
      <c r="T52" s="3108">
        <v>954.59100000000001</v>
      </c>
      <c r="U52" s="3109">
        <v>1032.213</v>
      </c>
    </row>
    <row r="53" spans="1:21" s="1469" customFormat="1">
      <c r="A53" s="1467">
        <f t="shared" si="9"/>
        <v>2009.2</v>
      </c>
      <c r="B53" s="1558">
        <v>1252.4390000000001</v>
      </c>
      <c r="C53" s="3108">
        <v>582.98099999999999</v>
      </c>
      <c r="D53" s="1559">
        <v>521.63499999999999</v>
      </c>
      <c r="E53" s="3108">
        <v>61.345999999999997</v>
      </c>
      <c r="F53" s="1559">
        <v>56.518000000000001</v>
      </c>
      <c r="G53" s="1558">
        <v>500.274</v>
      </c>
      <c r="H53" s="3108">
        <v>214.053</v>
      </c>
      <c r="I53" s="1559">
        <v>189.845</v>
      </c>
      <c r="J53" s="3108">
        <v>24.207999999999998</v>
      </c>
      <c r="K53" s="1559">
        <v>30.623000000000001</v>
      </c>
      <c r="L53" s="1461">
        <f t="shared" si="5"/>
        <v>1752.7130000000002</v>
      </c>
      <c r="M53" s="3107">
        <f t="shared" si="6"/>
        <v>797.03399999999999</v>
      </c>
      <c r="N53" s="1462">
        <f t="shared" si="7"/>
        <v>711.48</v>
      </c>
      <c r="O53" s="3107">
        <f t="shared" si="8"/>
        <v>85.554000000000002</v>
      </c>
      <c r="P53" s="1462">
        <f t="shared" si="4"/>
        <v>87.141000000000005</v>
      </c>
      <c r="Q53" s="1558">
        <v>24627.772000000001</v>
      </c>
      <c r="R53" s="3108">
        <v>11393.267</v>
      </c>
      <c r="S53" s="1559">
        <v>10397.589</v>
      </c>
      <c r="T53" s="3108">
        <v>995.678</v>
      </c>
      <c r="U53" s="3109">
        <v>1197.8040000000001</v>
      </c>
    </row>
    <row r="54" spans="1:21" s="1469" customFormat="1">
      <c r="A54" s="1467">
        <f t="shared" si="9"/>
        <v>2009.3</v>
      </c>
      <c r="B54" s="1558">
        <v>1254.423</v>
      </c>
      <c r="C54" s="3108">
        <v>578.59100000000001</v>
      </c>
      <c r="D54" s="1559">
        <v>518.98900000000003</v>
      </c>
      <c r="E54" s="3108">
        <v>59.601999999999997</v>
      </c>
      <c r="F54" s="1559">
        <v>52.448</v>
      </c>
      <c r="G54" s="1558">
        <v>501.56700000000001</v>
      </c>
      <c r="H54" s="3108">
        <v>217.27500000000001</v>
      </c>
      <c r="I54" s="1559">
        <v>188.93299999999999</v>
      </c>
      <c r="J54" s="3108">
        <v>28.341999999999999</v>
      </c>
      <c r="K54" s="1559">
        <v>28.93</v>
      </c>
      <c r="L54" s="1461">
        <f t="shared" si="5"/>
        <v>1755.99</v>
      </c>
      <c r="M54" s="3107">
        <f t="shared" si="6"/>
        <v>795.86599999999999</v>
      </c>
      <c r="N54" s="1462">
        <f t="shared" si="7"/>
        <v>707.92200000000003</v>
      </c>
      <c r="O54" s="3107">
        <f t="shared" si="8"/>
        <v>87.943999999999988</v>
      </c>
      <c r="P54" s="1462">
        <f t="shared" si="4"/>
        <v>81.378</v>
      </c>
      <c r="Q54" s="1558">
        <v>24686.553</v>
      </c>
      <c r="R54" s="3108">
        <v>11371.245000000001</v>
      </c>
      <c r="S54" s="1559">
        <v>10337.879999999999</v>
      </c>
      <c r="T54" s="3108">
        <v>1033.365</v>
      </c>
      <c r="U54" s="3109">
        <v>1202.675</v>
      </c>
    </row>
    <row r="55" spans="1:21" s="1469" customFormat="1">
      <c r="A55" s="1467">
        <f t="shared" si="9"/>
        <v>2009.4</v>
      </c>
      <c r="B55" s="1558">
        <v>1256.42</v>
      </c>
      <c r="C55" s="3108">
        <v>582.40800000000002</v>
      </c>
      <c r="D55" s="1559">
        <v>520.53099999999995</v>
      </c>
      <c r="E55" s="3108">
        <v>61.877000000000002</v>
      </c>
      <c r="F55" s="1559">
        <v>52.872</v>
      </c>
      <c r="G55" s="1558">
        <v>502.91899999999998</v>
      </c>
      <c r="H55" s="3108">
        <v>222.12</v>
      </c>
      <c r="I55" s="1559">
        <v>205.36199999999999</v>
      </c>
      <c r="J55" s="3108">
        <v>16.757999999999999</v>
      </c>
      <c r="K55" s="1559">
        <v>32.588999999999999</v>
      </c>
      <c r="L55" s="1461">
        <f t="shared" si="5"/>
        <v>1759.3389999999999</v>
      </c>
      <c r="M55" s="3107">
        <f t="shared" si="6"/>
        <v>804.52800000000002</v>
      </c>
      <c r="N55" s="1462">
        <f t="shared" si="7"/>
        <v>725.89299999999992</v>
      </c>
      <c r="O55" s="3107">
        <f t="shared" si="8"/>
        <v>78.635000000000005</v>
      </c>
      <c r="P55" s="1462">
        <f t="shared" si="4"/>
        <v>85.460999999999999</v>
      </c>
      <c r="Q55" s="1558">
        <v>24745.342000000001</v>
      </c>
      <c r="R55" s="3108">
        <v>11449.41</v>
      </c>
      <c r="S55" s="1559">
        <v>10490.844999999999</v>
      </c>
      <c r="T55" s="3108">
        <v>958.56500000000005</v>
      </c>
      <c r="U55" s="3109">
        <v>1178.711</v>
      </c>
    </row>
    <row r="56" spans="1:21" s="1469" customFormat="1">
      <c r="A56" s="1467">
        <f t="shared" si="9"/>
        <v>2010.1</v>
      </c>
      <c r="B56" s="1558">
        <v>1258.3969999999999</v>
      </c>
      <c r="C56" s="3108">
        <v>606.30799999999999</v>
      </c>
      <c r="D56" s="1559">
        <v>540.74699999999996</v>
      </c>
      <c r="E56" s="3108">
        <v>65.561000000000007</v>
      </c>
      <c r="F56" s="1559">
        <v>67.572000000000003</v>
      </c>
      <c r="G56" s="1558">
        <v>504.12700000000001</v>
      </c>
      <c r="H56" s="3108">
        <v>228.91300000000001</v>
      </c>
      <c r="I56" s="1559">
        <v>206.86</v>
      </c>
      <c r="J56" s="3108">
        <v>22.053000000000001</v>
      </c>
      <c r="K56" s="1559">
        <v>25.768999999999998</v>
      </c>
      <c r="L56" s="1461">
        <f t="shared" si="5"/>
        <v>1762.5239999999999</v>
      </c>
      <c r="M56" s="3107">
        <f t="shared" si="6"/>
        <v>835.221</v>
      </c>
      <c r="N56" s="1462">
        <f t="shared" si="7"/>
        <v>747.60699999999997</v>
      </c>
      <c r="O56" s="3107">
        <f t="shared" si="8"/>
        <v>87.614000000000004</v>
      </c>
      <c r="P56" s="1462">
        <f t="shared" si="4"/>
        <v>93.341000000000008</v>
      </c>
      <c r="Q56" s="1558">
        <v>24803.755000000001</v>
      </c>
      <c r="R56" s="3108">
        <v>11410.615</v>
      </c>
      <c r="S56" s="1559">
        <v>10466.933999999999</v>
      </c>
      <c r="T56" s="3108">
        <v>943.68100000000004</v>
      </c>
      <c r="U56" s="3109">
        <v>1054.085</v>
      </c>
    </row>
    <row r="57" spans="1:21" s="1469" customFormat="1">
      <c r="A57" s="1467">
        <f t="shared" si="9"/>
        <v>2010.2</v>
      </c>
      <c r="B57" s="1558">
        <v>1260.4159999999999</v>
      </c>
      <c r="C57" s="3108">
        <v>589.74400000000003</v>
      </c>
      <c r="D57" s="1559">
        <v>536.60400000000004</v>
      </c>
      <c r="E57" s="3108">
        <v>53.14</v>
      </c>
      <c r="F57" s="1559">
        <v>56.137</v>
      </c>
      <c r="G57" s="1558">
        <v>505.41899999999998</v>
      </c>
      <c r="H57" s="3108">
        <v>215.852</v>
      </c>
      <c r="I57" s="1559">
        <v>191.18100000000001</v>
      </c>
      <c r="J57" s="3108">
        <v>24.670999999999999</v>
      </c>
      <c r="K57" s="1559">
        <v>24.315999999999999</v>
      </c>
      <c r="L57" s="1461">
        <f t="shared" si="5"/>
        <v>1765.835</v>
      </c>
      <c r="M57" s="3107">
        <f t="shared" si="6"/>
        <v>805.596</v>
      </c>
      <c r="N57" s="1462">
        <f t="shared" si="7"/>
        <v>727.78500000000008</v>
      </c>
      <c r="O57" s="3107">
        <f t="shared" si="8"/>
        <v>77.811000000000007</v>
      </c>
      <c r="P57" s="1462">
        <f t="shared" si="4"/>
        <v>80.453000000000003</v>
      </c>
      <c r="Q57" s="1558">
        <v>24860.277999999998</v>
      </c>
      <c r="R57" s="3108">
        <v>11442.3</v>
      </c>
      <c r="S57" s="1559">
        <v>10544.008</v>
      </c>
      <c r="T57" s="3108">
        <v>898.29200000000003</v>
      </c>
      <c r="U57" s="3109">
        <v>1130.836</v>
      </c>
    </row>
    <row r="58" spans="1:21" s="1469" customFormat="1">
      <c r="A58" s="1467">
        <f t="shared" si="9"/>
        <v>2010.3</v>
      </c>
      <c r="B58" s="1558">
        <v>1262.345</v>
      </c>
      <c r="C58" s="3108">
        <v>580.19299999999998</v>
      </c>
      <c r="D58" s="1559">
        <v>533.779</v>
      </c>
      <c r="E58" s="3108">
        <v>46.414000000000001</v>
      </c>
      <c r="F58" s="1559">
        <v>49.146000000000001</v>
      </c>
      <c r="G58" s="1558">
        <v>506.65699999999998</v>
      </c>
      <c r="H58" s="3108">
        <v>216.76400000000001</v>
      </c>
      <c r="I58" s="1559">
        <v>202.74199999999999</v>
      </c>
      <c r="J58" s="3108">
        <v>14.022</v>
      </c>
      <c r="K58" s="1559">
        <v>26.765999999999998</v>
      </c>
      <c r="L58" s="1461">
        <f t="shared" si="5"/>
        <v>1769.002</v>
      </c>
      <c r="M58" s="3107">
        <f t="shared" si="6"/>
        <v>796.95699999999999</v>
      </c>
      <c r="N58" s="1462">
        <f t="shared" si="7"/>
        <v>736.52099999999996</v>
      </c>
      <c r="O58" s="3107">
        <f t="shared" si="8"/>
        <v>60.436</v>
      </c>
      <c r="P58" s="1462">
        <f t="shared" si="4"/>
        <v>75.912000000000006</v>
      </c>
      <c r="Q58" s="1558">
        <v>24919.083999999999</v>
      </c>
      <c r="R58" s="3108">
        <v>11435.732</v>
      </c>
      <c r="S58" s="1559">
        <v>10583.602999999999</v>
      </c>
      <c r="T58" s="3108">
        <v>852.12900000000002</v>
      </c>
      <c r="U58" s="3109">
        <v>1007.54</v>
      </c>
    </row>
    <row r="59" spans="1:21" s="1469" customFormat="1">
      <c r="A59" s="1467">
        <f t="shared" si="9"/>
        <v>2010.4</v>
      </c>
      <c r="B59" s="1558">
        <v>1264.3209999999999</v>
      </c>
      <c r="C59" s="3108">
        <v>580.09900000000005</v>
      </c>
      <c r="D59" s="1559">
        <v>535.12599999999998</v>
      </c>
      <c r="E59" s="3108">
        <v>44.972999999999999</v>
      </c>
      <c r="F59" s="1559">
        <v>56.165999999999997</v>
      </c>
      <c r="G59" s="1558">
        <v>507.90800000000002</v>
      </c>
      <c r="H59" s="3108">
        <v>220.85400000000001</v>
      </c>
      <c r="I59" s="1559">
        <v>201.517</v>
      </c>
      <c r="J59" s="3108">
        <v>19.337</v>
      </c>
      <c r="K59" s="1559">
        <v>27.812999999999999</v>
      </c>
      <c r="L59" s="1461">
        <f t="shared" si="5"/>
        <v>1772.2289999999998</v>
      </c>
      <c r="M59" s="3107">
        <f t="shared" si="6"/>
        <v>800.95300000000009</v>
      </c>
      <c r="N59" s="1462">
        <f t="shared" si="7"/>
        <v>736.64300000000003</v>
      </c>
      <c r="O59" s="3107">
        <f t="shared" si="8"/>
        <v>64.31</v>
      </c>
      <c r="P59" s="1462">
        <f t="shared" si="4"/>
        <v>83.978999999999999</v>
      </c>
      <c r="Q59" s="1558">
        <v>24977.17</v>
      </c>
      <c r="R59" s="3108">
        <v>11425.652</v>
      </c>
      <c r="S59" s="1559">
        <v>10592.712</v>
      </c>
      <c r="T59" s="3108">
        <v>832.94</v>
      </c>
      <c r="U59" s="3109">
        <v>955.072</v>
      </c>
    </row>
    <row r="60" spans="1:21" s="1469" customFormat="1">
      <c r="A60" s="1467">
        <f t="shared" si="9"/>
        <v>2011.1</v>
      </c>
      <c r="B60" s="1558">
        <v>1266.3800000000001</v>
      </c>
      <c r="C60" s="3108">
        <v>586.94399999999996</v>
      </c>
      <c r="D60" s="1559">
        <v>545.88400000000001</v>
      </c>
      <c r="E60" s="3108">
        <v>41.06</v>
      </c>
      <c r="F60" s="1559">
        <v>52.398000000000003</v>
      </c>
      <c r="G60" s="1558">
        <v>509.233</v>
      </c>
      <c r="H60" s="3108">
        <v>219.49199999999999</v>
      </c>
      <c r="I60" s="1559">
        <v>204.32300000000001</v>
      </c>
      <c r="J60" s="3108">
        <v>15.169</v>
      </c>
      <c r="K60" s="1559">
        <v>13.228999999999999</v>
      </c>
      <c r="L60" s="1461">
        <f t="shared" si="5"/>
        <v>1775.6130000000001</v>
      </c>
      <c r="M60" s="3107">
        <f t="shared" si="6"/>
        <v>806.43599999999992</v>
      </c>
      <c r="N60" s="1462">
        <f t="shared" si="7"/>
        <v>750.20699999999999</v>
      </c>
      <c r="O60" s="3107">
        <f t="shared" si="8"/>
        <v>56.228999999999999</v>
      </c>
      <c r="P60" s="1462">
        <f t="shared" si="4"/>
        <v>65.62700000000001</v>
      </c>
      <c r="Q60" s="1558">
        <v>25035.201000000001</v>
      </c>
      <c r="R60" s="3108">
        <v>11440.737999999999</v>
      </c>
      <c r="S60" s="1559">
        <v>10595.706</v>
      </c>
      <c r="T60" s="3108">
        <v>845.03200000000004</v>
      </c>
      <c r="U60" s="3109">
        <v>940.48900000000003</v>
      </c>
    </row>
    <row r="61" spans="1:21" s="1469" customFormat="1">
      <c r="A61" s="1467">
        <f t="shared" si="9"/>
        <v>2011.2</v>
      </c>
      <c r="B61" s="1558">
        <v>1268.2940000000001</v>
      </c>
      <c r="C61" s="3108">
        <v>595.86599999999999</v>
      </c>
      <c r="D61" s="1559">
        <v>551.67100000000005</v>
      </c>
      <c r="E61" s="3108">
        <v>44.195</v>
      </c>
      <c r="F61" s="1559">
        <v>40.569000000000003</v>
      </c>
      <c r="G61" s="1558">
        <v>510.47800000000001</v>
      </c>
      <c r="H61" s="3108">
        <v>226.89400000000001</v>
      </c>
      <c r="I61" s="1559">
        <v>208</v>
      </c>
      <c r="J61" s="3108">
        <v>19</v>
      </c>
      <c r="K61" s="1559">
        <v>20.744</v>
      </c>
      <c r="L61" s="1461">
        <f t="shared" si="5"/>
        <v>1778.7720000000002</v>
      </c>
      <c r="M61" s="3107">
        <f t="shared" si="6"/>
        <v>822.76</v>
      </c>
      <c r="N61" s="1462">
        <f t="shared" si="7"/>
        <v>759.67100000000005</v>
      </c>
      <c r="O61" s="3107">
        <f t="shared" si="8"/>
        <v>63.195</v>
      </c>
      <c r="P61" s="1462">
        <f t="shared" si="4"/>
        <v>61.313000000000002</v>
      </c>
      <c r="Q61" s="1558">
        <v>25091.832999999999</v>
      </c>
      <c r="R61" s="3108">
        <v>11681.916999999999</v>
      </c>
      <c r="S61" s="1559">
        <v>10823.455</v>
      </c>
      <c r="T61" s="3108">
        <v>858.46199999999999</v>
      </c>
      <c r="U61" s="3109">
        <v>981.44799999999998</v>
      </c>
    </row>
    <row r="62" spans="1:21" s="1469" customFormat="1">
      <c r="A62" s="1467">
        <f t="shared" si="9"/>
        <v>2011.3</v>
      </c>
      <c r="B62" s="1558">
        <v>1270.2349999999999</v>
      </c>
      <c r="C62" s="3108">
        <v>589.09100000000001</v>
      </c>
      <c r="D62" s="1559">
        <v>542.93299999999999</v>
      </c>
      <c r="E62" s="3108">
        <v>46.158000000000001</v>
      </c>
      <c r="F62" s="1559">
        <v>47.941000000000003</v>
      </c>
      <c r="G62" s="1558">
        <v>511.72899999999998</v>
      </c>
      <c r="H62" s="3108">
        <v>221.43899999999999</v>
      </c>
      <c r="I62" s="1559">
        <v>200.51300000000001</v>
      </c>
      <c r="J62" s="3108">
        <v>20.925999999999998</v>
      </c>
      <c r="K62" s="1559">
        <v>15.422000000000001</v>
      </c>
      <c r="L62" s="1461">
        <f t="shared" si="5"/>
        <v>1781.9639999999999</v>
      </c>
      <c r="M62" s="3107">
        <f t="shared" si="6"/>
        <v>810.53</v>
      </c>
      <c r="N62" s="1462">
        <f t="shared" si="7"/>
        <v>743.44600000000003</v>
      </c>
      <c r="O62" s="3107">
        <f t="shared" si="8"/>
        <v>67.084000000000003</v>
      </c>
      <c r="P62" s="1462">
        <f t="shared" ref="P62:P93" si="10">F62+K62</f>
        <v>63.363</v>
      </c>
      <c r="Q62" s="1558">
        <v>25149.79</v>
      </c>
      <c r="R62" s="3108">
        <v>11730.245999999999</v>
      </c>
      <c r="S62" s="1559">
        <v>10882.434999999999</v>
      </c>
      <c r="T62" s="3108">
        <v>847.81100000000004</v>
      </c>
      <c r="U62" s="3109">
        <v>1032.0419999999999</v>
      </c>
    </row>
    <row r="63" spans="1:21" s="1469" customFormat="1">
      <c r="A63" s="1467">
        <f t="shared" si="9"/>
        <v>2011.4</v>
      </c>
      <c r="B63" s="1558">
        <v>1272.279</v>
      </c>
      <c r="C63" s="3108">
        <v>598.71400000000006</v>
      </c>
      <c r="D63" s="1559">
        <v>550.35400000000004</v>
      </c>
      <c r="E63" s="3108">
        <v>48.36</v>
      </c>
      <c r="F63" s="1559">
        <v>34.316000000000003</v>
      </c>
      <c r="G63" s="1558">
        <v>513.03099999999995</v>
      </c>
      <c r="H63" s="3108">
        <v>216.84399999999999</v>
      </c>
      <c r="I63" s="1559">
        <v>204.43899999999999</v>
      </c>
      <c r="J63" s="3108">
        <v>12.404999999999999</v>
      </c>
      <c r="K63" s="1559">
        <v>16.718</v>
      </c>
      <c r="L63" s="1461">
        <f t="shared" si="5"/>
        <v>1785.31</v>
      </c>
      <c r="M63" s="3107">
        <f t="shared" si="6"/>
        <v>815.55799999999999</v>
      </c>
      <c r="N63" s="1462">
        <f t="shared" si="7"/>
        <v>754.79300000000001</v>
      </c>
      <c r="O63" s="3107">
        <f t="shared" si="8"/>
        <v>60.765000000000001</v>
      </c>
      <c r="P63" s="1462">
        <f t="shared" si="10"/>
        <v>51.034000000000006</v>
      </c>
      <c r="Q63" s="1558">
        <v>25207.642</v>
      </c>
      <c r="R63" s="3108">
        <v>11605.231</v>
      </c>
      <c r="S63" s="1559">
        <v>10822.472</v>
      </c>
      <c r="T63" s="3108">
        <v>782.75900000000001</v>
      </c>
      <c r="U63" s="3109">
        <v>993.03800000000001</v>
      </c>
    </row>
    <row r="64" spans="1:21" s="1469" customFormat="1">
      <c r="A64" s="1467">
        <f t="shared" si="9"/>
        <v>2012.1</v>
      </c>
      <c r="B64" s="1558">
        <v>1274.192</v>
      </c>
      <c r="C64" s="3108">
        <v>606.64200000000005</v>
      </c>
      <c r="D64" s="1559">
        <v>547.41499999999996</v>
      </c>
      <c r="E64" s="3108">
        <v>59.226999999999997</v>
      </c>
      <c r="F64" s="1559">
        <v>45.220999999999997</v>
      </c>
      <c r="G64" s="1558">
        <v>514.37699999999995</v>
      </c>
      <c r="H64" s="3108">
        <v>230.97300000000001</v>
      </c>
      <c r="I64" s="1559">
        <v>215.69399999999999</v>
      </c>
      <c r="J64" s="3108">
        <v>15.279</v>
      </c>
      <c r="K64" s="1559">
        <v>20.146999999999998</v>
      </c>
      <c r="L64" s="1461">
        <f t="shared" si="5"/>
        <v>1788.569</v>
      </c>
      <c r="M64" s="3107">
        <f t="shared" si="6"/>
        <v>837.61500000000001</v>
      </c>
      <c r="N64" s="1462">
        <f t="shared" si="7"/>
        <v>763.10899999999992</v>
      </c>
      <c r="O64" s="3107">
        <f t="shared" si="8"/>
        <v>74.506</v>
      </c>
      <c r="P64" s="1462">
        <f t="shared" si="10"/>
        <v>65.367999999999995</v>
      </c>
      <c r="Q64" s="1558">
        <v>25265.772000000001</v>
      </c>
      <c r="R64" s="3108">
        <v>11484.643</v>
      </c>
      <c r="S64" s="1559">
        <v>10664.173000000001</v>
      </c>
      <c r="T64" s="3108">
        <v>820.47</v>
      </c>
      <c r="U64" s="3109">
        <v>852.77599999999995</v>
      </c>
    </row>
    <row r="65" spans="1:21" s="1469" customFormat="1">
      <c r="A65" s="1467">
        <f t="shared" si="9"/>
        <v>2012.2</v>
      </c>
      <c r="B65" s="1558">
        <v>1276.1099999999999</v>
      </c>
      <c r="C65" s="3108">
        <v>605.01400000000001</v>
      </c>
      <c r="D65" s="1559">
        <v>554.79100000000005</v>
      </c>
      <c r="E65" s="3108">
        <v>50.222999999999999</v>
      </c>
      <c r="F65" s="1559">
        <v>42.357999999999997</v>
      </c>
      <c r="G65" s="1558">
        <v>515.50199999999995</v>
      </c>
      <c r="H65" s="3108">
        <v>232.00399999999999</v>
      </c>
      <c r="I65" s="1559">
        <v>214.54599999999999</v>
      </c>
      <c r="J65" s="3108">
        <v>17.457999999999998</v>
      </c>
      <c r="K65" s="1559">
        <v>19.286000000000001</v>
      </c>
      <c r="L65" s="1461">
        <f t="shared" si="5"/>
        <v>1791.6119999999999</v>
      </c>
      <c r="M65" s="3107">
        <f t="shared" si="6"/>
        <v>837.01800000000003</v>
      </c>
      <c r="N65" s="1462">
        <f t="shared" si="7"/>
        <v>769.33699999999999</v>
      </c>
      <c r="O65" s="3107">
        <f t="shared" si="8"/>
        <v>67.680999999999997</v>
      </c>
      <c r="P65" s="1462">
        <f t="shared" si="10"/>
        <v>61.643999999999998</v>
      </c>
      <c r="Q65" s="1558">
        <v>25322.002</v>
      </c>
      <c r="R65" s="3108">
        <v>11674.255999999999</v>
      </c>
      <c r="S65" s="1559">
        <v>10832.084999999999</v>
      </c>
      <c r="T65" s="3108">
        <v>842.17100000000005</v>
      </c>
      <c r="U65" s="3109">
        <v>1095.7080000000001</v>
      </c>
    </row>
    <row r="66" spans="1:21" s="1469" customFormat="1">
      <c r="A66" s="1467">
        <f t="shared" si="9"/>
        <v>2012.3</v>
      </c>
      <c r="B66" s="1558">
        <v>1278.0709999999999</v>
      </c>
      <c r="C66" s="3108">
        <v>585.53399999999999</v>
      </c>
      <c r="D66" s="1559">
        <v>540.38699999999994</v>
      </c>
      <c r="E66" s="3108">
        <v>45.146999999999998</v>
      </c>
      <c r="F66" s="1559">
        <v>55.566000000000003</v>
      </c>
      <c r="G66" s="1558">
        <v>516.85400000000004</v>
      </c>
      <c r="H66" s="3108">
        <v>229.09399999999999</v>
      </c>
      <c r="I66" s="1559">
        <v>211.96199999999999</v>
      </c>
      <c r="J66" s="3108">
        <v>17.132000000000001</v>
      </c>
      <c r="K66" s="1559">
        <v>18.501000000000001</v>
      </c>
      <c r="L66" s="1461">
        <f t="shared" si="5"/>
        <v>1794.925</v>
      </c>
      <c r="M66" s="3107">
        <f t="shared" si="6"/>
        <v>814.62799999999993</v>
      </c>
      <c r="N66" s="1462">
        <f t="shared" si="7"/>
        <v>752.34899999999993</v>
      </c>
      <c r="O66" s="3107">
        <f t="shared" si="8"/>
        <v>62.278999999999996</v>
      </c>
      <c r="P66" s="1462">
        <f t="shared" si="10"/>
        <v>74.067000000000007</v>
      </c>
      <c r="Q66" s="1558">
        <v>25379.821</v>
      </c>
      <c r="R66" s="3108">
        <v>11889.038</v>
      </c>
      <c r="S66" s="1559">
        <v>10982.909</v>
      </c>
      <c r="T66" s="3108">
        <v>906.12900000000002</v>
      </c>
      <c r="U66" s="3109">
        <v>1059.001</v>
      </c>
    </row>
    <row r="67" spans="1:21" s="1469" customFormat="1">
      <c r="A67" s="1467">
        <f t="shared" si="9"/>
        <v>2012.4</v>
      </c>
      <c r="B67" s="1558">
        <v>1280.0899999999999</v>
      </c>
      <c r="C67" s="3108">
        <v>606.89200000000005</v>
      </c>
      <c r="D67" s="1559">
        <v>554.64499999999998</v>
      </c>
      <c r="E67" s="3108">
        <v>52.247</v>
      </c>
      <c r="F67" s="1559">
        <v>46.606999999999999</v>
      </c>
      <c r="G67" s="1558">
        <v>518.09699999999998</v>
      </c>
      <c r="H67" s="3108">
        <v>225.857</v>
      </c>
      <c r="I67" s="1559">
        <v>210.19499999999999</v>
      </c>
      <c r="J67" s="3108">
        <v>15.662000000000001</v>
      </c>
      <c r="K67" s="1559">
        <v>14.885999999999999</v>
      </c>
      <c r="L67" s="1461">
        <f t="shared" si="5"/>
        <v>1798.1869999999999</v>
      </c>
      <c r="M67" s="3107">
        <f t="shared" si="6"/>
        <v>832.74900000000002</v>
      </c>
      <c r="N67" s="1462">
        <f t="shared" si="7"/>
        <v>764.83999999999992</v>
      </c>
      <c r="O67" s="3107">
        <f t="shared" si="8"/>
        <v>67.909000000000006</v>
      </c>
      <c r="P67" s="1462">
        <f t="shared" si="10"/>
        <v>61.492999999999995</v>
      </c>
      <c r="Q67" s="1558">
        <v>25437.011999999999</v>
      </c>
      <c r="R67" s="3108">
        <v>11767.245999999999</v>
      </c>
      <c r="S67" s="1559">
        <v>10958.876</v>
      </c>
      <c r="T67" s="3108">
        <v>808.37</v>
      </c>
      <c r="U67" s="3109">
        <v>1061.367</v>
      </c>
    </row>
    <row r="68" spans="1:21" s="1469" customFormat="1">
      <c r="A68" s="1467">
        <f t="shared" si="9"/>
        <v>2013.1</v>
      </c>
      <c r="B68" s="1558">
        <v>1282.009</v>
      </c>
      <c r="C68" s="3108">
        <v>628.726</v>
      </c>
      <c r="D68" s="1559">
        <v>574.46600000000001</v>
      </c>
      <c r="E68" s="3108">
        <v>54.26</v>
      </c>
      <c r="F68" s="1559">
        <v>46.890999999999998</v>
      </c>
      <c r="G68" s="1558">
        <v>519.36900000000003</v>
      </c>
      <c r="H68" s="3108">
        <v>224.251</v>
      </c>
      <c r="I68" s="1559">
        <v>205.99199999999999</v>
      </c>
      <c r="J68" s="3108">
        <v>18.259</v>
      </c>
      <c r="K68" s="1559">
        <v>14.148</v>
      </c>
      <c r="L68" s="1461">
        <f t="shared" si="5"/>
        <v>1801.3780000000002</v>
      </c>
      <c r="M68" s="3107">
        <f t="shared" si="6"/>
        <v>852.97699999999998</v>
      </c>
      <c r="N68" s="1462">
        <f t="shared" si="7"/>
        <v>780.45799999999997</v>
      </c>
      <c r="O68" s="3107">
        <f t="shared" si="8"/>
        <v>72.519000000000005</v>
      </c>
      <c r="P68" s="1462">
        <f t="shared" si="10"/>
        <v>61.039000000000001</v>
      </c>
      <c r="Q68" s="1558">
        <v>25494.719000000001</v>
      </c>
      <c r="R68" s="3108">
        <v>11673.066000000001</v>
      </c>
      <c r="S68" s="1559">
        <v>10747.939</v>
      </c>
      <c r="T68" s="3108">
        <v>925.12699999999995</v>
      </c>
      <c r="U68" s="3109">
        <v>928.13499999999999</v>
      </c>
    </row>
    <row r="69" spans="1:21" s="1469" customFormat="1">
      <c r="A69" s="1467">
        <f t="shared" si="9"/>
        <v>2013.2</v>
      </c>
      <c r="B69" s="1558">
        <v>1283.9739999999999</v>
      </c>
      <c r="C69" s="3108">
        <v>624.06899999999996</v>
      </c>
      <c r="D69" s="1559">
        <v>572.98699999999997</v>
      </c>
      <c r="E69" s="3108">
        <v>51.082000000000001</v>
      </c>
      <c r="F69" s="1559">
        <v>48.718000000000004</v>
      </c>
      <c r="G69" s="1558">
        <v>520.60199999999998</v>
      </c>
      <c r="H69" s="3108">
        <v>229.59</v>
      </c>
      <c r="I69" s="1559">
        <v>211.95400000000001</v>
      </c>
      <c r="J69" s="3108">
        <v>17.635999999999999</v>
      </c>
      <c r="K69" s="1559">
        <v>13.243</v>
      </c>
      <c r="L69" s="1461">
        <f t="shared" si="5"/>
        <v>1804.576</v>
      </c>
      <c r="M69" s="3107">
        <f t="shared" si="6"/>
        <v>853.65899999999999</v>
      </c>
      <c r="N69" s="1462">
        <f t="shared" si="7"/>
        <v>784.94100000000003</v>
      </c>
      <c r="O69" s="3107">
        <f t="shared" si="8"/>
        <v>68.718000000000004</v>
      </c>
      <c r="P69" s="1462">
        <f t="shared" si="10"/>
        <v>61.961000000000006</v>
      </c>
      <c r="Q69" s="1558">
        <v>25550.272000000001</v>
      </c>
      <c r="R69" s="3108">
        <v>11843.325999999999</v>
      </c>
      <c r="S69" s="1559">
        <v>10985.307000000001</v>
      </c>
      <c r="T69" s="3108">
        <v>858.01900000000001</v>
      </c>
      <c r="U69" s="3109">
        <v>1150.759</v>
      </c>
    </row>
    <row r="70" spans="1:21" s="1469" customFormat="1">
      <c r="A70" s="1467">
        <f t="shared" si="9"/>
        <v>2013.3</v>
      </c>
      <c r="B70" s="1558">
        <v>1285.9110000000001</v>
      </c>
      <c r="C70" s="3108">
        <v>618.41099999999994</v>
      </c>
      <c r="D70" s="1559">
        <v>570.78</v>
      </c>
      <c r="E70" s="3108">
        <v>47.631</v>
      </c>
      <c r="F70" s="1559">
        <v>39.968000000000004</v>
      </c>
      <c r="G70" s="1558">
        <v>521.87199999999996</v>
      </c>
      <c r="H70" s="3108">
        <v>220.26</v>
      </c>
      <c r="I70" s="1559">
        <v>208.739</v>
      </c>
      <c r="J70" s="3108">
        <v>11.521000000000001</v>
      </c>
      <c r="K70" s="1559">
        <v>15.930999999999999</v>
      </c>
      <c r="L70" s="1461">
        <f t="shared" si="5"/>
        <v>1807.7829999999999</v>
      </c>
      <c r="M70" s="3107">
        <f t="shared" si="6"/>
        <v>838.67099999999994</v>
      </c>
      <c r="N70" s="1462">
        <f t="shared" si="7"/>
        <v>779.51900000000001</v>
      </c>
      <c r="O70" s="3107">
        <f t="shared" si="8"/>
        <v>59.152000000000001</v>
      </c>
      <c r="P70" s="1462">
        <f t="shared" si="10"/>
        <v>55.899000000000001</v>
      </c>
      <c r="Q70" s="1558">
        <v>25607.701000000001</v>
      </c>
      <c r="R70" s="3108">
        <v>11782.395</v>
      </c>
      <c r="S70" s="1559">
        <v>10978.296</v>
      </c>
      <c r="T70" s="3108">
        <v>804.09900000000005</v>
      </c>
      <c r="U70" s="3109">
        <v>1032.0160000000001</v>
      </c>
    </row>
    <row r="71" spans="1:21" s="1469" customFormat="1">
      <c r="A71" s="1467">
        <f t="shared" si="9"/>
        <v>2013.4</v>
      </c>
      <c r="B71" s="1558">
        <v>1342.5609999999999</v>
      </c>
      <c r="C71" s="3108">
        <v>637.66700000000003</v>
      </c>
      <c r="D71" s="1559">
        <v>587.37400000000002</v>
      </c>
      <c r="E71" s="3108">
        <v>50.292999999999999</v>
      </c>
      <c r="F71" s="1559">
        <v>49.427999999999997</v>
      </c>
      <c r="G71" s="1558">
        <v>521.71400000000006</v>
      </c>
      <c r="H71" s="3108">
        <v>209.90600000000001</v>
      </c>
      <c r="I71" s="1559">
        <v>196.608</v>
      </c>
      <c r="J71" s="3108">
        <v>13.298</v>
      </c>
      <c r="K71" s="1559">
        <v>13.023999999999999</v>
      </c>
      <c r="L71" s="1461">
        <f t="shared" si="5"/>
        <v>1864.2750000000001</v>
      </c>
      <c r="M71" s="3107">
        <f t="shared" si="6"/>
        <v>847.57300000000009</v>
      </c>
      <c r="N71" s="1462">
        <f t="shared" si="7"/>
        <v>783.98199999999997</v>
      </c>
      <c r="O71" s="3107">
        <f t="shared" si="8"/>
        <v>63.591000000000001</v>
      </c>
      <c r="P71" s="1462">
        <f t="shared" si="10"/>
        <v>62.451999999999998</v>
      </c>
      <c r="Q71" s="1558">
        <v>26062.870999999999</v>
      </c>
      <c r="R71" s="3108">
        <v>11869.536</v>
      </c>
      <c r="S71" s="1559">
        <v>11110.638999999999</v>
      </c>
      <c r="T71" s="3108">
        <v>758.89700000000005</v>
      </c>
      <c r="U71" s="3109">
        <v>923.779</v>
      </c>
    </row>
    <row r="72" spans="1:21" s="1469" customFormat="1">
      <c r="A72" s="1467">
        <f t="shared" si="9"/>
        <v>2014.1</v>
      </c>
      <c r="B72" s="1558">
        <v>1373.89</v>
      </c>
      <c r="C72" s="3108">
        <v>661.58399999999995</v>
      </c>
      <c r="D72" s="1559">
        <v>617.51599999999996</v>
      </c>
      <c r="E72" s="3108">
        <v>44.067999999999998</v>
      </c>
      <c r="F72" s="1559">
        <v>48.006999999999998</v>
      </c>
      <c r="G72" s="1558">
        <v>522.995</v>
      </c>
      <c r="H72" s="3108">
        <v>231.98</v>
      </c>
      <c r="I72" s="1559">
        <v>217.99199999999999</v>
      </c>
      <c r="J72" s="3108">
        <v>13.988</v>
      </c>
      <c r="K72" s="1559">
        <v>13.377000000000001</v>
      </c>
      <c r="L72" s="1461">
        <f t="shared" si="5"/>
        <v>1896.8850000000002</v>
      </c>
      <c r="M72" s="3107">
        <f t="shared" si="6"/>
        <v>893.56399999999996</v>
      </c>
      <c r="N72" s="1462">
        <f t="shared" si="7"/>
        <v>835.50799999999992</v>
      </c>
      <c r="O72" s="3107">
        <f t="shared" si="8"/>
        <v>58.055999999999997</v>
      </c>
      <c r="P72" s="1462">
        <f t="shared" si="10"/>
        <v>61.384</v>
      </c>
      <c r="Q72" s="1558">
        <v>26326.991000000002</v>
      </c>
      <c r="R72" s="3108">
        <v>11831.272000000001</v>
      </c>
      <c r="S72" s="1559">
        <v>10988.313</v>
      </c>
      <c r="T72" s="3108">
        <v>842.95899999999995</v>
      </c>
      <c r="U72" s="3109">
        <v>956.24</v>
      </c>
    </row>
    <row r="73" spans="1:21" s="1469" customFormat="1">
      <c r="A73" s="1467">
        <f t="shared" si="9"/>
        <v>2014.2</v>
      </c>
      <c r="B73" s="1558">
        <v>1406.376</v>
      </c>
      <c r="C73" s="3108">
        <v>670.30899999999997</v>
      </c>
      <c r="D73" s="1559">
        <v>607.08900000000006</v>
      </c>
      <c r="E73" s="3108">
        <v>63.22</v>
      </c>
      <c r="F73" s="1559">
        <v>52.625999999999998</v>
      </c>
      <c r="G73" s="1558">
        <v>523.82500000000005</v>
      </c>
      <c r="H73" s="3108">
        <v>232.45500000000001</v>
      </c>
      <c r="I73" s="1559">
        <v>212.072</v>
      </c>
      <c r="J73" s="3108">
        <v>20.382999999999999</v>
      </c>
      <c r="K73" s="1559">
        <v>12.615</v>
      </c>
      <c r="L73" s="1461">
        <f t="shared" si="5"/>
        <v>1930.201</v>
      </c>
      <c r="M73" s="3107">
        <f t="shared" si="6"/>
        <v>902.76400000000001</v>
      </c>
      <c r="N73" s="1462">
        <f t="shared" si="7"/>
        <v>819.16100000000006</v>
      </c>
      <c r="O73" s="3107">
        <f t="shared" si="8"/>
        <v>83.602999999999994</v>
      </c>
      <c r="P73" s="1462">
        <f t="shared" si="10"/>
        <v>65.241</v>
      </c>
      <c r="Q73" s="1558">
        <v>26593.564999999999</v>
      </c>
      <c r="R73" s="3108">
        <v>11884.038</v>
      </c>
      <c r="S73" s="1559">
        <v>10993.637000000001</v>
      </c>
      <c r="T73" s="3108">
        <v>890.40099999999995</v>
      </c>
      <c r="U73" s="3109">
        <v>1114.328</v>
      </c>
    </row>
    <row r="74" spans="1:21" s="1469" customFormat="1">
      <c r="A74" s="1467">
        <f t="shared" si="9"/>
        <v>2014.3</v>
      </c>
      <c r="B74" s="1558">
        <v>1411.078</v>
      </c>
      <c r="C74" s="3108">
        <v>665.65</v>
      </c>
      <c r="D74" s="1559">
        <v>604.02099999999996</v>
      </c>
      <c r="E74" s="3108">
        <v>61.628999999999998</v>
      </c>
      <c r="F74" s="1559">
        <v>57.581000000000003</v>
      </c>
      <c r="G74" s="1558">
        <v>525.11500000000001</v>
      </c>
      <c r="H74" s="3108">
        <v>228.65700000000001</v>
      </c>
      <c r="I74" s="1559">
        <v>211.80500000000001</v>
      </c>
      <c r="J74" s="3108">
        <v>16.852</v>
      </c>
      <c r="K74" s="1559">
        <v>14.404</v>
      </c>
      <c r="L74" s="1461">
        <f t="shared" ref="L74:L105" si="11">B74+G74</f>
        <v>1936.193</v>
      </c>
      <c r="M74" s="3107">
        <f t="shared" ref="M74:M105" si="12">C74+H74</f>
        <v>894.30700000000002</v>
      </c>
      <c r="N74" s="1462">
        <f t="shared" ref="N74:N105" si="13">D74+I74</f>
        <v>815.82600000000002</v>
      </c>
      <c r="O74" s="3107">
        <f t="shared" ref="O74:O105" si="14">E74+J74</f>
        <v>78.480999999999995</v>
      </c>
      <c r="P74" s="1462">
        <f t="shared" si="10"/>
        <v>71.984999999999999</v>
      </c>
      <c r="Q74" s="1558">
        <v>26659.772000000001</v>
      </c>
      <c r="R74" s="3108">
        <v>11897.200999999999</v>
      </c>
      <c r="S74" s="1559">
        <v>11001.92</v>
      </c>
      <c r="T74" s="3108">
        <v>895.28099999999995</v>
      </c>
      <c r="U74" s="3109">
        <v>1100.4780000000001</v>
      </c>
    </row>
    <row r="75" spans="1:21" s="1469" customFormat="1">
      <c r="A75" s="1467">
        <f t="shared" si="9"/>
        <v>2014.4</v>
      </c>
      <c r="B75" s="1558">
        <v>1415.6279999999999</v>
      </c>
      <c r="C75" s="3108">
        <v>691.16899999999998</v>
      </c>
      <c r="D75" s="1559">
        <v>631.36699999999996</v>
      </c>
      <c r="E75" s="3108">
        <v>59.802</v>
      </c>
      <c r="F75" s="1559">
        <v>62.15</v>
      </c>
      <c r="G75" s="1558">
        <v>526.36599999999999</v>
      </c>
      <c r="H75" s="3108">
        <v>226.245</v>
      </c>
      <c r="I75" s="1559">
        <v>211.209</v>
      </c>
      <c r="J75" s="3108">
        <v>15.036</v>
      </c>
      <c r="K75" s="1559">
        <v>11.991</v>
      </c>
      <c r="L75" s="1461">
        <f t="shared" si="11"/>
        <v>1941.9939999999999</v>
      </c>
      <c r="M75" s="3107">
        <f t="shared" si="12"/>
        <v>917.41399999999999</v>
      </c>
      <c r="N75" s="1462">
        <f t="shared" si="13"/>
        <v>842.57600000000002</v>
      </c>
      <c r="O75" s="3107">
        <f t="shared" si="14"/>
        <v>74.837999999999994</v>
      </c>
      <c r="P75" s="1462">
        <f t="shared" si="10"/>
        <v>74.140999999999991</v>
      </c>
      <c r="Q75" s="1558">
        <v>26725.119999999999</v>
      </c>
      <c r="R75" s="3108">
        <v>12072.839</v>
      </c>
      <c r="S75" s="1559">
        <v>11235.975</v>
      </c>
      <c r="T75" s="3108">
        <v>836.86400000000003</v>
      </c>
      <c r="U75" s="3109">
        <v>1095.6020000000001</v>
      </c>
    </row>
    <row r="76" spans="1:21" s="1469" customFormat="1">
      <c r="A76" s="1467">
        <f t="shared" si="9"/>
        <v>2015.1</v>
      </c>
      <c r="B76" s="1558">
        <v>1419.9349999999999</v>
      </c>
      <c r="C76" s="3108">
        <v>697.78200000000004</v>
      </c>
      <c r="D76" s="1559">
        <v>636.62599999999998</v>
      </c>
      <c r="E76" s="3108">
        <v>61.155999999999999</v>
      </c>
      <c r="F76" s="1559">
        <v>50.918999999999997</v>
      </c>
      <c r="G76" s="1558">
        <v>527.52499999999998</v>
      </c>
      <c r="H76" s="3108">
        <v>227.21899999999999</v>
      </c>
      <c r="I76" s="1559">
        <v>214.52699999999999</v>
      </c>
      <c r="J76" s="3108">
        <v>12.692</v>
      </c>
      <c r="K76" s="1559">
        <v>19.928000000000001</v>
      </c>
      <c r="L76" s="1461">
        <f t="shared" si="11"/>
        <v>1947.46</v>
      </c>
      <c r="M76" s="3107">
        <f t="shared" si="12"/>
        <v>925.00099999999998</v>
      </c>
      <c r="N76" s="1462">
        <f t="shared" si="13"/>
        <v>851.15300000000002</v>
      </c>
      <c r="O76" s="3107">
        <f t="shared" si="14"/>
        <v>73.847999999999999</v>
      </c>
      <c r="P76" s="1462">
        <f t="shared" si="10"/>
        <v>70.846999999999994</v>
      </c>
      <c r="Q76" s="1558">
        <v>26786.536</v>
      </c>
      <c r="R76" s="3108">
        <v>11917.843999999999</v>
      </c>
      <c r="S76" s="1559">
        <v>11069.985000000001</v>
      </c>
      <c r="T76" s="3108">
        <v>847.85900000000004</v>
      </c>
      <c r="U76" s="3109">
        <v>904.93600000000004</v>
      </c>
    </row>
    <row r="77" spans="1:21" s="1469" customFormat="1">
      <c r="A77" s="1467">
        <f t="shared" si="9"/>
        <v>2015.2</v>
      </c>
      <c r="B77" s="1558">
        <v>1424.231</v>
      </c>
      <c r="C77" s="3108">
        <v>692.63099999999997</v>
      </c>
      <c r="D77" s="1559">
        <v>635.154</v>
      </c>
      <c r="E77" s="3108">
        <v>57.476999999999997</v>
      </c>
      <c r="F77" s="1559">
        <v>62.125999999999998</v>
      </c>
      <c r="G77" s="1558">
        <v>528.76400000000001</v>
      </c>
      <c r="H77" s="3108">
        <v>226</v>
      </c>
      <c r="I77" s="1559">
        <v>212.13900000000001</v>
      </c>
      <c r="J77" s="3108">
        <v>13.861000000000001</v>
      </c>
      <c r="K77" s="1559">
        <v>15.542</v>
      </c>
      <c r="L77" s="1461">
        <f t="shared" si="11"/>
        <v>1952.9949999999999</v>
      </c>
      <c r="M77" s="3107">
        <f t="shared" si="12"/>
        <v>918.63099999999997</v>
      </c>
      <c r="N77" s="1462">
        <f t="shared" si="13"/>
        <v>847.29300000000001</v>
      </c>
      <c r="O77" s="3107">
        <f t="shared" si="14"/>
        <v>71.337999999999994</v>
      </c>
      <c r="P77" s="1462">
        <f t="shared" si="10"/>
        <v>77.667999999999992</v>
      </c>
      <c r="Q77" s="1558">
        <v>26848.141</v>
      </c>
      <c r="R77" s="3108">
        <v>11920.216</v>
      </c>
      <c r="S77" s="1559">
        <v>11136.718999999999</v>
      </c>
      <c r="T77" s="3108">
        <v>783.49699999999996</v>
      </c>
      <c r="U77" s="3109">
        <v>1077.0940000000001</v>
      </c>
    </row>
    <row r="78" spans="1:21">
      <c r="A78" s="1467">
        <f t="shared" si="9"/>
        <v>2015.3</v>
      </c>
      <c r="B78" s="1558">
        <f>AVERAGE(B76:B77)</f>
        <v>1422.0830000000001</v>
      </c>
      <c r="C78" s="3108">
        <f t="shared" ref="C78:E78" si="15">AVERAGE(C76:C77)</f>
        <v>695.20650000000001</v>
      </c>
      <c r="D78" s="1559">
        <f t="shared" si="15"/>
        <v>635.89</v>
      </c>
      <c r="E78" s="3108">
        <f t="shared" si="15"/>
        <v>59.316499999999998</v>
      </c>
      <c r="F78" s="1559">
        <f>AVERAGE(F76:F77)</f>
        <v>56.522499999999994</v>
      </c>
      <c r="G78" s="1558">
        <v>529.95500000000004</v>
      </c>
      <c r="H78" s="3108">
        <v>227.821</v>
      </c>
      <c r="I78" s="1559">
        <v>216.65799999999999</v>
      </c>
      <c r="J78" s="3108">
        <v>11.163</v>
      </c>
      <c r="K78" s="1559">
        <f>AVERAGE(K76:K77)</f>
        <v>17.734999999999999</v>
      </c>
      <c r="L78" s="1461">
        <f t="shared" si="11"/>
        <v>1952.038</v>
      </c>
      <c r="M78" s="3107">
        <f t="shared" si="12"/>
        <v>923.02750000000003</v>
      </c>
      <c r="N78" s="1462">
        <f t="shared" si="13"/>
        <v>852.548</v>
      </c>
      <c r="O78" s="3107">
        <f t="shared" si="14"/>
        <v>70.479500000000002</v>
      </c>
      <c r="P78" s="1462">
        <f t="shared" si="10"/>
        <v>74.257499999999993</v>
      </c>
      <c r="Q78" s="1563">
        <f t="shared" ref="Q78:T78" si="16">AVERAGE(Q76:Q77)</f>
        <v>26817.338499999998</v>
      </c>
      <c r="R78" s="3108">
        <f t="shared" si="16"/>
        <v>11919.029999999999</v>
      </c>
      <c r="S78" s="3108">
        <f t="shared" si="16"/>
        <v>11103.351999999999</v>
      </c>
      <c r="T78" s="3108">
        <f t="shared" si="16"/>
        <v>815.678</v>
      </c>
      <c r="U78" s="3109">
        <f>AVERAGE(U76:U77)</f>
        <v>991.0150000000001</v>
      </c>
    </row>
    <row r="79" spans="1:21">
      <c r="A79" s="1467">
        <f t="shared" si="9"/>
        <v>2015.4</v>
      </c>
      <c r="B79" s="1558">
        <f t="shared" ref="B79:E79" si="17">AVERAGE(B78,B80)</f>
        <v>1355.07575</v>
      </c>
      <c r="C79" s="3108">
        <f t="shared" si="17"/>
        <v>654.63750000000005</v>
      </c>
      <c r="D79" s="1559">
        <f t="shared" si="17"/>
        <v>592.72924999999998</v>
      </c>
      <c r="E79" s="3108">
        <f t="shared" si="17"/>
        <v>61.908249999999995</v>
      </c>
      <c r="F79" s="1559">
        <f>AVERAGE(F78,F80)</f>
        <v>56.261249999999997</v>
      </c>
      <c r="G79" s="1558">
        <f>AVERAGE(G77:G78)</f>
        <v>529.35950000000003</v>
      </c>
      <c r="H79" s="3108">
        <f>AVERAGE(H77:H78)</f>
        <v>226.91050000000001</v>
      </c>
      <c r="I79" s="1559">
        <f>AVERAGE(I77:I78)</f>
        <v>214.39850000000001</v>
      </c>
      <c r="J79" s="3108">
        <f>AVERAGE(J77:J78)</f>
        <v>12.512</v>
      </c>
      <c r="K79" s="1559">
        <f>AVERAGE(K78,K80)</f>
        <v>17.1175</v>
      </c>
      <c r="L79" s="1461">
        <f t="shared" si="11"/>
        <v>1884.43525</v>
      </c>
      <c r="M79" s="3107">
        <f t="shared" si="12"/>
        <v>881.548</v>
      </c>
      <c r="N79" s="1462">
        <f t="shared" si="13"/>
        <v>807.12774999999999</v>
      </c>
      <c r="O79" s="3107">
        <f t="shared" si="14"/>
        <v>74.420249999999996</v>
      </c>
      <c r="P79" s="1462">
        <f t="shared" si="10"/>
        <v>73.378749999999997</v>
      </c>
      <c r="Q79" s="1563">
        <f t="shared" ref="Q79:T79" si="18">AVERAGE(Q78,Q80)</f>
        <v>27026.919249999999</v>
      </c>
      <c r="R79" s="3108">
        <f t="shared" si="18"/>
        <v>12221.764999999999</v>
      </c>
      <c r="S79" s="3108">
        <f t="shared" si="18"/>
        <v>11255.425999999999</v>
      </c>
      <c r="T79" s="3108">
        <f t="shared" si="18"/>
        <v>966.33899999999994</v>
      </c>
      <c r="U79" s="3109">
        <f>AVERAGE(U78,U80)</f>
        <v>1164.2575000000002</v>
      </c>
    </row>
    <row r="80" spans="1:21">
      <c r="A80" s="1467">
        <f t="shared" si="9"/>
        <v>2016.1</v>
      </c>
      <c r="B80" s="1558">
        <f>AVERAGE(B81:B82)</f>
        <v>1288.0685000000001</v>
      </c>
      <c r="C80" s="3108">
        <f t="shared" ref="C80:F80" si="19">AVERAGE(C81:C82)</f>
        <v>614.06849999999997</v>
      </c>
      <c r="D80" s="1559">
        <f t="shared" si="19"/>
        <v>549.56849999999997</v>
      </c>
      <c r="E80" s="3108">
        <f>AVERAGE(E81:E82)</f>
        <v>64.5</v>
      </c>
      <c r="F80" s="1559">
        <f t="shared" si="19"/>
        <v>56</v>
      </c>
      <c r="G80" s="1558">
        <f>AVERAGE(G81:G82)</f>
        <v>516.30099999999993</v>
      </c>
      <c r="H80" s="3108">
        <f>AVERAGE(H81:H82)</f>
        <v>211.30099999999999</v>
      </c>
      <c r="I80" s="1559">
        <f>AVERAGE(I81:I82)</f>
        <v>202.30099999999999</v>
      </c>
      <c r="J80" s="3108">
        <f>AVERAGE(J81:J82)</f>
        <v>9.5</v>
      </c>
      <c r="K80" s="1559">
        <f>AVERAGE(K81:K82)</f>
        <v>16.5</v>
      </c>
      <c r="L80" s="1461">
        <f t="shared" si="11"/>
        <v>1804.3695</v>
      </c>
      <c r="M80" s="3107">
        <f t="shared" si="12"/>
        <v>825.36950000000002</v>
      </c>
      <c r="N80" s="1462">
        <f t="shared" si="13"/>
        <v>751.86950000000002</v>
      </c>
      <c r="O80" s="3107">
        <f t="shared" si="14"/>
        <v>74</v>
      </c>
      <c r="P80" s="1462">
        <f t="shared" si="10"/>
        <v>72.5</v>
      </c>
      <c r="Q80" s="1563">
        <f t="shared" ref="Q80:T80" si="20">AVERAGE(Q81:Q82)</f>
        <v>27236.5</v>
      </c>
      <c r="R80" s="3108">
        <f t="shared" si="20"/>
        <v>12524.5</v>
      </c>
      <c r="S80" s="3108">
        <f t="shared" si="20"/>
        <v>11407.5</v>
      </c>
      <c r="T80" s="3108">
        <f t="shared" si="20"/>
        <v>1117</v>
      </c>
      <c r="U80" s="3109">
        <f>AVERAGE(U81:U82)</f>
        <v>1337.5</v>
      </c>
    </row>
    <row r="81" spans="1:21">
      <c r="A81" s="1467">
        <f t="shared" si="9"/>
        <v>2016.2</v>
      </c>
      <c r="B81" s="1560">
        <v>1287.0340000000001</v>
      </c>
      <c r="C81" s="3108">
        <v>617.03399999999999</v>
      </c>
      <c r="D81" s="1559">
        <v>545.03399999999999</v>
      </c>
      <c r="E81" s="3106">
        <v>72</v>
      </c>
      <c r="F81" s="1468">
        <v>62</v>
      </c>
      <c r="G81" s="1558">
        <v>516.06200000000001</v>
      </c>
      <c r="H81" s="3108">
        <v>214.06200000000001</v>
      </c>
      <c r="I81" s="1559">
        <v>203.06200000000001</v>
      </c>
      <c r="J81" s="3106">
        <v>11</v>
      </c>
      <c r="K81" s="1458">
        <v>14</v>
      </c>
      <c r="L81" s="1461">
        <f t="shared" si="11"/>
        <v>1803.096</v>
      </c>
      <c r="M81" s="3107">
        <f t="shared" si="12"/>
        <v>831.096</v>
      </c>
      <c r="N81" s="1462">
        <f t="shared" si="13"/>
        <v>748.096</v>
      </c>
      <c r="O81" s="3107">
        <f t="shared" si="14"/>
        <v>83</v>
      </c>
      <c r="P81" s="1462">
        <f t="shared" si="10"/>
        <v>76</v>
      </c>
      <c r="Q81" s="1460">
        <v>27201</v>
      </c>
      <c r="R81" s="3106">
        <v>12503</v>
      </c>
      <c r="S81" s="1458">
        <v>11338</v>
      </c>
      <c r="T81" s="3106">
        <v>1165</v>
      </c>
      <c r="U81" s="1470">
        <v>1401</v>
      </c>
    </row>
    <row r="82" spans="1:21">
      <c r="A82" s="1467">
        <f t="shared" si="9"/>
        <v>2016.3</v>
      </c>
      <c r="B82" s="1560">
        <v>1289.1030000000001</v>
      </c>
      <c r="C82" s="3108">
        <v>611.10299999999995</v>
      </c>
      <c r="D82" s="1559">
        <v>554.10299999999995</v>
      </c>
      <c r="E82" s="3106">
        <v>57</v>
      </c>
      <c r="F82" s="1468">
        <v>50</v>
      </c>
      <c r="G82" s="1558">
        <v>516.54</v>
      </c>
      <c r="H82" s="3108">
        <v>208.54</v>
      </c>
      <c r="I82" s="1559">
        <v>201.54</v>
      </c>
      <c r="J82" s="3106">
        <v>8</v>
      </c>
      <c r="K82" s="1458">
        <v>19</v>
      </c>
      <c r="L82" s="1461">
        <f t="shared" si="11"/>
        <v>1805.643</v>
      </c>
      <c r="M82" s="3107">
        <f t="shared" si="12"/>
        <v>819.64299999999992</v>
      </c>
      <c r="N82" s="1462">
        <f t="shared" si="13"/>
        <v>755.64299999999992</v>
      </c>
      <c r="O82" s="3107">
        <f t="shared" si="14"/>
        <v>65</v>
      </c>
      <c r="P82" s="1462">
        <f t="shared" si="10"/>
        <v>69</v>
      </c>
      <c r="Q82" s="1460">
        <v>27272</v>
      </c>
      <c r="R82" s="3106">
        <v>12546</v>
      </c>
      <c r="S82" s="1458">
        <v>11477</v>
      </c>
      <c r="T82" s="3106">
        <v>1069</v>
      </c>
      <c r="U82" s="1470">
        <v>1274</v>
      </c>
    </row>
    <row r="83" spans="1:21">
      <c r="A83" s="1467">
        <f t="shared" si="9"/>
        <v>2016.4</v>
      </c>
      <c r="B83" s="1560">
        <v>1291.375</v>
      </c>
      <c r="C83" s="3108">
        <v>629.375</v>
      </c>
      <c r="D83" s="1559">
        <v>575.375</v>
      </c>
      <c r="E83" s="3106">
        <v>54</v>
      </c>
      <c r="F83" s="1468">
        <v>56</v>
      </c>
      <c r="G83" s="1558">
        <v>518.42100000000005</v>
      </c>
      <c r="H83" s="3108">
        <v>226.42099999999999</v>
      </c>
      <c r="I83" s="1559">
        <v>214.42099999999999</v>
      </c>
      <c r="J83" s="3106">
        <v>11</v>
      </c>
      <c r="K83" s="1458">
        <v>20</v>
      </c>
      <c r="L83" s="1461">
        <f t="shared" si="11"/>
        <v>1809.796</v>
      </c>
      <c r="M83" s="3107">
        <f t="shared" si="12"/>
        <v>855.79600000000005</v>
      </c>
      <c r="N83" s="1462">
        <f t="shared" si="13"/>
        <v>789.79600000000005</v>
      </c>
      <c r="O83" s="3107">
        <f t="shared" si="14"/>
        <v>65</v>
      </c>
      <c r="P83" s="1462">
        <f t="shared" si="10"/>
        <v>76</v>
      </c>
      <c r="Q83" s="1460">
        <v>27345</v>
      </c>
      <c r="R83" s="3106">
        <v>12397</v>
      </c>
      <c r="S83" s="1458">
        <v>11459</v>
      </c>
      <c r="T83" s="3106">
        <v>937</v>
      </c>
      <c r="U83" s="1470">
        <v>1278</v>
      </c>
    </row>
    <row r="84" spans="1:21">
      <c r="A84" s="1467">
        <f t="shared" si="9"/>
        <v>2017.1</v>
      </c>
      <c r="B84" s="1560">
        <v>1292.68</v>
      </c>
      <c r="C84" s="3108">
        <v>617.67999999999995</v>
      </c>
      <c r="D84" s="1559">
        <v>554.67999999999995</v>
      </c>
      <c r="E84" s="3106">
        <v>63</v>
      </c>
      <c r="F84" s="1468">
        <v>67</v>
      </c>
      <c r="G84" s="1558">
        <v>519.04399999999998</v>
      </c>
      <c r="H84" s="3108">
        <v>217.04400000000001</v>
      </c>
      <c r="I84" s="1559">
        <v>206.04400000000001</v>
      </c>
      <c r="J84" s="3106">
        <v>11</v>
      </c>
      <c r="K84" s="1458">
        <v>15</v>
      </c>
      <c r="L84" s="1461">
        <f t="shared" si="11"/>
        <v>1811.7240000000002</v>
      </c>
      <c r="M84" s="3107">
        <f t="shared" si="12"/>
        <v>834.72399999999993</v>
      </c>
      <c r="N84" s="1462">
        <f t="shared" si="13"/>
        <v>760.72399999999993</v>
      </c>
      <c r="O84" s="3107">
        <f t="shared" si="14"/>
        <v>74</v>
      </c>
      <c r="P84" s="1462">
        <f t="shared" si="10"/>
        <v>82</v>
      </c>
      <c r="Q84" s="1460">
        <v>27416</v>
      </c>
      <c r="R84" s="3106">
        <v>12478</v>
      </c>
      <c r="S84" s="1458">
        <v>11328</v>
      </c>
      <c r="T84" s="3106">
        <v>1149</v>
      </c>
      <c r="U84" s="1470">
        <v>1240</v>
      </c>
    </row>
    <row r="85" spans="1:21">
      <c r="A85" s="1467">
        <f t="shared" si="9"/>
        <v>2017.2</v>
      </c>
      <c r="B85" s="1558">
        <v>1295.991</v>
      </c>
      <c r="C85" s="3108">
        <v>624.99099999999999</v>
      </c>
      <c r="D85" s="1559">
        <v>556.99099999999999</v>
      </c>
      <c r="E85" s="3106">
        <v>68</v>
      </c>
      <c r="F85" s="1468">
        <v>69</v>
      </c>
      <c r="G85" s="1558">
        <v>519.60799999999995</v>
      </c>
      <c r="H85" s="3108">
        <v>217.608</v>
      </c>
      <c r="I85" s="1559">
        <v>206.608</v>
      </c>
      <c r="J85" s="3106">
        <v>11</v>
      </c>
      <c r="K85" s="1458">
        <v>14</v>
      </c>
      <c r="L85" s="1461">
        <f t="shared" si="11"/>
        <v>1815.5989999999999</v>
      </c>
      <c r="M85" s="3107">
        <f t="shared" si="12"/>
        <v>842.59899999999993</v>
      </c>
      <c r="N85" s="1462">
        <f t="shared" si="13"/>
        <v>763.59899999999993</v>
      </c>
      <c r="O85" s="3107">
        <f t="shared" si="14"/>
        <v>79</v>
      </c>
      <c r="P85" s="1462">
        <f t="shared" si="10"/>
        <v>83</v>
      </c>
      <c r="Q85" s="1460">
        <v>27486</v>
      </c>
      <c r="R85" s="3106">
        <v>12483</v>
      </c>
      <c r="S85" s="1458">
        <v>11395</v>
      </c>
      <c r="T85" s="3106">
        <v>1088</v>
      </c>
      <c r="U85" s="1470">
        <v>1371</v>
      </c>
    </row>
    <row r="86" spans="1:21">
      <c r="A86" s="1467">
        <f t="shared" si="9"/>
        <v>2017.3</v>
      </c>
      <c r="B86" s="1560">
        <v>1298.2670000000001</v>
      </c>
      <c r="C86" s="3108">
        <v>604.26700000000005</v>
      </c>
      <c r="D86" s="1559">
        <v>553.26700000000005</v>
      </c>
      <c r="E86" s="3106">
        <v>50</v>
      </c>
      <c r="F86" s="1468">
        <v>53</v>
      </c>
      <c r="G86" s="1558">
        <v>522.03200000000004</v>
      </c>
      <c r="H86" s="3108">
        <v>222.03200000000001</v>
      </c>
      <c r="I86" s="1559">
        <v>215.03200000000001</v>
      </c>
      <c r="J86" s="3106">
        <v>7</v>
      </c>
      <c r="K86" s="1458">
        <v>20</v>
      </c>
      <c r="L86" s="1461">
        <f t="shared" si="11"/>
        <v>1820.299</v>
      </c>
      <c r="M86" s="3107">
        <f t="shared" si="12"/>
        <v>826.29900000000009</v>
      </c>
      <c r="N86" s="1462">
        <f t="shared" si="13"/>
        <v>768.29900000000009</v>
      </c>
      <c r="O86" s="3107">
        <f t="shared" si="14"/>
        <v>57</v>
      </c>
      <c r="P86" s="1462">
        <f t="shared" si="10"/>
        <v>73</v>
      </c>
      <c r="Q86" s="1460">
        <v>27558</v>
      </c>
      <c r="R86" s="3106">
        <v>12752</v>
      </c>
      <c r="S86" s="1458">
        <v>11694</v>
      </c>
      <c r="T86" s="3106">
        <v>1058</v>
      </c>
      <c r="U86" s="1470">
        <v>1380</v>
      </c>
    </row>
    <row r="87" spans="1:21">
      <c r="A87" s="1467">
        <f t="shared" si="9"/>
        <v>2017.4</v>
      </c>
      <c r="B87" s="1560">
        <v>1299.683</v>
      </c>
      <c r="C87" s="3108">
        <v>601.68299999999999</v>
      </c>
      <c r="D87" s="1559">
        <v>556.68299999999999</v>
      </c>
      <c r="E87" s="3106">
        <v>46</v>
      </c>
      <c r="F87" s="1468">
        <v>58</v>
      </c>
      <c r="G87" s="1558">
        <v>523.471</v>
      </c>
      <c r="H87" s="3108">
        <v>220.471</v>
      </c>
      <c r="I87" s="1559">
        <v>212.471</v>
      </c>
      <c r="J87" s="3106">
        <v>7</v>
      </c>
      <c r="K87" s="1458">
        <v>22</v>
      </c>
      <c r="L87" s="1461">
        <f t="shared" si="11"/>
        <v>1823.154</v>
      </c>
      <c r="M87" s="3107">
        <f t="shared" si="12"/>
        <v>822.154</v>
      </c>
      <c r="N87" s="1462">
        <f t="shared" si="13"/>
        <v>769.154</v>
      </c>
      <c r="O87" s="3107">
        <f t="shared" si="14"/>
        <v>53</v>
      </c>
      <c r="P87" s="1462">
        <f t="shared" si="10"/>
        <v>80</v>
      </c>
      <c r="Q87" s="1460">
        <v>27629</v>
      </c>
      <c r="R87" s="3106">
        <v>12818</v>
      </c>
      <c r="S87" s="1458">
        <v>11892</v>
      </c>
      <c r="T87" s="3106">
        <v>926</v>
      </c>
      <c r="U87" s="1470">
        <v>1305</v>
      </c>
    </row>
    <row r="88" spans="1:21">
      <c r="A88" s="1467">
        <f t="shared" si="9"/>
        <v>2018.1</v>
      </c>
      <c r="B88" s="1560">
        <v>1301.8240000000001</v>
      </c>
      <c r="C88" s="3108">
        <v>633.82399999999996</v>
      </c>
      <c r="D88" s="1559">
        <v>575.82399999999996</v>
      </c>
      <c r="E88" s="3106">
        <v>58</v>
      </c>
      <c r="F88" s="1468">
        <v>57</v>
      </c>
      <c r="G88" s="1558">
        <v>523.57299999999998</v>
      </c>
      <c r="H88" s="3108">
        <v>226.57300000000001</v>
      </c>
      <c r="I88" s="1559">
        <v>211.57300000000001</v>
      </c>
      <c r="J88" s="3106">
        <v>15</v>
      </c>
      <c r="K88" s="1458">
        <v>19</v>
      </c>
      <c r="L88" s="1461">
        <f t="shared" si="11"/>
        <v>1825.3969999999999</v>
      </c>
      <c r="M88" s="3107">
        <f t="shared" si="12"/>
        <v>860.39699999999993</v>
      </c>
      <c r="N88" s="1462">
        <f t="shared" si="13"/>
        <v>787.39699999999993</v>
      </c>
      <c r="O88" s="3107">
        <f t="shared" si="14"/>
        <v>73</v>
      </c>
      <c r="P88" s="1462">
        <f t="shared" si="10"/>
        <v>76</v>
      </c>
      <c r="Q88" s="1460">
        <v>27700</v>
      </c>
      <c r="R88" s="3106">
        <v>12932</v>
      </c>
      <c r="S88" s="1458">
        <v>11749</v>
      </c>
      <c r="T88" s="3106">
        <v>1183</v>
      </c>
      <c r="U88" s="1470">
        <v>1266</v>
      </c>
    </row>
    <row r="89" spans="1:21">
      <c r="A89" s="1467">
        <f t="shared" si="9"/>
        <v>2018.2</v>
      </c>
      <c r="B89" s="1560">
        <v>1303.941</v>
      </c>
      <c r="C89" s="3108">
        <v>619.94100000000003</v>
      </c>
      <c r="D89" s="1559">
        <v>569.94100000000003</v>
      </c>
      <c r="E89" s="3106">
        <v>50</v>
      </c>
      <c r="F89" s="1468">
        <v>79</v>
      </c>
      <c r="G89" s="1558">
        <v>525.41300000000001</v>
      </c>
      <c r="H89" s="3108">
        <v>216.41300000000001</v>
      </c>
      <c r="I89" s="1559">
        <v>200.41300000000001</v>
      </c>
      <c r="J89" s="3106">
        <v>15</v>
      </c>
      <c r="K89" s="1458">
        <v>17</v>
      </c>
      <c r="L89" s="1461">
        <f t="shared" si="11"/>
        <v>1829.354</v>
      </c>
      <c r="M89" s="3107">
        <f t="shared" si="12"/>
        <v>836.35400000000004</v>
      </c>
      <c r="N89" s="1462">
        <f t="shared" si="13"/>
        <v>770.35400000000004</v>
      </c>
      <c r="O89" s="3107">
        <f t="shared" si="14"/>
        <v>65</v>
      </c>
      <c r="P89" s="1462">
        <f t="shared" si="10"/>
        <v>96</v>
      </c>
      <c r="Q89" s="1460">
        <v>27768</v>
      </c>
      <c r="R89" s="3106">
        <v>12881</v>
      </c>
      <c r="S89" s="1458">
        <v>11642</v>
      </c>
      <c r="T89" s="3106">
        <v>1239</v>
      </c>
      <c r="U89" s="1470">
        <v>1447</v>
      </c>
    </row>
    <row r="90" spans="1:21">
      <c r="A90" s="1467">
        <f t="shared" si="9"/>
        <v>2018.3</v>
      </c>
      <c r="B90" s="1560">
        <v>1306.1890000000001</v>
      </c>
      <c r="C90" s="3108">
        <v>620.18899999999996</v>
      </c>
      <c r="D90" s="1559">
        <v>571.18899999999996</v>
      </c>
      <c r="E90" s="3106">
        <v>49</v>
      </c>
      <c r="F90" s="1468">
        <v>53</v>
      </c>
      <c r="G90" s="1558">
        <v>526.101</v>
      </c>
      <c r="H90" s="3108">
        <v>214.101</v>
      </c>
      <c r="I90" s="1559">
        <v>206.101</v>
      </c>
      <c r="J90" s="3106">
        <v>8</v>
      </c>
      <c r="K90" s="1458">
        <v>15</v>
      </c>
      <c r="L90" s="1461">
        <f t="shared" si="11"/>
        <v>1832.29</v>
      </c>
      <c r="M90" s="3107">
        <f t="shared" si="12"/>
        <v>834.29</v>
      </c>
      <c r="N90" s="1462">
        <f t="shared" si="13"/>
        <v>777.29</v>
      </c>
      <c r="O90" s="3107">
        <f t="shared" si="14"/>
        <v>57</v>
      </c>
      <c r="P90" s="1462">
        <f t="shared" si="10"/>
        <v>68</v>
      </c>
      <c r="Q90" s="1460">
        <v>27842</v>
      </c>
      <c r="R90" s="3106">
        <v>12990</v>
      </c>
      <c r="S90" s="1458">
        <v>11822</v>
      </c>
      <c r="T90" s="3106">
        <v>1168</v>
      </c>
      <c r="U90" s="1470">
        <v>1537</v>
      </c>
    </row>
    <row r="91" spans="1:21">
      <c r="A91" s="1467">
        <f t="shared" si="9"/>
        <v>2018.4</v>
      </c>
      <c r="B91" s="1560">
        <v>1307.9079999999999</v>
      </c>
      <c r="C91" s="3108">
        <v>609.90800000000002</v>
      </c>
      <c r="D91" s="1559">
        <v>531.90800000000002</v>
      </c>
      <c r="E91" s="3106">
        <v>78</v>
      </c>
      <c r="F91" s="1468">
        <v>78</v>
      </c>
      <c r="G91" s="1558">
        <v>526.82899999999995</v>
      </c>
      <c r="H91" s="3108">
        <v>221.82900000000001</v>
      </c>
      <c r="I91" s="1559">
        <v>215.82900000000001</v>
      </c>
      <c r="J91" s="3106">
        <v>7</v>
      </c>
      <c r="K91" s="1458">
        <v>15</v>
      </c>
      <c r="L91" s="1461">
        <f t="shared" si="11"/>
        <v>1834.7369999999999</v>
      </c>
      <c r="M91" s="3107">
        <f t="shared" si="12"/>
        <v>831.73700000000008</v>
      </c>
      <c r="N91" s="1462">
        <f t="shared" si="13"/>
        <v>747.73700000000008</v>
      </c>
      <c r="O91" s="3107">
        <f t="shared" si="14"/>
        <v>85</v>
      </c>
      <c r="P91" s="1462">
        <f t="shared" si="10"/>
        <v>93</v>
      </c>
      <c r="Q91" s="1460">
        <v>27914</v>
      </c>
      <c r="R91" s="3106">
        <v>12979</v>
      </c>
      <c r="S91" s="1458">
        <v>11793</v>
      </c>
      <c r="T91" s="3106">
        <v>1185</v>
      </c>
      <c r="U91" s="1470">
        <v>1557</v>
      </c>
    </row>
    <row r="92" spans="1:21">
      <c r="A92" s="1467">
        <f t="shared" si="9"/>
        <v>2019.1</v>
      </c>
      <c r="B92" s="1560">
        <v>1309.9690000000001</v>
      </c>
      <c r="C92" s="3108">
        <v>619.96900000000005</v>
      </c>
      <c r="D92" s="1559">
        <v>546.96900000000005</v>
      </c>
      <c r="E92" s="3106">
        <v>73</v>
      </c>
      <c r="F92" s="1468">
        <v>73</v>
      </c>
      <c r="G92" s="1558">
        <v>527.96699999999998</v>
      </c>
      <c r="H92" s="3108">
        <v>216.96700000000001</v>
      </c>
      <c r="I92" s="1559">
        <v>204.96700000000001</v>
      </c>
      <c r="J92" s="3106">
        <v>12</v>
      </c>
      <c r="K92" s="1458">
        <v>13</v>
      </c>
      <c r="L92" s="1461">
        <f t="shared" si="11"/>
        <v>1837.9360000000001</v>
      </c>
      <c r="M92" s="3107">
        <f t="shared" si="12"/>
        <v>836.93600000000004</v>
      </c>
      <c r="N92" s="1462">
        <f t="shared" si="13"/>
        <v>751.93600000000004</v>
      </c>
      <c r="O92" s="3107">
        <f t="shared" si="14"/>
        <v>85</v>
      </c>
      <c r="P92" s="1462">
        <f t="shared" si="10"/>
        <v>86</v>
      </c>
      <c r="Q92" s="1460">
        <v>28261</v>
      </c>
      <c r="R92" s="3106">
        <v>13285</v>
      </c>
      <c r="S92" s="1458">
        <v>11947</v>
      </c>
      <c r="T92" s="3106">
        <v>1338</v>
      </c>
      <c r="U92" s="1470">
        <v>1562</v>
      </c>
    </row>
    <row r="93" spans="1:21">
      <c r="A93" s="1467">
        <f t="shared" si="9"/>
        <v>2019.2</v>
      </c>
      <c r="B93" s="1560">
        <v>1311.847</v>
      </c>
      <c r="C93" s="3108">
        <v>624.84699999999998</v>
      </c>
      <c r="D93" s="1559">
        <v>558.84699999999998</v>
      </c>
      <c r="E93" s="3106">
        <v>66</v>
      </c>
      <c r="F93" s="1468">
        <v>65</v>
      </c>
      <c r="G93" s="1558">
        <v>529.36099999999999</v>
      </c>
      <c r="H93" s="3108">
        <v>219.36099999999999</v>
      </c>
      <c r="I93" s="1559">
        <v>202.36099999999999</v>
      </c>
      <c r="J93" s="3106">
        <v>16</v>
      </c>
      <c r="K93" s="1458">
        <v>16</v>
      </c>
      <c r="L93" s="1461">
        <f t="shared" si="11"/>
        <v>1841.2080000000001</v>
      </c>
      <c r="M93" s="3107">
        <f t="shared" si="12"/>
        <v>844.20799999999997</v>
      </c>
      <c r="N93" s="1462">
        <f t="shared" si="13"/>
        <v>761.20799999999997</v>
      </c>
      <c r="O93" s="3107">
        <f t="shared" si="14"/>
        <v>82</v>
      </c>
      <c r="P93" s="1462">
        <f t="shared" si="10"/>
        <v>81</v>
      </c>
      <c r="Q93" s="1460">
        <v>28330</v>
      </c>
      <c r="R93" s="3106">
        <v>13511</v>
      </c>
      <c r="S93" s="1458">
        <v>12073</v>
      </c>
      <c r="T93" s="3106">
        <v>1438</v>
      </c>
      <c r="U93" s="1470">
        <v>1775</v>
      </c>
    </row>
    <row r="94" spans="1:21">
      <c r="A94" s="1467">
        <f t="shared" si="9"/>
        <v>2019.3</v>
      </c>
      <c r="B94" s="1560">
        <v>1315.328</v>
      </c>
      <c r="C94" s="3108">
        <v>608.32799999999997</v>
      </c>
      <c r="D94" s="1559">
        <v>555.32799999999997</v>
      </c>
      <c r="E94" s="3106">
        <v>53</v>
      </c>
      <c r="F94" s="1468">
        <v>64</v>
      </c>
      <c r="G94" s="1558">
        <v>530.654</v>
      </c>
      <c r="H94" s="3108">
        <v>223.654</v>
      </c>
      <c r="I94" s="1559">
        <v>212.654</v>
      </c>
      <c r="J94" s="3106">
        <v>11</v>
      </c>
      <c r="K94" s="1458">
        <v>17</v>
      </c>
      <c r="L94" s="1461">
        <f t="shared" si="11"/>
        <v>1845.982</v>
      </c>
      <c r="M94" s="3107">
        <f t="shared" si="12"/>
        <v>831.98199999999997</v>
      </c>
      <c r="N94" s="1462">
        <f t="shared" si="13"/>
        <v>767.98199999999997</v>
      </c>
      <c r="O94" s="3107">
        <f t="shared" si="14"/>
        <v>64</v>
      </c>
      <c r="P94" s="1462">
        <f t="shared" ref="P94:P125" si="21">F94+K94</f>
        <v>81</v>
      </c>
      <c r="Q94" s="1460">
        <v>27989</v>
      </c>
      <c r="R94" s="3106">
        <v>13221</v>
      </c>
      <c r="S94" s="1458">
        <v>11934</v>
      </c>
      <c r="T94" s="3106">
        <v>1287</v>
      </c>
      <c r="U94" s="1470">
        <v>1688</v>
      </c>
    </row>
    <row r="95" spans="1:21">
      <c r="A95" s="1467">
        <f t="shared" si="9"/>
        <v>2019.4</v>
      </c>
      <c r="B95" s="1560">
        <v>1316.655</v>
      </c>
      <c r="C95" s="3108">
        <v>607.65499999999997</v>
      </c>
      <c r="D95" s="1559">
        <v>555.65499999999997</v>
      </c>
      <c r="E95" s="3106">
        <v>53</v>
      </c>
      <c r="F95" s="1468">
        <v>68</v>
      </c>
      <c r="G95" s="1558">
        <v>531.63400000000001</v>
      </c>
      <c r="H95" s="3108">
        <v>231.63399999999999</v>
      </c>
      <c r="I95" s="1559">
        <v>219.63399999999999</v>
      </c>
      <c r="J95" s="3106">
        <v>13</v>
      </c>
      <c r="K95" s="1458">
        <v>17</v>
      </c>
      <c r="L95" s="1461">
        <f t="shared" si="11"/>
        <v>1848.289</v>
      </c>
      <c r="M95" s="3107">
        <f t="shared" si="12"/>
        <v>839.28899999999999</v>
      </c>
      <c r="N95" s="1462">
        <f t="shared" si="13"/>
        <v>775.28899999999999</v>
      </c>
      <c r="O95" s="3107">
        <f t="shared" si="14"/>
        <v>66</v>
      </c>
      <c r="P95" s="1462">
        <f t="shared" si="21"/>
        <v>85</v>
      </c>
      <c r="Q95" s="1460">
        <v>28468.718000000001</v>
      </c>
      <c r="R95" s="3106">
        <v>13435.703</v>
      </c>
      <c r="S95" s="1458">
        <v>12240</v>
      </c>
      <c r="T95" s="3106">
        <v>1196</v>
      </c>
      <c r="U95" s="1470">
        <v>1754</v>
      </c>
    </row>
    <row r="96" spans="1:21">
      <c r="A96" s="1467">
        <f t="shared" si="9"/>
        <v>2020.1</v>
      </c>
      <c r="B96" s="1560">
        <v>1319.394</v>
      </c>
      <c r="C96" s="3108">
        <v>635.39400000000001</v>
      </c>
      <c r="D96" s="1559">
        <v>553.39400000000001</v>
      </c>
      <c r="E96" s="3106">
        <v>82</v>
      </c>
      <c r="F96" s="1468">
        <v>82</v>
      </c>
      <c r="G96" s="1558">
        <v>532.64800000000002</v>
      </c>
      <c r="H96" s="3108">
        <v>227.648</v>
      </c>
      <c r="I96" s="1559">
        <v>213.648</v>
      </c>
      <c r="J96" s="3106">
        <v>14</v>
      </c>
      <c r="K96" s="1458">
        <v>25</v>
      </c>
      <c r="L96" s="1461">
        <f t="shared" si="11"/>
        <v>1852.0419999999999</v>
      </c>
      <c r="M96" s="3107">
        <f t="shared" si="12"/>
        <v>863.04200000000003</v>
      </c>
      <c r="N96" s="1462">
        <f t="shared" si="13"/>
        <v>767.04200000000003</v>
      </c>
      <c r="O96" s="3107">
        <f t="shared" si="14"/>
        <v>96</v>
      </c>
      <c r="P96" s="1462">
        <f t="shared" si="21"/>
        <v>107</v>
      </c>
      <c r="Q96" s="1460">
        <v>28537</v>
      </c>
      <c r="R96" s="3106">
        <v>13439</v>
      </c>
      <c r="S96" s="1458">
        <v>12045</v>
      </c>
      <c r="T96" s="3106">
        <v>1394</v>
      </c>
      <c r="U96" s="1470">
        <v>1569</v>
      </c>
    </row>
    <row r="97" spans="1:21">
      <c r="A97" s="1467">
        <f t="shared" si="9"/>
        <v>2020.2</v>
      </c>
      <c r="B97" s="1560">
        <v>1321.058</v>
      </c>
      <c r="C97" s="3108">
        <v>569.05799999999999</v>
      </c>
      <c r="D97" s="1559">
        <v>467.05799999999999</v>
      </c>
      <c r="E97" s="3106">
        <v>102</v>
      </c>
      <c r="F97" s="1468">
        <v>49</v>
      </c>
      <c r="G97" s="1558">
        <v>533.53300000000002</v>
      </c>
      <c r="H97" s="3108">
        <v>203.53299999999999</v>
      </c>
      <c r="I97" s="1559">
        <v>162.53299999999999</v>
      </c>
      <c r="J97" s="3106">
        <v>41</v>
      </c>
      <c r="K97" s="1458">
        <v>13</v>
      </c>
      <c r="L97" s="1461">
        <f t="shared" si="11"/>
        <v>1854.5909999999999</v>
      </c>
      <c r="M97" s="3107">
        <f t="shared" si="12"/>
        <v>772.59100000000001</v>
      </c>
      <c r="N97" s="1462">
        <f t="shared" si="13"/>
        <v>629.59100000000001</v>
      </c>
      <c r="O97" s="3107">
        <f t="shared" si="14"/>
        <v>143</v>
      </c>
      <c r="P97" s="1462">
        <f t="shared" si="21"/>
        <v>62</v>
      </c>
      <c r="Q97" s="1460">
        <v>28605</v>
      </c>
      <c r="R97" s="3106">
        <v>10983</v>
      </c>
      <c r="S97" s="1458">
        <v>9546</v>
      </c>
      <c r="T97" s="3106">
        <v>1437</v>
      </c>
      <c r="U97" s="1470">
        <v>1054</v>
      </c>
    </row>
    <row r="98" spans="1:21">
      <c r="A98" s="1467">
        <f t="shared" si="9"/>
        <v>2020.3</v>
      </c>
      <c r="B98" s="1560">
        <v>1322.71</v>
      </c>
      <c r="C98" s="3108">
        <v>615.36099999999999</v>
      </c>
      <c r="D98" s="1559">
        <v>546.97299999999996</v>
      </c>
      <c r="E98" s="3106">
        <v>68.388000000000005</v>
      </c>
      <c r="F98" s="1468">
        <v>76.289000000000001</v>
      </c>
      <c r="G98" s="1558">
        <v>534.64800000000002</v>
      </c>
      <c r="H98" s="3108">
        <v>234.45099999999999</v>
      </c>
      <c r="I98" s="1559">
        <v>212.15899999999999</v>
      </c>
      <c r="J98" s="3106">
        <v>22.292000000000002</v>
      </c>
      <c r="K98" s="1458">
        <v>31.478999999999999</v>
      </c>
      <c r="L98" s="1461">
        <f t="shared" si="11"/>
        <v>1857.3580000000002</v>
      </c>
      <c r="M98" s="3107">
        <f t="shared" si="12"/>
        <v>849.81200000000001</v>
      </c>
      <c r="N98" s="1462">
        <f t="shared" si="13"/>
        <v>759.13199999999995</v>
      </c>
      <c r="O98" s="3107">
        <f t="shared" si="14"/>
        <v>90.68</v>
      </c>
      <c r="P98" s="1462">
        <f t="shared" si="21"/>
        <v>107.768</v>
      </c>
      <c r="Q98" s="1460">
        <v>28506.488000000001</v>
      </c>
      <c r="R98" s="3106">
        <v>12072.483</v>
      </c>
      <c r="S98" s="1458">
        <v>10657.849</v>
      </c>
      <c r="T98" s="3106">
        <v>1414.634</v>
      </c>
      <c r="U98" s="1470">
        <v>1620.3009999999999</v>
      </c>
    </row>
    <row r="99" spans="1:21">
      <c r="A99" s="1467">
        <f t="shared" si="9"/>
        <v>2020.4</v>
      </c>
      <c r="B99" s="1560">
        <v>1324.86</v>
      </c>
      <c r="C99" s="3108">
        <v>618.61400000000003</v>
      </c>
      <c r="D99" s="1559">
        <v>534.41</v>
      </c>
      <c r="E99" s="3106">
        <v>84.203999999999994</v>
      </c>
      <c r="F99" s="1468">
        <v>75.762</v>
      </c>
      <c r="G99" s="1558">
        <v>535.79499999999996</v>
      </c>
      <c r="H99" s="3108">
        <v>240.52600000000001</v>
      </c>
      <c r="I99" s="1559">
        <v>221.74199999999999</v>
      </c>
      <c r="J99" s="3106">
        <v>18.783999999999999</v>
      </c>
      <c r="K99" s="1458">
        <v>28.882999999999999</v>
      </c>
      <c r="L99" s="1461">
        <f t="shared" si="11"/>
        <v>1860.6549999999997</v>
      </c>
      <c r="M99" s="3107">
        <f t="shared" si="12"/>
        <v>859.1400000000001</v>
      </c>
      <c r="N99" s="1462">
        <f t="shared" si="13"/>
        <v>756.15199999999993</v>
      </c>
      <c r="O99" s="3107">
        <f t="shared" si="14"/>
        <v>102.988</v>
      </c>
      <c r="P99" s="1462">
        <f t="shared" si="21"/>
        <v>104.645</v>
      </c>
      <c r="Q99" s="1460">
        <v>28739.664000000001</v>
      </c>
      <c r="R99" s="3106">
        <v>12941.803</v>
      </c>
      <c r="S99" s="1458">
        <v>11523.648999999999</v>
      </c>
      <c r="T99" s="3106">
        <v>1418.154</v>
      </c>
      <c r="U99" s="1470">
        <v>1954.5039999999999</v>
      </c>
    </row>
    <row r="100" spans="1:21">
      <c r="A100" s="1467">
        <f t="shared" si="9"/>
        <v>2021.1</v>
      </c>
      <c r="B100" s="1560">
        <v>1327.4960000000001</v>
      </c>
      <c r="C100" s="3108">
        <v>655.49599999999998</v>
      </c>
      <c r="D100" s="1559">
        <v>583.49599999999998</v>
      </c>
      <c r="E100" s="3106">
        <v>71</v>
      </c>
      <c r="F100" s="1468">
        <v>62</v>
      </c>
      <c r="G100" s="1558">
        <v>536.52200000000005</v>
      </c>
      <c r="H100" s="3108">
        <v>247.52199999999999</v>
      </c>
      <c r="I100" s="1559">
        <v>225.52199999999999</v>
      </c>
      <c r="J100" s="3106">
        <v>22</v>
      </c>
      <c r="K100" s="1458">
        <v>28</v>
      </c>
      <c r="L100" s="1461">
        <f t="shared" si="11"/>
        <v>1864.018</v>
      </c>
      <c r="M100" s="3107">
        <f t="shared" si="12"/>
        <v>903.01800000000003</v>
      </c>
      <c r="N100" s="1462">
        <f t="shared" si="13"/>
        <v>809.01800000000003</v>
      </c>
      <c r="O100" s="3107">
        <f t="shared" si="14"/>
        <v>93</v>
      </c>
      <c r="P100" s="1462">
        <f t="shared" si="21"/>
        <v>90</v>
      </c>
      <c r="Q100" s="1460">
        <v>28807</v>
      </c>
      <c r="R100" s="3106">
        <v>13337</v>
      </c>
      <c r="S100" s="1458">
        <v>11982</v>
      </c>
      <c r="T100" s="3106">
        <v>1355</v>
      </c>
      <c r="U100" s="1470">
        <v>1592</v>
      </c>
    </row>
    <row r="101" spans="1:21">
      <c r="A101" s="1467">
        <f t="shared" si="9"/>
        <v>2021.2</v>
      </c>
      <c r="B101" s="1560">
        <v>1329.221</v>
      </c>
      <c r="C101" s="3108">
        <v>663.221</v>
      </c>
      <c r="D101" s="1559">
        <v>585.221</v>
      </c>
      <c r="E101" s="3106">
        <v>78</v>
      </c>
      <c r="F101" s="1468">
        <v>68</v>
      </c>
      <c r="G101" s="1558">
        <v>537.61300000000006</v>
      </c>
      <c r="H101" s="3108">
        <v>246.613</v>
      </c>
      <c r="I101" s="1559">
        <v>224.613</v>
      </c>
      <c r="J101" s="3106">
        <v>22</v>
      </c>
      <c r="K101" s="1458">
        <v>36</v>
      </c>
      <c r="L101" s="1461">
        <f t="shared" si="11"/>
        <v>1866.8340000000001</v>
      </c>
      <c r="M101" s="3107">
        <f t="shared" si="12"/>
        <v>909.83400000000006</v>
      </c>
      <c r="N101" s="1462">
        <f t="shared" si="13"/>
        <v>809.83400000000006</v>
      </c>
      <c r="O101" s="3107">
        <f t="shared" si="14"/>
        <v>100</v>
      </c>
      <c r="P101" s="1462">
        <f t="shared" si="21"/>
        <v>104</v>
      </c>
      <c r="Q101" s="1460">
        <v>28872</v>
      </c>
      <c r="R101" s="3106">
        <v>13254</v>
      </c>
      <c r="S101" s="1458">
        <v>11981</v>
      </c>
      <c r="T101" s="3106">
        <v>1273</v>
      </c>
      <c r="U101" s="1470">
        <v>1645</v>
      </c>
    </row>
    <row r="102" spans="1:21">
      <c r="A102" s="1467">
        <f t="shared" si="9"/>
        <v>2021.3</v>
      </c>
      <c r="B102" s="1560">
        <v>1330.6859999999999</v>
      </c>
      <c r="C102" s="3108">
        <v>663.68600000000004</v>
      </c>
      <c r="D102" s="1559">
        <v>611.68600000000004</v>
      </c>
      <c r="E102" s="3106">
        <v>52</v>
      </c>
      <c r="F102" s="1468">
        <v>69</v>
      </c>
      <c r="G102" s="1558">
        <v>538.72900000000004</v>
      </c>
      <c r="H102" s="3108">
        <v>252.72900000000001</v>
      </c>
      <c r="I102" s="1559">
        <v>231.72900000000001</v>
      </c>
      <c r="J102" s="3106">
        <v>22</v>
      </c>
      <c r="K102" s="1458">
        <v>35</v>
      </c>
      <c r="L102" s="1461">
        <f t="shared" si="11"/>
        <v>1869.415</v>
      </c>
      <c r="M102" s="3107">
        <f t="shared" si="12"/>
        <v>916.41500000000008</v>
      </c>
      <c r="N102" s="1462">
        <f t="shared" si="13"/>
        <v>843.41500000000008</v>
      </c>
      <c r="O102" s="3107">
        <f t="shared" si="14"/>
        <v>74</v>
      </c>
      <c r="P102" s="1462">
        <f t="shared" si="21"/>
        <v>104</v>
      </c>
      <c r="Q102" s="1460">
        <v>28506</v>
      </c>
      <c r="R102" s="3106">
        <v>12072</v>
      </c>
      <c r="S102" s="1458">
        <v>10658</v>
      </c>
      <c r="T102" s="3106">
        <v>1415</v>
      </c>
      <c r="U102" s="1470">
        <v>1620</v>
      </c>
    </row>
    <row r="103" spans="1:21">
      <c r="A103" s="1467">
        <f t="shared" si="9"/>
        <v>2021.4</v>
      </c>
      <c r="B103" s="1560">
        <v>1332.875</v>
      </c>
      <c r="C103" s="3108">
        <v>659.875</v>
      </c>
      <c r="D103" s="1559">
        <v>613.875</v>
      </c>
      <c r="E103" s="3106">
        <v>46</v>
      </c>
      <c r="F103" s="1468">
        <v>79</v>
      </c>
      <c r="G103" s="1558">
        <v>539.86900000000003</v>
      </c>
      <c r="H103" s="3108">
        <v>244.869</v>
      </c>
      <c r="I103" s="1559">
        <v>229.869</v>
      </c>
      <c r="J103" s="3106">
        <v>15</v>
      </c>
      <c r="K103" s="1458">
        <v>28</v>
      </c>
      <c r="L103" s="1461">
        <f t="shared" si="11"/>
        <v>1872.7440000000001</v>
      </c>
      <c r="M103" s="3107">
        <f t="shared" si="12"/>
        <v>904.74400000000003</v>
      </c>
      <c r="N103" s="1462">
        <f t="shared" si="13"/>
        <v>843.74400000000003</v>
      </c>
      <c r="O103" s="3107">
        <f t="shared" si="14"/>
        <v>61</v>
      </c>
      <c r="P103" s="1462">
        <f t="shared" si="21"/>
        <v>107</v>
      </c>
      <c r="Q103" s="1460">
        <v>29006.367999999999</v>
      </c>
      <c r="R103" s="3106">
        <v>13590.421</v>
      </c>
      <c r="S103" s="1458">
        <v>12643.582</v>
      </c>
      <c r="T103" s="3106">
        <v>946.83900000000006</v>
      </c>
      <c r="U103" s="1470">
        <v>1647.0450000000001</v>
      </c>
    </row>
    <row r="104" spans="1:21">
      <c r="A104" s="1467">
        <f t="shared" si="9"/>
        <v>2022.1</v>
      </c>
      <c r="B104" s="1560">
        <v>1335.2840000000001</v>
      </c>
      <c r="C104" s="3108">
        <v>674.28399999999999</v>
      </c>
      <c r="D104" s="1559">
        <v>620.28399999999999</v>
      </c>
      <c r="E104" s="3106">
        <v>54</v>
      </c>
      <c r="F104" s="1468">
        <v>61</v>
      </c>
      <c r="G104" s="1558">
        <v>541.38599999999997</v>
      </c>
      <c r="H104" s="3108">
        <v>248.386</v>
      </c>
      <c r="I104" s="1559">
        <v>230.386</v>
      </c>
      <c r="J104" s="3106">
        <v>18</v>
      </c>
      <c r="K104" s="1458">
        <v>21</v>
      </c>
      <c r="L104" s="1461">
        <f t="shared" si="11"/>
        <v>1876.67</v>
      </c>
      <c r="M104" s="3107">
        <f t="shared" si="12"/>
        <v>922.67</v>
      </c>
      <c r="N104" s="1462">
        <f t="shared" si="13"/>
        <v>850.67</v>
      </c>
      <c r="O104" s="3107">
        <f t="shared" si="14"/>
        <v>72</v>
      </c>
      <c r="P104" s="1462">
        <f t="shared" si="21"/>
        <v>82</v>
      </c>
      <c r="Q104" s="1460">
        <v>29073</v>
      </c>
      <c r="R104" s="3106">
        <v>13527</v>
      </c>
      <c r="S104" s="1458">
        <v>12584</v>
      </c>
      <c r="T104" s="3106">
        <v>943</v>
      </c>
      <c r="U104" s="1470">
        <v>1355</v>
      </c>
    </row>
    <row r="105" spans="1:21">
      <c r="A105" s="1467">
        <f t="shared" si="9"/>
        <v>2022.2</v>
      </c>
      <c r="B105" s="1560">
        <v>1336.702</v>
      </c>
      <c r="C105" s="3108">
        <v>676.702</v>
      </c>
      <c r="D105" s="1559">
        <v>647.702</v>
      </c>
      <c r="E105" s="3106">
        <v>29</v>
      </c>
      <c r="F105" s="1468">
        <v>58</v>
      </c>
      <c r="G105" s="1558">
        <v>541.58199999999999</v>
      </c>
      <c r="H105" s="3108">
        <v>258.58199999999999</v>
      </c>
      <c r="I105" s="1559">
        <v>239.58199999999999</v>
      </c>
      <c r="J105" s="3106">
        <v>19</v>
      </c>
      <c r="K105" s="1458">
        <v>37</v>
      </c>
      <c r="L105" s="1461">
        <f t="shared" si="11"/>
        <v>1878.2840000000001</v>
      </c>
      <c r="M105" s="3107">
        <f t="shared" si="12"/>
        <v>935.28399999999999</v>
      </c>
      <c r="N105" s="1462">
        <f t="shared" si="13"/>
        <v>887.28399999999999</v>
      </c>
      <c r="O105" s="3107">
        <f t="shared" si="14"/>
        <v>48</v>
      </c>
      <c r="P105" s="1462">
        <f t="shared" si="21"/>
        <v>95</v>
      </c>
      <c r="Q105" s="1460">
        <v>29137</v>
      </c>
      <c r="R105" s="3106">
        <v>13950</v>
      </c>
      <c r="S105" s="1458">
        <v>12993</v>
      </c>
      <c r="T105" s="3106">
        <v>957</v>
      </c>
      <c r="U105" s="1470">
        <v>1552</v>
      </c>
    </row>
    <row r="106" spans="1:21">
      <c r="A106" s="1467">
        <f t="shared" si="9"/>
        <v>2022.3</v>
      </c>
      <c r="B106" s="1560">
        <v>1338.7049999999999</v>
      </c>
      <c r="C106" s="3108">
        <v>678.70500000000004</v>
      </c>
      <c r="D106" s="1559">
        <v>637.70500000000004</v>
      </c>
      <c r="E106" s="3106">
        <v>41</v>
      </c>
      <c r="F106" s="1468">
        <v>55</v>
      </c>
      <c r="G106" s="1558">
        <v>542.90099999999995</v>
      </c>
      <c r="H106" s="3108">
        <v>253.90100000000001</v>
      </c>
      <c r="I106" s="1559">
        <v>231.90100000000001</v>
      </c>
      <c r="J106" s="3106">
        <v>22</v>
      </c>
      <c r="K106" s="1458">
        <v>26</v>
      </c>
      <c r="L106" s="1461">
        <f t="shared" ref="L106:L139" si="22">B106+G106</f>
        <v>1881.6059999999998</v>
      </c>
      <c r="M106" s="3107">
        <f t="shared" ref="M106:M139" si="23">C106+H106</f>
        <v>932.60599999999999</v>
      </c>
      <c r="N106" s="1462">
        <f t="shared" ref="N106:N139" si="24">D106+I106</f>
        <v>869.60599999999999</v>
      </c>
      <c r="O106" s="3107">
        <f t="shared" ref="O106:O139" si="25">E106+J106</f>
        <v>63</v>
      </c>
      <c r="P106" s="1462">
        <f t="shared" si="21"/>
        <v>81</v>
      </c>
      <c r="Q106" s="1460">
        <v>29204</v>
      </c>
      <c r="R106" s="3106">
        <v>13911</v>
      </c>
      <c r="S106" s="1458">
        <v>12922</v>
      </c>
      <c r="T106" s="3106">
        <v>989</v>
      </c>
      <c r="U106" s="1470">
        <v>1535</v>
      </c>
    </row>
    <row r="107" spans="1:21">
      <c r="A107" s="1467">
        <f t="shared" si="9"/>
        <v>2022.4</v>
      </c>
      <c r="B107" s="1560">
        <v>1340.825</v>
      </c>
      <c r="C107" s="3108">
        <v>661.68200000000002</v>
      </c>
      <c r="D107" s="1559">
        <v>619.79200000000003</v>
      </c>
      <c r="E107" s="3106">
        <v>41.89</v>
      </c>
      <c r="F107" s="1468">
        <v>50.115000000000002</v>
      </c>
      <c r="G107" s="1558">
        <v>544.13699999999994</v>
      </c>
      <c r="H107" s="3108">
        <v>251.99600000000001</v>
      </c>
      <c r="I107" s="1559">
        <v>234.67</v>
      </c>
      <c r="J107" s="3106">
        <v>17.326000000000001</v>
      </c>
      <c r="K107" s="1458">
        <v>28.654</v>
      </c>
      <c r="L107" s="1461">
        <f t="shared" si="22"/>
        <v>1884.962</v>
      </c>
      <c r="M107" s="3107">
        <f t="shared" si="23"/>
        <v>913.678</v>
      </c>
      <c r="N107" s="1462">
        <f t="shared" si="24"/>
        <v>854.46199999999999</v>
      </c>
      <c r="O107" s="3107">
        <f t="shared" si="25"/>
        <v>59.216000000000001</v>
      </c>
      <c r="P107" s="1462">
        <f t="shared" si="21"/>
        <v>78.769000000000005</v>
      </c>
      <c r="Q107" s="1460">
        <v>29269.321</v>
      </c>
      <c r="R107" s="3106">
        <v>13936.57</v>
      </c>
      <c r="S107" s="1458">
        <v>13061.102000000001</v>
      </c>
      <c r="T107" s="3106">
        <v>875.46799999999996</v>
      </c>
      <c r="U107" s="1470">
        <v>1517.2180000000001</v>
      </c>
    </row>
    <row r="108" spans="1:21">
      <c r="A108" s="1467">
        <f t="shared" si="9"/>
        <v>2023.1</v>
      </c>
      <c r="B108" s="1560">
        <v>1342.816</v>
      </c>
      <c r="C108" s="3108">
        <v>684.84199999999998</v>
      </c>
      <c r="D108" s="1559">
        <v>630.62400000000002</v>
      </c>
      <c r="E108" s="3106">
        <v>54.218000000000004</v>
      </c>
      <c r="F108" s="1468">
        <v>51.322000000000003</v>
      </c>
      <c r="G108" s="1558">
        <v>545.149</v>
      </c>
      <c r="H108" s="3108">
        <v>244.71799999999999</v>
      </c>
      <c r="I108" s="1559">
        <v>226.84299999999999</v>
      </c>
      <c r="J108" s="3106">
        <v>17.875</v>
      </c>
      <c r="K108" s="1458">
        <v>28.241</v>
      </c>
      <c r="L108" s="1461">
        <f t="shared" si="22"/>
        <v>1887.9650000000001</v>
      </c>
      <c r="M108" s="3107">
        <f t="shared" si="23"/>
        <v>929.56</v>
      </c>
      <c r="N108" s="1462">
        <f t="shared" si="24"/>
        <v>857.46699999999998</v>
      </c>
      <c r="O108" s="3107">
        <f t="shared" si="25"/>
        <v>72.093000000000004</v>
      </c>
      <c r="P108" s="1462">
        <f t="shared" si="21"/>
        <v>79.563000000000002</v>
      </c>
      <c r="Q108" s="1460">
        <v>29335.154999999999</v>
      </c>
      <c r="R108" s="3106">
        <v>14165.147999999999</v>
      </c>
      <c r="S108" s="1458">
        <v>13191.361000000001</v>
      </c>
      <c r="T108" s="3106">
        <v>973.78700000000003</v>
      </c>
      <c r="U108" s="1470">
        <v>1332.4580000000001</v>
      </c>
    </row>
    <row r="109" spans="1:21">
      <c r="A109" s="1467">
        <f t="shared" si="9"/>
        <v>2023.2</v>
      </c>
      <c r="B109" s="1560">
        <v>1345.4290000000001</v>
      </c>
      <c r="C109" s="3108">
        <v>675.42899999999997</v>
      </c>
      <c r="D109" s="1559">
        <v>639.42899999999997</v>
      </c>
      <c r="E109" s="3106">
        <v>36</v>
      </c>
      <c r="F109" s="1468">
        <v>42</v>
      </c>
      <c r="G109" s="1558">
        <v>546.14</v>
      </c>
      <c r="H109" s="3108">
        <v>255.14</v>
      </c>
      <c r="I109" s="1559">
        <v>234.14</v>
      </c>
      <c r="J109" s="3106">
        <v>21</v>
      </c>
      <c r="K109" s="1458">
        <v>25</v>
      </c>
      <c r="L109" s="1461">
        <f t="shared" si="22"/>
        <v>1891.569</v>
      </c>
      <c r="M109" s="3107">
        <f t="shared" si="23"/>
        <v>930.56899999999996</v>
      </c>
      <c r="N109" s="1462">
        <f t="shared" si="24"/>
        <v>873.56899999999996</v>
      </c>
      <c r="O109" s="3107">
        <f t="shared" si="25"/>
        <v>57</v>
      </c>
      <c r="P109" s="1462">
        <f t="shared" si="21"/>
        <v>67</v>
      </c>
      <c r="Q109" s="1460">
        <v>29399</v>
      </c>
      <c r="R109" s="3106">
        <v>13980</v>
      </c>
      <c r="S109" s="1458">
        <v>13108</v>
      </c>
      <c r="T109" s="3106">
        <v>872</v>
      </c>
      <c r="U109" s="1470">
        <v>1484</v>
      </c>
    </row>
    <row r="110" spans="1:21">
      <c r="A110" s="1467">
        <f t="shared" si="9"/>
        <v>2023.3</v>
      </c>
      <c r="B110" s="1560">
        <v>1346.673</v>
      </c>
      <c r="C110" s="3108">
        <v>658.81700000000001</v>
      </c>
      <c r="D110" s="1559">
        <v>624.17100000000005</v>
      </c>
      <c r="E110" s="3106">
        <v>34.646000000000001</v>
      </c>
      <c r="F110" s="1468">
        <v>39.923999999999999</v>
      </c>
      <c r="G110" s="1558">
        <v>547.17100000000005</v>
      </c>
      <c r="H110" s="3108">
        <v>247.85499999999999</v>
      </c>
      <c r="I110" s="1559">
        <v>239.76900000000001</v>
      </c>
      <c r="J110" s="3106">
        <v>8.0860000000000003</v>
      </c>
      <c r="K110" s="1458">
        <v>26.084</v>
      </c>
      <c r="L110" s="1461">
        <f t="shared" si="22"/>
        <v>1893.8440000000001</v>
      </c>
      <c r="M110" s="3107">
        <f t="shared" si="23"/>
        <v>906.67200000000003</v>
      </c>
      <c r="N110" s="1462">
        <f t="shared" si="24"/>
        <v>863.94</v>
      </c>
      <c r="O110" s="3107">
        <f t="shared" si="25"/>
        <v>42.731999999999999</v>
      </c>
      <c r="P110" s="1462">
        <f t="shared" si="21"/>
        <v>66.007999999999996</v>
      </c>
      <c r="Q110" s="1460">
        <v>29463.819</v>
      </c>
      <c r="R110" s="3106">
        <v>14209.862999999999</v>
      </c>
      <c r="S110" s="1458">
        <v>13396.201999999999</v>
      </c>
      <c r="T110" s="3106">
        <v>813.66099999999994</v>
      </c>
      <c r="U110" s="1470">
        <v>1466.731</v>
      </c>
    </row>
    <row r="111" spans="1:21">
      <c r="A111" s="1467">
        <f t="shared" si="9"/>
        <v>2023.4</v>
      </c>
      <c r="B111" s="1560">
        <v>1349.19</v>
      </c>
      <c r="C111" s="3108">
        <v>657.19</v>
      </c>
      <c r="D111" s="1559">
        <v>626.19000000000005</v>
      </c>
      <c r="E111" s="3106">
        <v>31</v>
      </c>
      <c r="F111" s="1468">
        <v>63</v>
      </c>
      <c r="G111" s="1558">
        <v>548.47799999999995</v>
      </c>
      <c r="H111" s="3108">
        <v>243.47800000000001</v>
      </c>
      <c r="I111" s="1559">
        <v>227.47800000000001</v>
      </c>
      <c r="J111" s="3106">
        <v>15</v>
      </c>
      <c r="K111" s="1458">
        <v>28</v>
      </c>
      <c r="L111" s="1461">
        <f t="shared" si="22"/>
        <v>1897.6680000000001</v>
      </c>
      <c r="M111" s="3107">
        <f t="shared" si="23"/>
        <v>900.66800000000012</v>
      </c>
      <c r="N111" s="1462">
        <f t="shared" si="24"/>
        <v>853.66800000000012</v>
      </c>
      <c r="O111" s="3107">
        <f t="shared" si="25"/>
        <v>46</v>
      </c>
      <c r="P111" s="1462">
        <f t="shared" si="21"/>
        <v>91</v>
      </c>
      <c r="Q111" s="1460">
        <v>29529</v>
      </c>
      <c r="R111" s="3106">
        <v>14340</v>
      </c>
      <c r="S111" s="1458">
        <v>13518</v>
      </c>
      <c r="T111" s="3106">
        <v>822</v>
      </c>
      <c r="U111" s="1470">
        <v>1502</v>
      </c>
    </row>
    <row r="112" spans="1:21">
      <c r="A112" s="1467">
        <f t="shared" ref="A112:A139" si="26">A108+1</f>
        <v>2024.1</v>
      </c>
      <c r="B112" s="1560">
        <v>1351.2180000000001</v>
      </c>
      <c r="C112" s="3108">
        <v>657.21799999999996</v>
      </c>
      <c r="D112" s="1559">
        <v>620.21799999999996</v>
      </c>
      <c r="E112" s="3106">
        <v>37</v>
      </c>
      <c r="F112" s="1468">
        <v>53</v>
      </c>
      <c r="G112" s="1558">
        <v>548.846</v>
      </c>
      <c r="H112" s="3108">
        <v>248.846</v>
      </c>
      <c r="I112" s="1559">
        <v>229.846</v>
      </c>
      <c r="J112" s="3106">
        <v>19</v>
      </c>
      <c r="K112" s="1458">
        <v>32</v>
      </c>
      <c r="L112" s="1461">
        <f t="shared" si="22"/>
        <v>1900.0640000000001</v>
      </c>
      <c r="M112" s="3107">
        <f t="shared" si="23"/>
        <v>906.06399999999996</v>
      </c>
      <c r="N112" s="1462">
        <f t="shared" si="24"/>
        <v>850.06399999999996</v>
      </c>
      <c r="O112" s="3107">
        <f t="shared" si="25"/>
        <v>56</v>
      </c>
      <c r="P112" s="1462">
        <f t="shared" si="21"/>
        <v>85</v>
      </c>
      <c r="Q112" s="1460">
        <v>29593</v>
      </c>
      <c r="R112" s="3106">
        <v>14202</v>
      </c>
      <c r="S112" s="1458">
        <v>13114</v>
      </c>
      <c r="T112" s="3106">
        <v>1088</v>
      </c>
      <c r="U112" s="1470">
        <v>1444</v>
      </c>
    </row>
    <row r="113" spans="1:21">
      <c r="A113" s="1467">
        <f t="shared" si="26"/>
        <v>2024.2</v>
      </c>
      <c r="B113" s="1560">
        <v>1352.5640000000001</v>
      </c>
      <c r="C113" s="3108">
        <v>687.64</v>
      </c>
      <c r="D113" s="1559">
        <v>637.87300000000005</v>
      </c>
      <c r="E113" s="3106">
        <v>49.767000000000003</v>
      </c>
      <c r="F113" s="1468">
        <v>51.670999999999999</v>
      </c>
      <c r="G113" s="1558">
        <v>550.23599999999999</v>
      </c>
      <c r="H113" s="3108">
        <v>250.084</v>
      </c>
      <c r="I113" s="1559">
        <v>229.727</v>
      </c>
      <c r="J113" s="3106">
        <v>20.356999999999999</v>
      </c>
      <c r="K113" s="1458">
        <v>31.091999999999999</v>
      </c>
      <c r="L113" s="1461">
        <f t="shared" si="22"/>
        <v>1902.8000000000002</v>
      </c>
      <c r="M113" s="3107">
        <f t="shared" si="23"/>
        <v>937.72399999999993</v>
      </c>
      <c r="N113" s="1462">
        <f t="shared" si="24"/>
        <v>867.6</v>
      </c>
      <c r="O113" s="3107">
        <f t="shared" si="25"/>
        <v>70.123999999999995</v>
      </c>
      <c r="P113" s="1462">
        <f t="shared" si="21"/>
        <v>82.763000000000005</v>
      </c>
      <c r="Q113" s="1460">
        <v>29656.342000000001</v>
      </c>
      <c r="R113" s="3106">
        <v>14386.127</v>
      </c>
      <c r="S113" s="1458">
        <v>13297.901</v>
      </c>
      <c r="T113" s="3106">
        <v>1088.2260000000001</v>
      </c>
      <c r="U113" s="1470">
        <v>1699.107</v>
      </c>
    </row>
    <row r="114" spans="1:21">
      <c r="A114" s="1467">
        <f t="shared" si="26"/>
        <v>2024.3</v>
      </c>
      <c r="B114" s="1560">
        <v>1355.2750000000001</v>
      </c>
      <c r="C114" s="3108">
        <v>686.27499999999998</v>
      </c>
      <c r="D114" s="1559">
        <v>646.27499999999998</v>
      </c>
      <c r="E114" s="3106">
        <v>39</v>
      </c>
      <c r="F114" s="1468">
        <v>89</v>
      </c>
      <c r="G114" s="1558">
        <v>550.93899999999996</v>
      </c>
      <c r="H114" s="3108">
        <v>247.93899999999999</v>
      </c>
      <c r="I114" s="1559">
        <v>231.35899999999998</v>
      </c>
      <c r="J114" s="3106">
        <v>17</v>
      </c>
      <c r="K114" s="1458">
        <v>39</v>
      </c>
      <c r="L114" s="1461">
        <f t="shared" si="22"/>
        <v>1906.2139999999999</v>
      </c>
      <c r="M114" s="3107">
        <f t="shared" si="23"/>
        <v>934.21399999999994</v>
      </c>
      <c r="N114" s="1462">
        <f t="shared" si="24"/>
        <v>877.63400000000001</v>
      </c>
      <c r="O114" s="3107">
        <f t="shared" si="25"/>
        <v>56</v>
      </c>
      <c r="P114" s="1462">
        <f t="shared" si="21"/>
        <v>128</v>
      </c>
      <c r="Q114" s="1460">
        <v>29720</v>
      </c>
      <c r="R114" s="3106">
        <v>14362</v>
      </c>
      <c r="S114" s="1458">
        <v>13368</v>
      </c>
      <c r="T114" s="3106">
        <v>994</v>
      </c>
      <c r="U114" s="1470">
        <v>1632</v>
      </c>
    </row>
    <row r="115" spans="1:21">
      <c r="A115" s="1467">
        <f t="shared" si="26"/>
        <v>2024.4</v>
      </c>
      <c r="B115" s="1560">
        <v>1355.7849999999999</v>
      </c>
      <c r="C115" s="3108">
        <v>680.56999999999994</v>
      </c>
      <c r="D115" s="1559">
        <v>638.78499999999997</v>
      </c>
      <c r="E115" s="3106">
        <v>41</v>
      </c>
      <c r="F115" s="1468">
        <v>57</v>
      </c>
      <c r="G115" s="1558">
        <v>551.98199999999997</v>
      </c>
      <c r="H115" s="3108">
        <v>243.982</v>
      </c>
      <c r="I115" s="1559">
        <v>231.982</v>
      </c>
      <c r="J115" s="3106">
        <v>12</v>
      </c>
      <c r="K115" s="1458">
        <v>33</v>
      </c>
      <c r="L115" s="1461">
        <f t="shared" si="22"/>
        <v>1907.7669999999998</v>
      </c>
      <c r="M115" s="3107">
        <f t="shared" si="23"/>
        <v>924.55199999999991</v>
      </c>
      <c r="N115" s="1462">
        <f t="shared" si="24"/>
        <v>870.76699999999994</v>
      </c>
      <c r="O115" s="3107">
        <f t="shared" si="25"/>
        <v>53</v>
      </c>
      <c r="P115" s="1462">
        <f t="shared" si="21"/>
        <v>90</v>
      </c>
      <c r="Q115" s="1460">
        <v>29784</v>
      </c>
      <c r="R115" s="3106">
        <v>14533</v>
      </c>
      <c r="S115" s="1458">
        <v>13596</v>
      </c>
      <c r="T115" s="3106">
        <v>937</v>
      </c>
      <c r="U115" s="1470">
        <v>1641</v>
      </c>
    </row>
    <row r="116" spans="1:21">
      <c r="A116" s="1467">
        <f t="shared" si="26"/>
        <v>2025.1</v>
      </c>
      <c r="B116" s="1457" t="e">
        <v>#N/A</v>
      </c>
      <c r="C116" s="3106" t="e">
        <v>#N/A</v>
      </c>
      <c r="D116" s="1458" t="e">
        <v>#N/A</v>
      </c>
      <c r="E116" s="3106" t="e">
        <v>#N/A</v>
      </c>
      <c r="F116" s="1468" t="e">
        <v>#N/A</v>
      </c>
      <c r="G116" s="1460" t="e">
        <v>#N/A</v>
      </c>
      <c r="H116" s="3106" t="e">
        <v>#N/A</v>
      </c>
      <c r="I116" s="1458" t="e">
        <v>#N/A</v>
      </c>
      <c r="J116" s="3106" t="e">
        <v>#N/A</v>
      </c>
      <c r="K116" s="1458" t="e">
        <v>#N/A</v>
      </c>
      <c r="L116" s="1461" t="e">
        <f t="shared" si="22"/>
        <v>#N/A</v>
      </c>
      <c r="M116" s="3107" t="e">
        <f t="shared" si="23"/>
        <v>#N/A</v>
      </c>
      <c r="N116" s="1462" t="e">
        <f t="shared" si="24"/>
        <v>#N/A</v>
      </c>
      <c r="O116" s="3107" t="e">
        <f t="shared" si="25"/>
        <v>#N/A</v>
      </c>
      <c r="P116" s="1462" t="e">
        <f t="shared" si="21"/>
        <v>#N/A</v>
      </c>
      <c r="Q116" s="1460" t="e">
        <v>#N/A</v>
      </c>
      <c r="R116" s="3106" t="e">
        <v>#N/A</v>
      </c>
      <c r="S116" s="1458" t="e">
        <v>#N/A</v>
      </c>
      <c r="T116" s="3106" t="e">
        <v>#N/A</v>
      </c>
      <c r="U116" s="1470" t="e">
        <v>#N/A</v>
      </c>
    </row>
    <row r="117" spans="1:21">
      <c r="A117" s="1467">
        <f t="shared" si="26"/>
        <v>2025.2</v>
      </c>
      <c r="B117" s="1457" t="e">
        <v>#N/A</v>
      </c>
      <c r="C117" s="3106" t="e">
        <v>#N/A</v>
      </c>
      <c r="D117" s="1458" t="e">
        <v>#N/A</v>
      </c>
      <c r="E117" s="3106" t="e">
        <v>#N/A</v>
      </c>
      <c r="F117" s="1468" t="e">
        <v>#N/A</v>
      </c>
      <c r="G117" s="1460" t="e">
        <v>#N/A</v>
      </c>
      <c r="H117" s="3106" t="e">
        <v>#N/A</v>
      </c>
      <c r="I117" s="1458" t="e">
        <v>#N/A</v>
      </c>
      <c r="J117" s="3106" t="e">
        <v>#N/A</v>
      </c>
      <c r="K117" s="1458" t="e">
        <v>#N/A</v>
      </c>
      <c r="L117" s="1461" t="e">
        <f t="shared" si="22"/>
        <v>#N/A</v>
      </c>
      <c r="M117" s="3107" t="e">
        <f t="shared" si="23"/>
        <v>#N/A</v>
      </c>
      <c r="N117" s="1462" t="e">
        <f t="shared" si="24"/>
        <v>#N/A</v>
      </c>
      <c r="O117" s="3107" t="e">
        <f t="shared" si="25"/>
        <v>#N/A</v>
      </c>
      <c r="P117" s="1462" t="e">
        <f t="shared" si="21"/>
        <v>#N/A</v>
      </c>
      <c r="Q117" s="1460" t="e">
        <v>#N/A</v>
      </c>
      <c r="R117" s="3106" t="e">
        <v>#N/A</v>
      </c>
      <c r="S117" s="1458" t="e">
        <v>#N/A</v>
      </c>
      <c r="T117" s="3106" t="e">
        <v>#N/A</v>
      </c>
      <c r="U117" s="1470" t="e">
        <v>#N/A</v>
      </c>
    </row>
    <row r="118" spans="1:21">
      <c r="A118" s="1467">
        <f t="shared" si="26"/>
        <v>2025.3</v>
      </c>
      <c r="B118" s="1457" t="e">
        <v>#N/A</v>
      </c>
      <c r="C118" s="3106" t="e">
        <v>#N/A</v>
      </c>
      <c r="D118" s="1458" t="e">
        <v>#N/A</v>
      </c>
      <c r="E118" s="3106" t="e">
        <v>#N/A</v>
      </c>
      <c r="F118" s="1468" t="e">
        <v>#N/A</v>
      </c>
      <c r="G118" s="1460" t="e">
        <v>#N/A</v>
      </c>
      <c r="H118" s="3106" t="e">
        <v>#N/A</v>
      </c>
      <c r="I118" s="1458" t="e">
        <v>#N/A</v>
      </c>
      <c r="J118" s="3106" t="e">
        <v>#N/A</v>
      </c>
      <c r="K118" s="1458" t="e">
        <v>#N/A</v>
      </c>
      <c r="L118" s="1461" t="e">
        <f t="shared" si="22"/>
        <v>#N/A</v>
      </c>
      <c r="M118" s="3107" t="e">
        <f t="shared" si="23"/>
        <v>#N/A</v>
      </c>
      <c r="N118" s="1462" t="e">
        <f t="shared" si="24"/>
        <v>#N/A</v>
      </c>
      <c r="O118" s="3107" t="e">
        <f t="shared" si="25"/>
        <v>#N/A</v>
      </c>
      <c r="P118" s="1462" t="e">
        <f t="shared" si="21"/>
        <v>#N/A</v>
      </c>
      <c r="Q118" s="1460" t="e">
        <v>#N/A</v>
      </c>
      <c r="R118" s="3106" t="e">
        <v>#N/A</v>
      </c>
      <c r="S118" s="1458" t="e">
        <v>#N/A</v>
      </c>
      <c r="T118" s="3106" t="e">
        <v>#N/A</v>
      </c>
      <c r="U118" s="1470" t="e">
        <v>#N/A</v>
      </c>
    </row>
    <row r="119" spans="1:21">
      <c r="A119" s="1467">
        <f t="shared" si="26"/>
        <v>2025.4</v>
      </c>
      <c r="B119" s="1457" t="e">
        <v>#N/A</v>
      </c>
      <c r="C119" s="3106" t="e">
        <v>#N/A</v>
      </c>
      <c r="D119" s="1458" t="e">
        <v>#N/A</v>
      </c>
      <c r="E119" s="3106" t="e">
        <v>#N/A</v>
      </c>
      <c r="F119" s="1468" t="e">
        <v>#N/A</v>
      </c>
      <c r="G119" s="1460" t="e">
        <v>#N/A</v>
      </c>
      <c r="H119" s="3106" t="e">
        <v>#N/A</v>
      </c>
      <c r="I119" s="1458" t="e">
        <v>#N/A</v>
      </c>
      <c r="J119" s="3106" t="e">
        <v>#N/A</v>
      </c>
      <c r="K119" s="1458" t="e">
        <v>#N/A</v>
      </c>
      <c r="L119" s="1461" t="e">
        <f t="shared" si="22"/>
        <v>#N/A</v>
      </c>
      <c r="M119" s="3107" t="e">
        <f t="shared" si="23"/>
        <v>#N/A</v>
      </c>
      <c r="N119" s="1462" t="e">
        <f t="shared" si="24"/>
        <v>#N/A</v>
      </c>
      <c r="O119" s="3107" t="e">
        <f t="shared" si="25"/>
        <v>#N/A</v>
      </c>
      <c r="P119" s="1462" t="e">
        <f t="shared" si="21"/>
        <v>#N/A</v>
      </c>
      <c r="Q119" s="1460" t="e">
        <v>#N/A</v>
      </c>
      <c r="R119" s="3106" t="e">
        <v>#N/A</v>
      </c>
      <c r="S119" s="1458" t="e">
        <v>#N/A</v>
      </c>
      <c r="T119" s="3106" t="e">
        <v>#N/A</v>
      </c>
      <c r="U119" s="1470" t="e">
        <v>#N/A</v>
      </c>
    </row>
    <row r="120" spans="1:21">
      <c r="A120" s="1467">
        <f t="shared" si="26"/>
        <v>2026.1</v>
      </c>
      <c r="B120" s="1457" t="e">
        <v>#N/A</v>
      </c>
      <c r="C120" s="3106" t="e">
        <v>#N/A</v>
      </c>
      <c r="D120" s="1458" t="e">
        <v>#N/A</v>
      </c>
      <c r="E120" s="3106" t="e">
        <v>#N/A</v>
      </c>
      <c r="F120" s="1468" t="e">
        <v>#N/A</v>
      </c>
      <c r="G120" s="1460" t="e">
        <v>#N/A</v>
      </c>
      <c r="H120" s="3106" t="e">
        <v>#N/A</v>
      </c>
      <c r="I120" s="1458" t="e">
        <v>#N/A</v>
      </c>
      <c r="J120" s="3106" t="e">
        <v>#N/A</v>
      </c>
      <c r="K120" s="1458" t="e">
        <v>#N/A</v>
      </c>
      <c r="L120" s="1461" t="e">
        <f t="shared" si="22"/>
        <v>#N/A</v>
      </c>
      <c r="M120" s="3107" t="e">
        <f t="shared" si="23"/>
        <v>#N/A</v>
      </c>
      <c r="N120" s="1462" t="e">
        <f t="shared" si="24"/>
        <v>#N/A</v>
      </c>
      <c r="O120" s="3107" t="e">
        <f t="shared" si="25"/>
        <v>#N/A</v>
      </c>
      <c r="P120" s="1462" t="e">
        <f t="shared" si="21"/>
        <v>#N/A</v>
      </c>
      <c r="Q120" s="1460" t="e">
        <v>#N/A</v>
      </c>
      <c r="R120" s="3106" t="e">
        <v>#N/A</v>
      </c>
      <c r="S120" s="1458" t="e">
        <v>#N/A</v>
      </c>
      <c r="T120" s="3106" t="e">
        <v>#N/A</v>
      </c>
      <c r="U120" s="1470" t="e">
        <v>#N/A</v>
      </c>
    </row>
    <row r="121" spans="1:21">
      <c r="A121" s="1467">
        <f t="shared" si="26"/>
        <v>2026.2</v>
      </c>
      <c r="B121" s="1457" t="e">
        <v>#N/A</v>
      </c>
      <c r="C121" s="3106" t="e">
        <v>#N/A</v>
      </c>
      <c r="D121" s="1458" t="e">
        <v>#N/A</v>
      </c>
      <c r="E121" s="3106" t="e">
        <v>#N/A</v>
      </c>
      <c r="F121" s="1468" t="e">
        <v>#N/A</v>
      </c>
      <c r="G121" s="1460" t="e">
        <v>#N/A</v>
      </c>
      <c r="H121" s="3106" t="e">
        <v>#N/A</v>
      </c>
      <c r="I121" s="1458" t="e">
        <v>#N/A</v>
      </c>
      <c r="J121" s="3106" t="e">
        <v>#N/A</v>
      </c>
      <c r="K121" s="1458" t="e">
        <v>#N/A</v>
      </c>
      <c r="L121" s="1461" t="e">
        <f t="shared" si="22"/>
        <v>#N/A</v>
      </c>
      <c r="M121" s="3107" t="e">
        <f t="shared" si="23"/>
        <v>#N/A</v>
      </c>
      <c r="N121" s="1462" t="e">
        <f t="shared" si="24"/>
        <v>#N/A</v>
      </c>
      <c r="O121" s="3107" t="e">
        <f t="shared" si="25"/>
        <v>#N/A</v>
      </c>
      <c r="P121" s="1462" t="e">
        <f t="shared" si="21"/>
        <v>#N/A</v>
      </c>
      <c r="Q121" s="1460" t="e">
        <v>#N/A</v>
      </c>
      <c r="R121" s="3106" t="e">
        <v>#N/A</v>
      </c>
      <c r="S121" s="1458" t="e">
        <v>#N/A</v>
      </c>
      <c r="T121" s="3106" t="e">
        <v>#N/A</v>
      </c>
      <c r="U121" s="1470" t="e">
        <v>#N/A</v>
      </c>
    </row>
    <row r="122" spans="1:21">
      <c r="A122" s="1467">
        <f t="shared" si="26"/>
        <v>2026.3</v>
      </c>
      <c r="B122" s="1457" t="e">
        <v>#N/A</v>
      </c>
      <c r="C122" s="3106" t="e">
        <v>#N/A</v>
      </c>
      <c r="D122" s="1458" t="e">
        <v>#N/A</v>
      </c>
      <c r="E122" s="3106" t="e">
        <v>#N/A</v>
      </c>
      <c r="F122" s="1468" t="e">
        <v>#N/A</v>
      </c>
      <c r="G122" s="1460" t="e">
        <v>#N/A</v>
      </c>
      <c r="H122" s="3106" t="e">
        <v>#N/A</v>
      </c>
      <c r="I122" s="1458" t="e">
        <v>#N/A</v>
      </c>
      <c r="J122" s="3106" t="e">
        <v>#N/A</v>
      </c>
      <c r="K122" s="1458" t="e">
        <v>#N/A</v>
      </c>
      <c r="L122" s="1461" t="e">
        <f t="shared" si="22"/>
        <v>#N/A</v>
      </c>
      <c r="M122" s="3107" t="e">
        <f t="shared" si="23"/>
        <v>#N/A</v>
      </c>
      <c r="N122" s="1462" t="e">
        <f t="shared" si="24"/>
        <v>#N/A</v>
      </c>
      <c r="O122" s="3107" t="e">
        <f t="shared" si="25"/>
        <v>#N/A</v>
      </c>
      <c r="P122" s="1462" t="e">
        <f t="shared" si="21"/>
        <v>#N/A</v>
      </c>
      <c r="Q122" s="1460" t="e">
        <v>#N/A</v>
      </c>
      <c r="R122" s="3106" t="e">
        <v>#N/A</v>
      </c>
      <c r="S122" s="1458" t="e">
        <v>#N/A</v>
      </c>
      <c r="T122" s="3106" t="e">
        <v>#N/A</v>
      </c>
      <c r="U122" s="1470" t="e">
        <v>#N/A</v>
      </c>
    </row>
    <row r="123" spans="1:21">
      <c r="A123" s="1467">
        <f t="shared" si="26"/>
        <v>2026.4</v>
      </c>
      <c r="B123" s="1457" t="e">
        <v>#N/A</v>
      </c>
      <c r="C123" s="3106" t="e">
        <v>#N/A</v>
      </c>
      <c r="D123" s="1458" t="e">
        <v>#N/A</v>
      </c>
      <c r="E123" s="3106" t="e">
        <v>#N/A</v>
      </c>
      <c r="F123" s="1468" t="e">
        <v>#N/A</v>
      </c>
      <c r="G123" s="1460" t="e">
        <v>#N/A</v>
      </c>
      <c r="H123" s="3106" t="e">
        <v>#N/A</v>
      </c>
      <c r="I123" s="1458" t="e">
        <v>#N/A</v>
      </c>
      <c r="J123" s="3106" t="e">
        <v>#N/A</v>
      </c>
      <c r="K123" s="1458" t="e">
        <v>#N/A</v>
      </c>
      <c r="L123" s="1461" t="e">
        <f t="shared" si="22"/>
        <v>#N/A</v>
      </c>
      <c r="M123" s="3107" t="e">
        <f t="shared" si="23"/>
        <v>#N/A</v>
      </c>
      <c r="N123" s="1462" t="e">
        <f t="shared" si="24"/>
        <v>#N/A</v>
      </c>
      <c r="O123" s="3107" t="e">
        <f t="shared" si="25"/>
        <v>#N/A</v>
      </c>
      <c r="P123" s="1462" t="e">
        <f t="shared" si="21"/>
        <v>#N/A</v>
      </c>
      <c r="Q123" s="1460" t="e">
        <v>#N/A</v>
      </c>
      <c r="R123" s="3106" t="e">
        <v>#N/A</v>
      </c>
      <c r="S123" s="1458" t="e">
        <v>#N/A</v>
      </c>
      <c r="T123" s="3106" t="e">
        <v>#N/A</v>
      </c>
      <c r="U123" s="1470" t="e">
        <v>#N/A</v>
      </c>
    </row>
    <row r="124" spans="1:21">
      <c r="A124" s="1467">
        <f t="shared" si="26"/>
        <v>2027.1</v>
      </c>
      <c r="B124" s="1457" t="e">
        <v>#N/A</v>
      </c>
      <c r="C124" s="3106" t="e">
        <v>#N/A</v>
      </c>
      <c r="D124" s="1458" t="e">
        <v>#N/A</v>
      </c>
      <c r="E124" s="3106" t="e">
        <v>#N/A</v>
      </c>
      <c r="F124" s="1468" t="e">
        <v>#N/A</v>
      </c>
      <c r="G124" s="1460" t="e">
        <v>#N/A</v>
      </c>
      <c r="H124" s="3106" t="e">
        <v>#N/A</v>
      </c>
      <c r="I124" s="1458" t="e">
        <v>#N/A</v>
      </c>
      <c r="J124" s="3106" t="e">
        <v>#N/A</v>
      </c>
      <c r="K124" s="1458" t="e">
        <v>#N/A</v>
      </c>
      <c r="L124" s="1461" t="e">
        <f t="shared" si="22"/>
        <v>#N/A</v>
      </c>
      <c r="M124" s="3107" t="e">
        <f t="shared" si="23"/>
        <v>#N/A</v>
      </c>
      <c r="N124" s="1462" t="e">
        <f t="shared" si="24"/>
        <v>#N/A</v>
      </c>
      <c r="O124" s="3107" t="e">
        <f t="shared" si="25"/>
        <v>#N/A</v>
      </c>
      <c r="P124" s="1462" t="e">
        <f t="shared" si="21"/>
        <v>#N/A</v>
      </c>
      <c r="Q124" s="1460" t="e">
        <v>#N/A</v>
      </c>
      <c r="R124" s="3106" t="e">
        <v>#N/A</v>
      </c>
      <c r="S124" s="1458" t="e">
        <v>#N/A</v>
      </c>
      <c r="T124" s="3106" t="e">
        <v>#N/A</v>
      </c>
      <c r="U124" s="1470" t="e">
        <v>#N/A</v>
      </c>
    </row>
    <row r="125" spans="1:21">
      <c r="A125" s="1467">
        <f t="shared" si="26"/>
        <v>2027.2</v>
      </c>
      <c r="B125" s="1457" t="e">
        <v>#N/A</v>
      </c>
      <c r="C125" s="3106" t="e">
        <v>#N/A</v>
      </c>
      <c r="D125" s="1458" t="e">
        <v>#N/A</v>
      </c>
      <c r="E125" s="3106" t="e">
        <v>#N/A</v>
      </c>
      <c r="F125" s="1468" t="e">
        <v>#N/A</v>
      </c>
      <c r="G125" s="1460" t="e">
        <v>#N/A</v>
      </c>
      <c r="H125" s="3106" t="e">
        <v>#N/A</v>
      </c>
      <c r="I125" s="1458" t="e">
        <v>#N/A</v>
      </c>
      <c r="J125" s="3106" t="e">
        <v>#N/A</v>
      </c>
      <c r="K125" s="1458" t="e">
        <v>#N/A</v>
      </c>
      <c r="L125" s="1461" t="e">
        <f t="shared" si="22"/>
        <v>#N/A</v>
      </c>
      <c r="M125" s="3107" t="e">
        <f t="shared" si="23"/>
        <v>#N/A</v>
      </c>
      <c r="N125" s="1462" t="e">
        <f t="shared" si="24"/>
        <v>#N/A</v>
      </c>
      <c r="O125" s="3107" t="e">
        <f t="shared" si="25"/>
        <v>#N/A</v>
      </c>
      <c r="P125" s="1462" t="e">
        <f t="shared" si="21"/>
        <v>#N/A</v>
      </c>
      <c r="Q125" s="1460" t="e">
        <v>#N/A</v>
      </c>
      <c r="R125" s="3106" t="e">
        <v>#N/A</v>
      </c>
      <c r="S125" s="1458" t="e">
        <v>#N/A</v>
      </c>
      <c r="T125" s="3106" t="e">
        <v>#N/A</v>
      </c>
      <c r="U125" s="1470" t="e">
        <v>#N/A</v>
      </c>
    </row>
    <row r="126" spans="1:21">
      <c r="A126" s="1467">
        <f t="shared" si="26"/>
        <v>2027.3</v>
      </c>
      <c r="B126" s="1457" t="e">
        <v>#N/A</v>
      </c>
      <c r="C126" s="3106" t="e">
        <v>#N/A</v>
      </c>
      <c r="D126" s="1458" t="e">
        <v>#N/A</v>
      </c>
      <c r="E126" s="3106" t="e">
        <v>#N/A</v>
      </c>
      <c r="F126" s="1468" t="e">
        <v>#N/A</v>
      </c>
      <c r="G126" s="1460" t="e">
        <v>#N/A</v>
      </c>
      <c r="H126" s="3106" t="e">
        <v>#N/A</v>
      </c>
      <c r="I126" s="1458" t="e">
        <v>#N/A</v>
      </c>
      <c r="J126" s="3106" t="e">
        <v>#N/A</v>
      </c>
      <c r="K126" s="1458" t="e">
        <v>#N/A</v>
      </c>
      <c r="L126" s="1461" t="e">
        <f t="shared" si="22"/>
        <v>#N/A</v>
      </c>
      <c r="M126" s="3107" t="e">
        <f t="shared" si="23"/>
        <v>#N/A</v>
      </c>
      <c r="N126" s="1462" t="e">
        <f t="shared" si="24"/>
        <v>#N/A</v>
      </c>
      <c r="O126" s="3107" t="e">
        <f t="shared" si="25"/>
        <v>#N/A</v>
      </c>
      <c r="P126" s="1462" t="e">
        <f t="shared" ref="P126:P139" si="27">F126+K126</f>
        <v>#N/A</v>
      </c>
      <c r="Q126" s="1460" t="e">
        <v>#N/A</v>
      </c>
      <c r="R126" s="3106" t="e">
        <v>#N/A</v>
      </c>
      <c r="S126" s="1458" t="e">
        <v>#N/A</v>
      </c>
      <c r="T126" s="3106" t="e">
        <v>#N/A</v>
      </c>
      <c r="U126" s="1470" t="e">
        <v>#N/A</v>
      </c>
    </row>
    <row r="127" spans="1:21">
      <c r="A127" s="1467">
        <f t="shared" si="26"/>
        <v>2027.4</v>
      </c>
      <c r="B127" s="1457" t="e">
        <v>#N/A</v>
      </c>
      <c r="C127" s="3106" t="e">
        <v>#N/A</v>
      </c>
      <c r="D127" s="1458" t="e">
        <v>#N/A</v>
      </c>
      <c r="E127" s="3106" t="e">
        <v>#N/A</v>
      </c>
      <c r="F127" s="1468" t="e">
        <v>#N/A</v>
      </c>
      <c r="G127" s="1460" t="e">
        <v>#N/A</v>
      </c>
      <c r="H127" s="3106" t="e">
        <v>#N/A</v>
      </c>
      <c r="I127" s="1458" t="e">
        <v>#N/A</v>
      </c>
      <c r="J127" s="3106" t="e">
        <v>#N/A</v>
      </c>
      <c r="K127" s="1458" t="e">
        <v>#N/A</v>
      </c>
      <c r="L127" s="1461" t="e">
        <f t="shared" si="22"/>
        <v>#N/A</v>
      </c>
      <c r="M127" s="3107" t="e">
        <f t="shared" si="23"/>
        <v>#N/A</v>
      </c>
      <c r="N127" s="1462" t="e">
        <f t="shared" si="24"/>
        <v>#N/A</v>
      </c>
      <c r="O127" s="3107" t="e">
        <f t="shared" si="25"/>
        <v>#N/A</v>
      </c>
      <c r="P127" s="1462" t="e">
        <f t="shared" si="27"/>
        <v>#N/A</v>
      </c>
      <c r="Q127" s="1460" t="e">
        <v>#N/A</v>
      </c>
      <c r="R127" s="3106" t="e">
        <v>#N/A</v>
      </c>
      <c r="S127" s="1458" t="e">
        <v>#N/A</v>
      </c>
      <c r="T127" s="3106" t="e">
        <v>#N/A</v>
      </c>
      <c r="U127" s="1470" t="e">
        <v>#N/A</v>
      </c>
    </row>
    <row r="128" spans="1:21">
      <c r="A128" s="1467">
        <f t="shared" si="26"/>
        <v>2028.1</v>
      </c>
      <c r="B128" s="1457" t="e">
        <v>#N/A</v>
      </c>
      <c r="C128" s="3106" t="e">
        <v>#N/A</v>
      </c>
      <c r="D128" s="1458" t="e">
        <v>#N/A</v>
      </c>
      <c r="E128" s="3106" t="e">
        <v>#N/A</v>
      </c>
      <c r="F128" s="1468" t="e">
        <v>#N/A</v>
      </c>
      <c r="G128" s="1460" t="e">
        <v>#N/A</v>
      </c>
      <c r="H128" s="3106" t="e">
        <v>#N/A</v>
      </c>
      <c r="I128" s="1458" t="e">
        <v>#N/A</v>
      </c>
      <c r="J128" s="3106" t="e">
        <v>#N/A</v>
      </c>
      <c r="K128" s="1458" t="e">
        <v>#N/A</v>
      </c>
      <c r="L128" s="1461" t="e">
        <f t="shared" si="22"/>
        <v>#N/A</v>
      </c>
      <c r="M128" s="3107" t="e">
        <f t="shared" si="23"/>
        <v>#N/A</v>
      </c>
      <c r="N128" s="1462" t="e">
        <f t="shared" si="24"/>
        <v>#N/A</v>
      </c>
      <c r="O128" s="3107" t="e">
        <f t="shared" si="25"/>
        <v>#N/A</v>
      </c>
      <c r="P128" s="1462" t="e">
        <f t="shared" si="27"/>
        <v>#N/A</v>
      </c>
      <c r="Q128" s="1460" t="e">
        <v>#N/A</v>
      </c>
      <c r="R128" s="3106" t="e">
        <v>#N/A</v>
      </c>
      <c r="S128" s="1458" t="e">
        <v>#N/A</v>
      </c>
      <c r="T128" s="3106" t="e">
        <v>#N/A</v>
      </c>
      <c r="U128" s="1470" t="e">
        <v>#N/A</v>
      </c>
    </row>
    <row r="129" spans="1:21">
      <c r="A129" s="1467">
        <f t="shared" si="26"/>
        <v>2028.2</v>
      </c>
      <c r="B129" s="1457" t="e">
        <v>#N/A</v>
      </c>
      <c r="C129" s="3106" t="e">
        <v>#N/A</v>
      </c>
      <c r="D129" s="1458" t="e">
        <v>#N/A</v>
      </c>
      <c r="E129" s="3106" t="e">
        <v>#N/A</v>
      </c>
      <c r="F129" s="1468" t="e">
        <v>#N/A</v>
      </c>
      <c r="G129" s="1460" t="e">
        <v>#N/A</v>
      </c>
      <c r="H129" s="3106" t="e">
        <v>#N/A</v>
      </c>
      <c r="I129" s="1458" t="e">
        <v>#N/A</v>
      </c>
      <c r="J129" s="3106" t="e">
        <v>#N/A</v>
      </c>
      <c r="K129" s="1458" t="e">
        <v>#N/A</v>
      </c>
      <c r="L129" s="1461" t="e">
        <f t="shared" si="22"/>
        <v>#N/A</v>
      </c>
      <c r="M129" s="3107" t="e">
        <f t="shared" si="23"/>
        <v>#N/A</v>
      </c>
      <c r="N129" s="1462" t="e">
        <f t="shared" si="24"/>
        <v>#N/A</v>
      </c>
      <c r="O129" s="3107" t="e">
        <f t="shared" si="25"/>
        <v>#N/A</v>
      </c>
      <c r="P129" s="1462" t="e">
        <f t="shared" si="27"/>
        <v>#N/A</v>
      </c>
      <c r="Q129" s="1460" t="e">
        <v>#N/A</v>
      </c>
      <c r="R129" s="3106" t="e">
        <v>#N/A</v>
      </c>
      <c r="S129" s="1458" t="e">
        <v>#N/A</v>
      </c>
      <c r="T129" s="3106" t="e">
        <v>#N/A</v>
      </c>
      <c r="U129" s="1470" t="e">
        <v>#N/A</v>
      </c>
    </row>
    <row r="130" spans="1:21">
      <c r="A130" s="1467">
        <f t="shared" si="26"/>
        <v>2028.3</v>
      </c>
      <c r="B130" s="1457" t="e">
        <v>#N/A</v>
      </c>
      <c r="C130" s="3106" t="e">
        <v>#N/A</v>
      </c>
      <c r="D130" s="1458" t="e">
        <v>#N/A</v>
      </c>
      <c r="E130" s="3106" t="e">
        <v>#N/A</v>
      </c>
      <c r="F130" s="1468" t="e">
        <v>#N/A</v>
      </c>
      <c r="G130" s="1460" t="e">
        <v>#N/A</v>
      </c>
      <c r="H130" s="3106" t="e">
        <v>#N/A</v>
      </c>
      <c r="I130" s="1458" t="e">
        <v>#N/A</v>
      </c>
      <c r="J130" s="3106" t="e">
        <v>#N/A</v>
      </c>
      <c r="K130" s="1458" t="e">
        <v>#N/A</v>
      </c>
      <c r="L130" s="1461" t="e">
        <f t="shared" si="22"/>
        <v>#N/A</v>
      </c>
      <c r="M130" s="3107" t="e">
        <f t="shared" si="23"/>
        <v>#N/A</v>
      </c>
      <c r="N130" s="1462" t="e">
        <f t="shared" si="24"/>
        <v>#N/A</v>
      </c>
      <c r="O130" s="3107" t="e">
        <f t="shared" si="25"/>
        <v>#N/A</v>
      </c>
      <c r="P130" s="1462" t="e">
        <f t="shared" si="27"/>
        <v>#N/A</v>
      </c>
      <c r="Q130" s="1460" t="e">
        <v>#N/A</v>
      </c>
      <c r="R130" s="3106" t="e">
        <v>#N/A</v>
      </c>
      <c r="S130" s="1458" t="e">
        <v>#N/A</v>
      </c>
      <c r="T130" s="3106" t="e">
        <v>#N/A</v>
      </c>
      <c r="U130" s="1470" t="e">
        <v>#N/A</v>
      </c>
    </row>
    <row r="131" spans="1:21">
      <c r="A131" s="1467">
        <f t="shared" si="26"/>
        <v>2028.4</v>
      </c>
      <c r="B131" s="1457" t="e">
        <v>#N/A</v>
      </c>
      <c r="C131" s="3106" t="e">
        <v>#N/A</v>
      </c>
      <c r="D131" s="1458" t="e">
        <v>#N/A</v>
      </c>
      <c r="E131" s="3106" t="e">
        <v>#N/A</v>
      </c>
      <c r="F131" s="1468" t="e">
        <v>#N/A</v>
      </c>
      <c r="G131" s="1460" t="e">
        <v>#N/A</v>
      </c>
      <c r="H131" s="3106" t="e">
        <v>#N/A</v>
      </c>
      <c r="I131" s="1458" t="e">
        <v>#N/A</v>
      </c>
      <c r="J131" s="3106" t="e">
        <v>#N/A</v>
      </c>
      <c r="K131" s="1458" t="e">
        <v>#N/A</v>
      </c>
      <c r="L131" s="1461" t="e">
        <f t="shared" si="22"/>
        <v>#N/A</v>
      </c>
      <c r="M131" s="3107" t="e">
        <f t="shared" si="23"/>
        <v>#N/A</v>
      </c>
      <c r="N131" s="1462" t="e">
        <f t="shared" si="24"/>
        <v>#N/A</v>
      </c>
      <c r="O131" s="3107" t="e">
        <f t="shared" si="25"/>
        <v>#N/A</v>
      </c>
      <c r="P131" s="1462" t="e">
        <f t="shared" si="27"/>
        <v>#N/A</v>
      </c>
      <c r="Q131" s="1460" t="e">
        <v>#N/A</v>
      </c>
      <c r="R131" s="3106" t="e">
        <v>#N/A</v>
      </c>
      <c r="S131" s="1458" t="e">
        <v>#N/A</v>
      </c>
      <c r="T131" s="3106" t="e">
        <v>#N/A</v>
      </c>
      <c r="U131" s="1470" t="e">
        <v>#N/A</v>
      </c>
    </row>
    <row r="132" spans="1:21">
      <c r="A132" s="1467">
        <f t="shared" si="26"/>
        <v>2029.1</v>
      </c>
      <c r="B132" s="1457" t="e">
        <v>#N/A</v>
      </c>
      <c r="C132" s="3106" t="e">
        <v>#N/A</v>
      </c>
      <c r="D132" s="1458" t="e">
        <v>#N/A</v>
      </c>
      <c r="E132" s="3106" t="e">
        <v>#N/A</v>
      </c>
      <c r="F132" s="1468" t="e">
        <v>#N/A</v>
      </c>
      <c r="G132" s="1460" t="e">
        <v>#N/A</v>
      </c>
      <c r="H132" s="3106" t="e">
        <v>#N/A</v>
      </c>
      <c r="I132" s="1458" t="e">
        <v>#N/A</v>
      </c>
      <c r="J132" s="3106" t="e">
        <v>#N/A</v>
      </c>
      <c r="K132" s="1458" t="e">
        <v>#N/A</v>
      </c>
      <c r="L132" s="1461" t="e">
        <f t="shared" si="22"/>
        <v>#N/A</v>
      </c>
      <c r="M132" s="3107" t="e">
        <f t="shared" si="23"/>
        <v>#N/A</v>
      </c>
      <c r="N132" s="1462" t="e">
        <f t="shared" si="24"/>
        <v>#N/A</v>
      </c>
      <c r="O132" s="3107" t="e">
        <f t="shared" si="25"/>
        <v>#N/A</v>
      </c>
      <c r="P132" s="1462" t="e">
        <f t="shared" si="27"/>
        <v>#N/A</v>
      </c>
      <c r="Q132" s="1460" t="e">
        <v>#N/A</v>
      </c>
      <c r="R132" s="3106" t="e">
        <v>#N/A</v>
      </c>
      <c r="S132" s="1458" t="e">
        <v>#N/A</v>
      </c>
      <c r="T132" s="3106" t="e">
        <v>#N/A</v>
      </c>
      <c r="U132" s="1470" t="e">
        <v>#N/A</v>
      </c>
    </row>
    <row r="133" spans="1:21">
      <c r="A133" s="1467">
        <f t="shared" si="26"/>
        <v>2029.2</v>
      </c>
      <c r="B133" s="1457" t="e">
        <v>#N/A</v>
      </c>
      <c r="C133" s="3106" t="e">
        <v>#N/A</v>
      </c>
      <c r="D133" s="1458" t="e">
        <v>#N/A</v>
      </c>
      <c r="E133" s="3106" t="e">
        <v>#N/A</v>
      </c>
      <c r="F133" s="1468" t="e">
        <v>#N/A</v>
      </c>
      <c r="G133" s="1460" t="e">
        <v>#N/A</v>
      </c>
      <c r="H133" s="3106" t="e">
        <v>#N/A</v>
      </c>
      <c r="I133" s="1458" t="e">
        <v>#N/A</v>
      </c>
      <c r="J133" s="3106" t="e">
        <v>#N/A</v>
      </c>
      <c r="K133" s="1458" t="e">
        <v>#N/A</v>
      </c>
      <c r="L133" s="1461" t="e">
        <f t="shared" si="22"/>
        <v>#N/A</v>
      </c>
      <c r="M133" s="3107" t="e">
        <f t="shared" si="23"/>
        <v>#N/A</v>
      </c>
      <c r="N133" s="1462" t="e">
        <f t="shared" si="24"/>
        <v>#N/A</v>
      </c>
      <c r="O133" s="3107" t="e">
        <f t="shared" si="25"/>
        <v>#N/A</v>
      </c>
      <c r="P133" s="1462" t="e">
        <f t="shared" si="27"/>
        <v>#N/A</v>
      </c>
      <c r="Q133" s="1460" t="e">
        <v>#N/A</v>
      </c>
      <c r="R133" s="3106" t="e">
        <v>#N/A</v>
      </c>
      <c r="S133" s="1458" t="e">
        <v>#N/A</v>
      </c>
      <c r="T133" s="3106" t="e">
        <v>#N/A</v>
      </c>
      <c r="U133" s="1470" t="e">
        <v>#N/A</v>
      </c>
    </row>
    <row r="134" spans="1:21">
      <c r="A134" s="1467">
        <f t="shared" si="26"/>
        <v>2029.3</v>
      </c>
      <c r="B134" s="1457" t="e">
        <v>#N/A</v>
      </c>
      <c r="C134" s="3106" t="e">
        <v>#N/A</v>
      </c>
      <c r="D134" s="1458" t="e">
        <v>#N/A</v>
      </c>
      <c r="E134" s="3106" t="e">
        <v>#N/A</v>
      </c>
      <c r="F134" s="1468" t="e">
        <v>#N/A</v>
      </c>
      <c r="G134" s="1460" t="e">
        <v>#N/A</v>
      </c>
      <c r="H134" s="3106" t="e">
        <v>#N/A</v>
      </c>
      <c r="I134" s="1458" t="e">
        <v>#N/A</v>
      </c>
      <c r="J134" s="3106" t="e">
        <v>#N/A</v>
      </c>
      <c r="K134" s="1458" t="e">
        <v>#N/A</v>
      </c>
      <c r="L134" s="1461" t="e">
        <f t="shared" si="22"/>
        <v>#N/A</v>
      </c>
      <c r="M134" s="3107" t="e">
        <f t="shared" si="23"/>
        <v>#N/A</v>
      </c>
      <c r="N134" s="1462" t="e">
        <f t="shared" si="24"/>
        <v>#N/A</v>
      </c>
      <c r="O134" s="3107" t="e">
        <f t="shared" si="25"/>
        <v>#N/A</v>
      </c>
      <c r="P134" s="1462" t="e">
        <f t="shared" si="27"/>
        <v>#N/A</v>
      </c>
      <c r="Q134" s="1460" t="e">
        <v>#N/A</v>
      </c>
      <c r="R134" s="3106" t="e">
        <v>#N/A</v>
      </c>
      <c r="S134" s="1458" t="e">
        <v>#N/A</v>
      </c>
      <c r="T134" s="3106" t="e">
        <v>#N/A</v>
      </c>
      <c r="U134" s="1470" t="e">
        <v>#N/A</v>
      </c>
    </row>
    <row r="135" spans="1:21">
      <c r="A135" s="1467">
        <f t="shared" si="26"/>
        <v>2029.4</v>
      </c>
      <c r="B135" s="1457" t="e">
        <v>#N/A</v>
      </c>
      <c r="C135" s="3106" t="e">
        <v>#N/A</v>
      </c>
      <c r="D135" s="1458" t="e">
        <v>#N/A</v>
      </c>
      <c r="E135" s="3106" t="e">
        <v>#N/A</v>
      </c>
      <c r="F135" s="1468" t="e">
        <v>#N/A</v>
      </c>
      <c r="G135" s="1460" t="e">
        <v>#N/A</v>
      </c>
      <c r="H135" s="3106" t="e">
        <v>#N/A</v>
      </c>
      <c r="I135" s="1458" t="e">
        <v>#N/A</v>
      </c>
      <c r="J135" s="3106" t="e">
        <v>#N/A</v>
      </c>
      <c r="K135" s="1458" t="e">
        <v>#N/A</v>
      </c>
      <c r="L135" s="1461" t="e">
        <f t="shared" si="22"/>
        <v>#N/A</v>
      </c>
      <c r="M135" s="3107" t="e">
        <f t="shared" si="23"/>
        <v>#N/A</v>
      </c>
      <c r="N135" s="1462" t="e">
        <f t="shared" si="24"/>
        <v>#N/A</v>
      </c>
      <c r="O135" s="3107" t="e">
        <f t="shared" si="25"/>
        <v>#N/A</v>
      </c>
      <c r="P135" s="1462" t="e">
        <f t="shared" si="27"/>
        <v>#N/A</v>
      </c>
      <c r="Q135" s="1460" t="e">
        <v>#N/A</v>
      </c>
      <c r="R135" s="3106" t="e">
        <v>#N/A</v>
      </c>
      <c r="S135" s="1458" t="e">
        <v>#N/A</v>
      </c>
      <c r="T135" s="3106" t="e">
        <v>#N/A</v>
      </c>
      <c r="U135" s="1470" t="e">
        <v>#N/A</v>
      </c>
    </row>
    <row r="136" spans="1:21">
      <c r="A136" s="1467">
        <f t="shared" si="26"/>
        <v>2030.1</v>
      </c>
      <c r="B136" s="1457" t="e">
        <v>#N/A</v>
      </c>
      <c r="C136" s="3106" t="e">
        <v>#N/A</v>
      </c>
      <c r="D136" s="1458" t="e">
        <v>#N/A</v>
      </c>
      <c r="E136" s="3106" t="e">
        <v>#N/A</v>
      </c>
      <c r="F136" s="1468" t="e">
        <v>#N/A</v>
      </c>
      <c r="G136" s="1460" t="e">
        <v>#N/A</v>
      </c>
      <c r="H136" s="3106" t="e">
        <v>#N/A</v>
      </c>
      <c r="I136" s="1458" t="e">
        <v>#N/A</v>
      </c>
      <c r="J136" s="3106" t="e">
        <v>#N/A</v>
      </c>
      <c r="K136" s="1458" t="e">
        <v>#N/A</v>
      </c>
      <c r="L136" s="1461" t="e">
        <f t="shared" si="22"/>
        <v>#N/A</v>
      </c>
      <c r="M136" s="3107" t="e">
        <f t="shared" si="23"/>
        <v>#N/A</v>
      </c>
      <c r="N136" s="1462" t="e">
        <f t="shared" si="24"/>
        <v>#N/A</v>
      </c>
      <c r="O136" s="3107" t="e">
        <f t="shared" si="25"/>
        <v>#N/A</v>
      </c>
      <c r="P136" s="1462" t="e">
        <f t="shared" si="27"/>
        <v>#N/A</v>
      </c>
      <c r="Q136" s="1460" t="e">
        <v>#N/A</v>
      </c>
      <c r="R136" s="3106" t="e">
        <v>#N/A</v>
      </c>
      <c r="S136" s="1458" t="e">
        <v>#N/A</v>
      </c>
      <c r="T136" s="3106" t="e">
        <v>#N/A</v>
      </c>
      <c r="U136" s="1470" t="e">
        <v>#N/A</v>
      </c>
    </row>
    <row r="137" spans="1:21">
      <c r="A137" s="1467">
        <f t="shared" si="26"/>
        <v>2030.2</v>
      </c>
      <c r="B137" s="1457" t="e">
        <v>#N/A</v>
      </c>
      <c r="C137" s="3106" t="e">
        <v>#N/A</v>
      </c>
      <c r="D137" s="1458" t="e">
        <v>#N/A</v>
      </c>
      <c r="E137" s="3106" t="e">
        <v>#N/A</v>
      </c>
      <c r="F137" s="1468" t="e">
        <v>#N/A</v>
      </c>
      <c r="G137" s="1460" t="e">
        <v>#N/A</v>
      </c>
      <c r="H137" s="3106" t="e">
        <v>#N/A</v>
      </c>
      <c r="I137" s="1458" t="e">
        <v>#N/A</v>
      </c>
      <c r="J137" s="3106" t="e">
        <v>#N/A</v>
      </c>
      <c r="K137" s="1458" t="e">
        <v>#N/A</v>
      </c>
      <c r="L137" s="1461" t="e">
        <f t="shared" si="22"/>
        <v>#N/A</v>
      </c>
      <c r="M137" s="3107" t="e">
        <f t="shared" si="23"/>
        <v>#N/A</v>
      </c>
      <c r="N137" s="1462" t="e">
        <f t="shared" si="24"/>
        <v>#N/A</v>
      </c>
      <c r="O137" s="3107" t="e">
        <f t="shared" si="25"/>
        <v>#N/A</v>
      </c>
      <c r="P137" s="1462" t="e">
        <f t="shared" si="27"/>
        <v>#N/A</v>
      </c>
      <c r="Q137" s="1460" t="e">
        <v>#N/A</v>
      </c>
      <c r="R137" s="3106" t="e">
        <v>#N/A</v>
      </c>
      <c r="S137" s="1458" t="e">
        <v>#N/A</v>
      </c>
      <c r="T137" s="3106" t="e">
        <v>#N/A</v>
      </c>
      <c r="U137" s="1470" t="e">
        <v>#N/A</v>
      </c>
    </row>
    <row r="138" spans="1:21">
      <c r="A138" s="1467">
        <f t="shared" si="26"/>
        <v>2030.3</v>
      </c>
      <c r="B138" s="1457" t="e">
        <v>#N/A</v>
      </c>
      <c r="C138" s="3106" t="e">
        <v>#N/A</v>
      </c>
      <c r="D138" s="1458" t="e">
        <v>#N/A</v>
      </c>
      <c r="E138" s="3106" t="e">
        <v>#N/A</v>
      </c>
      <c r="F138" s="1468" t="e">
        <v>#N/A</v>
      </c>
      <c r="G138" s="1460" t="e">
        <v>#N/A</v>
      </c>
      <c r="H138" s="3106" t="e">
        <v>#N/A</v>
      </c>
      <c r="I138" s="1458" t="e">
        <v>#N/A</v>
      </c>
      <c r="J138" s="3106" t="e">
        <v>#N/A</v>
      </c>
      <c r="K138" s="1458" t="e">
        <v>#N/A</v>
      </c>
      <c r="L138" s="1461" t="e">
        <f t="shared" si="22"/>
        <v>#N/A</v>
      </c>
      <c r="M138" s="3107" t="e">
        <f t="shared" si="23"/>
        <v>#N/A</v>
      </c>
      <c r="N138" s="1462" t="e">
        <f t="shared" si="24"/>
        <v>#N/A</v>
      </c>
      <c r="O138" s="3107" t="e">
        <f t="shared" si="25"/>
        <v>#N/A</v>
      </c>
      <c r="P138" s="1462" t="e">
        <f t="shared" si="27"/>
        <v>#N/A</v>
      </c>
      <c r="Q138" s="1460" t="e">
        <v>#N/A</v>
      </c>
      <c r="R138" s="3106" t="e">
        <v>#N/A</v>
      </c>
      <c r="S138" s="1458" t="e">
        <v>#N/A</v>
      </c>
      <c r="T138" s="3106" t="e">
        <v>#N/A</v>
      </c>
      <c r="U138" s="1470" t="e">
        <v>#N/A</v>
      </c>
    </row>
    <row r="139" spans="1:21">
      <c r="A139" s="1467">
        <f t="shared" si="26"/>
        <v>2030.4</v>
      </c>
      <c r="B139" s="1457" t="e">
        <v>#N/A</v>
      </c>
      <c r="C139" s="3106" t="e">
        <v>#N/A</v>
      </c>
      <c r="D139" s="1458" t="e">
        <v>#N/A</v>
      </c>
      <c r="E139" s="3106" t="e">
        <v>#N/A</v>
      </c>
      <c r="F139" s="1468" t="e">
        <v>#N/A</v>
      </c>
      <c r="G139" s="1460" t="e">
        <v>#N/A</v>
      </c>
      <c r="H139" s="3106" t="e">
        <v>#N/A</v>
      </c>
      <c r="I139" s="1458" t="e">
        <v>#N/A</v>
      </c>
      <c r="J139" s="3106" t="e">
        <v>#N/A</v>
      </c>
      <c r="K139" s="1458" t="e">
        <v>#N/A</v>
      </c>
      <c r="L139" s="1461" t="e">
        <f t="shared" si="22"/>
        <v>#N/A</v>
      </c>
      <c r="M139" s="3107" t="e">
        <f t="shared" si="23"/>
        <v>#N/A</v>
      </c>
      <c r="N139" s="1462" t="e">
        <f t="shared" si="24"/>
        <v>#N/A</v>
      </c>
      <c r="O139" s="3107" t="e">
        <f t="shared" si="25"/>
        <v>#N/A</v>
      </c>
      <c r="P139" s="1462" t="e">
        <f t="shared" si="27"/>
        <v>#N/A</v>
      </c>
      <c r="Q139" s="1460" t="e">
        <v>#N/A</v>
      </c>
      <c r="R139" s="3106" t="e">
        <v>#N/A</v>
      </c>
      <c r="S139" s="1458" t="e">
        <v>#N/A</v>
      </c>
      <c r="T139" s="3106" t="e">
        <v>#N/A</v>
      </c>
      <c r="U139" s="1470" t="e">
        <v>#N/A</v>
      </c>
    </row>
    <row r="141" spans="1:21">
      <c r="B141" s="1564" t="s">
        <v>556</v>
      </c>
    </row>
  </sheetData>
  <hyperlinks>
    <hyperlink ref="A5" location="INDICE!A13" display="VOLVER AL INDICE" xr:uid="{9A57235F-FF8C-4A44-ABAD-C9014BC3DFB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805D-2CFF-453F-9A06-4865E127C96F}">
  <sheetPr codeName="Hoja41"/>
  <dimension ref="A1:AJ142"/>
  <sheetViews>
    <sheetView zoomScale="130" zoomScaleNormal="130" workbookViewId="0">
      <pane xSplit="1" ySplit="9" topLeftCell="B102" activePane="bottomRight" state="frozen"/>
      <selection pane="topRight" activeCell="G79" sqref="G79"/>
      <selection pane="bottomLeft" activeCell="G79" sqref="G79"/>
      <selection pane="bottomRight" activeCell="A5" sqref="A5"/>
    </sheetView>
  </sheetViews>
  <sheetFormatPr baseColWidth="10" defaultColWidth="11.42578125" defaultRowHeight="12.75"/>
  <cols>
    <col min="1" max="1" width="10.42578125" style="1471" customWidth="1"/>
    <col min="2" max="7" width="12.7109375" style="1471" customWidth="1"/>
    <col min="8" max="13" width="12" style="1471" customWidth="1"/>
    <col min="14" max="25" width="11.28515625" style="1471" customWidth="1"/>
    <col min="26" max="16384" width="11.42578125" style="1430"/>
  </cols>
  <sheetData>
    <row r="1" spans="1:36" ht="3.75" customHeight="1">
      <c r="A1" s="2425"/>
      <c r="B1" s="1472"/>
      <c r="C1" s="1472"/>
      <c r="D1" s="1472"/>
      <c r="E1" s="1472"/>
      <c r="F1" s="1473"/>
      <c r="G1" s="1474"/>
      <c r="H1" s="1472"/>
      <c r="I1" s="1472"/>
      <c r="J1" s="1472"/>
      <c r="K1" s="1472"/>
      <c r="L1" s="1473"/>
      <c r="M1" s="1473"/>
      <c r="N1" s="1475"/>
      <c r="O1" s="1472"/>
      <c r="P1" s="1472"/>
      <c r="Q1" s="1472"/>
      <c r="R1" s="1473"/>
      <c r="S1" s="1474"/>
      <c r="T1" s="1472"/>
      <c r="U1" s="1472"/>
      <c r="V1" s="1472"/>
      <c r="W1" s="1472"/>
      <c r="X1" s="1473"/>
      <c r="Y1" s="1476"/>
    </row>
    <row r="2" spans="1:36" s="1477" customFormat="1" ht="22.5">
      <c r="A2" s="2425" t="s">
        <v>105</v>
      </c>
      <c r="B2" s="1432" t="s">
        <v>557</v>
      </c>
      <c r="C2" s="1432"/>
      <c r="D2" s="1432"/>
      <c r="E2" s="1432"/>
      <c r="F2" s="1432"/>
      <c r="G2" s="1433"/>
      <c r="H2" s="1432" t="s">
        <v>558</v>
      </c>
      <c r="I2" s="1432"/>
      <c r="J2" s="1432"/>
      <c r="K2" s="1432"/>
      <c r="L2" s="1432"/>
      <c r="M2" s="1432"/>
      <c r="N2" s="2427" t="s">
        <v>559</v>
      </c>
      <c r="O2" s="1432"/>
      <c r="P2" s="1432"/>
      <c r="Q2" s="1432"/>
      <c r="R2" s="1432"/>
      <c r="S2" s="1433"/>
      <c r="T2" s="1432" t="s">
        <v>560</v>
      </c>
      <c r="U2" s="1432"/>
      <c r="V2" s="1432"/>
      <c r="W2" s="1432"/>
      <c r="X2" s="1432"/>
      <c r="Y2" s="1439"/>
    </row>
    <row r="3" spans="1:36">
      <c r="A3" s="2425" t="s">
        <v>109</v>
      </c>
      <c r="B3" s="1432" t="s">
        <v>492</v>
      </c>
      <c r="C3" s="1432"/>
      <c r="D3" s="1432"/>
      <c r="E3" s="1432"/>
      <c r="F3" s="1435"/>
      <c r="G3" s="1433"/>
      <c r="H3" s="1432"/>
      <c r="I3" s="1432"/>
      <c r="J3" s="1432"/>
      <c r="K3" s="1432"/>
      <c r="L3" s="1435"/>
      <c r="M3" s="1433"/>
      <c r="N3" s="1432" t="s">
        <v>492</v>
      </c>
      <c r="O3" s="1432"/>
      <c r="P3" s="1432"/>
      <c r="Q3" s="1432"/>
      <c r="R3" s="1435"/>
      <c r="S3" s="1433"/>
      <c r="T3" s="1432"/>
      <c r="U3" s="1432"/>
      <c r="V3" s="1432"/>
      <c r="W3" s="1432"/>
      <c r="X3" s="1435"/>
      <c r="Y3" s="1439"/>
    </row>
    <row r="4" spans="1:36" s="1483" customFormat="1" ht="10.5" hidden="1" customHeight="1">
      <c r="A4" s="1287"/>
      <c r="B4" s="1478"/>
      <c r="C4" s="1481"/>
      <c r="D4" s="1479"/>
      <c r="E4" s="1481"/>
      <c r="F4" s="1480"/>
      <c r="G4" s="2615"/>
      <c r="H4" s="1481"/>
      <c r="I4" s="1481"/>
      <c r="J4" s="1479"/>
      <c r="K4" s="1481"/>
      <c r="L4" s="1480"/>
      <c r="M4" s="2615"/>
      <c r="N4" s="1481"/>
      <c r="O4" s="1481"/>
      <c r="P4" s="1479"/>
      <c r="Q4" s="1481"/>
      <c r="R4" s="1480"/>
      <c r="S4" s="2615"/>
      <c r="T4" s="1481"/>
      <c r="U4" s="1481"/>
      <c r="V4" s="1479"/>
      <c r="W4" s="1481"/>
      <c r="X4" s="1480"/>
      <c r="Y4" s="1482"/>
    </row>
    <row r="5" spans="1:36" ht="22.5">
      <c r="A5" s="2426" t="s">
        <v>137</v>
      </c>
      <c r="B5" s="1484"/>
      <c r="C5" s="1473"/>
      <c r="D5" s="1473"/>
      <c r="E5" s="1473"/>
      <c r="F5" s="1473"/>
      <c r="G5" s="1474"/>
      <c r="H5" s="1472"/>
      <c r="I5" s="1472"/>
      <c r="J5" s="1472"/>
      <c r="K5" s="1472"/>
      <c r="L5" s="1472"/>
      <c r="M5" s="1472"/>
      <c r="N5" s="1475"/>
      <c r="O5" s="1472"/>
      <c r="P5" s="1472"/>
      <c r="Q5" s="1472"/>
      <c r="R5" s="1472"/>
      <c r="S5" s="1485"/>
      <c r="T5" s="1472"/>
      <c r="U5" s="1472"/>
      <c r="V5" s="1472"/>
      <c r="W5" s="1472"/>
      <c r="X5" s="1472"/>
      <c r="Y5" s="1486"/>
    </row>
    <row r="6" spans="1:36" s="1471" customFormat="1" ht="45">
      <c r="A6" s="104"/>
      <c r="B6" s="2430" t="s">
        <v>561</v>
      </c>
      <c r="C6" s="1487" t="s">
        <v>562</v>
      </c>
      <c r="D6" s="1488" t="s">
        <v>563</v>
      </c>
      <c r="E6" s="1487" t="s">
        <v>564</v>
      </c>
      <c r="F6" s="1487" t="s">
        <v>565</v>
      </c>
      <c r="G6" s="1489" t="s">
        <v>566</v>
      </c>
      <c r="H6" s="2430" t="s">
        <v>561</v>
      </c>
      <c r="I6" s="1487" t="s">
        <v>562</v>
      </c>
      <c r="J6" s="1488" t="s">
        <v>563</v>
      </c>
      <c r="K6" s="1487" t="s">
        <v>564</v>
      </c>
      <c r="L6" s="1487" t="s">
        <v>565</v>
      </c>
      <c r="M6" s="1489" t="s">
        <v>566</v>
      </c>
      <c r="N6" s="2430" t="s">
        <v>561</v>
      </c>
      <c r="O6" s="1487" t="s">
        <v>562</v>
      </c>
      <c r="P6" s="1488" t="s">
        <v>563</v>
      </c>
      <c r="Q6" s="1487" t="s">
        <v>564</v>
      </c>
      <c r="R6" s="1487" t="s">
        <v>565</v>
      </c>
      <c r="S6" s="1489" t="s">
        <v>566</v>
      </c>
      <c r="T6" s="2430" t="s">
        <v>561</v>
      </c>
      <c r="U6" s="1487" t="s">
        <v>562</v>
      </c>
      <c r="V6" s="1488" t="s">
        <v>563</v>
      </c>
      <c r="W6" s="1487" t="s">
        <v>564</v>
      </c>
      <c r="X6" s="1487" t="s">
        <v>565</v>
      </c>
      <c r="Y6" s="2616" t="s">
        <v>566</v>
      </c>
    </row>
    <row r="7" spans="1:36" s="1471" customFormat="1" ht="22.5">
      <c r="A7" s="2425" t="s">
        <v>123</v>
      </c>
      <c r="B7" s="1440" t="s">
        <v>567</v>
      </c>
      <c r="C7" s="1490"/>
      <c r="D7" s="1491"/>
      <c r="E7" s="1490"/>
      <c r="F7" s="1490"/>
      <c r="G7" s="3110"/>
      <c r="H7" s="1492" t="s">
        <v>567</v>
      </c>
      <c r="I7" s="1493"/>
      <c r="J7" s="1494"/>
      <c r="K7" s="1493"/>
      <c r="L7" s="1493"/>
      <c r="M7" s="1494"/>
      <c r="N7" s="1492" t="s">
        <v>567</v>
      </c>
      <c r="O7" s="1493"/>
      <c r="P7" s="1494"/>
      <c r="Q7" s="1493"/>
      <c r="R7" s="1493"/>
      <c r="S7" s="1494"/>
      <c r="T7" s="1492" t="s">
        <v>567</v>
      </c>
      <c r="U7" s="1493"/>
      <c r="V7" s="1494"/>
      <c r="W7" s="1493"/>
      <c r="X7" s="1493"/>
      <c r="Y7" s="1495"/>
    </row>
    <row r="8" spans="1:36">
      <c r="A8" s="105" t="s">
        <v>141</v>
      </c>
      <c r="B8" s="2429" t="s">
        <v>568</v>
      </c>
      <c r="C8" s="1444" t="s">
        <v>569</v>
      </c>
      <c r="D8" s="1445" t="s">
        <v>570</v>
      </c>
      <c r="E8" s="1444" t="s">
        <v>571</v>
      </c>
      <c r="F8" s="1444" t="s">
        <v>572</v>
      </c>
      <c r="G8" s="1446" t="s">
        <v>573</v>
      </c>
      <c r="H8" s="2429" t="s">
        <v>574</v>
      </c>
      <c r="I8" s="1444" t="s">
        <v>575</v>
      </c>
      <c r="J8" s="1445" t="s">
        <v>576</v>
      </c>
      <c r="K8" s="1444" t="s">
        <v>577</v>
      </c>
      <c r="L8" s="1444" t="s">
        <v>578</v>
      </c>
      <c r="M8" s="1446" t="s">
        <v>579</v>
      </c>
      <c r="N8" s="2429" t="s">
        <v>580</v>
      </c>
      <c r="O8" s="1444" t="s">
        <v>581</v>
      </c>
      <c r="P8" s="1445" t="s">
        <v>582</v>
      </c>
      <c r="Q8" s="1444" t="s">
        <v>583</v>
      </c>
      <c r="R8" s="1445" t="s">
        <v>584</v>
      </c>
      <c r="S8" s="1496" t="s">
        <v>585</v>
      </c>
      <c r="T8" s="2429" t="s">
        <v>586</v>
      </c>
      <c r="U8" s="1444" t="s">
        <v>587</v>
      </c>
      <c r="V8" s="1445" t="s">
        <v>588</v>
      </c>
      <c r="W8" s="1444" t="s">
        <v>589</v>
      </c>
      <c r="X8" s="1444" t="s">
        <v>590</v>
      </c>
      <c r="Y8" s="1445" t="s">
        <v>591</v>
      </c>
      <c r="Z8" s="1497"/>
      <c r="AA8" s="1498"/>
      <c r="AB8" s="1498"/>
      <c r="AC8" s="1498"/>
      <c r="AD8" s="1498"/>
      <c r="AE8" s="1498"/>
      <c r="AF8" s="1498"/>
      <c r="AG8" s="1498"/>
      <c r="AH8" s="1498"/>
      <c r="AI8" s="1498"/>
      <c r="AJ8" s="1498"/>
    </row>
    <row r="9" spans="1:36" s="1500" customFormat="1" ht="13.5" thickBot="1">
      <c r="A9" s="2425" t="s">
        <v>517</v>
      </c>
      <c r="B9" s="2571" t="s">
        <v>592</v>
      </c>
      <c r="C9" s="2572" t="s">
        <v>593</v>
      </c>
      <c r="D9" s="2573" t="s">
        <v>594</v>
      </c>
      <c r="E9" s="2572" t="s">
        <v>595</v>
      </c>
      <c r="F9" s="2572" t="s">
        <v>596</v>
      </c>
      <c r="G9" s="2574" t="s">
        <v>597</v>
      </c>
      <c r="H9" s="2573" t="s">
        <v>598</v>
      </c>
      <c r="I9" s="2572" t="s">
        <v>599</v>
      </c>
      <c r="J9" s="2573" t="s">
        <v>600</v>
      </c>
      <c r="K9" s="2572" t="s">
        <v>601</v>
      </c>
      <c r="L9" s="2572" t="s">
        <v>602</v>
      </c>
      <c r="M9" s="2573" t="s">
        <v>603</v>
      </c>
      <c r="N9" s="2575" t="s">
        <v>604</v>
      </c>
      <c r="O9" s="2572" t="s">
        <v>605</v>
      </c>
      <c r="P9" s="2573" t="s">
        <v>526</v>
      </c>
      <c r="Q9" s="2572" t="s">
        <v>606</v>
      </c>
      <c r="R9" s="2573" t="s">
        <v>607</v>
      </c>
      <c r="S9" s="2576" t="s">
        <v>527</v>
      </c>
      <c r="T9" s="2577" t="s">
        <v>608</v>
      </c>
      <c r="U9" s="2572" t="s">
        <v>609</v>
      </c>
      <c r="V9" s="2573" t="s">
        <v>536</v>
      </c>
      <c r="W9" s="2572" t="s">
        <v>610</v>
      </c>
      <c r="X9" s="2572" t="s">
        <v>611</v>
      </c>
      <c r="Y9" s="2573" t="s">
        <v>537</v>
      </c>
      <c r="Z9" s="1499"/>
    </row>
    <row r="10" spans="1:36">
      <c r="A10" s="2603" t="s">
        <v>538</v>
      </c>
      <c r="B10" s="1501">
        <v>40.492072271078364</v>
      </c>
      <c r="C10" s="1502">
        <v>35.181103783153347</v>
      </c>
      <c r="D10" s="1503">
        <v>13.116069862688661</v>
      </c>
      <c r="E10" s="1504"/>
      <c r="F10" s="1505"/>
      <c r="G10" s="1506"/>
      <c r="H10" s="1507">
        <v>41.903352594301751</v>
      </c>
      <c r="I10" s="1502">
        <v>34.808086148160413</v>
      </c>
      <c r="J10" s="1503">
        <v>16.932455297398317</v>
      </c>
      <c r="K10" s="1504"/>
      <c r="L10" s="1505"/>
      <c r="M10" s="1508"/>
      <c r="N10" s="1507">
        <v>40.848732838076856</v>
      </c>
      <c r="O10" s="1502">
        <v>35.086834289695695</v>
      </c>
      <c r="P10" s="1503">
        <v>14.105452355697661</v>
      </c>
      <c r="Q10" s="1504"/>
      <c r="R10" s="1509"/>
      <c r="S10" s="1510"/>
      <c r="T10" s="1534">
        <f>('2.3'!R10/'2.3'!Q10)*100</f>
        <v>43.69312290773869</v>
      </c>
      <c r="U10" s="1536">
        <f>('2.3'!S10/'2.3'!Q10)*100</f>
        <v>38.029278970075758</v>
      </c>
      <c r="V10" s="1537">
        <f>('2.3'!T10/'2.3'!R10)*100</f>
        <v>12.962781235899667</v>
      </c>
      <c r="W10" s="1511"/>
      <c r="X10" s="1511"/>
      <c r="Y10" s="1512"/>
    </row>
    <row r="11" spans="1:36">
      <c r="A11" s="2603" t="s">
        <v>539</v>
      </c>
      <c r="B11" s="1513">
        <v>38.235593999414988</v>
      </c>
      <c r="C11" s="3111">
        <v>33.5299820316744</v>
      </c>
      <c r="D11" s="1514">
        <v>12.306888622712609</v>
      </c>
      <c r="E11" s="3112"/>
      <c r="F11" s="3113"/>
      <c r="G11" s="1515"/>
      <c r="H11" s="1513">
        <v>40.883996275109745</v>
      </c>
      <c r="I11" s="3111">
        <v>34.384881448204581</v>
      </c>
      <c r="J11" s="1514">
        <v>15.896476418724854</v>
      </c>
      <c r="K11" s="3112"/>
      <c r="L11" s="3113"/>
      <c r="M11" s="1516"/>
      <c r="N11" s="1513">
        <v>38.887726985814844</v>
      </c>
      <c r="O11" s="3111">
        <v>33.740489368376885</v>
      </c>
      <c r="P11" s="1514">
        <v>13.236149336564521</v>
      </c>
      <c r="Q11" s="3112"/>
      <c r="R11" s="1517"/>
      <c r="S11" s="1921"/>
      <c r="T11" s="1535">
        <f>('2.3'!R11/'2.3'!Q11)*100</f>
        <v>43.346433736357177</v>
      </c>
      <c r="U11" s="3114">
        <f>('2.3'!S11/'2.3'!Q11)*100</f>
        <v>37.095094454312346</v>
      </c>
      <c r="V11" s="203">
        <f>('2.3'!T11/'2.3'!R11)*100</f>
        <v>14.421807616439427</v>
      </c>
      <c r="W11" s="3115"/>
      <c r="X11" s="3115"/>
      <c r="Y11" s="1512"/>
    </row>
    <row r="12" spans="1:36">
      <c r="A12" s="2603" t="s">
        <v>540</v>
      </c>
      <c r="B12" s="1513">
        <v>41.148742171846713</v>
      </c>
      <c r="C12" s="3111">
        <v>32.510671454705601</v>
      </c>
      <c r="D12" s="1514">
        <v>20.99230805419646</v>
      </c>
      <c r="E12" s="3112"/>
      <c r="F12" s="3113"/>
      <c r="G12" s="1515"/>
      <c r="H12" s="1513">
        <v>39.796007885149294</v>
      </c>
      <c r="I12" s="3111">
        <v>31.525373873734402</v>
      </c>
      <c r="J12" s="1514">
        <v>20.782572049145784</v>
      </c>
      <c r="K12" s="3112"/>
      <c r="L12" s="3113"/>
      <c r="M12" s="1516"/>
      <c r="N12" s="1513">
        <v>40.826573753164709</v>
      </c>
      <c r="O12" s="3111">
        <v>32.276012093503425</v>
      </c>
      <c r="P12" s="1514">
        <v>20.943618025253656</v>
      </c>
      <c r="Q12" s="3112"/>
      <c r="R12" s="1517"/>
      <c r="S12" s="1921"/>
      <c r="T12" s="1535">
        <f>('2.3'!R12/'2.3'!Q12)*100</f>
        <v>45.188541057859752</v>
      </c>
      <c r="U12" s="3114">
        <f>('2.3'!S12/'2.3'!Q12)*100</f>
        <v>35.959658290924871</v>
      </c>
      <c r="V12" s="203">
        <f>('2.3'!T12/'2.3'!R12)*100</f>
        <v>20.423059808720424</v>
      </c>
      <c r="W12" s="3115"/>
      <c r="X12" s="3115"/>
      <c r="Y12" s="1512"/>
    </row>
    <row r="13" spans="1:36">
      <c r="A13" s="2603" t="s">
        <v>541</v>
      </c>
      <c r="B13" s="1513">
        <v>39.473622538229122</v>
      </c>
      <c r="C13" s="3111">
        <v>32.319191141391229</v>
      </c>
      <c r="D13" s="1514">
        <v>18.124587855875184</v>
      </c>
      <c r="E13" s="3112"/>
      <c r="F13" s="3113"/>
      <c r="G13" s="1515"/>
      <c r="H13" s="1513">
        <v>39.098641195673409</v>
      </c>
      <c r="I13" s="3111">
        <v>31.043470577840608</v>
      </c>
      <c r="J13" s="1514">
        <v>20.602175348037843</v>
      </c>
      <c r="K13" s="3112"/>
      <c r="L13" s="3113"/>
      <c r="M13" s="1516"/>
      <c r="N13" s="1513">
        <v>39.374368404792065</v>
      </c>
      <c r="O13" s="3111">
        <v>31.981519570373706</v>
      </c>
      <c r="P13" s="1514">
        <v>18.775790276596805</v>
      </c>
      <c r="Q13" s="3112"/>
      <c r="R13" s="1517"/>
      <c r="S13" s="1921"/>
      <c r="T13" s="1535">
        <f>('2.3'!R13/'2.3'!Q13)*100</f>
        <v>44.020896356372283</v>
      </c>
      <c r="U13" s="3114">
        <f>('2.3'!S13/'2.3'!Q13)*100</f>
        <v>35.792064380815582</v>
      </c>
      <c r="V13" s="203">
        <f>('2.3'!T13/'2.3'!R13)*100</f>
        <v>18.693013220221548</v>
      </c>
      <c r="W13" s="3115"/>
      <c r="X13" s="3115"/>
      <c r="Y13" s="1512"/>
    </row>
    <row r="14" spans="1:36">
      <c r="A14" s="2603" t="s">
        <v>542</v>
      </c>
      <c r="B14" s="1513">
        <v>39.760325450364505</v>
      </c>
      <c r="C14" s="3111">
        <v>31.937720453798857</v>
      </c>
      <c r="D14" s="1514">
        <v>19.674398808257077</v>
      </c>
      <c r="E14" s="3112"/>
      <c r="F14" s="3113"/>
      <c r="G14" s="1515"/>
      <c r="H14" s="1513">
        <v>37.895574731207603</v>
      </c>
      <c r="I14" s="3111">
        <v>29.829726362419823</v>
      </c>
      <c r="J14" s="1514">
        <v>21.284407021132807</v>
      </c>
      <c r="K14" s="3112"/>
      <c r="L14" s="3113"/>
      <c r="M14" s="1516"/>
      <c r="N14" s="1513">
        <v>39.267173839823101</v>
      </c>
      <c r="O14" s="3111">
        <v>31.380240748605154</v>
      </c>
      <c r="P14" s="1514">
        <v>20.085308719669953</v>
      </c>
      <c r="Q14" s="3112"/>
      <c r="R14" s="1517"/>
      <c r="S14" s="1921"/>
      <c r="T14" s="1535">
        <f>('2.3'!R14/'2.3'!Q14)*100</f>
        <v>43.567616618513156</v>
      </c>
      <c r="U14" s="3114">
        <f>('2.3'!S14/'2.3'!Q14)*100</f>
        <v>35.184441880359465</v>
      </c>
      <c r="V14" s="203">
        <f>('2.3'!T14/'2.3'!R14)*100</f>
        <v>19.241756581633688</v>
      </c>
      <c r="W14" s="3115"/>
      <c r="X14" s="3115"/>
      <c r="Y14" s="1512"/>
    </row>
    <row r="15" spans="1:36">
      <c r="A15" s="2603" t="s">
        <v>543</v>
      </c>
      <c r="B15" s="1513">
        <v>38.196981803578922</v>
      </c>
      <c r="C15" s="3111">
        <v>31.237120797947739</v>
      </c>
      <c r="D15" s="1514">
        <v>18.220971074157148</v>
      </c>
      <c r="E15" s="3112"/>
      <c r="F15" s="3113"/>
      <c r="G15" s="1515"/>
      <c r="H15" s="1513">
        <v>35.619284834556922</v>
      </c>
      <c r="I15" s="3111">
        <v>29.659114104919372</v>
      </c>
      <c r="J15" s="1514">
        <v>16.73298820378097</v>
      </c>
      <c r="K15" s="3112"/>
      <c r="L15" s="3113"/>
      <c r="M15" s="1516"/>
      <c r="N15" s="1513">
        <v>37.515299729123527</v>
      </c>
      <c r="O15" s="3111">
        <v>30.81981073825666</v>
      </c>
      <c r="P15" s="1514">
        <v>17.847355716763968</v>
      </c>
      <c r="Q15" s="3112"/>
      <c r="R15" s="1517"/>
      <c r="S15" s="1921"/>
      <c r="T15" s="1535">
        <f>('2.3'!R15/'2.3'!Q15)*100</f>
        <v>44.506110756772408</v>
      </c>
      <c r="U15" s="3114">
        <f>('2.3'!S15/'2.3'!Q15)*100</f>
        <v>35.857222456907827</v>
      </c>
      <c r="V15" s="203">
        <f>('2.3'!T15/'2.3'!R15)*100</f>
        <v>19.43303549288116</v>
      </c>
      <c r="W15" s="3115"/>
      <c r="X15" s="3115"/>
      <c r="Y15" s="1512"/>
    </row>
    <row r="16" spans="1:36">
      <c r="A16" s="2603" t="s">
        <v>544</v>
      </c>
      <c r="B16" s="1513">
        <v>39.428977783590263</v>
      </c>
      <c r="C16" s="3111">
        <v>33.087083748835227</v>
      </c>
      <c r="D16" s="1514">
        <v>16.084348089273647</v>
      </c>
      <c r="E16" s="3112"/>
      <c r="F16" s="3113"/>
      <c r="G16" s="1515"/>
      <c r="H16" s="1513">
        <v>37.660259611138116</v>
      </c>
      <c r="I16" s="3111">
        <v>30.724350139925484</v>
      </c>
      <c r="J16" s="1514">
        <v>18.41705166886668</v>
      </c>
      <c r="K16" s="3112"/>
      <c r="L16" s="3113"/>
      <c r="M16" s="1516"/>
      <c r="N16" s="1513">
        <v>38.952889964677773</v>
      </c>
      <c r="O16" s="3111">
        <v>32.451104140519476</v>
      </c>
      <c r="P16" s="1514">
        <v>16.691408083082084</v>
      </c>
      <c r="Q16" s="3112"/>
      <c r="R16" s="1517"/>
      <c r="S16" s="1921"/>
      <c r="T16" s="1535">
        <f>('2.3'!R16/'2.3'!Q16)*100</f>
        <v>44.748483987428799</v>
      </c>
      <c r="U16" s="3114">
        <f>('2.3'!S16/'2.3'!Q16)*100</f>
        <v>36.548652095658937</v>
      </c>
      <c r="V16" s="203">
        <f>('2.3'!T16/'2.3'!R16)*100</f>
        <v>18.324267463616067</v>
      </c>
      <c r="W16" s="3115"/>
      <c r="X16" s="3115"/>
      <c r="Y16" s="1512"/>
    </row>
    <row r="17" spans="1:25">
      <c r="A17" s="2603" t="s">
        <v>545</v>
      </c>
      <c r="B17" s="1513">
        <v>39.250579737445513</v>
      </c>
      <c r="C17" s="3111">
        <v>34.085070380450667</v>
      </c>
      <c r="D17" s="1514">
        <v>13.160339010399106</v>
      </c>
      <c r="E17" s="3112"/>
      <c r="F17" s="3113"/>
      <c r="G17" s="1515"/>
      <c r="H17" s="1513">
        <v>37.834133741552819</v>
      </c>
      <c r="I17" s="3111">
        <v>31.700681193680722</v>
      </c>
      <c r="J17" s="1514">
        <v>16.211425877410228</v>
      </c>
      <c r="K17" s="3112"/>
      <c r="L17" s="3113"/>
      <c r="M17" s="1516"/>
      <c r="N17" s="1513">
        <v>38.875933044728214</v>
      </c>
      <c r="O17" s="3111">
        <v>33.454404950519297</v>
      </c>
      <c r="P17" s="1514">
        <v>13.945718262173298</v>
      </c>
      <c r="Q17" s="3112"/>
      <c r="R17" s="1517"/>
      <c r="S17" s="1921"/>
      <c r="T17" s="1535">
        <f>('2.3'!R17/'2.3'!Q17)*100</f>
        <v>45.004684651581798</v>
      </c>
      <c r="U17" s="3114">
        <f>('2.3'!S17/'2.3'!Q17)*100</f>
        <v>37.841934208886848</v>
      </c>
      <c r="V17" s="203">
        <f>('2.3'!T17/'2.3'!R17)*100</f>
        <v>15.915566341921247</v>
      </c>
      <c r="W17" s="3115"/>
      <c r="X17" s="3115"/>
      <c r="Y17" s="1512"/>
    </row>
    <row r="18" spans="1:25">
      <c r="A18" s="2603" t="s">
        <v>546</v>
      </c>
      <c r="B18" s="1513">
        <v>40.337510049737133</v>
      </c>
      <c r="C18" s="3111">
        <v>34.769109806771148</v>
      </c>
      <c r="D18" s="1514">
        <v>13.804521489055761</v>
      </c>
      <c r="E18" s="3112"/>
      <c r="F18" s="3113"/>
      <c r="G18" s="1515"/>
      <c r="H18" s="1513">
        <v>38.116227996833999</v>
      </c>
      <c r="I18" s="3111">
        <v>32.19825423898866</v>
      </c>
      <c r="J18" s="1514">
        <v>15.526126452850717</v>
      </c>
      <c r="K18" s="3112"/>
      <c r="L18" s="3113"/>
      <c r="M18" s="1516"/>
      <c r="N18" s="1513">
        <v>39.747940782594341</v>
      </c>
      <c r="O18" s="3111">
        <v>34.086757274796859</v>
      </c>
      <c r="P18" s="1514">
        <v>14.242708921103445</v>
      </c>
      <c r="Q18" s="3112"/>
      <c r="R18" s="1517"/>
      <c r="S18" s="1921"/>
      <c r="T18" s="1535">
        <f>('2.3'!R18/'2.3'!Q18)*100</f>
        <v>45.194044171552697</v>
      </c>
      <c r="U18" s="3114">
        <f>('2.3'!S18/'2.3'!Q18)*100</f>
        <v>38.162219759873416</v>
      </c>
      <c r="V18" s="203">
        <f>('2.3'!T18/'2.3'!R18)*100</f>
        <v>15.559183827380183</v>
      </c>
      <c r="W18" s="3115"/>
      <c r="X18" s="3115"/>
      <c r="Y18" s="1512"/>
    </row>
    <row r="19" spans="1:25">
      <c r="A19" s="2603" t="s">
        <v>547</v>
      </c>
      <c r="B19" s="1513">
        <v>38.256390553147554</v>
      </c>
      <c r="C19" s="3111">
        <v>33.081033054378231</v>
      </c>
      <c r="D19" s="1514">
        <v>13.528086220208019</v>
      </c>
      <c r="E19" s="3112"/>
      <c r="F19" s="3113"/>
      <c r="G19" s="1515"/>
      <c r="H19" s="1513">
        <v>36.869768174526932</v>
      </c>
      <c r="I19" s="3111">
        <v>31.881604607667175</v>
      </c>
      <c r="J19" s="1514">
        <v>13.529142747108594</v>
      </c>
      <c r="K19" s="3112"/>
      <c r="L19" s="3113"/>
      <c r="M19" s="1516"/>
      <c r="N19" s="1513">
        <v>37.888757388096217</v>
      </c>
      <c r="O19" s="3111">
        <v>32.763030342958245</v>
      </c>
      <c r="P19" s="1514">
        <v>13.528358802150532</v>
      </c>
      <c r="Q19" s="3112"/>
      <c r="R19" s="1517"/>
      <c r="S19" s="1921"/>
      <c r="T19" s="1535">
        <f>('2.3'!R19/'2.3'!Q19)*100</f>
        <v>44.855005285087188</v>
      </c>
      <c r="U19" s="3114">
        <f>('2.3'!S19/'2.3'!Q19)*100</f>
        <v>38.233163891571181</v>
      </c>
      <c r="V19" s="203">
        <f>('2.3'!T19/'2.3'!R19)*100</f>
        <v>14.762770289356208</v>
      </c>
      <c r="W19" s="3115"/>
      <c r="X19" s="3115"/>
      <c r="Y19" s="1512"/>
    </row>
    <row r="20" spans="1:25">
      <c r="A20" s="2603" t="s">
        <v>548</v>
      </c>
      <c r="B20" s="1513">
        <v>40.307087390059152</v>
      </c>
      <c r="C20" s="3111">
        <v>34.282789946630807</v>
      </c>
      <c r="D20" s="1514">
        <v>14.946000402187584</v>
      </c>
      <c r="E20" s="3112"/>
      <c r="F20" s="3113"/>
      <c r="G20" s="1515"/>
      <c r="H20" s="1513">
        <v>37.380866009299865</v>
      </c>
      <c r="I20" s="3111">
        <v>31.084435357099672</v>
      </c>
      <c r="J20" s="1514">
        <v>16.843993530363178</v>
      </c>
      <c r="K20" s="3112"/>
      <c r="L20" s="3113"/>
      <c r="M20" s="1516"/>
      <c r="N20" s="1513">
        <v>39.530214230389163</v>
      </c>
      <c r="O20" s="3111">
        <v>33.433669011334608</v>
      </c>
      <c r="P20" s="1514">
        <v>15.422494761912498</v>
      </c>
      <c r="Q20" s="3112"/>
      <c r="R20" s="1517"/>
      <c r="S20" s="1921"/>
      <c r="T20" s="1535">
        <f>('2.3'!R20/'2.3'!Q20)*100</f>
        <v>45.626110494547042</v>
      </c>
      <c r="U20" s="3114">
        <f>('2.3'!S20/'2.3'!Q20)*100</f>
        <v>37.971636161973237</v>
      </c>
      <c r="V20" s="203">
        <f>('2.3'!T20/'2.3'!R20)*100</f>
        <v>16.776521710060347</v>
      </c>
      <c r="W20" s="3115"/>
      <c r="X20" s="3115"/>
      <c r="Y20" s="1512"/>
    </row>
    <row r="21" spans="1:25">
      <c r="A21" s="2603" t="s">
        <v>549</v>
      </c>
      <c r="B21" s="1513">
        <v>39.476692413113632</v>
      </c>
      <c r="C21" s="3111">
        <v>32.861297595664993</v>
      </c>
      <c r="D21" s="1514">
        <v>16.757723135008881</v>
      </c>
      <c r="E21" s="3112"/>
      <c r="F21" s="3113"/>
      <c r="G21" s="1515"/>
      <c r="H21" s="1513">
        <v>36.090292781047459</v>
      </c>
      <c r="I21" s="3111">
        <v>31.248709570992219</v>
      </c>
      <c r="J21" s="1514">
        <v>13.415195159064369</v>
      </c>
      <c r="K21" s="3112"/>
      <c r="L21" s="3113"/>
      <c r="M21" s="1516"/>
      <c r="N21" s="1513">
        <v>38.560520858707406</v>
      </c>
      <c r="O21" s="3111">
        <v>32.425020889516198</v>
      </c>
      <c r="P21" s="1514">
        <v>15.911351383641223</v>
      </c>
      <c r="Q21" s="3112"/>
      <c r="R21" s="1517"/>
      <c r="S21" s="1921"/>
      <c r="T21" s="1535">
        <f>('2.3'!R21/'2.3'!Q21)*100</f>
        <v>45.467798331152594</v>
      </c>
      <c r="U21" s="3114">
        <f>('2.3'!S21/'2.3'!Q21)*100</f>
        <v>38.123877058762865</v>
      </c>
      <c r="V21" s="203">
        <f>('2.3'!T21/'2.3'!R21)*100</f>
        <v>16.151917493128291</v>
      </c>
      <c r="W21" s="3115"/>
      <c r="X21" s="3115"/>
      <c r="Y21" s="1512"/>
    </row>
    <row r="22" spans="1:25">
      <c r="A22" s="2603" t="s">
        <v>550</v>
      </c>
      <c r="B22" s="1513">
        <v>39.060886947067971</v>
      </c>
      <c r="C22" s="3111">
        <v>31.815846240367701</v>
      </c>
      <c r="D22" s="1514">
        <v>18.548070136036962</v>
      </c>
      <c r="E22" s="3112"/>
      <c r="F22" s="3113"/>
      <c r="G22" s="1515"/>
      <c r="H22" s="1513">
        <v>38.075244916440269</v>
      </c>
      <c r="I22" s="3111">
        <v>31.944365285931102</v>
      </c>
      <c r="J22" s="1514">
        <v>16.102009702009703</v>
      </c>
      <c r="K22" s="3112"/>
      <c r="L22" s="3113"/>
      <c r="M22" s="1516"/>
      <c r="N22" s="1513">
        <v>38.794134231247583</v>
      </c>
      <c r="O22" s="3111">
        <v>31.850628446659012</v>
      </c>
      <c r="P22" s="1514">
        <v>17.898339329340576</v>
      </c>
      <c r="Q22" s="3112"/>
      <c r="R22" s="1517"/>
      <c r="S22" s="1921"/>
      <c r="T22" s="1535">
        <f>('2.3'!R22/'2.3'!Q22)*100</f>
        <v>45.140286702195596</v>
      </c>
      <c r="U22" s="3114">
        <f>('2.3'!S22/'2.3'!Q22)*100</f>
        <v>37.191022610518381</v>
      </c>
      <c r="V22" s="203">
        <f>('2.3'!T22/'2.3'!R22)*100</f>
        <v>17.610132040412072</v>
      </c>
      <c r="W22" s="3112"/>
      <c r="X22" s="3112"/>
      <c r="Y22" s="1520"/>
    </row>
    <row r="23" spans="1:25">
      <c r="A23" s="2603" t="s">
        <v>551</v>
      </c>
      <c r="B23" s="1513">
        <v>41.697737164985313</v>
      </c>
      <c r="C23" s="3111">
        <v>34.256304178816656</v>
      </c>
      <c r="D23" s="1514">
        <v>17.846131450071667</v>
      </c>
      <c r="E23" s="3112"/>
      <c r="F23" s="3113"/>
      <c r="G23" s="1515"/>
      <c r="H23" s="1513">
        <v>39.115207566558666</v>
      </c>
      <c r="I23" s="3111">
        <v>32.989818280956726</v>
      </c>
      <c r="J23" s="1514">
        <v>15.659866498673027</v>
      </c>
      <c r="K23" s="3112"/>
      <c r="L23" s="3113"/>
      <c r="M23" s="1516"/>
      <c r="N23" s="1513">
        <v>40.998776262674419</v>
      </c>
      <c r="O23" s="3111">
        <v>33.913530130274673</v>
      </c>
      <c r="P23" s="1514">
        <v>17.28160393618921</v>
      </c>
      <c r="Q23" s="3112"/>
      <c r="R23" s="1517"/>
      <c r="S23" s="1921"/>
      <c r="T23" s="1535">
        <f>('2.3'!R23/'2.3'!Q23)*100</f>
        <v>45.463442084196224</v>
      </c>
      <c r="U23" s="3114">
        <f>('2.3'!S23/'2.3'!Q23)*100</f>
        <v>37.738086978390925</v>
      </c>
      <c r="V23" s="203">
        <f>('2.3'!T23/'2.3'!R23)*100</f>
        <v>16.992455369961419</v>
      </c>
      <c r="W23" s="3112"/>
      <c r="X23" s="3112"/>
      <c r="Y23" s="1520"/>
    </row>
    <row r="24" spans="1:25">
      <c r="A24" s="2603" t="s">
        <v>552</v>
      </c>
      <c r="B24" s="1513">
        <v>42.845572958687747</v>
      </c>
      <c r="C24" s="3111">
        <v>34.181726376644207</v>
      </c>
      <c r="D24" s="1514">
        <v>20.221101000090098</v>
      </c>
      <c r="E24" s="3112"/>
      <c r="F24" s="3113"/>
      <c r="G24" s="1515"/>
      <c r="H24" s="1513">
        <v>37.526558828976754</v>
      </c>
      <c r="I24" s="3111">
        <v>31.35346497772284</v>
      </c>
      <c r="J24" s="1514">
        <v>16.449933177691886</v>
      </c>
      <c r="K24" s="3112"/>
      <c r="L24" s="3113"/>
      <c r="M24" s="1516"/>
      <c r="N24" s="1513">
        <v>41.406206884900634</v>
      </c>
      <c r="O24" s="3111">
        <v>33.41637712091093</v>
      </c>
      <c r="P24" s="1514">
        <v>19.296212730133732</v>
      </c>
      <c r="Q24" s="3112"/>
      <c r="R24" s="1517"/>
      <c r="S24" s="1921"/>
      <c r="T24" s="1535">
        <f>('2.3'!R24/'2.3'!Q24)*100</f>
        <v>45.477595828153611</v>
      </c>
      <c r="U24" s="3114">
        <f>('2.3'!S24/'2.3'!Q24)*100</f>
        <v>37.049854270887188</v>
      </c>
      <c r="V24" s="203">
        <f>('2.3'!T24/'2.3'!R24)*100</f>
        <v>18.53163388212597</v>
      </c>
      <c r="W24" s="3112"/>
      <c r="X24" s="3112"/>
      <c r="Y24" s="1520"/>
    </row>
    <row r="25" spans="1:25">
      <c r="A25" s="2603" t="s">
        <v>553</v>
      </c>
      <c r="B25" s="1513">
        <v>43.782421578329611</v>
      </c>
      <c r="C25" s="3111">
        <v>33.784109303199777</v>
      </c>
      <c r="D25" s="1514">
        <v>22.836361979755289</v>
      </c>
      <c r="E25" s="3112"/>
      <c r="F25" s="3113"/>
      <c r="G25" s="1515"/>
      <c r="H25" s="1513">
        <v>38.95636880088518</v>
      </c>
      <c r="I25" s="3111">
        <v>31.036240978977098</v>
      </c>
      <c r="J25" s="1514">
        <v>20.33076507307354</v>
      </c>
      <c r="K25" s="3112"/>
      <c r="L25" s="3113"/>
      <c r="M25" s="1516"/>
      <c r="N25" s="1513">
        <v>42.474862328672891</v>
      </c>
      <c r="O25" s="3111">
        <v>33.039608401558432</v>
      </c>
      <c r="P25" s="1514">
        <v>22.213736336810054</v>
      </c>
      <c r="Q25" s="3112"/>
      <c r="R25" s="1517"/>
      <c r="S25" s="1921"/>
      <c r="T25" s="1535">
        <f>('2.3'!R25/'2.3'!Q25)*100</f>
        <v>44.824242548292958</v>
      </c>
      <c r="U25" s="3114">
        <f>('2.3'!S25/'2.3'!Q25)*100</f>
        <v>35.625988372343798</v>
      </c>
      <c r="V25" s="203">
        <f>('2.3'!T25/'2.3'!R25)*100</f>
        <v>20.520713018271529</v>
      </c>
      <c r="W25" s="3112"/>
      <c r="X25" s="3112"/>
      <c r="Y25" s="1520"/>
    </row>
    <row r="26" spans="1:25">
      <c r="A26" s="2603" t="s">
        <v>554</v>
      </c>
      <c r="B26" s="1513">
        <v>41.319572400980668</v>
      </c>
      <c r="C26" s="3111">
        <v>31.282264081986931</v>
      </c>
      <c r="D26" s="1514">
        <v>24.291897848283437</v>
      </c>
      <c r="E26" s="3112"/>
      <c r="F26" s="3113"/>
      <c r="G26" s="1515"/>
      <c r="H26" s="1513">
        <v>37.355529940236231</v>
      </c>
      <c r="I26" s="3111">
        <v>28.608808348501196</v>
      </c>
      <c r="J26" s="1514">
        <v>23.414797235452419</v>
      </c>
      <c r="K26" s="3112"/>
      <c r="L26" s="3113"/>
      <c r="M26" s="1516"/>
      <c r="N26" s="1513">
        <v>40.245021237060875</v>
      </c>
      <c r="O26" s="3111">
        <v>30.557558179223811</v>
      </c>
      <c r="P26" s="1514">
        <v>24.071208711193488</v>
      </c>
      <c r="Q26" s="3112"/>
      <c r="R26" s="1517"/>
      <c r="S26" s="1921"/>
      <c r="T26" s="1535">
        <f>('2.3'!R26/'2.3'!Q26)*100</f>
        <v>44.438800646722363</v>
      </c>
      <c r="U26" s="3114">
        <f>('2.3'!S26/'2.3'!Q26)*100</f>
        <v>33.960446711935219</v>
      </c>
      <c r="V26" s="203">
        <f>('2.3'!T26/'2.3'!R26)*100</f>
        <v>23.579290580066512</v>
      </c>
      <c r="W26" s="3112"/>
      <c r="X26" s="3112"/>
      <c r="Y26" s="1520"/>
    </row>
    <row r="27" spans="1:25">
      <c r="A27" s="2603" t="s">
        <v>555</v>
      </c>
      <c r="B27" s="1513">
        <v>43.077350483639229</v>
      </c>
      <c r="C27" s="3111">
        <v>34.90355223894155</v>
      </c>
      <c r="D27" s="1514">
        <v>18.974700516463027</v>
      </c>
      <c r="E27" s="3112"/>
      <c r="F27" s="3113"/>
      <c r="G27" s="1515"/>
      <c r="H27" s="1513">
        <v>39.096806184410539</v>
      </c>
      <c r="I27" s="3111">
        <v>31.216925840723786</v>
      </c>
      <c r="J27" s="1514">
        <v>20.154792968303305</v>
      </c>
      <c r="K27" s="3112"/>
      <c r="L27" s="3113"/>
      <c r="M27" s="1516"/>
      <c r="N27" s="1513">
        <v>41.997030503523789</v>
      </c>
      <c r="O27" s="3111">
        <v>33.903001596159505</v>
      </c>
      <c r="P27" s="1514">
        <v>19.272860033961564</v>
      </c>
      <c r="Q27" s="3112"/>
      <c r="R27" s="1517"/>
      <c r="S27" s="1921"/>
      <c r="T27" s="1535">
        <f>('2.3'!R27/'2.3'!Q27)*100</f>
        <v>46.000391519354359</v>
      </c>
      <c r="U27" s="3114">
        <f>('2.3'!S27/'2.3'!Q27)*100</f>
        <v>36.399153948381162</v>
      </c>
      <c r="V27" s="203">
        <f>('2.3'!T27/'2.3'!R27)*100</f>
        <v>20.872077940757389</v>
      </c>
      <c r="W27" s="3112"/>
      <c r="X27" s="3112"/>
      <c r="Y27" s="1520"/>
    </row>
    <row r="28" spans="1:25">
      <c r="A28" s="1464">
        <v>2003.1</v>
      </c>
      <c r="B28" s="1521">
        <v>44.1</v>
      </c>
      <c r="C28" s="3111">
        <v>34.200000000000003</v>
      </c>
      <c r="D28" s="1514">
        <v>22.4</v>
      </c>
      <c r="E28" s="3116">
        <v>10.1</v>
      </c>
      <c r="F28" s="3116">
        <v>6.1</v>
      </c>
      <c r="G28" s="1528">
        <f t="shared" ref="G28:G78" si="0">E28+F28</f>
        <v>16.2</v>
      </c>
      <c r="H28" s="1556">
        <f>AVERAGE(H26:H27)</f>
        <v>38.226168062323381</v>
      </c>
      <c r="I28" s="3117">
        <f t="shared" ref="I28:J28" si="1">AVERAGE(I26:I27)</f>
        <v>29.912867094612491</v>
      </c>
      <c r="J28" s="3117">
        <f t="shared" si="1"/>
        <v>21.784795101877862</v>
      </c>
      <c r="K28" s="3118" t="e">
        <v>#N/A</v>
      </c>
      <c r="L28" s="3118" t="e">
        <v>#N/A</v>
      </c>
      <c r="M28" s="1522" t="e">
        <v>#N/A</v>
      </c>
      <c r="N28" s="1513">
        <v>41.8</v>
      </c>
      <c r="O28" s="3111">
        <v>33.9</v>
      </c>
      <c r="P28" s="1514">
        <v>18.8</v>
      </c>
      <c r="Q28" s="3119">
        <v>14.6</v>
      </c>
      <c r="R28" s="3119">
        <v>4.5</v>
      </c>
      <c r="S28" s="1922">
        <v>19.100000000000001</v>
      </c>
      <c r="T28" s="1535">
        <f>('2.3'!R28/'2.3'!Q28)*100</f>
        <v>45.617387184797018</v>
      </c>
      <c r="U28" s="3114">
        <f>('2.3'!S28/'2.3'!Q28)*100</f>
        <v>36.308031506254196</v>
      </c>
      <c r="V28" s="203">
        <f>('2.3'!T28/'2.3'!R28)*100</f>
        <v>20.407472354412629</v>
      </c>
      <c r="W28" s="3120">
        <v>12</v>
      </c>
      <c r="X28" s="3120">
        <v>5.7</v>
      </c>
      <c r="Y28" s="1529">
        <f t="shared" ref="Y28:Y51" si="2">W28+X28</f>
        <v>17.7</v>
      </c>
    </row>
    <row r="29" spans="1:25">
      <c r="A29" s="1467">
        <v>2003.2</v>
      </c>
      <c r="B29" s="1521">
        <v>44.6</v>
      </c>
      <c r="C29" s="3111">
        <v>34.4</v>
      </c>
      <c r="D29" s="1514">
        <v>22.9</v>
      </c>
      <c r="E29" s="3111">
        <v>8.5</v>
      </c>
      <c r="F29" s="3111">
        <v>7</v>
      </c>
      <c r="G29" s="1523">
        <f t="shared" si="0"/>
        <v>15.5</v>
      </c>
      <c r="H29" s="1556">
        <f>AVERAGE(H30:H31)</f>
        <v>43.85923510594818</v>
      </c>
      <c r="I29" s="3117">
        <f t="shared" ref="I29:J29" si="3">AVERAGE(I30:I31)</f>
        <v>36.421438300163828</v>
      </c>
      <c r="J29" s="3117">
        <f t="shared" si="3"/>
        <v>16.925653039322675</v>
      </c>
      <c r="K29" s="3118" t="e">
        <v>#N/A</v>
      </c>
      <c r="L29" s="3118" t="e">
        <v>#N/A</v>
      </c>
      <c r="M29" s="1522" t="e">
        <v>#N/A</v>
      </c>
      <c r="N29" s="1513">
        <v>40.700000000000003</v>
      </c>
      <c r="O29" s="3111">
        <v>33.799999999999997</v>
      </c>
      <c r="P29" s="1514">
        <v>17</v>
      </c>
      <c r="Q29" s="3111">
        <v>12.6</v>
      </c>
      <c r="R29" s="1514">
        <v>4.8</v>
      </c>
      <c r="S29" s="1923">
        <v>17.399999999999999</v>
      </c>
      <c r="T29" s="1535">
        <f>('2.3'!R29/'2.3'!Q29)*100</f>
        <v>45.611570305962474</v>
      </c>
      <c r="U29" s="3114">
        <f>('2.3'!S29/'2.3'!Q29)*100</f>
        <v>37.502849438750665</v>
      </c>
      <c r="V29" s="203">
        <f>('2.3'!T29/'2.3'!R29)*100</f>
        <v>17.777771764529255</v>
      </c>
      <c r="W29" s="3111">
        <v>11.8</v>
      </c>
      <c r="X29" s="3111">
        <v>6</v>
      </c>
      <c r="Y29" s="1524">
        <f t="shared" si="2"/>
        <v>17.8</v>
      </c>
    </row>
    <row r="30" spans="1:25">
      <c r="A30" s="1467">
        <v>2003.3</v>
      </c>
      <c r="B30" s="1514">
        <v>44.4</v>
      </c>
      <c r="C30" s="3111">
        <v>35.799999999999997</v>
      </c>
      <c r="D30" s="3111">
        <v>19.399999999999999</v>
      </c>
      <c r="E30" s="3111">
        <v>10</v>
      </c>
      <c r="F30" s="3111">
        <v>4.7</v>
      </c>
      <c r="G30" s="1523">
        <f t="shared" si="0"/>
        <v>14.7</v>
      </c>
      <c r="H30" s="1556">
        <v>44.514668948196395</v>
      </c>
      <c r="I30" s="3117">
        <v>36.006700224402323</v>
      </c>
      <c r="J30" s="3117">
        <v>19.112730533153375</v>
      </c>
      <c r="K30" s="3121">
        <v>11.537746152415382</v>
      </c>
      <c r="L30" s="3121">
        <v>4.8627174177425276</v>
      </c>
      <c r="M30" s="1527">
        <f t="shared" ref="M30:M47" si="4">K30+L30</f>
        <v>16.40046357015791</v>
      </c>
      <c r="N30" s="1518">
        <f t="shared" ref="N30:S45" si="5">(B30+H30)/2</f>
        <v>44.457334474098197</v>
      </c>
      <c r="O30" s="3122">
        <f t="shared" si="5"/>
        <v>35.90335011220116</v>
      </c>
      <c r="P30" s="1519">
        <f t="shared" si="5"/>
        <v>19.256365266576687</v>
      </c>
      <c r="Q30" s="3122">
        <f t="shared" si="5"/>
        <v>10.76887307620769</v>
      </c>
      <c r="R30" s="1519">
        <f t="shared" si="5"/>
        <v>4.7813587088712639</v>
      </c>
      <c r="S30" s="1924">
        <f t="shared" si="5"/>
        <v>15.550231785078955</v>
      </c>
      <c r="T30" s="1556">
        <v>46.441383517311799</v>
      </c>
      <c r="U30" s="3117">
        <v>38.800664102304424</v>
      </c>
      <c r="V30" s="3117">
        <v>16.452394042393621</v>
      </c>
      <c r="W30" s="1556">
        <v>11.914588483558006</v>
      </c>
      <c r="X30" s="3117">
        <v>5.0053412088653912</v>
      </c>
      <c r="Y30" s="1524">
        <f t="shared" si="2"/>
        <v>16.919929692423398</v>
      </c>
    </row>
    <row r="31" spans="1:25">
      <c r="A31" s="1467">
        <v>2003.4</v>
      </c>
      <c r="B31" s="1514">
        <v>44.3</v>
      </c>
      <c r="C31" s="3111">
        <v>36.9</v>
      </c>
      <c r="D31" s="3111">
        <v>16.600000000000001</v>
      </c>
      <c r="E31" s="3111">
        <v>8.5</v>
      </c>
      <c r="F31" s="3111">
        <v>3.5</v>
      </c>
      <c r="G31" s="1523">
        <f t="shared" si="0"/>
        <v>12</v>
      </c>
      <c r="H31" s="1556">
        <v>43.203801263699965</v>
      </c>
      <c r="I31" s="3117">
        <v>36.836176375925326</v>
      </c>
      <c r="J31" s="3117">
        <v>14.738575545491972</v>
      </c>
      <c r="K31" s="3117">
        <v>8.7901154698190513</v>
      </c>
      <c r="L31" s="3117">
        <v>5.116253994393146</v>
      </c>
      <c r="M31" s="1523">
        <f t="shared" si="4"/>
        <v>13.906369464212197</v>
      </c>
      <c r="N31" s="1518">
        <f t="shared" si="5"/>
        <v>43.751900631849978</v>
      </c>
      <c r="O31" s="3122">
        <f t="shared" si="5"/>
        <v>36.868088187962663</v>
      </c>
      <c r="P31" s="1519">
        <f t="shared" si="5"/>
        <v>15.669287772745987</v>
      </c>
      <c r="Q31" s="3122">
        <f t="shared" si="5"/>
        <v>8.6450577349095248</v>
      </c>
      <c r="R31" s="1519">
        <f t="shared" si="5"/>
        <v>4.308126997196573</v>
      </c>
      <c r="S31" s="1924">
        <f t="shared" si="5"/>
        <v>12.953184732106099</v>
      </c>
      <c r="T31" s="1556">
        <v>46.271329092473991</v>
      </c>
      <c r="U31" s="3117">
        <v>39.586432932179228</v>
      </c>
      <c r="V31" s="3117">
        <v>14.447166942049336</v>
      </c>
      <c r="W31" s="1556">
        <v>11.308988753484577</v>
      </c>
      <c r="X31" s="3117">
        <v>4.8612372106837203</v>
      </c>
      <c r="Y31" s="1524">
        <f t="shared" si="2"/>
        <v>16.170225964168296</v>
      </c>
    </row>
    <row r="32" spans="1:25">
      <c r="A32" s="1467">
        <v>2004.1</v>
      </c>
      <c r="B32" s="1514">
        <v>44.3</v>
      </c>
      <c r="C32" s="3111">
        <v>36.700000000000003</v>
      </c>
      <c r="D32" s="3111">
        <v>17.2</v>
      </c>
      <c r="E32" s="3111">
        <v>7.7</v>
      </c>
      <c r="F32" s="3111">
        <v>3</v>
      </c>
      <c r="G32" s="1523">
        <f t="shared" si="0"/>
        <v>10.7</v>
      </c>
      <c r="H32" s="1556">
        <v>40.381906236337485</v>
      </c>
      <c r="I32" s="3117">
        <v>34.278629767227706</v>
      </c>
      <c r="J32" s="3117">
        <v>15.113888961531421</v>
      </c>
      <c r="K32" s="3117">
        <v>8.8061926305604228</v>
      </c>
      <c r="L32" s="3117">
        <v>5.3955385862601002</v>
      </c>
      <c r="M32" s="1523">
        <f t="shared" si="4"/>
        <v>14.201731216820523</v>
      </c>
      <c r="N32" s="1518">
        <f t="shared" si="5"/>
        <v>42.340953118168741</v>
      </c>
      <c r="O32" s="3122">
        <f t="shared" si="5"/>
        <v>35.489314883613858</v>
      </c>
      <c r="P32" s="1519">
        <f t="shared" si="5"/>
        <v>16.156944480765709</v>
      </c>
      <c r="Q32" s="3122">
        <f t="shared" si="5"/>
        <v>8.2530963152802119</v>
      </c>
      <c r="R32" s="1519">
        <f t="shared" si="5"/>
        <v>4.1977692931300501</v>
      </c>
      <c r="S32" s="1924">
        <f t="shared" si="5"/>
        <v>12.450865608410261</v>
      </c>
      <c r="T32" s="1556">
        <v>46.093157067204693</v>
      </c>
      <c r="U32" s="3117">
        <v>39.51246989932298</v>
      </c>
      <c r="V32" s="3117">
        <v>14.276928695265866</v>
      </c>
      <c r="W32" s="1556">
        <v>10.317594926462698</v>
      </c>
      <c r="X32" s="3117">
        <v>5.1223958872572366</v>
      </c>
      <c r="Y32" s="1524">
        <f t="shared" si="2"/>
        <v>15.439990813719934</v>
      </c>
    </row>
    <row r="33" spans="1:25">
      <c r="A33" s="1467">
        <v>2004.2</v>
      </c>
      <c r="B33" s="1514">
        <v>44.7</v>
      </c>
      <c r="C33" s="3111">
        <v>37.700000000000003</v>
      </c>
      <c r="D33" s="3111">
        <v>15.7</v>
      </c>
      <c r="E33" s="3111">
        <v>9.4</v>
      </c>
      <c r="F33" s="3111">
        <v>3.7</v>
      </c>
      <c r="G33" s="1523">
        <f t="shared" si="0"/>
        <v>13.100000000000001</v>
      </c>
      <c r="H33" s="1556">
        <v>42.362322504529558</v>
      </c>
      <c r="I33" s="3117">
        <v>35.147473981376145</v>
      </c>
      <c r="J33" s="3117">
        <v>17.031286522078606</v>
      </c>
      <c r="K33" s="3117">
        <v>10.496973796107959</v>
      </c>
      <c r="L33" s="3117">
        <v>4.8648030356530088</v>
      </c>
      <c r="M33" s="1523">
        <f t="shared" si="4"/>
        <v>15.361776831760967</v>
      </c>
      <c r="N33" s="1518">
        <f t="shared" si="5"/>
        <v>43.531161252264781</v>
      </c>
      <c r="O33" s="3122">
        <f t="shared" si="5"/>
        <v>36.42373699068807</v>
      </c>
      <c r="P33" s="1519">
        <f t="shared" si="5"/>
        <v>16.365643261039303</v>
      </c>
      <c r="Q33" s="3122">
        <f t="shared" si="5"/>
        <v>9.9484868980539787</v>
      </c>
      <c r="R33" s="1519">
        <f t="shared" si="5"/>
        <v>4.2824015178265045</v>
      </c>
      <c r="S33" s="1924">
        <f t="shared" si="5"/>
        <v>14.230888415880484</v>
      </c>
      <c r="T33" s="1556">
        <v>46.654742237376595</v>
      </c>
      <c r="U33" s="3117">
        <v>39.818199777070539</v>
      </c>
      <c r="V33" s="3117">
        <v>14.653478151314452</v>
      </c>
      <c r="W33" s="1556">
        <v>10.617313363711562</v>
      </c>
      <c r="X33" s="3117">
        <v>4.4881921614076257</v>
      </c>
      <c r="Y33" s="1524">
        <f t="shared" si="2"/>
        <v>15.105505525119188</v>
      </c>
    </row>
    <row r="34" spans="1:25">
      <c r="A34" s="1467">
        <v>2004.3</v>
      </c>
      <c r="B34" s="1514">
        <v>46</v>
      </c>
      <c r="C34" s="3111">
        <v>38.5</v>
      </c>
      <c r="D34" s="3111">
        <v>16.2</v>
      </c>
      <c r="E34" s="3111">
        <v>7.3</v>
      </c>
      <c r="F34" s="3111">
        <v>2.4</v>
      </c>
      <c r="G34" s="1523">
        <f t="shared" si="0"/>
        <v>9.6999999999999993</v>
      </c>
      <c r="H34" s="1556">
        <v>41.599416605721302</v>
      </c>
      <c r="I34" s="3117">
        <v>36.580040181911414</v>
      </c>
      <c r="J34" s="3117">
        <v>12.065977923160474</v>
      </c>
      <c r="K34" s="3117">
        <v>9.2490338225264583</v>
      </c>
      <c r="L34" s="3117">
        <v>4.1743918765313595</v>
      </c>
      <c r="M34" s="1523">
        <f t="shared" si="4"/>
        <v>13.423425699057818</v>
      </c>
      <c r="N34" s="1518">
        <f t="shared" si="5"/>
        <v>43.799708302860651</v>
      </c>
      <c r="O34" s="3122">
        <f t="shared" si="5"/>
        <v>37.540020090955707</v>
      </c>
      <c r="P34" s="1519">
        <f t="shared" si="5"/>
        <v>14.132988961580237</v>
      </c>
      <c r="Q34" s="3122">
        <f t="shared" si="5"/>
        <v>8.2745169112632286</v>
      </c>
      <c r="R34" s="1519">
        <f t="shared" si="5"/>
        <v>3.2871959382656799</v>
      </c>
      <c r="S34" s="1924">
        <f t="shared" si="5"/>
        <v>11.561712849528909</v>
      </c>
      <c r="T34" s="1556">
        <v>46.595108817815102</v>
      </c>
      <c r="U34" s="3117">
        <v>40.476546961031303</v>
      </c>
      <c r="V34" s="3117">
        <v>13.131339344451609</v>
      </c>
      <c r="W34" s="1556">
        <v>10.453352972066893</v>
      </c>
      <c r="X34" s="3117">
        <v>4.5780820389187253</v>
      </c>
      <c r="Y34" s="1524">
        <f t="shared" si="2"/>
        <v>15.031435010985618</v>
      </c>
    </row>
    <row r="35" spans="1:25">
      <c r="A35" s="1467">
        <v>2004.4</v>
      </c>
      <c r="B35" s="1514">
        <v>44.3</v>
      </c>
      <c r="C35" s="3111">
        <v>38</v>
      </c>
      <c r="D35" s="3111">
        <v>14.4</v>
      </c>
      <c r="E35" s="3111">
        <v>6.4</v>
      </c>
      <c r="F35" s="3111">
        <v>2.8</v>
      </c>
      <c r="G35" s="1523">
        <f t="shared" si="0"/>
        <v>9.1999999999999993</v>
      </c>
      <c r="H35" s="1556">
        <v>40.319015986445912</v>
      </c>
      <c r="I35" s="3117">
        <v>36.568156274638078</v>
      </c>
      <c r="J35" s="3117">
        <v>9.3029544993577176</v>
      </c>
      <c r="K35" s="3117">
        <v>6.013012070749884</v>
      </c>
      <c r="L35" s="3117">
        <v>3.0735946495530029</v>
      </c>
      <c r="M35" s="1523">
        <f t="shared" si="4"/>
        <v>9.0866067203028873</v>
      </c>
      <c r="N35" s="1518">
        <f t="shared" si="5"/>
        <v>42.309507993222951</v>
      </c>
      <c r="O35" s="3122">
        <f t="shared" si="5"/>
        <v>37.284078137319042</v>
      </c>
      <c r="P35" s="1519">
        <f t="shared" si="5"/>
        <v>11.851477249678858</v>
      </c>
      <c r="Q35" s="3122">
        <f t="shared" si="5"/>
        <v>6.2065060353749422</v>
      </c>
      <c r="R35" s="1519">
        <f t="shared" si="5"/>
        <v>2.9367973247765011</v>
      </c>
      <c r="S35" s="1924">
        <f t="shared" si="5"/>
        <v>9.1433033601514424</v>
      </c>
      <c r="T35" s="1556">
        <v>46.41316413151204</v>
      </c>
      <c r="U35" s="3117">
        <v>40.833429568664627</v>
      </c>
      <c r="V35" s="3117">
        <v>12.021879282001109</v>
      </c>
      <c r="W35" s="1556">
        <v>9.6459759042319071</v>
      </c>
      <c r="X35" s="3117">
        <v>4.4731537707883771</v>
      </c>
      <c r="Y35" s="1524">
        <f t="shared" si="2"/>
        <v>14.119129675020284</v>
      </c>
    </row>
    <row r="36" spans="1:25">
      <c r="A36" s="1467">
        <v>2005.1</v>
      </c>
      <c r="B36" s="1514">
        <v>43.4</v>
      </c>
      <c r="C36" s="3111">
        <v>37.299999999999997</v>
      </c>
      <c r="D36" s="3111">
        <v>14</v>
      </c>
      <c r="E36" s="3111">
        <v>8.6999999999999993</v>
      </c>
      <c r="F36" s="3111">
        <v>2</v>
      </c>
      <c r="G36" s="1523">
        <f t="shared" si="0"/>
        <v>10.7</v>
      </c>
      <c r="H36" s="1556">
        <v>43.675215463141157</v>
      </c>
      <c r="I36" s="3117">
        <v>39.066605304995399</v>
      </c>
      <c r="J36" s="3117">
        <v>10.552003256938956</v>
      </c>
      <c r="K36" s="3117">
        <v>9.855114112603875</v>
      </c>
      <c r="L36" s="3117">
        <v>3.7325478362909212</v>
      </c>
      <c r="M36" s="1523">
        <f t="shared" si="4"/>
        <v>13.587661948894796</v>
      </c>
      <c r="N36" s="1518">
        <f t="shared" si="5"/>
        <v>43.537607731570574</v>
      </c>
      <c r="O36" s="3122">
        <f t="shared" si="5"/>
        <v>38.183302652497702</v>
      </c>
      <c r="P36" s="1519">
        <f t="shared" si="5"/>
        <v>12.276001628469478</v>
      </c>
      <c r="Q36" s="3122">
        <f t="shared" si="5"/>
        <v>9.2775570563019372</v>
      </c>
      <c r="R36" s="1519">
        <f t="shared" si="5"/>
        <v>2.8662739181454606</v>
      </c>
      <c r="S36" s="1924">
        <f t="shared" si="5"/>
        <v>12.143830974447397</v>
      </c>
      <c r="T36" s="1556">
        <v>45.990909126086862</v>
      </c>
      <c r="U36" s="3117">
        <v>40.049590493621899</v>
      </c>
      <c r="V36" s="3117">
        <v>12.91846311664872</v>
      </c>
      <c r="W36" s="1556">
        <v>8.8231694907379232</v>
      </c>
      <c r="X36" s="3117">
        <v>3.6407180433832913</v>
      </c>
      <c r="Y36" s="1524">
        <f t="shared" si="2"/>
        <v>12.463887534121215</v>
      </c>
    </row>
    <row r="37" spans="1:25">
      <c r="A37" s="1467">
        <v>2005.2</v>
      </c>
      <c r="B37" s="1514">
        <v>46</v>
      </c>
      <c r="C37" s="3111">
        <v>40.200000000000003</v>
      </c>
      <c r="D37" s="3111">
        <v>12.4</v>
      </c>
      <c r="E37" s="3111">
        <v>7</v>
      </c>
      <c r="F37" s="3111">
        <v>1.8</v>
      </c>
      <c r="G37" s="1523">
        <f t="shared" si="0"/>
        <v>8.8000000000000007</v>
      </c>
      <c r="H37" s="1556">
        <v>42.4998905093505</v>
      </c>
      <c r="I37" s="3117">
        <v>37.851438915688028</v>
      </c>
      <c r="J37" s="3117">
        <v>10.937561339457465</v>
      </c>
      <c r="K37" s="3117">
        <v>8.2872060613198286</v>
      </c>
      <c r="L37" s="3117">
        <v>5.4979782514819613</v>
      </c>
      <c r="M37" s="1523">
        <f t="shared" si="4"/>
        <v>13.785184312801789</v>
      </c>
      <c r="N37" s="1518">
        <f t="shared" si="5"/>
        <v>44.249945254675254</v>
      </c>
      <c r="O37" s="3122">
        <f t="shared" si="5"/>
        <v>39.025719457844019</v>
      </c>
      <c r="P37" s="1519">
        <f t="shared" si="5"/>
        <v>11.668780669728733</v>
      </c>
      <c r="Q37" s="3122">
        <f t="shared" si="5"/>
        <v>7.6436030306599143</v>
      </c>
      <c r="R37" s="1519">
        <f t="shared" si="5"/>
        <v>3.6489891257409806</v>
      </c>
      <c r="S37" s="1924">
        <f t="shared" si="5"/>
        <v>11.292592156400895</v>
      </c>
      <c r="T37" s="1556">
        <v>45.953101494562567</v>
      </c>
      <c r="U37" s="3117">
        <v>40.455035895178817</v>
      </c>
      <c r="V37" s="3117">
        <v>11.964514734733001</v>
      </c>
      <c r="W37" s="1556">
        <v>8.9075876633750291</v>
      </c>
      <c r="X37" s="3117">
        <v>3.8448093995323824</v>
      </c>
      <c r="Y37" s="1524">
        <f t="shared" si="2"/>
        <v>12.752397062907411</v>
      </c>
    </row>
    <row r="38" spans="1:25">
      <c r="A38" s="1467">
        <v>2005.3</v>
      </c>
      <c r="B38" s="1514">
        <v>46.3</v>
      </c>
      <c r="C38" s="3111">
        <v>40.6</v>
      </c>
      <c r="D38" s="3111">
        <v>12.4</v>
      </c>
      <c r="E38" s="3111">
        <v>6.8</v>
      </c>
      <c r="F38" s="3111">
        <v>1.6</v>
      </c>
      <c r="G38" s="1523">
        <f t="shared" si="0"/>
        <v>8.4</v>
      </c>
      <c r="H38" s="1556">
        <v>43.511720220160896</v>
      </c>
      <c r="I38" s="3117">
        <v>38.29631062066327</v>
      </c>
      <c r="J38" s="3117">
        <v>11.986217904299497</v>
      </c>
      <c r="K38" s="3117">
        <v>7.611214917541588</v>
      </c>
      <c r="L38" s="3117">
        <v>3.2256985429400213</v>
      </c>
      <c r="M38" s="1523">
        <f t="shared" si="4"/>
        <v>10.836913460481609</v>
      </c>
      <c r="N38" s="1518">
        <f t="shared" si="5"/>
        <v>44.905860110080447</v>
      </c>
      <c r="O38" s="3122">
        <f t="shared" si="5"/>
        <v>39.448155310331636</v>
      </c>
      <c r="P38" s="1519">
        <f t="shared" si="5"/>
        <v>12.19310895214975</v>
      </c>
      <c r="Q38" s="3122">
        <f t="shared" si="5"/>
        <v>7.2056074587707943</v>
      </c>
      <c r="R38" s="1519">
        <f t="shared" si="5"/>
        <v>2.4128492714700105</v>
      </c>
      <c r="S38" s="1924">
        <f t="shared" si="5"/>
        <v>9.6184567302408048</v>
      </c>
      <c r="T38" s="1556">
        <v>46.674986944321006</v>
      </c>
      <c r="U38" s="3117">
        <v>41.483903556063289</v>
      </c>
      <c r="V38" s="3117">
        <v>11.121767199314279</v>
      </c>
      <c r="W38" s="1556">
        <v>8.8665567173399999</v>
      </c>
      <c r="X38" s="3117">
        <v>4.1028210084463295</v>
      </c>
      <c r="Y38" s="1524">
        <f t="shared" si="2"/>
        <v>12.96937772578633</v>
      </c>
    </row>
    <row r="39" spans="1:25">
      <c r="A39" s="1467">
        <v>2005.4</v>
      </c>
      <c r="B39" s="1514">
        <v>45.6</v>
      </c>
      <c r="C39" s="3111">
        <v>40.299999999999997</v>
      </c>
      <c r="D39" s="3111">
        <v>11.7</v>
      </c>
      <c r="E39" s="3111">
        <v>6.7</v>
      </c>
      <c r="F39" s="3111">
        <v>1.6</v>
      </c>
      <c r="G39" s="1523">
        <f t="shared" si="0"/>
        <v>8.3000000000000007</v>
      </c>
      <c r="H39" s="1556">
        <v>42.663787972117312</v>
      </c>
      <c r="I39" s="3117">
        <v>39.299158168503183</v>
      </c>
      <c r="J39" s="3117">
        <v>7.886383191790344</v>
      </c>
      <c r="K39" s="3117">
        <v>10.213456873544667</v>
      </c>
      <c r="L39" s="3117">
        <v>1.6178193467471038</v>
      </c>
      <c r="M39" s="1523">
        <f t="shared" si="4"/>
        <v>11.83127622029177</v>
      </c>
      <c r="N39" s="1518">
        <f t="shared" si="5"/>
        <v>44.131893986058657</v>
      </c>
      <c r="O39" s="3122">
        <f t="shared" si="5"/>
        <v>39.79957908425159</v>
      </c>
      <c r="P39" s="1519">
        <f t="shared" si="5"/>
        <v>9.7931915958951716</v>
      </c>
      <c r="Q39" s="3122">
        <f t="shared" si="5"/>
        <v>8.4567284367723339</v>
      </c>
      <c r="R39" s="1519">
        <f t="shared" si="5"/>
        <v>1.608909673373552</v>
      </c>
      <c r="S39" s="1924">
        <f t="shared" si="5"/>
        <v>10.065638110145885</v>
      </c>
      <c r="T39" s="1556">
        <v>46.380549447084597</v>
      </c>
      <c r="U39" s="3117">
        <v>41.726031816992794</v>
      </c>
      <c r="V39" s="3117">
        <v>10.035494804566996</v>
      </c>
      <c r="W39" s="1556">
        <v>8.3816402122972917</v>
      </c>
      <c r="X39" s="3117">
        <v>3.4411240220760484</v>
      </c>
      <c r="Y39" s="1524">
        <f t="shared" si="2"/>
        <v>11.82276423437334</v>
      </c>
    </row>
    <row r="40" spans="1:25">
      <c r="A40" s="1467">
        <v>2006.1</v>
      </c>
      <c r="B40" s="1514">
        <v>45</v>
      </c>
      <c r="C40" s="3111">
        <v>38.4</v>
      </c>
      <c r="D40" s="3111">
        <v>14.6</v>
      </c>
      <c r="E40" s="3111">
        <v>7.2</v>
      </c>
      <c r="F40" s="3111">
        <v>1</v>
      </c>
      <c r="G40" s="1523">
        <f t="shared" si="0"/>
        <v>8.1999999999999993</v>
      </c>
      <c r="H40" s="1556">
        <v>39.59514856686647</v>
      </c>
      <c r="I40" s="3117">
        <v>36.212630769039848</v>
      </c>
      <c r="J40" s="3117">
        <v>8.542758191990055</v>
      </c>
      <c r="K40" s="3117">
        <v>7.1496105768477358</v>
      </c>
      <c r="L40" s="3117">
        <v>3.0631487121089442</v>
      </c>
      <c r="M40" s="1523">
        <f t="shared" si="4"/>
        <v>10.212759288956679</v>
      </c>
      <c r="N40" s="1518">
        <f t="shared" si="5"/>
        <v>42.297574283433235</v>
      </c>
      <c r="O40" s="3122">
        <f t="shared" si="5"/>
        <v>37.30631538451992</v>
      </c>
      <c r="P40" s="1519">
        <f t="shared" si="5"/>
        <v>11.571379095995027</v>
      </c>
      <c r="Q40" s="3122">
        <f t="shared" si="5"/>
        <v>7.174805288423868</v>
      </c>
      <c r="R40" s="1519">
        <f t="shared" si="5"/>
        <v>2.0315743560544721</v>
      </c>
      <c r="S40" s="1924">
        <f t="shared" si="5"/>
        <v>9.2063796444783392</v>
      </c>
      <c r="T40" s="1556">
        <v>46.409070102535985</v>
      </c>
      <c r="U40" s="3117">
        <v>41.160976359246</v>
      </c>
      <c r="V40" s="3117">
        <v>11.30833634825018</v>
      </c>
      <c r="W40" s="1556">
        <v>7.7388582200389484</v>
      </c>
      <c r="X40" s="3117">
        <v>3.2363194995650728</v>
      </c>
      <c r="Y40" s="1524">
        <f t="shared" si="2"/>
        <v>10.975177719604021</v>
      </c>
    </row>
    <row r="41" spans="1:25">
      <c r="A41" s="1467">
        <v>2006.2</v>
      </c>
      <c r="B41" s="1521">
        <v>45.9</v>
      </c>
      <c r="C41" s="3111">
        <v>40.1</v>
      </c>
      <c r="D41" s="1514">
        <v>12.8</v>
      </c>
      <c r="E41" s="3111">
        <v>6.5</v>
      </c>
      <c r="F41" s="3111">
        <v>2.1</v>
      </c>
      <c r="G41" s="1523">
        <f t="shared" si="0"/>
        <v>8.6</v>
      </c>
      <c r="H41" s="1557">
        <v>38.965500167114371</v>
      </c>
      <c r="I41" s="3117">
        <v>36.765573614910728</v>
      </c>
      <c r="J41" s="1556">
        <v>5.645831678712308</v>
      </c>
      <c r="K41" s="3117">
        <v>6.7873878166944639</v>
      </c>
      <c r="L41" s="3117">
        <v>2.567442353003468</v>
      </c>
      <c r="M41" s="1523">
        <f t="shared" si="4"/>
        <v>9.3548301696979319</v>
      </c>
      <c r="N41" s="1518">
        <f>(B41+H41)/2</f>
        <v>42.432750083557181</v>
      </c>
      <c r="O41" s="3122">
        <f t="shared" si="5"/>
        <v>38.432786807455365</v>
      </c>
      <c r="P41" s="1519">
        <f t="shared" si="5"/>
        <v>9.2229158393561548</v>
      </c>
      <c r="Q41" s="3122">
        <f t="shared" si="5"/>
        <v>6.6436939083472319</v>
      </c>
      <c r="R41" s="1519">
        <f t="shared" si="5"/>
        <v>2.3337211765017338</v>
      </c>
      <c r="S41" s="1924">
        <f t="shared" si="5"/>
        <v>8.9774150848489658</v>
      </c>
      <c r="T41" s="1556">
        <v>46.924111743914615</v>
      </c>
      <c r="U41" s="3117">
        <v>42.079239513716708</v>
      </c>
      <c r="V41" s="3117">
        <v>10.324909838759416</v>
      </c>
      <c r="W41" s="1556">
        <v>8.1049290799137701</v>
      </c>
      <c r="X41" s="3117">
        <v>3.9464997459125213</v>
      </c>
      <c r="Y41" s="1524">
        <f t="shared" si="2"/>
        <v>12.051428825826292</v>
      </c>
    </row>
    <row r="42" spans="1:25">
      <c r="A42" s="1467">
        <v>2006.3</v>
      </c>
      <c r="B42" s="1521">
        <v>47.3</v>
      </c>
      <c r="C42" s="3111">
        <v>42</v>
      </c>
      <c r="D42" s="1514">
        <v>11.2</v>
      </c>
      <c r="E42" s="3111">
        <v>6.4</v>
      </c>
      <c r="F42" s="3111">
        <v>1.9</v>
      </c>
      <c r="G42" s="1523">
        <f t="shared" si="0"/>
        <v>8.3000000000000007</v>
      </c>
      <c r="H42" s="1513">
        <v>39.6</v>
      </c>
      <c r="I42" s="3111">
        <v>36.700000000000003</v>
      </c>
      <c r="J42" s="1514">
        <v>7.3</v>
      </c>
      <c r="K42" s="3111">
        <v>9.6999999999999993</v>
      </c>
      <c r="L42" s="3111">
        <v>1.1000000000000001</v>
      </c>
      <c r="M42" s="1523">
        <f t="shared" si="4"/>
        <v>10.799999999999999</v>
      </c>
      <c r="N42" s="1518">
        <f t="shared" ref="N42:S57" si="6">(B42+H42)/2</f>
        <v>43.45</v>
      </c>
      <c r="O42" s="3122">
        <f t="shared" si="5"/>
        <v>39.35</v>
      </c>
      <c r="P42" s="1519">
        <f t="shared" si="5"/>
        <v>9.25</v>
      </c>
      <c r="Q42" s="3122">
        <f t="shared" si="5"/>
        <v>8.0500000000000007</v>
      </c>
      <c r="R42" s="1519">
        <f t="shared" si="5"/>
        <v>1.5</v>
      </c>
      <c r="S42" s="1924">
        <f t="shared" si="5"/>
        <v>9.5500000000000007</v>
      </c>
      <c r="T42" s="1556">
        <v>46.672875100944758</v>
      </c>
      <c r="U42" s="3117">
        <v>41.961435913417702</v>
      </c>
      <c r="V42" s="3117">
        <v>10.094598152218149</v>
      </c>
      <c r="W42" s="1556">
        <v>7.3424244357738253</v>
      </c>
      <c r="X42" s="3117">
        <v>3.5108230516442749</v>
      </c>
      <c r="Y42" s="1524">
        <f t="shared" si="2"/>
        <v>10.8532474874181</v>
      </c>
    </row>
    <row r="43" spans="1:25">
      <c r="A43" s="1467">
        <v>2006.4</v>
      </c>
      <c r="B43" s="1521">
        <v>46.8</v>
      </c>
      <c r="C43" s="3111">
        <v>42.4</v>
      </c>
      <c r="D43" s="1514">
        <v>9.5</v>
      </c>
      <c r="E43" s="3111">
        <v>6.1</v>
      </c>
      <c r="F43" s="3111">
        <v>1.9</v>
      </c>
      <c r="G43" s="1523">
        <f t="shared" si="0"/>
        <v>8</v>
      </c>
      <c r="H43" s="1513">
        <v>41.7</v>
      </c>
      <c r="I43" s="3111">
        <v>38.200000000000003</v>
      </c>
      <c r="J43" s="1514">
        <v>8.4</v>
      </c>
      <c r="K43" s="3111">
        <v>7.8</v>
      </c>
      <c r="L43" s="3111">
        <v>1.7</v>
      </c>
      <c r="M43" s="1523">
        <f t="shared" si="4"/>
        <v>9.5</v>
      </c>
      <c r="N43" s="1518">
        <f t="shared" si="6"/>
        <v>44.25</v>
      </c>
      <c r="O43" s="3122">
        <f t="shared" si="5"/>
        <v>40.299999999999997</v>
      </c>
      <c r="P43" s="1519">
        <f t="shared" si="5"/>
        <v>8.9499999999999993</v>
      </c>
      <c r="Q43" s="3122">
        <f t="shared" si="5"/>
        <v>6.9499999999999993</v>
      </c>
      <c r="R43" s="1519">
        <f t="shared" si="5"/>
        <v>1.7999999999999998</v>
      </c>
      <c r="S43" s="1924">
        <f t="shared" si="5"/>
        <v>8.75</v>
      </c>
      <c r="T43" s="1556">
        <v>46.351456500094322</v>
      </c>
      <c r="U43" s="3117">
        <v>42.353936605072398</v>
      </c>
      <c r="V43" s="3117">
        <v>8.6243673810202459</v>
      </c>
      <c r="W43" s="1556">
        <v>7.4578140335333831</v>
      </c>
      <c r="X43" s="3117">
        <v>3.2836505911384166</v>
      </c>
      <c r="Y43" s="1524">
        <f t="shared" si="2"/>
        <v>10.741464624671799</v>
      </c>
    </row>
    <row r="44" spans="1:25">
      <c r="A44" s="1467">
        <v>2007.1</v>
      </c>
      <c r="B44" s="1521">
        <v>45.9</v>
      </c>
      <c r="C44" s="3111">
        <v>41.1</v>
      </c>
      <c r="D44" s="1514">
        <v>10.4</v>
      </c>
      <c r="E44" s="3111">
        <v>4.7</v>
      </c>
      <c r="F44" s="3111">
        <v>2.2000000000000002</v>
      </c>
      <c r="G44" s="1523">
        <f t="shared" si="0"/>
        <v>6.9</v>
      </c>
      <c r="H44" s="1513">
        <v>39.9</v>
      </c>
      <c r="I44" s="3111">
        <v>36.5</v>
      </c>
      <c r="J44" s="1514">
        <v>8.5</v>
      </c>
      <c r="K44" s="3111">
        <v>8.4</v>
      </c>
      <c r="L44" s="3111">
        <v>1.3</v>
      </c>
      <c r="M44" s="1523">
        <f t="shared" si="4"/>
        <v>9.7000000000000011</v>
      </c>
      <c r="N44" s="1518">
        <f t="shared" si="6"/>
        <v>42.9</v>
      </c>
      <c r="O44" s="3122">
        <f t="shared" si="5"/>
        <v>38.799999999999997</v>
      </c>
      <c r="P44" s="1519">
        <f t="shared" si="5"/>
        <v>9.4499999999999993</v>
      </c>
      <c r="Q44" s="3122">
        <f t="shared" si="5"/>
        <v>6.5500000000000007</v>
      </c>
      <c r="R44" s="1519">
        <f t="shared" si="5"/>
        <v>1.75</v>
      </c>
      <c r="S44" s="1924">
        <f t="shared" si="5"/>
        <v>8.3000000000000007</v>
      </c>
      <c r="T44" s="1556">
        <v>46.51054948899953</v>
      </c>
      <c r="U44" s="3117">
        <v>42.003986288336655</v>
      </c>
      <c r="V44" s="3117">
        <v>9.6893355382282653</v>
      </c>
      <c r="W44" s="1556">
        <v>6.4237832446126326</v>
      </c>
      <c r="X44" s="3117">
        <v>2.8476869346592446</v>
      </c>
      <c r="Y44" s="1524">
        <f t="shared" si="2"/>
        <v>9.2714701792718763</v>
      </c>
    </row>
    <row r="45" spans="1:25">
      <c r="A45" s="1467">
        <v>2007.2</v>
      </c>
      <c r="B45" s="1521">
        <v>46.5</v>
      </c>
      <c r="C45" s="3111">
        <v>41.3</v>
      </c>
      <c r="D45" s="1514">
        <v>11.2</v>
      </c>
      <c r="E45" s="3111">
        <v>4.5999999999999996</v>
      </c>
      <c r="F45" s="3111">
        <v>1</v>
      </c>
      <c r="G45" s="1523">
        <f t="shared" si="0"/>
        <v>5.6</v>
      </c>
      <c r="H45" s="1513">
        <v>41</v>
      </c>
      <c r="I45" s="3111">
        <v>37.200000000000003</v>
      </c>
      <c r="J45" s="1514">
        <v>9.4</v>
      </c>
      <c r="K45" s="3111">
        <v>8.3000000000000007</v>
      </c>
      <c r="L45" s="3111">
        <v>0.8</v>
      </c>
      <c r="M45" s="1523">
        <f t="shared" si="4"/>
        <v>9.1000000000000014</v>
      </c>
      <c r="N45" s="1518">
        <f t="shared" si="6"/>
        <v>43.75</v>
      </c>
      <c r="O45" s="3122">
        <f t="shared" si="5"/>
        <v>39.25</v>
      </c>
      <c r="P45" s="1519">
        <f t="shared" si="5"/>
        <v>10.3</v>
      </c>
      <c r="Q45" s="3122">
        <f t="shared" si="5"/>
        <v>6.45</v>
      </c>
      <c r="R45" s="1519">
        <f t="shared" si="5"/>
        <v>0.9</v>
      </c>
      <c r="S45" s="1924">
        <f t="shared" si="5"/>
        <v>7.3500000000000005</v>
      </c>
      <c r="T45" s="1556">
        <v>46.318147590205584</v>
      </c>
      <c r="U45" s="3117">
        <v>42.479399707156048</v>
      </c>
      <c r="V45" s="3117">
        <v>8.2877836933644442</v>
      </c>
      <c r="W45" s="1556">
        <v>7.0951081130092852</v>
      </c>
      <c r="X45" s="3117">
        <v>2.9060189160340126</v>
      </c>
      <c r="Y45" s="1524">
        <f t="shared" si="2"/>
        <v>10.001127029043298</v>
      </c>
    </row>
    <row r="46" spans="1:25">
      <c r="A46" s="1467">
        <v>2007.3</v>
      </c>
      <c r="B46" s="1521">
        <v>46.7</v>
      </c>
      <c r="C46" s="3111">
        <v>41.9</v>
      </c>
      <c r="D46" s="1514">
        <v>10.4</v>
      </c>
      <c r="E46" s="3111">
        <v>5.7</v>
      </c>
      <c r="F46" s="3111">
        <v>1.6</v>
      </c>
      <c r="G46" s="1523">
        <f t="shared" si="0"/>
        <v>7.3000000000000007</v>
      </c>
      <c r="H46" s="1513">
        <v>39.799999999999997</v>
      </c>
      <c r="I46" s="3111">
        <v>36.9</v>
      </c>
      <c r="J46" s="1514">
        <v>7.3</v>
      </c>
      <c r="K46" s="3111">
        <v>7.6</v>
      </c>
      <c r="L46" s="3111">
        <v>0.3</v>
      </c>
      <c r="M46" s="1523">
        <f t="shared" si="4"/>
        <v>7.8999999999999995</v>
      </c>
      <c r="N46" s="1518">
        <f t="shared" si="6"/>
        <v>43.25</v>
      </c>
      <c r="O46" s="3122">
        <f t="shared" si="6"/>
        <v>39.4</v>
      </c>
      <c r="P46" s="1519">
        <f t="shared" si="6"/>
        <v>8.85</v>
      </c>
      <c r="Q46" s="3122">
        <f t="shared" si="6"/>
        <v>6.65</v>
      </c>
      <c r="R46" s="1519">
        <f t="shared" si="6"/>
        <v>0.95000000000000007</v>
      </c>
      <c r="S46" s="1924">
        <f t="shared" si="6"/>
        <v>7.6</v>
      </c>
      <c r="T46" s="1556">
        <f>('2.3'!R46/'2.3'!Q46)*100</f>
        <v>45.928764536570974</v>
      </c>
      <c r="U46" s="3117">
        <f>('2.3'!S46/'2.3'!Q46)*100</f>
        <v>42.268771815152604</v>
      </c>
      <c r="V46" s="3117">
        <f>('2.3'!T46/'2.3'!R46)*100</f>
        <v>7.9688464480774091</v>
      </c>
      <c r="W46" s="1556">
        <v>6.7</v>
      </c>
      <c r="X46" s="3117">
        <v>2.6</v>
      </c>
      <c r="Y46" s="195">
        <f>W46+X46</f>
        <v>9.3000000000000007</v>
      </c>
    </row>
    <row r="47" spans="1:25">
      <c r="A47" s="1467">
        <v>2007.4</v>
      </c>
      <c r="B47" s="1521">
        <v>47.4</v>
      </c>
      <c r="C47" s="3111">
        <v>43.1</v>
      </c>
      <c r="D47" s="1514">
        <v>9</v>
      </c>
      <c r="E47" s="3111">
        <v>6.1</v>
      </c>
      <c r="F47" s="3111">
        <v>1.2</v>
      </c>
      <c r="G47" s="1523">
        <f t="shared" si="0"/>
        <v>7.3</v>
      </c>
      <c r="H47" s="1513">
        <v>41.4</v>
      </c>
      <c r="I47" s="3111">
        <v>37.6</v>
      </c>
      <c r="J47" s="1514">
        <v>9.1</v>
      </c>
      <c r="K47" s="3111">
        <v>8.1</v>
      </c>
      <c r="L47" s="3111">
        <v>0.6</v>
      </c>
      <c r="M47" s="1523">
        <f t="shared" si="4"/>
        <v>8.6999999999999993</v>
      </c>
      <c r="N47" s="1518">
        <f t="shared" si="6"/>
        <v>44.4</v>
      </c>
      <c r="O47" s="3122">
        <f t="shared" si="6"/>
        <v>40.35</v>
      </c>
      <c r="P47" s="1519">
        <f t="shared" si="6"/>
        <v>9.0500000000000007</v>
      </c>
      <c r="Q47" s="3122">
        <f t="shared" si="6"/>
        <v>7.1</v>
      </c>
      <c r="R47" s="1519">
        <f t="shared" si="6"/>
        <v>0.89999999999999991</v>
      </c>
      <c r="S47" s="1924">
        <f t="shared" si="6"/>
        <v>8</v>
      </c>
      <c r="T47" s="1556">
        <v>45.557342685804656</v>
      </c>
      <c r="U47" s="3117">
        <v>42.130306676933557</v>
      </c>
      <c r="V47" s="3117">
        <v>7.5224668666615067</v>
      </c>
      <c r="W47" s="1556">
        <v>6.0654843243735934</v>
      </c>
      <c r="X47" s="3117">
        <v>3.043868894629437</v>
      </c>
      <c r="Y47" s="1524">
        <f t="shared" si="2"/>
        <v>9.1093532190030295</v>
      </c>
    </row>
    <row r="48" spans="1:25">
      <c r="A48" s="1467">
        <f t="shared" ref="A48:A111" si="7">A44+1</f>
        <v>2008.1</v>
      </c>
      <c r="B48" s="1521">
        <v>46.3</v>
      </c>
      <c r="C48" s="3111">
        <v>42.5</v>
      </c>
      <c r="D48" s="3111">
        <v>8.3000000000000007</v>
      </c>
      <c r="E48" s="3111">
        <v>4.5</v>
      </c>
      <c r="F48" s="3111">
        <v>2.4</v>
      </c>
      <c r="G48" s="1523">
        <f t="shared" si="0"/>
        <v>6.9</v>
      </c>
      <c r="H48" s="1514">
        <v>44.1</v>
      </c>
      <c r="I48" s="3111">
        <v>40.1</v>
      </c>
      <c r="J48" s="3111">
        <v>9.1</v>
      </c>
      <c r="K48" s="3111">
        <v>9.6999999999999993</v>
      </c>
      <c r="L48" s="3111">
        <v>2</v>
      </c>
      <c r="M48" s="1523">
        <f>K48+L48</f>
        <v>11.7</v>
      </c>
      <c r="N48" s="1518">
        <f>(B48+H48)/2</f>
        <v>45.2</v>
      </c>
      <c r="O48" s="3122">
        <f t="shared" si="6"/>
        <v>41.3</v>
      </c>
      <c r="P48" s="1519">
        <f t="shared" si="6"/>
        <v>8.6999999999999993</v>
      </c>
      <c r="Q48" s="3122">
        <f t="shared" si="6"/>
        <v>7.1</v>
      </c>
      <c r="R48" s="1519">
        <f t="shared" si="6"/>
        <v>2.2000000000000002</v>
      </c>
      <c r="S48" s="1924">
        <f t="shared" si="6"/>
        <v>9.3000000000000007</v>
      </c>
      <c r="T48" s="1556">
        <v>45.745895486016771</v>
      </c>
      <c r="U48" s="3117">
        <v>41.944150074125432</v>
      </c>
      <c r="V48" s="3117">
        <v>8.3105716294337721</v>
      </c>
      <c r="W48" s="1556">
        <v>5.9014631869451692</v>
      </c>
      <c r="X48" s="3117">
        <v>2.3638156011829676</v>
      </c>
      <c r="Y48" s="1524">
        <f t="shared" si="2"/>
        <v>8.2652787881281373</v>
      </c>
    </row>
    <row r="49" spans="1:25">
      <c r="A49" s="1467">
        <f t="shared" si="7"/>
        <v>2008.2</v>
      </c>
      <c r="B49" s="1521">
        <v>48.2</v>
      </c>
      <c r="C49" s="3111">
        <v>43.5</v>
      </c>
      <c r="D49" s="3111">
        <v>9.6999999999999993</v>
      </c>
      <c r="E49" s="3111">
        <v>5.8</v>
      </c>
      <c r="F49" s="3111">
        <v>1.5</v>
      </c>
      <c r="G49" s="1523">
        <f t="shared" si="0"/>
        <v>7.3</v>
      </c>
      <c r="H49" s="1513">
        <v>43.8</v>
      </c>
      <c r="I49" s="3111">
        <v>38.299999999999997</v>
      </c>
      <c r="J49" s="3111">
        <v>12.6</v>
      </c>
      <c r="K49" s="3111">
        <v>9.8000000000000007</v>
      </c>
      <c r="L49" s="3111">
        <v>1.3</v>
      </c>
      <c r="M49" s="1523">
        <f t="shared" ref="M49:M50" si="8">K49+L49</f>
        <v>11.100000000000001</v>
      </c>
      <c r="N49" s="1518">
        <f t="shared" ref="N49:N51" si="9">(B49+H49)/2</f>
        <v>46</v>
      </c>
      <c r="O49" s="3122">
        <f t="shared" si="6"/>
        <v>40.9</v>
      </c>
      <c r="P49" s="1519">
        <f t="shared" si="6"/>
        <v>11.149999999999999</v>
      </c>
      <c r="Q49" s="3122">
        <f t="shared" si="6"/>
        <v>7.8000000000000007</v>
      </c>
      <c r="R49" s="1519">
        <f t="shared" si="6"/>
        <v>1.4</v>
      </c>
      <c r="S49" s="1924">
        <f t="shared" si="6"/>
        <v>9.2000000000000011</v>
      </c>
      <c r="T49" s="1556">
        <v>45.795635310025965</v>
      </c>
      <c r="U49" s="3117">
        <v>42.153023045737221</v>
      </c>
      <c r="V49" s="3117">
        <v>7.9540599003138546</v>
      </c>
      <c r="W49" s="1556">
        <v>6.2590713595564864</v>
      </c>
      <c r="X49" s="3117">
        <v>2.4063648593133014</v>
      </c>
      <c r="Y49" s="1524">
        <f t="shared" si="2"/>
        <v>8.6654362188697878</v>
      </c>
    </row>
    <row r="50" spans="1:25">
      <c r="A50" s="1467">
        <f t="shared" si="7"/>
        <v>2008.3</v>
      </c>
      <c r="B50" s="1521">
        <v>46.1</v>
      </c>
      <c r="C50" s="3111">
        <v>41.7</v>
      </c>
      <c r="D50" s="3111">
        <v>9.4</v>
      </c>
      <c r="E50" s="3111">
        <v>5.9</v>
      </c>
      <c r="F50" s="3111">
        <v>1.5</v>
      </c>
      <c r="G50" s="1523">
        <f t="shared" si="0"/>
        <v>7.4</v>
      </c>
      <c r="H50" s="1513">
        <v>43.7</v>
      </c>
      <c r="I50" s="3111">
        <v>38.700000000000003</v>
      </c>
      <c r="J50" s="3111">
        <v>11.4</v>
      </c>
      <c r="K50" s="3111">
        <v>10</v>
      </c>
      <c r="L50" s="3111">
        <v>1.2</v>
      </c>
      <c r="M50" s="1523">
        <f t="shared" si="8"/>
        <v>11.2</v>
      </c>
      <c r="N50" s="1518">
        <f t="shared" si="9"/>
        <v>44.900000000000006</v>
      </c>
      <c r="O50" s="3122">
        <f t="shared" si="6"/>
        <v>40.200000000000003</v>
      </c>
      <c r="P50" s="1519">
        <f t="shared" si="6"/>
        <v>10.4</v>
      </c>
      <c r="Q50" s="3122">
        <f t="shared" si="6"/>
        <v>7.95</v>
      </c>
      <c r="R50" s="1519">
        <f t="shared" si="6"/>
        <v>1.35</v>
      </c>
      <c r="S50" s="1924">
        <f t="shared" si="6"/>
        <v>9.3000000000000007</v>
      </c>
      <c r="T50" s="1556">
        <v>45.506721086062754</v>
      </c>
      <c r="U50" s="3117">
        <v>41.968611033894227</v>
      </c>
      <c r="V50" s="3117">
        <v>7.774917567620883</v>
      </c>
      <c r="W50" s="1556">
        <v>6.5786920624330056</v>
      </c>
      <c r="X50" s="3117">
        <v>2.8060575901912097</v>
      </c>
      <c r="Y50" s="1524">
        <f t="shared" si="2"/>
        <v>9.3847496526242153</v>
      </c>
    </row>
    <row r="51" spans="1:25">
      <c r="A51" s="1467">
        <f t="shared" si="7"/>
        <v>2008.4</v>
      </c>
      <c r="B51" s="1521">
        <v>46.1</v>
      </c>
      <c r="C51" s="3111">
        <v>42.6</v>
      </c>
      <c r="D51" s="1514">
        <v>7.7</v>
      </c>
      <c r="E51" s="3111">
        <v>6.5</v>
      </c>
      <c r="F51" s="3111">
        <v>1.7</v>
      </c>
      <c r="G51" s="1523">
        <f t="shared" si="0"/>
        <v>8.1999999999999993</v>
      </c>
      <c r="H51" s="1513">
        <v>44.2</v>
      </c>
      <c r="I51" s="3111">
        <v>40.200000000000003</v>
      </c>
      <c r="J51" s="1514">
        <v>9.1</v>
      </c>
      <c r="K51" s="3111">
        <v>7.4</v>
      </c>
      <c r="L51" s="3111">
        <v>0.7</v>
      </c>
      <c r="M51" s="1523">
        <f>K51+L51</f>
        <v>8.1</v>
      </c>
      <c r="N51" s="1518">
        <f t="shared" si="9"/>
        <v>45.150000000000006</v>
      </c>
      <c r="O51" s="3122">
        <f t="shared" si="6"/>
        <v>41.400000000000006</v>
      </c>
      <c r="P51" s="1519">
        <f t="shared" si="6"/>
        <v>8.4</v>
      </c>
      <c r="Q51" s="3122">
        <f t="shared" si="6"/>
        <v>6.95</v>
      </c>
      <c r="R51" s="1519">
        <f t="shared" si="6"/>
        <v>1.2</v>
      </c>
      <c r="S51" s="1924">
        <f t="shared" si="6"/>
        <v>8.1499999999999986</v>
      </c>
      <c r="T51" s="1556">
        <v>46.100130643928267</v>
      </c>
      <c r="U51" s="3117">
        <v>42.744676266042966</v>
      </c>
      <c r="V51" s="3117">
        <v>7.2786222750699237</v>
      </c>
      <c r="W51" s="1556">
        <v>6.0228207196813752</v>
      </c>
      <c r="X51" s="3117">
        <v>3.1028210311980402</v>
      </c>
      <c r="Y51" s="1524">
        <f t="shared" si="2"/>
        <v>9.1256417508794154</v>
      </c>
    </row>
    <row r="52" spans="1:25" s="1469" customFormat="1">
      <c r="A52" s="1467">
        <f t="shared" si="7"/>
        <v>2009.1</v>
      </c>
      <c r="B52" s="1521">
        <v>48.1</v>
      </c>
      <c r="C52" s="3111">
        <v>42.9</v>
      </c>
      <c r="D52" s="1514">
        <v>10.8</v>
      </c>
      <c r="E52" s="3111">
        <v>5.7</v>
      </c>
      <c r="F52" s="3111">
        <v>2.6</v>
      </c>
      <c r="G52" s="1523">
        <f t="shared" si="0"/>
        <v>8.3000000000000007</v>
      </c>
      <c r="H52" s="1513">
        <v>42.9</v>
      </c>
      <c r="I52" s="3111">
        <v>37.799999999999997</v>
      </c>
      <c r="J52" s="1514">
        <v>11.9</v>
      </c>
      <c r="K52" s="3111">
        <v>8.6999999999999993</v>
      </c>
      <c r="L52" s="3111">
        <v>0.6</v>
      </c>
      <c r="M52" s="1523">
        <f>K52+L52</f>
        <v>9.2999999999999989</v>
      </c>
      <c r="N52" s="1518">
        <f>(B52+H52)/2</f>
        <v>45.5</v>
      </c>
      <c r="O52" s="3122">
        <f>(C52+I52)/2</f>
        <v>40.349999999999994</v>
      </c>
      <c r="P52" s="1519">
        <f t="shared" si="6"/>
        <v>11.350000000000001</v>
      </c>
      <c r="Q52" s="3122">
        <f t="shared" si="6"/>
        <v>7.1999999999999993</v>
      </c>
      <c r="R52" s="1519">
        <f t="shared" si="6"/>
        <v>1.6</v>
      </c>
      <c r="S52" s="1924">
        <f t="shared" si="6"/>
        <v>8.8000000000000007</v>
      </c>
      <c r="T52" s="1556">
        <v>46.467886486081902</v>
      </c>
      <c r="U52" s="3117">
        <v>42.582684738790974</v>
      </c>
      <c r="V52" s="3117">
        <v>8.3610468241429992</v>
      </c>
      <c r="W52" s="1556">
        <v>6.0288480731967242</v>
      </c>
      <c r="X52" s="3117">
        <v>3.0120723057814125</v>
      </c>
      <c r="Y52" s="1524">
        <f>W52+X52</f>
        <v>9.0409203789781358</v>
      </c>
    </row>
    <row r="53" spans="1:25" s="1469" customFormat="1">
      <c r="A53" s="1467">
        <f t="shared" si="7"/>
        <v>2009.2</v>
      </c>
      <c r="B53" s="1521">
        <v>45.5</v>
      </c>
      <c r="C53" s="3111">
        <v>40.6</v>
      </c>
      <c r="D53" s="1514">
        <v>10.8</v>
      </c>
      <c r="E53" s="3111">
        <v>6.8</v>
      </c>
      <c r="F53" s="3111">
        <v>3.1</v>
      </c>
      <c r="G53" s="1523">
        <f t="shared" si="0"/>
        <v>9.9</v>
      </c>
      <c r="H53" s="1513">
        <v>43.2</v>
      </c>
      <c r="I53" s="3111">
        <v>38.4</v>
      </c>
      <c r="J53" s="1514">
        <v>11.1</v>
      </c>
      <c r="K53" s="3111">
        <v>11.6</v>
      </c>
      <c r="L53" s="3111">
        <v>2.6</v>
      </c>
      <c r="M53" s="1523">
        <f t="shared" ref="M53:M78" si="10">K53+L53</f>
        <v>14.2</v>
      </c>
      <c r="N53" s="1518">
        <f>(B53+H53)/2</f>
        <v>44.35</v>
      </c>
      <c r="O53" s="3122">
        <f t="shared" ref="O53:S78" si="11">(C53+I53)/2</f>
        <v>39.5</v>
      </c>
      <c r="P53" s="1519">
        <f t="shared" si="6"/>
        <v>10.95</v>
      </c>
      <c r="Q53" s="3122">
        <f t="shared" si="6"/>
        <v>9.1999999999999993</v>
      </c>
      <c r="R53" s="1519">
        <f t="shared" si="6"/>
        <v>2.85</v>
      </c>
      <c r="S53" s="1924">
        <f t="shared" si="6"/>
        <v>12.05</v>
      </c>
      <c r="T53" s="1556">
        <v>46.261866481466534</v>
      </c>
      <c r="U53" s="3117">
        <v>42.218959149045233</v>
      </c>
      <c r="V53" s="3117">
        <v>8.7391790256473403</v>
      </c>
      <c r="W53" s="1556">
        <v>7.4251222235027061</v>
      </c>
      <c r="X53" s="3117">
        <v>3.0881396881157968</v>
      </c>
      <c r="Y53" s="1524">
        <f t="shared" ref="Y53:Y78" si="12">W53+X53</f>
        <v>10.513261911618503</v>
      </c>
    </row>
    <row r="54" spans="1:25" s="1469" customFormat="1">
      <c r="A54" s="1467">
        <f t="shared" si="7"/>
        <v>2009.3</v>
      </c>
      <c r="B54" s="1521">
        <v>46.1</v>
      </c>
      <c r="C54" s="3111">
        <v>41.4</v>
      </c>
      <c r="D54" s="1514">
        <v>10.3</v>
      </c>
      <c r="E54" s="3111">
        <v>6.1</v>
      </c>
      <c r="F54" s="3111">
        <v>3</v>
      </c>
      <c r="G54" s="1523">
        <f t="shared" si="0"/>
        <v>9.1</v>
      </c>
      <c r="H54" s="1513">
        <v>43.3</v>
      </c>
      <c r="I54" s="3111">
        <v>37.700000000000003</v>
      </c>
      <c r="J54" s="1514">
        <v>13</v>
      </c>
      <c r="K54" s="3111">
        <v>10.5</v>
      </c>
      <c r="L54" s="3111">
        <v>2.8</v>
      </c>
      <c r="M54" s="1523">
        <f t="shared" si="10"/>
        <v>13.3</v>
      </c>
      <c r="N54" s="1518">
        <f t="shared" ref="N54:N78" si="13">(B54+H54)/2</f>
        <v>44.7</v>
      </c>
      <c r="O54" s="3122">
        <f t="shared" si="11"/>
        <v>39.549999999999997</v>
      </c>
      <c r="P54" s="1519">
        <f t="shared" si="6"/>
        <v>11.65</v>
      </c>
      <c r="Q54" s="3122">
        <f t="shared" si="6"/>
        <v>8.3000000000000007</v>
      </c>
      <c r="R54" s="1519">
        <f t="shared" si="6"/>
        <v>2.9</v>
      </c>
      <c r="S54" s="1924">
        <f t="shared" si="6"/>
        <v>11.2</v>
      </c>
      <c r="T54" s="1556">
        <v>46.1</v>
      </c>
      <c r="U54" s="3117">
        <v>41.9</v>
      </c>
      <c r="V54" s="3117">
        <v>9.1</v>
      </c>
      <c r="W54" s="1556">
        <v>7.3</v>
      </c>
      <c r="X54" s="3117">
        <v>3.2</v>
      </c>
      <c r="Y54" s="1524">
        <f t="shared" si="12"/>
        <v>10.5</v>
      </c>
    </row>
    <row r="55" spans="1:25" s="1469" customFormat="1">
      <c r="A55" s="1467">
        <f t="shared" si="7"/>
        <v>2009.4</v>
      </c>
      <c r="B55" s="1521">
        <v>46.4</v>
      </c>
      <c r="C55" s="3111">
        <v>41.5</v>
      </c>
      <c r="D55" s="1514">
        <v>10.6</v>
      </c>
      <c r="E55" s="3111">
        <v>5.3</v>
      </c>
      <c r="F55" s="3111">
        <v>3.8</v>
      </c>
      <c r="G55" s="1523">
        <f t="shared" si="0"/>
        <v>9.1</v>
      </c>
      <c r="H55" s="1513">
        <v>44.2</v>
      </c>
      <c r="I55" s="3111">
        <v>40.799999999999997</v>
      </c>
      <c r="J55" s="1514">
        <v>7.5</v>
      </c>
      <c r="K55" s="3111">
        <v>12.6</v>
      </c>
      <c r="L55" s="3111">
        <v>2.1</v>
      </c>
      <c r="M55" s="1523">
        <f t="shared" si="10"/>
        <v>14.7</v>
      </c>
      <c r="N55" s="1518">
        <f t="shared" si="13"/>
        <v>45.3</v>
      </c>
      <c r="O55" s="3122">
        <f t="shared" si="11"/>
        <v>41.15</v>
      </c>
      <c r="P55" s="1519">
        <f t="shared" si="6"/>
        <v>9.0500000000000007</v>
      </c>
      <c r="Q55" s="3122">
        <f t="shared" si="6"/>
        <v>8.9499999999999993</v>
      </c>
      <c r="R55" s="1519">
        <f t="shared" si="6"/>
        <v>2.95</v>
      </c>
      <c r="S55" s="1924">
        <f t="shared" si="6"/>
        <v>11.899999999999999</v>
      </c>
      <c r="T55" s="1556">
        <v>46.26895033416794</v>
      </c>
      <c r="U55" s="3117">
        <v>42.395231393447702</v>
      </c>
      <c r="V55" s="3117">
        <v>8.3721781297027533</v>
      </c>
      <c r="W55" s="1556">
        <v>6.8876736879891629</v>
      </c>
      <c r="X55" s="3117">
        <v>3.4072760081087146</v>
      </c>
      <c r="Y55" s="1524">
        <f t="shared" si="12"/>
        <v>10.294949696097877</v>
      </c>
    </row>
    <row r="56" spans="1:25" s="1469" customFormat="1">
      <c r="A56" s="1467">
        <f t="shared" si="7"/>
        <v>2010.1</v>
      </c>
      <c r="B56" s="1521">
        <v>48.2</v>
      </c>
      <c r="C56" s="3111">
        <v>43</v>
      </c>
      <c r="D56" s="1514">
        <v>10.8</v>
      </c>
      <c r="E56" s="3111">
        <v>8.3000000000000007</v>
      </c>
      <c r="F56" s="3111">
        <v>2.8</v>
      </c>
      <c r="G56" s="1523">
        <f t="shared" si="0"/>
        <v>11.100000000000001</v>
      </c>
      <c r="H56" s="1513">
        <v>45.4</v>
      </c>
      <c r="I56" s="3111">
        <v>41.1</v>
      </c>
      <c r="J56" s="1514">
        <v>9.6</v>
      </c>
      <c r="K56" s="3111">
        <v>9.4</v>
      </c>
      <c r="L56" s="3111">
        <v>1.8</v>
      </c>
      <c r="M56" s="1523">
        <f t="shared" si="10"/>
        <v>11.200000000000001</v>
      </c>
      <c r="N56" s="1518">
        <f t="shared" si="13"/>
        <v>46.8</v>
      </c>
      <c r="O56" s="3122">
        <f t="shared" si="11"/>
        <v>42.05</v>
      </c>
      <c r="P56" s="1519">
        <f t="shared" si="6"/>
        <v>10.199999999999999</v>
      </c>
      <c r="Q56" s="3122">
        <f t="shared" si="6"/>
        <v>8.8500000000000014</v>
      </c>
      <c r="R56" s="1519">
        <f t="shared" si="6"/>
        <v>2.2999999999999998</v>
      </c>
      <c r="S56" s="1924">
        <f t="shared" si="6"/>
        <v>11.150000000000002</v>
      </c>
      <c r="T56" s="1556">
        <v>46.00357889359897</v>
      </c>
      <c r="U56" s="3117">
        <v>42.198989628788055</v>
      </c>
      <c r="V56" s="3117">
        <v>8.2702027892449266</v>
      </c>
      <c r="W56" s="1556">
        <v>6.5567719180780344</v>
      </c>
      <c r="X56" s="3117">
        <v>2.6809860818194289</v>
      </c>
      <c r="Y56" s="1524">
        <f t="shared" si="12"/>
        <v>9.2377579998974628</v>
      </c>
    </row>
    <row r="57" spans="1:25" s="1469" customFormat="1">
      <c r="A57" s="1467">
        <f t="shared" si="7"/>
        <v>2010.2</v>
      </c>
      <c r="B57" s="1521">
        <v>46.8</v>
      </c>
      <c r="C57" s="3111">
        <v>42.6</v>
      </c>
      <c r="D57" s="1514">
        <v>9</v>
      </c>
      <c r="E57" s="3111">
        <v>6.6</v>
      </c>
      <c r="F57" s="3111">
        <v>2.9</v>
      </c>
      <c r="G57" s="1523">
        <f t="shared" si="0"/>
        <v>9.5</v>
      </c>
      <c r="H57" s="1513">
        <v>42.7</v>
      </c>
      <c r="I57" s="3111">
        <v>37.799999999999997</v>
      </c>
      <c r="J57" s="1514">
        <v>11.4</v>
      </c>
      <c r="K57" s="3111">
        <v>9.4</v>
      </c>
      <c r="L57" s="3111">
        <v>1.8</v>
      </c>
      <c r="M57" s="1523">
        <f t="shared" si="10"/>
        <v>11.200000000000001</v>
      </c>
      <c r="N57" s="1518">
        <f t="shared" si="13"/>
        <v>44.75</v>
      </c>
      <c r="O57" s="3122">
        <f t="shared" si="11"/>
        <v>40.200000000000003</v>
      </c>
      <c r="P57" s="1519">
        <f t="shared" si="6"/>
        <v>10.199999999999999</v>
      </c>
      <c r="Q57" s="3122">
        <f t="shared" si="6"/>
        <v>8</v>
      </c>
      <c r="R57" s="1519">
        <f t="shared" si="6"/>
        <v>2.35</v>
      </c>
      <c r="S57" s="1924">
        <f t="shared" si="6"/>
        <v>10.350000000000001</v>
      </c>
      <c r="T57" s="1556">
        <v>46.1</v>
      </c>
      <c r="U57" s="3117">
        <v>42.5</v>
      </c>
      <c r="V57" s="3117">
        <v>7.9</v>
      </c>
      <c r="W57" s="1556">
        <v>6.7</v>
      </c>
      <c r="X57" s="3117">
        <v>3.1</v>
      </c>
      <c r="Y57" s="1524">
        <f t="shared" si="12"/>
        <v>9.8000000000000007</v>
      </c>
    </row>
    <row r="58" spans="1:25" s="1469" customFormat="1">
      <c r="A58" s="1467">
        <f t="shared" si="7"/>
        <v>2010.3</v>
      </c>
      <c r="B58" s="1521">
        <v>46</v>
      </c>
      <c r="C58" s="3111">
        <v>42.3</v>
      </c>
      <c r="D58" s="1514">
        <v>8</v>
      </c>
      <c r="E58" s="3111">
        <v>5.7</v>
      </c>
      <c r="F58" s="3111">
        <v>2.8</v>
      </c>
      <c r="G58" s="1523">
        <f t="shared" si="0"/>
        <v>8.5</v>
      </c>
      <c r="H58" s="1513">
        <v>42.8</v>
      </c>
      <c r="I58" s="3111">
        <v>40</v>
      </c>
      <c r="J58" s="1514">
        <v>6.5</v>
      </c>
      <c r="K58" s="3111">
        <v>11</v>
      </c>
      <c r="L58" s="3111">
        <v>1.3</v>
      </c>
      <c r="M58" s="1523">
        <f t="shared" si="10"/>
        <v>12.3</v>
      </c>
      <c r="N58" s="1518">
        <f t="shared" si="13"/>
        <v>44.4</v>
      </c>
      <c r="O58" s="3122">
        <f t="shared" si="11"/>
        <v>41.15</v>
      </c>
      <c r="P58" s="1519">
        <f t="shared" si="11"/>
        <v>7.25</v>
      </c>
      <c r="Q58" s="3122">
        <f t="shared" si="11"/>
        <v>8.35</v>
      </c>
      <c r="R58" s="1519">
        <f t="shared" si="11"/>
        <v>2.0499999999999998</v>
      </c>
      <c r="S58" s="1924">
        <f t="shared" si="11"/>
        <v>10.4</v>
      </c>
      <c r="T58" s="1556">
        <v>45.891462142027372</v>
      </c>
      <c r="U58" s="3117">
        <v>42.471878179791837</v>
      </c>
      <c r="V58" s="3117">
        <v>7.4514600377133711</v>
      </c>
      <c r="W58" s="1556">
        <v>6.1401141614721295</v>
      </c>
      <c r="X58" s="3117">
        <v>2.6703406480669538</v>
      </c>
      <c r="Y58" s="1524">
        <f t="shared" si="12"/>
        <v>8.8104548095390829</v>
      </c>
    </row>
    <row r="59" spans="1:25" s="1469" customFormat="1">
      <c r="A59" s="1467">
        <f t="shared" si="7"/>
        <v>2010.4</v>
      </c>
      <c r="B59" s="1521">
        <v>45.9</v>
      </c>
      <c r="C59" s="3111">
        <v>42.3</v>
      </c>
      <c r="D59" s="1514">
        <v>7.8</v>
      </c>
      <c r="E59" s="3111">
        <v>6.5</v>
      </c>
      <c r="F59" s="3111">
        <v>3.2</v>
      </c>
      <c r="G59" s="1523">
        <f t="shared" si="0"/>
        <v>9.6999999999999993</v>
      </c>
      <c r="H59" s="1513">
        <v>43.5</v>
      </c>
      <c r="I59" s="3111">
        <v>39.700000000000003</v>
      </c>
      <c r="J59" s="1514">
        <v>8.8000000000000007</v>
      </c>
      <c r="K59" s="3111">
        <v>11.7</v>
      </c>
      <c r="L59" s="3111">
        <v>0.9</v>
      </c>
      <c r="M59" s="1523">
        <f t="shared" si="10"/>
        <v>12.6</v>
      </c>
      <c r="N59" s="1518">
        <f t="shared" si="13"/>
        <v>44.7</v>
      </c>
      <c r="O59" s="3122">
        <f t="shared" si="11"/>
        <v>41</v>
      </c>
      <c r="P59" s="1519">
        <f t="shared" si="11"/>
        <v>8.3000000000000007</v>
      </c>
      <c r="Q59" s="3122">
        <f t="shared" si="11"/>
        <v>9.1</v>
      </c>
      <c r="R59" s="1519">
        <f t="shared" si="11"/>
        <v>2.0500000000000003</v>
      </c>
      <c r="S59" s="1924">
        <f t="shared" si="11"/>
        <v>11.149999999999999</v>
      </c>
      <c r="T59" s="1556">
        <v>45.744381769431847</v>
      </c>
      <c r="U59" s="3117">
        <v>42.409576425191489</v>
      </c>
      <c r="V59" s="3117">
        <v>7.2900872527887257</v>
      </c>
      <c r="W59" s="1556">
        <v>5.5282271856345702</v>
      </c>
      <c r="X59" s="3117">
        <v>2.830788124826487</v>
      </c>
      <c r="Y59" s="1524">
        <f t="shared" si="12"/>
        <v>8.3590153104610572</v>
      </c>
    </row>
    <row r="60" spans="1:25" s="1469" customFormat="1">
      <c r="A60" s="1467">
        <f t="shared" si="7"/>
        <v>2011.1</v>
      </c>
      <c r="B60" s="1521">
        <v>46.4</v>
      </c>
      <c r="C60" s="3111">
        <v>43.2</v>
      </c>
      <c r="D60" s="3111">
        <v>7</v>
      </c>
      <c r="E60" s="3111">
        <v>6.9</v>
      </c>
      <c r="F60" s="3111">
        <v>2.1</v>
      </c>
      <c r="G60" s="1523">
        <f t="shared" si="0"/>
        <v>9</v>
      </c>
      <c r="H60" s="1514">
        <v>43.2</v>
      </c>
      <c r="I60" s="3111">
        <v>40.200000000000003</v>
      </c>
      <c r="J60" s="3111">
        <v>6.9</v>
      </c>
      <c r="K60" s="3111">
        <v>5.2</v>
      </c>
      <c r="L60" s="3111">
        <v>0.8</v>
      </c>
      <c r="M60" s="1523">
        <f t="shared" si="10"/>
        <v>6</v>
      </c>
      <c r="N60" s="1518">
        <f t="shared" si="13"/>
        <v>44.8</v>
      </c>
      <c r="O60" s="3122">
        <f t="shared" si="11"/>
        <v>41.7</v>
      </c>
      <c r="P60" s="1519">
        <f t="shared" si="11"/>
        <v>6.95</v>
      </c>
      <c r="Q60" s="3122">
        <f t="shared" si="11"/>
        <v>6.0500000000000007</v>
      </c>
      <c r="R60" s="1519">
        <f t="shared" si="11"/>
        <v>1.4500000000000002</v>
      </c>
      <c r="S60" s="1924">
        <f t="shared" si="11"/>
        <v>7.5</v>
      </c>
      <c r="T60" s="1556">
        <v>45.698606534055784</v>
      </c>
      <c r="U60" s="3117">
        <v>42.323231197544608</v>
      </c>
      <c r="V60" s="3117">
        <v>7.3861668714028754</v>
      </c>
      <c r="W60" s="1556">
        <v>5.7787356025459191</v>
      </c>
      <c r="X60" s="3117">
        <v>2.4417917795163215</v>
      </c>
      <c r="Y60" s="1524">
        <f t="shared" si="12"/>
        <v>8.2205273820622402</v>
      </c>
    </row>
    <row r="61" spans="1:25" s="1469" customFormat="1">
      <c r="A61" s="1467">
        <f t="shared" si="7"/>
        <v>2011.2</v>
      </c>
      <c r="B61" s="1521">
        <v>47</v>
      </c>
      <c r="C61" s="3111">
        <v>43.5</v>
      </c>
      <c r="D61" s="3111">
        <v>7.4</v>
      </c>
      <c r="E61" s="3111">
        <v>4.5</v>
      </c>
      <c r="F61" s="3111">
        <v>2.2999999999999998</v>
      </c>
      <c r="G61" s="1523">
        <f t="shared" si="0"/>
        <v>6.8</v>
      </c>
      <c r="H61" s="1513">
        <v>44.4</v>
      </c>
      <c r="I61" s="3111">
        <v>40.700000000000003</v>
      </c>
      <c r="J61" s="3111">
        <v>8.3000000000000007</v>
      </c>
      <c r="K61" s="3111">
        <v>7.8</v>
      </c>
      <c r="L61" s="3111">
        <v>1.3</v>
      </c>
      <c r="M61" s="1523">
        <f t="shared" si="10"/>
        <v>9.1</v>
      </c>
      <c r="N61" s="1518">
        <f t="shared" si="13"/>
        <v>45.7</v>
      </c>
      <c r="O61" s="3122">
        <f t="shared" si="11"/>
        <v>42.1</v>
      </c>
      <c r="P61" s="1519">
        <f t="shared" si="11"/>
        <v>7.8500000000000005</v>
      </c>
      <c r="Q61" s="3122">
        <f t="shared" si="11"/>
        <v>6.15</v>
      </c>
      <c r="R61" s="1519">
        <f t="shared" si="11"/>
        <v>1.7999999999999998</v>
      </c>
      <c r="S61" s="1924">
        <f t="shared" si="11"/>
        <v>7.9499999999999993</v>
      </c>
      <c r="T61" s="1556">
        <v>46.55665052449536</v>
      </c>
      <c r="U61" s="3117">
        <v>43.135369982735021</v>
      </c>
      <c r="V61" s="3117">
        <v>7.3486397823233975</v>
      </c>
      <c r="W61" s="1556">
        <v>5.713805362595882</v>
      </c>
      <c r="X61" s="3117">
        <v>2.6876239576090124</v>
      </c>
      <c r="Y61" s="1524">
        <f t="shared" si="12"/>
        <v>8.401429320204894</v>
      </c>
    </row>
    <row r="62" spans="1:25" s="1469" customFormat="1">
      <c r="A62" s="1467">
        <f t="shared" si="7"/>
        <v>2011.3</v>
      </c>
      <c r="B62" s="1521">
        <v>46.4</v>
      </c>
      <c r="C62" s="3111">
        <v>42.7</v>
      </c>
      <c r="D62" s="3111">
        <v>7.8</v>
      </c>
      <c r="E62" s="3111">
        <v>4.9000000000000004</v>
      </c>
      <c r="F62" s="3111">
        <v>3.2</v>
      </c>
      <c r="G62" s="1523">
        <f t="shared" si="0"/>
        <v>8.1000000000000014</v>
      </c>
      <c r="H62" s="1513">
        <v>43.3</v>
      </c>
      <c r="I62" s="3111">
        <v>39.200000000000003</v>
      </c>
      <c r="J62" s="3111">
        <v>9.5</v>
      </c>
      <c r="K62" s="3111">
        <v>6.2</v>
      </c>
      <c r="L62" s="3111">
        <v>0.8</v>
      </c>
      <c r="M62" s="1523">
        <f t="shared" si="10"/>
        <v>7</v>
      </c>
      <c r="N62" s="1518">
        <f t="shared" si="13"/>
        <v>44.849999999999994</v>
      </c>
      <c r="O62" s="3122">
        <f t="shared" si="11"/>
        <v>40.950000000000003</v>
      </c>
      <c r="P62" s="1519">
        <f t="shared" si="11"/>
        <v>8.65</v>
      </c>
      <c r="Q62" s="3122">
        <f t="shared" si="11"/>
        <v>5.5500000000000007</v>
      </c>
      <c r="R62" s="1519">
        <f t="shared" si="11"/>
        <v>2</v>
      </c>
      <c r="S62" s="1924">
        <f t="shared" si="11"/>
        <v>7.5500000000000007</v>
      </c>
      <c r="T62" s="1556">
        <v>46.641526629049388</v>
      </c>
      <c r="U62" s="3117">
        <v>43.270480588505912</v>
      </c>
      <c r="V62" s="3117">
        <v>7.2275636845126696</v>
      </c>
      <c r="W62" s="1556">
        <v>6.0413055276078609</v>
      </c>
      <c r="X62" s="3117">
        <v>2.7568219796924973</v>
      </c>
      <c r="Y62" s="1524">
        <f t="shared" si="12"/>
        <v>8.7981275073003573</v>
      </c>
    </row>
    <row r="63" spans="1:25" s="1469" customFormat="1">
      <c r="A63" s="1467">
        <f t="shared" si="7"/>
        <v>2011.4</v>
      </c>
      <c r="B63" s="1521">
        <v>47.1</v>
      </c>
      <c r="C63" s="3111">
        <v>43.3</v>
      </c>
      <c r="D63" s="1514">
        <v>8.1</v>
      </c>
      <c r="E63" s="3111">
        <v>4.0999999999999996</v>
      </c>
      <c r="F63" s="3111">
        <v>1.5</v>
      </c>
      <c r="G63" s="1523">
        <f t="shared" si="0"/>
        <v>5.6</v>
      </c>
      <c r="H63" s="1513">
        <v>42.3</v>
      </c>
      <c r="I63" s="3111">
        <v>39.799999999999997</v>
      </c>
      <c r="J63" s="1514">
        <v>5.7</v>
      </c>
      <c r="K63" s="3111">
        <v>6.2</v>
      </c>
      <c r="L63" s="3111">
        <v>1.5</v>
      </c>
      <c r="M63" s="1523">
        <f t="shared" si="10"/>
        <v>7.7</v>
      </c>
      <c r="N63" s="1518">
        <f t="shared" si="13"/>
        <v>44.7</v>
      </c>
      <c r="O63" s="3122">
        <f t="shared" si="11"/>
        <v>41.55</v>
      </c>
      <c r="P63" s="1519">
        <f t="shared" si="11"/>
        <v>6.9</v>
      </c>
      <c r="Q63" s="3122">
        <f t="shared" si="11"/>
        <v>5.15</v>
      </c>
      <c r="R63" s="1519">
        <f t="shared" si="11"/>
        <v>1.5</v>
      </c>
      <c r="S63" s="1924">
        <f t="shared" si="11"/>
        <v>6.65</v>
      </c>
      <c r="T63" s="1556">
        <v>46.038542597518642</v>
      </c>
      <c r="U63" s="3117">
        <v>42.933297767399267</v>
      </c>
      <c r="V63" s="3117">
        <v>6.7448808214157916</v>
      </c>
      <c r="W63" s="1556">
        <v>5.9216744586988401</v>
      </c>
      <c r="X63" s="3117">
        <v>2.6351392746943167</v>
      </c>
      <c r="Y63" s="1524">
        <f t="shared" si="12"/>
        <v>8.556813733393156</v>
      </c>
    </row>
    <row r="64" spans="1:25" s="1469" customFormat="1">
      <c r="A64" s="1467">
        <f t="shared" si="7"/>
        <v>2012.1</v>
      </c>
      <c r="B64" s="1521">
        <v>47.7</v>
      </c>
      <c r="C64" s="3111">
        <v>43.1</v>
      </c>
      <c r="D64" s="3111">
        <v>9.8000000000000007</v>
      </c>
      <c r="E64" s="3111">
        <v>4.8</v>
      </c>
      <c r="F64" s="3111">
        <v>2.6</v>
      </c>
      <c r="G64" s="1523">
        <f t="shared" si="0"/>
        <v>7.4</v>
      </c>
      <c r="H64" s="1514">
        <v>44.9</v>
      </c>
      <c r="I64" s="3111">
        <v>41.9</v>
      </c>
      <c r="J64" s="3111">
        <v>6.6</v>
      </c>
      <c r="K64" s="3111">
        <v>6.4</v>
      </c>
      <c r="L64" s="3111">
        <v>2.2999999999999998</v>
      </c>
      <c r="M64" s="1523">
        <f t="shared" si="10"/>
        <v>8.6999999999999993</v>
      </c>
      <c r="N64" s="1518">
        <f t="shared" si="13"/>
        <v>46.3</v>
      </c>
      <c r="O64" s="3122">
        <f t="shared" si="11"/>
        <v>42.5</v>
      </c>
      <c r="P64" s="1519">
        <f t="shared" si="11"/>
        <v>8.1999999999999993</v>
      </c>
      <c r="Q64" s="3122">
        <f t="shared" si="11"/>
        <v>5.6</v>
      </c>
      <c r="R64" s="1519">
        <f t="shared" si="11"/>
        <v>2.4500000000000002</v>
      </c>
      <c r="S64" s="1924">
        <f t="shared" si="11"/>
        <v>8.0500000000000007</v>
      </c>
      <c r="T64" s="1556">
        <v>45.455341716849183</v>
      </c>
      <c r="U64" s="3117">
        <v>42.207983987190254</v>
      </c>
      <c r="V64" s="3117">
        <v>7.1440618572122787</v>
      </c>
      <c r="W64" s="1556">
        <v>5.0460340822087373</v>
      </c>
      <c r="X64" s="3117">
        <v>2.3793251562107764</v>
      </c>
      <c r="Y64" s="1524">
        <f t="shared" si="12"/>
        <v>7.4253592384195137</v>
      </c>
    </row>
    <row r="65" spans="1:25" s="1469" customFormat="1">
      <c r="A65" s="1467">
        <f t="shared" si="7"/>
        <v>2012.2</v>
      </c>
      <c r="B65" s="1521">
        <v>47.4</v>
      </c>
      <c r="C65" s="3111">
        <v>43.5</v>
      </c>
      <c r="D65" s="3111">
        <v>8.3000000000000007</v>
      </c>
      <c r="E65" s="3111">
        <v>4.2</v>
      </c>
      <c r="F65" s="3111">
        <v>2.8</v>
      </c>
      <c r="G65" s="1523">
        <f t="shared" si="0"/>
        <v>7</v>
      </c>
      <c r="H65" s="1513">
        <v>45</v>
      </c>
      <c r="I65" s="3111">
        <v>41.6</v>
      </c>
      <c r="J65" s="3111">
        <v>7.5</v>
      </c>
      <c r="K65" s="3111">
        <v>6.4</v>
      </c>
      <c r="L65" s="3111">
        <v>1.9</v>
      </c>
      <c r="M65" s="1523">
        <f t="shared" si="10"/>
        <v>8.3000000000000007</v>
      </c>
      <c r="N65" s="1518">
        <f t="shared" si="13"/>
        <v>46.2</v>
      </c>
      <c r="O65" s="3122">
        <f t="shared" si="11"/>
        <v>42.55</v>
      </c>
      <c r="P65" s="1519">
        <f t="shared" si="11"/>
        <v>7.9</v>
      </c>
      <c r="Q65" s="3122">
        <f t="shared" si="11"/>
        <v>5.3000000000000007</v>
      </c>
      <c r="R65" s="1519">
        <f t="shared" si="11"/>
        <v>2.3499999999999996</v>
      </c>
      <c r="S65" s="1924">
        <f t="shared" si="11"/>
        <v>7.65</v>
      </c>
      <c r="T65" s="1556">
        <v>46.103210954647267</v>
      </c>
      <c r="U65" s="3117">
        <v>42.777364127844237</v>
      </c>
      <c r="V65" s="3117">
        <v>7.2139158161342367</v>
      </c>
      <c r="W65" s="1556">
        <v>6.6979257607508353</v>
      </c>
      <c r="X65" s="3117">
        <v>2.6877515792012785</v>
      </c>
      <c r="Y65" s="1524">
        <f t="shared" si="12"/>
        <v>9.3856773399521138</v>
      </c>
    </row>
    <row r="66" spans="1:25" s="1469" customFormat="1">
      <c r="A66" s="1467">
        <f t="shared" si="7"/>
        <v>2012.3</v>
      </c>
      <c r="B66" s="1521">
        <v>45.9</v>
      </c>
      <c r="C66" s="3111">
        <v>42.3</v>
      </c>
      <c r="D66" s="3111">
        <v>7.7</v>
      </c>
      <c r="E66" s="3111">
        <v>5</v>
      </c>
      <c r="F66" s="3111">
        <v>4.5</v>
      </c>
      <c r="G66" s="1523">
        <f t="shared" si="0"/>
        <v>9.5</v>
      </c>
      <c r="H66" s="1513">
        <v>44.3</v>
      </c>
      <c r="I66" s="3111">
        <v>41</v>
      </c>
      <c r="J66" s="3111">
        <v>7.5</v>
      </c>
      <c r="K66" s="3111">
        <v>7.6</v>
      </c>
      <c r="L66" s="3111">
        <v>0.5</v>
      </c>
      <c r="M66" s="1523">
        <f t="shared" si="10"/>
        <v>8.1</v>
      </c>
      <c r="N66" s="1518">
        <f t="shared" si="13"/>
        <v>45.099999999999994</v>
      </c>
      <c r="O66" s="3122">
        <f t="shared" si="11"/>
        <v>41.65</v>
      </c>
      <c r="P66" s="1519">
        <f t="shared" si="11"/>
        <v>7.6</v>
      </c>
      <c r="Q66" s="3122">
        <f t="shared" si="11"/>
        <v>6.3</v>
      </c>
      <c r="R66" s="1519">
        <f t="shared" si="11"/>
        <v>2.5</v>
      </c>
      <c r="S66" s="1924">
        <f t="shared" si="11"/>
        <v>8.8000000000000007</v>
      </c>
      <c r="T66" s="1556">
        <v>46.844451739829054</v>
      </c>
      <c r="U66" s="3117">
        <v>43.274178332463414</v>
      </c>
      <c r="V66" s="3117">
        <v>7.6215502044824817</v>
      </c>
      <c r="W66" s="1556">
        <v>6.1828635756736583</v>
      </c>
      <c r="X66" s="3117">
        <v>2.7245097542795307</v>
      </c>
      <c r="Y66" s="1524">
        <f t="shared" si="12"/>
        <v>8.9073733299531881</v>
      </c>
    </row>
    <row r="67" spans="1:25" s="1469" customFormat="1">
      <c r="A67" s="1467">
        <f t="shared" si="7"/>
        <v>2012.4</v>
      </c>
      <c r="B67" s="1521">
        <v>47.4</v>
      </c>
      <c r="C67" s="3111">
        <v>43.3</v>
      </c>
      <c r="D67" s="1514">
        <v>8.6</v>
      </c>
      <c r="E67" s="3111">
        <v>5.3</v>
      </c>
      <c r="F67" s="3111">
        <v>2.2999999999999998</v>
      </c>
      <c r="G67" s="1523">
        <f t="shared" si="0"/>
        <v>7.6</v>
      </c>
      <c r="H67" s="1513">
        <v>43.6</v>
      </c>
      <c r="I67" s="3111">
        <v>40.6</v>
      </c>
      <c r="J67" s="1514">
        <v>6.9</v>
      </c>
      <c r="K67" s="3111">
        <v>4.4000000000000004</v>
      </c>
      <c r="L67" s="3111">
        <v>2.2000000000000002</v>
      </c>
      <c r="M67" s="1523">
        <f t="shared" si="10"/>
        <v>6.6000000000000005</v>
      </c>
      <c r="N67" s="1518">
        <f t="shared" si="13"/>
        <v>45.5</v>
      </c>
      <c r="O67" s="3122">
        <f t="shared" si="11"/>
        <v>41.95</v>
      </c>
      <c r="P67" s="1519">
        <f t="shared" si="11"/>
        <v>7.75</v>
      </c>
      <c r="Q67" s="3122">
        <f t="shared" si="11"/>
        <v>4.8499999999999996</v>
      </c>
      <c r="R67" s="1519">
        <f t="shared" si="11"/>
        <v>2.25</v>
      </c>
      <c r="S67" s="1924">
        <f t="shared" si="11"/>
        <v>7.1</v>
      </c>
      <c r="T67" s="1556">
        <v>46.260331205567702</v>
      </c>
      <c r="U67" s="3117">
        <v>43.082402917449578</v>
      </c>
      <c r="V67" s="3117">
        <v>6.8696617713269532</v>
      </c>
      <c r="W67" s="1556">
        <v>6.4398670683012833</v>
      </c>
      <c r="X67" s="3117">
        <v>2.5798049943036796</v>
      </c>
      <c r="Y67" s="1524">
        <f t="shared" si="12"/>
        <v>9.0196720626049629</v>
      </c>
    </row>
    <row r="68" spans="1:25" s="1469" customFormat="1">
      <c r="A68" s="1467">
        <f t="shared" si="7"/>
        <v>2013.1</v>
      </c>
      <c r="B68" s="1521">
        <v>49</v>
      </c>
      <c r="C68" s="3111">
        <v>44.8</v>
      </c>
      <c r="D68" s="3111">
        <v>8.6</v>
      </c>
      <c r="E68" s="3111">
        <v>5.4</v>
      </c>
      <c r="F68" s="3111">
        <v>2</v>
      </c>
      <c r="G68" s="1523">
        <f t="shared" si="0"/>
        <v>7.4</v>
      </c>
      <c r="H68" s="1514">
        <v>43.2</v>
      </c>
      <c r="I68" s="3111">
        <v>39.700000000000003</v>
      </c>
      <c r="J68" s="3111">
        <v>8.1</v>
      </c>
      <c r="K68" s="3111">
        <v>3.6</v>
      </c>
      <c r="L68" s="3111">
        <v>2.7</v>
      </c>
      <c r="M68" s="1523">
        <f t="shared" si="10"/>
        <v>6.3000000000000007</v>
      </c>
      <c r="N68" s="1518">
        <f t="shared" si="13"/>
        <v>46.1</v>
      </c>
      <c r="O68" s="3122">
        <f t="shared" si="11"/>
        <v>42.25</v>
      </c>
      <c r="P68" s="1519">
        <f t="shared" si="11"/>
        <v>8.35</v>
      </c>
      <c r="Q68" s="3122">
        <f t="shared" si="11"/>
        <v>4.5</v>
      </c>
      <c r="R68" s="1519">
        <f t="shared" si="11"/>
        <v>2.35</v>
      </c>
      <c r="S68" s="1924">
        <f t="shared" si="11"/>
        <v>6.8500000000000005</v>
      </c>
      <c r="T68" s="1556">
        <v>45.786211646419794</v>
      </c>
      <c r="U68" s="3117">
        <v>42.157511130050111</v>
      </c>
      <c r="V68" s="3117">
        <v>7.9253128526815484</v>
      </c>
      <c r="W68" s="1556">
        <v>5.4906483009690854</v>
      </c>
      <c r="X68" s="3117">
        <v>2.4604332743428334</v>
      </c>
      <c r="Y68" s="1524">
        <f t="shared" si="12"/>
        <v>7.9510815753119193</v>
      </c>
    </row>
    <row r="69" spans="1:25" s="1469" customFormat="1">
      <c r="A69" s="1467">
        <f t="shared" si="7"/>
        <v>2013.2</v>
      </c>
      <c r="B69" s="1521">
        <v>48.6</v>
      </c>
      <c r="C69" s="3111">
        <v>44.6</v>
      </c>
      <c r="D69" s="3111">
        <v>8.1999999999999993</v>
      </c>
      <c r="E69" s="3111">
        <v>5.3</v>
      </c>
      <c r="F69" s="3111">
        <v>2.5</v>
      </c>
      <c r="G69" s="1523">
        <f t="shared" si="0"/>
        <v>7.8</v>
      </c>
      <c r="H69" s="1513">
        <v>44.1</v>
      </c>
      <c r="I69" s="3111">
        <v>40.700000000000003</v>
      </c>
      <c r="J69" s="3111">
        <v>7.7</v>
      </c>
      <c r="K69" s="3111">
        <v>3.6</v>
      </c>
      <c r="L69" s="3111">
        <v>2.2000000000000002</v>
      </c>
      <c r="M69" s="1523">
        <f t="shared" si="10"/>
        <v>5.8000000000000007</v>
      </c>
      <c r="N69" s="1518">
        <f t="shared" si="13"/>
        <v>46.35</v>
      </c>
      <c r="O69" s="3122">
        <f t="shared" si="11"/>
        <v>42.650000000000006</v>
      </c>
      <c r="P69" s="1519">
        <f t="shared" si="11"/>
        <v>7.9499999999999993</v>
      </c>
      <c r="Q69" s="3122">
        <f t="shared" si="11"/>
        <v>4.45</v>
      </c>
      <c r="R69" s="1519">
        <f t="shared" si="11"/>
        <v>2.35</v>
      </c>
      <c r="S69" s="1924">
        <f t="shared" si="11"/>
        <v>6.8000000000000007</v>
      </c>
      <c r="T69" s="1556">
        <v>46.353032954013166</v>
      </c>
      <c r="U69" s="3117">
        <v>42.994873009571094</v>
      </c>
      <c r="V69" s="3117">
        <v>7.2447469570625689</v>
      </c>
      <c r="W69" s="1556">
        <v>6.6941583808467318</v>
      </c>
      <c r="X69" s="3117">
        <v>3.0223604416529612</v>
      </c>
      <c r="Y69" s="1524">
        <f t="shared" si="12"/>
        <v>9.7165188224996939</v>
      </c>
    </row>
    <row r="70" spans="1:25" s="1469" customFormat="1">
      <c r="A70" s="1467">
        <f t="shared" si="7"/>
        <v>2013.3</v>
      </c>
      <c r="B70" s="1521">
        <v>48.2</v>
      </c>
      <c r="C70" s="3111">
        <v>44.5</v>
      </c>
      <c r="D70" s="3111">
        <v>7.7</v>
      </c>
      <c r="E70" s="3111">
        <v>4.2</v>
      </c>
      <c r="F70" s="3111">
        <v>2.2999999999999998</v>
      </c>
      <c r="G70" s="1523">
        <f t="shared" si="0"/>
        <v>6.5</v>
      </c>
      <c r="H70" s="1513">
        <v>42.2</v>
      </c>
      <c r="I70" s="3111">
        <v>40</v>
      </c>
      <c r="J70" s="3111">
        <v>5.2</v>
      </c>
      <c r="K70" s="3111">
        <v>6.3</v>
      </c>
      <c r="L70" s="3111">
        <v>0.9</v>
      </c>
      <c r="M70" s="1523">
        <f t="shared" si="10"/>
        <v>7.2</v>
      </c>
      <c r="N70" s="1518">
        <f t="shared" si="13"/>
        <v>45.2</v>
      </c>
      <c r="O70" s="3122">
        <f t="shared" si="11"/>
        <v>42.25</v>
      </c>
      <c r="P70" s="1519">
        <f t="shared" si="11"/>
        <v>6.45</v>
      </c>
      <c r="Q70" s="3122">
        <f t="shared" si="11"/>
        <v>5.25</v>
      </c>
      <c r="R70" s="1519">
        <f t="shared" si="11"/>
        <v>1.5999999999999999</v>
      </c>
      <c r="S70" s="1924">
        <f t="shared" si="11"/>
        <v>6.85</v>
      </c>
      <c r="T70" s="1556">
        <v>46.011139383422197</v>
      </c>
      <c r="U70" s="3117">
        <v>42.871072260645342</v>
      </c>
      <c r="V70" s="3117">
        <v>6.8245802317780049</v>
      </c>
      <c r="W70" s="1556">
        <v>5.8133936266777679</v>
      </c>
      <c r="X70" s="3117">
        <v>2.945572610661924</v>
      </c>
      <c r="Y70" s="1524">
        <f t="shared" si="12"/>
        <v>8.7589662373396919</v>
      </c>
    </row>
    <row r="71" spans="1:25" s="1469" customFormat="1">
      <c r="A71" s="1467">
        <f t="shared" si="7"/>
        <v>2013.4</v>
      </c>
      <c r="B71" s="1521">
        <v>47.6</v>
      </c>
      <c r="C71" s="3111">
        <v>43.8</v>
      </c>
      <c r="D71" s="1514">
        <v>7.9</v>
      </c>
      <c r="E71" s="3111">
        <v>4.5</v>
      </c>
      <c r="F71" s="3111">
        <v>3.3</v>
      </c>
      <c r="G71" s="1523">
        <f t="shared" si="0"/>
        <v>7.8</v>
      </c>
      <c r="H71" s="1513">
        <v>40.200000000000003</v>
      </c>
      <c r="I71" s="3111">
        <v>37.700000000000003</v>
      </c>
      <c r="J71" s="1514">
        <v>6.3</v>
      </c>
      <c r="K71" s="3111">
        <v>5.0999999999999996</v>
      </c>
      <c r="L71" s="3111">
        <v>1.1000000000000001</v>
      </c>
      <c r="M71" s="1523">
        <f t="shared" si="10"/>
        <v>6.1999999999999993</v>
      </c>
      <c r="N71" s="1518">
        <f t="shared" si="13"/>
        <v>43.900000000000006</v>
      </c>
      <c r="O71" s="3122">
        <f t="shared" si="11"/>
        <v>40.75</v>
      </c>
      <c r="P71" s="1519">
        <f t="shared" si="11"/>
        <v>7.1</v>
      </c>
      <c r="Q71" s="3122">
        <f t="shared" si="11"/>
        <v>4.8</v>
      </c>
      <c r="R71" s="1519">
        <f t="shared" si="11"/>
        <v>2.2000000000000002</v>
      </c>
      <c r="S71" s="1924">
        <f t="shared" si="11"/>
        <v>7</v>
      </c>
      <c r="T71" s="1556">
        <v>45.541935882658514</v>
      </c>
      <c r="U71" s="3117">
        <v>42.630142320084389</v>
      </c>
      <c r="V71" s="3117">
        <v>6.3936534671616485</v>
      </c>
      <c r="W71" s="1556">
        <v>5.072700398735047</v>
      </c>
      <c r="X71" s="3117">
        <v>2.710072238712617</v>
      </c>
      <c r="Y71" s="1524">
        <f t="shared" si="12"/>
        <v>7.782772637447664</v>
      </c>
    </row>
    <row r="72" spans="1:25" s="1469" customFormat="1">
      <c r="A72" s="1467">
        <f t="shared" si="7"/>
        <v>2014.1</v>
      </c>
      <c r="B72" s="1521">
        <v>48.3</v>
      </c>
      <c r="C72" s="3111">
        <v>45</v>
      </c>
      <c r="D72" s="3111">
        <v>6.7</v>
      </c>
      <c r="E72" s="3111">
        <v>3.7</v>
      </c>
      <c r="F72" s="3111">
        <v>3.5</v>
      </c>
      <c r="G72" s="1523">
        <f t="shared" si="0"/>
        <v>7.2</v>
      </c>
      <c r="H72" s="1514">
        <v>44.4</v>
      </c>
      <c r="I72" s="3111">
        <v>41.7</v>
      </c>
      <c r="J72" s="3111">
        <v>6</v>
      </c>
      <c r="K72" s="3111">
        <v>4.5999999999999996</v>
      </c>
      <c r="L72" s="3111">
        <v>1.2</v>
      </c>
      <c r="M72" s="1523">
        <f t="shared" si="10"/>
        <v>5.8</v>
      </c>
      <c r="N72" s="1518">
        <f t="shared" si="13"/>
        <v>46.349999999999994</v>
      </c>
      <c r="O72" s="3122">
        <f t="shared" si="11"/>
        <v>43.35</v>
      </c>
      <c r="P72" s="1519">
        <f t="shared" si="11"/>
        <v>6.35</v>
      </c>
      <c r="Q72" s="3122">
        <f t="shared" si="11"/>
        <v>4.1500000000000004</v>
      </c>
      <c r="R72" s="1519">
        <f t="shared" si="11"/>
        <v>2.35</v>
      </c>
      <c r="S72" s="1924">
        <f t="shared" si="11"/>
        <v>6.5</v>
      </c>
      <c r="T72" s="1556">
        <v>44.939704655195875</v>
      </c>
      <c r="U72" s="3117">
        <v>41.737823361583551</v>
      </c>
      <c r="V72" s="3117">
        <v>7.1248383098622021</v>
      </c>
      <c r="W72" s="1556">
        <v>5.4659380665071344</v>
      </c>
      <c r="X72" s="3117">
        <v>2.6163712574607363</v>
      </c>
      <c r="Y72" s="1524">
        <f t="shared" si="12"/>
        <v>8.0823093239678698</v>
      </c>
    </row>
    <row r="73" spans="1:25" s="1469" customFormat="1">
      <c r="A73" s="1467">
        <f t="shared" si="7"/>
        <v>2014.2</v>
      </c>
      <c r="B73" s="1521">
        <v>47.7</v>
      </c>
      <c r="C73" s="3111">
        <v>43.2</v>
      </c>
      <c r="D73" s="3111">
        <v>9.4</v>
      </c>
      <c r="E73" s="3111">
        <v>5.8</v>
      </c>
      <c r="F73" s="3111">
        <v>2</v>
      </c>
      <c r="G73" s="1523">
        <f t="shared" si="0"/>
        <v>7.8</v>
      </c>
      <c r="H73" s="1513">
        <v>44.4</v>
      </c>
      <c r="I73" s="3111">
        <v>40.5</v>
      </c>
      <c r="J73" s="3111">
        <v>8.8000000000000007</v>
      </c>
      <c r="K73" s="3111">
        <v>4.0999999999999996</v>
      </c>
      <c r="L73" s="3111">
        <v>1.3</v>
      </c>
      <c r="M73" s="1523">
        <f t="shared" si="10"/>
        <v>5.3999999999999995</v>
      </c>
      <c r="N73" s="1518">
        <f t="shared" si="13"/>
        <v>46.05</v>
      </c>
      <c r="O73" s="3122">
        <f t="shared" si="11"/>
        <v>41.85</v>
      </c>
      <c r="P73" s="1519">
        <f t="shared" si="11"/>
        <v>9.1000000000000014</v>
      </c>
      <c r="Q73" s="3122">
        <f t="shared" si="11"/>
        <v>4.9499999999999993</v>
      </c>
      <c r="R73" s="1519">
        <f t="shared" si="11"/>
        <v>1.65</v>
      </c>
      <c r="S73" s="1924">
        <f t="shared" si="11"/>
        <v>6.6</v>
      </c>
      <c r="T73" s="1556">
        <v>44.687645300658261</v>
      </c>
      <c r="U73" s="3117">
        <v>41.339463137040859</v>
      </c>
      <c r="V73" s="3117">
        <v>7.4924112494423198</v>
      </c>
      <c r="W73" s="1556">
        <v>6.7537650081563187</v>
      </c>
      <c r="X73" s="3117">
        <v>2.6229131882614309</v>
      </c>
      <c r="Y73" s="1524">
        <f t="shared" si="12"/>
        <v>9.3766781964177497</v>
      </c>
    </row>
    <row r="74" spans="1:25" s="1469" customFormat="1">
      <c r="A74" s="1467">
        <f t="shared" si="7"/>
        <v>2014.3</v>
      </c>
      <c r="B74" s="1521">
        <v>47.2</v>
      </c>
      <c r="C74" s="3111">
        <v>42.8</v>
      </c>
      <c r="D74" s="3111">
        <v>9.3000000000000007</v>
      </c>
      <c r="E74" s="3111">
        <v>5.5</v>
      </c>
      <c r="F74" s="3111">
        <v>3.2</v>
      </c>
      <c r="G74" s="1523">
        <f t="shared" si="0"/>
        <v>8.6999999999999993</v>
      </c>
      <c r="H74" s="1513">
        <v>43.6</v>
      </c>
      <c r="I74" s="3111">
        <v>40.4</v>
      </c>
      <c r="J74" s="3111">
        <v>7.4</v>
      </c>
      <c r="K74" s="3111">
        <v>4.8</v>
      </c>
      <c r="L74" s="3111">
        <v>1.5</v>
      </c>
      <c r="M74" s="1523">
        <f t="shared" si="10"/>
        <v>6.3</v>
      </c>
      <c r="N74" s="1518">
        <f t="shared" si="13"/>
        <v>45.400000000000006</v>
      </c>
      <c r="O74" s="3122">
        <f t="shared" si="11"/>
        <v>41.599999999999994</v>
      </c>
      <c r="P74" s="1519">
        <f t="shared" si="11"/>
        <v>8.3500000000000014</v>
      </c>
      <c r="Q74" s="3122">
        <f t="shared" si="11"/>
        <v>5.15</v>
      </c>
      <c r="R74" s="1519">
        <f t="shared" si="11"/>
        <v>2.35</v>
      </c>
      <c r="S74" s="1924">
        <f t="shared" si="11"/>
        <v>7.5</v>
      </c>
      <c r="T74" s="1556">
        <v>44.626041813110781</v>
      </c>
      <c r="U74" s="3117">
        <v>41.267869807738791</v>
      </c>
      <c r="V74" s="3117">
        <v>7.5251397366489821</v>
      </c>
      <c r="W74" s="1556">
        <v>6.3309680991352506</v>
      </c>
      <c r="X74" s="3117">
        <v>2.9189218539722077</v>
      </c>
      <c r="Y74" s="1524">
        <f t="shared" si="12"/>
        <v>9.2498899531074592</v>
      </c>
    </row>
    <row r="75" spans="1:25" s="1469" customFormat="1">
      <c r="A75" s="1467">
        <f t="shared" si="7"/>
        <v>2014.4</v>
      </c>
      <c r="B75" s="1521">
        <v>48.8</v>
      </c>
      <c r="C75" s="3111">
        <v>44.6</v>
      </c>
      <c r="D75" s="1514">
        <v>8.6999999999999993</v>
      </c>
      <c r="E75" s="3111">
        <v>6.6</v>
      </c>
      <c r="F75" s="3111">
        <v>2.4</v>
      </c>
      <c r="G75" s="1523">
        <f t="shared" si="0"/>
        <v>9</v>
      </c>
      <c r="H75" s="1513">
        <v>43.1</v>
      </c>
      <c r="I75" s="3111">
        <v>40.299999999999997</v>
      </c>
      <c r="J75" s="1514">
        <v>6.6</v>
      </c>
      <c r="K75" s="3111">
        <v>3.7</v>
      </c>
      <c r="L75" s="3111">
        <v>1.6</v>
      </c>
      <c r="M75" s="1523">
        <f t="shared" si="10"/>
        <v>5.3000000000000007</v>
      </c>
      <c r="N75" s="1518">
        <f t="shared" si="13"/>
        <v>45.95</v>
      </c>
      <c r="O75" s="3122">
        <f t="shared" si="11"/>
        <v>42.45</v>
      </c>
      <c r="P75" s="1519">
        <f t="shared" si="11"/>
        <v>7.6499999999999995</v>
      </c>
      <c r="Q75" s="3122">
        <f t="shared" si="11"/>
        <v>5.15</v>
      </c>
      <c r="R75" s="1519">
        <f t="shared" si="11"/>
        <v>2</v>
      </c>
      <c r="S75" s="1924">
        <f t="shared" si="11"/>
        <v>7.15</v>
      </c>
      <c r="T75" s="1556">
        <v>45.174124568944876</v>
      </c>
      <c r="U75" s="3117">
        <v>42.042748545188942</v>
      </c>
      <c r="V75" s="3117">
        <v>6.9317912712991534</v>
      </c>
      <c r="W75" s="1556">
        <v>6.0958238571722854</v>
      </c>
      <c r="X75" s="3117">
        <v>2.9791087249651884</v>
      </c>
      <c r="Y75" s="1524">
        <f t="shared" si="12"/>
        <v>9.0749325821374747</v>
      </c>
    </row>
    <row r="76" spans="1:25" s="1469" customFormat="1">
      <c r="A76" s="1467">
        <f t="shared" si="7"/>
        <v>2015.1</v>
      </c>
      <c r="B76" s="1521">
        <v>49.3</v>
      </c>
      <c r="C76" s="3111">
        <v>44.9</v>
      </c>
      <c r="D76" s="3111">
        <v>8.8000000000000007</v>
      </c>
      <c r="E76" s="3111">
        <v>5.3</v>
      </c>
      <c r="F76" s="3111">
        <v>2</v>
      </c>
      <c r="G76" s="1523">
        <f t="shared" si="0"/>
        <v>7.3</v>
      </c>
      <c r="H76" s="1514">
        <v>43.1</v>
      </c>
      <c r="I76" s="3111">
        <v>40.700000000000003</v>
      </c>
      <c r="J76" s="3111">
        <v>5.6</v>
      </c>
      <c r="K76" s="3111">
        <v>4.3</v>
      </c>
      <c r="L76" s="3111">
        <v>4.5</v>
      </c>
      <c r="M76" s="1523">
        <f t="shared" si="10"/>
        <v>8.8000000000000007</v>
      </c>
      <c r="N76" s="1518">
        <f t="shared" si="13"/>
        <v>46.2</v>
      </c>
      <c r="O76" s="3122">
        <f t="shared" si="11"/>
        <v>42.8</v>
      </c>
      <c r="P76" s="1519">
        <f t="shared" si="11"/>
        <v>7.2</v>
      </c>
      <c r="Q76" s="3122">
        <f t="shared" si="11"/>
        <v>4.8</v>
      </c>
      <c r="R76" s="1519">
        <f t="shared" si="11"/>
        <v>3.25</v>
      </c>
      <c r="S76" s="1924">
        <f t="shared" si="11"/>
        <v>8.0500000000000007</v>
      </c>
      <c r="T76" s="1556">
        <v>44.491919373225414</v>
      </c>
      <c r="U76" s="3117">
        <v>41.326676207778419</v>
      </c>
      <c r="V76" s="3117">
        <v>7.114197836454311</v>
      </c>
      <c r="W76" s="1556">
        <v>5.1418780108214204</v>
      </c>
      <c r="X76" s="3117">
        <v>2.4512403417933646</v>
      </c>
      <c r="Y76" s="1524">
        <f t="shared" si="12"/>
        <v>7.593118352614785</v>
      </c>
    </row>
    <row r="77" spans="1:25" s="1469" customFormat="1">
      <c r="A77" s="1467">
        <f t="shared" si="7"/>
        <v>2015.2</v>
      </c>
      <c r="B77" s="1521">
        <v>48.6</v>
      </c>
      <c r="C77" s="3111">
        <v>44.6</v>
      </c>
      <c r="D77" s="3111">
        <v>8.3000000000000007</v>
      </c>
      <c r="E77" s="3111">
        <v>7.1</v>
      </c>
      <c r="F77" s="3111">
        <v>1.9</v>
      </c>
      <c r="G77" s="1523">
        <f t="shared" si="0"/>
        <v>9</v>
      </c>
      <c r="H77" s="1513">
        <v>42.7</v>
      </c>
      <c r="I77" s="3111">
        <v>40.1</v>
      </c>
      <c r="J77" s="3111">
        <v>6.1</v>
      </c>
      <c r="K77" s="3111">
        <v>4</v>
      </c>
      <c r="L77" s="3111">
        <v>2.9</v>
      </c>
      <c r="M77" s="1523">
        <f t="shared" si="10"/>
        <v>6.9</v>
      </c>
      <c r="N77" s="1518">
        <f t="shared" si="13"/>
        <v>45.650000000000006</v>
      </c>
      <c r="O77" s="3122">
        <f t="shared" si="11"/>
        <v>42.35</v>
      </c>
      <c r="P77" s="1519">
        <f t="shared" si="11"/>
        <v>7.2</v>
      </c>
      <c r="Q77" s="3122">
        <f t="shared" si="11"/>
        <v>5.55</v>
      </c>
      <c r="R77" s="1519">
        <f t="shared" si="11"/>
        <v>2.4</v>
      </c>
      <c r="S77" s="1924">
        <f t="shared" si="11"/>
        <v>7.95</v>
      </c>
      <c r="T77" s="1556">
        <v>44.398664324654732</v>
      </c>
      <c r="U77" s="3117">
        <v>41.480410133424137</v>
      </c>
      <c r="V77" s="3117">
        <v>6.5728423041998569</v>
      </c>
      <c r="W77" s="1556">
        <v>6.2692488122698453</v>
      </c>
      <c r="X77" s="3117">
        <v>2.7666109406071162</v>
      </c>
      <c r="Y77" s="1524">
        <f t="shared" si="12"/>
        <v>9.0358597528769611</v>
      </c>
    </row>
    <row r="78" spans="1:25">
      <c r="A78" s="1467">
        <f t="shared" si="7"/>
        <v>2015.3</v>
      </c>
      <c r="B78" s="1521">
        <v>47.6</v>
      </c>
      <c r="C78" s="3111">
        <v>43.4</v>
      </c>
      <c r="D78" s="3111">
        <v>8.8000000000000007</v>
      </c>
      <c r="E78" s="3111">
        <v>4.9000000000000004</v>
      </c>
      <c r="F78" s="3111">
        <v>2.1</v>
      </c>
      <c r="G78" s="1523">
        <f t="shared" si="0"/>
        <v>7</v>
      </c>
      <c r="H78" s="1513">
        <v>43</v>
      </c>
      <c r="I78" s="3111">
        <v>40.9</v>
      </c>
      <c r="J78" s="3111">
        <v>4.9000000000000004</v>
      </c>
      <c r="K78" s="3111">
        <v>7.6</v>
      </c>
      <c r="L78" s="3111">
        <v>2.8</v>
      </c>
      <c r="M78" s="1523">
        <f t="shared" si="10"/>
        <v>10.399999999999999</v>
      </c>
      <c r="N78" s="1518">
        <f t="shared" si="13"/>
        <v>45.3</v>
      </c>
      <c r="O78" s="3122">
        <f t="shared" si="11"/>
        <v>42.15</v>
      </c>
      <c r="P78" s="1519">
        <f t="shared" si="11"/>
        <v>6.8500000000000005</v>
      </c>
      <c r="Q78" s="3122">
        <f t="shared" si="11"/>
        <v>6.25</v>
      </c>
      <c r="R78" s="1519">
        <f t="shared" si="11"/>
        <v>2.4500000000000002</v>
      </c>
      <c r="S78" s="1924">
        <f t="shared" si="11"/>
        <v>8.6999999999999993</v>
      </c>
      <c r="T78" s="1556">
        <v>44.8</v>
      </c>
      <c r="U78" s="3117">
        <v>42.2</v>
      </c>
      <c r="V78" s="3117">
        <v>5.9</v>
      </c>
      <c r="W78" s="1556">
        <v>5.9</v>
      </c>
      <c r="X78" s="3117">
        <v>2.7</v>
      </c>
      <c r="Y78" s="1524">
        <f t="shared" si="12"/>
        <v>8.6000000000000014</v>
      </c>
    </row>
    <row r="79" spans="1:25">
      <c r="A79" s="1467">
        <f t="shared" si="7"/>
        <v>2015.4</v>
      </c>
      <c r="B79" s="2534">
        <f>AVERAGE(B77:B78)</f>
        <v>48.1</v>
      </c>
      <c r="C79" s="2534">
        <f>AVERAGE(C77:C78)</f>
        <v>44</v>
      </c>
      <c r="D79" s="2534">
        <f t="shared" ref="D79:F79" si="14">AVERAGE(D77:D78)</f>
        <v>8.5500000000000007</v>
      </c>
      <c r="E79" s="2534">
        <f t="shared" si="14"/>
        <v>6</v>
      </c>
      <c r="F79" s="2534">
        <f t="shared" si="14"/>
        <v>2</v>
      </c>
      <c r="G79" s="1523">
        <f>E79+F79</f>
        <v>8</v>
      </c>
      <c r="H79" s="2534">
        <f>AVERAGE(H77:H78)</f>
        <v>42.85</v>
      </c>
      <c r="I79" s="2534">
        <f>AVERAGE(I77:I78)</f>
        <v>40.5</v>
      </c>
      <c r="J79" s="2534">
        <f t="shared" ref="J79:L79" si="15">AVERAGE(J77:J78)</f>
        <v>5.5</v>
      </c>
      <c r="K79" s="2534">
        <f t="shared" si="15"/>
        <v>5.8</v>
      </c>
      <c r="L79" s="2534">
        <f t="shared" si="15"/>
        <v>2.8499999999999996</v>
      </c>
      <c r="M79" s="1523">
        <f>K79+L79</f>
        <v>8.6499999999999986</v>
      </c>
      <c r="N79" s="1518">
        <f>(B79+H79)/2</f>
        <v>45.475000000000001</v>
      </c>
      <c r="O79" s="3122">
        <f t="shared" ref="O79:S94" si="16">(C79+I79)/2</f>
        <v>42.25</v>
      </c>
      <c r="P79" s="1519">
        <f t="shared" si="16"/>
        <v>7.0250000000000004</v>
      </c>
      <c r="Q79" s="3122">
        <f t="shared" si="16"/>
        <v>5.9</v>
      </c>
      <c r="R79" s="1519">
        <f t="shared" si="16"/>
        <v>2.4249999999999998</v>
      </c>
      <c r="S79" s="1924">
        <f t="shared" si="16"/>
        <v>8.3249999999999993</v>
      </c>
      <c r="T79" s="1556">
        <f>AVERAGE(T77:T78)</f>
        <v>44.599332162327364</v>
      </c>
      <c r="U79" s="3117">
        <f>AVERAGE(U77:U78)</f>
        <v>41.840205066712073</v>
      </c>
      <c r="V79" s="3117">
        <f t="shared" ref="V79:X79" si="17">AVERAGE(V77:V78)</f>
        <v>6.2364211520999291</v>
      </c>
      <c r="W79" s="1556">
        <f t="shared" si="17"/>
        <v>6.0846244061349228</v>
      </c>
      <c r="X79" s="3117">
        <f t="shared" si="17"/>
        <v>2.7333054703035584</v>
      </c>
      <c r="Y79" s="1524">
        <f>W79+X79</f>
        <v>8.8179298764384804</v>
      </c>
    </row>
    <row r="80" spans="1:25">
      <c r="A80" s="1467">
        <f t="shared" si="7"/>
        <v>2016.1</v>
      </c>
      <c r="B80" s="2534">
        <f>AVERAGE(B81:B82)</f>
        <v>47.65</v>
      </c>
      <c r="C80" s="2534">
        <f>AVERAGE(C81:C82)</f>
        <v>42.65</v>
      </c>
      <c r="D80" s="2534">
        <f t="shared" ref="D80:F80" si="18">AVERAGE(D81:D82)</f>
        <v>10.5</v>
      </c>
      <c r="E80" s="2534">
        <f t="shared" si="18"/>
        <v>7.1</v>
      </c>
      <c r="F80" s="2534">
        <f t="shared" si="18"/>
        <v>2</v>
      </c>
      <c r="G80" s="1523">
        <f>E80+F80</f>
        <v>9.1</v>
      </c>
      <c r="H80" s="2534">
        <f>AVERAGE(H81:H82)</f>
        <v>40.950000000000003</v>
      </c>
      <c r="I80" s="2534">
        <f>AVERAGE(I81:I82)</f>
        <v>39.15</v>
      </c>
      <c r="J80" s="2534">
        <f t="shared" ref="J80:L80" si="19">AVERAGE(J81:J82)</f>
        <v>4.4000000000000004</v>
      </c>
      <c r="K80" s="2534">
        <f t="shared" si="19"/>
        <v>5.5</v>
      </c>
      <c r="L80" s="2534">
        <f t="shared" si="19"/>
        <v>2.1</v>
      </c>
      <c r="M80" s="1523">
        <f>K80+L80</f>
        <v>7.6</v>
      </c>
      <c r="N80" s="1518">
        <f t="shared" ref="N80" si="20">(B80+H80)/2</f>
        <v>44.3</v>
      </c>
      <c r="O80" s="3122">
        <f t="shared" si="16"/>
        <v>40.9</v>
      </c>
      <c r="P80" s="1519">
        <f t="shared" si="16"/>
        <v>7.45</v>
      </c>
      <c r="Q80" s="3122">
        <f t="shared" si="16"/>
        <v>6.3</v>
      </c>
      <c r="R80" s="1519">
        <f t="shared" si="16"/>
        <v>2.0499999999999998</v>
      </c>
      <c r="S80" s="1924">
        <f t="shared" si="16"/>
        <v>8.35</v>
      </c>
      <c r="T80" s="1556">
        <f>AVERAGE(T81:T82)</f>
        <v>45.98422430977827</v>
      </c>
      <c r="U80" s="3117">
        <f>AVERAGE(U81:U82)</f>
        <v>41.882873325527079</v>
      </c>
      <c r="V80" s="3117">
        <f t="shared" ref="V80:X80" si="21">AVERAGE(V81:V82)</f>
        <v>8.9192038833364506</v>
      </c>
      <c r="W80" s="1556">
        <f t="shared" si="21"/>
        <v>7.35</v>
      </c>
      <c r="X80" s="3117">
        <f t="shared" si="21"/>
        <v>3.35</v>
      </c>
      <c r="Y80" s="1524">
        <f>W80+X80</f>
        <v>10.7</v>
      </c>
    </row>
    <row r="81" spans="1:25">
      <c r="A81" s="1467">
        <f t="shared" si="7"/>
        <v>2016.2</v>
      </c>
      <c r="B81" s="1521">
        <v>47.9</v>
      </c>
      <c r="C81" s="3111">
        <v>42.3</v>
      </c>
      <c r="D81" s="1514">
        <v>11.7</v>
      </c>
      <c r="E81" s="3111">
        <v>7.9</v>
      </c>
      <c r="F81" s="3111">
        <v>2.2000000000000002</v>
      </c>
      <c r="G81" s="1523">
        <f t="shared" ref="G81:G139" si="22">E81+F81</f>
        <v>10.100000000000001</v>
      </c>
      <c r="H81" s="1513">
        <v>41.4</v>
      </c>
      <c r="I81" s="3111">
        <v>39.299999999999997</v>
      </c>
      <c r="J81" s="1514">
        <v>5</v>
      </c>
      <c r="K81" s="3111">
        <v>4.8</v>
      </c>
      <c r="L81" s="3111">
        <v>1.6</v>
      </c>
      <c r="M81" s="1523">
        <f t="shared" ref="M81:M139" si="23">K81+L81</f>
        <v>6.4</v>
      </c>
      <c r="N81" s="1518">
        <f>(B81+H81)/2</f>
        <v>44.65</v>
      </c>
      <c r="O81" s="3122">
        <f>(C81+I81)/2</f>
        <v>40.799999999999997</v>
      </c>
      <c r="P81" s="1519">
        <f t="shared" si="16"/>
        <v>8.35</v>
      </c>
      <c r="Q81" s="3122">
        <f t="shared" si="16"/>
        <v>6.35</v>
      </c>
      <c r="R81" s="1519">
        <f t="shared" si="16"/>
        <v>1.9000000000000001</v>
      </c>
      <c r="S81" s="1924">
        <f>(G81+M81)/2</f>
        <v>8.25</v>
      </c>
      <c r="T81" s="1535">
        <f>('2.3'!R81/'2.3'!Q81)*100</f>
        <v>45.96522186684313</v>
      </c>
      <c r="U81" s="3114">
        <f>('2.3'!S81/'2.3'!Q81)*100</f>
        <v>41.682291092239254</v>
      </c>
      <c r="V81" s="203">
        <f>('2.3'!T81/'2.3'!R81)*100</f>
        <v>9.317763736703192</v>
      </c>
      <c r="W81" s="3111">
        <v>7.7</v>
      </c>
      <c r="X81" s="3111">
        <v>3.5</v>
      </c>
      <c r="Y81" s="1524">
        <f t="shared" ref="Y81:Y139" si="24">W81+X81</f>
        <v>11.2</v>
      </c>
    </row>
    <row r="82" spans="1:25">
      <c r="A82" s="1467">
        <f t="shared" si="7"/>
        <v>2016.3</v>
      </c>
      <c r="B82" s="1521">
        <v>47.4</v>
      </c>
      <c r="C82" s="3111">
        <v>43</v>
      </c>
      <c r="D82" s="1514">
        <v>9.3000000000000007</v>
      </c>
      <c r="E82" s="3111">
        <v>6.3</v>
      </c>
      <c r="F82" s="3111">
        <v>1.8</v>
      </c>
      <c r="G82" s="1523">
        <f t="shared" si="22"/>
        <v>8.1</v>
      </c>
      <c r="H82" s="1513">
        <v>40.5</v>
      </c>
      <c r="I82" s="3111">
        <v>39</v>
      </c>
      <c r="J82" s="1514">
        <v>3.8</v>
      </c>
      <c r="K82" s="3111">
        <v>6.2</v>
      </c>
      <c r="L82" s="3111">
        <v>2.6</v>
      </c>
      <c r="M82" s="1523">
        <f t="shared" si="23"/>
        <v>8.8000000000000007</v>
      </c>
      <c r="N82" s="1518">
        <f t="shared" ref="N82:S97" si="25">(B82+H82)/2</f>
        <v>43.95</v>
      </c>
      <c r="O82" s="3122">
        <f t="shared" si="25"/>
        <v>41</v>
      </c>
      <c r="P82" s="1519">
        <f t="shared" si="16"/>
        <v>6.5500000000000007</v>
      </c>
      <c r="Q82" s="3122">
        <f t="shared" si="16"/>
        <v>6.25</v>
      </c>
      <c r="R82" s="1519">
        <f t="shared" si="16"/>
        <v>2.2000000000000002</v>
      </c>
      <c r="S82" s="1924">
        <f t="shared" si="16"/>
        <v>8.4499999999999993</v>
      </c>
      <c r="T82" s="1535">
        <f>('2.3'!R82/'2.3'!Q82)*100</f>
        <v>46.003226752713402</v>
      </c>
      <c r="U82" s="3114">
        <f>('2.3'!S82/'2.3'!Q82)*100</f>
        <v>42.083455558814904</v>
      </c>
      <c r="V82" s="203">
        <f>('2.3'!T82/'2.3'!R82)*100</f>
        <v>8.520644029969711</v>
      </c>
      <c r="W82" s="3111">
        <v>7</v>
      </c>
      <c r="X82" s="3111">
        <v>3.2</v>
      </c>
      <c r="Y82" s="1524">
        <f t="shared" si="24"/>
        <v>10.199999999999999</v>
      </c>
    </row>
    <row r="83" spans="1:25">
      <c r="A83" s="1467">
        <f t="shared" si="7"/>
        <v>2016.4</v>
      </c>
      <c r="B83" s="1521">
        <v>48.7</v>
      </c>
      <c r="C83" s="3111">
        <v>44.6</v>
      </c>
      <c r="D83" s="1514">
        <v>8.6</v>
      </c>
      <c r="E83" s="3111">
        <v>6.6</v>
      </c>
      <c r="F83" s="3111">
        <v>2.2999999999999998</v>
      </c>
      <c r="G83" s="1523">
        <f t="shared" si="22"/>
        <v>8.8999999999999986</v>
      </c>
      <c r="H83" s="1513">
        <v>43.6</v>
      </c>
      <c r="I83" s="3111">
        <v>41.4</v>
      </c>
      <c r="J83" s="1514">
        <v>5.0999999999999996</v>
      </c>
      <c r="K83" s="3111">
        <v>6.4</v>
      </c>
      <c r="L83" s="3111">
        <v>2.4</v>
      </c>
      <c r="M83" s="1523">
        <f t="shared" si="23"/>
        <v>8.8000000000000007</v>
      </c>
      <c r="N83" s="1518">
        <f t="shared" si="25"/>
        <v>46.150000000000006</v>
      </c>
      <c r="O83" s="3122">
        <f t="shared" si="25"/>
        <v>43</v>
      </c>
      <c r="P83" s="1519">
        <f t="shared" si="16"/>
        <v>6.85</v>
      </c>
      <c r="Q83" s="3122">
        <f t="shared" si="16"/>
        <v>6.5</v>
      </c>
      <c r="R83" s="1519">
        <f t="shared" si="16"/>
        <v>2.3499999999999996</v>
      </c>
      <c r="S83" s="1924">
        <f t="shared" si="16"/>
        <v>8.85</v>
      </c>
      <c r="T83" s="1535">
        <f>('2.3'!R83/'2.3'!Q83)*100</f>
        <v>45.335527518742005</v>
      </c>
      <c r="U83" s="3114">
        <f>('2.3'!S83/'2.3'!Q83)*100</f>
        <v>41.905284329859207</v>
      </c>
      <c r="V83" s="203">
        <f>('2.3'!T83/'2.3'!R83)*100</f>
        <v>7.5582802290876829</v>
      </c>
      <c r="W83" s="3111">
        <v>7.2</v>
      </c>
      <c r="X83" s="3111">
        <v>3.1</v>
      </c>
      <c r="Y83" s="1524">
        <f t="shared" si="24"/>
        <v>10.3</v>
      </c>
    </row>
    <row r="84" spans="1:25">
      <c r="A84" s="1467">
        <f t="shared" si="7"/>
        <v>2017.1</v>
      </c>
      <c r="B84" s="1521">
        <v>47.8</v>
      </c>
      <c r="C84" s="3111">
        <v>42.9</v>
      </c>
      <c r="D84" s="1514">
        <v>10.3</v>
      </c>
      <c r="E84" s="3111">
        <v>7.3</v>
      </c>
      <c r="F84" s="3111">
        <v>3.5</v>
      </c>
      <c r="G84" s="1523">
        <f t="shared" si="22"/>
        <v>10.8</v>
      </c>
      <c r="H84" s="1513">
        <v>41.8</v>
      </c>
      <c r="I84" s="3111">
        <v>39.700000000000003</v>
      </c>
      <c r="J84" s="1514">
        <v>5.2</v>
      </c>
      <c r="K84" s="3111">
        <v>5</v>
      </c>
      <c r="L84" s="3111">
        <v>2</v>
      </c>
      <c r="M84" s="1523">
        <f t="shared" si="23"/>
        <v>7</v>
      </c>
      <c r="N84" s="1518">
        <f t="shared" si="25"/>
        <v>44.8</v>
      </c>
      <c r="O84" s="3122">
        <f t="shared" si="25"/>
        <v>41.3</v>
      </c>
      <c r="P84" s="1519">
        <f t="shared" si="16"/>
        <v>7.75</v>
      </c>
      <c r="Q84" s="3122">
        <f t="shared" si="16"/>
        <v>6.15</v>
      </c>
      <c r="R84" s="1519">
        <f t="shared" si="16"/>
        <v>2.75</v>
      </c>
      <c r="S84" s="1924">
        <f t="shared" si="16"/>
        <v>8.9</v>
      </c>
      <c r="T84" s="1668">
        <v>45.5</v>
      </c>
      <c r="U84" s="2839">
        <v>41.3</v>
      </c>
      <c r="V84" s="839">
        <v>9.1999999999999993</v>
      </c>
      <c r="W84" s="3111">
        <v>6.6</v>
      </c>
      <c r="X84" s="3111">
        <v>3.3</v>
      </c>
      <c r="Y84" s="1524">
        <f t="shared" si="24"/>
        <v>9.8999999999999986</v>
      </c>
    </row>
    <row r="85" spans="1:25">
      <c r="A85" s="1467">
        <f t="shared" si="7"/>
        <v>2017.2</v>
      </c>
      <c r="B85" s="1521">
        <v>48.2</v>
      </c>
      <c r="C85" s="3111">
        <v>43</v>
      </c>
      <c r="D85" s="1514">
        <v>10.8</v>
      </c>
      <c r="E85" s="3111">
        <v>8.3000000000000007</v>
      </c>
      <c r="F85" s="3111">
        <v>2.8</v>
      </c>
      <c r="G85" s="1523">
        <f t="shared" si="22"/>
        <v>11.100000000000001</v>
      </c>
      <c r="H85" s="1513">
        <v>41.8</v>
      </c>
      <c r="I85" s="3111">
        <v>39.700000000000003</v>
      </c>
      <c r="J85" s="1514">
        <v>5.0999999999999996</v>
      </c>
      <c r="K85" s="3111">
        <v>4.3</v>
      </c>
      <c r="L85" s="3111">
        <v>2.2000000000000002</v>
      </c>
      <c r="M85" s="1523">
        <f t="shared" si="23"/>
        <v>6.5</v>
      </c>
      <c r="N85" s="1518">
        <f t="shared" si="25"/>
        <v>45</v>
      </c>
      <c r="O85" s="3122">
        <f t="shared" si="25"/>
        <v>41.35</v>
      </c>
      <c r="P85" s="1519">
        <f t="shared" si="16"/>
        <v>7.95</v>
      </c>
      <c r="Q85" s="3122">
        <f t="shared" si="16"/>
        <v>6.3000000000000007</v>
      </c>
      <c r="R85" s="1519">
        <f t="shared" si="16"/>
        <v>2.5</v>
      </c>
      <c r="S85" s="1924">
        <f t="shared" si="16"/>
        <v>8.8000000000000007</v>
      </c>
      <c r="T85" s="1668">
        <v>45.4</v>
      </c>
      <c r="U85" s="2839">
        <v>41.5</v>
      </c>
      <c r="V85" s="839">
        <v>8.6999999999999993</v>
      </c>
      <c r="W85" s="3111">
        <v>7.4</v>
      </c>
      <c r="X85" s="3111">
        <v>3.6</v>
      </c>
      <c r="Y85" s="1524">
        <f t="shared" si="24"/>
        <v>11</v>
      </c>
    </row>
    <row r="86" spans="1:25">
      <c r="A86" s="1467">
        <f t="shared" si="7"/>
        <v>2017.3</v>
      </c>
      <c r="B86" s="1521">
        <v>46.5</v>
      </c>
      <c r="C86" s="3111">
        <v>42.6</v>
      </c>
      <c r="D86" s="1514">
        <v>8.4</v>
      </c>
      <c r="E86" s="3111">
        <v>6.9</v>
      </c>
      <c r="F86" s="3111">
        <v>1.9</v>
      </c>
      <c r="G86" s="1523">
        <f t="shared" si="22"/>
        <v>8.8000000000000007</v>
      </c>
      <c r="H86" s="1513">
        <v>42.6</v>
      </c>
      <c r="I86" s="3111">
        <v>41.2</v>
      </c>
      <c r="J86" s="1514">
        <v>3.1</v>
      </c>
      <c r="K86" s="3111">
        <v>5</v>
      </c>
      <c r="L86" s="3111">
        <v>4.0999999999999996</v>
      </c>
      <c r="M86" s="1523">
        <f t="shared" si="23"/>
        <v>9.1</v>
      </c>
      <c r="N86" s="1518">
        <f t="shared" si="25"/>
        <v>44.55</v>
      </c>
      <c r="O86" s="3122">
        <f t="shared" si="25"/>
        <v>41.900000000000006</v>
      </c>
      <c r="P86" s="1519">
        <f t="shared" si="16"/>
        <v>5.75</v>
      </c>
      <c r="Q86" s="3122">
        <f t="shared" si="16"/>
        <v>5.95</v>
      </c>
      <c r="R86" s="1519">
        <f t="shared" si="16"/>
        <v>3</v>
      </c>
      <c r="S86" s="1924">
        <f t="shared" si="16"/>
        <v>8.9499999999999993</v>
      </c>
      <c r="T86" s="1668">
        <v>46.3</v>
      </c>
      <c r="U86" s="2839">
        <v>42.4</v>
      </c>
      <c r="V86" s="839">
        <v>8.3000000000000007</v>
      </c>
      <c r="W86" s="3111">
        <v>7.9</v>
      </c>
      <c r="X86" s="3111">
        <v>2.9</v>
      </c>
      <c r="Y86" s="1524">
        <f t="shared" si="24"/>
        <v>10.8</v>
      </c>
    </row>
    <row r="87" spans="1:25">
      <c r="A87" s="1467">
        <f t="shared" si="7"/>
        <v>2017.4</v>
      </c>
      <c r="B87" s="1521">
        <v>46.4</v>
      </c>
      <c r="C87" s="3111">
        <v>42.8</v>
      </c>
      <c r="D87" s="1514">
        <v>7.6</v>
      </c>
      <c r="E87" s="3111">
        <v>8</v>
      </c>
      <c r="F87" s="3111">
        <v>1.6</v>
      </c>
      <c r="G87" s="1523">
        <f t="shared" si="22"/>
        <v>9.6</v>
      </c>
      <c r="H87" s="1513">
        <v>42</v>
      </c>
      <c r="I87" s="3111">
        <v>40.6</v>
      </c>
      <c r="J87" s="1514">
        <v>3.3</v>
      </c>
      <c r="K87" s="3111">
        <v>6.6</v>
      </c>
      <c r="L87" s="3111">
        <v>3.3</v>
      </c>
      <c r="M87" s="1523">
        <f t="shared" si="23"/>
        <v>9.8999999999999986</v>
      </c>
      <c r="N87" s="1518">
        <f t="shared" si="25"/>
        <v>44.2</v>
      </c>
      <c r="O87" s="3122">
        <f t="shared" si="25"/>
        <v>41.7</v>
      </c>
      <c r="P87" s="1519">
        <f t="shared" si="16"/>
        <v>5.4499999999999993</v>
      </c>
      <c r="Q87" s="3122">
        <f t="shared" si="16"/>
        <v>7.3</v>
      </c>
      <c r="R87" s="1519">
        <f t="shared" si="16"/>
        <v>2.4500000000000002</v>
      </c>
      <c r="S87" s="1924">
        <f t="shared" si="16"/>
        <v>9.75</v>
      </c>
      <c r="T87" s="1668">
        <v>46.4</v>
      </c>
      <c r="U87" s="2839">
        <v>43</v>
      </c>
      <c r="V87" s="839">
        <v>7.2</v>
      </c>
      <c r="W87" s="3111">
        <v>7.2</v>
      </c>
      <c r="X87" s="3111">
        <v>3</v>
      </c>
      <c r="Y87" s="1524">
        <f t="shared" si="24"/>
        <v>10.199999999999999</v>
      </c>
    </row>
    <row r="88" spans="1:25">
      <c r="A88" s="1467">
        <f t="shared" si="7"/>
        <v>2018.1</v>
      </c>
      <c r="B88" s="1521">
        <v>48.7</v>
      </c>
      <c r="C88" s="3111">
        <v>44.2</v>
      </c>
      <c r="D88" s="1514">
        <v>9.1999999999999993</v>
      </c>
      <c r="E88" s="3111">
        <v>7</v>
      </c>
      <c r="F88" s="3111">
        <v>2</v>
      </c>
      <c r="G88" s="1523">
        <f t="shared" si="22"/>
        <v>9</v>
      </c>
      <c r="H88" s="1513">
        <v>43.3</v>
      </c>
      <c r="I88" s="3111">
        <v>40.4</v>
      </c>
      <c r="J88" s="1514">
        <v>6.7</v>
      </c>
      <c r="K88" s="3111">
        <v>5.3</v>
      </c>
      <c r="L88" s="3111">
        <v>3</v>
      </c>
      <c r="M88" s="1523">
        <f t="shared" si="23"/>
        <v>8.3000000000000007</v>
      </c>
      <c r="N88" s="1518">
        <f t="shared" si="25"/>
        <v>46</v>
      </c>
      <c r="O88" s="3122">
        <f t="shared" si="25"/>
        <v>42.3</v>
      </c>
      <c r="P88" s="1519">
        <f t="shared" si="16"/>
        <v>7.9499999999999993</v>
      </c>
      <c r="Q88" s="3122">
        <f t="shared" si="16"/>
        <v>6.15</v>
      </c>
      <c r="R88" s="1519">
        <f t="shared" si="16"/>
        <v>2.5</v>
      </c>
      <c r="S88" s="1924">
        <f t="shared" si="16"/>
        <v>8.65</v>
      </c>
      <c r="T88" s="1668">
        <v>46.7</v>
      </c>
      <c r="U88" s="2839">
        <v>42.4</v>
      </c>
      <c r="V88" s="839">
        <v>9.1</v>
      </c>
      <c r="W88" s="3111">
        <v>6.8</v>
      </c>
      <c r="X88" s="3111">
        <v>3</v>
      </c>
      <c r="Y88" s="1524">
        <f t="shared" si="24"/>
        <v>9.8000000000000007</v>
      </c>
    </row>
    <row r="89" spans="1:25">
      <c r="A89" s="1467">
        <f t="shared" si="7"/>
        <v>2018.2</v>
      </c>
      <c r="B89" s="1521">
        <v>47.5</v>
      </c>
      <c r="C89" s="3111">
        <v>43.7</v>
      </c>
      <c r="D89" s="1514">
        <v>8</v>
      </c>
      <c r="E89" s="3111">
        <v>8.5</v>
      </c>
      <c r="F89" s="3111">
        <v>4.2</v>
      </c>
      <c r="G89" s="1523">
        <f t="shared" si="22"/>
        <v>12.7</v>
      </c>
      <c r="H89" s="1513">
        <v>41.1</v>
      </c>
      <c r="I89" s="3111">
        <v>38.200000000000003</v>
      </c>
      <c r="J89" s="1514">
        <v>7</v>
      </c>
      <c r="K89" s="3111">
        <v>5.9</v>
      </c>
      <c r="L89" s="3111">
        <v>2.1</v>
      </c>
      <c r="M89" s="1523">
        <f t="shared" si="23"/>
        <v>8</v>
      </c>
      <c r="N89" s="1518">
        <f t="shared" si="25"/>
        <v>44.3</v>
      </c>
      <c r="O89" s="3122">
        <f t="shared" si="25"/>
        <v>40.950000000000003</v>
      </c>
      <c r="P89" s="1519">
        <f t="shared" si="16"/>
        <v>7.5</v>
      </c>
      <c r="Q89" s="3122">
        <f t="shared" si="16"/>
        <v>7.2</v>
      </c>
      <c r="R89" s="1519">
        <f t="shared" si="16"/>
        <v>3.1500000000000004</v>
      </c>
      <c r="S89" s="1924">
        <f t="shared" si="16"/>
        <v>10.35</v>
      </c>
      <c r="T89" s="1668">
        <v>46.4</v>
      </c>
      <c r="U89" s="2839">
        <v>41.9</v>
      </c>
      <c r="V89" s="839">
        <v>9.6</v>
      </c>
      <c r="W89" s="3111">
        <v>7.7</v>
      </c>
      <c r="X89" s="3111">
        <v>3.5</v>
      </c>
      <c r="Y89" s="1524">
        <f t="shared" si="24"/>
        <v>11.2</v>
      </c>
    </row>
    <row r="90" spans="1:25">
      <c r="A90" s="1467">
        <f t="shared" si="7"/>
        <v>2018.3</v>
      </c>
      <c r="B90" s="1521">
        <v>47.5</v>
      </c>
      <c r="C90" s="3111">
        <v>43.7</v>
      </c>
      <c r="D90" s="1514">
        <v>7.9</v>
      </c>
      <c r="E90" s="3111">
        <v>6.1</v>
      </c>
      <c r="F90" s="3111">
        <v>2.4</v>
      </c>
      <c r="G90" s="1523">
        <f t="shared" si="22"/>
        <v>8.5</v>
      </c>
      <c r="H90" s="1513">
        <v>40.700000000000003</v>
      </c>
      <c r="I90" s="3111">
        <v>39.200000000000003</v>
      </c>
      <c r="J90" s="1514">
        <v>3.6</v>
      </c>
      <c r="K90" s="3111">
        <v>5.3</v>
      </c>
      <c r="L90" s="3111">
        <v>1.9</v>
      </c>
      <c r="M90" s="1523">
        <f t="shared" si="23"/>
        <v>7.1999999999999993</v>
      </c>
      <c r="N90" s="1518">
        <f t="shared" si="25"/>
        <v>44.1</v>
      </c>
      <c r="O90" s="3122">
        <f t="shared" si="25"/>
        <v>41.45</v>
      </c>
      <c r="P90" s="1519">
        <f t="shared" si="16"/>
        <v>5.75</v>
      </c>
      <c r="Q90" s="3122">
        <f t="shared" si="16"/>
        <v>5.6999999999999993</v>
      </c>
      <c r="R90" s="1519">
        <f t="shared" si="16"/>
        <v>2.15</v>
      </c>
      <c r="S90" s="1924">
        <f t="shared" si="16"/>
        <v>7.85</v>
      </c>
      <c r="T90" s="1668">
        <v>46.7</v>
      </c>
      <c r="U90" s="2839">
        <v>42.5</v>
      </c>
      <c r="V90" s="839">
        <v>9</v>
      </c>
      <c r="W90" s="3111">
        <v>8.3000000000000007</v>
      </c>
      <c r="X90" s="3111">
        <v>3.5</v>
      </c>
      <c r="Y90" s="1524">
        <f t="shared" si="24"/>
        <v>11.8</v>
      </c>
    </row>
    <row r="91" spans="1:25">
      <c r="A91" s="1467">
        <f t="shared" si="7"/>
        <v>2018.4</v>
      </c>
      <c r="B91" s="1521">
        <v>46.6</v>
      </c>
      <c r="C91" s="3111">
        <v>40.700000000000003</v>
      </c>
      <c r="D91" s="1514">
        <v>12.8</v>
      </c>
      <c r="E91" s="3111">
        <v>9.9</v>
      </c>
      <c r="F91" s="3111">
        <v>2.9</v>
      </c>
      <c r="G91" s="1523">
        <f>E91+F91</f>
        <v>12.8</v>
      </c>
      <c r="H91" s="1513">
        <v>42.2</v>
      </c>
      <c r="I91" s="3111">
        <v>41</v>
      </c>
      <c r="J91" s="1514">
        <v>3</v>
      </c>
      <c r="K91" s="3111">
        <v>4.2</v>
      </c>
      <c r="L91" s="3111">
        <v>2.7</v>
      </c>
      <c r="M91" s="1523">
        <f t="shared" si="23"/>
        <v>6.9</v>
      </c>
      <c r="N91" s="1518">
        <f t="shared" si="25"/>
        <v>44.400000000000006</v>
      </c>
      <c r="O91" s="3122">
        <f t="shared" si="25"/>
        <v>40.85</v>
      </c>
      <c r="P91" s="1519">
        <f t="shared" si="16"/>
        <v>7.9</v>
      </c>
      <c r="Q91" s="3122">
        <f t="shared" si="16"/>
        <v>7.0500000000000007</v>
      </c>
      <c r="R91" s="1519">
        <f t="shared" si="16"/>
        <v>2.8</v>
      </c>
      <c r="S91" s="1924">
        <f t="shared" si="16"/>
        <v>9.8500000000000014</v>
      </c>
      <c r="T91" s="1668">
        <v>46.5</v>
      </c>
      <c r="U91" s="2839">
        <v>42.2</v>
      </c>
      <c r="V91" s="839">
        <v>9.1</v>
      </c>
      <c r="W91" s="3111">
        <v>8.6999999999999993</v>
      </c>
      <c r="X91" s="3111">
        <v>3.3</v>
      </c>
      <c r="Y91" s="1524">
        <f t="shared" si="24"/>
        <v>12</v>
      </c>
    </row>
    <row r="92" spans="1:25">
      <c r="A92" s="1467">
        <f t="shared" si="7"/>
        <v>2019.1</v>
      </c>
      <c r="B92" s="1521">
        <v>47.3</v>
      </c>
      <c r="C92" s="3111">
        <v>41.7</v>
      </c>
      <c r="D92" s="1514">
        <v>11.7</v>
      </c>
      <c r="E92" s="3111">
        <v>8.4</v>
      </c>
      <c r="F92" s="3111">
        <v>3.4</v>
      </c>
      <c r="G92" s="1523">
        <f t="shared" si="22"/>
        <v>11.8</v>
      </c>
      <c r="H92" s="1513">
        <v>41</v>
      </c>
      <c r="I92" s="3111">
        <v>38.799999999999997</v>
      </c>
      <c r="J92" s="1514">
        <v>5.5</v>
      </c>
      <c r="K92" s="3111">
        <v>4.2</v>
      </c>
      <c r="L92" s="3111">
        <v>1.5</v>
      </c>
      <c r="M92" s="1523">
        <f t="shared" si="23"/>
        <v>5.7</v>
      </c>
      <c r="N92" s="1518">
        <f t="shared" si="25"/>
        <v>44.15</v>
      </c>
      <c r="O92" s="3122">
        <f t="shared" si="25"/>
        <v>40.25</v>
      </c>
      <c r="P92" s="1519">
        <f t="shared" si="16"/>
        <v>8.6</v>
      </c>
      <c r="Q92" s="3122">
        <f t="shared" si="16"/>
        <v>6.3000000000000007</v>
      </c>
      <c r="R92" s="1519">
        <f t="shared" si="16"/>
        <v>2.4500000000000002</v>
      </c>
      <c r="S92" s="1924">
        <f t="shared" si="16"/>
        <v>8.75</v>
      </c>
      <c r="T92" s="1668">
        <v>47</v>
      </c>
      <c r="U92" s="2839">
        <v>42.3</v>
      </c>
      <c r="V92" s="839">
        <v>10.1</v>
      </c>
      <c r="W92" s="3111">
        <v>8.4</v>
      </c>
      <c r="X92" s="3111">
        <v>3.4</v>
      </c>
      <c r="Y92" s="1524">
        <f t="shared" si="24"/>
        <v>11.8</v>
      </c>
    </row>
    <row r="93" spans="1:25">
      <c r="A93" s="1467">
        <f t="shared" si="7"/>
        <v>2019.2</v>
      </c>
      <c r="B93" s="1513">
        <v>47.6</v>
      </c>
      <c r="C93" s="3111">
        <v>42.6</v>
      </c>
      <c r="D93" s="1514">
        <v>10.6</v>
      </c>
      <c r="E93" s="3111">
        <v>8.1999999999999993</v>
      </c>
      <c r="F93" s="3111">
        <v>2.1</v>
      </c>
      <c r="G93" s="1523">
        <f t="shared" si="22"/>
        <v>10.299999999999999</v>
      </c>
      <c r="H93" s="1513">
        <v>41.3</v>
      </c>
      <c r="I93" s="3111">
        <v>38.200000000000003</v>
      </c>
      <c r="J93" s="1514">
        <v>7.4</v>
      </c>
      <c r="K93" s="3111">
        <v>5.6</v>
      </c>
      <c r="L93" s="3111">
        <v>1.7</v>
      </c>
      <c r="M93" s="1523">
        <f t="shared" si="23"/>
        <v>7.3</v>
      </c>
      <c r="N93" s="1518">
        <f t="shared" si="25"/>
        <v>44.45</v>
      </c>
      <c r="O93" s="3122">
        <f t="shared" si="25"/>
        <v>40.400000000000006</v>
      </c>
      <c r="P93" s="1519">
        <f t="shared" si="16"/>
        <v>9</v>
      </c>
      <c r="Q93" s="3122">
        <f t="shared" si="16"/>
        <v>6.8999999999999995</v>
      </c>
      <c r="R93" s="1519">
        <f t="shared" si="16"/>
        <v>1.9</v>
      </c>
      <c r="S93" s="1924">
        <f t="shared" si="16"/>
        <v>8.7999999999999989</v>
      </c>
      <c r="T93" s="1668">
        <v>47.7</v>
      </c>
      <c r="U93" s="2839">
        <v>42.6</v>
      </c>
      <c r="V93" s="839">
        <v>10.6</v>
      </c>
      <c r="W93" s="3111">
        <v>9.1999999999999993</v>
      </c>
      <c r="X93" s="3111">
        <v>3.9</v>
      </c>
      <c r="Y93" s="1524">
        <f t="shared" si="24"/>
        <v>13.1</v>
      </c>
    </row>
    <row r="94" spans="1:25">
      <c r="A94" s="1467">
        <f t="shared" si="7"/>
        <v>2019.3</v>
      </c>
      <c r="B94" s="1521">
        <v>46.3</v>
      </c>
      <c r="C94" s="3111">
        <v>42.2</v>
      </c>
      <c r="D94" s="1514">
        <v>8.6999999999999993</v>
      </c>
      <c r="E94" s="3111">
        <v>8.6999999999999993</v>
      </c>
      <c r="F94" s="3111">
        <v>1.9</v>
      </c>
      <c r="G94" s="1523">
        <f t="shared" si="22"/>
        <v>10.6</v>
      </c>
      <c r="H94" s="1513">
        <v>42.2</v>
      </c>
      <c r="I94" s="3111">
        <v>40.1</v>
      </c>
      <c r="J94" s="1514">
        <v>5</v>
      </c>
      <c r="K94" s="3111">
        <v>5.3</v>
      </c>
      <c r="L94" s="3111">
        <v>2.4</v>
      </c>
      <c r="M94" s="1523">
        <f t="shared" si="23"/>
        <v>7.6999999999999993</v>
      </c>
      <c r="N94" s="1518">
        <f t="shared" si="25"/>
        <v>44.25</v>
      </c>
      <c r="O94" s="3122">
        <f t="shared" si="25"/>
        <v>41.150000000000006</v>
      </c>
      <c r="P94" s="1519">
        <f t="shared" si="16"/>
        <v>6.85</v>
      </c>
      <c r="Q94" s="3122">
        <f t="shared" si="16"/>
        <v>7</v>
      </c>
      <c r="R94" s="1519">
        <f t="shared" si="16"/>
        <v>2.15</v>
      </c>
      <c r="S94" s="1924">
        <f t="shared" si="16"/>
        <v>9.1499999999999986</v>
      </c>
      <c r="T94" s="1668">
        <v>47.2</v>
      </c>
      <c r="U94" s="2839">
        <v>42.6</v>
      </c>
      <c r="V94" s="839">
        <v>9.6999999999999993</v>
      </c>
      <c r="W94" s="3111">
        <v>9.5</v>
      </c>
      <c r="X94" s="3111">
        <v>3.3</v>
      </c>
      <c r="Y94" s="1524">
        <f t="shared" si="24"/>
        <v>12.8</v>
      </c>
    </row>
    <row r="95" spans="1:25">
      <c r="A95" s="1467">
        <f t="shared" si="7"/>
        <v>2019.4</v>
      </c>
      <c r="B95" s="1521">
        <v>46.2</v>
      </c>
      <c r="C95" s="3111">
        <v>42.2</v>
      </c>
      <c r="D95" s="1514">
        <v>8.6999999999999993</v>
      </c>
      <c r="E95" s="3111">
        <v>10</v>
      </c>
      <c r="F95" s="3111">
        <v>1.3</v>
      </c>
      <c r="G95" s="1523">
        <f t="shared" si="22"/>
        <v>11.3</v>
      </c>
      <c r="H95" s="1513">
        <v>43.7</v>
      </c>
      <c r="I95" s="3111">
        <v>41.3</v>
      </c>
      <c r="J95" s="1514">
        <v>5.5</v>
      </c>
      <c r="K95" s="3111">
        <v>4.9000000000000004</v>
      </c>
      <c r="L95" s="3111">
        <v>2.6</v>
      </c>
      <c r="M95" s="1523">
        <f t="shared" si="23"/>
        <v>7.5</v>
      </c>
      <c r="N95" s="1518">
        <f t="shared" si="25"/>
        <v>44.95</v>
      </c>
      <c r="O95" s="3122">
        <f t="shared" si="25"/>
        <v>41.75</v>
      </c>
      <c r="P95" s="1519">
        <f t="shared" si="25"/>
        <v>7.1</v>
      </c>
      <c r="Q95" s="3122">
        <f t="shared" si="25"/>
        <v>7.45</v>
      </c>
      <c r="R95" s="1519">
        <f t="shared" si="25"/>
        <v>1.9500000000000002</v>
      </c>
      <c r="S95" s="1924">
        <f t="shared" si="25"/>
        <v>9.4</v>
      </c>
      <c r="T95" s="1668">
        <v>47.2</v>
      </c>
      <c r="U95" s="2839">
        <v>43</v>
      </c>
      <c r="V95" s="839">
        <v>8.9</v>
      </c>
      <c r="W95" s="3111">
        <v>9.5</v>
      </c>
      <c r="X95" s="3111">
        <v>3.6</v>
      </c>
      <c r="Y95" s="1524">
        <f t="shared" si="24"/>
        <v>13.1</v>
      </c>
    </row>
    <row r="96" spans="1:25">
      <c r="A96" s="1467">
        <f t="shared" si="7"/>
        <v>2020.1</v>
      </c>
      <c r="B96" s="1521">
        <v>48.2</v>
      </c>
      <c r="C96" s="3111">
        <v>42</v>
      </c>
      <c r="D96" s="1514">
        <v>12.9</v>
      </c>
      <c r="E96" s="3111">
        <v>10.3</v>
      </c>
      <c r="F96" s="3111">
        <v>2.6</v>
      </c>
      <c r="G96" s="1523">
        <f t="shared" si="22"/>
        <v>12.9</v>
      </c>
      <c r="H96" s="1513">
        <v>42.8</v>
      </c>
      <c r="I96" s="3111">
        <v>40.1</v>
      </c>
      <c r="J96" s="1514">
        <v>6.2</v>
      </c>
      <c r="K96" s="3111">
        <v>6.6</v>
      </c>
      <c r="L96" s="3111">
        <v>4.5999999999999996</v>
      </c>
      <c r="M96" s="1523">
        <f t="shared" si="23"/>
        <v>11.2</v>
      </c>
      <c r="N96" s="1518">
        <f t="shared" si="25"/>
        <v>45.5</v>
      </c>
      <c r="O96" s="3122">
        <f t="shared" si="25"/>
        <v>41.05</v>
      </c>
      <c r="P96" s="1519">
        <f t="shared" si="25"/>
        <v>9.5500000000000007</v>
      </c>
      <c r="Q96" s="3122">
        <f t="shared" si="25"/>
        <v>8.4499999999999993</v>
      </c>
      <c r="R96" s="1519">
        <f t="shared" si="25"/>
        <v>3.5999999999999996</v>
      </c>
      <c r="S96" s="1924">
        <f t="shared" si="25"/>
        <v>12.05</v>
      </c>
      <c r="T96" s="1668">
        <v>47.1</v>
      </c>
      <c r="U96" s="2839">
        <v>42.2</v>
      </c>
      <c r="V96" s="839">
        <v>10.4</v>
      </c>
      <c r="W96" s="3111">
        <v>8.1999999999999993</v>
      </c>
      <c r="X96" s="3111">
        <v>3.5</v>
      </c>
      <c r="Y96" s="1524">
        <f t="shared" si="24"/>
        <v>11.7</v>
      </c>
    </row>
    <row r="97" spans="1:25">
      <c r="A97" s="1467">
        <f t="shared" si="7"/>
        <v>2020.2</v>
      </c>
      <c r="B97" s="1521">
        <v>43</v>
      </c>
      <c r="C97" s="3111">
        <v>35.4</v>
      </c>
      <c r="D97" s="1514">
        <v>17.899999999999999</v>
      </c>
      <c r="E97" s="3111">
        <v>4.3</v>
      </c>
      <c r="F97" s="3111">
        <v>4.4000000000000004</v>
      </c>
      <c r="G97" s="1523">
        <f t="shared" si="22"/>
        <v>8.6999999999999993</v>
      </c>
      <c r="H97" s="1513">
        <v>38.200000000000003</v>
      </c>
      <c r="I97" s="3111">
        <v>30.5</v>
      </c>
      <c r="J97" s="1514">
        <v>20.3</v>
      </c>
      <c r="K97" s="3111">
        <v>1.8</v>
      </c>
      <c r="L97" s="3111">
        <v>4.8</v>
      </c>
      <c r="M97" s="1523">
        <f t="shared" si="23"/>
        <v>6.6</v>
      </c>
      <c r="N97" s="1518">
        <f t="shared" si="25"/>
        <v>40.6</v>
      </c>
      <c r="O97" s="3122">
        <f t="shared" si="25"/>
        <v>32.950000000000003</v>
      </c>
      <c r="P97" s="1519">
        <f t="shared" si="25"/>
        <v>19.100000000000001</v>
      </c>
      <c r="Q97" s="3122">
        <f t="shared" si="25"/>
        <v>3.05</v>
      </c>
      <c r="R97" s="1519">
        <f t="shared" si="25"/>
        <v>4.5999999999999996</v>
      </c>
      <c r="S97" s="1924">
        <f t="shared" si="25"/>
        <v>7.6499999999999995</v>
      </c>
      <c r="T97" s="1668">
        <v>38.4</v>
      </c>
      <c r="U97" s="2839">
        <v>33.4</v>
      </c>
      <c r="V97" s="839">
        <v>13.1</v>
      </c>
      <c r="W97" s="3111">
        <v>5</v>
      </c>
      <c r="X97" s="3111">
        <v>4.5999999999999996</v>
      </c>
      <c r="Y97" s="1524">
        <f t="shared" si="24"/>
        <v>9.6</v>
      </c>
    </row>
    <row r="98" spans="1:25">
      <c r="A98" s="1467">
        <f t="shared" si="7"/>
        <v>2020.3</v>
      </c>
      <c r="B98" s="1521">
        <v>46.5227449705529</v>
      </c>
      <c r="C98" s="3111">
        <v>41.352450650558303</v>
      </c>
      <c r="D98" s="1514">
        <v>11.1134764796599</v>
      </c>
      <c r="E98" s="3111">
        <v>6.6073410567130502</v>
      </c>
      <c r="F98" s="3111">
        <v>5.7900971949798601</v>
      </c>
      <c r="G98" s="1523">
        <f t="shared" si="22"/>
        <v>12.397438251692911</v>
      </c>
      <c r="H98" s="1513">
        <v>43.851468629827501</v>
      </c>
      <c r="I98" s="3111">
        <v>39.681996378926002</v>
      </c>
      <c r="J98" s="2535">
        <v>9.5081701506924698</v>
      </c>
      <c r="K98" s="1525">
        <v>8.3181560326038309</v>
      </c>
      <c r="L98" s="3111">
        <v>5.1085301406264003</v>
      </c>
      <c r="M98" s="1523">
        <f t="shared" si="23"/>
        <v>13.42668617323023</v>
      </c>
      <c r="N98" s="1518">
        <f t="shared" ref="N98:S113" si="26">(B98+H98)/2</f>
        <v>45.1871068001902</v>
      </c>
      <c r="O98" s="3122">
        <f t="shared" si="26"/>
        <v>40.517223514742156</v>
      </c>
      <c r="P98" s="1519">
        <f t="shared" si="26"/>
        <v>10.310823315176185</v>
      </c>
      <c r="Q98" s="3122">
        <f t="shared" si="26"/>
        <v>7.4627485446584405</v>
      </c>
      <c r="R98" s="1519">
        <f t="shared" si="26"/>
        <v>5.4493136678031302</v>
      </c>
      <c r="S98" s="1924">
        <f t="shared" si="26"/>
        <v>12.912062212461571</v>
      </c>
      <c r="T98" s="1668">
        <v>42.308928043906597</v>
      </c>
      <c r="U98" s="2839">
        <v>37.374544805189998</v>
      </c>
      <c r="V98" s="839">
        <v>11.662747006012101</v>
      </c>
      <c r="W98" s="3111">
        <v>8.0826647899998108</v>
      </c>
      <c r="X98" s="3111">
        <v>5.2919993995413499</v>
      </c>
      <c r="Y98" s="1524">
        <f t="shared" si="24"/>
        <v>13.374664189541161</v>
      </c>
    </row>
    <row r="99" spans="1:25">
      <c r="A99" s="1467">
        <f t="shared" si="7"/>
        <v>2020.4</v>
      </c>
      <c r="B99" s="1521">
        <v>46.7</v>
      </c>
      <c r="C99" s="3111">
        <v>40.299999999999997</v>
      </c>
      <c r="D99" s="1514">
        <v>13.6</v>
      </c>
      <c r="E99" s="3111">
        <v>9</v>
      </c>
      <c r="F99" s="3111">
        <v>3.3</v>
      </c>
      <c r="G99" s="1523">
        <f t="shared" si="22"/>
        <v>12.3</v>
      </c>
      <c r="H99" s="1513">
        <v>44.9</v>
      </c>
      <c r="I99" s="3111">
        <v>41.4</v>
      </c>
      <c r="J99" s="1514">
        <v>7.8</v>
      </c>
      <c r="K99" s="3111">
        <v>6.7</v>
      </c>
      <c r="L99" s="3111">
        <v>5.3</v>
      </c>
      <c r="M99" s="1523">
        <f t="shared" si="23"/>
        <v>12</v>
      </c>
      <c r="N99" s="1518">
        <f t="shared" si="26"/>
        <v>45.8</v>
      </c>
      <c r="O99" s="3122">
        <f t="shared" si="26"/>
        <v>40.849999999999994</v>
      </c>
      <c r="P99" s="1519">
        <f t="shared" si="26"/>
        <v>10.7</v>
      </c>
      <c r="Q99" s="3122">
        <f t="shared" si="26"/>
        <v>7.85</v>
      </c>
      <c r="R99" s="1519">
        <f t="shared" si="26"/>
        <v>4.3</v>
      </c>
      <c r="S99" s="1924">
        <f t="shared" si="26"/>
        <v>12.15</v>
      </c>
      <c r="T99" s="1668">
        <v>45.031156244554602</v>
      </c>
      <c r="U99" s="2839">
        <v>40.096672668128605</v>
      </c>
      <c r="V99" s="839">
        <v>10.957932213927201</v>
      </c>
      <c r="W99" s="3111">
        <v>10.279587782320601</v>
      </c>
      <c r="X99" s="3111">
        <v>4.8226665171769305</v>
      </c>
      <c r="Y99" s="1524">
        <f t="shared" si="24"/>
        <v>15.102254299497531</v>
      </c>
    </row>
    <row r="100" spans="1:25">
      <c r="A100" s="1467">
        <f t="shared" si="7"/>
        <v>2021.1</v>
      </c>
      <c r="B100" s="1521">
        <v>49.4</v>
      </c>
      <c r="C100" s="3111">
        <v>44</v>
      </c>
      <c r="D100" s="1514">
        <v>10.9</v>
      </c>
      <c r="E100" s="3111">
        <v>7.9</v>
      </c>
      <c r="F100" s="3111">
        <v>1.5</v>
      </c>
      <c r="G100" s="1523">
        <f t="shared" si="22"/>
        <v>9.4</v>
      </c>
      <c r="H100" s="1513">
        <v>46.2</v>
      </c>
      <c r="I100" s="3111">
        <v>42</v>
      </c>
      <c r="J100" s="1514">
        <v>9</v>
      </c>
      <c r="K100" s="3111">
        <v>7.8</v>
      </c>
      <c r="L100" s="3111">
        <v>3.4</v>
      </c>
      <c r="M100" s="1523">
        <f t="shared" si="23"/>
        <v>11.2</v>
      </c>
      <c r="N100" s="1518">
        <f t="shared" si="26"/>
        <v>47.8</v>
      </c>
      <c r="O100" s="3122">
        <f t="shared" si="26"/>
        <v>43</v>
      </c>
      <c r="P100" s="1519">
        <f t="shared" si="26"/>
        <v>9.9499999999999993</v>
      </c>
      <c r="Q100" s="3122">
        <f t="shared" si="26"/>
        <v>7.85</v>
      </c>
      <c r="R100" s="1519">
        <f t="shared" si="26"/>
        <v>2.4500000000000002</v>
      </c>
      <c r="S100" s="1924">
        <f t="shared" si="26"/>
        <v>10.3</v>
      </c>
      <c r="T100" s="1668">
        <v>46.3</v>
      </c>
      <c r="U100" s="2839">
        <v>41.6</v>
      </c>
      <c r="V100" s="839">
        <v>10.199999999999999</v>
      </c>
      <c r="W100" s="3111">
        <v>8.6999999999999993</v>
      </c>
      <c r="X100" s="3111">
        <v>3.2</v>
      </c>
      <c r="Y100" s="1524">
        <f t="shared" si="24"/>
        <v>11.899999999999999</v>
      </c>
    </row>
    <row r="101" spans="1:25">
      <c r="A101" s="1467">
        <f t="shared" si="7"/>
        <v>2021.2</v>
      </c>
      <c r="B101" s="1521">
        <v>49.914433560707799</v>
      </c>
      <c r="C101" s="3111">
        <v>44.041580623603998</v>
      </c>
      <c r="D101" s="1514">
        <v>11.765841096766099</v>
      </c>
      <c r="E101" s="3111">
        <v>7.3692177565626702</v>
      </c>
      <c r="F101" s="3111">
        <v>2.8127775122538901</v>
      </c>
      <c r="G101" s="1523">
        <f t="shared" si="22"/>
        <v>10.181995268816561</v>
      </c>
      <c r="H101" s="1513">
        <v>45.838794537865901</v>
      </c>
      <c r="I101" s="3111">
        <v>41.758554337823099</v>
      </c>
      <c r="J101" s="1514">
        <v>8.9012816353017499</v>
      </c>
      <c r="K101" s="3111">
        <v>9.6422777417261507</v>
      </c>
      <c r="L101" s="3111">
        <v>4.93307916937054</v>
      </c>
      <c r="M101" s="1523">
        <f t="shared" si="23"/>
        <v>14.575356911096691</v>
      </c>
      <c r="N101" s="1518">
        <f t="shared" si="26"/>
        <v>47.87661404928685</v>
      </c>
      <c r="O101" s="3122">
        <f t="shared" si="26"/>
        <v>42.900067480713545</v>
      </c>
      <c r="P101" s="1519">
        <f t="shared" si="26"/>
        <v>10.333561366033925</v>
      </c>
      <c r="Q101" s="3122">
        <f t="shared" si="26"/>
        <v>8.50574774914441</v>
      </c>
      <c r="R101" s="1519">
        <f t="shared" si="26"/>
        <v>3.8729283408122148</v>
      </c>
      <c r="S101" s="1924">
        <f t="shared" si="26"/>
        <v>12.378676089956626</v>
      </c>
      <c r="T101" s="1668">
        <v>45.905307826609302</v>
      </c>
      <c r="U101" s="2839">
        <v>41.497983596051597</v>
      </c>
      <c r="V101" s="839">
        <v>9.6009033360691092</v>
      </c>
      <c r="W101" s="3111">
        <v>8.49657861312925</v>
      </c>
      <c r="X101" s="3111">
        <v>3.9134201329079801</v>
      </c>
      <c r="Y101" s="1524">
        <f t="shared" si="24"/>
        <v>12.40999874603723</v>
      </c>
    </row>
    <row r="102" spans="1:25">
      <c r="A102" s="1467">
        <f t="shared" si="7"/>
        <v>2021.3</v>
      </c>
      <c r="B102" s="1521">
        <v>49.9</v>
      </c>
      <c r="C102" s="3111">
        <v>46</v>
      </c>
      <c r="D102" s="1514">
        <v>7.8</v>
      </c>
      <c r="E102" s="3111">
        <v>7.5</v>
      </c>
      <c r="F102" s="3111">
        <v>2.9</v>
      </c>
      <c r="G102" s="1523">
        <f t="shared" si="22"/>
        <v>10.4</v>
      </c>
      <c r="H102" s="1513">
        <v>47</v>
      </c>
      <c r="I102" s="3111">
        <v>43</v>
      </c>
      <c r="J102" s="1514">
        <v>8.6</v>
      </c>
      <c r="K102" s="3111">
        <v>9</v>
      </c>
      <c r="L102" s="3111">
        <v>4.7</v>
      </c>
      <c r="M102" s="1523">
        <f t="shared" si="23"/>
        <v>13.7</v>
      </c>
      <c r="N102" s="1518">
        <f t="shared" si="26"/>
        <v>48.45</v>
      </c>
      <c r="O102" s="3122">
        <f t="shared" si="26"/>
        <v>44.5</v>
      </c>
      <c r="P102" s="1519">
        <f t="shared" si="26"/>
        <v>8.1999999999999993</v>
      </c>
      <c r="Q102" s="3122">
        <f t="shared" si="26"/>
        <v>8.25</v>
      </c>
      <c r="R102" s="1519">
        <f t="shared" si="26"/>
        <v>3.8</v>
      </c>
      <c r="S102" s="1924">
        <f t="shared" si="26"/>
        <v>12.05</v>
      </c>
      <c r="T102" s="1668">
        <v>46.707021599999997</v>
      </c>
      <c r="U102" s="2839">
        <v>42.860145699999997</v>
      </c>
      <c r="V102" s="839">
        <v>8.2361832899999996</v>
      </c>
      <c r="W102" s="3111">
        <v>8.3336471400000001</v>
      </c>
      <c r="X102" s="3111">
        <v>3.85553334</v>
      </c>
      <c r="Y102" s="1524">
        <f t="shared" si="24"/>
        <v>12.189180480000001</v>
      </c>
    </row>
    <row r="103" spans="1:25">
      <c r="A103" s="1467">
        <f t="shared" si="7"/>
        <v>2021.4</v>
      </c>
      <c r="B103" s="1521">
        <v>49.5</v>
      </c>
      <c r="C103" s="3111">
        <v>46.1</v>
      </c>
      <c r="D103" s="1514">
        <v>7</v>
      </c>
      <c r="E103" s="3111">
        <v>8.1999999999999993</v>
      </c>
      <c r="F103" s="3111">
        <v>3.7</v>
      </c>
      <c r="G103" s="1523">
        <f t="shared" si="22"/>
        <v>11.899999999999999</v>
      </c>
      <c r="H103" s="1513">
        <v>45.4</v>
      </c>
      <c r="I103" s="3111">
        <v>42.6</v>
      </c>
      <c r="J103" s="1514">
        <v>6.3</v>
      </c>
      <c r="K103" s="3111">
        <v>7.8</v>
      </c>
      <c r="L103" s="3111">
        <v>3.6</v>
      </c>
      <c r="M103" s="1523">
        <f t="shared" si="23"/>
        <v>11.4</v>
      </c>
      <c r="N103" s="1518">
        <f t="shared" si="26"/>
        <v>47.45</v>
      </c>
      <c r="O103" s="3122">
        <f t="shared" si="26"/>
        <v>44.35</v>
      </c>
      <c r="P103" s="1519">
        <f t="shared" si="26"/>
        <v>6.65</v>
      </c>
      <c r="Q103" s="3122">
        <f t="shared" si="26"/>
        <v>8</v>
      </c>
      <c r="R103" s="1519">
        <f t="shared" si="26"/>
        <v>3.6500000000000004</v>
      </c>
      <c r="S103" s="1924">
        <f t="shared" si="26"/>
        <v>11.649999999999999</v>
      </c>
      <c r="T103" s="1668">
        <v>46.9</v>
      </c>
      <c r="U103" s="2839">
        <v>43.6</v>
      </c>
      <c r="V103" s="839">
        <v>7</v>
      </c>
      <c r="W103" s="3111">
        <v>8.6</v>
      </c>
      <c r="X103" s="3111">
        <v>3.5</v>
      </c>
      <c r="Y103" s="1524">
        <f t="shared" si="24"/>
        <v>12.1</v>
      </c>
    </row>
    <row r="104" spans="1:25">
      <c r="A104" s="1467">
        <f t="shared" si="7"/>
        <v>2022.1</v>
      </c>
      <c r="B104" s="1521">
        <v>50.5</v>
      </c>
      <c r="C104" s="3111">
        <v>46.5</v>
      </c>
      <c r="D104" s="1514">
        <v>7.9</v>
      </c>
      <c r="E104" s="3111">
        <v>6.4</v>
      </c>
      <c r="F104" s="3111">
        <v>2.6</v>
      </c>
      <c r="G104" s="1523">
        <f t="shared" si="22"/>
        <v>9</v>
      </c>
      <c r="H104" s="1513">
        <v>45.8</v>
      </c>
      <c r="I104" s="3111">
        <v>42.6</v>
      </c>
      <c r="J104" s="1514">
        <v>7.1</v>
      </c>
      <c r="K104" s="3111">
        <v>6.1</v>
      </c>
      <c r="L104" s="3111">
        <v>2.4</v>
      </c>
      <c r="M104" s="1523">
        <f t="shared" si="23"/>
        <v>8.5</v>
      </c>
      <c r="N104" s="1518">
        <f t="shared" si="26"/>
        <v>48.15</v>
      </c>
      <c r="O104" s="3122">
        <f t="shared" si="26"/>
        <v>44.55</v>
      </c>
      <c r="P104" s="1519">
        <f t="shared" si="26"/>
        <v>7.5</v>
      </c>
      <c r="Q104" s="3122">
        <f t="shared" si="26"/>
        <v>6.25</v>
      </c>
      <c r="R104" s="1519">
        <f t="shared" si="26"/>
        <v>2.5</v>
      </c>
      <c r="S104" s="1924">
        <f t="shared" si="26"/>
        <v>8.75</v>
      </c>
      <c r="T104" s="1668">
        <v>46.526264810000001</v>
      </c>
      <c r="U104" s="2839">
        <v>43.283747599999998</v>
      </c>
      <c r="V104" s="839">
        <v>6.9692188350000004</v>
      </c>
      <c r="W104" s="3111">
        <v>6.8682628059999997</v>
      </c>
      <c r="X104" s="3111">
        <v>3.1458197320000001</v>
      </c>
      <c r="Y104" s="1524">
        <f t="shared" si="24"/>
        <v>10.014082538</v>
      </c>
    </row>
    <row r="105" spans="1:25">
      <c r="A105" s="1467">
        <f t="shared" si="7"/>
        <v>2022.2</v>
      </c>
      <c r="B105" s="1521">
        <v>50.6</v>
      </c>
      <c r="C105" s="3111">
        <v>48.5</v>
      </c>
      <c r="D105" s="1514">
        <v>4.3</v>
      </c>
      <c r="E105" s="3111">
        <v>6</v>
      </c>
      <c r="F105" s="3111">
        <v>2.5</v>
      </c>
      <c r="G105" s="1523">
        <f t="shared" si="22"/>
        <v>8.5</v>
      </c>
      <c r="H105" s="1513">
        <v>47.7</v>
      </c>
      <c r="I105" s="3111">
        <v>44.2</v>
      </c>
      <c r="J105" s="1514">
        <v>7.3</v>
      </c>
      <c r="K105" s="3111">
        <v>9.9</v>
      </c>
      <c r="L105" s="3111">
        <v>4.5</v>
      </c>
      <c r="M105" s="1523">
        <f t="shared" si="23"/>
        <v>14.4</v>
      </c>
      <c r="N105" s="1518">
        <f t="shared" si="26"/>
        <v>49.150000000000006</v>
      </c>
      <c r="O105" s="3122">
        <f t="shared" si="26"/>
        <v>46.35</v>
      </c>
      <c r="P105" s="1519">
        <f t="shared" si="26"/>
        <v>5.8</v>
      </c>
      <c r="Q105" s="3122">
        <f t="shared" si="26"/>
        <v>7.95</v>
      </c>
      <c r="R105" s="1519">
        <f t="shared" si="26"/>
        <v>3.5</v>
      </c>
      <c r="S105" s="1924">
        <f t="shared" si="26"/>
        <v>11.45</v>
      </c>
      <c r="T105" s="1668">
        <v>47.876797546724802</v>
      </c>
      <c r="U105" s="2839">
        <v>44.593370841383198</v>
      </c>
      <c r="V105" s="839">
        <v>6.8580750459284303</v>
      </c>
      <c r="W105" s="3111">
        <v>7.6753172983098699</v>
      </c>
      <c r="X105" s="3111">
        <v>3.4517436747507002</v>
      </c>
      <c r="Y105" s="1524">
        <f t="shared" si="24"/>
        <v>11.127060973060569</v>
      </c>
    </row>
    <row r="106" spans="1:25">
      <c r="A106" s="1467">
        <f t="shared" si="7"/>
        <v>2022.3</v>
      </c>
      <c r="B106" s="1521">
        <v>50.7</v>
      </c>
      <c r="C106" s="3111">
        <v>47.6</v>
      </c>
      <c r="D106" s="1514">
        <v>6</v>
      </c>
      <c r="E106" s="3111">
        <v>5.9</v>
      </c>
      <c r="F106" s="3111">
        <v>2.2999999999999998</v>
      </c>
      <c r="G106" s="1523">
        <f t="shared" si="22"/>
        <v>8.1999999999999993</v>
      </c>
      <c r="H106" s="1513">
        <v>46.7</v>
      </c>
      <c r="I106" s="3111">
        <v>42.7</v>
      </c>
      <c r="J106" s="1514">
        <v>8.6</v>
      </c>
      <c r="K106" s="3111">
        <v>8</v>
      </c>
      <c r="L106" s="3111">
        <v>2.4</v>
      </c>
      <c r="M106" s="1523">
        <f t="shared" si="23"/>
        <v>10.4</v>
      </c>
      <c r="N106" s="1518">
        <f t="shared" si="26"/>
        <v>48.7</v>
      </c>
      <c r="O106" s="3122">
        <f t="shared" si="26"/>
        <v>45.150000000000006</v>
      </c>
      <c r="P106" s="1519">
        <f t="shared" si="26"/>
        <v>7.3</v>
      </c>
      <c r="Q106" s="3122">
        <f t="shared" si="26"/>
        <v>6.95</v>
      </c>
      <c r="R106" s="1519">
        <f t="shared" si="26"/>
        <v>2.3499999999999996</v>
      </c>
      <c r="S106" s="1924">
        <f t="shared" si="26"/>
        <v>9.3000000000000007</v>
      </c>
      <c r="T106" s="1668">
        <v>47.6</v>
      </c>
      <c r="U106" s="2839">
        <v>44.2</v>
      </c>
      <c r="V106" s="839">
        <v>7.1</v>
      </c>
      <c r="W106" s="3111">
        <v>7.6</v>
      </c>
      <c r="X106" s="3111">
        <v>3.4</v>
      </c>
      <c r="Y106" s="1524">
        <f t="shared" si="24"/>
        <v>11</v>
      </c>
    </row>
    <row r="107" spans="1:25">
      <c r="A107" s="1467">
        <f t="shared" si="7"/>
        <v>2022.4</v>
      </c>
      <c r="B107" s="1521">
        <v>49.348871030895197</v>
      </c>
      <c r="C107" s="3111">
        <v>46.224675106744002</v>
      </c>
      <c r="D107" s="1514">
        <v>6.33083565821648</v>
      </c>
      <c r="E107" s="3111">
        <v>5.3589186346311397</v>
      </c>
      <c r="F107" s="3111">
        <v>2.2149612653812598</v>
      </c>
      <c r="G107" s="1523">
        <f t="shared" si="22"/>
        <v>7.5738799000123995</v>
      </c>
      <c r="H107" s="1513">
        <v>46.311131204090103</v>
      </c>
      <c r="I107" s="3111">
        <v>43.127006617818701</v>
      </c>
      <c r="J107" s="1514">
        <v>6.8755059604120703</v>
      </c>
      <c r="K107" s="3111">
        <v>8.1148113462118392</v>
      </c>
      <c r="L107" s="3111">
        <v>3.2560040635565599</v>
      </c>
      <c r="M107" s="1523">
        <f t="shared" si="23"/>
        <v>11.370815409768399</v>
      </c>
      <c r="N107" s="1518">
        <f t="shared" si="26"/>
        <v>47.83000111749265</v>
      </c>
      <c r="O107" s="3122">
        <f t="shared" si="26"/>
        <v>44.675840862281348</v>
      </c>
      <c r="P107" s="1519">
        <f t="shared" si="26"/>
        <v>6.6031708093142747</v>
      </c>
      <c r="Q107" s="3122">
        <f t="shared" si="26"/>
        <v>6.7368649904214895</v>
      </c>
      <c r="R107" s="1519">
        <f t="shared" si="26"/>
        <v>2.7354826644689099</v>
      </c>
      <c r="S107" s="1924">
        <f t="shared" si="26"/>
        <v>9.4723476548903989</v>
      </c>
      <c r="T107" s="1668">
        <v>47.6</v>
      </c>
      <c r="U107" s="2839">
        <v>44.6</v>
      </c>
      <c r="V107" s="839">
        <v>6.3</v>
      </c>
      <c r="W107" s="3111">
        <v>7.1</v>
      </c>
      <c r="X107" s="3111">
        <v>3.8</v>
      </c>
      <c r="Y107" s="1524">
        <f t="shared" si="24"/>
        <v>10.899999999999999</v>
      </c>
    </row>
    <row r="108" spans="1:25">
      <c r="A108" s="1467">
        <f t="shared" si="7"/>
        <v>2023.1</v>
      </c>
      <c r="B108" s="1521">
        <v>51.000434906941798</v>
      </c>
      <c r="C108" s="3111">
        <v>46.962800562400197</v>
      </c>
      <c r="D108" s="1514">
        <v>7.91686257560138</v>
      </c>
      <c r="E108" s="3111">
        <v>5.5398179434088402</v>
      </c>
      <c r="F108" s="3111">
        <v>1.95417337137617</v>
      </c>
      <c r="G108" s="1523">
        <f t="shared" si="22"/>
        <v>7.4939913147850099</v>
      </c>
      <c r="H108" s="1513">
        <v>44.890112611414501</v>
      </c>
      <c r="I108" s="3111">
        <v>41.611192536352398</v>
      </c>
      <c r="J108" s="1514">
        <v>7.3043257954053198</v>
      </c>
      <c r="K108" s="3111">
        <v>9.5178940658227003</v>
      </c>
      <c r="L108" s="3111">
        <v>2.0223277405013098</v>
      </c>
      <c r="M108" s="1523">
        <f t="shared" si="23"/>
        <v>11.540221806324009</v>
      </c>
      <c r="N108" s="1518">
        <f t="shared" si="26"/>
        <v>47.94527375917815</v>
      </c>
      <c r="O108" s="3122">
        <f t="shared" si="26"/>
        <v>44.286996549376298</v>
      </c>
      <c r="P108" s="1519">
        <f t="shared" si="26"/>
        <v>7.6105941855033503</v>
      </c>
      <c r="Q108" s="3122">
        <f t="shared" si="26"/>
        <v>7.5288560046157702</v>
      </c>
      <c r="R108" s="1519">
        <f t="shared" si="26"/>
        <v>1.9882505559387398</v>
      </c>
      <c r="S108" s="1924">
        <f t="shared" si="26"/>
        <v>9.5171065605545095</v>
      </c>
      <c r="T108" s="1668">
        <v>48.3</v>
      </c>
      <c r="U108" s="2839">
        <v>45</v>
      </c>
      <c r="V108" s="839">
        <v>6.9</v>
      </c>
      <c r="W108" s="3111">
        <v>6.3</v>
      </c>
      <c r="X108" s="3111">
        <v>3.1</v>
      </c>
      <c r="Y108" s="1524">
        <f t="shared" si="24"/>
        <v>9.4</v>
      </c>
    </row>
    <row r="109" spans="1:25">
      <c r="A109" s="1467">
        <f t="shared" si="7"/>
        <v>2023.2</v>
      </c>
      <c r="B109" s="1521">
        <v>50.2</v>
      </c>
      <c r="C109" s="3111">
        <v>47.6</v>
      </c>
      <c r="D109" s="1514">
        <v>5.3</v>
      </c>
      <c r="E109" s="3111">
        <v>4.4000000000000004</v>
      </c>
      <c r="F109" s="3111">
        <v>1.8</v>
      </c>
      <c r="G109" s="1523">
        <f t="shared" si="22"/>
        <v>6.2</v>
      </c>
      <c r="H109" s="1513">
        <v>46.6</v>
      </c>
      <c r="I109" s="3111">
        <v>42.9</v>
      </c>
      <c r="J109" s="1514">
        <v>8.1</v>
      </c>
      <c r="K109" s="3111">
        <v>7.6</v>
      </c>
      <c r="L109" s="3111">
        <v>2.1</v>
      </c>
      <c r="M109" s="1523">
        <f t="shared" si="23"/>
        <v>9.6999999999999993</v>
      </c>
      <c r="N109" s="1518">
        <f t="shared" si="26"/>
        <v>48.400000000000006</v>
      </c>
      <c r="O109" s="3122">
        <f t="shared" si="26"/>
        <v>45.25</v>
      </c>
      <c r="P109" s="1519">
        <f t="shared" si="26"/>
        <v>6.6999999999999993</v>
      </c>
      <c r="Q109" s="3122">
        <f t="shared" si="26"/>
        <v>6</v>
      </c>
      <c r="R109" s="1519">
        <f t="shared" si="26"/>
        <v>1.9500000000000002</v>
      </c>
      <c r="S109" s="1924">
        <f t="shared" si="26"/>
        <v>7.9499999999999993</v>
      </c>
      <c r="T109" s="1668">
        <v>47.6</v>
      </c>
      <c r="U109" s="2839">
        <v>44.6</v>
      </c>
      <c r="V109" s="839">
        <v>6.2</v>
      </c>
      <c r="W109" s="3111">
        <v>7.4</v>
      </c>
      <c r="X109" s="3111">
        <v>3.2</v>
      </c>
      <c r="Y109" s="1524">
        <f t="shared" si="24"/>
        <v>10.600000000000001</v>
      </c>
    </row>
    <row r="110" spans="1:25">
      <c r="A110" s="1467">
        <f t="shared" si="7"/>
        <v>2023.3</v>
      </c>
      <c r="B110" s="1521">
        <v>48.9218243775586</v>
      </c>
      <c r="C110" s="3111">
        <v>46.349113704663303</v>
      </c>
      <c r="D110" s="1514">
        <v>5.2588199758051202</v>
      </c>
      <c r="E110" s="3111">
        <v>4.4991249466847396</v>
      </c>
      <c r="F110" s="3111">
        <v>1.5608279689200499</v>
      </c>
      <c r="G110" s="1523">
        <f t="shared" si="22"/>
        <v>6.0599529156047893</v>
      </c>
      <c r="H110" s="1513">
        <v>45.297539526034797</v>
      </c>
      <c r="I110" s="3111">
        <v>43.819756529494398</v>
      </c>
      <c r="J110" s="1514">
        <v>3.2623913175041901</v>
      </c>
      <c r="K110" s="3111">
        <v>7.5350507353089498</v>
      </c>
      <c r="L110" s="3111">
        <v>2.9888442839563498</v>
      </c>
      <c r="M110" s="1523">
        <f t="shared" si="23"/>
        <v>10.5238950192653</v>
      </c>
      <c r="N110" s="1518">
        <f t="shared" si="26"/>
        <v>47.109681951796702</v>
      </c>
      <c r="O110" s="3122">
        <f t="shared" si="26"/>
        <v>45.084435117078854</v>
      </c>
      <c r="P110" s="1519">
        <f t="shared" si="26"/>
        <v>4.2606056466546551</v>
      </c>
      <c r="Q110" s="3122">
        <f t="shared" si="26"/>
        <v>6.0170878409968447</v>
      </c>
      <c r="R110" s="1519">
        <f t="shared" si="26"/>
        <v>2.2748361264382</v>
      </c>
      <c r="S110" s="1924">
        <f t="shared" si="26"/>
        <v>8.2919239674350447</v>
      </c>
      <c r="T110" s="1668">
        <v>48.228177799999997</v>
      </c>
      <c r="U110" s="2839">
        <v>45.466617900000003</v>
      </c>
      <c r="V110" s="839">
        <v>5.7260298699999996</v>
      </c>
      <c r="W110" s="3111">
        <v>6.7875460900000002</v>
      </c>
      <c r="X110" s="3111">
        <v>3.5343760899999999</v>
      </c>
      <c r="Y110" s="1524">
        <f t="shared" si="24"/>
        <v>10.32192218</v>
      </c>
    </row>
    <row r="111" spans="1:25">
      <c r="A111" s="1467">
        <f t="shared" si="7"/>
        <v>2023.4</v>
      </c>
      <c r="B111" s="1521">
        <v>48.7</v>
      </c>
      <c r="C111" s="3111">
        <v>46.4</v>
      </c>
      <c r="D111" s="1514">
        <v>4.7</v>
      </c>
      <c r="E111" s="3111">
        <v>7.4</v>
      </c>
      <c r="F111" s="3111">
        <v>2.2000000000000002</v>
      </c>
      <c r="G111" s="1523">
        <f t="shared" si="22"/>
        <v>9.6000000000000014</v>
      </c>
      <c r="H111" s="1513">
        <v>44.3</v>
      </c>
      <c r="I111" s="3111">
        <v>41.5</v>
      </c>
      <c r="J111" s="1514">
        <v>6.3</v>
      </c>
      <c r="K111" s="3111">
        <v>8.1999999999999993</v>
      </c>
      <c r="L111" s="3111">
        <v>3.2</v>
      </c>
      <c r="M111" s="1523">
        <f>K111+L111</f>
        <v>11.399999999999999</v>
      </c>
      <c r="N111" s="1518">
        <f t="shared" si="26"/>
        <v>46.5</v>
      </c>
      <c r="O111" s="3122">
        <f t="shared" si="26"/>
        <v>43.95</v>
      </c>
      <c r="P111" s="1519">
        <f t="shared" si="26"/>
        <v>5.5</v>
      </c>
      <c r="Q111" s="3122">
        <f t="shared" si="26"/>
        <v>7.8</v>
      </c>
      <c r="R111" s="1519">
        <f t="shared" si="26"/>
        <v>2.7</v>
      </c>
      <c r="S111" s="1924">
        <f t="shared" si="26"/>
        <v>10.5</v>
      </c>
      <c r="T111" s="1668">
        <v>48.6</v>
      </c>
      <c r="U111" s="2839">
        <v>45.8</v>
      </c>
      <c r="V111" s="839">
        <v>5.7</v>
      </c>
      <c r="W111" s="3111">
        <v>6.8</v>
      </c>
      <c r="X111" s="3111">
        <v>3.7</v>
      </c>
      <c r="Y111" s="1524">
        <f t="shared" si="24"/>
        <v>10.5</v>
      </c>
    </row>
    <row r="112" spans="1:25">
      <c r="A112" s="1467">
        <f t="shared" ref="A112:A139" si="27">A108+1</f>
        <v>2024.1</v>
      </c>
      <c r="B112" s="1521">
        <v>48.6</v>
      </c>
      <c r="C112" s="3111">
        <v>45.9</v>
      </c>
      <c r="D112" s="1514">
        <v>5.6</v>
      </c>
      <c r="E112" s="3111">
        <v>5.9</v>
      </c>
      <c r="F112" s="3111">
        <v>2.2000000000000002</v>
      </c>
      <c r="G112" s="1523">
        <f t="shared" si="22"/>
        <v>8.1000000000000014</v>
      </c>
      <c r="H112" s="1513">
        <v>45.3</v>
      </c>
      <c r="I112" s="3111">
        <v>41.8</v>
      </c>
      <c r="J112" s="1514">
        <v>7.6</v>
      </c>
      <c r="K112" s="3111">
        <v>8.9</v>
      </c>
      <c r="L112" s="3111">
        <v>3.9</v>
      </c>
      <c r="M112" s="1523">
        <f t="shared" si="23"/>
        <v>12.8</v>
      </c>
      <c r="N112" s="1518">
        <f t="shared" si="26"/>
        <v>46.95</v>
      </c>
      <c r="O112" s="3122">
        <f t="shared" si="26"/>
        <v>43.849999999999994</v>
      </c>
      <c r="P112" s="1519">
        <f t="shared" si="26"/>
        <v>6.6</v>
      </c>
      <c r="Q112" s="3122">
        <f t="shared" si="26"/>
        <v>7.4</v>
      </c>
      <c r="R112" s="1519">
        <f t="shared" si="26"/>
        <v>3.05</v>
      </c>
      <c r="S112" s="1924">
        <f t="shared" si="26"/>
        <v>10.450000000000001</v>
      </c>
      <c r="T112" s="1668">
        <v>48</v>
      </c>
      <c r="U112" s="2839">
        <v>44.3</v>
      </c>
      <c r="V112" s="839">
        <v>7.7</v>
      </c>
      <c r="W112" s="3111">
        <v>7</v>
      </c>
      <c r="X112" s="3111">
        <v>3.2</v>
      </c>
      <c r="Y112" s="1524">
        <f t="shared" si="24"/>
        <v>10.199999999999999</v>
      </c>
    </row>
    <row r="113" spans="1:25">
      <c r="A113" s="1467">
        <f t="shared" si="27"/>
        <v>2024.2</v>
      </c>
      <c r="B113" s="1521">
        <v>50.839738452302399</v>
      </c>
      <c r="C113" s="3111">
        <v>47.160282249120897</v>
      </c>
      <c r="D113" s="1514">
        <v>7.2373625734395901</v>
      </c>
      <c r="E113" s="3111">
        <v>5.1572043511139496</v>
      </c>
      <c r="F113" s="3111">
        <v>2.3570472921877701</v>
      </c>
      <c r="G113" s="1523">
        <f t="shared" si="22"/>
        <v>7.5142516433017192</v>
      </c>
      <c r="H113" s="1513">
        <v>45.450315864465402</v>
      </c>
      <c r="I113" s="3111">
        <v>41.750630638489703</v>
      </c>
      <c r="J113" s="1514">
        <v>8.1400649381807693</v>
      </c>
      <c r="K113" s="3111">
        <v>10.2509556788919</v>
      </c>
      <c r="L113" s="3111">
        <v>2.1816669599014702</v>
      </c>
      <c r="M113" s="1523">
        <f t="shared" si="23"/>
        <v>12.43262263879337</v>
      </c>
      <c r="N113" s="1518">
        <f t="shared" si="26"/>
        <v>48.145027158383897</v>
      </c>
      <c r="O113" s="3122">
        <f t="shared" si="26"/>
        <v>44.455456443805303</v>
      </c>
      <c r="P113" s="1519">
        <f t="shared" si="26"/>
        <v>7.6887137558101797</v>
      </c>
      <c r="Q113" s="3122">
        <f t="shared" si="26"/>
        <v>7.7040800150029245</v>
      </c>
      <c r="R113" s="1519">
        <f t="shared" si="26"/>
        <v>2.2693571260446204</v>
      </c>
      <c r="S113" s="1924">
        <f t="shared" si="26"/>
        <v>9.973437141047544</v>
      </c>
      <c r="T113" s="1535">
        <f>('2.3'!R113/'2.3'!Q113)*100</f>
        <v>48.509445298412061</v>
      </c>
      <c r="U113" s="3114">
        <f>('2.3'!S113/'2.3'!Q113)*100</f>
        <v>44.839990717668414</v>
      </c>
      <c r="V113" s="203">
        <f>('2.3'!T113/'2.3'!R113)*100</f>
        <v>7.5644125760880616</v>
      </c>
      <c r="W113" s="3111">
        <v>8.0713801567301608</v>
      </c>
      <c r="X113" s="3111">
        <v>3.7393525025880798</v>
      </c>
      <c r="Y113" s="1524">
        <f t="shared" si="24"/>
        <v>11.810732659318241</v>
      </c>
    </row>
    <row r="114" spans="1:25">
      <c r="A114" s="1467">
        <f t="shared" si="27"/>
        <v>2024.3</v>
      </c>
      <c r="B114" s="1521">
        <v>50.6</v>
      </c>
      <c r="C114" s="3111">
        <v>47.7</v>
      </c>
      <c r="D114" s="1514">
        <v>5.8</v>
      </c>
      <c r="E114" s="3111">
        <v>9.1999999999999993</v>
      </c>
      <c r="F114" s="3111">
        <v>3.9</v>
      </c>
      <c r="G114" s="1523">
        <f t="shared" si="22"/>
        <v>13.1</v>
      </c>
      <c r="H114" s="1513">
        <v>45</v>
      </c>
      <c r="I114" s="3111">
        <v>42</v>
      </c>
      <c r="J114" s="1514">
        <v>6.7</v>
      </c>
      <c r="K114" s="3111">
        <v>10.4</v>
      </c>
      <c r="L114" s="3111">
        <v>5.4</v>
      </c>
      <c r="M114" s="1523">
        <f t="shared" si="23"/>
        <v>15.8</v>
      </c>
      <c r="N114" s="1518">
        <f t="shared" ref="N114:S133" si="28">(B114+H114)/2</f>
        <v>47.8</v>
      </c>
      <c r="O114" s="3122">
        <f t="shared" si="28"/>
        <v>44.85</v>
      </c>
      <c r="P114" s="1519">
        <f t="shared" si="28"/>
        <v>6.25</v>
      </c>
      <c r="Q114" s="3122">
        <f t="shared" si="28"/>
        <v>9.8000000000000007</v>
      </c>
      <c r="R114" s="1519">
        <f t="shared" si="28"/>
        <v>4.6500000000000004</v>
      </c>
      <c r="S114" s="1924">
        <f t="shared" si="28"/>
        <v>14.45</v>
      </c>
      <c r="T114" s="1535">
        <f>('2.3'!R114/'2.3'!Q114)*100</f>
        <v>48.324360699865409</v>
      </c>
      <c r="U114" s="3114">
        <f>('2.3'!S114/'2.3'!Q114)*100</f>
        <v>44.979811574697173</v>
      </c>
      <c r="V114" s="203">
        <f>('2.3'!T114/'2.3'!R114)*100</f>
        <v>6.9210416376549233</v>
      </c>
      <c r="W114" s="3111">
        <v>8.1</v>
      </c>
      <c r="X114" s="3111">
        <v>3.3</v>
      </c>
      <c r="Y114" s="1524">
        <f t="shared" si="24"/>
        <v>11.399999999999999</v>
      </c>
    </row>
    <row r="115" spans="1:25">
      <c r="A115" s="1467">
        <f t="shared" si="27"/>
        <v>2024.4</v>
      </c>
      <c r="B115" s="1521">
        <v>50.1</v>
      </c>
      <c r="C115" s="3111">
        <v>47.1</v>
      </c>
      <c r="D115" s="1514">
        <v>6</v>
      </c>
      <c r="E115" s="3111">
        <v>7.5</v>
      </c>
      <c r="F115" s="3111">
        <v>0.9</v>
      </c>
      <c r="G115" s="1523">
        <f t="shared" si="22"/>
        <v>8.4</v>
      </c>
      <c r="H115" s="1513">
        <v>44.3</v>
      </c>
      <c r="I115" s="3111">
        <v>42</v>
      </c>
      <c r="J115" s="1514">
        <v>5.0999999999999996</v>
      </c>
      <c r="K115" s="3111">
        <v>7.9</v>
      </c>
      <c r="L115" s="3111">
        <v>5.5</v>
      </c>
      <c r="M115" s="1523">
        <f t="shared" si="23"/>
        <v>13.4</v>
      </c>
      <c r="N115" s="1518">
        <f t="shared" si="28"/>
        <v>47.2</v>
      </c>
      <c r="O115" s="3122">
        <f t="shared" si="28"/>
        <v>44.55</v>
      </c>
      <c r="P115" s="1519">
        <f t="shared" si="28"/>
        <v>5.55</v>
      </c>
      <c r="Q115" s="3122">
        <f t="shared" si="28"/>
        <v>7.7</v>
      </c>
      <c r="R115" s="1519">
        <f t="shared" si="28"/>
        <v>3.2</v>
      </c>
      <c r="S115" s="1924">
        <f t="shared" si="28"/>
        <v>10.9</v>
      </c>
      <c r="T115" s="1535">
        <f>('2.3'!R115/'2.3'!Q115)*100</f>
        <v>48.794654848240668</v>
      </c>
      <c r="U115" s="3114">
        <f>('2.3'!S115/'2.3'!Q115)*100</f>
        <v>45.64867042707494</v>
      </c>
      <c r="V115" s="203">
        <f>('2.3'!T115/'2.3'!R115)*100</f>
        <v>6.4473955824674887</v>
      </c>
      <c r="W115" s="3111">
        <v>7.6</v>
      </c>
      <c r="X115" s="3111">
        <v>3.6</v>
      </c>
      <c r="Y115" s="1524">
        <f t="shared" si="24"/>
        <v>11.2</v>
      </c>
    </row>
    <row r="116" spans="1:25">
      <c r="A116" s="1467">
        <f t="shared" si="27"/>
        <v>2025.1</v>
      </c>
      <c r="B116" s="1521" t="e">
        <v>#N/A</v>
      </c>
      <c r="C116" s="3111" t="e">
        <v>#N/A</v>
      </c>
      <c r="D116" s="1514" t="e">
        <v>#N/A</v>
      </c>
      <c r="E116" s="3111" t="e">
        <v>#N/A</v>
      </c>
      <c r="F116" s="3111" t="e">
        <v>#N/A</v>
      </c>
      <c r="G116" s="1523" t="e">
        <f t="shared" si="22"/>
        <v>#N/A</v>
      </c>
      <c r="H116" s="1513" t="e">
        <v>#N/A</v>
      </c>
      <c r="I116" s="3111" t="e">
        <v>#N/A</v>
      </c>
      <c r="J116" s="1514" t="e">
        <v>#N/A</v>
      </c>
      <c r="K116" s="3111" t="e">
        <v>#N/A</v>
      </c>
      <c r="L116" s="3111" t="e">
        <v>#N/A</v>
      </c>
      <c r="M116" s="1523" t="e">
        <f t="shared" si="23"/>
        <v>#N/A</v>
      </c>
      <c r="N116" s="1518" t="e">
        <f t="shared" si="28"/>
        <v>#N/A</v>
      </c>
      <c r="O116" s="3122" t="e">
        <f t="shared" si="28"/>
        <v>#N/A</v>
      </c>
      <c r="P116" s="1519" t="e">
        <f t="shared" si="28"/>
        <v>#N/A</v>
      </c>
      <c r="Q116" s="3122" t="e">
        <f t="shared" si="28"/>
        <v>#N/A</v>
      </c>
      <c r="R116" s="1519" t="e">
        <f t="shared" si="28"/>
        <v>#N/A</v>
      </c>
      <c r="S116" s="1924" t="e">
        <f t="shared" si="28"/>
        <v>#N/A</v>
      </c>
      <c r="T116" s="1535" t="e">
        <f>('2.3'!R116/'2.3'!Q116)*100</f>
        <v>#N/A</v>
      </c>
      <c r="U116" s="3114" t="e">
        <f>('2.3'!S116/'2.3'!Q116)*100</f>
        <v>#N/A</v>
      </c>
      <c r="V116" s="203" t="e">
        <f>('2.3'!T116/'2.3'!R116)*100</f>
        <v>#N/A</v>
      </c>
      <c r="W116" s="3111" t="e">
        <v>#N/A</v>
      </c>
      <c r="X116" s="3111" t="e">
        <v>#N/A</v>
      </c>
      <c r="Y116" s="1524" t="e">
        <f t="shared" si="24"/>
        <v>#N/A</v>
      </c>
    </row>
    <row r="117" spans="1:25">
      <c r="A117" s="1467">
        <f t="shared" si="27"/>
        <v>2025.2</v>
      </c>
      <c r="B117" s="1521" t="e">
        <v>#N/A</v>
      </c>
      <c r="C117" s="3111" t="e">
        <v>#N/A</v>
      </c>
      <c r="D117" s="1514" t="e">
        <v>#N/A</v>
      </c>
      <c r="E117" s="3111" t="e">
        <v>#N/A</v>
      </c>
      <c r="F117" s="3111" t="e">
        <v>#N/A</v>
      </c>
      <c r="G117" s="1523" t="e">
        <f t="shared" si="22"/>
        <v>#N/A</v>
      </c>
      <c r="H117" s="1513" t="e">
        <v>#N/A</v>
      </c>
      <c r="I117" s="3111" t="e">
        <v>#N/A</v>
      </c>
      <c r="J117" s="1514" t="e">
        <v>#N/A</v>
      </c>
      <c r="K117" s="3111" t="e">
        <v>#N/A</v>
      </c>
      <c r="L117" s="3111" t="e">
        <v>#N/A</v>
      </c>
      <c r="M117" s="1523" t="e">
        <f t="shared" si="23"/>
        <v>#N/A</v>
      </c>
      <c r="N117" s="1518" t="e">
        <f t="shared" si="28"/>
        <v>#N/A</v>
      </c>
      <c r="O117" s="3122" t="e">
        <f t="shared" si="28"/>
        <v>#N/A</v>
      </c>
      <c r="P117" s="1519" t="e">
        <f t="shared" si="28"/>
        <v>#N/A</v>
      </c>
      <c r="Q117" s="3122" t="e">
        <f t="shared" si="28"/>
        <v>#N/A</v>
      </c>
      <c r="R117" s="1519" t="e">
        <f t="shared" si="28"/>
        <v>#N/A</v>
      </c>
      <c r="S117" s="1924" t="e">
        <f t="shared" si="28"/>
        <v>#N/A</v>
      </c>
      <c r="T117" s="1535" t="e">
        <f>('2.3'!R117/'2.3'!Q117)*100</f>
        <v>#N/A</v>
      </c>
      <c r="U117" s="3114" t="e">
        <f>('2.3'!S117/'2.3'!Q117)*100</f>
        <v>#N/A</v>
      </c>
      <c r="V117" s="203" t="e">
        <f>('2.3'!T117/'2.3'!R117)*100</f>
        <v>#N/A</v>
      </c>
      <c r="W117" s="3111" t="e">
        <v>#N/A</v>
      </c>
      <c r="X117" s="3111" t="e">
        <v>#N/A</v>
      </c>
      <c r="Y117" s="1524" t="e">
        <f t="shared" si="24"/>
        <v>#N/A</v>
      </c>
    </row>
    <row r="118" spans="1:25">
      <c r="A118" s="1467">
        <f t="shared" si="27"/>
        <v>2025.3</v>
      </c>
      <c r="B118" s="1521" t="e">
        <v>#N/A</v>
      </c>
      <c r="C118" s="3111" t="e">
        <v>#N/A</v>
      </c>
      <c r="D118" s="1514" t="e">
        <v>#N/A</v>
      </c>
      <c r="E118" s="3111" t="e">
        <v>#N/A</v>
      </c>
      <c r="F118" s="3111" t="e">
        <v>#N/A</v>
      </c>
      <c r="G118" s="1523" t="e">
        <f t="shared" si="22"/>
        <v>#N/A</v>
      </c>
      <c r="H118" s="1513" t="e">
        <v>#N/A</v>
      </c>
      <c r="I118" s="3111" t="e">
        <v>#N/A</v>
      </c>
      <c r="J118" s="1514" t="e">
        <v>#N/A</v>
      </c>
      <c r="K118" s="3111" t="e">
        <v>#N/A</v>
      </c>
      <c r="L118" s="3111" t="e">
        <v>#N/A</v>
      </c>
      <c r="M118" s="1523" t="e">
        <f t="shared" si="23"/>
        <v>#N/A</v>
      </c>
      <c r="N118" s="1518" t="e">
        <f t="shared" si="28"/>
        <v>#N/A</v>
      </c>
      <c r="O118" s="3122" t="e">
        <f t="shared" si="28"/>
        <v>#N/A</v>
      </c>
      <c r="P118" s="1519" t="e">
        <f t="shared" si="28"/>
        <v>#N/A</v>
      </c>
      <c r="Q118" s="3122" t="e">
        <f t="shared" si="28"/>
        <v>#N/A</v>
      </c>
      <c r="R118" s="1519" t="e">
        <f t="shared" si="28"/>
        <v>#N/A</v>
      </c>
      <c r="S118" s="1924" t="e">
        <f t="shared" si="28"/>
        <v>#N/A</v>
      </c>
      <c r="T118" s="1535" t="e">
        <f>('2.3'!R118/'2.3'!Q118)*100</f>
        <v>#N/A</v>
      </c>
      <c r="U118" s="3114" t="e">
        <f>('2.3'!S118/'2.3'!Q118)*100</f>
        <v>#N/A</v>
      </c>
      <c r="V118" s="203" t="e">
        <f>('2.3'!T118/'2.3'!R118)*100</f>
        <v>#N/A</v>
      </c>
      <c r="W118" s="3111" t="e">
        <v>#N/A</v>
      </c>
      <c r="X118" s="3111" t="e">
        <v>#N/A</v>
      </c>
      <c r="Y118" s="1524" t="e">
        <f t="shared" si="24"/>
        <v>#N/A</v>
      </c>
    </row>
    <row r="119" spans="1:25">
      <c r="A119" s="1467">
        <f t="shared" si="27"/>
        <v>2025.4</v>
      </c>
      <c r="B119" s="1521" t="e">
        <v>#N/A</v>
      </c>
      <c r="C119" s="3111" t="e">
        <v>#N/A</v>
      </c>
      <c r="D119" s="1514" t="e">
        <v>#N/A</v>
      </c>
      <c r="E119" s="3111" t="e">
        <v>#N/A</v>
      </c>
      <c r="F119" s="3111" t="e">
        <v>#N/A</v>
      </c>
      <c r="G119" s="1523" t="e">
        <f t="shared" si="22"/>
        <v>#N/A</v>
      </c>
      <c r="H119" s="1513" t="e">
        <v>#N/A</v>
      </c>
      <c r="I119" s="3111" t="e">
        <v>#N/A</v>
      </c>
      <c r="J119" s="1514" t="e">
        <v>#N/A</v>
      </c>
      <c r="K119" s="3111" t="e">
        <v>#N/A</v>
      </c>
      <c r="L119" s="3111" t="e">
        <v>#N/A</v>
      </c>
      <c r="M119" s="1523" t="e">
        <f t="shared" si="23"/>
        <v>#N/A</v>
      </c>
      <c r="N119" s="1518" t="e">
        <f t="shared" si="28"/>
        <v>#N/A</v>
      </c>
      <c r="O119" s="3122" t="e">
        <f t="shared" si="28"/>
        <v>#N/A</v>
      </c>
      <c r="P119" s="1519" t="e">
        <f t="shared" si="28"/>
        <v>#N/A</v>
      </c>
      <c r="Q119" s="3122" t="e">
        <f t="shared" si="28"/>
        <v>#N/A</v>
      </c>
      <c r="R119" s="1519" t="e">
        <f t="shared" si="28"/>
        <v>#N/A</v>
      </c>
      <c r="S119" s="1924" t="e">
        <f t="shared" si="28"/>
        <v>#N/A</v>
      </c>
      <c r="T119" s="1535" t="e">
        <f>('2.3'!R119/'2.3'!Q119)*100</f>
        <v>#N/A</v>
      </c>
      <c r="U119" s="3114" t="e">
        <f>('2.3'!S119/'2.3'!Q119)*100</f>
        <v>#N/A</v>
      </c>
      <c r="V119" s="203" t="e">
        <f>('2.3'!T119/'2.3'!R119)*100</f>
        <v>#N/A</v>
      </c>
      <c r="W119" s="3111" t="e">
        <v>#N/A</v>
      </c>
      <c r="X119" s="3111" t="e">
        <v>#N/A</v>
      </c>
      <c r="Y119" s="1524" t="e">
        <f t="shared" si="24"/>
        <v>#N/A</v>
      </c>
    </row>
    <row r="120" spans="1:25">
      <c r="A120" s="1467">
        <f t="shared" si="27"/>
        <v>2026.1</v>
      </c>
      <c r="B120" s="1521" t="e">
        <v>#N/A</v>
      </c>
      <c r="C120" s="3111" t="e">
        <v>#N/A</v>
      </c>
      <c r="D120" s="1514" t="e">
        <v>#N/A</v>
      </c>
      <c r="E120" s="3111" t="e">
        <v>#N/A</v>
      </c>
      <c r="F120" s="3111" t="e">
        <v>#N/A</v>
      </c>
      <c r="G120" s="1523" t="e">
        <f t="shared" si="22"/>
        <v>#N/A</v>
      </c>
      <c r="H120" s="1513" t="e">
        <v>#N/A</v>
      </c>
      <c r="I120" s="3111" t="e">
        <v>#N/A</v>
      </c>
      <c r="J120" s="1514" t="e">
        <v>#N/A</v>
      </c>
      <c r="K120" s="3111" t="e">
        <v>#N/A</v>
      </c>
      <c r="L120" s="3111" t="e">
        <v>#N/A</v>
      </c>
      <c r="M120" s="1523" t="e">
        <f t="shared" si="23"/>
        <v>#N/A</v>
      </c>
      <c r="N120" s="1518" t="e">
        <f t="shared" si="28"/>
        <v>#N/A</v>
      </c>
      <c r="O120" s="3122" t="e">
        <f t="shared" si="28"/>
        <v>#N/A</v>
      </c>
      <c r="P120" s="1519" t="e">
        <f t="shared" si="28"/>
        <v>#N/A</v>
      </c>
      <c r="Q120" s="3122" t="e">
        <f t="shared" si="28"/>
        <v>#N/A</v>
      </c>
      <c r="R120" s="1519" t="e">
        <f t="shared" si="28"/>
        <v>#N/A</v>
      </c>
      <c r="S120" s="1924" t="e">
        <f t="shared" si="28"/>
        <v>#N/A</v>
      </c>
      <c r="T120" s="1535" t="e">
        <f>('2.3'!R120/'2.3'!Q120)*100</f>
        <v>#N/A</v>
      </c>
      <c r="U120" s="3114" t="e">
        <f>('2.3'!S120/'2.3'!Q120)*100</f>
        <v>#N/A</v>
      </c>
      <c r="V120" s="203" t="e">
        <f>('2.3'!T120/'2.3'!R120)*100</f>
        <v>#N/A</v>
      </c>
      <c r="W120" s="3111" t="e">
        <v>#N/A</v>
      </c>
      <c r="X120" s="3111" t="e">
        <v>#N/A</v>
      </c>
      <c r="Y120" s="1524" t="e">
        <f t="shared" si="24"/>
        <v>#N/A</v>
      </c>
    </row>
    <row r="121" spans="1:25">
      <c r="A121" s="1467">
        <f t="shared" si="27"/>
        <v>2026.2</v>
      </c>
      <c r="B121" s="1521" t="e">
        <v>#N/A</v>
      </c>
      <c r="C121" s="3111" t="e">
        <v>#N/A</v>
      </c>
      <c r="D121" s="1514" t="e">
        <v>#N/A</v>
      </c>
      <c r="E121" s="3111" t="e">
        <v>#N/A</v>
      </c>
      <c r="F121" s="3111" t="e">
        <v>#N/A</v>
      </c>
      <c r="G121" s="1523" t="e">
        <f t="shared" si="22"/>
        <v>#N/A</v>
      </c>
      <c r="H121" s="1513" t="e">
        <v>#N/A</v>
      </c>
      <c r="I121" s="3111" t="e">
        <v>#N/A</v>
      </c>
      <c r="J121" s="1514" t="e">
        <v>#N/A</v>
      </c>
      <c r="K121" s="3111" t="e">
        <v>#N/A</v>
      </c>
      <c r="L121" s="3111" t="e">
        <v>#N/A</v>
      </c>
      <c r="M121" s="1523" t="e">
        <f t="shared" si="23"/>
        <v>#N/A</v>
      </c>
      <c r="N121" s="1518" t="e">
        <f t="shared" si="28"/>
        <v>#N/A</v>
      </c>
      <c r="O121" s="3122" t="e">
        <f t="shared" si="28"/>
        <v>#N/A</v>
      </c>
      <c r="P121" s="1519" t="e">
        <f t="shared" si="28"/>
        <v>#N/A</v>
      </c>
      <c r="Q121" s="3122" t="e">
        <f t="shared" si="28"/>
        <v>#N/A</v>
      </c>
      <c r="R121" s="1519" t="e">
        <f t="shared" si="28"/>
        <v>#N/A</v>
      </c>
      <c r="S121" s="1924" t="e">
        <f t="shared" si="28"/>
        <v>#N/A</v>
      </c>
      <c r="T121" s="1535" t="e">
        <f>('2.3'!R121/'2.3'!Q121)*100</f>
        <v>#N/A</v>
      </c>
      <c r="U121" s="3114" t="e">
        <f>('2.3'!S121/'2.3'!Q121)*100</f>
        <v>#N/A</v>
      </c>
      <c r="V121" s="203" t="e">
        <f>('2.3'!T121/'2.3'!R121)*100</f>
        <v>#N/A</v>
      </c>
      <c r="W121" s="3111" t="e">
        <v>#N/A</v>
      </c>
      <c r="X121" s="3111" t="e">
        <v>#N/A</v>
      </c>
      <c r="Y121" s="1524" t="e">
        <f t="shared" si="24"/>
        <v>#N/A</v>
      </c>
    </row>
    <row r="122" spans="1:25">
      <c r="A122" s="1467">
        <f t="shared" si="27"/>
        <v>2026.3</v>
      </c>
      <c r="B122" s="1521" t="e">
        <v>#N/A</v>
      </c>
      <c r="C122" s="3111" t="e">
        <v>#N/A</v>
      </c>
      <c r="D122" s="1514" t="e">
        <v>#N/A</v>
      </c>
      <c r="E122" s="3111" t="e">
        <v>#N/A</v>
      </c>
      <c r="F122" s="3111" t="e">
        <v>#N/A</v>
      </c>
      <c r="G122" s="1523" t="e">
        <f t="shared" si="22"/>
        <v>#N/A</v>
      </c>
      <c r="H122" s="1513" t="e">
        <v>#N/A</v>
      </c>
      <c r="I122" s="3111" t="e">
        <v>#N/A</v>
      </c>
      <c r="J122" s="1514" t="e">
        <v>#N/A</v>
      </c>
      <c r="K122" s="3111" t="e">
        <v>#N/A</v>
      </c>
      <c r="L122" s="3111" t="e">
        <v>#N/A</v>
      </c>
      <c r="M122" s="1523" t="e">
        <f t="shared" si="23"/>
        <v>#N/A</v>
      </c>
      <c r="N122" s="1518" t="e">
        <f t="shared" si="28"/>
        <v>#N/A</v>
      </c>
      <c r="O122" s="3122" t="e">
        <f t="shared" si="28"/>
        <v>#N/A</v>
      </c>
      <c r="P122" s="1519" t="e">
        <f t="shared" si="28"/>
        <v>#N/A</v>
      </c>
      <c r="Q122" s="3122" t="e">
        <f t="shared" si="28"/>
        <v>#N/A</v>
      </c>
      <c r="R122" s="1519" t="e">
        <f t="shared" si="28"/>
        <v>#N/A</v>
      </c>
      <c r="S122" s="1924" t="e">
        <f t="shared" si="28"/>
        <v>#N/A</v>
      </c>
      <c r="T122" s="1535" t="e">
        <f>('2.3'!R122/'2.3'!Q122)*100</f>
        <v>#N/A</v>
      </c>
      <c r="U122" s="3114" t="e">
        <f>('2.3'!S122/'2.3'!Q122)*100</f>
        <v>#N/A</v>
      </c>
      <c r="V122" s="203" t="e">
        <f>('2.3'!T122/'2.3'!R122)*100</f>
        <v>#N/A</v>
      </c>
      <c r="W122" s="3111" t="e">
        <v>#N/A</v>
      </c>
      <c r="X122" s="3111" t="e">
        <v>#N/A</v>
      </c>
      <c r="Y122" s="1524" t="e">
        <f t="shared" si="24"/>
        <v>#N/A</v>
      </c>
    </row>
    <row r="123" spans="1:25">
      <c r="A123" s="1467">
        <f t="shared" si="27"/>
        <v>2026.4</v>
      </c>
      <c r="B123" s="1521" t="e">
        <v>#N/A</v>
      </c>
      <c r="C123" s="3111" t="e">
        <v>#N/A</v>
      </c>
      <c r="D123" s="1514" t="e">
        <v>#N/A</v>
      </c>
      <c r="E123" s="3111" t="e">
        <v>#N/A</v>
      </c>
      <c r="F123" s="3111" t="e">
        <v>#N/A</v>
      </c>
      <c r="G123" s="1523" t="e">
        <f t="shared" si="22"/>
        <v>#N/A</v>
      </c>
      <c r="H123" s="1513" t="e">
        <v>#N/A</v>
      </c>
      <c r="I123" s="3111" t="e">
        <v>#N/A</v>
      </c>
      <c r="J123" s="1514" t="e">
        <v>#N/A</v>
      </c>
      <c r="K123" s="3111" t="e">
        <v>#N/A</v>
      </c>
      <c r="L123" s="3111" t="e">
        <v>#N/A</v>
      </c>
      <c r="M123" s="1523" t="e">
        <f t="shared" si="23"/>
        <v>#N/A</v>
      </c>
      <c r="N123" s="1518" t="e">
        <f t="shared" si="28"/>
        <v>#N/A</v>
      </c>
      <c r="O123" s="3122" t="e">
        <f t="shared" si="28"/>
        <v>#N/A</v>
      </c>
      <c r="P123" s="1519" t="e">
        <f t="shared" si="28"/>
        <v>#N/A</v>
      </c>
      <c r="Q123" s="3122" t="e">
        <f t="shared" si="28"/>
        <v>#N/A</v>
      </c>
      <c r="R123" s="1519" t="e">
        <f t="shared" si="28"/>
        <v>#N/A</v>
      </c>
      <c r="S123" s="1924" t="e">
        <f t="shared" si="28"/>
        <v>#N/A</v>
      </c>
      <c r="T123" s="1535" t="e">
        <f>('2.3'!R123/'2.3'!Q123)*100</f>
        <v>#N/A</v>
      </c>
      <c r="U123" s="3114" t="e">
        <f>('2.3'!S123/'2.3'!Q123)*100</f>
        <v>#N/A</v>
      </c>
      <c r="V123" s="203" t="e">
        <f>('2.3'!T123/'2.3'!R123)*100</f>
        <v>#N/A</v>
      </c>
      <c r="W123" s="3111" t="e">
        <v>#N/A</v>
      </c>
      <c r="X123" s="3111" t="e">
        <v>#N/A</v>
      </c>
      <c r="Y123" s="1524" t="e">
        <f t="shared" si="24"/>
        <v>#N/A</v>
      </c>
    </row>
    <row r="124" spans="1:25">
      <c r="A124" s="1467">
        <f t="shared" si="27"/>
        <v>2027.1</v>
      </c>
      <c r="B124" s="1521" t="e">
        <v>#N/A</v>
      </c>
      <c r="C124" s="3111" t="e">
        <v>#N/A</v>
      </c>
      <c r="D124" s="1514" t="e">
        <v>#N/A</v>
      </c>
      <c r="E124" s="3111" t="e">
        <v>#N/A</v>
      </c>
      <c r="F124" s="3111" t="e">
        <v>#N/A</v>
      </c>
      <c r="G124" s="1523" t="e">
        <f t="shared" si="22"/>
        <v>#N/A</v>
      </c>
      <c r="H124" s="1513" t="e">
        <v>#N/A</v>
      </c>
      <c r="I124" s="3111" t="e">
        <v>#N/A</v>
      </c>
      <c r="J124" s="1514" t="e">
        <v>#N/A</v>
      </c>
      <c r="K124" s="3111" t="e">
        <v>#N/A</v>
      </c>
      <c r="L124" s="3111" t="e">
        <v>#N/A</v>
      </c>
      <c r="M124" s="1523" t="e">
        <f t="shared" si="23"/>
        <v>#N/A</v>
      </c>
      <c r="N124" s="1518" t="e">
        <f t="shared" si="28"/>
        <v>#N/A</v>
      </c>
      <c r="O124" s="3122" t="e">
        <f t="shared" si="28"/>
        <v>#N/A</v>
      </c>
      <c r="P124" s="1519" t="e">
        <f t="shared" si="28"/>
        <v>#N/A</v>
      </c>
      <c r="Q124" s="3122" t="e">
        <f t="shared" si="28"/>
        <v>#N/A</v>
      </c>
      <c r="R124" s="1519" t="e">
        <f t="shared" si="28"/>
        <v>#N/A</v>
      </c>
      <c r="S124" s="1924" t="e">
        <f t="shared" si="28"/>
        <v>#N/A</v>
      </c>
      <c r="T124" s="1535" t="e">
        <f>('2.3'!R124/'2.3'!Q124)*100</f>
        <v>#N/A</v>
      </c>
      <c r="U124" s="3114" t="e">
        <f>('2.3'!S124/'2.3'!Q124)*100</f>
        <v>#N/A</v>
      </c>
      <c r="V124" s="203" t="e">
        <f>('2.3'!T124/'2.3'!R124)*100</f>
        <v>#N/A</v>
      </c>
      <c r="W124" s="3111" t="e">
        <v>#N/A</v>
      </c>
      <c r="X124" s="3111" t="e">
        <v>#N/A</v>
      </c>
      <c r="Y124" s="1524" t="e">
        <f t="shared" si="24"/>
        <v>#N/A</v>
      </c>
    </row>
    <row r="125" spans="1:25">
      <c r="A125" s="1467">
        <f t="shared" si="27"/>
        <v>2027.2</v>
      </c>
      <c r="B125" s="1521" t="e">
        <v>#N/A</v>
      </c>
      <c r="C125" s="3111" t="e">
        <v>#N/A</v>
      </c>
      <c r="D125" s="1514" t="e">
        <v>#N/A</v>
      </c>
      <c r="E125" s="3111" t="e">
        <v>#N/A</v>
      </c>
      <c r="F125" s="3111" t="e">
        <v>#N/A</v>
      </c>
      <c r="G125" s="1523" t="e">
        <f t="shared" si="22"/>
        <v>#N/A</v>
      </c>
      <c r="H125" s="1513" t="e">
        <v>#N/A</v>
      </c>
      <c r="I125" s="3111" t="e">
        <v>#N/A</v>
      </c>
      <c r="J125" s="1514" t="e">
        <v>#N/A</v>
      </c>
      <c r="K125" s="3111" t="e">
        <v>#N/A</v>
      </c>
      <c r="L125" s="3111" t="e">
        <v>#N/A</v>
      </c>
      <c r="M125" s="1523" t="e">
        <f t="shared" si="23"/>
        <v>#N/A</v>
      </c>
      <c r="N125" s="1518" t="e">
        <f t="shared" si="28"/>
        <v>#N/A</v>
      </c>
      <c r="O125" s="3122" t="e">
        <f t="shared" si="28"/>
        <v>#N/A</v>
      </c>
      <c r="P125" s="1519" t="e">
        <f t="shared" si="28"/>
        <v>#N/A</v>
      </c>
      <c r="Q125" s="3122" t="e">
        <f t="shared" si="28"/>
        <v>#N/A</v>
      </c>
      <c r="R125" s="1519" t="e">
        <f t="shared" si="28"/>
        <v>#N/A</v>
      </c>
      <c r="S125" s="1924" t="e">
        <f t="shared" si="28"/>
        <v>#N/A</v>
      </c>
      <c r="T125" s="1535" t="e">
        <f>('2.3'!R125/'2.3'!Q125)*100</f>
        <v>#N/A</v>
      </c>
      <c r="U125" s="3114" t="e">
        <f>('2.3'!S125/'2.3'!Q125)*100</f>
        <v>#N/A</v>
      </c>
      <c r="V125" s="203" t="e">
        <f>('2.3'!T125/'2.3'!R125)*100</f>
        <v>#N/A</v>
      </c>
      <c r="W125" s="3111" t="e">
        <v>#N/A</v>
      </c>
      <c r="X125" s="3111" t="e">
        <v>#N/A</v>
      </c>
      <c r="Y125" s="1524" t="e">
        <f t="shared" si="24"/>
        <v>#N/A</v>
      </c>
    </row>
    <row r="126" spans="1:25">
      <c r="A126" s="1467">
        <f t="shared" si="27"/>
        <v>2027.3</v>
      </c>
      <c r="B126" s="1521" t="e">
        <v>#N/A</v>
      </c>
      <c r="C126" s="3111" t="e">
        <v>#N/A</v>
      </c>
      <c r="D126" s="1514" t="e">
        <v>#N/A</v>
      </c>
      <c r="E126" s="3111" t="e">
        <v>#N/A</v>
      </c>
      <c r="F126" s="3111" t="e">
        <v>#N/A</v>
      </c>
      <c r="G126" s="1523" t="e">
        <f t="shared" si="22"/>
        <v>#N/A</v>
      </c>
      <c r="H126" s="1513" t="e">
        <v>#N/A</v>
      </c>
      <c r="I126" s="3111" t="e">
        <v>#N/A</v>
      </c>
      <c r="J126" s="1514" t="e">
        <v>#N/A</v>
      </c>
      <c r="K126" s="3111" t="e">
        <v>#N/A</v>
      </c>
      <c r="L126" s="3111" t="e">
        <v>#N/A</v>
      </c>
      <c r="M126" s="1523" t="e">
        <f t="shared" si="23"/>
        <v>#N/A</v>
      </c>
      <c r="N126" s="1518" t="e">
        <f t="shared" si="28"/>
        <v>#N/A</v>
      </c>
      <c r="O126" s="3122" t="e">
        <f t="shared" si="28"/>
        <v>#N/A</v>
      </c>
      <c r="P126" s="1519" t="e">
        <f t="shared" si="28"/>
        <v>#N/A</v>
      </c>
      <c r="Q126" s="3122" t="e">
        <f t="shared" si="28"/>
        <v>#N/A</v>
      </c>
      <c r="R126" s="1519" t="e">
        <f t="shared" si="28"/>
        <v>#N/A</v>
      </c>
      <c r="S126" s="1924" t="e">
        <f t="shared" si="28"/>
        <v>#N/A</v>
      </c>
      <c r="T126" s="1535" t="e">
        <f>('2.3'!R126/'2.3'!Q126)*100</f>
        <v>#N/A</v>
      </c>
      <c r="U126" s="3114" t="e">
        <f>('2.3'!S126/'2.3'!Q126)*100</f>
        <v>#N/A</v>
      </c>
      <c r="V126" s="203" t="e">
        <f>('2.3'!T126/'2.3'!R126)*100</f>
        <v>#N/A</v>
      </c>
      <c r="W126" s="3111" t="e">
        <v>#N/A</v>
      </c>
      <c r="X126" s="3111" t="e">
        <v>#N/A</v>
      </c>
      <c r="Y126" s="1524" t="e">
        <f t="shared" si="24"/>
        <v>#N/A</v>
      </c>
    </row>
    <row r="127" spans="1:25">
      <c r="A127" s="1467">
        <f t="shared" si="27"/>
        <v>2027.4</v>
      </c>
      <c r="B127" s="1521" t="e">
        <v>#N/A</v>
      </c>
      <c r="C127" s="3111" t="e">
        <v>#N/A</v>
      </c>
      <c r="D127" s="1514" t="e">
        <v>#N/A</v>
      </c>
      <c r="E127" s="3111" t="e">
        <v>#N/A</v>
      </c>
      <c r="F127" s="3111" t="e">
        <v>#N/A</v>
      </c>
      <c r="G127" s="1523" t="e">
        <f t="shared" si="22"/>
        <v>#N/A</v>
      </c>
      <c r="H127" s="1513" t="e">
        <v>#N/A</v>
      </c>
      <c r="I127" s="3111" t="e">
        <v>#N/A</v>
      </c>
      <c r="J127" s="1514" t="e">
        <v>#N/A</v>
      </c>
      <c r="K127" s="3111" t="e">
        <v>#N/A</v>
      </c>
      <c r="L127" s="3111" t="e">
        <v>#N/A</v>
      </c>
      <c r="M127" s="1523" t="e">
        <f t="shared" si="23"/>
        <v>#N/A</v>
      </c>
      <c r="N127" s="1518" t="e">
        <f t="shared" si="28"/>
        <v>#N/A</v>
      </c>
      <c r="O127" s="3122" t="e">
        <f t="shared" si="28"/>
        <v>#N/A</v>
      </c>
      <c r="P127" s="1519" t="e">
        <f t="shared" si="28"/>
        <v>#N/A</v>
      </c>
      <c r="Q127" s="3122" t="e">
        <f t="shared" si="28"/>
        <v>#N/A</v>
      </c>
      <c r="R127" s="1519" t="e">
        <f t="shared" si="28"/>
        <v>#N/A</v>
      </c>
      <c r="S127" s="1924" t="e">
        <f t="shared" si="28"/>
        <v>#N/A</v>
      </c>
      <c r="T127" s="1535" t="e">
        <f>('2.3'!R127/'2.3'!Q127)*100</f>
        <v>#N/A</v>
      </c>
      <c r="U127" s="3114" t="e">
        <f>('2.3'!S127/'2.3'!Q127)*100</f>
        <v>#N/A</v>
      </c>
      <c r="V127" s="203" t="e">
        <f>('2.3'!T127/'2.3'!R127)*100</f>
        <v>#N/A</v>
      </c>
      <c r="W127" s="3111" t="e">
        <v>#N/A</v>
      </c>
      <c r="X127" s="3111" t="e">
        <v>#N/A</v>
      </c>
      <c r="Y127" s="1524" t="e">
        <f t="shared" si="24"/>
        <v>#N/A</v>
      </c>
    </row>
    <row r="128" spans="1:25">
      <c r="A128" s="1467">
        <f t="shared" si="27"/>
        <v>2028.1</v>
      </c>
      <c r="B128" s="1521" t="e">
        <v>#N/A</v>
      </c>
      <c r="C128" s="3111" t="e">
        <v>#N/A</v>
      </c>
      <c r="D128" s="1514" t="e">
        <v>#N/A</v>
      </c>
      <c r="E128" s="3111" t="e">
        <v>#N/A</v>
      </c>
      <c r="F128" s="3111" t="e">
        <v>#N/A</v>
      </c>
      <c r="G128" s="1523" t="e">
        <f t="shared" si="22"/>
        <v>#N/A</v>
      </c>
      <c r="H128" s="1513" t="e">
        <v>#N/A</v>
      </c>
      <c r="I128" s="3111" t="e">
        <v>#N/A</v>
      </c>
      <c r="J128" s="1514" t="e">
        <v>#N/A</v>
      </c>
      <c r="K128" s="3111" t="e">
        <v>#N/A</v>
      </c>
      <c r="L128" s="3111" t="e">
        <v>#N/A</v>
      </c>
      <c r="M128" s="1523" t="e">
        <f t="shared" si="23"/>
        <v>#N/A</v>
      </c>
      <c r="N128" s="1518" t="e">
        <f t="shared" si="28"/>
        <v>#N/A</v>
      </c>
      <c r="O128" s="3122" t="e">
        <f t="shared" si="28"/>
        <v>#N/A</v>
      </c>
      <c r="P128" s="1519" t="e">
        <f t="shared" si="28"/>
        <v>#N/A</v>
      </c>
      <c r="Q128" s="3122" t="e">
        <f t="shared" si="28"/>
        <v>#N/A</v>
      </c>
      <c r="R128" s="1519" t="e">
        <f t="shared" si="28"/>
        <v>#N/A</v>
      </c>
      <c r="S128" s="1924" t="e">
        <f t="shared" si="28"/>
        <v>#N/A</v>
      </c>
      <c r="T128" s="1535" t="e">
        <f>('2.3'!R128/'2.3'!Q128)*100</f>
        <v>#N/A</v>
      </c>
      <c r="U128" s="3114" t="e">
        <f>('2.3'!S128/'2.3'!Q128)*100</f>
        <v>#N/A</v>
      </c>
      <c r="V128" s="203" t="e">
        <f>('2.3'!T128/'2.3'!R128)*100</f>
        <v>#N/A</v>
      </c>
      <c r="W128" s="3111" t="e">
        <v>#N/A</v>
      </c>
      <c r="X128" s="3111" t="e">
        <v>#N/A</v>
      </c>
      <c r="Y128" s="1524" t="e">
        <f t="shared" si="24"/>
        <v>#N/A</v>
      </c>
    </row>
    <row r="129" spans="1:25">
      <c r="A129" s="1467">
        <f t="shared" si="27"/>
        <v>2028.2</v>
      </c>
      <c r="B129" s="1521" t="e">
        <v>#N/A</v>
      </c>
      <c r="C129" s="3111" t="e">
        <v>#N/A</v>
      </c>
      <c r="D129" s="1514" t="e">
        <v>#N/A</v>
      </c>
      <c r="E129" s="3111" t="e">
        <v>#N/A</v>
      </c>
      <c r="F129" s="3111" t="e">
        <v>#N/A</v>
      </c>
      <c r="G129" s="1523" t="e">
        <f t="shared" si="22"/>
        <v>#N/A</v>
      </c>
      <c r="H129" s="1513" t="e">
        <v>#N/A</v>
      </c>
      <c r="I129" s="3111" t="e">
        <v>#N/A</v>
      </c>
      <c r="J129" s="1514" t="e">
        <v>#N/A</v>
      </c>
      <c r="K129" s="3111" t="e">
        <v>#N/A</v>
      </c>
      <c r="L129" s="3111" t="e">
        <v>#N/A</v>
      </c>
      <c r="M129" s="1523" t="e">
        <f t="shared" si="23"/>
        <v>#N/A</v>
      </c>
      <c r="N129" s="1518" t="e">
        <f t="shared" si="28"/>
        <v>#N/A</v>
      </c>
      <c r="O129" s="3122" t="e">
        <f t="shared" si="28"/>
        <v>#N/A</v>
      </c>
      <c r="P129" s="1519" t="e">
        <f t="shared" si="28"/>
        <v>#N/A</v>
      </c>
      <c r="Q129" s="3122" t="e">
        <f t="shared" si="28"/>
        <v>#N/A</v>
      </c>
      <c r="R129" s="1519" t="e">
        <f t="shared" si="28"/>
        <v>#N/A</v>
      </c>
      <c r="S129" s="1924" t="e">
        <f t="shared" si="28"/>
        <v>#N/A</v>
      </c>
      <c r="T129" s="1535" t="e">
        <f>('2.3'!R129/'2.3'!Q129)*100</f>
        <v>#N/A</v>
      </c>
      <c r="U129" s="3114" t="e">
        <f>('2.3'!S129/'2.3'!Q129)*100</f>
        <v>#N/A</v>
      </c>
      <c r="V129" s="203" t="e">
        <f>('2.3'!T129/'2.3'!R129)*100</f>
        <v>#N/A</v>
      </c>
      <c r="W129" s="3111" t="e">
        <v>#N/A</v>
      </c>
      <c r="X129" s="3111" t="e">
        <v>#N/A</v>
      </c>
      <c r="Y129" s="1524" t="e">
        <f t="shared" si="24"/>
        <v>#N/A</v>
      </c>
    </row>
    <row r="130" spans="1:25">
      <c r="A130" s="1467">
        <f t="shared" si="27"/>
        <v>2028.3</v>
      </c>
      <c r="B130" s="1521" t="e">
        <v>#N/A</v>
      </c>
      <c r="C130" s="3111" t="e">
        <v>#N/A</v>
      </c>
      <c r="D130" s="1514" t="e">
        <v>#N/A</v>
      </c>
      <c r="E130" s="3111" t="e">
        <v>#N/A</v>
      </c>
      <c r="F130" s="3111" t="e">
        <v>#N/A</v>
      </c>
      <c r="G130" s="1523" t="e">
        <f t="shared" si="22"/>
        <v>#N/A</v>
      </c>
      <c r="H130" s="1513" t="e">
        <v>#N/A</v>
      </c>
      <c r="I130" s="3111" t="e">
        <v>#N/A</v>
      </c>
      <c r="J130" s="1514" t="e">
        <v>#N/A</v>
      </c>
      <c r="K130" s="3111" t="e">
        <v>#N/A</v>
      </c>
      <c r="L130" s="3111" t="e">
        <v>#N/A</v>
      </c>
      <c r="M130" s="1523" t="e">
        <f t="shared" si="23"/>
        <v>#N/A</v>
      </c>
      <c r="N130" s="1518" t="e">
        <f t="shared" si="28"/>
        <v>#N/A</v>
      </c>
      <c r="O130" s="3122" t="e">
        <f t="shared" si="28"/>
        <v>#N/A</v>
      </c>
      <c r="P130" s="1519" t="e">
        <f t="shared" si="28"/>
        <v>#N/A</v>
      </c>
      <c r="Q130" s="3122" t="e">
        <f t="shared" si="28"/>
        <v>#N/A</v>
      </c>
      <c r="R130" s="1519" t="e">
        <f t="shared" si="28"/>
        <v>#N/A</v>
      </c>
      <c r="S130" s="1924" t="e">
        <f t="shared" si="28"/>
        <v>#N/A</v>
      </c>
      <c r="T130" s="1535" t="e">
        <f>('2.3'!R130/'2.3'!Q130)*100</f>
        <v>#N/A</v>
      </c>
      <c r="U130" s="3114" t="e">
        <f>('2.3'!S130/'2.3'!Q130)*100</f>
        <v>#N/A</v>
      </c>
      <c r="V130" s="203" t="e">
        <f>('2.3'!T130/'2.3'!R130)*100</f>
        <v>#N/A</v>
      </c>
      <c r="W130" s="3111" t="e">
        <v>#N/A</v>
      </c>
      <c r="X130" s="3111" t="e">
        <v>#N/A</v>
      </c>
      <c r="Y130" s="1524" t="e">
        <f t="shared" si="24"/>
        <v>#N/A</v>
      </c>
    </row>
    <row r="131" spans="1:25">
      <c r="A131" s="1467">
        <f t="shared" si="27"/>
        <v>2028.4</v>
      </c>
      <c r="B131" s="1521" t="e">
        <v>#N/A</v>
      </c>
      <c r="C131" s="3111" t="e">
        <v>#N/A</v>
      </c>
      <c r="D131" s="1514" t="e">
        <v>#N/A</v>
      </c>
      <c r="E131" s="3111" t="e">
        <v>#N/A</v>
      </c>
      <c r="F131" s="3111" t="e">
        <v>#N/A</v>
      </c>
      <c r="G131" s="1523" t="e">
        <f t="shared" si="22"/>
        <v>#N/A</v>
      </c>
      <c r="H131" s="1513" t="e">
        <v>#N/A</v>
      </c>
      <c r="I131" s="3111" t="e">
        <v>#N/A</v>
      </c>
      <c r="J131" s="1514" t="e">
        <v>#N/A</v>
      </c>
      <c r="K131" s="3111" t="e">
        <v>#N/A</v>
      </c>
      <c r="L131" s="3111" t="e">
        <v>#N/A</v>
      </c>
      <c r="M131" s="1523" t="e">
        <f t="shared" si="23"/>
        <v>#N/A</v>
      </c>
      <c r="N131" s="1518" t="e">
        <f t="shared" si="28"/>
        <v>#N/A</v>
      </c>
      <c r="O131" s="3122" t="e">
        <f t="shared" si="28"/>
        <v>#N/A</v>
      </c>
      <c r="P131" s="1519" t="e">
        <f t="shared" si="28"/>
        <v>#N/A</v>
      </c>
      <c r="Q131" s="3122" t="e">
        <f t="shared" si="28"/>
        <v>#N/A</v>
      </c>
      <c r="R131" s="1519" t="e">
        <f t="shared" si="28"/>
        <v>#N/A</v>
      </c>
      <c r="S131" s="1924" t="e">
        <f t="shared" si="28"/>
        <v>#N/A</v>
      </c>
      <c r="T131" s="1535" t="e">
        <f>('2.3'!R131/'2.3'!Q131)*100</f>
        <v>#N/A</v>
      </c>
      <c r="U131" s="3114" t="e">
        <f>('2.3'!S131/'2.3'!Q131)*100</f>
        <v>#N/A</v>
      </c>
      <c r="V131" s="203" t="e">
        <f>('2.3'!T131/'2.3'!R131)*100</f>
        <v>#N/A</v>
      </c>
      <c r="W131" s="3111" t="e">
        <v>#N/A</v>
      </c>
      <c r="X131" s="3111" t="e">
        <v>#N/A</v>
      </c>
      <c r="Y131" s="1524" t="e">
        <f t="shared" si="24"/>
        <v>#N/A</v>
      </c>
    </row>
    <row r="132" spans="1:25">
      <c r="A132" s="1467">
        <f t="shared" si="27"/>
        <v>2029.1</v>
      </c>
      <c r="B132" s="1521" t="e">
        <v>#N/A</v>
      </c>
      <c r="C132" s="3111" t="e">
        <v>#N/A</v>
      </c>
      <c r="D132" s="1514" t="e">
        <v>#N/A</v>
      </c>
      <c r="E132" s="3111" t="e">
        <v>#N/A</v>
      </c>
      <c r="F132" s="3111" t="e">
        <v>#N/A</v>
      </c>
      <c r="G132" s="1523" t="e">
        <f t="shared" si="22"/>
        <v>#N/A</v>
      </c>
      <c r="H132" s="1513" t="e">
        <v>#N/A</v>
      </c>
      <c r="I132" s="3111" t="e">
        <v>#N/A</v>
      </c>
      <c r="J132" s="1514" t="e">
        <v>#N/A</v>
      </c>
      <c r="K132" s="3111" t="e">
        <v>#N/A</v>
      </c>
      <c r="L132" s="3111" t="e">
        <v>#N/A</v>
      </c>
      <c r="M132" s="1523" t="e">
        <f t="shared" si="23"/>
        <v>#N/A</v>
      </c>
      <c r="N132" s="1518" t="e">
        <f t="shared" si="28"/>
        <v>#N/A</v>
      </c>
      <c r="O132" s="3122" t="e">
        <f t="shared" si="28"/>
        <v>#N/A</v>
      </c>
      <c r="P132" s="1519" t="e">
        <f t="shared" si="28"/>
        <v>#N/A</v>
      </c>
      <c r="Q132" s="3122" t="e">
        <f t="shared" si="28"/>
        <v>#N/A</v>
      </c>
      <c r="R132" s="1519" t="e">
        <f t="shared" si="28"/>
        <v>#N/A</v>
      </c>
      <c r="S132" s="1924" t="e">
        <f t="shared" si="28"/>
        <v>#N/A</v>
      </c>
      <c r="T132" s="1535" t="e">
        <f>('2.3'!R132/'2.3'!Q132)*100</f>
        <v>#N/A</v>
      </c>
      <c r="U132" s="3114" t="e">
        <f>('2.3'!S132/'2.3'!Q132)*100</f>
        <v>#N/A</v>
      </c>
      <c r="V132" s="203" t="e">
        <f>('2.3'!T132/'2.3'!R132)*100</f>
        <v>#N/A</v>
      </c>
      <c r="W132" s="3111" t="e">
        <v>#N/A</v>
      </c>
      <c r="X132" s="3111" t="e">
        <v>#N/A</v>
      </c>
      <c r="Y132" s="1524" t="e">
        <f t="shared" si="24"/>
        <v>#N/A</v>
      </c>
    </row>
    <row r="133" spans="1:25">
      <c r="A133" s="1467">
        <f t="shared" si="27"/>
        <v>2029.2</v>
      </c>
      <c r="B133" s="1521" t="e">
        <v>#N/A</v>
      </c>
      <c r="C133" s="3111" t="e">
        <v>#N/A</v>
      </c>
      <c r="D133" s="1514" t="e">
        <v>#N/A</v>
      </c>
      <c r="E133" s="3111" t="e">
        <v>#N/A</v>
      </c>
      <c r="F133" s="3111" t="e">
        <v>#N/A</v>
      </c>
      <c r="G133" s="1523" t="e">
        <f t="shared" si="22"/>
        <v>#N/A</v>
      </c>
      <c r="H133" s="1513" t="e">
        <v>#N/A</v>
      </c>
      <c r="I133" s="3111" t="e">
        <v>#N/A</v>
      </c>
      <c r="J133" s="1514" t="e">
        <v>#N/A</v>
      </c>
      <c r="K133" s="3111" t="e">
        <v>#N/A</v>
      </c>
      <c r="L133" s="3111" t="e">
        <v>#N/A</v>
      </c>
      <c r="M133" s="1523" t="e">
        <f t="shared" si="23"/>
        <v>#N/A</v>
      </c>
      <c r="N133" s="1518" t="e">
        <f t="shared" si="28"/>
        <v>#N/A</v>
      </c>
      <c r="O133" s="3122" t="e">
        <f t="shared" si="28"/>
        <v>#N/A</v>
      </c>
      <c r="P133" s="1519" t="e">
        <f t="shared" si="28"/>
        <v>#N/A</v>
      </c>
      <c r="Q133" s="3122" t="e">
        <f t="shared" si="28"/>
        <v>#N/A</v>
      </c>
      <c r="R133" s="1519" t="e">
        <f t="shared" si="28"/>
        <v>#N/A</v>
      </c>
      <c r="S133" s="1924" t="e">
        <f t="shared" si="28"/>
        <v>#N/A</v>
      </c>
      <c r="T133" s="1535" t="e">
        <f>('2.3'!R133/'2.3'!Q133)*100</f>
        <v>#N/A</v>
      </c>
      <c r="U133" s="3114" t="e">
        <f>('2.3'!S133/'2.3'!Q133)*100</f>
        <v>#N/A</v>
      </c>
      <c r="V133" s="203" t="e">
        <f>('2.3'!T133/'2.3'!R133)*100</f>
        <v>#N/A</v>
      </c>
      <c r="W133" s="3111" t="e">
        <v>#N/A</v>
      </c>
      <c r="X133" s="3111" t="e">
        <v>#N/A</v>
      </c>
      <c r="Y133" s="1524" t="e">
        <f t="shared" si="24"/>
        <v>#N/A</v>
      </c>
    </row>
    <row r="134" spans="1:25">
      <c r="A134" s="1467">
        <f t="shared" si="27"/>
        <v>2029.3</v>
      </c>
      <c r="B134" s="1521" t="e">
        <v>#N/A</v>
      </c>
      <c r="C134" s="3111" t="e">
        <v>#N/A</v>
      </c>
      <c r="D134" s="1514" t="e">
        <v>#N/A</v>
      </c>
      <c r="E134" s="3111" t="e">
        <v>#N/A</v>
      </c>
      <c r="F134" s="3111" t="e">
        <v>#N/A</v>
      </c>
      <c r="G134" s="1523" t="e">
        <f t="shared" si="22"/>
        <v>#N/A</v>
      </c>
      <c r="H134" s="1513" t="e">
        <v>#N/A</v>
      </c>
      <c r="I134" s="3111" t="e">
        <v>#N/A</v>
      </c>
      <c r="J134" s="1514" t="e">
        <v>#N/A</v>
      </c>
      <c r="K134" s="3111" t="e">
        <v>#N/A</v>
      </c>
      <c r="L134" s="3111" t="e">
        <v>#N/A</v>
      </c>
      <c r="M134" s="1523" t="e">
        <f t="shared" si="23"/>
        <v>#N/A</v>
      </c>
      <c r="N134" s="1518" t="e">
        <f t="shared" ref="N134:S139" si="29">(B134+H134)/2</f>
        <v>#N/A</v>
      </c>
      <c r="O134" s="3122" t="e">
        <f t="shared" si="29"/>
        <v>#N/A</v>
      </c>
      <c r="P134" s="1519" t="e">
        <f t="shared" si="29"/>
        <v>#N/A</v>
      </c>
      <c r="Q134" s="3122" t="e">
        <f t="shared" si="29"/>
        <v>#N/A</v>
      </c>
      <c r="R134" s="1519" t="e">
        <f t="shared" si="29"/>
        <v>#N/A</v>
      </c>
      <c r="S134" s="1924" t="e">
        <f t="shared" si="29"/>
        <v>#N/A</v>
      </c>
      <c r="T134" s="1535" t="e">
        <f>('2.3'!R134/'2.3'!Q134)*100</f>
        <v>#N/A</v>
      </c>
      <c r="U134" s="3114" t="e">
        <f>('2.3'!S134/'2.3'!Q134)*100</f>
        <v>#N/A</v>
      </c>
      <c r="V134" s="203" t="e">
        <f>('2.3'!T134/'2.3'!R134)*100</f>
        <v>#N/A</v>
      </c>
      <c r="W134" s="3111" t="e">
        <v>#N/A</v>
      </c>
      <c r="X134" s="3111" t="e">
        <v>#N/A</v>
      </c>
      <c r="Y134" s="1524" t="e">
        <f t="shared" si="24"/>
        <v>#N/A</v>
      </c>
    </row>
    <row r="135" spans="1:25">
      <c r="A135" s="1467">
        <f t="shared" si="27"/>
        <v>2029.4</v>
      </c>
      <c r="B135" s="1521" t="e">
        <v>#N/A</v>
      </c>
      <c r="C135" s="3111" t="e">
        <v>#N/A</v>
      </c>
      <c r="D135" s="1514" t="e">
        <v>#N/A</v>
      </c>
      <c r="E135" s="3111" t="e">
        <v>#N/A</v>
      </c>
      <c r="F135" s="3111" t="e">
        <v>#N/A</v>
      </c>
      <c r="G135" s="1523" t="e">
        <f t="shared" si="22"/>
        <v>#N/A</v>
      </c>
      <c r="H135" s="1513" t="e">
        <v>#N/A</v>
      </c>
      <c r="I135" s="3111" t="e">
        <v>#N/A</v>
      </c>
      <c r="J135" s="1514" t="e">
        <v>#N/A</v>
      </c>
      <c r="K135" s="3111" t="e">
        <v>#N/A</v>
      </c>
      <c r="L135" s="3111" t="e">
        <v>#N/A</v>
      </c>
      <c r="M135" s="1523" t="e">
        <f t="shared" si="23"/>
        <v>#N/A</v>
      </c>
      <c r="N135" s="1518" t="e">
        <f t="shared" si="29"/>
        <v>#N/A</v>
      </c>
      <c r="O135" s="3122" t="e">
        <f t="shared" si="29"/>
        <v>#N/A</v>
      </c>
      <c r="P135" s="1519" t="e">
        <f t="shared" si="29"/>
        <v>#N/A</v>
      </c>
      <c r="Q135" s="3122" t="e">
        <f t="shared" si="29"/>
        <v>#N/A</v>
      </c>
      <c r="R135" s="1519" t="e">
        <f t="shared" si="29"/>
        <v>#N/A</v>
      </c>
      <c r="S135" s="1924" t="e">
        <f t="shared" si="29"/>
        <v>#N/A</v>
      </c>
      <c r="T135" s="1535" t="e">
        <f>('2.3'!R135/'2.3'!Q135)*100</f>
        <v>#N/A</v>
      </c>
      <c r="U135" s="3114" t="e">
        <f>('2.3'!S135/'2.3'!Q135)*100</f>
        <v>#N/A</v>
      </c>
      <c r="V135" s="203" t="e">
        <f>('2.3'!T135/'2.3'!R135)*100</f>
        <v>#N/A</v>
      </c>
      <c r="W135" s="3111" t="e">
        <v>#N/A</v>
      </c>
      <c r="X135" s="3111" t="e">
        <v>#N/A</v>
      </c>
      <c r="Y135" s="1524" t="e">
        <f t="shared" si="24"/>
        <v>#N/A</v>
      </c>
    </row>
    <row r="136" spans="1:25">
      <c r="A136" s="1467">
        <f t="shared" si="27"/>
        <v>2030.1</v>
      </c>
      <c r="B136" s="1521" t="e">
        <v>#N/A</v>
      </c>
      <c r="C136" s="3111" t="e">
        <v>#N/A</v>
      </c>
      <c r="D136" s="1514" t="e">
        <v>#N/A</v>
      </c>
      <c r="E136" s="3111" t="e">
        <v>#N/A</v>
      </c>
      <c r="F136" s="3111" t="e">
        <v>#N/A</v>
      </c>
      <c r="G136" s="1523" t="e">
        <f t="shared" si="22"/>
        <v>#N/A</v>
      </c>
      <c r="H136" s="1513" t="e">
        <v>#N/A</v>
      </c>
      <c r="I136" s="3111" t="e">
        <v>#N/A</v>
      </c>
      <c r="J136" s="1514" t="e">
        <v>#N/A</v>
      </c>
      <c r="K136" s="3111" t="e">
        <v>#N/A</v>
      </c>
      <c r="L136" s="3111" t="e">
        <v>#N/A</v>
      </c>
      <c r="M136" s="1523" t="e">
        <f t="shared" si="23"/>
        <v>#N/A</v>
      </c>
      <c r="N136" s="1518" t="e">
        <f t="shared" si="29"/>
        <v>#N/A</v>
      </c>
      <c r="O136" s="3122" t="e">
        <f t="shared" si="29"/>
        <v>#N/A</v>
      </c>
      <c r="P136" s="1519" t="e">
        <f t="shared" si="29"/>
        <v>#N/A</v>
      </c>
      <c r="Q136" s="3122" t="e">
        <f t="shared" si="29"/>
        <v>#N/A</v>
      </c>
      <c r="R136" s="1519" t="e">
        <f t="shared" si="29"/>
        <v>#N/A</v>
      </c>
      <c r="S136" s="1924" t="e">
        <f t="shared" si="29"/>
        <v>#N/A</v>
      </c>
      <c r="T136" s="1535" t="e">
        <f>('2.3'!R136/'2.3'!Q136)*100</f>
        <v>#N/A</v>
      </c>
      <c r="U136" s="3114" t="e">
        <f>('2.3'!S136/'2.3'!Q136)*100</f>
        <v>#N/A</v>
      </c>
      <c r="V136" s="203" t="e">
        <f>('2.3'!T136/'2.3'!R136)*100</f>
        <v>#N/A</v>
      </c>
      <c r="W136" s="3111" t="e">
        <v>#N/A</v>
      </c>
      <c r="X136" s="3111" t="e">
        <v>#N/A</v>
      </c>
      <c r="Y136" s="1524" t="e">
        <f t="shared" si="24"/>
        <v>#N/A</v>
      </c>
    </row>
    <row r="137" spans="1:25">
      <c r="A137" s="1467">
        <f t="shared" si="27"/>
        <v>2030.2</v>
      </c>
      <c r="B137" s="1521" t="e">
        <v>#N/A</v>
      </c>
      <c r="C137" s="3111" t="e">
        <v>#N/A</v>
      </c>
      <c r="D137" s="1514" t="e">
        <v>#N/A</v>
      </c>
      <c r="E137" s="3111" t="e">
        <v>#N/A</v>
      </c>
      <c r="F137" s="3111" t="e">
        <v>#N/A</v>
      </c>
      <c r="G137" s="1523" t="e">
        <f t="shared" si="22"/>
        <v>#N/A</v>
      </c>
      <c r="H137" s="1513" t="e">
        <v>#N/A</v>
      </c>
      <c r="I137" s="3111" t="e">
        <v>#N/A</v>
      </c>
      <c r="J137" s="1514" t="e">
        <v>#N/A</v>
      </c>
      <c r="K137" s="3111" t="e">
        <v>#N/A</v>
      </c>
      <c r="L137" s="3111" t="e">
        <v>#N/A</v>
      </c>
      <c r="M137" s="1523" t="e">
        <f t="shared" si="23"/>
        <v>#N/A</v>
      </c>
      <c r="N137" s="1518" t="e">
        <f t="shared" si="29"/>
        <v>#N/A</v>
      </c>
      <c r="O137" s="3122" t="e">
        <f t="shared" si="29"/>
        <v>#N/A</v>
      </c>
      <c r="P137" s="1519" t="e">
        <f t="shared" si="29"/>
        <v>#N/A</v>
      </c>
      <c r="Q137" s="3122" t="e">
        <f t="shared" si="29"/>
        <v>#N/A</v>
      </c>
      <c r="R137" s="1519" t="e">
        <f t="shared" si="29"/>
        <v>#N/A</v>
      </c>
      <c r="S137" s="1924" t="e">
        <f t="shared" si="29"/>
        <v>#N/A</v>
      </c>
      <c r="T137" s="1535" t="e">
        <f>('2.3'!R137/'2.3'!Q137)*100</f>
        <v>#N/A</v>
      </c>
      <c r="U137" s="3114" t="e">
        <f>('2.3'!S137/'2.3'!Q137)*100</f>
        <v>#N/A</v>
      </c>
      <c r="V137" s="203" t="e">
        <f>('2.3'!T137/'2.3'!R137)*100</f>
        <v>#N/A</v>
      </c>
      <c r="W137" s="3111" t="e">
        <v>#N/A</v>
      </c>
      <c r="X137" s="3111" t="e">
        <v>#N/A</v>
      </c>
      <c r="Y137" s="1524" t="e">
        <f t="shared" si="24"/>
        <v>#N/A</v>
      </c>
    </row>
    <row r="138" spans="1:25">
      <c r="A138" s="1467">
        <f t="shared" si="27"/>
        <v>2030.3</v>
      </c>
      <c r="B138" s="1521" t="e">
        <v>#N/A</v>
      </c>
      <c r="C138" s="3111" t="e">
        <v>#N/A</v>
      </c>
      <c r="D138" s="1514" t="e">
        <v>#N/A</v>
      </c>
      <c r="E138" s="3111" t="e">
        <v>#N/A</v>
      </c>
      <c r="F138" s="3111" t="e">
        <v>#N/A</v>
      </c>
      <c r="G138" s="1523" t="e">
        <f t="shared" si="22"/>
        <v>#N/A</v>
      </c>
      <c r="H138" s="1513" t="e">
        <v>#N/A</v>
      </c>
      <c r="I138" s="3111" t="e">
        <v>#N/A</v>
      </c>
      <c r="J138" s="1514" t="e">
        <v>#N/A</v>
      </c>
      <c r="K138" s="3111" t="e">
        <v>#N/A</v>
      </c>
      <c r="L138" s="3111" t="e">
        <v>#N/A</v>
      </c>
      <c r="M138" s="1523" t="e">
        <f t="shared" si="23"/>
        <v>#N/A</v>
      </c>
      <c r="N138" s="1518" t="e">
        <f t="shared" si="29"/>
        <v>#N/A</v>
      </c>
      <c r="O138" s="3122" t="e">
        <f t="shared" si="29"/>
        <v>#N/A</v>
      </c>
      <c r="P138" s="1519" t="e">
        <f t="shared" si="29"/>
        <v>#N/A</v>
      </c>
      <c r="Q138" s="3122" t="e">
        <f t="shared" si="29"/>
        <v>#N/A</v>
      </c>
      <c r="R138" s="1519" t="e">
        <f t="shared" si="29"/>
        <v>#N/A</v>
      </c>
      <c r="S138" s="1924" t="e">
        <f t="shared" si="29"/>
        <v>#N/A</v>
      </c>
      <c r="T138" s="1535" t="e">
        <f>('2.3'!R138/'2.3'!Q138)*100</f>
        <v>#N/A</v>
      </c>
      <c r="U138" s="3114" t="e">
        <f>('2.3'!S138/'2.3'!Q138)*100</f>
        <v>#N/A</v>
      </c>
      <c r="V138" s="203" t="e">
        <f>('2.3'!T138/'2.3'!R138)*100</f>
        <v>#N/A</v>
      </c>
      <c r="W138" s="3111" t="e">
        <v>#N/A</v>
      </c>
      <c r="X138" s="3111" t="e">
        <v>#N/A</v>
      </c>
      <c r="Y138" s="1524" t="e">
        <f t="shared" si="24"/>
        <v>#N/A</v>
      </c>
    </row>
    <row r="139" spans="1:25">
      <c r="A139" s="1467">
        <f t="shared" si="27"/>
        <v>2030.4</v>
      </c>
      <c r="B139" s="1521" t="e">
        <v>#N/A</v>
      </c>
      <c r="C139" s="3111" t="e">
        <v>#N/A</v>
      </c>
      <c r="D139" s="1514" t="e">
        <v>#N/A</v>
      </c>
      <c r="E139" s="3111" t="e">
        <v>#N/A</v>
      </c>
      <c r="F139" s="3111" t="e">
        <v>#N/A</v>
      </c>
      <c r="G139" s="1523" t="e">
        <f t="shared" si="22"/>
        <v>#N/A</v>
      </c>
      <c r="H139" s="1513" t="e">
        <v>#N/A</v>
      </c>
      <c r="I139" s="3111" t="e">
        <v>#N/A</v>
      </c>
      <c r="J139" s="1514" t="e">
        <v>#N/A</v>
      </c>
      <c r="K139" s="3111" t="e">
        <v>#N/A</v>
      </c>
      <c r="L139" s="3111" t="e">
        <v>#N/A</v>
      </c>
      <c r="M139" s="1523" t="e">
        <f t="shared" si="23"/>
        <v>#N/A</v>
      </c>
      <c r="N139" s="1518" t="e">
        <f t="shared" si="29"/>
        <v>#N/A</v>
      </c>
      <c r="O139" s="3122" t="e">
        <f t="shared" si="29"/>
        <v>#N/A</v>
      </c>
      <c r="P139" s="1519" t="e">
        <f t="shared" si="29"/>
        <v>#N/A</v>
      </c>
      <c r="Q139" s="3122" t="e">
        <f t="shared" si="29"/>
        <v>#N/A</v>
      </c>
      <c r="R139" s="1519" t="e">
        <f t="shared" si="29"/>
        <v>#N/A</v>
      </c>
      <c r="S139" s="1924" t="e">
        <f t="shared" si="29"/>
        <v>#N/A</v>
      </c>
      <c r="T139" s="1535" t="e">
        <f>('2.3'!R139/'2.3'!Q139)*100</f>
        <v>#N/A</v>
      </c>
      <c r="U139" s="3114" t="e">
        <f>('2.3'!S139/'2.3'!Q139)*100</f>
        <v>#N/A</v>
      </c>
      <c r="V139" s="203" t="e">
        <f>('2.3'!T139/'2.3'!R139)*100</f>
        <v>#N/A</v>
      </c>
      <c r="W139" s="3111" t="e">
        <v>#N/A</v>
      </c>
      <c r="X139" s="3111" t="e">
        <v>#N/A</v>
      </c>
      <c r="Y139" s="1524" t="e">
        <f t="shared" si="24"/>
        <v>#N/A</v>
      </c>
    </row>
    <row r="141" spans="1:25">
      <c r="B141" s="1564" t="s">
        <v>556</v>
      </c>
    </row>
    <row r="142" spans="1:25">
      <c r="B142" s="1526"/>
    </row>
  </sheetData>
  <hyperlinks>
    <hyperlink ref="A5" location="INDICE!A13" display="VOLVER AL INDICE" xr:uid="{54B63579-229F-4826-8C24-35038D7637BF}"/>
  </hyperlink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08FE-3834-4EF0-AAA9-A98F73BAAEE4}">
  <sheetPr codeName="Hoja43"/>
  <dimension ref="A1:Y117"/>
  <sheetViews>
    <sheetView zoomScale="130" zoomScaleNormal="130" workbookViewId="0">
      <pane xSplit="1" ySplit="9" topLeftCell="M39" activePane="bottomRight" state="frozen"/>
      <selection pane="topRight" activeCell="B1" sqref="B1"/>
      <selection pane="bottomLeft" activeCell="A10" sqref="A10"/>
      <selection pane="bottomRight" activeCell="R94" sqref="R54:R94"/>
    </sheetView>
  </sheetViews>
  <sheetFormatPr baseColWidth="10" defaultColWidth="11.42578125" defaultRowHeight="12.75"/>
  <cols>
    <col min="1" max="16384" width="11.42578125" style="347"/>
  </cols>
  <sheetData>
    <row r="1" spans="1:25" s="1469" customFormat="1" ht="3.75" customHeight="1">
      <c r="A1" s="2425"/>
      <c r="B1" s="1475"/>
      <c r="C1" s="1472"/>
      <c r="D1" s="1472"/>
      <c r="E1" s="1472"/>
      <c r="F1" s="1473"/>
      <c r="G1" s="1472"/>
      <c r="H1" s="1472"/>
      <c r="I1" s="1472"/>
      <c r="J1" s="1472"/>
      <c r="K1" s="1473"/>
      <c r="L1" s="1473"/>
      <c r="M1" s="1474"/>
      <c r="N1" s="1475"/>
      <c r="O1" s="1472"/>
      <c r="P1" s="1472"/>
      <c r="Q1" s="1472"/>
      <c r="R1" s="1473"/>
      <c r="S1" s="1472"/>
      <c r="T1" s="1472"/>
      <c r="U1" s="1472"/>
      <c r="V1" s="1472"/>
      <c r="W1" s="1472"/>
      <c r="X1" s="1473"/>
      <c r="Y1" s="1476"/>
    </row>
    <row r="2" spans="1:25" s="2756" customFormat="1">
      <c r="A2" s="2425" t="s">
        <v>105</v>
      </c>
      <c r="B2" s="2427" t="s">
        <v>612</v>
      </c>
      <c r="C2" s="1432"/>
      <c r="D2" s="1432"/>
      <c r="E2" s="1432"/>
      <c r="F2" s="1432"/>
      <c r="G2" s="1432"/>
      <c r="H2" s="1432"/>
      <c r="I2" s="1432"/>
      <c r="J2" s="1432"/>
      <c r="K2" s="1432"/>
      <c r="L2" s="1432"/>
      <c r="M2" s="1433"/>
      <c r="N2" s="2427" t="s">
        <v>612</v>
      </c>
      <c r="O2" s="1432"/>
      <c r="P2" s="1432"/>
      <c r="Q2" s="1432"/>
      <c r="R2" s="1432"/>
      <c r="S2" s="1432"/>
      <c r="T2" s="1432"/>
      <c r="U2" s="1432"/>
      <c r="V2" s="1432"/>
      <c r="W2" s="1432"/>
      <c r="X2" s="1432"/>
      <c r="Y2" s="1439"/>
    </row>
    <row r="3" spans="1:25" s="1469" customFormat="1">
      <c r="A3" s="2425" t="s">
        <v>109</v>
      </c>
      <c r="B3" s="2427" t="s">
        <v>613</v>
      </c>
      <c r="C3" s="1432"/>
      <c r="D3" s="1432"/>
      <c r="E3" s="1432"/>
      <c r="F3" s="1435"/>
      <c r="G3" s="1432"/>
      <c r="H3" s="1432"/>
      <c r="I3" s="1432"/>
      <c r="J3" s="1432"/>
      <c r="K3" s="1435"/>
      <c r="L3" s="1435"/>
      <c r="M3" s="2632"/>
      <c r="N3" s="2427" t="s">
        <v>613</v>
      </c>
      <c r="O3" s="1432"/>
      <c r="P3" s="1432"/>
      <c r="Q3" s="1432"/>
      <c r="R3" s="1435"/>
      <c r="S3" s="1432"/>
      <c r="T3" s="1432"/>
      <c r="U3" s="1432"/>
      <c r="V3" s="1432"/>
      <c r="W3" s="1432"/>
      <c r="X3" s="1435"/>
      <c r="Y3" s="1436"/>
    </row>
    <row r="4" spans="1:25" s="2757" customFormat="1" ht="10.5" hidden="1" customHeight="1">
      <c r="A4" s="1287"/>
      <c r="B4" s="3123"/>
      <c r="C4" s="1481"/>
      <c r="D4" s="1479"/>
      <c r="E4" s="1481"/>
      <c r="F4" s="1480"/>
      <c r="G4" s="1481"/>
      <c r="H4" s="1481"/>
      <c r="I4" s="1479"/>
      <c r="J4" s="1481"/>
      <c r="K4" s="1480"/>
      <c r="L4" s="1480"/>
      <c r="M4" s="2633"/>
      <c r="N4" s="3123"/>
      <c r="O4" s="1481"/>
      <c r="P4" s="1479"/>
      <c r="Q4" s="1481"/>
      <c r="R4" s="1480"/>
      <c r="S4" s="1481"/>
      <c r="T4" s="1481"/>
      <c r="U4" s="1479"/>
      <c r="V4" s="1481"/>
      <c r="W4" s="1481"/>
      <c r="X4" s="1480"/>
      <c r="Y4" s="2908"/>
    </row>
    <row r="5" spans="1:25" s="1469" customFormat="1" ht="22.5">
      <c r="A5" s="2426" t="s">
        <v>137</v>
      </c>
      <c r="B5" s="2634" t="s">
        <v>614</v>
      </c>
      <c r="C5" s="1473"/>
      <c r="D5" s="1473"/>
      <c r="E5" s="1473"/>
      <c r="F5" s="1473"/>
      <c r="G5" s="2635"/>
      <c r="H5" s="1472"/>
      <c r="I5" s="1472"/>
      <c r="J5" s="1472"/>
      <c r="K5" s="1472"/>
      <c r="L5" s="2635"/>
      <c r="M5" s="2760"/>
      <c r="N5" s="2634" t="s">
        <v>615</v>
      </c>
      <c r="O5" s="1473"/>
      <c r="P5" s="1473"/>
      <c r="Q5" s="1473"/>
      <c r="R5" s="1473"/>
      <c r="S5" s="2635"/>
      <c r="T5" s="1472"/>
      <c r="U5" s="1472"/>
      <c r="V5" s="1472"/>
      <c r="W5" s="1472"/>
      <c r="X5" s="2635"/>
      <c r="Y5" s="2909"/>
    </row>
    <row r="6" spans="1:25" s="2758" customFormat="1" ht="45">
      <c r="A6" s="104"/>
      <c r="B6" s="3124" t="s">
        <v>616</v>
      </c>
      <c r="C6" s="3124" t="s">
        <v>617</v>
      </c>
      <c r="D6" s="2869" t="s">
        <v>618</v>
      </c>
      <c r="E6" s="2869" t="s">
        <v>619</v>
      </c>
      <c r="F6" s="2870" t="s">
        <v>620</v>
      </c>
      <c r="G6" s="3125" t="s">
        <v>621</v>
      </c>
      <c r="H6" s="2869" t="s">
        <v>622</v>
      </c>
      <c r="I6" s="2869" t="s">
        <v>623</v>
      </c>
      <c r="J6" s="2870" t="s">
        <v>624</v>
      </c>
      <c r="K6" s="2871" t="s">
        <v>625</v>
      </c>
      <c r="L6" s="3126" t="s">
        <v>626</v>
      </c>
      <c r="M6" s="2872" t="s">
        <v>627</v>
      </c>
      <c r="N6" s="3125" t="s">
        <v>616</v>
      </c>
      <c r="O6" s="3125" t="s">
        <v>617</v>
      </c>
      <c r="P6" s="2869" t="s">
        <v>618</v>
      </c>
      <c r="Q6" s="2873" t="s">
        <v>619</v>
      </c>
      <c r="R6" s="2870" t="s">
        <v>620</v>
      </c>
      <c r="S6" s="3125" t="s">
        <v>621</v>
      </c>
      <c r="T6" s="2869" t="s">
        <v>622</v>
      </c>
      <c r="U6" s="2873" t="s">
        <v>623</v>
      </c>
      <c r="V6" s="2870" t="s">
        <v>624</v>
      </c>
      <c r="W6" s="2871" t="s">
        <v>625</v>
      </c>
      <c r="X6" s="3126" t="s">
        <v>626</v>
      </c>
      <c r="Y6" s="2910" t="s">
        <v>627</v>
      </c>
    </row>
    <row r="7" spans="1:25" s="2758" customFormat="1" ht="22.5">
      <c r="A7" s="2425" t="s">
        <v>123</v>
      </c>
      <c r="B7" s="2428" t="s">
        <v>628</v>
      </c>
      <c r="C7" s="2428" t="s">
        <v>628</v>
      </c>
      <c r="D7" s="2874" t="s">
        <v>628</v>
      </c>
      <c r="E7" s="2636" t="s">
        <v>628</v>
      </c>
      <c r="F7" s="2636" t="s">
        <v>628</v>
      </c>
      <c r="G7" s="2428" t="s">
        <v>628</v>
      </c>
      <c r="H7" s="2874" t="s">
        <v>628</v>
      </c>
      <c r="I7" s="2636" t="s">
        <v>628</v>
      </c>
      <c r="J7" s="2636" t="s">
        <v>628</v>
      </c>
      <c r="K7" s="2761" t="s">
        <v>628</v>
      </c>
      <c r="L7" s="1492" t="s">
        <v>628</v>
      </c>
      <c r="M7" s="1492" t="s">
        <v>628</v>
      </c>
      <c r="N7" s="2428" t="s">
        <v>628</v>
      </c>
      <c r="O7" s="2428" t="s">
        <v>628</v>
      </c>
      <c r="P7" s="2874" t="s">
        <v>628</v>
      </c>
      <c r="Q7" s="2875" t="s">
        <v>628</v>
      </c>
      <c r="R7" s="2636" t="s">
        <v>628</v>
      </c>
      <c r="S7" s="2428" t="s">
        <v>628</v>
      </c>
      <c r="T7" s="2874" t="s">
        <v>628</v>
      </c>
      <c r="U7" s="2875" t="s">
        <v>628</v>
      </c>
      <c r="V7" s="2636" t="s">
        <v>628</v>
      </c>
      <c r="W7" s="2636" t="s">
        <v>628</v>
      </c>
      <c r="X7" s="1492" t="s">
        <v>628</v>
      </c>
      <c r="Y7" s="3127" t="s">
        <v>628</v>
      </c>
    </row>
    <row r="8" spans="1:25" s="1469" customFormat="1">
      <c r="A8" s="105" t="s">
        <v>141</v>
      </c>
      <c r="B8" s="2429" t="s">
        <v>629</v>
      </c>
      <c r="C8" s="2429" t="s">
        <v>630</v>
      </c>
      <c r="D8" s="1444" t="s">
        <v>631</v>
      </c>
      <c r="E8" s="1444" t="s">
        <v>632</v>
      </c>
      <c r="F8" s="1444" t="s">
        <v>633</v>
      </c>
      <c r="G8" s="2429" t="s">
        <v>634</v>
      </c>
      <c r="H8" s="1444" t="s">
        <v>635</v>
      </c>
      <c r="I8" s="1445" t="s">
        <v>636</v>
      </c>
      <c r="J8" s="1444" t="s">
        <v>637</v>
      </c>
      <c r="K8" s="2762" t="s">
        <v>638</v>
      </c>
      <c r="L8" s="3128" t="s">
        <v>639</v>
      </c>
      <c r="M8" s="3128"/>
      <c r="N8" s="2429" t="s">
        <v>640</v>
      </c>
      <c r="O8" s="2429" t="s">
        <v>641</v>
      </c>
      <c r="P8" s="1444" t="s">
        <v>642</v>
      </c>
      <c r="Q8" s="2637" t="s">
        <v>643</v>
      </c>
      <c r="R8" s="1444" t="s">
        <v>644</v>
      </c>
      <c r="S8" s="2429" t="s">
        <v>645</v>
      </c>
      <c r="T8" s="1444" t="s">
        <v>646</v>
      </c>
      <c r="U8" s="1445" t="s">
        <v>647</v>
      </c>
      <c r="V8" s="1444" t="s">
        <v>648</v>
      </c>
      <c r="W8" s="1444" t="s">
        <v>649</v>
      </c>
      <c r="X8" s="3128" t="s">
        <v>650</v>
      </c>
      <c r="Y8" s="3129"/>
    </row>
    <row r="9" spans="1:25" s="1469" customFormat="1" ht="13.5" thickBot="1">
      <c r="A9" s="2912" t="s">
        <v>517</v>
      </c>
      <c r="B9" s="2913"/>
      <c r="C9" s="2913"/>
      <c r="D9" s="2914"/>
      <c r="E9" s="2914"/>
      <c r="F9" s="2914"/>
      <c r="G9" s="2913"/>
      <c r="H9" s="2914"/>
      <c r="I9" s="2915"/>
      <c r="J9" s="2914"/>
      <c r="K9" s="2916"/>
      <c r="L9" s="2917"/>
      <c r="M9" s="2917"/>
      <c r="N9" s="2913"/>
      <c r="O9" s="2913"/>
      <c r="P9" s="2914"/>
      <c r="Q9" s="2918"/>
      <c r="R9" s="2914"/>
      <c r="S9" s="2913"/>
      <c r="T9" s="2914"/>
      <c r="U9" s="2915"/>
      <c r="V9" s="2914"/>
      <c r="W9" s="2914"/>
      <c r="X9" s="2917"/>
      <c r="Y9" s="2919"/>
    </row>
    <row r="10" spans="1:25" s="2759" customFormat="1">
      <c r="A10" s="2920">
        <v>2004.1</v>
      </c>
      <c r="B10" s="2921">
        <v>61655</v>
      </c>
      <c r="C10" s="2922">
        <v>187428</v>
      </c>
      <c r="D10" s="2923">
        <v>13512</v>
      </c>
      <c r="E10" s="2923">
        <v>54137</v>
      </c>
      <c r="F10" s="2924">
        <v>119779</v>
      </c>
      <c r="G10" s="2922">
        <v>184844</v>
      </c>
      <c r="H10" s="2923">
        <v>4752</v>
      </c>
      <c r="I10" s="2925">
        <v>50879</v>
      </c>
      <c r="J10" s="2923">
        <v>113943</v>
      </c>
      <c r="K10" s="2924">
        <v>15270</v>
      </c>
      <c r="L10" s="2926">
        <v>16188</v>
      </c>
      <c r="M10" s="2982">
        <f>+'2.3'!D32*1000-SUM(B10:C10,G10,L10)</f>
        <v>0</v>
      </c>
      <c r="N10" s="2927"/>
      <c r="O10" s="2928"/>
      <c r="P10" s="2928"/>
      <c r="Q10" s="2928"/>
      <c r="R10" s="2929"/>
      <c r="S10" s="2930"/>
      <c r="T10" s="2928"/>
      <c r="U10" s="2928"/>
      <c r="V10" s="2928"/>
      <c r="W10" s="2929"/>
      <c r="X10" s="2931"/>
      <c r="Y10" s="2932"/>
    </row>
    <row r="11" spans="1:25" s="2759" customFormat="1">
      <c r="A11" s="2638">
        <v>2004.2</v>
      </c>
      <c r="B11" s="2886">
        <v>68596</v>
      </c>
      <c r="C11" s="2887">
        <v>193778</v>
      </c>
      <c r="D11" s="2888">
        <v>9184</v>
      </c>
      <c r="E11" s="2888">
        <v>60942</v>
      </c>
      <c r="F11" s="2888">
        <v>123652</v>
      </c>
      <c r="G11" s="2887">
        <v>187087</v>
      </c>
      <c r="H11" s="2888">
        <v>6299</v>
      </c>
      <c r="I11" s="2889">
        <v>52491</v>
      </c>
      <c r="J11" s="2888">
        <v>120280</v>
      </c>
      <c r="K11" s="2890">
        <v>8017</v>
      </c>
      <c r="L11" s="2890">
        <v>12784</v>
      </c>
      <c r="M11" s="2983">
        <f>+'2.3'!D33*1000-SUM(B11:C11,G11,L11)</f>
        <v>0</v>
      </c>
      <c r="N11" s="2880"/>
      <c r="O11" s="2876"/>
      <c r="P11" s="2876"/>
      <c r="Q11" s="2876"/>
      <c r="R11" s="2879"/>
      <c r="S11" s="2639"/>
      <c r="T11" s="2876"/>
      <c r="U11" s="2876"/>
      <c r="V11" s="2876"/>
      <c r="W11" s="2879"/>
      <c r="X11" s="2877"/>
      <c r="Y11" s="2911"/>
    </row>
    <row r="12" spans="1:25" s="2759" customFormat="1">
      <c r="A12" s="2638">
        <v>2004.3</v>
      </c>
      <c r="B12" s="2886">
        <v>67922</v>
      </c>
      <c r="C12" s="2887">
        <v>202718</v>
      </c>
      <c r="D12" s="2888">
        <v>14325</v>
      </c>
      <c r="E12" s="2888">
        <v>52762</v>
      </c>
      <c r="F12" s="2888">
        <v>135631</v>
      </c>
      <c r="G12" s="2887">
        <v>186517</v>
      </c>
      <c r="H12" s="2888">
        <v>13331</v>
      </c>
      <c r="I12" s="2889">
        <v>42448</v>
      </c>
      <c r="J12" s="2888">
        <v>122876</v>
      </c>
      <c r="K12" s="2890">
        <v>7862</v>
      </c>
      <c r="L12" s="2890">
        <v>11816</v>
      </c>
      <c r="M12" s="2983">
        <f>+'2.3'!D34*1000-SUM(B12:C12,G12,L12)</f>
        <v>0</v>
      </c>
      <c r="N12" s="2880"/>
      <c r="O12" s="2876"/>
      <c r="P12" s="2876"/>
      <c r="Q12" s="2876"/>
      <c r="R12" s="2879"/>
      <c r="S12" s="2639"/>
      <c r="T12" s="2876"/>
      <c r="U12" s="2876"/>
      <c r="V12" s="2876"/>
      <c r="W12" s="2879"/>
      <c r="X12" s="2877"/>
      <c r="Y12" s="2911"/>
    </row>
    <row r="13" spans="1:25" s="2759" customFormat="1">
      <c r="A13" s="2638">
        <v>2004.4</v>
      </c>
      <c r="B13" s="2886">
        <v>69420</v>
      </c>
      <c r="C13" s="2887">
        <v>196406</v>
      </c>
      <c r="D13" s="2888">
        <v>19249</v>
      </c>
      <c r="E13" s="2888">
        <v>43002</v>
      </c>
      <c r="F13" s="2888">
        <v>134155</v>
      </c>
      <c r="G13" s="2887">
        <v>189606</v>
      </c>
      <c r="H13" s="2888">
        <v>3195</v>
      </c>
      <c r="I13" s="2889">
        <v>41254</v>
      </c>
      <c r="J13" s="2888">
        <v>135362</v>
      </c>
      <c r="K13" s="2890">
        <v>9795</v>
      </c>
      <c r="L13" s="2890">
        <v>11153</v>
      </c>
      <c r="M13" s="2983">
        <f>+'2.3'!D35*1000-SUM(B13:C13,G13,L13)</f>
        <v>0</v>
      </c>
      <c r="N13" s="2880"/>
      <c r="O13" s="2876"/>
      <c r="P13" s="2876"/>
      <c r="Q13" s="2876"/>
      <c r="R13" s="2879"/>
      <c r="S13" s="2639"/>
      <c r="T13" s="2876"/>
      <c r="U13" s="2876"/>
      <c r="V13" s="2876"/>
      <c r="W13" s="2879"/>
      <c r="X13" s="2877"/>
      <c r="Y13" s="2911"/>
    </row>
    <row r="14" spans="1:25" s="2759" customFormat="1">
      <c r="A14" s="2638">
        <v>2005.1</v>
      </c>
      <c r="B14" s="2886">
        <v>63243</v>
      </c>
      <c r="C14" s="2887">
        <v>206403</v>
      </c>
      <c r="D14" s="2888">
        <v>15550</v>
      </c>
      <c r="E14" s="2888">
        <v>45356</v>
      </c>
      <c r="F14" s="2888">
        <v>145497</v>
      </c>
      <c r="G14" s="2887">
        <v>178421</v>
      </c>
      <c r="H14" s="2888">
        <v>7892</v>
      </c>
      <c r="I14" s="2889">
        <v>37987</v>
      </c>
      <c r="J14" s="2888">
        <v>124480</v>
      </c>
      <c r="K14" s="2890">
        <v>8062</v>
      </c>
      <c r="L14" s="2890">
        <v>10242</v>
      </c>
      <c r="M14" s="2983">
        <f>+'2.3'!D36*1000-SUM(B14:C14,G14,L14)</f>
        <v>0</v>
      </c>
      <c r="N14" s="2880"/>
      <c r="O14" s="2876"/>
      <c r="P14" s="2876"/>
      <c r="Q14" s="2876"/>
      <c r="R14" s="2879"/>
      <c r="S14" s="2639"/>
      <c r="T14" s="2876"/>
      <c r="U14" s="2876"/>
      <c r="V14" s="2876"/>
      <c r="W14" s="2879"/>
      <c r="X14" s="2877"/>
      <c r="Y14" s="2911"/>
    </row>
    <row r="15" spans="1:25" s="2759" customFormat="1">
      <c r="A15" s="2638">
        <v>2005.2</v>
      </c>
      <c r="B15" s="2886">
        <v>63349</v>
      </c>
      <c r="C15" s="2887">
        <v>221580</v>
      </c>
      <c r="D15" s="2888">
        <v>12104</v>
      </c>
      <c r="E15" s="2888">
        <v>58505</v>
      </c>
      <c r="F15" s="2888">
        <v>150971</v>
      </c>
      <c r="G15" s="2887">
        <v>183734</v>
      </c>
      <c r="H15" s="2888">
        <v>11318</v>
      </c>
      <c r="I15" s="2889">
        <v>38126</v>
      </c>
      <c r="J15" s="2888">
        <v>129999</v>
      </c>
      <c r="K15" s="2890">
        <v>4291</v>
      </c>
      <c r="L15" s="2890">
        <v>11692</v>
      </c>
      <c r="M15" s="2983">
        <f>+'2.3'!D37*1000-SUM(B15:C15,G15,L15)</f>
        <v>0</v>
      </c>
      <c r="N15" s="2880"/>
      <c r="O15" s="2876"/>
      <c r="P15" s="2876"/>
      <c r="Q15" s="2876"/>
      <c r="R15" s="2879"/>
      <c r="S15" s="2639"/>
      <c r="T15" s="2876"/>
      <c r="U15" s="2876"/>
      <c r="V15" s="2876"/>
      <c r="W15" s="2879"/>
      <c r="X15" s="2877"/>
      <c r="Y15" s="2911"/>
    </row>
    <row r="16" spans="1:25" s="2759" customFormat="1">
      <c r="A16" s="2638">
        <v>2005.3</v>
      </c>
      <c r="B16" s="2886">
        <v>73472</v>
      </c>
      <c r="C16" s="2887">
        <v>220366</v>
      </c>
      <c r="D16" s="2888">
        <v>16641</v>
      </c>
      <c r="E16" s="2888">
        <v>61491</v>
      </c>
      <c r="F16" s="2888">
        <v>142234</v>
      </c>
      <c r="G16" s="2887">
        <v>190427</v>
      </c>
      <c r="H16" s="2888">
        <v>4535</v>
      </c>
      <c r="I16" s="2889">
        <v>42100</v>
      </c>
      <c r="J16" s="2888">
        <v>141113</v>
      </c>
      <c r="K16" s="2890">
        <v>2679</v>
      </c>
      <c r="L16" s="2890">
        <v>9647</v>
      </c>
      <c r="M16" s="2983">
        <f>+'2.3'!D38*1000-SUM(B16:C16,G16,L16)</f>
        <v>0</v>
      </c>
      <c r="N16" s="2880"/>
      <c r="O16" s="2876"/>
      <c r="P16" s="2876"/>
      <c r="Q16" s="2876"/>
      <c r="R16" s="2879"/>
      <c r="S16" s="2639"/>
      <c r="T16" s="2876"/>
      <c r="U16" s="2876"/>
      <c r="V16" s="2876"/>
      <c r="W16" s="2879"/>
      <c r="X16" s="2877"/>
      <c r="Y16" s="2911"/>
    </row>
    <row r="17" spans="1:25" s="2759" customFormat="1">
      <c r="A17" s="2638">
        <v>2005.4</v>
      </c>
      <c r="B17" s="2886">
        <v>67400</v>
      </c>
      <c r="C17" s="2887">
        <v>229158</v>
      </c>
      <c r="D17" s="2888">
        <v>19123</v>
      </c>
      <c r="E17" s="2888">
        <v>63427</v>
      </c>
      <c r="F17" s="2888">
        <v>146608</v>
      </c>
      <c r="G17" s="2887">
        <v>190167</v>
      </c>
      <c r="H17" s="2888">
        <v>10360</v>
      </c>
      <c r="I17" s="2889">
        <v>29533</v>
      </c>
      <c r="J17" s="2888">
        <v>146581</v>
      </c>
      <c r="K17" s="2890">
        <v>3693</v>
      </c>
      <c r="L17" s="2890">
        <v>14164</v>
      </c>
      <c r="M17" s="2983">
        <f>+'2.3'!D39*1000-SUM(B17:C17,G17,L17)</f>
        <v>0</v>
      </c>
      <c r="N17" s="2880"/>
      <c r="O17" s="2876"/>
      <c r="P17" s="2876"/>
      <c r="Q17" s="2876"/>
      <c r="R17" s="2879"/>
      <c r="S17" s="2639"/>
      <c r="T17" s="2876"/>
      <c r="U17" s="2876"/>
      <c r="V17" s="2876"/>
      <c r="W17" s="2879"/>
      <c r="X17" s="2877"/>
      <c r="Y17" s="2911"/>
    </row>
    <row r="18" spans="1:25" s="1469" customFormat="1">
      <c r="A18" s="2638">
        <v>2006.1</v>
      </c>
      <c r="B18" s="2886">
        <v>54461</v>
      </c>
      <c r="C18" s="2887">
        <v>234538</v>
      </c>
      <c r="D18" s="2888">
        <v>19466</v>
      </c>
      <c r="E18" s="2888">
        <v>56854</v>
      </c>
      <c r="F18" s="2888">
        <v>158218</v>
      </c>
      <c r="G18" s="2887">
        <v>186120</v>
      </c>
      <c r="H18" s="2888">
        <v>7152</v>
      </c>
      <c r="I18" s="2889">
        <v>31146</v>
      </c>
      <c r="J18" s="2888">
        <v>138272</v>
      </c>
      <c r="K18" s="2890">
        <v>9550</v>
      </c>
      <c r="L18" s="2890">
        <v>7058</v>
      </c>
      <c r="M18" s="2983">
        <f>+'2.3'!D40*1000-SUM(B18:C18,G18,L18)</f>
        <v>0</v>
      </c>
      <c r="N18" s="2880"/>
      <c r="O18" s="2876"/>
      <c r="P18" s="2876"/>
      <c r="Q18" s="2876"/>
      <c r="R18" s="2879"/>
      <c r="S18" s="2639"/>
      <c r="T18" s="2876"/>
      <c r="U18" s="2876"/>
      <c r="V18" s="2876"/>
      <c r="W18" s="2879"/>
      <c r="X18" s="2877"/>
      <c r="Y18" s="2911"/>
    </row>
    <row r="19" spans="1:25">
      <c r="A19" s="2638">
        <v>2006.2</v>
      </c>
      <c r="B19" s="2886">
        <v>64203</v>
      </c>
      <c r="C19" s="2887">
        <v>241824</v>
      </c>
      <c r="D19" s="2888">
        <v>16169</v>
      </c>
      <c r="E19" s="2888">
        <v>55903</v>
      </c>
      <c r="F19" s="2888">
        <v>169752</v>
      </c>
      <c r="G19" s="2887">
        <v>178072</v>
      </c>
      <c r="H19" s="2888">
        <v>7002</v>
      </c>
      <c r="I19" s="2889">
        <v>42660</v>
      </c>
      <c r="J19" s="2888">
        <v>122102</v>
      </c>
      <c r="K19" s="2890">
        <v>6308</v>
      </c>
      <c r="L19" s="2890">
        <v>5665</v>
      </c>
      <c r="M19" s="2983">
        <f>+'2.3'!D41*1000-SUM(B19:C19,G19,L19)</f>
        <v>0</v>
      </c>
      <c r="N19" s="2880"/>
      <c r="O19" s="2876"/>
      <c r="P19" s="2876"/>
      <c r="Q19" s="2876"/>
      <c r="R19" s="2879"/>
      <c r="S19" s="2639"/>
      <c r="T19" s="2876"/>
      <c r="U19" s="2876"/>
      <c r="V19" s="2876"/>
      <c r="W19" s="2879"/>
      <c r="X19" s="2877"/>
      <c r="Y19" s="2911"/>
    </row>
    <row r="20" spans="1:25">
      <c r="A20" s="2638">
        <v>2006.3</v>
      </c>
      <c r="B20" s="2887">
        <v>64839</v>
      </c>
      <c r="C20" s="2887">
        <v>247933</v>
      </c>
      <c r="D20" s="2888">
        <v>16424</v>
      </c>
      <c r="E20" s="2888">
        <v>69596</v>
      </c>
      <c r="F20" s="2888">
        <v>161913</v>
      </c>
      <c r="G20" s="2887">
        <v>188752</v>
      </c>
      <c r="H20" s="2888">
        <v>1809</v>
      </c>
      <c r="I20" s="2889">
        <v>31639</v>
      </c>
      <c r="J20" s="2888">
        <v>146262</v>
      </c>
      <c r="K20" s="2890">
        <v>9042</v>
      </c>
      <c r="L20" s="2890">
        <v>5891</v>
      </c>
      <c r="M20" s="2983">
        <f>+'2.3'!D42*1000-SUM(B20:C20,G20,L20)</f>
        <v>0</v>
      </c>
      <c r="N20" s="2881">
        <v>47146</v>
      </c>
      <c r="O20" s="2882">
        <v>64856</v>
      </c>
      <c r="P20" s="2883">
        <v>7767</v>
      </c>
      <c r="Q20" s="2895">
        <v>16227</v>
      </c>
      <c r="R20" s="2884">
        <v>40862</v>
      </c>
      <c r="S20" s="2882">
        <v>62674</v>
      </c>
      <c r="T20" s="2883">
        <v>2907</v>
      </c>
      <c r="U20" s="2885">
        <v>17905</v>
      </c>
      <c r="V20" s="2883">
        <v>41605</v>
      </c>
      <c r="W20" s="2896">
        <v>257</v>
      </c>
      <c r="X20" s="2897">
        <v>5731</v>
      </c>
      <c r="Y20" s="2986">
        <f>'2.3'!I42*1000-SUM(N20:O20,S20,X20)</f>
        <v>0</v>
      </c>
    </row>
    <row r="21" spans="1:25">
      <c r="A21" s="2638">
        <v>2006.4</v>
      </c>
      <c r="B21" s="2887">
        <v>57621</v>
      </c>
      <c r="C21" s="2887">
        <v>265114</v>
      </c>
      <c r="D21" s="2888">
        <v>17760</v>
      </c>
      <c r="E21" s="2888">
        <v>70346</v>
      </c>
      <c r="F21" s="2888">
        <v>177008</v>
      </c>
      <c r="G21" s="2887">
        <v>185205</v>
      </c>
      <c r="H21" s="2888">
        <v>6425</v>
      </c>
      <c r="I21" s="2889">
        <v>38464</v>
      </c>
      <c r="J21" s="2888">
        <v>131821</v>
      </c>
      <c r="K21" s="2890">
        <v>8495</v>
      </c>
      <c r="L21" s="2890">
        <v>5377</v>
      </c>
      <c r="M21" s="2983">
        <f>+'2.3'!D43*1000-SUM(B21:C21,G21,L21)</f>
        <v>0</v>
      </c>
      <c r="N21" s="2886">
        <v>47937</v>
      </c>
      <c r="O21" s="2887">
        <v>71542</v>
      </c>
      <c r="P21" s="2888">
        <v>12703</v>
      </c>
      <c r="Q21" s="2898">
        <v>17583</v>
      </c>
      <c r="R21" s="2888">
        <v>41256</v>
      </c>
      <c r="S21" s="2887">
        <v>63706</v>
      </c>
      <c r="T21" s="2888">
        <v>2945</v>
      </c>
      <c r="U21" s="2889">
        <v>16904</v>
      </c>
      <c r="V21" s="2888">
        <v>42805</v>
      </c>
      <c r="W21" s="2899">
        <v>1052</v>
      </c>
      <c r="X21" s="2900">
        <v>5176</v>
      </c>
      <c r="Y21" s="2987">
        <f>'2.3'!I43*1000-SUM(N21:O21,S21,X21)</f>
        <v>0</v>
      </c>
    </row>
    <row r="22" spans="1:25">
      <c r="A22" s="2638">
        <v>2007.1</v>
      </c>
      <c r="B22" s="2887">
        <v>57247</v>
      </c>
      <c r="C22" s="2887">
        <v>274574</v>
      </c>
      <c r="D22" s="2888">
        <v>15393</v>
      </c>
      <c r="E22" s="2888">
        <v>68369</v>
      </c>
      <c r="F22" s="2888">
        <v>190812</v>
      </c>
      <c r="G22" s="2887">
        <v>175164</v>
      </c>
      <c r="H22" s="2888">
        <v>6064</v>
      </c>
      <c r="I22" s="2889">
        <v>37717</v>
      </c>
      <c r="J22" s="2888">
        <v>125484</v>
      </c>
      <c r="K22" s="2890">
        <v>5899</v>
      </c>
      <c r="L22" s="2890">
        <v>1506</v>
      </c>
      <c r="M22" s="2983">
        <f>+'2.3'!D44*1000-SUM(B22:C22,G22,L22)</f>
        <v>0</v>
      </c>
      <c r="N22" s="2886">
        <v>40382</v>
      </c>
      <c r="O22" s="2887">
        <v>74903</v>
      </c>
      <c r="P22" s="2888">
        <v>8233</v>
      </c>
      <c r="Q22" s="2898">
        <v>19258</v>
      </c>
      <c r="R22" s="2888">
        <v>47412</v>
      </c>
      <c r="S22" s="2887">
        <v>59301</v>
      </c>
      <c r="T22" s="2888">
        <v>3449</v>
      </c>
      <c r="U22" s="2889">
        <v>18052</v>
      </c>
      <c r="V22" s="2888">
        <v>37800</v>
      </c>
      <c r="W22" s="2899">
        <v>0</v>
      </c>
      <c r="X22" s="2900">
        <v>4436</v>
      </c>
      <c r="Y22" s="2987">
        <f>'2.3'!I44*1000-SUM(N22:O22,S22,X22)</f>
        <v>0</v>
      </c>
    </row>
    <row r="23" spans="1:25">
      <c r="A23" s="2638">
        <v>2007.2</v>
      </c>
      <c r="B23" s="2887">
        <v>72403</v>
      </c>
      <c r="C23" s="2887">
        <v>270671</v>
      </c>
      <c r="D23" s="2888">
        <v>24689</v>
      </c>
      <c r="E23" s="2888">
        <v>69399</v>
      </c>
      <c r="F23" s="2888">
        <v>176583</v>
      </c>
      <c r="G23" s="2887">
        <v>163593</v>
      </c>
      <c r="H23" s="2888">
        <v>4639</v>
      </c>
      <c r="I23" s="2889">
        <v>31566</v>
      </c>
      <c r="J23" s="2888">
        <v>124590</v>
      </c>
      <c r="K23" s="2890">
        <v>2798</v>
      </c>
      <c r="L23" s="2890">
        <v>2809</v>
      </c>
      <c r="M23" s="2983">
        <f>+'2.3'!D45*1000-SUM(B23:C23,G23,L23)</f>
        <v>0</v>
      </c>
      <c r="N23" s="2886">
        <v>39128</v>
      </c>
      <c r="O23" s="2887">
        <v>64085</v>
      </c>
      <c r="P23" s="2888">
        <v>8401</v>
      </c>
      <c r="Q23" s="2898">
        <v>13714</v>
      </c>
      <c r="R23" s="2888">
        <v>41970</v>
      </c>
      <c r="S23" s="2887">
        <v>69648</v>
      </c>
      <c r="T23" s="2888">
        <v>2666</v>
      </c>
      <c r="U23" s="2889">
        <v>18899</v>
      </c>
      <c r="V23" s="2888">
        <v>48083</v>
      </c>
      <c r="W23" s="2899">
        <v>0</v>
      </c>
      <c r="X23" s="2900">
        <v>4361</v>
      </c>
      <c r="Y23" s="2987">
        <f>'2.3'!I45*1000-SUM(N23:O23,S23,X23)</f>
        <v>0</v>
      </c>
    </row>
    <row r="24" spans="1:25">
      <c r="A24" s="2638">
        <v>2007.3</v>
      </c>
      <c r="B24" s="2887">
        <v>60698</v>
      </c>
      <c r="C24" s="2886">
        <v>276724.5</v>
      </c>
      <c r="D24" s="2936">
        <v>22126.5</v>
      </c>
      <c r="E24" s="2936">
        <v>67635.5</v>
      </c>
      <c r="F24" s="2936">
        <v>186962.5</v>
      </c>
      <c r="G24" s="2886">
        <v>177488.5</v>
      </c>
      <c r="H24" s="2936">
        <v>3462.5</v>
      </c>
      <c r="I24" s="2938">
        <v>34702</v>
      </c>
      <c r="J24" s="2936">
        <v>135503</v>
      </c>
      <c r="K24" s="2941">
        <v>3821</v>
      </c>
      <c r="L24" s="2941">
        <v>2684</v>
      </c>
      <c r="M24" s="2984">
        <v>0</v>
      </c>
      <c r="N24" s="2887">
        <v>38631</v>
      </c>
      <c r="O24" s="2886">
        <v>38218.5</v>
      </c>
      <c r="P24" s="2936">
        <v>6582</v>
      </c>
      <c r="Q24" s="2937">
        <v>9506.5</v>
      </c>
      <c r="R24" s="2936">
        <v>22130</v>
      </c>
      <c r="S24" s="2886">
        <v>33914.5</v>
      </c>
      <c r="T24" s="2936">
        <v>1575</v>
      </c>
      <c r="U24" s="2938">
        <v>8794.5</v>
      </c>
      <c r="V24" s="2936">
        <v>23268</v>
      </c>
      <c r="W24" s="2939">
        <v>277</v>
      </c>
      <c r="X24" s="2940">
        <v>1684.5</v>
      </c>
      <c r="Y24" s="2988">
        <v>0</v>
      </c>
    </row>
    <row r="25" spans="1:25">
      <c r="A25" s="2638">
        <v>2007.4</v>
      </c>
      <c r="B25" s="2891">
        <v>48993</v>
      </c>
      <c r="C25" s="2891">
        <v>282778</v>
      </c>
      <c r="D25" s="2892">
        <v>19564</v>
      </c>
      <c r="E25" s="2892">
        <v>65872</v>
      </c>
      <c r="F25" s="2892">
        <v>197342</v>
      </c>
      <c r="G25" s="2891">
        <v>191384</v>
      </c>
      <c r="H25" s="2892">
        <v>2286</v>
      </c>
      <c r="I25" s="2893">
        <v>37838</v>
      </c>
      <c r="J25" s="2892">
        <v>146416</v>
      </c>
      <c r="K25" s="2894">
        <v>4844</v>
      </c>
      <c r="L25" s="2894">
        <v>2559</v>
      </c>
      <c r="M25" s="2983">
        <f>+'2.3'!D47*1000-SUM(B25:C25,G25,L25)</f>
        <v>0</v>
      </c>
      <c r="N25" s="2891">
        <v>38135</v>
      </c>
      <c r="O25" s="2891">
        <v>76437</v>
      </c>
      <c r="P25" s="2892">
        <v>13164</v>
      </c>
      <c r="Q25" s="2901">
        <v>19013</v>
      </c>
      <c r="R25" s="2892">
        <v>44260</v>
      </c>
      <c r="S25" s="2891">
        <v>67829</v>
      </c>
      <c r="T25" s="2892">
        <v>3150</v>
      </c>
      <c r="U25" s="2893">
        <v>17589</v>
      </c>
      <c r="V25" s="2892">
        <v>46536</v>
      </c>
      <c r="W25" s="2902">
        <v>554</v>
      </c>
      <c r="X25" s="2903">
        <v>3369</v>
      </c>
      <c r="Y25" s="2987">
        <f>'2.3'!I47*1000-SUM(N25:O25,S25,X25)</f>
        <v>0</v>
      </c>
    </row>
    <row r="26" spans="1:25">
      <c r="A26" s="2638">
        <v>2008.1</v>
      </c>
      <c r="B26" s="2891">
        <v>61350</v>
      </c>
      <c r="C26" s="2891">
        <v>292243</v>
      </c>
      <c r="D26" s="2892">
        <v>19190</v>
      </c>
      <c r="E26" s="2892">
        <v>61642</v>
      </c>
      <c r="F26" s="2892">
        <v>211411</v>
      </c>
      <c r="G26" s="2891">
        <v>174593</v>
      </c>
      <c r="H26" s="2892">
        <v>8828</v>
      </c>
      <c r="I26" s="2893">
        <v>24349</v>
      </c>
      <c r="J26" s="2892">
        <v>136200</v>
      </c>
      <c r="K26" s="2894">
        <v>5216</v>
      </c>
      <c r="L26" s="2894">
        <v>914</v>
      </c>
      <c r="M26" s="2983">
        <f>+'2.3'!D48*1000-SUM(B26:C26,G26,L26)</f>
        <v>0</v>
      </c>
      <c r="N26" s="2891">
        <v>39451</v>
      </c>
      <c r="O26" s="2891">
        <v>71583</v>
      </c>
      <c r="P26" s="2892">
        <v>7627</v>
      </c>
      <c r="Q26" s="2901">
        <v>18459</v>
      </c>
      <c r="R26" s="2892">
        <v>45497</v>
      </c>
      <c r="S26" s="2891">
        <v>81778</v>
      </c>
      <c r="T26" s="2892">
        <v>5762</v>
      </c>
      <c r="U26" s="2893">
        <v>20055</v>
      </c>
      <c r="V26" s="2892">
        <v>55660</v>
      </c>
      <c r="W26" s="2902">
        <v>301</v>
      </c>
      <c r="X26" s="2903">
        <v>4218</v>
      </c>
      <c r="Y26" s="2987">
        <f>'2.3'!I48*1000-SUM(N26:O26,S26,X26)</f>
        <v>0</v>
      </c>
    </row>
    <row r="27" spans="1:25">
      <c r="A27" s="2638">
        <v>2008.2</v>
      </c>
      <c r="B27" s="2891">
        <v>50972</v>
      </c>
      <c r="C27" s="2891">
        <v>306237</v>
      </c>
      <c r="D27" s="2892">
        <v>17257</v>
      </c>
      <c r="E27" s="2892">
        <v>68181</v>
      </c>
      <c r="F27" s="2892">
        <v>220799</v>
      </c>
      <c r="G27" s="2891">
        <v>179795</v>
      </c>
      <c r="H27" s="2892">
        <v>5839</v>
      </c>
      <c r="I27" s="2893">
        <v>29090</v>
      </c>
      <c r="J27" s="2892">
        <v>139538</v>
      </c>
      <c r="K27" s="2894">
        <v>5328</v>
      </c>
      <c r="L27" s="2894">
        <v>542</v>
      </c>
      <c r="M27" s="2983">
        <f>+'2.3'!D49*1000-SUM(B27:C27,G27,L27)</f>
        <v>0</v>
      </c>
      <c r="N27" s="2891">
        <v>36088</v>
      </c>
      <c r="O27" s="2891">
        <v>72422</v>
      </c>
      <c r="P27" s="2892">
        <v>7319</v>
      </c>
      <c r="Q27" s="2901">
        <v>16333</v>
      </c>
      <c r="R27" s="2892">
        <v>48770</v>
      </c>
      <c r="S27" s="2891">
        <v>73335</v>
      </c>
      <c r="T27" s="2892">
        <v>5038</v>
      </c>
      <c r="U27" s="2893">
        <v>23572</v>
      </c>
      <c r="V27" s="2892">
        <v>44499</v>
      </c>
      <c r="W27" s="2902">
        <v>226</v>
      </c>
      <c r="X27" s="2903">
        <v>2550</v>
      </c>
      <c r="Y27" s="2987">
        <f>'2.3'!I49*1000-SUM(N27:O27,S27,X27)</f>
        <v>0</v>
      </c>
    </row>
    <row r="28" spans="1:25">
      <c r="A28" s="2638">
        <v>2008.3</v>
      </c>
      <c r="B28" s="2891">
        <v>50491</v>
      </c>
      <c r="C28" s="2891">
        <v>280597</v>
      </c>
      <c r="D28" s="2892">
        <v>18905</v>
      </c>
      <c r="E28" s="2892">
        <v>66638</v>
      </c>
      <c r="F28" s="2892">
        <v>195054</v>
      </c>
      <c r="G28" s="2891">
        <v>187311</v>
      </c>
      <c r="H28" s="2892">
        <v>9783</v>
      </c>
      <c r="I28" s="2893">
        <v>30834</v>
      </c>
      <c r="J28" s="2892">
        <v>142797</v>
      </c>
      <c r="K28" s="2894">
        <v>3897</v>
      </c>
      <c r="L28" s="2894">
        <v>3486</v>
      </c>
      <c r="M28" s="2983">
        <f>+'2.3'!D50*1000-SUM(B28:C28,G28,L28)</f>
        <v>0</v>
      </c>
      <c r="N28" s="2891">
        <v>35364</v>
      </c>
      <c r="O28" s="2891">
        <v>73236</v>
      </c>
      <c r="P28" s="2892">
        <v>7119</v>
      </c>
      <c r="Q28" s="2901">
        <v>22210</v>
      </c>
      <c r="R28" s="2892">
        <v>43907</v>
      </c>
      <c r="S28" s="2891">
        <v>74334</v>
      </c>
      <c r="T28" s="2892">
        <v>3230</v>
      </c>
      <c r="U28" s="2893">
        <v>21991</v>
      </c>
      <c r="V28" s="2892">
        <v>49113</v>
      </c>
      <c r="W28" s="2902">
        <v>0</v>
      </c>
      <c r="X28" s="2903">
        <v>2584</v>
      </c>
      <c r="Y28" s="2987">
        <f>'2.3'!I50*1000-SUM(N28:O28,S28,X28)</f>
        <v>0</v>
      </c>
    </row>
    <row r="29" spans="1:25">
      <c r="A29" s="2638">
        <v>2008.4</v>
      </c>
      <c r="B29" s="2891">
        <v>53162</v>
      </c>
      <c r="C29" s="2891">
        <v>290531</v>
      </c>
      <c r="D29" s="2892">
        <v>19432</v>
      </c>
      <c r="E29" s="2892">
        <v>74169</v>
      </c>
      <c r="F29" s="2892">
        <v>196930</v>
      </c>
      <c r="G29" s="2891">
        <v>184615</v>
      </c>
      <c r="H29" s="2892">
        <v>5102</v>
      </c>
      <c r="I29" s="2893">
        <v>27989</v>
      </c>
      <c r="J29" s="2892">
        <v>147986</v>
      </c>
      <c r="K29" s="2894">
        <v>3538</v>
      </c>
      <c r="L29" s="2894">
        <v>2255</v>
      </c>
      <c r="M29" s="2983">
        <f>+'2.3'!D51*1000-SUM(B29:C29,G29,L29)</f>
        <v>0</v>
      </c>
      <c r="N29" s="2891">
        <v>38249</v>
      </c>
      <c r="O29" s="2891">
        <v>82639</v>
      </c>
      <c r="P29" s="2892">
        <v>8749</v>
      </c>
      <c r="Q29" s="2901">
        <v>21246</v>
      </c>
      <c r="R29" s="2892">
        <v>52644</v>
      </c>
      <c r="S29" s="2891">
        <v>70162</v>
      </c>
      <c r="T29" s="2892">
        <v>5978</v>
      </c>
      <c r="U29" s="2893">
        <v>14537</v>
      </c>
      <c r="V29" s="2892">
        <v>49647</v>
      </c>
      <c r="W29" s="2902">
        <v>0</v>
      </c>
      <c r="X29" s="2903">
        <v>4637</v>
      </c>
      <c r="Y29" s="2987">
        <f>'2.3'!I51*1000-SUM(N29:O29,S29,X29)</f>
        <v>0</v>
      </c>
    </row>
    <row r="30" spans="1:25">
      <c r="A30" s="2638">
        <v>2009.1</v>
      </c>
      <c r="B30" s="2891">
        <v>47773</v>
      </c>
      <c r="C30" s="2891">
        <v>288020</v>
      </c>
      <c r="D30" s="2892">
        <v>17147</v>
      </c>
      <c r="E30" s="2892">
        <v>71733</v>
      </c>
      <c r="F30" s="2892">
        <v>199140</v>
      </c>
      <c r="G30" s="2891">
        <v>194435</v>
      </c>
      <c r="H30" s="2892">
        <v>5501</v>
      </c>
      <c r="I30" s="2893">
        <v>34502</v>
      </c>
      <c r="J30" s="2892">
        <v>150770</v>
      </c>
      <c r="K30" s="2894">
        <v>3662</v>
      </c>
      <c r="L30" s="2894">
        <v>394</v>
      </c>
      <c r="M30" s="2983">
        <f>+'2.3'!D52*1000-SUM(B30:C30,G30,L30)</f>
        <v>0</v>
      </c>
      <c r="N30" s="2891">
        <v>35512</v>
      </c>
      <c r="O30" s="2891">
        <v>82172</v>
      </c>
      <c r="P30" s="2892">
        <v>5781</v>
      </c>
      <c r="Q30" s="2901">
        <v>20378</v>
      </c>
      <c r="R30" s="2892">
        <v>56013</v>
      </c>
      <c r="S30" s="2891">
        <v>64617</v>
      </c>
      <c r="T30" s="2892">
        <v>6691</v>
      </c>
      <c r="U30" s="2893">
        <v>14683</v>
      </c>
      <c r="V30" s="2892">
        <v>43243</v>
      </c>
      <c r="W30" s="2902">
        <v>0</v>
      </c>
      <c r="X30" s="2903">
        <v>5255</v>
      </c>
      <c r="Y30" s="2987">
        <f>'2.3'!I52*1000-SUM(N30:O30,S30,X30)</f>
        <v>0</v>
      </c>
    </row>
    <row r="31" spans="1:25">
      <c r="A31" s="2638">
        <v>2009.2</v>
      </c>
      <c r="B31" s="2891">
        <v>56927</v>
      </c>
      <c r="C31" s="2891">
        <v>293355</v>
      </c>
      <c r="D31" s="2892">
        <v>16739</v>
      </c>
      <c r="E31" s="2892">
        <v>75822</v>
      </c>
      <c r="F31" s="2892">
        <v>200794</v>
      </c>
      <c r="G31" s="2891">
        <v>169467</v>
      </c>
      <c r="H31" s="2892">
        <v>5236</v>
      </c>
      <c r="I31" s="2893">
        <v>35772</v>
      </c>
      <c r="J31" s="2892">
        <v>124536</v>
      </c>
      <c r="K31" s="2894">
        <v>3923</v>
      </c>
      <c r="L31" s="2894">
        <v>1886</v>
      </c>
      <c r="M31" s="2983">
        <f>+'2.3'!D53*1000-SUM(B31:C31,G31,L31)</f>
        <v>0</v>
      </c>
      <c r="N31" s="2891">
        <v>42694</v>
      </c>
      <c r="O31" s="2891">
        <v>76665</v>
      </c>
      <c r="P31" s="2892">
        <v>8885</v>
      </c>
      <c r="Q31" s="2901">
        <v>20727</v>
      </c>
      <c r="R31" s="2892">
        <v>47053</v>
      </c>
      <c r="S31" s="2891">
        <v>68225</v>
      </c>
      <c r="T31" s="2892">
        <v>2592</v>
      </c>
      <c r="U31" s="2893">
        <v>23947</v>
      </c>
      <c r="V31" s="2892">
        <v>41426</v>
      </c>
      <c r="W31" s="2902">
        <v>260</v>
      </c>
      <c r="X31" s="2903">
        <v>2261</v>
      </c>
      <c r="Y31" s="2987">
        <f>'2.3'!I53*1000-SUM(N31:O31,S31,X31)</f>
        <v>0</v>
      </c>
    </row>
    <row r="32" spans="1:25">
      <c r="A32" s="2638">
        <v>2009.3</v>
      </c>
      <c r="B32" s="2891">
        <v>57208</v>
      </c>
      <c r="C32" s="2891">
        <v>280514</v>
      </c>
      <c r="D32" s="2892">
        <v>16030</v>
      </c>
      <c r="E32" s="2892">
        <v>51321</v>
      </c>
      <c r="F32" s="2892">
        <v>213163</v>
      </c>
      <c r="G32" s="2891">
        <v>178154</v>
      </c>
      <c r="H32" s="2892">
        <v>6111</v>
      </c>
      <c r="I32" s="2893">
        <v>35207</v>
      </c>
      <c r="J32" s="2892">
        <v>133676</v>
      </c>
      <c r="K32" s="2894">
        <v>3160</v>
      </c>
      <c r="L32" s="2894">
        <v>3113</v>
      </c>
      <c r="M32" s="2983">
        <f>+'2.3'!D54*1000-SUM(B32:C32,G32,L32)</f>
        <v>0</v>
      </c>
      <c r="N32" s="2891">
        <v>43215</v>
      </c>
      <c r="O32" s="2891">
        <v>71122</v>
      </c>
      <c r="P32" s="2892">
        <v>6255</v>
      </c>
      <c r="Q32" s="2901">
        <v>20046</v>
      </c>
      <c r="R32" s="2892">
        <v>44821</v>
      </c>
      <c r="S32" s="2891">
        <v>70050</v>
      </c>
      <c r="T32" s="2892">
        <v>3951</v>
      </c>
      <c r="U32" s="2893">
        <v>24041</v>
      </c>
      <c r="V32" s="2892">
        <v>40914</v>
      </c>
      <c r="W32" s="2902">
        <v>1144</v>
      </c>
      <c r="X32" s="2903">
        <v>4546</v>
      </c>
      <c r="Y32" s="2987">
        <f>'2.3'!I54*1000-SUM(N32:O32,S32,X32)</f>
        <v>0</v>
      </c>
    </row>
    <row r="33" spans="1:25">
      <c r="A33" s="2638">
        <v>2009.4</v>
      </c>
      <c r="B33" s="2891">
        <v>57825</v>
      </c>
      <c r="C33" s="2891">
        <v>273279</v>
      </c>
      <c r="D33" s="2892">
        <v>12754</v>
      </c>
      <c r="E33" s="2892">
        <v>62766</v>
      </c>
      <c r="F33" s="2892">
        <v>197759</v>
      </c>
      <c r="G33" s="2891">
        <v>186889</v>
      </c>
      <c r="H33" s="2892">
        <v>3952</v>
      </c>
      <c r="I33" s="2893">
        <v>33901</v>
      </c>
      <c r="J33" s="2892">
        <v>141757</v>
      </c>
      <c r="K33" s="2894">
        <v>7279</v>
      </c>
      <c r="L33" s="2894">
        <v>2538</v>
      </c>
      <c r="M33" s="2983">
        <f>+'2.3'!D55*1000-SUM(B33:C33,G33,L33)</f>
        <v>0</v>
      </c>
      <c r="N33" s="2891">
        <v>38854</v>
      </c>
      <c r="O33" s="2891">
        <v>79780</v>
      </c>
      <c r="P33" s="2892">
        <v>8181</v>
      </c>
      <c r="Q33" s="2901">
        <v>22772</v>
      </c>
      <c r="R33" s="2892">
        <v>48827</v>
      </c>
      <c r="S33" s="2891">
        <v>82955</v>
      </c>
      <c r="T33" s="2892">
        <v>3568</v>
      </c>
      <c r="U33" s="2893">
        <v>28545</v>
      </c>
      <c r="V33" s="2892">
        <v>49384</v>
      </c>
      <c r="W33" s="2902">
        <v>1458</v>
      </c>
      <c r="X33" s="2903">
        <v>3773</v>
      </c>
      <c r="Y33" s="2987">
        <f>'2.3'!I55*1000-SUM(N33:O33,S33,X33)</f>
        <v>0</v>
      </c>
    </row>
    <row r="34" spans="1:25">
      <c r="A34" s="2638">
        <v>2010.1</v>
      </c>
      <c r="B34" s="2891">
        <v>50340</v>
      </c>
      <c r="C34" s="2891">
        <v>294750</v>
      </c>
      <c r="D34" s="2892">
        <v>18569</v>
      </c>
      <c r="E34" s="2892">
        <v>75159</v>
      </c>
      <c r="F34" s="2892">
        <v>201022</v>
      </c>
      <c r="G34" s="2891">
        <v>195657</v>
      </c>
      <c r="H34" s="2892">
        <v>3065</v>
      </c>
      <c r="I34" s="2893">
        <v>36657</v>
      </c>
      <c r="J34" s="2892">
        <v>148286</v>
      </c>
      <c r="K34" s="2894">
        <v>7649</v>
      </c>
      <c r="L34" s="2894">
        <v>0</v>
      </c>
      <c r="M34" s="2983">
        <f>+'2.3'!D56*1000-SUM(B34:C34,G34,L34)</f>
        <v>0</v>
      </c>
      <c r="N34" s="2891">
        <v>44001</v>
      </c>
      <c r="O34" s="2891">
        <v>81632</v>
      </c>
      <c r="P34" s="2892">
        <v>9963</v>
      </c>
      <c r="Q34" s="2901">
        <v>20647</v>
      </c>
      <c r="R34" s="2892">
        <v>51022</v>
      </c>
      <c r="S34" s="2891">
        <v>75453</v>
      </c>
      <c r="T34" s="2892">
        <v>3882</v>
      </c>
      <c r="U34" s="2893">
        <v>21461</v>
      </c>
      <c r="V34" s="2892">
        <v>49849</v>
      </c>
      <c r="W34" s="2902">
        <v>261</v>
      </c>
      <c r="X34" s="2903">
        <v>5774</v>
      </c>
      <c r="Y34" s="2987">
        <f>'2.3'!I56*1000-SUM(N34:O34,S34,X34)</f>
        <v>0</v>
      </c>
    </row>
    <row r="35" spans="1:25">
      <c r="A35" s="2638">
        <v>2010.2</v>
      </c>
      <c r="B35" s="2891">
        <v>53219</v>
      </c>
      <c r="C35" s="2891">
        <v>298139</v>
      </c>
      <c r="D35" s="2892">
        <v>15486</v>
      </c>
      <c r="E35" s="2892">
        <v>73558</v>
      </c>
      <c r="F35" s="2892">
        <v>209095</v>
      </c>
      <c r="G35" s="2891">
        <v>183563</v>
      </c>
      <c r="H35" s="2892">
        <v>1997</v>
      </c>
      <c r="I35" s="2893">
        <v>44483</v>
      </c>
      <c r="J35" s="2892">
        <v>133841</v>
      </c>
      <c r="K35" s="2894">
        <v>3242</v>
      </c>
      <c r="L35" s="2894">
        <v>1683</v>
      </c>
      <c r="M35" s="2983">
        <f>+'2.3'!D57*1000-SUM(B35:C35,G35,L35)</f>
        <v>0</v>
      </c>
      <c r="N35" s="2891">
        <v>44777</v>
      </c>
      <c r="O35" s="2891">
        <v>71358</v>
      </c>
      <c r="P35" s="2892">
        <v>6834</v>
      </c>
      <c r="Q35" s="2901">
        <v>16529</v>
      </c>
      <c r="R35" s="2892">
        <v>47995</v>
      </c>
      <c r="S35" s="2891">
        <v>72058</v>
      </c>
      <c r="T35" s="2892">
        <v>2339</v>
      </c>
      <c r="U35" s="2893">
        <v>25305</v>
      </c>
      <c r="V35" s="2892">
        <v>44098</v>
      </c>
      <c r="W35" s="2902">
        <v>316</v>
      </c>
      <c r="X35" s="2903">
        <v>2988</v>
      </c>
      <c r="Y35" s="2987">
        <f>'2.3'!I57*1000-SUM(N35:O35,S35,X35)</f>
        <v>0</v>
      </c>
    </row>
    <row r="36" spans="1:25">
      <c r="A36" s="2638">
        <v>2010.3</v>
      </c>
      <c r="B36" s="2891">
        <v>61631</v>
      </c>
      <c r="C36" s="2891">
        <v>296237</v>
      </c>
      <c r="D36" s="2892">
        <v>17870</v>
      </c>
      <c r="E36" s="2892">
        <v>59959</v>
      </c>
      <c r="F36" s="2892">
        <v>218408</v>
      </c>
      <c r="G36" s="2891">
        <v>173725</v>
      </c>
      <c r="H36" s="2892">
        <v>6335</v>
      </c>
      <c r="I36" s="2893">
        <v>33933</v>
      </c>
      <c r="J36" s="2892">
        <v>129895</v>
      </c>
      <c r="K36" s="2894">
        <v>3562</v>
      </c>
      <c r="L36" s="2894">
        <v>2186</v>
      </c>
      <c r="M36" s="2983">
        <f>+'2.3'!D58*1000-SUM(B36:C36,G36,L36)</f>
        <v>0</v>
      </c>
      <c r="N36" s="2891">
        <v>43288</v>
      </c>
      <c r="O36" s="2891">
        <v>75162</v>
      </c>
      <c r="P36" s="2892">
        <v>6014</v>
      </c>
      <c r="Q36" s="2901">
        <v>19260</v>
      </c>
      <c r="R36" s="2892">
        <v>49888</v>
      </c>
      <c r="S36" s="2891">
        <v>78697</v>
      </c>
      <c r="T36" s="2892">
        <v>3209</v>
      </c>
      <c r="U36" s="2893">
        <v>27634</v>
      </c>
      <c r="V36" s="2892">
        <v>47306</v>
      </c>
      <c r="W36" s="2902">
        <v>548</v>
      </c>
      <c r="X36" s="2903">
        <v>5595</v>
      </c>
      <c r="Y36" s="2987">
        <f>'2.3'!I58*1000-SUM(N36:O36,S36,X36)</f>
        <v>0</v>
      </c>
    </row>
    <row r="37" spans="1:25">
      <c r="A37" s="2638">
        <v>2010.4</v>
      </c>
      <c r="B37" s="2891">
        <v>66129</v>
      </c>
      <c r="C37" s="2891">
        <v>291018</v>
      </c>
      <c r="D37" s="2892">
        <v>17606</v>
      </c>
      <c r="E37" s="2892">
        <v>60210</v>
      </c>
      <c r="F37" s="2892">
        <v>213202</v>
      </c>
      <c r="G37" s="2891">
        <v>176801</v>
      </c>
      <c r="H37" s="2892">
        <v>3151</v>
      </c>
      <c r="I37" s="2893">
        <v>36869</v>
      </c>
      <c r="J37" s="2892">
        <v>129685</v>
      </c>
      <c r="K37" s="2894">
        <v>7096</v>
      </c>
      <c r="L37" s="2894">
        <v>1178</v>
      </c>
      <c r="M37" s="2983">
        <f>+'2.3'!D59*1000-SUM(B37:C37,G37,L37)</f>
        <v>0</v>
      </c>
      <c r="N37" s="2891">
        <v>42023</v>
      </c>
      <c r="O37" s="2891">
        <v>75163</v>
      </c>
      <c r="P37" s="2892">
        <v>7566</v>
      </c>
      <c r="Q37" s="2901">
        <v>17626</v>
      </c>
      <c r="R37" s="2892">
        <v>49971</v>
      </c>
      <c r="S37" s="2891">
        <v>79056</v>
      </c>
      <c r="T37" s="2892">
        <v>4244</v>
      </c>
      <c r="U37" s="2893">
        <v>23008</v>
      </c>
      <c r="V37" s="2892">
        <v>51276</v>
      </c>
      <c r="W37" s="2902">
        <v>528</v>
      </c>
      <c r="X37" s="2903">
        <v>5275</v>
      </c>
      <c r="Y37" s="2987">
        <f>'2.3'!I59*1000-SUM(N37:O37,S37,X37)</f>
        <v>0</v>
      </c>
    </row>
    <row r="38" spans="1:25">
      <c r="A38" s="2638">
        <v>2011.1</v>
      </c>
      <c r="B38" s="2891">
        <v>57183</v>
      </c>
      <c r="C38" s="2891">
        <v>313284</v>
      </c>
      <c r="D38" s="2892">
        <v>21828</v>
      </c>
      <c r="E38" s="2892">
        <v>65086</v>
      </c>
      <c r="F38" s="2892">
        <v>226370</v>
      </c>
      <c r="G38" s="2891">
        <v>171710</v>
      </c>
      <c r="H38" s="2892">
        <v>4091</v>
      </c>
      <c r="I38" s="2893">
        <v>37988</v>
      </c>
      <c r="J38" s="2892">
        <v>127584</v>
      </c>
      <c r="K38" s="2894">
        <v>2047</v>
      </c>
      <c r="L38" s="2894">
        <v>3707</v>
      </c>
      <c r="M38" s="2983">
        <f>+'2.3'!D60*1000-SUM(B38:C38,G38,L38)</f>
        <v>0</v>
      </c>
      <c r="N38" s="2891">
        <v>48478</v>
      </c>
      <c r="O38" s="2891">
        <v>81025</v>
      </c>
      <c r="P38" s="2892">
        <v>7807</v>
      </c>
      <c r="Q38" s="2901">
        <v>19486</v>
      </c>
      <c r="R38" s="2892">
        <v>53732</v>
      </c>
      <c r="S38" s="2891">
        <v>72726</v>
      </c>
      <c r="T38" s="2892">
        <v>3472</v>
      </c>
      <c r="U38" s="2893">
        <v>22840</v>
      </c>
      <c r="V38" s="2892">
        <v>46414</v>
      </c>
      <c r="W38" s="2902">
        <v>0</v>
      </c>
      <c r="X38" s="2903">
        <v>2094</v>
      </c>
      <c r="Y38" s="2987">
        <f>'2.3'!I60*1000-SUM(N38:O38,S38,X38)</f>
        <v>0</v>
      </c>
    </row>
    <row r="39" spans="1:25">
      <c r="A39" s="2638">
        <v>2011.2</v>
      </c>
      <c r="B39" s="2891">
        <v>54274</v>
      </c>
      <c r="C39" s="2891">
        <v>314394</v>
      </c>
      <c r="D39" s="2892">
        <v>16216</v>
      </c>
      <c r="E39" s="2892">
        <v>61313</v>
      </c>
      <c r="F39" s="2892">
        <v>236865</v>
      </c>
      <c r="G39" s="2891">
        <v>181360</v>
      </c>
      <c r="H39" s="2892">
        <v>3259</v>
      </c>
      <c r="I39" s="2893">
        <v>39268</v>
      </c>
      <c r="J39" s="2892">
        <v>131649</v>
      </c>
      <c r="K39" s="2894">
        <v>7184</v>
      </c>
      <c r="L39" s="2894">
        <v>1643</v>
      </c>
      <c r="M39" s="2983">
        <f>+'2.3'!D61*1000-SUM(B39:C39,G39,L39)</f>
        <v>0</v>
      </c>
      <c r="N39" s="2891">
        <v>51223</v>
      </c>
      <c r="O39" s="2891">
        <v>81906</v>
      </c>
      <c r="P39" s="2892">
        <v>8075</v>
      </c>
      <c r="Q39" s="2901">
        <v>19455</v>
      </c>
      <c r="R39" s="2892">
        <v>54376</v>
      </c>
      <c r="S39" s="2891">
        <v>67312</v>
      </c>
      <c r="T39" s="2892">
        <v>2850</v>
      </c>
      <c r="U39" s="2893">
        <v>20056</v>
      </c>
      <c r="V39" s="2892">
        <v>43481</v>
      </c>
      <c r="W39" s="2902">
        <v>925</v>
      </c>
      <c r="X39" s="2903">
        <v>7559</v>
      </c>
      <c r="Y39" s="2987">
        <f>'2.3'!I61*1000-SUM(N39:O39,S39,X39)</f>
        <v>0</v>
      </c>
    </row>
    <row r="40" spans="1:25">
      <c r="A40" s="2638">
        <v>2011.3</v>
      </c>
      <c r="B40" s="2891">
        <v>58253</v>
      </c>
      <c r="C40" s="2891">
        <v>301481</v>
      </c>
      <c r="D40" s="2892">
        <v>13949</v>
      </c>
      <c r="E40" s="2892">
        <v>61641</v>
      </c>
      <c r="F40" s="2892">
        <v>225891</v>
      </c>
      <c r="G40" s="2891">
        <v>181025</v>
      </c>
      <c r="H40" s="2892">
        <v>6964</v>
      </c>
      <c r="I40" s="2893">
        <v>44558</v>
      </c>
      <c r="J40" s="2892">
        <v>123648</v>
      </c>
      <c r="K40" s="2894">
        <v>5855</v>
      </c>
      <c r="L40" s="2894">
        <v>2174</v>
      </c>
      <c r="M40" s="2983">
        <f>+'2.3'!D62*1000-SUM(B40:C40,G40,L40)</f>
        <v>0</v>
      </c>
      <c r="N40" s="2891">
        <v>42247</v>
      </c>
      <c r="O40" s="2891">
        <v>79225</v>
      </c>
      <c r="P40" s="2892">
        <v>4919</v>
      </c>
      <c r="Q40" s="2901">
        <v>19337</v>
      </c>
      <c r="R40" s="2892">
        <v>54969</v>
      </c>
      <c r="S40" s="2891">
        <v>73631</v>
      </c>
      <c r="T40" s="2892">
        <v>4015</v>
      </c>
      <c r="U40" s="2893">
        <v>25218</v>
      </c>
      <c r="V40" s="2892">
        <v>44398</v>
      </c>
      <c r="W40" s="2902">
        <v>0</v>
      </c>
      <c r="X40" s="2903">
        <v>5410</v>
      </c>
      <c r="Y40" s="2987">
        <f>'2.3'!I62*1000-SUM(N40:O40,S40,X40)</f>
        <v>0</v>
      </c>
    </row>
    <row r="41" spans="1:25">
      <c r="A41" s="2638">
        <v>2011.4</v>
      </c>
      <c r="B41" s="2891">
        <v>61528</v>
      </c>
      <c r="C41" s="2891">
        <f>309898-575</f>
        <v>309323</v>
      </c>
      <c r="D41" s="2892">
        <v>10542</v>
      </c>
      <c r="E41" s="2892">
        <v>76211</v>
      </c>
      <c r="F41" s="2892">
        <v>222570</v>
      </c>
      <c r="G41" s="2891">
        <v>176741</v>
      </c>
      <c r="H41" s="2892">
        <v>8500</v>
      </c>
      <c r="I41" s="2893">
        <v>40716</v>
      </c>
      <c r="J41" s="2892">
        <v>124319</v>
      </c>
      <c r="K41" s="2894">
        <v>3206</v>
      </c>
      <c r="L41" s="2894">
        <f>2187+575</f>
        <v>2762</v>
      </c>
      <c r="M41" s="2983">
        <f>+'2.3'!D63*1000-SUM(B41:C41,G41,L41)</f>
        <v>0</v>
      </c>
      <c r="N41" s="2891">
        <v>46849</v>
      </c>
      <c r="O41" s="2891">
        <v>72614</v>
      </c>
      <c r="P41" s="2892">
        <v>5337</v>
      </c>
      <c r="Q41" s="2901">
        <v>18067</v>
      </c>
      <c r="R41" s="2892">
        <v>49210</v>
      </c>
      <c r="S41" s="2891">
        <v>81065</v>
      </c>
      <c r="T41" s="2892">
        <v>3934</v>
      </c>
      <c r="U41" s="2893">
        <v>28575</v>
      </c>
      <c r="V41" s="2892">
        <v>48556</v>
      </c>
      <c r="W41" s="2902">
        <v>0</v>
      </c>
      <c r="X41" s="2903">
        <v>3911</v>
      </c>
      <c r="Y41" s="2987">
        <f>'2.3'!I63*1000-SUM(N41:O41,S41,X41)</f>
        <v>0</v>
      </c>
    </row>
    <row r="42" spans="1:25">
      <c r="A42" s="2638">
        <v>2012.1</v>
      </c>
      <c r="B42" s="2891">
        <v>58355</v>
      </c>
      <c r="C42" s="2891">
        <v>319058</v>
      </c>
      <c r="D42" s="2892">
        <v>16037</v>
      </c>
      <c r="E42" s="2892">
        <v>76217</v>
      </c>
      <c r="F42" s="2892">
        <v>226804</v>
      </c>
      <c r="G42" s="2891">
        <v>168454</v>
      </c>
      <c r="H42" s="2892">
        <v>4065</v>
      </c>
      <c r="I42" s="2893">
        <v>37661</v>
      </c>
      <c r="J42" s="2892">
        <v>122251</v>
      </c>
      <c r="K42" s="2894">
        <v>4477</v>
      </c>
      <c r="L42" s="2894">
        <v>1548</v>
      </c>
      <c r="M42" s="2983">
        <f>+'2.3'!D64*1000-SUM(B42:C42,G42,L42)</f>
        <v>0</v>
      </c>
      <c r="N42" s="2891">
        <v>58259</v>
      </c>
      <c r="O42" s="2891">
        <v>81115</v>
      </c>
      <c r="P42" s="2892">
        <v>5603</v>
      </c>
      <c r="Q42" s="2901">
        <v>24356</v>
      </c>
      <c r="R42" s="2892">
        <v>51156</v>
      </c>
      <c r="S42" s="2891">
        <v>71810</v>
      </c>
      <c r="T42" s="2892">
        <v>2741</v>
      </c>
      <c r="U42" s="2893">
        <v>25908</v>
      </c>
      <c r="V42" s="2892">
        <v>43161</v>
      </c>
      <c r="W42" s="2902">
        <v>0</v>
      </c>
      <c r="X42" s="2903">
        <v>4510</v>
      </c>
      <c r="Y42" s="2987">
        <f>'2.3'!I64*1000-SUM(N42:O42,S42,X42)</f>
        <v>0</v>
      </c>
    </row>
    <row r="43" spans="1:25">
      <c r="A43" s="2638">
        <v>2012.2</v>
      </c>
      <c r="B43" s="2891">
        <v>54485</v>
      </c>
      <c r="C43" s="2891">
        <v>317946</v>
      </c>
      <c r="D43" s="2892">
        <v>12549</v>
      </c>
      <c r="E43" s="2892">
        <v>79566</v>
      </c>
      <c r="F43" s="2892">
        <v>225831</v>
      </c>
      <c r="G43" s="2891">
        <v>182360</v>
      </c>
      <c r="H43" s="2892">
        <v>8096</v>
      </c>
      <c r="I43" s="2893">
        <v>40887</v>
      </c>
      <c r="J43" s="2892">
        <v>129101</v>
      </c>
      <c r="K43" s="2894">
        <v>4276</v>
      </c>
      <c r="L43" s="2894">
        <v>0</v>
      </c>
      <c r="M43" s="2983">
        <f>+'2.3'!D65*1000-SUM(B43:C43,G43,L43)</f>
        <v>0</v>
      </c>
      <c r="N43" s="2891">
        <v>53977</v>
      </c>
      <c r="O43" s="2891">
        <v>93590</v>
      </c>
      <c r="P43" s="2892">
        <v>7667</v>
      </c>
      <c r="Q43" s="2901">
        <v>26292</v>
      </c>
      <c r="R43" s="2892">
        <v>59631</v>
      </c>
      <c r="S43" s="2891">
        <v>60116</v>
      </c>
      <c r="T43" s="2892">
        <v>1998</v>
      </c>
      <c r="U43" s="2893">
        <v>21351</v>
      </c>
      <c r="V43" s="2892">
        <v>36398</v>
      </c>
      <c r="W43" s="2902">
        <v>369</v>
      </c>
      <c r="X43" s="2903">
        <v>6863</v>
      </c>
      <c r="Y43" s="2987">
        <f>'2.3'!I65*1000-SUM(N43:O43,S43,X43)</f>
        <v>0</v>
      </c>
    </row>
    <row r="44" spans="1:25">
      <c r="A44" s="2638">
        <v>2012.3</v>
      </c>
      <c r="B44" s="2891">
        <v>53389</v>
      </c>
      <c r="C44" s="2891">
        <v>314546</v>
      </c>
      <c r="D44" s="2892">
        <v>11524</v>
      </c>
      <c r="E44" s="2892">
        <v>77560</v>
      </c>
      <c r="F44" s="2892">
        <v>225462</v>
      </c>
      <c r="G44" s="2891">
        <v>171866</v>
      </c>
      <c r="H44" s="2892">
        <v>3398</v>
      </c>
      <c r="I44" s="2893">
        <v>39210</v>
      </c>
      <c r="J44" s="2892">
        <v>123185</v>
      </c>
      <c r="K44" s="2894">
        <v>6073</v>
      </c>
      <c r="L44" s="2894">
        <v>586</v>
      </c>
      <c r="M44" s="2983">
        <f>+'2.3'!D66*1000-SUM(B44:C44,G44,L44)</f>
        <v>0</v>
      </c>
      <c r="N44" s="2891">
        <v>47060</v>
      </c>
      <c r="O44" s="2891">
        <v>88207</v>
      </c>
      <c r="P44" s="2892">
        <v>5907</v>
      </c>
      <c r="Q44" s="2901">
        <v>25514</v>
      </c>
      <c r="R44" s="2892">
        <v>56786</v>
      </c>
      <c r="S44" s="2891">
        <v>70882</v>
      </c>
      <c r="T44" s="2892">
        <v>3781</v>
      </c>
      <c r="U44" s="2893">
        <v>25959</v>
      </c>
      <c r="V44" s="2892">
        <v>41142</v>
      </c>
      <c r="W44" s="2902">
        <v>0</v>
      </c>
      <c r="X44" s="2903">
        <v>5813</v>
      </c>
      <c r="Y44" s="2987">
        <f>'2.3'!I66*1000-SUM(N44:O44,S44,X44)</f>
        <v>0</v>
      </c>
    </row>
    <row r="45" spans="1:25">
      <c r="A45" s="2638">
        <v>2012.4</v>
      </c>
      <c r="B45" s="2891">
        <v>62628</v>
      </c>
      <c r="C45" s="2891">
        <v>329818</v>
      </c>
      <c r="D45" s="2892">
        <v>13339</v>
      </c>
      <c r="E45" s="2892">
        <v>89251</v>
      </c>
      <c r="F45" s="2892">
        <v>227228</v>
      </c>
      <c r="G45" s="2891">
        <v>160682</v>
      </c>
      <c r="H45" s="2892">
        <v>6313</v>
      </c>
      <c r="I45" s="2893">
        <v>29703</v>
      </c>
      <c r="J45" s="2892">
        <v>122907</v>
      </c>
      <c r="K45" s="2894">
        <v>1759</v>
      </c>
      <c r="L45" s="2894">
        <v>1517</v>
      </c>
      <c r="M45" s="2983">
        <f>+'2.3'!D67*1000-SUM(B45:C45,G45,L45)</f>
        <v>0</v>
      </c>
      <c r="N45" s="2891">
        <v>49032</v>
      </c>
      <c r="O45" s="2891">
        <v>89865</v>
      </c>
      <c r="P45" s="2892">
        <v>5997</v>
      </c>
      <c r="Q45" s="2901">
        <v>28634</v>
      </c>
      <c r="R45" s="2892">
        <v>55234</v>
      </c>
      <c r="S45" s="2891">
        <v>68268</v>
      </c>
      <c r="T45" s="2892">
        <v>6307</v>
      </c>
      <c r="U45" s="2893">
        <v>20873</v>
      </c>
      <c r="V45" s="2892">
        <v>40362</v>
      </c>
      <c r="W45" s="2902">
        <v>726</v>
      </c>
      <c r="X45" s="2903">
        <v>3030</v>
      </c>
      <c r="Y45" s="2987">
        <f>'2.3'!I67*1000-SUM(N45:O45,S45,X45)</f>
        <v>0</v>
      </c>
    </row>
    <row r="46" spans="1:25">
      <c r="A46" s="2638">
        <v>2013.1</v>
      </c>
      <c r="B46" s="2891">
        <v>65510</v>
      </c>
      <c r="C46" s="2891">
        <v>340482</v>
      </c>
      <c r="D46" s="2892">
        <v>18815</v>
      </c>
      <c r="E46" s="2892">
        <v>86438</v>
      </c>
      <c r="F46" s="2892">
        <v>235229</v>
      </c>
      <c r="G46" s="2891">
        <v>166629</v>
      </c>
      <c r="H46" s="2892">
        <v>4256</v>
      </c>
      <c r="I46" s="2893">
        <v>33548</v>
      </c>
      <c r="J46" s="2892">
        <v>127328</v>
      </c>
      <c r="K46" s="2894">
        <v>1497</v>
      </c>
      <c r="L46" s="2894">
        <v>1845</v>
      </c>
      <c r="M46" s="2983">
        <f>+'2.3'!D68*1000-SUM(B46:C46,G46,L46)</f>
        <v>0</v>
      </c>
      <c r="N46" s="2891">
        <v>54016</v>
      </c>
      <c r="O46" s="2891">
        <v>88789</v>
      </c>
      <c r="P46" s="2892">
        <v>5814</v>
      </c>
      <c r="Q46" s="2901">
        <v>29516</v>
      </c>
      <c r="R46" s="2892">
        <v>53459</v>
      </c>
      <c r="S46" s="2891">
        <v>60373</v>
      </c>
      <c r="T46" s="2892">
        <v>3886</v>
      </c>
      <c r="U46" s="2893">
        <v>16930</v>
      </c>
      <c r="V46" s="2892">
        <v>39294</v>
      </c>
      <c r="W46" s="2902">
        <v>263</v>
      </c>
      <c r="X46" s="2903">
        <v>2814</v>
      </c>
      <c r="Y46" s="2987">
        <f>'2.3'!I68*1000-SUM(N46:O46,S46,X46)</f>
        <v>0</v>
      </c>
    </row>
    <row r="47" spans="1:25">
      <c r="A47" s="2638">
        <v>2013.2</v>
      </c>
      <c r="B47" s="2891">
        <v>54322</v>
      </c>
      <c r="C47" s="2891">
        <v>329749</v>
      </c>
      <c r="D47" s="2892">
        <v>12715</v>
      </c>
      <c r="E47" s="2892">
        <v>91096</v>
      </c>
      <c r="F47" s="2892">
        <v>225938</v>
      </c>
      <c r="G47" s="2891">
        <v>186602</v>
      </c>
      <c r="H47" s="2892">
        <v>8755</v>
      </c>
      <c r="I47" s="2893">
        <v>43449</v>
      </c>
      <c r="J47" s="2892">
        <v>130179</v>
      </c>
      <c r="K47" s="2894">
        <v>4219</v>
      </c>
      <c r="L47" s="2894">
        <v>2314</v>
      </c>
      <c r="M47" s="2983">
        <f>+'2.3'!D69*1000-SUM(B47:C47,G47,L47)</f>
        <v>0</v>
      </c>
      <c r="N47" s="2891">
        <v>51252</v>
      </c>
      <c r="O47" s="2891">
        <v>91875</v>
      </c>
      <c r="P47" s="2892">
        <v>6955</v>
      </c>
      <c r="Q47" s="2901">
        <v>27966</v>
      </c>
      <c r="R47" s="2892">
        <v>56954</v>
      </c>
      <c r="S47" s="2891">
        <v>65695</v>
      </c>
      <c r="T47" s="2892">
        <v>944</v>
      </c>
      <c r="U47" s="2893">
        <v>25422</v>
      </c>
      <c r="V47" s="2892">
        <v>39329</v>
      </c>
      <c r="W47" s="2902">
        <v>0</v>
      </c>
      <c r="X47" s="2903">
        <v>3132</v>
      </c>
      <c r="Y47" s="2987">
        <f>'2.3'!I69*1000-SUM(N47:O47,S47,X47)</f>
        <v>0</v>
      </c>
    </row>
    <row r="48" spans="1:25">
      <c r="A48" s="2638">
        <v>2013.3</v>
      </c>
      <c r="B48" s="2891">
        <v>64351</v>
      </c>
      <c r="C48" s="2891">
        <v>309118</v>
      </c>
      <c r="D48" s="2892">
        <v>17296</v>
      </c>
      <c r="E48" s="2892">
        <v>72034</v>
      </c>
      <c r="F48" s="2892">
        <v>219788</v>
      </c>
      <c r="G48" s="2891">
        <v>197311</v>
      </c>
      <c r="H48" s="2892">
        <v>9318</v>
      </c>
      <c r="I48" s="2893">
        <v>50026</v>
      </c>
      <c r="J48" s="2892">
        <v>135010</v>
      </c>
      <c r="K48" s="2894">
        <v>2957</v>
      </c>
      <c r="L48" s="2894">
        <v>0</v>
      </c>
      <c r="M48" s="2983">
        <f>+'2.3'!D70*1000-SUM(B48:C48,G48,L48)</f>
        <v>0</v>
      </c>
      <c r="N48" s="2891">
        <v>48855</v>
      </c>
      <c r="O48" s="2891">
        <v>87797</v>
      </c>
      <c r="P48" s="2892">
        <v>8207</v>
      </c>
      <c r="Q48" s="2901">
        <v>24328</v>
      </c>
      <c r="R48" s="2892">
        <v>55262</v>
      </c>
      <c r="S48" s="2891">
        <v>69771</v>
      </c>
      <c r="T48" s="2892">
        <v>2045</v>
      </c>
      <c r="U48" s="2893">
        <v>28656</v>
      </c>
      <c r="V48" s="2892">
        <v>38498</v>
      </c>
      <c r="W48" s="2902">
        <v>572</v>
      </c>
      <c r="X48" s="2903">
        <v>2316</v>
      </c>
      <c r="Y48" s="2987">
        <f>'2.3'!I70*1000-SUM(N48:O48,S48,X48)</f>
        <v>0</v>
      </c>
    </row>
    <row r="49" spans="1:25">
      <c r="A49" s="2638">
        <v>2013.4</v>
      </c>
      <c r="B49" s="2891">
        <v>77575</v>
      </c>
      <c r="C49" s="2891">
        <v>319451</v>
      </c>
      <c r="D49" s="2892">
        <v>18510</v>
      </c>
      <c r="E49" s="2892">
        <v>88060</v>
      </c>
      <c r="F49" s="2892">
        <v>212881</v>
      </c>
      <c r="G49" s="2891">
        <v>188755</v>
      </c>
      <c r="H49" s="2892">
        <v>5239</v>
      </c>
      <c r="I49" s="2893">
        <v>39531</v>
      </c>
      <c r="J49" s="2892">
        <v>141752</v>
      </c>
      <c r="K49" s="2894">
        <v>2233</v>
      </c>
      <c r="L49" s="2894">
        <v>1593</v>
      </c>
      <c r="M49" s="2983">
        <f>+'2.3'!D71*1000-SUM(B49:C49,G49,L49)</f>
        <v>0</v>
      </c>
      <c r="N49" s="2891">
        <v>46384</v>
      </c>
      <c r="O49" s="2891">
        <v>83817</v>
      </c>
      <c r="P49" s="2892">
        <v>8089</v>
      </c>
      <c r="Q49" s="2901">
        <v>23935</v>
      </c>
      <c r="R49" s="2892">
        <v>51793</v>
      </c>
      <c r="S49" s="2891">
        <v>64776</v>
      </c>
      <c r="T49" s="2892">
        <v>3249</v>
      </c>
      <c r="U49" s="2893">
        <v>20776</v>
      </c>
      <c r="V49" s="2892">
        <v>40252</v>
      </c>
      <c r="W49" s="2902">
        <v>499</v>
      </c>
      <c r="X49" s="2903">
        <v>1631</v>
      </c>
      <c r="Y49" s="2987">
        <f>'2.3'!I71*1000-SUM(N49:O49,S49,X49)</f>
        <v>0</v>
      </c>
    </row>
    <row r="50" spans="1:25">
      <c r="A50" s="2638">
        <v>2014.1</v>
      </c>
      <c r="B50" s="2891">
        <v>77807</v>
      </c>
      <c r="C50" s="2891">
        <v>351422</v>
      </c>
      <c r="D50" s="2892">
        <v>15887</v>
      </c>
      <c r="E50" s="2892">
        <v>76713</v>
      </c>
      <c r="F50" s="2892">
        <v>258822</v>
      </c>
      <c r="G50" s="2891">
        <v>184912</v>
      </c>
      <c r="H50" s="2892">
        <v>5866</v>
      </c>
      <c r="I50" s="2893">
        <v>37006</v>
      </c>
      <c r="J50" s="2892">
        <v>139203</v>
      </c>
      <c r="K50" s="2894">
        <v>2837</v>
      </c>
      <c r="L50" s="2894">
        <v>3375</v>
      </c>
      <c r="M50" s="2983">
        <f>+'2.3'!D72*1000-SUM(B50:C50,G50,L50)</f>
        <v>0</v>
      </c>
      <c r="N50" s="2891">
        <v>48182</v>
      </c>
      <c r="O50" s="2891">
        <v>81620</v>
      </c>
      <c r="P50" s="2892">
        <v>6774</v>
      </c>
      <c r="Q50" s="2901">
        <v>24091</v>
      </c>
      <c r="R50" s="2892">
        <v>50755</v>
      </c>
      <c r="S50" s="2891">
        <v>87046</v>
      </c>
      <c r="T50" s="2892">
        <v>3192</v>
      </c>
      <c r="U50" s="2893">
        <v>29073</v>
      </c>
      <c r="V50" s="2892">
        <v>54378</v>
      </c>
      <c r="W50" s="2902">
        <v>403</v>
      </c>
      <c r="X50" s="2903">
        <v>1144</v>
      </c>
      <c r="Y50" s="2987">
        <f>'2.3'!I72*1000-SUM(N50:O50,S50,X50)</f>
        <v>0</v>
      </c>
    </row>
    <row r="51" spans="1:25">
      <c r="A51" s="2638">
        <v>2014.2</v>
      </c>
      <c r="B51" s="2891">
        <v>69646</v>
      </c>
      <c r="C51" s="2891">
        <v>358827</v>
      </c>
      <c r="D51" s="2892">
        <v>22028</v>
      </c>
      <c r="E51" s="2892">
        <v>83615</v>
      </c>
      <c r="F51" s="2892">
        <v>253184</v>
      </c>
      <c r="G51" s="2891">
        <v>173805</v>
      </c>
      <c r="H51" s="2892">
        <v>8127</v>
      </c>
      <c r="I51" s="2893">
        <v>37131</v>
      </c>
      <c r="J51" s="2892">
        <v>123339</v>
      </c>
      <c r="K51" s="2894">
        <v>5208</v>
      </c>
      <c r="L51" s="2894">
        <v>4811</v>
      </c>
      <c r="M51" s="2983">
        <f>+'2.3'!D73*1000-SUM(B51:C51,G51,L51)</f>
        <v>0</v>
      </c>
      <c r="N51" s="2891">
        <v>42801</v>
      </c>
      <c r="O51" s="2891">
        <v>85937</v>
      </c>
      <c r="P51" s="2892">
        <v>5539</v>
      </c>
      <c r="Q51" s="2901">
        <v>25337</v>
      </c>
      <c r="R51" s="2892">
        <v>55061</v>
      </c>
      <c r="S51" s="2891">
        <v>79367</v>
      </c>
      <c r="T51" s="2892">
        <v>3019</v>
      </c>
      <c r="U51" s="2893">
        <v>27141</v>
      </c>
      <c r="V51" s="2892">
        <v>49207</v>
      </c>
      <c r="W51" s="2902">
        <v>0</v>
      </c>
      <c r="X51" s="2903">
        <v>3967</v>
      </c>
      <c r="Y51" s="2987">
        <f>'2.3'!I73*1000-SUM(N51:O51,S51,X51)</f>
        <v>0</v>
      </c>
    </row>
    <row r="52" spans="1:25">
      <c r="A52" s="2638">
        <v>2014.3</v>
      </c>
      <c r="B52" s="2891">
        <v>68831</v>
      </c>
      <c r="C52" s="2891">
        <v>338369</v>
      </c>
      <c r="D52" s="2892">
        <v>18707</v>
      </c>
      <c r="E52" s="2892">
        <v>107329</v>
      </c>
      <c r="F52" s="2892">
        <v>212333</v>
      </c>
      <c r="G52" s="2891">
        <v>193590</v>
      </c>
      <c r="H52" s="2892">
        <v>12544</v>
      </c>
      <c r="I52" s="2893">
        <v>46001</v>
      </c>
      <c r="J52" s="2892">
        <v>129590</v>
      </c>
      <c r="K52" s="2894">
        <v>5455</v>
      </c>
      <c r="L52" s="2894">
        <v>3231</v>
      </c>
      <c r="M52" s="2983">
        <f>+'2.3'!D74*1000-SUM(B52:C52,G52,L52)</f>
        <v>0</v>
      </c>
      <c r="N52" s="2891">
        <v>41173</v>
      </c>
      <c r="O52" s="2891">
        <v>94097</v>
      </c>
      <c r="P52" s="2892">
        <v>7346</v>
      </c>
      <c r="Q52" s="2901">
        <v>27142</v>
      </c>
      <c r="R52" s="2892">
        <v>59609</v>
      </c>
      <c r="S52" s="2891">
        <v>72420</v>
      </c>
      <c r="T52" s="2892">
        <v>2647</v>
      </c>
      <c r="U52" s="2893">
        <v>23948</v>
      </c>
      <c r="V52" s="2892">
        <v>45825</v>
      </c>
      <c r="W52" s="2902">
        <v>0</v>
      </c>
      <c r="X52" s="2903">
        <v>4115</v>
      </c>
      <c r="Y52" s="2987">
        <f>'2.3'!I74*1000-SUM(N52:O52,S52,X52)</f>
        <v>0</v>
      </c>
    </row>
    <row r="53" spans="1:25">
      <c r="A53" s="2638">
        <v>2014.4</v>
      </c>
      <c r="B53" s="2891">
        <v>79746</v>
      </c>
      <c r="C53" s="2891">
        <v>336904</v>
      </c>
      <c r="D53" s="2892">
        <v>18998</v>
      </c>
      <c r="E53" s="2892">
        <v>89847</v>
      </c>
      <c r="F53" s="2892">
        <v>228059</v>
      </c>
      <c r="G53" s="2891">
        <v>209016</v>
      </c>
      <c r="H53" s="2892">
        <v>8967</v>
      </c>
      <c r="I53" s="2893">
        <v>54694</v>
      </c>
      <c r="J53" s="2892">
        <v>143605</v>
      </c>
      <c r="K53" s="2894">
        <v>1750</v>
      </c>
      <c r="L53" s="2894">
        <v>5701</v>
      </c>
      <c r="M53" s="2983">
        <f>+'2.3'!D75*1000-SUM(B53:C53,G53,L53)</f>
        <v>0</v>
      </c>
      <c r="N53" s="2891">
        <v>46762</v>
      </c>
      <c r="O53" s="2891">
        <v>88379</v>
      </c>
      <c r="P53" s="2892">
        <v>10312</v>
      </c>
      <c r="Q53" s="2901">
        <v>21747</v>
      </c>
      <c r="R53" s="2892">
        <v>56320</v>
      </c>
      <c r="S53" s="2891">
        <v>74787</v>
      </c>
      <c r="T53" s="2892">
        <v>4134</v>
      </c>
      <c r="U53" s="2893">
        <v>23250</v>
      </c>
      <c r="V53" s="2892">
        <v>45207</v>
      </c>
      <c r="W53" s="2902">
        <v>2196</v>
      </c>
      <c r="X53" s="2903">
        <v>1281</v>
      </c>
      <c r="Y53" s="2987">
        <f>'2.3'!I75*1000-SUM(N53:O53,S53,X53)</f>
        <v>0</v>
      </c>
    </row>
    <row r="54" spans="1:25">
      <c r="A54" s="2638">
        <v>2015.1</v>
      </c>
      <c r="B54" s="2891">
        <v>76223</v>
      </c>
      <c r="C54" s="2891">
        <v>359582</v>
      </c>
      <c r="D54" s="2892">
        <v>15289</v>
      </c>
      <c r="E54" s="2892">
        <v>89126</v>
      </c>
      <c r="F54" s="2892">
        <v>255167</v>
      </c>
      <c r="G54" s="2891">
        <v>196596</v>
      </c>
      <c r="H54" s="2892">
        <v>13387</v>
      </c>
      <c r="I54" s="2893">
        <v>45881</v>
      </c>
      <c r="J54" s="2892">
        <v>133575</v>
      </c>
      <c r="K54" s="2894">
        <v>3753</v>
      </c>
      <c r="L54" s="2894">
        <v>4225</v>
      </c>
      <c r="M54" s="2983">
        <f>+'2.3'!D76*1000-SUM(B54:C54,G54,L54)</f>
        <v>0</v>
      </c>
      <c r="N54" s="2891">
        <v>49253</v>
      </c>
      <c r="O54" s="2891">
        <v>95958</v>
      </c>
      <c r="P54" s="2892">
        <v>7445</v>
      </c>
      <c r="Q54" s="2901">
        <v>23015</v>
      </c>
      <c r="R54" s="2892">
        <v>65498</v>
      </c>
      <c r="S54" s="2891">
        <v>67608</v>
      </c>
      <c r="T54" s="2892">
        <v>4201</v>
      </c>
      <c r="U54" s="2893">
        <v>18487</v>
      </c>
      <c r="V54" s="2892">
        <v>43216</v>
      </c>
      <c r="W54" s="2902">
        <v>1704</v>
      </c>
      <c r="X54" s="2903">
        <v>1708</v>
      </c>
      <c r="Y54" s="2987">
        <f>'2.3'!I76*1000-SUM(N54:O54,S54,X54)</f>
        <v>0</v>
      </c>
    </row>
    <row r="55" spans="1:25">
      <c r="A55" s="2638">
        <v>2015.2</v>
      </c>
      <c r="B55" s="2891">
        <v>67810</v>
      </c>
      <c r="C55" s="2891">
        <v>362479</v>
      </c>
      <c r="D55" s="2892">
        <v>15967</v>
      </c>
      <c r="E55" s="2892">
        <v>89287</v>
      </c>
      <c r="F55" s="2892">
        <v>257225</v>
      </c>
      <c r="G55" s="2891">
        <v>198820</v>
      </c>
      <c r="H55" s="2892">
        <v>12928</v>
      </c>
      <c r="I55" s="2893">
        <v>51667</v>
      </c>
      <c r="J55" s="2892">
        <v>131306</v>
      </c>
      <c r="K55" s="2894">
        <v>2919</v>
      </c>
      <c r="L55" s="2894">
        <v>6045</v>
      </c>
      <c r="M55" s="2983">
        <f>+'2.3'!D77*1000-SUM(B55:C55,G55,L55)</f>
        <v>0</v>
      </c>
      <c r="N55" s="2891">
        <v>43980</v>
      </c>
      <c r="O55" s="2891">
        <v>99608</v>
      </c>
      <c r="P55" s="2892">
        <v>6441</v>
      </c>
      <c r="Q55" s="2901">
        <v>26180</v>
      </c>
      <c r="R55" s="2892">
        <v>66987</v>
      </c>
      <c r="S55" s="2891">
        <v>65800</v>
      </c>
      <c r="T55" s="2892">
        <v>3451</v>
      </c>
      <c r="U55" s="2893">
        <v>20614</v>
      </c>
      <c r="V55" s="2892">
        <v>41472</v>
      </c>
      <c r="W55" s="2902">
        <v>263</v>
      </c>
      <c r="X55" s="2903">
        <v>2751</v>
      </c>
      <c r="Y55" s="2987">
        <f>'2.3'!I77*1000-SUM(N55:O55,S55,X55)</f>
        <v>0</v>
      </c>
    </row>
    <row r="56" spans="1:25">
      <c r="A56" s="2638">
        <v>2015.3</v>
      </c>
      <c r="B56" s="2886">
        <v>66225.960002753505</v>
      </c>
      <c r="C56" s="2886">
        <v>340806.50444182992</v>
      </c>
      <c r="D56" s="2892" t="e">
        <v>#N/A</v>
      </c>
      <c r="E56" s="2892" t="e">
        <v>#N/A</v>
      </c>
      <c r="F56" s="2892" t="e">
        <v>#N/A</v>
      </c>
      <c r="G56" s="2886">
        <v>215841.37723283508</v>
      </c>
      <c r="H56" s="2892" t="e">
        <v>#N/A</v>
      </c>
      <c r="I56" s="2893" t="e">
        <v>#N/A</v>
      </c>
      <c r="J56" s="2892" t="e">
        <v>#N/A</v>
      </c>
      <c r="K56" s="2894" t="e">
        <v>#N/A</v>
      </c>
      <c r="L56" s="2894" t="e">
        <v>#N/A</v>
      </c>
      <c r="M56" s="2983" t="e">
        <f>+'2.3'!D78*1000-SUM(B56:C56,G56,L56)</f>
        <v>#N/A</v>
      </c>
      <c r="N56" s="2887">
        <v>44315</v>
      </c>
      <c r="O56" s="2886">
        <v>102126.4331490241</v>
      </c>
      <c r="P56" s="2892" t="e">
        <v>#N/A</v>
      </c>
      <c r="Q56" s="2901" t="e">
        <v>#N/A</v>
      </c>
      <c r="R56" s="2892" t="e">
        <v>#N/A</v>
      </c>
      <c r="S56" s="2886">
        <v>64961.517635219949</v>
      </c>
      <c r="T56" s="2892" t="e">
        <v>#N/A</v>
      </c>
      <c r="U56" s="2901" t="e">
        <v>#N/A</v>
      </c>
      <c r="V56" s="2892" t="e">
        <v>#N/A</v>
      </c>
      <c r="W56" s="2902" t="e">
        <v>#N/A</v>
      </c>
      <c r="X56" s="2903" t="e">
        <v>#N/A</v>
      </c>
      <c r="Y56" s="2987" t="e">
        <f>'2.3'!I78*1000-SUM(N56:O56,S56,X56)</f>
        <v>#N/A</v>
      </c>
    </row>
    <row r="57" spans="1:25">
      <c r="A57" s="2638">
        <v>2015.4</v>
      </c>
      <c r="B57" s="2886">
        <v>76727.861085551296</v>
      </c>
      <c r="C57" s="2886">
        <v>345764.85933210759</v>
      </c>
      <c r="D57" s="2892" t="e">
        <v>#N/A</v>
      </c>
      <c r="E57" s="2892" t="e">
        <v>#N/A</v>
      </c>
      <c r="F57" s="2892" t="e">
        <v>#N/A</v>
      </c>
      <c r="G57" s="2886">
        <v>219761.14861573308</v>
      </c>
      <c r="H57" s="2892" t="e">
        <v>#N/A</v>
      </c>
      <c r="I57" s="2893" t="e">
        <v>#N/A</v>
      </c>
      <c r="J57" s="2892" t="e">
        <v>#N/A</v>
      </c>
      <c r="K57" s="2894" t="e">
        <v>#N/A</v>
      </c>
      <c r="L57" s="2894" t="e">
        <v>#N/A</v>
      </c>
      <c r="M57" s="2983" t="e">
        <f>+'2.3'!D79*1000-SUM(B57:C57,G57,L57)</f>
        <v>#N/A</v>
      </c>
      <c r="N57" s="2887">
        <v>50540.389454254</v>
      </c>
      <c r="O57" s="2886">
        <v>96708.680721043784</v>
      </c>
      <c r="P57" s="2892" t="e">
        <v>#N/A</v>
      </c>
      <c r="Q57" s="2901" t="e">
        <v>#N/A</v>
      </c>
      <c r="R57" s="2892" t="e">
        <v>#N/A</v>
      </c>
      <c r="S57" s="2886">
        <v>63697.78850832874</v>
      </c>
      <c r="T57" s="2892" t="e">
        <v>#N/A</v>
      </c>
      <c r="U57" s="2901" t="e">
        <v>#N/A</v>
      </c>
      <c r="V57" s="2892" t="e">
        <v>#N/A</v>
      </c>
      <c r="W57" s="2902" t="e">
        <v>#N/A</v>
      </c>
      <c r="X57" s="2903" t="e">
        <v>#N/A</v>
      </c>
      <c r="Y57" s="2987" t="e">
        <f>'2.3'!I79*1000-SUM(N57:O57,S57,X57)</f>
        <v>#N/A</v>
      </c>
    </row>
    <row r="58" spans="1:25">
      <c r="A58" s="2638">
        <v>2016.1</v>
      </c>
      <c r="B58" s="2886">
        <v>63168.025026543299</v>
      </c>
      <c r="C58" s="2886">
        <v>374704.34428068204</v>
      </c>
      <c r="D58" s="2892" t="e">
        <v>#N/A</v>
      </c>
      <c r="E58" s="2892" t="e">
        <v>#N/A</v>
      </c>
      <c r="F58" s="2892" t="e">
        <v>#N/A</v>
      </c>
      <c r="G58" s="2886">
        <v>210994.76499034936</v>
      </c>
      <c r="H58" s="2892" t="e">
        <v>#N/A</v>
      </c>
      <c r="I58" s="2893" t="e">
        <v>#N/A</v>
      </c>
      <c r="J58" s="2892" t="e">
        <v>#N/A</v>
      </c>
      <c r="K58" s="2894" t="e">
        <v>#N/A</v>
      </c>
      <c r="L58" s="2894" t="e">
        <v>#N/A</v>
      </c>
      <c r="M58" s="2983" t="e">
        <f>+'2.3'!D80*1000-SUM(B58:C58,G58,L58)</f>
        <v>#N/A</v>
      </c>
      <c r="N58" s="2887">
        <v>44566.25</v>
      </c>
      <c r="O58" s="2886">
        <v>99587.881873788327</v>
      </c>
      <c r="P58" s="2892" t="e">
        <v>#N/A</v>
      </c>
      <c r="Q58" s="2901" t="e">
        <v>#N/A</v>
      </c>
      <c r="R58" s="2892" t="e">
        <v>#N/A</v>
      </c>
      <c r="S58" s="2886">
        <v>71590.185086773447</v>
      </c>
      <c r="T58" s="2892" t="e">
        <v>#N/A</v>
      </c>
      <c r="U58" s="2901" t="e">
        <v>#N/A</v>
      </c>
      <c r="V58" s="2892" t="e">
        <v>#N/A</v>
      </c>
      <c r="W58" s="2902" t="e">
        <v>#N/A</v>
      </c>
      <c r="X58" s="2903" t="e">
        <v>#N/A</v>
      </c>
      <c r="Y58" s="2987" t="e">
        <f>'2.3'!I80*1000-SUM(N58:O58,S58,X58)</f>
        <v>#N/A</v>
      </c>
    </row>
    <row r="59" spans="1:25">
      <c r="A59" s="2638">
        <v>2016.2</v>
      </c>
      <c r="B59" s="2891">
        <v>57755</v>
      </c>
      <c r="C59" s="2891">
        <v>298598</v>
      </c>
      <c r="D59" s="2892">
        <v>14479</v>
      </c>
      <c r="E59" s="2892">
        <v>88410</v>
      </c>
      <c r="F59" s="2892">
        <v>195709</v>
      </c>
      <c r="G59" s="2891">
        <v>186559</v>
      </c>
      <c r="H59" s="2892">
        <v>4402</v>
      </c>
      <c r="I59" s="2893">
        <v>46216</v>
      </c>
      <c r="J59" s="2892">
        <v>130378</v>
      </c>
      <c r="K59" s="2894">
        <v>5563</v>
      </c>
      <c r="L59" s="2894">
        <v>2122</v>
      </c>
      <c r="M59" s="2983">
        <f>+'2.3'!D81*1000-SUM(B59:C59,G59,L59)</f>
        <v>0</v>
      </c>
      <c r="N59" s="2891">
        <v>44650</v>
      </c>
      <c r="O59" s="2891">
        <v>95267</v>
      </c>
      <c r="P59" s="2892">
        <v>6984</v>
      </c>
      <c r="Q59" s="2901">
        <v>27110</v>
      </c>
      <c r="R59" s="2892">
        <v>61173</v>
      </c>
      <c r="S59" s="2891">
        <v>60527</v>
      </c>
      <c r="T59" s="2892">
        <v>3657</v>
      </c>
      <c r="U59" s="2893">
        <v>16298</v>
      </c>
      <c r="V59" s="2892">
        <v>40156</v>
      </c>
      <c r="W59" s="2902">
        <v>416</v>
      </c>
      <c r="X59" s="2903">
        <v>2618</v>
      </c>
      <c r="Y59" s="2987">
        <f>'2.3'!I81*1000-SUM(N59:O59,S59,X59)</f>
        <v>0</v>
      </c>
    </row>
    <row r="60" spans="1:25">
      <c r="A60" s="2638">
        <v>2016.3</v>
      </c>
      <c r="B60" s="2891">
        <v>52019</v>
      </c>
      <c r="C60" s="2891">
        <v>316880</v>
      </c>
      <c r="D60" s="2892">
        <v>9482</v>
      </c>
      <c r="E60" s="2892">
        <v>90366</v>
      </c>
      <c r="F60" s="2892">
        <v>217032</v>
      </c>
      <c r="G60" s="2891">
        <v>183760</v>
      </c>
      <c r="H60" s="2892">
        <v>10653</v>
      </c>
      <c r="I60" s="2893">
        <v>42578</v>
      </c>
      <c r="J60" s="2892">
        <v>127954</v>
      </c>
      <c r="K60" s="2894">
        <v>2575</v>
      </c>
      <c r="L60" s="2894">
        <v>1444</v>
      </c>
      <c r="M60" s="2983">
        <f>+'2.3'!D82*1000-SUM(B60:C60,G60,L60)</f>
        <v>0</v>
      </c>
      <c r="N60" s="2891">
        <v>43651</v>
      </c>
      <c r="O60" s="2891">
        <v>85922</v>
      </c>
      <c r="P60" s="2892">
        <v>8402</v>
      </c>
      <c r="Q60" s="2901">
        <v>22130</v>
      </c>
      <c r="R60" s="2892">
        <v>55390</v>
      </c>
      <c r="S60" s="2891">
        <v>70291</v>
      </c>
      <c r="T60" s="2892">
        <v>3714</v>
      </c>
      <c r="U60" s="2893">
        <v>24875</v>
      </c>
      <c r="V60" s="2892">
        <v>41342</v>
      </c>
      <c r="W60" s="2902">
        <v>360</v>
      </c>
      <c r="X60" s="2903">
        <v>1676</v>
      </c>
      <c r="Y60" s="2987">
        <f>'2.3'!I82*1000-SUM(N60:O60,S60,X60)</f>
        <v>0</v>
      </c>
    </row>
    <row r="61" spans="1:25">
      <c r="A61" s="2638">
        <v>2016.4</v>
      </c>
      <c r="B61" s="2891">
        <v>70200</v>
      </c>
      <c r="C61" s="2891">
        <v>335545</v>
      </c>
      <c r="D61" s="2892">
        <v>11937</v>
      </c>
      <c r="E61" s="2892">
        <v>105154</v>
      </c>
      <c r="F61" s="2892">
        <v>218454</v>
      </c>
      <c r="G61" s="2891">
        <v>165582</v>
      </c>
      <c r="H61" s="2892">
        <v>6306</v>
      </c>
      <c r="I61" s="2893">
        <v>28303</v>
      </c>
      <c r="J61" s="2892">
        <v>129095</v>
      </c>
      <c r="K61" s="2894">
        <v>1878</v>
      </c>
      <c r="L61" s="2894">
        <v>4048</v>
      </c>
      <c r="M61" s="2983">
        <f>+'2.3'!D83*1000-SUM(B61:C61,G61,L61)</f>
        <v>0</v>
      </c>
      <c r="N61" s="2891">
        <v>53878</v>
      </c>
      <c r="O61" s="2891">
        <v>84925</v>
      </c>
      <c r="P61" s="2892">
        <v>6615</v>
      </c>
      <c r="Q61" s="2901">
        <v>22522</v>
      </c>
      <c r="R61" s="2892">
        <v>55788</v>
      </c>
      <c r="S61" s="2891">
        <v>72597</v>
      </c>
      <c r="T61" s="2892">
        <v>2661</v>
      </c>
      <c r="U61" s="2893">
        <v>25287</v>
      </c>
      <c r="V61" s="2892">
        <v>43766</v>
      </c>
      <c r="W61" s="2902">
        <v>883</v>
      </c>
      <c r="X61" s="2903">
        <v>3021</v>
      </c>
      <c r="Y61" s="2987">
        <f>'2.3'!I83*1000-SUM(N61:O61,S61,X61)</f>
        <v>0</v>
      </c>
    </row>
    <row r="62" spans="1:25">
      <c r="A62" s="2638">
        <v>2017.1</v>
      </c>
      <c r="B62" s="2891">
        <v>67321</v>
      </c>
      <c r="C62" s="2891">
        <v>315165</v>
      </c>
      <c r="D62" s="2892">
        <v>14422</v>
      </c>
      <c r="E62" s="2892">
        <v>94204</v>
      </c>
      <c r="F62" s="2892">
        <v>206539</v>
      </c>
      <c r="G62" s="2891">
        <v>171329</v>
      </c>
      <c r="H62" s="2892">
        <v>6565</v>
      </c>
      <c r="I62" s="2893">
        <v>42511</v>
      </c>
      <c r="J62" s="2892">
        <v>119160</v>
      </c>
      <c r="K62" s="2894">
        <v>3093</v>
      </c>
      <c r="L62" s="2894">
        <v>865</v>
      </c>
      <c r="M62" s="2983">
        <f>+'2.3'!D84*1000-SUM(B62:C62,G62,L62)</f>
        <v>0</v>
      </c>
      <c r="N62" s="2891">
        <v>55911</v>
      </c>
      <c r="O62" s="2891">
        <v>86890</v>
      </c>
      <c r="P62" s="2892">
        <v>5138</v>
      </c>
      <c r="Q62" s="2901">
        <v>25236</v>
      </c>
      <c r="R62" s="2892">
        <v>56516</v>
      </c>
      <c r="S62" s="2891">
        <v>60973</v>
      </c>
      <c r="T62" s="2892">
        <v>1226</v>
      </c>
      <c r="U62" s="2893">
        <v>19876</v>
      </c>
      <c r="V62" s="2892">
        <v>39871</v>
      </c>
      <c r="W62" s="2902">
        <v>0</v>
      </c>
      <c r="X62" s="2903">
        <v>2270</v>
      </c>
      <c r="Y62" s="2987">
        <f>'2.3'!I84*1000-SUM(N62:O62,S62,X62)</f>
        <v>0</v>
      </c>
    </row>
    <row r="63" spans="1:25">
      <c r="A63" s="2638">
        <v>2017.2</v>
      </c>
      <c r="B63" s="2891">
        <v>64595</v>
      </c>
      <c r="C63" s="2891">
        <v>293215</v>
      </c>
      <c r="D63" s="2892">
        <v>12020</v>
      </c>
      <c r="E63" s="2892">
        <v>74337</v>
      </c>
      <c r="F63" s="2892">
        <v>206858</v>
      </c>
      <c r="G63" s="2891">
        <v>196137</v>
      </c>
      <c r="H63" s="2892">
        <v>13450</v>
      </c>
      <c r="I63" s="2893">
        <v>47785</v>
      </c>
      <c r="J63" s="2892">
        <v>133728</v>
      </c>
      <c r="K63" s="2894">
        <v>1174</v>
      </c>
      <c r="L63" s="2894">
        <v>3044</v>
      </c>
      <c r="M63" s="2983">
        <f>+'2.3'!D85*1000-SUM(B63:C63,G63,L63)</f>
        <v>0</v>
      </c>
      <c r="N63" s="2891">
        <v>47518</v>
      </c>
      <c r="O63" s="2891">
        <v>89474</v>
      </c>
      <c r="P63" s="2892">
        <v>5834</v>
      </c>
      <c r="Q63" s="2901">
        <v>24059</v>
      </c>
      <c r="R63" s="2892">
        <v>59581</v>
      </c>
      <c r="S63" s="2891">
        <v>67704</v>
      </c>
      <c r="T63" s="2892">
        <v>3296</v>
      </c>
      <c r="U63" s="2893">
        <v>24137</v>
      </c>
      <c r="V63" s="2892">
        <v>40271</v>
      </c>
      <c r="W63" s="2902">
        <v>0</v>
      </c>
      <c r="X63" s="2903">
        <v>1912</v>
      </c>
      <c r="Y63" s="2987">
        <f>'2.3'!I85*1000-SUM(N63:O63,S63,X63)</f>
        <v>0</v>
      </c>
    </row>
    <row r="64" spans="1:25">
      <c r="A64" s="2638">
        <v>2017.3</v>
      </c>
      <c r="B64" s="2891">
        <v>61524</v>
      </c>
      <c r="C64" s="2891">
        <v>315244</v>
      </c>
      <c r="D64" s="2892">
        <v>9377</v>
      </c>
      <c r="E64" s="2892">
        <v>91672</v>
      </c>
      <c r="F64" s="2892">
        <v>214195</v>
      </c>
      <c r="G64" s="2891">
        <v>171817</v>
      </c>
      <c r="H64" s="2892">
        <v>4505</v>
      </c>
      <c r="I64" s="2893">
        <v>31913</v>
      </c>
      <c r="J64" s="2892">
        <v>134181</v>
      </c>
      <c r="K64" s="2894">
        <v>1218</v>
      </c>
      <c r="L64" s="2894">
        <v>4682</v>
      </c>
      <c r="M64" s="2983">
        <f>+'2.3'!D86*1000-SUM(B64:C64,G64,L64)</f>
        <v>0</v>
      </c>
      <c r="N64" s="2891">
        <v>48053</v>
      </c>
      <c r="O64" s="2891">
        <v>87112</v>
      </c>
      <c r="P64" s="2892">
        <v>7032</v>
      </c>
      <c r="Q64" s="2901">
        <v>22277</v>
      </c>
      <c r="R64" s="2892">
        <v>57803</v>
      </c>
      <c r="S64" s="2891">
        <v>77328</v>
      </c>
      <c r="T64" s="2892">
        <v>3379</v>
      </c>
      <c r="U64" s="2893">
        <v>29490</v>
      </c>
      <c r="V64" s="2892">
        <v>43890</v>
      </c>
      <c r="W64" s="2902">
        <v>569</v>
      </c>
      <c r="X64" s="2903">
        <v>2539</v>
      </c>
      <c r="Y64" s="2987">
        <f>'2.3'!I86*1000-SUM(N64:O64,S64,X64)</f>
        <v>0</v>
      </c>
    </row>
    <row r="65" spans="1:25">
      <c r="A65" s="2638">
        <v>2017.4</v>
      </c>
      <c r="B65" s="2891">
        <v>67722</v>
      </c>
      <c r="C65" s="2891">
        <v>327515</v>
      </c>
      <c r="D65" s="2892">
        <v>15563</v>
      </c>
      <c r="E65" s="2892">
        <v>103835</v>
      </c>
      <c r="F65" s="2892">
        <v>208117</v>
      </c>
      <c r="G65" s="2891">
        <v>159256</v>
      </c>
      <c r="H65" s="2892">
        <v>3915</v>
      </c>
      <c r="I65" s="2893">
        <v>37543</v>
      </c>
      <c r="J65" s="2892">
        <v>117798</v>
      </c>
      <c r="K65" s="2894">
        <v>0</v>
      </c>
      <c r="L65" s="2894">
        <v>2190</v>
      </c>
      <c r="M65" s="2983">
        <f>+'2.3'!D87*1000-SUM(B65:C65,G65,L65)</f>
        <v>0</v>
      </c>
      <c r="N65" s="2891">
        <v>52985</v>
      </c>
      <c r="O65" s="2891">
        <v>85925</v>
      </c>
      <c r="P65" s="2892">
        <v>6154</v>
      </c>
      <c r="Q65" s="2901">
        <v>22666</v>
      </c>
      <c r="R65" s="2892">
        <v>57105</v>
      </c>
      <c r="S65" s="2891">
        <v>70704</v>
      </c>
      <c r="T65" s="2892">
        <v>917</v>
      </c>
      <c r="U65" s="2893">
        <v>27918</v>
      </c>
      <c r="V65" s="2892">
        <v>40738</v>
      </c>
      <c r="W65" s="2902">
        <v>1131</v>
      </c>
      <c r="X65" s="2903">
        <v>2857</v>
      </c>
      <c r="Y65" s="2987">
        <f>'2.3'!I87*1000-SUM(N65:O65,S65,X65)</f>
        <v>0</v>
      </c>
    </row>
    <row r="66" spans="1:25">
      <c r="A66" s="2638">
        <v>2018.1</v>
      </c>
      <c r="B66" s="2891">
        <v>59717</v>
      </c>
      <c r="C66" s="2891">
        <v>324057</v>
      </c>
      <c r="D66" s="2892">
        <v>16016</v>
      </c>
      <c r="E66" s="2892">
        <v>83408</v>
      </c>
      <c r="F66" s="2892">
        <v>224633</v>
      </c>
      <c r="G66" s="2891">
        <v>189021</v>
      </c>
      <c r="H66" s="2892">
        <v>9871</v>
      </c>
      <c r="I66" s="2893">
        <v>43939</v>
      </c>
      <c r="J66" s="2892">
        <v>133653</v>
      </c>
      <c r="K66" s="2894">
        <v>1558</v>
      </c>
      <c r="L66" s="2894">
        <v>3029</v>
      </c>
      <c r="M66" s="2983">
        <f>+'2.3'!D88*1000-SUM(B66:C66,G66,L66)</f>
        <v>0</v>
      </c>
      <c r="N66" s="2891">
        <v>53805</v>
      </c>
      <c r="O66" s="2891">
        <v>83698</v>
      </c>
      <c r="P66" s="2892">
        <v>5760</v>
      </c>
      <c r="Q66" s="2901">
        <v>23336</v>
      </c>
      <c r="R66" s="2892">
        <v>54602</v>
      </c>
      <c r="S66" s="2891">
        <v>70836</v>
      </c>
      <c r="T66" s="2892">
        <v>3159</v>
      </c>
      <c r="U66" s="2893">
        <v>27111</v>
      </c>
      <c r="V66" s="2892">
        <v>38170</v>
      </c>
      <c r="W66" s="2902">
        <v>2396</v>
      </c>
      <c r="X66" s="2903">
        <v>3234</v>
      </c>
      <c r="Y66" s="2987">
        <f>'2.3'!I88*1000-SUM(N66:O66,S66,X66)</f>
        <v>0</v>
      </c>
    </row>
    <row r="67" spans="1:25">
      <c r="A67" s="2638">
        <v>2018.2</v>
      </c>
      <c r="B67" s="2891">
        <v>60997</v>
      </c>
      <c r="C67" s="2891">
        <v>304316</v>
      </c>
      <c r="D67" s="2892">
        <v>14571</v>
      </c>
      <c r="E67" s="2892">
        <v>83303</v>
      </c>
      <c r="F67" s="2892">
        <v>206442</v>
      </c>
      <c r="G67" s="2891">
        <v>203006</v>
      </c>
      <c r="H67" s="2892">
        <v>8454</v>
      </c>
      <c r="I67" s="2893">
        <v>53612</v>
      </c>
      <c r="J67" s="2892">
        <v>137110</v>
      </c>
      <c r="K67" s="2894">
        <v>3830</v>
      </c>
      <c r="L67" s="2894">
        <v>1622</v>
      </c>
      <c r="M67" s="2983">
        <f>+'2.3'!D89*1000-SUM(B67:C67,G67,L67)</f>
        <v>0</v>
      </c>
      <c r="N67" s="2891">
        <v>51089</v>
      </c>
      <c r="O67" s="2891">
        <v>80547</v>
      </c>
      <c r="P67" s="2892">
        <v>6067</v>
      </c>
      <c r="Q67" s="2901">
        <v>21254</v>
      </c>
      <c r="R67" s="2892">
        <v>53226</v>
      </c>
      <c r="S67" s="2891">
        <v>65703</v>
      </c>
      <c r="T67" s="2892">
        <v>3969</v>
      </c>
      <c r="U67" s="2893">
        <v>23553</v>
      </c>
      <c r="V67" s="2892">
        <v>38181</v>
      </c>
      <c r="W67" s="2902">
        <v>0</v>
      </c>
      <c r="X67" s="2903">
        <v>3074</v>
      </c>
      <c r="Y67" s="2987">
        <f>'2.3'!I89*1000-SUM(N67:O67,S67,X67)</f>
        <v>0</v>
      </c>
    </row>
    <row r="68" spans="1:25">
      <c r="A68" s="2638">
        <v>2018.3</v>
      </c>
      <c r="B68" s="2891">
        <v>62056</v>
      </c>
      <c r="C68" s="2891">
        <v>326080</v>
      </c>
      <c r="D68" s="2892">
        <v>14479</v>
      </c>
      <c r="E68" s="2892">
        <v>98664</v>
      </c>
      <c r="F68" s="2892">
        <v>212937</v>
      </c>
      <c r="G68" s="2891">
        <v>181525</v>
      </c>
      <c r="H68" s="2892">
        <v>9174</v>
      </c>
      <c r="I68" s="2893">
        <v>44909</v>
      </c>
      <c r="J68" s="2892">
        <v>126134</v>
      </c>
      <c r="K68" s="2894">
        <v>1308</v>
      </c>
      <c r="L68" s="2894">
        <v>1528</v>
      </c>
      <c r="M68" s="2983">
        <f>+'2.3'!D90*1000-SUM(B68:C68,G68,L68)</f>
        <v>0</v>
      </c>
      <c r="N68" s="2891">
        <v>53311</v>
      </c>
      <c r="O68" s="2891">
        <v>84243</v>
      </c>
      <c r="P68" s="2892">
        <v>8075</v>
      </c>
      <c r="Q68" s="2901">
        <v>21861</v>
      </c>
      <c r="R68" s="2892">
        <v>54307</v>
      </c>
      <c r="S68" s="2891">
        <v>65884</v>
      </c>
      <c r="T68" s="2892">
        <v>1674</v>
      </c>
      <c r="U68" s="2893">
        <v>20792</v>
      </c>
      <c r="V68" s="2892">
        <v>43418</v>
      </c>
      <c r="W68" s="2902">
        <v>0</v>
      </c>
      <c r="X68" s="2903">
        <v>2663</v>
      </c>
      <c r="Y68" s="2987">
        <f>'2.3'!I90*1000-SUM(N68:O68,S68,X68)</f>
        <v>0</v>
      </c>
    </row>
    <row r="69" spans="1:25">
      <c r="A69" s="2638">
        <v>2018.4</v>
      </c>
      <c r="B69" s="2891">
        <v>68644</v>
      </c>
      <c r="C69" s="2891">
        <v>287232</v>
      </c>
      <c r="D69" s="2892">
        <v>13512</v>
      </c>
      <c r="E69" s="2892">
        <v>82901</v>
      </c>
      <c r="F69" s="2892">
        <v>190819</v>
      </c>
      <c r="G69" s="2891">
        <v>174433</v>
      </c>
      <c r="H69" s="2892">
        <v>7252</v>
      </c>
      <c r="I69" s="2893">
        <v>53409</v>
      </c>
      <c r="J69" s="2892">
        <v>112158</v>
      </c>
      <c r="K69" s="2894">
        <v>1614</v>
      </c>
      <c r="L69" s="2894">
        <v>1599</v>
      </c>
      <c r="M69" s="2983">
        <f>+'2.3'!D91*1000-SUM(B69:C69,G69,L69)</f>
        <v>0</v>
      </c>
      <c r="N69" s="2891">
        <v>57045</v>
      </c>
      <c r="O69" s="2891">
        <v>92858</v>
      </c>
      <c r="P69" s="2892">
        <v>11348</v>
      </c>
      <c r="Q69" s="2901">
        <v>25011</v>
      </c>
      <c r="R69" s="2892">
        <v>56499</v>
      </c>
      <c r="S69" s="2891">
        <v>63259</v>
      </c>
      <c r="T69" s="2892">
        <v>2610</v>
      </c>
      <c r="U69" s="2893">
        <v>19336</v>
      </c>
      <c r="V69" s="2892">
        <v>40965</v>
      </c>
      <c r="W69" s="2902">
        <v>348</v>
      </c>
      <c r="X69" s="2903">
        <v>2667</v>
      </c>
      <c r="Y69" s="2987">
        <f>'2.3'!I91*1000-SUM(N69:O69,S69,X69)</f>
        <v>0</v>
      </c>
    </row>
    <row r="70" spans="1:25">
      <c r="A70" s="2638">
        <v>2019.1</v>
      </c>
      <c r="B70" s="2891">
        <v>67255</v>
      </c>
      <c r="C70" s="2891">
        <v>285117</v>
      </c>
      <c r="D70" s="2892">
        <v>15100</v>
      </c>
      <c r="E70" s="2892">
        <v>88526</v>
      </c>
      <c r="F70" s="2892">
        <v>181491</v>
      </c>
      <c r="G70" s="2891">
        <v>192638</v>
      </c>
      <c r="H70" s="2892">
        <v>5499</v>
      </c>
      <c r="I70" s="2893">
        <v>63544</v>
      </c>
      <c r="J70" s="2892">
        <v>118801</v>
      </c>
      <c r="K70" s="2894">
        <v>4794</v>
      </c>
      <c r="L70" s="2894">
        <v>1959</v>
      </c>
      <c r="M70" s="2983">
        <f>+'2.3'!D92*1000-SUM(B70:C70,G70,L70)</f>
        <v>0</v>
      </c>
      <c r="N70" s="2891">
        <v>58277</v>
      </c>
      <c r="O70" s="2891">
        <v>89564</v>
      </c>
      <c r="P70" s="2892">
        <v>7145</v>
      </c>
      <c r="Q70" s="2901">
        <v>25901</v>
      </c>
      <c r="R70" s="2892">
        <v>56518</v>
      </c>
      <c r="S70" s="2891">
        <v>55230</v>
      </c>
      <c r="T70" s="2892">
        <v>2343</v>
      </c>
      <c r="U70" s="2893">
        <v>20825</v>
      </c>
      <c r="V70" s="2892">
        <v>30524</v>
      </c>
      <c r="W70" s="2902">
        <v>1538</v>
      </c>
      <c r="X70" s="2903">
        <v>1896</v>
      </c>
      <c r="Y70" s="2987">
        <f>'2.3'!I92*1000-SUM(N70:O70,S70,X70)</f>
        <v>0</v>
      </c>
    </row>
    <row r="71" spans="1:25">
      <c r="A71" s="2638">
        <v>2019.2</v>
      </c>
      <c r="B71" s="2891">
        <v>68767</v>
      </c>
      <c r="C71" s="2891">
        <v>294649</v>
      </c>
      <c r="D71" s="2892">
        <v>19195</v>
      </c>
      <c r="E71" s="2892">
        <v>87654</v>
      </c>
      <c r="F71" s="2892">
        <v>187800</v>
      </c>
      <c r="G71" s="2891">
        <v>192737</v>
      </c>
      <c r="H71" s="2892">
        <v>3322</v>
      </c>
      <c r="I71" s="2893">
        <v>58211</v>
      </c>
      <c r="J71" s="2892">
        <v>128515</v>
      </c>
      <c r="K71" s="2894">
        <v>2689</v>
      </c>
      <c r="L71" s="2894">
        <v>2694</v>
      </c>
      <c r="M71" s="2983">
        <f>+'2.3'!D93*1000-SUM(B71:C71,G71,L71)</f>
        <v>0</v>
      </c>
      <c r="N71" s="2891">
        <v>51191</v>
      </c>
      <c r="O71" s="2891">
        <v>86820</v>
      </c>
      <c r="P71" s="2892">
        <v>6588</v>
      </c>
      <c r="Q71" s="2901">
        <v>26984</v>
      </c>
      <c r="R71" s="2892">
        <v>53248</v>
      </c>
      <c r="S71" s="2891">
        <v>60865</v>
      </c>
      <c r="T71" s="2892">
        <v>3579</v>
      </c>
      <c r="U71" s="2893">
        <v>21105</v>
      </c>
      <c r="V71" s="2892">
        <v>35712</v>
      </c>
      <c r="W71" s="2902">
        <v>469</v>
      </c>
      <c r="X71" s="2903">
        <v>3485</v>
      </c>
      <c r="Y71" s="2987">
        <f>'2.3'!I93*1000-SUM(N71:O71,S71,X71)</f>
        <v>0</v>
      </c>
    </row>
    <row r="72" spans="1:25">
      <c r="A72" s="2638">
        <v>2019.3</v>
      </c>
      <c r="B72" s="2891">
        <v>77802</v>
      </c>
      <c r="C72" s="2891">
        <v>293701</v>
      </c>
      <c r="D72" s="2892">
        <v>12379</v>
      </c>
      <c r="E72" s="2892">
        <v>78413</v>
      </c>
      <c r="F72" s="2892">
        <v>202909</v>
      </c>
      <c r="G72" s="2891">
        <v>178853</v>
      </c>
      <c r="H72" s="2892">
        <v>7028</v>
      </c>
      <c r="I72" s="2893">
        <v>54301</v>
      </c>
      <c r="J72" s="2892">
        <v>116410</v>
      </c>
      <c r="K72" s="2894">
        <v>1114</v>
      </c>
      <c r="L72" s="2894">
        <v>4972</v>
      </c>
      <c r="M72" s="2983">
        <f>+'2.3'!D94*1000-SUM(B72:C72,G72,L72)</f>
        <v>0</v>
      </c>
      <c r="N72" s="2891">
        <v>56535</v>
      </c>
      <c r="O72" s="2891">
        <v>85782</v>
      </c>
      <c r="P72" s="2892">
        <v>5414</v>
      </c>
      <c r="Q72" s="2901">
        <v>28674</v>
      </c>
      <c r="R72" s="2892">
        <v>51694</v>
      </c>
      <c r="S72" s="2891">
        <v>66823</v>
      </c>
      <c r="T72" s="2892">
        <v>2124</v>
      </c>
      <c r="U72" s="2893">
        <v>23901</v>
      </c>
      <c r="V72" s="2892">
        <v>40798</v>
      </c>
      <c r="W72" s="2902">
        <v>0</v>
      </c>
      <c r="X72" s="2903">
        <v>3514</v>
      </c>
      <c r="Y72" s="2987">
        <f>'2.3'!I94*1000-SUM(N72:O72,S72,X72)</f>
        <v>0</v>
      </c>
    </row>
    <row r="73" spans="1:25">
      <c r="A73" s="2638">
        <v>2019.4</v>
      </c>
      <c r="B73" s="2891">
        <v>65900</v>
      </c>
      <c r="C73" s="2891">
        <v>292276</v>
      </c>
      <c r="D73" s="2892">
        <v>9107</v>
      </c>
      <c r="E73" s="2892">
        <v>81472</v>
      </c>
      <c r="F73" s="2892">
        <v>201697</v>
      </c>
      <c r="G73" s="2891">
        <v>191494</v>
      </c>
      <c r="H73" s="2892">
        <v>8065</v>
      </c>
      <c r="I73" s="2893">
        <v>65993</v>
      </c>
      <c r="J73" s="2892">
        <v>114785</v>
      </c>
      <c r="K73" s="2894">
        <v>2651</v>
      </c>
      <c r="L73" s="2894">
        <v>5985</v>
      </c>
      <c r="M73" s="2983">
        <f>+'2.3'!D95*1000-SUM(B73:C73,G73,L73)</f>
        <v>0</v>
      </c>
      <c r="N73" s="2891">
        <v>62113</v>
      </c>
      <c r="O73" s="2891">
        <v>87960</v>
      </c>
      <c r="P73" s="2892">
        <v>4385</v>
      </c>
      <c r="Q73" s="2901">
        <v>25283</v>
      </c>
      <c r="R73" s="2892">
        <v>58292</v>
      </c>
      <c r="S73" s="2891">
        <v>66726</v>
      </c>
      <c r="T73" s="2892">
        <v>4043</v>
      </c>
      <c r="U73" s="2893">
        <v>20141</v>
      </c>
      <c r="V73" s="2892">
        <v>41844</v>
      </c>
      <c r="W73" s="2902">
        <v>698</v>
      </c>
      <c r="X73" s="2903">
        <v>2835</v>
      </c>
      <c r="Y73" s="2987">
        <f>'2.3'!I95*1000-SUM(N73:O73,S73,X73)</f>
        <v>0</v>
      </c>
    </row>
    <row r="74" spans="1:25">
      <c r="A74" s="2638">
        <v>2020.1</v>
      </c>
      <c r="B74" s="2891">
        <v>67304</v>
      </c>
      <c r="C74" s="2891">
        <v>280810</v>
      </c>
      <c r="D74" s="2892">
        <v>12444</v>
      </c>
      <c r="E74" s="2892">
        <v>92673</v>
      </c>
      <c r="F74" s="2892">
        <v>175693</v>
      </c>
      <c r="G74" s="2891">
        <v>202100</v>
      </c>
      <c r="H74" s="2892">
        <v>6371</v>
      </c>
      <c r="I74" s="2893">
        <v>64749</v>
      </c>
      <c r="J74" s="2892">
        <v>129182</v>
      </c>
      <c r="K74" s="2894">
        <v>1798</v>
      </c>
      <c r="L74" s="2894">
        <v>3180</v>
      </c>
      <c r="M74" s="2983">
        <f>+'2.3'!D96*1000-SUM(B74:C74,G74,L74)</f>
        <v>0</v>
      </c>
      <c r="N74" s="2891">
        <v>53270</v>
      </c>
      <c r="O74" s="2891">
        <v>94997</v>
      </c>
      <c r="P74" s="2892">
        <v>3851</v>
      </c>
      <c r="Q74" s="2901">
        <v>28247</v>
      </c>
      <c r="R74" s="2892">
        <v>62899</v>
      </c>
      <c r="S74" s="2891">
        <v>61185</v>
      </c>
      <c r="T74" s="2892">
        <v>3914</v>
      </c>
      <c r="U74" s="2893">
        <v>17696</v>
      </c>
      <c r="V74" s="2892">
        <v>39223</v>
      </c>
      <c r="W74" s="2902">
        <v>352</v>
      </c>
      <c r="X74" s="2903">
        <v>4196</v>
      </c>
      <c r="Y74" s="2987">
        <f>'2.3'!I96*1000-SUM(N74:O74,S74,X74)</f>
        <v>0</v>
      </c>
    </row>
    <row r="75" spans="1:25">
      <c r="A75" s="2638">
        <v>2020.2</v>
      </c>
      <c r="B75" s="2891">
        <v>70755</v>
      </c>
      <c r="C75" s="2891">
        <v>256914</v>
      </c>
      <c r="D75" s="2892">
        <v>13022</v>
      </c>
      <c r="E75" s="2892">
        <v>54467</v>
      </c>
      <c r="F75" s="2892">
        <v>189425</v>
      </c>
      <c r="G75" s="2891">
        <v>137864</v>
      </c>
      <c r="H75" s="2892">
        <v>9555</v>
      </c>
      <c r="I75" s="2893">
        <v>47073</v>
      </c>
      <c r="J75" s="2892">
        <v>79054</v>
      </c>
      <c r="K75" s="2894">
        <v>2182</v>
      </c>
      <c r="L75" s="2894">
        <v>1525</v>
      </c>
      <c r="M75" s="2983">
        <f>+'2.3'!D97*1000-SUM(B75:C75,G75,L75)</f>
        <v>0</v>
      </c>
      <c r="N75" s="2891">
        <v>48455</v>
      </c>
      <c r="O75" s="2891">
        <v>76449</v>
      </c>
      <c r="P75" s="2892">
        <v>2474</v>
      </c>
      <c r="Q75" s="2901">
        <v>17607</v>
      </c>
      <c r="R75" s="2892">
        <v>56368</v>
      </c>
      <c r="S75" s="2891">
        <v>33184</v>
      </c>
      <c r="T75" s="2892">
        <v>1757</v>
      </c>
      <c r="U75" s="2893">
        <v>14855</v>
      </c>
      <c r="V75" s="2892">
        <v>16572</v>
      </c>
      <c r="W75" s="2902">
        <v>0</v>
      </c>
      <c r="X75" s="2903">
        <v>4445</v>
      </c>
      <c r="Y75" s="2987">
        <f>'2.3'!I97*1000-SUM(N75:O75,S75,X75)</f>
        <v>0</v>
      </c>
    </row>
    <row r="76" spans="1:25">
      <c r="A76" s="2638">
        <v>2020.3</v>
      </c>
      <c r="B76" s="2891">
        <v>72930</v>
      </c>
      <c r="C76" s="2891">
        <v>306755</v>
      </c>
      <c r="D76" s="2892">
        <v>10960</v>
      </c>
      <c r="E76" s="2892">
        <v>98733</v>
      </c>
      <c r="F76" s="2892">
        <v>197062</v>
      </c>
      <c r="G76" s="2891">
        <v>163457</v>
      </c>
      <c r="H76" s="2892">
        <v>6919</v>
      </c>
      <c r="I76" s="2893">
        <v>67438</v>
      </c>
      <c r="J76" s="2892">
        <v>82945</v>
      </c>
      <c r="K76" s="2894">
        <v>6155</v>
      </c>
      <c r="L76" s="2894">
        <v>3831</v>
      </c>
      <c r="M76" s="2983">
        <f>+'2.3'!D98*1000-SUM(B76:C76,G76,L76)</f>
        <v>0</v>
      </c>
      <c r="N76" s="2891">
        <v>49068</v>
      </c>
      <c r="O76" s="2891">
        <v>81448</v>
      </c>
      <c r="P76" s="2892">
        <v>3101</v>
      </c>
      <c r="Q76" s="2901">
        <v>33608</v>
      </c>
      <c r="R76" s="2892">
        <v>44739</v>
      </c>
      <c r="S76" s="2891">
        <v>75790</v>
      </c>
      <c r="T76" s="2892">
        <v>2909</v>
      </c>
      <c r="U76" s="2893">
        <v>32089</v>
      </c>
      <c r="V76" s="2892">
        <v>39747</v>
      </c>
      <c r="W76" s="2902">
        <v>1045</v>
      </c>
      <c r="X76" s="2903">
        <v>5853</v>
      </c>
      <c r="Y76" s="2987">
        <f>'2.3'!I98*1000-SUM(N76:O76,S76,X76)</f>
        <v>0</v>
      </c>
    </row>
    <row r="77" spans="1:25">
      <c r="A77" s="2638">
        <v>2020.4</v>
      </c>
      <c r="B77" s="2891">
        <v>66714</v>
      </c>
      <c r="C77" s="2891">
        <v>287002</v>
      </c>
      <c r="D77" s="2892">
        <v>7916</v>
      </c>
      <c r="E77" s="2892">
        <v>94770</v>
      </c>
      <c r="F77" s="2892">
        <v>184316</v>
      </c>
      <c r="G77" s="2891">
        <v>180020</v>
      </c>
      <c r="H77" s="2892">
        <v>6792</v>
      </c>
      <c r="I77" s="2893">
        <v>75625</v>
      </c>
      <c r="J77" s="2892">
        <v>96318</v>
      </c>
      <c r="K77" s="2894">
        <v>1285</v>
      </c>
      <c r="L77" s="2894">
        <v>674</v>
      </c>
      <c r="M77" s="2983">
        <f>+'2.3'!D99*1000-SUM(B77:C77,G77,L77)</f>
        <v>0</v>
      </c>
      <c r="N77" s="2891">
        <v>53828</v>
      </c>
      <c r="O77" s="2891">
        <v>88796</v>
      </c>
      <c r="P77" s="2892">
        <v>3270</v>
      </c>
      <c r="Q77" s="2901">
        <v>31162</v>
      </c>
      <c r="R77" s="2892">
        <v>54364</v>
      </c>
      <c r="S77" s="2891">
        <v>74809</v>
      </c>
      <c r="T77" s="2892">
        <v>2911</v>
      </c>
      <c r="U77" s="2893">
        <v>26026</v>
      </c>
      <c r="V77" s="2892">
        <v>45872</v>
      </c>
      <c r="W77" s="2902">
        <v>0</v>
      </c>
      <c r="X77" s="2903">
        <v>4309</v>
      </c>
      <c r="Y77" s="2987">
        <f>'2.3'!I99*1000-SUM(N77:O77,S77,X77)</f>
        <v>0</v>
      </c>
    </row>
    <row r="78" spans="1:25">
      <c r="A78" s="2638">
        <v>2021.1</v>
      </c>
      <c r="B78" s="2891">
        <v>75119</v>
      </c>
      <c r="C78" s="2891">
        <v>300125</v>
      </c>
      <c r="D78" s="2892">
        <v>11046</v>
      </c>
      <c r="E78" s="2892">
        <v>90923</v>
      </c>
      <c r="F78" s="2892">
        <v>198156</v>
      </c>
      <c r="G78" s="2891">
        <v>206268</v>
      </c>
      <c r="H78" s="2892">
        <v>10333</v>
      </c>
      <c r="I78" s="2893">
        <v>66415</v>
      </c>
      <c r="J78" s="2892">
        <v>126205</v>
      </c>
      <c r="K78" s="2894">
        <v>3315</v>
      </c>
      <c r="L78" s="2894">
        <v>1984</v>
      </c>
      <c r="M78" s="2983">
        <f>+'2.3'!D100*1000-SUM(B78:C78,G78,L78)</f>
        <v>0</v>
      </c>
      <c r="N78" s="2891">
        <v>49391</v>
      </c>
      <c r="O78" s="2891">
        <v>96617</v>
      </c>
      <c r="P78" s="2892">
        <v>7616</v>
      </c>
      <c r="Q78" s="2901">
        <v>28592</v>
      </c>
      <c r="R78" s="2892">
        <v>60409</v>
      </c>
      <c r="S78" s="2891">
        <v>74937</v>
      </c>
      <c r="T78" s="2892">
        <v>4161</v>
      </c>
      <c r="U78" s="2893">
        <v>26930</v>
      </c>
      <c r="V78" s="2892">
        <v>43527</v>
      </c>
      <c r="W78" s="2902">
        <v>319</v>
      </c>
      <c r="X78" s="2903">
        <v>4577</v>
      </c>
      <c r="Y78" s="2987">
        <f>'2.3'!I100*1000-SUM(N78:O78,S78,X78)</f>
        <v>0</v>
      </c>
    </row>
    <row r="79" spans="1:25">
      <c r="A79" s="2638">
        <v>2021.2</v>
      </c>
      <c r="B79" s="2891">
        <v>70535</v>
      </c>
      <c r="C79" s="2891">
        <v>318876</v>
      </c>
      <c r="D79" s="2892">
        <v>15012</v>
      </c>
      <c r="E79" s="2892">
        <v>91156</v>
      </c>
      <c r="F79" s="2892">
        <v>212708</v>
      </c>
      <c r="G79" s="2891">
        <v>188803</v>
      </c>
      <c r="H79" s="2892">
        <v>8771</v>
      </c>
      <c r="I79" s="2893">
        <v>60332</v>
      </c>
      <c r="J79" s="2892">
        <v>117773</v>
      </c>
      <c r="K79" s="2894">
        <v>1927</v>
      </c>
      <c r="L79" s="2894">
        <v>7007</v>
      </c>
      <c r="M79" s="2983">
        <f>+'2.3'!D101*1000-SUM(B79:C79,G79,L79)</f>
        <v>0</v>
      </c>
      <c r="N79" s="2891">
        <v>49029</v>
      </c>
      <c r="O79" s="2891">
        <v>88033</v>
      </c>
      <c r="P79" s="2892">
        <v>6993</v>
      </c>
      <c r="Q79" s="2901">
        <v>25314</v>
      </c>
      <c r="R79" s="2892">
        <v>55726</v>
      </c>
      <c r="S79" s="2891">
        <v>83357</v>
      </c>
      <c r="T79" s="2892">
        <v>3380</v>
      </c>
      <c r="U79" s="2893">
        <v>37358</v>
      </c>
      <c r="V79" s="2892">
        <v>41127</v>
      </c>
      <c r="W79" s="2902">
        <v>1492</v>
      </c>
      <c r="X79" s="2903">
        <v>4194</v>
      </c>
      <c r="Y79" s="2987">
        <f>'2.3'!I101*1000-SUM(N79:O79,S79,X79)</f>
        <v>0</v>
      </c>
    </row>
    <row r="80" spans="1:25">
      <c r="A80" s="2638">
        <v>2021.3</v>
      </c>
      <c r="B80" s="2891">
        <v>73632</v>
      </c>
      <c r="C80" s="2891">
        <v>327007</v>
      </c>
      <c r="D80" s="2892">
        <v>14037</v>
      </c>
      <c r="E80" s="2892">
        <v>103631</v>
      </c>
      <c r="F80" s="2892">
        <v>209339</v>
      </c>
      <c r="G80" s="2891">
        <v>205667</v>
      </c>
      <c r="H80" s="2892">
        <v>11920</v>
      </c>
      <c r="I80" s="2893">
        <v>52088</v>
      </c>
      <c r="J80" s="2892">
        <v>140866</v>
      </c>
      <c r="K80" s="2894">
        <v>793</v>
      </c>
      <c r="L80" s="2894">
        <v>5380</v>
      </c>
      <c r="M80" s="2983">
        <f>+'2.3'!D102*1000-SUM(B80:C80,G80,L80)</f>
        <v>0</v>
      </c>
      <c r="N80" s="2891">
        <v>54484</v>
      </c>
      <c r="O80" s="2891">
        <v>96158</v>
      </c>
      <c r="P80" s="2892">
        <v>7673</v>
      </c>
      <c r="Q80" s="2901">
        <v>32077</v>
      </c>
      <c r="R80" s="2892">
        <v>56408</v>
      </c>
      <c r="S80" s="2891">
        <v>78522</v>
      </c>
      <c r="T80" s="2892">
        <v>3583</v>
      </c>
      <c r="U80" s="2893">
        <v>35643</v>
      </c>
      <c r="V80" s="2892">
        <v>39296</v>
      </c>
      <c r="W80" s="2902">
        <v>0</v>
      </c>
      <c r="X80" s="2903">
        <v>2565</v>
      </c>
      <c r="Y80" s="2987">
        <f>'2.3'!I102*1000-SUM(N80:O80,S80,X80)</f>
        <v>0</v>
      </c>
    </row>
    <row r="81" spans="1:25">
      <c r="A81" s="2638">
        <v>2021.4</v>
      </c>
      <c r="B81" s="2891">
        <v>71538</v>
      </c>
      <c r="C81" s="2891">
        <v>348079</v>
      </c>
      <c r="D81" s="2892">
        <v>12639</v>
      </c>
      <c r="E81" s="2892">
        <v>94860</v>
      </c>
      <c r="F81" s="2892">
        <v>240580</v>
      </c>
      <c r="G81" s="2891">
        <v>185900</v>
      </c>
      <c r="H81" s="2892">
        <v>9686</v>
      </c>
      <c r="I81" s="2893">
        <v>56038</v>
      </c>
      <c r="J81" s="2892">
        <v>117785</v>
      </c>
      <c r="K81" s="2894">
        <v>2391</v>
      </c>
      <c r="L81" s="2894">
        <v>8358</v>
      </c>
      <c r="M81" s="2983">
        <f>+'2.3'!D103*1000-SUM(B81:C81,G81,L81)</f>
        <v>0</v>
      </c>
      <c r="N81" s="2891">
        <v>58759</v>
      </c>
      <c r="O81" s="2891">
        <v>91528</v>
      </c>
      <c r="P81" s="2892">
        <v>9860</v>
      </c>
      <c r="Q81" s="2901">
        <v>25576</v>
      </c>
      <c r="R81" s="2892">
        <v>56092</v>
      </c>
      <c r="S81" s="2891">
        <v>73120</v>
      </c>
      <c r="T81" s="2892">
        <v>4236</v>
      </c>
      <c r="U81" s="2893">
        <v>29560</v>
      </c>
      <c r="V81" s="2892">
        <v>38185</v>
      </c>
      <c r="W81" s="2902">
        <v>1139</v>
      </c>
      <c r="X81" s="2903">
        <v>6462</v>
      </c>
      <c r="Y81" s="2987">
        <f>'2.3'!I103*1000-SUM(N81:O81,S81,X81)</f>
        <v>0</v>
      </c>
    </row>
    <row r="82" spans="1:25">
      <c r="A82" s="2638">
        <v>2022.1</v>
      </c>
      <c r="B82" s="2891">
        <v>79132</v>
      </c>
      <c r="C82" s="2891">
        <v>333690</v>
      </c>
      <c r="D82" s="2892">
        <v>10219</v>
      </c>
      <c r="E82" s="2892">
        <v>102997</v>
      </c>
      <c r="F82" s="2892">
        <v>220474</v>
      </c>
      <c r="G82" s="2891">
        <v>205218</v>
      </c>
      <c r="H82" s="2892">
        <v>6709</v>
      </c>
      <c r="I82" s="2893">
        <v>52576</v>
      </c>
      <c r="J82" s="2892">
        <v>143955</v>
      </c>
      <c r="K82" s="2894">
        <v>1978</v>
      </c>
      <c r="L82" s="2894">
        <v>2244</v>
      </c>
      <c r="M82" s="2983">
        <f>+'2.3'!D104*1000-SUM(B82:C82,G82,L82)</f>
        <v>0</v>
      </c>
      <c r="N82" s="2891">
        <v>51099</v>
      </c>
      <c r="O82" s="2891">
        <v>95906</v>
      </c>
      <c r="P82" s="2892">
        <v>4864</v>
      </c>
      <c r="Q82" s="2901">
        <v>30230</v>
      </c>
      <c r="R82" s="2892">
        <v>60812</v>
      </c>
      <c r="S82" s="2891">
        <v>76726</v>
      </c>
      <c r="T82" s="2892">
        <v>1624</v>
      </c>
      <c r="U82" s="2893">
        <v>35854</v>
      </c>
      <c r="V82" s="2892">
        <v>39248</v>
      </c>
      <c r="W82" s="2902">
        <v>0</v>
      </c>
      <c r="X82" s="2903">
        <v>6655</v>
      </c>
      <c r="Y82" s="2987">
        <f>'2.3'!I104*1000-SUM(N82:O82,S82,X82)</f>
        <v>0</v>
      </c>
    </row>
    <row r="83" spans="1:25">
      <c r="A83" s="2638">
        <v>2022.2</v>
      </c>
      <c r="B83" s="2891">
        <v>86477</v>
      </c>
      <c r="C83" s="2891">
        <v>342148</v>
      </c>
      <c r="D83" s="2892">
        <v>18710</v>
      </c>
      <c r="E83" s="2892">
        <v>101062</v>
      </c>
      <c r="F83" s="2892">
        <v>222376</v>
      </c>
      <c r="G83" s="2891">
        <v>213262</v>
      </c>
      <c r="H83" s="2892">
        <v>4271</v>
      </c>
      <c r="I83" s="2893">
        <v>55472</v>
      </c>
      <c r="J83" s="2892">
        <v>152996</v>
      </c>
      <c r="K83" s="2894">
        <v>523</v>
      </c>
      <c r="L83" s="2894">
        <v>5815</v>
      </c>
      <c r="M83" s="2983">
        <f>+'2.3'!D105*1000-SUM(B83:C83,G83,L83)</f>
        <v>0</v>
      </c>
      <c r="N83" s="2891">
        <v>48786</v>
      </c>
      <c r="O83" s="2891">
        <v>92486</v>
      </c>
      <c r="P83" s="2892">
        <v>4797</v>
      </c>
      <c r="Q83" s="2901">
        <v>32903</v>
      </c>
      <c r="R83" s="2892">
        <v>54786</v>
      </c>
      <c r="S83" s="2891">
        <v>91187</v>
      </c>
      <c r="T83" s="2892">
        <v>4480</v>
      </c>
      <c r="U83" s="2893">
        <v>29716</v>
      </c>
      <c r="V83" s="2892">
        <v>56991</v>
      </c>
      <c r="W83" s="2902">
        <v>0</v>
      </c>
      <c r="X83" s="2903">
        <v>7123</v>
      </c>
      <c r="Y83" s="2987">
        <f>'2.3'!I105*1000-SUM(N83:O83,S83,X83)</f>
        <v>0</v>
      </c>
    </row>
    <row r="84" spans="1:25">
      <c r="A84" s="2638">
        <v>2022.3</v>
      </c>
      <c r="B84" s="2891">
        <v>91623</v>
      </c>
      <c r="C84" s="2891">
        <v>329742</v>
      </c>
      <c r="D84" s="2892">
        <v>18051</v>
      </c>
      <c r="E84" s="2892">
        <v>83832</v>
      </c>
      <c r="F84" s="2892">
        <v>227859</v>
      </c>
      <c r="G84" s="2891">
        <v>215168</v>
      </c>
      <c r="H84" s="2892">
        <v>8277</v>
      </c>
      <c r="I84" s="2893">
        <v>55831</v>
      </c>
      <c r="J84" s="2892">
        <v>149335</v>
      </c>
      <c r="K84" s="2894">
        <v>1725</v>
      </c>
      <c r="L84" s="2894">
        <v>1172</v>
      </c>
      <c r="M84" s="2983">
        <f>+'2.3'!D106*1000-SUM(B84:C84,G84,L84)</f>
        <v>0</v>
      </c>
      <c r="N84" s="2891">
        <v>58929</v>
      </c>
      <c r="O84" s="2891">
        <v>90384</v>
      </c>
      <c r="P84" s="2892">
        <v>4300</v>
      </c>
      <c r="Q84" s="2901">
        <v>29359</v>
      </c>
      <c r="R84" s="2892">
        <v>56725</v>
      </c>
      <c r="S84" s="2891">
        <v>75475</v>
      </c>
      <c r="T84" s="2892">
        <v>1955</v>
      </c>
      <c r="U84" s="2893">
        <v>25800</v>
      </c>
      <c r="V84" s="2892">
        <v>47469</v>
      </c>
      <c r="W84" s="2902">
        <v>251</v>
      </c>
      <c r="X84" s="2903">
        <v>7113</v>
      </c>
      <c r="Y84" s="2987">
        <f>'2.3'!I106*1000-SUM(N84:O84,S84,X84)</f>
        <v>0</v>
      </c>
    </row>
    <row r="85" spans="1:25">
      <c r="A85" s="2638">
        <v>2022.4</v>
      </c>
      <c r="B85" s="2891">
        <v>83511</v>
      </c>
      <c r="C85" s="2891">
        <v>305407</v>
      </c>
      <c r="D85" s="2892">
        <v>18766</v>
      </c>
      <c r="E85" s="2892">
        <v>74240</v>
      </c>
      <c r="F85" s="2892">
        <v>212401</v>
      </c>
      <c r="G85" s="2891">
        <v>223640</v>
      </c>
      <c r="H85" s="2892">
        <v>5060</v>
      </c>
      <c r="I85" s="2893">
        <v>47409</v>
      </c>
      <c r="J85" s="2892">
        <v>168809</v>
      </c>
      <c r="K85" s="2894">
        <v>2362</v>
      </c>
      <c r="L85" s="2894">
        <v>7234</v>
      </c>
      <c r="M85" s="2983">
        <f>+'2.3'!D107*1000-SUM(B85:C85,G85,L85)</f>
        <v>0</v>
      </c>
      <c r="N85" s="2891">
        <v>51654</v>
      </c>
      <c r="O85" s="2891">
        <v>93156</v>
      </c>
      <c r="P85" s="2892">
        <v>5637</v>
      </c>
      <c r="Q85" s="2901">
        <v>25879</v>
      </c>
      <c r="R85" s="2892">
        <v>61640</v>
      </c>
      <c r="S85" s="2891">
        <v>82884</v>
      </c>
      <c r="T85" s="2892">
        <v>5394</v>
      </c>
      <c r="U85" s="2893">
        <v>31281</v>
      </c>
      <c r="V85" s="2892">
        <v>45930</v>
      </c>
      <c r="W85" s="2902">
        <v>279</v>
      </c>
      <c r="X85" s="2903">
        <v>6976</v>
      </c>
      <c r="Y85" s="2987">
        <f>'2.3'!I107*1000-SUM(N85:O85,S85,X85)</f>
        <v>0</v>
      </c>
    </row>
    <row r="86" spans="1:25">
      <c r="A86" s="2638">
        <v>2023.1</v>
      </c>
      <c r="B86" s="2891">
        <v>70960</v>
      </c>
      <c r="C86" s="2891">
        <v>324625</v>
      </c>
      <c r="D86" s="2892">
        <v>14287</v>
      </c>
      <c r="E86" s="2892">
        <v>80936</v>
      </c>
      <c r="F86" s="2892">
        <v>229402</v>
      </c>
      <c r="G86" s="2891">
        <v>226867</v>
      </c>
      <c r="H86" s="2892">
        <v>15542</v>
      </c>
      <c r="I86" s="2893">
        <v>46155</v>
      </c>
      <c r="J86" s="2892">
        <v>164396</v>
      </c>
      <c r="K86" s="2894">
        <v>774</v>
      </c>
      <c r="L86" s="2894">
        <v>8172</v>
      </c>
      <c r="M86" s="2983">
        <f>+'2.3'!D108*1000-SUM(B86:C86,G86,L86)</f>
        <v>0</v>
      </c>
      <c r="N86" s="2891">
        <v>41524</v>
      </c>
      <c r="O86" s="2891">
        <v>96275</v>
      </c>
      <c r="P86" s="2892">
        <v>7517</v>
      </c>
      <c r="Q86" s="2901">
        <v>22463</v>
      </c>
      <c r="R86" s="2892">
        <v>66295</v>
      </c>
      <c r="S86" s="2891">
        <v>81745</v>
      </c>
      <c r="T86" s="2892">
        <v>1365</v>
      </c>
      <c r="U86" s="2893">
        <v>32919</v>
      </c>
      <c r="V86" s="2892">
        <v>47461</v>
      </c>
      <c r="W86" s="2902">
        <v>0</v>
      </c>
      <c r="X86" s="2903">
        <v>7299</v>
      </c>
      <c r="Y86" s="2987">
        <f>'2.3'!I108*1000-SUM(N86:O86,S86,X86)</f>
        <v>0</v>
      </c>
    </row>
    <row r="87" spans="1:25">
      <c r="A87" s="2638">
        <v>2023.2</v>
      </c>
      <c r="B87" s="2891">
        <v>88168</v>
      </c>
      <c r="C87" s="2891">
        <v>325422</v>
      </c>
      <c r="D87" s="2892">
        <v>14326</v>
      </c>
      <c r="E87" s="2892">
        <v>79594</v>
      </c>
      <c r="F87" s="2892">
        <v>231502</v>
      </c>
      <c r="G87" s="2891">
        <v>220115</v>
      </c>
      <c r="H87" s="2892">
        <v>9703</v>
      </c>
      <c r="I87" s="2893">
        <v>59876</v>
      </c>
      <c r="J87" s="2892">
        <v>149377</v>
      </c>
      <c r="K87" s="2894">
        <v>1159</v>
      </c>
      <c r="L87" s="2894">
        <v>5724</v>
      </c>
      <c r="M87" s="2983">
        <f>+'2.3'!D109*1000-SUM(B87:C87,G87,L87)</f>
        <v>0</v>
      </c>
      <c r="N87" s="2891">
        <v>43751</v>
      </c>
      <c r="O87" s="2891">
        <v>94864</v>
      </c>
      <c r="P87" s="2892">
        <v>3360</v>
      </c>
      <c r="Q87" s="2901">
        <v>27388</v>
      </c>
      <c r="R87" s="2892">
        <v>64116</v>
      </c>
      <c r="S87" s="2891">
        <v>86530</v>
      </c>
      <c r="T87" s="2892">
        <v>2791</v>
      </c>
      <c r="U87" s="2893">
        <v>31299</v>
      </c>
      <c r="V87" s="2892">
        <v>52440</v>
      </c>
      <c r="W87" s="2902">
        <v>0</v>
      </c>
      <c r="X87" s="2903">
        <v>8995</v>
      </c>
      <c r="Y87" s="2987">
        <f>'2.3'!I109*1000-SUM(N87:O87,S87,X87)</f>
        <v>0</v>
      </c>
    </row>
    <row r="88" spans="1:25">
      <c r="A88" s="2638">
        <v>2023.3</v>
      </c>
      <c r="B88" s="2891">
        <v>99067</v>
      </c>
      <c r="C88" s="2891">
        <v>321243</v>
      </c>
      <c r="D88" s="2892">
        <v>16993</v>
      </c>
      <c r="E88" s="2892">
        <v>83444</v>
      </c>
      <c r="F88" s="2892">
        <v>220806</v>
      </c>
      <c r="G88" s="2891">
        <v>200998</v>
      </c>
      <c r="H88" s="2892">
        <v>2034</v>
      </c>
      <c r="I88" s="2893">
        <v>40007</v>
      </c>
      <c r="J88" s="2892">
        <v>156607</v>
      </c>
      <c r="K88" s="2894">
        <v>2350</v>
      </c>
      <c r="L88" s="2894">
        <v>2863</v>
      </c>
      <c r="M88" s="2983">
        <f>+'2.3'!D110*1000-SUM(B88:C88,G88,L88)</f>
        <v>0</v>
      </c>
      <c r="N88" s="2891">
        <v>46819</v>
      </c>
      <c r="O88" s="2891">
        <v>98771</v>
      </c>
      <c r="P88" s="2892">
        <v>5865</v>
      </c>
      <c r="Q88" s="2901">
        <v>28934</v>
      </c>
      <c r="R88" s="2892">
        <v>63972</v>
      </c>
      <c r="S88" s="2891">
        <v>87103</v>
      </c>
      <c r="T88" s="2892">
        <v>6133</v>
      </c>
      <c r="U88" s="2893">
        <v>29963</v>
      </c>
      <c r="V88" s="2892">
        <v>51007</v>
      </c>
      <c r="W88" s="2902">
        <v>0</v>
      </c>
      <c r="X88" s="2903">
        <v>7076</v>
      </c>
      <c r="Y88" s="2987">
        <f>'2.3'!I110*1000-SUM(N88:O88,S88,X88)</f>
        <v>0</v>
      </c>
    </row>
    <row r="89" spans="1:25">
      <c r="A89" s="2638">
        <v>2023.4</v>
      </c>
      <c r="B89" s="2891">
        <v>89526</v>
      </c>
      <c r="C89" s="2891">
        <v>338900</v>
      </c>
      <c r="D89" s="2892">
        <v>18333</v>
      </c>
      <c r="E89" s="2892">
        <v>85311</v>
      </c>
      <c r="F89" s="2892">
        <v>235256</v>
      </c>
      <c r="G89" s="2891">
        <v>193143</v>
      </c>
      <c r="H89" s="2892">
        <v>7905</v>
      </c>
      <c r="I89" s="2893">
        <v>50431</v>
      </c>
      <c r="J89" s="2892">
        <v>133884</v>
      </c>
      <c r="K89" s="2894">
        <v>923</v>
      </c>
      <c r="L89" s="2894">
        <v>4621</v>
      </c>
      <c r="M89" s="2983">
        <f>+'2.3'!D111*1000-SUM(B89:C89,G89,L89)</f>
        <v>0</v>
      </c>
      <c r="N89" s="2891">
        <v>45535</v>
      </c>
      <c r="O89" s="2891">
        <v>94481</v>
      </c>
      <c r="P89" s="2892">
        <v>5831</v>
      </c>
      <c r="Q89" s="2901">
        <v>26175</v>
      </c>
      <c r="R89" s="2892">
        <v>62475</v>
      </c>
      <c r="S89" s="2891">
        <v>82518</v>
      </c>
      <c r="T89" s="2892">
        <v>1447</v>
      </c>
      <c r="U89" s="2893">
        <v>27102</v>
      </c>
      <c r="V89" s="2892">
        <v>53622</v>
      </c>
      <c r="W89" s="2902">
        <v>347</v>
      </c>
      <c r="X89" s="2903">
        <v>4944</v>
      </c>
      <c r="Y89" s="2987">
        <f>'2.3'!I111*1000-SUM(N89:O89,S89,X89)</f>
        <v>0</v>
      </c>
    </row>
    <row r="90" spans="1:25">
      <c r="A90" s="2638">
        <v>2024.1</v>
      </c>
      <c r="B90" s="2891">
        <v>69779</v>
      </c>
      <c r="C90" s="2891">
        <v>335070</v>
      </c>
      <c r="D90" s="2892">
        <v>21409</v>
      </c>
      <c r="E90" s="2892">
        <v>95263</v>
      </c>
      <c r="F90" s="2892">
        <v>218398</v>
      </c>
      <c r="G90" s="2891">
        <v>210215</v>
      </c>
      <c r="H90" s="2892">
        <v>8101</v>
      </c>
      <c r="I90" s="2893">
        <v>45731</v>
      </c>
      <c r="J90" s="2892">
        <v>156383</v>
      </c>
      <c r="K90" s="2894">
        <v>0</v>
      </c>
      <c r="L90" s="2894">
        <v>5154</v>
      </c>
      <c r="M90" s="2983">
        <f>+'2.3'!D112*1000-SUM(B90:C90,G90,L90)</f>
        <v>0</v>
      </c>
      <c r="N90" s="2891">
        <v>42418</v>
      </c>
      <c r="O90" s="2891">
        <v>94508</v>
      </c>
      <c r="P90" s="2892">
        <v>3416</v>
      </c>
      <c r="Q90" s="2901">
        <v>23130</v>
      </c>
      <c r="R90" s="2892">
        <v>67962</v>
      </c>
      <c r="S90" s="2891">
        <v>86718</v>
      </c>
      <c r="T90" s="2892">
        <v>2822</v>
      </c>
      <c r="U90" s="2893">
        <v>30988</v>
      </c>
      <c r="V90" s="2892">
        <v>52908</v>
      </c>
      <c r="W90" s="2902">
        <v>0</v>
      </c>
      <c r="X90" s="2903">
        <v>6202</v>
      </c>
      <c r="Y90" s="2987">
        <f>'2.3'!I112*1000-SUM(N90:O90,S90,X90)</f>
        <v>0</v>
      </c>
    </row>
    <row r="91" spans="1:25">
      <c r="A91" s="2638">
        <v>2024.2</v>
      </c>
      <c r="B91" s="2891">
        <v>78684</v>
      </c>
      <c r="C91" s="2891">
        <v>322848</v>
      </c>
      <c r="D91" s="2892">
        <v>17690</v>
      </c>
      <c r="E91" s="2892">
        <v>105877</v>
      </c>
      <c r="F91" s="2892">
        <v>199281</v>
      </c>
      <c r="G91" s="2891">
        <v>233918</v>
      </c>
      <c r="H91" s="2892">
        <v>15640</v>
      </c>
      <c r="I91" s="2893">
        <v>68452</v>
      </c>
      <c r="J91" s="2892">
        <v>149826</v>
      </c>
      <c r="K91" s="2894">
        <v>0</v>
      </c>
      <c r="L91" s="2894">
        <v>2423</v>
      </c>
      <c r="M91" s="2983">
        <f>+'2.3'!D113*1000-SUM(B91:C91,G91,L91)</f>
        <v>0</v>
      </c>
      <c r="N91" s="2891">
        <v>48256</v>
      </c>
      <c r="O91" s="2891">
        <v>86553</v>
      </c>
      <c r="P91" s="2892">
        <v>2717</v>
      </c>
      <c r="Q91" s="2901">
        <v>25155</v>
      </c>
      <c r="R91" s="2892">
        <v>58681</v>
      </c>
      <c r="S91" s="2891">
        <v>86566</v>
      </c>
      <c r="T91" s="2892">
        <v>4258</v>
      </c>
      <c r="U91" s="2893">
        <v>31635</v>
      </c>
      <c r="V91" s="2892">
        <v>50483</v>
      </c>
      <c r="W91" s="2902">
        <v>190</v>
      </c>
      <c r="X91" s="2903">
        <v>8352</v>
      </c>
      <c r="Y91" s="2987">
        <f>'2.3'!I113*1000-SUM(N91:O91,S91,X91)</f>
        <v>0</v>
      </c>
    </row>
    <row r="92" spans="1:25">
      <c r="A92" s="2638">
        <v>2024.3</v>
      </c>
      <c r="B92" s="2891">
        <v>95838</v>
      </c>
      <c r="C92" s="2891">
        <v>325352</v>
      </c>
      <c r="D92" s="2892">
        <v>20455</v>
      </c>
      <c r="E92" s="2892">
        <v>83846</v>
      </c>
      <c r="F92" s="2892">
        <v>221051</v>
      </c>
      <c r="G92" s="2891">
        <v>217826</v>
      </c>
      <c r="H92" s="2892">
        <v>4182</v>
      </c>
      <c r="I92" s="2893">
        <v>65146</v>
      </c>
      <c r="J92" s="2892">
        <v>146279</v>
      </c>
      <c r="K92" s="2894">
        <v>2219</v>
      </c>
      <c r="L92" s="2894">
        <v>7259</v>
      </c>
      <c r="M92" s="2985">
        <f>+'2.3'!D114*1000-SUM(B92:C92,G92,L92)</f>
        <v>0</v>
      </c>
      <c r="N92" s="2891">
        <v>46223</v>
      </c>
      <c r="O92" s="2891">
        <v>96169</v>
      </c>
      <c r="P92" s="2892">
        <v>2902</v>
      </c>
      <c r="Q92" s="2901">
        <v>33427</v>
      </c>
      <c r="R92" s="2892">
        <v>59840</v>
      </c>
      <c r="S92" s="2891">
        <v>82840</v>
      </c>
      <c r="T92" s="2892">
        <v>5090</v>
      </c>
      <c r="U92" s="2893">
        <v>35197</v>
      </c>
      <c r="V92" s="2892">
        <v>42553</v>
      </c>
      <c r="W92" s="2902">
        <v>0</v>
      </c>
      <c r="X92" s="2903">
        <v>6127</v>
      </c>
      <c r="Y92" s="2987">
        <f>'2.3'!I114*1000-SUM(N92:O92,S92,X92)</f>
        <v>0</v>
      </c>
    </row>
    <row r="93" spans="1:25">
      <c r="A93" s="2638">
        <v>2024.4</v>
      </c>
      <c r="B93" s="2891">
        <v>89752</v>
      </c>
      <c r="C93" s="2891">
        <v>344852</v>
      </c>
      <c r="D93" s="2892">
        <v>18183</v>
      </c>
      <c r="E93" s="2892">
        <v>93223</v>
      </c>
      <c r="F93" s="2892">
        <v>233446</v>
      </c>
      <c r="G93" s="2891">
        <v>201979</v>
      </c>
      <c r="H93" s="2892">
        <v>10987</v>
      </c>
      <c r="I93" s="2893">
        <v>53611</v>
      </c>
      <c r="J93" s="2892">
        <v>135586</v>
      </c>
      <c r="K93" s="2894">
        <v>1795</v>
      </c>
      <c r="L93" s="2894">
        <v>2202</v>
      </c>
      <c r="M93" s="2983">
        <f>+'2.3'!D115*1000-SUM(B93:C93,G93,L93)</f>
        <v>0</v>
      </c>
      <c r="N93" s="2891">
        <v>49692</v>
      </c>
      <c r="O93" s="2891">
        <v>94588</v>
      </c>
      <c r="P93" s="2892">
        <v>9220</v>
      </c>
      <c r="Q93" s="2901">
        <v>26213</v>
      </c>
      <c r="R93" s="2892">
        <v>59155</v>
      </c>
      <c r="S93" s="2904">
        <v>82611</v>
      </c>
      <c r="T93" s="2905">
        <v>6041</v>
      </c>
      <c r="U93" s="2906">
        <v>33633</v>
      </c>
      <c r="V93" s="2905">
        <v>41955</v>
      </c>
      <c r="W93" s="2907">
        <v>982</v>
      </c>
      <c r="X93" s="2903">
        <v>5091</v>
      </c>
      <c r="Y93" s="2987">
        <f>'2.3'!I115*1000-SUM(N93:O93,S93,X93)</f>
        <v>0</v>
      </c>
    </row>
    <row r="94" spans="1:25">
      <c r="A94" s="2638">
        <v>2025.1</v>
      </c>
      <c r="B94" s="2891" t="e">
        <v>#N/A</v>
      </c>
      <c r="C94" s="2891" t="e">
        <v>#N/A</v>
      </c>
      <c r="D94" s="2892" t="e">
        <v>#N/A</v>
      </c>
      <c r="E94" s="2892" t="e">
        <v>#N/A</v>
      </c>
      <c r="F94" s="2892" t="e">
        <v>#N/A</v>
      </c>
      <c r="G94" s="2891" t="e">
        <v>#N/A</v>
      </c>
      <c r="H94" s="2892" t="e">
        <v>#N/A</v>
      </c>
      <c r="I94" s="2893" t="e">
        <v>#N/A</v>
      </c>
      <c r="J94" s="2892" t="e">
        <v>#N/A</v>
      </c>
      <c r="K94" s="2894" t="e">
        <v>#N/A</v>
      </c>
      <c r="L94" s="2894" t="e">
        <v>#N/A</v>
      </c>
      <c r="M94" s="2983" t="e">
        <f>+'2.3'!D116*1000-SUM(B94:C94,G94,L94)</f>
        <v>#N/A</v>
      </c>
      <c r="N94" s="2891" t="e">
        <v>#N/A</v>
      </c>
      <c r="O94" s="2891" t="e">
        <v>#N/A</v>
      </c>
      <c r="P94" s="2892" t="e">
        <v>#N/A</v>
      </c>
      <c r="Q94" s="2901" t="e">
        <v>#N/A</v>
      </c>
      <c r="R94" s="2892" t="e">
        <v>#N/A</v>
      </c>
      <c r="S94" s="2904" t="e">
        <v>#N/A</v>
      </c>
      <c r="T94" s="2905" t="e">
        <v>#N/A</v>
      </c>
      <c r="U94" s="2906" t="e">
        <v>#N/A</v>
      </c>
      <c r="V94" s="2905" t="e">
        <v>#N/A</v>
      </c>
      <c r="W94" s="2907" t="e">
        <v>#N/A</v>
      </c>
      <c r="X94" s="2903" t="e">
        <v>#N/A</v>
      </c>
      <c r="Y94" s="2987" t="e">
        <f>'2.3'!I116*1000-SUM(N94:O94,S94,X94)</f>
        <v>#N/A</v>
      </c>
    </row>
    <row r="95" spans="1:25">
      <c r="A95" s="2638">
        <v>2025.2</v>
      </c>
      <c r="B95" s="2891" t="e">
        <v>#N/A</v>
      </c>
      <c r="C95" s="2891" t="e">
        <v>#N/A</v>
      </c>
      <c r="D95" s="2892" t="e">
        <v>#N/A</v>
      </c>
      <c r="E95" s="2892" t="e">
        <v>#N/A</v>
      </c>
      <c r="F95" s="2892" t="e">
        <v>#N/A</v>
      </c>
      <c r="G95" s="2891" t="e">
        <v>#N/A</v>
      </c>
      <c r="H95" s="2892" t="e">
        <v>#N/A</v>
      </c>
      <c r="I95" s="2893" t="e">
        <v>#N/A</v>
      </c>
      <c r="J95" s="2892" t="e">
        <v>#N/A</v>
      </c>
      <c r="K95" s="2894" t="e">
        <v>#N/A</v>
      </c>
      <c r="L95" s="2894" t="e">
        <v>#N/A</v>
      </c>
      <c r="M95" s="2983" t="e">
        <f>+'2.3'!D117*1000-SUM(B95:C95,G95,L95)</f>
        <v>#N/A</v>
      </c>
      <c r="N95" s="2891" t="e">
        <v>#N/A</v>
      </c>
      <c r="O95" s="2891" t="e">
        <v>#N/A</v>
      </c>
      <c r="P95" s="2892" t="e">
        <v>#N/A</v>
      </c>
      <c r="Q95" s="2901" t="e">
        <v>#N/A</v>
      </c>
      <c r="R95" s="2892" t="e">
        <v>#N/A</v>
      </c>
      <c r="S95" s="2904" t="e">
        <v>#N/A</v>
      </c>
      <c r="T95" s="2905" t="e">
        <v>#N/A</v>
      </c>
      <c r="U95" s="2906" t="e">
        <v>#N/A</v>
      </c>
      <c r="V95" s="2905" t="e">
        <v>#N/A</v>
      </c>
      <c r="W95" s="2907" t="e">
        <v>#N/A</v>
      </c>
      <c r="X95" s="2903" t="e">
        <v>#N/A</v>
      </c>
      <c r="Y95" s="2987" t="e">
        <f>'2.3'!I117*1000-SUM(N95:O95,S95,X95)</f>
        <v>#N/A</v>
      </c>
    </row>
    <row r="96" spans="1:25">
      <c r="A96" s="2638">
        <v>2025.3</v>
      </c>
      <c r="B96" s="2891" t="e">
        <v>#N/A</v>
      </c>
      <c r="C96" s="2891" t="e">
        <v>#N/A</v>
      </c>
      <c r="D96" s="2892" t="e">
        <v>#N/A</v>
      </c>
      <c r="E96" s="2892" t="e">
        <v>#N/A</v>
      </c>
      <c r="F96" s="2892" t="e">
        <v>#N/A</v>
      </c>
      <c r="G96" s="2891" t="e">
        <v>#N/A</v>
      </c>
      <c r="H96" s="2892" t="e">
        <v>#N/A</v>
      </c>
      <c r="I96" s="2893" t="e">
        <v>#N/A</v>
      </c>
      <c r="J96" s="2892" t="e">
        <v>#N/A</v>
      </c>
      <c r="K96" s="2894" t="e">
        <v>#N/A</v>
      </c>
      <c r="L96" s="2894" t="e">
        <v>#N/A</v>
      </c>
      <c r="M96" s="2983" t="e">
        <f>+'2.3'!D118*1000-SUM(B96:C96,G96,L96)</f>
        <v>#N/A</v>
      </c>
      <c r="N96" s="2891" t="e">
        <v>#N/A</v>
      </c>
      <c r="O96" s="2891" t="e">
        <v>#N/A</v>
      </c>
      <c r="P96" s="2892" t="e">
        <v>#N/A</v>
      </c>
      <c r="Q96" s="2901" t="e">
        <v>#N/A</v>
      </c>
      <c r="R96" s="2892" t="e">
        <v>#N/A</v>
      </c>
      <c r="S96" s="2904" t="e">
        <v>#N/A</v>
      </c>
      <c r="T96" s="2905" t="e">
        <v>#N/A</v>
      </c>
      <c r="U96" s="2906" t="e">
        <v>#N/A</v>
      </c>
      <c r="V96" s="2905" t="e">
        <v>#N/A</v>
      </c>
      <c r="W96" s="2907" t="e">
        <v>#N/A</v>
      </c>
      <c r="X96" s="2903" t="e">
        <v>#N/A</v>
      </c>
      <c r="Y96" s="2987" t="e">
        <f>'2.3'!I118*1000-SUM(N96:O96,S96,X96)</f>
        <v>#N/A</v>
      </c>
    </row>
    <row r="97" spans="1:25">
      <c r="A97" s="2638">
        <v>2025.4</v>
      </c>
      <c r="B97" s="2891" t="e">
        <v>#N/A</v>
      </c>
      <c r="C97" s="2891" t="e">
        <v>#N/A</v>
      </c>
      <c r="D97" s="2892" t="e">
        <v>#N/A</v>
      </c>
      <c r="E97" s="2892" t="e">
        <v>#N/A</v>
      </c>
      <c r="F97" s="2892" t="e">
        <v>#N/A</v>
      </c>
      <c r="G97" s="2891" t="e">
        <v>#N/A</v>
      </c>
      <c r="H97" s="2892" t="e">
        <v>#N/A</v>
      </c>
      <c r="I97" s="2893" t="e">
        <v>#N/A</v>
      </c>
      <c r="J97" s="2892" t="e">
        <v>#N/A</v>
      </c>
      <c r="K97" s="2894" t="e">
        <v>#N/A</v>
      </c>
      <c r="L97" s="2894" t="e">
        <v>#N/A</v>
      </c>
      <c r="M97" s="2983" t="e">
        <f>+'2.3'!D119*1000-SUM(B97:C97,G97,L97)</f>
        <v>#N/A</v>
      </c>
      <c r="N97" s="2891" t="e">
        <v>#N/A</v>
      </c>
      <c r="O97" s="2891" t="e">
        <v>#N/A</v>
      </c>
      <c r="P97" s="2892" t="e">
        <v>#N/A</v>
      </c>
      <c r="Q97" s="2901" t="e">
        <v>#N/A</v>
      </c>
      <c r="R97" s="2892" t="e">
        <v>#N/A</v>
      </c>
      <c r="S97" s="2904" t="e">
        <v>#N/A</v>
      </c>
      <c r="T97" s="2905" t="e">
        <v>#N/A</v>
      </c>
      <c r="U97" s="2906" t="e">
        <v>#N/A</v>
      </c>
      <c r="V97" s="2905" t="e">
        <v>#N/A</v>
      </c>
      <c r="W97" s="2907" t="e">
        <v>#N/A</v>
      </c>
      <c r="X97" s="2903" t="e">
        <v>#N/A</v>
      </c>
      <c r="Y97" s="2987" t="e">
        <f>'2.3'!I119*1000-SUM(N97:O97,S97,X97)</f>
        <v>#N/A</v>
      </c>
    </row>
    <row r="98" spans="1:25">
      <c r="A98" s="2638">
        <v>2026.1</v>
      </c>
      <c r="B98" s="2891" t="e">
        <v>#N/A</v>
      </c>
      <c r="C98" s="2891" t="e">
        <v>#N/A</v>
      </c>
      <c r="D98" s="2892" t="e">
        <v>#N/A</v>
      </c>
      <c r="E98" s="2892" t="e">
        <v>#N/A</v>
      </c>
      <c r="F98" s="2892" t="e">
        <v>#N/A</v>
      </c>
      <c r="G98" s="2891" t="e">
        <v>#N/A</v>
      </c>
      <c r="H98" s="2892" t="e">
        <v>#N/A</v>
      </c>
      <c r="I98" s="2893" t="e">
        <v>#N/A</v>
      </c>
      <c r="J98" s="2892" t="e">
        <v>#N/A</v>
      </c>
      <c r="K98" s="2894" t="e">
        <v>#N/A</v>
      </c>
      <c r="L98" s="2894" t="e">
        <v>#N/A</v>
      </c>
      <c r="M98" s="2983" t="e">
        <f>+'2.3'!D120*1000-SUM(B98:C98,G98,L98)</f>
        <v>#N/A</v>
      </c>
      <c r="N98" s="2891" t="e">
        <v>#N/A</v>
      </c>
      <c r="O98" s="2891" t="e">
        <v>#N/A</v>
      </c>
      <c r="P98" s="2892" t="e">
        <v>#N/A</v>
      </c>
      <c r="Q98" s="2901" t="e">
        <v>#N/A</v>
      </c>
      <c r="R98" s="2892" t="e">
        <v>#N/A</v>
      </c>
      <c r="S98" s="2904" t="e">
        <v>#N/A</v>
      </c>
      <c r="T98" s="2905" t="e">
        <v>#N/A</v>
      </c>
      <c r="U98" s="2906" t="e">
        <v>#N/A</v>
      </c>
      <c r="V98" s="2905" t="e">
        <v>#N/A</v>
      </c>
      <c r="W98" s="2907" t="e">
        <v>#N/A</v>
      </c>
      <c r="X98" s="2903" t="e">
        <v>#N/A</v>
      </c>
      <c r="Y98" s="2987" t="e">
        <f>'2.3'!I120*1000-SUM(N98:O98,S98,X98)</f>
        <v>#N/A</v>
      </c>
    </row>
    <row r="99" spans="1:25">
      <c r="A99" s="2638">
        <v>2026.2</v>
      </c>
      <c r="B99" s="2891" t="e">
        <v>#N/A</v>
      </c>
      <c r="C99" s="2891" t="e">
        <v>#N/A</v>
      </c>
      <c r="D99" s="2892" t="e">
        <v>#N/A</v>
      </c>
      <c r="E99" s="2892" t="e">
        <v>#N/A</v>
      </c>
      <c r="F99" s="2892" t="e">
        <v>#N/A</v>
      </c>
      <c r="G99" s="2891" t="e">
        <v>#N/A</v>
      </c>
      <c r="H99" s="2892" t="e">
        <v>#N/A</v>
      </c>
      <c r="I99" s="2893" t="e">
        <v>#N/A</v>
      </c>
      <c r="J99" s="2892" t="e">
        <v>#N/A</v>
      </c>
      <c r="K99" s="2894" t="e">
        <v>#N/A</v>
      </c>
      <c r="L99" s="2894" t="e">
        <v>#N/A</v>
      </c>
      <c r="M99" s="2983" t="e">
        <f>+'2.3'!D121*1000-SUM(B99:C99,G99,L99)</f>
        <v>#N/A</v>
      </c>
      <c r="N99" s="2891" t="e">
        <v>#N/A</v>
      </c>
      <c r="O99" s="2891" t="e">
        <v>#N/A</v>
      </c>
      <c r="P99" s="2892" t="e">
        <v>#N/A</v>
      </c>
      <c r="Q99" s="2901" t="e">
        <v>#N/A</v>
      </c>
      <c r="R99" s="2892" t="e">
        <v>#N/A</v>
      </c>
      <c r="S99" s="2904" t="e">
        <v>#N/A</v>
      </c>
      <c r="T99" s="2905" t="e">
        <v>#N/A</v>
      </c>
      <c r="U99" s="2906" t="e">
        <v>#N/A</v>
      </c>
      <c r="V99" s="2905" t="e">
        <v>#N/A</v>
      </c>
      <c r="W99" s="2907" t="e">
        <v>#N/A</v>
      </c>
      <c r="X99" s="2903" t="e">
        <v>#N/A</v>
      </c>
      <c r="Y99" s="2987" t="e">
        <f>'2.3'!I121*1000-SUM(N99:O99,S99,X99)</f>
        <v>#N/A</v>
      </c>
    </row>
    <row r="100" spans="1:25">
      <c r="A100" s="2638">
        <v>2026.3</v>
      </c>
      <c r="B100" s="2891" t="e">
        <v>#N/A</v>
      </c>
      <c r="C100" s="2891" t="e">
        <v>#N/A</v>
      </c>
      <c r="D100" s="2892" t="e">
        <v>#N/A</v>
      </c>
      <c r="E100" s="2892" t="e">
        <v>#N/A</v>
      </c>
      <c r="F100" s="2892" t="e">
        <v>#N/A</v>
      </c>
      <c r="G100" s="2891" t="e">
        <v>#N/A</v>
      </c>
      <c r="H100" s="2892" t="e">
        <v>#N/A</v>
      </c>
      <c r="I100" s="2893" t="e">
        <v>#N/A</v>
      </c>
      <c r="J100" s="2892" t="e">
        <v>#N/A</v>
      </c>
      <c r="K100" s="2894" t="e">
        <v>#N/A</v>
      </c>
      <c r="L100" s="2894" t="e">
        <v>#N/A</v>
      </c>
      <c r="M100" s="2983" t="e">
        <f>+'2.3'!D122*1000-SUM(B100:C100,G100,L100)</f>
        <v>#N/A</v>
      </c>
      <c r="N100" s="2891" t="e">
        <v>#N/A</v>
      </c>
      <c r="O100" s="2891" t="e">
        <v>#N/A</v>
      </c>
      <c r="P100" s="2892" t="e">
        <v>#N/A</v>
      </c>
      <c r="Q100" s="2901" t="e">
        <v>#N/A</v>
      </c>
      <c r="R100" s="2892" t="e">
        <v>#N/A</v>
      </c>
      <c r="S100" s="2904" t="e">
        <v>#N/A</v>
      </c>
      <c r="T100" s="2905" t="e">
        <v>#N/A</v>
      </c>
      <c r="U100" s="2906" t="e">
        <v>#N/A</v>
      </c>
      <c r="V100" s="2905" t="e">
        <v>#N/A</v>
      </c>
      <c r="W100" s="2907" t="e">
        <v>#N/A</v>
      </c>
      <c r="X100" s="2903" t="e">
        <v>#N/A</v>
      </c>
      <c r="Y100" s="2987" t="e">
        <f>'2.3'!I122*1000-SUM(N100:O100,S100,X100)</f>
        <v>#N/A</v>
      </c>
    </row>
    <row r="101" spans="1:25">
      <c r="A101" s="2638">
        <v>2026.4</v>
      </c>
      <c r="B101" s="2891" t="e">
        <v>#N/A</v>
      </c>
      <c r="C101" s="2891" t="e">
        <v>#N/A</v>
      </c>
      <c r="D101" s="2892" t="e">
        <v>#N/A</v>
      </c>
      <c r="E101" s="2892" t="e">
        <v>#N/A</v>
      </c>
      <c r="F101" s="2892" t="e">
        <v>#N/A</v>
      </c>
      <c r="G101" s="2891" t="e">
        <v>#N/A</v>
      </c>
      <c r="H101" s="2892" t="e">
        <v>#N/A</v>
      </c>
      <c r="I101" s="2893" t="e">
        <v>#N/A</v>
      </c>
      <c r="J101" s="2892" t="e">
        <v>#N/A</v>
      </c>
      <c r="K101" s="2894" t="e">
        <v>#N/A</v>
      </c>
      <c r="L101" s="2894" t="e">
        <v>#N/A</v>
      </c>
      <c r="M101" s="2983" t="e">
        <f>+'2.3'!D123*1000-SUM(B101:C101,G101,L101)</f>
        <v>#N/A</v>
      </c>
      <c r="N101" s="2891" t="e">
        <v>#N/A</v>
      </c>
      <c r="O101" s="2891" t="e">
        <v>#N/A</v>
      </c>
      <c r="P101" s="2892" t="e">
        <v>#N/A</v>
      </c>
      <c r="Q101" s="2901" t="e">
        <v>#N/A</v>
      </c>
      <c r="R101" s="2892" t="e">
        <v>#N/A</v>
      </c>
      <c r="S101" s="2904" t="e">
        <v>#N/A</v>
      </c>
      <c r="T101" s="2905" t="e">
        <v>#N/A</v>
      </c>
      <c r="U101" s="2906" t="e">
        <v>#N/A</v>
      </c>
      <c r="V101" s="2905" t="e">
        <v>#N/A</v>
      </c>
      <c r="W101" s="2907" t="e">
        <v>#N/A</v>
      </c>
      <c r="X101" s="2903" t="e">
        <v>#N/A</v>
      </c>
      <c r="Y101" s="2987" t="e">
        <f>'2.3'!I123*1000-SUM(N101:O101,S101,X101)</f>
        <v>#N/A</v>
      </c>
    </row>
    <row r="102" spans="1:25">
      <c r="A102" s="2638">
        <v>2027.1</v>
      </c>
      <c r="B102" s="2891" t="e">
        <v>#N/A</v>
      </c>
      <c r="C102" s="2891" t="e">
        <v>#N/A</v>
      </c>
      <c r="D102" s="2892" t="e">
        <v>#N/A</v>
      </c>
      <c r="E102" s="2892" t="e">
        <v>#N/A</v>
      </c>
      <c r="F102" s="2892" t="e">
        <v>#N/A</v>
      </c>
      <c r="G102" s="2891" t="e">
        <v>#N/A</v>
      </c>
      <c r="H102" s="2892" t="e">
        <v>#N/A</v>
      </c>
      <c r="I102" s="2893" t="e">
        <v>#N/A</v>
      </c>
      <c r="J102" s="2892" t="e">
        <v>#N/A</v>
      </c>
      <c r="K102" s="2894" t="e">
        <v>#N/A</v>
      </c>
      <c r="L102" s="2894" t="e">
        <v>#N/A</v>
      </c>
      <c r="M102" s="2983" t="e">
        <f>+'2.3'!D124*1000-SUM(B102:C102,G102,L102)</f>
        <v>#N/A</v>
      </c>
      <c r="N102" s="2891" t="e">
        <v>#N/A</v>
      </c>
      <c r="O102" s="2891" t="e">
        <v>#N/A</v>
      </c>
      <c r="P102" s="2892" t="e">
        <v>#N/A</v>
      </c>
      <c r="Q102" s="2901" t="e">
        <v>#N/A</v>
      </c>
      <c r="R102" s="2892" t="e">
        <v>#N/A</v>
      </c>
      <c r="S102" s="2904" t="e">
        <v>#N/A</v>
      </c>
      <c r="T102" s="2905" t="e">
        <v>#N/A</v>
      </c>
      <c r="U102" s="2906" t="e">
        <v>#N/A</v>
      </c>
      <c r="V102" s="2905" t="e">
        <v>#N/A</v>
      </c>
      <c r="W102" s="2907" t="e">
        <v>#N/A</v>
      </c>
      <c r="X102" s="2903" t="e">
        <v>#N/A</v>
      </c>
      <c r="Y102" s="2987" t="e">
        <f>'2.3'!I124*1000-SUM(N102:O102,S102,X102)</f>
        <v>#N/A</v>
      </c>
    </row>
    <row r="103" spans="1:25">
      <c r="A103" s="2638">
        <v>2027.2</v>
      </c>
      <c r="B103" s="2891" t="e">
        <v>#N/A</v>
      </c>
      <c r="C103" s="2891" t="e">
        <v>#N/A</v>
      </c>
      <c r="D103" s="2892" t="e">
        <v>#N/A</v>
      </c>
      <c r="E103" s="2892" t="e">
        <v>#N/A</v>
      </c>
      <c r="F103" s="2892" t="e">
        <v>#N/A</v>
      </c>
      <c r="G103" s="2891" t="e">
        <v>#N/A</v>
      </c>
      <c r="H103" s="2892" t="e">
        <v>#N/A</v>
      </c>
      <c r="I103" s="2893" t="e">
        <v>#N/A</v>
      </c>
      <c r="J103" s="2892" t="e">
        <v>#N/A</v>
      </c>
      <c r="K103" s="2894" t="e">
        <v>#N/A</v>
      </c>
      <c r="L103" s="2894" t="e">
        <v>#N/A</v>
      </c>
      <c r="M103" s="2983" t="e">
        <f>+'2.3'!D125*1000-SUM(B103:C103,G103,L103)</f>
        <v>#N/A</v>
      </c>
      <c r="N103" s="2891" t="e">
        <v>#N/A</v>
      </c>
      <c r="O103" s="2891" t="e">
        <v>#N/A</v>
      </c>
      <c r="P103" s="2892" t="e">
        <v>#N/A</v>
      </c>
      <c r="Q103" s="2901" t="e">
        <v>#N/A</v>
      </c>
      <c r="R103" s="2892" t="e">
        <v>#N/A</v>
      </c>
      <c r="S103" s="2904" t="e">
        <v>#N/A</v>
      </c>
      <c r="T103" s="2905" t="e">
        <v>#N/A</v>
      </c>
      <c r="U103" s="2906" t="e">
        <v>#N/A</v>
      </c>
      <c r="V103" s="2905" t="e">
        <v>#N/A</v>
      </c>
      <c r="W103" s="2907" t="e">
        <v>#N/A</v>
      </c>
      <c r="X103" s="2903" t="e">
        <v>#N/A</v>
      </c>
      <c r="Y103" s="2987" t="e">
        <f>'2.3'!I125*1000-SUM(N103:O103,S103,X103)</f>
        <v>#N/A</v>
      </c>
    </row>
    <row r="104" spans="1:25">
      <c r="A104" s="2638">
        <v>2027.3</v>
      </c>
      <c r="B104" s="2891" t="e">
        <v>#N/A</v>
      </c>
      <c r="C104" s="2891" t="e">
        <v>#N/A</v>
      </c>
      <c r="D104" s="2892" t="e">
        <v>#N/A</v>
      </c>
      <c r="E104" s="2892" t="e">
        <v>#N/A</v>
      </c>
      <c r="F104" s="2892" t="e">
        <v>#N/A</v>
      </c>
      <c r="G104" s="2891" t="e">
        <v>#N/A</v>
      </c>
      <c r="H104" s="2892" t="e">
        <v>#N/A</v>
      </c>
      <c r="I104" s="2893" t="e">
        <v>#N/A</v>
      </c>
      <c r="J104" s="2892" t="e">
        <v>#N/A</v>
      </c>
      <c r="K104" s="2894" t="e">
        <v>#N/A</v>
      </c>
      <c r="L104" s="2894" t="e">
        <v>#N/A</v>
      </c>
      <c r="M104" s="2983" t="e">
        <f>+'2.3'!D126*1000-SUM(B104:C104,G104,L104)</f>
        <v>#N/A</v>
      </c>
      <c r="N104" s="2891" t="e">
        <v>#N/A</v>
      </c>
      <c r="O104" s="2891" t="e">
        <v>#N/A</v>
      </c>
      <c r="P104" s="2892" t="e">
        <v>#N/A</v>
      </c>
      <c r="Q104" s="2901" t="e">
        <v>#N/A</v>
      </c>
      <c r="R104" s="2892" t="e">
        <v>#N/A</v>
      </c>
      <c r="S104" s="2904" t="e">
        <v>#N/A</v>
      </c>
      <c r="T104" s="2905" t="e">
        <v>#N/A</v>
      </c>
      <c r="U104" s="2906" t="e">
        <v>#N/A</v>
      </c>
      <c r="V104" s="2905" t="e">
        <v>#N/A</v>
      </c>
      <c r="W104" s="2907" t="e">
        <v>#N/A</v>
      </c>
      <c r="X104" s="2903" t="e">
        <v>#N/A</v>
      </c>
      <c r="Y104" s="2987" t="e">
        <f>'2.3'!I126*1000-SUM(N104:O104,S104,X104)</f>
        <v>#N/A</v>
      </c>
    </row>
    <row r="105" spans="1:25">
      <c r="A105" s="2638">
        <v>2027.4</v>
      </c>
      <c r="B105" s="2891" t="e">
        <v>#N/A</v>
      </c>
      <c r="C105" s="2891" t="e">
        <v>#N/A</v>
      </c>
      <c r="D105" s="2892" t="e">
        <v>#N/A</v>
      </c>
      <c r="E105" s="2892" t="e">
        <v>#N/A</v>
      </c>
      <c r="F105" s="2892" t="e">
        <v>#N/A</v>
      </c>
      <c r="G105" s="2891" t="e">
        <v>#N/A</v>
      </c>
      <c r="H105" s="2892" t="e">
        <v>#N/A</v>
      </c>
      <c r="I105" s="2893" t="e">
        <v>#N/A</v>
      </c>
      <c r="J105" s="2892" t="e">
        <v>#N/A</v>
      </c>
      <c r="K105" s="2894" t="e">
        <v>#N/A</v>
      </c>
      <c r="L105" s="2894" t="e">
        <v>#N/A</v>
      </c>
      <c r="M105" s="2983" t="e">
        <f>+'2.3'!D127*1000-SUM(B105:C105,G105,L105)</f>
        <v>#N/A</v>
      </c>
      <c r="N105" s="2891" t="e">
        <v>#N/A</v>
      </c>
      <c r="O105" s="2891" t="e">
        <v>#N/A</v>
      </c>
      <c r="P105" s="2892" t="e">
        <v>#N/A</v>
      </c>
      <c r="Q105" s="2901" t="e">
        <v>#N/A</v>
      </c>
      <c r="R105" s="2892" t="e">
        <v>#N/A</v>
      </c>
      <c r="S105" s="2904" t="e">
        <v>#N/A</v>
      </c>
      <c r="T105" s="2905" t="e">
        <v>#N/A</v>
      </c>
      <c r="U105" s="2906" t="e">
        <v>#N/A</v>
      </c>
      <c r="V105" s="2905" t="e">
        <v>#N/A</v>
      </c>
      <c r="W105" s="2907" t="e">
        <v>#N/A</v>
      </c>
      <c r="X105" s="2903" t="e">
        <v>#N/A</v>
      </c>
      <c r="Y105" s="2987" t="e">
        <f>'2.3'!I127*1000-SUM(N105:O105,S105,X105)</f>
        <v>#N/A</v>
      </c>
    </row>
    <row r="106" spans="1:25">
      <c r="A106" s="2638">
        <v>2028.1</v>
      </c>
      <c r="B106" s="2891" t="e">
        <v>#N/A</v>
      </c>
      <c r="C106" s="2891" t="e">
        <v>#N/A</v>
      </c>
      <c r="D106" s="2892" t="e">
        <v>#N/A</v>
      </c>
      <c r="E106" s="2892" t="e">
        <v>#N/A</v>
      </c>
      <c r="F106" s="2892" t="e">
        <v>#N/A</v>
      </c>
      <c r="G106" s="2891" t="e">
        <v>#N/A</v>
      </c>
      <c r="H106" s="2892" t="e">
        <v>#N/A</v>
      </c>
      <c r="I106" s="2893" t="e">
        <v>#N/A</v>
      </c>
      <c r="J106" s="2892" t="e">
        <v>#N/A</v>
      </c>
      <c r="K106" s="2894" t="e">
        <v>#N/A</v>
      </c>
      <c r="L106" s="2894" t="e">
        <v>#N/A</v>
      </c>
      <c r="M106" s="2983" t="e">
        <f>+'2.3'!D128*1000-SUM(B106:C106,G106,L106)</f>
        <v>#N/A</v>
      </c>
      <c r="N106" s="2891" t="e">
        <v>#N/A</v>
      </c>
      <c r="O106" s="2891" t="e">
        <v>#N/A</v>
      </c>
      <c r="P106" s="2892" t="e">
        <v>#N/A</v>
      </c>
      <c r="Q106" s="2901" t="e">
        <v>#N/A</v>
      </c>
      <c r="R106" s="2892" t="e">
        <v>#N/A</v>
      </c>
      <c r="S106" s="2904" t="e">
        <v>#N/A</v>
      </c>
      <c r="T106" s="2905" t="e">
        <v>#N/A</v>
      </c>
      <c r="U106" s="2906" t="e">
        <v>#N/A</v>
      </c>
      <c r="V106" s="2905" t="e">
        <v>#N/A</v>
      </c>
      <c r="W106" s="2907" t="e">
        <v>#N/A</v>
      </c>
      <c r="X106" s="2903" t="e">
        <v>#N/A</v>
      </c>
      <c r="Y106" s="2987" t="e">
        <f>'2.3'!I128*1000-SUM(N106:O106,S106,X106)</f>
        <v>#N/A</v>
      </c>
    </row>
    <row r="107" spans="1:25">
      <c r="A107" s="2638">
        <v>2028.2</v>
      </c>
      <c r="B107" s="2891" t="e">
        <v>#N/A</v>
      </c>
      <c r="C107" s="2891" t="e">
        <v>#N/A</v>
      </c>
      <c r="D107" s="2892" t="e">
        <v>#N/A</v>
      </c>
      <c r="E107" s="2892" t="e">
        <v>#N/A</v>
      </c>
      <c r="F107" s="2892" t="e">
        <v>#N/A</v>
      </c>
      <c r="G107" s="2891" t="e">
        <v>#N/A</v>
      </c>
      <c r="H107" s="2892" t="e">
        <v>#N/A</v>
      </c>
      <c r="I107" s="2893" t="e">
        <v>#N/A</v>
      </c>
      <c r="J107" s="2892" t="e">
        <v>#N/A</v>
      </c>
      <c r="K107" s="2894" t="e">
        <v>#N/A</v>
      </c>
      <c r="L107" s="2894" t="e">
        <v>#N/A</v>
      </c>
      <c r="M107" s="2983" t="e">
        <f>+'2.3'!D129*1000-SUM(B107:C107,G107,L107)</f>
        <v>#N/A</v>
      </c>
      <c r="N107" s="2891" t="e">
        <v>#N/A</v>
      </c>
      <c r="O107" s="2891" t="e">
        <v>#N/A</v>
      </c>
      <c r="P107" s="2892" t="e">
        <v>#N/A</v>
      </c>
      <c r="Q107" s="2901" t="e">
        <v>#N/A</v>
      </c>
      <c r="R107" s="2892" t="e">
        <v>#N/A</v>
      </c>
      <c r="S107" s="2904" t="e">
        <v>#N/A</v>
      </c>
      <c r="T107" s="2905" t="e">
        <v>#N/A</v>
      </c>
      <c r="U107" s="2906" t="e">
        <v>#N/A</v>
      </c>
      <c r="V107" s="2905" t="e">
        <v>#N/A</v>
      </c>
      <c r="W107" s="2907" t="e">
        <v>#N/A</v>
      </c>
      <c r="X107" s="2903" t="e">
        <v>#N/A</v>
      </c>
      <c r="Y107" s="2987" t="e">
        <f>'2.3'!I129*1000-SUM(N107:O107,S107,X107)</f>
        <v>#N/A</v>
      </c>
    </row>
    <row r="108" spans="1:25">
      <c r="A108" s="2638">
        <v>2028.3</v>
      </c>
      <c r="B108" s="2891" t="e">
        <v>#N/A</v>
      </c>
      <c r="C108" s="2891" t="e">
        <v>#N/A</v>
      </c>
      <c r="D108" s="2892" t="e">
        <v>#N/A</v>
      </c>
      <c r="E108" s="2892" t="e">
        <v>#N/A</v>
      </c>
      <c r="F108" s="2892" t="e">
        <v>#N/A</v>
      </c>
      <c r="G108" s="2891" t="e">
        <v>#N/A</v>
      </c>
      <c r="H108" s="2892" t="e">
        <v>#N/A</v>
      </c>
      <c r="I108" s="2893" t="e">
        <v>#N/A</v>
      </c>
      <c r="J108" s="2892" t="e">
        <v>#N/A</v>
      </c>
      <c r="K108" s="2894" t="e">
        <v>#N/A</v>
      </c>
      <c r="L108" s="2894" t="e">
        <v>#N/A</v>
      </c>
      <c r="M108" s="2983" t="e">
        <f>+'2.3'!D130*1000-SUM(B108:C108,G108,L108)</f>
        <v>#N/A</v>
      </c>
      <c r="N108" s="2891" t="e">
        <v>#N/A</v>
      </c>
      <c r="O108" s="2891" t="e">
        <v>#N/A</v>
      </c>
      <c r="P108" s="2892" t="e">
        <v>#N/A</v>
      </c>
      <c r="Q108" s="2901" t="e">
        <v>#N/A</v>
      </c>
      <c r="R108" s="2892" t="e">
        <v>#N/A</v>
      </c>
      <c r="S108" s="2904" t="e">
        <v>#N/A</v>
      </c>
      <c r="T108" s="2905" t="e">
        <v>#N/A</v>
      </c>
      <c r="U108" s="2906" t="e">
        <v>#N/A</v>
      </c>
      <c r="V108" s="2905" t="e">
        <v>#N/A</v>
      </c>
      <c r="W108" s="2907" t="e">
        <v>#N/A</v>
      </c>
      <c r="X108" s="2903" t="e">
        <v>#N/A</v>
      </c>
      <c r="Y108" s="2987" t="e">
        <f>'2.3'!I130*1000-SUM(N108:O108,S108,X108)</f>
        <v>#N/A</v>
      </c>
    </row>
    <row r="109" spans="1:25">
      <c r="A109" s="2638">
        <v>2028.4</v>
      </c>
      <c r="B109" s="2891" t="e">
        <v>#N/A</v>
      </c>
      <c r="C109" s="2891" t="e">
        <v>#N/A</v>
      </c>
      <c r="D109" s="2892" t="e">
        <v>#N/A</v>
      </c>
      <c r="E109" s="2892" t="e">
        <v>#N/A</v>
      </c>
      <c r="F109" s="2892" t="e">
        <v>#N/A</v>
      </c>
      <c r="G109" s="2891" t="e">
        <v>#N/A</v>
      </c>
      <c r="H109" s="2892" t="e">
        <v>#N/A</v>
      </c>
      <c r="I109" s="2893" t="e">
        <v>#N/A</v>
      </c>
      <c r="J109" s="2892" t="e">
        <v>#N/A</v>
      </c>
      <c r="K109" s="2894" t="e">
        <v>#N/A</v>
      </c>
      <c r="L109" s="2894" t="e">
        <v>#N/A</v>
      </c>
      <c r="M109" s="2983" t="e">
        <f>+'2.3'!D131*1000-SUM(B109:C109,G109,L109)</f>
        <v>#N/A</v>
      </c>
      <c r="N109" s="2891" t="e">
        <v>#N/A</v>
      </c>
      <c r="O109" s="2891" t="e">
        <v>#N/A</v>
      </c>
      <c r="P109" s="2892" t="e">
        <v>#N/A</v>
      </c>
      <c r="Q109" s="2901" t="e">
        <v>#N/A</v>
      </c>
      <c r="R109" s="2892" t="e">
        <v>#N/A</v>
      </c>
      <c r="S109" s="2904" t="e">
        <v>#N/A</v>
      </c>
      <c r="T109" s="2905" t="e">
        <v>#N/A</v>
      </c>
      <c r="U109" s="2906" t="e">
        <v>#N/A</v>
      </c>
      <c r="V109" s="2905" t="e">
        <v>#N/A</v>
      </c>
      <c r="W109" s="2907" t="e">
        <v>#N/A</v>
      </c>
      <c r="X109" s="2903" t="e">
        <v>#N/A</v>
      </c>
      <c r="Y109" s="2987" t="e">
        <f>'2.3'!I131*1000-SUM(N109:O109,S109,X109)</f>
        <v>#N/A</v>
      </c>
    </row>
    <row r="110" spans="1:25">
      <c r="A110" s="2638">
        <v>2029.1</v>
      </c>
      <c r="B110" s="2891" t="e">
        <v>#N/A</v>
      </c>
      <c r="C110" s="2891" t="e">
        <v>#N/A</v>
      </c>
      <c r="D110" s="2892" t="e">
        <v>#N/A</v>
      </c>
      <c r="E110" s="2892" t="e">
        <v>#N/A</v>
      </c>
      <c r="F110" s="2892" t="e">
        <v>#N/A</v>
      </c>
      <c r="G110" s="2891" t="e">
        <v>#N/A</v>
      </c>
      <c r="H110" s="2892" t="e">
        <v>#N/A</v>
      </c>
      <c r="I110" s="2893" t="e">
        <v>#N/A</v>
      </c>
      <c r="J110" s="2892" t="e">
        <v>#N/A</v>
      </c>
      <c r="K110" s="2894" t="e">
        <v>#N/A</v>
      </c>
      <c r="L110" s="2894" t="e">
        <v>#N/A</v>
      </c>
      <c r="M110" s="2983" t="e">
        <f>+'2.3'!D132*1000-SUM(B110:C110,G110,L110)</f>
        <v>#N/A</v>
      </c>
      <c r="N110" s="2891" t="e">
        <v>#N/A</v>
      </c>
      <c r="O110" s="2891" t="e">
        <v>#N/A</v>
      </c>
      <c r="P110" s="2892" t="e">
        <v>#N/A</v>
      </c>
      <c r="Q110" s="2901" t="e">
        <v>#N/A</v>
      </c>
      <c r="R110" s="2892" t="e">
        <v>#N/A</v>
      </c>
      <c r="S110" s="2904" t="e">
        <v>#N/A</v>
      </c>
      <c r="T110" s="2905" t="e">
        <v>#N/A</v>
      </c>
      <c r="U110" s="2906" t="e">
        <v>#N/A</v>
      </c>
      <c r="V110" s="2905" t="e">
        <v>#N/A</v>
      </c>
      <c r="W110" s="2907" t="e">
        <v>#N/A</v>
      </c>
      <c r="X110" s="2903" t="e">
        <v>#N/A</v>
      </c>
      <c r="Y110" s="2987" t="e">
        <f>'2.3'!I132*1000-SUM(N110:O110,S110,X110)</f>
        <v>#N/A</v>
      </c>
    </row>
    <row r="111" spans="1:25">
      <c r="A111" s="2638">
        <v>2029.2</v>
      </c>
      <c r="B111" s="2891" t="e">
        <v>#N/A</v>
      </c>
      <c r="C111" s="2891" t="e">
        <v>#N/A</v>
      </c>
      <c r="D111" s="2892" t="e">
        <v>#N/A</v>
      </c>
      <c r="E111" s="2892" t="e">
        <v>#N/A</v>
      </c>
      <c r="F111" s="2892" t="e">
        <v>#N/A</v>
      </c>
      <c r="G111" s="2891" t="e">
        <v>#N/A</v>
      </c>
      <c r="H111" s="2892" t="e">
        <v>#N/A</v>
      </c>
      <c r="I111" s="2893" t="e">
        <v>#N/A</v>
      </c>
      <c r="J111" s="2892" t="e">
        <v>#N/A</v>
      </c>
      <c r="K111" s="2894" t="e">
        <v>#N/A</v>
      </c>
      <c r="L111" s="2894" t="e">
        <v>#N/A</v>
      </c>
      <c r="M111" s="2983" t="e">
        <f>+'2.3'!D133*1000-SUM(B111:C111,G111,L111)</f>
        <v>#N/A</v>
      </c>
      <c r="N111" s="2891" t="e">
        <v>#N/A</v>
      </c>
      <c r="O111" s="2891" t="e">
        <v>#N/A</v>
      </c>
      <c r="P111" s="2892" t="e">
        <v>#N/A</v>
      </c>
      <c r="Q111" s="2901" t="e">
        <v>#N/A</v>
      </c>
      <c r="R111" s="2892" t="e">
        <v>#N/A</v>
      </c>
      <c r="S111" s="2904" t="e">
        <v>#N/A</v>
      </c>
      <c r="T111" s="2905" t="e">
        <v>#N/A</v>
      </c>
      <c r="U111" s="2906" t="e">
        <v>#N/A</v>
      </c>
      <c r="V111" s="2905" t="e">
        <v>#N/A</v>
      </c>
      <c r="W111" s="2907" t="e">
        <v>#N/A</v>
      </c>
      <c r="X111" s="2903" t="e">
        <v>#N/A</v>
      </c>
      <c r="Y111" s="2987" t="e">
        <f>'2.3'!I133*1000-SUM(N111:O111,S111,X111)</f>
        <v>#N/A</v>
      </c>
    </row>
    <row r="112" spans="1:25">
      <c r="A112" s="2638">
        <v>2029.3</v>
      </c>
      <c r="B112" s="2891" t="e">
        <v>#N/A</v>
      </c>
      <c r="C112" s="2891" t="e">
        <v>#N/A</v>
      </c>
      <c r="D112" s="2892" t="e">
        <v>#N/A</v>
      </c>
      <c r="E112" s="2892" t="e">
        <v>#N/A</v>
      </c>
      <c r="F112" s="2892" t="e">
        <v>#N/A</v>
      </c>
      <c r="G112" s="2891" t="e">
        <v>#N/A</v>
      </c>
      <c r="H112" s="2892" t="e">
        <v>#N/A</v>
      </c>
      <c r="I112" s="2893" t="e">
        <v>#N/A</v>
      </c>
      <c r="J112" s="2892" t="e">
        <v>#N/A</v>
      </c>
      <c r="K112" s="2894" t="e">
        <v>#N/A</v>
      </c>
      <c r="L112" s="2894" t="e">
        <v>#N/A</v>
      </c>
      <c r="M112" s="2983" t="e">
        <f>+'2.3'!D134*1000-SUM(B112:C112,G112,L112)</f>
        <v>#N/A</v>
      </c>
      <c r="N112" s="2891" t="e">
        <v>#N/A</v>
      </c>
      <c r="O112" s="2891" t="e">
        <v>#N/A</v>
      </c>
      <c r="P112" s="2892" t="e">
        <v>#N/A</v>
      </c>
      <c r="Q112" s="2901" t="e">
        <v>#N/A</v>
      </c>
      <c r="R112" s="2892" t="e">
        <v>#N/A</v>
      </c>
      <c r="S112" s="2904" t="e">
        <v>#N/A</v>
      </c>
      <c r="T112" s="2905" t="e">
        <v>#N/A</v>
      </c>
      <c r="U112" s="2906" t="e">
        <v>#N/A</v>
      </c>
      <c r="V112" s="2905" t="e">
        <v>#N/A</v>
      </c>
      <c r="W112" s="2907" t="e">
        <v>#N/A</v>
      </c>
      <c r="X112" s="2903" t="e">
        <v>#N/A</v>
      </c>
      <c r="Y112" s="2987" t="e">
        <f>'2.3'!I134*1000-SUM(N112:O112,S112,X112)</f>
        <v>#N/A</v>
      </c>
    </row>
    <row r="113" spans="1:25">
      <c r="A113" s="2638">
        <v>2029.4</v>
      </c>
      <c r="B113" s="2891" t="e">
        <v>#N/A</v>
      </c>
      <c r="C113" s="2891" t="e">
        <v>#N/A</v>
      </c>
      <c r="D113" s="2892" t="e">
        <v>#N/A</v>
      </c>
      <c r="E113" s="2892" t="e">
        <v>#N/A</v>
      </c>
      <c r="F113" s="2892" t="e">
        <v>#N/A</v>
      </c>
      <c r="G113" s="2891" t="e">
        <v>#N/A</v>
      </c>
      <c r="H113" s="2892" t="e">
        <v>#N/A</v>
      </c>
      <c r="I113" s="2893" t="e">
        <v>#N/A</v>
      </c>
      <c r="J113" s="2892" t="e">
        <v>#N/A</v>
      </c>
      <c r="K113" s="2894" t="e">
        <v>#N/A</v>
      </c>
      <c r="L113" s="2894" t="e">
        <v>#N/A</v>
      </c>
      <c r="M113" s="2983" t="e">
        <f>+'2.3'!D135*1000-SUM(B113:C113,G113,L113)</f>
        <v>#N/A</v>
      </c>
      <c r="N113" s="2891" t="e">
        <v>#N/A</v>
      </c>
      <c r="O113" s="2891" t="e">
        <v>#N/A</v>
      </c>
      <c r="P113" s="2892" t="e">
        <v>#N/A</v>
      </c>
      <c r="Q113" s="2901" t="e">
        <v>#N/A</v>
      </c>
      <c r="R113" s="2892" t="e">
        <v>#N/A</v>
      </c>
      <c r="S113" s="2904" t="e">
        <v>#N/A</v>
      </c>
      <c r="T113" s="2905" t="e">
        <v>#N/A</v>
      </c>
      <c r="U113" s="2906" t="e">
        <v>#N/A</v>
      </c>
      <c r="V113" s="2905" t="e">
        <v>#N/A</v>
      </c>
      <c r="W113" s="2907" t="e">
        <v>#N/A</v>
      </c>
      <c r="X113" s="2903" t="e">
        <v>#N/A</v>
      </c>
      <c r="Y113" s="2987" t="e">
        <f>'2.3'!I135*1000-SUM(N113:O113,S113,X113)</f>
        <v>#N/A</v>
      </c>
    </row>
    <row r="114" spans="1:25">
      <c r="A114" s="2638">
        <v>2030.1</v>
      </c>
      <c r="B114" s="2891" t="e">
        <v>#N/A</v>
      </c>
      <c r="C114" s="2891" t="e">
        <v>#N/A</v>
      </c>
      <c r="D114" s="2892" t="e">
        <v>#N/A</v>
      </c>
      <c r="E114" s="2892" t="e">
        <v>#N/A</v>
      </c>
      <c r="F114" s="2892" t="e">
        <v>#N/A</v>
      </c>
      <c r="G114" s="2891" t="e">
        <v>#N/A</v>
      </c>
      <c r="H114" s="2892" t="e">
        <v>#N/A</v>
      </c>
      <c r="I114" s="2893" t="e">
        <v>#N/A</v>
      </c>
      <c r="J114" s="2892" t="e">
        <v>#N/A</v>
      </c>
      <c r="K114" s="2894" t="e">
        <v>#N/A</v>
      </c>
      <c r="L114" s="2894" t="e">
        <v>#N/A</v>
      </c>
      <c r="M114" s="2983" t="e">
        <f>+'2.3'!D136*1000-SUM(B114:C114,G114,L114)</f>
        <v>#N/A</v>
      </c>
      <c r="N114" s="2891" t="e">
        <v>#N/A</v>
      </c>
      <c r="O114" s="2891" t="e">
        <v>#N/A</v>
      </c>
      <c r="P114" s="2892" t="e">
        <v>#N/A</v>
      </c>
      <c r="Q114" s="2901" t="e">
        <v>#N/A</v>
      </c>
      <c r="R114" s="2892" t="e">
        <v>#N/A</v>
      </c>
      <c r="S114" s="2904" t="e">
        <v>#N/A</v>
      </c>
      <c r="T114" s="2905" t="e">
        <v>#N/A</v>
      </c>
      <c r="U114" s="2906" t="e">
        <v>#N/A</v>
      </c>
      <c r="V114" s="2905" t="e">
        <v>#N/A</v>
      </c>
      <c r="W114" s="2907" t="e">
        <v>#N/A</v>
      </c>
      <c r="X114" s="2903" t="e">
        <v>#N/A</v>
      </c>
      <c r="Y114" s="2987" t="e">
        <f>'2.3'!I136*1000-SUM(N114:O114,S114,X114)</f>
        <v>#N/A</v>
      </c>
    </row>
    <row r="115" spans="1:25">
      <c r="A115" s="2638">
        <v>2030.2</v>
      </c>
      <c r="B115" s="2891" t="e">
        <v>#N/A</v>
      </c>
      <c r="C115" s="2891" t="e">
        <v>#N/A</v>
      </c>
      <c r="D115" s="2892" t="e">
        <v>#N/A</v>
      </c>
      <c r="E115" s="2892" t="e">
        <v>#N/A</v>
      </c>
      <c r="F115" s="2892" t="e">
        <v>#N/A</v>
      </c>
      <c r="G115" s="2891" t="e">
        <v>#N/A</v>
      </c>
      <c r="H115" s="2892" t="e">
        <v>#N/A</v>
      </c>
      <c r="I115" s="2893" t="e">
        <v>#N/A</v>
      </c>
      <c r="J115" s="2892" t="e">
        <v>#N/A</v>
      </c>
      <c r="K115" s="2894" t="e">
        <v>#N/A</v>
      </c>
      <c r="L115" s="2894" t="e">
        <v>#N/A</v>
      </c>
      <c r="M115" s="2983" t="e">
        <f>+'2.3'!D137*1000-SUM(B115:C115,G115,L115)</f>
        <v>#N/A</v>
      </c>
      <c r="N115" s="2891" t="e">
        <v>#N/A</v>
      </c>
      <c r="O115" s="2891" t="e">
        <v>#N/A</v>
      </c>
      <c r="P115" s="2892" t="e">
        <v>#N/A</v>
      </c>
      <c r="Q115" s="2901" t="e">
        <v>#N/A</v>
      </c>
      <c r="R115" s="2892" t="e">
        <v>#N/A</v>
      </c>
      <c r="S115" s="2904" t="e">
        <v>#N/A</v>
      </c>
      <c r="T115" s="2905" t="e">
        <v>#N/A</v>
      </c>
      <c r="U115" s="2906" t="e">
        <v>#N/A</v>
      </c>
      <c r="V115" s="2905" t="e">
        <v>#N/A</v>
      </c>
      <c r="W115" s="2907" t="e">
        <v>#N/A</v>
      </c>
      <c r="X115" s="2903" t="e">
        <v>#N/A</v>
      </c>
      <c r="Y115" s="2987" t="e">
        <f>'2.3'!I137*1000-SUM(N115:O115,S115,X115)</f>
        <v>#N/A</v>
      </c>
    </row>
    <row r="116" spans="1:25">
      <c r="A116" s="2638">
        <v>2030.3</v>
      </c>
      <c r="B116" s="2891" t="e">
        <v>#N/A</v>
      </c>
      <c r="C116" s="2891" t="e">
        <v>#N/A</v>
      </c>
      <c r="D116" s="2892" t="e">
        <v>#N/A</v>
      </c>
      <c r="E116" s="2892" t="e">
        <v>#N/A</v>
      </c>
      <c r="F116" s="2892" t="e">
        <v>#N/A</v>
      </c>
      <c r="G116" s="2891" t="e">
        <v>#N/A</v>
      </c>
      <c r="H116" s="2892" t="e">
        <v>#N/A</v>
      </c>
      <c r="I116" s="2893" t="e">
        <v>#N/A</v>
      </c>
      <c r="J116" s="2892" t="e">
        <v>#N/A</v>
      </c>
      <c r="K116" s="2894" t="e">
        <v>#N/A</v>
      </c>
      <c r="L116" s="2894" t="e">
        <v>#N/A</v>
      </c>
      <c r="M116" s="2983" t="e">
        <f>+'2.3'!D138*1000-SUM(B116:C116,G116,L116)</f>
        <v>#N/A</v>
      </c>
      <c r="N116" s="2891" t="e">
        <v>#N/A</v>
      </c>
      <c r="O116" s="2891" t="e">
        <v>#N/A</v>
      </c>
      <c r="P116" s="2892" t="e">
        <v>#N/A</v>
      </c>
      <c r="Q116" s="2901" t="e">
        <v>#N/A</v>
      </c>
      <c r="R116" s="2892" t="e">
        <v>#N/A</v>
      </c>
      <c r="S116" s="2904" t="e">
        <v>#N/A</v>
      </c>
      <c r="T116" s="2905" t="e">
        <v>#N/A</v>
      </c>
      <c r="U116" s="2906" t="e">
        <v>#N/A</v>
      </c>
      <c r="V116" s="2905" t="e">
        <v>#N/A</v>
      </c>
      <c r="W116" s="2907" t="e">
        <v>#N/A</v>
      </c>
      <c r="X116" s="2903" t="e">
        <v>#N/A</v>
      </c>
      <c r="Y116" s="2987" t="e">
        <f>'2.3'!I138*1000-SUM(N116:O116,S116,X116)</f>
        <v>#N/A</v>
      </c>
    </row>
    <row r="117" spans="1:25">
      <c r="A117" s="2638">
        <v>2030.4</v>
      </c>
      <c r="B117" s="2891" t="e">
        <v>#N/A</v>
      </c>
      <c r="C117" s="2891" t="e">
        <v>#N/A</v>
      </c>
      <c r="D117" s="2892" t="e">
        <v>#N/A</v>
      </c>
      <c r="E117" s="2892" t="e">
        <v>#N/A</v>
      </c>
      <c r="F117" s="2892" t="e">
        <v>#N/A</v>
      </c>
      <c r="G117" s="2891" t="e">
        <v>#N/A</v>
      </c>
      <c r="H117" s="2892" t="e">
        <v>#N/A</v>
      </c>
      <c r="I117" s="2893" t="e">
        <v>#N/A</v>
      </c>
      <c r="J117" s="2892" t="e">
        <v>#N/A</v>
      </c>
      <c r="K117" s="2894" t="e">
        <v>#N/A</v>
      </c>
      <c r="L117" s="2894" t="e">
        <v>#N/A</v>
      </c>
      <c r="M117" s="2983" t="e">
        <f>+'2.3'!D139*1000-SUM(B117:C117,G117,L117)</f>
        <v>#N/A</v>
      </c>
      <c r="N117" s="2891" t="e">
        <v>#N/A</v>
      </c>
      <c r="O117" s="2891" t="e">
        <v>#N/A</v>
      </c>
      <c r="P117" s="2892" t="e">
        <v>#N/A</v>
      </c>
      <c r="Q117" s="2901" t="e">
        <v>#N/A</v>
      </c>
      <c r="R117" s="2892" t="e">
        <v>#N/A</v>
      </c>
      <c r="S117" s="2904" t="e">
        <v>#N/A</v>
      </c>
      <c r="T117" s="2905" t="e">
        <v>#N/A</v>
      </c>
      <c r="U117" s="2906" t="e">
        <v>#N/A</v>
      </c>
      <c r="V117" s="2905" t="e">
        <v>#N/A</v>
      </c>
      <c r="W117" s="2907" t="e">
        <v>#N/A</v>
      </c>
      <c r="X117" s="2903" t="e">
        <v>#N/A</v>
      </c>
      <c r="Y117" s="2987" t="e">
        <f>'2.3'!I139*1000-SUM(N117:O117,S117,X117)</f>
        <v>#N/A</v>
      </c>
    </row>
  </sheetData>
  <phoneticPr fontId="62" type="noConversion"/>
  <hyperlinks>
    <hyperlink ref="A5" location="INDICE!A13" display="VOLVER AL INDICE" xr:uid="{AEA4619D-A460-4D81-9DC3-03F13961819A}"/>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dimension ref="A1:W71"/>
  <sheetViews>
    <sheetView zoomScale="130" zoomScaleNormal="130" workbookViewId="0">
      <pane xSplit="1" ySplit="9" topLeftCell="B10" activePane="bottomRight" state="frozen"/>
      <selection pane="topRight" activeCell="B68" sqref="B68"/>
      <selection pane="bottomLeft" activeCell="B68" sqref="B68"/>
      <selection pane="bottomRight" activeCell="A5" sqref="A5"/>
    </sheetView>
  </sheetViews>
  <sheetFormatPr baseColWidth="10" defaultColWidth="11.42578125" defaultRowHeight="12.75"/>
  <cols>
    <col min="1" max="1" width="11" style="24" customWidth="1"/>
    <col min="2" max="3" width="9.42578125" style="24" customWidth="1"/>
    <col min="4" max="7" width="10" style="24" customWidth="1"/>
    <col min="8" max="9" width="10.42578125" style="24" customWidth="1"/>
    <col min="10" max="13" width="10" style="24" customWidth="1"/>
    <col min="14" max="14" width="9.5703125" style="24" bestFit="1" customWidth="1"/>
    <col min="15" max="15" width="8.5703125" style="24" bestFit="1" customWidth="1"/>
    <col min="16" max="16" width="8" style="24" bestFit="1" customWidth="1"/>
    <col min="17" max="18" width="9.28515625" style="24" bestFit="1" customWidth="1"/>
    <col min="19" max="19" width="8.42578125" style="24" bestFit="1" customWidth="1"/>
    <col min="20" max="21" width="9.5703125" style="24" bestFit="1" customWidth="1"/>
    <col min="22" max="22" width="8.7109375" style="24" bestFit="1" customWidth="1"/>
    <col min="23" max="16384" width="11.42578125" style="10"/>
  </cols>
  <sheetData>
    <row r="1" spans="1:23" s="9" customFormat="1" ht="3.75" customHeight="1">
      <c r="A1" s="2373"/>
      <c r="B1" s="1925"/>
      <c r="C1" s="1926"/>
      <c r="D1" s="1926"/>
      <c r="E1" s="1926"/>
      <c r="F1" s="1926"/>
      <c r="G1" s="1926"/>
      <c r="H1" s="1927"/>
      <c r="I1" s="1926"/>
      <c r="J1" s="1926"/>
      <c r="K1" s="1926"/>
      <c r="L1" s="1926"/>
      <c r="M1" s="1926"/>
      <c r="N1" s="3540"/>
      <c r="O1" s="3541"/>
      <c r="P1" s="3541"/>
      <c r="Q1" s="3541"/>
      <c r="R1" s="3541"/>
      <c r="S1" s="3541"/>
      <c r="T1" s="3541"/>
      <c r="U1" s="3541"/>
      <c r="V1" s="3542"/>
      <c r="W1" s="201"/>
    </row>
    <row r="2" spans="1:23" s="9" customFormat="1" ht="12.75" customHeight="1">
      <c r="A2" s="2373" t="s">
        <v>105</v>
      </c>
      <c r="B2" s="383" t="s">
        <v>651</v>
      </c>
      <c r="C2" s="382"/>
      <c r="D2" s="382"/>
      <c r="E2" s="382"/>
      <c r="F2" s="382"/>
      <c r="G2" s="382"/>
      <c r="H2" s="2379" t="s">
        <v>652</v>
      </c>
      <c r="I2" s="382"/>
      <c r="J2" s="382"/>
      <c r="K2" s="382"/>
      <c r="L2" s="382"/>
      <c r="M2" s="382"/>
      <c r="N2" s="2379" t="s">
        <v>651</v>
      </c>
      <c r="O2" s="382"/>
      <c r="P2" s="382"/>
      <c r="Q2" s="382"/>
      <c r="R2" s="382"/>
      <c r="S2" s="382"/>
      <c r="T2" s="382"/>
      <c r="U2" s="382"/>
      <c r="V2" s="378"/>
      <c r="W2" s="201"/>
    </row>
    <row r="3" spans="1:23" s="9" customFormat="1">
      <c r="A3" s="2373" t="s">
        <v>109</v>
      </c>
      <c r="B3" s="3130" t="str">
        <f>'2.3'!B3</f>
        <v>Encuesta Permanente de Hogares (EPH) - INDEC</v>
      </c>
      <c r="C3" s="3131"/>
      <c r="D3" s="3131"/>
      <c r="E3" s="3131"/>
      <c r="F3" s="3131"/>
      <c r="G3" s="3131"/>
      <c r="H3" s="3132"/>
      <c r="I3" s="3131"/>
      <c r="J3" s="3131"/>
      <c r="K3" s="3131"/>
      <c r="L3" s="3131"/>
      <c r="M3" s="3131"/>
      <c r="N3" s="3132"/>
      <c r="O3" s="3131"/>
      <c r="P3" s="3131"/>
      <c r="Q3" s="3131"/>
      <c r="R3" s="3131"/>
      <c r="S3" s="3131"/>
      <c r="T3" s="3131"/>
      <c r="U3" s="3131"/>
      <c r="V3" s="3133"/>
      <c r="W3" s="201"/>
    </row>
    <row r="4" spans="1:23" s="9" customFormat="1" ht="3" hidden="1" customHeight="1">
      <c r="A4" s="104"/>
      <c r="B4" s="1928"/>
      <c r="C4" s="1929"/>
      <c r="D4" s="1929"/>
      <c r="E4" s="1929"/>
      <c r="F4" s="1929"/>
      <c r="G4" s="1929"/>
      <c r="H4" s="2431"/>
      <c r="I4" s="130"/>
      <c r="J4" s="130"/>
      <c r="K4" s="130"/>
      <c r="L4" s="130"/>
      <c r="M4" s="130"/>
      <c r="N4" s="2431"/>
      <c r="O4" s="130"/>
      <c r="P4" s="130"/>
      <c r="Q4" s="130"/>
      <c r="R4" s="130"/>
      <c r="S4" s="130"/>
      <c r="T4" s="130"/>
      <c r="U4" s="130"/>
      <c r="V4" s="131"/>
      <c r="W4" s="201"/>
    </row>
    <row r="5" spans="1:23" s="9" customFormat="1" ht="24" customHeight="1">
      <c r="A5" s="2390" t="s">
        <v>137</v>
      </c>
      <c r="B5" s="3543" t="s">
        <v>494</v>
      </c>
      <c r="C5" s="3538"/>
      <c r="D5" s="3536" t="s">
        <v>493</v>
      </c>
      <c r="E5" s="3537"/>
      <c r="F5" s="3538" t="s">
        <v>653</v>
      </c>
      <c r="G5" s="3538"/>
      <c r="H5" s="3536" t="s">
        <v>494</v>
      </c>
      <c r="I5" s="3538"/>
      <c r="J5" s="3536" t="s">
        <v>493</v>
      </c>
      <c r="K5" s="3537"/>
      <c r="L5" s="3538" t="s">
        <v>653</v>
      </c>
      <c r="M5" s="3538"/>
      <c r="N5" s="3536" t="s">
        <v>494</v>
      </c>
      <c r="O5" s="3538"/>
      <c r="P5" s="3538"/>
      <c r="Q5" s="3536" t="s">
        <v>493</v>
      </c>
      <c r="R5" s="3538"/>
      <c r="S5" s="3537"/>
      <c r="T5" s="3538" t="s">
        <v>653</v>
      </c>
      <c r="U5" s="3538"/>
      <c r="V5" s="3539"/>
      <c r="W5" s="201"/>
    </row>
    <row r="6" spans="1:23" s="9" customFormat="1" ht="3" hidden="1" customHeight="1">
      <c r="A6" s="104"/>
      <c r="B6" s="3543"/>
      <c r="C6" s="3538"/>
      <c r="D6" s="3536"/>
      <c r="E6" s="3537"/>
      <c r="F6" s="3538"/>
      <c r="G6" s="3538"/>
      <c r="H6" s="3536"/>
      <c r="I6" s="3538"/>
      <c r="J6" s="3536"/>
      <c r="K6" s="3537"/>
      <c r="L6" s="3538"/>
      <c r="M6" s="3538"/>
      <c r="N6" s="3536"/>
      <c r="O6" s="3538"/>
      <c r="P6" s="3538"/>
      <c r="Q6" s="3536"/>
      <c r="R6" s="3538"/>
      <c r="S6" s="3537"/>
      <c r="T6" s="3538"/>
      <c r="U6" s="3538"/>
      <c r="V6" s="3539"/>
      <c r="W6" s="201"/>
    </row>
    <row r="7" spans="1:23" s="9" customFormat="1" ht="22.5">
      <c r="A7" s="2373" t="s">
        <v>123</v>
      </c>
      <c r="B7" s="176" t="s">
        <v>567</v>
      </c>
      <c r="C7" s="129"/>
      <c r="D7" s="3536" t="str">
        <f>B7</f>
        <v>Tasas</v>
      </c>
      <c r="E7" s="3537"/>
      <c r="F7" s="3538" t="str">
        <f>B7</f>
        <v>Tasas</v>
      </c>
      <c r="G7" s="3538"/>
      <c r="H7" s="2402" t="str">
        <f>B7</f>
        <v>Tasas</v>
      </c>
      <c r="I7" s="129"/>
      <c r="J7" s="3536" t="str">
        <f>B7</f>
        <v>Tasas</v>
      </c>
      <c r="K7" s="3537"/>
      <c r="L7" s="3538" t="str">
        <f>B7</f>
        <v>Tasas</v>
      </c>
      <c r="M7" s="3538"/>
      <c r="N7" s="3536" t="s">
        <v>654</v>
      </c>
      <c r="O7" s="3538"/>
      <c r="P7" s="3538"/>
      <c r="Q7" s="3536" t="str">
        <f>N7</f>
        <v>Miles personas</v>
      </c>
      <c r="R7" s="3538"/>
      <c r="S7" s="3537"/>
      <c r="T7" s="3538" t="str">
        <f>N7</f>
        <v>Miles personas</v>
      </c>
      <c r="U7" s="3538"/>
      <c r="V7" s="3539"/>
      <c r="W7" s="201"/>
    </row>
    <row r="8" spans="1:23" s="9" customFormat="1" ht="15.75" customHeight="1">
      <c r="A8" s="105" t="s">
        <v>141</v>
      </c>
      <c r="B8" s="773" t="s">
        <v>655</v>
      </c>
      <c r="C8" s="149" t="s">
        <v>656</v>
      </c>
      <c r="D8" s="773" t="s">
        <v>657</v>
      </c>
      <c r="E8" s="149" t="s">
        <v>658</v>
      </c>
      <c r="F8" s="773" t="s">
        <v>659</v>
      </c>
      <c r="G8" s="149" t="s">
        <v>660</v>
      </c>
      <c r="H8" s="773" t="s">
        <v>661</v>
      </c>
      <c r="I8" s="149" t="s">
        <v>662</v>
      </c>
      <c r="J8" s="773" t="s">
        <v>663</v>
      </c>
      <c r="K8" s="149" t="s">
        <v>664</v>
      </c>
      <c r="L8" s="773" t="s">
        <v>665</v>
      </c>
      <c r="M8" s="149" t="s">
        <v>666</v>
      </c>
      <c r="N8" s="2400" t="s">
        <v>667</v>
      </c>
      <c r="O8" s="639" t="s">
        <v>668</v>
      </c>
      <c r="P8" s="149" t="s">
        <v>669</v>
      </c>
      <c r="Q8" s="2400" t="s">
        <v>670</v>
      </c>
      <c r="R8" s="639" t="s">
        <v>671</v>
      </c>
      <c r="S8" s="149" t="s">
        <v>672</v>
      </c>
      <c r="T8" s="2400" t="s">
        <v>673</v>
      </c>
      <c r="U8" s="639" t="s">
        <v>674</v>
      </c>
      <c r="V8" s="148" t="s">
        <v>675</v>
      </c>
      <c r="W8" s="1428"/>
    </row>
    <row r="9" spans="1:23" s="9" customFormat="1" ht="13.5" thickBot="1">
      <c r="A9" s="93" t="s">
        <v>517</v>
      </c>
      <c r="B9" s="1930" t="s">
        <v>676</v>
      </c>
      <c r="C9" s="1931" t="s">
        <v>677</v>
      </c>
      <c r="D9" s="1932" t="s">
        <v>676</v>
      </c>
      <c r="E9" s="1933" t="s">
        <v>677</v>
      </c>
      <c r="F9" s="1934" t="s">
        <v>676</v>
      </c>
      <c r="G9" s="1933" t="s">
        <v>677</v>
      </c>
      <c r="H9" s="1932" t="s">
        <v>676</v>
      </c>
      <c r="I9" s="1933" t="s">
        <v>677</v>
      </c>
      <c r="J9" s="1932" t="s">
        <v>676</v>
      </c>
      <c r="K9" s="1933" t="s">
        <v>677</v>
      </c>
      <c r="L9" s="1932" t="s">
        <v>676</v>
      </c>
      <c r="M9" s="1933" t="s">
        <v>677</v>
      </c>
      <c r="N9" s="1935" t="s">
        <v>678</v>
      </c>
      <c r="O9" s="1936" t="s">
        <v>679</v>
      </c>
      <c r="P9" s="1933" t="s">
        <v>680</v>
      </c>
      <c r="Q9" s="1935" t="s">
        <v>678</v>
      </c>
      <c r="R9" s="1936" t="s">
        <v>679</v>
      </c>
      <c r="S9" s="1933" t="s">
        <v>680</v>
      </c>
      <c r="T9" s="1935" t="s">
        <v>678</v>
      </c>
      <c r="U9" s="1936" t="s">
        <v>679</v>
      </c>
      <c r="V9" s="1937" t="s">
        <v>680</v>
      </c>
      <c r="W9" s="1427"/>
    </row>
    <row r="10" spans="1:23" s="9" customFormat="1">
      <c r="A10" s="2607" t="s">
        <v>552</v>
      </c>
      <c r="B10" s="774">
        <v>43.7</v>
      </c>
      <c r="C10" s="772">
        <v>15.7</v>
      </c>
      <c r="D10" s="775">
        <v>35.799999999999997</v>
      </c>
      <c r="E10" s="772">
        <v>14.6</v>
      </c>
      <c r="F10" s="775">
        <v>35.9</v>
      </c>
      <c r="G10" s="772">
        <v>11.6</v>
      </c>
      <c r="H10" s="775">
        <v>30.8</v>
      </c>
      <c r="I10" s="772">
        <v>10</v>
      </c>
      <c r="J10" s="775">
        <v>27.3</v>
      </c>
      <c r="K10" s="772">
        <v>10.6</v>
      </c>
      <c r="L10" s="775">
        <v>26.2</v>
      </c>
      <c r="M10" s="772">
        <v>8.3000000000000007</v>
      </c>
      <c r="N10" s="2935">
        <f>AVERAGE('2.3'!G32:G33)</f>
        <v>474.06349999999998</v>
      </c>
      <c r="O10" s="2935">
        <f>N10*(B10/100)</f>
        <v>207.1657495</v>
      </c>
      <c r="P10" s="2935">
        <f t="shared" ref="P10:P22" si="0">N10*(C10/100)</f>
        <v>74.427969500000003</v>
      </c>
      <c r="Q10" s="2933">
        <f>AVERAGE('2.3'!B32:B33)</f>
        <v>1211.8175000000001</v>
      </c>
      <c r="R10" s="2933">
        <f t="shared" ref="R10:R23" si="1">Q10*(D10/100)</f>
        <v>433.83066500000001</v>
      </c>
      <c r="S10" s="2934">
        <f t="shared" ref="S10:S22" si="2">Q10*(E10/100)</f>
        <v>176.925355</v>
      </c>
      <c r="T10" s="2933">
        <f>AVERAGE('2.3'!Q32:Q33)</f>
        <v>23076.709000000003</v>
      </c>
      <c r="U10" s="2933">
        <f t="shared" ref="U10:U23" si="3">T10*(F10/100)</f>
        <v>8284.5385310000001</v>
      </c>
      <c r="V10" s="427">
        <f t="shared" ref="V10:V23" si="4">T10*(G10/100)</f>
        <v>2676.898244</v>
      </c>
      <c r="W10" s="201"/>
    </row>
    <row r="11" spans="1:23" s="9" customFormat="1">
      <c r="A11" s="2607" t="s">
        <v>553</v>
      </c>
      <c r="B11" s="1938">
        <v>44.6</v>
      </c>
      <c r="C11" s="439">
        <v>16.100000000000001</v>
      </c>
      <c r="D11" s="1834">
        <v>41.2</v>
      </c>
      <c r="E11" s="439">
        <v>15.7</v>
      </c>
      <c r="F11" s="1834">
        <v>38.299999999999997</v>
      </c>
      <c r="G11" s="439">
        <v>13.6</v>
      </c>
      <c r="H11" s="1834">
        <v>33</v>
      </c>
      <c r="I11" s="439">
        <v>10.6</v>
      </c>
      <c r="J11" s="1834">
        <v>31.8</v>
      </c>
      <c r="K11" s="439">
        <v>10.6</v>
      </c>
      <c r="L11" s="1834">
        <v>28</v>
      </c>
      <c r="M11" s="439">
        <v>9.4</v>
      </c>
      <c r="N11" s="769">
        <f>AVERAGE('2.3'!G33:G34)</f>
        <v>475.24800000000005</v>
      </c>
      <c r="O11" s="3134">
        <f t="shared" ref="O11:O22" si="5">N11*(B11/100)</f>
        <v>211.96060800000004</v>
      </c>
      <c r="P11" s="196">
        <f t="shared" si="0"/>
        <v>76.514928000000012</v>
      </c>
      <c r="Q11" s="769">
        <f>AVERAGE('2.3'!B33:B34)</f>
        <v>1213.6065000000001</v>
      </c>
      <c r="R11" s="3134">
        <f t="shared" si="1"/>
        <v>500.00587800000005</v>
      </c>
      <c r="S11" s="196">
        <f t="shared" si="2"/>
        <v>190.53622050000001</v>
      </c>
      <c r="T11" s="769">
        <f>AVERAGE('2.3'!Q33:Q34)</f>
        <v>23129.6345</v>
      </c>
      <c r="U11" s="3134">
        <f t="shared" si="3"/>
        <v>8858.6500134999987</v>
      </c>
      <c r="V11" s="206">
        <f t="shared" si="4"/>
        <v>3145.6302920000003</v>
      </c>
      <c r="W11" s="201"/>
    </row>
    <row r="12" spans="1:23" s="9" customFormat="1">
      <c r="A12" s="2607" t="s">
        <v>554</v>
      </c>
      <c r="B12" s="1939">
        <v>57.8</v>
      </c>
      <c r="C12" s="439">
        <v>29</v>
      </c>
      <c r="D12" s="1834">
        <v>56.2</v>
      </c>
      <c r="E12" s="439">
        <v>28</v>
      </c>
      <c r="F12" s="1834">
        <v>53</v>
      </c>
      <c r="G12" s="439">
        <v>24.8</v>
      </c>
      <c r="H12" s="1834">
        <v>46.4</v>
      </c>
      <c r="I12" s="439">
        <v>20</v>
      </c>
      <c r="J12" s="1834">
        <v>45.7</v>
      </c>
      <c r="K12" s="439">
        <v>21</v>
      </c>
      <c r="L12" s="1834">
        <v>41.4</v>
      </c>
      <c r="M12" s="439">
        <v>18</v>
      </c>
      <c r="N12" s="769">
        <f>AVERAGE('2.3'!G34:G35)</f>
        <v>476.37</v>
      </c>
      <c r="O12" s="3134">
        <f t="shared" si="5"/>
        <v>275.34186</v>
      </c>
      <c r="P12" s="196">
        <f t="shared" si="0"/>
        <v>138.1473</v>
      </c>
      <c r="Q12" s="769">
        <f>AVERAGE('2.3'!B34:B35)</f>
        <v>1215.3765000000001</v>
      </c>
      <c r="R12" s="3134">
        <f t="shared" si="1"/>
        <v>683.04159300000015</v>
      </c>
      <c r="S12" s="196">
        <f t="shared" si="2"/>
        <v>340.30542000000003</v>
      </c>
      <c r="T12" s="769">
        <f>AVERAGE('2.3'!Q34:Q35)</f>
        <v>23181.498500000002</v>
      </c>
      <c r="U12" s="3134">
        <f t="shared" si="3"/>
        <v>12286.194205000002</v>
      </c>
      <c r="V12" s="206">
        <f t="shared" si="4"/>
        <v>5749.0116280000002</v>
      </c>
      <c r="W12" s="201"/>
    </row>
    <row r="13" spans="1:23" s="9" customFormat="1">
      <c r="A13" s="2607" t="s">
        <v>555</v>
      </c>
      <c r="B13" s="1939">
        <v>63.7</v>
      </c>
      <c r="C13" s="439">
        <v>33.799999999999997</v>
      </c>
      <c r="D13" s="1834">
        <v>60.9</v>
      </c>
      <c r="E13" s="439">
        <v>29.6</v>
      </c>
      <c r="F13" s="1834">
        <v>57.5</v>
      </c>
      <c r="G13" s="439">
        <v>27.5</v>
      </c>
      <c r="H13" s="1834">
        <v>52.6</v>
      </c>
      <c r="I13" s="439">
        <v>24.4</v>
      </c>
      <c r="J13" s="1834">
        <v>49.4</v>
      </c>
      <c r="K13" s="439">
        <v>21.3</v>
      </c>
      <c r="L13" s="1834">
        <v>45.7</v>
      </c>
      <c r="M13" s="439">
        <v>19.5</v>
      </c>
      <c r="N13" s="769">
        <f>AVERAGE('2.3'!G35:G36)</f>
        <v>477.47199999999998</v>
      </c>
      <c r="O13" s="3134">
        <f t="shared" si="5"/>
        <v>304.14966399999997</v>
      </c>
      <c r="P13" s="196">
        <f t="shared" si="0"/>
        <v>161.38553599999997</v>
      </c>
      <c r="Q13" s="769">
        <f>AVERAGE('2.3'!B35:B36)</f>
        <v>1217.1469999999999</v>
      </c>
      <c r="R13" s="3134">
        <f t="shared" si="1"/>
        <v>741.24252299999989</v>
      </c>
      <c r="S13" s="196">
        <f t="shared" si="2"/>
        <v>360.27551200000005</v>
      </c>
      <c r="T13" s="769">
        <f>AVERAGE('2.3'!Q35:Q36)</f>
        <v>23232.745000000003</v>
      </c>
      <c r="U13" s="3134">
        <f t="shared" si="3"/>
        <v>13358.828375000001</v>
      </c>
      <c r="V13" s="206">
        <f t="shared" si="4"/>
        <v>6389.0048750000014</v>
      </c>
      <c r="W13" s="201"/>
    </row>
    <row r="14" spans="1:23" s="9" customFormat="1">
      <c r="A14" s="1940">
        <v>2003.1</v>
      </c>
      <c r="B14" s="1939">
        <v>38.9</v>
      </c>
      <c r="C14" s="439">
        <v>17.5</v>
      </c>
      <c r="D14" s="1834">
        <v>54.6</v>
      </c>
      <c r="E14" s="439">
        <v>29.3</v>
      </c>
      <c r="F14" s="1834">
        <v>54</v>
      </c>
      <c r="G14" s="439">
        <v>27.7</v>
      </c>
      <c r="H14" s="1834">
        <v>38.9</v>
      </c>
      <c r="I14" s="439">
        <v>17.5</v>
      </c>
      <c r="J14" s="1834">
        <v>42.4</v>
      </c>
      <c r="K14" s="439">
        <v>20.7</v>
      </c>
      <c r="L14" s="1834">
        <v>42.7</v>
      </c>
      <c r="M14" s="439">
        <v>20.399999999999999</v>
      </c>
      <c r="N14" s="769">
        <f>AVERAGE('2.3'!G36:G37)</f>
        <v>478.76650000000001</v>
      </c>
      <c r="O14" s="3134">
        <f>N14*(B14/100)</f>
        <v>186.24016850000001</v>
      </c>
      <c r="P14" s="196">
        <f t="shared" si="0"/>
        <v>83.7841375</v>
      </c>
      <c r="Q14" s="769">
        <f>AVERAGE('2.3'!B36:B37)</f>
        <v>1219.127</v>
      </c>
      <c r="R14" s="3134">
        <f t="shared" si="1"/>
        <v>665.64334200000008</v>
      </c>
      <c r="S14" s="196">
        <f t="shared" si="2"/>
        <v>357.20421099999999</v>
      </c>
      <c r="T14" s="769">
        <f>AVERAGE('2.3'!Q36:Q37)</f>
        <v>23289.446</v>
      </c>
      <c r="U14" s="3134">
        <f t="shared" si="3"/>
        <v>12576.30084</v>
      </c>
      <c r="V14" s="206">
        <f t="shared" si="4"/>
        <v>6451.1765419999992</v>
      </c>
      <c r="W14" s="201"/>
    </row>
    <row r="15" spans="1:23" s="9" customFormat="1">
      <c r="A15" s="1872">
        <v>2003.2</v>
      </c>
      <c r="B15" s="1939">
        <v>36</v>
      </c>
      <c r="C15" s="439">
        <v>17.100000000000001</v>
      </c>
      <c r="D15" s="1834">
        <v>47.9</v>
      </c>
      <c r="E15" s="439">
        <v>23.9</v>
      </c>
      <c r="F15" s="1834">
        <v>47.8</v>
      </c>
      <c r="G15" s="439">
        <v>20.5</v>
      </c>
      <c r="H15" s="1834">
        <v>25.2</v>
      </c>
      <c r="I15" s="439">
        <v>10.6</v>
      </c>
      <c r="J15" s="1834">
        <v>37.5</v>
      </c>
      <c r="K15" s="439">
        <v>16.5</v>
      </c>
      <c r="L15" s="1834">
        <v>36.5</v>
      </c>
      <c r="M15" s="439">
        <v>15.1</v>
      </c>
      <c r="N15" s="769">
        <f>AVERAGE('2.3'!G37:G38)</f>
        <v>480.20699999999999</v>
      </c>
      <c r="O15" s="3134">
        <f t="shared" si="5"/>
        <v>172.87451999999999</v>
      </c>
      <c r="P15" s="196">
        <f t="shared" si="0"/>
        <v>82.115397000000002</v>
      </c>
      <c r="Q15" s="769">
        <f>AVERAGE('2.3'!B37:B38)</f>
        <v>1221.3040000000001</v>
      </c>
      <c r="R15" s="3134">
        <f t="shared" si="1"/>
        <v>585.00461600000006</v>
      </c>
      <c r="S15" s="196">
        <f t="shared" si="2"/>
        <v>291.89165600000001</v>
      </c>
      <c r="T15" s="769">
        <f>AVERAGE('2.3'!Q37:Q38)</f>
        <v>23350.516</v>
      </c>
      <c r="U15" s="3134">
        <f t="shared" si="3"/>
        <v>11161.546648</v>
      </c>
      <c r="V15" s="206">
        <f t="shared" si="4"/>
        <v>4786.8557799999999</v>
      </c>
      <c r="W15" s="201"/>
    </row>
    <row r="16" spans="1:23" s="9" customFormat="1">
      <c r="A16" s="1872">
        <v>2004.1</v>
      </c>
      <c r="B16" s="1939">
        <v>46.1</v>
      </c>
      <c r="C16" s="439">
        <v>19.2</v>
      </c>
      <c r="D16" s="1834">
        <v>42</v>
      </c>
      <c r="E16" s="439">
        <v>16.5</v>
      </c>
      <c r="F16" s="1834">
        <v>44.3</v>
      </c>
      <c r="G16" s="439">
        <v>17</v>
      </c>
      <c r="H16" s="1834">
        <v>34.1</v>
      </c>
      <c r="I16" s="439">
        <v>12.5</v>
      </c>
      <c r="J16" s="1834">
        <v>31</v>
      </c>
      <c r="K16" s="439">
        <v>11.3</v>
      </c>
      <c r="L16" s="1834">
        <v>33.5</v>
      </c>
      <c r="M16" s="439">
        <v>12.1</v>
      </c>
      <c r="N16" s="769">
        <f>AVERAGE('2.3'!G38:G39)</f>
        <v>481.54200000000003</v>
      </c>
      <c r="O16" s="3134">
        <f t="shared" si="5"/>
        <v>221.99086200000002</v>
      </c>
      <c r="P16" s="196">
        <f t="shared" si="0"/>
        <v>92.456064000000012</v>
      </c>
      <c r="Q16" s="769">
        <f>AVERAGE('2.3'!B38:B39)</f>
        <v>1223.3699999999999</v>
      </c>
      <c r="R16" s="3134">
        <f t="shared" si="1"/>
        <v>513.81539999999995</v>
      </c>
      <c r="S16" s="196">
        <f t="shared" si="2"/>
        <v>201.85604999999998</v>
      </c>
      <c r="T16" s="769">
        <f>AVERAGE('2.3'!Q38:Q39)</f>
        <v>23409.2415</v>
      </c>
      <c r="U16" s="3134">
        <f t="shared" si="3"/>
        <v>10370.293984499998</v>
      </c>
      <c r="V16" s="206">
        <f t="shared" si="4"/>
        <v>3979.5710550000003</v>
      </c>
      <c r="W16" s="201"/>
    </row>
    <row r="17" spans="1:22" s="9" customFormat="1">
      <c r="A17" s="1872">
        <v>2004.2</v>
      </c>
      <c r="B17" s="1939">
        <v>46.6</v>
      </c>
      <c r="C17" s="439">
        <v>17.100000000000001</v>
      </c>
      <c r="D17" s="1834">
        <v>36.5</v>
      </c>
      <c r="E17" s="439">
        <v>14.2</v>
      </c>
      <c r="F17" s="1834">
        <v>40.200000000000003</v>
      </c>
      <c r="G17" s="439">
        <v>15</v>
      </c>
      <c r="H17" s="1834">
        <v>32.700000000000003</v>
      </c>
      <c r="I17" s="439">
        <v>10.5</v>
      </c>
      <c r="J17" s="1834">
        <v>27.5</v>
      </c>
      <c r="K17" s="439">
        <v>9.6</v>
      </c>
      <c r="L17" s="1834">
        <v>29.8</v>
      </c>
      <c r="M17" s="439">
        <v>10.7</v>
      </c>
      <c r="N17" s="769">
        <f>AVERAGE('2.3'!G39:G40)</f>
        <v>482.8245</v>
      </c>
      <c r="O17" s="3134">
        <f t="shared" si="5"/>
        <v>224.996217</v>
      </c>
      <c r="P17" s="196">
        <f t="shared" si="0"/>
        <v>82.5629895</v>
      </c>
      <c r="Q17" s="769">
        <f>AVERAGE('2.3'!B39:B40)</f>
        <v>1225.3800000000001</v>
      </c>
      <c r="R17" s="3134">
        <f t="shared" si="1"/>
        <v>447.26370000000003</v>
      </c>
      <c r="S17" s="196">
        <f t="shared" si="2"/>
        <v>174.00396000000001</v>
      </c>
      <c r="T17" s="769">
        <f>AVERAGE('2.3'!Q39:Q40)</f>
        <v>23466.754000000001</v>
      </c>
      <c r="U17" s="3134">
        <f t="shared" si="3"/>
        <v>9433.6351080000004</v>
      </c>
      <c r="V17" s="206">
        <f t="shared" si="4"/>
        <v>3520.0131000000001</v>
      </c>
    </row>
    <row r="18" spans="1:22" s="9" customFormat="1">
      <c r="A18" s="1872">
        <v>2005.1</v>
      </c>
      <c r="B18" s="1939">
        <v>41</v>
      </c>
      <c r="C18" s="439">
        <v>17.3</v>
      </c>
      <c r="D18" s="1834">
        <v>32.9</v>
      </c>
      <c r="E18" s="439">
        <v>12.3</v>
      </c>
      <c r="F18" s="1834">
        <v>38.9</v>
      </c>
      <c r="G18" s="439">
        <v>13.8</v>
      </c>
      <c r="H18" s="1834">
        <v>28</v>
      </c>
      <c r="I18" s="439">
        <v>10.6</v>
      </c>
      <c r="J18" s="1834">
        <v>25.6</v>
      </c>
      <c r="K18" s="439">
        <v>9.5</v>
      </c>
      <c r="L18" s="1834">
        <v>28.8</v>
      </c>
      <c r="M18" s="439">
        <v>9.6999999999999993</v>
      </c>
      <c r="N18" s="769">
        <f>AVERAGE('2.3'!G40:G41)</f>
        <v>484.09199999999998</v>
      </c>
      <c r="O18" s="3134">
        <f t="shared" si="5"/>
        <v>198.47771999999998</v>
      </c>
      <c r="P18" s="196">
        <f t="shared" si="0"/>
        <v>83.747916000000004</v>
      </c>
      <c r="Q18" s="769">
        <f>AVERAGE('2.3'!B40:B41)</f>
        <v>1227.3519999999999</v>
      </c>
      <c r="R18" s="3134">
        <f t="shared" si="1"/>
        <v>403.79880799999989</v>
      </c>
      <c r="S18" s="196">
        <f t="shared" si="2"/>
        <v>150.96429599999999</v>
      </c>
      <c r="T18" s="769">
        <f>AVERAGE('2.3'!Q40:Q41)</f>
        <v>23523.555999999997</v>
      </c>
      <c r="U18" s="3134">
        <f t="shared" si="3"/>
        <v>9150.6632839999984</v>
      </c>
      <c r="V18" s="206">
        <f t="shared" si="4"/>
        <v>3246.250728</v>
      </c>
    </row>
    <row r="19" spans="1:22" s="9" customFormat="1">
      <c r="A19" s="1872">
        <v>2005.2</v>
      </c>
      <c r="B19" s="1939">
        <v>36.9</v>
      </c>
      <c r="C19" s="439">
        <v>18.100000000000001</v>
      </c>
      <c r="D19" s="1834">
        <v>28.5</v>
      </c>
      <c r="E19" s="439">
        <v>11.9</v>
      </c>
      <c r="F19" s="1834">
        <v>33.799999999999997</v>
      </c>
      <c r="G19" s="439">
        <v>12.2</v>
      </c>
      <c r="H19" s="1834">
        <v>25.9</v>
      </c>
      <c r="I19" s="439">
        <v>11.4</v>
      </c>
      <c r="J19" s="1834">
        <v>21.4</v>
      </c>
      <c r="K19" s="439">
        <v>8.8000000000000007</v>
      </c>
      <c r="L19" s="1834">
        <v>24.7</v>
      </c>
      <c r="M19" s="439">
        <v>8.4</v>
      </c>
      <c r="N19" s="769">
        <f>AVERAGE('2.3'!G41:G42)</f>
        <v>485.33949999999999</v>
      </c>
      <c r="O19" s="3134">
        <f t="shared" si="5"/>
        <v>179.09027549999999</v>
      </c>
      <c r="P19" s="196">
        <f t="shared" si="0"/>
        <v>87.846449500000006</v>
      </c>
      <c r="Q19" s="769">
        <f>AVERAGE('2.3'!B41:B42)</f>
        <v>1229.2914999999998</v>
      </c>
      <c r="R19" s="3134">
        <f t="shared" si="1"/>
        <v>350.34807749999993</v>
      </c>
      <c r="S19" s="196">
        <f t="shared" si="2"/>
        <v>146.28568849999999</v>
      </c>
      <c r="T19" s="769">
        <f>AVERAGE('2.3'!Q41:Q42)</f>
        <v>23763.7215</v>
      </c>
      <c r="U19" s="3134">
        <f t="shared" si="3"/>
        <v>8032.1378669999995</v>
      </c>
      <c r="V19" s="206">
        <f t="shared" si="4"/>
        <v>2899.174023</v>
      </c>
    </row>
    <row r="20" spans="1:22" s="9" customFormat="1">
      <c r="A20" s="1872">
        <v>2006.1</v>
      </c>
      <c r="B20" s="1939">
        <v>33.4</v>
      </c>
      <c r="C20" s="439">
        <v>14.8</v>
      </c>
      <c r="D20" s="1834">
        <v>27.4</v>
      </c>
      <c r="E20" s="439">
        <v>10.199999999999999</v>
      </c>
      <c r="F20" s="1834">
        <v>31.4</v>
      </c>
      <c r="G20" s="439">
        <v>11.2</v>
      </c>
      <c r="H20" s="1834">
        <v>23.9</v>
      </c>
      <c r="I20" s="439">
        <v>9.1999999999999993</v>
      </c>
      <c r="J20" s="1834">
        <v>20.399999999999999</v>
      </c>
      <c r="K20" s="439">
        <v>7.7</v>
      </c>
      <c r="L20" s="1834">
        <v>23.1</v>
      </c>
      <c r="M20" s="439">
        <v>8</v>
      </c>
      <c r="N20" s="769">
        <f>AVERAGE('2.3'!G42:G43)</f>
        <v>486.63749999999999</v>
      </c>
      <c r="O20" s="3134">
        <f t="shared" si="5"/>
        <v>162.53692499999997</v>
      </c>
      <c r="P20" s="196">
        <f t="shared" si="0"/>
        <v>72.022350000000003</v>
      </c>
      <c r="Q20" s="769">
        <f>AVERAGE('2.3'!B42:B43)</f>
        <v>1231.3045</v>
      </c>
      <c r="R20" s="3134">
        <f t="shared" si="1"/>
        <v>337.37743299999994</v>
      </c>
      <c r="S20" s="196">
        <f t="shared" si="2"/>
        <v>125.59305899999998</v>
      </c>
      <c r="T20" s="769">
        <f>AVERAGE('2.3'!Q42:Q43)</f>
        <v>24007.645499999999</v>
      </c>
      <c r="U20" s="3134">
        <f t="shared" si="3"/>
        <v>7538.4006869999994</v>
      </c>
      <c r="V20" s="206">
        <f t="shared" si="4"/>
        <v>2688.8562959999995</v>
      </c>
    </row>
    <row r="21" spans="1:22" s="9" customFormat="1">
      <c r="A21" s="1872">
        <v>2006.2</v>
      </c>
      <c r="B21" s="1939">
        <v>28.6</v>
      </c>
      <c r="C21" s="439">
        <v>11.5</v>
      </c>
      <c r="D21" s="1834">
        <v>22.9</v>
      </c>
      <c r="E21" s="439">
        <v>7.5</v>
      </c>
      <c r="F21" s="1834">
        <v>26.9</v>
      </c>
      <c r="G21" s="439">
        <v>8.6999999999999993</v>
      </c>
      <c r="H21" s="1834">
        <v>19.600000000000001</v>
      </c>
      <c r="I21" s="439">
        <v>7.3</v>
      </c>
      <c r="J21" s="1834">
        <v>16.600000000000001</v>
      </c>
      <c r="K21" s="439">
        <v>6.2</v>
      </c>
      <c r="L21" s="1834">
        <v>19.2</v>
      </c>
      <c r="M21" s="439">
        <v>6.3</v>
      </c>
      <c r="N21" s="769">
        <f>AVERAGE('2.3'!G43:G44)</f>
        <v>487.95799999999997</v>
      </c>
      <c r="O21" s="3134">
        <f>N21*(B21/100)</f>
        <v>139.55598800000001</v>
      </c>
      <c r="P21" s="196">
        <f t="shared" si="0"/>
        <v>56.115169999999999</v>
      </c>
      <c r="Q21" s="769">
        <f>AVERAGE('2.3'!B43:B44)</f>
        <v>1233.3145</v>
      </c>
      <c r="R21" s="3134">
        <f t="shared" si="1"/>
        <v>282.42902049999998</v>
      </c>
      <c r="S21" s="196">
        <f t="shared" si="2"/>
        <v>92.498587499999999</v>
      </c>
      <c r="T21" s="769">
        <f>AVERAGE('2.3'!Q43:Q44)</f>
        <v>24068.9565</v>
      </c>
      <c r="U21" s="3134">
        <f t="shared" si="3"/>
        <v>6474.5492984999992</v>
      </c>
      <c r="V21" s="206">
        <f t="shared" si="4"/>
        <v>2093.9992155</v>
      </c>
    </row>
    <row r="22" spans="1:22" s="9" customFormat="1">
      <c r="A22" s="1872">
        <v>2007.1</v>
      </c>
      <c r="B22" s="1939">
        <v>23.3</v>
      </c>
      <c r="C22" s="439">
        <v>8.5</v>
      </c>
      <c r="D22" s="1834">
        <v>18.3</v>
      </c>
      <c r="E22" s="439">
        <v>5.5</v>
      </c>
      <c r="F22" s="1834">
        <v>23.4</v>
      </c>
      <c r="G22" s="439">
        <v>8.1999999999999993</v>
      </c>
      <c r="H22" s="1834">
        <v>16.600000000000001</v>
      </c>
      <c r="I22" s="439">
        <v>5.7</v>
      </c>
      <c r="J22" s="1834">
        <v>12</v>
      </c>
      <c r="K22" s="439">
        <v>3.6</v>
      </c>
      <c r="L22" s="1834">
        <v>16.3</v>
      </c>
      <c r="M22" s="439">
        <v>5.7</v>
      </c>
      <c r="N22" s="769">
        <f>AVERAGE('2.3'!G44:G45)</f>
        <v>489.24400000000003</v>
      </c>
      <c r="O22" s="3134">
        <f t="shared" si="5"/>
        <v>113.99385200000002</v>
      </c>
      <c r="P22" s="196">
        <f t="shared" si="0"/>
        <v>41.585740000000008</v>
      </c>
      <c r="Q22" s="769">
        <f>AVERAGE('2.3'!B44:B45)</f>
        <v>1235.2660000000001</v>
      </c>
      <c r="R22" s="3134">
        <f t="shared" si="1"/>
        <v>226.05367800000002</v>
      </c>
      <c r="S22" s="196">
        <f t="shared" si="2"/>
        <v>67.939630000000008</v>
      </c>
      <c r="T22" s="769">
        <f>AVERAGE('2.3'!Q44:Q45)</f>
        <v>24127.409</v>
      </c>
      <c r="U22" s="3134">
        <f t="shared" si="3"/>
        <v>5645.8137059999999</v>
      </c>
      <c r="V22" s="206">
        <f t="shared" si="4"/>
        <v>1978.4475379999997</v>
      </c>
    </row>
    <row r="23" spans="1:22" s="9" customFormat="1">
      <c r="A23" s="1872">
        <v>2007.2</v>
      </c>
      <c r="B23" s="1939">
        <v>18</v>
      </c>
      <c r="C23" s="439">
        <v>5.9</v>
      </c>
      <c r="D23" s="1834">
        <v>13.6</v>
      </c>
      <c r="E23" s="439">
        <v>4.9000000000000004</v>
      </c>
      <c r="F23" s="1834">
        <v>20.6</v>
      </c>
      <c r="G23" s="439">
        <v>5.9</v>
      </c>
      <c r="H23" s="1834">
        <v>13.2</v>
      </c>
      <c r="I23" s="439">
        <v>4.7</v>
      </c>
      <c r="J23" s="1834">
        <v>9.6999999999999993</v>
      </c>
      <c r="K23" s="439">
        <v>3.5</v>
      </c>
      <c r="L23" s="1834">
        <v>14</v>
      </c>
      <c r="M23" s="439">
        <v>4.4000000000000004</v>
      </c>
      <c r="N23" s="769">
        <f>AVERAGE('2.3'!G46:G47)</f>
        <v>491.71899999999999</v>
      </c>
      <c r="O23" s="3134">
        <f>N23*(B23/100)</f>
        <v>88.509419999999992</v>
      </c>
      <c r="P23" s="196">
        <f>N23*(C23/100)</f>
        <v>29.011421000000002</v>
      </c>
      <c r="Q23" s="769">
        <f>AVERAGE('2.3'!B46:B47)</f>
        <v>1239.1979999999999</v>
      </c>
      <c r="R23" s="3134">
        <f t="shared" si="1"/>
        <v>168.53092799999999</v>
      </c>
      <c r="S23" s="196">
        <f>Q23*(E23/100)</f>
        <v>60.720701999999996</v>
      </c>
      <c r="T23" s="769">
        <f>AVERAGE('2.3'!Q46:Q47)</f>
        <v>24245.093499999999</v>
      </c>
      <c r="U23" s="3134">
        <f t="shared" si="3"/>
        <v>4994.4892610000006</v>
      </c>
      <c r="V23" s="206">
        <f t="shared" si="4"/>
        <v>1430.4605165</v>
      </c>
    </row>
    <row r="24" spans="1:22" s="9" customFormat="1">
      <c r="A24" s="1872">
        <f t="shared" ref="A24:A69" si="6">A22+1</f>
        <v>2008.1</v>
      </c>
      <c r="B24" s="1424"/>
      <c r="C24" s="1425"/>
      <c r="D24" s="1426"/>
      <c r="E24" s="1425"/>
      <c r="F24" s="1426"/>
      <c r="G24" s="1425"/>
      <c r="H24" s="1424"/>
      <c r="I24" s="1425"/>
      <c r="J24" s="1426"/>
      <c r="K24" s="1425"/>
      <c r="L24" s="1426"/>
      <c r="M24" s="1425"/>
      <c r="N24" s="769">
        <f>AVERAGE('2.3'!G48:G49)</f>
        <v>494.42650000000003</v>
      </c>
      <c r="O24" s="3135"/>
      <c r="P24" s="1425"/>
      <c r="Q24" s="769">
        <f>AVERAGE('2.3'!B48:B49)</f>
        <v>1243.4014999999999</v>
      </c>
      <c r="R24" s="3135"/>
      <c r="S24" s="1425"/>
      <c r="T24" s="769">
        <f>AVERAGE('2.3'!Q47:Q48)</f>
        <v>24304.612000000001</v>
      </c>
      <c r="U24" s="1424"/>
      <c r="V24" s="3136"/>
    </row>
    <row r="25" spans="1:22" s="9" customFormat="1">
      <c r="A25" s="1872">
        <f t="shared" si="6"/>
        <v>2008.2</v>
      </c>
      <c r="B25" s="1424"/>
      <c r="C25" s="1425"/>
      <c r="D25" s="1426"/>
      <c r="E25" s="1425"/>
      <c r="F25" s="1426"/>
      <c r="G25" s="1425"/>
      <c r="H25" s="1424"/>
      <c r="I25" s="1425"/>
      <c r="J25" s="1426"/>
      <c r="K25" s="1425"/>
      <c r="L25" s="1426"/>
      <c r="M25" s="1425"/>
      <c r="N25" s="769">
        <f>AVERAGE('2.3'!G50:G51)</f>
        <v>497.029</v>
      </c>
      <c r="O25" s="3135"/>
      <c r="P25" s="1425"/>
      <c r="Q25" s="769">
        <f>AVERAGE('2.3'!B50:B51)</f>
        <v>1247.3924999999999</v>
      </c>
      <c r="R25" s="3135"/>
      <c r="S25" s="1425"/>
      <c r="T25" s="769">
        <f>AVERAGE('2.3'!Q48:Q49)</f>
        <v>24363.200499999999</v>
      </c>
      <c r="U25" s="1424"/>
      <c r="V25" s="3136"/>
    </row>
    <row r="26" spans="1:22" s="9" customFormat="1">
      <c r="A26" s="1872">
        <f t="shared" si="6"/>
        <v>2009.1</v>
      </c>
      <c r="B26" s="1424"/>
      <c r="C26" s="1425"/>
      <c r="D26" s="1426"/>
      <c r="E26" s="1425"/>
      <c r="F26" s="1426"/>
      <c r="G26" s="1425"/>
      <c r="H26" s="1424"/>
      <c r="I26" s="1425"/>
      <c r="J26" s="1426"/>
      <c r="K26" s="1425"/>
      <c r="L26" s="1426"/>
      <c r="M26" s="1425"/>
      <c r="N26" s="769">
        <f>AVERAGE('2.3'!G52:G53)</f>
        <v>499.63749999999999</v>
      </c>
      <c r="O26" s="3135"/>
      <c r="P26" s="1425"/>
      <c r="Q26" s="769">
        <f>AVERAGE('2.3'!B52:B53)</f>
        <v>1251.4475</v>
      </c>
      <c r="R26" s="3135"/>
      <c r="S26" s="1425"/>
      <c r="T26" s="769">
        <f>AVERAGE('2.3'!Q49:Q50)</f>
        <v>24421.652000000002</v>
      </c>
      <c r="U26" s="1424"/>
      <c r="V26" s="3136"/>
    </row>
    <row r="27" spans="1:22" s="9" customFormat="1">
      <c r="A27" s="1872">
        <f t="shared" si="6"/>
        <v>2009.2</v>
      </c>
      <c r="B27" s="1424"/>
      <c r="C27" s="1425"/>
      <c r="D27" s="1426"/>
      <c r="E27" s="1425"/>
      <c r="F27" s="1426"/>
      <c r="G27" s="1425"/>
      <c r="H27" s="1424"/>
      <c r="I27" s="1425"/>
      <c r="J27" s="1426"/>
      <c r="K27" s="1425"/>
      <c r="L27" s="1426"/>
      <c r="M27" s="1425"/>
      <c r="N27" s="769">
        <f>AVERAGE('2.3'!G54:G55)</f>
        <v>502.24299999999999</v>
      </c>
      <c r="O27" s="3135"/>
      <c r="P27" s="1425"/>
      <c r="Q27" s="769">
        <f>AVERAGE('2.3'!B54:B55)</f>
        <v>1255.4214999999999</v>
      </c>
      <c r="R27" s="3135"/>
      <c r="S27" s="1425"/>
      <c r="T27" s="769">
        <f>AVERAGE('2.3'!Q50:Q51)</f>
        <v>24481.1145</v>
      </c>
      <c r="U27" s="1424"/>
      <c r="V27" s="3136"/>
    </row>
    <row r="28" spans="1:22" s="9" customFormat="1">
      <c r="A28" s="1872">
        <f t="shared" si="6"/>
        <v>2010.1</v>
      </c>
      <c r="B28" s="1424"/>
      <c r="C28" s="1425"/>
      <c r="D28" s="1426"/>
      <c r="E28" s="1425"/>
      <c r="F28" s="1426"/>
      <c r="G28" s="1425"/>
      <c r="H28" s="1424"/>
      <c r="I28" s="1425"/>
      <c r="J28" s="1426"/>
      <c r="K28" s="1425"/>
      <c r="L28" s="1426"/>
      <c r="M28" s="1425"/>
      <c r="N28" s="769">
        <f>AVERAGE('2.3'!G56:G57)</f>
        <v>504.77300000000002</v>
      </c>
      <c r="O28" s="3135"/>
      <c r="P28" s="1425"/>
      <c r="Q28" s="769">
        <f>AVERAGE('2.3'!B56:B57)</f>
        <v>1259.4065000000001</v>
      </c>
      <c r="R28" s="3135"/>
      <c r="S28" s="1425"/>
      <c r="T28" s="769">
        <f>AVERAGE('2.3'!Q51:Q52)</f>
        <v>24540.409500000002</v>
      </c>
      <c r="U28" s="1424"/>
      <c r="V28" s="3136"/>
    </row>
    <row r="29" spans="1:22" s="9" customFormat="1">
      <c r="A29" s="1872">
        <f t="shared" si="6"/>
        <v>2010.2</v>
      </c>
      <c r="B29" s="1424"/>
      <c r="C29" s="1425"/>
      <c r="D29" s="1426"/>
      <c r="E29" s="1425"/>
      <c r="F29" s="1426"/>
      <c r="G29" s="1425"/>
      <c r="H29" s="1424"/>
      <c r="I29" s="1425"/>
      <c r="J29" s="1426"/>
      <c r="K29" s="1425"/>
      <c r="L29" s="1426"/>
      <c r="M29" s="1425"/>
      <c r="N29" s="769">
        <f>AVERAGE('2.3'!G58:G59)</f>
        <v>507.28250000000003</v>
      </c>
      <c r="O29" s="3135"/>
      <c r="P29" s="1425"/>
      <c r="Q29" s="769">
        <f>AVERAGE('2.3'!B58:B59)</f>
        <v>1263.3330000000001</v>
      </c>
      <c r="R29" s="3135"/>
      <c r="S29" s="1425"/>
      <c r="T29" s="769">
        <f>AVERAGE('2.3'!Q52:Q53)</f>
        <v>24598.8465</v>
      </c>
      <c r="U29" s="1424"/>
      <c r="V29" s="3136"/>
    </row>
    <row r="30" spans="1:22" s="9" customFormat="1">
      <c r="A30" s="1872">
        <f t="shared" si="6"/>
        <v>2011.1</v>
      </c>
      <c r="B30" s="1424"/>
      <c r="C30" s="1425"/>
      <c r="D30" s="1426"/>
      <c r="E30" s="1425"/>
      <c r="F30" s="1426"/>
      <c r="G30" s="1425"/>
      <c r="H30" s="1424"/>
      <c r="I30" s="1425"/>
      <c r="J30" s="1426"/>
      <c r="K30" s="1425"/>
      <c r="L30" s="1426"/>
      <c r="M30" s="1425"/>
      <c r="N30" s="769">
        <f>AVERAGE('2.3'!G60:G61)</f>
        <v>509.85550000000001</v>
      </c>
      <c r="O30" s="3135"/>
      <c r="P30" s="1425"/>
      <c r="Q30" s="769">
        <f>AVERAGE('2.3'!B60:B61)</f>
        <v>1267.337</v>
      </c>
      <c r="R30" s="3135"/>
      <c r="S30" s="1425"/>
      <c r="T30" s="769">
        <f>AVERAGE('2.3'!Q53:Q54)</f>
        <v>24657.162499999999</v>
      </c>
      <c r="U30" s="1424"/>
      <c r="V30" s="3136"/>
    </row>
    <row r="31" spans="1:22" s="9" customFormat="1">
      <c r="A31" s="1872">
        <f t="shared" si="6"/>
        <v>2011.2</v>
      </c>
      <c r="B31" s="1424"/>
      <c r="C31" s="1425"/>
      <c r="D31" s="1426"/>
      <c r="E31" s="1425"/>
      <c r="F31" s="1426"/>
      <c r="G31" s="1425"/>
      <c r="H31" s="1424"/>
      <c r="I31" s="1425"/>
      <c r="J31" s="1426"/>
      <c r="K31" s="1425"/>
      <c r="L31" s="1426"/>
      <c r="M31" s="1425"/>
      <c r="N31" s="769">
        <f>AVERAGE('2.3'!G62:G63)</f>
        <v>512.38</v>
      </c>
      <c r="O31" s="3135"/>
      <c r="P31" s="1425"/>
      <c r="Q31" s="769">
        <f>AVERAGE('2.3'!B62:B63)</f>
        <v>1271.2570000000001</v>
      </c>
      <c r="R31" s="3135"/>
      <c r="S31" s="1425"/>
      <c r="T31" s="769">
        <f>AVERAGE('2.3'!Q54:Q55)</f>
        <v>24715.947500000002</v>
      </c>
      <c r="U31" s="1424"/>
      <c r="V31" s="3136"/>
    </row>
    <row r="32" spans="1:22" s="9" customFormat="1">
      <c r="A32" s="1872">
        <f t="shared" si="6"/>
        <v>2012.1</v>
      </c>
      <c r="B32" s="1424"/>
      <c r="C32" s="1425"/>
      <c r="D32" s="1426"/>
      <c r="E32" s="1425"/>
      <c r="F32" s="1426"/>
      <c r="G32" s="1425"/>
      <c r="H32" s="1424"/>
      <c r="I32" s="1425"/>
      <c r="J32" s="1426"/>
      <c r="K32" s="1425"/>
      <c r="L32" s="1426"/>
      <c r="M32" s="1425"/>
      <c r="N32" s="769">
        <f>AVERAGE('2.3'!G64:G65)</f>
        <v>514.93949999999995</v>
      </c>
      <c r="O32" s="3135"/>
      <c r="P32" s="1425"/>
      <c r="Q32" s="769">
        <f>AVERAGE('2.3'!B64:B65)</f>
        <v>1275.1509999999998</v>
      </c>
      <c r="R32" s="3135"/>
      <c r="S32" s="1425"/>
      <c r="T32" s="769">
        <f>AVERAGE('2.3'!Q55:Q56)</f>
        <v>24774.548500000001</v>
      </c>
      <c r="U32" s="1424"/>
      <c r="V32" s="3136"/>
    </row>
    <row r="33" spans="1:22" s="9" customFormat="1">
      <c r="A33" s="1872">
        <f t="shared" si="6"/>
        <v>2012.2</v>
      </c>
      <c r="B33" s="1424"/>
      <c r="C33" s="1425"/>
      <c r="D33" s="1426"/>
      <c r="E33" s="1425"/>
      <c r="F33" s="1426"/>
      <c r="G33" s="1425"/>
      <c r="H33" s="1424"/>
      <c r="I33" s="1425"/>
      <c r="J33" s="1426"/>
      <c r="K33" s="1425"/>
      <c r="L33" s="1426"/>
      <c r="M33" s="1425"/>
      <c r="N33" s="769">
        <f>AVERAGE('2.3'!G66:G67)</f>
        <v>517.47550000000001</v>
      </c>
      <c r="O33" s="3135"/>
      <c r="P33" s="1425"/>
      <c r="Q33" s="769">
        <f>AVERAGE('2.3'!B66:B67)</f>
        <v>1279.0805</v>
      </c>
      <c r="R33" s="3135"/>
      <c r="S33" s="1425"/>
      <c r="T33" s="769">
        <f>AVERAGE('2.3'!Q56:Q57)</f>
        <v>24832.016499999998</v>
      </c>
      <c r="U33" s="1424"/>
      <c r="V33" s="3136"/>
    </row>
    <row r="34" spans="1:22" s="9" customFormat="1">
      <c r="A34" s="1872">
        <f t="shared" si="6"/>
        <v>2013.1</v>
      </c>
      <c r="B34" s="1424"/>
      <c r="C34" s="1425"/>
      <c r="D34" s="1426"/>
      <c r="E34" s="1425"/>
      <c r="F34" s="1426"/>
      <c r="G34" s="1425"/>
      <c r="H34" s="1424"/>
      <c r="I34" s="1425"/>
      <c r="J34" s="1426"/>
      <c r="K34" s="1425"/>
      <c r="L34" s="1426"/>
      <c r="M34" s="1425"/>
      <c r="N34" s="769">
        <f>AVERAGE('2.3'!G68:G69)</f>
        <v>519.9855</v>
      </c>
      <c r="O34" s="3135"/>
      <c r="P34" s="1425"/>
      <c r="Q34" s="769">
        <f>AVERAGE('2.3'!B68:B69)</f>
        <v>1282.9915000000001</v>
      </c>
      <c r="R34" s="3135"/>
      <c r="S34" s="1425"/>
      <c r="T34" s="769">
        <f>AVERAGE('2.3'!Q57:Q58)</f>
        <v>24889.680999999997</v>
      </c>
      <c r="U34" s="1424"/>
      <c r="V34" s="3136"/>
    </row>
    <row r="35" spans="1:22" s="9" customFormat="1">
      <c r="A35" s="1872">
        <f t="shared" si="6"/>
        <v>2013.2</v>
      </c>
      <c r="B35" s="1424"/>
      <c r="C35" s="1425"/>
      <c r="D35" s="1426"/>
      <c r="E35" s="1425"/>
      <c r="F35" s="1426"/>
      <c r="G35" s="1425"/>
      <c r="H35" s="1424"/>
      <c r="I35" s="1425"/>
      <c r="J35" s="1426"/>
      <c r="K35" s="1425"/>
      <c r="L35" s="1426"/>
      <c r="M35" s="1425"/>
      <c r="N35" s="769">
        <f>AVERAGE('2.3'!G70:G71)</f>
        <v>521.79300000000001</v>
      </c>
      <c r="O35" s="3135"/>
      <c r="P35" s="1425"/>
      <c r="Q35" s="769">
        <f>AVERAGE('2.3'!B70:B71)</f>
        <v>1314.2359999999999</v>
      </c>
      <c r="R35" s="3135"/>
      <c r="S35" s="1425"/>
      <c r="T35" s="769">
        <f>AVERAGE('2.3'!Q58:Q59)</f>
        <v>24948.127</v>
      </c>
      <c r="U35" s="1424"/>
      <c r="V35" s="3136"/>
    </row>
    <row r="36" spans="1:22" s="9" customFormat="1">
      <c r="A36" s="1872">
        <f t="shared" si="6"/>
        <v>2014.1</v>
      </c>
      <c r="B36" s="1424"/>
      <c r="C36" s="1425"/>
      <c r="D36" s="1426"/>
      <c r="E36" s="1425"/>
      <c r="F36" s="1426"/>
      <c r="G36" s="1425"/>
      <c r="H36" s="1424"/>
      <c r="I36" s="1425"/>
      <c r="J36" s="1426"/>
      <c r="K36" s="1425"/>
      <c r="L36" s="1426"/>
      <c r="M36" s="1425"/>
      <c r="N36" s="769">
        <f>AVERAGE('2.3'!G72:G73)</f>
        <v>523.41000000000008</v>
      </c>
      <c r="O36" s="3135"/>
      <c r="P36" s="1425"/>
      <c r="Q36" s="769">
        <f>AVERAGE('2.3'!B72:B73)</f>
        <v>1390.133</v>
      </c>
      <c r="R36" s="3135"/>
      <c r="S36" s="1425"/>
      <c r="T36" s="769">
        <f>AVERAGE('2.3'!Q59:Q60)</f>
        <v>25006.1855</v>
      </c>
      <c r="U36" s="1424"/>
      <c r="V36" s="3136"/>
    </row>
    <row r="37" spans="1:22" s="9" customFormat="1">
      <c r="A37" s="1872">
        <f t="shared" si="6"/>
        <v>2014.2</v>
      </c>
      <c r="B37" s="1424"/>
      <c r="C37" s="1425"/>
      <c r="D37" s="1426"/>
      <c r="E37" s="1425"/>
      <c r="F37" s="1426"/>
      <c r="G37" s="1425"/>
      <c r="H37" s="1424"/>
      <c r="I37" s="1425"/>
      <c r="J37" s="1426"/>
      <c r="K37" s="1425"/>
      <c r="L37" s="1426"/>
      <c r="M37" s="1425"/>
      <c r="N37" s="769">
        <f>AVERAGE('2.3'!G74:G75)</f>
        <v>525.7405</v>
      </c>
      <c r="O37" s="3135"/>
      <c r="P37" s="1425"/>
      <c r="Q37" s="769">
        <f>AVERAGE('2.3'!B74:B75)</f>
        <v>1413.3530000000001</v>
      </c>
      <c r="R37" s="3135"/>
      <c r="S37" s="1425"/>
      <c r="T37" s="769">
        <f>AVERAGE('2.3'!Q60:Q61)</f>
        <v>25063.517</v>
      </c>
      <c r="U37" s="1424"/>
      <c r="V37" s="3136"/>
    </row>
    <row r="38" spans="1:22" s="9" customFormat="1">
      <c r="A38" s="1872">
        <f t="shared" si="6"/>
        <v>2015.1</v>
      </c>
      <c r="B38" s="1424"/>
      <c r="C38" s="1425"/>
      <c r="D38" s="1426"/>
      <c r="E38" s="1425"/>
      <c r="F38" s="1426"/>
      <c r="G38" s="1425"/>
      <c r="H38" s="1424"/>
      <c r="I38" s="1425"/>
      <c r="J38" s="1426"/>
      <c r="K38" s="1425"/>
      <c r="L38" s="1426"/>
      <c r="M38" s="1425"/>
      <c r="N38" s="769">
        <f>AVERAGE('2.3'!G76:G77)</f>
        <v>528.14449999999999</v>
      </c>
      <c r="O38" s="3135"/>
      <c r="P38" s="1425"/>
      <c r="Q38" s="769">
        <f>AVERAGE('2.3'!B76:B77)</f>
        <v>1422.0830000000001</v>
      </c>
      <c r="R38" s="3135"/>
      <c r="S38" s="1425"/>
      <c r="T38" s="769">
        <f>AVERAGE('2.3'!Q61:Q62)</f>
        <v>25120.8115</v>
      </c>
      <c r="U38" s="1424"/>
      <c r="V38" s="3136"/>
    </row>
    <row r="39" spans="1:22" s="9" customFormat="1">
      <c r="A39" s="1872">
        <f t="shared" si="6"/>
        <v>2015.2</v>
      </c>
      <c r="B39" s="1424"/>
      <c r="C39" s="1425"/>
      <c r="D39" s="1426"/>
      <c r="E39" s="1425"/>
      <c r="F39" s="1426"/>
      <c r="G39" s="1425"/>
      <c r="H39" s="1424"/>
      <c r="I39" s="1425"/>
      <c r="J39" s="1426"/>
      <c r="K39" s="1425"/>
      <c r="L39" s="1426"/>
      <c r="M39" s="1425"/>
      <c r="N39" s="769">
        <f>AVERAGE('2.3'!G78:G79)</f>
        <v>529.65724999999998</v>
      </c>
      <c r="O39" s="3135"/>
      <c r="P39" s="1425"/>
      <c r="Q39" s="769">
        <f>AVERAGE('2.3'!B78:B79)</f>
        <v>1388.579375</v>
      </c>
      <c r="R39" s="3135"/>
      <c r="S39" s="1425"/>
      <c r="T39" s="769">
        <f>AVERAGE('2.3'!Q62:Q63)</f>
        <v>25178.716</v>
      </c>
      <c r="U39" s="1424"/>
      <c r="V39" s="3136"/>
    </row>
    <row r="40" spans="1:22">
      <c r="A40" s="1872">
        <f t="shared" si="6"/>
        <v>2016.1</v>
      </c>
      <c r="B40" s="1424"/>
      <c r="C40" s="1425"/>
      <c r="D40" s="1426"/>
      <c r="E40" s="1425"/>
      <c r="F40" s="1426"/>
      <c r="G40" s="1425"/>
      <c r="H40" s="1424"/>
      <c r="I40" s="1425"/>
      <c r="J40" s="1426"/>
      <c r="K40" s="1425"/>
      <c r="L40" s="1426"/>
      <c r="M40" s="1425"/>
      <c r="N40" s="769">
        <f>AVERAGE('2.3'!G80:G81)</f>
        <v>516.18149999999991</v>
      </c>
      <c r="O40" s="3135"/>
      <c r="P40" s="1425"/>
      <c r="Q40" s="769">
        <f>AVERAGE('2.3'!B80:B81)</f>
        <v>1287.55125</v>
      </c>
      <c r="R40" s="3135"/>
      <c r="S40" s="1425"/>
      <c r="T40" s="769">
        <f>AVERAGE('2.3'!Q63:Q64)</f>
        <v>25236.707000000002</v>
      </c>
      <c r="U40" s="1424"/>
      <c r="V40" s="3136"/>
    </row>
    <row r="41" spans="1:22">
      <c r="A41" s="1872">
        <f>A39+1</f>
        <v>2016.2</v>
      </c>
      <c r="B41" s="1939">
        <v>29.3</v>
      </c>
      <c r="C41" s="439">
        <v>6.2</v>
      </c>
      <c r="D41" s="1834">
        <v>26.7</v>
      </c>
      <c r="E41" s="439">
        <v>3.8</v>
      </c>
      <c r="F41" s="1834">
        <v>30.3</v>
      </c>
      <c r="G41" s="439">
        <v>6.1</v>
      </c>
      <c r="H41" s="1834">
        <v>20.100000000000001</v>
      </c>
      <c r="I41" s="439">
        <v>4.0999999999999996</v>
      </c>
      <c r="J41" s="1834">
        <v>19.100000000000001</v>
      </c>
      <c r="K41" s="439">
        <v>3.2</v>
      </c>
      <c r="L41" s="1834">
        <v>21.5</v>
      </c>
      <c r="M41" s="439">
        <v>4.5</v>
      </c>
      <c r="N41" s="769">
        <f>AVERAGE('2.3'!G82:G83)</f>
        <v>517.48050000000001</v>
      </c>
      <c r="O41" s="3134">
        <f>N41*(B41/100)</f>
        <v>151.62178649999998</v>
      </c>
      <c r="P41" s="196">
        <f t="shared" ref="P41:P49" si="7">N41*(C41/100)</f>
        <v>32.083790999999998</v>
      </c>
      <c r="Q41" s="769">
        <f>AVERAGE('2.3'!B82:B83)</f>
        <v>1290.239</v>
      </c>
      <c r="R41" s="3134">
        <f>Q41*(D41/100)</f>
        <v>344.49381300000005</v>
      </c>
      <c r="S41" s="196">
        <f>Q41*(E41/100)</f>
        <v>49.029082000000002</v>
      </c>
      <c r="T41" s="769">
        <f>AVERAGE('2.3'!Q82:Q83)</f>
        <v>27308.5</v>
      </c>
      <c r="U41" s="3134">
        <f t="shared" ref="U41:U49" si="8">T41*(F41/100)</f>
        <v>8274.4755000000005</v>
      </c>
      <c r="V41" s="3137">
        <f>T41*(G41/100)</f>
        <v>1665.8184999999999</v>
      </c>
    </row>
    <row r="42" spans="1:22">
      <c r="A42" s="1872">
        <f>A40+1</f>
        <v>2017.1</v>
      </c>
      <c r="B42" s="1939">
        <v>26.9</v>
      </c>
      <c r="C42" s="439">
        <v>3.4</v>
      </c>
      <c r="D42" s="1834">
        <v>26.3</v>
      </c>
      <c r="E42" s="439">
        <v>7</v>
      </c>
      <c r="F42" s="1834">
        <v>28.6</v>
      </c>
      <c r="G42" s="439">
        <v>6.2</v>
      </c>
      <c r="H42" s="1834">
        <v>18.3</v>
      </c>
      <c r="I42" s="439">
        <v>2.4</v>
      </c>
      <c r="J42" s="1834">
        <v>19</v>
      </c>
      <c r="K42" s="439">
        <v>5.3</v>
      </c>
      <c r="L42" s="1834">
        <v>20.399999999999999</v>
      </c>
      <c r="M42" s="439">
        <v>4.5</v>
      </c>
      <c r="N42" s="769">
        <f>AVERAGE('2.3'!G84:G85)</f>
        <v>519.32600000000002</v>
      </c>
      <c r="O42" s="3134">
        <f>N42*(B42/100)</f>
        <v>139.69869399999999</v>
      </c>
      <c r="P42" s="196">
        <f>N42*(C42/100)</f>
        <v>17.657084000000001</v>
      </c>
      <c r="Q42" s="769">
        <f>AVERAGE('2.3'!B84:B85)</f>
        <v>1294.3355000000001</v>
      </c>
      <c r="R42" s="3134">
        <f>Q42*(D42/100)</f>
        <v>340.41023650000005</v>
      </c>
      <c r="S42" s="196">
        <f>Q42*(E42/100)</f>
        <v>90.60348500000002</v>
      </c>
      <c r="T42" s="769">
        <f>AVERAGE('2.3'!Q84:Q85)</f>
        <v>27451</v>
      </c>
      <c r="U42" s="3134">
        <f>T42*(F42/100)</f>
        <v>7850.9860000000008</v>
      </c>
      <c r="V42" s="206">
        <f>T42*(G42/100)</f>
        <v>1701.962</v>
      </c>
    </row>
    <row r="43" spans="1:22">
      <c r="A43" s="1872">
        <f t="shared" si="6"/>
        <v>2017.2</v>
      </c>
      <c r="B43" s="1939">
        <v>26.4</v>
      </c>
      <c r="C43" s="439">
        <v>3.1</v>
      </c>
      <c r="D43" s="1834">
        <v>19.8</v>
      </c>
      <c r="E43" s="439">
        <v>4.5999999999999996</v>
      </c>
      <c r="F43" s="1834">
        <v>25.7</v>
      </c>
      <c r="G43" s="439">
        <v>4.8</v>
      </c>
      <c r="H43" s="1834">
        <v>18.100000000000001</v>
      </c>
      <c r="I43" s="439">
        <v>2.2999999999999998</v>
      </c>
      <c r="J43" s="1834">
        <v>14.6</v>
      </c>
      <c r="K43" s="439">
        <v>4.5999999999999996</v>
      </c>
      <c r="L43" s="1834">
        <v>17.899999999999999</v>
      </c>
      <c r="M43" s="439">
        <v>3.5</v>
      </c>
      <c r="N43" s="769">
        <f>AVERAGE('2.3'!G86:G87)</f>
        <v>522.75150000000008</v>
      </c>
      <c r="O43" s="3134">
        <f t="shared" ref="O43:O49" si="9">N43*(B43/100)</f>
        <v>138.00639600000002</v>
      </c>
      <c r="P43" s="196">
        <f t="shared" si="7"/>
        <v>16.205296500000003</v>
      </c>
      <c r="Q43" s="769">
        <f>AVERAGE('2.3'!B86:B87)</f>
        <v>1298.9749999999999</v>
      </c>
      <c r="R43" s="3134">
        <f t="shared" ref="R43:R59" si="10">Q43*(D43/100)</f>
        <v>257.19704999999999</v>
      </c>
      <c r="S43" s="196">
        <f t="shared" ref="S43:S59" si="11">Q43*(E43/100)</f>
        <v>59.752849999999995</v>
      </c>
      <c r="T43" s="769">
        <f>AVERAGE('2.3'!Q86:Q87)</f>
        <v>27593.5</v>
      </c>
      <c r="U43" s="3134">
        <f t="shared" si="8"/>
        <v>7091.5295000000006</v>
      </c>
      <c r="V43" s="206">
        <f t="shared" ref="V43:V49" si="12">T43*(G43/100)</f>
        <v>1324.4880000000001</v>
      </c>
    </row>
    <row r="44" spans="1:22">
      <c r="A44" s="1872">
        <f t="shared" si="6"/>
        <v>2018.1</v>
      </c>
      <c r="B44" s="1939">
        <v>30.3</v>
      </c>
      <c r="C44" s="439">
        <v>3.5</v>
      </c>
      <c r="D44" s="1834">
        <v>24.9</v>
      </c>
      <c r="E44" s="439">
        <v>5</v>
      </c>
      <c r="F44" s="1834">
        <v>27.3</v>
      </c>
      <c r="G44" s="439">
        <v>4.9000000000000004</v>
      </c>
      <c r="H44" s="1834">
        <v>20.399999999999999</v>
      </c>
      <c r="I44" s="439">
        <v>2.2999999999999998</v>
      </c>
      <c r="J44" s="1834">
        <v>17.899999999999999</v>
      </c>
      <c r="K44" s="439">
        <v>4.3</v>
      </c>
      <c r="L44" s="1834">
        <v>19.600000000000001</v>
      </c>
      <c r="M44" s="439">
        <v>3.8</v>
      </c>
      <c r="N44" s="769">
        <f>AVERAGE('2.3'!G88:G89)</f>
        <v>524.49299999999994</v>
      </c>
      <c r="O44" s="3134">
        <f t="shared" si="9"/>
        <v>158.92137899999997</v>
      </c>
      <c r="P44" s="196">
        <f t="shared" si="7"/>
        <v>18.357254999999999</v>
      </c>
      <c r="Q44" s="769">
        <f>AVERAGE('2.3'!B88:B89)</f>
        <v>1302.8825000000002</v>
      </c>
      <c r="R44" s="3134">
        <f t="shared" si="10"/>
        <v>324.41774250000003</v>
      </c>
      <c r="S44" s="196">
        <f t="shared" si="11"/>
        <v>65.144125000000017</v>
      </c>
      <c r="T44" s="769">
        <f>AVERAGE('2.3'!Q88:Q89)</f>
        <v>27734</v>
      </c>
      <c r="U44" s="3134">
        <f t="shared" si="8"/>
        <v>7571.3820000000005</v>
      </c>
      <c r="V44" s="206">
        <f t="shared" si="12"/>
        <v>1358.9660000000001</v>
      </c>
    </row>
    <row r="45" spans="1:22">
      <c r="A45" s="1872">
        <f t="shared" si="6"/>
        <v>2018.2</v>
      </c>
      <c r="B45" s="1939">
        <v>34.4</v>
      </c>
      <c r="C45" s="439">
        <v>3.7</v>
      </c>
      <c r="D45" s="1834">
        <v>31.8</v>
      </c>
      <c r="E45" s="439">
        <v>6</v>
      </c>
      <c r="F45" s="1834">
        <v>32</v>
      </c>
      <c r="G45" s="439">
        <v>6.7</v>
      </c>
      <c r="H45" s="1834">
        <v>23.1</v>
      </c>
      <c r="I45" s="439">
        <v>2.4</v>
      </c>
      <c r="J45" s="1834">
        <v>23.5</v>
      </c>
      <c r="K45" s="439">
        <v>4.9000000000000004</v>
      </c>
      <c r="L45" s="1834">
        <v>23.4</v>
      </c>
      <c r="M45" s="439">
        <v>4.8</v>
      </c>
      <c r="N45" s="769">
        <f>AVERAGE('2.3'!G90:G91)</f>
        <v>526.46499999999992</v>
      </c>
      <c r="O45" s="3134">
        <f t="shared" si="9"/>
        <v>181.10395999999994</v>
      </c>
      <c r="P45" s="196">
        <f t="shared" si="7"/>
        <v>19.479205</v>
      </c>
      <c r="Q45" s="769">
        <f>AVERAGE('2.3'!B90:B91)</f>
        <v>1307.0484999999999</v>
      </c>
      <c r="R45" s="3134">
        <f t="shared" si="10"/>
        <v>415.64142299999997</v>
      </c>
      <c r="S45" s="196">
        <f t="shared" si="11"/>
        <v>78.422909999999987</v>
      </c>
      <c r="T45" s="769">
        <f>AVERAGE('2.3'!Q90:Q91)</f>
        <v>27878</v>
      </c>
      <c r="U45" s="3134">
        <f t="shared" si="8"/>
        <v>8920.9600000000009</v>
      </c>
      <c r="V45" s="206">
        <f t="shared" si="12"/>
        <v>1867.826</v>
      </c>
    </row>
    <row r="46" spans="1:22">
      <c r="A46" s="1872">
        <f t="shared" si="6"/>
        <v>2019.1</v>
      </c>
      <c r="B46" s="1939">
        <v>38.200000000000003</v>
      </c>
      <c r="C46" s="439">
        <v>5.9</v>
      </c>
      <c r="D46" s="1834">
        <v>35.5</v>
      </c>
      <c r="E46" s="439">
        <v>5.7</v>
      </c>
      <c r="F46" s="1834">
        <v>35.4</v>
      </c>
      <c r="G46" s="439">
        <v>7.7</v>
      </c>
      <c r="H46" s="1834">
        <v>26.2</v>
      </c>
      <c r="I46" s="439">
        <v>3.6</v>
      </c>
      <c r="J46" s="1834">
        <v>25.5</v>
      </c>
      <c r="K46" s="439">
        <v>4.4000000000000004</v>
      </c>
      <c r="L46" s="1834">
        <v>25.4</v>
      </c>
      <c r="M46" s="439">
        <v>5.5</v>
      </c>
      <c r="N46" s="769">
        <f>AVERAGE('2.3'!G92:G93)</f>
        <v>528.66399999999999</v>
      </c>
      <c r="O46" s="3134">
        <f t="shared" si="9"/>
        <v>201.949648</v>
      </c>
      <c r="P46" s="196">
        <f t="shared" si="7"/>
        <v>31.191176000000002</v>
      </c>
      <c r="Q46" s="769">
        <f>AVERAGE('2.3'!B92:B93)</f>
        <v>1310.9079999999999</v>
      </c>
      <c r="R46" s="3134">
        <f t="shared" si="10"/>
        <v>465.37233999999995</v>
      </c>
      <c r="S46" s="196">
        <f t="shared" si="11"/>
        <v>74.721755999999999</v>
      </c>
      <c r="T46" s="769">
        <f>AVERAGE('2.3'!Q92:Q93)</f>
        <v>28295.5</v>
      </c>
      <c r="U46" s="3134">
        <f t="shared" si="8"/>
        <v>10016.607</v>
      </c>
      <c r="V46" s="206">
        <f t="shared" si="12"/>
        <v>2178.7534999999998</v>
      </c>
    </row>
    <row r="47" spans="1:22">
      <c r="A47" s="1872">
        <f t="shared" si="6"/>
        <v>2019.2</v>
      </c>
      <c r="B47" s="1939">
        <v>34.4</v>
      </c>
      <c r="C47" s="439">
        <v>7</v>
      </c>
      <c r="D47" s="1834">
        <v>35</v>
      </c>
      <c r="E47" s="439">
        <v>7.3</v>
      </c>
      <c r="F47" s="1834">
        <v>35.5</v>
      </c>
      <c r="G47" s="439">
        <v>8</v>
      </c>
      <c r="H47" s="1834">
        <v>23</v>
      </c>
      <c r="I47" s="439">
        <v>4.2</v>
      </c>
      <c r="J47" s="1834">
        <v>25.5</v>
      </c>
      <c r="K47" s="439">
        <v>5.4</v>
      </c>
      <c r="L47" s="1834">
        <v>25.9</v>
      </c>
      <c r="M47" s="439">
        <v>5.7</v>
      </c>
      <c r="N47" s="769">
        <f>AVERAGE('2.3'!G94:G95)</f>
        <v>531.14400000000001</v>
      </c>
      <c r="O47" s="3134">
        <f t="shared" si="9"/>
        <v>182.71353599999998</v>
      </c>
      <c r="P47" s="196">
        <f t="shared" si="7"/>
        <v>37.180080000000004</v>
      </c>
      <c r="Q47" s="769">
        <f>AVERAGE('2.3'!B94:B95)</f>
        <v>1315.9915000000001</v>
      </c>
      <c r="R47" s="3134">
        <f t="shared" si="10"/>
        <v>460.59702499999997</v>
      </c>
      <c r="S47" s="196">
        <f t="shared" si="11"/>
        <v>96.067379500000001</v>
      </c>
      <c r="T47" s="769">
        <f>AVERAGE('2.3'!Q94:Q95)</f>
        <v>28228.859</v>
      </c>
      <c r="U47" s="3134">
        <f t="shared" si="8"/>
        <v>10021.244945</v>
      </c>
      <c r="V47" s="206">
        <f t="shared" si="12"/>
        <v>2258.30872</v>
      </c>
    </row>
    <row r="48" spans="1:22">
      <c r="A48" s="1872">
        <f t="shared" si="6"/>
        <v>2020.1</v>
      </c>
      <c r="B48" s="1939">
        <v>42.6</v>
      </c>
      <c r="C48" s="439">
        <v>10.9</v>
      </c>
      <c r="D48" s="1834">
        <v>41.8</v>
      </c>
      <c r="E48" s="439">
        <v>13.3</v>
      </c>
      <c r="F48" s="1834">
        <v>40.9</v>
      </c>
      <c r="G48" s="439">
        <v>10.5</v>
      </c>
      <c r="H48" s="1834">
        <v>30.4</v>
      </c>
      <c r="I48" s="439">
        <v>7.1</v>
      </c>
      <c r="J48" s="1834">
        <v>30.6</v>
      </c>
      <c r="K48" s="439">
        <v>9.6999999999999993</v>
      </c>
      <c r="L48" s="1834">
        <v>30.4</v>
      </c>
      <c r="M48" s="439">
        <v>8.1</v>
      </c>
      <c r="N48" s="769">
        <f>AVERAGE('2.3'!G96:G97)</f>
        <v>533.09050000000002</v>
      </c>
      <c r="O48" s="3134">
        <f t="shared" si="9"/>
        <v>227.096553</v>
      </c>
      <c r="P48" s="196">
        <f t="shared" si="7"/>
        <v>58.1068645</v>
      </c>
      <c r="Q48" s="769">
        <f>AVERAGE('2.3'!B96:B97)</f>
        <v>1320.2260000000001</v>
      </c>
      <c r="R48" s="3134">
        <f t="shared" si="10"/>
        <v>551.854468</v>
      </c>
      <c r="S48" s="196">
        <f t="shared" si="11"/>
        <v>175.59005800000003</v>
      </c>
      <c r="T48" s="769">
        <f>AVERAGE('2.3'!Q96:Q97)</f>
        <v>28571</v>
      </c>
      <c r="U48" s="3134">
        <f t="shared" si="8"/>
        <v>11685.538999999999</v>
      </c>
      <c r="V48" s="206">
        <f>T48*(G48/100)</f>
        <v>2999.9549999999999</v>
      </c>
    </row>
    <row r="49" spans="1:22">
      <c r="A49" s="1872">
        <f t="shared" si="6"/>
        <v>2020.2</v>
      </c>
      <c r="B49" s="1939">
        <v>39.799999999999997</v>
      </c>
      <c r="C49" s="439">
        <v>9.1</v>
      </c>
      <c r="D49" s="1834">
        <v>38.299999999999997</v>
      </c>
      <c r="E49" s="439">
        <v>7.4</v>
      </c>
      <c r="F49" s="1834">
        <v>42</v>
      </c>
      <c r="G49" s="439">
        <v>10.5</v>
      </c>
      <c r="H49" s="1834">
        <v>28</v>
      </c>
      <c r="I49" s="439">
        <v>6</v>
      </c>
      <c r="J49" s="1834">
        <v>29.1</v>
      </c>
      <c r="K49" s="439">
        <v>5.8</v>
      </c>
      <c r="L49" s="1834">
        <v>31.6</v>
      </c>
      <c r="M49" s="439">
        <v>7.8</v>
      </c>
      <c r="N49" s="769">
        <f>AVERAGE('2.3'!G98:G99)</f>
        <v>535.22149999999999</v>
      </c>
      <c r="O49" s="3134">
        <f t="shared" si="9"/>
        <v>213.01815699999997</v>
      </c>
      <c r="P49" s="196">
        <f t="shared" si="7"/>
        <v>48.705156500000001</v>
      </c>
      <c r="Q49" s="769">
        <f>AVERAGE('2.3'!B98:B99)</f>
        <v>1323.7849999999999</v>
      </c>
      <c r="R49" s="3134">
        <f t="shared" si="10"/>
        <v>507.0096549999999</v>
      </c>
      <c r="S49" s="196">
        <f t="shared" si="11"/>
        <v>97.960090000000008</v>
      </c>
      <c r="T49" s="769">
        <f>AVERAGE('2.3'!Q98:Q99)</f>
        <v>28623.076000000001</v>
      </c>
      <c r="U49" s="3134">
        <f t="shared" si="8"/>
        <v>12021.691919999999</v>
      </c>
      <c r="V49" s="206">
        <f t="shared" si="12"/>
        <v>3005.4229799999998</v>
      </c>
    </row>
    <row r="50" spans="1:22">
      <c r="A50" s="1872">
        <f t="shared" si="6"/>
        <v>2021.1</v>
      </c>
      <c r="B50" s="1939">
        <v>50.5</v>
      </c>
      <c r="C50" s="439">
        <v>10.4</v>
      </c>
      <c r="D50" s="1834">
        <v>39.4</v>
      </c>
      <c r="E50" s="439">
        <v>10.6</v>
      </c>
      <c r="F50" s="1834">
        <v>40.6</v>
      </c>
      <c r="G50" s="439">
        <v>10.7</v>
      </c>
      <c r="H50" s="1834">
        <v>36.799999999999997</v>
      </c>
      <c r="I50" s="439">
        <v>7.2</v>
      </c>
      <c r="J50" s="1834">
        <v>28.3</v>
      </c>
      <c r="K50" s="439">
        <v>7.9</v>
      </c>
      <c r="L50" s="1834">
        <v>31.2</v>
      </c>
      <c r="M50" s="439">
        <v>8.1999999999999993</v>
      </c>
      <c r="N50" s="769">
        <f>AVERAGE('2.3'!G100:G101)</f>
        <v>537.06750000000011</v>
      </c>
      <c r="O50" s="3134">
        <f t="shared" ref="O50:O59" si="13">N50*(B50/100)</f>
        <v>271.21908750000006</v>
      </c>
      <c r="P50" s="196">
        <f t="shared" ref="P50:P59" si="14">N50*(C50/100)</f>
        <v>55.855020000000017</v>
      </c>
      <c r="Q50" s="769">
        <f>AVERAGE('2.3'!B100:B101)</f>
        <v>1328.3585</v>
      </c>
      <c r="R50" s="3134">
        <f t="shared" si="10"/>
        <v>523.37324899999999</v>
      </c>
      <c r="S50" s="196">
        <f t="shared" si="11"/>
        <v>140.80600100000001</v>
      </c>
      <c r="T50" s="769">
        <f>AVERAGE('2.3'!Q100:Q101)</f>
        <v>28839.5</v>
      </c>
      <c r="U50" s="3134">
        <f t="shared" ref="U50:U59" si="15">T50*(F50/100)</f>
        <v>11708.837000000001</v>
      </c>
      <c r="V50" s="206">
        <f t="shared" ref="V50:V59" si="16">T50*(G50/100)</f>
        <v>3085.8265000000001</v>
      </c>
    </row>
    <row r="51" spans="1:22">
      <c r="A51" s="1872">
        <f t="shared" si="6"/>
        <v>2021.2</v>
      </c>
      <c r="B51" s="1939">
        <v>38.6</v>
      </c>
      <c r="C51" s="439">
        <v>8.8000000000000007</v>
      </c>
      <c r="D51" s="1834">
        <v>33</v>
      </c>
      <c r="E51" s="439">
        <v>7.2</v>
      </c>
      <c r="F51" s="1834">
        <v>37.299999999999997</v>
      </c>
      <c r="G51" s="439">
        <v>8.1999999999999993</v>
      </c>
      <c r="H51" s="1834">
        <v>27.9</v>
      </c>
      <c r="I51" s="439">
        <v>5.5</v>
      </c>
      <c r="J51" s="1834">
        <v>24.8</v>
      </c>
      <c r="K51" s="439">
        <v>5.6</v>
      </c>
      <c r="L51" s="1834">
        <v>27.9</v>
      </c>
      <c r="M51" s="439">
        <v>6.1</v>
      </c>
      <c r="N51" s="769">
        <f>AVERAGE('2.3'!G102:G103)</f>
        <v>539.29899999999998</v>
      </c>
      <c r="O51" s="3134">
        <f t="shared" si="13"/>
        <v>208.16941399999999</v>
      </c>
      <c r="P51" s="196">
        <f t="shared" si="14"/>
        <v>47.458311999999999</v>
      </c>
      <c r="Q51" s="769">
        <f>AVERAGE('2.3'!B102:B103)</f>
        <v>1331.7804999999998</v>
      </c>
      <c r="R51" s="3134">
        <f t="shared" si="10"/>
        <v>439.48756499999996</v>
      </c>
      <c r="S51" s="196">
        <f t="shared" si="11"/>
        <v>95.888195999999994</v>
      </c>
      <c r="T51" s="769">
        <f>AVERAGE('2.3'!Q102:Q103)</f>
        <v>28756.184000000001</v>
      </c>
      <c r="U51" s="3134">
        <f t="shared" si="15"/>
        <v>10726.056632</v>
      </c>
      <c r="V51" s="206">
        <f t="shared" si="16"/>
        <v>2358.0070879999998</v>
      </c>
    </row>
    <row r="52" spans="1:22">
      <c r="A52" s="1872">
        <f t="shared" si="6"/>
        <v>2022.1</v>
      </c>
      <c r="B52" s="1941">
        <v>39.1</v>
      </c>
      <c r="C52" s="439">
        <v>7.8</v>
      </c>
      <c r="D52" s="1834">
        <v>31.2</v>
      </c>
      <c r="E52" s="439">
        <v>3.6</v>
      </c>
      <c r="F52" s="1834">
        <v>36.5</v>
      </c>
      <c r="G52" s="439">
        <v>8.8000000000000007</v>
      </c>
      <c r="H52" s="1834">
        <v>27.8</v>
      </c>
      <c r="I52" s="439">
        <v>5.7</v>
      </c>
      <c r="J52" s="1834">
        <v>22.8</v>
      </c>
      <c r="K52" s="439">
        <v>3.7</v>
      </c>
      <c r="L52" s="1834">
        <v>27.7</v>
      </c>
      <c r="M52" s="439">
        <v>6.8</v>
      </c>
      <c r="N52" s="769">
        <f>AVERAGE('2.3'!G104:G105)</f>
        <v>541.48399999999992</v>
      </c>
      <c r="O52" s="3134">
        <f t="shared" si="13"/>
        <v>211.72024399999998</v>
      </c>
      <c r="P52" s="196">
        <f t="shared" si="14"/>
        <v>42.235751999999991</v>
      </c>
      <c r="Q52" s="769">
        <f>AVERAGE('2.3'!B104:B105)</f>
        <v>1335.9929999999999</v>
      </c>
      <c r="R52" s="3134">
        <f t="shared" si="10"/>
        <v>416.82981599999999</v>
      </c>
      <c r="S52" s="196">
        <f t="shared" si="11"/>
        <v>48.095748</v>
      </c>
      <c r="T52" s="769">
        <f>AVERAGE('2.3'!Q104:Q105)</f>
        <v>29105</v>
      </c>
      <c r="U52" s="3134">
        <f t="shared" si="15"/>
        <v>10623.324999999999</v>
      </c>
      <c r="V52" s="206">
        <f t="shared" si="16"/>
        <v>2561.2400000000002</v>
      </c>
    </row>
    <row r="53" spans="1:22">
      <c r="A53" s="1872">
        <f t="shared" si="6"/>
        <v>2022.2</v>
      </c>
      <c r="B53" s="1939">
        <v>39.5</v>
      </c>
      <c r="C53" s="439">
        <v>6</v>
      </c>
      <c r="D53" s="1834">
        <v>33.200000000000003</v>
      </c>
      <c r="E53" s="439">
        <v>6.3</v>
      </c>
      <c r="F53" s="1834">
        <v>39.200000000000003</v>
      </c>
      <c r="G53" s="439">
        <v>8.1</v>
      </c>
      <c r="H53" s="1834">
        <v>29.8</v>
      </c>
      <c r="I53" s="439">
        <v>4</v>
      </c>
      <c r="J53" s="1834">
        <v>24.6</v>
      </c>
      <c r="K53" s="439">
        <v>4.8</v>
      </c>
      <c r="L53" s="1834">
        <v>29.9</v>
      </c>
      <c r="M53" s="439">
        <v>6.2</v>
      </c>
      <c r="N53" s="769">
        <f>AVERAGE('2.3'!G106:G107)</f>
        <v>543.51900000000001</v>
      </c>
      <c r="O53" s="3134">
        <f t="shared" si="13"/>
        <v>214.69000500000001</v>
      </c>
      <c r="P53" s="196">
        <f t="shared" si="14"/>
        <v>32.611139999999999</v>
      </c>
      <c r="Q53" s="769">
        <f>AVERAGE('2.3'!B106:B107)</f>
        <v>1339.7649999999999</v>
      </c>
      <c r="R53" s="3134">
        <f t="shared" si="10"/>
        <v>444.80197999999996</v>
      </c>
      <c r="S53" s="196">
        <f t="shared" si="11"/>
        <v>84.405194999999992</v>
      </c>
      <c r="T53" s="769">
        <f>AVERAGE('2.3'!Q106:Q107)</f>
        <v>29236.660499999998</v>
      </c>
      <c r="U53" s="3134">
        <f t="shared" si="15"/>
        <v>11460.770915999999</v>
      </c>
      <c r="V53" s="206">
        <f t="shared" si="16"/>
        <v>2368.1695005000001</v>
      </c>
    </row>
    <row r="54" spans="1:22">
      <c r="A54" s="1872">
        <f t="shared" si="6"/>
        <v>2023.1</v>
      </c>
      <c r="B54" s="1939">
        <v>43</v>
      </c>
      <c r="C54" s="439">
        <v>10</v>
      </c>
      <c r="D54" s="1834">
        <v>33.5</v>
      </c>
      <c r="E54" s="439">
        <v>6.2</v>
      </c>
      <c r="F54" s="1834">
        <v>40.1</v>
      </c>
      <c r="G54" s="439">
        <v>9.3000000000000007</v>
      </c>
      <c r="H54" s="1834">
        <v>32.4</v>
      </c>
      <c r="I54" s="439">
        <v>6.6</v>
      </c>
      <c r="J54" s="1834">
        <v>24.4</v>
      </c>
      <c r="K54" s="439">
        <v>5.4</v>
      </c>
      <c r="L54" s="1834">
        <v>29.6</v>
      </c>
      <c r="M54" s="439">
        <v>6.8</v>
      </c>
      <c r="N54" s="769">
        <f>AVERAGE('2.3'!G108:G109)</f>
        <v>545.64449999999999</v>
      </c>
      <c r="O54" s="3134">
        <f>N54*(B54/100)</f>
        <v>234.62713499999998</v>
      </c>
      <c r="P54" s="196">
        <f t="shared" si="14"/>
        <v>54.564450000000001</v>
      </c>
      <c r="Q54" s="769">
        <f>AVERAGE('2.3'!B108:B109)</f>
        <v>1344.1224999999999</v>
      </c>
      <c r="R54" s="3134">
        <f t="shared" si="10"/>
        <v>450.28103750000002</v>
      </c>
      <c r="S54" s="196">
        <f t="shared" si="11"/>
        <v>83.335594999999998</v>
      </c>
      <c r="T54" s="769">
        <f>AVERAGE('2.3'!Q108:Q109)</f>
        <v>29367.077499999999</v>
      </c>
      <c r="U54" s="3134">
        <f t="shared" si="15"/>
        <v>11776.198077500001</v>
      </c>
      <c r="V54" s="206">
        <f t="shared" si="16"/>
        <v>2731.1382075000001</v>
      </c>
    </row>
    <row r="55" spans="1:22">
      <c r="A55" s="1872">
        <f t="shared" si="6"/>
        <v>2023.2</v>
      </c>
      <c r="B55" s="1939">
        <v>48.9</v>
      </c>
      <c r="C55" s="439">
        <v>15.3</v>
      </c>
      <c r="D55" s="1834">
        <v>36.6</v>
      </c>
      <c r="E55" s="439">
        <v>10.8</v>
      </c>
      <c r="F55" s="1834">
        <v>41.7</v>
      </c>
      <c r="G55" s="439">
        <v>11.9</v>
      </c>
      <c r="H55" s="1834">
        <v>36.200000000000003</v>
      </c>
      <c r="I55" s="439">
        <v>9.6</v>
      </c>
      <c r="J55" s="1834">
        <v>28.6</v>
      </c>
      <c r="K55" s="439">
        <v>8.6999999999999993</v>
      </c>
      <c r="L55" s="1834">
        <v>31.8</v>
      </c>
      <c r="M55" s="439">
        <v>8.6999999999999993</v>
      </c>
      <c r="N55" s="769">
        <f>AVERAGE('2.3'!G110:G111)</f>
        <v>547.82449999999994</v>
      </c>
      <c r="O55" s="3134">
        <f t="shared" si="13"/>
        <v>267.88618049999997</v>
      </c>
      <c r="P55" s="196">
        <f t="shared" si="14"/>
        <v>83.817148499999988</v>
      </c>
      <c r="Q55" s="769">
        <f>AVERAGE('2.3'!B110:B111)</f>
        <v>1347.9315000000001</v>
      </c>
      <c r="R55" s="3134">
        <f t="shared" si="10"/>
        <v>493.34292900000003</v>
      </c>
      <c r="S55" s="196">
        <f t="shared" si="11"/>
        <v>145.57660200000004</v>
      </c>
      <c r="T55" s="769">
        <f>AVERAGE('2.3'!Q110:Q111)</f>
        <v>29496.409500000002</v>
      </c>
      <c r="U55" s="3134">
        <f t="shared" si="15"/>
        <v>12300.002761500002</v>
      </c>
      <c r="V55" s="206">
        <f t="shared" si="16"/>
        <v>3510.0727305000005</v>
      </c>
    </row>
    <row r="56" spans="1:22">
      <c r="A56" s="1872">
        <f t="shared" si="6"/>
        <v>2024.1</v>
      </c>
      <c r="B56" s="1939">
        <v>59.8</v>
      </c>
      <c r="C56" s="439">
        <v>16.399999999999999</v>
      </c>
      <c r="D56" s="1834">
        <v>46.8</v>
      </c>
      <c r="E56" s="439">
        <v>18.2</v>
      </c>
      <c r="F56" s="1834">
        <v>52.9</v>
      </c>
      <c r="G56" s="439">
        <v>18.100000000000001</v>
      </c>
      <c r="H56" s="1834">
        <v>48.4</v>
      </c>
      <c r="I56" s="439">
        <v>12.1</v>
      </c>
      <c r="J56" s="1834">
        <v>37.1</v>
      </c>
      <c r="K56" s="439">
        <v>13.6</v>
      </c>
      <c r="L56" s="1834">
        <v>42.5</v>
      </c>
      <c r="M56" s="439">
        <v>13.6</v>
      </c>
      <c r="N56" s="769">
        <f>AVERAGE('2.3'!G112:G113)</f>
        <v>549.54099999999994</v>
      </c>
      <c r="O56" s="3134">
        <f t="shared" si="13"/>
        <v>328.62551799999994</v>
      </c>
      <c r="P56" s="196">
        <f t="shared" si="14"/>
        <v>90.124723999999972</v>
      </c>
      <c r="Q56" s="769">
        <f>AVERAGE('2.3'!B112:B113)</f>
        <v>1351.8910000000001</v>
      </c>
      <c r="R56" s="3134">
        <f t="shared" si="10"/>
        <v>632.68498799999998</v>
      </c>
      <c r="S56" s="196">
        <f t="shared" si="11"/>
        <v>246.044162</v>
      </c>
      <c r="T56" s="769">
        <f>AVERAGE('2.3'!Q112:Q113)</f>
        <v>29624.671000000002</v>
      </c>
      <c r="U56" s="3134">
        <f t="shared" si="15"/>
        <v>15671.450959000002</v>
      </c>
      <c r="V56" s="206">
        <f t="shared" si="16"/>
        <v>5362.0654510000013</v>
      </c>
    </row>
    <row r="57" spans="1:22">
      <c r="A57" s="1872">
        <f t="shared" si="6"/>
        <v>2024.2</v>
      </c>
      <c r="B57" s="1939">
        <v>43.4</v>
      </c>
      <c r="C57" s="439">
        <v>7.9</v>
      </c>
      <c r="D57" s="1834">
        <v>32.4</v>
      </c>
      <c r="E57" s="439">
        <v>8.5</v>
      </c>
      <c r="F57" s="1834">
        <v>38.1</v>
      </c>
      <c r="G57" s="439">
        <v>8.1999999999999993</v>
      </c>
      <c r="H57" s="1834">
        <v>31.2</v>
      </c>
      <c r="I57" s="439">
        <v>5</v>
      </c>
      <c r="J57" s="1834">
        <v>23.8</v>
      </c>
      <c r="K57" s="439">
        <v>6.4</v>
      </c>
      <c r="L57" s="1834">
        <v>28.6</v>
      </c>
      <c r="M57" s="439">
        <v>6.4</v>
      </c>
      <c r="N57" s="769">
        <f>AVERAGE('2.3'!G114:G115)</f>
        <v>551.46049999999991</v>
      </c>
      <c r="O57" s="3134">
        <f t="shared" si="13"/>
        <v>239.33385699999997</v>
      </c>
      <c r="P57" s="196">
        <f t="shared" si="14"/>
        <v>43.565379499999992</v>
      </c>
      <c r="Q57" s="769">
        <f>AVERAGE('2.3'!B114:B115)</f>
        <v>1355.53</v>
      </c>
      <c r="R57" s="3134">
        <f t="shared" si="10"/>
        <v>439.19172000000003</v>
      </c>
      <c r="S57" s="196">
        <f t="shared" si="11"/>
        <v>115.22005</v>
      </c>
      <c r="T57" s="769">
        <f>AVERAGE('2.3'!Q114:Q115)</f>
        <v>29752</v>
      </c>
      <c r="U57" s="3134">
        <f t="shared" si="15"/>
        <v>11335.512000000001</v>
      </c>
      <c r="V57" s="206">
        <f t="shared" si="16"/>
        <v>2439.6639999999998</v>
      </c>
    </row>
    <row r="58" spans="1:22">
      <c r="A58" s="1872">
        <f t="shared" si="6"/>
        <v>2025.1</v>
      </c>
      <c r="B58" s="1939" t="e">
        <v>#N/A</v>
      </c>
      <c r="C58" s="439" t="e">
        <v>#N/A</v>
      </c>
      <c r="D58" s="1834" t="e">
        <v>#N/A</v>
      </c>
      <c r="E58" s="439" t="e">
        <v>#N/A</v>
      </c>
      <c r="F58" s="1834" t="e">
        <v>#N/A</v>
      </c>
      <c r="G58" s="439" t="e">
        <v>#N/A</v>
      </c>
      <c r="H58" s="1834" t="e">
        <v>#N/A</v>
      </c>
      <c r="I58" s="439" t="e">
        <v>#N/A</v>
      </c>
      <c r="J58" s="1834" t="e">
        <v>#N/A</v>
      </c>
      <c r="K58" s="439" t="e">
        <v>#N/A</v>
      </c>
      <c r="L58" s="1834" t="e">
        <v>#N/A</v>
      </c>
      <c r="M58" s="439" t="e">
        <v>#N/A</v>
      </c>
      <c r="N58" s="769" t="e">
        <f>AVERAGE('2.3'!G116:G117)</f>
        <v>#N/A</v>
      </c>
      <c r="O58" s="3134" t="e">
        <f t="shared" si="13"/>
        <v>#N/A</v>
      </c>
      <c r="P58" s="196" t="e">
        <f t="shared" si="14"/>
        <v>#N/A</v>
      </c>
      <c r="Q58" s="769" t="e">
        <f>AVERAGE('2.3'!B116:B117)</f>
        <v>#N/A</v>
      </c>
      <c r="R58" s="3134" t="e">
        <f t="shared" si="10"/>
        <v>#N/A</v>
      </c>
      <c r="S58" s="196" t="e">
        <f t="shared" si="11"/>
        <v>#N/A</v>
      </c>
      <c r="T58" s="769" t="e">
        <f>AVERAGE('2.3'!Q116:Q117)</f>
        <v>#N/A</v>
      </c>
      <c r="U58" s="3134" t="e">
        <f t="shared" si="15"/>
        <v>#N/A</v>
      </c>
      <c r="V58" s="206" t="e">
        <f t="shared" si="16"/>
        <v>#N/A</v>
      </c>
    </row>
    <row r="59" spans="1:22">
      <c r="A59" s="1872">
        <f t="shared" si="6"/>
        <v>2025.2</v>
      </c>
      <c r="B59" s="1939" t="e">
        <v>#N/A</v>
      </c>
      <c r="C59" s="439" t="e">
        <v>#N/A</v>
      </c>
      <c r="D59" s="1834" t="e">
        <v>#N/A</v>
      </c>
      <c r="E59" s="439" t="e">
        <v>#N/A</v>
      </c>
      <c r="F59" s="1834" t="e">
        <v>#N/A</v>
      </c>
      <c r="G59" s="439" t="e">
        <v>#N/A</v>
      </c>
      <c r="H59" s="1834" t="e">
        <v>#N/A</v>
      </c>
      <c r="I59" s="439" t="e">
        <v>#N/A</v>
      </c>
      <c r="J59" s="1834" t="e">
        <v>#N/A</v>
      </c>
      <c r="K59" s="439" t="e">
        <v>#N/A</v>
      </c>
      <c r="L59" s="1834" t="e">
        <v>#N/A</v>
      </c>
      <c r="M59" s="439" t="e">
        <v>#N/A</v>
      </c>
      <c r="N59" s="769" t="e">
        <f>AVERAGE('2.3'!G118:G119)</f>
        <v>#N/A</v>
      </c>
      <c r="O59" s="3134" t="e">
        <f t="shared" si="13"/>
        <v>#N/A</v>
      </c>
      <c r="P59" s="196" t="e">
        <f t="shared" si="14"/>
        <v>#N/A</v>
      </c>
      <c r="Q59" s="769" t="e">
        <f>AVERAGE('2.3'!B118:B119)</f>
        <v>#N/A</v>
      </c>
      <c r="R59" s="3134" t="e">
        <f t="shared" si="10"/>
        <v>#N/A</v>
      </c>
      <c r="S59" s="196" t="e">
        <f t="shared" si="11"/>
        <v>#N/A</v>
      </c>
      <c r="T59" s="769" t="e">
        <f>AVERAGE('2.3'!Q118:Q119)</f>
        <v>#N/A</v>
      </c>
      <c r="U59" s="3134" t="e">
        <f t="shared" si="15"/>
        <v>#N/A</v>
      </c>
      <c r="V59" s="206" t="e">
        <f t="shared" si="16"/>
        <v>#N/A</v>
      </c>
    </row>
    <row r="60" spans="1:22">
      <c r="A60" s="1872">
        <f t="shared" si="6"/>
        <v>2026.1</v>
      </c>
      <c r="B60" s="1939" t="e">
        <v>#N/A</v>
      </c>
      <c r="C60" s="439" t="e">
        <v>#N/A</v>
      </c>
      <c r="D60" s="1834" t="e">
        <v>#N/A</v>
      </c>
      <c r="E60" s="439" t="e">
        <v>#N/A</v>
      </c>
      <c r="F60" s="1834" t="e">
        <v>#N/A</v>
      </c>
      <c r="G60" s="439" t="e">
        <v>#N/A</v>
      </c>
      <c r="H60" s="1834" t="e">
        <v>#N/A</v>
      </c>
      <c r="I60" s="439" t="e">
        <v>#N/A</v>
      </c>
      <c r="J60" s="1834" t="e">
        <v>#N/A</v>
      </c>
      <c r="K60" s="439" t="e">
        <v>#N/A</v>
      </c>
      <c r="L60" s="1834" t="e">
        <v>#N/A</v>
      </c>
      <c r="M60" s="439" t="e">
        <v>#N/A</v>
      </c>
      <c r="N60" s="769" t="e">
        <f>AVERAGE('2.3'!G120:G121)</f>
        <v>#N/A</v>
      </c>
      <c r="O60" s="3134" t="e">
        <f t="shared" ref="O60:O66" si="17">N60*(B60/100)</f>
        <v>#N/A</v>
      </c>
      <c r="P60" s="196" t="e">
        <f t="shared" ref="P60:P66" si="18">N60*(C60/100)</f>
        <v>#N/A</v>
      </c>
      <c r="Q60" s="769" t="e">
        <f>AVERAGE('2.3'!B120:B121)</f>
        <v>#N/A</v>
      </c>
      <c r="R60" s="3134" t="e">
        <f t="shared" ref="R60:R66" si="19">Q60*(D60/100)</f>
        <v>#N/A</v>
      </c>
      <c r="S60" s="196" t="e">
        <f t="shared" ref="S60:S66" si="20">Q60*(E60/100)</f>
        <v>#N/A</v>
      </c>
      <c r="T60" s="769" t="e">
        <f>AVERAGE('2.3'!Q120:Q121)</f>
        <v>#N/A</v>
      </c>
      <c r="U60" s="3134" t="e">
        <f t="shared" ref="U60:U66" si="21">T60*(F60/100)</f>
        <v>#N/A</v>
      </c>
      <c r="V60" s="206" t="e">
        <f t="shared" ref="V60:V66" si="22">T60*(G60/100)</f>
        <v>#N/A</v>
      </c>
    </row>
    <row r="61" spans="1:22">
      <c r="A61" s="1872">
        <f t="shared" si="6"/>
        <v>2026.2</v>
      </c>
      <c r="B61" s="1939" t="e">
        <v>#N/A</v>
      </c>
      <c r="C61" s="439" t="e">
        <v>#N/A</v>
      </c>
      <c r="D61" s="1834" t="e">
        <v>#N/A</v>
      </c>
      <c r="E61" s="439" t="e">
        <v>#N/A</v>
      </c>
      <c r="F61" s="1834" t="e">
        <v>#N/A</v>
      </c>
      <c r="G61" s="439" t="e">
        <v>#N/A</v>
      </c>
      <c r="H61" s="1834" t="e">
        <v>#N/A</v>
      </c>
      <c r="I61" s="439" t="e">
        <v>#N/A</v>
      </c>
      <c r="J61" s="1834" t="e">
        <v>#N/A</v>
      </c>
      <c r="K61" s="439" t="e">
        <v>#N/A</v>
      </c>
      <c r="L61" s="1834" t="e">
        <v>#N/A</v>
      </c>
      <c r="M61" s="439" t="e">
        <v>#N/A</v>
      </c>
      <c r="N61" s="769" t="e">
        <f>AVERAGE('2.3'!G122:G123)</f>
        <v>#N/A</v>
      </c>
      <c r="O61" s="3134" t="e">
        <f t="shared" si="17"/>
        <v>#N/A</v>
      </c>
      <c r="P61" s="196" t="e">
        <f t="shared" si="18"/>
        <v>#N/A</v>
      </c>
      <c r="Q61" s="769" t="e">
        <f>AVERAGE('2.3'!B122:B123)</f>
        <v>#N/A</v>
      </c>
      <c r="R61" s="3134" t="e">
        <f t="shared" si="19"/>
        <v>#N/A</v>
      </c>
      <c r="S61" s="196" t="e">
        <f t="shared" si="20"/>
        <v>#N/A</v>
      </c>
      <c r="T61" s="769" t="e">
        <f>AVERAGE('2.3'!Q122:Q123)</f>
        <v>#N/A</v>
      </c>
      <c r="U61" s="3134" t="e">
        <f t="shared" si="21"/>
        <v>#N/A</v>
      </c>
      <c r="V61" s="206" t="e">
        <f t="shared" si="22"/>
        <v>#N/A</v>
      </c>
    </row>
    <row r="62" spans="1:22">
      <c r="A62" s="1872">
        <f t="shared" si="6"/>
        <v>2027.1</v>
      </c>
      <c r="B62" s="1939" t="e">
        <v>#N/A</v>
      </c>
      <c r="C62" s="439" t="e">
        <v>#N/A</v>
      </c>
      <c r="D62" s="1834" t="e">
        <v>#N/A</v>
      </c>
      <c r="E62" s="439" t="e">
        <v>#N/A</v>
      </c>
      <c r="F62" s="1834" t="e">
        <v>#N/A</v>
      </c>
      <c r="G62" s="439" t="e">
        <v>#N/A</v>
      </c>
      <c r="H62" s="1834" t="e">
        <v>#N/A</v>
      </c>
      <c r="I62" s="439" t="e">
        <v>#N/A</v>
      </c>
      <c r="J62" s="1834" t="e">
        <v>#N/A</v>
      </c>
      <c r="K62" s="439" t="e">
        <v>#N/A</v>
      </c>
      <c r="L62" s="1834" t="e">
        <v>#N/A</v>
      </c>
      <c r="M62" s="439" t="e">
        <v>#N/A</v>
      </c>
      <c r="N62" s="769" t="e">
        <f>AVERAGE('2.3'!G124:G125)</f>
        <v>#N/A</v>
      </c>
      <c r="O62" s="3134" t="e">
        <f t="shared" si="17"/>
        <v>#N/A</v>
      </c>
      <c r="P62" s="196" t="e">
        <f t="shared" si="18"/>
        <v>#N/A</v>
      </c>
      <c r="Q62" s="769" t="e">
        <f>AVERAGE('2.3'!B124:B125)</f>
        <v>#N/A</v>
      </c>
      <c r="R62" s="3134" t="e">
        <f t="shared" si="19"/>
        <v>#N/A</v>
      </c>
      <c r="S62" s="196" t="e">
        <f t="shared" si="20"/>
        <v>#N/A</v>
      </c>
      <c r="T62" s="769" t="e">
        <f>AVERAGE('2.3'!Q124:Q125)</f>
        <v>#N/A</v>
      </c>
      <c r="U62" s="3134" t="e">
        <f t="shared" si="21"/>
        <v>#N/A</v>
      </c>
      <c r="V62" s="206" t="e">
        <f t="shared" si="22"/>
        <v>#N/A</v>
      </c>
    </row>
    <row r="63" spans="1:22">
      <c r="A63" s="1872">
        <f t="shared" si="6"/>
        <v>2027.2</v>
      </c>
      <c r="B63" s="1939" t="e">
        <v>#N/A</v>
      </c>
      <c r="C63" s="439" t="e">
        <v>#N/A</v>
      </c>
      <c r="D63" s="1834" t="e">
        <v>#N/A</v>
      </c>
      <c r="E63" s="439" t="e">
        <v>#N/A</v>
      </c>
      <c r="F63" s="1834" t="e">
        <v>#N/A</v>
      </c>
      <c r="G63" s="439" t="e">
        <v>#N/A</v>
      </c>
      <c r="H63" s="1834" t="e">
        <v>#N/A</v>
      </c>
      <c r="I63" s="439" t="e">
        <v>#N/A</v>
      </c>
      <c r="J63" s="1834" t="e">
        <v>#N/A</v>
      </c>
      <c r="K63" s="439" t="e">
        <v>#N/A</v>
      </c>
      <c r="L63" s="1834" t="e">
        <v>#N/A</v>
      </c>
      <c r="M63" s="439" t="e">
        <v>#N/A</v>
      </c>
      <c r="N63" s="769" t="e">
        <f>AVERAGE('2.3'!G126:G127)</f>
        <v>#N/A</v>
      </c>
      <c r="O63" s="3134" t="e">
        <f t="shared" si="17"/>
        <v>#N/A</v>
      </c>
      <c r="P63" s="196" t="e">
        <f t="shared" si="18"/>
        <v>#N/A</v>
      </c>
      <c r="Q63" s="769" t="e">
        <f>AVERAGE('2.3'!B126:B127)</f>
        <v>#N/A</v>
      </c>
      <c r="R63" s="3134" t="e">
        <f t="shared" si="19"/>
        <v>#N/A</v>
      </c>
      <c r="S63" s="196" t="e">
        <f t="shared" si="20"/>
        <v>#N/A</v>
      </c>
      <c r="T63" s="769" t="e">
        <f>AVERAGE('2.3'!Q126:Q127)</f>
        <v>#N/A</v>
      </c>
      <c r="U63" s="3134" t="e">
        <f t="shared" si="21"/>
        <v>#N/A</v>
      </c>
      <c r="V63" s="206" t="e">
        <f t="shared" si="22"/>
        <v>#N/A</v>
      </c>
    </row>
    <row r="64" spans="1:22">
      <c r="A64" s="1872">
        <f t="shared" si="6"/>
        <v>2028.1</v>
      </c>
      <c r="B64" s="1939" t="e">
        <v>#N/A</v>
      </c>
      <c r="C64" s="439" t="e">
        <v>#N/A</v>
      </c>
      <c r="D64" s="1834" t="e">
        <v>#N/A</v>
      </c>
      <c r="E64" s="439" t="e">
        <v>#N/A</v>
      </c>
      <c r="F64" s="1834" t="e">
        <v>#N/A</v>
      </c>
      <c r="G64" s="439" t="e">
        <v>#N/A</v>
      </c>
      <c r="H64" s="1834" t="e">
        <v>#N/A</v>
      </c>
      <c r="I64" s="439" t="e">
        <v>#N/A</v>
      </c>
      <c r="J64" s="1834" t="e">
        <v>#N/A</v>
      </c>
      <c r="K64" s="439" t="e">
        <v>#N/A</v>
      </c>
      <c r="L64" s="1834" t="e">
        <v>#N/A</v>
      </c>
      <c r="M64" s="439" t="e">
        <v>#N/A</v>
      </c>
      <c r="N64" s="769" t="e">
        <f>AVERAGE('2.3'!G128:G129)</f>
        <v>#N/A</v>
      </c>
      <c r="O64" s="3134" t="e">
        <f t="shared" si="17"/>
        <v>#N/A</v>
      </c>
      <c r="P64" s="196" t="e">
        <f t="shared" si="18"/>
        <v>#N/A</v>
      </c>
      <c r="Q64" s="769" t="e">
        <f>AVERAGE('2.3'!B128:B129)</f>
        <v>#N/A</v>
      </c>
      <c r="R64" s="3134" t="e">
        <f t="shared" si="19"/>
        <v>#N/A</v>
      </c>
      <c r="S64" s="196" t="e">
        <f t="shared" si="20"/>
        <v>#N/A</v>
      </c>
      <c r="T64" s="769" t="e">
        <f>AVERAGE('2.3'!Q128:Q129)</f>
        <v>#N/A</v>
      </c>
      <c r="U64" s="3134" t="e">
        <f t="shared" si="21"/>
        <v>#N/A</v>
      </c>
      <c r="V64" s="206" t="e">
        <f t="shared" si="22"/>
        <v>#N/A</v>
      </c>
    </row>
    <row r="65" spans="1:22">
      <c r="A65" s="1872">
        <f t="shared" si="6"/>
        <v>2028.2</v>
      </c>
      <c r="B65" s="1939" t="e">
        <v>#N/A</v>
      </c>
      <c r="C65" s="439" t="e">
        <v>#N/A</v>
      </c>
      <c r="D65" s="1834" t="e">
        <v>#N/A</v>
      </c>
      <c r="E65" s="439" t="e">
        <v>#N/A</v>
      </c>
      <c r="F65" s="1834" t="e">
        <v>#N/A</v>
      </c>
      <c r="G65" s="439" t="e">
        <v>#N/A</v>
      </c>
      <c r="H65" s="1834" t="e">
        <v>#N/A</v>
      </c>
      <c r="I65" s="439" t="e">
        <v>#N/A</v>
      </c>
      <c r="J65" s="1834" t="e">
        <v>#N/A</v>
      </c>
      <c r="K65" s="439" t="e">
        <v>#N/A</v>
      </c>
      <c r="L65" s="1834" t="e">
        <v>#N/A</v>
      </c>
      <c r="M65" s="439" t="e">
        <v>#N/A</v>
      </c>
      <c r="N65" s="769" t="e">
        <f>AVERAGE('2.3'!G130:G131)</f>
        <v>#N/A</v>
      </c>
      <c r="O65" s="3134" t="e">
        <f t="shared" si="17"/>
        <v>#N/A</v>
      </c>
      <c r="P65" s="196" t="e">
        <f t="shared" si="18"/>
        <v>#N/A</v>
      </c>
      <c r="Q65" s="769" t="e">
        <f>AVERAGE('2.3'!B130:B131)</f>
        <v>#N/A</v>
      </c>
      <c r="R65" s="3134" t="e">
        <f t="shared" si="19"/>
        <v>#N/A</v>
      </c>
      <c r="S65" s="196" t="e">
        <f t="shared" si="20"/>
        <v>#N/A</v>
      </c>
      <c r="T65" s="769" t="e">
        <f>AVERAGE('2.3'!Q130:Q131)</f>
        <v>#N/A</v>
      </c>
      <c r="U65" s="3134" t="e">
        <f t="shared" si="21"/>
        <v>#N/A</v>
      </c>
      <c r="V65" s="206" t="e">
        <f t="shared" si="22"/>
        <v>#N/A</v>
      </c>
    </row>
    <row r="66" spans="1:22">
      <c r="A66" s="1872">
        <f t="shared" si="6"/>
        <v>2029.1</v>
      </c>
      <c r="B66" s="1939" t="e">
        <v>#N/A</v>
      </c>
      <c r="C66" s="439" t="e">
        <v>#N/A</v>
      </c>
      <c r="D66" s="1834" t="e">
        <v>#N/A</v>
      </c>
      <c r="E66" s="439" t="e">
        <v>#N/A</v>
      </c>
      <c r="F66" s="1834" t="e">
        <v>#N/A</v>
      </c>
      <c r="G66" s="439" t="e">
        <v>#N/A</v>
      </c>
      <c r="H66" s="1834" t="e">
        <v>#N/A</v>
      </c>
      <c r="I66" s="439" t="e">
        <v>#N/A</v>
      </c>
      <c r="J66" s="1834" t="e">
        <v>#N/A</v>
      </c>
      <c r="K66" s="439" t="e">
        <v>#N/A</v>
      </c>
      <c r="L66" s="1834" t="e">
        <v>#N/A</v>
      </c>
      <c r="M66" s="439" t="e">
        <v>#N/A</v>
      </c>
      <c r="N66" s="769" t="e">
        <f>AVERAGE('2.3'!G132:G133)</f>
        <v>#N/A</v>
      </c>
      <c r="O66" s="3134" t="e">
        <f t="shared" si="17"/>
        <v>#N/A</v>
      </c>
      <c r="P66" s="196" t="e">
        <f t="shared" si="18"/>
        <v>#N/A</v>
      </c>
      <c r="Q66" s="769" t="e">
        <f>AVERAGE('2.3'!B132:B133)</f>
        <v>#N/A</v>
      </c>
      <c r="R66" s="3134" t="e">
        <f t="shared" si="19"/>
        <v>#N/A</v>
      </c>
      <c r="S66" s="196" t="e">
        <f t="shared" si="20"/>
        <v>#N/A</v>
      </c>
      <c r="T66" s="769" t="e">
        <f>AVERAGE('2.3'!Q132:Q133)</f>
        <v>#N/A</v>
      </c>
      <c r="U66" s="3134" t="e">
        <f t="shared" si="21"/>
        <v>#N/A</v>
      </c>
      <c r="V66" s="206" t="e">
        <f t="shared" si="22"/>
        <v>#N/A</v>
      </c>
    </row>
    <row r="67" spans="1:22">
      <c r="A67" s="1872">
        <f t="shared" si="6"/>
        <v>2029.2</v>
      </c>
      <c r="B67" s="1939" t="e">
        <v>#N/A</v>
      </c>
      <c r="C67" s="439" t="e">
        <v>#N/A</v>
      </c>
      <c r="D67" s="1834" t="e">
        <v>#N/A</v>
      </c>
      <c r="E67" s="439" t="e">
        <v>#N/A</v>
      </c>
      <c r="F67" s="1834" t="e">
        <v>#N/A</v>
      </c>
      <c r="G67" s="439" t="e">
        <v>#N/A</v>
      </c>
      <c r="H67" s="1834" t="e">
        <v>#N/A</v>
      </c>
      <c r="I67" s="439" t="e">
        <v>#N/A</v>
      </c>
      <c r="J67" s="1834" t="e">
        <v>#N/A</v>
      </c>
      <c r="K67" s="439" t="e">
        <v>#N/A</v>
      </c>
      <c r="L67" s="1834" t="e">
        <v>#N/A</v>
      </c>
      <c r="M67" s="439" t="e">
        <v>#N/A</v>
      </c>
      <c r="N67" s="769" t="e">
        <f>AVERAGE('2.3'!G134:G135)</f>
        <v>#N/A</v>
      </c>
      <c r="O67" s="3134" t="e">
        <f t="shared" ref="O67:O69" si="23">N67*(B67/100)</f>
        <v>#N/A</v>
      </c>
      <c r="P67" s="196" t="e">
        <f t="shared" ref="P67:P69" si="24">N67*(C67/100)</f>
        <v>#N/A</v>
      </c>
      <c r="Q67" s="769" t="e">
        <f>AVERAGE('2.3'!B134:B135)</f>
        <v>#N/A</v>
      </c>
      <c r="R67" s="3134" t="e">
        <f t="shared" ref="R67:R69" si="25">Q67*(D67/100)</f>
        <v>#N/A</v>
      </c>
      <c r="S67" s="196" t="e">
        <f t="shared" ref="S67:S69" si="26">Q67*(E67/100)</f>
        <v>#N/A</v>
      </c>
      <c r="T67" s="769" t="e">
        <f>AVERAGE('2.3'!Q134:Q135)</f>
        <v>#N/A</v>
      </c>
      <c r="U67" s="3134" t="e">
        <f t="shared" ref="U67:U69" si="27">T67*(F67/100)</f>
        <v>#N/A</v>
      </c>
      <c r="V67" s="206" t="e">
        <f t="shared" ref="V67:V69" si="28">T67*(G67/100)</f>
        <v>#N/A</v>
      </c>
    </row>
    <row r="68" spans="1:22">
      <c r="A68" s="1872">
        <f t="shared" si="6"/>
        <v>2030.1</v>
      </c>
      <c r="B68" s="1939" t="e">
        <v>#N/A</v>
      </c>
      <c r="C68" s="439" t="e">
        <v>#N/A</v>
      </c>
      <c r="D68" s="1834" t="e">
        <v>#N/A</v>
      </c>
      <c r="E68" s="439" t="e">
        <v>#N/A</v>
      </c>
      <c r="F68" s="1834" t="e">
        <v>#N/A</v>
      </c>
      <c r="G68" s="439" t="e">
        <v>#N/A</v>
      </c>
      <c r="H68" s="1834" t="e">
        <v>#N/A</v>
      </c>
      <c r="I68" s="439" t="e">
        <v>#N/A</v>
      </c>
      <c r="J68" s="1834" t="e">
        <v>#N/A</v>
      </c>
      <c r="K68" s="439" t="e">
        <v>#N/A</v>
      </c>
      <c r="L68" s="1834" t="e">
        <v>#N/A</v>
      </c>
      <c r="M68" s="439" t="e">
        <v>#N/A</v>
      </c>
      <c r="N68" s="769" t="e">
        <f>AVERAGE('2.3'!G136:G137)</f>
        <v>#N/A</v>
      </c>
      <c r="O68" s="3134" t="e">
        <f t="shared" si="23"/>
        <v>#N/A</v>
      </c>
      <c r="P68" s="196" t="e">
        <f t="shared" si="24"/>
        <v>#N/A</v>
      </c>
      <c r="Q68" s="769" t="e">
        <f>AVERAGE('2.3'!B136:B137)</f>
        <v>#N/A</v>
      </c>
      <c r="R68" s="3134" t="e">
        <f t="shared" si="25"/>
        <v>#N/A</v>
      </c>
      <c r="S68" s="196" t="e">
        <f t="shared" si="26"/>
        <v>#N/A</v>
      </c>
      <c r="T68" s="769" t="e">
        <f>AVERAGE('2.3'!Q136:Q137)</f>
        <v>#N/A</v>
      </c>
      <c r="U68" s="3134" t="e">
        <f t="shared" si="27"/>
        <v>#N/A</v>
      </c>
      <c r="V68" s="206" t="e">
        <f t="shared" si="28"/>
        <v>#N/A</v>
      </c>
    </row>
    <row r="69" spans="1:22">
      <c r="A69" s="1872">
        <f t="shared" si="6"/>
        <v>2030.2</v>
      </c>
      <c r="B69" s="1939" t="e">
        <v>#N/A</v>
      </c>
      <c r="C69" s="439" t="e">
        <v>#N/A</v>
      </c>
      <c r="D69" s="1834" t="e">
        <v>#N/A</v>
      </c>
      <c r="E69" s="439" t="e">
        <v>#N/A</v>
      </c>
      <c r="F69" s="1834" t="e">
        <v>#N/A</v>
      </c>
      <c r="G69" s="439" t="e">
        <v>#N/A</v>
      </c>
      <c r="H69" s="1834" t="e">
        <v>#N/A</v>
      </c>
      <c r="I69" s="439" t="e">
        <v>#N/A</v>
      </c>
      <c r="J69" s="1834" t="e">
        <v>#N/A</v>
      </c>
      <c r="K69" s="439" t="e">
        <v>#N/A</v>
      </c>
      <c r="L69" s="1834" t="e">
        <v>#N/A</v>
      </c>
      <c r="M69" s="439" t="e">
        <v>#N/A</v>
      </c>
      <c r="N69" s="769" t="e">
        <f>AVERAGE('2.3'!G138:G139)</f>
        <v>#N/A</v>
      </c>
      <c r="O69" s="3134" t="e">
        <f t="shared" si="23"/>
        <v>#N/A</v>
      </c>
      <c r="P69" s="196" t="e">
        <f t="shared" si="24"/>
        <v>#N/A</v>
      </c>
      <c r="Q69" s="769" t="e">
        <f>AVERAGE('2.3'!B138:B139)</f>
        <v>#N/A</v>
      </c>
      <c r="R69" s="3134" t="e">
        <f t="shared" si="25"/>
        <v>#N/A</v>
      </c>
      <c r="S69" s="196" t="e">
        <f t="shared" si="26"/>
        <v>#N/A</v>
      </c>
      <c r="T69" s="769" t="e">
        <f>AVERAGE('2.3'!Q138:Q139)</f>
        <v>#N/A</v>
      </c>
      <c r="U69" s="3134" t="e">
        <f t="shared" si="27"/>
        <v>#N/A</v>
      </c>
      <c r="V69" s="206" t="e">
        <f t="shared" si="28"/>
        <v>#N/A</v>
      </c>
    </row>
    <row r="71" spans="1:22">
      <c r="A71" s="62"/>
      <c r="B71" s="1429"/>
      <c r="C71" s="62"/>
      <c r="D71" s="62"/>
      <c r="E71" s="62"/>
      <c r="F71" s="62"/>
      <c r="G71" s="62"/>
      <c r="H71" s="62"/>
      <c r="I71" s="62"/>
      <c r="J71" s="62"/>
      <c r="K71" s="62"/>
      <c r="L71" s="62"/>
      <c r="M71" s="62"/>
      <c r="N71" s="62"/>
      <c r="O71" s="62"/>
      <c r="P71" s="62"/>
      <c r="Q71" s="62"/>
      <c r="R71" s="62"/>
      <c r="S71" s="62"/>
      <c r="T71" s="62"/>
      <c r="U71" s="62"/>
      <c r="V71" s="62"/>
    </row>
  </sheetData>
  <mergeCells count="26">
    <mergeCell ref="H6:I6"/>
    <mergeCell ref="J5:K5"/>
    <mergeCell ref="L5:M5"/>
    <mergeCell ref="N5:P5"/>
    <mergeCell ref="B5:C5"/>
    <mergeCell ref="D5:E5"/>
    <mergeCell ref="F5:G5"/>
    <mergeCell ref="H5:I5"/>
    <mergeCell ref="J6:K6"/>
    <mergeCell ref="L6:M6"/>
    <mergeCell ref="D7:E7"/>
    <mergeCell ref="F6:G6"/>
    <mergeCell ref="F7:G7"/>
    <mergeCell ref="B6:C6"/>
    <mergeCell ref="D6:E6"/>
    <mergeCell ref="J7:K7"/>
    <mergeCell ref="L7:M7"/>
    <mergeCell ref="T6:V6"/>
    <mergeCell ref="T7:V7"/>
    <mergeCell ref="N1:V1"/>
    <mergeCell ref="N6:P6"/>
    <mergeCell ref="N7:P7"/>
    <mergeCell ref="Q6:S6"/>
    <mergeCell ref="Q7:S7"/>
    <mergeCell ref="Q5:S5"/>
    <mergeCell ref="T5:V5"/>
  </mergeCells>
  <phoneticPr fontId="62" type="noConversion"/>
  <hyperlinks>
    <hyperlink ref="A5" location="INDICE!A13" display="VOLVER AL INDICE" xr:uid="{00000000-0004-0000-1300-000000000000}"/>
  </hyperlinks>
  <pageMargins left="0.75" right="0.75" top="1" bottom="1"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8"/>
  <dimension ref="A1:G963"/>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5703125" defaultRowHeight="12.75"/>
  <cols>
    <col min="1" max="1" width="9.7109375" style="24" bestFit="1" customWidth="1"/>
    <col min="2" max="2" width="14.5703125" style="24" bestFit="1" customWidth="1"/>
    <col min="3" max="3" width="15.5703125" style="24" customWidth="1"/>
    <col min="4" max="4" width="15.5703125" style="121" customWidth="1"/>
    <col min="5" max="5" width="11.5703125" style="347"/>
    <col min="6" max="6" width="14" style="347" bestFit="1" customWidth="1"/>
    <col min="7" max="7" width="11.5703125" style="347"/>
    <col min="8" max="8" width="12.28515625" style="347" bestFit="1" customWidth="1"/>
    <col min="9" max="16384" width="11.5703125" style="347"/>
  </cols>
  <sheetData>
    <row r="1" spans="1:4" ht="5.0999999999999996" customHeight="1">
      <c r="A1" s="34"/>
      <c r="B1" s="2387"/>
      <c r="C1" s="78"/>
      <c r="D1" s="120"/>
    </row>
    <row r="2" spans="1:4">
      <c r="A2" s="36" t="s">
        <v>105</v>
      </c>
      <c r="B2" s="1709" t="s">
        <v>681</v>
      </c>
      <c r="C2" s="1788"/>
      <c r="D2" s="1789"/>
    </row>
    <row r="3" spans="1:4" ht="33.75">
      <c r="A3" s="36" t="s">
        <v>212</v>
      </c>
      <c r="B3" s="1709" t="s">
        <v>682</v>
      </c>
      <c r="C3" s="1788"/>
      <c r="D3" s="1789"/>
    </row>
    <row r="4" spans="1:4" ht="4.1500000000000004" hidden="1" customHeight="1">
      <c r="A4" s="458"/>
      <c r="B4" s="78"/>
      <c r="C4" s="78"/>
      <c r="D4" s="120"/>
    </row>
    <row r="5" spans="1:4" ht="45">
      <c r="A5" s="2390" t="s">
        <v>137</v>
      </c>
      <c r="B5" s="5" t="s">
        <v>683</v>
      </c>
      <c r="C5" s="1942" t="s">
        <v>684</v>
      </c>
      <c r="D5" s="1828" t="s">
        <v>685</v>
      </c>
    </row>
    <row r="6" spans="1:4" ht="2.4500000000000002" hidden="1" customHeight="1">
      <c r="A6" s="1943"/>
      <c r="B6" s="78"/>
      <c r="C6" s="78"/>
      <c r="D6" s="120"/>
    </row>
    <row r="7" spans="1:4" ht="22.5">
      <c r="A7" s="1944" t="s">
        <v>123</v>
      </c>
      <c r="B7" s="5" t="s">
        <v>440</v>
      </c>
      <c r="C7" s="5" t="s">
        <v>440</v>
      </c>
      <c r="D7" s="1945" t="s">
        <v>124</v>
      </c>
    </row>
    <row r="8" spans="1:4" ht="13.5" thickBot="1">
      <c r="A8" s="459" t="s">
        <v>141</v>
      </c>
      <c r="B8" s="456" t="s">
        <v>686</v>
      </c>
      <c r="C8" s="1860" t="s">
        <v>687</v>
      </c>
      <c r="D8" s="1760" t="s">
        <v>688</v>
      </c>
    </row>
    <row r="9" spans="1:4" ht="13.5" hidden="1" thickBot="1">
      <c r="A9" s="460"/>
      <c r="B9" s="1946"/>
      <c r="C9" s="580"/>
      <c r="D9" s="1795"/>
    </row>
    <row r="10" spans="1:4">
      <c r="A10" s="2763">
        <v>1810</v>
      </c>
      <c r="B10" s="205">
        <v>618003.40760920069</v>
      </c>
      <c r="C10" s="2764"/>
      <c r="D10" s="2765"/>
    </row>
    <row r="11" spans="1:4">
      <c r="A11" s="2578">
        <f>A10+1</f>
        <v>1811</v>
      </c>
      <c r="B11" s="169">
        <v>626934.03121566621</v>
      </c>
      <c r="C11" s="1947"/>
      <c r="D11" s="1948"/>
    </row>
    <row r="12" spans="1:4">
      <c r="A12" s="2578">
        <f t="shared" ref="A12:A75" si="0">A11+1</f>
        <v>1812</v>
      </c>
      <c r="B12" s="169">
        <v>635993.70918820531</v>
      </c>
      <c r="C12" s="1947"/>
      <c r="D12" s="1948"/>
    </row>
    <row r="13" spans="1:4">
      <c r="A13" s="2578">
        <f t="shared" si="0"/>
        <v>1813</v>
      </c>
      <c r="B13" s="169">
        <v>645184.30646146729</v>
      </c>
      <c r="C13" s="1947"/>
      <c r="D13" s="1948"/>
    </row>
    <row r="14" spans="1:4">
      <c r="A14" s="2578">
        <f t="shared" si="0"/>
        <v>1814</v>
      </c>
      <c r="B14" s="169">
        <v>654507.71491983847</v>
      </c>
      <c r="C14" s="1947"/>
      <c r="D14" s="1948"/>
    </row>
    <row r="15" spans="1:4">
      <c r="A15" s="2578">
        <f t="shared" si="0"/>
        <v>1815</v>
      </c>
      <c r="B15" s="169">
        <v>663965.85378688679</v>
      </c>
      <c r="C15" s="1947"/>
      <c r="D15" s="1948"/>
    </row>
    <row r="16" spans="1:4">
      <c r="A16" s="2578">
        <f t="shared" si="0"/>
        <v>1816</v>
      </c>
      <c r="B16" s="169">
        <v>673560.67002043384</v>
      </c>
      <c r="C16" s="1947"/>
      <c r="D16" s="1948"/>
    </row>
    <row r="17" spans="1:4">
      <c r="A17" s="2578">
        <f t="shared" si="0"/>
        <v>1817</v>
      </c>
      <c r="B17" s="169">
        <v>683294.13871333632</v>
      </c>
      <c r="C17" s="1947"/>
      <c r="D17" s="1948"/>
    </row>
    <row r="18" spans="1:4">
      <c r="A18" s="2578">
        <f t="shared" si="0"/>
        <v>1818</v>
      </c>
      <c r="B18" s="169">
        <v>693168.26350005856</v>
      </c>
      <c r="C18" s="1947"/>
      <c r="D18" s="1948"/>
    </row>
    <row r="19" spans="1:4">
      <c r="A19" s="2578">
        <f t="shared" si="0"/>
        <v>1819</v>
      </c>
      <c r="B19" s="169">
        <v>703185.076969121</v>
      </c>
      <c r="C19" s="1947"/>
      <c r="D19" s="1948"/>
    </row>
    <row r="20" spans="1:4">
      <c r="A20" s="2578">
        <f t="shared" si="0"/>
        <v>1820</v>
      </c>
      <c r="B20" s="169">
        <v>713346.64108150825</v>
      </c>
      <c r="C20" s="1947"/>
      <c r="D20" s="1948"/>
    </row>
    <row r="21" spans="1:4">
      <c r="A21" s="2578">
        <f t="shared" si="0"/>
        <v>1821</v>
      </c>
      <c r="B21" s="169">
        <v>723655.04759512388</v>
      </c>
      <c r="C21" s="1947"/>
      <c r="D21" s="1948"/>
    </row>
    <row r="22" spans="1:4">
      <c r="A22" s="2578">
        <f t="shared" si="0"/>
        <v>1822</v>
      </c>
      <c r="B22" s="169">
        <v>734112.41849537892</v>
      </c>
      <c r="C22" s="1947"/>
      <c r="D22" s="1948"/>
    </row>
    <row r="23" spans="1:4">
      <c r="A23" s="2578">
        <f t="shared" si="0"/>
        <v>1823</v>
      </c>
      <c r="B23" s="169">
        <v>744720.9064320022</v>
      </c>
      <c r="C23" s="1947"/>
      <c r="D23" s="1948"/>
    </row>
    <row r="24" spans="1:4">
      <c r="A24" s="2578">
        <f t="shared" si="0"/>
        <v>1824</v>
      </c>
      <c r="B24" s="225">
        <v>755482.69516216358</v>
      </c>
      <c r="C24" s="1949"/>
      <c r="D24" s="1950"/>
    </row>
    <row r="25" spans="1:4">
      <c r="A25" s="2578">
        <f t="shared" si="0"/>
        <v>1825</v>
      </c>
      <c r="B25" s="225">
        <v>766400</v>
      </c>
      <c r="C25" s="1949"/>
      <c r="D25" s="1950"/>
    </row>
    <row r="26" spans="1:4">
      <c r="A26" s="2578">
        <f t="shared" si="0"/>
        <v>1826</v>
      </c>
      <c r="B26" s="225">
        <v>776843.96063977352</v>
      </c>
      <c r="C26" s="1949"/>
      <c r="D26" s="1950"/>
    </row>
    <row r="27" spans="1:4">
      <c r="A27" s="2578">
        <f t="shared" si="0"/>
        <v>1827</v>
      </c>
      <c r="B27" s="225">
        <v>787430.24423602549</v>
      </c>
      <c r="C27" s="1949"/>
      <c r="D27" s="1950"/>
    </row>
    <row r="28" spans="1:4">
      <c r="A28" s="2578">
        <f t="shared" si="0"/>
        <v>1828</v>
      </c>
      <c r="B28" s="225">
        <v>798160.7902659945</v>
      </c>
      <c r="C28" s="1949"/>
      <c r="D28" s="1950"/>
    </row>
    <row r="29" spans="1:4">
      <c r="A29" s="2578">
        <f t="shared" si="0"/>
        <v>1829</v>
      </c>
      <c r="B29" s="225">
        <v>809037.56463675201</v>
      </c>
      <c r="C29" s="1949"/>
      <c r="D29" s="1950"/>
    </row>
    <row r="30" spans="1:4">
      <c r="A30" s="2578">
        <f t="shared" si="0"/>
        <v>1830</v>
      </c>
      <c r="B30" s="225">
        <v>820062.56004536955</v>
      </c>
      <c r="C30" s="1949"/>
      <c r="D30" s="1950"/>
    </row>
    <row r="31" spans="1:4">
      <c r="A31" s="2578">
        <f t="shared" si="0"/>
        <v>1831</v>
      </c>
      <c r="B31" s="225">
        <v>831237.79634399398</v>
      </c>
      <c r="C31" s="1949"/>
      <c r="D31" s="1950"/>
    </row>
    <row r="32" spans="1:4">
      <c r="A32" s="2578">
        <f t="shared" si="0"/>
        <v>1832</v>
      </c>
      <c r="B32" s="225">
        <v>842565.32090989791</v>
      </c>
      <c r="C32" s="1949"/>
      <c r="D32" s="1950"/>
    </row>
    <row r="33" spans="1:4">
      <c r="A33" s="2578">
        <f t="shared" si="0"/>
        <v>1833</v>
      </c>
      <c r="B33" s="225">
        <v>854047.2090205726</v>
      </c>
      <c r="C33" s="1949"/>
      <c r="D33" s="1950"/>
    </row>
    <row r="34" spans="1:4">
      <c r="A34" s="2578">
        <f t="shared" si="0"/>
        <v>1834</v>
      </c>
      <c r="B34" s="225">
        <v>865685.56423393276</v>
      </c>
      <c r="C34" s="1949"/>
      <c r="D34" s="1950"/>
    </row>
    <row r="35" spans="1:4">
      <c r="A35" s="2578">
        <f t="shared" si="0"/>
        <v>1835</v>
      </c>
      <c r="B35" s="225">
        <v>877482.51877370221</v>
      </c>
      <c r="C35" s="1949"/>
      <c r="D35" s="1950"/>
    </row>
    <row r="36" spans="1:4">
      <c r="A36" s="2578">
        <f t="shared" si="0"/>
        <v>1836</v>
      </c>
      <c r="B36" s="225">
        <v>889440.23392005113</v>
      </c>
      <c r="C36" s="1949"/>
      <c r="D36" s="1950"/>
    </row>
    <row r="37" spans="1:4">
      <c r="A37" s="2578">
        <f t="shared" si="0"/>
        <v>1837</v>
      </c>
      <c r="B37" s="225">
        <v>901560.90040555736</v>
      </c>
      <c r="C37" s="1949"/>
      <c r="D37" s="1950"/>
    </row>
    <row r="38" spans="1:4">
      <c r="A38" s="2578">
        <f t="shared" si="0"/>
        <v>1838</v>
      </c>
      <c r="B38" s="225">
        <v>913846.73881656257</v>
      </c>
      <c r="C38" s="1949"/>
      <c r="D38" s="1950"/>
    </row>
    <row r="39" spans="1:4">
      <c r="A39" s="2578">
        <f t="shared" si="0"/>
        <v>1839</v>
      </c>
      <c r="B39" s="225">
        <v>926300</v>
      </c>
      <c r="C39" s="1949"/>
      <c r="D39" s="1950"/>
    </row>
    <row r="40" spans="1:4">
      <c r="A40" s="2578">
        <f t="shared" si="0"/>
        <v>1840</v>
      </c>
      <c r="B40" s="225">
        <v>943890.36966073688</v>
      </c>
      <c r="C40" s="1949"/>
      <c r="D40" s="1950"/>
    </row>
    <row r="41" spans="1:4">
      <c r="A41" s="2578">
        <f t="shared" si="0"/>
        <v>1841</v>
      </c>
      <c r="B41" s="225">
        <v>961814.7791625635</v>
      </c>
      <c r="C41" s="1949"/>
      <c r="D41" s="1950"/>
    </row>
    <row r="42" spans="1:4">
      <c r="A42" s="2578">
        <f t="shared" si="0"/>
        <v>1842</v>
      </c>
      <c r="B42" s="225">
        <v>980079.57189777831</v>
      </c>
      <c r="C42" s="1949"/>
      <c r="D42" s="1950"/>
    </row>
    <row r="43" spans="1:4">
      <c r="A43" s="2578">
        <f t="shared" si="0"/>
        <v>1843</v>
      </c>
      <c r="B43" s="225">
        <v>998691.21171923866</v>
      </c>
      <c r="C43" s="1949"/>
      <c r="D43" s="1950"/>
    </row>
    <row r="44" spans="1:4">
      <c r="A44" s="2578">
        <f t="shared" si="0"/>
        <v>1844</v>
      </c>
      <c r="B44" s="225">
        <v>1017656.2852278975</v>
      </c>
      <c r="C44" s="1949"/>
      <c r="D44" s="1950"/>
    </row>
    <row r="45" spans="1:4">
      <c r="A45" s="2578">
        <f t="shared" si="0"/>
        <v>1845</v>
      </c>
      <c r="B45" s="225">
        <v>1036981.5041037811</v>
      </c>
      <c r="C45" s="1949"/>
      <c r="D45" s="1950"/>
    </row>
    <row r="46" spans="1:4">
      <c r="A46" s="2578">
        <f t="shared" si="0"/>
        <v>1846</v>
      </c>
      <c r="B46" s="225">
        <v>1056673.7074812315</v>
      </c>
      <c r="C46" s="1949"/>
      <c r="D46" s="1950"/>
    </row>
    <row r="47" spans="1:4">
      <c r="A47" s="2578">
        <f t="shared" si="0"/>
        <v>1847</v>
      </c>
      <c r="B47" s="225">
        <v>1076739.864369255</v>
      </c>
      <c r="C47" s="1949"/>
      <c r="D47" s="1950"/>
    </row>
    <row r="48" spans="1:4">
      <c r="A48" s="2578">
        <f t="shared" si="0"/>
        <v>1848</v>
      </c>
      <c r="B48" s="225">
        <v>1097187.076117832</v>
      </c>
      <c r="C48" s="1949"/>
      <c r="D48" s="1950"/>
    </row>
    <row r="49" spans="1:4">
      <c r="A49" s="2578">
        <f t="shared" si="0"/>
        <v>1849</v>
      </c>
      <c r="B49" s="225">
        <v>1118022.5789310627</v>
      </c>
      <c r="C49" s="1949"/>
      <c r="D49" s="1950"/>
    </row>
    <row r="50" spans="1:4">
      <c r="A50" s="2578">
        <f t="shared" si="0"/>
        <v>1850</v>
      </c>
      <c r="B50" s="225">
        <v>1139253.7464280375</v>
      </c>
      <c r="C50" s="1949"/>
      <c r="D50" s="1950"/>
    </row>
    <row r="51" spans="1:4">
      <c r="A51" s="2578">
        <f t="shared" si="0"/>
        <v>1851</v>
      </c>
      <c r="B51" s="225">
        <v>1160888.0922523369</v>
      </c>
      <c r="C51" s="1949"/>
      <c r="D51" s="1950"/>
    </row>
    <row r="52" spans="1:4">
      <c r="A52" s="2578">
        <f t="shared" si="0"/>
        <v>1852</v>
      </c>
      <c r="B52" s="225">
        <v>1182933.2727310869</v>
      </c>
      <c r="C52" s="1949"/>
      <c r="D52" s="1950"/>
    </row>
    <row r="53" spans="1:4">
      <c r="A53" s="2578">
        <f t="shared" si="0"/>
        <v>1853</v>
      </c>
      <c r="B53" s="225">
        <v>1205397.0895845094</v>
      </c>
      <c r="C53" s="1949"/>
      <c r="D53" s="1950"/>
    </row>
    <row r="54" spans="1:4">
      <c r="A54" s="2578">
        <f t="shared" si="0"/>
        <v>1854</v>
      </c>
      <c r="B54" s="225">
        <v>1228287.4926869252</v>
      </c>
      <c r="C54" s="1949"/>
      <c r="D54" s="1950"/>
    </row>
    <row r="55" spans="1:4">
      <c r="A55" s="2578">
        <f t="shared" si="0"/>
        <v>1855</v>
      </c>
      <c r="B55" s="225">
        <v>1251612.5828801917</v>
      </c>
      <c r="C55" s="1949"/>
      <c r="D55" s="1950"/>
    </row>
    <row r="56" spans="1:4">
      <c r="A56" s="2578">
        <f t="shared" si="0"/>
        <v>1856</v>
      </c>
      <c r="B56" s="225">
        <v>1275380.6148405634</v>
      </c>
      <c r="C56" s="1949"/>
      <c r="D56" s="1950"/>
    </row>
    <row r="57" spans="1:4">
      <c r="A57" s="2578">
        <f t="shared" si="0"/>
        <v>1857</v>
      </c>
      <c r="B57" s="225">
        <v>1299600</v>
      </c>
      <c r="C57" s="1949"/>
      <c r="D57" s="1950"/>
    </row>
    <row r="58" spans="1:4">
      <c r="A58" s="2578">
        <f t="shared" si="0"/>
        <v>1858</v>
      </c>
      <c r="B58" s="225">
        <v>1337213.3905741514</v>
      </c>
      <c r="C58" s="1949"/>
      <c r="D58" s="1950"/>
    </row>
    <row r="59" spans="1:4">
      <c r="A59" s="2578">
        <f t="shared" si="0"/>
        <v>1859</v>
      </c>
      <c r="B59" s="225">
        <v>1375915.3985309466</v>
      </c>
      <c r="C59" s="1949"/>
      <c r="D59" s="1950"/>
    </row>
    <row r="60" spans="1:4">
      <c r="A60" s="2578">
        <f t="shared" si="0"/>
        <v>1860</v>
      </c>
      <c r="B60" s="225">
        <v>1415737.5309424067</v>
      </c>
      <c r="C60" s="1949"/>
      <c r="D60" s="1950"/>
    </row>
    <row r="61" spans="1:4">
      <c r="A61" s="2578">
        <f t="shared" si="0"/>
        <v>1861</v>
      </c>
      <c r="B61" s="225">
        <v>1456712.2067671386</v>
      </c>
      <c r="C61" s="1949"/>
      <c r="D61" s="1950"/>
    </row>
    <row r="62" spans="1:4">
      <c r="A62" s="2578">
        <f t="shared" si="0"/>
        <v>1862</v>
      </c>
      <c r="B62" s="225">
        <v>1498872.7832424128</v>
      </c>
      <c r="C62" s="1949"/>
      <c r="D62" s="1950"/>
    </row>
    <row r="63" spans="1:4">
      <c r="A63" s="2578">
        <f t="shared" si="0"/>
        <v>1863</v>
      </c>
      <c r="B63" s="225">
        <v>1542253.5830400907</v>
      </c>
      <c r="C63" s="1949"/>
      <c r="D63" s="1950"/>
    </row>
    <row r="64" spans="1:4">
      <c r="A64" s="2578">
        <f t="shared" si="0"/>
        <v>1864</v>
      </c>
      <c r="B64" s="225">
        <v>1586889.9222085052</v>
      </c>
      <c r="C64" s="1949"/>
      <c r="D64" s="1950"/>
    </row>
    <row r="65" spans="1:6">
      <c r="A65" s="2578">
        <f t="shared" si="0"/>
        <v>1865</v>
      </c>
      <c r="B65" s="225">
        <v>1632818.1389230429</v>
      </c>
      <c r="C65" s="1949"/>
      <c r="D65" s="1950"/>
    </row>
    <row r="66" spans="1:6">
      <c r="A66" s="2578">
        <f t="shared" si="0"/>
        <v>1866</v>
      </c>
      <c r="B66" s="225">
        <v>1680075.6230688351</v>
      </c>
      <c r="C66" s="1949"/>
      <c r="D66" s="1950"/>
    </row>
    <row r="67" spans="1:6">
      <c r="A67" s="2578">
        <f t="shared" si="0"/>
        <v>1867</v>
      </c>
      <c r="B67" s="225">
        <v>1728700.8466796377</v>
      </c>
      <c r="C67" s="1949"/>
      <c r="D67" s="1950"/>
    </row>
    <row r="68" spans="1:6">
      <c r="A68" s="2578">
        <f t="shared" si="0"/>
        <v>1868</v>
      </c>
      <c r="B68" s="225">
        <v>1778733.3952576828</v>
      </c>
      <c r="C68" s="1949"/>
      <c r="D68" s="1950"/>
    </row>
    <row r="69" spans="1:6">
      <c r="A69" s="2578">
        <f t="shared" si="0"/>
        <v>1869</v>
      </c>
      <c r="B69" s="225">
        <v>1830214</v>
      </c>
      <c r="C69" s="269">
        <v>93881.443523316048</v>
      </c>
      <c r="D69" s="268">
        <f>C69/B69</f>
        <v>5.129533678756476E-2</v>
      </c>
      <c r="F69" s="407"/>
    </row>
    <row r="70" spans="1:6">
      <c r="A70" s="2578">
        <f t="shared" si="0"/>
        <v>1870</v>
      </c>
      <c r="B70" s="225">
        <v>1886897.4602614511</v>
      </c>
      <c r="C70" s="267">
        <v>99725.238295729345</v>
      </c>
      <c r="D70" s="1951">
        <f>C70/B70</f>
        <v>5.2851434906224994E-2</v>
      </c>
      <c r="F70" s="407"/>
    </row>
    <row r="71" spans="1:6">
      <c r="A71" s="2578">
        <f t="shared" si="0"/>
        <v>1871</v>
      </c>
      <c r="B71" s="225">
        <v>1945336.4609499841</v>
      </c>
      <c r="C71" s="267">
        <v>105907.47601737504</v>
      </c>
      <c r="D71" s="1951">
        <f t="shared" ref="D71:D134" si="1">C71/B71</f>
        <v>5.4441726736389993E-2</v>
      </c>
      <c r="F71" s="407"/>
    </row>
    <row r="72" spans="1:6">
      <c r="A72" s="2578">
        <f t="shared" si="0"/>
        <v>1872</v>
      </c>
      <c r="B72" s="225">
        <v>2005585.3728146134</v>
      </c>
      <c r="C72" s="267">
        <v>112445.96796401161</v>
      </c>
      <c r="D72" s="1951">
        <f t="shared" si="1"/>
        <v>5.6066408086236863E-2</v>
      </c>
      <c r="F72" s="407"/>
    </row>
    <row r="73" spans="1:6">
      <c r="A73" s="2578">
        <f t="shared" si="0"/>
        <v>1873</v>
      </c>
      <c r="B73" s="225">
        <v>2067700.2505179229</v>
      </c>
      <c r="C73" s="267">
        <v>119359.34819162312</v>
      </c>
      <c r="D73" s="1951">
        <f t="shared" si="1"/>
        <v>5.7725653494371677E-2</v>
      </c>
      <c r="F73" s="407"/>
    </row>
    <row r="74" spans="1:6">
      <c r="A74" s="2578">
        <f t="shared" si="0"/>
        <v>1874</v>
      </c>
      <c r="B74" s="225">
        <v>2131738.8847884648</v>
      </c>
      <c r="C74" s="267">
        <v>126667.10519401106</v>
      </c>
      <c r="D74" s="1951">
        <f t="shared" si="1"/>
        <v>5.9419615647054447E-2</v>
      </c>
      <c r="F74" s="407"/>
    </row>
    <row r="75" spans="1:6">
      <c r="A75" s="2578">
        <f t="shared" si="0"/>
        <v>1875</v>
      </c>
      <c r="B75" s="225">
        <v>2197760.8561883653</v>
      </c>
      <c r="C75" s="267">
        <v>134389.61449783569</v>
      </c>
      <c r="D75" s="1951">
        <f t="shared" si="1"/>
        <v>6.1148424824942579E-2</v>
      </c>
      <c r="F75" s="407"/>
    </row>
    <row r="76" spans="1:6">
      <c r="A76" s="2578">
        <f t="shared" ref="A76:A139" si="2">A75+1</f>
        <v>1876</v>
      </c>
      <c r="B76" s="225">
        <v>2265827.5905461651</v>
      </c>
      <c r="C76" s="267">
        <v>142548.17221419085</v>
      </c>
      <c r="D76" s="1951">
        <f t="shared" si="1"/>
        <v>6.2912188380507106E-2</v>
      </c>
      <c r="F76" s="407"/>
    </row>
    <row r="77" spans="1:6">
      <c r="A77" s="2578">
        <f t="shared" si="2"/>
        <v>1877</v>
      </c>
      <c r="B77" s="225">
        <v>2336002.4161064676</v>
      </c>
      <c r="C77" s="267">
        <v>151165.02956581282</v>
      </c>
      <c r="D77" s="1951">
        <f t="shared" si="1"/>
        <v>6.4710990247076522E-2</v>
      </c>
      <c r="F77" s="407"/>
    </row>
    <row r="78" spans="1:6">
      <c r="A78" s="2578">
        <f t="shared" si="2"/>
        <v>1878</v>
      </c>
      <c r="B78" s="225">
        <v>2408350.6224495647</v>
      </c>
      <c r="C78" s="267">
        <v>160263.42840894149</v>
      </c>
      <c r="D78" s="1951">
        <f t="shared" si="1"/>
        <v>6.6544890480247212E-2</v>
      </c>
      <c r="F78" s="407"/>
    </row>
    <row r="79" spans="1:6">
      <c r="A79" s="2578">
        <f t="shared" si="2"/>
        <v>1879</v>
      </c>
      <c r="B79" s="225">
        <v>2482939.5212358604</v>
      </c>
      <c r="C79" s="267">
        <v>169867.63776865372</v>
      </c>
      <c r="D79" s="1951">
        <f t="shared" si="1"/>
        <v>6.8413924832169751E-2</v>
      </c>
      <c r="F79" s="407"/>
    </row>
    <row r="80" spans="1:6">
      <c r="A80" s="2578">
        <f t="shared" si="2"/>
        <v>1880</v>
      </c>
      <c r="B80" s="225">
        <v>2559838.5088316058</v>
      </c>
      <c r="C80" s="267">
        <v>180002.99140614306</v>
      </c>
      <c r="D80" s="1951">
        <f t="shared" si="1"/>
        <v>7.0318104358974703E-2</v>
      </c>
      <c r="F80" s="407"/>
    </row>
    <row r="81" spans="1:6">
      <c r="A81" s="2578">
        <f t="shared" si="2"/>
        <v>1881</v>
      </c>
      <c r="B81" s="225">
        <v>2639119.1308742133</v>
      </c>
      <c r="C81" s="267">
        <v>190695.92643591278</v>
      </c>
      <c r="D81" s="1951">
        <f t="shared" si="1"/>
        <v>7.2257415061344504E-2</v>
      </c>
      <c r="F81" s="407"/>
    </row>
    <row r="82" spans="1:6">
      <c r="A82" s="2578">
        <f t="shared" si="2"/>
        <v>1882</v>
      </c>
      <c r="B82" s="225">
        <v>2720855.1488372185</v>
      </c>
      <c r="C82" s="267">
        <v>201974.02301013566</v>
      </c>
      <c r="D82" s="1951">
        <f t="shared" si="1"/>
        <v>7.4231817557965568E-2</v>
      </c>
      <c r="F82" s="407"/>
    </row>
    <row r="83" spans="1:6">
      <c r="A83" s="2578">
        <f t="shared" si="2"/>
        <v>1883</v>
      </c>
      <c r="B83" s="225">
        <v>2805122.6086568241</v>
      </c>
      <c r="C83" s="267">
        <v>213866.04508649843</v>
      </c>
      <c r="D83" s="1951">
        <f t="shared" si="1"/>
        <v>7.6241246791313638E-2</v>
      </c>
      <c r="F83" s="407"/>
    </row>
    <row r="84" spans="1:6">
      <c r="A84" s="2578">
        <f t="shared" si="2"/>
        <v>1884</v>
      </c>
      <c r="B84" s="225">
        <v>2891999.911483869</v>
      </c>
      <c r="C84" s="267">
        <v>226401.98229464429</v>
      </c>
      <c r="D84" s="1951">
        <f t="shared" si="1"/>
        <v>7.8285611764932136E-2</v>
      </c>
      <c r="F84" s="407"/>
    </row>
    <row r="85" spans="1:6">
      <c r="A85" s="2578">
        <f t="shared" si="2"/>
        <v>1885</v>
      </c>
      <c r="B85" s="225">
        <v>2981567.8866270576</v>
      </c>
      <c r="C85" s="267">
        <v>239613.09291480988</v>
      </c>
      <c r="D85" s="1951">
        <f t="shared" si="1"/>
        <v>8.0364795311058876E-2</v>
      </c>
      <c r="F85" s="407"/>
    </row>
    <row r="86" spans="1:6">
      <c r="A86" s="2578">
        <f t="shared" si="2"/>
        <v>1886</v>
      </c>
      <c r="B86" s="225">
        <v>3073909.8667553067</v>
      </c>
      <c r="C86" s="267">
        <v>253531.94798040262</v>
      </c>
      <c r="D86" s="1951">
        <f t="shared" si="1"/>
        <v>8.2478653887148798E-2</v>
      </c>
      <c r="F86" s="407"/>
    </row>
    <row r="87" spans="1:6">
      <c r="A87" s="2578">
        <f t="shared" si="2"/>
        <v>1887</v>
      </c>
      <c r="B87" s="225">
        <v>3169111.7654291815</v>
      </c>
      <c r="C87" s="267">
        <v>268192.47651399707</v>
      </c>
      <c r="D87" s="1951">
        <f t="shared" si="1"/>
        <v>8.462701739951943E-2</v>
      </c>
      <c r="F87" s="407"/>
    </row>
    <row r="88" spans="1:6">
      <c r="A88" s="2578">
        <f t="shared" si="2"/>
        <v>1888</v>
      </c>
      <c r="B88" s="225">
        <v>3267262.1570335524</v>
      </c>
      <c r="C88" s="267">
        <v>283630.01190352417</v>
      </c>
      <c r="D88" s="1951">
        <f t="shared" si="1"/>
        <v>8.6809689052022854E-2</v>
      </c>
      <c r="F88" s="407"/>
    </row>
    <row r="89" spans="1:6">
      <c r="A89" s="2578">
        <f t="shared" si="2"/>
        <v>1889</v>
      </c>
      <c r="B89" s="225">
        <v>3368452.3591858442</v>
      </c>
      <c r="C89" s="267">
        <v>299881.33942220826</v>
      </c>
      <c r="D89" s="1951">
        <f t="shared" si="1"/>
        <v>8.9026445217319228E-2</v>
      </c>
      <c r="F89" s="407"/>
    </row>
    <row r="90" spans="1:6">
      <c r="A90" s="2578">
        <f t="shared" si="2"/>
        <v>1890</v>
      </c>
      <c r="B90" s="225">
        <v>3472776.5176965441</v>
      </c>
      <c r="C90" s="267">
        <v>316984.7448920121</v>
      </c>
      <c r="D90" s="1951">
        <f t="shared" si="1"/>
        <v>9.1277035327993042E-2</v>
      </c>
      <c r="F90" s="407"/>
    </row>
    <row r="91" spans="1:6">
      <c r="A91" s="2578">
        <f t="shared" si="2"/>
        <v>1891</v>
      </c>
      <c r="B91" s="225">
        <v>3580331.6941610193</v>
      </c>
      <c r="C91" s="267">
        <v>334980.06448591739</v>
      </c>
      <c r="D91" s="1951">
        <f t="shared" si="1"/>
        <v>9.3561181784419398E-2</v>
      </c>
      <c r="F91" s="407"/>
    </row>
    <row r="92" spans="1:6">
      <c r="A92" s="2578">
        <f t="shared" si="2"/>
        <v>1892</v>
      </c>
      <c r="B92" s="225">
        <v>3691217.956264134</v>
      </c>
      <c r="C92" s="267">
        <v>353908.73565920943</v>
      </c>
      <c r="D92" s="1951">
        <f t="shared" si="1"/>
        <v>9.5878579875949388E-2</v>
      </c>
      <c r="F92" s="407"/>
    </row>
    <row r="93" spans="1:6">
      <c r="A93" s="2578">
        <f t="shared" si="2"/>
        <v>1893</v>
      </c>
      <c r="B93" s="225">
        <v>3805538.4708816884</v>
      </c>
      <c r="C93" s="267">
        <v>373813.84919397719</v>
      </c>
      <c r="D93" s="1951">
        <f t="shared" si="1"/>
        <v>9.8228897711647598E-2</v>
      </c>
      <c r="F93" s="407"/>
    </row>
    <row r="94" spans="1:6">
      <c r="A94" s="2578">
        <f t="shared" si="2"/>
        <v>1894</v>
      </c>
      <c r="B94" s="225">
        <v>3923399.6000652951</v>
      </c>
      <c r="C94" s="267">
        <v>394740.20233418059</v>
      </c>
      <c r="D94" s="1951">
        <f t="shared" si="1"/>
        <v>0.10061177615647693</v>
      </c>
      <c r="F94" s="407"/>
    </row>
    <row r="95" spans="1:6">
      <c r="A95" s="2578">
        <f t="shared" si="2"/>
        <v>1895</v>
      </c>
      <c r="B95" s="225">
        <v>4044911</v>
      </c>
      <c r="C95" s="267">
        <v>406236.88724138803</v>
      </c>
      <c r="D95" s="1951">
        <f t="shared" si="1"/>
        <v>0.10043160090330493</v>
      </c>
      <c r="F95" s="407"/>
    </row>
    <row r="96" spans="1:6">
      <c r="A96" s="2578">
        <f t="shared" si="2"/>
        <v>1896</v>
      </c>
      <c r="B96" s="225">
        <v>4170606.0480347686</v>
      </c>
      <c r="C96" s="267">
        <v>422349.82248286624</v>
      </c>
      <c r="D96" s="1951">
        <f t="shared" si="1"/>
        <v>0.10126821320893679</v>
      </c>
      <c r="F96" s="407"/>
    </row>
    <row r="97" spans="1:6">
      <c r="A97" s="2578">
        <f t="shared" si="2"/>
        <v>1897</v>
      </c>
      <c r="B97" s="225">
        <v>4295418.8026690716</v>
      </c>
      <c r="C97" s="267">
        <v>438535.00514896092</v>
      </c>
      <c r="D97" s="1951">
        <f t="shared" si="1"/>
        <v>0.10209365496013233</v>
      </c>
      <c r="F97" s="407"/>
    </row>
    <row r="98" spans="1:6">
      <c r="A98" s="2578">
        <f t="shared" si="2"/>
        <v>1898</v>
      </c>
      <c r="B98" s="225">
        <v>4423966.7995055821</v>
      </c>
      <c r="C98" s="267">
        <v>455259.74380618939</v>
      </c>
      <c r="D98" s="1951">
        <f t="shared" si="1"/>
        <v>0.1029075859830297</v>
      </c>
      <c r="F98" s="407"/>
    </row>
    <row r="99" spans="1:6">
      <c r="A99" s="2578">
        <f t="shared" si="2"/>
        <v>1899</v>
      </c>
      <c r="B99" s="225">
        <v>4556361.8222666457</v>
      </c>
      <c r="C99" s="267">
        <v>472538.77179875498</v>
      </c>
      <c r="D99" s="1951">
        <f t="shared" si="1"/>
        <v>0.10370966798323358</v>
      </c>
      <c r="F99" s="407"/>
    </row>
    <row r="100" spans="1:6">
      <c r="A100" s="2578">
        <f t="shared" si="2"/>
        <v>1900</v>
      </c>
      <c r="B100" s="225">
        <v>4692719</v>
      </c>
      <c r="C100" s="267">
        <v>490387.09108680999</v>
      </c>
      <c r="D100" s="1951">
        <f t="shared" si="1"/>
        <v>0.10449956434357352</v>
      </c>
      <c r="F100" s="407"/>
    </row>
    <row r="101" spans="1:6">
      <c r="A101" s="2578">
        <f t="shared" si="2"/>
        <v>1901</v>
      </c>
      <c r="B101" s="225">
        <v>4825716.2957140077</v>
      </c>
      <c r="C101" s="267">
        <v>508036.64442146849</v>
      </c>
      <c r="D101" s="1951">
        <f t="shared" si="1"/>
        <v>0.10527693989650504</v>
      </c>
      <c r="F101" s="407"/>
    </row>
    <row r="102" spans="1:6">
      <c r="A102" s="2578">
        <f t="shared" si="2"/>
        <v>1902</v>
      </c>
      <c r="B102" s="225">
        <v>4962482.8946117861</v>
      </c>
      <c r="C102" s="267">
        <v>526228.93470010697</v>
      </c>
      <c r="D102" s="1951">
        <f t="shared" si="1"/>
        <v>0.10604146067112515</v>
      </c>
      <c r="F102" s="407"/>
    </row>
    <row r="103" spans="1:6">
      <c r="A103" s="2578">
        <f t="shared" si="2"/>
        <v>1903</v>
      </c>
      <c r="B103" s="225">
        <v>5103125.623275145</v>
      </c>
      <c r="C103" s="267">
        <v>544977.04147687403</v>
      </c>
      <c r="D103" s="1951">
        <f t="shared" si="1"/>
        <v>0.10679279361481056</v>
      </c>
      <c r="F103" s="407"/>
    </row>
    <row r="104" spans="1:6">
      <c r="A104" s="2578">
        <f t="shared" si="2"/>
        <v>1904</v>
      </c>
      <c r="B104" s="225">
        <v>5247754.3358795978</v>
      </c>
      <c r="C104" s="267">
        <v>564294.20539562963</v>
      </c>
      <c r="D104" s="1951">
        <f t="shared" si="1"/>
        <v>0.10753060628952744</v>
      </c>
      <c r="F104" s="407"/>
    </row>
    <row r="105" spans="1:6">
      <c r="A105" s="2578">
        <f t="shared" si="2"/>
        <v>1905</v>
      </c>
      <c r="B105" s="225">
        <v>5396482</v>
      </c>
      <c r="C105" s="267">
        <v>584193.8197665374</v>
      </c>
      <c r="D105" s="1951">
        <f t="shared" si="1"/>
        <v>0.10825456654289543</v>
      </c>
      <c r="F105" s="407"/>
    </row>
    <row r="106" spans="1:6">
      <c r="A106" s="2578">
        <f t="shared" si="2"/>
        <v>1906</v>
      </c>
      <c r="B106" s="225">
        <v>5646864.2357462365</v>
      </c>
      <c r="C106" s="267">
        <v>615306.84668178181</v>
      </c>
      <c r="D106" s="1951">
        <f t="shared" si="1"/>
        <v>0.1089643421541316</v>
      </c>
      <c r="F106" s="407"/>
    </row>
    <row r="107" spans="1:6">
      <c r="A107" s="2578">
        <f t="shared" si="2"/>
        <v>1907</v>
      </c>
      <c r="B107" s="225">
        <v>5908863.5331221214</v>
      </c>
      <c r="C107" s="267">
        <v>647963.61418553384</v>
      </c>
      <c r="D107" s="1951">
        <f t="shared" si="1"/>
        <v>0.10965960045504101</v>
      </c>
      <c r="F107" s="407"/>
    </row>
    <row r="108" spans="1:6">
      <c r="A108" s="2578">
        <f t="shared" si="2"/>
        <v>1908</v>
      </c>
      <c r="B108" s="225">
        <v>6183018.8925104272</v>
      </c>
      <c r="C108" s="267">
        <v>682234.35360782244</v>
      </c>
      <c r="D108" s="1951">
        <f t="shared" si="1"/>
        <v>0.11034000792626106</v>
      </c>
      <c r="F108" s="407"/>
    </row>
    <row r="109" spans="1:6">
      <c r="A109" s="2578">
        <f t="shared" si="2"/>
        <v>1909</v>
      </c>
      <c r="B109" s="225">
        <v>6469894.3224605285</v>
      </c>
      <c r="C109" s="267">
        <v>718192.10584599245</v>
      </c>
      <c r="D109" s="1951">
        <f t="shared" si="1"/>
        <v>0.11100522976901746</v>
      </c>
      <c r="F109" s="407"/>
    </row>
    <row r="110" spans="1:6">
      <c r="A110" s="2578">
        <f t="shared" si="2"/>
        <v>1910</v>
      </c>
      <c r="B110" s="225">
        <v>6770080</v>
      </c>
      <c r="C110" s="267">
        <v>755912.80478912487</v>
      </c>
      <c r="D110" s="1951">
        <f t="shared" si="1"/>
        <v>0.11165492945269848</v>
      </c>
      <c r="F110" s="407"/>
    </row>
    <row r="111" spans="1:6">
      <c r="A111" s="2578">
        <f t="shared" si="2"/>
        <v>1911</v>
      </c>
      <c r="B111" s="225">
        <v>7040680.3464432163</v>
      </c>
      <c r="C111" s="267">
        <v>790589.32366390352</v>
      </c>
      <c r="D111" s="1951">
        <f t="shared" si="1"/>
        <v>0.11228876823861068</v>
      </c>
      <c r="F111" s="407"/>
    </row>
    <row r="112" spans="1:6">
      <c r="A112" s="2578">
        <f t="shared" si="2"/>
        <v>1912</v>
      </c>
      <c r="B112" s="225">
        <v>7322096.5986800408</v>
      </c>
      <c r="C112" s="267">
        <v>826711.60167911346</v>
      </c>
      <c r="D112" s="1951">
        <f t="shared" si="1"/>
        <v>0.11290640468034051</v>
      </c>
      <c r="F112" s="407"/>
    </row>
    <row r="113" spans="1:6">
      <c r="A113" s="2578">
        <f t="shared" si="2"/>
        <v>1913</v>
      </c>
      <c r="B113" s="225">
        <v>7614761.0688625965</v>
      </c>
      <c r="C113" s="267">
        <v>864332.44710610295</v>
      </c>
      <c r="D113" s="1951">
        <f t="shared" si="1"/>
        <v>0.11350749410121765</v>
      </c>
      <c r="F113" s="407"/>
    </row>
    <row r="114" spans="1:6">
      <c r="A114" s="2578">
        <f t="shared" si="2"/>
        <v>1914</v>
      </c>
      <c r="B114" s="225">
        <v>7919123.3486756179</v>
      </c>
      <c r="C114" s="267">
        <v>903506.15072223358</v>
      </c>
      <c r="D114" s="1951">
        <f t="shared" si="1"/>
        <v>0.11409168804945241</v>
      </c>
      <c r="F114" s="407"/>
    </row>
    <row r="115" spans="1:6">
      <c r="A115" s="2578">
        <f t="shared" si="2"/>
        <v>1915</v>
      </c>
      <c r="B115" s="225">
        <v>8235651</v>
      </c>
      <c r="C115" s="267">
        <v>938531.39512059663</v>
      </c>
      <c r="D115" s="1951">
        <f t="shared" si="1"/>
        <v>0.11395958803021117</v>
      </c>
      <c r="F115" s="407"/>
    </row>
    <row r="116" spans="1:6">
      <c r="A116" s="2578">
        <f t="shared" si="2"/>
        <v>1916</v>
      </c>
      <c r="B116" s="225">
        <v>8378004.4344554739</v>
      </c>
      <c r="C116" s="267">
        <v>953616.20389510889</v>
      </c>
      <c r="D116" s="1951">
        <f t="shared" si="1"/>
        <v>0.11382378839204911</v>
      </c>
      <c r="F116" s="407"/>
    </row>
    <row r="117" spans="1:6">
      <c r="A117" s="2578">
        <f t="shared" si="2"/>
        <v>1917</v>
      </c>
      <c r="B117" s="225">
        <v>8522818.4516021367</v>
      </c>
      <c r="C117" s="267">
        <v>968909.8154257288</v>
      </c>
      <c r="D117" s="1951">
        <f t="shared" si="1"/>
        <v>0.1136842021131626</v>
      </c>
      <c r="F117" s="407"/>
    </row>
    <row r="118" spans="1:6">
      <c r="A118" s="2578">
        <f t="shared" si="2"/>
        <v>1918</v>
      </c>
      <c r="B118" s="225">
        <v>8670135.5826736279</v>
      </c>
      <c r="C118" s="267">
        <v>984413.60060695605</v>
      </c>
      <c r="D118" s="1951">
        <f t="shared" si="1"/>
        <v>0.11354073892156948</v>
      </c>
      <c r="F118" s="407"/>
    </row>
    <row r="119" spans="1:6">
      <c r="A119" s="2578">
        <f t="shared" si="2"/>
        <v>1919</v>
      </c>
      <c r="B119" s="225">
        <v>8819999.0940570273</v>
      </c>
      <c r="C119" s="267">
        <v>1000128.8490800337</v>
      </c>
      <c r="D119" s="1951">
        <f t="shared" si="1"/>
        <v>0.11339330519363965</v>
      </c>
      <c r="F119" s="407"/>
    </row>
    <row r="120" spans="1:6">
      <c r="A120" s="2578">
        <f t="shared" si="2"/>
        <v>1920</v>
      </c>
      <c r="B120" s="225">
        <v>8972453</v>
      </c>
      <c r="C120" s="267">
        <v>1016056.7626887012</v>
      </c>
      <c r="D120" s="1951">
        <f t="shared" si="1"/>
        <v>0.11324180385104288</v>
      </c>
      <c r="F120" s="407"/>
    </row>
    <row r="121" spans="1:6">
      <c r="A121" s="2578">
        <f t="shared" si="2"/>
        <v>1921</v>
      </c>
      <c r="B121" s="225">
        <v>9245755.2268240955</v>
      </c>
      <c r="C121" s="267">
        <v>1045566.716881134</v>
      </c>
      <c r="D121" s="1951">
        <f t="shared" si="1"/>
        <v>0.11308613425625856</v>
      </c>
      <c r="F121" s="407"/>
    </row>
    <row r="122" spans="1:6">
      <c r="A122" s="2578">
        <f t="shared" si="2"/>
        <v>1922</v>
      </c>
      <c r="B122" s="225">
        <v>9527382.2793326508</v>
      </c>
      <c r="C122" s="267">
        <v>1075891.0015509275</v>
      </c>
      <c r="D122" s="1951">
        <f t="shared" si="1"/>
        <v>0.11292619210680908</v>
      </c>
      <c r="F122" s="407"/>
    </row>
    <row r="123" spans="1:6">
      <c r="A123" s="2578">
        <f t="shared" si="2"/>
        <v>1923</v>
      </c>
      <c r="B123" s="225">
        <v>9817587.7329300158</v>
      </c>
      <c r="C123" s="267">
        <v>1107049.5450607983</v>
      </c>
      <c r="D123" s="1951">
        <f t="shared" si="1"/>
        <v>0.11276186932840418</v>
      </c>
      <c r="F123" s="407"/>
    </row>
    <row r="124" spans="1:6">
      <c r="A124" s="2578">
        <f t="shared" si="2"/>
        <v>1924</v>
      </c>
      <c r="B124" s="225">
        <v>10116632.886964334</v>
      </c>
      <c r="C124" s="267">
        <v>1139062.5926084011</v>
      </c>
      <c r="D124" s="1951">
        <f t="shared" si="1"/>
        <v>0.11259305396720747</v>
      </c>
      <c r="F124" s="407"/>
    </row>
    <row r="125" spans="1:6">
      <c r="A125" s="2578">
        <f t="shared" si="2"/>
        <v>1925</v>
      </c>
      <c r="B125" s="225">
        <v>10424787</v>
      </c>
      <c r="C125" s="267">
        <v>1171950.6982180539</v>
      </c>
      <c r="D125" s="1951">
        <f t="shared" si="1"/>
        <v>0.11241963008146391</v>
      </c>
      <c r="F125" s="407"/>
    </row>
    <row r="126" spans="1:6">
      <c r="A126" s="2578">
        <f t="shared" si="2"/>
        <v>1926</v>
      </c>
      <c r="B126" s="225">
        <v>10710841.868658403</v>
      </c>
      <c r="C126" s="267">
        <v>1202200.7180290206</v>
      </c>
      <c r="D126" s="1951">
        <f t="shared" si="1"/>
        <v>0.11224147763275712</v>
      </c>
      <c r="F126" s="407"/>
    </row>
    <row r="127" spans="1:6">
      <c r="A127" s="2578">
        <f t="shared" si="2"/>
        <v>1927</v>
      </c>
      <c r="B127" s="225">
        <v>11004746.047608055</v>
      </c>
      <c r="C127" s="267">
        <v>1233175.0309939429</v>
      </c>
      <c r="D127" s="1951">
        <f t="shared" si="1"/>
        <v>0.11205847237719589</v>
      </c>
      <c r="F127" s="407"/>
    </row>
    <row r="128" spans="1:6">
      <c r="A128" s="2578">
        <f t="shared" si="2"/>
        <v>1928</v>
      </c>
      <c r="B128" s="225">
        <v>11306714.920954591</v>
      </c>
      <c r="C128" s="267">
        <v>1264887.6905215681</v>
      </c>
      <c r="D128" s="1951">
        <f t="shared" si="1"/>
        <v>0.11187048575686363</v>
      </c>
      <c r="F128" s="407"/>
    </row>
    <row r="129" spans="1:6">
      <c r="A129" s="2578">
        <f t="shared" si="2"/>
        <v>1929</v>
      </c>
      <c r="B129" s="225">
        <v>11616969.782916918</v>
      </c>
      <c r="C129" s="267">
        <v>1297352.8045627219</v>
      </c>
      <c r="D129" s="1951">
        <f t="shared" si="1"/>
        <v>0.11167738479190294</v>
      </c>
      <c r="F129" s="407"/>
    </row>
    <row r="130" spans="1:6">
      <c r="A130" s="2578">
        <f t="shared" si="2"/>
        <v>1930</v>
      </c>
      <c r="B130" s="225">
        <v>11935738</v>
      </c>
      <c r="C130" s="267">
        <v>1330584.5181310382</v>
      </c>
      <c r="D130" s="1951">
        <f t="shared" si="1"/>
        <v>0.11147903197364405</v>
      </c>
      <c r="F130" s="407"/>
    </row>
    <row r="131" spans="1:6">
      <c r="A131" s="2578">
        <f t="shared" si="2"/>
        <v>1931</v>
      </c>
      <c r="B131" s="225">
        <v>12158616.964790491</v>
      </c>
      <c r="C131" s="267">
        <v>1352953.5698989232</v>
      </c>
      <c r="D131" s="1951">
        <f t="shared" si="1"/>
        <v>0.1112752851592308</v>
      </c>
      <c r="F131" s="407"/>
    </row>
    <row r="132" spans="1:6">
      <c r="A132" s="2578">
        <f t="shared" si="2"/>
        <v>1932</v>
      </c>
      <c r="B132" s="225">
        <v>12385657.803186627</v>
      </c>
      <c r="C132" s="267">
        <v>1375625.4382112231</v>
      </c>
      <c r="D132" s="1951">
        <f t="shared" si="1"/>
        <v>0.11106599746824082</v>
      </c>
      <c r="F132" s="407"/>
    </row>
    <row r="133" spans="1:6">
      <c r="A133" s="2578">
        <f t="shared" si="2"/>
        <v>1933</v>
      </c>
      <c r="B133" s="225">
        <v>12616938.230875598</v>
      </c>
      <c r="C133" s="267">
        <v>1398600.436613084</v>
      </c>
      <c r="D133" s="1951">
        <f t="shared" si="1"/>
        <v>0.11085101718184627</v>
      </c>
      <c r="F133" s="407"/>
    </row>
    <row r="134" spans="1:6">
      <c r="A134" s="2578">
        <f t="shared" si="2"/>
        <v>1934</v>
      </c>
      <c r="B134" s="225">
        <v>12852537.414748697</v>
      </c>
      <c r="C134" s="267">
        <v>1421878.6259094591</v>
      </c>
      <c r="D134" s="1951">
        <f t="shared" si="1"/>
        <v>0.11063018764511108</v>
      </c>
      <c r="F134" s="407"/>
    </row>
    <row r="135" spans="1:6">
      <c r="A135" s="2578">
        <f t="shared" si="2"/>
        <v>1935</v>
      </c>
      <c r="B135" s="225">
        <v>13092536</v>
      </c>
      <c r="C135" s="267">
        <v>1445459.7973840127</v>
      </c>
      <c r="D135" s="1951">
        <f t="shared" ref="D135:D198" si="3">C135/B135</f>
        <v>0.1104033471730773</v>
      </c>
      <c r="F135" s="407"/>
    </row>
    <row r="136" spans="1:6">
      <c r="A136" s="2578">
        <f t="shared" si="2"/>
        <v>1936</v>
      </c>
      <c r="B136" s="225">
        <v>13298008.098787645</v>
      </c>
      <c r="C136" s="267">
        <v>1465045.9267740985</v>
      </c>
      <c r="D136" s="1951">
        <f t="shared" si="3"/>
        <v>0.11017032896134754</v>
      </c>
      <c r="F136" s="407"/>
    </row>
    <row r="137" spans="1:6">
      <c r="A137" s="2578">
        <f t="shared" si="2"/>
        <v>1937</v>
      </c>
      <c r="B137" s="225">
        <v>13506704.842776205</v>
      </c>
      <c r="C137" s="267">
        <v>1484805.0433358725</v>
      </c>
      <c r="D137" s="1951">
        <f t="shared" si="3"/>
        <v>0.10993096100193461</v>
      </c>
      <c r="F137" s="407"/>
    </row>
    <row r="138" spans="1:6">
      <c r="A138" s="2578">
        <f t="shared" si="2"/>
        <v>1938</v>
      </c>
      <c r="B138" s="225">
        <v>13718676.839015167</v>
      </c>
      <c r="C138" s="267">
        <v>1504733.9745915406</v>
      </c>
      <c r="D138" s="1951">
        <f t="shared" si="3"/>
        <v>0.10968506600521119</v>
      </c>
      <c r="F138" s="407"/>
    </row>
    <row r="139" spans="1:6">
      <c r="A139" s="2578">
        <f t="shared" si="2"/>
        <v>1939</v>
      </c>
      <c r="B139" s="225">
        <v>13933975.488772701</v>
      </c>
      <c r="C139" s="267">
        <v>1524829.2338324164</v>
      </c>
      <c r="D139" s="1951">
        <f t="shared" si="3"/>
        <v>0.10943246132886104</v>
      </c>
      <c r="F139" s="407"/>
    </row>
    <row r="140" spans="1:6">
      <c r="A140" s="2578">
        <f t="shared" ref="A140:A186" si="4">A139+1</f>
        <v>1940</v>
      </c>
      <c r="B140" s="225">
        <v>14152653</v>
      </c>
      <c r="C140" s="267">
        <v>1545087.0045044648</v>
      </c>
      <c r="D140" s="1951">
        <f t="shared" si="3"/>
        <v>0.10917295891480309</v>
      </c>
      <c r="F140" s="407"/>
    </row>
    <row r="141" spans="1:6">
      <c r="A141" s="2578">
        <f t="shared" si="4"/>
        <v>1941</v>
      </c>
      <c r="B141" s="225">
        <v>14373250.652338</v>
      </c>
      <c r="C141" s="267">
        <v>1565338.4851596579</v>
      </c>
      <c r="D141" s="1951">
        <f t="shared" si="3"/>
        <v>0.10890636523513453</v>
      </c>
      <c r="F141" s="407"/>
    </row>
    <row r="142" spans="1:6">
      <c r="A142" s="2578">
        <f t="shared" si="4"/>
        <v>1942</v>
      </c>
      <c r="B142" s="225">
        <v>14597286.764180167</v>
      </c>
      <c r="C142" s="267">
        <v>1585739.4806846143</v>
      </c>
      <c r="D142" s="1951">
        <f t="shared" si="3"/>
        <v>0.10863248124821467</v>
      </c>
      <c r="F142" s="407"/>
    </row>
    <row r="143" spans="1:6">
      <c r="A143" s="2578">
        <f t="shared" si="4"/>
        <v>1943</v>
      </c>
      <c r="B143" s="225">
        <v>14824814.930855539</v>
      </c>
      <c r="C143" s="267">
        <v>1606285.0401314935</v>
      </c>
      <c r="D143" s="1951">
        <f t="shared" si="3"/>
        <v>0.10835110236609172</v>
      </c>
      <c r="F143" s="407"/>
    </row>
    <row r="144" spans="1:6">
      <c r="A144" s="2578">
        <f t="shared" si="4"/>
        <v>1944</v>
      </c>
      <c r="B144" s="225">
        <v>15055889.583084492</v>
      </c>
      <c r="C144" s="267">
        <v>1626969.8176759332</v>
      </c>
      <c r="D144" s="1951">
        <f t="shared" si="3"/>
        <v>0.10806201843455715</v>
      </c>
      <c r="F144" s="407"/>
    </row>
    <row r="145" spans="1:6">
      <c r="A145" s="2578">
        <f t="shared" si="4"/>
        <v>1945</v>
      </c>
      <c r="B145" s="225">
        <v>15290566</v>
      </c>
      <c r="C145" s="267">
        <v>1647788.0548865895</v>
      </c>
      <c r="D145" s="1951">
        <f t="shared" si="3"/>
        <v>0.10776501372719555</v>
      </c>
      <c r="F145" s="407"/>
    </row>
    <row r="146" spans="1:6">
      <c r="A146" s="2578">
        <f t="shared" si="4"/>
        <v>1946</v>
      </c>
      <c r="B146" s="225">
        <v>15645641.543607164</v>
      </c>
      <c r="C146" s="267">
        <v>1681278.5586998751</v>
      </c>
      <c r="D146" s="1951">
        <f t="shared" si="3"/>
        <v>0.10745986695488677</v>
      </c>
      <c r="F146" s="407"/>
    </row>
    <row r="147" spans="1:6">
      <c r="A147" s="2578">
        <f t="shared" si="4"/>
        <v>1947</v>
      </c>
      <c r="B147" s="225">
        <v>16008962.605507629</v>
      </c>
      <c r="C147" s="267">
        <v>1715301.9311550588</v>
      </c>
      <c r="D147" s="1951">
        <f t="shared" si="3"/>
        <v>0.10714635129230275</v>
      </c>
      <c r="F147" s="407"/>
    </row>
    <row r="148" spans="1:6">
      <c r="A148" s="2578">
        <f t="shared" si="4"/>
        <v>1948</v>
      </c>
      <c r="B148" s="225">
        <v>16380720.662059452</v>
      </c>
      <c r="C148" s="267">
        <v>1740011.2942383008</v>
      </c>
      <c r="D148" s="1951">
        <f t="shared" si="3"/>
        <v>0.10622312229940312</v>
      </c>
      <c r="F148" s="407"/>
    </row>
    <row r="149" spans="1:6">
      <c r="A149" s="2578">
        <f t="shared" si="4"/>
        <v>1949</v>
      </c>
      <c r="B149" s="225">
        <v>16761111.636059882</v>
      </c>
      <c r="C149" s="267">
        <v>1764705.680262222</v>
      </c>
      <c r="D149" s="1951">
        <f t="shared" si="3"/>
        <v>0.10528571842846218</v>
      </c>
      <c r="F149" s="407"/>
    </row>
    <row r="150" spans="1:6">
      <c r="A150" s="2578">
        <f t="shared" si="4"/>
        <v>1950</v>
      </c>
      <c r="B150" s="225">
        <v>17150336</v>
      </c>
      <c r="C150" s="267">
        <v>1789373.5839928843</v>
      </c>
      <c r="D150" s="1951">
        <f t="shared" si="3"/>
        <v>0.10433460802125884</v>
      </c>
      <c r="F150" s="407"/>
    </row>
    <row r="151" spans="1:6">
      <c r="A151" s="2578">
        <f t="shared" si="4"/>
        <v>1951</v>
      </c>
      <c r="B151" s="225">
        <v>17517342</v>
      </c>
      <c r="C151" s="267">
        <v>1810772.4148598092</v>
      </c>
      <c r="D151" s="1951">
        <f t="shared" si="3"/>
        <v>0.10337027243401477</v>
      </c>
      <c r="F151" s="407"/>
    </row>
    <row r="152" spans="1:6">
      <c r="A152" s="2578">
        <f t="shared" si="4"/>
        <v>1952</v>
      </c>
      <c r="B152" s="225">
        <v>17876956</v>
      </c>
      <c r="C152" s="267">
        <v>1830478.8266193613</v>
      </c>
      <c r="D152" s="1951">
        <f t="shared" si="3"/>
        <v>0.10239320534320055</v>
      </c>
      <c r="F152" s="407"/>
    </row>
    <row r="153" spans="1:6">
      <c r="A153" s="2578">
        <f t="shared" si="4"/>
        <v>1953</v>
      </c>
      <c r="B153" s="225">
        <v>18230816</v>
      </c>
      <c r="C153" s="267">
        <v>1848676.0617227673</v>
      </c>
      <c r="D153" s="1951">
        <f t="shared" si="3"/>
        <v>0.10140391202032686</v>
      </c>
      <c r="F153" s="407"/>
    </row>
    <row r="154" spans="1:6">
      <c r="A154" s="2578">
        <f t="shared" si="4"/>
        <v>1954</v>
      </c>
      <c r="B154" s="225">
        <v>18580559</v>
      </c>
      <c r="C154" s="267">
        <v>1865542.1666032516</v>
      </c>
      <c r="D154" s="1951">
        <f t="shared" si="3"/>
        <v>0.10040290857789863</v>
      </c>
      <c r="F154" s="407"/>
    </row>
    <row r="155" spans="1:6">
      <c r="A155" s="2578">
        <f t="shared" si="4"/>
        <v>1955</v>
      </c>
      <c r="B155" s="225">
        <v>18927821</v>
      </c>
      <c r="C155" s="267">
        <v>1881249.7797233539</v>
      </c>
      <c r="D155" s="1951">
        <f t="shared" si="3"/>
        <v>9.93907211888444E-2</v>
      </c>
      <c r="F155" s="407"/>
    </row>
    <row r="156" spans="1:6">
      <c r="A156" s="2578">
        <f t="shared" si="4"/>
        <v>1956</v>
      </c>
      <c r="B156" s="225">
        <v>19271511</v>
      </c>
      <c r="C156" s="267">
        <v>1895697.7832560483</v>
      </c>
      <c r="D156" s="1951">
        <f t="shared" si="3"/>
        <v>9.8367885281857165E-2</v>
      </c>
      <c r="F156" s="407"/>
    </row>
    <row r="157" spans="1:6">
      <c r="A157" s="2578">
        <f t="shared" si="4"/>
        <v>1957</v>
      </c>
      <c r="B157" s="225">
        <v>19610538</v>
      </c>
      <c r="C157" s="267">
        <v>1908790.6320651297</v>
      </c>
      <c r="D157" s="1951">
        <f t="shared" si="3"/>
        <v>9.7334944715189844E-2</v>
      </c>
      <c r="F157" s="407"/>
    </row>
    <row r="158" spans="1:6">
      <c r="A158" s="2578">
        <f t="shared" si="4"/>
        <v>1958</v>
      </c>
      <c r="B158" s="225">
        <v>19946539</v>
      </c>
      <c r="C158" s="267">
        <v>1920701.1279116857</v>
      </c>
      <c r="D158" s="1951">
        <f t="shared" si="3"/>
        <v>9.6292450931546855E-2</v>
      </c>
      <c r="F158" s="407"/>
    </row>
    <row r="159" spans="1:6">
      <c r="A159" s="2578">
        <f t="shared" si="4"/>
        <v>1959</v>
      </c>
      <c r="B159" s="225">
        <v>20281151</v>
      </c>
      <c r="C159" s="267">
        <v>1931596.3336703472</v>
      </c>
      <c r="D159" s="1951">
        <f t="shared" si="3"/>
        <v>9.5240962096793585E-2</v>
      </c>
      <c r="F159" s="407"/>
    </row>
    <row r="160" spans="1:6">
      <c r="A160" s="2578">
        <f t="shared" si="4"/>
        <v>1960</v>
      </c>
      <c r="B160" s="225">
        <v>20616009</v>
      </c>
      <c r="C160" s="267">
        <v>1941637.2141455787</v>
      </c>
      <c r="D160" s="1951">
        <f t="shared" si="3"/>
        <v>9.4181042225271572E-2</v>
      </c>
      <c r="F160" s="407"/>
    </row>
    <row r="161" spans="1:6">
      <c r="A161" s="2578">
        <f t="shared" si="4"/>
        <v>1961</v>
      </c>
      <c r="B161" s="225">
        <v>20950583</v>
      </c>
      <c r="C161" s="267">
        <v>1968272.124307299</v>
      </c>
      <c r="D161" s="1951">
        <f t="shared" si="3"/>
        <v>9.394832231195184E-2</v>
      </c>
      <c r="F161" s="407"/>
    </row>
    <row r="162" spans="1:6">
      <c r="A162" s="2578">
        <f t="shared" si="4"/>
        <v>1962</v>
      </c>
      <c r="B162" s="225">
        <v>21283782</v>
      </c>
      <c r="C162" s="267">
        <v>1994403.1584279533</v>
      </c>
      <c r="D162" s="1951">
        <f t="shared" si="3"/>
        <v>9.3705299106519382E-2</v>
      </c>
      <c r="F162" s="407"/>
    </row>
    <row r="163" spans="1:6">
      <c r="A163" s="2578">
        <f t="shared" si="4"/>
        <v>1963</v>
      </c>
      <c r="B163" s="225">
        <v>21616402</v>
      </c>
      <c r="C163" s="267">
        <v>2020097.6394842996</v>
      </c>
      <c r="D163" s="1951">
        <f t="shared" si="3"/>
        <v>9.3452075858151587E-2</v>
      </c>
      <c r="F163" s="407"/>
    </row>
    <row r="164" spans="1:6">
      <c r="A164" s="2578">
        <f t="shared" si="4"/>
        <v>1964</v>
      </c>
      <c r="B164" s="225">
        <v>21949243</v>
      </c>
      <c r="C164" s="267">
        <v>2045422.7512945251</v>
      </c>
      <c r="D164" s="1951">
        <f t="shared" si="3"/>
        <v>9.318876060074259E-2</v>
      </c>
      <c r="F164" s="407"/>
    </row>
    <row r="165" spans="1:6">
      <c r="A165" s="2578">
        <f t="shared" si="4"/>
        <v>1965</v>
      </c>
      <c r="B165" s="225">
        <v>22283099</v>
      </c>
      <c r="C165" s="267">
        <v>2070444.5282673773</v>
      </c>
      <c r="D165" s="1951">
        <f t="shared" si="3"/>
        <v>9.2915466034027727E-2</v>
      </c>
      <c r="F165" s="407"/>
    </row>
    <row r="166" spans="1:6">
      <c r="A166" s="2578">
        <f t="shared" si="4"/>
        <v>1966</v>
      </c>
      <c r="B166" s="225">
        <v>22611641</v>
      </c>
      <c r="C166" s="267">
        <v>2094568.5251508958</v>
      </c>
      <c r="D166" s="1951">
        <f t="shared" si="3"/>
        <v>9.2632309399874865E-2</v>
      </c>
      <c r="F166" s="407"/>
    </row>
    <row r="167" spans="1:6">
      <c r="A167" s="2578">
        <f t="shared" si="4"/>
        <v>1967</v>
      </c>
      <c r="B167" s="225">
        <v>22934336</v>
      </c>
      <c r="C167" s="267">
        <v>2117743.1089691333</v>
      </c>
      <c r="D167" s="1951">
        <f t="shared" si="3"/>
        <v>9.233941235399766E-2</v>
      </c>
      <c r="F167" s="407"/>
    </row>
    <row r="168" spans="1:6">
      <c r="A168" s="2578">
        <f t="shared" si="4"/>
        <v>1968</v>
      </c>
      <c r="B168" s="225">
        <v>23260682</v>
      </c>
      <c r="C168" s="267">
        <v>2140841.0825501112</v>
      </c>
      <c r="D168" s="1951">
        <f t="shared" si="3"/>
        <v>9.2036900833350935E-2</v>
      </c>
      <c r="F168" s="407"/>
    </row>
    <row r="169" spans="1:6">
      <c r="A169" s="2578">
        <f t="shared" si="4"/>
        <v>1969</v>
      </c>
      <c r="B169" s="225">
        <v>23600175</v>
      </c>
      <c r="C169" s="267">
        <v>2164723.807958052</v>
      </c>
      <c r="D169" s="1951">
        <f t="shared" si="3"/>
        <v>9.1724904919478434E-2</v>
      </c>
      <c r="F169" s="407"/>
    </row>
    <row r="170" spans="1:6">
      <c r="A170" s="2578">
        <f t="shared" si="4"/>
        <v>1970</v>
      </c>
      <c r="B170" s="225">
        <v>23962313</v>
      </c>
      <c r="C170" s="267">
        <v>2190240.6828373987</v>
      </c>
      <c r="D170" s="1951">
        <f t="shared" si="3"/>
        <v>9.1403558698085557E-2</v>
      </c>
      <c r="F170" s="407"/>
    </row>
    <row r="171" spans="1:6">
      <c r="A171" s="2578">
        <f t="shared" si="4"/>
        <v>1971</v>
      </c>
      <c r="B171" s="225">
        <v>24354307</v>
      </c>
      <c r="C171" s="267">
        <v>2218936.5443980303</v>
      </c>
      <c r="D171" s="1951">
        <f t="shared" si="3"/>
        <v>9.1110641924569247E-2</v>
      </c>
      <c r="F171" s="407"/>
    </row>
    <row r="172" spans="1:6">
      <c r="A172" s="2578">
        <f t="shared" si="4"/>
        <v>1972</v>
      </c>
      <c r="B172" s="225">
        <v>24769825</v>
      </c>
      <c r="C172" s="267">
        <v>2249388.9832210736</v>
      </c>
      <c r="D172" s="1951">
        <f t="shared" si="3"/>
        <v>9.0811662303672866E-2</v>
      </c>
      <c r="F172" s="407"/>
    </row>
    <row r="173" spans="1:6">
      <c r="A173" s="2578">
        <f t="shared" si="4"/>
        <v>1973</v>
      </c>
      <c r="B173" s="225">
        <v>25198051</v>
      </c>
      <c r="C173" s="267">
        <v>2280593.1318512773</v>
      </c>
      <c r="D173" s="1951">
        <f t="shared" si="3"/>
        <v>9.0506727359638939E-2</v>
      </c>
      <c r="F173" s="407"/>
    </row>
    <row r="174" spans="1:6">
      <c r="A174" s="2578">
        <f t="shared" si="4"/>
        <v>1974</v>
      </c>
      <c r="B174" s="225">
        <v>25628167</v>
      </c>
      <c r="C174" s="267">
        <v>2311556.7225941485</v>
      </c>
      <c r="D174" s="1951">
        <f t="shared" si="3"/>
        <v>9.0195944274678266E-2</v>
      </c>
      <c r="F174" s="407"/>
    </row>
    <row r="175" spans="1:6">
      <c r="A175" s="2578">
        <f t="shared" si="4"/>
        <v>1975</v>
      </c>
      <c r="B175" s="225">
        <v>26049356</v>
      </c>
      <c r="C175" s="267">
        <v>2341301.0040904512</v>
      </c>
      <c r="D175" s="1951">
        <f t="shared" si="3"/>
        <v>8.9879419824829873E-2</v>
      </c>
      <c r="F175" s="407"/>
    </row>
    <row r="176" spans="1:6">
      <c r="A176" s="2578">
        <f t="shared" si="4"/>
        <v>1976</v>
      </c>
      <c r="B176" s="225">
        <v>26458254</v>
      </c>
      <c r="C176" s="267">
        <v>2369528.7410404286</v>
      </c>
      <c r="D176" s="1951">
        <f t="shared" si="3"/>
        <v>8.9557260318100684E-2</v>
      </c>
      <c r="F176" s="407"/>
    </row>
    <row r="177" spans="1:7">
      <c r="A177" s="2578">
        <f t="shared" si="4"/>
        <v>1977</v>
      </c>
      <c r="B177" s="225">
        <v>26862074</v>
      </c>
      <c r="C177" s="267">
        <v>2396891.353558253</v>
      </c>
      <c r="D177" s="1951">
        <f t="shared" si="3"/>
        <v>8.9229571534880481E-2</v>
      </c>
      <c r="F177" s="407"/>
    </row>
    <row r="178" spans="1:7">
      <c r="A178" s="2578">
        <f t="shared" si="4"/>
        <v>1978</v>
      </c>
      <c r="B178" s="225">
        <v>27265859</v>
      </c>
      <c r="C178" s="267">
        <v>2423838.3077126811</v>
      </c>
      <c r="D178" s="1951">
        <f t="shared" si="3"/>
        <v>8.8896458670628384E-2</v>
      </c>
      <c r="F178" s="407"/>
    </row>
    <row r="179" spans="1:7">
      <c r="A179" s="2578">
        <f t="shared" si="4"/>
        <v>1979</v>
      </c>
      <c r="B179" s="225">
        <v>27674655</v>
      </c>
      <c r="C179" s="267">
        <v>2450812.824802632</v>
      </c>
      <c r="D179" s="1951">
        <f t="shared" si="3"/>
        <v>8.8558026280820198E-2</v>
      </c>
      <c r="F179" s="407"/>
    </row>
    <row r="180" spans="1:7">
      <c r="A180" s="2578">
        <f t="shared" si="4"/>
        <v>1980</v>
      </c>
      <c r="B180" s="225">
        <v>28093507</v>
      </c>
      <c r="C180" s="267">
        <v>2478251.2522530649</v>
      </c>
      <c r="D180" s="1951">
        <f t="shared" si="3"/>
        <v>8.8214378228145915E-2</v>
      </c>
      <c r="F180" s="407"/>
    </row>
    <row r="181" spans="1:7">
      <c r="A181" s="2578">
        <f t="shared" si="4"/>
        <v>1981</v>
      </c>
      <c r="B181" s="225">
        <v>28524921</v>
      </c>
      <c r="C181" s="267">
        <v>2510570.8139027162</v>
      </c>
      <c r="D181" s="1951">
        <f t="shared" si="3"/>
        <v>8.8013243363678939E-2</v>
      </c>
      <c r="F181" s="407"/>
    </row>
    <row r="182" spans="1:7">
      <c r="A182" s="2578">
        <f t="shared" si="4"/>
        <v>1982</v>
      </c>
      <c r="B182" s="225">
        <v>28907602.932</v>
      </c>
      <c r="C182" s="267">
        <v>2538333.4046779471</v>
      </c>
      <c r="D182" s="1951">
        <f t="shared" si="3"/>
        <v>8.7808505279698398E-2</v>
      </c>
      <c r="F182" s="407"/>
    </row>
    <row r="183" spans="1:7">
      <c r="A183" s="2578">
        <f t="shared" si="4"/>
        <v>1983</v>
      </c>
      <c r="B183" s="225">
        <v>29323351.241999999</v>
      </c>
      <c r="C183" s="267">
        <v>2568729.8523432016</v>
      </c>
      <c r="D183" s="1951">
        <f t="shared" si="3"/>
        <v>8.7600146079619842E-2</v>
      </c>
      <c r="F183" s="407"/>
    </row>
    <row r="184" spans="1:7">
      <c r="A184" s="2578">
        <f t="shared" si="4"/>
        <v>1984</v>
      </c>
      <c r="B184" s="225">
        <v>29710021.41</v>
      </c>
      <c r="C184" s="267">
        <v>2596303.7051331806</v>
      </c>
      <c r="D184" s="1951">
        <f t="shared" si="3"/>
        <v>8.7388146555131704E-2</v>
      </c>
      <c r="F184" s="407"/>
    </row>
    <row r="185" spans="1:7">
      <c r="A185" s="2578">
        <f t="shared" si="4"/>
        <v>1985</v>
      </c>
      <c r="B185" s="225">
        <v>30123140.18</v>
      </c>
      <c r="C185" s="267">
        <v>2625909.0190790966</v>
      </c>
      <c r="D185" s="1951">
        <f t="shared" si="3"/>
        <v>8.717248611492856E-2</v>
      </c>
      <c r="F185" s="407"/>
    </row>
    <row r="186" spans="1:7">
      <c r="A186" s="2578">
        <f t="shared" si="4"/>
        <v>1986</v>
      </c>
      <c r="B186" s="225">
        <v>30502417.760000002</v>
      </c>
      <c r="C186" s="267">
        <v>2652281.0844887258</v>
      </c>
      <c r="D186" s="1951">
        <f t="shared" si="3"/>
        <v>8.6953142710111703E-2</v>
      </c>
      <c r="F186" s="407"/>
    </row>
    <row r="187" spans="1:7">
      <c r="A187" s="2578">
        <f>A186+1</f>
        <v>1987</v>
      </c>
      <c r="B187" s="225">
        <v>30911399.839000002</v>
      </c>
      <c r="C187" s="267">
        <v>2680948.5752581214</v>
      </c>
      <c r="D187" s="1951">
        <f t="shared" si="3"/>
        <v>8.6730092756124477E-2</v>
      </c>
      <c r="F187" s="407"/>
    </row>
    <row r="188" spans="1:7">
      <c r="A188" s="2578">
        <f t="shared" ref="A188:A204" si="5">A187+1</f>
        <v>1988</v>
      </c>
      <c r="B188" s="225">
        <v>31319984.52</v>
      </c>
      <c r="C188" s="267">
        <v>2709282.3630488948</v>
      </c>
      <c r="D188" s="1951">
        <f t="shared" si="3"/>
        <v>8.6503311051090354E-2</v>
      </c>
      <c r="F188" s="407"/>
    </row>
    <row r="189" spans="1:7">
      <c r="A189" s="2578">
        <f t="shared" si="5"/>
        <v>1989</v>
      </c>
      <c r="B189" s="225">
        <v>31760455.32</v>
      </c>
      <c r="C189" s="267">
        <v>2740062.4788457472</v>
      </c>
      <c r="D189" s="1951">
        <f t="shared" si="3"/>
        <v>8.6272770690421802E-2</v>
      </c>
      <c r="F189" s="407"/>
    </row>
    <row r="190" spans="1:7">
      <c r="A190" s="2578">
        <f t="shared" si="5"/>
        <v>1990</v>
      </c>
      <c r="B190" s="225">
        <v>32201824.050000001</v>
      </c>
      <c r="C190" s="267">
        <v>2770594.8022995857</v>
      </c>
      <c r="D190" s="1951">
        <f t="shared" si="3"/>
        <v>8.6038442977567464E-2</v>
      </c>
      <c r="F190" s="1309"/>
      <c r="G190" s="1309"/>
    </row>
    <row r="191" spans="1:7">
      <c r="A191" s="2579">
        <f t="shared" si="5"/>
        <v>1991</v>
      </c>
      <c r="B191" s="1952">
        <v>32615528</v>
      </c>
      <c r="C191" s="1308">
        <v>2798422</v>
      </c>
      <c r="D191" s="1953">
        <f t="shared" si="3"/>
        <v>8.5800297330768341E-2</v>
      </c>
      <c r="F191" s="1309"/>
      <c r="G191" s="1309"/>
    </row>
    <row r="192" spans="1:7">
      <c r="A192" s="2578">
        <f t="shared" si="5"/>
        <v>1992</v>
      </c>
      <c r="B192" s="225">
        <v>32962861.665310036</v>
      </c>
      <c r="C192" s="267">
        <v>2818629.3972762167</v>
      </c>
      <c r="D192" s="1951">
        <f t="shared" si="3"/>
        <v>8.5509244491431075E-2</v>
      </c>
      <c r="F192" s="1309"/>
      <c r="G192" s="1309"/>
    </row>
    <row r="193" spans="1:7">
      <c r="A193" s="2578">
        <f t="shared" si="5"/>
        <v>1993</v>
      </c>
      <c r="B193" s="225">
        <v>33313894.202981044</v>
      </c>
      <c r="C193" s="267">
        <v>2838845.0288502183</v>
      </c>
      <c r="D193" s="1951">
        <f t="shared" si="3"/>
        <v>8.5215046057154992E-2</v>
      </c>
      <c r="F193" s="1309"/>
      <c r="G193" s="1309"/>
    </row>
    <row r="194" spans="1:7">
      <c r="A194" s="2578">
        <f t="shared" si="5"/>
        <v>1994</v>
      </c>
      <c r="B194" s="225">
        <v>33668665.003541812</v>
      </c>
      <c r="C194" s="267">
        <v>2859067.5345733506</v>
      </c>
      <c r="D194" s="1951">
        <f t="shared" si="3"/>
        <v>8.4917757632284735E-2</v>
      </c>
      <c r="F194" s="1309"/>
      <c r="G194" s="1309"/>
    </row>
    <row r="195" spans="1:7">
      <c r="A195" s="2578">
        <f t="shared" si="5"/>
        <v>1995</v>
      </c>
      <c r="B195" s="225">
        <v>34027213.877004042</v>
      </c>
      <c r="C195" s="267">
        <v>2879295.5436092531</v>
      </c>
      <c r="D195" s="1951">
        <f t="shared" si="3"/>
        <v>8.4617434563313221E-2</v>
      </c>
      <c r="F195" s="1309"/>
      <c r="G195" s="1309"/>
    </row>
    <row r="196" spans="1:7">
      <c r="A196" s="2578">
        <f t="shared" si="5"/>
        <v>1996</v>
      </c>
      <c r="B196" s="225">
        <v>34389581.057329573</v>
      </c>
      <c r="C196" s="267">
        <v>2899527.674220046</v>
      </c>
      <c r="D196" s="1951">
        <f t="shared" si="3"/>
        <v>8.4314131928107897E-2</v>
      </c>
      <c r="F196" s="1309"/>
      <c r="G196" s="1309"/>
    </row>
    <row r="197" spans="1:7">
      <c r="A197" s="2578">
        <f t="shared" si="5"/>
        <v>1997</v>
      </c>
      <c r="B197" s="225">
        <v>34755807.206945144</v>
      </c>
      <c r="C197" s="267">
        <v>2919762.533552275</v>
      </c>
      <c r="D197" s="1951">
        <f t="shared" si="3"/>
        <v>8.40079045256307E-2</v>
      </c>
      <c r="F197" s="1309"/>
      <c r="G197" s="1309"/>
    </row>
    <row r="198" spans="1:7">
      <c r="A198" s="2578">
        <f t="shared" si="5"/>
        <v>1998</v>
      </c>
      <c r="B198" s="225">
        <v>35125933.421305284</v>
      </c>
      <c r="C198" s="267">
        <v>2939998.717422843</v>
      </c>
      <c r="D198" s="1951">
        <f t="shared" si="3"/>
        <v>8.3698806866143408E-2</v>
      </c>
      <c r="F198" s="1309"/>
      <c r="G198" s="1309"/>
    </row>
    <row r="199" spans="1:7">
      <c r="A199" s="2578">
        <f t="shared" si="5"/>
        <v>1999</v>
      </c>
      <c r="B199" s="225">
        <v>35500001.233503766</v>
      </c>
      <c r="C199" s="267">
        <v>2960234.8101051068</v>
      </c>
      <c r="D199" s="1951">
        <f t="shared" ref="D199:D204" si="6">C199/B199</f>
        <v>8.338689316188902E-2</v>
      </c>
      <c r="F199" s="1309"/>
      <c r="G199" s="1309"/>
    </row>
    <row r="200" spans="1:7">
      <c r="A200" s="2578">
        <f t="shared" si="5"/>
        <v>2000</v>
      </c>
      <c r="B200" s="225">
        <v>35878052.618934155</v>
      </c>
      <c r="C200" s="267">
        <v>2980469.3841153737</v>
      </c>
      <c r="D200" s="1951">
        <f t="shared" si="6"/>
        <v>8.3072217318240715E-2</v>
      </c>
      <c r="F200" s="1309"/>
      <c r="G200" s="1309"/>
    </row>
    <row r="201" spans="1:7">
      <c r="A201" s="2579">
        <f t="shared" si="5"/>
        <v>2001</v>
      </c>
      <c r="B201" s="1306">
        <v>36260130</v>
      </c>
      <c r="C201" s="1307">
        <v>3000700.9999999991</v>
      </c>
      <c r="D201" s="1954">
        <f t="shared" si="6"/>
        <v>8.2754832925309399E-2</v>
      </c>
      <c r="F201" s="1309"/>
      <c r="G201" s="1309"/>
    </row>
    <row r="202" spans="1:7">
      <c r="A202" s="2578">
        <f t="shared" si="5"/>
        <v>2002</v>
      </c>
      <c r="B202" s="457">
        <f>B201*1.013261</f>
        <v>36740975.583930001</v>
      </c>
      <c r="C202" s="457">
        <f>C201*1.00918</f>
        <v>3028247.4351799991</v>
      </c>
      <c r="D202" s="1951">
        <f t="shared" si="6"/>
        <v>8.2421530377231281E-2</v>
      </c>
      <c r="F202" s="1309"/>
      <c r="G202" s="1309"/>
    </row>
    <row r="203" spans="1:7">
      <c r="A203" s="2578">
        <f t="shared" si="5"/>
        <v>2003</v>
      </c>
      <c r="B203" s="457">
        <f t="shared" ref="B203:B209" si="7">B202*1.013261</f>
        <v>37228197.661148496</v>
      </c>
      <c r="C203" s="457">
        <f t="shared" ref="C203:C209" si="8">C202*1.00918</f>
        <v>3056046.7466349513</v>
      </c>
      <c r="D203" s="1951">
        <f t="shared" si="6"/>
        <v>8.2089570235205203E-2</v>
      </c>
      <c r="F203" s="1309"/>
      <c r="G203" s="1309"/>
    </row>
    <row r="204" spans="1:7">
      <c r="A204" s="2578">
        <f t="shared" si="5"/>
        <v>2004</v>
      </c>
      <c r="B204" s="457">
        <f t="shared" si="7"/>
        <v>37721880.790332988</v>
      </c>
      <c r="C204" s="457">
        <f t="shared" si="8"/>
        <v>3084101.25576906</v>
      </c>
      <c r="D204" s="1951">
        <f t="shared" si="6"/>
        <v>8.1758947092569798E-2</v>
      </c>
      <c r="F204" s="1309"/>
      <c r="G204" s="1309"/>
    </row>
    <row r="205" spans="1:7">
      <c r="A205" s="2578">
        <f>A204+1</f>
        <v>2005</v>
      </c>
      <c r="B205" s="457">
        <f t="shared" si="7"/>
        <v>38222110.651493594</v>
      </c>
      <c r="C205" s="457">
        <f t="shared" si="8"/>
        <v>3112413.3052970199</v>
      </c>
      <c r="D205" s="1951">
        <f t="shared" ref="D205:D240" si="9">C205/B205</f>
        <v>8.1429655564439554E-2</v>
      </c>
      <c r="F205" s="1309"/>
      <c r="G205" s="1309"/>
    </row>
    <row r="206" spans="1:7">
      <c r="A206" s="2578">
        <f t="shared" ref="A206:A255" si="10">A205+1</f>
        <v>2006</v>
      </c>
      <c r="B206" s="457">
        <f t="shared" si="7"/>
        <v>38728974.06084305</v>
      </c>
      <c r="C206" s="457">
        <f t="shared" si="8"/>
        <v>3140985.2594396463</v>
      </c>
      <c r="D206" s="1951">
        <f t="shared" si="9"/>
        <v>8.1101690287617018E-2</v>
      </c>
      <c r="F206" s="1309"/>
      <c r="G206" s="1309"/>
    </row>
    <row r="207" spans="1:7">
      <c r="A207" s="2578">
        <f t="shared" si="10"/>
        <v>2007</v>
      </c>
      <c r="B207" s="457">
        <f t="shared" si="7"/>
        <v>39242558.985863887</v>
      </c>
      <c r="C207" s="457">
        <f t="shared" si="8"/>
        <v>3169819.5041213022</v>
      </c>
      <c r="D207" s="1951">
        <f t="shared" si="9"/>
        <v>8.0775045920505523E-2</v>
      </c>
      <c r="F207" s="1309"/>
      <c r="G207" s="1309"/>
    </row>
    <row r="208" spans="1:7">
      <c r="A208" s="2578">
        <f t="shared" si="10"/>
        <v>2008</v>
      </c>
      <c r="B208" s="457">
        <f t="shared" si="7"/>
        <v>39762954.560575426</v>
      </c>
      <c r="C208" s="457">
        <f t="shared" si="8"/>
        <v>3198918.4471691358</v>
      </c>
      <c r="D208" s="1951">
        <f t="shared" si="9"/>
        <v>8.0449717143022154E-2</v>
      </c>
      <c r="F208" s="1309"/>
      <c r="G208" s="1309"/>
    </row>
    <row r="209" spans="1:7">
      <c r="A209" s="2578">
        <f t="shared" si="10"/>
        <v>2009</v>
      </c>
      <c r="B209" s="457">
        <f t="shared" si="7"/>
        <v>40290251.101003215</v>
      </c>
      <c r="C209" s="457">
        <f t="shared" si="8"/>
        <v>3228284.5185141484</v>
      </c>
      <c r="D209" s="1951">
        <f t="shared" si="9"/>
        <v>8.0125698656511105E-2</v>
      </c>
      <c r="F209" s="1309"/>
      <c r="G209" s="1309"/>
    </row>
    <row r="210" spans="1:7">
      <c r="A210" s="2579">
        <f t="shared" si="10"/>
        <v>2010</v>
      </c>
      <c r="B210" s="1306">
        <v>40788453</v>
      </c>
      <c r="C210" s="1307">
        <v>3257907</v>
      </c>
      <c r="D210" s="1954">
        <f t="shared" si="9"/>
        <v>7.9873267073894666E-2</v>
      </c>
      <c r="F210" s="1309"/>
      <c r="G210" s="1310"/>
    </row>
    <row r="211" spans="1:7">
      <c r="A211" s="2578">
        <f t="shared" si="10"/>
        <v>2011</v>
      </c>
      <c r="B211" s="225">
        <v>41261490</v>
      </c>
      <c r="C211" s="225">
        <v>3285408</v>
      </c>
      <c r="D211" s="1951">
        <f t="shared" si="9"/>
        <v>7.9624075621117896E-2</v>
      </c>
      <c r="F211" s="1305"/>
      <c r="G211" s="1305"/>
    </row>
    <row r="212" spans="1:7">
      <c r="A212" s="2578">
        <f t="shared" si="10"/>
        <v>2012</v>
      </c>
      <c r="B212" s="225">
        <v>41733271</v>
      </c>
      <c r="C212" s="225">
        <v>3313212</v>
      </c>
      <c r="D212" s="1951">
        <f t="shared" si="9"/>
        <v>7.9390182475751775E-2</v>
      </c>
      <c r="F212" s="1305"/>
      <c r="G212" s="1305"/>
    </row>
    <row r="213" spans="1:7">
      <c r="A213" s="2578">
        <f t="shared" si="10"/>
        <v>2013</v>
      </c>
      <c r="B213" s="225">
        <v>42202935</v>
      </c>
      <c r="C213" s="225">
        <v>3341228</v>
      </c>
      <c r="D213" s="1951">
        <f t="shared" si="9"/>
        <v>7.9170512666950771E-2</v>
      </c>
      <c r="F213" s="1305"/>
      <c r="G213" s="1305"/>
    </row>
    <row r="214" spans="1:7">
      <c r="A214" s="2578">
        <f t="shared" si="10"/>
        <v>2014</v>
      </c>
      <c r="B214" s="225">
        <v>42669500</v>
      </c>
      <c r="C214" s="225">
        <v>3369365</v>
      </c>
      <c r="D214" s="1951">
        <f t="shared" si="9"/>
        <v>7.8964248467875184E-2</v>
      </c>
      <c r="F214" s="1305"/>
      <c r="G214" s="1305"/>
    </row>
    <row r="215" spans="1:7">
      <c r="A215" s="2578">
        <f t="shared" si="10"/>
        <v>2015</v>
      </c>
      <c r="B215" s="225">
        <v>43131966</v>
      </c>
      <c r="C215" s="225">
        <v>3397532</v>
      </c>
      <c r="D215" s="1951">
        <f t="shared" si="9"/>
        <v>7.8770626871031105E-2</v>
      </c>
      <c r="F215" s="1305"/>
      <c r="G215" s="1305"/>
    </row>
    <row r="216" spans="1:7">
      <c r="A216" s="2578">
        <f t="shared" si="10"/>
        <v>2016</v>
      </c>
      <c r="B216" s="225">
        <v>43590368</v>
      </c>
      <c r="C216" s="225">
        <v>3425656</v>
      </c>
      <c r="D216" s="1951">
        <f t="shared" si="9"/>
        <v>7.8587453081377975E-2</v>
      </c>
      <c r="F216" s="1305"/>
      <c r="G216" s="1305"/>
    </row>
    <row r="217" spans="1:7">
      <c r="A217" s="2578">
        <f t="shared" si="10"/>
        <v>2017</v>
      </c>
      <c r="B217" s="225">
        <v>44044811</v>
      </c>
      <c r="C217" s="225">
        <v>3453674</v>
      </c>
      <c r="D217" s="1951">
        <f t="shared" si="9"/>
        <v>7.8412732886968234E-2</v>
      </c>
      <c r="F217" s="1305"/>
      <c r="G217" s="1305"/>
    </row>
    <row r="218" spans="1:7">
      <c r="A218" s="2578">
        <f t="shared" si="10"/>
        <v>2018</v>
      </c>
      <c r="B218" s="225">
        <v>44494502</v>
      </c>
      <c r="C218" s="225">
        <v>3481514</v>
      </c>
      <c r="D218" s="1951">
        <f t="shared" si="9"/>
        <v>7.8245936992395154E-2</v>
      </c>
      <c r="F218" s="1305"/>
      <c r="G218" s="1305"/>
    </row>
    <row r="219" spans="1:7">
      <c r="A219" s="2578">
        <f t="shared" si="10"/>
        <v>2019</v>
      </c>
      <c r="B219" s="225">
        <v>44938712</v>
      </c>
      <c r="C219" s="225">
        <v>3509113</v>
      </c>
      <c r="D219" s="1951">
        <f t="shared" si="9"/>
        <v>7.8086639421263343E-2</v>
      </c>
      <c r="F219" s="1305"/>
      <c r="G219" s="1305"/>
    </row>
    <row r="220" spans="1:7">
      <c r="A220" s="2578">
        <f t="shared" si="10"/>
        <v>2020</v>
      </c>
      <c r="B220" s="225">
        <v>45376763</v>
      </c>
      <c r="C220" s="225">
        <v>3536418</v>
      </c>
      <c r="D220" s="1951">
        <f t="shared" si="9"/>
        <v>7.7934558707944857E-2</v>
      </c>
      <c r="F220" s="1305"/>
      <c r="G220" s="1305"/>
    </row>
    <row r="221" spans="1:7">
      <c r="A221" s="2578">
        <f t="shared" si="10"/>
        <v>2021</v>
      </c>
      <c r="B221" s="225">
        <v>45808747</v>
      </c>
      <c r="C221" s="225">
        <v>3563390</v>
      </c>
      <c r="D221" s="1951">
        <f t="shared" si="9"/>
        <v>7.7788418879913918E-2</v>
      </c>
      <c r="F221" s="1305"/>
      <c r="G221" s="1305"/>
    </row>
    <row r="222" spans="1:7">
      <c r="A222" s="2579">
        <f t="shared" si="10"/>
        <v>2022</v>
      </c>
      <c r="B222" s="1306">
        <v>46234830</v>
      </c>
      <c r="C222" s="1307">
        <v>3589999</v>
      </c>
      <c r="D222" s="1954">
        <f t="shared" si="9"/>
        <v>7.7647068238382189E-2</v>
      </c>
      <c r="F222" s="1309"/>
      <c r="G222" s="1309"/>
    </row>
    <row r="223" spans="1:7">
      <c r="A223" s="2578">
        <f t="shared" si="10"/>
        <v>2023</v>
      </c>
      <c r="B223" s="225">
        <v>46654581</v>
      </c>
      <c r="C223" s="225">
        <v>3616227</v>
      </c>
      <c r="D223" s="1951">
        <f t="shared" si="9"/>
        <v>7.7510652169397898E-2</v>
      </c>
      <c r="F223" s="2526"/>
      <c r="G223" s="1309"/>
    </row>
    <row r="224" spans="1:7">
      <c r="A224" s="2578">
        <f t="shared" si="10"/>
        <v>2024</v>
      </c>
      <c r="B224" s="225">
        <v>47067641</v>
      </c>
      <c r="C224" s="225">
        <v>3642063</v>
      </c>
      <c r="D224" s="1951">
        <f t="shared" si="9"/>
        <v>7.7379340086323856E-2</v>
      </c>
      <c r="F224" s="1309"/>
      <c r="G224" s="1309"/>
    </row>
    <row r="225" spans="1:7">
      <c r="A225" s="2578">
        <f t="shared" si="10"/>
        <v>2025</v>
      </c>
      <c r="B225" s="225">
        <v>47473760</v>
      </c>
      <c r="C225" s="225">
        <v>3667505</v>
      </c>
      <c r="D225" s="1951">
        <f t="shared" si="9"/>
        <v>7.7253307932634782E-2</v>
      </c>
      <c r="F225" s="1309"/>
      <c r="G225" s="1309"/>
    </row>
    <row r="226" spans="1:7">
      <c r="A226" s="2578">
        <f t="shared" si="10"/>
        <v>2026</v>
      </c>
      <c r="B226" s="225">
        <v>47873268</v>
      </c>
      <c r="C226" s="225">
        <v>3692543</v>
      </c>
      <c r="D226" s="1951">
        <f t="shared" si="9"/>
        <v>7.7131625942060189E-2</v>
      </c>
      <c r="F226" s="1309"/>
      <c r="G226" s="1309"/>
    </row>
    <row r="227" spans="1:7">
      <c r="A227" s="2578">
        <f t="shared" si="10"/>
        <v>2027</v>
      </c>
      <c r="B227" s="225">
        <v>48266524</v>
      </c>
      <c r="C227" s="225">
        <v>3717160</v>
      </c>
      <c r="D227" s="1951">
        <f>C227/B227</f>
        <v>7.7013211061148723E-2</v>
      </c>
      <c r="F227" s="1309"/>
      <c r="G227" s="1309"/>
    </row>
    <row r="228" spans="1:7">
      <c r="A228" s="2578">
        <f t="shared" si="10"/>
        <v>2028</v>
      </c>
      <c r="B228" s="225">
        <v>48653385</v>
      </c>
      <c r="C228" s="225">
        <v>3741348</v>
      </c>
      <c r="D228" s="1951">
        <f t="shared" si="9"/>
        <v>7.6898000005549458E-2</v>
      </c>
      <c r="F228" s="1309"/>
      <c r="G228" s="1309"/>
    </row>
    <row r="229" spans="1:7">
      <c r="A229" s="2578">
        <f t="shared" si="10"/>
        <v>2029</v>
      </c>
      <c r="B229" s="225">
        <v>49033678</v>
      </c>
      <c r="C229" s="225">
        <v>3765111</v>
      </c>
      <c r="D229" s="1951">
        <f t="shared" si="9"/>
        <v>7.6786224357879088E-2</v>
      </c>
      <c r="F229" s="1309"/>
      <c r="G229" s="1309"/>
    </row>
    <row r="230" spans="1:7">
      <c r="A230" s="2578">
        <f t="shared" si="10"/>
        <v>2030</v>
      </c>
      <c r="B230" s="225">
        <v>49407265</v>
      </c>
      <c r="C230" s="225">
        <v>3788453</v>
      </c>
      <c r="D230" s="1951">
        <f t="shared" si="9"/>
        <v>7.6678055342670762E-2</v>
      </c>
      <c r="F230" s="1309"/>
      <c r="G230" s="1309"/>
    </row>
    <row r="231" spans="1:7">
      <c r="A231" s="2578">
        <f t="shared" si="10"/>
        <v>2031</v>
      </c>
      <c r="B231" s="225">
        <v>49774276</v>
      </c>
      <c r="C231" s="225">
        <v>3811368</v>
      </c>
      <c r="D231" s="1951">
        <f t="shared" si="9"/>
        <v>7.6573047491439158E-2</v>
      </c>
      <c r="F231" s="1309"/>
      <c r="G231" s="1309"/>
    </row>
    <row r="232" spans="1:7">
      <c r="A232" s="2578">
        <f t="shared" si="10"/>
        <v>2032</v>
      </c>
      <c r="B232" s="225">
        <v>50134861</v>
      </c>
      <c r="C232" s="225">
        <v>3833857</v>
      </c>
      <c r="D232" s="1951">
        <f t="shared" si="9"/>
        <v>7.6470881209783348E-2</v>
      </c>
      <c r="F232" s="1309"/>
      <c r="G232" s="1309"/>
    </row>
    <row r="233" spans="1:7">
      <c r="A233" s="2578">
        <f t="shared" si="10"/>
        <v>2033</v>
      </c>
      <c r="B233" s="225">
        <v>50488930</v>
      </c>
      <c r="C233" s="225">
        <v>3855933</v>
      </c>
      <c r="D233" s="1951">
        <f t="shared" si="9"/>
        <v>7.6371850225386034E-2</v>
      </c>
      <c r="F233" s="1309"/>
      <c r="G233" s="1309"/>
    </row>
    <row r="234" spans="1:7">
      <c r="A234" s="2578">
        <f t="shared" si="10"/>
        <v>2034</v>
      </c>
      <c r="B234" s="225">
        <v>50836373</v>
      </c>
      <c r="C234" s="225">
        <v>3877606</v>
      </c>
      <c r="D234" s="1951">
        <f t="shared" si="9"/>
        <v>7.6276212703058108E-2</v>
      </c>
      <c r="F234" s="1309"/>
      <c r="G234" s="1309"/>
    </row>
    <row r="235" spans="1:7">
      <c r="A235" s="2578">
        <f t="shared" si="10"/>
        <v>2035</v>
      </c>
      <c r="B235" s="225">
        <v>51177087</v>
      </c>
      <c r="C235" s="225">
        <v>3898888</v>
      </c>
      <c r="D235" s="1951">
        <f t="shared" si="9"/>
        <v>7.6184250189933633E-2</v>
      </c>
      <c r="F235" s="1309"/>
      <c r="G235" s="1309"/>
    </row>
    <row r="236" spans="1:7">
      <c r="A236" s="2578">
        <f t="shared" si="10"/>
        <v>2036</v>
      </c>
      <c r="B236" s="225">
        <v>51511042</v>
      </c>
      <c r="C236" s="225">
        <v>3919780</v>
      </c>
      <c r="D236" s="1951">
        <f t="shared" si="9"/>
        <v>7.609591745397036E-2</v>
      </c>
      <c r="F236" s="1309"/>
      <c r="G236" s="1309"/>
    </row>
    <row r="237" spans="1:7">
      <c r="A237" s="2578">
        <f t="shared" si="10"/>
        <v>2037</v>
      </c>
      <c r="B237" s="225">
        <v>51838245</v>
      </c>
      <c r="C237" s="225">
        <v>3940283</v>
      </c>
      <c r="D237" s="1951">
        <f t="shared" si="9"/>
        <v>7.6011118817776335E-2</v>
      </c>
      <c r="F237" s="1309"/>
      <c r="G237" s="1309"/>
    </row>
    <row r="238" spans="1:7">
      <c r="A238" s="2578">
        <f t="shared" si="10"/>
        <v>2038</v>
      </c>
      <c r="B238" s="225">
        <v>52158610</v>
      </c>
      <c r="C238" s="225">
        <v>3960409</v>
      </c>
      <c r="D238" s="1951">
        <f t="shared" si="9"/>
        <v>7.5930110100710116E-2</v>
      </c>
      <c r="F238" s="1309"/>
      <c r="G238" s="1309"/>
    </row>
    <row r="239" spans="1:7">
      <c r="A239" s="2578">
        <f t="shared" si="10"/>
        <v>2039</v>
      </c>
      <c r="B239" s="225">
        <v>52472054</v>
      </c>
      <c r="C239" s="225">
        <v>3980166</v>
      </c>
      <c r="D239" s="1951">
        <f t="shared" si="9"/>
        <v>7.5853062660745083E-2</v>
      </c>
      <c r="F239" s="1309"/>
      <c r="G239" s="1309"/>
    </row>
    <row r="240" spans="1:7">
      <c r="A240" s="2578">
        <f t="shared" si="10"/>
        <v>2040</v>
      </c>
      <c r="B240" s="225">
        <v>52778477</v>
      </c>
      <c r="C240" s="225">
        <v>3999563</v>
      </c>
      <c r="D240" s="1951">
        <f t="shared" si="9"/>
        <v>7.5780189716349713E-2</v>
      </c>
      <c r="F240" s="1309"/>
      <c r="G240" s="1309"/>
    </row>
    <row r="241" spans="1:4">
      <c r="A241" s="2578">
        <f t="shared" si="10"/>
        <v>2041</v>
      </c>
      <c r="B241" s="225" t="e">
        <v>#N/A</v>
      </c>
      <c r="C241" s="267" t="e">
        <v>#N/A</v>
      </c>
      <c r="D241" s="1951" t="e">
        <v>#N/A</v>
      </c>
    </row>
    <row r="242" spans="1:4">
      <c r="A242" s="2578">
        <f t="shared" si="10"/>
        <v>2042</v>
      </c>
      <c r="B242" s="225" t="e">
        <v>#N/A</v>
      </c>
      <c r="C242" s="267" t="e">
        <v>#N/A</v>
      </c>
      <c r="D242" s="1951" t="e">
        <v>#N/A</v>
      </c>
    </row>
    <row r="243" spans="1:4">
      <c r="A243" s="2578">
        <f t="shared" si="10"/>
        <v>2043</v>
      </c>
      <c r="B243" s="225" t="e">
        <v>#N/A</v>
      </c>
      <c r="C243" s="267" t="e">
        <v>#N/A</v>
      </c>
      <c r="D243" s="1951" t="e">
        <v>#N/A</v>
      </c>
    </row>
    <row r="244" spans="1:4">
      <c r="A244" s="2578">
        <f t="shared" si="10"/>
        <v>2044</v>
      </c>
      <c r="B244" s="225" t="e">
        <v>#N/A</v>
      </c>
      <c r="C244" s="267" t="e">
        <v>#N/A</v>
      </c>
      <c r="D244" s="1951" t="e">
        <v>#N/A</v>
      </c>
    </row>
    <row r="245" spans="1:4">
      <c r="A245" s="2578">
        <f t="shared" si="10"/>
        <v>2045</v>
      </c>
      <c r="B245" s="225" t="e">
        <v>#N/A</v>
      </c>
      <c r="C245" s="267" t="e">
        <v>#N/A</v>
      </c>
      <c r="D245" s="1951" t="e">
        <v>#N/A</v>
      </c>
    </row>
    <row r="246" spans="1:4">
      <c r="A246" s="2578">
        <f t="shared" si="10"/>
        <v>2046</v>
      </c>
      <c r="B246" s="225" t="e">
        <v>#N/A</v>
      </c>
      <c r="C246" s="267" t="e">
        <v>#N/A</v>
      </c>
      <c r="D246" s="1951" t="e">
        <v>#N/A</v>
      </c>
    </row>
    <row r="247" spans="1:4">
      <c r="A247" s="2578">
        <f t="shared" si="10"/>
        <v>2047</v>
      </c>
      <c r="B247" s="225" t="e">
        <v>#N/A</v>
      </c>
      <c r="C247" s="267" t="e">
        <v>#N/A</v>
      </c>
      <c r="D247" s="1951" t="e">
        <v>#N/A</v>
      </c>
    </row>
    <row r="248" spans="1:4">
      <c r="A248" s="2578">
        <f t="shared" si="10"/>
        <v>2048</v>
      </c>
      <c r="B248" s="225" t="e">
        <v>#N/A</v>
      </c>
      <c r="C248" s="267" t="e">
        <v>#N/A</v>
      </c>
      <c r="D248" s="1951" t="e">
        <v>#N/A</v>
      </c>
    </row>
    <row r="249" spans="1:4">
      <c r="A249" s="2578">
        <f t="shared" si="10"/>
        <v>2049</v>
      </c>
      <c r="B249" s="225" t="e">
        <v>#N/A</v>
      </c>
      <c r="C249" s="267" t="e">
        <v>#N/A</v>
      </c>
      <c r="D249" s="1951" t="e">
        <v>#N/A</v>
      </c>
    </row>
    <row r="250" spans="1:4">
      <c r="A250" s="2578">
        <f t="shared" si="10"/>
        <v>2050</v>
      </c>
      <c r="B250" s="225" t="e">
        <v>#N/A</v>
      </c>
      <c r="C250" s="267" t="e">
        <v>#N/A</v>
      </c>
      <c r="D250" s="1951" t="e">
        <v>#N/A</v>
      </c>
    </row>
    <row r="251" spans="1:4">
      <c r="A251" s="2578">
        <f t="shared" si="10"/>
        <v>2051</v>
      </c>
      <c r="B251" s="225" t="e">
        <v>#N/A</v>
      </c>
      <c r="C251" s="267" t="e">
        <v>#N/A</v>
      </c>
      <c r="D251" s="1951" t="e">
        <v>#N/A</v>
      </c>
    </row>
    <row r="252" spans="1:4">
      <c r="A252" s="2578">
        <f t="shared" si="10"/>
        <v>2052</v>
      </c>
      <c r="B252" s="225" t="e">
        <v>#N/A</v>
      </c>
      <c r="C252" s="267" t="e">
        <v>#N/A</v>
      </c>
      <c r="D252" s="1951" t="e">
        <v>#N/A</v>
      </c>
    </row>
    <row r="253" spans="1:4">
      <c r="A253" s="2578">
        <f t="shared" si="10"/>
        <v>2053</v>
      </c>
      <c r="B253" s="225" t="e">
        <v>#N/A</v>
      </c>
      <c r="C253" s="267" t="e">
        <v>#N/A</v>
      </c>
      <c r="D253" s="1951" t="e">
        <v>#N/A</v>
      </c>
    </row>
    <row r="254" spans="1:4">
      <c r="A254" s="2578">
        <f t="shared" si="10"/>
        <v>2054</v>
      </c>
      <c r="B254" s="225" t="e">
        <v>#N/A</v>
      </c>
      <c r="C254" s="267" t="e">
        <v>#N/A</v>
      </c>
      <c r="D254" s="1951" t="e">
        <v>#N/A</v>
      </c>
    </row>
    <row r="255" spans="1:4">
      <c r="A255" s="2578">
        <f t="shared" si="10"/>
        <v>2055</v>
      </c>
      <c r="B255" s="225" t="e">
        <v>#N/A</v>
      </c>
      <c r="C255" s="267" t="e">
        <v>#N/A</v>
      </c>
      <c r="D255" s="1951" t="e">
        <v>#N/A</v>
      </c>
    </row>
    <row r="960" spans="1:2">
      <c r="A960" s="1798"/>
      <c r="B960" s="1798"/>
    </row>
    <row r="961" spans="1:2">
      <c r="A961" s="1798"/>
      <c r="B961" s="1798"/>
    </row>
    <row r="962" spans="1:2">
      <c r="A962" s="1798"/>
      <c r="B962" s="1798"/>
    </row>
    <row r="963" spans="1:2">
      <c r="A963" s="1798"/>
      <c r="B963" s="1798"/>
    </row>
  </sheetData>
  <hyperlinks>
    <hyperlink ref="A5" location="INDICE!A13" display="VOLVER AL INDICE" xr:uid="{00000000-0004-0000-1400-000000000000}"/>
  </hyperlink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2"/>
  <dimension ref="A1:M489"/>
  <sheetViews>
    <sheetView zoomScale="130" zoomScaleNormal="130" workbookViewId="0">
      <pane xSplit="1" ySplit="9" topLeftCell="B411"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3" width="22.5703125" style="24" customWidth="1"/>
    <col min="4" max="4" width="16.5703125" style="24" customWidth="1"/>
    <col min="5" max="5" width="22" style="24" customWidth="1"/>
    <col min="6" max="6" width="22.5703125" style="24" customWidth="1"/>
    <col min="7" max="7" width="11.42578125" style="9"/>
    <col min="8" max="8" width="14.85546875" style="9" bestFit="1" customWidth="1"/>
    <col min="9" max="9" width="16.5703125" style="9" bestFit="1" customWidth="1"/>
    <col min="10" max="16384" width="11.42578125" style="9"/>
  </cols>
  <sheetData>
    <row r="1" spans="1:6" ht="3" customHeight="1">
      <c r="A1" s="2373"/>
      <c r="B1" s="1955"/>
      <c r="C1" s="2268"/>
      <c r="D1" s="1956"/>
      <c r="E1" s="1957"/>
      <c r="F1" s="1550"/>
    </row>
    <row r="2" spans="1:6" ht="45">
      <c r="A2" s="2373" t="s">
        <v>105</v>
      </c>
      <c r="B2" s="66" t="s">
        <v>689</v>
      </c>
      <c r="C2" s="2379" t="s">
        <v>690</v>
      </c>
      <c r="D2" s="2379"/>
      <c r="E2" s="1958" t="s">
        <v>691</v>
      </c>
      <c r="F2" s="378" t="s">
        <v>692</v>
      </c>
    </row>
    <row r="3" spans="1:6" ht="33.75">
      <c r="A3" s="2373" t="s">
        <v>212</v>
      </c>
      <c r="B3" s="66" t="s">
        <v>693</v>
      </c>
      <c r="C3" s="2379"/>
      <c r="D3" s="2379"/>
      <c r="E3" s="1959" t="s">
        <v>694</v>
      </c>
      <c r="F3" s="378" t="s">
        <v>695</v>
      </c>
    </row>
    <row r="4" spans="1:6" ht="3" hidden="1" customHeight="1">
      <c r="A4" s="104"/>
      <c r="B4" s="1960"/>
      <c r="C4" s="410" t="s">
        <v>5</v>
      </c>
      <c r="D4" s="410"/>
      <c r="E4" s="1961"/>
      <c r="F4" s="89"/>
    </row>
    <row r="5" spans="1:6" ht="33.75">
      <c r="A5" s="2390" t="s">
        <v>137</v>
      </c>
      <c r="B5" s="1962" t="s">
        <v>696</v>
      </c>
      <c r="C5" s="6" t="s">
        <v>697</v>
      </c>
      <c r="D5" s="6" t="s">
        <v>697</v>
      </c>
      <c r="E5" s="1942" t="s">
        <v>698</v>
      </c>
      <c r="F5" s="1" t="s">
        <v>699</v>
      </c>
    </row>
    <row r="6" spans="1:6" ht="3" hidden="1" customHeight="1">
      <c r="A6" s="104"/>
      <c r="B6" s="1960"/>
      <c r="C6" s="410"/>
      <c r="D6" s="410"/>
      <c r="E6" s="1961"/>
      <c r="F6" s="89"/>
    </row>
    <row r="7" spans="1:6" ht="22.5">
      <c r="A7" s="2373" t="s">
        <v>123</v>
      </c>
      <c r="B7" s="112" t="s">
        <v>700</v>
      </c>
      <c r="C7" s="2432" t="s">
        <v>358</v>
      </c>
      <c r="D7" s="2432" t="s">
        <v>701</v>
      </c>
      <c r="E7" s="1963" t="s">
        <v>129</v>
      </c>
      <c r="F7" s="408" t="s">
        <v>702</v>
      </c>
    </row>
    <row r="8" spans="1:6" ht="13.5" thickBot="1">
      <c r="A8" s="105" t="s">
        <v>141</v>
      </c>
      <c r="B8" s="149" t="s">
        <v>703</v>
      </c>
      <c r="C8" s="2400" t="s">
        <v>704</v>
      </c>
      <c r="D8" s="2400" t="s">
        <v>705</v>
      </c>
      <c r="E8" s="1964" t="s">
        <v>706</v>
      </c>
      <c r="F8" s="148" t="s">
        <v>707</v>
      </c>
    </row>
    <row r="9" spans="1:6" ht="13.5" hidden="1" thickBot="1">
      <c r="A9" s="72"/>
      <c r="B9" s="1965"/>
      <c r="C9" s="1946"/>
      <c r="D9" s="1946"/>
      <c r="E9" s="1966"/>
      <c r="F9" s="1967"/>
    </row>
    <row r="10" spans="1:6">
      <c r="A10" s="67">
        <v>1991.01</v>
      </c>
      <c r="B10" s="193">
        <v>128926860</v>
      </c>
      <c r="C10" s="197"/>
      <c r="D10" s="197"/>
      <c r="E10" s="435"/>
      <c r="F10" s="433"/>
    </row>
    <row r="11" spans="1:6">
      <c r="A11" s="63">
        <v>1991.02</v>
      </c>
      <c r="B11" s="58">
        <v>108608079</v>
      </c>
      <c r="C11" s="430"/>
      <c r="D11" s="430"/>
      <c r="E11" s="436"/>
      <c r="F11" s="115"/>
    </row>
    <row r="12" spans="1:6">
      <c r="A12" s="63">
        <v>1991.03</v>
      </c>
      <c r="B12" s="58">
        <v>105015628</v>
      </c>
      <c r="C12" s="430"/>
      <c r="D12" s="430"/>
      <c r="E12" s="436"/>
      <c r="F12" s="115"/>
    </row>
    <row r="13" spans="1:6">
      <c r="A13" s="63">
        <v>1991.04</v>
      </c>
      <c r="B13" s="58">
        <v>99343516</v>
      </c>
      <c r="C13" s="430"/>
      <c r="D13" s="430"/>
      <c r="E13" s="436"/>
      <c r="F13" s="115"/>
    </row>
    <row r="14" spans="1:6">
      <c r="A14" s="63">
        <v>1991.05</v>
      </c>
      <c r="B14" s="58">
        <v>100696627</v>
      </c>
      <c r="C14" s="430"/>
      <c r="D14" s="430"/>
      <c r="E14" s="436"/>
      <c r="F14" s="115"/>
    </row>
    <row r="15" spans="1:6">
      <c r="A15" s="63">
        <v>1991.06</v>
      </c>
      <c r="B15" s="58">
        <v>96864242</v>
      </c>
      <c r="C15" s="430"/>
      <c r="D15" s="430"/>
      <c r="E15" s="436"/>
      <c r="F15" s="115"/>
    </row>
    <row r="16" spans="1:6">
      <c r="A16" s="63">
        <v>1991.07</v>
      </c>
      <c r="B16" s="58">
        <v>112008590</v>
      </c>
      <c r="C16" s="430"/>
      <c r="D16" s="430"/>
      <c r="E16" s="436"/>
      <c r="F16" s="115"/>
    </row>
    <row r="17" spans="1:6">
      <c r="A17" s="63">
        <v>1991.08</v>
      </c>
      <c r="B17" s="58">
        <v>117656877</v>
      </c>
      <c r="C17" s="430"/>
      <c r="D17" s="430"/>
      <c r="E17" s="436"/>
      <c r="F17" s="115"/>
    </row>
    <row r="18" spans="1:6">
      <c r="A18" s="63">
        <v>1991.09</v>
      </c>
      <c r="B18" s="58">
        <v>122702739</v>
      </c>
      <c r="C18" s="430"/>
      <c r="D18" s="430"/>
      <c r="E18" s="436"/>
      <c r="F18" s="115"/>
    </row>
    <row r="19" spans="1:6">
      <c r="A19" s="63">
        <v>1991.1</v>
      </c>
      <c r="B19" s="58">
        <v>141539355</v>
      </c>
      <c r="C19" s="430"/>
      <c r="D19" s="430"/>
      <c r="E19" s="436"/>
      <c r="F19" s="115"/>
    </row>
    <row r="20" spans="1:6">
      <c r="A20" s="63">
        <v>1991.11</v>
      </c>
      <c r="B20" s="58">
        <v>141261703</v>
      </c>
      <c r="C20" s="430"/>
      <c r="D20" s="430"/>
      <c r="E20" s="436"/>
      <c r="F20" s="115"/>
    </row>
    <row r="21" spans="1:6">
      <c r="A21" s="63">
        <v>1991.12</v>
      </c>
      <c r="B21" s="58">
        <v>139349960</v>
      </c>
      <c r="C21" s="430"/>
      <c r="D21" s="430"/>
      <c r="E21" s="436"/>
      <c r="F21" s="115"/>
    </row>
    <row r="22" spans="1:6">
      <c r="A22" s="63">
        <v>1992.01</v>
      </c>
      <c r="B22" s="58">
        <v>131027567</v>
      </c>
      <c r="C22" s="430"/>
      <c r="D22" s="430"/>
      <c r="E22" s="436"/>
      <c r="F22" s="115"/>
    </row>
    <row r="23" spans="1:6">
      <c r="A23" s="63">
        <v>1992.02</v>
      </c>
      <c r="B23" s="58">
        <v>112415384</v>
      </c>
      <c r="C23" s="430"/>
      <c r="D23" s="430"/>
      <c r="E23" s="436"/>
      <c r="F23" s="115"/>
    </row>
    <row r="24" spans="1:6">
      <c r="A24" s="63">
        <v>1992.03</v>
      </c>
      <c r="B24" s="58">
        <v>107799234</v>
      </c>
      <c r="C24" s="430"/>
      <c r="D24" s="430"/>
      <c r="E24" s="436"/>
      <c r="F24" s="115"/>
    </row>
    <row r="25" spans="1:6">
      <c r="A25" s="63">
        <v>1992.04</v>
      </c>
      <c r="B25" s="58">
        <v>98644955</v>
      </c>
      <c r="C25" s="430"/>
      <c r="D25" s="430"/>
      <c r="E25" s="436"/>
      <c r="F25" s="115"/>
    </row>
    <row r="26" spans="1:6">
      <c r="A26" s="63">
        <v>1992.05</v>
      </c>
      <c r="B26" s="58">
        <v>102394433</v>
      </c>
      <c r="C26" s="430"/>
      <c r="D26" s="430"/>
      <c r="E26" s="436"/>
      <c r="F26" s="115"/>
    </row>
    <row r="27" spans="1:6">
      <c r="A27" s="63">
        <v>1992.06</v>
      </c>
      <c r="B27" s="58">
        <v>108394385</v>
      </c>
      <c r="C27" s="430"/>
      <c r="D27" s="430"/>
      <c r="E27" s="436"/>
      <c r="F27" s="115"/>
    </row>
    <row r="28" spans="1:6">
      <c r="A28" s="63">
        <v>1992.07</v>
      </c>
      <c r="B28" s="58">
        <v>119005241</v>
      </c>
      <c r="C28" s="430"/>
      <c r="D28" s="430"/>
      <c r="E28" s="436"/>
      <c r="F28" s="115"/>
    </row>
    <row r="29" spans="1:6">
      <c r="A29" s="63">
        <v>1992.08</v>
      </c>
      <c r="B29" s="58">
        <v>122338331</v>
      </c>
      <c r="C29" s="430"/>
      <c r="D29" s="430"/>
      <c r="E29" s="436"/>
      <c r="F29" s="115"/>
    </row>
    <row r="30" spans="1:6">
      <c r="A30" s="63">
        <v>1992.09</v>
      </c>
      <c r="B30" s="58">
        <v>131262183</v>
      </c>
      <c r="C30" s="430"/>
      <c r="D30" s="430"/>
      <c r="E30" s="436"/>
      <c r="F30" s="115"/>
    </row>
    <row r="31" spans="1:6">
      <c r="A31" s="63">
        <v>1992.1</v>
      </c>
      <c r="B31" s="58">
        <v>154309183</v>
      </c>
      <c r="C31" s="430"/>
      <c r="D31" s="430"/>
      <c r="E31" s="436"/>
      <c r="F31" s="115"/>
    </row>
    <row r="32" spans="1:6">
      <c r="A32" s="63">
        <v>1992.11</v>
      </c>
      <c r="B32" s="58">
        <v>153920132</v>
      </c>
      <c r="C32" s="430"/>
      <c r="D32" s="430"/>
      <c r="E32" s="436"/>
      <c r="F32" s="115"/>
    </row>
    <row r="33" spans="1:6">
      <c r="A33" s="63">
        <v>1992.12</v>
      </c>
      <c r="B33" s="58">
        <v>153561364</v>
      </c>
      <c r="C33" s="430"/>
      <c r="D33" s="430"/>
      <c r="E33" s="436"/>
      <c r="F33" s="115"/>
    </row>
    <row r="34" spans="1:6">
      <c r="A34" s="63">
        <v>1993.01</v>
      </c>
      <c r="B34" s="58">
        <v>131383178</v>
      </c>
      <c r="C34" s="430"/>
      <c r="D34" s="430"/>
      <c r="E34" s="436"/>
      <c r="F34" s="115"/>
    </row>
    <row r="35" spans="1:6">
      <c r="A35" s="63">
        <v>1993.02</v>
      </c>
      <c r="B35" s="58">
        <v>118816277</v>
      </c>
      <c r="C35" s="430"/>
      <c r="D35" s="430"/>
      <c r="E35" s="436"/>
      <c r="F35" s="115"/>
    </row>
    <row r="36" spans="1:6">
      <c r="A36" s="63">
        <v>1993.03</v>
      </c>
      <c r="B36" s="58">
        <v>116251172</v>
      </c>
      <c r="C36" s="430"/>
      <c r="D36" s="430"/>
      <c r="E36" s="436"/>
      <c r="F36" s="115"/>
    </row>
    <row r="37" spans="1:6">
      <c r="A37" s="63">
        <v>1993.04</v>
      </c>
      <c r="B37" s="58">
        <v>109624355</v>
      </c>
      <c r="C37" s="430"/>
      <c r="D37" s="430"/>
      <c r="E37" s="436"/>
      <c r="F37" s="115"/>
    </row>
    <row r="38" spans="1:6">
      <c r="A38" s="63">
        <v>1993.05</v>
      </c>
      <c r="B38" s="58">
        <v>115191255</v>
      </c>
      <c r="C38" s="430"/>
      <c r="D38" s="430"/>
      <c r="E38" s="436"/>
      <c r="F38" s="115"/>
    </row>
    <row r="39" spans="1:6">
      <c r="A39" s="63">
        <v>1993.06</v>
      </c>
      <c r="B39" s="58">
        <v>117679189</v>
      </c>
      <c r="C39" s="430"/>
      <c r="D39" s="430"/>
      <c r="E39" s="436"/>
      <c r="F39" s="115"/>
    </row>
    <row r="40" spans="1:6">
      <c r="A40" s="63">
        <v>1993.07</v>
      </c>
      <c r="B40" s="58">
        <v>128152942</v>
      </c>
      <c r="C40" s="430"/>
      <c r="D40" s="430"/>
      <c r="E40" s="436"/>
      <c r="F40" s="115"/>
    </row>
    <row r="41" spans="1:6">
      <c r="A41" s="63">
        <v>1993.08</v>
      </c>
      <c r="B41" s="58">
        <v>132739100</v>
      </c>
      <c r="C41" s="430"/>
      <c r="D41" s="430"/>
      <c r="E41" s="436"/>
      <c r="F41" s="115"/>
    </row>
    <row r="42" spans="1:6">
      <c r="A42" s="63">
        <v>1993.09</v>
      </c>
      <c r="B42" s="58">
        <v>137813132</v>
      </c>
      <c r="C42" s="430"/>
      <c r="D42" s="430"/>
      <c r="E42" s="436"/>
      <c r="F42" s="115"/>
    </row>
    <row r="43" spans="1:6">
      <c r="A43" s="63">
        <v>1993.1</v>
      </c>
      <c r="B43" s="58">
        <v>148619046</v>
      </c>
      <c r="C43" s="430"/>
      <c r="D43" s="430"/>
      <c r="E43" s="436"/>
      <c r="F43" s="115"/>
    </row>
    <row r="44" spans="1:6">
      <c r="A44" s="63">
        <v>1993.11</v>
      </c>
      <c r="B44" s="58">
        <v>147923346</v>
      </c>
      <c r="C44" s="430"/>
      <c r="D44" s="430"/>
      <c r="E44" s="436"/>
      <c r="F44" s="115"/>
    </row>
    <row r="45" spans="1:6">
      <c r="A45" s="63">
        <v>1993.12</v>
      </c>
      <c r="B45" s="58">
        <v>153727914</v>
      </c>
      <c r="C45" s="430"/>
      <c r="D45" s="430"/>
      <c r="E45" s="436"/>
      <c r="F45" s="115"/>
    </row>
    <row r="46" spans="1:6">
      <c r="A46" s="63">
        <v>1994.01</v>
      </c>
      <c r="B46" s="58">
        <v>151521451</v>
      </c>
      <c r="C46" s="430"/>
      <c r="D46" s="430"/>
      <c r="E46" s="436"/>
      <c r="F46" s="115"/>
    </row>
    <row r="47" spans="1:6">
      <c r="A47" s="63">
        <v>1994.02</v>
      </c>
      <c r="B47" s="58">
        <v>129500344</v>
      </c>
      <c r="C47" s="430"/>
      <c r="D47" s="430"/>
      <c r="E47" s="436"/>
      <c r="F47" s="115"/>
    </row>
    <row r="48" spans="1:6">
      <c r="A48" s="63">
        <v>1994.03</v>
      </c>
      <c r="B48" s="58">
        <v>130473173</v>
      </c>
      <c r="C48" s="430"/>
      <c r="D48" s="430"/>
      <c r="E48" s="436"/>
      <c r="F48" s="115"/>
    </row>
    <row r="49" spans="1:6">
      <c r="A49" s="63">
        <v>1994.04</v>
      </c>
      <c r="B49" s="58">
        <v>124023923</v>
      </c>
      <c r="C49" s="430"/>
      <c r="D49" s="430"/>
      <c r="E49" s="436"/>
      <c r="F49" s="115"/>
    </row>
    <row r="50" spans="1:6">
      <c r="A50" s="63">
        <v>1994.05</v>
      </c>
      <c r="B50" s="58">
        <v>135229265</v>
      </c>
      <c r="C50" s="430"/>
      <c r="D50" s="430"/>
      <c r="E50" s="436"/>
      <c r="F50" s="115"/>
    </row>
    <row r="51" spans="1:6">
      <c r="A51" s="63">
        <v>1994.06</v>
      </c>
      <c r="B51" s="58">
        <v>137742463</v>
      </c>
      <c r="C51" s="430"/>
      <c r="D51" s="430"/>
      <c r="E51" s="436"/>
      <c r="F51" s="115"/>
    </row>
    <row r="52" spans="1:6">
      <c r="A52" s="63">
        <v>1994.07</v>
      </c>
      <c r="B52" s="58">
        <v>142824446</v>
      </c>
      <c r="C52" s="430"/>
      <c r="D52" s="430"/>
      <c r="E52" s="436"/>
      <c r="F52" s="115"/>
    </row>
    <row r="53" spans="1:6">
      <c r="A53" s="63">
        <v>1994.08</v>
      </c>
      <c r="B53" s="58">
        <v>151176958</v>
      </c>
      <c r="C53" s="430"/>
      <c r="D53" s="430"/>
      <c r="E53" s="436"/>
      <c r="F53" s="115"/>
    </row>
    <row r="54" spans="1:6">
      <c r="A54" s="63">
        <v>1994.09</v>
      </c>
      <c r="B54" s="58">
        <v>154010998</v>
      </c>
      <c r="C54" s="430"/>
      <c r="D54" s="430"/>
      <c r="E54" s="436"/>
      <c r="F54" s="115"/>
    </row>
    <row r="55" spans="1:6">
      <c r="A55" s="63">
        <v>1994.1</v>
      </c>
      <c r="B55" s="58">
        <v>165808423</v>
      </c>
      <c r="C55" s="430"/>
      <c r="D55" s="430"/>
      <c r="E55" s="436"/>
      <c r="F55" s="115"/>
    </row>
    <row r="56" spans="1:6">
      <c r="A56" s="63">
        <v>1994.11</v>
      </c>
      <c r="B56" s="58">
        <v>168944455</v>
      </c>
      <c r="C56" s="430"/>
      <c r="D56" s="430"/>
      <c r="E56" s="436"/>
      <c r="F56" s="115"/>
    </row>
    <row r="57" spans="1:6">
      <c r="A57" s="63">
        <v>1994.12</v>
      </c>
      <c r="B57" s="58">
        <v>173188513</v>
      </c>
      <c r="C57" s="430"/>
      <c r="D57" s="430"/>
      <c r="E57" s="436"/>
      <c r="F57" s="115"/>
    </row>
    <row r="58" spans="1:6">
      <c r="A58" s="63">
        <v>1995.01</v>
      </c>
      <c r="B58" s="58">
        <v>171811607</v>
      </c>
      <c r="C58" s="430"/>
      <c r="D58" s="430"/>
      <c r="E58" s="436"/>
      <c r="F58" s="364">
        <v>1750</v>
      </c>
    </row>
    <row r="59" spans="1:6">
      <c r="A59" s="63">
        <v>1995.02</v>
      </c>
      <c r="B59" s="58">
        <v>148235585</v>
      </c>
      <c r="C59" s="430"/>
      <c r="D59" s="430"/>
      <c r="E59" s="436"/>
      <c r="F59" s="434">
        <v>1925</v>
      </c>
    </row>
    <row r="60" spans="1:6">
      <c r="A60" s="63">
        <v>1995.03</v>
      </c>
      <c r="B60" s="58">
        <v>157395538</v>
      </c>
      <c r="C60" s="430"/>
      <c r="D60" s="430"/>
      <c r="E60" s="436"/>
      <c r="F60" s="434">
        <v>2050</v>
      </c>
    </row>
    <row r="61" spans="1:6">
      <c r="A61" s="63">
        <v>1995.04</v>
      </c>
      <c r="B61" s="252">
        <v>152699648</v>
      </c>
      <c r="C61" s="1968"/>
      <c r="D61" s="1968"/>
      <c r="E61" s="1969"/>
      <c r="F61" s="434">
        <v>2200</v>
      </c>
    </row>
    <row r="62" spans="1:6">
      <c r="A62" s="63">
        <v>1995.05</v>
      </c>
      <c r="B62" s="252">
        <v>164324764</v>
      </c>
      <c r="C62" s="1968"/>
      <c r="D62" s="1968"/>
      <c r="E62" s="1969"/>
      <c r="F62" s="434">
        <v>2175</v>
      </c>
    </row>
    <row r="63" spans="1:6">
      <c r="A63" s="63">
        <v>1995.06</v>
      </c>
      <c r="B63" s="252">
        <v>171092648</v>
      </c>
      <c r="C63" s="1968"/>
      <c r="D63" s="1968"/>
      <c r="E63" s="1969"/>
      <c r="F63" s="434">
        <v>2200</v>
      </c>
    </row>
    <row r="64" spans="1:6">
      <c r="A64" s="63">
        <v>1995.07</v>
      </c>
      <c r="B64" s="252">
        <v>169254307</v>
      </c>
      <c r="C64" s="1968"/>
      <c r="D64" s="1968"/>
      <c r="E64" s="1969"/>
      <c r="F64" s="434">
        <v>2275</v>
      </c>
    </row>
    <row r="65" spans="1:6">
      <c r="A65" s="63">
        <v>1995.08</v>
      </c>
      <c r="B65" s="252">
        <v>164524904</v>
      </c>
      <c r="C65" s="1968"/>
      <c r="D65" s="1968"/>
      <c r="E65" s="1969"/>
      <c r="F65" s="434">
        <v>2300</v>
      </c>
    </row>
    <row r="66" spans="1:6">
      <c r="A66" s="63">
        <v>1995.09</v>
      </c>
      <c r="B66" s="252">
        <v>166172751</v>
      </c>
      <c r="C66" s="1968"/>
      <c r="D66" s="1968"/>
      <c r="E66" s="1969"/>
      <c r="F66" s="434">
        <v>2300</v>
      </c>
    </row>
    <row r="67" spans="1:6">
      <c r="A67" s="63">
        <v>1995.1</v>
      </c>
      <c r="B67" s="252">
        <v>170586886</v>
      </c>
      <c r="C67" s="1968"/>
      <c r="D67" s="1968"/>
      <c r="E67" s="1969"/>
      <c r="F67" s="434">
        <v>2275</v>
      </c>
    </row>
    <row r="68" spans="1:6">
      <c r="A68" s="63">
        <v>1995.11</v>
      </c>
      <c r="B68" s="252">
        <v>180806332</v>
      </c>
      <c r="C68" s="1968"/>
      <c r="D68" s="1968"/>
      <c r="E68" s="1969"/>
      <c r="F68" s="434">
        <v>2275</v>
      </c>
    </row>
    <row r="69" spans="1:6">
      <c r="A69" s="63">
        <v>1995.12</v>
      </c>
      <c r="B69" s="252">
        <v>182930636</v>
      </c>
      <c r="C69" s="1968"/>
      <c r="D69" s="1968"/>
      <c r="E69" s="1969"/>
      <c r="F69" s="434">
        <v>2200</v>
      </c>
    </row>
    <row r="70" spans="1:6">
      <c r="A70" s="63">
        <v>1996.01</v>
      </c>
      <c r="B70" s="252">
        <v>176466230</v>
      </c>
      <c r="C70" s="1968"/>
      <c r="D70" s="1968"/>
      <c r="E70" s="1969"/>
      <c r="F70" s="434">
        <v>2225</v>
      </c>
    </row>
    <row r="71" spans="1:6">
      <c r="A71" s="63">
        <v>1996.02</v>
      </c>
      <c r="B71" s="252">
        <v>157305371</v>
      </c>
      <c r="C71" s="1968"/>
      <c r="D71" s="1968"/>
      <c r="E71" s="1969"/>
      <c r="F71" s="434">
        <v>2125</v>
      </c>
    </row>
    <row r="72" spans="1:6">
      <c r="A72" s="63">
        <v>1996.03</v>
      </c>
      <c r="B72" s="252">
        <v>158439722</v>
      </c>
      <c r="C72" s="1968"/>
      <c r="D72" s="1968"/>
      <c r="E72" s="1969"/>
      <c r="F72" s="434">
        <v>1900</v>
      </c>
    </row>
    <row r="73" spans="1:6">
      <c r="A73" s="63">
        <v>1996.04</v>
      </c>
      <c r="B73" s="252">
        <v>145673509</v>
      </c>
      <c r="C73" s="1968"/>
      <c r="D73" s="1968"/>
      <c r="E73" s="1969"/>
      <c r="F73" s="434">
        <v>1925</v>
      </c>
    </row>
    <row r="74" spans="1:6">
      <c r="A74" s="63">
        <v>1996.05</v>
      </c>
      <c r="B74" s="252">
        <v>155479654</v>
      </c>
      <c r="C74" s="1968"/>
      <c r="D74" s="1968"/>
      <c r="E74" s="1969"/>
      <c r="F74" s="434">
        <v>1900</v>
      </c>
    </row>
    <row r="75" spans="1:6">
      <c r="A75" s="63">
        <v>1996.06</v>
      </c>
      <c r="B75" s="58">
        <v>153233162</v>
      </c>
      <c r="C75" s="430"/>
      <c r="D75" s="430"/>
      <c r="E75" s="436"/>
      <c r="F75" s="434">
        <v>1862.5</v>
      </c>
    </row>
    <row r="76" spans="1:6">
      <c r="A76" s="63">
        <v>1996.07</v>
      </c>
      <c r="B76" s="58">
        <v>161258391</v>
      </c>
      <c r="C76" s="430"/>
      <c r="D76" s="430"/>
      <c r="E76" s="436"/>
      <c r="F76" s="434">
        <v>1850</v>
      </c>
    </row>
    <row r="77" spans="1:6">
      <c r="A77" s="63">
        <v>1996.08</v>
      </c>
      <c r="B77" s="58">
        <v>166487994</v>
      </c>
      <c r="C77" s="431">
        <v>0.18720000000000001</v>
      </c>
      <c r="D77" s="1347">
        <f>C77/'8.1'!B65</f>
        <v>1.4737437758837579E-2</v>
      </c>
      <c r="E77" s="436"/>
      <c r="F77" s="434">
        <v>1850</v>
      </c>
    </row>
    <row r="78" spans="1:6">
      <c r="A78" s="63">
        <v>1996.09</v>
      </c>
      <c r="B78" s="58">
        <v>166621116</v>
      </c>
      <c r="C78" s="432">
        <v>0.18149999999999999</v>
      </c>
      <c r="D78" s="1346">
        <f>C78/'8.1'!B66</f>
        <v>1.4248204113302024E-2</v>
      </c>
      <c r="E78" s="436"/>
      <c r="F78" s="434">
        <v>1850</v>
      </c>
    </row>
    <row r="79" spans="1:6">
      <c r="A79" s="63">
        <v>1996.1</v>
      </c>
      <c r="B79" s="58">
        <v>180728308</v>
      </c>
      <c r="C79" s="432">
        <v>0.17749999999999999</v>
      </c>
      <c r="D79" s="1346">
        <f>C79/'8.1'!B67</f>
        <v>1.3941206737033172E-2</v>
      </c>
      <c r="E79" s="436"/>
      <c r="F79" s="434">
        <v>1850</v>
      </c>
    </row>
    <row r="80" spans="1:6">
      <c r="A80" s="63">
        <v>1996.11</v>
      </c>
      <c r="B80" s="58">
        <v>182331563</v>
      </c>
      <c r="C80" s="432">
        <v>0.17119999999999999</v>
      </c>
      <c r="D80" s="1346">
        <f>C80/'8.1'!B68</f>
        <v>1.3488694518831161E-2</v>
      </c>
      <c r="E80" s="436"/>
      <c r="F80" s="434">
        <v>1850</v>
      </c>
    </row>
    <row r="81" spans="1:6">
      <c r="A81" s="63">
        <v>1996.12</v>
      </c>
      <c r="B81" s="58">
        <v>187514982</v>
      </c>
      <c r="C81" s="432">
        <v>0.17119999999999999</v>
      </c>
      <c r="D81" s="1346">
        <f>C81/'8.1'!B69</f>
        <v>1.3608133030357433E-2</v>
      </c>
      <c r="E81" s="436"/>
      <c r="F81" s="434">
        <v>1890</v>
      </c>
    </row>
    <row r="82" spans="1:6">
      <c r="A82" s="63">
        <v>1997.01</v>
      </c>
      <c r="B82" s="58">
        <v>172310618</v>
      </c>
      <c r="C82" s="432">
        <v>0.17199999999999999</v>
      </c>
      <c r="D82" s="1346">
        <f>C82/'8.1'!B70</f>
        <v>1.3863609573889438E-2</v>
      </c>
      <c r="E82" s="436"/>
      <c r="F82" s="434">
        <v>1875</v>
      </c>
    </row>
    <row r="83" spans="1:6">
      <c r="A83" s="63">
        <v>1997.02</v>
      </c>
      <c r="B83" s="58">
        <v>155960884</v>
      </c>
      <c r="C83" s="432">
        <v>0.17899999999999999</v>
      </c>
      <c r="D83" s="1346">
        <f>C83/'8.1'!B71</f>
        <v>1.4583989672435134E-2</v>
      </c>
      <c r="E83" s="436"/>
      <c r="F83" s="434">
        <v>1975</v>
      </c>
    </row>
    <row r="84" spans="1:6">
      <c r="A84" s="63">
        <v>1997.03</v>
      </c>
      <c r="B84" s="58">
        <v>166632426</v>
      </c>
      <c r="C84" s="432">
        <v>0.187</v>
      </c>
      <c r="D84" s="1346">
        <f>C84/'8.1'!B72</f>
        <v>1.5406769114971125E-2</v>
      </c>
      <c r="E84" s="436"/>
      <c r="F84" s="434">
        <v>1840</v>
      </c>
    </row>
    <row r="85" spans="1:6">
      <c r="A85" s="63">
        <v>1997.04</v>
      </c>
      <c r="B85" s="58">
        <v>154689738</v>
      </c>
      <c r="C85" s="432">
        <v>0.1943</v>
      </c>
      <c r="D85" s="1346">
        <f>C85/'8.1'!B73</f>
        <v>1.5987242290079241E-2</v>
      </c>
      <c r="E85" s="436"/>
      <c r="F85" s="434">
        <v>1825</v>
      </c>
    </row>
    <row r="86" spans="1:6">
      <c r="A86" s="63">
        <v>1997.05</v>
      </c>
      <c r="B86" s="58">
        <v>160346453</v>
      </c>
      <c r="C86" s="432">
        <v>0.17699999999999999</v>
      </c>
      <c r="D86" s="1346">
        <f>C86/'8.1'!B74</f>
        <v>1.4604810187483372E-2</v>
      </c>
      <c r="E86" s="436"/>
      <c r="F86" s="434">
        <v>1775</v>
      </c>
    </row>
    <row r="87" spans="1:6">
      <c r="A87" s="63">
        <v>1997.06</v>
      </c>
      <c r="B87" s="58">
        <v>157048276</v>
      </c>
      <c r="C87" s="432">
        <v>0.17899999999999999</v>
      </c>
      <c r="D87" s="1346">
        <f>C87/'8.1'!B75</f>
        <v>1.491479122781594E-2</v>
      </c>
      <c r="E87" s="436"/>
      <c r="F87" s="434">
        <v>1725</v>
      </c>
    </row>
    <row r="88" spans="1:6">
      <c r="A88" s="63">
        <v>1997.07</v>
      </c>
      <c r="B88" s="58">
        <v>176382146</v>
      </c>
      <c r="C88" s="432">
        <v>0.19900000000000001</v>
      </c>
      <c r="D88" s="1346">
        <f>C88/'8.1'!B76</f>
        <v>1.6499965802085736E-2</v>
      </c>
      <c r="E88" s="436"/>
      <c r="F88" s="434">
        <v>1762.5</v>
      </c>
    </row>
    <row r="89" spans="1:6">
      <c r="A89" s="63">
        <v>1997.08</v>
      </c>
      <c r="B89" s="58">
        <v>192730926</v>
      </c>
      <c r="C89" s="432">
        <v>0.19500000000000001</v>
      </c>
      <c r="D89" s="1346">
        <f>C89/'8.1'!B77</f>
        <v>1.6110668604419408E-2</v>
      </c>
      <c r="E89" s="436"/>
      <c r="F89" s="434">
        <v>1675</v>
      </c>
    </row>
    <row r="90" spans="1:6">
      <c r="A90" s="63">
        <v>1997.09</v>
      </c>
      <c r="B90" s="58">
        <v>191083435</v>
      </c>
      <c r="C90" s="432">
        <v>0.17949999999999999</v>
      </c>
      <c r="D90" s="1346">
        <f>C90/'8.1'!B78</f>
        <v>1.4847481717996255E-2</v>
      </c>
      <c r="E90" s="436"/>
      <c r="F90" s="434">
        <v>1725</v>
      </c>
    </row>
    <row r="91" spans="1:6">
      <c r="A91" s="63">
        <v>1997.1</v>
      </c>
      <c r="B91" s="58">
        <v>195818606</v>
      </c>
      <c r="C91" s="432">
        <v>0.17199999999999999</v>
      </c>
      <c r="D91" s="1346">
        <f>C91/'8.1'!B79</f>
        <v>1.4429860163466018E-2</v>
      </c>
      <c r="E91" s="436"/>
      <c r="F91" s="434">
        <v>1750</v>
      </c>
    </row>
    <row r="92" spans="1:6">
      <c r="A92" s="63">
        <v>1997.11</v>
      </c>
      <c r="B92" s="58">
        <v>185246533</v>
      </c>
      <c r="C92" s="432">
        <v>0.16500000000000001</v>
      </c>
      <c r="D92" s="1346">
        <f>C92/'8.1'!B80</f>
        <v>1.3900327654775625E-2</v>
      </c>
      <c r="E92" s="436"/>
      <c r="F92" s="434">
        <v>1787.5</v>
      </c>
    </row>
    <row r="93" spans="1:6">
      <c r="A93" s="63">
        <v>1997.12</v>
      </c>
      <c r="B93" s="58">
        <v>182562546</v>
      </c>
      <c r="C93" s="432">
        <v>0.17</v>
      </c>
      <c r="D93" s="1346">
        <f>C93/'8.1'!B81</f>
        <v>1.4455027414998848E-2</v>
      </c>
      <c r="E93" s="436"/>
      <c r="F93" s="434">
        <v>1775</v>
      </c>
    </row>
    <row r="94" spans="1:6">
      <c r="A94" s="63">
        <v>1998.01</v>
      </c>
      <c r="B94" s="58">
        <v>177190748</v>
      </c>
      <c r="C94" s="432">
        <v>0.17</v>
      </c>
      <c r="D94" s="1346">
        <f>C94/'8.1'!B82</f>
        <v>1.4432212361899486E-2</v>
      </c>
      <c r="E94" s="436"/>
      <c r="F94" s="434">
        <v>1800</v>
      </c>
    </row>
    <row r="95" spans="1:6">
      <c r="A95" s="63">
        <v>1998.02</v>
      </c>
      <c r="B95" s="58">
        <v>152698690</v>
      </c>
      <c r="C95" s="432">
        <v>0.17499999999999999</v>
      </c>
      <c r="D95" s="1346">
        <f>C95/'8.1'!B83</f>
        <v>1.4891929551427912E-2</v>
      </c>
      <c r="E95" s="436"/>
      <c r="F95" s="434">
        <v>1762.5</v>
      </c>
    </row>
    <row r="96" spans="1:6">
      <c r="A96" s="63">
        <v>1998.03</v>
      </c>
      <c r="B96" s="58">
        <v>153794690</v>
      </c>
      <c r="C96" s="432">
        <v>0.18</v>
      </c>
      <c r="D96" s="1346">
        <f>C96/'8.1'!B84</f>
        <v>1.5384984774273495E-2</v>
      </c>
      <c r="E96" s="436"/>
      <c r="F96" s="434">
        <v>1650</v>
      </c>
    </row>
    <row r="97" spans="1:6">
      <c r="A97" s="63">
        <v>1998.04</v>
      </c>
      <c r="B97" s="58">
        <v>143463497</v>
      </c>
      <c r="C97" s="432">
        <v>0.184</v>
      </c>
      <c r="D97" s="1346">
        <f>C97/'8.1'!B85</f>
        <v>1.5761637217287128E-2</v>
      </c>
      <c r="E97" s="436"/>
      <c r="F97" s="434">
        <v>1725</v>
      </c>
    </row>
    <row r="98" spans="1:6">
      <c r="A98" s="63">
        <v>1998.05</v>
      </c>
      <c r="B98" s="58">
        <v>149879095</v>
      </c>
      <c r="C98" s="432">
        <v>0.19600000000000001</v>
      </c>
      <c r="D98" s="1346">
        <f>C98/'8.1'!B86</f>
        <v>1.6782695327137255E-2</v>
      </c>
      <c r="E98" s="436"/>
      <c r="F98" s="434">
        <v>1725</v>
      </c>
    </row>
    <row r="99" spans="1:6">
      <c r="A99" s="63">
        <v>1998.06</v>
      </c>
      <c r="B99" s="58">
        <v>156888191</v>
      </c>
      <c r="C99" s="432">
        <v>0.188</v>
      </c>
      <c r="D99" s="1346">
        <f>C99/'8.1'!B87</f>
        <v>1.6096799322414364E-2</v>
      </c>
      <c r="E99" s="436"/>
      <c r="F99" s="434">
        <v>1725</v>
      </c>
    </row>
    <row r="100" spans="1:6">
      <c r="A100" s="63">
        <v>1998.07</v>
      </c>
      <c r="B100" s="58">
        <v>175856559</v>
      </c>
      <c r="C100" s="432">
        <v>0.188</v>
      </c>
      <c r="D100" s="1346">
        <f>C100/'8.1'!B88</f>
        <v>1.6160526394518097E-2</v>
      </c>
      <c r="E100" s="436"/>
      <c r="F100" s="434">
        <v>1725</v>
      </c>
    </row>
    <row r="101" spans="1:6">
      <c r="A101" s="63">
        <v>1998.08</v>
      </c>
      <c r="B101" s="58">
        <v>191930119</v>
      </c>
      <c r="C101" s="432">
        <v>0.184</v>
      </c>
      <c r="D101" s="1346">
        <f>C101/'8.1'!B89</f>
        <v>1.5921252324950879E-2</v>
      </c>
      <c r="E101" s="436"/>
      <c r="F101" s="434">
        <v>1725</v>
      </c>
    </row>
    <row r="102" spans="1:6">
      <c r="A102" s="63">
        <v>1998.09</v>
      </c>
      <c r="B102" s="58">
        <v>198827892</v>
      </c>
      <c r="C102" s="432">
        <v>0.17299999999999999</v>
      </c>
      <c r="D102" s="1346">
        <f>C102/'8.1'!B90</f>
        <v>1.5010085972104795E-2</v>
      </c>
      <c r="E102" s="436"/>
      <c r="F102" s="434">
        <v>1675</v>
      </c>
    </row>
    <row r="103" spans="1:6">
      <c r="A103" s="63">
        <v>1998.1</v>
      </c>
      <c r="B103" s="58">
        <v>208468167</v>
      </c>
      <c r="C103" s="432">
        <v>0.17100000000000001</v>
      </c>
      <c r="D103" s="1346">
        <f>C103/'8.1'!B91</f>
        <v>1.4858837649540671E-2</v>
      </c>
      <c r="E103" s="436"/>
      <c r="F103" s="434">
        <v>1640</v>
      </c>
    </row>
    <row r="104" spans="1:6">
      <c r="A104" s="63">
        <v>1998.11</v>
      </c>
      <c r="B104" s="58">
        <v>205005580</v>
      </c>
      <c r="C104" s="432">
        <v>0.16600000000000001</v>
      </c>
      <c r="D104" s="1346">
        <f>C104/'8.1'!B92</f>
        <v>1.4388791240714908E-2</v>
      </c>
      <c r="E104" s="436"/>
      <c r="F104" s="434">
        <v>1625</v>
      </c>
    </row>
    <row r="105" spans="1:6">
      <c r="A105" s="63">
        <v>1998.12</v>
      </c>
      <c r="B105" s="58">
        <v>214900701</v>
      </c>
      <c r="C105" s="432">
        <v>0.16200000000000001</v>
      </c>
      <c r="D105" s="1346">
        <f>C105/'8.1'!B93</f>
        <v>1.4118548409423443E-2</v>
      </c>
      <c r="E105" s="436"/>
      <c r="F105" s="434">
        <v>1625</v>
      </c>
    </row>
    <row r="106" spans="1:6">
      <c r="A106" s="63">
        <v>1999.01</v>
      </c>
      <c r="B106" s="58">
        <v>217527053</v>
      </c>
      <c r="C106" s="432">
        <v>0.16</v>
      </c>
      <c r="D106" s="1346">
        <f>C106/'8.1'!B94</f>
        <v>1.4098569384113585E-2</v>
      </c>
      <c r="E106" s="436"/>
      <c r="F106" s="434">
        <v>1650</v>
      </c>
    </row>
    <row r="107" spans="1:6">
      <c r="A107" s="63">
        <v>1999.02</v>
      </c>
      <c r="B107" s="58">
        <v>178214918</v>
      </c>
      <c r="C107" s="432">
        <v>0.15</v>
      </c>
      <c r="D107" s="1346">
        <f>C107/'8.1'!B95</f>
        <v>1.3330867453053299E-2</v>
      </c>
      <c r="E107" s="436"/>
      <c r="F107" s="434">
        <v>1600</v>
      </c>
    </row>
    <row r="108" spans="1:6">
      <c r="A108" s="63">
        <v>1999.03</v>
      </c>
      <c r="B108" s="58">
        <v>177123454</v>
      </c>
      <c r="C108" s="432">
        <v>0.14699999999999999</v>
      </c>
      <c r="D108" s="1346">
        <f>C108/'8.1'!B96</f>
        <v>1.3119926202255525E-2</v>
      </c>
      <c r="E108" s="436"/>
      <c r="F108" s="434">
        <v>1550</v>
      </c>
    </row>
    <row r="109" spans="1:6">
      <c r="A109" s="63">
        <v>1999.04</v>
      </c>
      <c r="B109" s="58">
        <v>161992517</v>
      </c>
      <c r="C109" s="432">
        <v>0.15</v>
      </c>
      <c r="D109" s="1346">
        <f>C109/'8.1'!B97</f>
        <v>1.3343464905292403E-2</v>
      </c>
      <c r="E109" s="436"/>
      <c r="F109" s="434">
        <v>1525</v>
      </c>
    </row>
    <row r="110" spans="1:6">
      <c r="A110" s="63">
        <v>1999.05</v>
      </c>
      <c r="B110" s="58">
        <v>172727779</v>
      </c>
      <c r="C110" s="432">
        <v>0.15</v>
      </c>
      <c r="D110" s="1346">
        <f>C110/'8.1'!B98</f>
        <v>1.3404412023358247E-2</v>
      </c>
      <c r="E110" s="436"/>
      <c r="F110" s="434">
        <v>1450</v>
      </c>
    </row>
    <row r="111" spans="1:6">
      <c r="A111" s="63">
        <v>1999.06</v>
      </c>
      <c r="B111" s="58">
        <v>176481344</v>
      </c>
      <c r="C111" s="432">
        <v>0.15</v>
      </c>
      <c r="D111" s="1346">
        <f>C111/'8.1'!B99</f>
        <v>1.3473013029588407E-2</v>
      </c>
      <c r="E111" s="436"/>
      <c r="F111" s="434">
        <v>1450</v>
      </c>
    </row>
    <row r="112" spans="1:6">
      <c r="A112" s="63">
        <v>1999.07</v>
      </c>
      <c r="B112" s="58">
        <v>184806339</v>
      </c>
      <c r="C112" s="432">
        <v>0.15</v>
      </c>
      <c r="D112" s="1346">
        <f>C112/'8.1'!B100</f>
        <v>1.3471450970756761E-2</v>
      </c>
      <c r="E112" s="436"/>
      <c r="F112" s="434">
        <v>1450</v>
      </c>
    </row>
    <row r="113" spans="1:6">
      <c r="A113" s="63">
        <v>1999.08</v>
      </c>
      <c r="B113" s="58">
        <v>206463993</v>
      </c>
      <c r="C113" s="432">
        <v>0.14000000000000001</v>
      </c>
      <c r="D113" s="1346">
        <f>C113/'8.1'!B101</f>
        <v>1.2618802134399977E-2</v>
      </c>
      <c r="E113" s="436"/>
      <c r="F113" s="434">
        <v>1450</v>
      </c>
    </row>
    <row r="114" spans="1:6">
      <c r="A114" s="63">
        <v>1999.09</v>
      </c>
      <c r="B114" s="58">
        <v>205205498</v>
      </c>
      <c r="C114" s="432">
        <v>0.13</v>
      </c>
      <c r="D114" s="1346">
        <f>C114/'8.1'!B102</f>
        <v>1.1779479333233022E-2</v>
      </c>
      <c r="E114" s="436"/>
      <c r="F114" s="434">
        <v>1450</v>
      </c>
    </row>
    <row r="115" spans="1:6">
      <c r="A115" s="63">
        <v>1999.1</v>
      </c>
      <c r="B115" s="58">
        <v>213930951</v>
      </c>
      <c r="C115" s="432">
        <v>0.13</v>
      </c>
      <c r="D115" s="1346">
        <f>C115/'8.1'!B103</f>
        <v>1.1956250206064339E-2</v>
      </c>
      <c r="E115" s="436"/>
      <c r="F115" s="434">
        <v>1450</v>
      </c>
    </row>
    <row r="116" spans="1:6">
      <c r="A116" s="63">
        <v>1999.11</v>
      </c>
      <c r="B116" s="58">
        <v>203454132</v>
      </c>
      <c r="C116" s="432">
        <v>0.13</v>
      </c>
      <c r="D116" s="1346">
        <f>C116/'8.1'!B104</f>
        <v>1.1980616777611419E-2</v>
      </c>
      <c r="E116" s="436"/>
      <c r="F116" s="434">
        <v>1487.5</v>
      </c>
    </row>
    <row r="117" spans="1:6">
      <c r="A117" s="63">
        <v>1999.12</v>
      </c>
      <c r="B117" s="58">
        <v>202734084</v>
      </c>
      <c r="C117" s="432">
        <v>0.13</v>
      </c>
      <c r="D117" s="1346">
        <f>C117/'8.1'!B105</f>
        <v>1.2094061368133648E-2</v>
      </c>
      <c r="E117" s="436"/>
      <c r="F117" s="434">
        <v>1487.5</v>
      </c>
    </row>
    <row r="118" spans="1:6">
      <c r="A118" s="63">
        <v>2000.01</v>
      </c>
      <c r="B118" s="58">
        <v>189074253</v>
      </c>
      <c r="C118" s="432">
        <v>0.13</v>
      </c>
      <c r="D118" s="1346">
        <f>C118/'8.1'!B106</f>
        <v>1.2162795158281847E-2</v>
      </c>
      <c r="E118" s="436"/>
      <c r="F118" s="434">
        <v>1562.5</v>
      </c>
    </row>
    <row r="119" spans="1:6">
      <c r="A119" s="63">
        <v>2000.02</v>
      </c>
      <c r="B119" s="58">
        <v>172008152</v>
      </c>
      <c r="C119" s="432">
        <v>0.13</v>
      </c>
      <c r="D119" s="1346">
        <f>C119/'8.1'!B107</f>
        <v>1.2133747324447353E-2</v>
      </c>
      <c r="E119" s="436"/>
      <c r="F119" s="434">
        <v>1600</v>
      </c>
    </row>
    <row r="120" spans="1:6">
      <c r="A120" s="63">
        <v>2000.03</v>
      </c>
      <c r="B120" s="58">
        <v>170236977</v>
      </c>
      <c r="C120" s="432">
        <v>0.14000000000000001</v>
      </c>
      <c r="D120" s="1346">
        <f>C120/'8.1'!B108</f>
        <v>1.2916830894076803E-2</v>
      </c>
      <c r="E120" s="436"/>
      <c r="F120" s="434">
        <v>1600</v>
      </c>
    </row>
    <row r="121" spans="1:6">
      <c r="A121" s="63">
        <v>2000.04</v>
      </c>
      <c r="B121" s="58">
        <v>153980744</v>
      </c>
      <c r="C121" s="432">
        <v>0.14399999999999999</v>
      </c>
      <c r="D121" s="1346">
        <f>C121/'8.1'!B109</f>
        <v>1.3457329952545349E-2</v>
      </c>
      <c r="E121" s="436"/>
      <c r="F121" s="434">
        <v>1687.5</v>
      </c>
    </row>
    <row r="122" spans="1:6">
      <c r="A122" s="63">
        <v>2000.05</v>
      </c>
      <c r="B122" s="58">
        <v>158364551</v>
      </c>
      <c r="C122" s="432">
        <v>0.15</v>
      </c>
      <c r="D122" s="1346">
        <f>C122/'8.1'!B110</f>
        <v>1.4197960763263153E-2</v>
      </c>
      <c r="E122" s="436"/>
      <c r="F122" s="434">
        <v>1675</v>
      </c>
    </row>
    <row r="123" spans="1:6">
      <c r="A123" s="63">
        <v>2000.06</v>
      </c>
      <c r="B123" s="58">
        <v>163713513</v>
      </c>
      <c r="C123" s="432">
        <v>0.16</v>
      </c>
      <c r="D123" s="1346">
        <f>C123/'8.1'!B111</f>
        <v>1.5101042967278237E-2</v>
      </c>
      <c r="E123" s="436"/>
      <c r="F123" s="434">
        <v>1900</v>
      </c>
    </row>
    <row r="124" spans="1:6">
      <c r="A124" s="63">
        <v>2000.07</v>
      </c>
      <c r="B124" s="58">
        <v>172133805</v>
      </c>
      <c r="C124" s="432">
        <v>0.16</v>
      </c>
      <c r="D124" s="1346">
        <f>C124/'8.1'!B112</f>
        <v>1.520573446688763E-2</v>
      </c>
      <c r="E124" s="436"/>
      <c r="F124" s="434">
        <v>1900</v>
      </c>
    </row>
    <row r="125" spans="1:6">
      <c r="A125" s="63">
        <v>2000.08</v>
      </c>
      <c r="B125" s="58">
        <v>183847994</v>
      </c>
      <c r="C125" s="432">
        <v>0.156</v>
      </c>
      <c r="D125" s="1346">
        <f>C125/'8.1'!B113</f>
        <v>1.4787511018741567E-2</v>
      </c>
      <c r="E125" s="436"/>
      <c r="F125" s="434">
        <v>2010</v>
      </c>
    </row>
    <row r="126" spans="1:6">
      <c r="A126" s="63">
        <v>2000.09</v>
      </c>
      <c r="B126" s="58">
        <v>196074217</v>
      </c>
      <c r="C126" s="432">
        <v>0.153</v>
      </c>
      <c r="D126" s="1346">
        <f>C126/'8.1'!B114</f>
        <v>1.4526170880021604E-2</v>
      </c>
      <c r="E126" s="436"/>
      <c r="F126" s="434">
        <v>1975</v>
      </c>
    </row>
    <row r="127" spans="1:6">
      <c r="A127" s="63">
        <v>2000.1</v>
      </c>
      <c r="B127" s="58">
        <v>205000878</v>
      </c>
      <c r="C127" s="432">
        <v>0.14699999999999999</v>
      </c>
      <c r="D127" s="1346">
        <f>C127/'8.1'!B115</f>
        <v>1.3986505386926258E-2</v>
      </c>
      <c r="E127" s="436"/>
      <c r="F127" s="434">
        <v>2000</v>
      </c>
    </row>
    <row r="128" spans="1:6">
      <c r="A128" s="63">
        <v>2000.11</v>
      </c>
      <c r="B128" s="58">
        <v>193080735</v>
      </c>
      <c r="C128" s="432">
        <v>0.14399999999999999</v>
      </c>
      <c r="D128" s="1346">
        <f>C128/'8.1'!B116</f>
        <v>1.3804000037033184E-2</v>
      </c>
      <c r="E128" s="436"/>
      <c r="F128" s="434">
        <v>2050</v>
      </c>
    </row>
    <row r="129" spans="1:6">
      <c r="A129" s="63">
        <v>2000.12</v>
      </c>
      <c r="B129" s="58">
        <v>196370406</v>
      </c>
      <c r="C129" s="432">
        <v>0.14299999999999999</v>
      </c>
      <c r="D129" s="1346">
        <f>C129/'8.1'!B117</f>
        <v>1.3873898053591592E-2</v>
      </c>
      <c r="E129" s="436"/>
      <c r="F129" s="434">
        <v>2075</v>
      </c>
    </row>
    <row r="130" spans="1:6">
      <c r="A130" s="63">
        <v>2001.01</v>
      </c>
      <c r="B130" s="58">
        <v>185717550</v>
      </c>
      <c r="C130" s="432">
        <v>0.14499999999999999</v>
      </c>
      <c r="D130" s="1346">
        <f>C130/'8.1'!B118</f>
        <v>1.4135770390298501E-2</v>
      </c>
      <c r="E130" s="436"/>
      <c r="F130" s="434">
        <v>2075</v>
      </c>
    </row>
    <row r="131" spans="1:6">
      <c r="A131" s="63">
        <v>2001.02</v>
      </c>
      <c r="B131" s="58">
        <v>149053835</v>
      </c>
      <c r="C131" s="432">
        <v>0.14899999999999999</v>
      </c>
      <c r="D131" s="1346">
        <f>C131/'8.1'!B119</f>
        <v>1.4525081238638075E-2</v>
      </c>
      <c r="E131" s="436"/>
      <c r="F131" s="434">
        <v>2025</v>
      </c>
    </row>
    <row r="132" spans="1:6">
      <c r="A132" s="63">
        <v>2001.03</v>
      </c>
      <c r="B132" s="58">
        <v>148527081</v>
      </c>
      <c r="C132" s="432">
        <v>0.158</v>
      </c>
      <c r="D132" s="1346">
        <f>C132/'8.1'!B120</f>
        <v>1.5285576064795166E-2</v>
      </c>
      <c r="E132" s="436"/>
      <c r="F132" s="434">
        <v>2075</v>
      </c>
    </row>
    <row r="133" spans="1:6">
      <c r="A133" s="63">
        <v>2001.04</v>
      </c>
      <c r="B133" s="58">
        <v>145602072</v>
      </c>
      <c r="C133" s="432">
        <v>0.16300000000000001</v>
      </c>
      <c r="D133" s="1346">
        <f>C133/'8.1'!B121</f>
        <v>1.5706690569168295E-2</v>
      </c>
      <c r="E133" s="436"/>
      <c r="F133" s="434">
        <v>2062.5</v>
      </c>
    </row>
    <row r="134" spans="1:6">
      <c r="A134" s="63">
        <v>2001.05</v>
      </c>
      <c r="B134" s="58">
        <v>159242452</v>
      </c>
      <c r="C134" s="432">
        <v>0.16700000000000001</v>
      </c>
      <c r="D134" s="1346">
        <f>C134/'8.1'!B122</f>
        <v>1.6145756543459601E-2</v>
      </c>
      <c r="E134" s="436"/>
      <c r="F134" s="434">
        <v>2090</v>
      </c>
    </row>
    <row r="135" spans="1:6">
      <c r="A135" s="63">
        <v>2001.06</v>
      </c>
      <c r="B135" s="58">
        <v>161753187</v>
      </c>
      <c r="C135" s="432">
        <v>0.16600000000000001</v>
      </c>
      <c r="D135" s="1346">
        <f>C135/'8.1'!B123</f>
        <v>1.6219870004265318E-2</v>
      </c>
      <c r="E135" s="436"/>
      <c r="F135" s="434">
        <v>2100</v>
      </c>
    </row>
    <row r="136" spans="1:6">
      <c r="A136" s="63">
        <v>2001.07</v>
      </c>
      <c r="B136" s="58">
        <v>183322776</v>
      </c>
      <c r="C136" s="432">
        <v>0.159</v>
      </c>
      <c r="D136" s="1346">
        <f>C136/'8.1'!B124</f>
        <v>1.5572687801201973E-2</v>
      </c>
      <c r="E136" s="436"/>
      <c r="F136" s="434">
        <v>2100</v>
      </c>
    </row>
    <row r="137" spans="1:6">
      <c r="A137" s="63">
        <v>2001.08</v>
      </c>
      <c r="B137" s="58">
        <v>194049070</v>
      </c>
      <c r="C137" s="432">
        <v>0.14729999999999999</v>
      </c>
      <c r="D137" s="1346">
        <f>C137/'8.1'!B125</f>
        <v>1.4438732788725938E-2</v>
      </c>
      <c r="E137" s="436"/>
      <c r="F137" s="434">
        <v>2050</v>
      </c>
    </row>
    <row r="138" spans="1:6">
      <c r="A138" s="63">
        <v>2001.09</v>
      </c>
      <c r="B138" s="58">
        <v>199153408</v>
      </c>
      <c r="C138" s="432">
        <v>0.14050000000000001</v>
      </c>
      <c r="D138" s="1346">
        <f>C138/'8.1'!B126</f>
        <v>1.3716785664107663E-2</v>
      </c>
      <c r="E138" s="436"/>
      <c r="F138" s="434">
        <v>2025</v>
      </c>
    </row>
    <row r="139" spans="1:6">
      <c r="A139" s="63">
        <v>2001.1</v>
      </c>
      <c r="B139" s="58">
        <v>204058619</v>
      </c>
      <c r="C139" s="432">
        <v>0.12570000000000001</v>
      </c>
      <c r="D139" s="1346">
        <f>C139/'8.1'!B127</f>
        <v>1.232546617211604E-2</v>
      </c>
      <c r="E139" s="436"/>
      <c r="F139" s="434">
        <v>1950</v>
      </c>
    </row>
    <row r="140" spans="1:6">
      <c r="A140" s="63">
        <v>2001.11</v>
      </c>
      <c r="B140" s="58">
        <v>189759033</v>
      </c>
      <c r="C140" s="432">
        <v>0.12559999999999999</v>
      </c>
      <c r="D140" s="1346">
        <f>C140/'8.1'!B128</f>
        <v>1.2255345851369007E-2</v>
      </c>
      <c r="E140" s="436"/>
      <c r="F140" s="434">
        <v>1800</v>
      </c>
    </row>
    <row r="141" spans="1:6">
      <c r="A141" s="63">
        <v>2001.12</v>
      </c>
      <c r="B141" s="58">
        <v>192017122</v>
      </c>
      <c r="C141" s="432">
        <v>0.1265</v>
      </c>
      <c r="D141" s="1346">
        <f>C141/'8.1'!B129</f>
        <v>1.2373097926910432E-2</v>
      </c>
      <c r="E141" s="436"/>
      <c r="F141" s="434">
        <v>1662.5</v>
      </c>
    </row>
    <row r="142" spans="1:6">
      <c r="A142" s="63">
        <v>2002.01</v>
      </c>
      <c r="B142" s="58">
        <v>174357051</v>
      </c>
      <c r="C142" s="432">
        <v>0.13</v>
      </c>
      <c r="D142" s="1346">
        <f>C142/'8.1'!B130</f>
        <v>1.2030195992133751E-2</v>
      </c>
      <c r="E142" s="436"/>
      <c r="F142" s="434">
        <v>1600</v>
      </c>
    </row>
    <row r="143" spans="1:6">
      <c r="A143" s="63">
        <v>2002.02</v>
      </c>
      <c r="B143" s="58">
        <v>150066889</v>
      </c>
      <c r="C143" s="432">
        <v>0.13900000000000001</v>
      </c>
      <c r="D143" s="1346">
        <f>C143/'8.1'!B131</f>
        <v>1.2209208613584162E-2</v>
      </c>
      <c r="E143" s="436"/>
      <c r="F143" s="434">
        <v>1475</v>
      </c>
    </row>
    <row r="144" spans="1:6">
      <c r="A144" s="63">
        <v>2002.03</v>
      </c>
      <c r="B144" s="58">
        <v>145688488</v>
      </c>
      <c r="C144" s="432">
        <v>0.185</v>
      </c>
      <c r="D144" s="1346">
        <f>C144/'8.1'!B132</f>
        <v>1.4767476124681558E-2</v>
      </c>
      <c r="E144" s="436"/>
      <c r="F144" s="434">
        <v>1325</v>
      </c>
    </row>
    <row r="145" spans="1:6">
      <c r="A145" s="63">
        <v>2002.04</v>
      </c>
      <c r="B145" s="58">
        <v>138436135</v>
      </c>
      <c r="C145" s="432">
        <v>0.22500000000000001</v>
      </c>
      <c r="D145" s="1346">
        <f>C145/'8.1'!B133</f>
        <v>1.5406110521011662E-2</v>
      </c>
      <c r="E145" s="436"/>
      <c r="F145" s="434">
        <v>1312.5</v>
      </c>
    </row>
    <row r="146" spans="1:6">
      <c r="A146" s="63">
        <v>2002.05</v>
      </c>
      <c r="B146" s="58">
        <v>148958489</v>
      </c>
      <c r="C146" s="432">
        <v>0.25600000000000001</v>
      </c>
      <c r="D146" s="1346">
        <f>C146/'8.1'!B134</f>
        <v>1.6293306062420132E-2</v>
      </c>
      <c r="E146" s="436"/>
      <c r="F146" s="434">
        <v>1287.5</v>
      </c>
    </row>
    <row r="147" spans="1:6">
      <c r="A147" s="63">
        <v>2002.06</v>
      </c>
      <c r="B147" s="58">
        <v>154513879</v>
      </c>
      <c r="C147" s="432">
        <v>0.27300000000000002</v>
      </c>
      <c r="D147" s="1346">
        <f>C147/'8.1'!B135</f>
        <v>1.6269235947763819E-2</v>
      </c>
      <c r="E147" s="436"/>
      <c r="F147" s="434">
        <v>1237.5</v>
      </c>
    </row>
    <row r="148" spans="1:6">
      <c r="A148" s="63">
        <v>2002.07</v>
      </c>
      <c r="B148" s="58">
        <v>160489504</v>
      </c>
      <c r="C148" s="432">
        <v>0.28050000000000003</v>
      </c>
      <c r="D148" s="1346">
        <f>C148/'8.1'!B136</f>
        <v>1.5898103961008336E-2</v>
      </c>
      <c r="E148" s="436"/>
      <c r="F148" s="434">
        <v>1237.5</v>
      </c>
    </row>
    <row r="149" spans="1:6">
      <c r="A149" s="63">
        <v>2002.08</v>
      </c>
      <c r="B149" s="58">
        <v>181593906</v>
      </c>
      <c r="C149" s="432">
        <v>0.28670000000000001</v>
      </c>
      <c r="D149" s="1346">
        <f>C149/'8.1'!B137</f>
        <v>1.5650125053855241E-2</v>
      </c>
      <c r="E149" s="436"/>
      <c r="F149" s="434">
        <v>1225</v>
      </c>
    </row>
    <row r="150" spans="1:6">
      <c r="A150" s="63">
        <v>2002.09</v>
      </c>
      <c r="B150" s="58">
        <v>187052745</v>
      </c>
      <c r="C150" s="432">
        <v>0.2908</v>
      </c>
      <c r="D150" s="1346">
        <f>C150/'8.1'!B138</f>
        <v>1.5653208301007665E-2</v>
      </c>
      <c r="E150" s="436"/>
      <c r="F150" s="434">
        <v>1300</v>
      </c>
    </row>
    <row r="151" spans="1:6">
      <c r="A151" s="63">
        <v>2002.1</v>
      </c>
      <c r="B151" s="58">
        <v>184286430</v>
      </c>
      <c r="C151" s="432">
        <v>0.3</v>
      </c>
      <c r="D151" s="1346">
        <f>C151/'8.1'!B139</f>
        <v>1.5944621967655288E-2</v>
      </c>
      <c r="E151" s="436"/>
      <c r="F151" s="434">
        <v>1425</v>
      </c>
    </row>
    <row r="152" spans="1:6">
      <c r="A152" s="63">
        <v>2002.11</v>
      </c>
      <c r="B152" s="58">
        <v>174960329</v>
      </c>
      <c r="C152" s="432">
        <v>0.3145</v>
      </c>
      <c r="D152" s="1346">
        <f>C152/'8.1'!B140</f>
        <v>1.6739728122374106E-2</v>
      </c>
      <c r="E152" s="436"/>
      <c r="F152" s="434">
        <v>1500</v>
      </c>
    </row>
    <row r="153" spans="1:6">
      <c r="A153" s="63">
        <v>2002.12</v>
      </c>
      <c r="B153" s="58">
        <v>171145739</v>
      </c>
      <c r="C153" s="432">
        <v>0.33</v>
      </c>
      <c r="D153" s="1346">
        <f>C153/'8.1'!B141</f>
        <v>1.746137423111431E-2</v>
      </c>
      <c r="E153" s="436"/>
      <c r="F153" s="434">
        <v>1587.5</v>
      </c>
    </row>
    <row r="154" spans="1:6">
      <c r="A154" s="63">
        <v>2003.01</v>
      </c>
      <c r="B154" s="252">
        <v>148699121</v>
      </c>
      <c r="C154" s="432">
        <v>0.36580000000000001</v>
      </c>
      <c r="D154" s="1346">
        <f>C154/'8.1'!B142</f>
        <v>1.8858529605338525E-2</v>
      </c>
      <c r="E154" s="436"/>
      <c r="F154" s="434">
        <v>1775</v>
      </c>
    </row>
    <row r="155" spans="1:6">
      <c r="A155" s="63">
        <v>2003.02</v>
      </c>
      <c r="B155" s="58">
        <v>124831462</v>
      </c>
      <c r="C155" s="432">
        <v>0.37490000000000001</v>
      </c>
      <c r="D155" s="1346">
        <f>C155/'8.1'!B143</f>
        <v>1.901194528760736E-2</v>
      </c>
      <c r="E155" s="436"/>
      <c r="F155" s="434">
        <v>1800</v>
      </c>
    </row>
    <row r="156" spans="1:6">
      <c r="A156" s="63">
        <v>2003.03</v>
      </c>
      <c r="B156" s="58">
        <v>123506564</v>
      </c>
      <c r="C156" s="432">
        <v>0.42799999999999999</v>
      </c>
      <c r="D156" s="1346">
        <f>C156/'8.1'!B144</f>
        <v>2.1517676358842462E-2</v>
      </c>
      <c r="E156" s="436"/>
      <c r="F156" s="434">
        <v>1825</v>
      </c>
    </row>
    <row r="157" spans="1:6">
      <c r="A157" s="63">
        <v>2003.04</v>
      </c>
      <c r="B157" s="58">
        <v>109101726</v>
      </c>
      <c r="C157" s="432">
        <v>0.46600000000000003</v>
      </c>
      <c r="D157" s="1346">
        <f>C157/'8.1'!B145</f>
        <v>2.3659077918296544E-2</v>
      </c>
      <c r="E157" s="436"/>
      <c r="F157" s="434">
        <v>1762.5</v>
      </c>
    </row>
    <row r="158" spans="1:6">
      <c r="A158" s="63">
        <v>2003.05</v>
      </c>
      <c r="B158" s="58">
        <v>111488636</v>
      </c>
      <c r="C158" s="432">
        <v>0.50360000000000005</v>
      </c>
      <c r="D158" s="1346">
        <f>C158/'8.1'!B146</f>
        <v>2.5672975256047854E-2</v>
      </c>
      <c r="E158" s="436"/>
      <c r="F158" s="434">
        <v>1737.5</v>
      </c>
    </row>
    <row r="159" spans="1:6">
      <c r="A159" s="63">
        <v>2003.06</v>
      </c>
      <c r="B159" s="58">
        <v>121200149</v>
      </c>
      <c r="C159" s="432">
        <v>0.50960000000000005</v>
      </c>
      <c r="D159" s="1346">
        <f>C159/'8.1'!B147</f>
        <v>2.6199630799258435E-2</v>
      </c>
      <c r="E159" s="436"/>
      <c r="F159" s="434">
        <v>1737.5</v>
      </c>
    </row>
    <row r="160" spans="1:6">
      <c r="A160" s="63">
        <v>2003.07</v>
      </c>
      <c r="B160" s="58">
        <v>136906879</v>
      </c>
      <c r="C160" s="432">
        <v>0.48349999999999999</v>
      </c>
      <c r="D160" s="1346">
        <f>C160/'8.1'!B148</f>
        <v>2.5113710282723745E-2</v>
      </c>
      <c r="E160" s="436"/>
      <c r="F160" s="434">
        <v>1700</v>
      </c>
    </row>
    <row r="161" spans="1:6">
      <c r="A161" s="63">
        <v>2003.08</v>
      </c>
      <c r="B161" s="58">
        <v>137507085</v>
      </c>
      <c r="C161" s="432">
        <v>0.4466</v>
      </c>
      <c r="D161" s="1346">
        <f>C161/'8.1'!B149</f>
        <v>2.3383949097214723E-2</v>
      </c>
      <c r="E161" s="436"/>
      <c r="F161" s="434">
        <v>1700</v>
      </c>
    </row>
    <row r="162" spans="1:6">
      <c r="A162" s="63">
        <v>2003.09</v>
      </c>
      <c r="B162" s="58">
        <v>156141749</v>
      </c>
      <c r="C162" s="432">
        <v>0.43530000000000002</v>
      </c>
      <c r="D162" s="1346">
        <f>C162/'8.1'!B150</f>
        <v>2.2886420135689547E-2</v>
      </c>
      <c r="E162" s="436"/>
      <c r="F162" s="434">
        <v>1750</v>
      </c>
    </row>
    <row r="163" spans="1:6">
      <c r="A163" s="63">
        <v>2003.1</v>
      </c>
      <c r="B163" s="58">
        <v>173357553</v>
      </c>
      <c r="C163" s="432">
        <v>0.43640000000000001</v>
      </c>
      <c r="D163" s="1346">
        <f>C163/'8.1'!B151</f>
        <v>2.2864193397059803E-2</v>
      </c>
      <c r="E163" s="436"/>
      <c r="F163" s="434">
        <v>1800</v>
      </c>
    </row>
    <row r="164" spans="1:6">
      <c r="A164" s="63">
        <v>2003.11</v>
      </c>
      <c r="B164" s="58">
        <v>165486220</v>
      </c>
      <c r="C164" s="432">
        <v>0.44290000000000002</v>
      </c>
      <c r="D164" s="1346">
        <f>C164/'8.1'!B152</f>
        <v>2.3036639226050169E-2</v>
      </c>
      <c r="E164" s="436"/>
      <c r="F164" s="434">
        <v>1800</v>
      </c>
    </row>
    <row r="165" spans="1:6">
      <c r="A165" s="63">
        <v>2003.12</v>
      </c>
      <c r="B165" s="58">
        <v>176345008</v>
      </c>
      <c r="C165" s="432">
        <v>0.4458333333333333</v>
      </c>
      <c r="D165" s="1346">
        <f>C165/'8.1'!B153</f>
        <v>2.2896477377712433E-2</v>
      </c>
      <c r="E165" s="436"/>
      <c r="F165" s="434">
        <v>1825</v>
      </c>
    </row>
    <row r="166" spans="1:6">
      <c r="A166" s="63">
        <v>2004.01</v>
      </c>
      <c r="B166" s="252">
        <v>163229794</v>
      </c>
      <c r="C166" s="432">
        <v>0.44690000000000002</v>
      </c>
      <c r="D166" s="1346">
        <f>C166/'8.1'!B154</f>
        <v>2.2926594914346166E-2</v>
      </c>
      <c r="E166" s="436"/>
      <c r="F166" s="434">
        <v>1850</v>
      </c>
    </row>
    <row r="167" spans="1:6">
      <c r="A167" s="63">
        <v>2004.02</v>
      </c>
      <c r="B167" s="58">
        <v>148355360</v>
      </c>
      <c r="C167" s="432">
        <v>0.45400000000000001</v>
      </c>
      <c r="D167" s="1346">
        <f>C167/'8.1'!B155</f>
        <v>2.3061835556747925E-2</v>
      </c>
      <c r="E167" s="436"/>
      <c r="F167" s="434">
        <v>1850</v>
      </c>
    </row>
    <row r="168" spans="1:6">
      <c r="A168" s="63">
        <v>2004.03</v>
      </c>
      <c r="B168" s="58">
        <v>149303670</v>
      </c>
      <c r="C168" s="432">
        <v>0.44700000000000001</v>
      </c>
      <c r="D168" s="1346">
        <f>C168/'8.1'!B156</f>
        <v>2.2511554840634756E-2</v>
      </c>
      <c r="E168" s="436"/>
      <c r="F168" s="434">
        <v>1875</v>
      </c>
    </row>
    <row r="169" spans="1:6">
      <c r="A169" s="63">
        <v>2004.04</v>
      </c>
      <c r="B169" s="58">
        <v>136827945</v>
      </c>
      <c r="C169" s="432">
        <v>0.45229999999999998</v>
      </c>
      <c r="D169" s="1346">
        <f>C169/'8.1'!B157</f>
        <v>2.2695394449212637E-2</v>
      </c>
      <c r="E169" s="436"/>
      <c r="F169" s="434">
        <v>1875</v>
      </c>
    </row>
    <row r="170" spans="1:6">
      <c r="A170" s="63">
        <v>2004.05</v>
      </c>
      <c r="B170" s="58">
        <v>149204224</v>
      </c>
      <c r="C170" s="432">
        <v>0.44479999999999997</v>
      </c>
      <c r="D170" s="1346">
        <f>C170/'8.1'!B158</f>
        <v>2.2217593641028523E-2</v>
      </c>
      <c r="E170" s="436"/>
      <c r="F170" s="434">
        <v>1950</v>
      </c>
    </row>
    <row r="171" spans="1:6">
      <c r="A171" s="63">
        <v>2004.06</v>
      </c>
      <c r="B171" s="58">
        <v>151525875</v>
      </c>
      <c r="C171" s="432">
        <v>0.43869999999999998</v>
      </c>
      <c r="D171" s="1346">
        <f>C171/'8.1'!B159</f>
        <v>2.177591896131232E-2</v>
      </c>
      <c r="E171" s="436"/>
      <c r="F171" s="434">
        <v>2050</v>
      </c>
    </row>
    <row r="172" spans="1:6">
      <c r="A172" s="63">
        <v>2004.07</v>
      </c>
      <c r="B172" s="58">
        <v>167333813</v>
      </c>
      <c r="C172" s="432">
        <v>0.43840000000000001</v>
      </c>
      <c r="D172" s="1346">
        <f>C172/'8.1'!B160</f>
        <v>2.1654282812612717E-2</v>
      </c>
      <c r="E172" s="436"/>
      <c r="F172" s="434">
        <v>2100</v>
      </c>
    </row>
    <row r="173" spans="1:6">
      <c r="A173" s="63">
        <v>2004.08</v>
      </c>
      <c r="B173" s="58">
        <v>178804579</v>
      </c>
      <c r="C173" s="432">
        <v>0.43049999999999999</v>
      </c>
      <c r="D173" s="1346">
        <f>C173/'8.1'!B161</f>
        <v>2.09326748177577E-2</v>
      </c>
      <c r="E173" s="436"/>
      <c r="F173" s="434">
        <v>2100</v>
      </c>
    </row>
    <row r="174" spans="1:6">
      <c r="A174" s="63">
        <v>2004.09</v>
      </c>
      <c r="B174" s="58">
        <v>176966773</v>
      </c>
      <c r="C174" s="432">
        <v>0.42009999999999997</v>
      </c>
      <c r="D174" s="1346">
        <f>C174/'8.1'!B162</f>
        <v>2.0324269648787485E-2</v>
      </c>
      <c r="E174" s="436"/>
      <c r="F174" s="434">
        <v>2100</v>
      </c>
    </row>
    <row r="175" spans="1:6">
      <c r="A175" s="63">
        <v>2004.1</v>
      </c>
      <c r="B175" s="58">
        <v>185844751</v>
      </c>
      <c r="C175" s="432">
        <v>0.42120000000000002</v>
      </c>
      <c r="D175" s="1346">
        <f>C175/'8.1'!B163</f>
        <v>2.0490309273828753E-2</v>
      </c>
      <c r="E175" s="436"/>
      <c r="F175" s="434">
        <v>2125</v>
      </c>
    </row>
    <row r="176" spans="1:6">
      <c r="A176" s="63">
        <v>2004.11</v>
      </c>
      <c r="B176" s="58">
        <v>178215537</v>
      </c>
      <c r="C176" s="432">
        <v>0.42130000000000001</v>
      </c>
      <c r="D176" s="1346">
        <f>C176/'8.1'!B164</f>
        <v>2.0660142134763474E-2</v>
      </c>
      <c r="E176" s="436"/>
      <c r="F176" s="434">
        <v>2225</v>
      </c>
    </row>
    <row r="177" spans="1:6">
      <c r="A177" s="63">
        <v>2004.12</v>
      </c>
      <c r="B177" s="58">
        <v>182365692</v>
      </c>
      <c r="C177" s="432">
        <v>0.42420000000000002</v>
      </c>
      <c r="D177" s="1346">
        <f>C177/'8.1'!B165</f>
        <v>2.0767393447403405E-2</v>
      </c>
      <c r="E177" s="436"/>
      <c r="F177" s="434">
        <v>2225</v>
      </c>
    </row>
    <row r="178" spans="1:6">
      <c r="A178" s="63">
        <v>2005.01</v>
      </c>
      <c r="B178" s="58">
        <v>167074394</v>
      </c>
      <c r="C178" s="432">
        <v>0.43290000000000001</v>
      </c>
      <c r="D178" s="1346">
        <f>C178/'8.1'!B166</f>
        <v>2.1120042767593779E-2</v>
      </c>
      <c r="E178" s="436"/>
      <c r="F178" s="434">
        <v>2275</v>
      </c>
    </row>
    <row r="179" spans="1:6">
      <c r="A179" s="63">
        <v>2005.02</v>
      </c>
      <c r="B179" s="58">
        <v>150635142</v>
      </c>
      <c r="C179" s="432">
        <v>0.45269999999999999</v>
      </c>
      <c r="D179" s="1346">
        <f>C179/'8.1'!B167</f>
        <v>2.1645308181969657E-2</v>
      </c>
      <c r="E179" s="436"/>
      <c r="F179" s="434">
        <v>2275</v>
      </c>
    </row>
    <row r="180" spans="1:6">
      <c r="A180" s="63">
        <v>2005.03</v>
      </c>
      <c r="B180" s="58">
        <v>149304264</v>
      </c>
      <c r="C180" s="432">
        <v>0.48259999999999997</v>
      </c>
      <c r="D180" s="1346">
        <f>C180/'8.1'!B168</f>
        <v>2.2459983859779639E-2</v>
      </c>
      <c r="E180" s="436"/>
      <c r="F180" s="434">
        <v>2250</v>
      </c>
    </row>
    <row r="181" spans="1:6">
      <c r="A181" s="63">
        <v>2005.04</v>
      </c>
      <c r="B181" s="58">
        <v>146166122</v>
      </c>
      <c r="C181" s="432">
        <v>0.49480000000000002</v>
      </c>
      <c r="D181" s="1346">
        <f>C181/'8.1'!B169</f>
        <v>2.2958217452376778E-2</v>
      </c>
      <c r="E181" s="436"/>
      <c r="F181" s="434">
        <v>2225</v>
      </c>
    </row>
    <row r="182" spans="1:6">
      <c r="A182" s="63">
        <v>2005.05</v>
      </c>
      <c r="B182" s="58">
        <v>156310742</v>
      </c>
      <c r="C182" s="432">
        <v>0.51239999999999997</v>
      </c>
      <c r="D182" s="1346">
        <f>C182/'8.1'!B170</f>
        <v>2.3891235488819107E-2</v>
      </c>
      <c r="E182" s="436"/>
      <c r="F182" s="434">
        <v>2225</v>
      </c>
    </row>
    <row r="183" spans="1:6">
      <c r="A183" s="63">
        <v>2005.06</v>
      </c>
      <c r="B183" s="58">
        <v>157366539</v>
      </c>
      <c r="C183" s="432">
        <v>0.53211666666666668</v>
      </c>
      <c r="D183" s="1346">
        <f>C183/'8.1'!B171</f>
        <v>2.4680234053359399E-2</v>
      </c>
      <c r="E183" s="436"/>
      <c r="F183" s="434">
        <v>2225</v>
      </c>
    </row>
    <row r="184" spans="1:6">
      <c r="A184" s="63">
        <v>2005.07</v>
      </c>
      <c r="B184" s="58">
        <v>173409158</v>
      </c>
      <c r="C184" s="432">
        <v>0.53280000000000005</v>
      </c>
      <c r="D184" s="1346">
        <f>C184/'8.1'!B172</f>
        <v>2.437761466107425E-2</v>
      </c>
      <c r="E184" s="436"/>
      <c r="F184" s="434">
        <v>2250</v>
      </c>
    </row>
    <row r="185" spans="1:6">
      <c r="A185" s="63">
        <v>2005.08</v>
      </c>
      <c r="B185" s="58">
        <v>192085695</v>
      </c>
      <c r="C185" s="432">
        <v>0.53080000000000005</v>
      </c>
      <c r="D185" s="1346">
        <f>C185/'8.1'!B173</f>
        <v>2.397620016403073E-2</v>
      </c>
      <c r="E185" s="436"/>
      <c r="F185" s="434">
        <v>2300</v>
      </c>
    </row>
    <row r="186" spans="1:6">
      <c r="A186" s="63">
        <v>2005.09</v>
      </c>
      <c r="B186" s="58">
        <v>196413094</v>
      </c>
      <c r="C186" s="432">
        <v>0.51900000000000002</v>
      </c>
      <c r="D186" s="1346">
        <f>C186/'8.1'!B174</f>
        <v>2.3210267978211747E-2</v>
      </c>
      <c r="E186" s="436"/>
      <c r="F186" s="434">
        <v>2325</v>
      </c>
    </row>
    <row r="187" spans="1:6">
      <c r="A187" s="63">
        <v>2005.1</v>
      </c>
      <c r="B187" s="58">
        <v>203713404</v>
      </c>
      <c r="C187" s="432">
        <v>0.51500000000000001</v>
      </c>
      <c r="D187" s="1346">
        <f>C187/'8.1'!B175</f>
        <v>2.2940939478051571E-2</v>
      </c>
      <c r="E187" s="436"/>
      <c r="F187" s="434">
        <v>2300</v>
      </c>
    </row>
    <row r="188" spans="1:6">
      <c r="A188" s="63">
        <v>2005.11</v>
      </c>
      <c r="B188" s="58">
        <v>192853615</v>
      </c>
      <c r="C188" s="432">
        <v>0.50119999999999998</v>
      </c>
      <c r="D188" s="1346">
        <f>C188/'8.1'!B176</f>
        <v>2.2069197276526079E-2</v>
      </c>
      <c r="E188" s="436"/>
      <c r="F188" s="434">
        <v>2275</v>
      </c>
    </row>
    <row r="189" spans="1:6">
      <c r="A189" s="63">
        <v>2005.12</v>
      </c>
      <c r="B189" s="58">
        <v>199042174</v>
      </c>
      <c r="C189" s="432">
        <v>0.48499999999999999</v>
      </c>
      <c r="D189" s="1346">
        <f>C189/'8.1'!B177</f>
        <v>2.1196187180350688E-2</v>
      </c>
      <c r="E189" s="436"/>
      <c r="F189" s="434">
        <v>2250</v>
      </c>
    </row>
    <row r="190" spans="1:6">
      <c r="A190" s="63">
        <v>2006.01</v>
      </c>
      <c r="B190" s="58">
        <v>186032989</v>
      </c>
      <c r="C190" s="432">
        <v>0.48309999999999997</v>
      </c>
      <c r="D190" s="1346">
        <f>C190/'8.1'!B178</f>
        <v>2.0629603615496032E-2</v>
      </c>
      <c r="E190" s="436"/>
      <c r="F190" s="434">
        <v>2175</v>
      </c>
    </row>
    <row r="191" spans="1:6">
      <c r="A191" s="63">
        <v>2006.02</v>
      </c>
      <c r="B191" s="58">
        <v>158721778</v>
      </c>
      <c r="C191" s="432">
        <v>0.48559999999999998</v>
      </c>
      <c r="D191" s="1346">
        <f>C191/'8.1'!B179</f>
        <v>2.0705765369840465E-2</v>
      </c>
      <c r="E191" s="436"/>
      <c r="F191" s="434">
        <v>2200</v>
      </c>
    </row>
    <row r="192" spans="1:6">
      <c r="A192" s="63">
        <v>2006.03</v>
      </c>
      <c r="B192" s="58">
        <v>167970381</v>
      </c>
      <c r="C192" s="432">
        <v>0.49009999999999998</v>
      </c>
      <c r="D192" s="1346">
        <f>C192/'8.1'!B180</f>
        <v>2.0719321316099101E-2</v>
      </c>
      <c r="E192" s="436"/>
      <c r="F192" s="434">
        <v>2150</v>
      </c>
    </row>
    <row r="193" spans="1:6">
      <c r="A193" s="63">
        <v>2006.04</v>
      </c>
      <c r="B193" s="58">
        <v>155958914</v>
      </c>
      <c r="C193" s="432">
        <v>0.49559999999999998</v>
      </c>
      <c r="D193" s="1346">
        <f>C193/'8.1'!B181</f>
        <v>2.0732799564485538E-2</v>
      </c>
      <c r="E193" s="436"/>
      <c r="F193" s="434">
        <v>2100</v>
      </c>
    </row>
    <row r="194" spans="1:6">
      <c r="A194" s="63">
        <v>2006.05</v>
      </c>
      <c r="B194" s="58">
        <v>169986654</v>
      </c>
      <c r="C194" s="432">
        <v>0.49619999999999997</v>
      </c>
      <c r="D194" s="1346">
        <f>C194/'8.1'!B182</f>
        <v>2.067311261322418E-2</v>
      </c>
      <c r="E194" s="436"/>
      <c r="F194" s="434">
        <v>2100</v>
      </c>
    </row>
    <row r="195" spans="1:6">
      <c r="A195" s="63">
        <v>2006.06</v>
      </c>
      <c r="B195" s="58">
        <v>171140278</v>
      </c>
      <c r="C195" s="432">
        <v>0.50439999999999996</v>
      </c>
      <c r="D195" s="1346">
        <f>C195/'8.1'!B183</f>
        <v>2.09727555469605E-2</v>
      </c>
      <c r="E195" s="436"/>
      <c r="F195" s="434">
        <v>2075</v>
      </c>
    </row>
    <row r="196" spans="1:6">
      <c r="A196" s="63">
        <v>2006.07</v>
      </c>
      <c r="B196" s="58">
        <v>194238703</v>
      </c>
      <c r="C196" s="432">
        <v>0.49009999999999998</v>
      </c>
      <c r="D196" s="1346">
        <f>C196/'8.1'!B184</f>
        <v>2.0314840541402351E-2</v>
      </c>
      <c r="E196" s="436"/>
      <c r="F196" s="434">
        <v>2100</v>
      </c>
    </row>
    <row r="197" spans="1:6">
      <c r="A197" s="63">
        <v>2006.08</v>
      </c>
      <c r="B197" s="58">
        <v>197740863</v>
      </c>
      <c r="C197" s="432">
        <v>0.49030000000000001</v>
      </c>
      <c r="D197" s="1346">
        <f>C197/'8.1'!B185</f>
        <v>2.0205600039296993E-2</v>
      </c>
      <c r="E197" s="436"/>
      <c r="F197" s="434">
        <v>2100</v>
      </c>
    </row>
    <row r="198" spans="1:6">
      <c r="A198" s="63">
        <v>2006.09</v>
      </c>
      <c r="B198" s="109">
        <v>199758653</v>
      </c>
      <c r="C198" s="432">
        <v>0.49330000000000002</v>
      </c>
      <c r="D198" s="1346">
        <f>C198/'8.1'!B186</f>
        <v>2.0188490033651418E-2</v>
      </c>
      <c r="E198" s="436"/>
      <c r="F198" s="434">
        <v>2075</v>
      </c>
    </row>
    <row r="199" spans="1:6">
      <c r="A199" s="63">
        <v>2006.1</v>
      </c>
      <c r="B199" s="109">
        <v>207393276</v>
      </c>
      <c r="C199" s="432">
        <v>0.49049999999999999</v>
      </c>
      <c r="D199" s="1346">
        <f>C199/'8.1'!B187</f>
        <v>1.9785928179085952E-2</v>
      </c>
      <c r="E199" s="436"/>
      <c r="F199" s="434">
        <v>2200</v>
      </c>
    </row>
    <row r="200" spans="1:6">
      <c r="A200" s="63">
        <v>2006.11</v>
      </c>
      <c r="B200" s="109">
        <v>197507285</v>
      </c>
      <c r="C200" s="432">
        <v>0.49459999999999998</v>
      </c>
      <c r="D200" s="1346">
        <f>C200/'8.1'!B188</f>
        <v>1.9750683969996567E-2</v>
      </c>
      <c r="E200" s="436"/>
      <c r="F200" s="434">
        <v>2500</v>
      </c>
    </row>
    <row r="201" spans="1:6">
      <c r="A201" s="63">
        <v>2006.12</v>
      </c>
      <c r="B201" s="109">
        <v>196204543</v>
      </c>
      <c r="C201" s="432">
        <v>0.50460000000000005</v>
      </c>
      <c r="D201" s="1346">
        <f>C201/'8.1'!B189</f>
        <v>1.9911566801901644E-2</v>
      </c>
      <c r="E201" s="436"/>
      <c r="F201" s="434">
        <v>2800</v>
      </c>
    </row>
    <row r="202" spans="1:6">
      <c r="A202" s="63">
        <v>2007.01</v>
      </c>
      <c r="B202" s="109">
        <v>161729620</v>
      </c>
      <c r="C202" s="432">
        <v>0.53290000000000004</v>
      </c>
      <c r="D202" s="1346">
        <f>C202/'8.1'!B190</f>
        <v>2.0763681829387037E-2</v>
      </c>
      <c r="E202" s="436"/>
      <c r="F202" s="434">
        <v>2850</v>
      </c>
    </row>
    <row r="203" spans="1:6">
      <c r="A203" s="63">
        <v>2007.02</v>
      </c>
      <c r="B203" s="109">
        <v>138345039</v>
      </c>
      <c r="C203" s="432">
        <v>0.55659999999999998</v>
      </c>
      <c r="D203" s="1346">
        <f>C203/'8.1'!B191</f>
        <v>2.1503506537360131E-2</v>
      </c>
      <c r="E203" s="436"/>
      <c r="F203" s="434">
        <v>3050</v>
      </c>
    </row>
    <row r="204" spans="1:6">
      <c r="A204" s="63">
        <v>2007.03</v>
      </c>
      <c r="B204" s="109">
        <v>136198826</v>
      </c>
      <c r="C204" s="432">
        <v>0.57589999999999997</v>
      </c>
      <c r="D204" s="1346">
        <f>C204/'8.1'!B192</f>
        <v>2.1945983731238704E-2</v>
      </c>
      <c r="E204" s="436"/>
      <c r="F204" s="434">
        <v>3375</v>
      </c>
    </row>
    <row r="205" spans="1:6">
      <c r="A205" s="63">
        <v>2007.04</v>
      </c>
      <c r="B205" s="109">
        <v>118424085</v>
      </c>
      <c r="C205" s="432">
        <v>0.64600000000000002</v>
      </c>
      <c r="D205" s="1346">
        <f>C205/'8.1'!B193</f>
        <v>2.4195465452669804E-2</v>
      </c>
      <c r="E205" s="436"/>
      <c r="F205" s="434">
        <v>4000</v>
      </c>
    </row>
    <row r="206" spans="1:6">
      <c r="A206" s="63">
        <v>2007.05</v>
      </c>
      <c r="B206" s="109">
        <v>130043414</v>
      </c>
      <c r="C206" s="432">
        <v>0.69</v>
      </c>
      <c r="D206" s="1346">
        <f>C206/'8.1'!B194</f>
        <v>2.5656878483942561E-2</v>
      </c>
      <c r="E206" s="436"/>
      <c r="F206" s="434">
        <v>4050</v>
      </c>
    </row>
    <row r="207" spans="1:6">
      <c r="A207" s="63">
        <v>2007.06</v>
      </c>
      <c r="B207" s="109">
        <v>132571219</v>
      </c>
      <c r="C207" s="432">
        <v>0.79200000000000004</v>
      </c>
      <c r="D207" s="1346">
        <f>C207/'8.1'!B195</f>
        <v>2.9203316255178715E-2</v>
      </c>
      <c r="E207" s="436"/>
      <c r="F207" s="434">
        <v>4525</v>
      </c>
    </row>
    <row r="208" spans="1:6">
      <c r="A208" s="63">
        <v>2007.07</v>
      </c>
      <c r="B208" s="109">
        <v>144931596</v>
      </c>
      <c r="C208" s="432">
        <v>0.80200000000000005</v>
      </c>
      <c r="D208" s="1346">
        <f>C208/'8.1'!B196</f>
        <v>2.929175109179143E-2</v>
      </c>
      <c r="E208" s="436"/>
      <c r="F208" s="434">
        <v>4650</v>
      </c>
    </row>
    <row r="209" spans="1:6">
      <c r="A209" s="63">
        <v>2007.08</v>
      </c>
      <c r="B209" s="109">
        <v>153404085</v>
      </c>
      <c r="C209" s="432">
        <v>0.80200000000000005</v>
      </c>
      <c r="D209" s="1346">
        <f>C209/'8.1'!B197</f>
        <v>2.8976414140879665E-2</v>
      </c>
      <c r="E209" s="436"/>
      <c r="F209" s="434">
        <v>4750</v>
      </c>
    </row>
    <row r="210" spans="1:6">
      <c r="A210" s="63">
        <v>2007.09</v>
      </c>
      <c r="B210" s="109">
        <v>162809206</v>
      </c>
      <c r="C210" s="432">
        <v>0.80200000000000005</v>
      </c>
      <c r="D210" s="1346">
        <f>C210/'8.1'!B198</f>
        <v>2.8685534295956088E-2</v>
      </c>
      <c r="E210" s="436"/>
      <c r="F210" s="434">
        <v>4750</v>
      </c>
    </row>
    <row r="211" spans="1:6">
      <c r="A211" s="63">
        <v>2007.1</v>
      </c>
      <c r="B211" s="109">
        <v>174983186</v>
      </c>
      <c r="C211" s="432">
        <v>0.79800000000000004</v>
      </c>
      <c r="D211" s="1346">
        <f>C211/'8.1'!B199</f>
        <v>2.8270335111104314E-2</v>
      </c>
      <c r="E211" s="436"/>
      <c r="F211" s="434">
        <v>5050</v>
      </c>
    </row>
    <row r="212" spans="1:6">
      <c r="A212" s="63">
        <v>2007.11</v>
      </c>
      <c r="B212" s="109">
        <v>166571185</v>
      </c>
      <c r="C212" s="432">
        <v>0.79600000000000004</v>
      </c>
      <c r="D212" s="1346">
        <f>C212/'8.1'!B200</f>
        <v>2.8338433873322678E-2</v>
      </c>
      <c r="E212" s="436"/>
      <c r="F212" s="434">
        <v>4850</v>
      </c>
    </row>
    <row r="213" spans="1:6">
      <c r="A213" s="63">
        <v>2007.12</v>
      </c>
      <c r="B213" s="109">
        <v>166436684</v>
      </c>
      <c r="C213" s="432">
        <v>0.80200000000000005</v>
      </c>
      <c r="D213" s="1346">
        <f>C213/'8.1'!B201</f>
        <v>2.8134224209345568E-2</v>
      </c>
      <c r="E213" s="436"/>
      <c r="F213" s="434">
        <v>4800</v>
      </c>
    </row>
    <row r="214" spans="1:6">
      <c r="A214" s="63">
        <v>2008.01</v>
      </c>
      <c r="B214" s="109">
        <v>161288480</v>
      </c>
      <c r="C214" s="432">
        <v>0.81</v>
      </c>
      <c r="D214" s="1346">
        <f>C214/'8.1'!B202</f>
        <v>2.8036731043864841E-2</v>
      </c>
      <c r="E214" s="436"/>
      <c r="F214" s="434">
        <v>4400</v>
      </c>
    </row>
    <row r="215" spans="1:6">
      <c r="A215" s="63">
        <v>2008.02</v>
      </c>
      <c r="B215" s="109">
        <v>146562800</v>
      </c>
      <c r="C215" s="432">
        <v>0.81799999999999995</v>
      </c>
      <c r="D215" s="1346">
        <f>C215/'8.1'!B203</f>
        <v>2.7932627735073112E-2</v>
      </c>
      <c r="E215" s="436"/>
      <c r="F215" s="434">
        <v>4550</v>
      </c>
    </row>
    <row r="216" spans="1:6">
      <c r="A216" s="63">
        <v>2008.03</v>
      </c>
      <c r="B216" s="109">
        <v>143005625</v>
      </c>
      <c r="C216" s="432">
        <v>0.82199999999999995</v>
      </c>
      <c r="D216" s="1346">
        <f>C216/'8.1'!B204</f>
        <v>2.6925663430831397E-2</v>
      </c>
      <c r="E216" s="436"/>
      <c r="F216" s="434">
        <v>4750</v>
      </c>
    </row>
    <row r="217" spans="1:6">
      <c r="A217" s="63">
        <v>2008.04</v>
      </c>
      <c r="B217" s="109">
        <v>137258076</v>
      </c>
      <c r="C217" s="432">
        <v>0.83899999999999997</v>
      </c>
      <c r="D217" s="1346">
        <f>C217/'8.1'!B205</f>
        <v>2.6564205938404393E-2</v>
      </c>
      <c r="E217" s="436"/>
      <c r="F217" s="434">
        <v>4550</v>
      </c>
    </row>
    <row r="218" spans="1:6">
      <c r="A218" s="63">
        <v>2008.05</v>
      </c>
      <c r="B218" s="109">
        <v>142529903</v>
      </c>
      <c r="C218" s="432">
        <v>0.85199999999999998</v>
      </c>
      <c r="D218" s="1346">
        <f>C218/'8.1'!B206</f>
        <v>2.6517442632643617E-2</v>
      </c>
      <c r="E218" s="436"/>
      <c r="F218" s="434">
        <v>4500</v>
      </c>
    </row>
    <row r="219" spans="1:6">
      <c r="A219" s="63">
        <v>2008.06</v>
      </c>
      <c r="B219" s="109">
        <v>141123079</v>
      </c>
      <c r="C219" s="432">
        <v>0.85699999999999998</v>
      </c>
      <c r="D219" s="1346">
        <f>C219/'8.1'!B207</f>
        <v>2.6103024105519495E-2</v>
      </c>
      <c r="E219" s="436"/>
      <c r="F219" s="434">
        <v>4400</v>
      </c>
    </row>
    <row r="220" spans="1:6">
      <c r="A220" s="63">
        <v>2008.07</v>
      </c>
      <c r="B220" s="109">
        <v>152248387</v>
      </c>
      <c r="C220" s="432">
        <v>0.94199999999999995</v>
      </c>
      <c r="D220" s="1346">
        <f>C220/'8.1'!B208</f>
        <v>2.8266656772780424E-2</v>
      </c>
      <c r="E220" s="436"/>
      <c r="F220" s="434">
        <v>4400</v>
      </c>
    </row>
    <row r="221" spans="1:6">
      <c r="A221" s="63">
        <v>2008.08</v>
      </c>
      <c r="B221" s="109">
        <v>163630873</v>
      </c>
      <c r="C221" s="432">
        <v>0.94399999999999995</v>
      </c>
      <c r="D221" s="1346">
        <f>C221/'8.1'!B209</f>
        <v>2.8053194334612182E-2</v>
      </c>
      <c r="E221" s="436"/>
      <c r="F221" s="434">
        <v>3600</v>
      </c>
    </row>
    <row r="222" spans="1:6">
      <c r="A222" s="63">
        <v>2008.09</v>
      </c>
      <c r="B222" s="109">
        <v>168425193</v>
      </c>
      <c r="C222" s="432">
        <v>0.93799999999999994</v>
      </c>
      <c r="D222" s="1346">
        <f>C222/'8.1'!B210</f>
        <v>2.7408299263269778E-2</v>
      </c>
      <c r="E222" s="436"/>
      <c r="F222" s="434">
        <v>3050</v>
      </c>
    </row>
    <row r="223" spans="1:6">
      <c r="A223" s="63">
        <v>2008.1</v>
      </c>
      <c r="B223" s="109">
        <v>185769379</v>
      </c>
      <c r="C223" s="432">
        <v>0.88600000000000001</v>
      </c>
      <c r="D223" s="1346">
        <f>C223/'8.1'!B211</f>
        <v>2.5714094030791508E-2</v>
      </c>
      <c r="E223" s="436"/>
      <c r="F223" s="434">
        <v>2850</v>
      </c>
    </row>
    <row r="224" spans="1:6">
      <c r="A224" s="63">
        <v>2008.11</v>
      </c>
      <c r="B224" s="109">
        <v>185829282</v>
      </c>
      <c r="C224" s="432">
        <v>0.79600000000000004</v>
      </c>
      <c r="D224" s="1346">
        <f>C224/'8.1'!B212</f>
        <v>2.2902721004258352E-2</v>
      </c>
      <c r="E224" s="436"/>
      <c r="F224" s="434">
        <v>2450</v>
      </c>
    </row>
    <row r="225" spans="1:6">
      <c r="A225" s="63">
        <v>2008.12</v>
      </c>
      <c r="B225" s="109">
        <v>188689119</v>
      </c>
      <c r="C225" s="432">
        <v>0.76500000000000001</v>
      </c>
      <c r="D225" s="1346">
        <f>C225/'8.1'!B213</f>
        <v>2.1907785193106884E-2</v>
      </c>
      <c r="E225" s="436"/>
      <c r="F225" s="434">
        <v>2100</v>
      </c>
    </row>
    <row r="226" spans="1:6">
      <c r="A226" s="63">
        <f t="shared" ref="A226:A289" si="0">A214+1</f>
        <v>2009.01</v>
      </c>
      <c r="B226" s="109">
        <v>181393569</v>
      </c>
      <c r="C226" s="432">
        <v>0.73599999999999999</v>
      </c>
      <c r="D226" s="1346">
        <f>C226/'8.1'!B214</f>
        <v>2.0912663607332689E-2</v>
      </c>
      <c r="E226" s="436"/>
      <c r="F226" s="434">
        <v>1850</v>
      </c>
    </row>
    <row r="227" spans="1:6">
      <c r="A227" s="63">
        <f t="shared" si="0"/>
        <v>2009.02</v>
      </c>
      <c r="B227" s="109">
        <v>159259635</v>
      </c>
      <c r="C227" s="432">
        <v>0.73499999999999999</v>
      </c>
      <c r="D227" s="1346">
        <f>C227/'8.1'!B215</f>
        <v>2.0813763898520115E-2</v>
      </c>
      <c r="E227" s="436"/>
      <c r="F227" s="434">
        <v>1850</v>
      </c>
    </row>
    <row r="228" spans="1:6">
      <c r="A228" s="63">
        <f t="shared" si="0"/>
        <v>2009.03</v>
      </c>
      <c r="B228" s="109">
        <v>167365393</v>
      </c>
      <c r="C228" s="432">
        <v>0.73099999999999998</v>
      </c>
      <c r="D228" s="1346">
        <f>C228/'8.1'!B216</f>
        <v>2.0366773755389905E-2</v>
      </c>
      <c r="E228" s="436"/>
      <c r="F228" s="434">
        <v>1950</v>
      </c>
    </row>
    <row r="229" spans="1:6">
      <c r="A229" s="63">
        <f t="shared" si="0"/>
        <v>2009.04</v>
      </c>
      <c r="B229" s="109">
        <v>155759229</v>
      </c>
      <c r="C229" s="432">
        <v>0.73299999999999998</v>
      </c>
      <c r="D229" s="1346">
        <f>C229/'8.1'!B217</f>
        <v>2.008789578555209E-2</v>
      </c>
      <c r="E229" s="436"/>
      <c r="F229" s="434">
        <v>2075</v>
      </c>
    </row>
    <row r="230" spans="1:6">
      <c r="A230" s="63">
        <f t="shared" si="0"/>
        <v>2009.05</v>
      </c>
      <c r="B230" s="109">
        <v>159819157</v>
      </c>
      <c r="C230" s="432">
        <v>0.74099999999999999</v>
      </c>
      <c r="D230" s="1346">
        <f>C230/'8.1'!B218</f>
        <v>2.0195423998491589E-2</v>
      </c>
      <c r="E230" s="436"/>
      <c r="F230" s="434">
        <v>2200</v>
      </c>
    </row>
    <row r="231" spans="1:6">
      <c r="A231" s="63">
        <f t="shared" si="0"/>
        <v>2009.06</v>
      </c>
      <c r="B231" s="109">
        <v>155527859</v>
      </c>
      <c r="C231" s="432">
        <v>0.76180000000000003</v>
      </c>
      <c r="D231" s="1346">
        <f>C231/'8.1'!B219</f>
        <v>2.0684287802580664E-2</v>
      </c>
      <c r="E231" s="436"/>
      <c r="F231" s="434">
        <v>2050</v>
      </c>
    </row>
    <row r="232" spans="1:6">
      <c r="A232" s="63">
        <f t="shared" si="0"/>
        <v>2009.07</v>
      </c>
      <c r="B232" s="109">
        <v>163334988</v>
      </c>
      <c r="C232" s="432">
        <v>0.79</v>
      </c>
      <c r="D232" s="1346">
        <f>C232/'8.1'!B220</f>
        <v>2.1289953930145402E-2</v>
      </c>
      <c r="E232" s="436"/>
      <c r="F232" s="434">
        <v>2000</v>
      </c>
    </row>
    <row r="233" spans="1:6">
      <c r="A233" s="63">
        <f t="shared" si="0"/>
        <v>2009.08</v>
      </c>
      <c r="B233" s="109">
        <v>173578442</v>
      </c>
      <c r="C233" s="432">
        <v>0.80320000000000003</v>
      </c>
      <c r="D233" s="1346">
        <f>C233/'8.1'!B221</f>
        <v>2.1330746059274267E-2</v>
      </c>
      <c r="E233" s="436"/>
      <c r="F233" s="434">
        <v>2225</v>
      </c>
    </row>
    <row r="234" spans="1:6">
      <c r="A234" s="63">
        <f t="shared" si="0"/>
        <v>2009.09</v>
      </c>
      <c r="B234" s="109">
        <v>181491227</v>
      </c>
      <c r="C234" s="432">
        <v>0.80379999999999996</v>
      </c>
      <c r="D234" s="1346">
        <f>C234/'8.1'!B222</f>
        <v>2.1173727735132864E-2</v>
      </c>
      <c r="E234" s="436"/>
      <c r="F234" s="434">
        <v>2800</v>
      </c>
    </row>
    <row r="235" spans="1:6">
      <c r="A235" s="63">
        <f t="shared" si="0"/>
        <v>2009.1</v>
      </c>
      <c r="B235" s="109">
        <v>196588419</v>
      </c>
      <c r="C235" s="432">
        <v>0.86509999999999998</v>
      </c>
      <c r="D235" s="1346">
        <f>C235/'8.1'!B223</f>
        <v>2.246877971974387E-2</v>
      </c>
      <c r="E235" s="436"/>
      <c r="F235" s="434">
        <v>3150</v>
      </c>
    </row>
    <row r="236" spans="1:6">
      <c r="A236" s="63">
        <f t="shared" si="0"/>
        <v>2009.11</v>
      </c>
      <c r="B236" s="109">
        <v>186085492</v>
      </c>
      <c r="C236" s="432">
        <v>0.92179999999999995</v>
      </c>
      <c r="D236" s="1346">
        <f>C236/'8.1'!B224</f>
        <v>2.3618316069882635E-2</v>
      </c>
      <c r="E236" s="436"/>
      <c r="F236" s="434">
        <v>3550</v>
      </c>
    </row>
    <row r="237" spans="1:6">
      <c r="A237" s="63">
        <f t="shared" si="0"/>
        <v>2009.12</v>
      </c>
      <c r="B237" s="109">
        <v>184157449</v>
      </c>
      <c r="C237" s="432">
        <v>0.99299999999999999</v>
      </c>
      <c r="D237" s="1346">
        <f>C237/'8.1'!B225</f>
        <v>2.4884916161565376E-2</v>
      </c>
      <c r="E237" s="436"/>
      <c r="F237" s="434">
        <v>3550</v>
      </c>
    </row>
    <row r="238" spans="1:6">
      <c r="A238" s="63">
        <f t="shared" si="0"/>
        <v>2010.01</v>
      </c>
      <c r="B238" s="109">
        <v>159960053</v>
      </c>
      <c r="C238" s="432">
        <v>1.0531999999999999</v>
      </c>
      <c r="D238" s="1346">
        <f>C238/'8.1'!B226</f>
        <v>2.5763062193979339E-2</v>
      </c>
      <c r="E238" s="436"/>
      <c r="F238" s="434">
        <v>3250</v>
      </c>
    </row>
    <row r="239" spans="1:6">
      <c r="A239" s="63">
        <f t="shared" si="0"/>
        <v>2010.02</v>
      </c>
      <c r="B239" s="109">
        <v>134001785</v>
      </c>
      <c r="C239" s="432">
        <v>1.1153999999999999</v>
      </c>
      <c r="D239" s="1346">
        <f>C239/'8.1'!B227</f>
        <v>2.6339546804985247E-2</v>
      </c>
      <c r="E239" s="436"/>
      <c r="F239" s="434">
        <v>3125</v>
      </c>
    </row>
    <row r="240" spans="1:6">
      <c r="A240" s="63">
        <f t="shared" si="0"/>
        <v>2010.03</v>
      </c>
      <c r="B240" s="109">
        <v>142015182</v>
      </c>
      <c r="C240" s="432">
        <v>1.1884999999999999</v>
      </c>
      <c r="D240" s="1346">
        <f>C240/'8.1'!B228</f>
        <v>2.7444099780082939E-2</v>
      </c>
      <c r="E240" s="436"/>
      <c r="F240" s="434">
        <v>3175</v>
      </c>
    </row>
    <row r="241" spans="1:6">
      <c r="A241" s="63">
        <f t="shared" si="0"/>
        <v>2010.04</v>
      </c>
      <c r="B241" s="109">
        <v>139315180</v>
      </c>
      <c r="C241" s="432">
        <v>1.2929999999999999</v>
      </c>
      <c r="D241" s="1346">
        <f>C241/'8.1'!B229</f>
        <v>2.9238071804020618E-2</v>
      </c>
      <c r="E241" s="436"/>
      <c r="F241" s="434">
        <v>3700</v>
      </c>
    </row>
    <row r="242" spans="1:6">
      <c r="A242" s="63">
        <f t="shared" si="0"/>
        <v>2010.05</v>
      </c>
      <c r="B242" s="109">
        <v>154380116</v>
      </c>
      <c r="C242" s="432">
        <v>1.3979999999999999</v>
      </c>
      <c r="D242" s="1346">
        <f>C242/'8.1'!B230</f>
        <v>3.1115997993791566E-2</v>
      </c>
      <c r="E242" s="436"/>
      <c r="F242" s="434">
        <v>3900</v>
      </c>
    </row>
    <row r="243" spans="1:6">
      <c r="A243" s="63">
        <f t="shared" si="0"/>
        <v>2010.06</v>
      </c>
      <c r="B243" s="109">
        <v>162117361</v>
      </c>
      <c r="C243" s="432">
        <v>1.4044000000000001</v>
      </c>
      <c r="D243" s="1346">
        <f>C243/'8.1'!B231</f>
        <v>3.094990049384384E-2</v>
      </c>
      <c r="E243" s="436"/>
      <c r="F243" s="434">
        <v>3850</v>
      </c>
    </row>
    <row r="244" spans="1:6">
      <c r="A244" s="63">
        <f t="shared" si="0"/>
        <v>2010.07</v>
      </c>
      <c r="B244" s="109">
        <v>179433227</v>
      </c>
      <c r="C244" s="432">
        <v>1.3428</v>
      </c>
      <c r="D244" s="1346">
        <f>C244/'8.1'!B232</f>
        <v>2.9238120074993424E-2</v>
      </c>
      <c r="E244" s="436"/>
      <c r="F244" s="434">
        <v>3250</v>
      </c>
    </row>
    <row r="245" spans="1:6">
      <c r="A245" s="63">
        <f t="shared" si="0"/>
        <v>2010.08</v>
      </c>
      <c r="B245" s="109">
        <v>184952664</v>
      </c>
      <c r="C245" s="432">
        <v>1.3012999999999999</v>
      </c>
      <c r="D245" s="1346">
        <f>C245/'8.1'!B233</f>
        <v>2.8000476615714892E-2</v>
      </c>
      <c r="E245" s="436"/>
      <c r="F245" s="434">
        <v>3150</v>
      </c>
    </row>
    <row r="246" spans="1:6">
      <c r="A246" s="63">
        <f t="shared" si="0"/>
        <v>2010.09</v>
      </c>
      <c r="B246" s="109">
        <v>188536846</v>
      </c>
      <c r="C246" s="432">
        <v>1.3073999999999999</v>
      </c>
      <c r="D246" s="1346">
        <f>C246/'8.1'!B234</f>
        <v>2.787918663478749E-2</v>
      </c>
      <c r="E246" s="436"/>
      <c r="F246" s="434">
        <v>3400</v>
      </c>
    </row>
    <row r="247" spans="1:6">
      <c r="A247" s="63">
        <f t="shared" si="0"/>
        <v>2010.1</v>
      </c>
      <c r="B247" s="109">
        <v>203033187</v>
      </c>
      <c r="C247" s="432">
        <v>1.3143</v>
      </c>
      <c r="D247" s="1346">
        <f>C247/'8.1'!B235</f>
        <v>2.7241300312994841E-2</v>
      </c>
      <c r="E247" s="436"/>
      <c r="F247" s="434">
        <v>3500</v>
      </c>
    </row>
    <row r="248" spans="1:6">
      <c r="A248" s="63">
        <f t="shared" si="0"/>
        <v>2010.11</v>
      </c>
      <c r="B248" s="109">
        <v>185925783</v>
      </c>
      <c r="C248" s="432">
        <v>1.3494999999999999</v>
      </c>
      <c r="D248" s="1346">
        <f>C248/'8.1'!B236</f>
        <v>2.7399917392378324E-2</v>
      </c>
      <c r="E248" s="436"/>
      <c r="F248" s="434">
        <v>3525</v>
      </c>
    </row>
    <row r="249" spans="1:6">
      <c r="A249" s="63">
        <f t="shared" si="0"/>
        <v>2010.12</v>
      </c>
      <c r="B249" s="109">
        <v>177937388</v>
      </c>
      <c r="C249" s="432">
        <v>1.3735999999999999</v>
      </c>
      <c r="D249" s="1346">
        <f>C249/'8.1'!B237</f>
        <v>2.7401547874925252E-2</v>
      </c>
      <c r="E249" s="436"/>
      <c r="F249" s="434">
        <v>3550</v>
      </c>
    </row>
    <row r="250" spans="1:6">
      <c r="A250" s="63">
        <f t="shared" si="0"/>
        <v>2011.01</v>
      </c>
      <c r="B250" s="109">
        <v>176973759</v>
      </c>
      <c r="C250" s="432">
        <v>1.4147000000000001</v>
      </c>
      <c r="D250" s="1346">
        <f>C250/'8.1'!B238</f>
        <v>2.7927990853541709E-2</v>
      </c>
      <c r="E250" s="436"/>
      <c r="F250" s="434">
        <v>3862.5</v>
      </c>
    </row>
    <row r="251" spans="1:6">
      <c r="A251" s="63">
        <f t="shared" si="0"/>
        <v>2011.02</v>
      </c>
      <c r="B251" s="109">
        <v>156445493</v>
      </c>
      <c r="C251" s="432">
        <v>1.4986999999999999</v>
      </c>
      <c r="D251" s="1346">
        <f>C251/'8.1'!B239</f>
        <v>2.9195157938481094E-2</v>
      </c>
      <c r="E251" s="436"/>
      <c r="F251" s="434">
        <v>4250</v>
      </c>
    </row>
    <row r="252" spans="1:6">
      <c r="A252" s="63">
        <f t="shared" si="0"/>
        <v>2011.03</v>
      </c>
      <c r="B252" s="109">
        <v>163196423</v>
      </c>
      <c r="C252" s="432">
        <v>1.5651999999999999</v>
      </c>
      <c r="D252" s="1346">
        <f>C252/'8.1'!B240</f>
        <v>2.9692253093142506E-2</v>
      </c>
      <c r="E252" s="436"/>
      <c r="F252" s="434">
        <v>4650</v>
      </c>
    </row>
    <row r="253" spans="1:6">
      <c r="A253" s="63">
        <f t="shared" si="0"/>
        <v>2011.04</v>
      </c>
      <c r="B253" s="109">
        <v>161940953</v>
      </c>
      <c r="C253" s="432">
        <v>1.5485</v>
      </c>
      <c r="D253" s="1346">
        <f>C253/'8.1'!B241</f>
        <v>2.8751600187363845E-2</v>
      </c>
      <c r="E253" s="436"/>
      <c r="F253" s="434">
        <v>4125</v>
      </c>
    </row>
    <row r="254" spans="1:6">
      <c r="A254" s="63">
        <f t="shared" si="0"/>
        <v>2011.05</v>
      </c>
      <c r="B254" s="109">
        <v>175508836</v>
      </c>
      <c r="C254" s="432">
        <v>1.5610999999999999</v>
      </c>
      <c r="D254" s="1346">
        <f>C254/'8.1'!B242</f>
        <v>2.8656202902025515E-2</v>
      </c>
      <c r="E254" s="436"/>
      <c r="F254" s="434">
        <v>4100</v>
      </c>
    </row>
    <row r="255" spans="1:6">
      <c r="A255" s="63">
        <f t="shared" si="0"/>
        <v>2011.06</v>
      </c>
      <c r="B255" s="109">
        <v>179601836</v>
      </c>
      <c r="C255" s="432">
        <v>1.5249999999999999</v>
      </c>
      <c r="D255" s="1346">
        <f>C255/'8.1'!B243</f>
        <v>2.7655876713592865E-2</v>
      </c>
      <c r="E255" s="436"/>
      <c r="F255" s="434">
        <v>3950</v>
      </c>
    </row>
    <row r="256" spans="1:6">
      <c r="A256" s="63">
        <f t="shared" si="0"/>
        <v>2011.07</v>
      </c>
      <c r="B256" s="109">
        <v>193452778</v>
      </c>
      <c r="C256" s="432">
        <v>1.4979</v>
      </c>
      <c r="D256" s="1346">
        <f>C256/'8.1'!B244</f>
        <v>2.6752200212291466E-2</v>
      </c>
      <c r="E256" s="436"/>
      <c r="F256" s="434">
        <v>3787</v>
      </c>
    </row>
    <row r="257" spans="1:6">
      <c r="A257" s="63">
        <f t="shared" si="0"/>
        <v>2011.08</v>
      </c>
      <c r="B257" s="109">
        <v>211786006</v>
      </c>
      <c r="C257" s="432">
        <v>1.4812000000000001</v>
      </c>
      <c r="D257" s="1346">
        <f>C257/'8.1'!B245</f>
        <v>2.5983811752634801E-2</v>
      </c>
      <c r="E257" s="436"/>
      <c r="F257" s="434">
        <v>3529.5</v>
      </c>
    </row>
    <row r="258" spans="1:6">
      <c r="A258" s="63">
        <f t="shared" si="0"/>
        <v>2011.09</v>
      </c>
      <c r="B258" s="109">
        <v>222126650</v>
      </c>
      <c r="C258" s="432">
        <v>1.4832000000000001</v>
      </c>
      <c r="D258" s="1346">
        <f>C258/'8.1'!B246</f>
        <v>2.5542568236736427E-2</v>
      </c>
      <c r="E258" s="436"/>
      <c r="F258" s="434">
        <v>3487.5</v>
      </c>
    </row>
    <row r="259" spans="1:6">
      <c r="A259" s="63">
        <f t="shared" si="0"/>
        <v>2011.1</v>
      </c>
      <c r="B259" s="109">
        <v>225221234</v>
      </c>
      <c r="C259" s="432">
        <v>1.4783999999999999</v>
      </c>
      <c r="D259" s="1346">
        <f>C259/'8.1'!B247</f>
        <v>2.5281636643405055E-2</v>
      </c>
      <c r="E259" s="436"/>
      <c r="F259" s="434">
        <v>3500</v>
      </c>
    </row>
    <row r="260" spans="1:6">
      <c r="A260" s="63">
        <f t="shared" si="0"/>
        <v>2011.11</v>
      </c>
      <c r="B260" s="109">
        <v>210042361</v>
      </c>
      <c r="C260" s="432">
        <v>1.4756</v>
      </c>
      <c r="D260" s="1346">
        <f>C260/'8.1'!B248</f>
        <v>2.478562543339138E-2</v>
      </c>
      <c r="E260" s="436"/>
      <c r="F260" s="434">
        <v>3575</v>
      </c>
    </row>
    <row r="261" spans="1:6">
      <c r="A261" s="63">
        <f t="shared" si="0"/>
        <v>2011.12</v>
      </c>
      <c r="B261" s="109">
        <v>212261101</v>
      </c>
      <c r="C261" s="432">
        <v>1.4748000000000001</v>
      </c>
      <c r="D261" s="1346">
        <f>C261/'8.1'!B249</f>
        <v>2.4304462322319746E-2</v>
      </c>
      <c r="E261" s="436"/>
      <c r="F261" s="434">
        <v>3675</v>
      </c>
    </row>
    <row r="262" spans="1:6">
      <c r="A262" s="63">
        <f t="shared" si="0"/>
        <v>2012.01</v>
      </c>
      <c r="B262" s="109">
        <v>204823057</v>
      </c>
      <c r="C262" s="432">
        <v>1.4838</v>
      </c>
      <c r="D262" s="1346">
        <f>C262/'8.1'!B250</f>
        <v>2.418007894967222E-2</v>
      </c>
      <c r="E262" s="436"/>
      <c r="F262" s="434">
        <v>3600</v>
      </c>
    </row>
    <row r="263" spans="1:6">
      <c r="A263" s="63">
        <f t="shared" si="0"/>
        <v>2012.02</v>
      </c>
      <c r="B263" s="109">
        <v>174210812</v>
      </c>
      <c r="C263" s="432">
        <v>1.5046999999999999</v>
      </c>
      <c r="D263" s="1346">
        <f>C263/'8.1'!B251</f>
        <v>2.4304437453660618E-2</v>
      </c>
      <c r="E263" s="436"/>
      <c r="F263" s="434">
        <v>3550</v>
      </c>
    </row>
    <row r="264" spans="1:6">
      <c r="A264" s="63">
        <f t="shared" si="0"/>
        <v>2012.03</v>
      </c>
      <c r="B264" s="109">
        <v>179658661</v>
      </c>
      <c r="C264" s="432">
        <v>1.5468999999999999</v>
      </c>
      <c r="D264" s="1346">
        <f>C264/'8.1'!B252</f>
        <v>2.4139106624604067E-2</v>
      </c>
      <c r="E264" s="436"/>
      <c r="F264" s="434">
        <v>3450</v>
      </c>
    </row>
    <row r="265" spans="1:6">
      <c r="A265" s="63">
        <f t="shared" si="0"/>
        <v>2012.04</v>
      </c>
      <c r="B265" s="109">
        <v>171487463</v>
      </c>
      <c r="C265" s="432">
        <v>1.5693999999999999</v>
      </c>
      <c r="D265" s="1346">
        <f>C265/'8.1'!B253</f>
        <v>2.3788048218255545E-2</v>
      </c>
      <c r="E265" s="436"/>
      <c r="F265" s="434">
        <v>3175</v>
      </c>
    </row>
    <row r="266" spans="1:6">
      <c r="A266" s="63">
        <f t="shared" si="0"/>
        <v>2012.05</v>
      </c>
      <c r="B266" s="109">
        <v>183893164</v>
      </c>
      <c r="C266" s="432">
        <v>1.569</v>
      </c>
      <c r="D266" s="1346">
        <f>C266/'8.1'!B254</f>
        <v>2.3576583201352939E-2</v>
      </c>
      <c r="E266" s="436"/>
      <c r="F266" s="434">
        <v>2925</v>
      </c>
    </row>
    <row r="267" spans="1:6">
      <c r="A267" s="63">
        <f t="shared" si="0"/>
        <v>2012.06</v>
      </c>
      <c r="B267" s="109">
        <v>186163236</v>
      </c>
      <c r="C267" s="432">
        <v>1.5637000000000001</v>
      </c>
      <c r="D267" s="1346">
        <f>C267/'8.1'!B255</f>
        <v>2.3280405842972605E-2</v>
      </c>
      <c r="E267" s="436"/>
      <c r="F267" s="434">
        <v>2850</v>
      </c>
    </row>
    <row r="268" spans="1:6">
      <c r="A268" s="63">
        <f t="shared" si="0"/>
        <v>2012.07</v>
      </c>
      <c r="B268" s="109">
        <v>202264898</v>
      </c>
      <c r="C268" s="432">
        <v>1.5662</v>
      </c>
      <c r="D268" s="1346">
        <f>C268/'8.1'!B256</f>
        <v>2.3127658874400672E-2</v>
      </c>
      <c r="E268" s="436"/>
      <c r="F268" s="434">
        <v>2800</v>
      </c>
    </row>
    <row r="269" spans="1:6">
      <c r="A269" s="63">
        <f t="shared" si="0"/>
        <v>2012.08</v>
      </c>
      <c r="B269" s="109">
        <v>195849793</v>
      </c>
      <c r="C269" s="432">
        <v>1.5465</v>
      </c>
      <c r="D269" s="1346">
        <f>C269/'8.1'!B257</f>
        <v>2.2603202332965509E-2</v>
      </c>
      <c r="E269" s="436"/>
      <c r="F269" s="434">
        <v>2900</v>
      </c>
    </row>
    <row r="270" spans="1:6">
      <c r="A270" s="63">
        <f t="shared" si="0"/>
        <v>2012.09</v>
      </c>
      <c r="B270" s="109">
        <v>216625710</v>
      </c>
      <c r="C270" s="432">
        <v>1.5357000000000001</v>
      </c>
      <c r="D270" s="1346">
        <f>C270/'8.1'!B258</f>
        <v>2.2148520623161121E-2</v>
      </c>
      <c r="E270" s="436"/>
      <c r="F270" s="434">
        <v>3237.5</v>
      </c>
    </row>
    <row r="271" spans="1:6">
      <c r="A271" s="63">
        <f t="shared" si="0"/>
        <v>2012.1</v>
      </c>
      <c r="B271" s="109">
        <v>216596985</v>
      </c>
      <c r="C271" s="432">
        <v>1.5442</v>
      </c>
      <c r="D271" s="1346">
        <f>C271/'8.1'!B259</f>
        <v>2.2041342068000382E-2</v>
      </c>
      <c r="E271" s="436"/>
      <c r="F271" s="434">
        <v>3300</v>
      </c>
    </row>
    <row r="272" spans="1:6">
      <c r="A272" s="63">
        <f t="shared" si="0"/>
        <v>2012.11</v>
      </c>
      <c r="B272" s="109">
        <v>205233177</v>
      </c>
      <c r="C272" s="432">
        <v>1.5792999999999999</v>
      </c>
      <c r="D272" s="1346">
        <f>C272/'8.1'!B260</f>
        <v>2.2304279189665287E-2</v>
      </c>
      <c r="E272" s="436"/>
      <c r="F272" s="434">
        <v>3375</v>
      </c>
    </row>
    <row r="273" spans="1:6">
      <c r="A273" s="63">
        <f t="shared" si="0"/>
        <v>2012.12</v>
      </c>
      <c r="B273" s="109">
        <v>200694219</v>
      </c>
      <c r="C273" s="432">
        <v>1.629</v>
      </c>
      <c r="D273" s="1346">
        <f>C273/'8.1'!B261</f>
        <v>2.2799448027377888E-2</v>
      </c>
      <c r="E273" s="436"/>
      <c r="F273" s="434">
        <v>3300</v>
      </c>
    </row>
    <row r="274" spans="1:6">
      <c r="A274" s="63">
        <f t="shared" si="0"/>
        <v>2013.01</v>
      </c>
      <c r="B274" s="109">
        <v>187984200</v>
      </c>
      <c r="C274" s="432">
        <v>1.7141</v>
      </c>
      <c r="D274" s="1346">
        <f>C274/'8.1'!B262</f>
        <v>2.3709195076898053E-2</v>
      </c>
      <c r="E274" s="436"/>
      <c r="F274" s="434">
        <v>3350</v>
      </c>
    </row>
    <row r="275" spans="1:6">
      <c r="A275" s="63">
        <f t="shared" si="0"/>
        <v>2013.02</v>
      </c>
      <c r="B275" s="109">
        <v>159111381</v>
      </c>
      <c r="C275" s="432">
        <v>1.8193999999999999</v>
      </c>
      <c r="D275" s="1346">
        <f>C275/'8.1'!B263</f>
        <v>2.4952713990472726E-2</v>
      </c>
      <c r="E275" s="436"/>
      <c r="F275" s="434">
        <v>3475</v>
      </c>
    </row>
    <row r="276" spans="1:6">
      <c r="A276" s="63">
        <f t="shared" si="0"/>
        <v>2013.03</v>
      </c>
      <c r="B276" s="109">
        <v>174516556</v>
      </c>
      <c r="C276" s="432">
        <v>1.9172</v>
      </c>
      <c r="D276" s="1346">
        <f>C276/'8.1'!B264</f>
        <v>2.5985728162218853E-2</v>
      </c>
      <c r="E276" s="436"/>
      <c r="F276" s="434">
        <v>4950</v>
      </c>
    </row>
    <row r="277" spans="1:6">
      <c r="A277" s="63">
        <f t="shared" si="0"/>
        <v>2013.04</v>
      </c>
      <c r="B277" s="109">
        <v>168662468</v>
      </c>
      <c r="C277" s="432">
        <v>2.0969000000000002</v>
      </c>
      <c r="D277" s="1346">
        <f>C277/'8.1'!B265</f>
        <v>2.8120250506963523E-2</v>
      </c>
      <c r="E277" s="436"/>
      <c r="F277" s="434">
        <v>5600</v>
      </c>
    </row>
    <row r="278" spans="1:6">
      <c r="A278" s="63">
        <f t="shared" si="0"/>
        <v>2013.05</v>
      </c>
      <c r="B278" s="109">
        <v>187781810</v>
      </c>
      <c r="C278" s="432">
        <v>2.0907</v>
      </c>
      <c r="D278" s="1346">
        <f>C278/'8.1'!B266</f>
        <v>2.7822649830411387E-2</v>
      </c>
      <c r="E278" s="436"/>
      <c r="F278" s="434">
        <v>5262.5</v>
      </c>
    </row>
    <row r="279" spans="1:6">
      <c r="A279" s="63">
        <f t="shared" si="0"/>
        <v>2013.06</v>
      </c>
      <c r="B279" s="109">
        <v>194379088</v>
      </c>
      <c r="C279" s="432">
        <v>2.0891000000000002</v>
      </c>
      <c r="D279" s="1346">
        <f>C279/'8.1'!B267</f>
        <v>2.7462033655755422E-2</v>
      </c>
      <c r="E279" s="436"/>
      <c r="F279" s="434">
        <v>4750</v>
      </c>
    </row>
    <row r="280" spans="1:6">
      <c r="A280" s="63">
        <f t="shared" si="0"/>
        <v>2013.07</v>
      </c>
      <c r="B280" s="109">
        <v>212213739</v>
      </c>
      <c r="C280" s="432">
        <v>2.0992999999999999</v>
      </c>
      <c r="D280" s="1346">
        <f>C280/'8.1'!B268</f>
        <v>2.7284475288769015E-2</v>
      </c>
      <c r="E280" s="436"/>
      <c r="F280" s="434">
        <v>4912</v>
      </c>
    </row>
    <row r="281" spans="1:6">
      <c r="A281" s="63">
        <f t="shared" si="0"/>
        <v>2013.08</v>
      </c>
      <c r="B281" s="109">
        <v>216365690</v>
      </c>
      <c r="C281" s="432">
        <v>2.1025</v>
      </c>
      <c r="D281" s="1346">
        <f>C281/'8.1'!B269</f>
        <v>2.6976932428683709E-2</v>
      </c>
      <c r="E281" s="436"/>
      <c r="F281" s="434">
        <v>5000</v>
      </c>
    </row>
    <row r="282" spans="1:6">
      <c r="A282" s="63">
        <f t="shared" si="0"/>
        <v>2013.09</v>
      </c>
      <c r="B282" s="109">
        <v>214519356</v>
      </c>
      <c r="C282" s="432">
        <v>2.1434000000000002</v>
      </c>
      <c r="D282" s="1346">
        <f>C282/'8.1'!B270</f>
        <v>2.7171976459167264E-2</v>
      </c>
      <c r="E282" s="436"/>
      <c r="F282" s="434">
        <v>5025</v>
      </c>
    </row>
    <row r="283" spans="1:6">
      <c r="A283" s="63">
        <f t="shared" si="0"/>
        <v>2013.1</v>
      </c>
      <c r="B283" s="109">
        <v>225685353</v>
      </c>
      <c r="C283" s="432">
        <v>2.1909000000000001</v>
      </c>
      <c r="D283" s="1346">
        <f>C283/'8.1'!B271</f>
        <v>2.7392964310327061E-2</v>
      </c>
      <c r="E283" s="436"/>
      <c r="F283" s="434">
        <v>5125</v>
      </c>
    </row>
    <row r="284" spans="1:6">
      <c r="A284" s="63">
        <f t="shared" si="0"/>
        <v>2013.11</v>
      </c>
      <c r="B284" s="109">
        <v>216681331</v>
      </c>
      <c r="C284" s="432">
        <v>2.2395999999999998</v>
      </c>
      <c r="D284" s="1346">
        <f>C284/'8.1'!B272</f>
        <v>2.748397110633842E-2</v>
      </c>
      <c r="E284" s="436"/>
      <c r="F284" s="434">
        <v>4950</v>
      </c>
    </row>
    <row r="285" spans="1:6">
      <c r="A285" s="63">
        <f t="shared" si="0"/>
        <v>2013.12</v>
      </c>
      <c r="B285" s="109">
        <v>203912652</v>
      </c>
      <c r="C285" s="432">
        <v>2.3308</v>
      </c>
      <c r="D285" s="1346">
        <f>C285/'8.1'!B273</f>
        <v>2.8095467695274833E-2</v>
      </c>
      <c r="E285" s="436"/>
      <c r="F285" s="434">
        <v>5137.5</v>
      </c>
    </row>
    <row r="286" spans="1:6">
      <c r="A286" s="63">
        <f t="shared" si="0"/>
        <v>2014.01</v>
      </c>
      <c r="B286" s="109">
        <v>192051334</v>
      </c>
      <c r="C286" s="432">
        <v>2.4424999999999999</v>
      </c>
      <c r="D286" s="1346">
        <f>C286/'8.1'!B274</f>
        <v>2.8654387611450022E-2</v>
      </c>
      <c r="E286" s="436"/>
      <c r="F286" s="434">
        <v>5137.5</v>
      </c>
    </row>
    <row r="287" spans="1:6">
      <c r="A287" s="63">
        <f t="shared" si="0"/>
        <v>2014.02</v>
      </c>
      <c r="B287" s="109">
        <v>163062382</v>
      </c>
      <c r="C287" s="432">
        <v>2.6724000000000001</v>
      </c>
      <c r="D287" s="1346">
        <f>C287/'8.1'!B275</f>
        <v>2.9597962122051166E-2</v>
      </c>
      <c r="E287" s="436"/>
      <c r="F287" s="434">
        <v>5125</v>
      </c>
    </row>
    <row r="288" spans="1:6">
      <c r="A288" s="63">
        <f t="shared" si="0"/>
        <v>2014.03</v>
      </c>
      <c r="B288" s="109">
        <v>163280618</v>
      </c>
      <c r="C288" s="432">
        <v>2.7826</v>
      </c>
      <c r="D288" s="1346">
        <f>C288/'8.1'!B276</f>
        <v>2.9798672092525166E-2</v>
      </c>
      <c r="E288" s="436"/>
      <c r="F288" s="434">
        <v>4725</v>
      </c>
    </row>
    <row r="289" spans="1:7">
      <c r="A289" s="63">
        <f t="shared" si="0"/>
        <v>2014.04</v>
      </c>
      <c r="B289" s="109">
        <v>151215613</v>
      </c>
      <c r="C289" s="432">
        <v>2.9842</v>
      </c>
      <c r="D289" s="1346">
        <f>C289/'8.1'!B277</f>
        <v>3.1340054610375971E-2</v>
      </c>
      <c r="E289" s="436"/>
      <c r="F289" s="434">
        <v>4337.5</v>
      </c>
      <c r="G289" s="201"/>
    </row>
    <row r="290" spans="1:7">
      <c r="A290" s="63">
        <f t="shared" ref="A290:A353" si="1">A278+1</f>
        <v>2014.05</v>
      </c>
      <c r="B290" s="109">
        <v>168454825</v>
      </c>
      <c r="C290" s="432">
        <v>3.016</v>
      </c>
      <c r="D290" s="1346">
        <f>C290/'8.1'!B278</f>
        <v>3.1099195710455763E-2</v>
      </c>
      <c r="E290" s="436"/>
      <c r="F290" s="434">
        <v>4112.5</v>
      </c>
      <c r="G290" s="201"/>
    </row>
    <row r="291" spans="1:7">
      <c r="A291" s="63">
        <f t="shared" si="1"/>
        <v>2014.06</v>
      </c>
      <c r="B291" s="109">
        <v>179766407</v>
      </c>
      <c r="C291" s="432">
        <v>3.052</v>
      </c>
      <c r="D291" s="1346">
        <f>C291/'8.1'!B279</f>
        <v>3.0809610337169391E-2</v>
      </c>
      <c r="E291" s="436"/>
      <c r="F291" s="434">
        <v>3975</v>
      </c>
      <c r="G291" s="201"/>
    </row>
    <row r="292" spans="1:7">
      <c r="A292" s="63">
        <f t="shared" si="1"/>
        <v>2014.07</v>
      </c>
      <c r="B292" s="109">
        <v>199826397</v>
      </c>
      <c r="C292" s="432">
        <v>3.1196000000000002</v>
      </c>
      <c r="D292" s="1346">
        <f>C292/'8.1'!B280</f>
        <v>3.0982222663621016E-2</v>
      </c>
      <c r="E292" s="436"/>
      <c r="F292" s="434">
        <v>3500</v>
      </c>
      <c r="G292" s="201"/>
    </row>
    <row r="293" spans="1:7">
      <c r="A293" s="63">
        <f t="shared" si="1"/>
        <v>2014.08</v>
      </c>
      <c r="B293" s="109">
        <v>213240407</v>
      </c>
      <c r="C293" s="432">
        <v>3.1151</v>
      </c>
      <c r="D293" s="1346">
        <f>C293/'8.1'!B281</f>
        <v>3.0305477186496739E-2</v>
      </c>
      <c r="E293" s="436"/>
      <c r="F293" s="434">
        <v>3012.5</v>
      </c>
      <c r="G293" s="201"/>
    </row>
    <row r="294" spans="1:7">
      <c r="A294" s="63">
        <f t="shared" si="1"/>
        <v>2014.09</v>
      </c>
      <c r="B294" s="109">
        <v>213393489</v>
      </c>
      <c r="C294" s="432">
        <v>3.1335999999999999</v>
      </c>
      <c r="D294" s="1346">
        <f>C294/'8.1'!B282</f>
        <v>2.9634953659920561E-2</v>
      </c>
      <c r="E294" s="436"/>
      <c r="F294" s="434">
        <v>2875</v>
      </c>
      <c r="G294" s="201"/>
    </row>
    <row r="295" spans="1:7">
      <c r="A295" s="63">
        <f t="shared" si="1"/>
        <v>2014.1</v>
      </c>
      <c r="B295" s="109">
        <v>213982985</v>
      </c>
      <c r="C295" s="432">
        <v>3.1716000000000002</v>
      </c>
      <c r="D295" s="1346">
        <f>C295/'8.1'!B283</f>
        <v>2.9344929681717247E-2</v>
      </c>
      <c r="E295" s="436"/>
      <c r="F295" s="434">
        <v>2725</v>
      </c>
      <c r="G295" s="201"/>
    </row>
    <row r="296" spans="1:7">
      <c r="A296" s="63">
        <f t="shared" si="1"/>
        <v>2014.11</v>
      </c>
      <c r="B296" s="109">
        <v>202397863</v>
      </c>
      <c r="C296" s="432">
        <v>3.2385000000000002</v>
      </c>
      <c r="D296" s="1346">
        <f>C296/'8.1'!B284</f>
        <v>2.9336896458012504E-2</v>
      </c>
      <c r="E296" s="436"/>
      <c r="F296" s="434">
        <v>2550</v>
      </c>
      <c r="G296" s="201"/>
    </row>
    <row r="297" spans="1:7">
      <c r="A297" s="63">
        <f t="shared" si="1"/>
        <v>2014.12</v>
      </c>
      <c r="B297" s="109">
        <v>210403710</v>
      </c>
      <c r="C297" s="432">
        <v>3.2238000000000002</v>
      </c>
      <c r="D297" s="1346">
        <f>C297/'8.1'!B285</f>
        <v>2.8745430227374053E-2</v>
      </c>
      <c r="E297" s="436"/>
      <c r="F297" s="434">
        <v>2450</v>
      </c>
      <c r="G297" s="201"/>
    </row>
    <row r="298" spans="1:7">
      <c r="A298" s="63">
        <f t="shared" si="1"/>
        <v>2015.01</v>
      </c>
      <c r="B298" s="109">
        <v>183054305</v>
      </c>
      <c r="C298" s="432">
        <v>3.1410999999999998</v>
      </c>
      <c r="D298" s="1346">
        <f>C298/'8.1'!B286</f>
        <v>2.7682206750682999E-2</v>
      </c>
      <c r="E298" s="437">
        <v>973.79013632348392</v>
      </c>
      <c r="F298" s="434">
        <v>2500</v>
      </c>
      <c r="G298" s="201"/>
    </row>
    <row r="299" spans="1:7">
      <c r="A299" s="63">
        <f t="shared" si="1"/>
        <v>2015.02</v>
      </c>
      <c r="B299" s="109">
        <v>156799303</v>
      </c>
      <c r="C299" s="432">
        <v>3.2002999999999999</v>
      </c>
      <c r="D299" s="1346">
        <f>C299/'8.1'!B287</f>
        <v>2.7727430254721883E-2</v>
      </c>
      <c r="E299" s="438">
        <v>746.72200440490212</v>
      </c>
      <c r="F299" s="434">
        <v>3200</v>
      </c>
      <c r="G299" s="201"/>
    </row>
    <row r="300" spans="1:7">
      <c r="A300" s="63">
        <f t="shared" si="1"/>
        <v>2015.03</v>
      </c>
      <c r="B300" s="109">
        <v>157852868</v>
      </c>
      <c r="C300" s="432">
        <v>3.2195</v>
      </c>
      <c r="D300" s="1346">
        <f>C300/'8.1'!B288</f>
        <v>2.7437361513550366E-2</v>
      </c>
      <c r="E300" s="438">
        <v>863.9697897568816</v>
      </c>
      <c r="F300" s="434">
        <v>3125</v>
      </c>
      <c r="G300" s="201"/>
    </row>
    <row r="301" spans="1:7">
      <c r="A301" s="63">
        <f t="shared" si="1"/>
        <v>2015.04</v>
      </c>
      <c r="B301" s="109">
        <v>162400778</v>
      </c>
      <c r="C301" s="432">
        <v>3.2387999999999999</v>
      </c>
      <c r="D301" s="1346">
        <f>C301/'8.1'!B289</f>
        <v>2.6951818257468584E-2</v>
      </c>
      <c r="E301" s="438">
        <v>879.36105084103986</v>
      </c>
      <c r="F301" s="434">
        <v>2687.5</v>
      </c>
      <c r="G301" s="201"/>
    </row>
    <row r="302" spans="1:7">
      <c r="A302" s="63">
        <f t="shared" si="1"/>
        <v>2015.05</v>
      </c>
      <c r="B302" s="109">
        <v>180010237</v>
      </c>
      <c r="C302" s="432">
        <v>3.2229999999999999</v>
      </c>
      <c r="D302" s="1346">
        <f>C302/'8.1'!B290</f>
        <v>2.6355384741188974E-2</v>
      </c>
      <c r="E302" s="438">
        <v>949.40321824260104</v>
      </c>
      <c r="F302" s="434">
        <v>2387.5</v>
      </c>
      <c r="G302" s="201"/>
    </row>
    <row r="303" spans="1:7">
      <c r="A303" s="63">
        <f t="shared" si="1"/>
        <v>2015.06</v>
      </c>
      <c r="B303" s="109">
        <v>187249031</v>
      </c>
      <c r="C303" s="432">
        <v>3.1431</v>
      </c>
      <c r="D303" s="1346">
        <f>C303/'8.1'!B291</f>
        <v>2.5404946653734238E-2</v>
      </c>
      <c r="E303" s="438">
        <v>986.14223052906129</v>
      </c>
      <c r="F303" s="434">
        <v>2325</v>
      </c>
      <c r="G303" s="1147"/>
    </row>
    <row r="304" spans="1:7">
      <c r="A304" s="63">
        <f t="shared" si="1"/>
        <v>2015.07</v>
      </c>
      <c r="B304" s="109">
        <v>198223480</v>
      </c>
      <c r="C304" s="432">
        <v>2.9047999999999998</v>
      </c>
      <c r="D304" s="1346">
        <f>C304/'8.1'!B292</f>
        <v>2.2984649469852823E-2</v>
      </c>
      <c r="E304" s="438">
        <v>1049.7610967197841</v>
      </c>
      <c r="F304" s="434">
        <v>1887.5</v>
      </c>
      <c r="G304" s="1147"/>
    </row>
    <row r="305" spans="1:7">
      <c r="A305" s="63">
        <f t="shared" si="1"/>
        <v>2015.08</v>
      </c>
      <c r="B305" s="109">
        <v>209693046</v>
      </c>
      <c r="C305" s="432">
        <v>2.738</v>
      </c>
      <c r="D305" s="1346">
        <f>C305/'8.1'!B293</f>
        <v>2.114122461585978E-2</v>
      </c>
      <c r="E305" s="438">
        <v>1093.0513023879746</v>
      </c>
      <c r="F305" s="434">
        <v>1850</v>
      </c>
      <c r="G305" s="1147"/>
    </row>
    <row r="306" spans="1:7">
      <c r="A306" s="63">
        <f t="shared" si="1"/>
        <v>2015.09</v>
      </c>
      <c r="B306" s="109">
        <v>219385798</v>
      </c>
      <c r="C306" s="432">
        <v>2.5232000000000001</v>
      </c>
      <c r="D306" s="1346">
        <f>C306/'8.1'!B294</f>
        <v>1.9148516354253624E-2</v>
      </c>
      <c r="E306" s="438">
        <v>1148.9362733844948</v>
      </c>
      <c r="F306" s="434">
        <v>2300</v>
      </c>
      <c r="G306" s="1147"/>
    </row>
    <row r="307" spans="1:7">
      <c r="A307" s="63">
        <f t="shared" si="1"/>
        <v>2015.1</v>
      </c>
      <c r="B307" s="109">
        <v>227165787</v>
      </c>
      <c r="C307" s="432">
        <v>2.4790000000000001</v>
      </c>
      <c r="D307" s="1346">
        <f>C307/'8.1'!B295</f>
        <v>1.8517965190109807E-2</v>
      </c>
      <c r="E307" s="438">
        <v>1193.0071805524919</v>
      </c>
      <c r="F307" s="434">
        <v>2800</v>
      </c>
      <c r="G307" s="1147"/>
    </row>
    <row r="308" spans="1:7">
      <c r="A308" s="63">
        <f t="shared" si="1"/>
        <v>2015.11</v>
      </c>
      <c r="B308" s="109">
        <v>208267289</v>
      </c>
      <c r="C308" s="432">
        <v>2.4727999999999999</v>
      </c>
      <c r="D308" s="1346">
        <f>C308/'8.1'!B296</f>
        <v>1.814366424535916E-2</v>
      </c>
      <c r="E308" s="438">
        <v>1111.5235298538996</v>
      </c>
      <c r="F308" s="434">
        <v>2275</v>
      </c>
      <c r="G308" s="1147"/>
    </row>
    <row r="309" spans="1:7">
      <c r="A309" s="63">
        <f t="shared" si="1"/>
        <v>2015.12</v>
      </c>
      <c r="B309" s="109">
        <v>200511953</v>
      </c>
      <c r="C309" s="432">
        <v>2.4866000000000001</v>
      </c>
      <c r="D309" s="1346">
        <f>C309/'8.1'!B297</f>
        <v>1.7224993072873371E-2</v>
      </c>
      <c r="E309" s="438">
        <v>1065.2304595363987</v>
      </c>
      <c r="F309" s="434">
        <v>2250</v>
      </c>
      <c r="G309" s="1147"/>
    </row>
    <row r="310" spans="1:7">
      <c r="A310" s="63">
        <f t="shared" si="1"/>
        <v>2016.01</v>
      </c>
      <c r="B310" s="109">
        <v>176247046</v>
      </c>
      <c r="C310" s="432">
        <v>2.7176</v>
      </c>
      <c r="D310" s="1346">
        <f>C310/'8.1'!B298</f>
        <v>1.8125792036283599E-2</v>
      </c>
      <c r="E310" s="438">
        <v>905.82853245908507</v>
      </c>
      <c r="F310" s="434">
        <v>2100</v>
      </c>
      <c r="G310" s="1147"/>
    </row>
    <row r="311" spans="1:7">
      <c r="A311" s="63">
        <f t="shared" si="1"/>
        <v>2016.02</v>
      </c>
      <c r="B311" s="109">
        <v>155086887</v>
      </c>
      <c r="C311" s="432">
        <v>2.7418999999999998</v>
      </c>
      <c r="D311" s="1346">
        <f>C311/'8.1'!B299</f>
        <v>1.7707956600361664E-2</v>
      </c>
      <c r="E311" s="438">
        <v>777.83842919894039</v>
      </c>
      <c r="F311" s="434">
        <v>1967.5</v>
      </c>
      <c r="G311" s="1147"/>
    </row>
    <row r="312" spans="1:7">
      <c r="A312" s="63">
        <f t="shared" si="1"/>
        <v>2016.03</v>
      </c>
      <c r="B312" s="109">
        <v>159016611</v>
      </c>
      <c r="C312" s="432">
        <v>2.7746</v>
      </c>
      <c r="D312" s="1346">
        <f>C312/'8.1'!B300</f>
        <v>1.7481098790322582E-2</v>
      </c>
      <c r="E312" s="438">
        <v>813.35177376910701</v>
      </c>
      <c r="F312" s="434">
        <v>2062.5</v>
      </c>
      <c r="G312" s="1147"/>
    </row>
    <row r="313" spans="1:7">
      <c r="A313" s="63">
        <f t="shared" si="1"/>
        <v>2016.04</v>
      </c>
      <c r="B313" s="109">
        <v>119367683</v>
      </c>
      <c r="C313" s="432">
        <v>3.4264000000000001</v>
      </c>
      <c r="D313" s="1346">
        <f>C313/'8.1'!B301</f>
        <v>2.0673343791480631E-2</v>
      </c>
      <c r="E313" s="438">
        <v>696.74703382737755</v>
      </c>
      <c r="F313" s="434">
        <v>2050</v>
      </c>
      <c r="G313" s="1147"/>
    </row>
    <row r="314" spans="1:7">
      <c r="A314" s="63">
        <f t="shared" si="1"/>
        <v>2016.05</v>
      </c>
      <c r="B314" s="109">
        <v>124134595</v>
      </c>
      <c r="C314" s="432">
        <v>4.1041999999999996</v>
      </c>
      <c r="D314" s="1346">
        <f>C314/'8.1'!B302</f>
        <v>2.3867178413584551E-2</v>
      </c>
      <c r="E314" s="438">
        <v>740.65727679334475</v>
      </c>
      <c r="F314" s="434">
        <v>2062.5</v>
      </c>
      <c r="G314" s="201"/>
    </row>
    <row r="315" spans="1:7">
      <c r="A315" s="63">
        <f t="shared" si="1"/>
        <v>2016.06</v>
      </c>
      <c r="B315" s="109">
        <v>136406537</v>
      </c>
      <c r="C315" s="432">
        <v>4.0907</v>
      </c>
      <c r="D315" s="1346">
        <f>C315/'8.1'!B303</f>
        <v>2.3082609186322087E-2</v>
      </c>
      <c r="E315" s="438">
        <v>775.19692886902442</v>
      </c>
      <c r="F315" s="434">
        <v>2100</v>
      </c>
      <c r="G315" s="201"/>
    </row>
    <row r="316" spans="1:7">
      <c r="A316" s="63">
        <f t="shared" si="1"/>
        <v>2016.07</v>
      </c>
      <c r="B316" s="109">
        <v>152066715</v>
      </c>
      <c r="C316" s="432">
        <v>4.2206000000000001</v>
      </c>
      <c r="D316" s="1346">
        <f>C316/'8.1'!B304</f>
        <v>2.3337572573956317E-2</v>
      </c>
      <c r="E316" s="438">
        <v>840.87137301154303</v>
      </c>
      <c r="F316" s="434">
        <v>2212.5</v>
      </c>
      <c r="G316" s="201"/>
    </row>
    <row r="317" spans="1:7">
      <c r="A317" s="63">
        <f t="shared" si="1"/>
        <v>2016.08</v>
      </c>
      <c r="B317" s="109">
        <v>167997697</v>
      </c>
      <c r="C317" s="432">
        <v>4.3331</v>
      </c>
      <c r="D317" s="1346">
        <f>C317/'8.1'!B305</f>
        <v>2.3873829201101929E-2</v>
      </c>
      <c r="E317" s="438">
        <v>936.36971622474402</v>
      </c>
      <c r="F317" s="434">
        <v>2662.5</v>
      </c>
      <c r="G317" s="201"/>
    </row>
    <row r="318" spans="1:7">
      <c r="A318" s="63">
        <f t="shared" si="1"/>
        <v>2016.09</v>
      </c>
      <c r="B318" s="109">
        <v>180102897</v>
      </c>
      <c r="C318" s="432">
        <v>4.3836000000000004</v>
      </c>
      <c r="D318" s="1346">
        <f>C318/'8.1'!B306</f>
        <v>2.3986867305061561E-2</v>
      </c>
      <c r="E318" s="438">
        <v>976.49204341799441</v>
      </c>
      <c r="F318" s="434">
        <v>2850</v>
      </c>
      <c r="G318" s="201"/>
    </row>
    <row r="319" spans="1:7">
      <c r="A319" s="63">
        <f t="shared" si="1"/>
        <v>2016.1</v>
      </c>
      <c r="B319" s="109">
        <v>183727491</v>
      </c>
      <c r="C319" s="432">
        <v>4.4180000000000001</v>
      </c>
      <c r="D319" s="1346">
        <f>C319/'8.1'!B307</f>
        <v>2.3582790648019644E-2</v>
      </c>
      <c r="E319" s="438">
        <v>1002.7932987553244</v>
      </c>
      <c r="F319" s="434">
        <v>2825</v>
      </c>
      <c r="G319" s="201"/>
    </row>
    <row r="320" spans="1:7">
      <c r="A320" s="63">
        <f t="shared" si="1"/>
        <v>2016.11</v>
      </c>
      <c r="B320" s="109">
        <v>171735822</v>
      </c>
      <c r="C320" s="432">
        <v>4.5328999999999997</v>
      </c>
      <c r="D320" s="1346">
        <f>C320/'8.1'!B308</f>
        <v>2.401027596800678E-2</v>
      </c>
      <c r="E320" s="438">
        <v>917.25944499524951</v>
      </c>
      <c r="F320" s="434">
        <v>3150</v>
      </c>
      <c r="G320" s="201"/>
    </row>
    <row r="321" spans="1:9">
      <c r="A321" s="63">
        <f t="shared" si="1"/>
        <v>2016.12</v>
      </c>
      <c r="B321" s="109">
        <v>168433120</v>
      </c>
      <c r="C321" s="432">
        <v>4.7178000000000004</v>
      </c>
      <c r="D321" s="1346">
        <f>C321/'8.1'!B309</f>
        <v>2.4592368640533779E-2</v>
      </c>
      <c r="E321" s="438">
        <v>908.79559944927291</v>
      </c>
      <c r="F321" s="434">
        <v>3287.5</v>
      </c>
      <c r="G321" s="201"/>
      <c r="H321" s="201"/>
      <c r="I321" s="201"/>
    </row>
    <row r="322" spans="1:9">
      <c r="A322" s="63">
        <f t="shared" si="1"/>
        <v>2017.01</v>
      </c>
      <c r="B322" s="109">
        <v>141288873</v>
      </c>
      <c r="C322" s="432">
        <v>4.9692999999999996</v>
      </c>
      <c r="D322" s="1346">
        <f>C322/'8.1'!B310</f>
        <v>2.53768767235216E-2</v>
      </c>
      <c r="E322" s="438">
        <v>811.98887649631718</v>
      </c>
      <c r="F322" s="434">
        <v>3187.5</v>
      </c>
      <c r="G322" s="1410"/>
      <c r="H322" s="201"/>
      <c r="I322" s="201"/>
    </row>
    <row r="323" spans="1:9">
      <c r="A323" s="63">
        <f t="shared" si="1"/>
        <v>2017.02</v>
      </c>
      <c r="B323" s="109">
        <v>118331652</v>
      </c>
      <c r="C323" s="432">
        <v>5.1045999999999996</v>
      </c>
      <c r="D323" s="1346">
        <f>C323/'8.1'!B311</f>
        <v>2.538465363767467E-2</v>
      </c>
      <c r="E323" s="438">
        <v>681.55738577130273</v>
      </c>
      <c r="F323" s="434">
        <v>3300</v>
      </c>
      <c r="G323" s="1410"/>
      <c r="H323" s="201"/>
      <c r="I323" s="201"/>
    </row>
    <row r="324" spans="1:9">
      <c r="A324" s="63">
        <f t="shared" si="1"/>
        <v>2017.03</v>
      </c>
      <c r="B324" s="109">
        <v>117635793</v>
      </c>
      <c r="C324" s="432">
        <v>5.2145999999999999</v>
      </c>
      <c r="D324" s="1346">
        <f>C324/'8.1'!B312</f>
        <v>2.5220545560069647E-2</v>
      </c>
      <c r="E324" s="438">
        <v>731.66221149187754</v>
      </c>
      <c r="F324" s="434">
        <v>2962.5</v>
      </c>
      <c r="G324" s="1410"/>
      <c r="H324" s="201"/>
      <c r="I324" s="201"/>
    </row>
    <row r="325" spans="1:9">
      <c r="A325" s="63">
        <f t="shared" si="1"/>
        <v>2017.04</v>
      </c>
      <c r="B325" s="109">
        <v>119035740</v>
      </c>
      <c r="C325" s="432">
        <v>5.3075999999999999</v>
      </c>
      <c r="D325" s="1346">
        <f>C325/'8.1'!B313</f>
        <v>2.5068959002456075E-2</v>
      </c>
      <c r="E325" s="438">
        <v>710.91506057351148</v>
      </c>
      <c r="F325" s="434">
        <v>3075</v>
      </c>
      <c r="G325" s="1410"/>
      <c r="H325" s="201"/>
      <c r="I325" s="201"/>
    </row>
    <row r="326" spans="1:9">
      <c r="A326" s="63">
        <f t="shared" si="1"/>
        <v>2017.05</v>
      </c>
      <c r="B326" s="109">
        <v>123830278</v>
      </c>
      <c r="C326" s="432">
        <v>5.5018000000000002</v>
      </c>
      <c r="D326" s="1346">
        <f>C326/'8.1'!B314</f>
        <v>2.550199313989061E-2</v>
      </c>
      <c r="E326" s="438">
        <v>782.04042521641952</v>
      </c>
      <c r="F326" s="434">
        <v>3225</v>
      </c>
      <c r="G326" s="1410"/>
      <c r="H326" s="201"/>
      <c r="I326" s="201"/>
    </row>
    <row r="327" spans="1:9">
      <c r="A327" s="63">
        <f t="shared" si="1"/>
        <v>2017.06</v>
      </c>
      <c r="B327" s="109">
        <v>129514145</v>
      </c>
      <c r="C327" s="432">
        <v>5.5907</v>
      </c>
      <c r="D327" s="1346">
        <f>C327/'8.1'!B315</f>
        <v>2.558438586857038E-2</v>
      </c>
      <c r="E327" s="438">
        <v>795.64695192034264</v>
      </c>
      <c r="F327" s="434">
        <v>3125</v>
      </c>
      <c r="G327" s="1410"/>
      <c r="H327" s="201"/>
      <c r="I327" s="201"/>
    </row>
    <row r="328" spans="1:9">
      <c r="A328" s="63">
        <f t="shared" si="1"/>
        <v>2017.07</v>
      </c>
      <c r="B328" s="109">
        <v>142934585</v>
      </c>
      <c r="C328" s="432">
        <v>5.6436000000000002</v>
      </c>
      <c r="D328" s="1346">
        <f>C328/'8.1'!B316</f>
        <v>2.5314434376962413E-2</v>
      </c>
      <c r="E328" s="438">
        <v>861.42034438680696</v>
      </c>
      <c r="F328" s="434">
        <v>3200</v>
      </c>
      <c r="G328" s="1410"/>
      <c r="H328" s="201"/>
      <c r="I328" s="201"/>
    </row>
    <row r="329" spans="1:9">
      <c r="A329" s="63">
        <f t="shared" si="1"/>
        <v>2017.08</v>
      </c>
      <c r="B329" s="109">
        <v>151324430</v>
      </c>
      <c r="C329" s="432">
        <v>5.7092000000000001</v>
      </c>
      <c r="D329" s="1346">
        <f>C329/'8.1'!B317</f>
        <v>2.5258593991947971E-2</v>
      </c>
      <c r="E329" s="438">
        <v>911.06693689061683</v>
      </c>
      <c r="F329" s="434">
        <v>3200</v>
      </c>
      <c r="G329" s="1410"/>
      <c r="H329" s="201"/>
      <c r="I329" s="201"/>
    </row>
    <row r="330" spans="1:9">
      <c r="A330" s="63">
        <f t="shared" si="1"/>
        <v>2017.09</v>
      </c>
      <c r="B330" s="109">
        <v>156565498</v>
      </c>
      <c r="C330" s="432">
        <v>5.7605000000000004</v>
      </c>
      <c r="D330" s="1346">
        <f>C330/'8.1'!B318</f>
        <v>2.5098030672708261E-2</v>
      </c>
      <c r="E330" s="438">
        <v>938.86429552372419</v>
      </c>
      <c r="F330" s="434">
        <v>3175</v>
      </c>
      <c r="G330" s="1410"/>
      <c r="H330" s="201"/>
      <c r="I330" s="201"/>
    </row>
    <row r="331" spans="1:9">
      <c r="A331" s="63">
        <f t="shared" si="1"/>
        <v>2017.1</v>
      </c>
      <c r="B331" s="109">
        <v>166359731</v>
      </c>
      <c r="C331" s="432">
        <v>5.7420999999999998</v>
      </c>
      <c r="D331" s="1346">
        <f>C331/'8.1'!B319</f>
        <v>2.4706768211350628E-2</v>
      </c>
      <c r="E331" s="438">
        <v>990.97534608128046</v>
      </c>
      <c r="F331" s="434">
        <v>3012.5</v>
      </c>
      <c r="G331" s="1410"/>
      <c r="H331" s="201"/>
      <c r="I331" s="201"/>
    </row>
    <row r="332" spans="1:9">
      <c r="A332" s="63">
        <f t="shared" si="1"/>
        <v>2017.11</v>
      </c>
      <c r="B332" s="109">
        <v>159832644</v>
      </c>
      <c r="C332" s="432">
        <v>5.7759</v>
      </c>
      <c r="D332" s="1346">
        <f>C332/'8.1'!B320</f>
        <v>2.4481413978722503E-2</v>
      </c>
      <c r="E332" s="438">
        <v>951.49471414387449</v>
      </c>
      <c r="F332" s="434">
        <v>2825</v>
      </c>
      <c r="G332" s="1410"/>
      <c r="H332" s="1796"/>
      <c r="I332" s="201"/>
    </row>
    <row r="333" spans="1:9">
      <c r="A333" s="63">
        <f t="shared" si="1"/>
        <v>2017.12</v>
      </c>
      <c r="B333" s="109">
        <v>135494620</v>
      </c>
      <c r="C333" s="432">
        <v>5.7694999999999999</v>
      </c>
      <c r="D333" s="1346">
        <f>C333/'8.1'!B321</f>
        <v>2.3855695679139963E-2</v>
      </c>
      <c r="E333" s="438">
        <v>929.84505385764248</v>
      </c>
      <c r="F333" s="434">
        <v>2750</v>
      </c>
      <c r="G333" s="1410"/>
      <c r="H333" s="1796"/>
      <c r="I333" s="201"/>
    </row>
    <row r="334" spans="1:9">
      <c r="A334" s="63">
        <f t="shared" si="1"/>
        <v>2018.01</v>
      </c>
      <c r="B334" s="109">
        <v>151650893</v>
      </c>
      <c r="C334" s="432">
        <v>5.7827999999999999</v>
      </c>
      <c r="D334" s="1346">
        <f>C334/'8.1'!B322</f>
        <v>2.3493946534492566E-2</v>
      </c>
      <c r="E334" s="438">
        <v>884.62691814202128</v>
      </c>
      <c r="F334" s="434">
        <v>2938</v>
      </c>
      <c r="G334" s="1410"/>
      <c r="H334" s="449"/>
      <c r="I334" s="1321"/>
    </row>
    <row r="335" spans="1:9">
      <c r="A335" s="63">
        <f t="shared" si="1"/>
        <v>2018.02</v>
      </c>
      <c r="B335" s="109">
        <v>125316156</v>
      </c>
      <c r="C335" s="432">
        <v>5.8311999999999999</v>
      </c>
      <c r="D335" s="1346">
        <f>C335/'8.1'!B323</f>
        <v>2.3034564487458029E-2</v>
      </c>
      <c r="E335" s="438">
        <v>741.30308808159123</v>
      </c>
      <c r="F335" s="434">
        <v>3100</v>
      </c>
      <c r="G335" s="1410"/>
      <c r="H335" s="450"/>
      <c r="I335" s="1321"/>
    </row>
    <row r="336" spans="1:9">
      <c r="A336" s="63">
        <f t="shared" si="1"/>
        <v>2018.03</v>
      </c>
      <c r="B336" s="109">
        <v>133800373</v>
      </c>
      <c r="C336" s="432">
        <v>5.9843999999999999</v>
      </c>
      <c r="D336" s="1346">
        <f>C336/'8.1'!B324</f>
        <v>2.3151379163604009E-2</v>
      </c>
      <c r="E336" s="438">
        <v>809.86212386120633</v>
      </c>
      <c r="F336" s="434">
        <v>3238</v>
      </c>
      <c r="G336" s="1410"/>
      <c r="H336" s="450"/>
      <c r="I336" s="1321"/>
    </row>
    <row r="337" spans="1:12">
      <c r="A337" s="63">
        <f t="shared" si="1"/>
        <v>2018.04</v>
      </c>
      <c r="B337" s="109">
        <v>125414828</v>
      </c>
      <c r="C337" s="432">
        <v>6.1978999999999997</v>
      </c>
      <c r="D337" s="1346">
        <f>C337/'8.1'!B325</f>
        <v>2.3336345494935806E-2</v>
      </c>
      <c r="E337" s="438">
        <v>775.70350741690379</v>
      </c>
      <c r="F337" s="434">
        <v>3313</v>
      </c>
      <c r="G337" s="1410"/>
      <c r="H337" s="451"/>
      <c r="I337" s="1321"/>
      <c r="J337" s="201"/>
      <c r="K337" s="201"/>
      <c r="L337" s="201"/>
    </row>
    <row r="338" spans="1:12">
      <c r="A338" s="63">
        <f t="shared" si="1"/>
        <v>2018.05</v>
      </c>
      <c r="B338" s="109">
        <v>128044201</v>
      </c>
      <c r="C338" s="432">
        <v>6.4061000000000003</v>
      </c>
      <c r="D338" s="1346">
        <f>C338/'8.1'!B326</f>
        <v>2.348621498753483E-2</v>
      </c>
      <c r="E338" s="438">
        <v>798.19958201925988</v>
      </c>
      <c r="F338" s="434">
        <v>3269</v>
      </c>
      <c r="G338" s="1410"/>
      <c r="H338" s="451"/>
      <c r="I338" s="1321"/>
      <c r="J338" s="201"/>
      <c r="K338" s="201"/>
      <c r="L338" s="201"/>
    </row>
    <row r="339" spans="1:12">
      <c r="A339" s="63">
        <f t="shared" si="1"/>
        <v>2018.06</v>
      </c>
      <c r="B339" s="109">
        <v>134850760</v>
      </c>
      <c r="C339" s="432">
        <v>6.8216000000000001</v>
      </c>
      <c r="D339" s="1346">
        <f>C339/'8.1'!B327</f>
        <v>2.4119934940951843E-2</v>
      </c>
      <c r="E339" s="438">
        <v>833.67134054216501</v>
      </c>
      <c r="F339" s="434">
        <v>3231</v>
      </c>
      <c r="G339" s="1410"/>
      <c r="H339" s="451"/>
      <c r="I339" s="1321"/>
      <c r="J339" s="201"/>
      <c r="K339" s="201"/>
      <c r="L339" s="201"/>
    </row>
    <row r="340" spans="1:12">
      <c r="A340" s="63">
        <f t="shared" si="1"/>
        <v>2018.07</v>
      </c>
      <c r="B340" s="109">
        <v>150895535</v>
      </c>
      <c r="C340" s="432">
        <v>7.2571000000000003</v>
      </c>
      <c r="D340" s="1346">
        <f>C340/'8.1'!B328</f>
        <v>2.4815688688277937E-2</v>
      </c>
      <c r="E340" s="438">
        <v>897.00223735873112</v>
      </c>
      <c r="F340" s="434">
        <v>3013</v>
      </c>
      <c r="G340" s="1410"/>
      <c r="H340" s="451"/>
      <c r="I340" s="1321"/>
      <c r="J340" s="201"/>
      <c r="K340" s="201"/>
      <c r="L340" s="201"/>
    </row>
    <row r="341" spans="1:12">
      <c r="A341" s="63">
        <f t="shared" si="1"/>
        <v>2018.08</v>
      </c>
      <c r="B341" s="109">
        <v>161328751</v>
      </c>
      <c r="C341" s="432">
        <v>7.5689000000000002</v>
      </c>
      <c r="D341" s="1346">
        <f>C341/'8.1'!B329</f>
        <v>2.490015462052176E-2</v>
      </c>
      <c r="E341" s="438">
        <v>947.51726339131642</v>
      </c>
      <c r="F341" s="434">
        <v>3004</v>
      </c>
      <c r="G341" s="1410"/>
      <c r="H341" s="452"/>
      <c r="I341" s="1321"/>
      <c r="J341" s="201"/>
      <c r="K341" s="201"/>
      <c r="L341" s="201"/>
    </row>
    <row r="342" spans="1:12">
      <c r="A342" s="63">
        <f t="shared" si="1"/>
        <v>2018.09</v>
      </c>
      <c r="B342" s="109">
        <v>165190486</v>
      </c>
      <c r="C342" s="432">
        <v>8.1470000000000002</v>
      </c>
      <c r="D342" s="1346">
        <f>C342/'8.1'!B330</f>
        <v>2.521900634576691E-2</v>
      </c>
      <c r="E342" s="438">
        <v>974.13464110908421</v>
      </c>
      <c r="F342" s="434">
        <v>2819</v>
      </c>
      <c r="G342" s="1410"/>
      <c r="H342" s="451"/>
      <c r="I342" s="1321"/>
      <c r="J342" s="201"/>
      <c r="K342" s="201"/>
      <c r="L342" s="201"/>
    </row>
    <row r="343" spans="1:12">
      <c r="A343" s="63">
        <f t="shared" si="1"/>
        <v>2018.1</v>
      </c>
      <c r="B343" s="109">
        <v>169743432</v>
      </c>
      <c r="C343" s="432">
        <v>8.5875000000000004</v>
      </c>
      <c r="D343" s="1346">
        <f>C343/'8.1'!B331</f>
        <v>2.5178115929281382E-2</v>
      </c>
      <c r="E343" s="438">
        <v>1011.5253565929336</v>
      </c>
      <c r="F343" s="434">
        <v>2725</v>
      </c>
      <c r="G343" s="1410"/>
      <c r="H343" s="451"/>
      <c r="I343" s="1321"/>
      <c r="J343" s="201"/>
      <c r="K343" s="201"/>
      <c r="L343" s="201"/>
    </row>
    <row r="344" spans="1:12">
      <c r="A344" s="63">
        <f t="shared" si="1"/>
        <v>2018.11</v>
      </c>
      <c r="B344" s="109">
        <v>154985707</v>
      </c>
      <c r="C344" s="432">
        <v>9.1113</v>
      </c>
      <c r="D344" s="1346">
        <f>C344/'8.1'!B332</f>
        <v>2.5893938102139996E-2</v>
      </c>
      <c r="E344" s="438">
        <v>942.6</v>
      </c>
      <c r="F344" s="434">
        <v>2654</v>
      </c>
      <c r="G344" s="1410"/>
      <c r="H344" s="451"/>
      <c r="I344" s="1321"/>
      <c r="J344" s="201"/>
      <c r="K344" s="201"/>
      <c r="L344" s="201" t="s">
        <v>5</v>
      </c>
    </row>
    <row r="345" spans="1:12">
      <c r="A345" s="63">
        <f t="shared" si="1"/>
        <v>2018.12</v>
      </c>
      <c r="B345" s="109">
        <v>152510872</v>
      </c>
      <c r="C345" s="432">
        <v>9.4381000000000004</v>
      </c>
      <c r="D345" s="1346">
        <f>C345/'8.1'!B333</f>
        <v>2.6139976735168671E-2</v>
      </c>
      <c r="E345" s="438">
        <v>910.55797451465844</v>
      </c>
      <c r="F345" s="434">
        <v>2644</v>
      </c>
      <c r="G345" s="1410"/>
      <c r="H345" s="451"/>
      <c r="I345" s="1321"/>
      <c r="J345" s="201"/>
      <c r="K345" s="201"/>
      <c r="L345" s="201"/>
    </row>
    <row r="346" spans="1:12">
      <c r="A346" s="63">
        <f t="shared" si="1"/>
        <v>2019.01</v>
      </c>
      <c r="B346" s="109">
        <v>138630039</v>
      </c>
      <c r="C346" s="432">
        <v>9.7840000000000007</v>
      </c>
      <c r="D346" s="1346">
        <f>C346/'8.1'!B334</f>
        <v>2.6201060468105618E-2</v>
      </c>
      <c r="E346" s="438">
        <v>819.92089979597256</v>
      </c>
      <c r="F346" s="434">
        <v>2738</v>
      </c>
      <c r="G346" s="201"/>
      <c r="H346" s="1796"/>
      <c r="I346" s="201"/>
      <c r="J346" s="201"/>
      <c r="K346" s="201"/>
      <c r="L346" s="201"/>
    </row>
    <row r="347" spans="1:12">
      <c r="A347" s="63">
        <f t="shared" si="1"/>
        <v>2019.02</v>
      </c>
      <c r="B347" s="109">
        <v>110664611</v>
      </c>
      <c r="C347" s="432">
        <v>10.758699999999999</v>
      </c>
      <c r="D347" s="1346">
        <f>C347/'8.1'!B335</f>
        <v>2.7739332216062909E-2</v>
      </c>
      <c r="E347" s="438">
        <v>668.29091999426385</v>
      </c>
      <c r="F347" s="434">
        <v>2919</v>
      </c>
      <c r="G347" s="201"/>
      <c r="H347" s="1796"/>
      <c r="I347" s="201"/>
      <c r="J347" s="201"/>
      <c r="K347" s="201"/>
      <c r="L347" s="201"/>
    </row>
    <row r="348" spans="1:12">
      <c r="A348" s="63">
        <f t="shared" si="1"/>
        <v>2019.03</v>
      </c>
      <c r="B348" s="109">
        <v>119402540</v>
      </c>
      <c r="C348" s="432">
        <v>12.1797</v>
      </c>
      <c r="D348" s="1346">
        <f>C348/'8.1'!B336</f>
        <v>3.0237586891757696E-2</v>
      </c>
      <c r="E348" s="438">
        <v>745.50222796594608</v>
      </c>
      <c r="F348" s="434">
        <v>3188</v>
      </c>
      <c r="G348" s="201"/>
      <c r="H348" s="1796"/>
      <c r="I348" s="201"/>
      <c r="J348" s="201"/>
      <c r="K348" s="201"/>
      <c r="L348" s="201"/>
    </row>
    <row r="349" spans="1:12">
      <c r="A349" s="63">
        <f t="shared" si="1"/>
        <v>2019.04</v>
      </c>
      <c r="B349" s="109">
        <v>115192681</v>
      </c>
      <c r="C349" s="432">
        <v>13.724399999999999</v>
      </c>
      <c r="D349" s="1346">
        <f>C349/'8.1'!B337</f>
        <v>3.2939087025392402E-2</v>
      </c>
      <c r="E349" s="438">
        <v>736.86310977334062</v>
      </c>
      <c r="F349" s="434">
        <v>3319</v>
      </c>
      <c r="G349" s="201"/>
      <c r="H349" s="201"/>
      <c r="I349" s="201"/>
      <c r="J349" s="201"/>
      <c r="K349" s="201"/>
      <c r="L349" s="201"/>
    </row>
    <row r="350" spans="1:12">
      <c r="A350" s="63">
        <f t="shared" si="1"/>
        <v>2019.05</v>
      </c>
      <c r="B350" s="109">
        <v>122245897</v>
      </c>
      <c r="C350" s="432">
        <v>14.814399999999999</v>
      </c>
      <c r="D350" s="1346">
        <f>C350/'8.1'!B338</f>
        <v>3.4450490674852334E-2</v>
      </c>
      <c r="E350" s="438">
        <v>784.88578080260697</v>
      </c>
      <c r="F350" s="434">
        <v>3231</v>
      </c>
      <c r="G350" s="201"/>
      <c r="H350" s="201"/>
      <c r="I350" s="201"/>
      <c r="J350" s="201"/>
      <c r="K350" s="201"/>
      <c r="L350" s="201"/>
    </row>
    <row r="351" spans="1:12">
      <c r="A351" s="63">
        <f t="shared" si="1"/>
        <v>2019.06</v>
      </c>
      <c r="B351" s="109">
        <v>142227157</v>
      </c>
      <c r="C351" s="432">
        <v>15.319100000000001</v>
      </c>
      <c r="D351" s="1346">
        <f>C351/'8.1'!B339</f>
        <v>3.4660949838224313E-2</v>
      </c>
      <c r="E351" s="438">
        <v>807.91592064604265</v>
      </c>
      <c r="F351" s="434">
        <v>3069</v>
      </c>
      <c r="G351" s="201"/>
      <c r="H351" s="201"/>
      <c r="I351" s="201"/>
      <c r="J351" s="201"/>
      <c r="K351" s="201"/>
      <c r="L351" s="201"/>
    </row>
    <row r="352" spans="1:12">
      <c r="A352" s="63">
        <f t="shared" si="1"/>
        <v>2019.07</v>
      </c>
      <c r="B352" s="109">
        <v>145944240</v>
      </c>
      <c r="C352" s="432">
        <v>15.417199999999999</v>
      </c>
      <c r="D352" s="1346">
        <f>C352/'8.1'!B340</f>
        <v>3.4105076872027427E-2</v>
      </c>
      <c r="E352" s="438">
        <v>897.36647576994596</v>
      </c>
      <c r="F352" s="434">
        <v>3069</v>
      </c>
      <c r="G352" s="201"/>
      <c r="H352" s="201"/>
      <c r="I352" s="201"/>
      <c r="J352" s="201"/>
      <c r="K352" s="201"/>
      <c r="L352" s="201"/>
    </row>
    <row r="353" spans="1:13">
      <c r="A353" s="63">
        <f t="shared" si="1"/>
        <v>2019.08</v>
      </c>
      <c r="B353" s="109">
        <v>162968814</v>
      </c>
      <c r="C353" s="432">
        <v>15.5107</v>
      </c>
      <c r="D353" s="1346">
        <f>C353/'8.1'!B341</f>
        <v>3.3082435747040631E-2</v>
      </c>
      <c r="E353" s="438">
        <v>967.05183259332784</v>
      </c>
      <c r="F353" s="434">
        <v>3154</v>
      </c>
      <c r="G353" s="201"/>
      <c r="H353" s="201"/>
      <c r="I353" s="201"/>
      <c r="J353" s="201"/>
      <c r="K353" s="201"/>
      <c r="L353" s="201"/>
      <c r="M353" s="201"/>
    </row>
    <row r="354" spans="1:13">
      <c r="A354" s="63">
        <f t="shared" ref="A354:A417" si="2">A342+1</f>
        <v>2019.09</v>
      </c>
      <c r="B354" s="109">
        <v>170319790</v>
      </c>
      <c r="C354" s="432">
        <v>15.7704</v>
      </c>
      <c r="D354" s="1346">
        <f>C354/'8.1'!B342</f>
        <v>3.181889716118879E-2</v>
      </c>
      <c r="E354" s="438">
        <v>986.53278723073583</v>
      </c>
      <c r="F354" s="434">
        <v>3150</v>
      </c>
      <c r="G354" s="201"/>
      <c r="H354" s="201"/>
      <c r="I354" s="201"/>
      <c r="J354" s="201"/>
      <c r="K354" s="201"/>
      <c r="L354" s="201"/>
      <c r="M354" s="201"/>
    </row>
    <row r="355" spans="1:13">
      <c r="A355" s="63">
        <f t="shared" si="2"/>
        <v>2019.1</v>
      </c>
      <c r="B355" s="109">
        <v>174649381</v>
      </c>
      <c r="C355" s="432">
        <v>16.339600000000001</v>
      </c>
      <c r="D355" s="1346">
        <f>C355/'8.1'!B343</f>
        <v>3.196947759733907E-2</v>
      </c>
      <c r="E355" s="438">
        <v>1020.6612792094955</v>
      </c>
      <c r="F355" s="434">
        <v>3175</v>
      </c>
      <c r="G355" s="201"/>
      <c r="H355" s="201"/>
      <c r="I355" s="201"/>
      <c r="J355" s="201"/>
      <c r="K355" s="201"/>
      <c r="L355" s="201"/>
      <c r="M355" s="201"/>
    </row>
    <row r="356" spans="1:13">
      <c r="A356" s="63">
        <f t="shared" si="2"/>
        <v>2019.11</v>
      </c>
      <c r="B356" s="109">
        <v>160201110</v>
      </c>
      <c r="C356" s="432">
        <v>16.699000000000002</v>
      </c>
      <c r="D356" s="1346">
        <f>C356/'8.1'!B344</f>
        <v>3.1373764701461693E-2</v>
      </c>
      <c r="E356" s="438">
        <v>961.3515208455176</v>
      </c>
      <c r="F356" s="434">
        <v>3294</v>
      </c>
      <c r="G356" s="201"/>
      <c r="H356" s="201"/>
      <c r="I356" s="201"/>
      <c r="J356" s="201"/>
      <c r="K356" s="201"/>
      <c r="L356" s="201"/>
      <c r="M356" s="201"/>
    </row>
    <row r="357" spans="1:13">
      <c r="A357" s="63">
        <f t="shared" si="2"/>
        <v>2019.12</v>
      </c>
      <c r="B357" s="109">
        <v>151943275</v>
      </c>
      <c r="C357" s="432">
        <v>16.959900000000001</v>
      </c>
      <c r="D357" s="1346">
        <f>C357/'8.1'!B345</f>
        <v>3.0684433347807207E-2</v>
      </c>
      <c r="E357" s="438">
        <v>943.59194570602222</v>
      </c>
      <c r="F357" s="434">
        <v>3250</v>
      </c>
      <c r="G357" s="201"/>
      <c r="H357" s="201"/>
      <c r="I357" s="201"/>
      <c r="J357" s="201"/>
      <c r="K357" s="201"/>
      <c r="L357" s="201"/>
      <c r="M357" s="201"/>
    </row>
    <row r="358" spans="1:13">
      <c r="A358" s="63">
        <f t="shared" si="2"/>
        <v>2020.01</v>
      </c>
      <c r="B358" s="109">
        <v>148016182</v>
      </c>
      <c r="C358" s="432">
        <v>17.459800000000001</v>
      </c>
      <c r="D358" s="1346">
        <f>C358/'8.1'!B346</f>
        <v>3.0714210322626043E-2</v>
      </c>
      <c r="E358" s="438">
        <v>864.87561474082577</v>
      </c>
      <c r="F358" s="434">
        <v>3171</v>
      </c>
      <c r="G358" s="201"/>
      <c r="H358" s="201"/>
      <c r="I358" s="201"/>
      <c r="J358" s="201"/>
      <c r="K358" s="201"/>
      <c r="L358" s="256"/>
      <c r="M358" s="256"/>
    </row>
    <row r="359" spans="1:13">
      <c r="A359" s="63">
        <f t="shared" si="2"/>
        <v>2020.02</v>
      </c>
      <c r="B359" s="109">
        <v>128320751</v>
      </c>
      <c r="C359" s="432">
        <v>18.060400000000001</v>
      </c>
      <c r="D359" s="1346">
        <f>C359/'8.1'!B347</f>
        <v>3.1208031656615575E-2</v>
      </c>
      <c r="E359" s="438">
        <v>771.18492994555857</v>
      </c>
      <c r="F359" s="434">
        <v>3006</v>
      </c>
      <c r="G359" s="201"/>
      <c r="H359" s="201"/>
      <c r="I359" s="201"/>
      <c r="J359" s="201"/>
      <c r="K359" s="201"/>
      <c r="L359" s="201"/>
      <c r="M359" s="201"/>
    </row>
    <row r="360" spans="1:13">
      <c r="A360" s="63">
        <f t="shared" si="2"/>
        <v>2020.03</v>
      </c>
      <c r="B360" s="109">
        <v>130760887</v>
      </c>
      <c r="C360" s="432">
        <v>18.273800000000001</v>
      </c>
      <c r="D360" s="1346">
        <f>C360/'8.1'!B348</f>
        <v>3.0842897650553605E-2</v>
      </c>
      <c r="E360" s="438">
        <v>793.66984819439301</v>
      </c>
      <c r="F360" s="434">
        <v>2875</v>
      </c>
      <c r="G360" s="201"/>
      <c r="H360" s="201"/>
      <c r="I360" s="201"/>
      <c r="J360" s="201"/>
      <c r="K360" s="201"/>
      <c r="L360" s="201"/>
      <c r="M360" s="201"/>
    </row>
    <row r="361" spans="1:13">
      <c r="A361" s="63">
        <f t="shared" si="2"/>
        <v>2020.04</v>
      </c>
      <c r="B361" s="109">
        <v>130016778</v>
      </c>
      <c r="C361" s="432">
        <v>18.4177</v>
      </c>
      <c r="D361" s="1346">
        <f>C361/'8.1'!B349</f>
        <v>3.0455064076064488E-2</v>
      </c>
      <c r="E361" s="438">
        <v>793.59683418365523</v>
      </c>
      <c r="F361" s="434">
        <v>2781</v>
      </c>
      <c r="G361" s="201"/>
      <c r="H361" s="201"/>
      <c r="I361" s="201"/>
      <c r="J361" s="201"/>
      <c r="K361" s="201"/>
      <c r="L361" s="201"/>
      <c r="M361" s="201"/>
    </row>
    <row r="362" spans="1:13">
      <c r="A362" s="63">
        <f t="shared" si="2"/>
        <v>2020.05</v>
      </c>
      <c r="B362" s="109">
        <v>143751806</v>
      </c>
      <c r="C362" s="432">
        <v>18.450700000000001</v>
      </c>
      <c r="D362" s="1346">
        <f>C362/'8.1'!B350</f>
        <v>3.0025060617402486E-2</v>
      </c>
      <c r="E362" s="438">
        <v>870.51610688506628</v>
      </c>
      <c r="F362" s="434">
        <v>2694</v>
      </c>
      <c r="G362" s="201"/>
      <c r="H362" s="201"/>
      <c r="I362" s="201"/>
      <c r="J362" s="201"/>
      <c r="K362" s="201"/>
      <c r="L362" s="201"/>
      <c r="M362" s="201"/>
    </row>
    <row r="363" spans="1:13">
      <c r="A363" s="63">
        <f t="shared" si="2"/>
        <v>2020.06</v>
      </c>
      <c r="B363" s="109">
        <v>150681340</v>
      </c>
      <c r="C363" s="432">
        <v>18.4617</v>
      </c>
      <c r="D363" s="1346">
        <f>C363/'8.1'!B351</f>
        <v>2.949718795935323E-2</v>
      </c>
      <c r="E363" s="438">
        <v>893.8825852456788</v>
      </c>
      <c r="F363" s="434">
        <v>2794</v>
      </c>
      <c r="G363" s="201"/>
      <c r="H363" s="201"/>
      <c r="I363" s="201"/>
      <c r="J363" s="201"/>
      <c r="K363" s="201"/>
      <c r="L363" s="201"/>
      <c r="M363" s="201"/>
    </row>
    <row r="364" spans="1:13">
      <c r="A364" s="63">
        <f t="shared" si="2"/>
        <v>2020.07</v>
      </c>
      <c r="B364" s="109">
        <v>168049560</v>
      </c>
      <c r="C364" s="432">
        <v>18.5169</v>
      </c>
      <c r="D364" s="1346">
        <f>C364/'8.1'!B352</f>
        <v>2.8867703916188574E-2</v>
      </c>
      <c r="E364" s="438">
        <v>965.40131564506157</v>
      </c>
      <c r="F364" s="434">
        <v>3113</v>
      </c>
      <c r="G364" s="201"/>
      <c r="H364" s="201"/>
      <c r="I364" s="201"/>
      <c r="J364" s="201"/>
      <c r="K364" s="201"/>
      <c r="L364" s="201"/>
      <c r="M364" s="201"/>
    </row>
    <row r="365" spans="1:13">
      <c r="A365" s="63">
        <f t="shared" si="2"/>
        <v>2020.08</v>
      </c>
      <c r="B365" s="109">
        <v>176870972</v>
      </c>
      <c r="C365" s="432">
        <v>18.7654</v>
      </c>
      <c r="D365" s="1346">
        <f>C365/'8.1'!B353</f>
        <v>2.8456569210238987E-2</v>
      </c>
      <c r="E365" s="438">
        <v>1015.8516984409009</v>
      </c>
      <c r="F365" s="434">
        <v>3025</v>
      </c>
      <c r="G365" s="201"/>
      <c r="H365" s="201"/>
      <c r="I365" s="201"/>
      <c r="J365" s="201"/>
      <c r="K365" s="201"/>
      <c r="L365" s="201"/>
      <c r="M365" s="201"/>
    </row>
    <row r="366" spans="1:13">
      <c r="A366" s="63">
        <f t="shared" si="2"/>
        <v>2020.09</v>
      </c>
      <c r="B366" s="109">
        <v>175791525</v>
      </c>
      <c r="C366" s="432">
        <v>19.216899999999999</v>
      </c>
      <c r="D366" s="1346">
        <f>C366/'8.1'!B354</f>
        <v>2.8369034086715185E-2</v>
      </c>
      <c r="E366" s="438">
        <v>1022.3012993385237</v>
      </c>
      <c r="F366" s="434">
        <v>2956</v>
      </c>
      <c r="G366" s="201"/>
      <c r="H366" s="201"/>
      <c r="I366" s="201"/>
      <c r="J366" s="201"/>
      <c r="K366" s="201"/>
      <c r="L366" s="201"/>
      <c r="M366" s="201"/>
    </row>
    <row r="367" spans="1:13">
      <c r="A367" s="63">
        <f t="shared" si="2"/>
        <v>2020.1</v>
      </c>
      <c r="B367" s="109">
        <v>183650342</v>
      </c>
      <c r="C367" s="432">
        <v>19.777999999999999</v>
      </c>
      <c r="D367" s="1346">
        <f>C367/'8.1'!B355</f>
        <v>2.8151732972742153E-2</v>
      </c>
      <c r="E367" s="438">
        <v>1079.2406235194237</v>
      </c>
      <c r="F367" s="434">
        <v>3038</v>
      </c>
      <c r="G367" s="201"/>
      <c r="H367" s="201"/>
      <c r="I367" s="201"/>
      <c r="J367" s="201"/>
      <c r="K367" s="201"/>
      <c r="L367" s="201"/>
      <c r="M367" s="201"/>
    </row>
    <row r="368" spans="1:13">
      <c r="A368" s="63">
        <f t="shared" si="2"/>
        <v>2020.11</v>
      </c>
      <c r="B368" s="109">
        <v>174735573</v>
      </c>
      <c r="C368" s="432">
        <v>20.690899999999999</v>
      </c>
      <c r="D368" s="1346">
        <f>C368/'8.1'!B356</f>
        <v>2.8416491560572972E-2</v>
      </c>
      <c r="E368" s="438">
        <v>1030.4165375386092</v>
      </c>
      <c r="F368" s="434">
        <v>3019</v>
      </c>
      <c r="G368" s="201"/>
      <c r="H368" s="201"/>
      <c r="I368" s="201"/>
      <c r="J368" s="201"/>
      <c r="K368" s="201"/>
      <c r="L368" s="201"/>
      <c r="M368" s="201"/>
    </row>
    <row r="369" spans="1:6">
      <c r="A369" s="63">
        <f t="shared" si="2"/>
        <v>2020.12</v>
      </c>
      <c r="B369" s="109">
        <v>174220252</v>
      </c>
      <c r="C369" s="432">
        <v>21.627199999999998</v>
      </c>
      <c r="D369" s="1346">
        <f>C369/'8.1'!B357</f>
        <v>2.8638470298471889E-2</v>
      </c>
      <c r="E369" s="438">
        <v>1012.250191799375</v>
      </c>
      <c r="F369" s="434">
        <v>3163</v>
      </c>
    </row>
    <row r="370" spans="1:6">
      <c r="A370" s="63">
        <f t="shared" si="2"/>
        <v>2021.01</v>
      </c>
      <c r="B370" s="109">
        <v>158211746</v>
      </c>
      <c r="C370" s="432">
        <v>23.081299999999999</v>
      </c>
      <c r="D370" s="1346">
        <f>C370/'8.1'!B358</f>
        <v>2.9150416771912099E-2</v>
      </c>
      <c r="E370" s="438">
        <v>931.34263347781075</v>
      </c>
      <c r="F370" s="434">
        <v>3338</v>
      </c>
    </row>
    <row r="371" spans="1:6">
      <c r="A371" s="63">
        <f t="shared" si="2"/>
        <v>2021.02</v>
      </c>
      <c r="B371" s="109">
        <v>126976250</v>
      </c>
      <c r="C371" s="432">
        <v>24.605699999999999</v>
      </c>
      <c r="D371" s="1346">
        <f>C371/'8.1'!B359</f>
        <v>2.9966386963987769E-2</v>
      </c>
      <c r="E371" s="438">
        <v>787.60326176063938</v>
      </c>
      <c r="F371" s="434">
        <v>3494</v>
      </c>
    </row>
    <row r="372" spans="1:6">
      <c r="A372" s="63">
        <f t="shared" si="2"/>
        <v>2021.03</v>
      </c>
      <c r="B372" s="109">
        <v>131527470</v>
      </c>
      <c r="C372" s="432">
        <v>26.31</v>
      </c>
      <c r="D372" s="1346">
        <f>C372/'8.1'!B360</f>
        <v>3.0728801681850031E-2</v>
      </c>
      <c r="E372" s="438">
        <v>828.32366281380234</v>
      </c>
      <c r="F372" s="434">
        <v>4113</v>
      </c>
    </row>
    <row r="373" spans="1:6">
      <c r="A373" s="63">
        <f t="shared" si="2"/>
        <v>2021.04</v>
      </c>
      <c r="B373" s="109">
        <v>129136804</v>
      </c>
      <c r="C373" s="432">
        <v>28.467099999999999</v>
      </c>
      <c r="D373" s="1346">
        <f>C373/'8.1'!B361</f>
        <v>3.1869843153499097E-2</v>
      </c>
      <c r="E373" s="438">
        <v>821.17372</v>
      </c>
      <c r="F373" s="434">
        <v>4067</v>
      </c>
    </row>
    <row r="374" spans="1:6">
      <c r="A374" s="63">
        <f t="shared" si="2"/>
        <v>2021.05</v>
      </c>
      <c r="B374" s="109">
        <v>140685226</v>
      </c>
      <c r="C374" s="432">
        <v>30.045300000000001</v>
      </c>
      <c r="D374" s="1346">
        <f>C374/'8.1'!B362</f>
        <v>3.2474032922255487E-2</v>
      </c>
      <c r="E374" s="438">
        <v>900.21173115402667</v>
      </c>
      <c r="F374" s="434">
        <v>4150</v>
      </c>
    </row>
    <row r="375" spans="1:6">
      <c r="A375" s="63">
        <f t="shared" si="2"/>
        <v>2021.06</v>
      </c>
      <c r="B375" s="109">
        <v>150652935</v>
      </c>
      <c r="C375" s="432">
        <v>31.607099999999999</v>
      </c>
      <c r="D375" s="1346">
        <f>C375/'8.1'!B363</f>
        <v>3.309817267919786E-2</v>
      </c>
      <c r="E375" s="438">
        <v>920.71312599999999</v>
      </c>
      <c r="F375" s="434">
        <v>4063</v>
      </c>
    </row>
    <row r="376" spans="1:6">
      <c r="A376" s="63">
        <f t="shared" si="2"/>
        <v>2021.07</v>
      </c>
      <c r="B376" s="109">
        <v>165534013</v>
      </c>
      <c r="C376" s="432">
        <v>32.579799999999999</v>
      </c>
      <c r="D376" s="1346">
        <f>C376/'8.1'!B364</f>
        <v>3.3126722183245381E-2</v>
      </c>
      <c r="E376" s="438">
        <v>999.25784363658761</v>
      </c>
      <c r="F376" s="434">
        <v>3931</v>
      </c>
    </row>
    <row r="377" spans="1:6">
      <c r="A377" s="63">
        <f t="shared" si="2"/>
        <v>2021.08</v>
      </c>
      <c r="B377" s="109">
        <v>171963580</v>
      </c>
      <c r="C377" s="432">
        <v>32.926299999999998</v>
      </c>
      <c r="D377" s="1346">
        <f>C377/'8.1'!B365</f>
        <v>3.2582554054722677E-2</v>
      </c>
      <c r="E377" s="438">
        <v>1055.0738320763428</v>
      </c>
      <c r="F377" s="434">
        <v>3675</v>
      </c>
    </row>
    <row r="378" spans="1:6">
      <c r="A378" s="63">
        <f t="shared" si="2"/>
        <v>2021.09</v>
      </c>
      <c r="B378" s="109">
        <v>175291676</v>
      </c>
      <c r="C378" s="432">
        <v>33.459600000000002</v>
      </c>
      <c r="D378" s="1346">
        <f>C378/'8.1'!B366</f>
        <v>3.214147798772346E-2</v>
      </c>
      <c r="E378" s="438">
        <v>1069.3952866315219</v>
      </c>
      <c r="F378" s="434">
        <v>3625</v>
      </c>
    </row>
    <row r="379" spans="1:6">
      <c r="A379" s="63">
        <f t="shared" si="2"/>
        <v>2021.1</v>
      </c>
      <c r="B379" s="109">
        <v>182990607</v>
      </c>
      <c r="C379" s="432">
        <v>33.655200000000001</v>
      </c>
      <c r="D379" s="1346">
        <f>C379/'8.1'!B367</f>
        <v>3.1338939017236077E-2</v>
      </c>
      <c r="E379" s="438">
        <v>1116.356738</v>
      </c>
      <c r="F379" s="434">
        <v>3800</v>
      </c>
    </row>
    <row r="380" spans="1:6">
      <c r="A380" s="63">
        <f t="shared" si="2"/>
        <v>2021.11</v>
      </c>
      <c r="B380" s="109">
        <v>172408268</v>
      </c>
      <c r="C380" s="432">
        <v>34.070300000000003</v>
      </c>
      <c r="D380" s="1346">
        <f>C380/'8.1'!B368</f>
        <v>3.0852953960951935E-2</v>
      </c>
      <c r="E380" s="438">
        <v>1077.0217453240068</v>
      </c>
      <c r="F380" s="434">
        <v>3944</v>
      </c>
    </row>
    <row r="381" spans="1:6">
      <c r="A381" s="63">
        <f t="shared" si="2"/>
        <v>2021.12</v>
      </c>
      <c r="B381" s="109">
        <v>169151155</v>
      </c>
      <c r="C381" s="432">
        <v>34.654600000000002</v>
      </c>
      <c r="D381" s="1346">
        <f>C381/'8.1'!B369</f>
        <v>3.0446845897030398E-2</v>
      </c>
      <c r="E381" s="438">
        <v>1046.8323780256612</v>
      </c>
      <c r="F381" s="434">
        <v>3963</v>
      </c>
    </row>
    <row r="382" spans="1:6">
      <c r="A382" s="63">
        <f t="shared" si="2"/>
        <v>2022.01</v>
      </c>
      <c r="B382" s="109">
        <v>142265354</v>
      </c>
      <c r="C382" s="432">
        <v>36.092100000000002</v>
      </c>
      <c r="D382" s="1346">
        <f>C382/'8.1'!B370</f>
        <v>3.0479588562163255E-2</v>
      </c>
      <c r="E382" s="438">
        <v>922.79606746666479</v>
      </c>
      <c r="F382" s="434">
        <v>3956</v>
      </c>
    </row>
    <row r="383" spans="1:6">
      <c r="A383" s="63">
        <f t="shared" si="2"/>
        <v>2022.02</v>
      </c>
      <c r="B383" s="109">
        <v>127465518</v>
      </c>
      <c r="C383" s="432">
        <v>37.928199999999997</v>
      </c>
      <c r="D383" s="1346">
        <f>C383/'8.1'!B371</f>
        <v>3.0531120198344978E-2</v>
      </c>
      <c r="E383" s="438">
        <v>815.85451077095513</v>
      </c>
      <c r="F383" s="434">
        <v>4331</v>
      </c>
    </row>
    <row r="384" spans="1:6">
      <c r="A384" s="63">
        <f t="shared" si="2"/>
        <v>2022.03</v>
      </c>
      <c r="B384" s="109">
        <v>127207773</v>
      </c>
      <c r="C384" s="432">
        <v>40.547199999999997</v>
      </c>
      <c r="D384" s="1346">
        <f>C384/'8.1'!B372</f>
        <v>3.0784041301294456E-2</v>
      </c>
      <c r="E384" s="438">
        <v>848.94792292527416</v>
      </c>
      <c r="F384" s="434">
        <v>4625</v>
      </c>
    </row>
    <row r="385" spans="1:6">
      <c r="A385" s="63">
        <f t="shared" si="2"/>
        <v>2022.04</v>
      </c>
      <c r="B385" s="109">
        <v>126122058</v>
      </c>
      <c r="C385" s="432">
        <v>43.6477</v>
      </c>
      <c r="D385" s="1346">
        <f>C385/'8.1'!B373</f>
        <v>3.1277911542981623E-2</v>
      </c>
      <c r="E385" s="438">
        <v>837.38449990583501</v>
      </c>
      <c r="F385" s="434">
        <v>4408</v>
      </c>
    </row>
    <row r="386" spans="1:6">
      <c r="A386" s="63">
        <f t="shared" si="2"/>
        <v>2022.05</v>
      </c>
      <c r="B386" s="109">
        <v>139527830</v>
      </c>
      <c r="C386" s="432">
        <v>45.819400000000002</v>
      </c>
      <c r="D386" s="1346">
        <f>C386/'8.1'!B374</f>
        <v>3.1196612038972445E-2</v>
      </c>
      <c r="E386" s="438">
        <v>903.9173197845123</v>
      </c>
      <c r="F386" s="434">
        <v>3844</v>
      </c>
    </row>
    <row r="387" spans="1:6">
      <c r="A387" s="63">
        <f t="shared" si="2"/>
        <v>2022.06</v>
      </c>
      <c r="B387" s="109">
        <v>145008346</v>
      </c>
      <c r="C387" s="432">
        <v>48.010599999999997</v>
      </c>
      <c r="D387" s="1346">
        <f>C387/'8.1'!B375</f>
        <v>3.1111874335778528E-2</v>
      </c>
      <c r="E387" s="438">
        <v>914.18313985132443</v>
      </c>
      <c r="F387" s="434">
        <v>4063</v>
      </c>
    </row>
    <row r="388" spans="1:6">
      <c r="A388" s="63">
        <f t="shared" si="2"/>
        <v>2022.07</v>
      </c>
      <c r="B388" s="109">
        <v>158136481</v>
      </c>
      <c r="C388" s="432">
        <v>50.4527</v>
      </c>
      <c r="D388" s="1346">
        <f>C388/'8.1'!B376</f>
        <v>3.0478201248059347E-2</v>
      </c>
      <c r="E388" s="438">
        <v>989.39382650891253</v>
      </c>
      <c r="F388" s="434">
        <v>3938</v>
      </c>
    </row>
    <row r="389" spans="1:6">
      <c r="A389" s="63">
        <f t="shared" si="2"/>
        <v>2022.08</v>
      </c>
      <c r="B389" s="109">
        <v>171296605</v>
      </c>
      <c r="C389" s="432">
        <v>53.294899999999998</v>
      </c>
      <c r="D389" s="1346">
        <f>C389/'8.1'!B377</f>
        <v>3.0186346309606746E-2</v>
      </c>
      <c r="E389" s="438">
        <v>1061.7972100777479</v>
      </c>
      <c r="F389" s="434">
        <v>3525</v>
      </c>
    </row>
    <row r="390" spans="1:6">
      <c r="A390" s="63">
        <f t="shared" si="2"/>
        <v>2022.09</v>
      </c>
      <c r="B390" s="109">
        <v>174425758</v>
      </c>
      <c r="C390" s="432">
        <v>55.820099999999996</v>
      </c>
      <c r="D390" s="1346">
        <f>C390/'8.1'!B378</f>
        <v>2.9790421398684996E-2</v>
      </c>
      <c r="E390" s="438">
        <v>1073.0982083719618</v>
      </c>
      <c r="F390" s="434">
        <v>3542</v>
      </c>
    </row>
    <row r="391" spans="1:6">
      <c r="A391" s="63">
        <f t="shared" si="2"/>
        <v>2022.1</v>
      </c>
      <c r="B391" s="109">
        <v>182060232</v>
      </c>
      <c r="C391" s="432">
        <v>58.846299999999999</v>
      </c>
      <c r="D391" s="1346">
        <f>C391/'8.1'!B379</f>
        <v>2.9693509403115367E-2</v>
      </c>
      <c r="E391" s="438">
        <v>1114.1505089099103</v>
      </c>
      <c r="F391" s="434">
        <v>3475</v>
      </c>
    </row>
    <row r="392" spans="1:6">
      <c r="A392" s="63">
        <f t="shared" si="2"/>
        <v>2022.11</v>
      </c>
      <c r="B392" s="109">
        <v>168994697</v>
      </c>
      <c r="C392" s="432">
        <v>62.0533</v>
      </c>
      <c r="D392" s="1346">
        <f>C392/'8.1'!B380</f>
        <v>2.9845083157783361E-2</v>
      </c>
      <c r="E392" s="438">
        <v>1045.6709512080477</v>
      </c>
      <c r="F392" s="434">
        <v>3313</v>
      </c>
    </row>
    <row r="393" spans="1:6">
      <c r="A393" s="63">
        <f t="shared" si="2"/>
        <v>2022.12</v>
      </c>
      <c r="B393" s="109">
        <v>168198157</v>
      </c>
      <c r="C393" s="432">
        <v>66.39</v>
      </c>
      <c r="D393" s="1346">
        <f>C393/'8.1'!B381</f>
        <v>3.0278154031386392E-2</v>
      </c>
      <c r="E393" s="438">
        <v>1030.2248364729714</v>
      </c>
      <c r="F393" s="434">
        <v>3338</v>
      </c>
    </row>
    <row r="394" spans="1:6">
      <c r="A394" s="63">
        <f t="shared" si="2"/>
        <v>2023.01</v>
      </c>
      <c r="B394" s="109">
        <v>154590032</v>
      </c>
      <c r="C394" s="432">
        <v>70.297899999999998</v>
      </c>
      <c r="D394" s="1346">
        <f>C394/'8.1'!B382</f>
        <v>3.0331673599005887E-2</v>
      </c>
      <c r="E394" s="438">
        <v>954.99660012424931</v>
      </c>
      <c r="F394" s="434">
        <v>3213</v>
      </c>
    </row>
    <row r="395" spans="1:6">
      <c r="A395" s="63">
        <f t="shared" si="2"/>
        <v>2023.02</v>
      </c>
      <c r="B395" s="109">
        <v>126622023</v>
      </c>
      <c r="C395" s="432">
        <v>74.239999999999995</v>
      </c>
      <c r="D395" s="1346">
        <f>C395/'8.1'!B383</f>
        <v>3.0086401141208318E-2</v>
      </c>
      <c r="E395" s="438">
        <v>805.21184744095876</v>
      </c>
      <c r="F395" s="434">
        <v>3244</v>
      </c>
    </row>
    <row r="396" spans="1:6">
      <c r="A396" s="63">
        <f t="shared" si="2"/>
        <v>2023.03</v>
      </c>
      <c r="B396" s="109">
        <v>122997322</v>
      </c>
      <c r="C396" s="432">
        <v>82.192800000000005</v>
      </c>
      <c r="D396" s="1346">
        <f>C396/'8.1'!B384</f>
        <v>3.0912797213843528E-2</v>
      </c>
      <c r="E396" s="438">
        <v>822.33563195882698</v>
      </c>
      <c r="F396" s="434">
        <v>3263</v>
      </c>
    </row>
    <row r="397" spans="1:6">
      <c r="A397" s="63">
        <f t="shared" si="2"/>
        <v>2023.04</v>
      </c>
      <c r="B397" s="109">
        <v>129413685</v>
      </c>
      <c r="C397" s="432">
        <v>89.700800000000001</v>
      </c>
      <c r="D397" s="1346">
        <f>C397/'8.1'!B385</f>
        <v>3.1093748375132159E-2</v>
      </c>
      <c r="E397" s="438">
        <v>852.72197686359311</v>
      </c>
      <c r="F397" s="434">
        <v>3056</v>
      </c>
    </row>
    <row r="398" spans="1:6">
      <c r="A398" s="63">
        <f t="shared" si="2"/>
        <v>2023.05</v>
      </c>
      <c r="B398" s="109">
        <v>131087346</v>
      </c>
      <c r="C398" s="432">
        <v>96.750799999999998</v>
      </c>
      <c r="D398" s="1346">
        <f>C398/'8.1'!B386</f>
        <v>3.1270661090246218E-2</v>
      </c>
      <c r="E398" s="438">
        <v>882.28767110143883</v>
      </c>
      <c r="F398" s="434">
        <v>3250</v>
      </c>
    </row>
    <row r="399" spans="1:6">
      <c r="A399" s="63">
        <f t="shared" si="2"/>
        <v>2023.06</v>
      </c>
      <c r="B399" s="109">
        <v>139358281</v>
      </c>
      <c r="C399" s="432">
        <v>102.1476</v>
      </c>
      <c r="D399" s="1346">
        <f>C399/'8.1'!B387</f>
        <v>3.1242479759964029E-2</v>
      </c>
      <c r="E399" s="438">
        <v>906.28333199999997</v>
      </c>
      <c r="F399" s="434">
        <v>3175</v>
      </c>
    </row>
    <row r="400" spans="1:6">
      <c r="A400" s="63">
        <f t="shared" si="2"/>
        <v>2023.07</v>
      </c>
      <c r="B400" s="109">
        <v>155414242</v>
      </c>
      <c r="C400" s="432">
        <v>107.09220000000001</v>
      </c>
      <c r="D400" s="1346">
        <f>C400/'8.1'!B388</f>
        <v>3.0637074418325222E-2</v>
      </c>
      <c r="E400" s="438">
        <v>987.80988100000002</v>
      </c>
      <c r="F400" s="434">
        <v>3200</v>
      </c>
    </row>
    <row r="401" spans="1:9">
      <c r="A401" s="63">
        <f t="shared" si="2"/>
        <v>2023.08</v>
      </c>
      <c r="B401" s="109">
        <v>165184265</v>
      </c>
      <c r="C401" s="432">
        <v>112.8279</v>
      </c>
      <c r="D401" s="1346">
        <f>C401/'8.1'!B389</f>
        <v>2.8697121841045052E-2</v>
      </c>
      <c r="E401" s="438">
        <v>1057.997023272831</v>
      </c>
      <c r="F401" s="434">
        <v>2844</v>
      </c>
      <c r="G401" s="201"/>
      <c r="H401" s="201"/>
      <c r="I401" s="201"/>
    </row>
    <row r="402" spans="1:9">
      <c r="A402" s="63">
        <f t="shared" si="2"/>
        <v>2023.09</v>
      </c>
      <c r="B402" s="109">
        <v>162480961</v>
      </c>
      <c r="C402" s="432">
        <v>118.602</v>
      </c>
      <c r="D402" s="1346">
        <f>C402/'8.1'!B390</f>
        <v>2.6806891922130229E-2</v>
      </c>
      <c r="E402" s="438">
        <v>1034.269851</v>
      </c>
      <c r="F402" s="434">
        <v>2708</v>
      </c>
      <c r="G402" s="201"/>
      <c r="H402" s="201"/>
      <c r="I402" s="201"/>
    </row>
    <row r="403" spans="1:9">
      <c r="A403" s="63">
        <f t="shared" si="2"/>
        <v>2023.1</v>
      </c>
      <c r="B403" s="109">
        <v>163519709</v>
      </c>
      <c r="C403" s="432">
        <v>130.99600000000001</v>
      </c>
      <c r="D403" s="1346">
        <f>C403/'8.1'!B391</f>
        <v>2.7248257930317214E-2</v>
      </c>
      <c r="E403" s="438">
        <v>1066.4538274426991</v>
      </c>
      <c r="F403" s="434">
        <v>2988</v>
      </c>
      <c r="G403" s="201"/>
      <c r="H403" s="201"/>
      <c r="I403" s="201"/>
    </row>
    <row r="404" spans="1:9">
      <c r="A404" s="63">
        <f t="shared" si="2"/>
        <v>2023.11</v>
      </c>
      <c r="B404" s="109">
        <v>147815928</v>
      </c>
      <c r="C404" s="432">
        <v>152.6942</v>
      </c>
      <c r="D404" s="1346">
        <f>C404/'8.1'!B392</f>
        <v>2.8236858359130264E-2</v>
      </c>
      <c r="E404" s="438">
        <v>1004.076114</v>
      </c>
      <c r="F404" s="434">
        <v>3006</v>
      </c>
      <c r="G404" s="201"/>
      <c r="H404" s="201"/>
      <c r="I404" s="201"/>
    </row>
    <row r="405" spans="1:9">
      <c r="A405" s="63">
        <f t="shared" si="2"/>
        <v>2023.12</v>
      </c>
      <c r="B405" s="109">
        <v>141243186</v>
      </c>
      <c r="C405" s="432">
        <v>197.53720000000001</v>
      </c>
      <c r="D405" s="1346">
        <f>C405/'8.1'!B393</f>
        <v>2.8564124143056903E-2</v>
      </c>
      <c r="E405" s="438">
        <v>951.1919811026338</v>
      </c>
      <c r="F405" s="434">
        <v>3106</v>
      </c>
      <c r="G405" s="201"/>
      <c r="H405" s="201"/>
      <c r="I405" s="201"/>
    </row>
    <row r="406" spans="1:9">
      <c r="A406" s="63">
        <f t="shared" si="2"/>
        <v>2024.01</v>
      </c>
      <c r="B406" s="109">
        <v>123451269</v>
      </c>
      <c r="C406" s="432">
        <v>245.50708</v>
      </c>
      <c r="D406" s="1346">
        <f>C406/'8.1'!B394</f>
        <v>2.9417511721731543E-2</v>
      </c>
      <c r="E406" s="438">
        <v>834.31595347365749</v>
      </c>
      <c r="F406" s="434">
        <v>3256</v>
      </c>
      <c r="G406" s="201"/>
      <c r="H406" s="201"/>
      <c r="I406" s="201"/>
    </row>
    <row r="407" spans="1:9">
      <c r="A407" s="63">
        <f t="shared" si="2"/>
        <v>2024.02</v>
      </c>
      <c r="B407" s="109">
        <v>97891866</v>
      </c>
      <c r="C407" s="432">
        <v>298.31799999999998</v>
      </c>
      <c r="D407" s="1346">
        <f>C407/'8.1'!B395</f>
        <v>3.1825780634066145E-2</v>
      </c>
      <c r="E407" s="438">
        <v>685.78768400000001</v>
      </c>
      <c r="F407" s="434">
        <v>3375</v>
      </c>
      <c r="G407" s="201"/>
      <c r="H407" s="201"/>
      <c r="I407" s="201"/>
    </row>
    <row r="408" spans="1:9">
      <c r="A408" s="63">
        <f t="shared" si="2"/>
        <v>2024.03</v>
      </c>
      <c r="B408" s="109">
        <v>96546305</v>
      </c>
      <c r="C408" s="432">
        <v>334.64800000000002</v>
      </c>
      <c r="D408" s="1346">
        <f>C408/'8.1'!B396</f>
        <v>3.1762911442024873E-2</v>
      </c>
      <c r="E408" s="438">
        <v>704.30779900000005</v>
      </c>
      <c r="F408" s="434">
        <v>3291</v>
      </c>
      <c r="G408" s="201"/>
      <c r="H408" s="201"/>
      <c r="I408" s="201"/>
    </row>
    <row r="409" spans="1:9">
      <c r="A409" s="63">
        <f t="shared" si="2"/>
        <v>2024.04</v>
      </c>
      <c r="B409" s="109">
        <v>99570877</v>
      </c>
      <c r="C409" s="432">
        <v>356.83530000000002</v>
      </c>
      <c r="D409" s="1346">
        <f>C409/'8.1'!B397</f>
        <v>3.1632091695624427E-2</v>
      </c>
      <c r="E409" s="438">
        <v>714.27084500000001</v>
      </c>
      <c r="F409" s="434">
        <v>3244</v>
      </c>
      <c r="G409" s="201"/>
      <c r="H409" s="201"/>
      <c r="I409" s="201"/>
    </row>
    <row r="410" spans="1:9">
      <c r="A410" s="63">
        <f t="shared" si="2"/>
        <v>2024.05</v>
      </c>
      <c r="B410" s="109">
        <v>110921728</v>
      </c>
      <c r="C410" s="432">
        <v>390.6474</v>
      </c>
      <c r="D410" s="1346">
        <f>C410/'8.1'!B398</f>
        <v>3.3032703989825878E-2</v>
      </c>
      <c r="E410" s="438">
        <v>787.13741190092321</v>
      </c>
      <c r="F410" s="434">
        <v>3375</v>
      </c>
      <c r="G410" s="201"/>
      <c r="H410" s="201"/>
      <c r="I410" s="201"/>
    </row>
    <row r="411" spans="1:9">
      <c r="A411" s="63">
        <f t="shared" si="2"/>
        <v>2024.06</v>
      </c>
      <c r="B411" s="109">
        <v>120181773</v>
      </c>
      <c r="C411" s="432">
        <v>410.75490000000002</v>
      </c>
      <c r="D411" s="1346">
        <f>C411/'8.1'!B399</f>
        <v>3.3308592419598118E-2</v>
      </c>
      <c r="E411" s="438">
        <v>841.53949299999999</v>
      </c>
      <c r="F411" s="434">
        <v>3388</v>
      </c>
      <c r="G411" s="201"/>
      <c r="H411" s="201"/>
      <c r="I411" s="201"/>
    </row>
    <row r="412" spans="1:9">
      <c r="A412" s="63">
        <f t="shared" si="2"/>
        <v>2024.07</v>
      </c>
      <c r="B412" s="109">
        <v>134925275</v>
      </c>
      <c r="C412" s="432">
        <v>413.08600000000001</v>
      </c>
      <c r="D412" s="1346">
        <f>C412/'8.1'!B400</f>
        <v>3.2055418721123149E-2</v>
      </c>
      <c r="E412" s="438">
        <v>940.74686699999995</v>
      </c>
      <c r="F412" s="434">
        <v>3225</v>
      </c>
      <c r="G412" s="201"/>
      <c r="H412" s="201"/>
      <c r="I412" s="201"/>
    </row>
    <row r="413" spans="1:9">
      <c r="A413" s="63">
        <f t="shared" si="2"/>
        <v>2024.08</v>
      </c>
      <c r="B413" s="109">
        <v>137529853</v>
      </c>
      <c r="C413" s="432">
        <v>424.19229999999999</v>
      </c>
      <c r="D413" s="1346">
        <f>C413/'8.1'!B401</f>
        <v>3.1661505344562101E-2</v>
      </c>
      <c r="E413" s="438">
        <v>992.79956100000004</v>
      </c>
      <c r="F413" s="434">
        <v>3304</v>
      </c>
      <c r="G413" s="10"/>
      <c r="H413" s="10"/>
      <c r="I413" s="10"/>
    </row>
    <row r="414" spans="1:9">
      <c r="A414" s="63">
        <f t="shared" si="2"/>
        <v>2024.09</v>
      </c>
      <c r="B414" s="109">
        <v>137444577</v>
      </c>
      <c r="C414" s="432">
        <v>433.45060000000001</v>
      </c>
      <c r="D414" s="1346">
        <f>C414/'8.1'!B402</f>
        <v>3.13360737750428E-2</v>
      </c>
      <c r="E414" s="438">
        <v>1014.95151</v>
      </c>
      <c r="F414" s="434">
        <v>3475</v>
      </c>
      <c r="G414" s="10"/>
      <c r="H414" s="2543"/>
      <c r="I414" s="2543"/>
    </row>
    <row r="415" spans="1:9">
      <c r="A415" s="63">
        <f t="shared" si="2"/>
        <v>2024.1</v>
      </c>
      <c r="B415" s="109">
        <v>144603198</v>
      </c>
      <c r="C415" s="432">
        <v>444.2149</v>
      </c>
      <c r="D415" s="1346">
        <f>C415/'8.1'!B403</f>
        <v>3.1292171161448661E-2</v>
      </c>
      <c r="E415" s="438">
        <v>1062.1447109999999</v>
      </c>
      <c r="F415" s="434">
        <v>3550</v>
      </c>
      <c r="G415" s="10"/>
      <c r="H415" s="2543"/>
      <c r="I415" s="2543"/>
    </row>
    <row r="416" spans="1:9">
      <c r="A416" s="63">
        <f t="shared" si="2"/>
        <v>2024.11</v>
      </c>
      <c r="B416" s="109">
        <v>140922030</v>
      </c>
      <c r="C416" s="432">
        <v>449.92</v>
      </c>
      <c r="D416" s="1346">
        <f>C416/'8.1'!B404</f>
        <v>3.1045087552363401E-2</v>
      </c>
      <c r="E416" s="438">
        <v>1018.817998</v>
      </c>
      <c r="F416" s="434">
        <v>3706</v>
      </c>
      <c r="G416" s="201"/>
      <c r="H416" s="2543"/>
      <c r="I416" s="2543"/>
    </row>
    <row r="417" spans="1:9">
      <c r="A417" s="63">
        <f t="shared" si="2"/>
        <v>2024.12</v>
      </c>
      <c r="B417" s="109">
        <v>142087326</v>
      </c>
      <c r="C417" s="432">
        <v>446.38</v>
      </c>
      <c r="D417" s="1346">
        <f>C417/'8.1'!B405</f>
        <v>3.0081318893114207E-2</v>
      </c>
      <c r="E417" s="438">
        <v>993.50950399999999</v>
      </c>
      <c r="F417" s="434">
        <v>3919</v>
      </c>
      <c r="G417" s="201"/>
      <c r="H417" s="3138"/>
      <c r="I417" s="3138"/>
    </row>
    <row r="418" spans="1:9">
      <c r="A418" s="63">
        <f t="shared" ref="A418:A481" si="3">A406+1</f>
        <v>2025.01</v>
      </c>
      <c r="B418" s="109">
        <v>139886113</v>
      </c>
      <c r="C418" s="432">
        <v>452.72570000000002</v>
      </c>
      <c r="D418" s="1346">
        <f>C418/'8.1'!B406</f>
        <v>2.9577716641045425E-2</v>
      </c>
      <c r="E418" s="438">
        <v>880.71757600000001</v>
      </c>
      <c r="F418" s="434">
        <v>3863</v>
      </c>
      <c r="G418" s="201"/>
      <c r="H418" s="3138"/>
      <c r="I418" s="3138"/>
    </row>
    <row r="419" spans="1:9">
      <c r="A419" s="63">
        <f t="shared" si="3"/>
        <v>2025.02</v>
      </c>
      <c r="B419" s="109">
        <v>95817285</v>
      </c>
      <c r="C419" s="432">
        <v>454.17</v>
      </c>
      <c r="D419" s="1346">
        <f>C419/'8.1'!B407</f>
        <v>2.8929223184399354E-2</v>
      </c>
      <c r="E419" s="438">
        <v>742.44267000000002</v>
      </c>
      <c r="F419" s="434">
        <v>4125</v>
      </c>
      <c r="G419" s="201"/>
      <c r="H419" s="3138"/>
      <c r="I419" s="3138"/>
    </row>
    <row r="420" spans="1:9">
      <c r="A420" s="63">
        <f t="shared" si="3"/>
        <v>2025.03</v>
      </c>
      <c r="B420" s="109">
        <v>104829543</v>
      </c>
      <c r="C420" s="432">
        <v>459.51</v>
      </c>
      <c r="D420" s="1346">
        <f>C420/'8.1'!B408</f>
        <v>2.8272979987226672E-2</v>
      </c>
      <c r="E420" s="438">
        <v>816.44605899999999</v>
      </c>
      <c r="F420" s="434">
        <v>3994</v>
      </c>
      <c r="G420" s="201"/>
      <c r="H420" s="2538"/>
      <c r="I420" s="201"/>
    </row>
    <row r="421" spans="1:9">
      <c r="A421" s="63">
        <f t="shared" si="3"/>
        <v>2025.04</v>
      </c>
      <c r="B421" s="109">
        <v>104492337</v>
      </c>
      <c r="C421" s="432">
        <v>465.59</v>
      </c>
      <c r="D421" s="1346">
        <f>C421/'8.1'!B409</f>
        <v>2.7850156241775174E-2</v>
      </c>
      <c r="E421" s="438">
        <v>823.04557699999998</v>
      </c>
      <c r="F421" s="434">
        <v>4063</v>
      </c>
      <c r="G421" s="201"/>
      <c r="H421" s="201"/>
      <c r="I421" s="201"/>
    </row>
    <row r="422" spans="1:9">
      <c r="A422" s="63">
        <f t="shared" si="3"/>
        <v>2025.05</v>
      </c>
      <c r="B422" s="109" t="e">
        <v>#N/A</v>
      </c>
      <c r="C422" s="432" t="e">
        <v>#N/A</v>
      </c>
      <c r="D422" s="1346" t="e">
        <f>C422/'8.1'!B410</f>
        <v>#N/A</v>
      </c>
      <c r="E422" s="438" t="e">
        <v>#N/A</v>
      </c>
      <c r="F422" s="434">
        <v>4300</v>
      </c>
      <c r="G422" s="201"/>
      <c r="H422" s="201"/>
      <c r="I422" s="201"/>
    </row>
    <row r="423" spans="1:9">
      <c r="A423" s="63">
        <f t="shared" si="3"/>
        <v>2025.06</v>
      </c>
      <c r="B423" s="109" t="e">
        <v>#N/A</v>
      </c>
      <c r="C423" s="432" t="e">
        <v>#N/A</v>
      </c>
      <c r="D423" s="1346" t="e">
        <f>C423/'8.1'!B411</f>
        <v>#N/A</v>
      </c>
      <c r="E423" s="438" t="e">
        <v>#N/A</v>
      </c>
      <c r="F423" s="434" t="e">
        <v>#N/A</v>
      </c>
      <c r="G423" s="201"/>
      <c r="H423" s="201"/>
      <c r="I423" s="201"/>
    </row>
    <row r="424" spans="1:9">
      <c r="A424" s="63">
        <f t="shared" si="3"/>
        <v>2025.07</v>
      </c>
      <c r="B424" s="109" t="e">
        <v>#N/A</v>
      </c>
      <c r="C424" s="432" t="e">
        <v>#N/A</v>
      </c>
      <c r="D424" s="1346" t="e">
        <f>C424/'8.1'!B412</f>
        <v>#N/A</v>
      </c>
      <c r="E424" s="438" t="e">
        <v>#N/A</v>
      </c>
      <c r="F424" s="434" t="e">
        <v>#N/A</v>
      </c>
      <c r="G424" s="201"/>
      <c r="H424" s="201"/>
      <c r="I424" s="201"/>
    </row>
    <row r="425" spans="1:9">
      <c r="A425" s="63">
        <f t="shared" si="3"/>
        <v>2025.08</v>
      </c>
      <c r="B425" s="109" t="e">
        <v>#N/A</v>
      </c>
      <c r="C425" s="432" t="e">
        <v>#N/A</v>
      </c>
      <c r="D425" s="1346" t="e">
        <f>C425/'8.1'!B413</f>
        <v>#N/A</v>
      </c>
      <c r="E425" s="438" t="e">
        <v>#N/A</v>
      </c>
      <c r="F425" s="434" t="e">
        <v>#N/A</v>
      </c>
      <c r="G425" s="201"/>
      <c r="H425" s="201"/>
      <c r="I425" s="201"/>
    </row>
    <row r="426" spans="1:9">
      <c r="A426" s="63">
        <f t="shared" si="3"/>
        <v>2025.09</v>
      </c>
      <c r="B426" s="109" t="e">
        <v>#N/A</v>
      </c>
      <c r="C426" s="432" t="e">
        <v>#N/A</v>
      </c>
      <c r="D426" s="1346" t="e">
        <f>C426/'8.1'!B414</f>
        <v>#N/A</v>
      </c>
      <c r="E426" s="438" t="e">
        <v>#N/A</v>
      </c>
      <c r="F426" s="434" t="e">
        <v>#N/A</v>
      </c>
      <c r="G426" s="201"/>
      <c r="H426" s="201"/>
      <c r="I426" s="201"/>
    </row>
    <row r="427" spans="1:9">
      <c r="A427" s="63">
        <f t="shared" si="3"/>
        <v>2025.1</v>
      </c>
      <c r="B427" s="109" t="e">
        <v>#N/A</v>
      </c>
      <c r="C427" s="432" t="e">
        <v>#N/A</v>
      </c>
      <c r="D427" s="1346" t="e">
        <f>C427/'8.1'!B415</f>
        <v>#N/A</v>
      </c>
      <c r="E427" s="438" t="e">
        <v>#N/A</v>
      </c>
      <c r="F427" s="434" t="e">
        <v>#N/A</v>
      </c>
      <c r="G427" s="201"/>
      <c r="H427" s="201"/>
      <c r="I427" s="201"/>
    </row>
    <row r="428" spans="1:9">
      <c r="A428" s="63">
        <f t="shared" si="3"/>
        <v>2025.11</v>
      </c>
      <c r="B428" s="109" t="e">
        <v>#N/A</v>
      </c>
      <c r="C428" s="432" t="e">
        <v>#N/A</v>
      </c>
      <c r="D428" s="1346" t="e">
        <f>C428/'8.1'!B416</f>
        <v>#N/A</v>
      </c>
      <c r="E428" s="438" t="e">
        <v>#N/A</v>
      </c>
      <c r="F428" s="434" t="e">
        <v>#N/A</v>
      </c>
      <c r="G428" s="201"/>
      <c r="H428" s="201"/>
      <c r="I428" s="201"/>
    </row>
    <row r="429" spans="1:9">
      <c r="A429" s="63">
        <f t="shared" si="3"/>
        <v>2025.12</v>
      </c>
      <c r="B429" s="109" t="e">
        <v>#N/A</v>
      </c>
      <c r="C429" s="432" t="e">
        <v>#N/A</v>
      </c>
      <c r="D429" s="1346" t="e">
        <f>C429/'8.1'!B417</f>
        <v>#N/A</v>
      </c>
      <c r="E429" s="438" t="e">
        <v>#N/A</v>
      </c>
      <c r="F429" s="434" t="e">
        <v>#N/A</v>
      </c>
      <c r="G429" s="201"/>
      <c r="H429" s="201"/>
      <c r="I429" s="201"/>
    </row>
    <row r="430" spans="1:9">
      <c r="A430" s="63">
        <f t="shared" si="3"/>
        <v>2026.01</v>
      </c>
      <c r="B430" s="109" t="e">
        <v>#N/A</v>
      </c>
      <c r="C430" s="432" t="e">
        <v>#N/A</v>
      </c>
      <c r="D430" s="1346" t="e">
        <f>C430/'8.1'!B418</f>
        <v>#N/A</v>
      </c>
      <c r="E430" s="438" t="e">
        <v>#N/A</v>
      </c>
      <c r="F430" s="434" t="e">
        <v>#N/A</v>
      </c>
      <c r="G430" s="201"/>
      <c r="H430" s="201"/>
      <c r="I430" s="201"/>
    </row>
    <row r="431" spans="1:9">
      <c r="A431" s="63">
        <f t="shared" si="3"/>
        <v>2026.02</v>
      </c>
      <c r="B431" s="109" t="e">
        <v>#N/A</v>
      </c>
      <c r="C431" s="432" t="e">
        <v>#N/A</v>
      </c>
      <c r="D431" s="1346" t="e">
        <f>C431/'8.1'!B419</f>
        <v>#N/A</v>
      </c>
      <c r="E431" s="438" t="e">
        <v>#N/A</v>
      </c>
      <c r="F431" s="434" t="e">
        <v>#N/A</v>
      </c>
      <c r="G431" s="201"/>
      <c r="H431" s="201"/>
      <c r="I431" s="201"/>
    </row>
    <row r="432" spans="1:9">
      <c r="A432" s="63">
        <f t="shared" si="3"/>
        <v>2026.03</v>
      </c>
      <c r="B432" s="109" t="e">
        <v>#N/A</v>
      </c>
      <c r="C432" s="432" t="e">
        <v>#N/A</v>
      </c>
      <c r="D432" s="1346" t="e">
        <f>C432/'8.1'!B420</f>
        <v>#N/A</v>
      </c>
      <c r="E432" s="438" t="e">
        <v>#N/A</v>
      </c>
      <c r="F432" s="434" t="e">
        <v>#N/A</v>
      </c>
      <c r="G432" s="201"/>
      <c r="H432" s="201"/>
      <c r="I432" s="201"/>
    </row>
    <row r="433" spans="1:6">
      <c r="A433" s="63">
        <f t="shared" si="3"/>
        <v>2026.04</v>
      </c>
      <c r="B433" s="109" t="e">
        <v>#N/A</v>
      </c>
      <c r="C433" s="432" t="e">
        <v>#N/A</v>
      </c>
      <c r="D433" s="1346" t="e">
        <f>C433/'8.1'!B421</f>
        <v>#N/A</v>
      </c>
      <c r="E433" s="438" t="e">
        <v>#N/A</v>
      </c>
      <c r="F433" s="434" t="e">
        <v>#N/A</v>
      </c>
    </row>
    <row r="434" spans="1:6">
      <c r="A434" s="63">
        <f t="shared" si="3"/>
        <v>2026.05</v>
      </c>
      <c r="B434" s="109" t="e">
        <v>#N/A</v>
      </c>
      <c r="C434" s="432" t="e">
        <v>#N/A</v>
      </c>
      <c r="D434" s="1346" t="e">
        <f>C434/'8.1'!B422</f>
        <v>#N/A</v>
      </c>
      <c r="E434" s="438" t="e">
        <v>#N/A</v>
      </c>
      <c r="F434" s="434" t="e">
        <v>#N/A</v>
      </c>
    </row>
    <row r="435" spans="1:6">
      <c r="A435" s="63">
        <f t="shared" si="3"/>
        <v>2026.06</v>
      </c>
      <c r="B435" s="109" t="e">
        <v>#N/A</v>
      </c>
      <c r="C435" s="432" t="e">
        <v>#N/A</v>
      </c>
      <c r="D435" s="1346" t="e">
        <f>C435/'8.1'!B423</f>
        <v>#N/A</v>
      </c>
      <c r="E435" s="438" t="e">
        <v>#N/A</v>
      </c>
      <c r="F435" s="434" t="e">
        <v>#N/A</v>
      </c>
    </row>
    <row r="436" spans="1:6">
      <c r="A436" s="63">
        <f t="shared" si="3"/>
        <v>2026.07</v>
      </c>
      <c r="B436" s="109" t="e">
        <v>#N/A</v>
      </c>
      <c r="C436" s="432" t="e">
        <v>#N/A</v>
      </c>
      <c r="D436" s="1346" t="e">
        <f>C436/'8.1'!B424</f>
        <v>#N/A</v>
      </c>
      <c r="E436" s="438" t="e">
        <v>#N/A</v>
      </c>
      <c r="F436" s="434" t="e">
        <v>#N/A</v>
      </c>
    </row>
    <row r="437" spans="1:6">
      <c r="A437" s="63">
        <f t="shared" si="3"/>
        <v>2026.08</v>
      </c>
      <c r="B437" s="109" t="e">
        <v>#N/A</v>
      </c>
      <c r="C437" s="432" t="e">
        <v>#N/A</v>
      </c>
      <c r="D437" s="1346" t="e">
        <f>C437/'8.1'!B425</f>
        <v>#N/A</v>
      </c>
      <c r="E437" s="438" t="e">
        <v>#N/A</v>
      </c>
      <c r="F437" s="434" t="e">
        <v>#N/A</v>
      </c>
    </row>
    <row r="438" spans="1:6">
      <c r="A438" s="63">
        <f t="shared" si="3"/>
        <v>2026.09</v>
      </c>
      <c r="B438" s="109" t="e">
        <v>#N/A</v>
      </c>
      <c r="C438" s="432" t="e">
        <v>#N/A</v>
      </c>
      <c r="D438" s="1346" t="e">
        <f>C438/'8.1'!B426</f>
        <v>#N/A</v>
      </c>
      <c r="E438" s="438" t="e">
        <v>#N/A</v>
      </c>
      <c r="F438" s="434" t="e">
        <v>#N/A</v>
      </c>
    </row>
    <row r="439" spans="1:6">
      <c r="A439" s="63">
        <f t="shared" si="3"/>
        <v>2026.1</v>
      </c>
      <c r="B439" s="109" t="e">
        <v>#N/A</v>
      </c>
      <c r="C439" s="432" t="e">
        <v>#N/A</v>
      </c>
      <c r="D439" s="1346" t="e">
        <f>C439/'8.1'!B427</f>
        <v>#N/A</v>
      </c>
      <c r="E439" s="438" t="e">
        <v>#N/A</v>
      </c>
      <c r="F439" s="434" t="e">
        <v>#N/A</v>
      </c>
    </row>
    <row r="440" spans="1:6">
      <c r="A440" s="63">
        <f t="shared" si="3"/>
        <v>2026.11</v>
      </c>
      <c r="B440" s="109" t="e">
        <v>#N/A</v>
      </c>
      <c r="C440" s="432" t="e">
        <v>#N/A</v>
      </c>
      <c r="D440" s="1346" t="e">
        <f>C440/'8.1'!B428</f>
        <v>#N/A</v>
      </c>
      <c r="E440" s="438" t="e">
        <v>#N/A</v>
      </c>
      <c r="F440" s="434" t="e">
        <v>#N/A</v>
      </c>
    </row>
    <row r="441" spans="1:6">
      <c r="A441" s="63">
        <f t="shared" si="3"/>
        <v>2026.12</v>
      </c>
      <c r="B441" s="109" t="e">
        <v>#N/A</v>
      </c>
      <c r="C441" s="432" t="e">
        <v>#N/A</v>
      </c>
      <c r="D441" s="1346" t="e">
        <f>C441/'8.1'!B429</f>
        <v>#N/A</v>
      </c>
      <c r="E441" s="438" t="e">
        <v>#N/A</v>
      </c>
      <c r="F441" s="434" t="e">
        <v>#N/A</v>
      </c>
    </row>
    <row r="442" spans="1:6">
      <c r="A442" s="63">
        <f t="shared" si="3"/>
        <v>2027.01</v>
      </c>
      <c r="B442" s="109" t="e">
        <v>#N/A</v>
      </c>
      <c r="C442" s="432" t="e">
        <v>#N/A</v>
      </c>
      <c r="D442" s="1346" t="e">
        <f>C442/'8.1'!B430</f>
        <v>#N/A</v>
      </c>
      <c r="E442" s="438" t="e">
        <v>#N/A</v>
      </c>
      <c r="F442" s="434" t="e">
        <v>#N/A</v>
      </c>
    </row>
    <row r="443" spans="1:6">
      <c r="A443" s="63">
        <f t="shared" si="3"/>
        <v>2027.02</v>
      </c>
      <c r="B443" s="109" t="e">
        <v>#N/A</v>
      </c>
      <c r="C443" s="432" t="e">
        <v>#N/A</v>
      </c>
      <c r="D443" s="1346" t="e">
        <f>C443/'8.1'!B431</f>
        <v>#N/A</v>
      </c>
      <c r="E443" s="438" t="e">
        <v>#N/A</v>
      </c>
      <c r="F443" s="434" t="e">
        <v>#N/A</v>
      </c>
    </row>
    <row r="444" spans="1:6">
      <c r="A444" s="63">
        <f t="shared" si="3"/>
        <v>2027.03</v>
      </c>
      <c r="B444" s="109" t="e">
        <v>#N/A</v>
      </c>
      <c r="C444" s="432" t="e">
        <v>#N/A</v>
      </c>
      <c r="D444" s="1346" t="e">
        <f>C444/'8.1'!B432</f>
        <v>#N/A</v>
      </c>
      <c r="E444" s="438" t="e">
        <v>#N/A</v>
      </c>
      <c r="F444" s="434" t="e">
        <v>#N/A</v>
      </c>
    </row>
    <row r="445" spans="1:6">
      <c r="A445" s="63">
        <f t="shared" si="3"/>
        <v>2027.04</v>
      </c>
      <c r="B445" s="109" t="e">
        <v>#N/A</v>
      </c>
      <c r="C445" s="432" t="e">
        <v>#N/A</v>
      </c>
      <c r="D445" s="1346" t="e">
        <f>C445/'8.1'!B433</f>
        <v>#N/A</v>
      </c>
      <c r="E445" s="438" t="e">
        <v>#N/A</v>
      </c>
      <c r="F445" s="434" t="e">
        <v>#N/A</v>
      </c>
    </row>
    <row r="446" spans="1:6">
      <c r="A446" s="63">
        <f t="shared" si="3"/>
        <v>2027.05</v>
      </c>
      <c r="B446" s="109" t="e">
        <v>#N/A</v>
      </c>
      <c r="C446" s="432" t="e">
        <v>#N/A</v>
      </c>
      <c r="D446" s="1346" t="e">
        <f>C446/'8.1'!B434</f>
        <v>#N/A</v>
      </c>
      <c r="E446" s="438" t="e">
        <v>#N/A</v>
      </c>
      <c r="F446" s="434" t="e">
        <v>#N/A</v>
      </c>
    </row>
    <row r="447" spans="1:6">
      <c r="A447" s="63">
        <f t="shared" si="3"/>
        <v>2027.06</v>
      </c>
      <c r="B447" s="109" t="e">
        <v>#N/A</v>
      </c>
      <c r="C447" s="432" t="e">
        <v>#N/A</v>
      </c>
      <c r="D447" s="1346" t="e">
        <f>C447/'8.1'!B435</f>
        <v>#N/A</v>
      </c>
      <c r="E447" s="438" t="e">
        <v>#N/A</v>
      </c>
      <c r="F447" s="434" t="e">
        <v>#N/A</v>
      </c>
    </row>
    <row r="448" spans="1:6">
      <c r="A448" s="63">
        <f t="shared" si="3"/>
        <v>2027.07</v>
      </c>
      <c r="B448" s="109" t="e">
        <v>#N/A</v>
      </c>
      <c r="C448" s="432" t="e">
        <v>#N/A</v>
      </c>
      <c r="D448" s="1346" t="e">
        <f>C448/'8.1'!B436</f>
        <v>#N/A</v>
      </c>
      <c r="E448" s="438" t="e">
        <v>#N/A</v>
      </c>
      <c r="F448" s="434" t="e">
        <v>#N/A</v>
      </c>
    </row>
    <row r="449" spans="1:6">
      <c r="A449" s="63">
        <f t="shared" si="3"/>
        <v>2027.08</v>
      </c>
      <c r="B449" s="109" t="e">
        <v>#N/A</v>
      </c>
      <c r="C449" s="432" t="e">
        <v>#N/A</v>
      </c>
      <c r="D449" s="1346" t="e">
        <f>C449/'8.1'!B437</f>
        <v>#N/A</v>
      </c>
      <c r="E449" s="438" t="e">
        <v>#N/A</v>
      </c>
      <c r="F449" s="434" t="e">
        <v>#N/A</v>
      </c>
    </row>
    <row r="450" spans="1:6">
      <c r="A450" s="63">
        <f t="shared" si="3"/>
        <v>2027.09</v>
      </c>
      <c r="B450" s="109" t="e">
        <v>#N/A</v>
      </c>
      <c r="C450" s="432" t="e">
        <v>#N/A</v>
      </c>
      <c r="D450" s="1346" t="e">
        <f>C450/'8.1'!B438</f>
        <v>#N/A</v>
      </c>
      <c r="E450" s="438" t="e">
        <v>#N/A</v>
      </c>
      <c r="F450" s="434" t="e">
        <v>#N/A</v>
      </c>
    </row>
    <row r="451" spans="1:6">
      <c r="A451" s="63">
        <f t="shared" si="3"/>
        <v>2027.1</v>
      </c>
      <c r="B451" s="109" t="e">
        <v>#N/A</v>
      </c>
      <c r="C451" s="432" t="e">
        <v>#N/A</v>
      </c>
      <c r="D451" s="1346" t="e">
        <f>C451/'8.1'!B439</f>
        <v>#N/A</v>
      </c>
      <c r="E451" s="438" t="e">
        <v>#N/A</v>
      </c>
      <c r="F451" s="434" t="e">
        <v>#N/A</v>
      </c>
    </row>
    <row r="452" spans="1:6">
      <c r="A452" s="63">
        <f t="shared" si="3"/>
        <v>2027.11</v>
      </c>
      <c r="B452" s="109" t="e">
        <v>#N/A</v>
      </c>
      <c r="C452" s="432" t="e">
        <v>#N/A</v>
      </c>
      <c r="D452" s="1346" t="e">
        <f>C452/'8.1'!B440</f>
        <v>#N/A</v>
      </c>
      <c r="E452" s="438" t="e">
        <v>#N/A</v>
      </c>
      <c r="F452" s="434" t="e">
        <v>#N/A</v>
      </c>
    </row>
    <row r="453" spans="1:6">
      <c r="A453" s="63">
        <f t="shared" si="3"/>
        <v>2027.12</v>
      </c>
      <c r="B453" s="109" t="e">
        <v>#N/A</v>
      </c>
      <c r="C453" s="432" t="e">
        <v>#N/A</v>
      </c>
      <c r="D453" s="1346" t="e">
        <f>C453/'8.1'!B441</f>
        <v>#N/A</v>
      </c>
      <c r="E453" s="438" t="e">
        <v>#N/A</v>
      </c>
      <c r="F453" s="434" t="e">
        <v>#N/A</v>
      </c>
    </row>
    <row r="454" spans="1:6">
      <c r="A454" s="63">
        <f t="shared" si="3"/>
        <v>2028.01</v>
      </c>
      <c r="B454" s="109" t="e">
        <v>#N/A</v>
      </c>
      <c r="C454" s="432" t="e">
        <v>#N/A</v>
      </c>
      <c r="D454" s="1346" t="e">
        <f>C454/'8.1'!B442</f>
        <v>#N/A</v>
      </c>
      <c r="E454" s="438" t="e">
        <v>#N/A</v>
      </c>
      <c r="F454" s="434" t="e">
        <v>#N/A</v>
      </c>
    </row>
    <row r="455" spans="1:6">
      <c r="A455" s="63">
        <f t="shared" si="3"/>
        <v>2028.02</v>
      </c>
      <c r="B455" s="109" t="e">
        <v>#N/A</v>
      </c>
      <c r="C455" s="432" t="e">
        <v>#N/A</v>
      </c>
      <c r="D455" s="1346" t="e">
        <f>C455/'8.1'!B443</f>
        <v>#N/A</v>
      </c>
      <c r="E455" s="438" t="e">
        <v>#N/A</v>
      </c>
      <c r="F455" s="434" t="e">
        <v>#N/A</v>
      </c>
    </row>
    <row r="456" spans="1:6">
      <c r="A456" s="63">
        <f t="shared" si="3"/>
        <v>2028.03</v>
      </c>
      <c r="B456" s="109" t="e">
        <v>#N/A</v>
      </c>
      <c r="C456" s="432" t="e">
        <v>#N/A</v>
      </c>
      <c r="D456" s="1346" t="e">
        <f>C456/'8.1'!B444</f>
        <v>#N/A</v>
      </c>
      <c r="E456" s="438" t="e">
        <v>#N/A</v>
      </c>
      <c r="F456" s="434" t="e">
        <v>#N/A</v>
      </c>
    </row>
    <row r="457" spans="1:6">
      <c r="A457" s="63">
        <f t="shared" si="3"/>
        <v>2028.04</v>
      </c>
      <c r="B457" s="109" t="e">
        <v>#N/A</v>
      </c>
      <c r="C457" s="432" t="e">
        <v>#N/A</v>
      </c>
      <c r="D457" s="1346" t="e">
        <f>C457/'8.1'!B445</f>
        <v>#N/A</v>
      </c>
      <c r="E457" s="438" t="e">
        <v>#N/A</v>
      </c>
      <c r="F457" s="434" t="e">
        <v>#N/A</v>
      </c>
    </row>
    <row r="458" spans="1:6">
      <c r="A458" s="63">
        <f t="shared" si="3"/>
        <v>2028.05</v>
      </c>
      <c r="B458" s="109" t="e">
        <v>#N/A</v>
      </c>
      <c r="C458" s="432" t="e">
        <v>#N/A</v>
      </c>
      <c r="D458" s="1346" t="e">
        <f>C458/'8.1'!B446</f>
        <v>#N/A</v>
      </c>
      <c r="E458" s="438" t="e">
        <v>#N/A</v>
      </c>
      <c r="F458" s="434" t="e">
        <v>#N/A</v>
      </c>
    </row>
    <row r="459" spans="1:6">
      <c r="A459" s="63">
        <f t="shared" si="3"/>
        <v>2028.06</v>
      </c>
      <c r="B459" s="109" t="e">
        <v>#N/A</v>
      </c>
      <c r="C459" s="432" t="e">
        <v>#N/A</v>
      </c>
      <c r="D459" s="1346" t="e">
        <f>C459/'8.1'!B447</f>
        <v>#N/A</v>
      </c>
      <c r="E459" s="438" t="e">
        <v>#N/A</v>
      </c>
      <c r="F459" s="434" t="e">
        <v>#N/A</v>
      </c>
    </row>
    <row r="460" spans="1:6">
      <c r="A460" s="63">
        <f t="shared" si="3"/>
        <v>2028.07</v>
      </c>
      <c r="B460" s="109" t="e">
        <v>#N/A</v>
      </c>
      <c r="C460" s="432" t="e">
        <v>#N/A</v>
      </c>
      <c r="D460" s="1346" t="e">
        <f>C460/'8.1'!B448</f>
        <v>#N/A</v>
      </c>
      <c r="E460" s="438" t="e">
        <v>#N/A</v>
      </c>
      <c r="F460" s="434" t="e">
        <v>#N/A</v>
      </c>
    </row>
    <row r="461" spans="1:6">
      <c r="A461" s="63">
        <f t="shared" si="3"/>
        <v>2028.08</v>
      </c>
      <c r="B461" s="109" t="e">
        <v>#N/A</v>
      </c>
      <c r="C461" s="432" t="e">
        <v>#N/A</v>
      </c>
      <c r="D461" s="1346" t="e">
        <f>C461/'8.1'!B449</f>
        <v>#N/A</v>
      </c>
      <c r="E461" s="438" t="e">
        <v>#N/A</v>
      </c>
      <c r="F461" s="434" t="e">
        <v>#N/A</v>
      </c>
    </row>
    <row r="462" spans="1:6">
      <c r="A462" s="63">
        <f t="shared" si="3"/>
        <v>2028.09</v>
      </c>
      <c r="B462" s="109" t="e">
        <v>#N/A</v>
      </c>
      <c r="C462" s="432" t="e">
        <v>#N/A</v>
      </c>
      <c r="D462" s="1346" t="e">
        <f>C462/'8.1'!B450</f>
        <v>#N/A</v>
      </c>
      <c r="E462" s="438" t="e">
        <v>#N/A</v>
      </c>
      <c r="F462" s="434" t="e">
        <v>#N/A</v>
      </c>
    </row>
    <row r="463" spans="1:6">
      <c r="A463" s="63">
        <f t="shared" si="3"/>
        <v>2028.1</v>
      </c>
      <c r="B463" s="109" t="e">
        <v>#N/A</v>
      </c>
      <c r="C463" s="432" t="e">
        <v>#N/A</v>
      </c>
      <c r="D463" s="1346" t="e">
        <f>C463/'8.1'!B451</f>
        <v>#N/A</v>
      </c>
      <c r="E463" s="438" t="e">
        <v>#N/A</v>
      </c>
      <c r="F463" s="434" t="e">
        <v>#N/A</v>
      </c>
    </row>
    <row r="464" spans="1:6">
      <c r="A464" s="63">
        <f t="shared" si="3"/>
        <v>2028.11</v>
      </c>
      <c r="B464" s="109" t="e">
        <v>#N/A</v>
      </c>
      <c r="C464" s="432" t="e">
        <v>#N/A</v>
      </c>
      <c r="D464" s="1346" t="e">
        <f>C464/'8.1'!B452</f>
        <v>#N/A</v>
      </c>
      <c r="E464" s="438" t="e">
        <v>#N/A</v>
      </c>
      <c r="F464" s="434" t="e">
        <v>#N/A</v>
      </c>
    </row>
    <row r="465" spans="1:6">
      <c r="A465" s="63">
        <f t="shared" si="3"/>
        <v>2028.12</v>
      </c>
      <c r="B465" s="109" t="e">
        <v>#N/A</v>
      </c>
      <c r="C465" s="432" t="e">
        <v>#N/A</v>
      </c>
      <c r="D465" s="1346" t="e">
        <f>C465/'8.1'!B453</f>
        <v>#N/A</v>
      </c>
      <c r="E465" s="438" t="e">
        <v>#N/A</v>
      </c>
      <c r="F465" s="434" t="e">
        <v>#N/A</v>
      </c>
    </row>
    <row r="466" spans="1:6">
      <c r="A466" s="63">
        <f t="shared" si="3"/>
        <v>2029.01</v>
      </c>
      <c r="B466" s="109" t="e">
        <v>#N/A</v>
      </c>
      <c r="C466" s="432" t="e">
        <v>#N/A</v>
      </c>
      <c r="D466" s="1346" t="e">
        <f>C466/'8.1'!B454</f>
        <v>#N/A</v>
      </c>
      <c r="E466" s="438" t="e">
        <v>#N/A</v>
      </c>
      <c r="F466" s="434" t="e">
        <v>#N/A</v>
      </c>
    </row>
    <row r="467" spans="1:6">
      <c r="A467" s="63">
        <f t="shared" si="3"/>
        <v>2029.02</v>
      </c>
      <c r="B467" s="109" t="e">
        <v>#N/A</v>
      </c>
      <c r="C467" s="432" t="e">
        <v>#N/A</v>
      </c>
      <c r="D467" s="1346" t="e">
        <f>C467/'8.1'!B455</f>
        <v>#N/A</v>
      </c>
      <c r="E467" s="438" t="e">
        <v>#N/A</v>
      </c>
      <c r="F467" s="434" t="e">
        <v>#N/A</v>
      </c>
    </row>
    <row r="468" spans="1:6">
      <c r="A468" s="63">
        <f t="shared" si="3"/>
        <v>2029.03</v>
      </c>
      <c r="B468" s="109" t="e">
        <v>#N/A</v>
      </c>
      <c r="C468" s="432" t="e">
        <v>#N/A</v>
      </c>
      <c r="D468" s="1346" t="e">
        <f>C468/'8.1'!B456</f>
        <v>#N/A</v>
      </c>
      <c r="E468" s="438" t="e">
        <v>#N/A</v>
      </c>
      <c r="F468" s="434" t="e">
        <v>#N/A</v>
      </c>
    </row>
    <row r="469" spans="1:6">
      <c r="A469" s="63">
        <f t="shared" si="3"/>
        <v>2029.04</v>
      </c>
      <c r="B469" s="109" t="e">
        <v>#N/A</v>
      </c>
      <c r="C469" s="432" t="e">
        <v>#N/A</v>
      </c>
      <c r="D469" s="1346" t="e">
        <f>C469/'8.1'!B457</f>
        <v>#N/A</v>
      </c>
      <c r="E469" s="438" t="e">
        <v>#N/A</v>
      </c>
      <c r="F469" s="434" t="e">
        <v>#N/A</v>
      </c>
    </row>
    <row r="470" spans="1:6">
      <c r="A470" s="63">
        <f t="shared" si="3"/>
        <v>2029.05</v>
      </c>
      <c r="B470" s="109" t="e">
        <v>#N/A</v>
      </c>
      <c r="C470" s="432" t="e">
        <v>#N/A</v>
      </c>
      <c r="D470" s="1346" t="e">
        <f>C470/'8.1'!B458</f>
        <v>#N/A</v>
      </c>
      <c r="E470" s="438" t="e">
        <v>#N/A</v>
      </c>
      <c r="F470" s="434" t="e">
        <v>#N/A</v>
      </c>
    </row>
    <row r="471" spans="1:6">
      <c r="A471" s="63">
        <f t="shared" si="3"/>
        <v>2029.06</v>
      </c>
      <c r="B471" s="109" t="e">
        <v>#N/A</v>
      </c>
      <c r="C471" s="432" t="e">
        <v>#N/A</v>
      </c>
      <c r="D471" s="1346" t="e">
        <f>C471/'8.1'!B459</f>
        <v>#N/A</v>
      </c>
      <c r="E471" s="438" t="e">
        <v>#N/A</v>
      </c>
      <c r="F471" s="434" t="e">
        <v>#N/A</v>
      </c>
    </row>
    <row r="472" spans="1:6">
      <c r="A472" s="63">
        <f t="shared" si="3"/>
        <v>2029.07</v>
      </c>
      <c r="B472" s="109" t="e">
        <v>#N/A</v>
      </c>
      <c r="C472" s="432" t="e">
        <v>#N/A</v>
      </c>
      <c r="D472" s="1346" t="e">
        <f>C472/'8.1'!B460</f>
        <v>#N/A</v>
      </c>
      <c r="E472" s="438" t="e">
        <v>#N/A</v>
      </c>
      <c r="F472" s="434" t="e">
        <v>#N/A</v>
      </c>
    </row>
    <row r="473" spans="1:6">
      <c r="A473" s="63">
        <f t="shared" si="3"/>
        <v>2029.08</v>
      </c>
      <c r="B473" s="109" t="e">
        <v>#N/A</v>
      </c>
      <c r="C473" s="432" t="e">
        <v>#N/A</v>
      </c>
      <c r="D473" s="1346" t="e">
        <f>C473/'8.1'!B461</f>
        <v>#N/A</v>
      </c>
      <c r="E473" s="438" t="e">
        <v>#N/A</v>
      </c>
      <c r="F473" s="434" t="e">
        <v>#N/A</v>
      </c>
    </row>
    <row r="474" spans="1:6">
      <c r="A474" s="63">
        <f t="shared" si="3"/>
        <v>2029.09</v>
      </c>
      <c r="B474" s="109" t="e">
        <v>#N/A</v>
      </c>
      <c r="C474" s="432" t="e">
        <v>#N/A</v>
      </c>
      <c r="D474" s="1346" t="e">
        <f>C474/'8.1'!B462</f>
        <v>#N/A</v>
      </c>
      <c r="E474" s="438" t="e">
        <v>#N/A</v>
      </c>
      <c r="F474" s="434" t="e">
        <v>#N/A</v>
      </c>
    </row>
    <row r="475" spans="1:6">
      <c r="A475" s="63">
        <f t="shared" si="3"/>
        <v>2029.1</v>
      </c>
      <c r="B475" s="109" t="e">
        <v>#N/A</v>
      </c>
      <c r="C475" s="432" t="e">
        <v>#N/A</v>
      </c>
      <c r="D475" s="1346" t="e">
        <f>C475/'8.1'!B463</f>
        <v>#N/A</v>
      </c>
      <c r="E475" s="438" t="e">
        <v>#N/A</v>
      </c>
      <c r="F475" s="434" t="e">
        <v>#N/A</v>
      </c>
    </row>
    <row r="476" spans="1:6">
      <c r="A476" s="63">
        <f t="shared" si="3"/>
        <v>2029.11</v>
      </c>
      <c r="B476" s="109" t="e">
        <v>#N/A</v>
      </c>
      <c r="C476" s="432" t="e">
        <v>#N/A</v>
      </c>
      <c r="D476" s="1346" t="e">
        <f>C476/'8.1'!B464</f>
        <v>#N/A</v>
      </c>
      <c r="E476" s="438" t="e">
        <v>#N/A</v>
      </c>
      <c r="F476" s="434" t="e">
        <v>#N/A</v>
      </c>
    </row>
    <row r="477" spans="1:6">
      <c r="A477" s="63">
        <f t="shared" si="3"/>
        <v>2029.12</v>
      </c>
      <c r="B477" s="109" t="e">
        <v>#N/A</v>
      </c>
      <c r="C477" s="432" t="e">
        <v>#N/A</v>
      </c>
      <c r="D477" s="1346" t="e">
        <f>C477/'8.1'!B465</f>
        <v>#N/A</v>
      </c>
      <c r="E477" s="438" t="e">
        <v>#N/A</v>
      </c>
      <c r="F477" s="434" t="e">
        <v>#N/A</v>
      </c>
    </row>
    <row r="478" spans="1:6">
      <c r="A478" s="63">
        <f t="shared" si="3"/>
        <v>2030.01</v>
      </c>
      <c r="B478" s="109" t="e">
        <v>#N/A</v>
      </c>
      <c r="C478" s="432" t="e">
        <v>#N/A</v>
      </c>
      <c r="D478" s="1346" t="e">
        <f>C478/'8.1'!B466</f>
        <v>#N/A</v>
      </c>
      <c r="E478" s="438" t="e">
        <v>#N/A</v>
      </c>
      <c r="F478" s="434" t="e">
        <v>#N/A</v>
      </c>
    </row>
    <row r="479" spans="1:6">
      <c r="A479" s="63">
        <f t="shared" si="3"/>
        <v>2030.02</v>
      </c>
      <c r="B479" s="109" t="e">
        <v>#N/A</v>
      </c>
      <c r="C479" s="432" t="e">
        <v>#N/A</v>
      </c>
      <c r="D479" s="1346" t="e">
        <f>C479/'8.1'!B467</f>
        <v>#N/A</v>
      </c>
      <c r="E479" s="438" t="e">
        <v>#N/A</v>
      </c>
      <c r="F479" s="434" t="e">
        <v>#N/A</v>
      </c>
    </row>
    <row r="480" spans="1:6">
      <c r="A480" s="63">
        <f t="shared" si="3"/>
        <v>2030.03</v>
      </c>
      <c r="B480" s="109" t="e">
        <v>#N/A</v>
      </c>
      <c r="C480" s="432" t="e">
        <v>#N/A</v>
      </c>
      <c r="D480" s="1346" t="e">
        <f>C480/'8.1'!B468</f>
        <v>#N/A</v>
      </c>
      <c r="E480" s="438" t="e">
        <v>#N/A</v>
      </c>
      <c r="F480" s="434" t="e">
        <v>#N/A</v>
      </c>
    </row>
    <row r="481" spans="1:6">
      <c r="A481" s="63">
        <f t="shared" si="3"/>
        <v>2030.04</v>
      </c>
      <c r="B481" s="109" t="e">
        <v>#N/A</v>
      </c>
      <c r="C481" s="432" t="e">
        <v>#N/A</v>
      </c>
      <c r="D481" s="1346" t="e">
        <f>C481/'8.1'!B469</f>
        <v>#N/A</v>
      </c>
      <c r="E481" s="438" t="e">
        <v>#N/A</v>
      </c>
      <c r="F481" s="434" t="e">
        <v>#N/A</v>
      </c>
    </row>
    <row r="482" spans="1:6">
      <c r="A482" s="63">
        <f t="shared" ref="A482:A489" si="4">A470+1</f>
        <v>2030.05</v>
      </c>
      <c r="B482" s="109" t="e">
        <v>#N/A</v>
      </c>
      <c r="C482" s="432" t="e">
        <v>#N/A</v>
      </c>
      <c r="D482" s="1346" t="e">
        <f>C482/'8.1'!B470</f>
        <v>#N/A</v>
      </c>
      <c r="E482" s="438" t="e">
        <v>#N/A</v>
      </c>
      <c r="F482" s="434" t="e">
        <v>#N/A</v>
      </c>
    </row>
    <row r="483" spans="1:6">
      <c r="A483" s="63">
        <f t="shared" si="4"/>
        <v>2030.06</v>
      </c>
      <c r="B483" s="109" t="e">
        <v>#N/A</v>
      </c>
      <c r="C483" s="432" t="e">
        <v>#N/A</v>
      </c>
      <c r="D483" s="1346" t="e">
        <f>C483/'8.1'!B471</f>
        <v>#N/A</v>
      </c>
      <c r="E483" s="438" t="e">
        <v>#N/A</v>
      </c>
      <c r="F483" s="434" t="e">
        <v>#N/A</v>
      </c>
    </row>
    <row r="484" spans="1:6">
      <c r="A484" s="63">
        <f t="shared" si="4"/>
        <v>2030.07</v>
      </c>
      <c r="B484" s="109" t="e">
        <v>#N/A</v>
      </c>
      <c r="C484" s="432" t="e">
        <v>#N/A</v>
      </c>
      <c r="D484" s="1346" t="e">
        <f>C484/'8.1'!B472</f>
        <v>#N/A</v>
      </c>
      <c r="E484" s="438" t="e">
        <v>#N/A</v>
      </c>
      <c r="F484" s="434" t="e">
        <v>#N/A</v>
      </c>
    </row>
    <row r="485" spans="1:6">
      <c r="A485" s="63">
        <f t="shared" si="4"/>
        <v>2030.08</v>
      </c>
      <c r="B485" s="109" t="e">
        <v>#N/A</v>
      </c>
      <c r="C485" s="432" t="e">
        <v>#N/A</v>
      </c>
      <c r="D485" s="1346" t="e">
        <f>C485/'8.1'!B473</f>
        <v>#N/A</v>
      </c>
      <c r="E485" s="438" t="e">
        <v>#N/A</v>
      </c>
      <c r="F485" s="434" t="e">
        <v>#N/A</v>
      </c>
    </row>
    <row r="486" spans="1:6">
      <c r="A486" s="63">
        <f t="shared" si="4"/>
        <v>2030.09</v>
      </c>
      <c r="B486" s="109" t="e">
        <v>#N/A</v>
      </c>
      <c r="C486" s="432" t="e">
        <v>#N/A</v>
      </c>
      <c r="D486" s="1346" t="e">
        <f>C486/'8.1'!B474</f>
        <v>#N/A</v>
      </c>
      <c r="E486" s="438" t="e">
        <v>#N/A</v>
      </c>
      <c r="F486" s="434" t="e">
        <v>#N/A</v>
      </c>
    </row>
    <row r="487" spans="1:6">
      <c r="A487" s="63">
        <f t="shared" si="4"/>
        <v>2030.1</v>
      </c>
      <c r="B487" s="109" t="e">
        <v>#N/A</v>
      </c>
      <c r="C487" s="432" t="e">
        <v>#N/A</v>
      </c>
      <c r="D487" s="1346" t="e">
        <f>C487/'8.1'!B475</f>
        <v>#N/A</v>
      </c>
      <c r="E487" s="438" t="e">
        <v>#N/A</v>
      </c>
      <c r="F487" s="434" t="e">
        <v>#N/A</v>
      </c>
    </row>
    <row r="488" spans="1:6">
      <c r="A488" s="63">
        <f t="shared" si="4"/>
        <v>2030.11</v>
      </c>
      <c r="B488" s="109" t="e">
        <v>#N/A</v>
      </c>
      <c r="C488" s="432" t="e">
        <v>#N/A</v>
      </c>
      <c r="D488" s="1346" t="e">
        <f>C488/'8.1'!B476</f>
        <v>#N/A</v>
      </c>
      <c r="E488" s="438" t="e">
        <v>#N/A</v>
      </c>
      <c r="F488" s="434" t="e">
        <v>#N/A</v>
      </c>
    </row>
    <row r="489" spans="1:6">
      <c r="A489" s="63">
        <f t="shared" si="4"/>
        <v>2030.12</v>
      </c>
      <c r="B489" s="109" t="e">
        <v>#N/A</v>
      </c>
      <c r="C489" s="432" t="e">
        <v>#N/A</v>
      </c>
      <c r="D489" s="1346" t="e">
        <f>C489/'8.1'!B477</f>
        <v>#N/A</v>
      </c>
      <c r="E489" s="438" t="e">
        <v>#N/A</v>
      </c>
      <c r="F489" s="434" t="e">
        <v>#N/A</v>
      </c>
    </row>
  </sheetData>
  <phoneticPr fontId="62" type="noConversion"/>
  <hyperlinks>
    <hyperlink ref="A5" location="INDICE!A13" display="VOLVER AL INDICE" xr:uid="{00000000-0004-0000-1500-000000000000}"/>
  </hyperlinks>
  <pageMargins left="0.75" right="0.75" top="1" bottom="1" header="0" footer="0"/>
  <pageSetup paperSize="9" orientation="portrait" horizontalDpi="300" verticalDpi="30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3"/>
  <dimension ref="A1:AU465"/>
  <sheetViews>
    <sheetView zoomScale="130" zoomScaleNormal="130" workbookViewId="0">
      <pane xSplit="1" ySplit="9" topLeftCell="B381"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62" customWidth="1"/>
    <col min="2" max="33" width="11" style="62" customWidth="1"/>
    <col min="34" max="34" width="11.42578125" style="347"/>
    <col min="35" max="35" width="12.28515625" style="347" bestFit="1" customWidth="1"/>
    <col min="36" max="16384" width="11.42578125" style="347"/>
  </cols>
  <sheetData>
    <row r="1" spans="1:46" s="10" customFormat="1">
      <c r="A1" s="34"/>
      <c r="B1" s="81"/>
      <c r="C1" s="82"/>
      <c r="D1" s="82"/>
      <c r="E1" s="82"/>
      <c r="F1" s="87"/>
      <c r="G1" s="82"/>
      <c r="H1" s="82"/>
      <c r="I1" s="87"/>
      <c r="J1" s="87"/>
      <c r="K1" s="87"/>
      <c r="L1" s="87"/>
      <c r="M1" s="87"/>
      <c r="N1" s="87"/>
      <c r="O1" s="87"/>
      <c r="P1" s="87"/>
      <c r="Q1" s="87"/>
      <c r="R1" s="82"/>
      <c r="S1" s="82"/>
      <c r="T1" s="82"/>
      <c r="U1" s="409"/>
      <c r="V1" s="82"/>
      <c r="W1" s="82"/>
      <c r="X1" s="82"/>
      <c r="Y1" s="82"/>
      <c r="Z1" s="82"/>
      <c r="AA1" s="82"/>
      <c r="AB1" s="82"/>
      <c r="AC1" s="82"/>
      <c r="AD1" s="82"/>
      <c r="AE1" s="82"/>
      <c r="AF1" s="82"/>
      <c r="AG1" s="83"/>
    </row>
    <row r="2" spans="1:46" s="10" customFormat="1" ht="22.5">
      <c r="A2" s="59" t="s">
        <v>105</v>
      </c>
      <c r="B2" s="383" t="s">
        <v>708</v>
      </c>
      <c r="C2" s="84"/>
      <c r="D2" s="84"/>
      <c r="E2" s="84"/>
      <c r="F2" s="1788" t="s">
        <v>709</v>
      </c>
      <c r="G2" s="84"/>
      <c r="H2" s="84"/>
      <c r="I2" s="158"/>
      <c r="J2" s="1788" t="s">
        <v>710</v>
      </c>
      <c r="K2" s="1963"/>
      <c r="L2" s="2402"/>
      <c r="M2" s="158"/>
      <c r="N2" s="1788" t="s">
        <v>711</v>
      </c>
      <c r="O2" s="1963"/>
      <c r="P2" s="2402"/>
      <c r="Q2" s="158"/>
      <c r="R2" s="382" t="s">
        <v>712</v>
      </c>
      <c r="S2" s="84"/>
      <c r="T2" s="84"/>
      <c r="U2" s="158"/>
      <c r="V2" s="382" t="s">
        <v>713</v>
      </c>
      <c r="W2" s="382"/>
      <c r="X2" s="382"/>
      <c r="Y2" s="382"/>
      <c r="Z2" s="382"/>
      <c r="AA2" s="382"/>
      <c r="AB2" s="84"/>
      <c r="AC2" s="84"/>
      <c r="AD2" s="84"/>
      <c r="AE2" s="84"/>
      <c r="AF2" s="84"/>
      <c r="AG2" s="85"/>
    </row>
    <row r="3" spans="1:46" s="10" customFormat="1">
      <c r="A3" s="59" t="s">
        <v>109</v>
      </c>
      <c r="B3" s="383" t="s">
        <v>714</v>
      </c>
      <c r="C3" s="84"/>
      <c r="D3" s="84"/>
      <c r="E3" s="84"/>
      <c r="F3" s="1788"/>
      <c r="G3" s="84"/>
      <c r="H3" s="84"/>
      <c r="I3" s="158"/>
      <c r="J3" s="1788"/>
      <c r="K3" s="1963"/>
      <c r="L3" s="2402"/>
      <c r="M3" s="158"/>
      <c r="N3" s="1788"/>
      <c r="O3" s="1963"/>
      <c r="P3" s="2402"/>
      <c r="Q3" s="84"/>
      <c r="R3" s="2379"/>
      <c r="S3" s="84"/>
      <c r="T3" s="84"/>
      <c r="U3" s="158"/>
      <c r="V3" s="382" t="s">
        <v>714</v>
      </c>
      <c r="W3" s="382"/>
      <c r="X3" s="382"/>
      <c r="Y3" s="382"/>
      <c r="Z3" s="382"/>
      <c r="AA3" s="382"/>
      <c r="AB3" s="84"/>
      <c r="AC3" s="84"/>
      <c r="AD3" s="84"/>
      <c r="AE3" s="84"/>
      <c r="AF3" s="84"/>
      <c r="AG3" s="85"/>
    </row>
    <row r="4" spans="1:46" s="10" customFormat="1" ht="3" hidden="1" customHeight="1">
      <c r="A4" s="80"/>
      <c r="B4" s="1960"/>
      <c r="C4" s="88"/>
      <c r="D4" s="88"/>
      <c r="E4" s="88"/>
      <c r="F4" s="2433"/>
      <c r="G4" s="88"/>
      <c r="H4" s="88"/>
      <c r="I4" s="410"/>
      <c r="J4" s="2433"/>
      <c r="K4" s="88"/>
      <c r="L4" s="88"/>
      <c r="M4" s="410"/>
      <c r="N4" s="2433"/>
      <c r="O4" s="88"/>
      <c r="P4" s="88"/>
      <c r="Q4" s="88"/>
      <c r="R4" s="2433"/>
      <c r="S4" s="88"/>
      <c r="T4" s="88"/>
      <c r="U4" s="410"/>
      <c r="V4" s="88"/>
      <c r="W4" s="88"/>
      <c r="X4" s="88"/>
      <c r="Y4" s="88"/>
      <c r="Z4" s="88"/>
      <c r="AA4" s="88"/>
      <c r="AB4" s="88"/>
      <c r="AC4" s="88"/>
      <c r="AD4" s="88"/>
      <c r="AE4" s="88"/>
      <c r="AF4" s="88"/>
      <c r="AG4" s="89"/>
    </row>
    <row r="5" spans="1:46" s="23" customFormat="1" ht="22.5">
      <c r="A5" s="2390" t="s">
        <v>137</v>
      </c>
      <c r="B5" s="1970" t="s">
        <v>715</v>
      </c>
      <c r="C5" s="906" t="s">
        <v>716</v>
      </c>
      <c r="D5" s="906" t="s">
        <v>717</v>
      </c>
      <c r="E5" s="901" t="s">
        <v>718</v>
      </c>
      <c r="F5" s="2434" t="s">
        <v>715</v>
      </c>
      <c r="G5" s="906" t="s">
        <v>716</v>
      </c>
      <c r="H5" s="906" t="s">
        <v>717</v>
      </c>
      <c r="I5" s="901" t="s">
        <v>718</v>
      </c>
      <c r="J5" s="2434" t="s">
        <v>715</v>
      </c>
      <c r="K5" s="906" t="s">
        <v>716</v>
      </c>
      <c r="L5" s="906" t="s">
        <v>717</v>
      </c>
      <c r="M5" s="901" t="s">
        <v>718</v>
      </c>
      <c r="N5" s="2434" t="s">
        <v>715</v>
      </c>
      <c r="O5" s="906" t="s">
        <v>716</v>
      </c>
      <c r="P5" s="906" t="s">
        <v>717</v>
      </c>
      <c r="Q5" s="901" t="s">
        <v>718</v>
      </c>
      <c r="R5" s="2434" t="s">
        <v>715</v>
      </c>
      <c r="S5" s="906" t="s">
        <v>716</v>
      </c>
      <c r="T5" s="906" t="s">
        <v>717</v>
      </c>
      <c r="U5" s="1971" t="s">
        <v>718</v>
      </c>
      <c r="V5" s="1335" t="s">
        <v>719</v>
      </c>
      <c r="W5" s="1334"/>
      <c r="X5" s="2374" t="s">
        <v>720</v>
      </c>
      <c r="Y5" s="1335"/>
      <c r="Z5" s="2580" t="s">
        <v>721</v>
      </c>
      <c r="AA5" s="1334"/>
      <c r="AB5" s="2580" t="s">
        <v>722</v>
      </c>
      <c r="AC5" s="1334"/>
      <c r="AD5" s="2374" t="s">
        <v>723</v>
      </c>
      <c r="AE5" s="1335"/>
      <c r="AF5" s="2580" t="s">
        <v>724</v>
      </c>
      <c r="AG5" s="2581"/>
      <c r="AI5" s="2582"/>
      <c r="AJ5" s="2582"/>
      <c r="AK5" s="2582"/>
      <c r="AL5" s="2582"/>
      <c r="AM5" s="2582"/>
      <c r="AN5" s="2582"/>
      <c r="AO5" s="2582"/>
      <c r="AP5" s="2582"/>
      <c r="AQ5" s="2582"/>
      <c r="AR5" s="2582"/>
      <c r="AS5" s="2582"/>
      <c r="AT5" s="2582"/>
    </row>
    <row r="6" spans="1:46" s="23" customFormat="1" ht="3" hidden="1" customHeight="1">
      <c r="A6" s="80"/>
      <c r="B6" s="1960"/>
      <c r="C6" s="88"/>
      <c r="D6" s="88"/>
      <c r="E6" s="88"/>
      <c r="F6" s="2433"/>
      <c r="G6" s="88"/>
      <c r="H6" s="88"/>
      <c r="I6" s="88"/>
      <c r="J6" s="2433"/>
      <c r="K6" s="88"/>
      <c r="L6" s="88"/>
      <c r="M6" s="88"/>
      <c r="N6" s="2433"/>
      <c r="O6" s="88"/>
      <c r="P6" s="88"/>
      <c r="Q6" s="88"/>
      <c r="R6" s="2433"/>
      <c r="S6" s="88"/>
      <c r="T6" s="88"/>
      <c r="U6" s="88"/>
      <c r="V6" s="88"/>
      <c r="W6" s="88"/>
      <c r="X6" s="88"/>
      <c r="Y6" s="88"/>
      <c r="Z6" s="88"/>
      <c r="AA6" s="88"/>
      <c r="AB6" s="88"/>
      <c r="AC6" s="88"/>
      <c r="AD6" s="88"/>
      <c r="AE6" s="88"/>
      <c r="AF6" s="88"/>
      <c r="AG6" s="89"/>
    </row>
    <row r="7" spans="1:46" s="23" customFormat="1" ht="22.5">
      <c r="A7" s="2373" t="s">
        <v>123</v>
      </c>
      <c r="B7" s="1970" t="s">
        <v>725</v>
      </c>
      <c r="C7" s="906" t="s">
        <v>725</v>
      </c>
      <c r="D7" s="906" t="s">
        <v>725</v>
      </c>
      <c r="E7" s="901" t="s">
        <v>725</v>
      </c>
      <c r="F7" s="2434" t="s">
        <v>725</v>
      </c>
      <c r="G7" s="906" t="s">
        <v>725</v>
      </c>
      <c r="H7" s="906" t="s">
        <v>725</v>
      </c>
      <c r="I7" s="901" t="s">
        <v>725</v>
      </c>
      <c r="J7" s="2434" t="s">
        <v>725</v>
      </c>
      <c r="K7" s="906" t="s">
        <v>725</v>
      </c>
      <c r="L7" s="906" t="s">
        <v>725</v>
      </c>
      <c r="M7" s="901" t="s">
        <v>725</v>
      </c>
      <c r="N7" s="2434" t="s">
        <v>725</v>
      </c>
      <c r="O7" s="906" t="s">
        <v>725</v>
      </c>
      <c r="P7" s="906" t="s">
        <v>725</v>
      </c>
      <c r="Q7" s="901" t="s">
        <v>725</v>
      </c>
      <c r="R7" s="2434" t="s">
        <v>725</v>
      </c>
      <c r="S7" s="906" t="s">
        <v>725</v>
      </c>
      <c r="T7" s="906" t="s">
        <v>725</v>
      </c>
      <c r="U7" s="1971" t="s">
        <v>725</v>
      </c>
      <c r="V7" s="901" t="s">
        <v>725</v>
      </c>
      <c r="W7" s="2164" t="s">
        <v>725</v>
      </c>
      <c r="X7" s="2434" t="s">
        <v>725</v>
      </c>
      <c r="Y7" s="2164" t="s">
        <v>725</v>
      </c>
      <c r="Z7" s="2942" t="s">
        <v>725</v>
      </c>
      <c r="AA7" s="2164" t="s">
        <v>725</v>
      </c>
      <c r="AB7" s="2434" t="s">
        <v>725</v>
      </c>
      <c r="AC7" s="2164" t="s">
        <v>725</v>
      </c>
      <c r="AD7" s="2434" t="s">
        <v>725</v>
      </c>
      <c r="AE7" s="2164" t="s">
        <v>725</v>
      </c>
      <c r="AF7" s="2434" t="s">
        <v>725</v>
      </c>
      <c r="AG7" s="1079" t="s">
        <v>725</v>
      </c>
    </row>
    <row r="8" spans="1:46" s="23" customFormat="1">
      <c r="A8" s="2766" t="s">
        <v>141</v>
      </c>
      <c r="B8" s="2400" t="s">
        <v>726</v>
      </c>
      <c r="C8" s="639" t="s">
        <v>727</v>
      </c>
      <c r="D8" s="639" t="s">
        <v>728</v>
      </c>
      <c r="E8" s="149" t="s">
        <v>729</v>
      </c>
      <c r="F8" s="2400" t="s">
        <v>730</v>
      </c>
      <c r="G8" s="639" t="s">
        <v>731</v>
      </c>
      <c r="H8" s="639" t="s">
        <v>732</v>
      </c>
      <c r="I8" s="149" t="s">
        <v>733</v>
      </c>
      <c r="J8" s="2400" t="s">
        <v>734</v>
      </c>
      <c r="K8" s="639" t="s">
        <v>735</v>
      </c>
      <c r="L8" s="639" t="s">
        <v>736</v>
      </c>
      <c r="M8" s="149" t="s">
        <v>737</v>
      </c>
      <c r="N8" s="2400" t="s">
        <v>738</v>
      </c>
      <c r="O8" s="639" t="s">
        <v>739</v>
      </c>
      <c r="P8" s="639" t="s">
        <v>740</v>
      </c>
      <c r="Q8" s="149" t="s">
        <v>741</v>
      </c>
      <c r="R8" s="2400" t="s">
        <v>742</v>
      </c>
      <c r="S8" s="639" t="s">
        <v>743</v>
      </c>
      <c r="T8" s="639" t="s">
        <v>744</v>
      </c>
      <c r="U8" s="149" t="s">
        <v>745</v>
      </c>
      <c r="V8" s="150" t="s">
        <v>746</v>
      </c>
      <c r="W8" s="560" t="s">
        <v>747</v>
      </c>
      <c r="X8" s="2400" t="s">
        <v>748</v>
      </c>
      <c r="Y8" s="560" t="s">
        <v>749</v>
      </c>
      <c r="Z8" s="2400" t="s">
        <v>750</v>
      </c>
      <c r="AA8" s="560" t="s">
        <v>751</v>
      </c>
      <c r="AB8" s="2400" t="s">
        <v>752</v>
      </c>
      <c r="AC8" s="560" t="s">
        <v>753</v>
      </c>
      <c r="AD8" s="2400" t="s">
        <v>754</v>
      </c>
      <c r="AE8" s="560" t="s">
        <v>755</v>
      </c>
      <c r="AF8" s="2400" t="s">
        <v>756</v>
      </c>
      <c r="AG8" s="642" t="s">
        <v>757</v>
      </c>
      <c r="AH8" s="2943"/>
    </row>
    <row r="9" spans="1:46" s="2767" customFormat="1">
      <c r="A9" s="2373"/>
      <c r="B9" s="2768"/>
      <c r="C9" s="2769"/>
      <c r="D9" s="2769"/>
      <c r="E9" s="2769"/>
      <c r="F9" s="2769"/>
      <c r="G9" s="2769"/>
      <c r="H9" s="2769"/>
      <c r="I9" s="2769"/>
      <c r="J9" s="2769"/>
      <c r="K9" s="2769"/>
      <c r="L9" s="2769"/>
      <c r="M9" s="2769"/>
      <c r="N9" s="2769"/>
      <c r="O9" s="2769"/>
      <c r="P9" s="2769"/>
      <c r="Q9" s="2769"/>
      <c r="R9" s="2769"/>
      <c r="S9" s="2769"/>
      <c r="T9" s="2769"/>
      <c r="U9" s="2770"/>
      <c r="V9" s="819" t="s">
        <v>758</v>
      </c>
      <c r="W9" s="2771" t="s">
        <v>759</v>
      </c>
      <c r="X9" s="3139" t="s">
        <v>758</v>
      </c>
      <c r="Y9" s="2771" t="s">
        <v>759</v>
      </c>
      <c r="Z9" s="2434" t="s">
        <v>760</v>
      </c>
      <c r="AA9" s="2164" t="s">
        <v>338</v>
      </c>
      <c r="AB9" s="2434" t="s">
        <v>758</v>
      </c>
      <c r="AC9" s="2164" t="s">
        <v>759</v>
      </c>
      <c r="AD9" s="2434" t="s">
        <v>758</v>
      </c>
      <c r="AE9" s="2164" t="s">
        <v>759</v>
      </c>
      <c r="AF9" s="2434" t="s">
        <v>760</v>
      </c>
      <c r="AG9" s="1079" t="s">
        <v>338</v>
      </c>
      <c r="AH9" s="2944"/>
    </row>
    <row r="10" spans="1:46" s="2781" customFormat="1">
      <c r="A10" s="2772">
        <v>1993.01</v>
      </c>
      <c r="B10" s="2773">
        <v>439294</v>
      </c>
      <c r="C10" s="3320">
        <v>81821</v>
      </c>
      <c r="D10" s="3320">
        <v>20443</v>
      </c>
      <c r="E10" s="2774">
        <v>0</v>
      </c>
      <c r="F10" s="2775">
        <v>75458</v>
      </c>
      <c r="G10" s="3320">
        <v>32736</v>
      </c>
      <c r="H10" s="3320">
        <v>6784</v>
      </c>
      <c r="I10" s="2774">
        <v>0</v>
      </c>
      <c r="J10" s="2775">
        <v>347068</v>
      </c>
      <c r="K10" s="3320">
        <v>33767</v>
      </c>
      <c r="L10" s="3320">
        <v>0</v>
      </c>
      <c r="M10" s="2774">
        <v>0</v>
      </c>
      <c r="N10" s="2775">
        <v>5963</v>
      </c>
      <c r="O10" s="3320">
        <v>0</v>
      </c>
      <c r="P10" s="3320">
        <v>12695</v>
      </c>
      <c r="Q10" s="2774">
        <v>0</v>
      </c>
      <c r="R10" s="2775">
        <v>513190</v>
      </c>
      <c r="S10" s="3320">
        <v>180863</v>
      </c>
      <c r="T10" s="3320">
        <v>30650</v>
      </c>
      <c r="U10" s="2776">
        <v>0</v>
      </c>
      <c r="V10" s="2777">
        <v>28770</v>
      </c>
      <c r="W10" s="3321">
        <v>51225</v>
      </c>
      <c r="X10" s="2778"/>
      <c r="Y10" s="3322"/>
      <c r="Z10" s="2779">
        <f>SUM(V10:Y10)</f>
        <v>79995</v>
      </c>
      <c r="AA10" s="3323">
        <v>80000</v>
      </c>
      <c r="AB10" s="2775">
        <v>6120</v>
      </c>
      <c r="AC10" s="3321">
        <v>5460</v>
      </c>
      <c r="AD10" s="2780"/>
      <c r="AE10" s="3324"/>
      <c r="AF10" s="2779">
        <f>SUM(AB10:AE10)</f>
        <v>11580</v>
      </c>
      <c r="AG10" s="3325">
        <v>26580</v>
      </c>
    </row>
    <row r="11" spans="1:46" s="10" customFormat="1">
      <c r="A11" s="63">
        <f t="shared" ref="A11:A21" si="0">A10+0.01</f>
        <v>1993.02</v>
      </c>
      <c r="B11" s="250">
        <v>326454</v>
      </c>
      <c r="C11" s="3140">
        <v>157439</v>
      </c>
      <c r="D11" s="3140">
        <v>18240</v>
      </c>
      <c r="E11" s="134">
        <v>0</v>
      </c>
      <c r="F11" s="573">
        <v>54755</v>
      </c>
      <c r="G11" s="3140">
        <v>60794</v>
      </c>
      <c r="H11" s="3140">
        <v>5933</v>
      </c>
      <c r="I11" s="86">
        <v>0</v>
      </c>
      <c r="J11" s="573">
        <v>257466</v>
      </c>
      <c r="K11" s="3140">
        <v>71221</v>
      </c>
      <c r="L11" s="3140">
        <v>0</v>
      </c>
      <c r="M11" s="86">
        <v>0</v>
      </c>
      <c r="N11" s="573">
        <v>3885</v>
      </c>
      <c r="O11" s="3140">
        <v>0</v>
      </c>
      <c r="P11" s="3140">
        <v>11611</v>
      </c>
      <c r="Q11" s="86">
        <v>0</v>
      </c>
      <c r="R11" s="134">
        <v>375875</v>
      </c>
      <c r="S11" s="3140">
        <v>288323</v>
      </c>
      <c r="T11" s="3140">
        <v>25217</v>
      </c>
      <c r="U11" s="86">
        <v>0</v>
      </c>
      <c r="V11" s="134">
        <v>13130</v>
      </c>
      <c r="W11" s="1976">
        <v>37150</v>
      </c>
      <c r="X11" s="640"/>
      <c r="Y11" s="1977"/>
      <c r="Z11" s="641">
        <f>SUM(V11:Y11)</f>
        <v>50280</v>
      </c>
      <c r="AA11" s="1976">
        <v>58080</v>
      </c>
      <c r="AB11" s="573">
        <v>0</v>
      </c>
      <c r="AC11" s="1976">
        <v>7620</v>
      </c>
      <c r="AD11" s="1974"/>
      <c r="AE11" s="1975"/>
      <c r="AF11" s="641">
        <f t="shared" ref="AF11:AF74" si="1">SUM(AB11:AE11)</f>
        <v>7620</v>
      </c>
      <c r="AG11" s="3141">
        <v>26210</v>
      </c>
    </row>
    <row r="12" spans="1:46" s="10" customFormat="1">
      <c r="A12" s="63">
        <f t="shared" si="0"/>
        <v>1993.03</v>
      </c>
      <c r="B12" s="250">
        <v>142181</v>
      </c>
      <c r="C12" s="3140">
        <v>128443</v>
      </c>
      <c r="D12" s="3140">
        <v>8375</v>
      </c>
      <c r="E12" s="134">
        <v>14811</v>
      </c>
      <c r="F12" s="573">
        <v>24601</v>
      </c>
      <c r="G12" s="3140">
        <v>50568</v>
      </c>
      <c r="H12" s="3140">
        <v>2731</v>
      </c>
      <c r="I12" s="86">
        <v>3625</v>
      </c>
      <c r="J12" s="573">
        <v>109311</v>
      </c>
      <c r="K12" s="3140">
        <v>55155</v>
      </c>
      <c r="L12" s="3140">
        <v>0</v>
      </c>
      <c r="M12" s="86">
        <v>6847</v>
      </c>
      <c r="N12" s="573">
        <v>4734</v>
      </c>
      <c r="O12" s="3140">
        <v>0</v>
      </c>
      <c r="P12" s="3140">
        <v>5477</v>
      </c>
      <c r="Q12" s="86">
        <v>0</v>
      </c>
      <c r="R12" s="134">
        <v>172072</v>
      </c>
      <c r="S12" s="3140">
        <v>487179</v>
      </c>
      <c r="T12" s="3140">
        <v>9946</v>
      </c>
      <c r="U12" s="86">
        <v>25832</v>
      </c>
      <c r="V12" s="134">
        <v>12675</v>
      </c>
      <c r="W12" s="1976">
        <v>54428</v>
      </c>
      <c r="X12" s="640"/>
      <c r="Y12" s="1977"/>
      <c r="Z12" s="641">
        <f t="shared" ref="Z12:Z74" si="2">SUM(V12:Y12)</f>
        <v>67103</v>
      </c>
      <c r="AA12" s="1976">
        <v>67100</v>
      </c>
      <c r="AB12" s="573">
        <v>0</v>
      </c>
      <c r="AC12" s="1976">
        <v>29101</v>
      </c>
      <c r="AD12" s="1974"/>
      <c r="AE12" s="1975"/>
      <c r="AF12" s="641">
        <f t="shared" si="1"/>
        <v>29101</v>
      </c>
      <c r="AG12" s="3141">
        <v>47700</v>
      </c>
    </row>
    <row r="13" spans="1:46" s="10" customFormat="1">
      <c r="A13" s="63">
        <f t="shared" si="0"/>
        <v>1993.04</v>
      </c>
      <c r="B13" s="250">
        <v>391717</v>
      </c>
      <c r="C13" s="3140">
        <v>45062</v>
      </c>
      <c r="D13" s="3140">
        <v>13782</v>
      </c>
      <c r="E13" s="134">
        <v>41522</v>
      </c>
      <c r="F13" s="573">
        <v>71298</v>
      </c>
      <c r="G13" s="3140">
        <v>17689</v>
      </c>
      <c r="H13" s="3140">
        <v>4588</v>
      </c>
      <c r="I13" s="86">
        <v>9605</v>
      </c>
      <c r="J13" s="573">
        <v>310104</v>
      </c>
      <c r="K13" s="3140">
        <v>19353</v>
      </c>
      <c r="L13" s="3140">
        <v>0</v>
      </c>
      <c r="M13" s="86">
        <v>19122</v>
      </c>
      <c r="N13" s="573">
        <v>5092</v>
      </c>
      <c r="O13" s="3140">
        <v>0</v>
      </c>
      <c r="P13" s="3140">
        <v>8722</v>
      </c>
      <c r="Q13" s="86">
        <v>0</v>
      </c>
      <c r="R13" s="134">
        <v>419365</v>
      </c>
      <c r="S13" s="3140">
        <v>405513</v>
      </c>
      <c r="T13" s="3140">
        <v>19586</v>
      </c>
      <c r="U13" s="86">
        <v>62251</v>
      </c>
      <c r="V13" s="134">
        <v>2500</v>
      </c>
      <c r="W13" s="1976">
        <v>44505</v>
      </c>
      <c r="X13" s="640"/>
      <c r="Y13" s="1977"/>
      <c r="Z13" s="641">
        <f t="shared" si="2"/>
        <v>47005</v>
      </c>
      <c r="AA13" s="1976">
        <v>59410</v>
      </c>
      <c r="AB13" s="573">
        <v>8500</v>
      </c>
      <c r="AC13" s="1976">
        <v>6875</v>
      </c>
      <c r="AD13" s="1974"/>
      <c r="AE13" s="1975"/>
      <c r="AF13" s="641">
        <f t="shared" si="1"/>
        <v>15375</v>
      </c>
      <c r="AG13" s="3141">
        <v>158910</v>
      </c>
    </row>
    <row r="14" spans="1:46" s="10" customFormat="1">
      <c r="A14" s="63">
        <f t="shared" si="0"/>
        <v>1993.05</v>
      </c>
      <c r="B14" s="250">
        <v>733836</v>
      </c>
      <c r="C14" s="3140">
        <v>30124</v>
      </c>
      <c r="D14" s="3140">
        <v>7188</v>
      </c>
      <c r="E14" s="134">
        <v>23431</v>
      </c>
      <c r="F14" s="573">
        <v>130903</v>
      </c>
      <c r="G14" s="3140">
        <v>11744</v>
      </c>
      <c r="H14" s="3140">
        <v>2473</v>
      </c>
      <c r="I14" s="86">
        <v>4328</v>
      </c>
      <c r="J14" s="573">
        <v>585011</v>
      </c>
      <c r="K14" s="3140">
        <v>12758</v>
      </c>
      <c r="L14" s="3140">
        <v>0</v>
      </c>
      <c r="M14" s="86">
        <v>11114</v>
      </c>
      <c r="N14" s="573">
        <v>2858</v>
      </c>
      <c r="O14" s="3140">
        <v>0</v>
      </c>
      <c r="P14" s="3140">
        <v>4555</v>
      </c>
      <c r="Q14" s="86">
        <v>0</v>
      </c>
      <c r="R14" s="134">
        <v>854279</v>
      </c>
      <c r="S14" s="3140">
        <v>365678</v>
      </c>
      <c r="T14" s="3140">
        <v>7990</v>
      </c>
      <c r="U14" s="86">
        <v>45061</v>
      </c>
      <c r="V14" s="134">
        <v>28440</v>
      </c>
      <c r="W14" s="1976">
        <v>43950</v>
      </c>
      <c r="X14" s="640"/>
      <c r="Y14" s="1977"/>
      <c r="Z14" s="641">
        <f t="shared" si="2"/>
        <v>72390</v>
      </c>
      <c r="AA14" s="1976">
        <v>72640</v>
      </c>
      <c r="AB14" s="573">
        <v>7500</v>
      </c>
      <c r="AC14" s="1976">
        <v>21200</v>
      </c>
      <c r="AD14" s="1974"/>
      <c r="AE14" s="1975"/>
      <c r="AF14" s="641">
        <f t="shared" si="1"/>
        <v>28700</v>
      </c>
      <c r="AG14" s="3141">
        <v>110480</v>
      </c>
    </row>
    <row r="15" spans="1:46" s="10" customFormat="1">
      <c r="A15" s="63">
        <f t="shared" si="0"/>
        <v>1993.06</v>
      </c>
      <c r="B15" s="250">
        <v>765899</v>
      </c>
      <c r="C15" s="3140">
        <v>24553</v>
      </c>
      <c r="D15" s="3140">
        <v>7663</v>
      </c>
      <c r="E15" s="134">
        <v>23089</v>
      </c>
      <c r="F15" s="573">
        <v>135740</v>
      </c>
      <c r="G15" s="3140">
        <v>9652</v>
      </c>
      <c r="H15" s="3140">
        <v>2644</v>
      </c>
      <c r="I15" s="86">
        <v>3975</v>
      </c>
      <c r="J15" s="573">
        <v>608690</v>
      </c>
      <c r="K15" s="3140">
        <v>10536</v>
      </c>
      <c r="L15" s="3140">
        <v>0</v>
      </c>
      <c r="M15" s="86">
        <v>10892</v>
      </c>
      <c r="N15" s="573">
        <v>6059</v>
      </c>
      <c r="O15" s="3140">
        <v>0</v>
      </c>
      <c r="P15" s="3140">
        <v>4794</v>
      </c>
      <c r="Q15" s="86">
        <v>0</v>
      </c>
      <c r="R15" s="134">
        <v>979155</v>
      </c>
      <c r="S15" s="3140">
        <v>266697</v>
      </c>
      <c r="T15" s="3140">
        <v>7663</v>
      </c>
      <c r="U15" s="86">
        <v>23089</v>
      </c>
      <c r="V15" s="134">
        <v>10994</v>
      </c>
      <c r="W15" s="1976">
        <v>123717</v>
      </c>
      <c r="X15" s="640"/>
      <c r="Y15" s="1977"/>
      <c r="Z15" s="641">
        <f t="shared" si="2"/>
        <v>134711</v>
      </c>
      <c r="AA15" s="1976">
        <v>135960</v>
      </c>
      <c r="AB15" s="573">
        <v>0</v>
      </c>
      <c r="AC15" s="1976">
        <v>4000</v>
      </c>
      <c r="AD15" s="1974"/>
      <c r="AE15" s="1975"/>
      <c r="AF15" s="641">
        <f t="shared" si="1"/>
        <v>4000</v>
      </c>
      <c r="AG15" s="3141">
        <v>62240</v>
      </c>
    </row>
    <row r="16" spans="1:46" s="10" customFormat="1">
      <c r="A16" s="63">
        <f t="shared" si="0"/>
        <v>1993.07</v>
      </c>
      <c r="B16" s="250">
        <v>736614</v>
      </c>
      <c r="C16" s="3140">
        <v>7971</v>
      </c>
      <c r="D16" s="3140">
        <v>5612</v>
      </c>
      <c r="E16" s="134">
        <v>28110</v>
      </c>
      <c r="F16" s="573">
        <v>130284</v>
      </c>
      <c r="G16" s="3140">
        <v>4358</v>
      </c>
      <c r="H16" s="3140">
        <v>1986</v>
      </c>
      <c r="I16" s="86">
        <v>4778</v>
      </c>
      <c r="J16" s="573">
        <v>587619</v>
      </c>
      <c r="K16" s="3140">
        <v>3301</v>
      </c>
      <c r="L16" s="3140">
        <v>0</v>
      </c>
      <c r="M16" s="86">
        <v>13358</v>
      </c>
      <c r="N16" s="573">
        <v>4405</v>
      </c>
      <c r="O16" s="3140">
        <v>0</v>
      </c>
      <c r="P16" s="3140">
        <v>3478</v>
      </c>
      <c r="Q16" s="86">
        <v>0</v>
      </c>
      <c r="R16" s="134">
        <v>981837</v>
      </c>
      <c r="S16" s="3140">
        <v>199080</v>
      </c>
      <c r="T16" s="3140">
        <v>5612</v>
      </c>
      <c r="U16" s="86">
        <v>28110</v>
      </c>
      <c r="V16" s="134">
        <v>21551</v>
      </c>
      <c r="W16" s="1976">
        <v>42434</v>
      </c>
      <c r="X16" s="640"/>
      <c r="Y16" s="1977"/>
      <c r="Z16" s="641">
        <f t="shared" si="2"/>
        <v>63985</v>
      </c>
      <c r="AA16" s="1976">
        <v>67480</v>
      </c>
      <c r="AB16" s="573">
        <v>3300</v>
      </c>
      <c r="AC16" s="1976">
        <v>1000</v>
      </c>
      <c r="AD16" s="1974"/>
      <c r="AE16" s="1975"/>
      <c r="AF16" s="641">
        <f t="shared" si="1"/>
        <v>4300</v>
      </c>
      <c r="AG16" s="3141">
        <v>43010</v>
      </c>
    </row>
    <row r="17" spans="1:33" s="10" customFormat="1">
      <c r="A17" s="63">
        <f t="shared" si="0"/>
        <v>1993.08</v>
      </c>
      <c r="B17" s="250">
        <v>753553</v>
      </c>
      <c r="C17" s="3140">
        <v>0</v>
      </c>
      <c r="D17" s="3140">
        <v>2151</v>
      </c>
      <c r="E17" s="134">
        <v>29183</v>
      </c>
      <c r="F17" s="573">
        <v>134477</v>
      </c>
      <c r="G17" s="3140">
        <v>0</v>
      </c>
      <c r="H17" s="3140">
        <v>740</v>
      </c>
      <c r="I17" s="86">
        <v>4426</v>
      </c>
      <c r="J17" s="573">
        <v>599587</v>
      </c>
      <c r="K17" s="3140">
        <v>0</v>
      </c>
      <c r="L17" s="3140">
        <v>1376</v>
      </c>
      <c r="M17" s="86">
        <v>13938</v>
      </c>
      <c r="N17" s="573">
        <v>2790</v>
      </c>
      <c r="O17" s="3140">
        <v>0</v>
      </c>
      <c r="P17" s="3140">
        <v>0</v>
      </c>
      <c r="Q17" s="86">
        <v>0</v>
      </c>
      <c r="R17" s="134">
        <v>987468</v>
      </c>
      <c r="S17" s="3140">
        <v>189738</v>
      </c>
      <c r="T17" s="3140">
        <v>4421</v>
      </c>
      <c r="U17" s="86">
        <v>29183</v>
      </c>
      <c r="V17" s="134">
        <v>42455</v>
      </c>
      <c r="W17" s="1976">
        <v>86440</v>
      </c>
      <c r="X17" s="640"/>
      <c r="Y17" s="1977"/>
      <c r="Z17" s="641">
        <f>SUM(V17:Y17)</f>
        <v>128895</v>
      </c>
      <c r="AA17" s="1976">
        <v>128900</v>
      </c>
      <c r="AB17" s="573">
        <v>2000</v>
      </c>
      <c r="AC17" s="1976">
        <v>0</v>
      </c>
      <c r="AD17" s="1974"/>
      <c r="AE17" s="1975"/>
      <c r="AF17" s="641">
        <f t="shared" si="1"/>
        <v>2000</v>
      </c>
      <c r="AG17" s="3141">
        <v>38680</v>
      </c>
    </row>
    <row r="18" spans="1:33" s="10" customFormat="1">
      <c r="A18" s="63">
        <f t="shared" si="0"/>
        <v>1993.09</v>
      </c>
      <c r="B18" s="250">
        <v>565909</v>
      </c>
      <c r="C18" s="3140">
        <v>16625</v>
      </c>
      <c r="D18" s="3140">
        <v>0</v>
      </c>
      <c r="E18" s="134">
        <v>0</v>
      </c>
      <c r="F18" s="573">
        <v>101385</v>
      </c>
      <c r="G18" s="3140">
        <v>6839</v>
      </c>
      <c r="H18" s="3140">
        <v>0</v>
      </c>
      <c r="I18" s="86">
        <v>0</v>
      </c>
      <c r="J18" s="573">
        <v>449488</v>
      </c>
      <c r="K18" s="3140">
        <v>7367</v>
      </c>
      <c r="L18" s="3140">
        <v>0</v>
      </c>
      <c r="M18" s="86">
        <v>0</v>
      </c>
      <c r="N18" s="573">
        <v>3981</v>
      </c>
      <c r="O18" s="3140">
        <v>0</v>
      </c>
      <c r="P18" s="3140">
        <v>0</v>
      </c>
      <c r="Q18" s="86">
        <v>0</v>
      </c>
      <c r="R18" s="134">
        <v>773050</v>
      </c>
      <c r="S18" s="3140">
        <v>187394</v>
      </c>
      <c r="T18" s="3140">
        <v>4139</v>
      </c>
      <c r="U18" s="86">
        <v>0</v>
      </c>
      <c r="V18" s="134">
        <v>45023</v>
      </c>
      <c r="W18" s="1976">
        <v>97449</v>
      </c>
      <c r="X18" s="640"/>
      <c r="Y18" s="1977"/>
      <c r="Z18" s="641">
        <f t="shared" si="2"/>
        <v>142472</v>
      </c>
      <c r="AA18" s="1976">
        <v>168700</v>
      </c>
      <c r="AB18" s="573">
        <v>1000</v>
      </c>
      <c r="AC18" s="1976">
        <v>0</v>
      </c>
      <c r="AD18" s="1974"/>
      <c r="AE18" s="1975"/>
      <c r="AF18" s="641">
        <f t="shared" si="1"/>
        <v>1000</v>
      </c>
      <c r="AG18" s="3141">
        <v>34250</v>
      </c>
    </row>
    <row r="19" spans="1:33" s="10" customFormat="1">
      <c r="A19" s="63">
        <f t="shared" si="0"/>
        <v>1993.1</v>
      </c>
      <c r="B19" s="250">
        <v>666348</v>
      </c>
      <c r="C19" s="3140">
        <v>19659</v>
      </c>
      <c r="D19" s="3140">
        <v>0</v>
      </c>
      <c r="E19" s="134">
        <v>0</v>
      </c>
      <c r="F19" s="573">
        <v>120004</v>
      </c>
      <c r="G19" s="3140">
        <v>7728</v>
      </c>
      <c r="H19" s="3140">
        <v>0</v>
      </c>
      <c r="I19" s="86">
        <v>0</v>
      </c>
      <c r="J19" s="573">
        <v>529878</v>
      </c>
      <c r="K19" s="3140">
        <v>8195</v>
      </c>
      <c r="L19" s="3140">
        <v>0</v>
      </c>
      <c r="M19" s="86">
        <v>0</v>
      </c>
      <c r="N19" s="573">
        <v>4156</v>
      </c>
      <c r="O19" s="3140">
        <v>0</v>
      </c>
      <c r="P19" s="3140">
        <v>0</v>
      </c>
      <c r="Q19" s="86">
        <v>0</v>
      </c>
      <c r="R19" s="134">
        <v>855567</v>
      </c>
      <c r="S19" s="3140">
        <v>132675</v>
      </c>
      <c r="T19" s="3140">
        <v>2391</v>
      </c>
      <c r="U19" s="86">
        <v>0</v>
      </c>
      <c r="V19" s="134">
        <v>47100</v>
      </c>
      <c r="W19" s="1976">
        <v>32620</v>
      </c>
      <c r="X19" s="640"/>
      <c r="Y19" s="1977"/>
      <c r="Z19" s="641">
        <f t="shared" si="2"/>
        <v>79720</v>
      </c>
      <c r="AA19" s="1976">
        <v>79720</v>
      </c>
      <c r="AB19" s="573">
        <v>0</v>
      </c>
      <c r="AC19" s="1976">
        <v>0</v>
      </c>
      <c r="AD19" s="1974"/>
      <c r="AE19" s="1975"/>
      <c r="AF19" s="641">
        <f t="shared" si="1"/>
        <v>0</v>
      </c>
      <c r="AG19" s="3141">
        <v>13500</v>
      </c>
    </row>
    <row r="20" spans="1:33" s="10" customFormat="1">
      <c r="A20" s="63">
        <f t="shared" si="0"/>
        <v>1993.11</v>
      </c>
      <c r="B20" s="250">
        <v>662304</v>
      </c>
      <c r="C20" s="3140">
        <v>24429</v>
      </c>
      <c r="D20" s="3140">
        <v>0</v>
      </c>
      <c r="E20" s="134">
        <v>0</v>
      </c>
      <c r="F20" s="573">
        <v>119017</v>
      </c>
      <c r="G20" s="3140">
        <v>9406</v>
      </c>
      <c r="H20" s="3140">
        <v>0</v>
      </c>
      <c r="I20" s="86">
        <v>0</v>
      </c>
      <c r="J20" s="573">
        <v>526772</v>
      </c>
      <c r="K20" s="3140">
        <v>10704</v>
      </c>
      <c r="L20" s="3140">
        <v>0</v>
      </c>
      <c r="M20" s="86">
        <v>0</v>
      </c>
      <c r="N20" s="573">
        <v>3941</v>
      </c>
      <c r="O20" s="3140">
        <v>0</v>
      </c>
      <c r="P20" s="3140">
        <v>0</v>
      </c>
      <c r="Q20" s="86">
        <v>0</v>
      </c>
      <c r="R20" s="134">
        <v>831711</v>
      </c>
      <c r="S20" s="3140">
        <v>132498</v>
      </c>
      <c r="T20" s="3140">
        <v>542</v>
      </c>
      <c r="U20" s="86">
        <v>0</v>
      </c>
      <c r="V20" s="134">
        <v>25500</v>
      </c>
      <c r="W20" s="1976">
        <v>117846</v>
      </c>
      <c r="X20" s="640"/>
      <c r="Y20" s="1977"/>
      <c r="Z20" s="641">
        <f t="shared" si="2"/>
        <v>143346</v>
      </c>
      <c r="AA20" s="1976">
        <v>148350</v>
      </c>
      <c r="AB20" s="573">
        <v>0</v>
      </c>
      <c r="AC20" s="1976">
        <v>0</v>
      </c>
      <c r="AD20" s="1974"/>
      <c r="AE20" s="1975"/>
      <c r="AF20" s="641">
        <f t="shared" si="1"/>
        <v>0</v>
      </c>
      <c r="AG20" s="3141">
        <v>11100</v>
      </c>
    </row>
    <row r="21" spans="1:33" s="10" customFormat="1">
      <c r="A21" s="63">
        <f t="shared" si="0"/>
        <v>1993.12</v>
      </c>
      <c r="B21" s="250">
        <v>433076</v>
      </c>
      <c r="C21" s="3140">
        <v>15012</v>
      </c>
      <c r="D21" s="3140">
        <v>0</v>
      </c>
      <c r="E21" s="134">
        <v>0</v>
      </c>
      <c r="F21" s="573">
        <v>77491</v>
      </c>
      <c r="G21" s="3140">
        <v>6161</v>
      </c>
      <c r="H21" s="3140">
        <v>0</v>
      </c>
      <c r="I21" s="86">
        <v>0</v>
      </c>
      <c r="J21" s="573">
        <v>339198</v>
      </c>
      <c r="K21" s="3140">
        <v>6669</v>
      </c>
      <c r="L21" s="3140">
        <v>0</v>
      </c>
      <c r="M21" s="86">
        <v>0</v>
      </c>
      <c r="N21" s="573">
        <v>3190</v>
      </c>
      <c r="O21" s="3140">
        <v>0</v>
      </c>
      <c r="P21" s="3140">
        <v>0</v>
      </c>
      <c r="Q21" s="86">
        <v>0</v>
      </c>
      <c r="R21" s="134">
        <v>542317</v>
      </c>
      <c r="S21" s="3140">
        <v>94445</v>
      </c>
      <c r="T21" s="3140">
        <v>0</v>
      </c>
      <c r="U21" s="86">
        <v>0</v>
      </c>
      <c r="V21" s="134">
        <v>28290</v>
      </c>
      <c r="W21" s="1976">
        <v>85320</v>
      </c>
      <c r="X21" s="640"/>
      <c r="Y21" s="1977"/>
      <c r="Z21" s="641">
        <f t="shared" si="2"/>
        <v>113610</v>
      </c>
      <c r="AA21" s="1976">
        <v>122770</v>
      </c>
      <c r="AB21" s="573">
        <v>7335</v>
      </c>
      <c r="AC21" s="1976">
        <v>4700</v>
      </c>
      <c r="AD21" s="1974"/>
      <c r="AE21" s="1975"/>
      <c r="AF21" s="641">
        <f t="shared" si="1"/>
        <v>12035</v>
      </c>
      <c r="AG21" s="3141">
        <v>16840</v>
      </c>
    </row>
    <row r="22" spans="1:33" s="10" customFormat="1">
      <c r="A22" s="63">
        <f t="shared" ref="A22:A85" si="3">A10+1</f>
        <v>1994.01</v>
      </c>
      <c r="B22" s="250">
        <v>495831</v>
      </c>
      <c r="C22" s="3140">
        <v>44314</v>
      </c>
      <c r="D22" s="3140">
        <v>11389</v>
      </c>
      <c r="E22" s="134">
        <v>0</v>
      </c>
      <c r="F22" s="573">
        <v>88430</v>
      </c>
      <c r="G22" s="3140">
        <v>17894</v>
      </c>
      <c r="H22" s="3140">
        <v>3469</v>
      </c>
      <c r="I22" s="86">
        <v>0</v>
      </c>
      <c r="J22" s="573">
        <v>394646</v>
      </c>
      <c r="K22" s="3140">
        <v>18624</v>
      </c>
      <c r="L22" s="3140">
        <v>0</v>
      </c>
      <c r="M22" s="86">
        <v>0</v>
      </c>
      <c r="N22" s="573">
        <v>2515</v>
      </c>
      <c r="O22" s="3140">
        <v>0</v>
      </c>
      <c r="P22" s="3140">
        <v>7169</v>
      </c>
      <c r="Q22" s="86">
        <v>0</v>
      </c>
      <c r="R22" s="134">
        <v>652926</v>
      </c>
      <c r="S22" s="3140">
        <v>116191</v>
      </c>
      <c r="T22" s="3140">
        <v>11389</v>
      </c>
      <c r="U22" s="86">
        <v>0</v>
      </c>
      <c r="V22" s="134">
        <v>26500</v>
      </c>
      <c r="W22" s="1976">
        <v>75627</v>
      </c>
      <c r="X22" s="640"/>
      <c r="Y22" s="1977"/>
      <c r="Z22" s="641">
        <f t="shared" si="2"/>
        <v>102127</v>
      </c>
      <c r="AA22" s="1976">
        <v>115630</v>
      </c>
      <c r="AB22" s="573">
        <v>8500</v>
      </c>
      <c r="AC22" s="1976">
        <v>13075</v>
      </c>
      <c r="AD22" s="1974"/>
      <c r="AE22" s="1975"/>
      <c r="AF22" s="641">
        <f t="shared" si="1"/>
        <v>21575</v>
      </c>
      <c r="AG22" s="3141">
        <v>41980</v>
      </c>
    </row>
    <row r="23" spans="1:33" s="10" customFormat="1">
      <c r="A23" s="63">
        <f t="shared" si="3"/>
        <v>1994.02</v>
      </c>
      <c r="B23" s="250">
        <v>458697</v>
      </c>
      <c r="C23" s="3140">
        <v>103667</v>
      </c>
      <c r="D23" s="3140">
        <v>12097</v>
      </c>
      <c r="E23" s="134">
        <v>0</v>
      </c>
      <c r="F23" s="573">
        <v>84399</v>
      </c>
      <c r="G23" s="3140">
        <v>41801</v>
      </c>
      <c r="H23" s="3140">
        <v>3840</v>
      </c>
      <c r="I23" s="86">
        <v>0</v>
      </c>
      <c r="J23" s="573">
        <v>374935</v>
      </c>
      <c r="K23" s="3140">
        <v>44597</v>
      </c>
      <c r="L23" s="3140">
        <v>0</v>
      </c>
      <c r="M23" s="86">
        <v>0</v>
      </c>
      <c r="N23" s="573">
        <v>3573</v>
      </c>
      <c r="O23" s="3140">
        <v>0</v>
      </c>
      <c r="P23" s="3140">
        <v>7563</v>
      </c>
      <c r="Q23" s="86">
        <v>0</v>
      </c>
      <c r="R23" s="134">
        <v>578503</v>
      </c>
      <c r="S23" s="3140">
        <v>151579</v>
      </c>
      <c r="T23" s="3140">
        <v>14702</v>
      </c>
      <c r="U23" s="86">
        <v>0</v>
      </c>
      <c r="V23" s="134">
        <v>20686</v>
      </c>
      <c r="W23" s="1976">
        <v>78140</v>
      </c>
      <c r="X23" s="640"/>
      <c r="Y23" s="1977"/>
      <c r="Z23" s="641">
        <f t="shared" si="2"/>
        <v>98826</v>
      </c>
      <c r="AA23" s="1976">
        <v>123180</v>
      </c>
      <c r="AB23" s="573">
        <v>0</v>
      </c>
      <c r="AC23" s="1976">
        <v>7565</v>
      </c>
      <c r="AD23" s="1974"/>
      <c r="AE23" s="1975"/>
      <c r="AF23" s="641">
        <f t="shared" si="1"/>
        <v>7565</v>
      </c>
      <c r="AG23" s="3141">
        <v>21570</v>
      </c>
    </row>
    <row r="24" spans="1:33" s="10" customFormat="1">
      <c r="A24" s="63">
        <f t="shared" si="3"/>
        <v>1994.03</v>
      </c>
      <c r="B24" s="250">
        <v>191766</v>
      </c>
      <c r="C24" s="3140">
        <v>133097</v>
      </c>
      <c r="D24" s="3140">
        <v>15523</v>
      </c>
      <c r="E24" s="134">
        <v>29948</v>
      </c>
      <c r="F24" s="573">
        <v>34930</v>
      </c>
      <c r="G24" s="3140">
        <v>53834</v>
      </c>
      <c r="H24" s="3140">
        <v>4763</v>
      </c>
      <c r="I24" s="86">
        <v>4704</v>
      </c>
      <c r="J24" s="573">
        <v>152105</v>
      </c>
      <c r="K24" s="3140">
        <v>60770</v>
      </c>
      <c r="L24" s="3140">
        <v>0</v>
      </c>
      <c r="M24" s="86">
        <v>13712</v>
      </c>
      <c r="N24" s="573">
        <v>2896</v>
      </c>
      <c r="O24" s="3140">
        <v>0</v>
      </c>
      <c r="P24" s="3140">
        <v>10218</v>
      </c>
      <c r="Q24" s="86">
        <v>0</v>
      </c>
      <c r="R24" s="134">
        <v>283493</v>
      </c>
      <c r="S24" s="3140">
        <v>449810</v>
      </c>
      <c r="T24" s="3140">
        <v>17597</v>
      </c>
      <c r="U24" s="86">
        <v>29948</v>
      </c>
      <c r="V24" s="134">
        <v>20500</v>
      </c>
      <c r="W24" s="1976">
        <v>53518</v>
      </c>
      <c r="X24" s="640"/>
      <c r="Y24" s="1977"/>
      <c r="Z24" s="641">
        <f t="shared" si="2"/>
        <v>74018</v>
      </c>
      <c r="AA24" s="1976">
        <v>74020</v>
      </c>
      <c r="AB24" s="573">
        <v>5500</v>
      </c>
      <c r="AC24" s="1976">
        <v>29230</v>
      </c>
      <c r="AD24" s="1974"/>
      <c r="AE24" s="1975"/>
      <c r="AF24" s="641">
        <f t="shared" si="1"/>
        <v>34730</v>
      </c>
      <c r="AG24" s="3141">
        <v>45830</v>
      </c>
    </row>
    <row r="25" spans="1:33" s="10" customFormat="1">
      <c r="A25" s="63">
        <f t="shared" si="3"/>
        <v>1994.04</v>
      </c>
      <c r="B25" s="250">
        <v>332837</v>
      </c>
      <c r="C25" s="3140">
        <v>94221</v>
      </c>
      <c r="D25" s="3140">
        <v>9978</v>
      </c>
      <c r="E25" s="134">
        <v>49080</v>
      </c>
      <c r="F25" s="573">
        <v>60201</v>
      </c>
      <c r="G25" s="3140">
        <v>38158</v>
      </c>
      <c r="H25" s="3140">
        <v>2994</v>
      </c>
      <c r="I25" s="86">
        <v>7876</v>
      </c>
      <c r="J25" s="573">
        <v>264533</v>
      </c>
      <c r="K25" s="3140">
        <v>41469</v>
      </c>
      <c r="L25" s="3140">
        <v>0</v>
      </c>
      <c r="M25" s="86">
        <v>32778</v>
      </c>
      <c r="N25" s="573">
        <v>3303</v>
      </c>
      <c r="O25" s="3140">
        <v>0</v>
      </c>
      <c r="P25" s="3140">
        <v>6839</v>
      </c>
      <c r="Q25" s="86">
        <v>0</v>
      </c>
      <c r="R25" s="134">
        <v>392086</v>
      </c>
      <c r="S25" s="3140">
        <v>493393</v>
      </c>
      <c r="T25" s="3140">
        <v>12342</v>
      </c>
      <c r="U25" s="86">
        <v>49080</v>
      </c>
      <c r="V25" s="134">
        <v>31436</v>
      </c>
      <c r="W25" s="1976">
        <v>13520</v>
      </c>
      <c r="X25" s="640"/>
      <c r="Y25" s="1977"/>
      <c r="Z25" s="641">
        <f t="shared" si="2"/>
        <v>44956</v>
      </c>
      <c r="AA25" s="1976">
        <v>44960</v>
      </c>
      <c r="AB25" s="573">
        <v>5479</v>
      </c>
      <c r="AC25" s="1976">
        <v>37315</v>
      </c>
      <c r="AD25" s="1974"/>
      <c r="AE25" s="1975"/>
      <c r="AF25" s="641">
        <f t="shared" si="1"/>
        <v>42794</v>
      </c>
      <c r="AG25" s="3141">
        <v>124590</v>
      </c>
    </row>
    <row r="26" spans="1:33" s="10" customFormat="1">
      <c r="A26" s="63">
        <f t="shared" si="3"/>
        <v>1994.05</v>
      </c>
      <c r="B26" s="250">
        <v>664623</v>
      </c>
      <c r="C26" s="3140">
        <v>70558</v>
      </c>
      <c r="D26" s="3140">
        <v>9347</v>
      </c>
      <c r="E26" s="134">
        <v>55369</v>
      </c>
      <c r="F26" s="573">
        <v>121721</v>
      </c>
      <c r="G26" s="3140">
        <v>28734</v>
      </c>
      <c r="H26" s="3140">
        <v>2732</v>
      </c>
      <c r="I26" s="86">
        <v>8472</v>
      </c>
      <c r="J26" s="573">
        <v>555241</v>
      </c>
      <c r="K26" s="3140">
        <v>30254</v>
      </c>
      <c r="L26" s="3140">
        <v>0</v>
      </c>
      <c r="M26" s="86">
        <v>26158</v>
      </c>
      <c r="N26" s="573">
        <v>4418</v>
      </c>
      <c r="O26" s="3140">
        <v>0</v>
      </c>
      <c r="P26" s="3140">
        <v>6042</v>
      </c>
      <c r="Q26" s="86">
        <v>0</v>
      </c>
      <c r="R26" s="134">
        <v>796918</v>
      </c>
      <c r="S26" s="3140">
        <v>432952</v>
      </c>
      <c r="T26" s="3140">
        <v>10958</v>
      </c>
      <c r="U26" s="86">
        <v>55369</v>
      </c>
      <c r="V26" s="134">
        <v>28240</v>
      </c>
      <c r="W26" s="1976">
        <v>79165</v>
      </c>
      <c r="X26" s="640"/>
      <c r="Y26" s="1977"/>
      <c r="Z26" s="641">
        <f t="shared" si="2"/>
        <v>107405</v>
      </c>
      <c r="AA26" s="1976">
        <v>107410</v>
      </c>
      <c r="AB26" s="573">
        <v>18776</v>
      </c>
      <c r="AC26" s="1976">
        <v>28770</v>
      </c>
      <c r="AD26" s="1974"/>
      <c r="AE26" s="1975"/>
      <c r="AF26" s="641">
        <f t="shared" si="1"/>
        <v>47546</v>
      </c>
      <c r="AG26" s="3141">
        <v>115810</v>
      </c>
    </row>
    <row r="27" spans="1:33" s="10" customFormat="1">
      <c r="A27" s="63">
        <f t="shared" si="3"/>
        <v>1994.06</v>
      </c>
      <c r="B27" s="250">
        <v>736413</v>
      </c>
      <c r="C27" s="3140">
        <v>27923</v>
      </c>
      <c r="D27" s="3140">
        <v>8899</v>
      </c>
      <c r="E27" s="134">
        <v>51731</v>
      </c>
      <c r="F27" s="573">
        <v>125242</v>
      </c>
      <c r="G27" s="3140">
        <v>11295</v>
      </c>
      <c r="H27" s="3140">
        <v>2497</v>
      </c>
      <c r="I27" s="86">
        <v>8051</v>
      </c>
      <c r="J27" s="573">
        <v>589962</v>
      </c>
      <c r="K27" s="3140">
        <v>11612</v>
      </c>
      <c r="L27" s="3140">
        <v>0</v>
      </c>
      <c r="M27" s="86">
        <v>25240</v>
      </c>
      <c r="N27" s="573">
        <v>4237</v>
      </c>
      <c r="O27" s="3140">
        <v>0</v>
      </c>
      <c r="P27" s="3140">
        <v>5263</v>
      </c>
      <c r="Q27" s="86">
        <v>0</v>
      </c>
      <c r="R27" s="134">
        <v>954752</v>
      </c>
      <c r="S27" s="3140">
        <v>277142</v>
      </c>
      <c r="T27" s="3140">
        <v>9549</v>
      </c>
      <c r="U27" s="86">
        <v>51731</v>
      </c>
      <c r="V27" s="134">
        <v>45958</v>
      </c>
      <c r="W27" s="1976">
        <v>90847</v>
      </c>
      <c r="X27" s="640"/>
      <c r="Y27" s="1977"/>
      <c r="Z27" s="641">
        <f t="shared" si="2"/>
        <v>136805</v>
      </c>
      <c r="AA27" s="1976">
        <v>142500</v>
      </c>
      <c r="AB27" s="573">
        <v>12000</v>
      </c>
      <c r="AC27" s="1976">
        <v>10200</v>
      </c>
      <c r="AD27" s="1974"/>
      <c r="AE27" s="1975"/>
      <c r="AF27" s="641">
        <f t="shared" si="1"/>
        <v>22200</v>
      </c>
      <c r="AG27" s="3141">
        <v>66750</v>
      </c>
    </row>
    <row r="28" spans="1:33" s="10" customFormat="1">
      <c r="A28" s="63">
        <f t="shared" si="3"/>
        <v>1994.07</v>
      </c>
      <c r="B28" s="250">
        <v>751246</v>
      </c>
      <c r="C28" s="3140">
        <v>40827</v>
      </c>
      <c r="D28" s="3140">
        <v>8625</v>
      </c>
      <c r="E28" s="134">
        <v>52618</v>
      </c>
      <c r="F28" s="573">
        <v>128524</v>
      </c>
      <c r="G28" s="3140">
        <v>16800</v>
      </c>
      <c r="H28" s="3140">
        <v>2770</v>
      </c>
      <c r="I28" s="86">
        <v>8147</v>
      </c>
      <c r="J28" s="573">
        <v>602968</v>
      </c>
      <c r="K28" s="3140">
        <v>17448</v>
      </c>
      <c r="L28" s="3140">
        <v>0</v>
      </c>
      <c r="M28" s="86">
        <v>25118</v>
      </c>
      <c r="N28" s="573">
        <v>3873</v>
      </c>
      <c r="O28" s="3140">
        <v>0</v>
      </c>
      <c r="P28" s="3140">
        <v>5392</v>
      </c>
      <c r="Q28" s="86">
        <v>0</v>
      </c>
      <c r="R28" s="134">
        <v>960490</v>
      </c>
      <c r="S28" s="3140">
        <v>313411</v>
      </c>
      <c r="T28" s="3140">
        <v>9669</v>
      </c>
      <c r="U28" s="86">
        <v>52618</v>
      </c>
      <c r="V28" s="134">
        <v>33750</v>
      </c>
      <c r="W28" s="1976">
        <v>67425</v>
      </c>
      <c r="X28" s="640"/>
      <c r="Y28" s="1977"/>
      <c r="Z28" s="641">
        <f t="shared" si="2"/>
        <v>101175</v>
      </c>
      <c r="AA28" s="1976">
        <v>120880</v>
      </c>
      <c r="AB28" s="573">
        <v>12000</v>
      </c>
      <c r="AC28" s="1976">
        <v>4350</v>
      </c>
      <c r="AD28" s="1974"/>
      <c r="AE28" s="1975"/>
      <c r="AF28" s="641">
        <f t="shared" si="1"/>
        <v>16350</v>
      </c>
      <c r="AG28" s="3141">
        <v>80330</v>
      </c>
    </row>
    <row r="29" spans="1:33" s="10" customFormat="1">
      <c r="A29" s="63">
        <f t="shared" si="3"/>
        <v>1994.08</v>
      </c>
      <c r="B29" s="250">
        <v>742737</v>
      </c>
      <c r="C29" s="3140">
        <v>30760</v>
      </c>
      <c r="D29" s="3140">
        <v>7610</v>
      </c>
      <c r="E29" s="134">
        <v>44935</v>
      </c>
      <c r="F29" s="573">
        <v>127694</v>
      </c>
      <c r="G29" s="3140">
        <v>12642</v>
      </c>
      <c r="H29" s="3140">
        <v>2250</v>
      </c>
      <c r="I29" s="86">
        <v>10533</v>
      </c>
      <c r="J29" s="573">
        <v>595581</v>
      </c>
      <c r="K29" s="3140">
        <v>13016</v>
      </c>
      <c r="L29" s="3140">
        <v>0</v>
      </c>
      <c r="M29" s="86">
        <v>21621</v>
      </c>
      <c r="N29" s="573">
        <v>4861</v>
      </c>
      <c r="O29" s="3140">
        <v>0</v>
      </c>
      <c r="P29" s="3140">
        <v>5157</v>
      </c>
      <c r="Q29" s="86">
        <v>0</v>
      </c>
      <c r="R29" s="134">
        <v>919079</v>
      </c>
      <c r="S29" s="3140">
        <v>263798</v>
      </c>
      <c r="T29" s="3140">
        <v>7872</v>
      </c>
      <c r="U29" s="86">
        <v>44935</v>
      </c>
      <c r="V29" s="134">
        <v>45484</v>
      </c>
      <c r="W29" s="1976">
        <v>131245</v>
      </c>
      <c r="X29" s="640"/>
      <c r="Y29" s="1977"/>
      <c r="Z29" s="641">
        <f t="shared" si="2"/>
        <v>176729</v>
      </c>
      <c r="AA29" s="1976">
        <v>195230</v>
      </c>
      <c r="AB29" s="573">
        <v>3080</v>
      </c>
      <c r="AC29" s="1976">
        <v>13991</v>
      </c>
      <c r="AD29" s="1974"/>
      <c r="AE29" s="1975"/>
      <c r="AF29" s="641">
        <f t="shared" si="1"/>
        <v>17071</v>
      </c>
      <c r="AG29" s="3141">
        <v>57130</v>
      </c>
    </row>
    <row r="30" spans="1:33" s="10" customFormat="1">
      <c r="A30" s="63">
        <f t="shared" si="3"/>
        <v>1994.09</v>
      </c>
      <c r="B30" s="250">
        <v>784628</v>
      </c>
      <c r="C30" s="3140">
        <v>32129</v>
      </c>
      <c r="D30" s="3140">
        <v>6715</v>
      </c>
      <c r="E30" s="134">
        <v>0</v>
      </c>
      <c r="F30" s="573">
        <v>134183</v>
      </c>
      <c r="G30" s="3140">
        <v>12339</v>
      </c>
      <c r="H30" s="3140">
        <v>2175</v>
      </c>
      <c r="I30" s="86">
        <v>0</v>
      </c>
      <c r="J30" s="573">
        <v>630420</v>
      </c>
      <c r="K30" s="3140">
        <v>13179</v>
      </c>
      <c r="L30" s="3140">
        <v>0</v>
      </c>
      <c r="M30" s="86">
        <v>0</v>
      </c>
      <c r="N30" s="573">
        <v>4330</v>
      </c>
      <c r="O30" s="3140">
        <v>0</v>
      </c>
      <c r="P30" s="3140">
        <v>4278</v>
      </c>
      <c r="Q30" s="86">
        <v>0</v>
      </c>
      <c r="R30" s="134">
        <v>1012037</v>
      </c>
      <c r="S30" s="3140">
        <v>238232</v>
      </c>
      <c r="T30" s="3140">
        <v>6715</v>
      </c>
      <c r="U30" s="86">
        <v>0</v>
      </c>
      <c r="V30" s="134">
        <v>56315</v>
      </c>
      <c r="W30" s="1976">
        <v>48457</v>
      </c>
      <c r="X30" s="640"/>
      <c r="Y30" s="1977"/>
      <c r="Z30" s="641">
        <f t="shared" si="2"/>
        <v>104772</v>
      </c>
      <c r="AA30" s="1976">
        <v>120520</v>
      </c>
      <c r="AB30" s="573">
        <v>20500</v>
      </c>
      <c r="AC30" s="1976">
        <v>2860</v>
      </c>
      <c r="AD30" s="1974"/>
      <c r="AE30" s="1975"/>
      <c r="AF30" s="641">
        <f t="shared" si="1"/>
        <v>23360</v>
      </c>
      <c r="AG30" s="3141">
        <v>53590</v>
      </c>
    </row>
    <row r="31" spans="1:33" s="10" customFormat="1">
      <c r="A31" s="63">
        <f t="shared" si="3"/>
        <v>1994.1</v>
      </c>
      <c r="B31" s="250">
        <v>787544</v>
      </c>
      <c r="C31" s="3140">
        <v>31606</v>
      </c>
      <c r="D31" s="3140">
        <v>3855</v>
      </c>
      <c r="E31" s="134">
        <v>0</v>
      </c>
      <c r="F31" s="573">
        <v>134990</v>
      </c>
      <c r="G31" s="3140">
        <v>13049</v>
      </c>
      <c r="H31" s="3140">
        <v>1148</v>
      </c>
      <c r="I31" s="86">
        <v>0</v>
      </c>
      <c r="J31" s="573">
        <v>634419</v>
      </c>
      <c r="K31" s="3140">
        <v>13148</v>
      </c>
      <c r="L31" s="3140">
        <v>0</v>
      </c>
      <c r="M31" s="86">
        <v>0</v>
      </c>
      <c r="N31" s="573">
        <v>3669</v>
      </c>
      <c r="O31" s="3140">
        <v>0</v>
      </c>
      <c r="P31" s="3140">
        <v>2440</v>
      </c>
      <c r="Q31" s="86">
        <v>0</v>
      </c>
      <c r="R31" s="134">
        <v>937688</v>
      </c>
      <c r="S31" s="3140">
        <v>302370</v>
      </c>
      <c r="T31" s="3140">
        <v>4623</v>
      </c>
      <c r="U31" s="86">
        <v>0</v>
      </c>
      <c r="V31" s="134">
        <v>52819</v>
      </c>
      <c r="W31" s="1976">
        <v>112267</v>
      </c>
      <c r="X31" s="640"/>
      <c r="Y31" s="1977"/>
      <c r="Z31" s="641">
        <f t="shared" si="2"/>
        <v>165086</v>
      </c>
      <c r="AA31" s="1976">
        <v>172300</v>
      </c>
      <c r="AB31" s="573">
        <v>13700</v>
      </c>
      <c r="AC31" s="1976">
        <v>17248</v>
      </c>
      <c r="AD31" s="1974"/>
      <c r="AE31" s="1975"/>
      <c r="AF31" s="641">
        <f t="shared" si="1"/>
        <v>30948</v>
      </c>
      <c r="AG31" s="3141">
        <v>61320</v>
      </c>
    </row>
    <row r="32" spans="1:33" s="10" customFormat="1">
      <c r="A32" s="63">
        <f t="shared" si="3"/>
        <v>1994.11</v>
      </c>
      <c r="B32" s="250">
        <v>734824</v>
      </c>
      <c r="C32" s="3140">
        <v>32522</v>
      </c>
      <c r="D32" s="3140">
        <v>5398</v>
      </c>
      <c r="E32" s="134">
        <v>0</v>
      </c>
      <c r="F32" s="573">
        <v>126698</v>
      </c>
      <c r="G32" s="3140">
        <v>13096</v>
      </c>
      <c r="H32" s="3140">
        <v>1578</v>
      </c>
      <c r="I32" s="86">
        <v>0</v>
      </c>
      <c r="J32" s="573">
        <v>588704</v>
      </c>
      <c r="K32" s="3140">
        <v>13982</v>
      </c>
      <c r="L32" s="3140">
        <v>0</v>
      </c>
      <c r="M32" s="86">
        <v>0</v>
      </c>
      <c r="N32" s="573">
        <v>6149</v>
      </c>
      <c r="O32" s="3140">
        <v>0</v>
      </c>
      <c r="P32" s="3140">
        <v>2968</v>
      </c>
      <c r="Q32" s="86">
        <v>0</v>
      </c>
      <c r="R32" s="134">
        <v>897102</v>
      </c>
      <c r="S32" s="3140">
        <v>182923</v>
      </c>
      <c r="T32" s="3140">
        <v>5398</v>
      </c>
      <c r="U32" s="86">
        <v>0</v>
      </c>
      <c r="V32" s="134">
        <v>52255</v>
      </c>
      <c r="W32" s="1976">
        <v>87391</v>
      </c>
      <c r="X32" s="640"/>
      <c r="Y32" s="1977"/>
      <c r="Z32" s="641">
        <f t="shared" si="2"/>
        <v>139646</v>
      </c>
      <c r="AA32" s="1976">
        <v>145700</v>
      </c>
      <c r="AB32" s="573">
        <v>1300</v>
      </c>
      <c r="AC32" s="1976">
        <v>5264</v>
      </c>
      <c r="AD32" s="1974"/>
      <c r="AE32" s="1975"/>
      <c r="AF32" s="641">
        <f t="shared" si="1"/>
        <v>6564</v>
      </c>
      <c r="AG32" s="3141">
        <v>43590</v>
      </c>
    </row>
    <row r="33" spans="1:33" s="10" customFormat="1">
      <c r="A33" s="63">
        <f t="shared" si="3"/>
        <v>1994.12</v>
      </c>
      <c r="B33" s="250">
        <v>414647</v>
      </c>
      <c r="C33" s="3140">
        <v>8175</v>
      </c>
      <c r="D33" s="3140">
        <v>7036</v>
      </c>
      <c r="E33" s="134">
        <v>0</v>
      </c>
      <c r="F33" s="573">
        <v>69846</v>
      </c>
      <c r="G33" s="3140">
        <v>3330</v>
      </c>
      <c r="H33" s="3140">
        <v>2176</v>
      </c>
      <c r="I33" s="86">
        <v>0</v>
      </c>
      <c r="J33" s="573">
        <v>332641</v>
      </c>
      <c r="K33" s="3140">
        <v>3482</v>
      </c>
      <c r="L33" s="3140">
        <v>0</v>
      </c>
      <c r="M33" s="86">
        <v>0</v>
      </c>
      <c r="N33" s="573">
        <v>4139</v>
      </c>
      <c r="O33" s="3140">
        <v>0</v>
      </c>
      <c r="P33" s="3140">
        <v>4192</v>
      </c>
      <c r="Q33" s="86">
        <v>0</v>
      </c>
      <c r="R33" s="134">
        <v>520343</v>
      </c>
      <c r="S33" s="3140">
        <v>131236</v>
      </c>
      <c r="T33" s="3140">
        <v>10803</v>
      </c>
      <c r="U33" s="86">
        <v>0</v>
      </c>
      <c r="V33" s="134">
        <v>23434</v>
      </c>
      <c r="W33" s="1976">
        <v>61966</v>
      </c>
      <c r="X33" s="640"/>
      <c r="Y33" s="1977"/>
      <c r="Z33" s="641">
        <f t="shared" si="2"/>
        <v>85400</v>
      </c>
      <c r="AA33" s="1976">
        <v>86900</v>
      </c>
      <c r="AB33" s="573">
        <v>3200</v>
      </c>
      <c r="AC33" s="1976">
        <v>2000</v>
      </c>
      <c r="AD33" s="1974"/>
      <c r="AE33" s="1975"/>
      <c r="AF33" s="641">
        <f t="shared" si="1"/>
        <v>5200</v>
      </c>
      <c r="AG33" s="3141">
        <v>54550</v>
      </c>
    </row>
    <row r="34" spans="1:33" s="10" customFormat="1">
      <c r="A34" s="63">
        <f t="shared" si="3"/>
        <v>1995.01</v>
      </c>
      <c r="B34" s="250">
        <v>566521</v>
      </c>
      <c r="C34" s="3140">
        <v>113984</v>
      </c>
      <c r="D34" s="3140">
        <v>14415</v>
      </c>
      <c r="E34" s="134">
        <v>0</v>
      </c>
      <c r="F34" s="573">
        <v>93841</v>
      </c>
      <c r="G34" s="3140">
        <v>44797</v>
      </c>
      <c r="H34" s="3140">
        <v>4806</v>
      </c>
      <c r="I34" s="86">
        <v>0</v>
      </c>
      <c r="J34" s="573">
        <v>435834</v>
      </c>
      <c r="K34" s="3140">
        <v>50766</v>
      </c>
      <c r="L34" s="3140">
        <v>0</v>
      </c>
      <c r="M34" s="86">
        <v>0</v>
      </c>
      <c r="N34" s="573">
        <v>3212</v>
      </c>
      <c r="O34" s="3140">
        <v>0</v>
      </c>
      <c r="P34" s="3140">
        <v>9624</v>
      </c>
      <c r="Q34" s="86">
        <v>0</v>
      </c>
      <c r="R34" s="134">
        <v>666081</v>
      </c>
      <c r="S34" s="3140">
        <v>152262</v>
      </c>
      <c r="T34" s="3140">
        <v>24368</v>
      </c>
      <c r="U34" s="86">
        <v>0</v>
      </c>
      <c r="V34" s="134">
        <v>36540</v>
      </c>
      <c r="W34" s="1976">
        <v>81693</v>
      </c>
      <c r="X34" s="640"/>
      <c r="Y34" s="1977"/>
      <c r="Z34" s="641">
        <f t="shared" si="2"/>
        <v>118233</v>
      </c>
      <c r="AA34" s="1976">
        <v>121650</v>
      </c>
      <c r="AB34" s="573">
        <v>0</v>
      </c>
      <c r="AC34" s="1976">
        <v>14850</v>
      </c>
      <c r="AD34" s="1974"/>
      <c r="AE34" s="1975"/>
      <c r="AF34" s="641">
        <f t="shared" si="1"/>
        <v>14850</v>
      </c>
      <c r="AG34" s="3141">
        <v>59850</v>
      </c>
    </row>
    <row r="35" spans="1:33" s="10" customFormat="1">
      <c r="A35" s="63">
        <f t="shared" si="3"/>
        <v>1995.02</v>
      </c>
      <c r="B35" s="250">
        <v>385956</v>
      </c>
      <c r="C35" s="3140">
        <v>164283</v>
      </c>
      <c r="D35" s="3140">
        <v>11367</v>
      </c>
      <c r="E35" s="134">
        <v>0</v>
      </c>
      <c r="F35" s="573">
        <v>66503</v>
      </c>
      <c r="G35" s="3140">
        <v>65029</v>
      </c>
      <c r="H35" s="3140">
        <v>3753</v>
      </c>
      <c r="I35" s="86">
        <v>0</v>
      </c>
      <c r="J35" s="573">
        <v>307496</v>
      </c>
      <c r="K35" s="3140">
        <v>75247</v>
      </c>
      <c r="L35" s="3140">
        <v>0</v>
      </c>
      <c r="M35" s="86">
        <v>0</v>
      </c>
      <c r="N35" s="573">
        <v>4263</v>
      </c>
      <c r="O35" s="3140">
        <v>0</v>
      </c>
      <c r="P35" s="3140">
        <v>7437</v>
      </c>
      <c r="Q35" s="86">
        <v>0</v>
      </c>
      <c r="R35" s="134">
        <v>471777</v>
      </c>
      <c r="S35" s="3140">
        <v>296323</v>
      </c>
      <c r="T35" s="3140">
        <v>20304</v>
      </c>
      <c r="U35" s="86">
        <v>0</v>
      </c>
      <c r="V35" s="134">
        <v>20973</v>
      </c>
      <c r="W35" s="1976">
        <v>49105</v>
      </c>
      <c r="X35" s="640"/>
      <c r="Y35" s="1977"/>
      <c r="Z35" s="641">
        <f t="shared" si="2"/>
        <v>70078</v>
      </c>
      <c r="AA35" s="1976">
        <v>72580</v>
      </c>
      <c r="AB35" s="573">
        <v>0</v>
      </c>
      <c r="AC35" s="1976">
        <v>26680</v>
      </c>
      <c r="AD35" s="1974"/>
      <c r="AE35" s="1975"/>
      <c r="AF35" s="641">
        <f t="shared" si="1"/>
        <v>26680</v>
      </c>
      <c r="AG35" s="3141">
        <v>51630</v>
      </c>
    </row>
    <row r="36" spans="1:33" s="10" customFormat="1">
      <c r="A36" s="63">
        <f t="shared" si="3"/>
        <v>1995.03</v>
      </c>
      <c r="B36" s="250">
        <v>148630</v>
      </c>
      <c r="C36" s="3140">
        <v>240431</v>
      </c>
      <c r="D36" s="3140">
        <v>10722</v>
      </c>
      <c r="E36" s="134">
        <v>38908</v>
      </c>
      <c r="F36" s="573">
        <v>25385</v>
      </c>
      <c r="G36" s="3140">
        <v>96442</v>
      </c>
      <c r="H36" s="3140">
        <v>3630</v>
      </c>
      <c r="I36" s="86">
        <v>6128</v>
      </c>
      <c r="J36" s="573">
        <v>115555</v>
      </c>
      <c r="K36" s="3140">
        <v>120874</v>
      </c>
      <c r="L36" s="3140">
        <v>0</v>
      </c>
      <c r="M36" s="86">
        <v>18003</v>
      </c>
      <c r="N36" s="573">
        <v>5714</v>
      </c>
      <c r="O36" s="3140">
        <v>23</v>
      </c>
      <c r="P36" s="3140">
        <v>7027</v>
      </c>
      <c r="Q36" s="86">
        <v>0</v>
      </c>
      <c r="R36" s="134">
        <v>243223</v>
      </c>
      <c r="S36" s="3140">
        <v>664903</v>
      </c>
      <c r="T36" s="3140">
        <v>15478</v>
      </c>
      <c r="U36" s="86">
        <v>38908</v>
      </c>
      <c r="V36" s="134">
        <v>28356</v>
      </c>
      <c r="W36" s="1976">
        <v>50220</v>
      </c>
      <c r="X36" s="640"/>
      <c r="Y36" s="1977"/>
      <c r="Z36" s="641">
        <f t="shared" si="2"/>
        <v>78576</v>
      </c>
      <c r="AA36" s="1976">
        <v>86950</v>
      </c>
      <c r="AB36" s="573">
        <v>17438</v>
      </c>
      <c r="AC36" s="1976">
        <v>78855</v>
      </c>
      <c r="AD36" s="1974"/>
      <c r="AE36" s="1975"/>
      <c r="AF36" s="641">
        <f t="shared" si="1"/>
        <v>96293</v>
      </c>
      <c r="AG36" s="3141">
        <v>149670</v>
      </c>
    </row>
    <row r="37" spans="1:33" s="10" customFormat="1">
      <c r="A37" s="63">
        <f t="shared" si="3"/>
        <v>1995.04</v>
      </c>
      <c r="B37" s="250">
        <v>354996</v>
      </c>
      <c r="C37" s="3140">
        <v>155609</v>
      </c>
      <c r="D37" s="3140">
        <v>6815</v>
      </c>
      <c r="E37" s="134">
        <v>57751</v>
      </c>
      <c r="F37" s="573">
        <v>63976</v>
      </c>
      <c r="G37" s="3140">
        <v>68479</v>
      </c>
      <c r="H37" s="3140">
        <v>2328</v>
      </c>
      <c r="I37" s="86">
        <v>8876</v>
      </c>
      <c r="J37" s="573">
        <v>279113</v>
      </c>
      <c r="K37" s="3140">
        <v>83828</v>
      </c>
      <c r="L37" s="3140">
        <v>0</v>
      </c>
      <c r="M37" s="86">
        <v>26546</v>
      </c>
      <c r="N37" s="573">
        <v>4828</v>
      </c>
      <c r="O37" s="3140">
        <v>647</v>
      </c>
      <c r="P37" s="3140">
        <v>4442</v>
      </c>
      <c r="Q37" s="86">
        <v>0</v>
      </c>
      <c r="R37" s="134">
        <v>426228</v>
      </c>
      <c r="S37" s="3140">
        <v>573203</v>
      </c>
      <c r="T37" s="3140">
        <v>9906</v>
      </c>
      <c r="U37" s="86">
        <v>57751</v>
      </c>
      <c r="V37" s="134">
        <v>12108</v>
      </c>
      <c r="W37" s="1976">
        <v>24300</v>
      </c>
      <c r="X37" s="640"/>
      <c r="Y37" s="1977"/>
      <c r="Z37" s="641">
        <f t="shared" si="2"/>
        <v>36408</v>
      </c>
      <c r="AA37" s="1976">
        <v>39630</v>
      </c>
      <c r="AB37" s="573">
        <v>20915</v>
      </c>
      <c r="AC37" s="1976">
        <v>96050</v>
      </c>
      <c r="AD37" s="1974"/>
      <c r="AE37" s="1975"/>
      <c r="AF37" s="641">
        <f t="shared" si="1"/>
        <v>116965</v>
      </c>
      <c r="AG37" s="3141">
        <v>219280</v>
      </c>
    </row>
    <row r="38" spans="1:33" s="10" customFormat="1">
      <c r="A38" s="63">
        <f t="shared" si="3"/>
        <v>1995.05</v>
      </c>
      <c r="B38" s="250">
        <v>743167</v>
      </c>
      <c r="C38" s="3140">
        <v>105841</v>
      </c>
      <c r="D38" s="3140">
        <v>10059</v>
      </c>
      <c r="E38" s="134">
        <v>65085</v>
      </c>
      <c r="F38" s="573">
        <v>131844</v>
      </c>
      <c r="G38" s="3140">
        <v>41964</v>
      </c>
      <c r="H38" s="3140">
        <v>3150</v>
      </c>
      <c r="I38" s="86">
        <v>10056</v>
      </c>
      <c r="J38" s="573">
        <v>590389</v>
      </c>
      <c r="K38" s="3140">
        <v>47126</v>
      </c>
      <c r="L38" s="3140">
        <v>0</v>
      </c>
      <c r="M38" s="86">
        <v>26944</v>
      </c>
      <c r="N38" s="573">
        <v>6172</v>
      </c>
      <c r="O38" s="3140">
        <v>673</v>
      </c>
      <c r="P38" s="3140">
        <v>6662</v>
      </c>
      <c r="Q38" s="86">
        <v>0</v>
      </c>
      <c r="R38" s="134">
        <v>844169</v>
      </c>
      <c r="S38" s="3140">
        <v>536068</v>
      </c>
      <c r="T38" s="3140">
        <v>16332</v>
      </c>
      <c r="U38" s="86">
        <v>65085</v>
      </c>
      <c r="V38" s="134">
        <v>35892</v>
      </c>
      <c r="W38" s="1976">
        <v>79666</v>
      </c>
      <c r="X38" s="640"/>
      <c r="Y38" s="1977"/>
      <c r="Z38" s="641">
        <f t="shared" si="2"/>
        <v>115558</v>
      </c>
      <c r="AA38" s="1976">
        <v>122020</v>
      </c>
      <c r="AB38" s="573">
        <v>9871</v>
      </c>
      <c r="AC38" s="1976">
        <v>39744</v>
      </c>
      <c r="AD38" s="1974"/>
      <c r="AE38" s="1975"/>
      <c r="AF38" s="641">
        <f t="shared" si="1"/>
        <v>49615</v>
      </c>
      <c r="AG38" s="3141">
        <v>152480</v>
      </c>
    </row>
    <row r="39" spans="1:33" s="10" customFormat="1">
      <c r="A39" s="63">
        <f t="shared" si="3"/>
        <v>1995.06</v>
      </c>
      <c r="B39" s="250">
        <v>760299</v>
      </c>
      <c r="C39" s="3140">
        <v>78447</v>
      </c>
      <c r="D39" s="3140">
        <v>8066</v>
      </c>
      <c r="E39" s="134">
        <v>64145</v>
      </c>
      <c r="F39" s="573">
        <v>132409</v>
      </c>
      <c r="G39" s="3140">
        <v>31163</v>
      </c>
      <c r="H39" s="3140">
        <v>2684</v>
      </c>
      <c r="I39" s="86">
        <v>9710</v>
      </c>
      <c r="J39" s="573">
        <v>608156</v>
      </c>
      <c r="K39" s="3140">
        <v>35038</v>
      </c>
      <c r="L39" s="3140">
        <v>0</v>
      </c>
      <c r="M39" s="86">
        <v>29356</v>
      </c>
      <c r="N39" s="573">
        <v>5393</v>
      </c>
      <c r="O39" s="3140">
        <v>333</v>
      </c>
      <c r="P39" s="3140">
        <v>5441</v>
      </c>
      <c r="Q39" s="86">
        <v>0</v>
      </c>
      <c r="R39" s="134">
        <v>853598</v>
      </c>
      <c r="S39" s="3140">
        <v>498207</v>
      </c>
      <c r="T39" s="3140">
        <v>11675</v>
      </c>
      <c r="U39" s="86">
        <v>64145</v>
      </c>
      <c r="V39" s="134">
        <v>66000</v>
      </c>
      <c r="W39" s="1976">
        <v>66312</v>
      </c>
      <c r="X39" s="640"/>
      <c r="Y39" s="1977"/>
      <c r="Z39" s="641">
        <f t="shared" si="2"/>
        <v>132312</v>
      </c>
      <c r="AA39" s="1976">
        <v>132810</v>
      </c>
      <c r="AB39" s="573">
        <v>24900</v>
      </c>
      <c r="AC39" s="1976">
        <v>31020</v>
      </c>
      <c r="AD39" s="1974"/>
      <c r="AE39" s="1975"/>
      <c r="AF39" s="641">
        <f t="shared" si="1"/>
        <v>55920</v>
      </c>
      <c r="AG39" s="3141">
        <v>136620</v>
      </c>
    </row>
    <row r="40" spans="1:33" s="10" customFormat="1">
      <c r="A40" s="63">
        <f t="shared" si="3"/>
        <v>1995.07</v>
      </c>
      <c r="B40" s="250">
        <v>793848</v>
      </c>
      <c r="C40" s="3140">
        <v>87839</v>
      </c>
      <c r="D40" s="3140">
        <v>5810</v>
      </c>
      <c r="E40" s="134">
        <v>77310</v>
      </c>
      <c r="F40" s="573">
        <v>140667</v>
      </c>
      <c r="G40" s="3140">
        <v>35180</v>
      </c>
      <c r="H40" s="3140">
        <v>1891</v>
      </c>
      <c r="I40" s="86">
        <v>11633</v>
      </c>
      <c r="J40" s="573">
        <v>634716</v>
      </c>
      <c r="K40" s="3140">
        <v>38998</v>
      </c>
      <c r="L40" s="3140">
        <v>0</v>
      </c>
      <c r="M40" s="86">
        <v>0</v>
      </c>
      <c r="N40" s="573">
        <v>4843</v>
      </c>
      <c r="O40" s="3140">
        <v>0</v>
      </c>
      <c r="P40" s="3140">
        <v>3740</v>
      </c>
      <c r="Q40" s="86">
        <v>0</v>
      </c>
      <c r="R40" s="134">
        <v>879421</v>
      </c>
      <c r="S40" s="3140">
        <v>470079</v>
      </c>
      <c r="T40" s="3140">
        <v>11367</v>
      </c>
      <c r="U40" s="86">
        <v>77310</v>
      </c>
      <c r="V40" s="134">
        <v>48778</v>
      </c>
      <c r="W40" s="1976">
        <v>84836</v>
      </c>
      <c r="X40" s="640"/>
      <c r="Y40" s="1977"/>
      <c r="Z40" s="641">
        <f t="shared" si="2"/>
        <v>133614</v>
      </c>
      <c r="AA40" s="1976">
        <v>133610</v>
      </c>
      <c r="AB40" s="573">
        <v>4068</v>
      </c>
      <c r="AC40" s="1976">
        <v>27934</v>
      </c>
      <c r="AD40" s="1974"/>
      <c r="AE40" s="1975"/>
      <c r="AF40" s="641">
        <f t="shared" si="1"/>
        <v>32002</v>
      </c>
      <c r="AG40" s="3141">
        <v>106510</v>
      </c>
    </row>
    <row r="41" spans="1:33" s="10" customFormat="1">
      <c r="A41" s="63">
        <f t="shared" si="3"/>
        <v>1995.08</v>
      </c>
      <c r="B41" s="250">
        <v>801939</v>
      </c>
      <c r="C41" s="3140">
        <v>80899</v>
      </c>
      <c r="D41" s="3140">
        <v>2610</v>
      </c>
      <c r="E41" s="134">
        <v>62599</v>
      </c>
      <c r="F41" s="573">
        <v>141101</v>
      </c>
      <c r="G41" s="3140">
        <v>31648</v>
      </c>
      <c r="H41" s="3140">
        <v>845</v>
      </c>
      <c r="I41" s="86">
        <v>9496</v>
      </c>
      <c r="J41" s="573">
        <v>640711</v>
      </c>
      <c r="K41" s="3140">
        <v>33861</v>
      </c>
      <c r="L41" s="3140">
        <v>0</v>
      </c>
      <c r="M41" s="86">
        <v>29869</v>
      </c>
      <c r="N41" s="573">
        <v>4934</v>
      </c>
      <c r="O41" s="3140">
        <v>1084</v>
      </c>
      <c r="P41" s="3140">
        <v>1723</v>
      </c>
      <c r="Q41" s="86">
        <v>0</v>
      </c>
      <c r="R41" s="134">
        <v>965592</v>
      </c>
      <c r="S41" s="3140">
        <v>398724</v>
      </c>
      <c r="T41" s="3140">
        <v>5974</v>
      </c>
      <c r="U41" s="86">
        <v>62599</v>
      </c>
      <c r="V41" s="134">
        <v>48610</v>
      </c>
      <c r="W41" s="1976">
        <v>100891</v>
      </c>
      <c r="X41" s="640"/>
      <c r="Y41" s="1977"/>
      <c r="Z41" s="641">
        <f t="shared" si="2"/>
        <v>149501</v>
      </c>
      <c r="AA41" s="1976">
        <v>152500</v>
      </c>
      <c r="AB41" s="573">
        <v>14000</v>
      </c>
      <c r="AC41" s="1976">
        <v>16642</v>
      </c>
      <c r="AD41" s="1974"/>
      <c r="AE41" s="1975"/>
      <c r="AF41" s="641">
        <f t="shared" si="1"/>
        <v>30642</v>
      </c>
      <c r="AG41" s="3141">
        <v>116340</v>
      </c>
    </row>
    <row r="42" spans="1:33" s="10" customFormat="1">
      <c r="A42" s="63">
        <f t="shared" si="3"/>
        <v>1995.09</v>
      </c>
      <c r="B42" s="250">
        <v>805874</v>
      </c>
      <c r="C42" s="3140">
        <v>57267</v>
      </c>
      <c r="D42" s="3140">
        <v>5050</v>
      </c>
      <c r="E42" s="134">
        <v>53818</v>
      </c>
      <c r="F42" s="573">
        <v>141913</v>
      </c>
      <c r="G42" s="3140">
        <v>21642</v>
      </c>
      <c r="H42" s="3140">
        <v>1575</v>
      </c>
      <c r="I42" s="86">
        <v>9003</v>
      </c>
      <c r="J42" s="573">
        <v>645424</v>
      </c>
      <c r="K42" s="3140">
        <v>24401</v>
      </c>
      <c r="L42" s="3140">
        <v>0</v>
      </c>
      <c r="M42" s="86">
        <v>27298</v>
      </c>
      <c r="N42" s="573">
        <v>4349</v>
      </c>
      <c r="O42" s="3140">
        <v>817</v>
      </c>
      <c r="P42" s="3140">
        <v>3353</v>
      </c>
      <c r="Q42" s="86">
        <v>0</v>
      </c>
      <c r="R42" s="134">
        <v>989442</v>
      </c>
      <c r="S42" s="3140">
        <v>362556</v>
      </c>
      <c r="T42" s="3140">
        <v>6981</v>
      </c>
      <c r="U42" s="86">
        <v>53818</v>
      </c>
      <c r="V42" s="134">
        <v>66436</v>
      </c>
      <c r="W42" s="1976">
        <v>86655</v>
      </c>
      <c r="X42" s="640"/>
      <c r="Y42" s="1977"/>
      <c r="Z42" s="641">
        <f t="shared" si="2"/>
        <v>153091</v>
      </c>
      <c r="AA42" s="1976">
        <v>160090</v>
      </c>
      <c r="AB42" s="573">
        <v>9062</v>
      </c>
      <c r="AC42" s="1976">
        <v>12895</v>
      </c>
      <c r="AD42" s="1974"/>
      <c r="AE42" s="1975"/>
      <c r="AF42" s="641">
        <f t="shared" si="1"/>
        <v>21957</v>
      </c>
      <c r="AG42" s="3141">
        <v>95200</v>
      </c>
    </row>
    <row r="43" spans="1:33" s="10" customFormat="1">
      <c r="A43" s="63">
        <f t="shared" si="3"/>
        <v>1995.1</v>
      </c>
      <c r="B43" s="250">
        <v>814107</v>
      </c>
      <c r="C43" s="3140">
        <v>60077</v>
      </c>
      <c r="D43" s="3140">
        <v>4648</v>
      </c>
      <c r="E43" s="134">
        <v>0</v>
      </c>
      <c r="F43" s="573">
        <v>146953</v>
      </c>
      <c r="G43" s="3140">
        <v>23609</v>
      </c>
      <c r="H43" s="3140">
        <v>1861</v>
      </c>
      <c r="I43" s="86">
        <v>0</v>
      </c>
      <c r="J43" s="573">
        <v>672262</v>
      </c>
      <c r="K43" s="3140">
        <v>26657</v>
      </c>
      <c r="L43" s="3140">
        <v>0</v>
      </c>
      <c r="M43" s="86">
        <v>0</v>
      </c>
      <c r="N43" s="573">
        <v>3120</v>
      </c>
      <c r="O43" s="3140">
        <v>0</v>
      </c>
      <c r="P43" s="3140">
        <v>3674</v>
      </c>
      <c r="Q43" s="86">
        <v>0</v>
      </c>
      <c r="R43" s="134">
        <v>946091</v>
      </c>
      <c r="S43" s="3140">
        <v>423397</v>
      </c>
      <c r="T43" s="3140">
        <v>6189</v>
      </c>
      <c r="U43" s="86">
        <v>0</v>
      </c>
      <c r="V43" s="134">
        <v>30800</v>
      </c>
      <c r="W43" s="1976">
        <v>81110</v>
      </c>
      <c r="X43" s="640"/>
      <c r="Y43" s="1977"/>
      <c r="Z43" s="641">
        <f t="shared" si="2"/>
        <v>111910</v>
      </c>
      <c r="AA43" s="1976">
        <v>111910</v>
      </c>
      <c r="AB43" s="573">
        <v>3000</v>
      </c>
      <c r="AC43" s="1976">
        <v>13883</v>
      </c>
      <c r="AD43" s="1974"/>
      <c r="AE43" s="1975"/>
      <c r="AF43" s="641">
        <f t="shared" si="1"/>
        <v>16883</v>
      </c>
      <c r="AG43" s="3141">
        <v>63080</v>
      </c>
    </row>
    <row r="44" spans="1:33" s="10" customFormat="1">
      <c r="A44" s="63">
        <f t="shared" si="3"/>
        <v>1995.11</v>
      </c>
      <c r="B44" s="250">
        <v>791441</v>
      </c>
      <c r="C44" s="3140">
        <v>61564</v>
      </c>
      <c r="D44" s="3140">
        <v>3322</v>
      </c>
      <c r="E44" s="134">
        <v>0</v>
      </c>
      <c r="F44" s="573">
        <v>144660</v>
      </c>
      <c r="G44" s="3140">
        <v>24725</v>
      </c>
      <c r="H44" s="3140">
        <v>1103</v>
      </c>
      <c r="I44" s="86">
        <v>0</v>
      </c>
      <c r="J44" s="573">
        <v>652603</v>
      </c>
      <c r="K44" s="3140">
        <v>27040</v>
      </c>
      <c r="L44" s="3140">
        <v>0</v>
      </c>
      <c r="M44" s="86">
        <v>0</v>
      </c>
      <c r="N44" s="573">
        <v>3168</v>
      </c>
      <c r="O44" s="3140">
        <v>0</v>
      </c>
      <c r="P44" s="3140">
        <v>2057</v>
      </c>
      <c r="Q44" s="86">
        <v>0</v>
      </c>
      <c r="R44" s="134">
        <v>961652</v>
      </c>
      <c r="S44" s="3140">
        <v>300520</v>
      </c>
      <c r="T44" s="3140">
        <v>3322</v>
      </c>
      <c r="U44" s="86">
        <v>0</v>
      </c>
      <c r="V44" s="134">
        <v>61820</v>
      </c>
      <c r="W44" s="1976">
        <v>112816</v>
      </c>
      <c r="X44" s="640"/>
      <c r="Y44" s="1977"/>
      <c r="Z44" s="641">
        <f t="shared" si="2"/>
        <v>174636</v>
      </c>
      <c r="AA44" s="1976">
        <v>185940</v>
      </c>
      <c r="AB44" s="573">
        <v>18300</v>
      </c>
      <c r="AC44" s="1976">
        <v>19578</v>
      </c>
      <c r="AD44" s="1974"/>
      <c r="AE44" s="1975"/>
      <c r="AF44" s="641">
        <f t="shared" si="1"/>
        <v>37878</v>
      </c>
      <c r="AG44" s="3141">
        <v>63410</v>
      </c>
    </row>
    <row r="45" spans="1:33" s="10" customFormat="1">
      <c r="A45" s="63">
        <f t="shared" si="3"/>
        <v>1995.12</v>
      </c>
      <c r="B45" s="250">
        <v>731471</v>
      </c>
      <c r="C45" s="3140">
        <v>13282</v>
      </c>
      <c r="D45" s="3140">
        <v>2933</v>
      </c>
      <c r="E45" s="134">
        <v>0</v>
      </c>
      <c r="F45" s="573">
        <v>134666</v>
      </c>
      <c r="G45" s="3140">
        <v>5153</v>
      </c>
      <c r="H45" s="3140">
        <v>937</v>
      </c>
      <c r="I45" s="86">
        <v>0</v>
      </c>
      <c r="J45" s="573">
        <v>605200</v>
      </c>
      <c r="K45" s="3140">
        <v>6066</v>
      </c>
      <c r="L45" s="3140">
        <v>0</v>
      </c>
      <c r="M45" s="86">
        <v>0</v>
      </c>
      <c r="N45" s="573">
        <v>2960</v>
      </c>
      <c r="O45" s="3140">
        <v>0</v>
      </c>
      <c r="P45" s="3140">
        <v>1907</v>
      </c>
      <c r="Q45" s="86">
        <v>0</v>
      </c>
      <c r="R45" s="134">
        <v>855772</v>
      </c>
      <c r="S45" s="3140">
        <v>268544</v>
      </c>
      <c r="T45" s="3140">
        <v>10128</v>
      </c>
      <c r="U45" s="86">
        <v>0</v>
      </c>
      <c r="V45" s="134">
        <v>49320</v>
      </c>
      <c r="W45" s="1976">
        <v>96663</v>
      </c>
      <c r="X45" s="640"/>
      <c r="Y45" s="1977"/>
      <c r="Z45" s="641">
        <f t="shared" si="2"/>
        <v>145983</v>
      </c>
      <c r="AA45" s="1976">
        <v>152079</v>
      </c>
      <c r="AB45" s="573">
        <v>20900</v>
      </c>
      <c r="AC45" s="1976">
        <v>13530</v>
      </c>
      <c r="AD45" s="1974"/>
      <c r="AE45" s="1975"/>
      <c r="AF45" s="641">
        <f t="shared" si="1"/>
        <v>34430</v>
      </c>
      <c r="AG45" s="3141">
        <v>115160</v>
      </c>
    </row>
    <row r="46" spans="1:33" s="10" customFormat="1">
      <c r="A46" s="63">
        <f t="shared" si="3"/>
        <v>1996.01</v>
      </c>
      <c r="B46" s="250">
        <v>656988</v>
      </c>
      <c r="C46" s="3140">
        <v>89649</v>
      </c>
      <c r="D46" s="3140">
        <v>16436</v>
      </c>
      <c r="E46" s="134">
        <v>0</v>
      </c>
      <c r="F46" s="573">
        <v>122093</v>
      </c>
      <c r="G46" s="3140">
        <v>36139</v>
      </c>
      <c r="H46" s="3140">
        <v>5364</v>
      </c>
      <c r="I46" s="86">
        <v>0</v>
      </c>
      <c r="J46" s="573">
        <v>544940</v>
      </c>
      <c r="K46" s="3140">
        <v>39338</v>
      </c>
      <c r="L46" s="3140">
        <v>0</v>
      </c>
      <c r="M46" s="86">
        <v>0</v>
      </c>
      <c r="N46" s="573">
        <v>2112</v>
      </c>
      <c r="O46" s="3140">
        <v>0</v>
      </c>
      <c r="P46" s="3140">
        <v>10272</v>
      </c>
      <c r="Q46" s="86">
        <v>0</v>
      </c>
      <c r="R46" s="134">
        <v>719476</v>
      </c>
      <c r="S46" s="3140">
        <v>207623</v>
      </c>
      <c r="T46" s="3140">
        <v>25186</v>
      </c>
      <c r="U46" s="86">
        <v>0</v>
      </c>
      <c r="V46" s="134">
        <v>49562</v>
      </c>
      <c r="W46" s="1976">
        <v>51832</v>
      </c>
      <c r="X46" s="640"/>
      <c r="Y46" s="1977"/>
      <c r="Z46" s="641">
        <f t="shared" si="2"/>
        <v>101394</v>
      </c>
      <c r="AA46" s="1976">
        <v>119950</v>
      </c>
      <c r="AB46" s="573">
        <v>4350</v>
      </c>
      <c r="AC46" s="1976">
        <v>9000</v>
      </c>
      <c r="AD46" s="1974"/>
      <c r="AE46" s="1975"/>
      <c r="AF46" s="641">
        <f t="shared" si="1"/>
        <v>13350</v>
      </c>
      <c r="AG46" s="3141">
        <v>69780</v>
      </c>
    </row>
    <row r="47" spans="1:33" s="10" customFormat="1">
      <c r="A47" s="63">
        <f t="shared" si="3"/>
        <v>1996.02</v>
      </c>
      <c r="B47" s="250">
        <v>553571</v>
      </c>
      <c r="C47" s="3140">
        <v>134192</v>
      </c>
      <c r="D47" s="3140">
        <v>13578</v>
      </c>
      <c r="E47" s="134">
        <v>0</v>
      </c>
      <c r="F47" s="573">
        <v>100543</v>
      </c>
      <c r="G47" s="3140">
        <v>53035</v>
      </c>
      <c r="H47" s="3140">
        <v>4293</v>
      </c>
      <c r="I47" s="86">
        <v>0</v>
      </c>
      <c r="J47" s="573">
        <v>449909</v>
      </c>
      <c r="K47" s="3140">
        <v>60765</v>
      </c>
      <c r="L47" s="3140">
        <v>0</v>
      </c>
      <c r="M47" s="86">
        <v>0</v>
      </c>
      <c r="N47" s="573">
        <v>3253</v>
      </c>
      <c r="O47" s="3140">
        <v>0</v>
      </c>
      <c r="P47" s="3140">
        <v>8582</v>
      </c>
      <c r="Q47" s="86">
        <v>0</v>
      </c>
      <c r="R47" s="134">
        <v>591688</v>
      </c>
      <c r="S47" s="3140">
        <v>294498</v>
      </c>
      <c r="T47" s="3140">
        <v>23672</v>
      </c>
      <c r="U47" s="86">
        <v>0</v>
      </c>
      <c r="V47" s="134">
        <v>28580</v>
      </c>
      <c r="W47" s="1976">
        <v>102327</v>
      </c>
      <c r="X47" s="640"/>
      <c r="Y47" s="1977"/>
      <c r="Z47" s="641">
        <f t="shared" si="2"/>
        <v>130907</v>
      </c>
      <c r="AA47" s="1976">
        <v>134850</v>
      </c>
      <c r="AB47" s="573">
        <v>4780</v>
      </c>
      <c r="AC47" s="1976">
        <v>16795</v>
      </c>
      <c r="AD47" s="1974"/>
      <c r="AE47" s="1975"/>
      <c r="AF47" s="641">
        <f t="shared" si="1"/>
        <v>21575</v>
      </c>
      <c r="AG47" s="3141">
        <v>32460</v>
      </c>
    </row>
    <row r="48" spans="1:33" s="10" customFormat="1">
      <c r="A48" s="63">
        <f t="shared" si="3"/>
        <v>1996.03</v>
      </c>
      <c r="B48" s="250">
        <v>263063</v>
      </c>
      <c r="C48" s="3140">
        <v>228897</v>
      </c>
      <c r="D48" s="3140">
        <v>9926</v>
      </c>
      <c r="E48" s="134">
        <v>30768</v>
      </c>
      <c r="F48" s="573">
        <v>48361</v>
      </c>
      <c r="G48" s="3140">
        <v>90933</v>
      </c>
      <c r="H48" s="3140">
        <v>3235</v>
      </c>
      <c r="I48" s="86">
        <v>4928</v>
      </c>
      <c r="J48" s="573">
        <v>205364</v>
      </c>
      <c r="K48" s="3140">
        <v>105523</v>
      </c>
      <c r="L48" s="3140">
        <v>0</v>
      </c>
      <c r="M48" s="86">
        <v>14259</v>
      </c>
      <c r="N48" s="573">
        <v>3109</v>
      </c>
      <c r="O48" s="3140">
        <v>0</v>
      </c>
      <c r="P48" s="3140">
        <v>6335</v>
      </c>
      <c r="Q48" s="86">
        <v>0</v>
      </c>
      <c r="R48" s="134">
        <v>319033</v>
      </c>
      <c r="S48" s="3140">
        <v>720321</v>
      </c>
      <c r="T48" s="3140">
        <v>15111</v>
      </c>
      <c r="U48" s="86">
        <v>30768</v>
      </c>
      <c r="V48" s="134">
        <v>36597</v>
      </c>
      <c r="W48" s="1976">
        <v>57936</v>
      </c>
      <c r="X48" s="640"/>
      <c r="Y48" s="1977"/>
      <c r="Z48" s="641">
        <f t="shared" si="2"/>
        <v>94533</v>
      </c>
      <c r="AA48" s="1976">
        <v>98420</v>
      </c>
      <c r="AB48" s="573">
        <v>6500</v>
      </c>
      <c r="AC48" s="1976">
        <v>50140</v>
      </c>
      <c r="AD48" s="1974"/>
      <c r="AE48" s="1975"/>
      <c r="AF48" s="641">
        <f t="shared" si="1"/>
        <v>56640</v>
      </c>
      <c r="AG48" s="3141">
        <v>101380</v>
      </c>
    </row>
    <row r="49" spans="1:33" s="10" customFormat="1">
      <c r="A49" s="63">
        <f t="shared" si="3"/>
        <v>1996.04</v>
      </c>
      <c r="B49" s="250">
        <v>467936</v>
      </c>
      <c r="C49" s="3140">
        <v>164038</v>
      </c>
      <c r="D49" s="3140">
        <v>6225</v>
      </c>
      <c r="E49" s="134">
        <v>62874</v>
      </c>
      <c r="F49" s="573">
        <v>84864</v>
      </c>
      <c r="G49" s="3140">
        <v>64010</v>
      </c>
      <c r="H49" s="3140">
        <v>1976</v>
      </c>
      <c r="I49" s="86">
        <v>9185</v>
      </c>
      <c r="J49" s="573">
        <v>366708</v>
      </c>
      <c r="K49" s="3140">
        <v>76026</v>
      </c>
      <c r="L49" s="3140">
        <v>0</v>
      </c>
      <c r="M49" s="86">
        <v>28360</v>
      </c>
      <c r="N49" s="573">
        <v>2793</v>
      </c>
      <c r="O49" s="3140">
        <v>0</v>
      </c>
      <c r="P49" s="3140">
        <v>4028</v>
      </c>
      <c r="Q49" s="86">
        <v>0</v>
      </c>
      <c r="R49" s="134">
        <v>568528</v>
      </c>
      <c r="S49" s="3140">
        <v>693055</v>
      </c>
      <c r="T49" s="3140">
        <v>12750</v>
      </c>
      <c r="U49" s="86">
        <v>62874</v>
      </c>
      <c r="V49" s="134">
        <v>22500</v>
      </c>
      <c r="W49" s="1976">
        <v>19965</v>
      </c>
      <c r="X49" s="640"/>
      <c r="Y49" s="1977"/>
      <c r="Z49" s="641">
        <f t="shared" si="2"/>
        <v>42465</v>
      </c>
      <c r="AA49" s="1976">
        <v>46000</v>
      </c>
      <c r="AB49" s="573">
        <v>27450</v>
      </c>
      <c r="AC49" s="1976">
        <v>68946</v>
      </c>
      <c r="AD49" s="1974"/>
      <c r="AE49" s="1975"/>
      <c r="AF49" s="641">
        <f t="shared" si="1"/>
        <v>96396</v>
      </c>
      <c r="AG49" s="3141">
        <v>223490</v>
      </c>
    </row>
    <row r="50" spans="1:33" s="10" customFormat="1">
      <c r="A50" s="63">
        <f t="shared" si="3"/>
        <v>1996.05</v>
      </c>
      <c r="B50" s="250">
        <v>778159</v>
      </c>
      <c r="C50" s="3140">
        <v>80940</v>
      </c>
      <c r="D50" s="3140">
        <v>4816</v>
      </c>
      <c r="E50" s="134">
        <v>69637</v>
      </c>
      <c r="F50" s="573">
        <v>139291</v>
      </c>
      <c r="G50" s="3140">
        <v>32070</v>
      </c>
      <c r="H50" s="3140">
        <v>1494</v>
      </c>
      <c r="I50" s="86">
        <v>10591</v>
      </c>
      <c r="J50" s="573">
        <v>616430</v>
      </c>
      <c r="K50" s="3140">
        <v>31346</v>
      </c>
      <c r="L50" s="3140">
        <v>0</v>
      </c>
      <c r="M50" s="86">
        <v>32379</v>
      </c>
      <c r="N50" s="573">
        <v>4018</v>
      </c>
      <c r="O50" s="3140">
        <v>0</v>
      </c>
      <c r="P50" s="3140">
        <v>3142</v>
      </c>
      <c r="Q50" s="86">
        <v>0</v>
      </c>
      <c r="R50" s="134">
        <v>913345</v>
      </c>
      <c r="S50" s="3140">
        <v>584447</v>
      </c>
      <c r="T50" s="3140">
        <v>10730</v>
      </c>
      <c r="U50" s="86">
        <v>69637</v>
      </c>
      <c r="V50" s="134">
        <v>41300</v>
      </c>
      <c r="W50" s="1976">
        <v>64932</v>
      </c>
      <c r="X50" s="640"/>
      <c r="Y50" s="1977"/>
      <c r="Z50" s="641">
        <f t="shared" si="2"/>
        <v>106232</v>
      </c>
      <c r="AA50" s="1976">
        <v>110180</v>
      </c>
      <c r="AB50" s="573">
        <v>10000</v>
      </c>
      <c r="AC50" s="1976">
        <v>49050</v>
      </c>
      <c r="AD50" s="1974"/>
      <c r="AE50" s="1975"/>
      <c r="AF50" s="641">
        <f t="shared" si="1"/>
        <v>59050</v>
      </c>
      <c r="AG50" s="3141">
        <v>145410</v>
      </c>
    </row>
    <row r="51" spans="1:33" s="10" customFormat="1">
      <c r="A51" s="63">
        <f t="shared" si="3"/>
        <v>1996.06</v>
      </c>
      <c r="B51" s="250">
        <v>814739</v>
      </c>
      <c r="C51" s="3140">
        <v>52057</v>
      </c>
      <c r="D51" s="3140">
        <v>1240</v>
      </c>
      <c r="E51" s="134">
        <v>71667</v>
      </c>
      <c r="F51" s="573">
        <v>143642</v>
      </c>
      <c r="G51" s="3140">
        <v>18645</v>
      </c>
      <c r="H51" s="3140">
        <v>391</v>
      </c>
      <c r="I51" s="86">
        <v>10930</v>
      </c>
      <c r="J51" s="573">
        <v>653385</v>
      </c>
      <c r="K51" s="3140">
        <v>19724</v>
      </c>
      <c r="L51" s="3140">
        <v>0</v>
      </c>
      <c r="M51" s="86">
        <v>33349</v>
      </c>
      <c r="N51" s="573">
        <v>3162</v>
      </c>
      <c r="O51" s="3140">
        <v>0</v>
      </c>
      <c r="P51" s="3140">
        <v>813</v>
      </c>
      <c r="Q51" s="86">
        <v>0</v>
      </c>
      <c r="R51" s="134">
        <v>1040193</v>
      </c>
      <c r="S51" s="3140">
        <v>368594</v>
      </c>
      <c r="T51" s="3140">
        <v>8657</v>
      </c>
      <c r="U51" s="86">
        <v>73917</v>
      </c>
      <c r="V51" s="134">
        <v>43041</v>
      </c>
      <c r="W51" s="1976">
        <v>77943</v>
      </c>
      <c r="X51" s="640"/>
      <c r="Y51" s="1977"/>
      <c r="Z51" s="641">
        <f t="shared" si="2"/>
        <v>120984</v>
      </c>
      <c r="AA51" s="1976">
        <v>132970</v>
      </c>
      <c r="AB51" s="573">
        <v>12562</v>
      </c>
      <c r="AC51" s="1976">
        <v>34475</v>
      </c>
      <c r="AD51" s="1974"/>
      <c r="AE51" s="1975"/>
      <c r="AF51" s="641">
        <f t="shared" si="1"/>
        <v>47037</v>
      </c>
      <c r="AG51" s="3141">
        <v>116290</v>
      </c>
    </row>
    <row r="52" spans="1:33" s="10" customFormat="1">
      <c r="A52" s="63">
        <f t="shared" si="3"/>
        <v>1996.07</v>
      </c>
      <c r="B52" s="250">
        <v>854131</v>
      </c>
      <c r="C52" s="3140">
        <v>61285</v>
      </c>
      <c r="D52" s="3140">
        <v>0</v>
      </c>
      <c r="E52" s="134">
        <v>76858</v>
      </c>
      <c r="F52" s="573">
        <v>149933</v>
      </c>
      <c r="G52" s="3140">
        <v>23977</v>
      </c>
      <c r="H52" s="3140">
        <v>0</v>
      </c>
      <c r="I52" s="86">
        <v>11895</v>
      </c>
      <c r="J52" s="573">
        <v>684356</v>
      </c>
      <c r="K52" s="3140">
        <v>23886</v>
      </c>
      <c r="L52" s="3140">
        <v>0</v>
      </c>
      <c r="M52" s="86">
        <v>36600</v>
      </c>
      <c r="N52" s="573">
        <v>2320</v>
      </c>
      <c r="O52" s="3140">
        <v>0</v>
      </c>
      <c r="P52" s="3140">
        <v>0</v>
      </c>
      <c r="Q52" s="86">
        <v>0</v>
      </c>
      <c r="R52" s="134">
        <v>1078131</v>
      </c>
      <c r="S52" s="3140">
        <v>437398</v>
      </c>
      <c r="T52" s="3140">
        <v>8055</v>
      </c>
      <c r="U52" s="86">
        <v>90256</v>
      </c>
      <c r="V52" s="134">
        <v>78502</v>
      </c>
      <c r="W52" s="1976">
        <v>100199</v>
      </c>
      <c r="X52" s="640"/>
      <c r="Y52" s="1977"/>
      <c r="Z52" s="641">
        <f t="shared" si="2"/>
        <v>178701</v>
      </c>
      <c r="AA52" s="1976">
        <v>183460</v>
      </c>
      <c r="AB52" s="573">
        <v>12125</v>
      </c>
      <c r="AC52" s="1976">
        <v>29870</v>
      </c>
      <c r="AD52" s="1974"/>
      <c r="AE52" s="1975"/>
      <c r="AF52" s="641">
        <f t="shared" si="1"/>
        <v>41995</v>
      </c>
      <c r="AG52" s="3141">
        <v>151980</v>
      </c>
    </row>
    <row r="53" spans="1:33" s="10" customFormat="1">
      <c r="A53" s="63">
        <f t="shared" si="3"/>
        <v>1996.08</v>
      </c>
      <c r="B53" s="250">
        <v>883591</v>
      </c>
      <c r="C53" s="3140">
        <v>49539</v>
      </c>
      <c r="D53" s="3140">
        <v>2519</v>
      </c>
      <c r="E53" s="134">
        <v>59713</v>
      </c>
      <c r="F53" s="573">
        <v>156513</v>
      </c>
      <c r="G53" s="3140">
        <v>19258</v>
      </c>
      <c r="H53" s="3140">
        <v>798</v>
      </c>
      <c r="I53" s="86">
        <v>9525</v>
      </c>
      <c r="J53" s="573">
        <v>705327</v>
      </c>
      <c r="K53" s="3140">
        <v>20894</v>
      </c>
      <c r="L53" s="3140">
        <v>0</v>
      </c>
      <c r="M53" s="86">
        <v>28764</v>
      </c>
      <c r="N53" s="573">
        <v>2215</v>
      </c>
      <c r="O53" s="3140">
        <v>0</v>
      </c>
      <c r="P53" s="3140">
        <v>1644</v>
      </c>
      <c r="Q53" s="86">
        <v>0</v>
      </c>
      <c r="R53" s="134">
        <v>1162199</v>
      </c>
      <c r="S53" s="3140">
        <v>340876</v>
      </c>
      <c r="T53" s="3140">
        <v>10454</v>
      </c>
      <c r="U53" s="86">
        <v>74657</v>
      </c>
      <c r="V53" s="134">
        <v>44600</v>
      </c>
      <c r="W53" s="1976">
        <v>108971</v>
      </c>
      <c r="X53" s="640"/>
      <c r="Y53" s="1977"/>
      <c r="Z53" s="641">
        <f t="shared" si="2"/>
        <v>153571</v>
      </c>
      <c r="AA53" s="1976">
        <v>174370</v>
      </c>
      <c r="AB53" s="573">
        <v>6850</v>
      </c>
      <c r="AC53" s="1976">
        <v>18909</v>
      </c>
      <c r="AD53" s="1974"/>
      <c r="AE53" s="1975"/>
      <c r="AF53" s="641">
        <f t="shared" si="1"/>
        <v>25759</v>
      </c>
      <c r="AG53" s="3141">
        <v>111300</v>
      </c>
    </row>
    <row r="54" spans="1:33" s="10" customFormat="1">
      <c r="A54" s="63">
        <f t="shared" si="3"/>
        <v>1996.09</v>
      </c>
      <c r="B54" s="250">
        <v>866967</v>
      </c>
      <c r="C54" s="3140">
        <v>53574</v>
      </c>
      <c r="D54" s="3140">
        <v>0</v>
      </c>
      <c r="E54" s="134">
        <v>30838</v>
      </c>
      <c r="F54" s="573">
        <v>153825</v>
      </c>
      <c r="G54" s="3140">
        <v>20906</v>
      </c>
      <c r="H54" s="3140">
        <v>0</v>
      </c>
      <c r="I54" s="86">
        <v>4454</v>
      </c>
      <c r="J54" s="573">
        <v>691501</v>
      </c>
      <c r="K54" s="3140">
        <v>21516</v>
      </c>
      <c r="L54" s="3140">
        <v>0</v>
      </c>
      <c r="M54" s="86">
        <v>15131</v>
      </c>
      <c r="N54" s="573">
        <v>2011</v>
      </c>
      <c r="O54" s="3140">
        <v>0</v>
      </c>
      <c r="P54" s="3140">
        <v>0</v>
      </c>
      <c r="Q54" s="86">
        <v>0</v>
      </c>
      <c r="R54" s="134">
        <v>1098941</v>
      </c>
      <c r="S54" s="3140">
        <v>354148</v>
      </c>
      <c r="T54" s="3140">
        <v>4684</v>
      </c>
      <c r="U54" s="86">
        <v>30838</v>
      </c>
      <c r="V54" s="134">
        <v>65154</v>
      </c>
      <c r="W54" s="1976">
        <v>72251</v>
      </c>
      <c r="X54" s="640"/>
      <c r="Y54" s="1977"/>
      <c r="Z54" s="641">
        <f t="shared" si="2"/>
        <v>137405</v>
      </c>
      <c r="AA54" s="1976">
        <v>139400</v>
      </c>
      <c r="AB54" s="573">
        <v>15893</v>
      </c>
      <c r="AC54" s="1976">
        <v>21360</v>
      </c>
      <c r="AD54" s="1974"/>
      <c r="AE54" s="1975"/>
      <c r="AF54" s="641">
        <f t="shared" si="1"/>
        <v>37253</v>
      </c>
      <c r="AG54" s="3141">
        <v>78500</v>
      </c>
    </row>
    <row r="55" spans="1:33" s="10" customFormat="1">
      <c r="A55" s="63">
        <f t="shared" si="3"/>
        <v>1996.1</v>
      </c>
      <c r="B55" s="250">
        <v>938250</v>
      </c>
      <c r="C55" s="3140">
        <v>24306</v>
      </c>
      <c r="D55" s="3140">
        <v>0</v>
      </c>
      <c r="E55" s="134">
        <v>0</v>
      </c>
      <c r="F55" s="573">
        <v>167137</v>
      </c>
      <c r="G55" s="3140">
        <v>9532</v>
      </c>
      <c r="H55" s="3140">
        <v>0</v>
      </c>
      <c r="I55" s="86">
        <v>0</v>
      </c>
      <c r="J55" s="573">
        <v>747362</v>
      </c>
      <c r="K55" s="3140">
        <v>10933</v>
      </c>
      <c r="L55" s="3140">
        <v>0</v>
      </c>
      <c r="M55" s="86">
        <v>0</v>
      </c>
      <c r="N55" s="573">
        <v>2428</v>
      </c>
      <c r="O55" s="3140">
        <v>0</v>
      </c>
      <c r="P55" s="3140">
        <v>0</v>
      </c>
      <c r="Q55" s="86">
        <v>0</v>
      </c>
      <c r="R55" s="134">
        <v>1095301</v>
      </c>
      <c r="S55" s="3140">
        <v>416808</v>
      </c>
      <c r="T55" s="3140">
        <v>1648</v>
      </c>
      <c r="U55" s="86">
        <v>0</v>
      </c>
      <c r="V55" s="134">
        <v>63768</v>
      </c>
      <c r="W55" s="1976">
        <v>123682</v>
      </c>
      <c r="X55" s="640"/>
      <c r="Y55" s="1977"/>
      <c r="Z55" s="641">
        <f t="shared" si="2"/>
        <v>187450</v>
      </c>
      <c r="AA55" s="1976">
        <v>216200</v>
      </c>
      <c r="AB55" s="573">
        <v>10942</v>
      </c>
      <c r="AC55" s="1976">
        <v>4000</v>
      </c>
      <c r="AD55" s="1974"/>
      <c r="AE55" s="1975"/>
      <c r="AF55" s="641">
        <f t="shared" si="1"/>
        <v>14942</v>
      </c>
      <c r="AG55" s="3141">
        <v>132380</v>
      </c>
    </row>
    <row r="56" spans="1:33" s="10" customFormat="1">
      <c r="A56" s="63">
        <f t="shared" si="3"/>
        <v>1996.11</v>
      </c>
      <c r="B56" s="250">
        <v>900408</v>
      </c>
      <c r="C56" s="3140">
        <v>31457</v>
      </c>
      <c r="D56" s="3140">
        <v>0</v>
      </c>
      <c r="E56" s="134">
        <v>0</v>
      </c>
      <c r="F56" s="573">
        <v>160776</v>
      </c>
      <c r="G56" s="3140">
        <v>12454</v>
      </c>
      <c r="H56" s="3140">
        <v>0</v>
      </c>
      <c r="I56" s="86">
        <v>0</v>
      </c>
      <c r="J56" s="573">
        <v>710103</v>
      </c>
      <c r="K56" s="3140">
        <v>13979</v>
      </c>
      <c r="L56" s="3140">
        <v>0</v>
      </c>
      <c r="M56" s="86">
        <v>0</v>
      </c>
      <c r="N56" s="573">
        <v>3638</v>
      </c>
      <c r="O56" s="3140">
        <v>0</v>
      </c>
      <c r="P56" s="3140">
        <v>0</v>
      </c>
      <c r="Q56" s="86">
        <v>0</v>
      </c>
      <c r="R56" s="134">
        <v>1039995</v>
      </c>
      <c r="S56" s="3140">
        <v>365813</v>
      </c>
      <c r="T56" s="3140">
        <v>781</v>
      </c>
      <c r="U56" s="86">
        <v>0</v>
      </c>
      <c r="V56" s="134">
        <v>56100</v>
      </c>
      <c r="W56" s="1976">
        <v>136674</v>
      </c>
      <c r="X56" s="640"/>
      <c r="Y56" s="1977"/>
      <c r="Z56" s="641">
        <f t="shared" si="2"/>
        <v>192774</v>
      </c>
      <c r="AA56" s="1976">
        <v>197770</v>
      </c>
      <c r="AB56" s="573">
        <v>4000</v>
      </c>
      <c r="AC56" s="1976">
        <v>24728</v>
      </c>
      <c r="AD56" s="1974"/>
      <c r="AE56" s="1975"/>
      <c r="AF56" s="641">
        <f t="shared" si="1"/>
        <v>28728</v>
      </c>
      <c r="AG56" s="3141">
        <v>121140</v>
      </c>
    </row>
    <row r="57" spans="1:33" s="10" customFormat="1">
      <c r="A57" s="63">
        <f t="shared" si="3"/>
        <v>1996.12</v>
      </c>
      <c r="B57" s="250">
        <v>654368</v>
      </c>
      <c r="C57" s="3140">
        <v>24446</v>
      </c>
      <c r="D57" s="3140">
        <v>0</v>
      </c>
      <c r="E57" s="134">
        <v>0</v>
      </c>
      <c r="F57" s="573">
        <v>116729</v>
      </c>
      <c r="G57" s="3140">
        <v>9638</v>
      </c>
      <c r="H57" s="3140">
        <v>0</v>
      </c>
      <c r="I57" s="86">
        <v>0</v>
      </c>
      <c r="J57" s="573">
        <v>521359</v>
      </c>
      <c r="K57" s="3140">
        <v>10710</v>
      </c>
      <c r="L57" s="3140">
        <v>0</v>
      </c>
      <c r="M57" s="86">
        <v>0</v>
      </c>
      <c r="N57" s="573">
        <v>2373</v>
      </c>
      <c r="O57" s="3140">
        <v>0</v>
      </c>
      <c r="P57" s="3140">
        <v>0</v>
      </c>
      <c r="Q57" s="86">
        <v>0</v>
      </c>
      <c r="R57" s="134">
        <v>733107</v>
      </c>
      <c r="S57" s="3140">
        <v>259733</v>
      </c>
      <c r="T57" s="3140">
        <v>9160</v>
      </c>
      <c r="U57" s="86">
        <v>0</v>
      </c>
      <c r="V57" s="134">
        <v>4969</v>
      </c>
      <c r="W57" s="1976">
        <v>97690</v>
      </c>
      <c r="X57" s="640"/>
      <c r="Y57" s="1977"/>
      <c r="Z57" s="641">
        <f t="shared" si="2"/>
        <v>102659</v>
      </c>
      <c r="AA57" s="1976">
        <v>104220</v>
      </c>
      <c r="AB57" s="573">
        <v>2000</v>
      </c>
      <c r="AC57" s="1976">
        <v>11750</v>
      </c>
      <c r="AD57" s="1974"/>
      <c r="AE57" s="1975"/>
      <c r="AF57" s="641">
        <f t="shared" si="1"/>
        <v>13750</v>
      </c>
      <c r="AG57" s="3141">
        <v>92350</v>
      </c>
    </row>
    <row r="58" spans="1:33" s="10" customFormat="1">
      <c r="A58" s="63">
        <f t="shared" si="3"/>
        <v>1997.01</v>
      </c>
      <c r="B58" s="250">
        <v>478361</v>
      </c>
      <c r="C58" s="3140">
        <v>90625</v>
      </c>
      <c r="D58" s="3140">
        <v>685</v>
      </c>
      <c r="E58" s="134">
        <v>0</v>
      </c>
      <c r="F58" s="573">
        <v>85547</v>
      </c>
      <c r="G58" s="3140">
        <v>36139</v>
      </c>
      <c r="H58" s="3140">
        <v>208</v>
      </c>
      <c r="I58" s="86">
        <v>0</v>
      </c>
      <c r="J58" s="573">
        <v>381362</v>
      </c>
      <c r="K58" s="3140">
        <v>38735</v>
      </c>
      <c r="L58" s="3140">
        <v>0</v>
      </c>
      <c r="M58" s="86">
        <v>0</v>
      </c>
      <c r="N58" s="573">
        <v>1987</v>
      </c>
      <c r="O58" s="3140">
        <v>0</v>
      </c>
      <c r="P58" s="3140">
        <v>455</v>
      </c>
      <c r="Q58" s="86">
        <v>0</v>
      </c>
      <c r="R58" s="134">
        <v>511370</v>
      </c>
      <c r="S58" s="3140">
        <v>159665</v>
      </c>
      <c r="T58" s="3140">
        <v>11221</v>
      </c>
      <c r="U58" s="86">
        <v>0</v>
      </c>
      <c r="V58" s="134">
        <v>67750</v>
      </c>
      <c r="W58" s="1976">
        <v>83295</v>
      </c>
      <c r="X58" s="640"/>
      <c r="Y58" s="1977"/>
      <c r="Z58" s="641">
        <f t="shared" si="2"/>
        <v>151045</v>
      </c>
      <c r="AA58" s="1976">
        <v>151990</v>
      </c>
      <c r="AB58" s="573">
        <v>4900</v>
      </c>
      <c r="AC58" s="1976">
        <v>7850</v>
      </c>
      <c r="AD58" s="1974"/>
      <c r="AE58" s="1975"/>
      <c r="AF58" s="641">
        <f t="shared" si="1"/>
        <v>12750</v>
      </c>
      <c r="AG58" s="3141">
        <v>50410</v>
      </c>
    </row>
    <row r="59" spans="1:33" s="10" customFormat="1">
      <c r="A59" s="63">
        <f t="shared" si="3"/>
        <v>1997.02</v>
      </c>
      <c r="B59" s="250">
        <v>330950</v>
      </c>
      <c r="C59" s="3140">
        <v>188432</v>
      </c>
      <c r="D59" s="3140">
        <v>7055</v>
      </c>
      <c r="E59" s="134">
        <v>0</v>
      </c>
      <c r="F59" s="573">
        <v>59622</v>
      </c>
      <c r="G59" s="3140">
        <v>73411</v>
      </c>
      <c r="H59" s="3140">
        <v>2202</v>
      </c>
      <c r="I59" s="86">
        <v>0</v>
      </c>
      <c r="J59" s="573">
        <v>266656</v>
      </c>
      <c r="K59" s="3140">
        <v>86358</v>
      </c>
      <c r="L59" s="3140">
        <v>0</v>
      </c>
      <c r="M59" s="86">
        <v>0</v>
      </c>
      <c r="N59" s="573">
        <v>1831</v>
      </c>
      <c r="O59" s="3140">
        <v>0</v>
      </c>
      <c r="P59" s="3140">
        <v>4594</v>
      </c>
      <c r="Q59" s="86">
        <v>0</v>
      </c>
      <c r="R59" s="134">
        <v>357247</v>
      </c>
      <c r="S59" s="3140">
        <v>421711</v>
      </c>
      <c r="T59" s="3140">
        <v>12831</v>
      </c>
      <c r="U59" s="86">
        <v>0</v>
      </c>
      <c r="V59" s="134">
        <v>31557</v>
      </c>
      <c r="W59" s="1976">
        <v>75209</v>
      </c>
      <c r="X59" s="640"/>
      <c r="Y59" s="1977"/>
      <c r="Z59" s="641">
        <f t="shared" si="2"/>
        <v>106766</v>
      </c>
      <c r="AA59" s="1976">
        <v>108570</v>
      </c>
      <c r="AB59" s="573">
        <v>5000</v>
      </c>
      <c r="AC59" s="1976">
        <v>35864</v>
      </c>
      <c r="AD59" s="1974"/>
      <c r="AE59" s="1975"/>
      <c r="AF59" s="641">
        <f t="shared" si="1"/>
        <v>40864</v>
      </c>
      <c r="AG59" s="3141">
        <v>85620</v>
      </c>
    </row>
    <row r="60" spans="1:33" s="10" customFormat="1">
      <c r="A60" s="63">
        <f t="shared" si="3"/>
        <v>1997.03</v>
      </c>
      <c r="B60" s="250">
        <v>280130</v>
      </c>
      <c r="C60" s="3140">
        <v>198918</v>
      </c>
      <c r="D60" s="3140">
        <v>3732</v>
      </c>
      <c r="E60" s="134">
        <v>33112</v>
      </c>
      <c r="F60" s="573">
        <v>50401</v>
      </c>
      <c r="G60" s="3140">
        <v>78267</v>
      </c>
      <c r="H60" s="3140">
        <v>1203</v>
      </c>
      <c r="I60" s="86">
        <v>5419</v>
      </c>
      <c r="J60" s="573">
        <v>217934</v>
      </c>
      <c r="K60" s="3140">
        <v>96970</v>
      </c>
      <c r="L60" s="3140">
        <v>0</v>
      </c>
      <c r="M60" s="86">
        <v>16319</v>
      </c>
      <c r="N60" s="573">
        <v>3873</v>
      </c>
      <c r="O60" s="3140">
        <v>0</v>
      </c>
      <c r="P60" s="3140">
        <v>2363</v>
      </c>
      <c r="Q60" s="86">
        <v>0</v>
      </c>
      <c r="R60" s="134">
        <v>346153</v>
      </c>
      <c r="S60" s="3140">
        <v>759530</v>
      </c>
      <c r="T60" s="3140">
        <v>9997</v>
      </c>
      <c r="U60" s="86">
        <v>33112</v>
      </c>
      <c r="V60" s="134">
        <v>31217</v>
      </c>
      <c r="W60" s="1976">
        <v>96608</v>
      </c>
      <c r="X60" s="640"/>
      <c r="Y60" s="1977"/>
      <c r="Z60" s="641">
        <f t="shared" si="2"/>
        <v>127825</v>
      </c>
      <c r="AA60" s="1976">
        <v>129230</v>
      </c>
      <c r="AB60" s="573">
        <v>0</v>
      </c>
      <c r="AC60" s="1976">
        <v>40360</v>
      </c>
      <c r="AD60" s="1974"/>
      <c r="AE60" s="1975"/>
      <c r="AF60" s="641">
        <f t="shared" si="1"/>
        <v>40360</v>
      </c>
      <c r="AG60" s="3141">
        <v>119440</v>
      </c>
    </row>
    <row r="61" spans="1:33" s="10" customFormat="1">
      <c r="A61" s="63">
        <f t="shared" si="3"/>
        <v>1997.04</v>
      </c>
      <c r="B61" s="250">
        <v>676235</v>
      </c>
      <c r="C61" s="3140">
        <v>112520</v>
      </c>
      <c r="D61" s="3140">
        <v>565</v>
      </c>
      <c r="E61" s="134">
        <v>63976</v>
      </c>
      <c r="F61" s="573">
        <v>123105</v>
      </c>
      <c r="G61" s="3140">
        <v>42700</v>
      </c>
      <c r="H61" s="3140">
        <v>180</v>
      </c>
      <c r="I61" s="86">
        <v>10097</v>
      </c>
      <c r="J61" s="573">
        <v>536527</v>
      </c>
      <c r="K61" s="3140">
        <v>46928</v>
      </c>
      <c r="L61" s="3140">
        <v>0</v>
      </c>
      <c r="M61" s="86">
        <v>30508</v>
      </c>
      <c r="N61" s="573">
        <v>4204</v>
      </c>
      <c r="O61" s="3140">
        <v>0</v>
      </c>
      <c r="P61" s="3140">
        <v>367</v>
      </c>
      <c r="Q61" s="86">
        <v>0</v>
      </c>
      <c r="R61" s="134">
        <v>802551</v>
      </c>
      <c r="S61" s="3140">
        <v>639215</v>
      </c>
      <c r="T61" s="3140">
        <v>5628</v>
      </c>
      <c r="U61" s="86">
        <v>63976</v>
      </c>
      <c r="V61" s="134">
        <v>59500</v>
      </c>
      <c r="W61" s="1976">
        <v>48465</v>
      </c>
      <c r="X61" s="640"/>
      <c r="Y61" s="1977"/>
      <c r="Z61" s="641">
        <f t="shared" si="2"/>
        <v>107965</v>
      </c>
      <c r="AA61" s="1976">
        <v>107970</v>
      </c>
      <c r="AB61" s="573">
        <v>14800</v>
      </c>
      <c r="AC61" s="1976">
        <v>93890</v>
      </c>
      <c r="AD61" s="1974"/>
      <c r="AE61" s="1975"/>
      <c r="AF61" s="641">
        <f t="shared" si="1"/>
        <v>108690</v>
      </c>
      <c r="AG61" s="3141">
        <v>258760</v>
      </c>
    </row>
    <row r="62" spans="1:33" s="10" customFormat="1">
      <c r="A62" s="63">
        <f t="shared" si="3"/>
        <v>1997.05</v>
      </c>
      <c r="B62" s="250">
        <v>923459</v>
      </c>
      <c r="C62" s="3140">
        <v>75199</v>
      </c>
      <c r="D62" s="3140">
        <v>0</v>
      </c>
      <c r="E62" s="134">
        <v>68007</v>
      </c>
      <c r="F62" s="573">
        <v>163885</v>
      </c>
      <c r="G62" s="3140">
        <v>28891</v>
      </c>
      <c r="H62" s="3140">
        <v>0</v>
      </c>
      <c r="I62" s="86">
        <v>10766</v>
      </c>
      <c r="J62" s="573">
        <v>735253</v>
      </c>
      <c r="K62" s="3140">
        <v>30749</v>
      </c>
      <c r="L62" s="3140">
        <v>0</v>
      </c>
      <c r="M62" s="86">
        <v>32715</v>
      </c>
      <c r="N62" s="573">
        <v>4749</v>
      </c>
      <c r="O62" s="3140">
        <v>0</v>
      </c>
      <c r="P62" s="3140">
        <v>0</v>
      </c>
      <c r="Q62" s="86">
        <v>0</v>
      </c>
      <c r="R62" s="134">
        <v>1120252</v>
      </c>
      <c r="S62" s="3140">
        <v>555987</v>
      </c>
      <c r="T62" s="3140">
        <v>396</v>
      </c>
      <c r="U62" s="86">
        <v>68007</v>
      </c>
      <c r="V62" s="134">
        <v>67774</v>
      </c>
      <c r="W62" s="1976">
        <v>110636</v>
      </c>
      <c r="X62" s="640"/>
      <c r="Y62" s="1977"/>
      <c r="Z62" s="641">
        <f t="shared" si="2"/>
        <v>178410</v>
      </c>
      <c r="AA62" s="1976">
        <v>178780</v>
      </c>
      <c r="AB62" s="573">
        <v>3000</v>
      </c>
      <c r="AC62" s="1976">
        <v>31430</v>
      </c>
      <c r="AD62" s="1974"/>
      <c r="AE62" s="1975"/>
      <c r="AF62" s="641">
        <f t="shared" si="1"/>
        <v>34430</v>
      </c>
      <c r="AG62" s="3141">
        <v>147380</v>
      </c>
    </row>
    <row r="63" spans="1:33" s="10" customFormat="1">
      <c r="A63" s="63">
        <f t="shared" si="3"/>
        <v>1997.06</v>
      </c>
      <c r="B63" s="250">
        <v>955655</v>
      </c>
      <c r="C63" s="3140">
        <v>83656</v>
      </c>
      <c r="D63" s="3140">
        <v>0</v>
      </c>
      <c r="E63" s="134">
        <v>46587</v>
      </c>
      <c r="F63" s="573">
        <v>169869</v>
      </c>
      <c r="G63" s="3140">
        <v>32269</v>
      </c>
      <c r="H63" s="3140">
        <v>0</v>
      </c>
      <c r="I63" s="86">
        <v>7697</v>
      </c>
      <c r="J63" s="573">
        <v>762946</v>
      </c>
      <c r="K63" s="3140">
        <v>31020</v>
      </c>
      <c r="L63" s="3140">
        <v>0</v>
      </c>
      <c r="M63" s="86">
        <v>23835</v>
      </c>
      <c r="N63" s="573">
        <v>4222</v>
      </c>
      <c r="O63" s="3140">
        <v>0</v>
      </c>
      <c r="P63" s="3140">
        <v>0</v>
      </c>
      <c r="Q63" s="86">
        <v>0</v>
      </c>
      <c r="R63" s="134">
        <v>1191460</v>
      </c>
      <c r="S63" s="3140">
        <v>486151</v>
      </c>
      <c r="T63" s="3140">
        <v>0</v>
      </c>
      <c r="U63" s="86">
        <v>46587</v>
      </c>
      <c r="V63" s="134">
        <v>59318</v>
      </c>
      <c r="W63" s="1976">
        <v>131586</v>
      </c>
      <c r="X63" s="640"/>
      <c r="Y63" s="1977"/>
      <c r="Z63" s="641">
        <f t="shared" si="2"/>
        <v>190904</v>
      </c>
      <c r="AA63" s="1976">
        <v>193400</v>
      </c>
      <c r="AB63" s="573">
        <v>10000</v>
      </c>
      <c r="AC63" s="1976">
        <v>34924</v>
      </c>
      <c r="AD63" s="1974"/>
      <c r="AE63" s="1975"/>
      <c r="AF63" s="641">
        <f t="shared" si="1"/>
        <v>44924</v>
      </c>
      <c r="AG63" s="3141">
        <v>160560</v>
      </c>
    </row>
    <row r="64" spans="1:33" s="10" customFormat="1">
      <c r="A64" s="63">
        <f t="shared" si="3"/>
        <v>1997.07</v>
      </c>
      <c r="B64" s="250">
        <v>1045724</v>
      </c>
      <c r="C64" s="3140">
        <v>55167</v>
      </c>
      <c r="D64" s="3140">
        <v>877</v>
      </c>
      <c r="E64" s="134">
        <v>6745</v>
      </c>
      <c r="F64" s="573">
        <v>187462</v>
      </c>
      <c r="G64" s="3140">
        <v>21206</v>
      </c>
      <c r="H64" s="3140">
        <v>284</v>
      </c>
      <c r="I64" s="86">
        <v>877</v>
      </c>
      <c r="J64" s="573">
        <v>835228</v>
      </c>
      <c r="K64" s="3140">
        <v>20040</v>
      </c>
      <c r="L64" s="3140">
        <v>0</v>
      </c>
      <c r="M64" s="86">
        <v>3035</v>
      </c>
      <c r="N64" s="573">
        <v>4852</v>
      </c>
      <c r="O64" s="3140">
        <v>0</v>
      </c>
      <c r="P64" s="3140">
        <v>567</v>
      </c>
      <c r="Q64" s="86">
        <v>0</v>
      </c>
      <c r="R64" s="134">
        <v>1289784</v>
      </c>
      <c r="S64" s="3140">
        <v>393638</v>
      </c>
      <c r="T64" s="3140">
        <v>1279</v>
      </c>
      <c r="U64" s="86">
        <v>26391</v>
      </c>
      <c r="V64" s="134">
        <v>58485</v>
      </c>
      <c r="W64" s="1976">
        <v>126251</v>
      </c>
      <c r="X64" s="640"/>
      <c r="Y64" s="1977"/>
      <c r="Z64" s="641">
        <f t="shared" si="2"/>
        <v>184736</v>
      </c>
      <c r="AA64" s="1976">
        <v>194970</v>
      </c>
      <c r="AB64" s="573">
        <v>25788</v>
      </c>
      <c r="AC64" s="1976">
        <v>50000</v>
      </c>
      <c r="AD64" s="1974"/>
      <c r="AE64" s="1975"/>
      <c r="AF64" s="641">
        <f t="shared" si="1"/>
        <v>75788</v>
      </c>
      <c r="AG64" s="3141">
        <v>170370</v>
      </c>
    </row>
    <row r="65" spans="1:33" s="10" customFormat="1">
      <c r="A65" s="63">
        <f t="shared" si="3"/>
        <v>1997.08</v>
      </c>
      <c r="B65" s="250">
        <v>1140156</v>
      </c>
      <c r="C65" s="3140">
        <v>87264</v>
      </c>
      <c r="D65" s="3140">
        <v>0</v>
      </c>
      <c r="E65" s="134">
        <v>6759</v>
      </c>
      <c r="F65" s="573">
        <v>203269</v>
      </c>
      <c r="G65" s="3140">
        <v>34151</v>
      </c>
      <c r="H65" s="3140">
        <v>0</v>
      </c>
      <c r="I65" s="86">
        <v>879</v>
      </c>
      <c r="J65" s="573">
        <v>908656</v>
      </c>
      <c r="K65" s="3140">
        <v>31351</v>
      </c>
      <c r="L65" s="3140">
        <v>0</v>
      </c>
      <c r="M65" s="86">
        <v>3042</v>
      </c>
      <c r="N65" s="573">
        <v>4978</v>
      </c>
      <c r="O65" s="3140">
        <v>0</v>
      </c>
      <c r="P65" s="3140">
        <v>0</v>
      </c>
      <c r="Q65" s="86">
        <v>0</v>
      </c>
      <c r="R65" s="134">
        <v>1304837</v>
      </c>
      <c r="S65" s="3140">
        <v>490330</v>
      </c>
      <c r="T65" s="3140">
        <v>0</v>
      </c>
      <c r="U65" s="86">
        <v>6759</v>
      </c>
      <c r="V65" s="134">
        <v>79200</v>
      </c>
      <c r="W65" s="1976">
        <v>120212</v>
      </c>
      <c r="X65" s="640"/>
      <c r="Y65" s="1977"/>
      <c r="Z65" s="641">
        <f t="shared" si="2"/>
        <v>199412</v>
      </c>
      <c r="AA65" s="1976">
        <v>206420</v>
      </c>
      <c r="AB65" s="573">
        <v>8500</v>
      </c>
      <c r="AC65" s="1976">
        <v>14280</v>
      </c>
      <c r="AD65" s="1974"/>
      <c r="AE65" s="1975"/>
      <c r="AF65" s="641">
        <f t="shared" si="1"/>
        <v>22780</v>
      </c>
      <c r="AG65" s="3141">
        <v>154090</v>
      </c>
    </row>
    <row r="66" spans="1:33" s="10" customFormat="1">
      <c r="A66" s="63">
        <f t="shared" si="3"/>
        <v>1997.09</v>
      </c>
      <c r="B66" s="250">
        <v>1052207</v>
      </c>
      <c r="C66" s="3140">
        <v>76757</v>
      </c>
      <c r="D66" s="3140">
        <v>0</v>
      </c>
      <c r="E66" s="134">
        <v>16238</v>
      </c>
      <c r="F66" s="573">
        <v>187781</v>
      </c>
      <c r="G66" s="3140">
        <v>29678</v>
      </c>
      <c r="H66" s="3140">
        <v>0</v>
      </c>
      <c r="I66" s="86">
        <v>2111</v>
      </c>
      <c r="J66" s="573">
        <v>836687</v>
      </c>
      <c r="K66" s="3140">
        <v>27088</v>
      </c>
      <c r="L66" s="3140">
        <v>0</v>
      </c>
      <c r="M66" s="86">
        <v>7307</v>
      </c>
      <c r="N66" s="573">
        <v>4411</v>
      </c>
      <c r="O66" s="3140">
        <v>0</v>
      </c>
      <c r="P66" s="3140">
        <v>0</v>
      </c>
      <c r="Q66" s="86">
        <v>0</v>
      </c>
      <c r="R66" s="134">
        <v>1253725</v>
      </c>
      <c r="S66" s="3140">
        <v>459265</v>
      </c>
      <c r="T66" s="3140">
        <v>0</v>
      </c>
      <c r="U66" s="86">
        <v>16245</v>
      </c>
      <c r="V66" s="134">
        <v>77754</v>
      </c>
      <c r="W66" s="1976">
        <v>124866</v>
      </c>
      <c r="X66" s="640"/>
      <c r="Y66" s="1977"/>
      <c r="Z66" s="641">
        <f t="shared" si="2"/>
        <v>202620</v>
      </c>
      <c r="AA66" s="1976">
        <v>203590</v>
      </c>
      <c r="AB66" s="573">
        <v>16700</v>
      </c>
      <c r="AC66" s="1976">
        <v>28566</v>
      </c>
      <c r="AD66" s="1974"/>
      <c r="AE66" s="1975"/>
      <c r="AF66" s="641">
        <f t="shared" si="1"/>
        <v>45266</v>
      </c>
      <c r="AG66" s="3141">
        <v>141820</v>
      </c>
    </row>
    <row r="67" spans="1:33" s="10" customFormat="1">
      <c r="A67" s="63">
        <f t="shared" si="3"/>
        <v>1997.1</v>
      </c>
      <c r="B67" s="250">
        <v>944422</v>
      </c>
      <c r="C67" s="3140">
        <v>96350</v>
      </c>
      <c r="D67" s="3140">
        <v>0</v>
      </c>
      <c r="E67" s="134">
        <v>0</v>
      </c>
      <c r="F67" s="573">
        <v>170215</v>
      </c>
      <c r="G67" s="3140">
        <v>37860</v>
      </c>
      <c r="H67" s="3140">
        <v>0</v>
      </c>
      <c r="I67" s="86">
        <v>0</v>
      </c>
      <c r="J67" s="573">
        <v>756423</v>
      </c>
      <c r="K67" s="3140">
        <v>37552</v>
      </c>
      <c r="L67" s="3140">
        <v>0</v>
      </c>
      <c r="M67" s="86">
        <v>0</v>
      </c>
      <c r="N67" s="573">
        <v>4097</v>
      </c>
      <c r="O67" s="3140">
        <v>0</v>
      </c>
      <c r="P67" s="3140">
        <v>0</v>
      </c>
      <c r="Q67" s="86">
        <v>0</v>
      </c>
      <c r="R67" s="134">
        <v>1097042</v>
      </c>
      <c r="S67" s="3140">
        <v>501175</v>
      </c>
      <c r="T67" s="3140">
        <v>0</v>
      </c>
      <c r="U67" s="86">
        <v>0</v>
      </c>
      <c r="V67" s="134">
        <v>86191</v>
      </c>
      <c r="W67" s="1976">
        <v>113340</v>
      </c>
      <c r="X67" s="640"/>
      <c r="Y67" s="1977"/>
      <c r="Z67" s="641">
        <f t="shared" si="2"/>
        <v>199531</v>
      </c>
      <c r="AA67" s="1976">
        <v>199530</v>
      </c>
      <c r="AB67" s="573">
        <v>2500</v>
      </c>
      <c r="AC67" s="1976">
        <v>28588</v>
      </c>
      <c r="AD67" s="1974"/>
      <c r="AE67" s="1975"/>
      <c r="AF67" s="641">
        <f t="shared" si="1"/>
        <v>31088</v>
      </c>
      <c r="AG67" s="3141">
        <v>111440</v>
      </c>
    </row>
    <row r="68" spans="1:33" s="10" customFormat="1">
      <c r="A68" s="63">
        <f t="shared" si="3"/>
        <v>1997.11</v>
      </c>
      <c r="B68" s="250">
        <v>526382</v>
      </c>
      <c r="C68" s="3140">
        <v>17008</v>
      </c>
      <c r="D68" s="3140">
        <v>0</v>
      </c>
      <c r="E68" s="134">
        <v>0</v>
      </c>
      <c r="F68" s="573">
        <v>95198</v>
      </c>
      <c r="G68" s="3140">
        <v>6955</v>
      </c>
      <c r="H68" s="3140">
        <v>0</v>
      </c>
      <c r="I68" s="86">
        <v>0</v>
      </c>
      <c r="J68" s="573">
        <v>423227</v>
      </c>
      <c r="K68" s="3140">
        <v>7361</v>
      </c>
      <c r="L68" s="3140">
        <v>0</v>
      </c>
      <c r="M68" s="86">
        <v>0</v>
      </c>
      <c r="N68" s="573">
        <v>3946</v>
      </c>
      <c r="O68" s="3140">
        <v>0</v>
      </c>
      <c r="P68" s="3140">
        <v>0</v>
      </c>
      <c r="Q68" s="86">
        <v>0</v>
      </c>
      <c r="R68" s="134">
        <v>580703</v>
      </c>
      <c r="S68" s="3140">
        <v>372785</v>
      </c>
      <c r="T68" s="3140">
        <v>0</v>
      </c>
      <c r="U68" s="86">
        <v>0</v>
      </c>
      <c r="V68" s="134">
        <v>40100</v>
      </c>
      <c r="W68" s="1976">
        <v>85445</v>
      </c>
      <c r="X68" s="640"/>
      <c r="Y68" s="1977"/>
      <c r="Z68" s="641">
        <f t="shared" si="2"/>
        <v>125545</v>
      </c>
      <c r="AA68" s="1976">
        <v>125590</v>
      </c>
      <c r="AB68" s="573">
        <v>1000</v>
      </c>
      <c r="AC68" s="1976">
        <v>6125</v>
      </c>
      <c r="AD68" s="1974"/>
      <c r="AE68" s="1975"/>
      <c r="AF68" s="641">
        <f t="shared" si="1"/>
        <v>7125</v>
      </c>
      <c r="AG68" s="3141">
        <v>102540</v>
      </c>
    </row>
    <row r="69" spans="1:33" s="10" customFormat="1">
      <c r="A69" s="63">
        <f t="shared" si="3"/>
        <v>1997.12</v>
      </c>
      <c r="B69" s="250">
        <v>531655</v>
      </c>
      <c r="C69" s="3140">
        <v>22150</v>
      </c>
      <c r="D69" s="3140">
        <v>0</v>
      </c>
      <c r="E69" s="134">
        <v>0</v>
      </c>
      <c r="F69" s="573">
        <v>94826</v>
      </c>
      <c r="G69" s="3140">
        <v>9037</v>
      </c>
      <c r="H69" s="3140">
        <v>0</v>
      </c>
      <c r="I69" s="86">
        <v>0</v>
      </c>
      <c r="J69" s="573">
        <v>421692</v>
      </c>
      <c r="K69" s="3140">
        <v>7786</v>
      </c>
      <c r="L69" s="3140">
        <v>0</v>
      </c>
      <c r="M69" s="86">
        <v>0</v>
      </c>
      <c r="N69" s="573">
        <v>3812</v>
      </c>
      <c r="O69" s="3140">
        <v>0</v>
      </c>
      <c r="P69" s="3140">
        <v>0</v>
      </c>
      <c r="Q69" s="86">
        <v>0</v>
      </c>
      <c r="R69" s="134">
        <v>615185</v>
      </c>
      <c r="S69" s="3140">
        <v>221388</v>
      </c>
      <c r="T69" s="3140">
        <v>8842</v>
      </c>
      <c r="U69" s="86">
        <v>0</v>
      </c>
      <c r="V69" s="134">
        <v>36325</v>
      </c>
      <c r="W69" s="1976">
        <v>90125</v>
      </c>
      <c r="X69" s="640"/>
      <c r="Y69" s="1977"/>
      <c r="Z69" s="641">
        <f t="shared" si="2"/>
        <v>126450</v>
      </c>
      <c r="AA69" s="1976">
        <v>131700</v>
      </c>
      <c r="AB69" s="573">
        <v>2000</v>
      </c>
      <c r="AC69" s="1976">
        <v>0</v>
      </c>
      <c r="AD69" s="1974"/>
      <c r="AE69" s="1975"/>
      <c r="AF69" s="641">
        <f t="shared" si="1"/>
        <v>2000</v>
      </c>
      <c r="AG69" s="3141">
        <v>114480</v>
      </c>
    </row>
    <row r="70" spans="1:33" s="10" customFormat="1">
      <c r="A70" s="63">
        <f t="shared" si="3"/>
        <v>1998.01</v>
      </c>
      <c r="B70" s="250">
        <v>496298</v>
      </c>
      <c r="C70" s="3140">
        <v>113108</v>
      </c>
      <c r="D70" s="3140">
        <v>0</v>
      </c>
      <c r="E70" s="134">
        <v>0</v>
      </c>
      <c r="F70" s="573">
        <v>88057</v>
      </c>
      <c r="G70" s="3140">
        <v>43760</v>
      </c>
      <c r="H70" s="3140">
        <v>0</v>
      </c>
      <c r="I70" s="86">
        <v>0</v>
      </c>
      <c r="J70" s="573">
        <v>392828</v>
      </c>
      <c r="K70" s="3140">
        <v>45774</v>
      </c>
      <c r="L70" s="3140">
        <v>0</v>
      </c>
      <c r="M70" s="86">
        <v>0</v>
      </c>
      <c r="N70" s="573">
        <v>4008</v>
      </c>
      <c r="O70" s="3140">
        <v>0</v>
      </c>
      <c r="P70" s="3140">
        <v>0</v>
      </c>
      <c r="Q70" s="86">
        <v>0</v>
      </c>
      <c r="R70" s="134">
        <v>543041</v>
      </c>
      <c r="S70" s="3142">
        <v>163693</v>
      </c>
      <c r="T70" s="3140">
        <v>9738</v>
      </c>
      <c r="U70" s="86">
        <v>0</v>
      </c>
      <c r="V70" s="134">
        <v>37861</v>
      </c>
      <c r="W70" s="1976">
        <v>79803</v>
      </c>
      <c r="X70" s="640"/>
      <c r="Y70" s="1977"/>
      <c r="Z70" s="641">
        <f t="shared" si="2"/>
        <v>117664</v>
      </c>
      <c r="AA70" s="1976">
        <v>117660</v>
      </c>
      <c r="AB70" s="573">
        <v>843</v>
      </c>
      <c r="AC70" s="1976">
        <v>18151</v>
      </c>
      <c r="AD70" s="1974"/>
      <c r="AE70" s="1975"/>
      <c r="AF70" s="641">
        <f t="shared" si="1"/>
        <v>18994</v>
      </c>
      <c r="AG70" s="3141">
        <v>73930</v>
      </c>
    </row>
    <row r="71" spans="1:33" s="10" customFormat="1">
      <c r="A71" s="63">
        <f t="shared" si="3"/>
        <v>1998.02</v>
      </c>
      <c r="B71" s="250">
        <v>241353</v>
      </c>
      <c r="C71" s="3140">
        <v>155083</v>
      </c>
      <c r="D71" s="3140">
        <v>6969</v>
      </c>
      <c r="E71" s="134">
        <v>0</v>
      </c>
      <c r="F71" s="573">
        <v>42688</v>
      </c>
      <c r="G71" s="3140">
        <v>57968</v>
      </c>
      <c r="H71" s="3140">
        <v>2106</v>
      </c>
      <c r="I71" s="86">
        <v>0</v>
      </c>
      <c r="J71" s="573">
        <v>191137</v>
      </c>
      <c r="K71" s="3140">
        <v>76768</v>
      </c>
      <c r="L71" s="3140">
        <v>0</v>
      </c>
      <c r="M71" s="86">
        <v>0</v>
      </c>
      <c r="N71" s="573">
        <v>3617</v>
      </c>
      <c r="O71" s="3140">
        <v>0</v>
      </c>
      <c r="P71" s="3140">
        <v>4744</v>
      </c>
      <c r="Q71" s="86">
        <v>0</v>
      </c>
      <c r="R71" s="134">
        <v>255597</v>
      </c>
      <c r="S71" s="3140">
        <v>295165</v>
      </c>
      <c r="T71" s="3140">
        <v>16941</v>
      </c>
      <c r="U71" s="86">
        <v>0</v>
      </c>
      <c r="V71" s="134">
        <v>24526</v>
      </c>
      <c r="W71" s="1976">
        <v>51500</v>
      </c>
      <c r="X71" s="640"/>
      <c r="Y71" s="1977"/>
      <c r="Z71" s="641">
        <f t="shared" si="2"/>
        <v>76026</v>
      </c>
      <c r="AA71" s="1976">
        <v>76030</v>
      </c>
      <c r="AB71" s="573">
        <v>0</v>
      </c>
      <c r="AC71" s="1976">
        <v>37100</v>
      </c>
      <c r="AD71" s="1974"/>
      <c r="AE71" s="1975"/>
      <c r="AF71" s="641">
        <f t="shared" si="1"/>
        <v>37100</v>
      </c>
      <c r="AG71" s="3141">
        <v>43540</v>
      </c>
    </row>
    <row r="72" spans="1:33" s="10" customFormat="1">
      <c r="A72" s="63">
        <f t="shared" si="3"/>
        <v>1998.03</v>
      </c>
      <c r="B72" s="250">
        <v>330831</v>
      </c>
      <c r="C72" s="3140">
        <v>257288</v>
      </c>
      <c r="D72" s="3140">
        <v>6592</v>
      </c>
      <c r="E72" s="134">
        <v>28633</v>
      </c>
      <c r="F72" s="573">
        <v>60399</v>
      </c>
      <c r="G72" s="3140">
        <v>97583</v>
      </c>
      <c r="H72" s="3140">
        <v>2116</v>
      </c>
      <c r="I72" s="86">
        <v>3722</v>
      </c>
      <c r="J72" s="573">
        <v>262006</v>
      </c>
      <c r="K72" s="3140">
        <v>133971</v>
      </c>
      <c r="L72" s="3140">
        <v>0</v>
      </c>
      <c r="M72" s="86">
        <v>12885</v>
      </c>
      <c r="N72" s="573">
        <v>4699</v>
      </c>
      <c r="O72" s="3140">
        <v>0</v>
      </c>
      <c r="P72" s="3140">
        <v>4177</v>
      </c>
      <c r="Q72" s="86">
        <v>0</v>
      </c>
      <c r="R72" s="134">
        <v>369302</v>
      </c>
      <c r="S72" s="3140">
        <v>822151</v>
      </c>
      <c r="T72" s="3140">
        <v>14436</v>
      </c>
      <c r="U72" s="86">
        <v>28633</v>
      </c>
      <c r="V72" s="134">
        <v>4970</v>
      </c>
      <c r="W72" s="1976">
        <v>29179</v>
      </c>
      <c r="X72" s="640"/>
      <c r="Y72" s="1977"/>
      <c r="Z72" s="641">
        <f t="shared" si="2"/>
        <v>34149</v>
      </c>
      <c r="AA72" s="1976">
        <v>34620</v>
      </c>
      <c r="AB72" s="573">
        <v>19298</v>
      </c>
      <c r="AC72" s="1976">
        <v>83460</v>
      </c>
      <c r="AD72" s="1974"/>
      <c r="AE72" s="1975"/>
      <c r="AF72" s="641">
        <f t="shared" si="1"/>
        <v>102758</v>
      </c>
      <c r="AG72" s="3141">
        <v>176310</v>
      </c>
    </row>
    <row r="73" spans="1:33" s="10" customFormat="1">
      <c r="A73" s="63">
        <f t="shared" si="3"/>
        <v>1998.04</v>
      </c>
      <c r="B73" s="250">
        <v>1033458</v>
      </c>
      <c r="C73" s="3140">
        <v>130729</v>
      </c>
      <c r="D73" s="3140">
        <v>0</v>
      </c>
      <c r="E73" s="134">
        <v>31044</v>
      </c>
      <c r="F73" s="573">
        <v>186876</v>
      </c>
      <c r="G73" s="3140">
        <v>50196</v>
      </c>
      <c r="H73" s="3140">
        <v>0</v>
      </c>
      <c r="I73" s="86">
        <v>3841</v>
      </c>
      <c r="J73" s="573">
        <v>817081</v>
      </c>
      <c r="K73" s="3140">
        <v>57432</v>
      </c>
      <c r="L73" s="3140">
        <v>0</v>
      </c>
      <c r="M73" s="86">
        <v>14258</v>
      </c>
      <c r="N73" s="573">
        <v>5617</v>
      </c>
      <c r="O73" s="3140">
        <v>0</v>
      </c>
      <c r="P73" s="3140">
        <v>0</v>
      </c>
      <c r="Q73" s="86">
        <v>0</v>
      </c>
      <c r="R73" s="134">
        <v>1161016</v>
      </c>
      <c r="S73" s="3140">
        <v>664661</v>
      </c>
      <c r="T73" s="3140">
        <v>1430</v>
      </c>
      <c r="U73" s="86">
        <v>31044</v>
      </c>
      <c r="V73" s="134">
        <v>47100</v>
      </c>
      <c r="W73" s="1976">
        <v>73342</v>
      </c>
      <c r="X73" s="640"/>
      <c r="Y73" s="1977"/>
      <c r="Z73" s="641">
        <f t="shared" si="2"/>
        <v>120442</v>
      </c>
      <c r="AA73" s="1976">
        <v>120440</v>
      </c>
      <c r="AB73" s="573">
        <v>15750</v>
      </c>
      <c r="AC73" s="1976">
        <v>69911</v>
      </c>
      <c r="AD73" s="1974"/>
      <c r="AE73" s="1975"/>
      <c r="AF73" s="641">
        <f t="shared" si="1"/>
        <v>85661</v>
      </c>
      <c r="AG73" s="3141">
        <v>271760</v>
      </c>
    </row>
    <row r="74" spans="1:33" s="10" customFormat="1">
      <c r="A74" s="63">
        <f t="shared" si="3"/>
        <v>1998.05</v>
      </c>
      <c r="B74" s="250">
        <v>1247989</v>
      </c>
      <c r="C74" s="3140">
        <v>80350</v>
      </c>
      <c r="D74" s="3140">
        <v>330</v>
      </c>
      <c r="E74" s="134">
        <v>33089</v>
      </c>
      <c r="F74" s="573">
        <v>222368</v>
      </c>
      <c r="G74" s="3140">
        <v>30687</v>
      </c>
      <c r="H74" s="3140">
        <v>109</v>
      </c>
      <c r="I74" s="86">
        <v>4302</v>
      </c>
      <c r="J74" s="573">
        <v>994853</v>
      </c>
      <c r="K74" s="3140">
        <v>30259</v>
      </c>
      <c r="L74" s="3140">
        <v>0</v>
      </c>
      <c r="M74" s="86">
        <v>14890</v>
      </c>
      <c r="N74" s="573">
        <v>5856</v>
      </c>
      <c r="O74" s="3140">
        <v>0</v>
      </c>
      <c r="P74" s="3140">
        <v>203</v>
      </c>
      <c r="Q74" s="86">
        <v>0</v>
      </c>
      <c r="R74" s="134">
        <v>1460967</v>
      </c>
      <c r="S74" s="3140">
        <v>589933</v>
      </c>
      <c r="T74" s="3140">
        <v>2236</v>
      </c>
      <c r="U74" s="86">
        <v>33089</v>
      </c>
      <c r="V74" s="134">
        <v>84490</v>
      </c>
      <c r="W74" s="1976">
        <v>139441</v>
      </c>
      <c r="X74" s="640"/>
      <c r="Y74" s="1977"/>
      <c r="Z74" s="641">
        <f t="shared" si="2"/>
        <v>223931</v>
      </c>
      <c r="AA74" s="1976">
        <v>223930</v>
      </c>
      <c r="AB74" s="573">
        <v>25558</v>
      </c>
      <c r="AC74" s="1976">
        <v>23015</v>
      </c>
      <c r="AD74" s="1974"/>
      <c r="AE74" s="1975"/>
      <c r="AF74" s="641">
        <f t="shared" si="1"/>
        <v>48573</v>
      </c>
      <c r="AG74" s="3141">
        <v>118130</v>
      </c>
    </row>
    <row r="75" spans="1:33" s="10" customFormat="1">
      <c r="A75" s="63">
        <f t="shared" si="3"/>
        <v>1998.06</v>
      </c>
      <c r="B75" s="250">
        <v>1369662</v>
      </c>
      <c r="C75" s="3140">
        <v>54915</v>
      </c>
      <c r="D75" s="3140">
        <v>0</v>
      </c>
      <c r="E75" s="134">
        <v>34077</v>
      </c>
      <c r="F75" s="573">
        <v>240045</v>
      </c>
      <c r="G75" s="3140">
        <v>21138</v>
      </c>
      <c r="H75" s="3140">
        <v>0</v>
      </c>
      <c r="I75" s="86">
        <v>4430</v>
      </c>
      <c r="J75" s="573">
        <v>1094433</v>
      </c>
      <c r="K75" s="3140">
        <v>23293</v>
      </c>
      <c r="L75" s="3140">
        <v>0</v>
      </c>
      <c r="M75" s="86">
        <v>15335</v>
      </c>
      <c r="N75" s="573">
        <v>5890</v>
      </c>
      <c r="O75" s="3140">
        <v>0</v>
      </c>
      <c r="P75" s="3140">
        <v>0</v>
      </c>
      <c r="Q75" s="86">
        <v>0</v>
      </c>
      <c r="R75" s="134">
        <v>1570656</v>
      </c>
      <c r="S75" s="3140">
        <v>554382</v>
      </c>
      <c r="T75" s="3140">
        <v>4420</v>
      </c>
      <c r="U75" s="86">
        <v>34077</v>
      </c>
      <c r="V75" s="134">
        <v>75485</v>
      </c>
      <c r="W75" s="1976">
        <v>207103</v>
      </c>
      <c r="X75" s="640"/>
      <c r="Y75" s="1977"/>
      <c r="Z75" s="641">
        <f t="shared" ref="Z75:Z138" si="4">SUM(V75:Y75)</f>
        <v>282588</v>
      </c>
      <c r="AA75" s="1976">
        <v>282590</v>
      </c>
      <c r="AB75" s="573">
        <v>13000</v>
      </c>
      <c r="AC75" s="1976">
        <v>14650</v>
      </c>
      <c r="AD75" s="1974"/>
      <c r="AE75" s="1975"/>
      <c r="AF75" s="641">
        <f t="shared" ref="AF75:AF138" si="5">SUM(AB75:AE75)</f>
        <v>27650</v>
      </c>
      <c r="AG75" s="3141">
        <v>192870</v>
      </c>
    </row>
    <row r="76" spans="1:33" s="10" customFormat="1">
      <c r="A76" s="63">
        <f t="shared" si="3"/>
        <v>1998.07</v>
      </c>
      <c r="B76" s="250">
        <v>1519291</v>
      </c>
      <c r="C76" s="3140">
        <v>47176</v>
      </c>
      <c r="D76" s="3140">
        <v>0</v>
      </c>
      <c r="E76" s="134">
        <v>34366</v>
      </c>
      <c r="F76" s="573">
        <v>267673</v>
      </c>
      <c r="G76" s="3140">
        <v>17930</v>
      </c>
      <c r="H76" s="3140">
        <v>0</v>
      </c>
      <c r="I76" s="86">
        <v>4460</v>
      </c>
      <c r="J76" s="573">
        <v>1221847</v>
      </c>
      <c r="K76" s="3140">
        <v>18967</v>
      </c>
      <c r="L76" s="3140">
        <v>0</v>
      </c>
      <c r="M76" s="86">
        <v>15465</v>
      </c>
      <c r="N76" s="573">
        <v>5077</v>
      </c>
      <c r="O76" s="3140">
        <v>0</v>
      </c>
      <c r="P76" s="3140">
        <v>0</v>
      </c>
      <c r="Q76" s="86">
        <v>0</v>
      </c>
      <c r="R76" s="134">
        <v>1713358</v>
      </c>
      <c r="S76" s="3140">
        <v>520542</v>
      </c>
      <c r="T76" s="3140">
        <v>1250</v>
      </c>
      <c r="U76" s="86">
        <v>34366</v>
      </c>
      <c r="V76" s="134">
        <v>80000</v>
      </c>
      <c r="W76" s="1976">
        <v>185822</v>
      </c>
      <c r="X76" s="640"/>
      <c r="Y76" s="1977"/>
      <c r="Z76" s="641">
        <f t="shared" si="4"/>
        <v>265822</v>
      </c>
      <c r="AA76" s="1976">
        <v>265820</v>
      </c>
      <c r="AB76" s="573">
        <v>23300</v>
      </c>
      <c r="AC76" s="1976">
        <v>15661</v>
      </c>
      <c r="AD76" s="1974"/>
      <c r="AE76" s="1975"/>
      <c r="AF76" s="641">
        <f t="shared" si="5"/>
        <v>38961</v>
      </c>
      <c r="AG76" s="3141">
        <v>119850</v>
      </c>
    </row>
    <row r="77" spans="1:33" s="10" customFormat="1">
      <c r="A77" s="63">
        <f t="shared" si="3"/>
        <v>1998.08</v>
      </c>
      <c r="B77" s="250">
        <v>1450350</v>
      </c>
      <c r="C77" s="3140">
        <v>53648</v>
      </c>
      <c r="D77" s="3140">
        <v>501</v>
      </c>
      <c r="E77" s="134">
        <v>64421</v>
      </c>
      <c r="F77" s="573">
        <v>254888</v>
      </c>
      <c r="G77" s="3140">
        <v>20176</v>
      </c>
      <c r="H77" s="3140">
        <v>164</v>
      </c>
      <c r="I77" s="86">
        <v>9176</v>
      </c>
      <c r="J77" s="573">
        <v>1155278</v>
      </c>
      <c r="K77" s="3140">
        <v>22387</v>
      </c>
      <c r="L77" s="3140">
        <v>0</v>
      </c>
      <c r="M77" s="86">
        <v>28497</v>
      </c>
      <c r="N77" s="573">
        <v>5807</v>
      </c>
      <c r="O77" s="3140">
        <v>0</v>
      </c>
      <c r="P77" s="3140">
        <v>308</v>
      </c>
      <c r="Q77" s="86">
        <v>0</v>
      </c>
      <c r="R77" s="134">
        <v>1720233</v>
      </c>
      <c r="S77" s="3140">
        <v>405934</v>
      </c>
      <c r="T77" s="3140">
        <v>1351</v>
      </c>
      <c r="U77" s="86">
        <v>64421</v>
      </c>
      <c r="V77" s="134">
        <v>115803</v>
      </c>
      <c r="W77" s="1976">
        <v>173032</v>
      </c>
      <c r="X77" s="640"/>
      <c r="Y77" s="1977"/>
      <c r="Z77" s="641">
        <f t="shared" si="4"/>
        <v>288835</v>
      </c>
      <c r="AA77" s="1976">
        <v>288830</v>
      </c>
      <c r="AB77" s="573">
        <v>8000</v>
      </c>
      <c r="AC77" s="1976">
        <v>10000</v>
      </c>
      <c r="AD77" s="1974"/>
      <c r="AE77" s="1975"/>
      <c r="AF77" s="641">
        <f t="shared" si="5"/>
        <v>18000</v>
      </c>
      <c r="AG77" s="3141">
        <v>124340</v>
      </c>
    </row>
    <row r="78" spans="1:33" s="10" customFormat="1">
      <c r="A78" s="63">
        <f t="shared" si="3"/>
        <v>1998.09</v>
      </c>
      <c r="B78" s="250">
        <v>1491394</v>
      </c>
      <c r="C78" s="3140">
        <v>59980</v>
      </c>
      <c r="D78" s="3140">
        <v>1398</v>
      </c>
      <c r="E78" s="134">
        <v>54699</v>
      </c>
      <c r="F78" s="573">
        <v>263588</v>
      </c>
      <c r="G78" s="3140">
        <v>23215</v>
      </c>
      <c r="H78" s="3140">
        <v>425</v>
      </c>
      <c r="I78" s="86">
        <v>8092</v>
      </c>
      <c r="J78" s="573">
        <v>1201812</v>
      </c>
      <c r="K78" s="3140">
        <v>23883</v>
      </c>
      <c r="L78" s="3140">
        <v>0</v>
      </c>
      <c r="M78" s="86">
        <v>23384</v>
      </c>
      <c r="N78" s="573">
        <v>5147</v>
      </c>
      <c r="O78" s="3140">
        <v>0</v>
      </c>
      <c r="P78" s="3140">
        <v>897</v>
      </c>
      <c r="Q78" s="86">
        <v>0</v>
      </c>
      <c r="R78" s="134">
        <v>1799139</v>
      </c>
      <c r="S78" s="3140">
        <v>396330</v>
      </c>
      <c r="T78" s="3140">
        <v>3452</v>
      </c>
      <c r="U78" s="86">
        <v>54699</v>
      </c>
      <c r="V78" s="134">
        <v>55875</v>
      </c>
      <c r="W78" s="1976">
        <v>179681</v>
      </c>
      <c r="X78" s="640"/>
      <c r="Y78" s="1977"/>
      <c r="Z78" s="641">
        <f t="shared" si="4"/>
        <v>235556</v>
      </c>
      <c r="AA78" s="1976">
        <v>240560</v>
      </c>
      <c r="AB78" s="573">
        <v>3960</v>
      </c>
      <c r="AC78" s="1976">
        <v>6620</v>
      </c>
      <c r="AD78" s="1974"/>
      <c r="AE78" s="1975"/>
      <c r="AF78" s="641">
        <f t="shared" si="5"/>
        <v>10580</v>
      </c>
      <c r="AG78" s="3141">
        <v>97890</v>
      </c>
    </row>
    <row r="79" spans="1:33" s="10" customFormat="1">
      <c r="A79" s="63">
        <f t="shared" si="3"/>
        <v>1998.1</v>
      </c>
      <c r="B79" s="250">
        <v>1387716</v>
      </c>
      <c r="C79" s="3140">
        <v>37205</v>
      </c>
      <c r="D79" s="3140">
        <v>0</v>
      </c>
      <c r="E79" s="134">
        <v>61741</v>
      </c>
      <c r="F79" s="573">
        <v>244490</v>
      </c>
      <c r="G79" s="3140">
        <v>14398</v>
      </c>
      <c r="H79" s="3140">
        <v>0</v>
      </c>
      <c r="I79" s="86">
        <v>9336</v>
      </c>
      <c r="J79" s="573">
        <v>1112858</v>
      </c>
      <c r="K79" s="3140">
        <v>15992</v>
      </c>
      <c r="L79" s="3140">
        <v>0</v>
      </c>
      <c r="M79" s="86">
        <v>27661</v>
      </c>
      <c r="N79" s="573">
        <v>5495</v>
      </c>
      <c r="O79" s="3140">
        <v>0</v>
      </c>
      <c r="P79" s="3140">
        <v>0</v>
      </c>
      <c r="Q79" s="86">
        <v>0</v>
      </c>
      <c r="R79" s="134">
        <v>1676215</v>
      </c>
      <c r="S79" s="3140">
        <v>395045</v>
      </c>
      <c r="T79" s="3140">
        <v>2705</v>
      </c>
      <c r="U79" s="86">
        <v>61741</v>
      </c>
      <c r="V79" s="134">
        <v>55060</v>
      </c>
      <c r="W79" s="1976">
        <v>174271</v>
      </c>
      <c r="X79" s="640"/>
      <c r="Y79" s="1977"/>
      <c r="Z79" s="641">
        <f t="shared" si="4"/>
        <v>229331</v>
      </c>
      <c r="AA79" s="1976">
        <v>229330</v>
      </c>
      <c r="AB79" s="573">
        <v>16900</v>
      </c>
      <c r="AC79" s="1976">
        <v>0</v>
      </c>
      <c r="AD79" s="1974"/>
      <c r="AE79" s="1975"/>
      <c r="AF79" s="641">
        <f t="shared" si="5"/>
        <v>16900</v>
      </c>
      <c r="AG79" s="3141">
        <v>100170</v>
      </c>
    </row>
    <row r="80" spans="1:33" s="10" customFormat="1">
      <c r="A80" s="63">
        <f t="shared" si="3"/>
        <v>1998.11</v>
      </c>
      <c r="B80" s="250">
        <v>1367955</v>
      </c>
      <c r="C80" s="3140">
        <v>37810</v>
      </c>
      <c r="D80" s="3140">
        <v>0</v>
      </c>
      <c r="E80" s="134">
        <v>9836</v>
      </c>
      <c r="F80" s="573">
        <v>240037</v>
      </c>
      <c r="G80" s="3140">
        <v>14652</v>
      </c>
      <c r="H80" s="3140">
        <v>0</v>
      </c>
      <c r="I80" s="86">
        <v>1759</v>
      </c>
      <c r="J80" s="573">
        <v>1095182</v>
      </c>
      <c r="K80" s="3140">
        <v>16030</v>
      </c>
      <c r="L80" s="3140">
        <v>0</v>
      </c>
      <c r="M80" s="86">
        <v>4641</v>
      </c>
      <c r="N80" s="573">
        <v>5592</v>
      </c>
      <c r="O80" s="3140">
        <v>0</v>
      </c>
      <c r="P80" s="3140">
        <v>0</v>
      </c>
      <c r="Q80" s="86">
        <v>0</v>
      </c>
      <c r="R80" s="134">
        <v>1660790</v>
      </c>
      <c r="S80" s="3140">
        <v>269170</v>
      </c>
      <c r="T80" s="3140">
        <v>1061</v>
      </c>
      <c r="U80" s="86">
        <v>9836</v>
      </c>
      <c r="V80" s="134">
        <v>99550</v>
      </c>
      <c r="W80" s="1976">
        <v>159505</v>
      </c>
      <c r="X80" s="640"/>
      <c r="Y80" s="1977"/>
      <c r="Z80" s="641">
        <f t="shared" si="4"/>
        <v>259055</v>
      </c>
      <c r="AA80" s="1976">
        <v>270560</v>
      </c>
      <c r="AB80" s="573">
        <v>25000</v>
      </c>
      <c r="AC80" s="1976">
        <v>10199</v>
      </c>
      <c r="AD80" s="1974"/>
      <c r="AE80" s="1975"/>
      <c r="AF80" s="641">
        <f t="shared" si="5"/>
        <v>35199</v>
      </c>
      <c r="AG80" s="3141">
        <v>81600</v>
      </c>
    </row>
    <row r="81" spans="1:33" s="10" customFormat="1">
      <c r="A81" s="63">
        <f t="shared" si="3"/>
        <v>1998.12</v>
      </c>
      <c r="B81" s="250">
        <v>1139957</v>
      </c>
      <c r="C81" s="3140">
        <v>13028</v>
      </c>
      <c r="D81" s="3140">
        <v>574</v>
      </c>
      <c r="E81" s="134">
        <v>0</v>
      </c>
      <c r="F81" s="573">
        <v>201099</v>
      </c>
      <c r="G81" s="3140">
        <v>4977</v>
      </c>
      <c r="H81" s="3140">
        <v>198</v>
      </c>
      <c r="I81" s="86">
        <v>0</v>
      </c>
      <c r="J81" s="573">
        <v>911204</v>
      </c>
      <c r="K81" s="3140">
        <v>5206</v>
      </c>
      <c r="L81" s="3140">
        <v>0</v>
      </c>
      <c r="M81" s="86">
        <v>0</v>
      </c>
      <c r="N81" s="573">
        <v>4495</v>
      </c>
      <c r="O81" s="3140">
        <v>0</v>
      </c>
      <c r="P81" s="3140">
        <v>354</v>
      </c>
      <c r="Q81" s="86">
        <v>0</v>
      </c>
      <c r="R81" s="134">
        <v>1377126</v>
      </c>
      <c r="S81" s="3140">
        <v>83195</v>
      </c>
      <c r="T81" s="3140">
        <v>3244</v>
      </c>
      <c r="U81" s="86">
        <v>0</v>
      </c>
      <c r="V81" s="134">
        <v>105510</v>
      </c>
      <c r="W81" s="1976">
        <v>194690</v>
      </c>
      <c r="X81" s="640"/>
      <c r="Y81" s="1977"/>
      <c r="Z81" s="641">
        <f t="shared" si="4"/>
        <v>300200</v>
      </c>
      <c r="AA81" s="1976">
        <v>303200</v>
      </c>
      <c r="AB81" s="573">
        <v>4905</v>
      </c>
      <c r="AC81" s="1976">
        <v>0</v>
      </c>
      <c r="AD81" s="1974"/>
      <c r="AE81" s="1975"/>
      <c r="AF81" s="641">
        <f t="shared" si="5"/>
        <v>4905</v>
      </c>
      <c r="AG81" s="3141">
        <v>28680</v>
      </c>
    </row>
    <row r="82" spans="1:33" s="10" customFormat="1">
      <c r="A82" s="63">
        <f t="shared" si="3"/>
        <v>1999.01</v>
      </c>
      <c r="B82" s="250">
        <v>980792</v>
      </c>
      <c r="C82" s="3140">
        <v>156717</v>
      </c>
      <c r="D82" s="3140">
        <v>1421</v>
      </c>
      <c r="E82" s="134">
        <v>0</v>
      </c>
      <c r="F82" s="573">
        <v>174367</v>
      </c>
      <c r="G82" s="3140">
        <v>62421</v>
      </c>
      <c r="H82" s="3140">
        <v>471</v>
      </c>
      <c r="I82" s="86">
        <v>0</v>
      </c>
      <c r="J82" s="573">
        <v>783227</v>
      </c>
      <c r="K82" s="3140">
        <v>70450</v>
      </c>
      <c r="L82" s="3140">
        <v>0</v>
      </c>
      <c r="M82" s="86">
        <v>0</v>
      </c>
      <c r="N82" s="573">
        <v>4701</v>
      </c>
      <c r="O82" s="3140">
        <v>0</v>
      </c>
      <c r="P82" s="3140">
        <v>901</v>
      </c>
      <c r="Q82" s="86">
        <v>0</v>
      </c>
      <c r="R82" s="134">
        <v>1160945</v>
      </c>
      <c r="S82" s="3140">
        <v>230580</v>
      </c>
      <c r="T82" s="3140">
        <v>10539</v>
      </c>
      <c r="U82" s="86">
        <v>0</v>
      </c>
      <c r="V82" s="134">
        <v>59000</v>
      </c>
      <c r="W82" s="1976">
        <v>151447</v>
      </c>
      <c r="X82" s="640"/>
      <c r="Y82" s="1977"/>
      <c r="Z82" s="641">
        <f t="shared" si="4"/>
        <v>210447</v>
      </c>
      <c r="AA82" s="1976">
        <v>215950</v>
      </c>
      <c r="AB82" s="573">
        <v>1200</v>
      </c>
      <c r="AC82" s="1976">
        <v>20900</v>
      </c>
      <c r="AD82" s="1974"/>
      <c r="AE82" s="1975"/>
      <c r="AF82" s="641">
        <f t="shared" si="5"/>
        <v>22100</v>
      </c>
      <c r="AG82" s="3141">
        <v>42980</v>
      </c>
    </row>
    <row r="83" spans="1:33" s="10" customFormat="1">
      <c r="A83" s="63">
        <f t="shared" si="3"/>
        <v>1999.02</v>
      </c>
      <c r="B83" s="250">
        <v>660988</v>
      </c>
      <c r="C83" s="3140">
        <v>210179</v>
      </c>
      <c r="D83" s="3140">
        <v>1160</v>
      </c>
      <c r="E83" s="134">
        <v>0</v>
      </c>
      <c r="F83" s="573">
        <v>117695</v>
      </c>
      <c r="G83" s="3140">
        <v>81967</v>
      </c>
      <c r="H83" s="3140">
        <v>369</v>
      </c>
      <c r="I83" s="86">
        <v>0</v>
      </c>
      <c r="J83" s="573">
        <v>526732</v>
      </c>
      <c r="K83" s="3140">
        <v>97913</v>
      </c>
      <c r="L83" s="3140">
        <v>0</v>
      </c>
      <c r="M83" s="86">
        <v>0</v>
      </c>
      <c r="N83" s="573">
        <v>4592</v>
      </c>
      <c r="O83" s="3140">
        <v>0</v>
      </c>
      <c r="P83" s="3140">
        <v>746</v>
      </c>
      <c r="Q83" s="86">
        <v>0</v>
      </c>
      <c r="R83" s="134">
        <v>822854</v>
      </c>
      <c r="S83" s="3140">
        <v>459254</v>
      </c>
      <c r="T83" s="3140">
        <v>10091</v>
      </c>
      <c r="U83" s="86">
        <v>0</v>
      </c>
      <c r="V83" s="134">
        <v>9750</v>
      </c>
      <c r="W83" s="1976">
        <v>83179</v>
      </c>
      <c r="X83" s="640"/>
      <c r="Y83" s="1977"/>
      <c r="Z83" s="641">
        <f t="shared" si="4"/>
        <v>92929</v>
      </c>
      <c r="AA83" s="1976">
        <v>105750</v>
      </c>
      <c r="AB83" s="573">
        <v>1980</v>
      </c>
      <c r="AC83" s="1976">
        <v>61724</v>
      </c>
      <c r="AD83" s="1974"/>
      <c r="AE83" s="1975"/>
      <c r="AF83" s="641">
        <f t="shared" si="5"/>
        <v>63704</v>
      </c>
      <c r="AG83" s="3141">
        <v>96260</v>
      </c>
    </row>
    <row r="84" spans="1:33" s="10" customFormat="1">
      <c r="A84" s="63">
        <f t="shared" si="3"/>
        <v>1999.03</v>
      </c>
      <c r="B84" s="250">
        <v>590872</v>
      </c>
      <c r="C84" s="3140">
        <v>239697</v>
      </c>
      <c r="D84" s="3140">
        <v>0</v>
      </c>
      <c r="E84" s="134">
        <v>0</v>
      </c>
      <c r="F84" s="573">
        <v>106463</v>
      </c>
      <c r="G84" s="3140">
        <v>95619</v>
      </c>
      <c r="H84" s="3140">
        <v>0</v>
      </c>
      <c r="I84" s="86">
        <v>0</v>
      </c>
      <c r="J84" s="573">
        <v>468287</v>
      </c>
      <c r="K84" s="3140">
        <v>112776</v>
      </c>
      <c r="L84" s="3140">
        <v>0</v>
      </c>
      <c r="M84" s="86">
        <v>0</v>
      </c>
      <c r="N84" s="573">
        <v>3980</v>
      </c>
      <c r="O84" s="3140">
        <v>0</v>
      </c>
      <c r="P84" s="3140">
        <v>0</v>
      </c>
      <c r="Q84" s="86">
        <v>0</v>
      </c>
      <c r="R84" s="134">
        <v>619126</v>
      </c>
      <c r="S84" s="3140">
        <v>870991</v>
      </c>
      <c r="T84" s="3140">
        <v>7256</v>
      </c>
      <c r="U84" s="86">
        <v>0</v>
      </c>
      <c r="V84" s="134">
        <v>77843</v>
      </c>
      <c r="W84" s="1976">
        <v>111393</v>
      </c>
      <c r="X84" s="640"/>
      <c r="Y84" s="1977"/>
      <c r="Z84" s="641">
        <f t="shared" si="4"/>
        <v>189236</v>
      </c>
      <c r="AA84" s="1976">
        <v>190170</v>
      </c>
      <c r="AB84" s="573">
        <v>30000</v>
      </c>
      <c r="AC84" s="1976">
        <v>97696</v>
      </c>
      <c r="AD84" s="1974"/>
      <c r="AE84" s="1975"/>
      <c r="AF84" s="641">
        <f t="shared" si="5"/>
        <v>127696</v>
      </c>
      <c r="AG84" s="3141">
        <v>197250</v>
      </c>
    </row>
    <row r="85" spans="1:33" s="10" customFormat="1">
      <c r="A85" s="63">
        <f t="shared" si="3"/>
        <v>1999.04</v>
      </c>
      <c r="B85" s="250">
        <v>1243221</v>
      </c>
      <c r="C85" s="3140">
        <v>177555</v>
      </c>
      <c r="D85" s="3140">
        <v>0</v>
      </c>
      <c r="E85" s="134">
        <v>0</v>
      </c>
      <c r="F85" s="573">
        <v>231564</v>
      </c>
      <c r="G85" s="3140">
        <v>70872</v>
      </c>
      <c r="H85" s="3140">
        <v>0</v>
      </c>
      <c r="I85" s="86">
        <v>0</v>
      </c>
      <c r="J85" s="573">
        <v>978053</v>
      </c>
      <c r="K85" s="3140">
        <v>84225</v>
      </c>
      <c r="L85" s="3140">
        <v>0</v>
      </c>
      <c r="M85" s="86">
        <v>0</v>
      </c>
      <c r="N85" s="573">
        <v>4453</v>
      </c>
      <c r="O85" s="3140">
        <v>0</v>
      </c>
      <c r="P85" s="3140">
        <v>0</v>
      </c>
      <c r="Q85" s="86">
        <v>0</v>
      </c>
      <c r="R85" s="134">
        <v>1355129</v>
      </c>
      <c r="S85" s="3140">
        <v>763339</v>
      </c>
      <c r="T85" s="3140">
        <v>7125</v>
      </c>
      <c r="U85" s="86">
        <v>0</v>
      </c>
      <c r="V85" s="134">
        <v>79082</v>
      </c>
      <c r="W85" s="1976">
        <v>105791</v>
      </c>
      <c r="X85" s="640"/>
      <c r="Y85" s="1977"/>
      <c r="Z85" s="641">
        <f t="shared" si="4"/>
        <v>184873</v>
      </c>
      <c r="AA85" s="1976">
        <v>185810</v>
      </c>
      <c r="AB85" s="573">
        <v>26862</v>
      </c>
      <c r="AC85" s="1976">
        <v>67742</v>
      </c>
      <c r="AD85" s="1974"/>
      <c r="AE85" s="1975"/>
      <c r="AF85" s="641">
        <f t="shared" si="5"/>
        <v>94604</v>
      </c>
      <c r="AG85" s="3141">
        <v>224040</v>
      </c>
    </row>
    <row r="86" spans="1:33" s="10" customFormat="1">
      <c r="A86" s="63">
        <f t="shared" ref="A86:A149" si="6">A74+1</f>
        <v>1999.05</v>
      </c>
      <c r="B86" s="250">
        <v>1533893</v>
      </c>
      <c r="C86" s="3140">
        <v>100444</v>
      </c>
      <c r="D86" s="3140">
        <v>3523</v>
      </c>
      <c r="E86" s="134">
        <v>0</v>
      </c>
      <c r="F86" s="573">
        <v>281404</v>
      </c>
      <c r="G86" s="3140">
        <v>39547</v>
      </c>
      <c r="H86" s="3140">
        <v>1264</v>
      </c>
      <c r="I86" s="86">
        <v>0</v>
      </c>
      <c r="J86" s="573">
        <v>1200604</v>
      </c>
      <c r="K86" s="3140">
        <v>39162</v>
      </c>
      <c r="L86" s="3140">
        <v>2231</v>
      </c>
      <c r="M86" s="86">
        <v>0</v>
      </c>
      <c r="N86" s="573">
        <v>6300</v>
      </c>
      <c r="O86" s="3140">
        <v>0</v>
      </c>
      <c r="P86" s="3140">
        <v>0</v>
      </c>
      <c r="Q86" s="86">
        <v>0</v>
      </c>
      <c r="R86" s="134">
        <v>1776405</v>
      </c>
      <c r="S86" s="3140">
        <v>630913</v>
      </c>
      <c r="T86" s="3140">
        <v>11302</v>
      </c>
      <c r="U86" s="86">
        <v>0</v>
      </c>
      <c r="V86" s="134">
        <v>108410</v>
      </c>
      <c r="W86" s="1976">
        <v>244635</v>
      </c>
      <c r="X86" s="640"/>
      <c r="Y86" s="1977"/>
      <c r="Z86" s="641">
        <f t="shared" si="4"/>
        <v>353045</v>
      </c>
      <c r="AA86" s="1976">
        <v>353190</v>
      </c>
      <c r="AB86" s="573">
        <v>21500</v>
      </c>
      <c r="AC86" s="1976">
        <v>61115</v>
      </c>
      <c r="AD86" s="1974"/>
      <c r="AE86" s="1975"/>
      <c r="AF86" s="641">
        <f t="shared" si="5"/>
        <v>82615</v>
      </c>
      <c r="AG86" s="3141">
        <v>184350</v>
      </c>
    </row>
    <row r="87" spans="1:33" s="10" customFormat="1">
      <c r="A87" s="63">
        <f t="shared" si="6"/>
        <v>1999.06</v>
      </c>
      <c r="B87" s="250">
        <v>1542375</v>
      </c>
      <c r="C87" s="3140">
        <v>73743</v>
      </c>
      <c r="D87" s="3140">
        <v>0</v>
      </c>
      <c r="E87" s="134">
        <v>0</v>
      </c>
      <c r="F87" s="573">
        <v>276623</v>
      </c>
      <c r="G87" s="3140">
        <v>29341</v>
      </c>
      <c r="H87" s="3140">
        <v>0</v>
      </c>
      <c r="I87" s="86">
        <v>0</v>
      </c>
      <c r="J87" s="573">
        <v>1205854</v>
      </c>
      <c r="K87" s="3140">
        <v>29791</v>
      </c>
      <c r="L87" s="3140">
        <v>0</v>
      </c>
      <c r="M87" s="86">
        <v>0</v>
      </c>
      <c r="N87" s="573">
        <v>5732</v>
      </c>
      <c r="O87" s="3140">
        <v>0</v>
      </c>
      <c r="P87" s="3140">
        <v>0</v>
      </c>
      <c r="Q87" s="86">
        <v>0</v>
      </c>
      <c r="R87" s="134">
        <v>1825033</v>
      </c>
      <c r="S87" s="3140">
        <v>538975</v>
      </c>
      <c r="T87" s="3140">
        <v>5610</v>
      </c>
      <c r="U87" s="86">
        <v>0</v>
      </c>
      <c r="V87" s="134">
        <v>87350</v>
      </c>
      <c r="W87" s="1976">
        <v>172830</v>
      </c>
      <c r="X87" s="640"/>
      <c r="Y87" s="1977"/>
      <c r="Z87" s="641">
        <f t="shared" si="4"/>
        <v>260180</v>
      </c>
      <c r="AA87" s="1976">
        <v>275180</v>
      </c>
      <c r="AB87" s="573">
        <v>11000</v>
      </c>
      <c r="AC87" s="1976">
        <v>50206</v>
      </c>
      <c r="AD87" s="1974"/>
      <c r="AE87" s="1975"/>
      <c r="AF87" s="641">
        <f t="shared" si="5"/>
        <v>61206</v>
      </c>
      <c r="AG87" s="3141">
        <v>158970</v>
      </c>
    </row>
    <row r="88" spans="1:33" s="10" customFormat="1">
      <c r="A88" s="63">
        <f t="shared" si="6"/>
        <v>1999.07</v>
      </c>
      <c r="B88" s="250">
        <v>1528017</v>
      </c>
      <c r="C88" s="3140">
        <v>100420</v>
      </c>
      <c r="D88" s="3140">
        <v>130</v>
      </c>
      <c r="E88" s="134">
        <v>0</v>
      </c>
      <c r="F88" s="573">
        <v>278929</v>
      </c>
      <c r="G88" s="3140">
        <v>39839</v>
      </c>
      <c r="H88" s="3140">
        <v>17</v>
      </c>
      <c r="I88" s="86">
        <v>0</v>
      </c>
      <c r="J88" s="573">
        <v>1196363</v>
      </c>
      <c r="K88" s="3140">
        <v>38335</v>
      </c>
      <c r="L88" s="3140">
        <v>0</v>
      </c>
      <c r="M88" s="86">
        <v>0</v>
      </c>
      <c r="N88" s="573">
        <v>6300</v>
      </c>
      <c r="O88" s="3140">
        <v>0</v>
      </c>
      <c r="P88" s="3140">
        <v>80</v>
      </c>
      <c r="Q88" s="86">
        <v>0</v>
      </c>
      <c r="R88" s="134">
        <v>1709025</v>
      </c>
      <c r="S88" s="3140">
        <v>623961</v>
      </c>
      <c r="T88" s="3140">
        <v>1846</v>
      </c>
      <c r="U88" s="86">
        <v>0</v>
      </c>
      <c r="V88" s="134">
        <v>108160</v>
      </c>
      <c r="W88" s="1976">
        <v>215918</v>
      </c>
      <c r="X88" s="640"/>
      <c r="Y88" s="1977"/>
      <c r="Z88" s="641">
        <f t="shared" si="4"/>
        <v>324078</v>
      </c>
      <c r="AA88" s="1976">
        <v>324080</v>
      </c>
      <c r="AB88" s="573">
        <v>31000</v>
      </c>
      <c r="AC88" s="1976">
        <v>41056</v>
      </c>
      <c r="AD88" s="1974"/>
      <c r="AE88" s="1975"/>
      <c r="AF88" s="641">
        <f t="shared" si="5"/>
        <v>72056</v>
      </c>
      <c r="AG88" s="3141">
        <v>167530</v>
      </c>
    </row>
    <row r="89" spans="1:33" s="10" customFormat="1">
      <c r="A89" s="63">
        <f t="shared" si="6"/>
        <v>1999.08</v>
      </c>
      <c r="B89" s="250">
        <v>1535746</v>
      </c>
      <c r="C89" s="3140">
        <v>101613</v>
      </c>
      <c r="D89" s="3140">
        <v>370</v>
      </c>
      <c r="E89" s="134">
        <v>0</v>
      </c>
      <c r="F89" s="573">
        <v>279205</v>
      </c>
      <c r="G89" s="3140">
        <v>40228</v>
      </c>
      <c r="H89" s="3140">
        <v>120</v>
      </c>
      <c r="I89" s="86">
        <v>0</v>
      </c>
      <c r="J89" s="573">
        <v>1205361</v>
      </c>
      <c r="K89" s="3140">
        <v>38032</v>
      </c>
      <c r="L89" s="3140">
        <v>0</v>
      </c>
      <c r="M89" s="86">
        <v>0</v>
      </c>
      <c r="N89" s="573">
        <v>3965</v>
      </c>
      <c r="O89" s="3140">
        <v>0</v>
      </c>
      <c r="P89" s="3140">
        <v>230</v>
      </c>
      <c r="Q89" s="86">
        <v>0</v>
      </c>
      <c r="R89" s="134">
        <v>1829138</v>
      </c>
      <c r="S89" s="3140">
        <v>461216</v>
      </c>
      <c r="T89" s="3140">
        <v>1001</v>
      </c>
      <c r="U89" s="86">
        <v>0</v>
      </c>
      <c r="V89" s="134">
        <v>108060</v>
      </c>
      <c r="W89" s="1976">
        <v>238269</v>
      </c>
      <c r="X89" s="640"/>
      <c r="Y89" s="1977"/>
      <c r="Z89" s="641">
        <f t="shared" si="4"/>
        <v>346329</v>
      </c>
      <c r="AA89" s="1976">
        <v>363330</v>
      </c>
      <c r="AB89" s="573">
        <v>30200</v>
      </c>
      <c r="AC89" s="1976">
        <v>44577</v>
      </c>
      <c r="AD89" s="1974"/>
      <c r="AE89" s="1975"/>
      <c r="AF89" s="641">
        <f t="shared" si="5"/>
        <v>74777</v>
      </c>
      <c r="AG89" s="3141">
        <v>265210</v>
      </c>
    </row>
    <row r="90" spans="1:33" s="10" customFormat="1">
      <c r="A90" s="63">
        <f t="shared" si="6"/>
        <v>1999.09</v>
      </c>
      <c r="B90" s="250">
        <v>1453455</v>
      </c>
      <c r="C90" s="3140">
        <v>58645</v>
      </c>
      <c r="D90" s="3140">
        <v>0</v>
      </c>
      <c r="E90" s="134">
        <v>0</v>
      </c>
      <c r="F90" s="573">
        <v>265924</v>
      </c>
      <c r="G90" s="3140">
        <v>23158</v>
      </c>
      <c r="H90" s="3140">
        <v>0</v>
      </c>
      <c r="I90" s="86">
        <v>0</v>
      </c>
      <c r="J90" s="573">
        <v>1143478</v>
      </c>
      <c r="K90" s="3140">
        <v>23597</v>
      </c>
      <c r="L90" s="3140">
        <v>0</v>
      </c>
      <c r="M90" s="86">
        <v>0</v>
      </c>
      <c r="N90" s="573">
        <v>3527</v>
      </c>
      <c r="O90" s="3140">
        <v>0</v>
      </c>
      <c r="P90" s="3140">
        <v>0</v>
      </c>
      <c r="Q90" s="86">
        <v>0</v>
      </c>
      <c r="R90" s="134">
        <v>1694839</v>
      </c>
      <c r="S90" s="3140">
        <v>492436</v>
      </c>
      <c r="T90" s="3140">
        <v>2473</v>
      </c>
      <c r="U90" s="86">
        <v>0</v>
      </c>
      <c r="V90" s="134">
        <v>113350</v>
      </c>
      <c r="W90" s="1976">
        <v>246992</v>
      </c>
      <c r="X90" s="640"/>
      <c r="Y90" s="1977"/>
      <c r="Z90" s="641">
        <f t="shared" si="4"/>
        <v>360342</v>
      </c>
      <c r="AA90" s="1976">
        <v>369340</v>
      </c>
      <c r="AB90" s="573">
        <v>15100</v>
      </c>
      <c r="AC90" s="1976">
        <v>60872</v>
      </c>
      <c r="AD90" s="1974"/>
      <c r="AE90" s="1975"/>
      <c r="AF90" s="641">
        <f t="shared" si="5"/>
        <v>75972</v>
      </c>
      <c r="AG90" s="3141">
        <v>131470</v>
      </c>
    </row>
    <row r="91" spans="1:33" s="10" customFormat="1">
      <c r="A91" s="63">
        <f t="shared" si="6"/>
        <v>1999.1</v>
      </c>
      <c r="B91" s="250">
        <v>1380616</v>
      </c>
      <c r="C91" s="3140">
        <v>92809</v>
      </c>
      <c r="D91" s="3140">
        <v>0</v>
      </c>
      <c r="E91" s="134">
        <v>0</v>
      </c>
      <c r="F91" s="573">
        <v>254643</v>
      </c>
      <c r="G91" s="3140">
        <v>37500</v>
      </c>
      <c r="H91" s="3140">
        <v>0</v>
      </c>
      <c r="I91" s="86">
        <v>0</v>
      </c>
      <c r="J91" s="573">
        <v>1085333</v>
      </c>
      <c r="K91" s="3140">
        <v>36455</v>
      </c>
      <c r="L91" s="3140">
        <v>0</v>
      </c>
      <c r="M91" s="86">
        <v>0</v>
      </c>
      <c r="N91" s="573">
        <v>3072</v>
      </c>
      <c r="O91" s="3140">
        <v>0</v>
      </c>
      <c r="P91" s="3140">
        <v>0</v>
      </c>
      <c r="Q91" s="86">
        <v>0</v>
      </c>
      <c r="R91" s="134">
        <v>1656054</v>
      </c>
      <c r="S91" s="3140">
        <v>453236</v>
      </c>
      <c r="T91" s="3140">
        <v>488</v>
      </c>
      <c r="U91" s="86">
        <v>0</v>
      </c>
      <c r="V91" s="134">
        <v>70300</v>
      </c>
      <c r="W91" s="1976">
        <v>142251</v>
      </c>
      <c r="X91" s="640"/>
      <c r="Y91" s="1977"/>
      <c r="Z91" s="641">
        <f t="shared" si="4"/>
        <v>212551</v>
      </c>
      <c r="AA91" s="1976">
        <v>221610</v>
      </c>
      <c r="AB91" s="573">
        <v>9000</v>
      </c>
      <c r="AC91" s="1976">
        <v>11400</v>
      </c>
      <c r="AD91" s="1974"/>
      <c r="AE91" s="1975"/>
      <c r="AF91" s="641">
        <f t="shared" si="5"/>
        <v>20400</v>
      </c>
      <c r="AG91" s="3141">
        <v>89110</v>
      </c>
    </row>
    <row r="92" spans="1:33" s="10" customFormat="1">
      <c r="A92" s="63">
        <f t="shared" si="6"/>
        <v>1999.11</v>
      </c>
      <c r="B92" s="250">
        <v>1262725</v>
      </c>
      <c r="C92" s="3140">
        <v>41633</v>
      </c>
      <c r="D92" s="3140">
        <v>254</v>
      </c>
      <c r="E92" s="134">
        <v>0</v>
      </c>
      <c r="F92" s="573">
        <v>231562</v>
      </c>
      <c r="G92" s="3140">
        <v>17245</v>
      </c>
      <c r="H92" s="3140">
        <v>24</v>
      </c>
      <c r="I92" s="86">
        <v>0</v>
      </c>
      <c r="J92" s="573">
        <v>942735</v>
      </c>
      <c r="K92" s="3140">
        <v>17751</v>
      </c>
      <c r="L92" s="3140">
        <v>0</v>
      </c>
      <c r="M92" s="86">
        <v>0</v>
      </c>
      <c r="N92" s="573">
        <v>3005</v>
      </c>
      <c r="O92" s="3140">
        <v>0</v>
      </c>
      <c r="P92" s="3140">
        <v>224</v>
      </c>
      <c r="Q92" s="86">
        <v>0</v>
      </c>
      <c r="R92" s="134">
        <v>1472559</v>
      </c>
      <c r="S92" s="3140">
        <v>371681</v>
      </c>
      <c r="T92" s="3140">
        <v>842</v>
      </c>
      <c r="U92" s="86">
        <v>0</v>
      </c>
      <c r="V92" s="134">
        <v>81223</v>
      </c>
      <c r="W92" s="1976">
        <v>153841</v>
      </c>
      <c r="X92" s="640"/>
      <c r="Y92" s="1977"/>
      <c r="Z92" s="641">
        <f t="shared" si="4"/>
        <v>235064</v>
      </c>
      <c r="AA92" s="1976">
        <v>239920</v>
      </c>
      <c r="AB92" s="573">
        <v>1750</v>
      </c>
      <c r="AC92" s="1976">
        <v>12127</v>
      </c>
      <c r="AD92" s="1974"/>
      <c r="AE92" s="1975"/>
      <c r="AF92" s="641">
        <f t="shared" si="5"/>
        <v>13877</v>
      </c>
      <c r="AG92" s="3141">
        <v>102580</v>
      </c>
    </row>
    <row r="93" spans="1:33" s="10" customFormat="1">
      <c r="A93" s="63">
        <f t="shared" si="6"/>
        <v>1999.12</v>
      </c>
      <c r="B93" s="250">
        <v>989496</v>
      </c>
      <c r="C93" s="3140">
        <v>18655</v>
      </c>
      <c r="D93" s="3140">
        <v>3252</v>
      </c>
      <c r="E93" s="134">
        <v>0</v>
      </c>
      <c r="F93" s="573">
        <v>180549</v>
      </c>
      <c r="G93" s="3140">
        <v>7519</v>
      </c>
      <c r="H93" s="3140">
        <v>878</v>
      </c>
      <c r="I93" s="86">
        <v>0</v>
      </c>
      <c r="J93" s="573">
        <v>773901</v>
      </c>
      <c r="K93" s="3140">
        <v>8039</v>
      </c>
      <c r="L93" s="3140">
        <v>0</v>
      </c>
      <c r="M93" s="86">
        <v>0</v>
      </c>
      <c r="N93" s="573">
        <v>2333</v>
      </c>
      <c r="O93" s="3140">
        <v>0</v>
      </c>
      <c r="P93" s="3140">
        <v>2279</v>
      </c>
      <c r="Q93" s="86">
        <v>0</v>
      </c>
      <c r="R93" s="134">
        <v>1136608</v>
      </c>
      <c r="S93" s="3140">
        <v>187153</v>
      </c>
      <c r="T93" s="3140">
        <v>6269</v>
      </c>
      <c r="U93" s="86">
        <v>0</v>
      </c>
      <c r="V93" s="134">
        <v>60546</v>
      </c>
      <c r="W93" s="1976">
        <v>129774</v>
      </c>
      <c r="X93" s="640"/>
      <c r="Y93" s="1977"/>
      <c r="Z93" s="641">
        <f t="shared" si="4"/>
        <v>190320</v>
      </c>
      <c r="AA93" s="1976">
        <v>190320</v>
      </c>
      <c r="AB93" s="573">
        <v>9000</v>
      </c>
      <c r="AC93" s="1976">
        <v>15538</v>
      </c>
      <c r="AD93" s="1974"/>
      <c r="AE93" s="1975"/>
      <c r="AF93" s="641">
        <f t="shared" si="5"/>
        <v>24538</v>
      </c>
      <c r="AG93" s="3141">
        <v>73350</v>
      </c>
    </row>
    <row r="94" spans="1:33" s="10" customFormat="1">
      <c r="A94" s="63">
        <f t="shared" si="6"/>
        <v>2000.01</v>
      </c>
      <c r="B94" s="250">
        <v>1000086</v>
      </c>
      <c r="C94" s="3140">
        <v>189688</v>
      </c>
      <c r="D94" s="3140">
        <v>2547</v>
      </c>
      <c r="E94" s="134">
        <v>0</v>
      </c>
      <c r="F94" s="573">
        <v>184705</v>
      </c>
      <c r="G94" s="3140">
        <v>77751</v>
      </c>
      <c r="H94" s="3140">
        <v>840</v>
      </c>
      <c r="I94" s="86">
        <v>0</v>
      </c>
      <c r="J94" s="573">
        <v>784861</v>
      </c>
      <c r="K94" s="3140">
        <v>83551</v>
      </c>
      <c r="L94" s="3140">
        <v>0</v>
      </c>
      <c r="M94" s="86">
        <v>0</v>
      </c>
      <c r="N94" s="573">
        <v>3399</v>
      </c>
      <c r="O94" s="3140">
        <v>0</v>
      </c>
      <c r="P94" s="3140">
        <v>2064</v>
      </c>
      <c r="Q94" s="86">
        <v>0</v>
      </c>
      <c r="R94" s="134">
        <v>1107800</v>
      </c>
      <c r="S94" s="3140">
        <v>340035</v>
      </c>
      <c r="T94" s="3140">
        <v>10651</v>
      </c>
      <c r="U94" s="86">
        <v>0</v>
      </c>
      <c r="V94" s="134">
        <v>85056</v>
      </c>
      <c r="W94" s="1976">
        <v>141621</v>
      </c>
      <c r="X94" s="640"/>
      <c r="Y94" s="1977"/>
      <c r="Z94" s="641">
        <f t="shared" si="4"/>
        <v>226677</v>
      </c>
      <c r="AA94" s="1976">
        <v>228930</v>
      </c>
      <c r="AB94" s="573">
        <v>5000</v>
      </c>
      <c r="AC94" s="1976">
        <v>38088</v>
      </c>
      <c r="AD94" s="1974"/>
      <c r="AE94" s="1975"/>
      <c r="AF94" s="641">
        <f t="shared" si="5"/>
        <v>43088</v>
      </c>
      <c r="AG94" s="3141">
        <v>69940</v>
      </c>
    </row>
    <row r="95" spans="1:33" s="10" customFormat="1">
      <c r="A95" s="63">
        <f t="shared" si="6"/>
        <v>2000.02</v>
      </c>
      <c r="B95" s="250">
        <v>666381</v>
      </c>
      <c r="C95" s="3140">
        <v>243355</v>
      </c>
      <c r="D95" s="3140">
        <v>2619</v>
      </c>
      <c r="E95" s="134">
        <v>0</v>
      </c>
      <c r="F95" s="573">
        <v>122703</v>
      </c>
      <c r="G95" s="3140">
        <v>100263</v>
      </c>
      <c r="H95" s="3140">
        <v>773</v>
      </c>
      <c r="I95" s="86">
        <v>0</v>
      </c>
      <c r="J95" s="573">
        <v>519581</v>
      </c>
      <c r="K95" s="3140">
        <v>112124</v>
      </c>
      <c r="L95" s="3140">
        <v>0</v>
      </c>
      <c r="M95" s="86">
        <v>0</v>
      </c>
      <c r="N95" s="573">
        <v>2324</v>
      </c>
      <c r="O95" s="3140">
        <v>0</v>
      </c>
      <c r="P95" s="3140">
        <v>1494</v>
      </c>
      <c r="Q95" s="86">
        <v>0</v>
      </c>
      <c r="R95" s="134">
        <v>843549</v>
      </c>
      <c r="S95" s="3140">
        <v>461190</v>
      </c>
      <c r="T95" s="3140">
        <v>14316</v>
      </c>
      <c r="U95" s="86">
        <v>0</v>
      </c>
      <c r="V95" s="134">
        <v>50555</v>
      </c>
      <c r="W95" s="1976">
        <v>139216</v>
      </c>
      <c r="X95" s="640"/>
      <c r="Y95" s="1977"/>
      <c r="Z95" s="641">
        <f t="shared" si="4"/>
        <v>189771</v>
      </c>
      <c r="AA95" s="1976">
        <v>196450</v>
      </c>
      <c r="AB95" s="573">
        <v>1050</v>
      </c>
      <c r="AC95" s="1976">
        <v>33122</v>
      </c>
      <c r="AD95" s="1974"/>
      <c r="AE95" s="1975"/>
      <c r="AF95" s="641">
        <f t="shared" si="5"/>
        <v>34172</v>
      </c>
      <c r="AG95" s="3141">
        <v>70570</v>
      </c>
    </row>
    <row r="96" spans="1:33" s="10" customFormat="1">
      <c r="A96" s="63">
        <f t="shared" si="6"/>
        <v>2000.03</v>
      </c>
      <c r="B96" s="250">
        <v>650722</v>
      </c>
      <c r="C96" s="3140">
        <v>231523</v>
      </c>
      <c r="D96" s="3140">
        <v>1317</v>
      </c>
      <c r="E96" s="134">
        <v>0</v>
      </c>
      <c r="F96" s="573">
        <v>121616</v>
      </c>
      <c r="G96" s="3140">
        <v>94503</v>
      </c>
      <c r="H96" s="3140">
        <v>345</v>
      </c>
      <c r="I96" s="86">
        <v>0</v>
      </c>
      <c r="J96" s="573">
        <v>502053</v>
      </c>
      <c r="K96" s="3140">
        <v>106952</v>
      </c>
      <c r="L96" s="3140">
        <v>0</v>
      </c>
      <c r="M96" s="86">
        <v>0</v>
      </c>
      <c r="N96" s="573">
        <v>3930</v>
      </c>
      <c r="O96" s="3140">
        <v>0</v>
      </c>
      <c r="P96" s="3140">
        <v>775</v>
      </c>
      <c r="Q96" s="86">
        <v>0</v>
      </c>
      <c r="R96" s="134">
        <v>702347</v>
      </c>
      <c r="S96" s="3140">
        <v>778651</v>
      </c>
      <c r="T96" s="3140">
        <v>6134</v>
      </c>
      <c r="U96" s="86">
        <v>0</v>
      </c>
      <c r="V96" s="134">
        <v>42550</v>
      </c>
      <c r="W96" s="1976">
        <v>98202</v>
      </c>
      <c r="X96" s="640"/>
      <c r="Y96" s="1977"/>
      <c r="Z96" s="641">
        <f t="shared" si="4"/>
        <v>140752</v>
      </c>
      <c r="AA96" s="1976">
        <v>141330</v>
      </c>
      <c r="AB96" s="573">
        <v>5500</v>
      </c>
      <c r="AC96" s="1976">
        <v>122333</v>
      </c>
      <c r="AD96" s="1974"/>
      <c r="AE96" s="1975"/>
      <c r="AF96" s="641">
        <f t="shared" si="5"/>
        <v>127833</v>
      </c>
      <c r="AG96" s="3141">
        <v>183620</v>
      </c>
    </row>
    <row r="97" spans="1:33" s="10" customFormat="1">
      <c r="A97" s="63">
        <f t="shared" si="6"/>
        <v>2000.04</v>
      </c>
      <c r="B97" s="250">
        <v>1386458</v>
      </c>
      <c r="C97" s="3140">
        <v>131145</v>
      </c>
      <c r="D97" s="3140">
        <v>780</v>
      </c>
      <c r="E97" s="134">
        <v>0</v>
      </c>
      <c r="F97" s="573">
        <v>259763</v>
      </c>
      <c r="G97" s="3140">
        <v>51921</v>
      </c>
      <c r="H97" s="3140">
        <v>216</v>
      </c>
      <c r="I97" s="86">
        <v>0</v>
      </c>
      <c r="J97" s="573">
        <v>1091357</v>
      </c>
      <c r="K97" s="3140">
        <v>55393</v>
      </c>
      <c r="L97" s="3140">
        <v>0</v>
      </c>
      <c r="M97" s="86">
        <v>0</v>
      </c>
      <c r="N97" s="573">
        <v>4162</v>
      </c>
      <c r="O97" s="3140">
        <v>0</v>
      </c>
      <c r="P97" s="3140">
        <v>536</v>
      </c>
      <c r="Q97" s="86">
        <v>0</v>
      </c>
      <c r="R97" s="134">
        <v>1584894</v>
      </c>
      <c r="S97" s="3140">
        <v>575171</v>
      </c>
      <c r="T97" s="3140">
        <v>1296</v>
      </c>
      <c r="U97" s="86">
        <v>0</v>
      </c>
      <c r="V97" s="134">
        <v>32300</v>
      </c>
      <c r="W97" s="1976">
        <v>178469</v>
      </c>
      <c r="X97" s="640"/>
      <c r="Y97" s="1977"/>
      <c r="Z97" s="641">
        <f t="shared" si="4"/>
        <v>210769</v>
      </c>
      <c r="AA97" s="1976">
        <v>210770</v>
      </c>
      <c r="AB97" s="573">
        <v>15281</v>
      </c>
      <c r="AC97" s="1976">
        <v>70480</v>
      </c>
      <c r="AD97" s="1974"/>
      <c r="AE97" s="1975"/>
      <c r="AF97" s="641">
        <f t="shared" si="5"/>
        <v>85761</v>
      </c>
      <c r="AG97" s="3141">
        <v>200170</v>
      </c>
    </row>
    <row r="98" spans="1:33" s="10" customFormat="1">
      <c r="A98" s="63">
        <f t="shared" si="6"/>
        <v>2000.05</v>
      </c>
      <c r="B98" s="250">
        <v>1536833</v>
      </c>
      <c r="C98" s="3140">
        <v>74121</v>
      </c>
      <c r="D98" s="3140">
        <v>0</v>
      </c>
      <c r="E98" s="134">
        <v>0</v>
      </c>
      <c r="F98" s="573">
        <v>280627</v>
      </c>
      <c r="G98" s="3140">
        <v>29836</v>
      </c>
      <c r="H98" s="3140">
        <v>0</v>
      </c>
      <c r="I98" s="86">
        <v>0</v>
      </c>
      <c r="J98" s="573">
        <v>1207533</v>
      </c>
      <c r="K98" s="3140">
        <v>28081</v>
      </c>
      <c r="L98" s="3140">
        <v>0</v>
      </c>
      <c r="M98" s="86">
        <v>0</v>
      </c>
      <c r="N98" s="573">
        <v>4166</v>
      </c>
      <c r="O98" s="3140">
        <v>0</v>
      </c>
      <c r="P98" s="3140">
        <v>0</v>
      </c>
      <c r="Q98" s="86">
        <v>0</v>
      </c>
      <c r="R98" s="134">
        <v>1791916</v>
      </c>
      <c r="S98" s="3140">
        <v>431995</v>
      </c>
      <c r="T98" s="3140">
        <v>0</v>
      </c>
      <c r="U98" s="86">
        <v>0</v>
      </c>
      <c r="V98" s="134">
        <v>69320</v>
      </c>
      <c r="W98" s="1976">
        <v>177350</v>
      </c>
      <c r="X98" s="640"/>
      <c r="Y98" s="1977"/>
      <c r="Z98" s="641">
        <f t="shared" si="4"/>
        <v>246670</v>
      </c>
      <c r="AA98" s="1976">
        <v>246670</v>
      </c>
      <c r="AB98" s="573">
        <v>4910</v>
      </c>
      <c r="AC98" s="1976">
        <v>54200</v>
      </c>
      <c r="AD98" s="1974"/>
      <c r="AE98" s="1975"/>
      <c r="AF98" s="641">
        <f t="shared" si="5"/>
        <v>59110</v>
      </c>
      <c r="AG98" s="3141">
        <v>96000</v>
      </c>
    </row>
    <row r="99" spans="1:33" s="10" customFormat="1">
      <c r="A99" s="63">
        <f t="shared" si="6"/>
        <v>2000.06</v>
      </c>
      <c r="B99" s="250">
        <v>1367226</v>
      </c>
      <c r="C99" s="3140">
        <v>61418</v>
      </c>
      <c r="D99" s="3140">
        <v>0</v>
      </c>
      <c r="E99" s="134">
        <v>0</v>
      </c>
      <c r="F99" s="573">
        <v>248080</v>
      </c>
      <c r="G99" s="3140">
        <v>24679</v>
      </c>
      <c r="H99" s="3140">
        <v>0</v>
      </c>
      <c r="I99" s="86">
        <v>0</v>
      </c>
      <c r="J99" s="573">
        <v>1080052</v>
      </c>
      <c r="K99" s="3140">
        <v>25557</v>
      </c>
      <c r="L99" s="3140">
        <v>0</v>
      </c>
      <c r="M99" s="86">
        <v>0</v>
      </c>
      <c r="N99" s="573">
        <v>3842</v>
      </c>
      <c r="O99" s="3140">
        <v>0</v>
      </c>
      <c r="P99" s="3140">
        <v>0</v>
      </c>
      <c r="Q99" s="86">
        <v>0</v>
      </c>
      <c r="R99" s="134">
        <v>1589279</v>
      </c>
      <c r="S99" s="3140">
        <v>418152</v>
      </c>
      <c r="T99" s="3140">
        <v>0</v>
      </c>
      <c r="U99" s="86">
        <v>0</v>
      </c>
      <c r="V99" s="134">
        <v>89269</v>
      </c>
      <c r="W99" s="1976">
        <v>122517</v>
      </c>
      <c r="X99" s="640"/>
      <c r="Y99" s="1977"/>
      <c r="Z99" s="641">
        <f t="shared" si="4"/>
        <v>211786</v>
      </c>
      <c r="AA99" s="1976">
        <v>239290</v>
      </c>
      <c r="AB99" s="573">
        <v>23580</v>
      </c>
      <c r="AC99" s="1976">
        <v>38494</v>
      </c>
      <c r="AD99" s="1974"/>
      <c r="AE99" s="1975"/>
      <c r="AF99" s="641">
        <f t="shared" si="5"/>
        <v>62074</v>
      </c>
      <c r="AG99" s="3141">
        <v>163770</v>
      </c>
    </row>
    <row r="100" spans="1:33" s="10" customFormat="1">
      <c r="A100" s="63">
        <f t="shared" si="6"/>
        <v>2000.07</v>
      </c>
      <c r="B100" s="250">
        <v>1450314</v>
      </c>
      <c r="C100" s="3140">
        <v>57437</v>
      </c>
      <c r="D100" s="3140">
        <v>0</v>
      </c>
      <c r="E100" s="134">
        <v>0</v>
      </c>
      <c r="F100" s="573">
        <v>264219</v>
      </c>
      <c r="G100" s="3140">
        <v>23090</v>
      </c>
      <c r="H100" s="3140">
        <v>0</v>
      </c>
      <c r="I100" s="86">
        <v>0</v>
      </c>
      <c r="J100" s="573">
        <v>1146627</v>
      </c>
      <c r="K100" s="3140">
        <v>23316</v>
      </c>
      <c r="L100" s="3140">
        <v>0</v>
      </c>
      <c r="M100" s="86">
        <v>0</v>
      </c>
      <c r="N100" s="573">
        <v>4073</v>
      </c>
      <c r="O100" s="3140">
        <v>0</v>
      </c>
      <c r="P100" s="3140">
        <v>0</v>
      </c>
      <c r="Q100" s="86">
        <v>0</v>
      </c>
      <c r="R100" s="134">
        <v>1719366</v>
      </c>
      <c r="S100" s="3140">
        <v>345889</v>
      </c>
      <c r="T100" s="3140">
        <v>0</v>
      </c>
      <c r="U100" s="86">
        <v>0</v>
      </c>
      <c r="V100" s="134">
        <v>78067</v>
      </c>
      <c r="W100" s="1976">
        <v>321522</v>
      </c>
      <c r="X100" s="640"/>
      <c r="Y100" s="1977"/>
      <c r="Z100" s="641">
        <f t="shared" si="4"/>
        <v>399589</v>
      </c>
      <c r="AA100" s="1976">
        <v>419590</v>
      </c>
      <c r="AB100" s="573">
        <v>17426</v>
      </c>
      <c r="AC100" s="1976">
        <v>99303</v>
      </c>
      <c r="AD100" s="1974"/>
      <c r="AE100" s="1975"/>
      <c r="AF100" s="641">
        <f t="shared" si="5"/>
        <v>116729</v>
      </c>
      <c r="AG100" s="3141">
        <v>229690</v>
      </c>
    </row>
    <row r="101" spans="1:33" s="10" customFormat="1">
      <c r="A101" s="63">
        <f t="shared" si="6"/>
        <v>2000.08</v>
      </c>
      <c r="B101" s="250">
        <v>1486917</v>
      </c>
      <c r="C101" s="3140">
        <v>89320</v>
      </c>
      <c r="D101" s="3140">
        <v>0</v>
      </c>
      <c r="E101" s="134">
        <v>0</v>
      </c>
      <c r="F101" s="573">
        <v>271672</v>
      </c>
      <c r="G101" s="3140">
        <v>36626</v>
      </c>
      <c r="H101" s="3140">
        <v>0</v>
      </c>
      <c r="I101" s="86">
        <v>0</v>
      </c>
      <c r="J101" s="573">
        <v>1175890</v>
      </c>
      <c r="K101" s="3140">
        <v>37688</v>
      </c>
      <c r="L101" s="3140">
        <v>0</v>
      </c>
      <c r="M101" s="86">
        <v>0</v>
      </c>
      <c r="N101" s="573">
        <v>5116</v>
      </c>
      <c r="O101" s="3140">
        <v>0</v>
      </c>
      <c r="P101" s="3140">
        <v>0</v>
      </c>
      <c r="Q101" s="86">
        <v>0</v>
      </c>
      <c r="R101" s="134">
        <v>1797276</v>
      </c>
      <c r="S101" s="3140">
        <v>417682</v>
      </c>
      <c r="T101" s="3140">
        <v>307</v>
      </c>
      <c r="U101" s="86">
        <v>0</v>
      </c>
      <c r="V101" s="134">
        <v>109713</v>
      </c>
      <c r="W101" s="1976">
        <v>214543</v>
      </c>
      <c r="X101" s="640"/>
      <c r="Y101" s="1977"/>
      <c r="Z101" s="641">
        <f t="shared" si="4"/>
        <v>324256</v>
      </c>
      <c r="AA101" s="1976">
        <v>330460</v>
      </c>
      <c r="AB101" s="573">
        <v>4499</v>
      </c>
      <c r="AC101" s="1976">
        <v>26698</v>
      </c>
      <c r="AD101" s="1974"/>
      <c r="AE101" s="1975"/>
      <c r="AF101" s="641">
        <f t="shared" si="5"/>
        <v>31197</v>
      </c>
      <c r="AG101" s="3141">
        <v>59510</v>
      </c>
    </row>
    <row r="102" spans="1:33" s="10" customFormat="1">
      <c r="A102" s="63">
        <f t="shared" si="6"/>
        <v>2000.09</v>
      </c>
      <c r="B102" s="250">
        <v>1398503</v>
      </c>
      <c r="C102" s="3140">
        <v>70735</v>
      </c>
      <c r="D102" s="3140">
        <v>0</v>
      </c>
      <c r="E102" s="134">
        <v>0</v>
      </c>
      <c r="F102" s="573">
        <v>256235</v>
      </c>
      <c r="G102" s="3140">
        <v>28766</v>
      </c>
      <c r="H102" s="3140">
        <v>0</v>
      </c>
      <c r="I102" s="86">
        <v>0</v>
      </c>
      <c r="J102" s="573">
        <v>1098624</v>
      </c>
      <c r="K102" s="3140">
        <v>29936</v>
      </c>
      <c r="L102" s="3140">
        <v>0</v>
      </c>
      <c r="M102" s="86">
        <v>0</v>
      </c>
      <c r="N102" s="573">
        <v>4811</v>
      </c>
      <c r="O102" s="3140">
        <v>0</v>
      </c>
      <c r="P102" s="3140">
        <v>0</v>
      </c>
      <c r="Q102" s="86">
        <v>0</v>
      </c>
      <c r="R102" s="134">
        <v>1671860</v>
      </c>
      <c r="S102" s="3140">
        <v>371443</v>
      </c>
      <c r="T102" s="3140">
        <v>1069</v>
      </c>
      <c r="U102" s="86">
        <v>0</v>
      </c>
      <c r="V102" s="134">
        <v>93099</v>
      </c>
      <c r="W102" s="1976">
        <v>174738</v>
      </c>
      <c r="X102" s="640"/>
      <c r="Y102" s="1977"/>
      <c r="Z102" s="641">
        <f t="shared" si="4"/>
        <v>267837</v>
      </c>
      <c r="AA102" s="1976">
        <v>274840</v>
      </c>
      <c r="AB102" s="573">
        <v>9500</v>
      </c>
      <c r="AC102" s="1976">
        <v>17781</v>
      </c>
      <c r="AD102" s="1974"/>
      <c r="AE102" s="1975"/>
      <c r="AF102" s="641">
        <f t="shared" si="5"/>
        <v>27281</v>
      </c>
      <c r="AG102" s="3141">
        <v>119490</v>
      </c>
    </row>
    <row r="103" spans="1:33" s="10" customFormat="1">
      <c r="A103" s="63">
        <f t="shared" si="6"/>
        <v>2000.1</v>
      </c>
      <c r="B103" s="250">
        <v>1305026</v>
      </c>
      <c r="C103" s="3140">
        <v>48475</v>
      </c>
      <c r="D103" s="3140">
        <v>0</v>
      </c>
      <c r="E103" s="134">
        <v>0</v>
      </c>
      <c r="F103" s="573">
        <v>238860</v>
      </c>
      <c r="G103" s="3140">
        <v>20016</v>
      </c>
      <c r="H103" s="3140">
        <v>0</v>
      </c>
      <c r="I103" s="86">
        <v>0</v>
      </c>
      <c r="J103" s="573">
        <v>1025055</v>
      </c>
      <c r="K103" s="3140">
        <v>20974</v>
      </c>
      <c r="L103" s="3140">
        <v>0</v>
      </c>
      <c r="M103" s="86">
        <v>0</v>
      </c>
      <c r="N103" s="573">
        <v>4458</v>
      </c>
      <c r="O103" s="3140">
        <v>0</v>
      </c>
      <c r="P103" s="3140">
        <v>0</v>
      </c>
      <c r="Q103" s="86">
        <v>0</v>
      </c>
      <c r="R103" s="134">
        <v>1506751</v>
      </c>
      <c r="S103" s="3140">
        <v>393554</v>
      </c>
      <c r="T103" s="3140">
        <v>0</v>
      </c>
      <c r="U103" s="86">
        <v>0</v>
      </c>
      <c r="V103" s="134">
        <v>102370</v>
      </c>
      <c r="W103" s="1976">
        <v>223258</v>
      </c>
      <c r="X103" s="640"/>
      <c r="Y103" s="1977"/>
      <c r="Z103" s="641">
        <f t="shared" si="4"/>
        <v>325628</v>
      </c>
      <c r="AA103" s="1976">
        <v>329470</v>
      </c>
      <c r="AB103" s="573">
        <v>14000</v>
      </c>
      <c r="AC103" s="1976">
        <v>50350</v>
      </c>
      <c r="AD103" s="1974"/>
      <c r="AE103" s="1975"/>
      <c r="AF103" s="641">
        <f t="shared" si="5"/>
        <v>64350</v>
      </c>
      <c r="AG103" s="3141">
        <v>145670</v>
      </c>
    </row>
    <row r="104" spans="1:33" s="10" customFormat="1">
      <c r="A104" s="63">
        <f t="shared" si="6"/>
        <v>2000.11</v>
      </c>
      <c r="B104" s="250">
        <v>1277367</v>
      </c>
      <c r="C104" s="3140">
        <v>53360</v>
      </c>
      <c r="D104" s="3140">
        <v>499</v>
      </c>
      <c r="E104" s="134">
        <v>0</v>
      </c>
      <c r="F104" s="573">
        <v>233588</v>
      </c>
      <c r="G104" s="3140">
        <v>21913</v>
      </c>
      <c r="H104" s="3140">
        <v>115</v>
      </c>
      <c r="I104" s="86">
        <v>0</v>
      </c>
      <c r="J104" s="573">
        <v>1006068</v>
      </c>
      <c r="K104" s="3140">
        <v>23101</v>
      </c>
      <c r="L104" s="3140">
        <v>0</v>
      </c>
      <c r="M104" s="86">
        <v>0</v>
      </c>
      <c r="N104" s="573">
        <v>5384</v>
      </c>
      <c r="O104" s="3140">
        <v>0</v>
      </c>
      <c r="P104" s="3140">
        <v>457</v>
      </c>
      <c r="Q104" s="86">
        <v>0</v>
      </c>
      <c r="R104" s="134">
        <v>1508319</v>
      </c>
      <c r="S104" s="3140">
        <v>344902</v>
      </c>
      <c r="T104" s="3140">
        <v>548</v>
      </c>
      <c r="U104" s="86">
        <v>0</v>
      </c>
      <c r="V104" s="134">
        <v>88500</v>
      </c>
      <c r="W104" s="1976">
        <v>134019</v>
      </c>
      <c r="X104" s="640"/>
      <c r="Y104" s="1977"/>
      <c r="Z104" s="641">
        <f t="shared" si="4"/>
        <v>222519</v>
      </c>
      <c r="AA104" s="1976">
        <v>228690</v>
      </c>
      <c r="AB104" s="573">
        <v>2000</v>
      </c>
      <c r="AC104" s="1976">
        <v>21710</v>
      </c>
      <c r="AD104" s="1974"/>
      <c r="AE104" s="1975"/>
      <c r="AF104" s="641">
        <f t="shared" si="5"/>
        <v>23710</v>
      </c>
      <c r="AG104" s="3141">
        <v>95830</v>
      </c>
    </row>
    <row r="105" spans="1:33" s="10" customFormat="1">
      <c r="A105" s="63">
        <f t="shared" si="6"/>
        <v>2000.12</v>
      </c>
      <c r="B105" s="250">
        <v>1054630</v>
      </c>
      <c r="C105" s="3140">
        <v>16877</v>
      </c>
      <c r="D105" s="3140">
        <v>631</v>
      </c>
      <c r="E105" s="134">
        <v>0</v>
      </c>
      <c r="F105" s="573">
        <v>193043</v>
      </c>
      <c r="G105" s="3140">
        <v>6972</v>
      </c>
      <c r="H105" s="3140">
        <v>220</v>
      </c>
      <c r="I105" s="86">
        <v>0</v>
      </c>
      <c r="J105" s="573">
        <v>829309</v>
      </c>
      <c r="K105" s="3140">
        <v>7248</v>
      </c>
      <c r="L105" s="3140">
        <v>0</v>
      </c>
      <c r="M105" s="86">
        <v>0</v>
      </c>
      <c r="N105" s="573">
        <v>4782</v>
      </c>
      <c r="O105" s="3140">
        <v>0</v>
      </c>
      <c r="P105" s="3140">
        <v>703</v>
      </c>
      <c r="Q105" s="86">
        <v>0</v>
      </c>
      <c r="R105" s="134">
        <v>1207575</v>
      </c>
      <c r="S105" s="3140">
        <v>270710</v>
      </c>
      <c r="T105" s="3140">
        <v>970</v>
      </c>
      <c r="U105" s="86">
        <v>0</v>
      </c>
      <c r="V105" s="134">
        <v>84017</v>
      </c>
      <c r="W105" s="1976">
        <v>206917</v>
      </c>
      <c r="X105" s="640"/>
      <c r="Y105" s="1977"/>
      <c r="Z105" s="641">
        <f t="shared" si="4"/>
        <v>290934</v>
      </c>
      <c r="AA105" s="1976">
        <v>295930</v>
      </c>
      <c r="AB105" s="573">
        <v>2057</v>
      </c>
      <c r="AC105" s="1976">
        <v>18549</v>
      </c>
      <c r="AD105" s="1974"/>
      <c r="AE105" s="1975"/>
      <c r="AF105" s="641">
        <f t="shared" si="5"/>
        <v>20606</v>
      </c>
      <c r="AG105" s="3141">
        <v>122010</v>
      </c>
    </row>
    <row r="106" spans="1:33" s="10" customFormat="1">
      <c r="A106" s="63">
        <f t="shared" si="6"/>
        <v>2001.01</v>
      </c>
      <c r="B106" s="250">
        <v>818443</v>
      </c>
      <c r="C106" s="3140">
        <v>116149</v>
      </c>
      <c r="D106" s="3140">
        <v>1501</v>
      </c>
      <c r="E106" s="134">
        <v>0</v>
      </c>
      <c r="F106" s="573">
        <v>151037</v>
      </c>
      <c r="G106" s="3140">
        <v>45005</v>
      </c>
      <c r="H106" s="3140">
        <v>467</v>
      </c>
      <c r="I106" s="86">
        <v>0</v>
      </c>
      <c r="J106" s="573">
        <v>648163</v>
      </c>
      <c r="K106" s="3140">
        <v>49099</v>
      </c>
      <c r="L106" s="3140">
        <v>0</v>
      </c>
      <c r="M106" s="86">
        <v>0</v>
      </c>
      <c r="N106" s="573">
        <v>3413</v>
      </c>
      <c r="O106" s="3140">
        <v>0</v>
      </c>
      <c r="P106" s="3140">
        <v>1011</v>
      </c>
      <c r="Q106" s="86">
        <v>0</v>
      </c>
      <c r="R106" s="134">
        <v>904738</v>
      </c>
      <c r="S106" s="3140">
        <v>201699</v>
      </c>
      <c r="T106" s="3140">
        <v>5307</v>
      </c>
      <c r="U106" s="86">
        <v>0</v>
      </c>
      <c r="V106" s="134">
        <v>15405</v>
      </c>
      <c r="W106" s="1976">
        <v>82630</v>
      </c>
      <c r="X106" s="640"/>
      <c r="Y106" s="1977"/>
      <c r="Z106" s="641">
        <f t="shared" si="4"/>
        <v>98035</v>
      </c>
      <c r="AA106" s="1976">
        <v>98030</v>
      </c>
      <c r="AB106" s="573">
        <v>0</v>
      </c>
      <c r="AC106" s="1976">
        <v>19200</v>
      </c>
      <c r="AD106" s="1974"/>
      <c r="AE106" s="1975"/>
      <c r="AF106" s="641">
        <f t="shared" si="5"/>
        <v>19200</v>
      </c>
      <c r="AG106" s="3141">
        <v>90670</v>
      </c>
    </row>
    <row r="107" spans="1:33" s="10" customFormat="1">
      <c r="A107" s="63">
        <f t="shared" si="6"/>
        <v>2001.02</v>
      </c>
      <c r="B107" s="250">
        <v>334851</v>
      </c>
      <c r="C107" s="3140">
        <v>105409</v>
      </c>
      <c r="D107" s="3140">
        <v>418</v>
      </c>
      <c r="E107" s="134">
        <v>0</v>
      </c>
      <c r="F107" s="573">
        <v>60945</v>
      </c>
      <c r="G107" s="3140">
        <v>42956</v>
      </c>
      <c r="H107" s="3140">
        <v>123</v>
      </c>
      <c r="I107" s="86">
        <v>0</v>
      </c>
      <c r="J107" s="573">
        <v>262044</v>
      </c>
      <c r="K107" s="3140">
        <v>44539</v>
      </c>
      <c r="L107" s="3140">
        <v>0</v>
      </c>
      <c r="M107" s="86">
        <v>0</v>
      </c>
      <c r="N107" s="573">
        <v>3267</v>
      </c>
      <c r="O107" s="3140">
        <v>0</v>
      </c>
      <c r="P107" s="3140">
        <v>280</v>
      </c>
      <c r="Q107" s="86">
        <v>0</v>
      </c>
      <c r="R107" s="134">
        <v>362038</v>
      </c>
      <c r="S107" s="3140">
        <v>274807</v>
      </c>
      <c r="T107" s="3140">
        <v>1333</v>
      </c>
      <c r="U107" s="86">
        <v>0</v>
      </c>
      <c r="V107" s="134">
        <v>94962</v>
      </c>
      <c r="W107" s="1976">
        <v>91851</v>
      </c>
      <c r="X107" s="640"/>
      <c r="Y107" s="1977"/>
      <c r="Z107" s="641">
        <f t="shared" si="4"/>
        <v>186813</v>
      </c>
      <c r="AA107" s="1976">
        <v>186810</v>
      </c>
      <c r="AB107" s="573">
        <v>0</v>
      </c>
      <c r="AC107" s="1976">
        <v>21089</v>
      </c>
      <c r="AD107" s="1974"/>
      <c r="AE107" s="1975"/>
      <c r="AF107" s="641">
        <f t="shared" si="5"/>
        <v>21089</v>
      </c>
      <c r="AG107" s="3141">
        <v>52760</v>
      </c>
    </row>
    <row r="108" spans="1:33" s="10" customFormat="1">
      <c r="A108" s="63">
        <f t="shared" si="6"/>
        <v>2001.03</v>
      </c>
      <c r="B108" s="250">
        <v>798504</v>
      </c>
      <c r="C108" s="3140">
        <v>120055</v>
      </c>
      <c r="D108" s="3140">
        <v>1136</v>
      </c>
      <c r="E108" s="134">
        <v>15384</v>
      </c>
      <c r="F108" s="573">
        <v>147104</v>
      </c>
      <c r="G108" s="3140">
        <v>50148</v>
      </c>
      <c r="H108" s="3140">
        <v>335</v>
      </c>
      <c r="I108" s="86">
        <v>2542</v>
      </c>
      <c r="J108" s="573">
        <v>626417</v>
      </c>
      <c r="K108" s="3140">
        <v>51183</v>
      </c>
      <c r="L108" s="3140">
        <v>0</v>
      </c>
      <c r="M108" s="86">
        <v>8000</v>
      </c>
      <c r="N108" s="573">
        <v>3947</v>
      </c>
      <c r="O108" s="3140">
        <v>0</v>
      </c>
      <c r="P108" s="3140">
        <v>866</v>
      </c>
      <c r="Q108" s="86">
        <v>0</v>
      </c>
      <c r="R108" s="134">
        <v>870377</v>
      </c>
      <c r="S108" s="3140">
        <v>490321</v>
      </c>
      <c r="T108" s="3140">
        <v>1136</v>
      </c>
      <c r="U108" s="86">
        <v>15384</v>
      </c>
      <c r="V108" s="134">
        <v>15000</v>
      </c>
      <c r="W108" s="1976">
        <v>142455</v>
      </c>
      <c r="X108" s="640"/>
      <c r="Y108" s="1977"/>
      <c r="Z108" s="641">
        <f t="shared" si="4"/>
        <v>157455</v>
      </c>
      <c r="AA108" s="1976">
        <v>157460</v>
      </c>
      <c r="AB108" s="573">
        <v>0</v>
      </c>
      <c r="AC108" s="1976">
        <v>62113</v>
      </c>
      <c r="AD108" s="1974"/>
      <c r="AE108" s="1975"/>
      <c r="AF108" s="641">
        <f t="shared" si="5"/>
        <v>62113</v>
      </c>
      <c r="AG108" s="3141">
        <v>105770</v>
      </c>
    </row>
    <row r="109" spans="1:33" s="10" customFormat="1">
      <c r="A109" s="63">
        <f t="shared" si="6"/>
        <v>2001.04</v>
      </c>
      <c r="B109" s="250">
        <v>1425353</v>
      </c>
      <c r="C109" s="3140">
        <v>59473</v>
      </c>
      <c r="D109" s="3140">
        <v>0</v>
      </c>
      <c r="E109" s="134">
        <v>25551</v>
      </c>
      <c r="F109" s="573">
        <v>270285</v>
      </c>
      <c r="G109" s="3140">
        <v>26182</v>
      </c>
      <c r="H109" s="3140">
        <v>0</v>
      </c>
      <c r="I109" s="86">
        <v>4331</v>
      </c>
      <c r="J109" s="573">
        <v>1127778</v>
      </c>
      <c r="K109" s="3140">
        <v>27580</v>
      </c>
      <c r="L109" s="3140">
        <v>0</v>
      </c>
      <c r="M109" s="86">
        <v>12468</v>
      </c>
      <c r="N109" s="573">
        <v>4656</v>
      </c>
      <c r="O109" s="3140">
        <v>0</v>
      </c>
      <c r="P109" s="3140">
        <v>0</v>
      </c>
      <c r="Q109" s="86">
        <v>0</v>
      </c>
      <c r="R109" s="134">
        <v>1704680</v>
      </c>
      <c r="S109" s="3140">
        <v>305416</v>
      </c>
      <c r="T109" s="3140">
        <v>676</v>
      </c>
      <c r="U109" s="86">
        <v>25551</v>
      </c>
      <c r="V109" s="134">
        <v>72000</v>
      </c>
      <c r="W109" s="1976">
        <v>145278</v>
      </c>
      <c r="X109" s="640"/>
      <c r="Y109" s="1977"/>
      <c r="Z109" s="641">
        <f t="shared" si="4"/>
        <v>217278</v>
      </c>
      <c r="AA109" s="1976">
        <v>217280</v>
      </c>
      <c r="AB109" s="573">
        <v>5500</v>
      </c>
      <c r="AC109" s="1976">
        <v>29440</v>
      </c>
      <c r="AD109" s="1974"/>
      <c r="AE109" s="1975"/>
      <c r="AF109" s="641">
        <f t="shared" si="5"/>
        <v>34940</v>
      </c>
      <c r="AG109" s="3141">
        <v>111450</v>
      </c>
    </row>
    <row r="110" spans="1:33" s="10" customFormat="1">
      <c r="A110" s="63">
        <f t="shared" si="6"/>
        <v>2001.05</v>
      </c>
      <c r="B110" s="250">
        <v>1491045</v>
      </c>
      <c r="C110" s="3140">
        <v>44879</v>
      </c>
      <c r="D110" s="3140">
        <v>685</v>
      </c>
      <c r="E110" s="134">
        <v>33678</v>
      </c>
      <c r="F110" s="573">
        <v>276668</v>
      </c>
      <c r="G110" s="3140">
        <v>18756</v>
      </c>
      <c r="H110" s="3140">
        <v>212</v>
      </c>
      <c r="I110" s="86">
        <v>5108</v>
      </c>
      <c r="J110" s="573">
        <v>1178164</v>
      </c>
      <c r="K110" s="3140">
        <v>19223</v>
      </c>
      <c r="L110" s="3140">
        <v>0</v>
      </c>
      <c r="M110" s="86">
        <v>16838</v>
      </c>
      <c r="N110" s="573">
        <v>4465</v>
      </c>
      <c r="O110" s="3140">
        <v>0</v>
      </c>
      <c r="P110" s="3140">
        <v>463</v>
      </c>
      <c r="Q110" s="86">
        <v>0</v>
      </c>
      <c r="R110" s="134">
        <v>1871926</v>
      </c>
      <c r="S110" s="3140">
        <v>240620</v>
      </c>
      <c r="T110" s="3140">
        <v>837</v>
      </c>
      <c r="U110" s="86">
        <v>33678</v>
      </c>
      <c r="V110" s="134">
        <v>64800</v>
      </c>
      <c r="W110" s="1976">
        <v>219310</v>
      </c>
      <c r="X110" s="640"/>
      <c r="Y110" s="1977"/>
      <c r="Z110" s="641">
        <f t="shared" si="4"/>
        <v>284110</v>
      </c>
      <c r="AA110" s="1976">
        <v>293950</v>
      </c>
      <c r="AB110" s="573">
        <v>12500</v>
      </c>
      <c r="AC110" s="1976">
        <v>9975</v>
      </c>
      <c r="AD110" s="1974"/>
      <c r="AE110" s="1975"/>
      <c r="AF110" s="641">
        <f t="shared" si="5"/>
        <v>22475</v>
      </c>
      <c r="AG110" s="3141">
        <v>88390</v>
      </c>
    </row>
    <row r="111" spans="1:33" s="10" customFormat="1">
      <c r="A111" s="63">
        <f t="shared" si="6"/>
        <v>2001.06</v>
      </c>
      <c r="B111" s="250">
        <v>1417487</v>
      </c>
      <c r="C111" s="3140">
        <v>14668</v>
      </c>
      <c r="D111" s="3140">
        <v>181</v>
      </c>
      <c r="E111" s="134">
        <v>23967</v>
      </c>
      <c r="F111" s="573">
        <v>259823</v>
      </c>
      <c r="G111" s="3140">
        <v>5988</v>
      </c>
      <c r="H111" s="3140">
        <v>54</v>
      </c>
      <c r="I111" s="86">
        <v>4114</v>
      </c>
      <c r="J111" s="573">
        <v>1119809</v>
      </c>
      <c r="K111" s="3140">
        <v>6483</v>
      </c>
      <c r="L111" s="3140">
        <v>0</v>
      </c>
      <c r="M111" s="86">
        <v>11984</v>
      </c>
      <c r="N111" s="573">
        <v>5288</v>
      </c>
      <c r="O111" s="3140">
        <v>0</v>
      </c>
      <c r="P111" s="3140">
        <v>127</v>
      </c>
      <c r="Q111" s="86">
        <v>0</v>
      </c>
      <c r="R111" s="134">
        <v>1792080</v>
      </c>
      <c r="S111" s="3140">
        <v>223591</v>
      </c>
      <c r="T111" s="3140">
        <v>181</v>
      </c>
      <c r="U111" s="86">
        <v>23967</v>
      </c>
      <c r="V111" s="134">
        <v>108500</v>
      </c>
      <c r="W111" s="1976">
        <v>229722</v>
      </c>
      <c r="X111" s="640"/>
      <c r="Y111" s="1977"/>
      <c r="Z111" s="641">
        <f t="shared" si="4"/>
        <v>338222</v>
      </c>
      <c r="AA111" s="1976">
        <v>358720</v>
      </c>
      <c r="AB111" s="573">
        <v>10240</v>
      </c>
      <c r="AC111" s="1976">
        <v>15100</v>
      </c>
      <c r="AD111" s="1974"/>
      <c r="AE111" s="1975"/>
      <c r="AF111" s="641">
        <f t="shared" si="5"/>
        <v>25340</v>
      </c>
      <c r="AG111" s="3141">
        <v>134680</v>
      </c>
    </row>
    <row r="112" spans="1:33" s="10" customFormat="1">
      <c r="A112" s="63">
        <f t="shared" si="6"/>
        <v>2001.07</v>
      </c>
      <c r="B112" s="250">
        <v>1558903</v>
      </c>
      <c r="C112" s="3140">
        <v>20794</v>
      </c>
      <c r="D112" s="3140">
        <v>531</v>
      </c>
      <c r="E112" s="134">
        <v>0</v>
      </c>
      <c r="F112" s="573">
        <v>287221</v>
      </c>
      <c r="G112" s="3140">
        <v>8377</v>
      </c>
      <c r="H112" s="3140">
        <v>164</v>
      </c>
      <c r="I112" s="86">
        <v>0</v>
      </c>
      <c r="J112" s="573">
        <v>1239995</v>
      </c>
      <c r="K112" s="3140">
        <v>9327</v>
      </c>
      <c r="L112" s="3140">
        <v>0</v>
      </c>
      <c r="M112" s="86">
        <v>0</v>
      </c>
      <c r="N112" s="573">
        <v>5389</v>
      </c>
      <c r="O112" s="3140">
        <v>0</v>
      </c>
      <c r="P112" s="3140">
        <v>396</v>
      </c>
      <c r="Q112" s="86">
        <v>0</v>
      </c>
      <c r="R112" s="134">
        <v>1923557</v>
      </c>
      <c r="S112" s="3140">
        <v>231665</v>
      </c>
      <c r="T112" s="3140">
        <v>531</v>
      </c>
      <c r="U112" s="86">
        <v>0</v>
      </c>
      <c r="V112" s="134">
        <v>104159</v>
      </c>
      <c r="W112" s="1976">
        <v>277482</v>
      </c>
      <c r="X112" s="640"/>
      <c r="Y112" s="1977"/>
      <c r="Z112" s="641">
        <f t="shared" si="4"/>
        <v>381641</v>
      </c>
      <c r="AA112" s="1976">
        <v>401340</v>
      </c>
      <c r="AB112" s="573">
        <v>7000</v>
      </c>
      <c r="AC112" s="1976">
        <v>4300</v>
      </c>
      <c r="AD112" s="1974"/>
      <c r="AE112" s="1975"/>
      <c r="AF112" s="641">
        <f t="shared" si="5"/>
        <v>11300</v>
      </c>
      <c r="AG112" s="3141">
        <v>64030</v>
      </c>
    </row>
    <row r="113" spans="1:33" s="10" customFormat="1">
      <c r="A113" s="63">
        <f t="shared" si="6"/>
        <v>2001.08</v>
      </c>
      <c r="B113" s="250">
        <v>1563280</v>
      </c>
      <c r="C113" s="3140">
        <v>29837</v>
      </c>
      <c r="D113" s="3140">
        <v>1195</v>
      </c>
      <c r="E113" s="134">
        <v>26791</v>
      </c>
      <c r="F113" s="573">
        <v>289570</v>
      </c>
      <c r="G113" s="3140">
        <v>12040</v>
      </c>
      <c r="H113" s="3140">
        <v>355</v>
      </c>
      <c r="I113" s="86">
        <v>3841</v>
      </c>
      <c r="J113" s="573">
        <v>1244872</v>
      </c>
      <c r="K113" s="3140">
        <v>13447</v>
      </c>
      <c r="L113" s="3140">
        <v>0</v>
      </c>
      <c r="M113" s="86">
        <v>13244</v>
      </c>
      <c r="N113" s="573">
        <v>5316</v>
      </c>
      <c r="O113" s="3140">
        <v>0</v>
      </c>
      <c r="P113" s="3140">
        <v>897</v>
      </c>
      <c r="Q113" s="86">
        <v>0</v>
      </c>
      <c r="R113" s="134">
        <v>1948630</v>
      </c>
      <c r="S113" s="3140">
        <v>242368</v>
      </c>
      <c r="T113" s="3140">
        <v>1417</v>
      </c>
      <c r="U113" s="86">
        <v>26791</v>
      </c>
      <c r="V113" s="134">
        <v>103685</v>
      </c>
      <c r="W113" s="1976">
        <v>228846</v>
      </c>
      <c r="X113" s="640"/>
      <c r="Y113" s="1977"/>
      <c r="Z113" s="641">
        <f t="shared" si="4"/>
        <v>332531</v>
      </c>
      <c r="AA113" s="1976">
        <v>351060</v>
      </c>
      <c r="AB113" s="573">
        <v>1500</v>
      </c>
      <c r="AC113" s="1976">
        <v>6500</v>
      </c>
      <c r="AD113" s="1974"/>
      <c r="AE113" s="1975"/>
      <c r="AF113" s="641">
        <f t="shared" si="5"/>
        <v>8000</v>
      </c>
      <c r="AG113" s="3141">
        <v>53230</v>
      </c>
    </row>
    <row r="114" spans="1:33" s="10" customFormat="1">
      <c r="A114" s="63">
        <f t="shared" si="6"/>
        <v>2001.09</v>
      </c>
      <c r="B114" s="250">
        <v>1392964</v>
      </c>
      <c r="C114" s="3140">
        <v>10257</v>
      </c>
      <c r="D114" s="3140">
        <v>84</v>
      </c>
      <c r="E114" s="134">
        <v>11095</v>
      </c>
      <c r="F114" s="573">
        <v>259356</v>
      </c>
      <c r="G114" s="3140">
        <v>4145</v>
      </c>
      <c r="H114" s="3140">
        <v>26</v>
      </c>
      <c r="I114" s="86">
        <v>2055</v>
      </c>
      <c r="J114" s="573">
        <v>1100123</v>
      </c>
      <c r="K114" s="3140">
        <v>4554</v>
      </c>
      <c r="L114" s="3140">
        <v>0</v>
      </c>
      <c r="M114" s="86">
        <v>6000</v>
      </c>
      <c r="N114" s="573">
        <v>5131</v>
      </c>
      <c r="O114" s="3140">
        <v>0</v>
      </c>
      <c r="P114" s="3140">
        <v>62</v>
      </c>
      <c r="Q114" s="86">
        <v>0</v>
      </c>
      <c r="R114" s="134">
        <v>1699771</v>
      </c>
      <c r="S114" s="3140">
        <v>276361</v>
      </c>
      <c r="T114" s="3140">
        <v>206</v>
      </c>
      <c r="U114" s="86">
        <v>11095</v>
      </c>
      <c r="V114" s="134">
        <v>56518</v>
      </c>
      <c r="W114" s="1976">
        <v>223017</v>
      </c>
      <c r="X114" s="640"/>
      <c r="Y114" s="1977"/>
      <c r="Z114" s="641">
        <f t="shared" si="4"/>
        <v>279535</v>
      </c>
      <c r="AA114" s="1976">
        <v>296060</v>
      </c>
      <c r="AB114" s="573">
        <v>1000</v>
      </c>
      <c r="AC114" s="1976">
        <v>23050</v>
      </c>
      <c r="AD114" s="1974"/>
      <c r="AE114" s="1975"/>
      <c r="AF114" s="641">
        <f t="shared" si="5"/>
        <v>24050</v>
      </c>
      <c r="AG114" s="3141">
        <v>84800</v>
      </c>
    </row>
    <row r="115" spans="1:33" s="10" customFormat="1">
      <c r="A115" s="63">
        <f t="shared" si="6"/>
        <v>2001.1</v>
      </c>
      <c r="B115" s="250">
        <v>1467560</v>
      </c>
      <c r="C115" s="3140">
        <v>44273</v>
      </c>
      <c r="D115" s="3140">
        <v>0</v>
      </c>
      <c r="E115" s="134">
        <v>0</v>
      </c>
      <c r="F115" s="573">
        <v>271727</v>
      </c>
      <c r="G115" s="3140">
        <v>17712</v>
      </c>
      <c r="H115" s="3140">
        <v>0</v>
      </c>
      <c r="I115" s="86">
        <v>0</v>
      </c>
      <c r="J115" s="573">
        <v>1155229</v>
      </c>
      <c r="K115" s="3140">
        <v>19829</v>
      </c>
      <c r="L115" s="3140">
        <v>0</v>
      </c>
      <c r="M115" s="86">
        <v>0</v>
      </c>
      <c r="N115" s="573">
        <v>5237</v>
      </c>
      <c r="O115" s="3140">
        <v>0</v>
      </c>
      <c r="P115" s="3140">
        <v>0</v>
      </c>
      <c r="Q115" s="86">
        <v>0</v>
      </c>
      <c r="R115" s="134">
        <v>1830550</v>
      </c>
      <c r="S115" s="3140">
        <v>234161</v>
      </c>
      <c r="T115" s="3140">
        <v>32</v>
      </c>
      <c r="U115" s="86">
        <v>0</v>
      </c>
      <c r="V115" s="134">
        <v>120600</v>
      </c>
      <c r="W115" s="1976">
        <v>207619</v>
      </c>
      <c r="X115" s="640"/>
      <c r="Y115" s="1977"/>
      <c r="Z115" s="641">
        <f t="shared" si="4"/>
        <v>328219</v>
      </c>
      <c r="AA115" s="1976">
        <v>344320</v>
      </c>
      <c r="AB115" s="573">
        <v>4500</v>
      </c>
      <c r="AC115" s="1976">
        <v>31746</v>
      </c>
      <c r="AD115" s="1974"/>
      <c r="AE115" s="1975"/>
      <c r="AF115" s="641">
        <f t="shared" si="5"/>
        <v>36246</v>
      </c>
      <c r="AG115" s="3141">
        <v>133400</v>
      </c>
    </row>
    <row r="116" spans="1:33" s="10" customFormat="1">
      <c r="A116" s="63">
        <f t="shared" si="6"/>
        <v>2001.11</v>
      </c>
      <c r="B116" s="250">
        <v>1446285</v>
      </c>
      <c r="C116" s="3140">
        <v>43065</v>
      </c>
      <c r="D116" s="3140">
        <v>0</v>
      </c>
      <c r="E116" s="134">
        <v>0</v>
      </c>
      <c r="F116" s="573">
        <v>271911</v>
      </c>
      <c r="G116" s="3140">
        <v>16888</v>
      </c>
      <c r="H116" s="3140">
        <v>0</v>
      </c>
      <c r="I116" s="86">
        <v>0</v>
      </c>
      <c r="J116" s="573">
        <v>1144994</v>
      </c>
      <c r="K116" s="3140">
        <v>19743</v>
      </c>
      <c r="L116" s="3140">
        <v>0</v>
      </c>
      <c r="M116" s="86">
        <v>0</v>
      </c>
      <c r="N116" s="573">
        <v>4966</v>
      </c>
      <c r="O116" s="3140">
        <v>0</v>
      </c>
      <c r="P116" s="3140">
        <v>0</v>
      </c>
      <c r="Q116" s="86">
        <v>0</v>
      </c>
      <c r="R116" s="134">
        <v>1765385</v>
      </c>
      <c r="S116" s="3140">
        <v>196486</v>
      </c>
      <c r="T116" s="3140">
        <v>0</v>
      </c>
      <c r="U116" s="86">
        <v>0</v>
      </c>
      <c r="V116" s="134">
        <v>123750</v>
      </c>
      <c r="W116" s="1976">
        <v>195859</v>
      </c>
      <c r="X116" s="640"/>
      <c r="Y116" s="1977"/>
      <c r="Z116" s="641">
        <f t="shared" si="4"/>
        <v>319609</v>
      </c>
      <c r="AA116" s="1976">
        <v>319610</v>
      </c>
      <c r="AB116" s="573">
        <v>1500</v>
      </c>
      <c r="AC116" s="1976">
        <v>16931</v>
      </c>
      <c r="AD116" s="1974"/>
      <c r="AE116" s="1975"/>
      <c r="AF116" s="641">
        <f t="shared" si="5"/>
        <v>18431</v>
      </c>
      <c r="AG116" s="3141">
        <v>45230</v>
      </c>
    </row>
    <row r="117" spans="1:33" s="10" customFormat="1">
      <c r="A117" s="63">
        <f t="shared" si="6"/>
        <v>2001.12</v>
      </c>
      <c r="B117" s="250">
        <v>1307214</v>
      </c>
      <c r="C117" s="3140">
        <v>43178</v>
      </c>
      <c r="D117" s="3140">
        <v>0</v>
      </c>
      <c r="E117" s="134">
        <v>0</v>
      </c>
      <c r="F117" s="573">
        <v>244563</v>
      </c>
      <c r="G117" s="3140">
        <v>17239</v>
      </c>
      <c r="H117" s="3140">
        <v>0</v>
      </c>
      <c r="I117" s="86">
        <v>0</v>
      </c>
      <c r="J117" s="573">
        <v>1041813</v>
      </c>
      <c r="K117" s="3140">
        <v>18474</v>
      </c>
      <c r="L117" s="3140">
        <v>0</v>
      </c>
      <c r="M117" s="86">
        <v>0</v>
      </c>
      <c r="N117" s="573">
        <v>3932</v>
      </c>
      <c r="O117" s="3140">
        <v>0</v>
      </c>
      <c r="P117" s="3140">
        <v>0</v>
      </c>
      <c r="Q117" s="86">
        <v>0</v>
      </c>
      <c r="R117" s="134">
        <v>1600480</v>
      </c>
      <c r="S117" s="3140">
        <v>218808</v>
      </c>
      <c r="T117" s="3140">
        <v>0</v>
      </c>
      <c r="U117" s="86">
        <v>0</v>
      </c>
      <c r="V117" s="134">
        <v>91920</v>
      </c>
      <c r="W117" s="1976">
        <v>396566</v>
      </c>
      <c r="X117" s="640"/>
      <c r="Y117" s="1977"/>
      <c r="Z117" s="641">
        <f t="shared" si="4"/>
        <v>488486</v>
      </c>
      <c r="AA117" s="1976">
        <v>493510</v>
      </c>
      <c r="AB117" s="573">
        <v>4500</v>
      </c>
      <c r="AC117" s="1976">
        <v>7641</v>
      </c>
      <c r="AD117" s="1974"/>
      <c r="AE117" s="1975"/>
      <c r="AF117" s="641">
        <f t="shared" si="5"/>
        <v>12141</v>
      </c>
      <c r="AG117" s="3141">
        <v>47390</v>
      </c>
    </row>
    <row r="118" spans="1:33" s="10" customFormat="1">
      <c r="A118" s="63">
        <f t="shared" si="6"/>
        <v>2002.01</v>
      </c>
      <c r="B118" s="250">
        <v>1131812</v>
      </c>
      <c r="C118" s="3140">
        <v>77263</v>
      </c>
      <c r="D118" s="3140">
        <v>272</v>
      </c>
      <c r="E118" s="134">
        <v>0</v>
      </c>
      <c r="F118" s="573">
        <v>212347</v>
      </c>
      <c r="G118" s="3140">
        <v>31533</v>
      </c>
      <c r="H118" s="3140">
        <v>86</v>
      </c>
      <c r="I118" s="86">
        <v>0</v>
      </c>
      <c r="J118" s="573">
        <v>903005</v>
      </c>
      <c r="K118" s="3140">
        <v>32533</v>
      </c>
      <c r="L118" s="3140">
        <v>0</v>
      </c>
      <c r="M118" s="86">
        <v>0</v>
      </c>
      <c r="N118" s="573">
        <v>2871</v>
      </c>
      <c r="O118" s="3140">
        <v>0</v>
      </c>
      <c r="P118" s="3140">
        <v>171</v>
      </c>
      <c r="Q118" s="86">
        <v>0</v>
      </c>
      <c r="R118" s="134">
        <v>1376856</v>
      </c>
      <c r="S118" s="3140">
        <v>103439</v>
      </c>
      <c r="T118" s="3140">
        <v>1511</v>
      </c>
      <c r="U118" s="86">
        <v>0</v>
      </c>
      <c r="V118" s="134">
        <v>86309</v>
      </c>
      <c r="W118" s="1976">
        <v>123115</v>
      </c>
      <c r="X118" s="640"/>
      <c r="Y118" s="1977"/>
      <c r="Z118" s="641">
        <f t="shared" si="4"/>
        <v>209424</v>
      </c>
      <c r="AA118" s="1976">
        <v>215450</v>
      </c>
      <c r="AB118" s="573">
        <v>4000</v>
      </c>
      <c r="AC118" s="1976">
        <v>11000</v>
      </c>
      <c r="AD118" s="1974"/>
      <c r="AE118" s="1975"/>
      <c r="AF118" s="641">
        <f t="shared" si="5"/>
        <v>15000</v>
      </c>
      <c r="AG118" s="3141">
        <v>55010</v>
      </c>
    </row>
    <row r="119" spans="1:33" s="10" customFormat="1">
      <c r="A119" s="63">
        <f t="shared" si="6"/>
        <v>2002.02</v>
      </c>
      <c r="B119" s="250">
        <v>708454</v>
      </c>
      <c r="C119" s="3140">
        <v>93410</v>
      </c>
      <c r="D119" s="3140">
        <v>303</v>
      </c>
      <c r="E119" s="134">
        <v>0</v>
      </c>
      <c r="F119" s="573">
        <v>131148</v>
      </c>
      <c r="G119" s="3140">
        <v>38748</v>
      </c>
      <c r="H119" s="3140">
        <v>95</v>
      </c>
      <c r="I119" s="86">
        <v>0</v>
      </c>
      <c r="J119" s="573">
        <v>565087</v>
      </c>
      <c r="K119" s="3140">
        <v>39059</v>
      </c>
      <c r="L119" s="3140">
        <v>0</v>
      </c>
      <c r="M119" s="86">
        <v>0</v>
      </c>
      <c r="N119" s="573">
        <v>3811</v>
      </c>
      <c r="O119" s="3140">
        <v>0</v>
      </c>
      <c r="P119" s="3140">
        <v>192</v>
      </c>
      <c r="Q119" s="86">
        <v>0</v>
      </c>
      <c r="R119" s="134">
        <v>879947</v>
      </c>
      <c r="S119" s="3140">
        <v>178447</v>
      </c>
      <c r="T119" s="3140">
        <v>533</v>
      </c>
      <c r="U119" s="86">
        <v>0</v>
      </c>
      <c r="V119" s="134">
        <v>45652</v>
      </c>
      <c r="W119" s="1976">
        <v>106843</v>
      </c>
      <c r="X119" s="640"/>
      <c r="Y119" s="1977"/>
      <c r="Z119" s="641">
        <f t="shared" si="4"/>
        <v>152495</v>
      </c>
      <c r="AA119" s="1976">
        <v>157790</v>
      </c>
      <c r="AB119" s="573">
        <v>6000</v>
      </c>
      <c r="AC119" s="1976">
        <v>30780</v>
      </c>
      <c r="AD119" s="1974"/>
      <c r="AE119" s="1975"/>
      <c r="AF119" s="641">
        <f t="shared" si="5"/>
        <v>36780</v>
      </c>
      <c r="AG119" s="3141">
        <v>68460</v>
      </c>
    </row>
    <row r="120" spans="1:33" s="10" customFormat="1">
      <c r="A120" s="63">
        <f t="shared" si="6"/>
        <v>2002.03</v>
      </c>
      <c r="B120" s="250">
        <v>980609</v>
      </c>
      <c r="C120" s="3140">
        <v>101059</v>
      </c>
      <c r="D120" s="3140">
        <v>0</v>
      </c>
      <c r="E120" s="134">
        <v>0</v>
      </c>
      <c r="F120" s="573">
        <v>187236</v>
      </c>
      <c r="G120" s="3140">
        <v>42511</v>
      </c>
      <c r="H120" s="3140">
        <v>0</v>
      </c>
      <c r="I120" s="86">
        <v>0</v>
      </c>
      <c r="J120" s="573">
        <v>779326</v>
      </c>
      <c r="K120" s="3140">
        <v>41672</v>
      </c>
      <c r="L120" s="3140">
        <v>0</v>
      </c>
      <c r="M120" s="86">
        <v>0</v>
      </c>
      <c r="N120" s="573">
        <v>5302</v>
      </c>
      <c r="O120" s="3140">
        <v>0</v>
      </c>
      <c r="P120" s="3140">
        <v>0</v>
      </c>
      <c r="Q120" s="86">
        <v>0</v>
      </c>
      <c r="R120" s="134">
        <v>1112699</v>
      </c>
      <c r="S120" s="3140">
        <v>469520</v>
      </c>
      <c r="T120" s="3140">
        <v>634</v>
      </c>
      <c r="U120" s="86">
        <v>0</v>
      </c>
      <c r="V120" s="134">
        <v>46700</v>
      </c>
      <c r="W120" s="1976">
        <v>188134</v>
      </c>
      <c r="X120" s="640"/>
      <c r="Y120" s="1977"/>
      <c r="Z120" s="641">
        <f t="shared" si="4"/>
        <v>234834</v>
      </c>
      <c r="AA120" s="1976">
        <v>248810</v>
      </c>
      <c r="AB120" s="573">
        <v>28500</v>
      </c>
      <c r="AC120" s="1976">
        <v>33717</v>
      </c>
      <c r="AD120" s="1974"/>
      <c r="AE120" s="1975"/>
      <c r="AF120" s="641">
        <f t="shared" si="5"/>
        <v>62217</v>
      </c>
      <c r="AG120" s="3141">
        <v>109500</v>
      </c>
    </row>
    <row r="121" spans="1:33" s="10" customFormat="1">
      <c r="A121" s="63">
        <f t="shared" si="6"/>
        <v>2002.04</v>
      </c>
      <c r="B121" s="250">
        <v>1400878</v>
      </c>
      <c r="C121" s="3140">
        <v>35937</v>
      </c>
      <c r="D121" s="3140">
        <v>0</v>
      </c>
      <c r="E121" s="134">
        <v>15920</v>
      </c>
      <c r="F121" s="573">
        <v>267844</v>
      </c>
      <c r="G121" s="3140">
        <v>14565</v>
      </c>
      <c r="H121" s="3140">
        <v>0</v>
      </c>
      <c r="I121" s="86">
        <v>2575</v>
      </c>
      <c r="J121" s="573">
        <v>1099640</v>
      </c>
      <c r="K121" s="3140">
        <v>15222</v>
      </c>
      <c r="L121" s="3140">
        <v>0</v>
      </c>
      <c r="M121" s="86">
        <v>7511</v>
      </c>
      <c r="N121" s="573">
        <v>5138</v>
      </c>
      <c r="O121" s="3140">
        <v>0</v>
      </c>
      <c r="P121" s="3140">
        <v>0</v>
      </c>
      <c r="Q121" s="86">
        <v>0</v>
      </c>
      <c r="R121" s="134">
        <v>1592562</v>
      </c>
      <c r="S121" s="3140">
        <v>391546</v>
      </c>
      <c r="T121" s="3140">
        <v>0</v>
      </c>
      <c r="U121" s="86">
        <v>15920</v>
      </c>
      <c r="V121" s="134">
        <v>58742</v>
      </c>
      <c r="W121" s="1976">
        <v>175319</v>
      </c>
      <c r="X121" s="640"/>
      <c r="Y121" s="1977"/>
      <c r="Z121" s="641">
        <f t="shared" si="4"/>
        <v>234061</v>
      </c>
      <c r="AA121" s="1976">
        <v>234060</v>
      </c>
      <c r="AB121" s="573">
        <v>12400</v>
      </c>
      <c r="AC121" s="1976">
        <v>22646</v>
      </c>
      <c r="AD121" s="1974"/>
      <c r="AE121" s="1975"/>
      <c r="AF121" s="641">
        <f t="shared" si="5"/>
        <v>35046</v>
      </c>
      <c r="AG121" s="3141">
        <v>130000</v>
      </c>
    </row>
    <row r="122" spans="1:33" s="10" customFormat="1">
      <c r="A122" s="63">
        <f t="shared" si="6"/>
        <v>2002.05</v>
      </c>
      <c r="B122" s="250">
        <v>1718262</v>
      </c>
      <c r="C122" s="3140">
        <v>33722</v>
      </c>
      <c r="D122" s="3140">
        <v>0</v>
      </c>
      <c r="E122" s="134">
        <v>400</v>
      </c>
      <c r="F122" s="573">
        <v>319493</v>
      </c>
      <c r="G122" s="3140">
        <v>13800</v>
      </c>
      <c r="H122" s="3140">
        <v>0</v>
      </c>
      <c r="I122" s="86">
        <v>72</v>
      </c>
      <c r="J122" s="573">
        <v>1350622</v>
      </c>
      <c r="K122" s="3140">
        <v>14078</v>
      </c>
      <c r="L122" s="3140">
        <v>0</v>
      </c>
      <c r="M122" s="86">
        <v>196</v>
      </c>
      <c r="N122" s="573">
        <v>6064</v>
      </c>
      <c r="O122" s="3140">
        <v>0</v>
      </c>
      <c r="P122" s="3140">
        <v>0</v>
      </c>
      <c r="Q122" s="86">
        <v>0</v>
      </c>
      <c r="R122" s="134">
        <v>2039294</v>
      </c>
      <c r="S122" s="3140">
        <v>361368</v>
      </c>
      <c r="T122" s="3140">
        <v>251</v>
      </c>
      <c r="U122" s="86">
        <v>400</v>
      </c>
      <c r="V122" s="134">
        <v>98333</v>
      </c>
      <c r="W122" s="1976">
        <v>190113</v>
      </c>
      <c r="X122" s="640"/>
      <c r="Y122" s="1977"/>
      <c r="Z122" s="641">
        <f t="shared" si="4"/>
        <v>288446</v>
      </c>
      <c r="AA122" s="1976">
        <v>288450</v>
      </c>
      <c r="AB122" s="573">
        <v>30875</v>
      </c>
      <c r="AC122" s="1976">
        <v>44020</v>
      </c>
      <c r="AD122" s="1974"/>
      <c r="AE122" s="1975"/>
      <c r="AF122" s="641">
        <f t="shared" si="5"/>
        <v>74895</v>
      </c>
      <c r="AG122" s="3141">
        <v>138680</v>
      </c>
    </row>
    <row r="123" spans="1:33" s="10" customFormat="1">
      <c r="A123" s="63">
        <f t="shared" si="6"/>
        <v>2002.06</v>
      </c>
      <c r="B123" s="250">
        <v>1709511</v>
      </c>
      <c r="C123" s="3140">
        <v>46893</v>
      </c>
      <c r="D123" s="3140">
        <v>0</v>
      </c>
      <c r="E123" s="134">
        <v>350</v>
      </c>
      <c r="F123" s="573">
        <v>311649</v>
      </c>
      <c r="G123" s="3140">
        <v>18878</v>
      </c>
      <c r="H123" s="3140">
        <v>0</v>
      </c>
      <c r="I123" s="86">
        <v>63</v>
      </c>
      <c r="J123" s="573">
        <v>1350085</v>
      </c>
      <c r="K123" s="3140">
        <v>18975</v>
      </c>
      <c r="L123" s="3140">
        <v>0</v>
      </c>
      <c r="M123" s="86">
        <v>200</v>
      </c>
      <c r="N123" s="573">
        <v>4917</v>
      </c>
      <c r="O123" s="3140">
        <v>0</v>
      </c>
      <c r="P123" s="3140">
        <v>0</v>
      </c>
      <c r="Q123" s="86">
        <v>0</v>
      </c>
      <c r="R123" s="134">
        <v>2053985</v>
      </c>
      <c r="S123" s="3140">
        <v>277939</v>
      </c>
      <c r="T123" s="3140">
        <v>222</v>
      </c>
      <c r="U123" s="86">
        <v>350</v>
      </c>
      <c r="V123" s="134">
        <v>42970</v>
      </c>
      <c r="W123" s="1976">
        <v>280860</v>
      </c>
      <c r="X123" s="640"/>
      <c r="Y123" s="1977"/>
      <c r="Z123" s="641">
        <f t="shared" si="4"/>
        <v>323830</v>
      </c>
      <c r="AA123" s="1976">
        <v>341530</v>
      </c>
      <c r="AB123" s="573">
        <v>10000</v>
      </c>
      <c r="AC123" s="1976">
        <v>18650</v>
      </c>
      <c r="AD123" s="1974"/>
      <c r="AE123" s="1975"/>
      <c r="AF123" s="641">
        <f t="shared" si="5"/>
        <v>28650</v>
      </c>
      <c r="AG123" s="3141">
        <v>120910</v>
      </c>
    </row>
    <row r="124" spans="1:33" s="10" customFormat="1">
      <c r="A124" s="63">
        <f t="shared" si="6"/>
        <v>2002.07</v>
      </c>
      <c r="B124" s="250">
        <v>1815306</v>
      </c>
      <c r="C124" s="3140">
        <v>29547</v>
      </c>
      <c r="D124" s="3140">
        <v>0</v>
      </c>
      <c r="E124" s="134">
        <v>33560</v>
      </c>
      <c r="F124" s="573">
        <v>333487</v>
      </c>
      <c r="G124" s="3140">
        <v>11907</v>
      </c>
      <c r="H124" s="3140">
        <v>0</v>
      </c>
      <c r="I124" s="86">
        <v>5521</v>
      </c>
      <c r="J124" s="573">
        <v>1430667</v>
      </c>
      <c r="K124" s="3140">
        <v>11160</v>
      </c>
      <c r="L124" s="3140">
        <v>0</v>
      </c>
      <c r="M124" s="86">
        <v>16647</v>
      </c>
      <c r="N124" s="573">
        <v>5389</v>
      </c>
      <c r="O124" s="3140">
        <v>0</v>
      </c>
      <c r="P124" s="3140">
        <v>0</v>
      </c>
      <c r="Q124" s="86">
        <v>0</v>
      </c>
      <c r="R124" s="134">
        <v>2181887</v>
      </c>
      <c r="S124" s="3140">
        <v>290656</v>
      </c>
      <c r="T124" s="3140">
        <v>0</v>
      </c>
      <c r="U124" s="86">
        <v>33560</v>
      </c>
      <c r="V124" s="134">
        <v>139267</v>
      </c>
      <c r="W124" s="1976">
        <v>251375</v>
      </c>
      <c r="X124" s="640"/>
      <c r="Y124" s="1977"/>
      <c r="Z124" s="641">
        <f t="shared" si="4"/>
        <v>390642</v>
      </c>
      <c r="AA124" s="1976">
        <v>397830</v>
      </c>
      <c r="AB124" s="573">
        <v>2880</v>
      </c>
      <c r="AC124" s="1976">
        <v>23920</v>
      </c>
      <c r="AD124" s="1974"/>
      <c r="AE124" s="1975"/>
      <c r="AF124" s="641">
        <f t="shared" si="5"/>
        <v>26800</v>
      </c>
      <c r="AG124" s="3141">
        <v>100740</v>
      </c>
    </row>
    <row r="125" spans="1:33" s="10" customFormat="1">
      <c r="A125" s="63">
        <f t="shared" si="6"/>
        <v>2002.08</v>
      </c>
      <c r="B125" s="250">
        <v>1783716</v>
      </c>
      <c r="C125" s="3140">
        <v>42420</v>
      </c>
      <c r="D125" s="3140">
        <v>0</v>
      </c>
      <c r="E125" s="134">
        <v>17075</v>
      </c>
      <c r="F125" s="573">
        <v>328548</v>
      </c>
      <c r="G125" s="3140">
        <v>17132</v>
      </c>
      <c r="H125" s="3140">
        <v>0</v>
      </c>
      <c r="I125" s="86">
        <v>2771</v>
      </c>
      <c r="J125" s="573">
        <v>1405138</v>
      </c>
      <c r="K125" s="3140">
        <v>17445</v>
      </c>
      <c r="L125" s="3140">
        <v>0</v>
      </c>
      <c r="M125" s="86">
        <v>8473</v>
      </c>
      <c r="N125" s="573">
        <v>5460</v>
      </c>
      <c r="O125" s="3140">
        <v>0</v>
      </c>
      <c r="P125" s="3140">
        <v>0</v>
      </c>
      <c r="Q125" s="86">
        <v>0</v>
      </c>
      <c r="R125" s="134">
        <v>2228747</v>
      </c>
      <c r="S125" s="3140">
        <v>186508</v>
      </c>
      <c r="T125" s="3140">
        <v>0</v>
      </c>
      <c r="U125" s="86">
        <v>17075</v>
      </c>
      <c r="V125" s="134">
        <v>81400</v>
      </c>
      <c r="W125" s="1976">
        <v>283959</v>
      </c>
      <c r="X125" s="640"/>
      <c r="Y125" s="1977"/>
      <c r="Z125" s="641">
        <f t="shared" si="4"/>
        <v>365359</v>
      </c>
      <c r="AA125" s="1976">
        <v>365360</v>
      </c>
      <c r="AB125" s="573">
        <v>23000</v>
      </c>
      <c r="AC125" s="1976">
        <v>18960</v>
      </c>
      <c r="AD125" s="1974"/>
      <c r="AE125" s="1975"/>
      <c r="AF125" s="641">
        <f t="shared" si="5"/>
        <v>41960</v>
      </c>
      <c r="AG125" s="3141">
        <v>69770</v>
      </c>
    </row>
    <row r="126" spans="1:33" s="10" customFormat="1">
      <c r="A126" s="63">
        <f t="shared" si="6"/>
        <v>2002.09</v>
      </c>
      <c r="B126" s="250">
        <v>1795354</v>
      </c>
      <c r="C126" s="3140">
        <v>25523</v>
      </c>
      <c r="D126" s="3140">
        <v>0</v>
      </c>
      <c r="E126" s="134">
        <v>0</v>
      </c>
      <c r="F126" s="573">
        <v>334122</v>
      </c>
      <c r="G126" s="3140">
        <v>10489</v>
      </c>
      <c r="H126" s="3140">
        <v>0</v>
      </c>
      <c r="I126" s="86">
        <v>0</v>
      </c>
      <c r="J126" s="573">
        <v>1410345</v>
      </c>
      <c r="K126" s="3140">
        <v>10573</v>
      </c>
      <c r="L126" s="3140">
        <v>0</v>
      </c>
      <c r="M126" s="86">
        <v>0</v>
      </c>
      <c r="N126" s="573">
        <v>5719</v>
      </c>
      <c r="O126" s="3140">
        <v>0</v>
      </c>
      <c r="P126" s="3140">
        <v>0</v>
      </c>
      <c r="Q126" s="86">
        <v>0</v>
      </c>
      <c r="R126" s="134">
        <v>2196670</v>
      </c>
      <c r="S126" s="3140">
        <v>184710</v>
      </c>
      <c r="T126" s="3140">
        <v>0</v>
      </c>
      <c r="U126" s="86">
        <v>0</v>
      </c>
      <c r="V126" s="134">
        <v>126260</v>
      </c>
      <c r="W126" s="1976">
        <v>266995</v>
      </c>
      <c r="X126" s="640"/>
      <c r="Y126" s="1977"/>
      <c r="Z126" s="641">
        <f t="shared" si="4"/>
        <v>393255</v>
      </c>
      <c r="AA126" s="1976">
        <v>431320</v>
      </c>
      <c r="AB126" s="573">
        <v>5573</v>
      </c>
      <c r="AC126" s="1976">
        <v>19356</v>
      </c>
      <c r="AD126" s="1974"/>
      <c r="AE126" s="1975"/>
      <c r="AF126" s="641">
        <f t="shared" si="5"/>
        <v>24929</v>
      </c>
      <c r="AG126" s="3141">
        <v>27630</v>
      </c>
    </row>
    <row r="127" spans="1:33" s="10" customFormat="1">
      <c r="A127" s="63">
        <f t="shared" si="6"/>
        <v>2002.1</v>
      </c>
      <c r="B127" s="250">
        <v>1778381</v>
      </c>
      <c r="C127" s="3140">
        <v>31231</v>
      </c>
      <c r="D127" s="3140">
        <v>0</v>
      </c>
      <c r="E127" s="134">
        <v>0</v>
      </c>
      <c r="F127" s="573">
        <v>330350</v>
      </c>
      <c r="G127" s="3140">
        <v>12743</v>
      </c>
      <c r="H127" s="3140">
        <v>0</v>
      </c>
      <c r="I127" s="86">
        <v>0</v>
      </c>
      <c r="J127" s="573">
        <v>1412243</v>
      </c>
      <c r="K127" s="3140">
        <v>13145</v>
      </c>
      <c r="L127" s="3140">
        <v>0</v>
      </c>
      <c r="M127" s="86">
        <v>0</v>
      </c>
      <c r="N127" s="573">
        <v>5548</v>
      </c>
      <c r="O127" s="3140">
        <v>0</v>
      </c>
      <c r="P127" s="3140">
        <v>0</v>
      </c>
      <c r="Q127" s="86">
        <v>0</v>
      </c>
      <c r="R127" s="134">
        <v>2185255</v>
      </c>
      <c r="S127" s="3140">
        <v>187402</v>
      </c>
      <c r="T127" s="3140">
        <v>0</v>
      </c>
      <c r="U127" s="86">
        <v>0</v>
      </c>
      <c r="V127" s="134">
        <v>110958</v>
      </c>
      <c r="W127" s="1976">
        <v>184385</v>
      </c>
      <c r="X127" s="640"/>
      <c r="Y127" s="1977"/>
      <c r="Z127" s="641">
        <f t="shared" si="4"/>
        <v>295343</v>
      </c>
      <c r="AA127" s="1976">
        <v>295340</v>
      </c>
      <c r="AB127" s="573">
        <v>0</v>
      </c>
      <c r="AC127" s="1976">
        <v>28550</v>
      </c>
      <c r="AD127" s="1974"/>
      <c r="AE127" s="1975"/>
      <c r="AF127" s="641">
        <f t="shared" si="5"/>
        <v>28550</v>
      </c>
      <c r="AG127" s="3141">
        <v>75990</v>
      </c>
    </row>
    <row r="128" spans="1:33" s="10" customFormat="1">
      <c r="A128" s="63">
        <f t="shared" si="6"/>
        <v>2002.11</v>
      </c>
      <c r="B128" s="250">
        <v>1533279</v>
      </c>
      <c r="C128" s="3140">
        <v>34247</v>
      </c>
      <c r="D128" s="3140">
        <v>0</v>
      </c>
      <c r="E128" s="134">
        <v>0</v>
      </c>
      <c r="F128" s="573">
        <v>286957</v>
      </c>
      <c r="G128" s="3140">
        <v>13747</v>
      </c>
      <c r="H128" s="3140">
        <v>0</v>
      </c>
      <c r="I128" s="86">
        <v>0</v>
      </c>
      <c r="J128" s="573">
        <v>1218009</v>
      </c>
      <c r="K128" s="3140">
        <v>14364</v>
      </c>
      <c r="L128" s="3140">
        <v>0</v>
      </c>
      <c r="M128" s="86">
        <v>0</v>
      </c>
      <c r="N128" s="573">
        <v>5549</v>
      </c>
      <c r="O128" s="3140">
        <v>0</v>
      </c>
      <c r="P128" s="3140">
        <v>0</v>
      </c>
      <c r="Q128" s="86">
        <v>0</v>
      </c>
      <c r="R128" s="134">
        <v>1818467</v>
      </c>
      <c r="S128" s="3140">
        <v>207683</v>
      </c>
      <c r="T128" s="3140">
        <v>0</v>
      </c>
      <c r="U128" s="86">
        <v>0</v>
      </c>
      <c r="V128" s="134">
        <v>79822</v>
      </c>
      <c r="W128" s="1976">
        <v>213875</v>
      </c>
      <c r="X128" s="640"/>
      <c r="Y128" s="1977"/>
      <c r="Z128" s="641">
        <f t="shared" si="4"/>
        <v>293697</v>
      </c>
      <c r="AA128" s="1976">
        <v>319020</v>
      </c>
      <c r="AB128" s="573">
        <v>2050</v>
      </c>
      <c r="AC128" s="1976">
        <v>25680</v>
      </c>
      <c r="AD128" s="1974"/>
      <c r="AE128" s="1975"/>
      <c r="AF128" s="641">
        <f t="shared" si="5"/>
        <v>27730</v>
      </c>
      <c r="AG128" s="3141">
        <v>47570</v>
      </c>
    </row>
    <row r="129" spans="1:33" s="10" customFormat="1">
      <c r="A129" s="63">
        <f t="shared" si="6"/>
        <v>2002.12</v>
      </c>
      <c r="B129" s="250">
        <v>1503589</v>
      </c>
      <c r="C129" s="3140">
        <v>24083</v>
      </c>
      <c r="D129" s="3140">
        <v>0</v>
      </c>
      <c r="E129" s="134">
        <v>0</v>
      </c>
      <c r="F129" s="573">
        <v>281666</v>
      </c>
      <c r="G129" s="3140">
        <v>9469</v>
      </c>
      <c r="H129" s="3140">
        <v>0</v>
      </c>
      <c r="I129" s="86">
        <v>0</v>
      </c>
      <c r="J129" s="573">
        <v>1196352</v>
      </c>
      <c r="K129" s="3140">
        <v>9740</v>
      </c>
      <c r="L129" s="3140">
        <v>0</v>
      </c>
      <c r="M129" s="86">
        <v>0</v>
      </c>
      <c r="N129" s="573">
        <v>4673</v>
      </c>
      <c r="O129" s="3140">
        <v>0</v>
      </c>
      <c r="P129" s="3140">
        <v>0</v>
      </c>
      <c r="Q129" s="86">
        <v>0</v>
      </c>
      <c r="R129" s="134">
        <v>1727159</v>
      </c>
      <c r="S129" s="3140">
        <v>149784</v>
      </c>
      <c r="T129" s="3140">
        <v>84</v>
      </c>
      <c r="U129" s="86">
        <v>0</v>
      </c>
      <c r="V129" s="134">
        <v>53513</v>
      </c>
      <c r="W129" s="1976">
        <v>237054</v>
      </c>
      <c r="X129" s="640"/>
      <c r="Y129" s="1977"/>
      <c r="Z129" s="641">
        <f t="shared" si="4"/>
        <v>290567</v>
      </c>
      <c r="AA129" s="1976">
        <v>297200</v>
      </c>
      <c r="AB129" s="573">
        <v>20937</v>
      </c>
      <c r="AC129" s="1976">
        <v>33700</v>
      </c>
      <c r="AD129" s="1974"/>
      <c r="AE129" s="1975"/>
      <c r="AF129" s="641">
        <f t="shared" si="5"/>
        <v>54637</v>
      </c>
      <c r="AG129" s="3141">
        <v>120250</v>
      </c>
    </row>
    <row r="130" spans="1:33" s="10" customFormat="1">
      <c r="A130" s="63">
        <f t="shared" si="6"/>
        <v>2003.01</v>
      </c>
      <c r="B130" s="250">
        <v>1307026</v>
      </c>
      <c r="C130" s="3140">
        <v>157157</v>
      </c>
      <c r="D130" s="3140">
        <v>136</v>
      </c>
      <c r="E130" s="134">
        <v>0</v>
      </c>
      <c r="F130" s="573">
        <v>247800</v>
      </c>
      <c r="G130" s="3140">
        <v>62312</v>
      </c>
      <c r="H130" s="3140">
        <v>44</v>
      </c>
      <c r="I130" s="86">
        <v>0</v>
      </c>
      <c r="J130" s="573">
        <v>1030839</v>
      </c>
      <c r="K130" s="3140">
        <v>65261</v>
      </c>
      <c r="L130" s="3140">
        <v>0</v>
      </c>
      <c r="M130" s="86">
        <v>0</v>
      </c>
      <c r="N130" s="573">
        <v>5012</v>
      </c>
      <c r="O130" s="3140">
        <v>0</v>
      </c>
      <c r="P130" s="3140">
        <v>0</v>
      </c>
      <c r="Q130" s="86">
        <v>0</v>
      </c>
      <c r="R130" s="134">
        <v>1520110</v>
      </c>
      <c r="S130" s="3140">
        <v>390842</v>
      </c>
      <c r="T130" s="3140">
        <v>779</v>
      </c>
      <c r="U130" s="86">
        <v>0</v>
      </c>
      <c r="V130" s="134">
        <v>117588</v>
      </c>
      <c r="W130" s="1976">
        <v>200163</v>
      </c>
      <c r="X130" s="640"/>
      <c r="Y130" s="1977"/>
      <c r="Z130" s="641">
        <f t="shared" si="4"/>
        <v>317751</v>
      </c>
      <c r="AA130" s="1976">
        <v>334400</v>
      </c>
      <c r="AB130" s="573">
        <v>4528</v>
      </c>
      <c r="AC130" s="1976">
        <v>30737</v>
      </c>
      <c r="AD130" s="1974"/>
      <c r="AE130" s="1975"/>
      <c r="AF130" s="641">
        <f t="shared" si="5"/>
        <v>35265</v>
      </c>
      <c r="AG130" s="3141">
        <v>72960</v>
      </c>
    </row>
    <row r="131" spans="1:33" s="10" customFormat="1">
      <c r="A131" s="63">
        <f t="shared" si="6"/>
        <v>2003.02</v>
      </c>
      <c r="B131" s="250">
        <v>1139489</v>
      </c>
      <c r="C131" s="3140">
        <v>120580</v>
      </c>
      <c r="D131" s="3140">
        <v>0</v>
      </c>
      <c r="E131" s="134">
        <v>0</v>
      </c>
      <c r="F131" s="573">
        <v>216674</v>
      </c>
      <c r="G131" s="3140">
        <v>47628</v>
      </c>
      <c r="H131" s="3140">
        <v>0</v>
      </c>
      <c r="I131" s="86">
        <v>0</v>
      </c>
      <c r="J131" s="573">
        <v>901144</v>
      </c>
      <c r="K131" s="3140">
        <v>49975</v>
      </c>
      <c r="L131" s="3140">
        <v>0</v>
      </c>
      <c r="M131" s="86">
        <v>0</v>
      </c>
      <c r="N131" s="573">
        <v>4980</v>
      </c>
      <c r="O131" s="3140">
        <v>0</v>
      </c>
      <c r="P131" s="3140">
        <v>0</v>
      </c>
      <c r="Q131" s="86">
        <v>0</v>
      </c>
      <c r="R131" s="134">
        <v>1351618</v>
      </c>
      <c r="S131" s="3140">
        <v>298069</v>
      </c>
      <c r="T131" s="3140">
        <v>1189</v>
      </c>
      <c r="U131" s="86">
        <v>0</v>
      </c>
      <c r="V131" s="134">
        <v>83529</v>
      </c>
      <c r="W131" s="1976">
        <v>150384</v>
      </c>
      <c r="X131" s="640"/>
      <c r="Y131" s="1977"/>
      <c r="Z131" s="641">
        <f t="shared" si="4"/>
        <v>233913</v>
      </c>
      <c r="AA131" s="1976">
        <v>239410</v>
      </c>
      <c r="AB131" s="573">
        <v>20801</v>
      </c>
      <c r="AC131" s="1976">
        <v>83135</v>
      </c>
      <c r="AD131" s="1974"/>
      <c r="AE131" s="1975"/>
      <c r="AF131" s="641">
        <f t="shared" si="5"/>
        <v>103936</v>
      </c>
      <c r="AG131" s="3141">
        <v>166710</v>
      </c>
    </row>
    <row r="132" spans="1:33" s="10" customFormat="1">
      <c r="A132" s="63">
        <f t="shared" si="6"/>
        <v>2003.03</v>
      </c>
      <c r="B132" s="250">
        <v>1394286</v>
      </c>
      <c r="C132" s="3140">
        <v>119646</v>
      </c>
      <c r="D132" s="3140">
        <v>0</v>
      </c>
      <c r="E132" s="134">
        <v>0</v>
      </c>
      <c r="F132" s="573">
        <v>262531</v>
      </c>
      <c r="G132" s="3140">
        <v>47291</v>
      </c>
      <c r="H132" s="3140">
        <v>0</v>
      </c>
      <c r="I132" s="86">
        <v>0</v>
      </c>
      <c r="J132" s="573">
        <v>1086415</v>
      </c>
      <c r="K132" s="3140">
        <v>50883</v>
      </c>
      <c r="L132" s="3140">
        <v>0</v>
      </c>
      <c r="M132" s="86">
        <v>0</v>
      </c>
      <c r="N132" s="573">
        <v>5284</v>
      </c>
      <c r="O132" s="3140">
        <v>0</v>
      </c>
      <c r="P132" s="3140">
        <v>0</v>
      </c>
      <c r="Q132" s="86">
        <v>0</v>
      </c>
      <c r="R132" s="134">
        <v>1501341</v>
      </c>
      <c r="S132" s="3140">
        <v>503306</v>
      </c>
      <c r="T132" s="3140">
        <v>70</v>
      </c>
      <c r="U132" s="86">
        <v>0</v>
      </c>
      <c r="V132" s="134">
        <v>87365</v>
      </c>
      <c r="W132" s="1976">
        <v>191781</v>
      </c>
      <c r="X132" s="640"/>
      <c r="Y132" s="1977"/>
      <c r="Z132" s="641">
        <f t="shared" si="4"/>
        <v>279146</v>
      </c>
      <c r="AA132" s="1976">
        <v>280650</v>
      </c>
      <c r="AB132" s="573">
        <v>0</v>
      </c>
      <c r="AC132" s="1976">
        <v>19230</v>
      </c>
      <c r="AD132" s="1974"/>
      <c r="AE132" s="1975"/>
      <c r="AF132" s="641">
        <f t="shared" si="5"/>
        <v>19230</v>
      </c>
      <c r="AG132" s="3141">
        <v>88430</v>
      </c>
    </row>
    <row r="133" spans="1:33" s="10" customFormat="1">
      <c r="A133" s="63">
        <f t="shared" si="6"/>
        <v>2003.04</v>
      </c>
      <c r="B133" s="250">
        <v>1727381</v>
      </c>
      <c r="C133" s="3140">
        <v>53832</v>
      </c>
      <c r="D133" s="3140">
        <v>0</v>
      </c>
      <c r="E133" s="134">
        <v>0</v>
      </c>
      <c r="F133" s="573">
        <v>327588</v>
      </c>
      <c r="G133" s="3140">
        <v>22456</v>
      </c>
      <c r="H133" s="3140">
        <v>0</v>
      </c>
      <c r="I133" s="86">
        <v>0</v>
      </c>
      <c r="J133" s="573">
        <v>1360147</v>
      </c>
      <c r="K133" s="3140">
        <v>24704</v>
      </c>
      <c r="L133" s="3140">
        <v>0</v>
      </c>
      <c r="M133" s="86">
        <v>0</v>
      </c>
      <c r="N133" s="573">
        <v>4921</v>
      </c>
      <c r="O133" s="3140">
        <v>0</v>
      </c>
      <c r="P133" s="3140">
        <v>0</v>
      </c>
      <c r="Q133" s="86">
        <v>0</v>
      </c>
      <c r="R133" s="134">
        <v>1968633</v>
      </c>
      <c r="S133" s="3140">
        <v>331022</v>
      </c>
      <c r="T133" s="3140">
        <v>0</v>
      </c>
      <c r="U133" s="86">
        <v>0</v>
      </c>
      <c r="V133" s="134">
        <v>47121</v>
      </c>
      <c r="W133" s="1976">
        <v>229693</v>
      </c>
      <c r="X133" s="640"/>
      <c r="Y133" s="1977"/>
      <c r="Z133" s="641">
        <f t="shared" si="4"/>
        <v>276814</v>
      </c>
      <c r="AA133" s="1976">
        <v>276810</v>
      </c>
      <c r="AB133" s="573">
        <v>13750</v>
      </c>
      <c r="AC133" s="1976">
        <v>48237</v>
      </c>
      <c r="AD133" s="1974"/>
      <c r="AE133" s="1975"/>
      <c r="AF133" s="641">
        <f t="shared" si="5"/>
        <v>61987</v>
      </c>
      <c r="AG133" s="3141">
        <v>77280</v>
      </c>
    </row>
    <row r="134" spans="1:33" s="10" customFormat="1">
      <c r="A134" s="63">
        <f t="shared" si="6"/>
        <v>2003.05</v>
      </c>
      <c r="B134" s="250">
        <v>1863632</v>
      </c>
      <c r="C134" s="3140">
        <v>43945</v>
      </c>
      <c r="D134" s="3140">
        <v>0</v>
      </c>
      <c r="E134" s="134">
        <v>0</v>
      </c>
      <c r="F134" s="573">
        <v>338181</v>
      </c>
      <c r="G134" s="3140">
        <v>17190</v>
      </c>
      <c r="H134" s="3140">
        <v>0</v>
      </c>
      <c r="I134" s="86">
        <v>0</v>
      </c>
      <c r="J134" s="573">
        <v>1473745</v>
      </c>
      <c r="K134" s="3140">
        <v>18145</v>
      </c>
      <c r="L134" s="3140">
        <v>0</v>
      </c>
      <c r="M134" s="86">
        <v>0</v>
      </c>
      <c r="N134" s="573">
        <v>5583</v>
      </c>
      <c r="O134" s="3140">
        <v>0</v>
      </c>
      <c r="P134" s="3140">
        <v>0</v>
      </c>
      <c r="Q134" s="86">
        <v>0</v>
      </c>
      <c r="R134" s="134">
        <v>2277943</v>
      </c>
      <c r="S134" s="3140">
        <v>232394</v>
      </c>
      <c r="T134" s="3140">
        <v>0</v>
      </c>
      <c r="U134" s="86">
        <v>0</v>
      </c>
      <c r="V134" s="134">
        <v>111423</v>
      </c>
      <c r="W134" s="1976">
        <v>325028</v>
      </c>
      <c r="X134" s="640"/>
      <c r="Y134" s="1977"/>
      <c r="Z134" s="641">
        <f t="shared" si="4"/>
        <v>436451</v>
      </c>
      <c r="AA134" s="1976">
        <v>438430</v>
      </c>
      <c r="AB134" s="573">
        <v>15000</v>
      </c>
      <c r="AC134" s="1976">
        <v>22900</v>
      </c>
      <c r="AD134" s="1974"/>
      <c r="AE134" s="1975"/>
      <c r="AF134" s="641">
        <f t="shared" si="5"/>
        <v>37900</v>
      </c>
      <c r="AG134" s="3141">
        <v>87110</v>
      </c>
    </row>
    <row r="135" spans="1:33" s="10" customFormat="1">
      <c r="A135" s="63">
        <f t="shared" si="6"/>
        <v>2003.06</v>
      </c>
      <c r="B135" s="250">
        <v>1840910</v>
      </c>
      <c r="C135" s="3140">
        <v>27649</v>
      </c>
      <c r="D135" s="3140">
        <v>0</v>
      </c>
      <c r="E135" s="134">
        <v>0</v>
      </c>
      <c r="F135" s="573">
        <v>342810</v>
      </c>
      <c r="G135" s="3140">
        <v>10781</v>
      </c>
      <c r="H135" s="3140">
        <v>0</v>
      </c>
      <c r="I135" s="86">
        <v>0</v>
      </c>
      <c r="J135" s="573">
        <v>1449476</v>
      </c>
      <c r="K135" s="3140">
        <v>11557</v>
      </c>
      <c r="L135" s="3140">
        <v>0</v>
      </c>
      <c r="M135" s="86">
        <v>0</v>
      </c>
      <c r="N135" s="573">
        <v>5400</v>
      </c>
      <c r="O135" s="3140">
        <v>0</v>
      </c>
      <c r="P135" s="3140">
        <v>0</v>
      </c>
      <c r="Q135" s="86">
        <v>0</v>
      </c>
      <c r="R135" s="134">
        <v>2220114</v>
      </c>
      <c r="S135" s="3140">
        <v>283543</v>
      </c>
      <c r="T135" s="3140">
        <v>0</v>
      </c>
      <c r="U135" s="86">
        <v>0</v>
      </c>
      <c r="V135" s="134">
        <v>102374</v>
      </c>
      <c r="W135" s="1976">
        <v>280614</v>
      </c>
      <c r="X135" s="640"/>
      <c r="Y135" s="1977"/>
      <c r="Z135" s="641">
        <f t="shared" si="4"/>
        <v>382988</v>
      </c>
      <c r="AA135" s="1976">
        <v>425440</v>
      </c>
      <c r="AB135" s="573">
        <v>20750</v>
      </c>
      <c r="AC135" s="1976">
        <v>43601</v>
      </c>
      <c r="AD135" s="1974"/>
      <c r="AE135" s="1975"/>
      <c r="AF135" s="641">
        <f t="shared" si="5"/>
        <v>64351</v>
      </c>
      <c r="AG135" s="3141">
        <v>138760</v>
      </c>
    </row>
    <row r="136" spans="1:33" s="10" customFormat="1">
      <c r="A136" s="63">
        <f t="shared" si="6"/>
        <v>2003.07</v>
      </c>
      <c r="B136" s="250">
        <v>1960100</v>
      </c>
      <c r="C136" s="3140">
        <v>36971</v>
      </c>
      <c r="D136" s="3140">
        <v>0</v>
      </c>
      <c r="E136" s="134">
        <v>0</v>
      </c>
      <c r="F136" s="573">
        <v>366495</v>
      </c>
      <c r="G136" s="3140">
        <v>14542</v>
      </c>
      <c r="H136" s="3140">
        <v>0</v>
      </c>
      <c r="I136" s="86">
        <v>0</v>
      </c>
      <c r="J136" s="573">
        <v>1545919</v>
      </c>
      <c r="K136" s="3140">
        <v>15417</v>
      </c>
      <c r="L136" s="3140">
        <v>0</v>
      </c>
      <c r="M136" s="86">
        <v>0</v>
      </c>
      <c r="N136" s="573">
        <v>5810</v>
      </c>
      <c r="O136" s="3140">
        <v>0</v>
      </c>
      <c r="P136" s="3140">
        <v>0</v>
      </c>
      <c r="Q136" s="86">
        <v>0</v>
      </c>
      <c r="R136" s="134">
        <v>2405385</v>
      </c>
      <c r="S136" s="3140">
        <v>236055</v>
      </c>
      <c r="T136" s="3140">
        <v>0</v>
      </c>
      <c r="U136" s="86">
        <v>0</v>
      </c>
      <c r="V136" s="134">
        <v>108582</v>
      </c>
      <c r="W136" s="1976">
        <v>346971</v>
      </c>
      <c r="X136" s="640"/>
      <c r="Y136" s="1977"/>
      <c r="Z136" s="641">
        <f t="shared" si="4"/>
        <v>455553</v>
      </c>
      <c r="AA136" s="1976">
        <v>479820</v>
      </c>
      <c r="AB136" s="573">
        <v>17370</v>
      </c>
      <c r="AC136" s="1976">
        <v>21008</v>
      </c>
      <c r="AD136" s="1974"/>
      <c r="AE136" s="1975"/>
      <c r="AF136" s="641">
        <f t="shared" si="5"/>
        <v>38378</v>
      </c>
      <c r="AG136" s="3141">
        <v>88320</v>
      </c>
    </row>
    <row r="137" spans="1:33" s="10" customFormat="1">
      <c r="A137" s="63">
        <f t="shared" si="6"/>
        <v>2003.08</v>
      </c>
      <c r="B137" s="250">
        <v>1793671</v>
      </c>
      <c r="C137" s="3140">
        <v>55382</v>
      </c>
      <c r="D137" s="3140">
        <v>0</v>
      </c>
      <c r="E137" s="134">
        <v>15255</v>
      </c>
      <c r="F137" s="573">
        <v>337558</v>
      </c>
      <c r="G137" s="3140">
        <v>22320</v>
      </c>
      <c r="H137" s="3140">
        <v>0</v>
      </c>
      <c r="I137" s="86">
        <v>2675</v>
      </c>
      <c r="J137" s="573">
        <v>1426693</v>
      </c>
      <c r="K137" s="3140">
        <v>22986</v>
      </c>
      <c r="L137" s="3140">
        <v>0</v>
      </c>
      <c r="M137" s="86">
        <v>7342</v>
      </c>
      <c r="N137" s="573">
        <v>7428</v>
      </c>
      <c r="O137" s="3140">
        <v>0</v>
      </c>
      <c r="P137" s="3140">
        <v>0</v>
      </c>
      <c r="Q137" s="86">
        <v>0</v>
      </c>
      <c r="R137" s="134">
        <v>2251363</v>
      </c>
      <c r="S137" s="3140">
        <v>222147</v>
      </c>
      <c r="T137" s="3140">
        <v>0</v>
      </c>
      <c r="U137" s="86">
        <v>15255</v>
      </c>
      <c r="V137" s="134">
        <v>28400</v>
      </c>
      <c r="W137" s="1976">
        <v>217976</v>
      </c>
      <c r="X137" s="640"/>
      <c r="Y137" s="1977"/>
      <c r="Z137" s="641">
        <f t="shared" si="4"/>
        <v>246376</v>
      </c>
      <c r="AA137" s="1976">
        <v>253480</v>
      </c>
      <c r="AB137" s="573">
        <v>0</v>
      </c>
      <c r="AC137" s="1976">
        <v>27735</v>
      </c>
      <c r="AD137" s="1974"/>
      <c r="AE137" s="1975"/>
      <c r="AF137" s="641">
        <f t="shared" si="5"/>
        <v>27735</v>
      </c>
      <c r="AG137" s="3141">
        <v>68240</v>
      </c>
    </row>
    <row r="138" spans="1:33" s="10" customFormat="1">
      <c r="A138" s="63">
        <f t="shared" si="6"/>
        <v>2003.09</v>
      </c>
      <c r="B138" s="250">
        <v>1885382</v>
      </c>
      <c r="C138" s="3140">
        <v>0</v>
      </c>
      <c r="D138" s="3140">
        <v>0</v>
      </c>
      <c r="E138" s="134">
        <v>24220</v>
      </c>
      <c r="F138" s="573">
        <v>353312</v>
      </c>
      <c r="G138" s="3140">
        <v>0</v>
      </c>
      <c r="H138" s="3140">
        <v>0</v>
      </c>
      <c r="I138" s="86">
        <v>4344</v>
      </c>
      <c r="J138" s="573">
        <v>1486153</v>
      </c>
      <c r="K138" s="3140">
        <v>0</v>
      </c>
      <c r="L138" s="3140">
        <v>0</v>
      </c>
      <c r="M138" s="86">
        <v>11718</v>
      </c>
      <c r="N138" s="573">
        <v>7234</v>
      </c>
      <c r="O138" s="3140">
        <v>0</v>
      </c>
      <c r="P138" s="3140">
        <v>0</v>
      </c>
      <c r="Q138" s="86">
        <v>0</v>
      </c>
      <c r="R138" s="134">
        <v>2305171</v>
      </c>
      <c r="S138" s="3140">
        <v>182658</v>
      </c>
      <c r="T138" s="3140">
        <v>0</v>
      </c>
      <c r="U138" s="86">
        <v>24220</v>
      </c>
      <c r="V138" s="134">
        <v>60160</v>
      </c>
      <c r="W138" s="1976">
        <v>306013</v>
      </c>
      <c r="X138" s="640"/>
      <c r="Y138" s="1977"/>
      <c r="Z138" s="641">
        <f t="shared" si="4"/>
        <v>366173</v>
      </c>
      <c r="AA138" s="1976">
        <v>395880</v>
      </c>
      <c r="AB138" s="573">
        <v>0</v>
      </c>
      <c r="AC138" s="1976">
        <v>5000</v>
      </c>
      <c r="AD138" s="1974"/>
      <c r="AE138" s="1975"/>
      <c r="AF138" s="641">
        <f t="shared" si="5"/>
        <v>5000</v>
      </c>
      <c r="AG138" s="3141">
        <v>66230</v>
      </c>
    </row>
    <row r="139" spans="1:33" s="10" customFormat="1">
      <c r="A139" s="63">
        <f t="shared" si="6"/>
        <v>2003.1</v>
      </c>
      <c r="B139" s="250">
        <v>1994994</v>
      </c>
      <c r="C139" s="3140">
        <v>2269</v>
      </c>
      <c r="D139" s="3140">
        <v>0</v>
      </c>
      <c r="E139" s="134">
        <v>0</v>
      </c>
      <c r="F139" s="573">
        <v>376788</v>
      </c>
      <c r="G139" s="3140">
        <v>916</v>
      </c>
      <c r="H139" s="3140">
        <v>0</v>
      </c>
      <c r="I139" s="86">
        <v>0</v>
      </c>
      <c r="J139" s="573">
        <v>1574220</v>
      </c>
      <c r="K139" s="3140">
        <v>1045</v>
      </c>
      <c r="L139" s="3140">
        <v>0</v>
      </c>
      <c r="M139" s="86">
        <v>0</v>
      </c>
      <c r="N139" s="573">
        <v>6811</v>
      </c>
      <c r="O139" s="3140">
        <v>0</v>
      </c>
      <c r="P139" s="3140">
        <v>0</v>
      </c>
      <c r="Q139" s="86">
        <v>0</v>
      </c>
      <c r="R139" s="134">
        <v>2428875</v>
      </c>
      <c r="S139" s="3140">
        <v>215374</v>
      </c>
      <c r="T139" s="3140">
        <v>0</v>
      </c>
      <c r="U139" s="86">
        <v>0</v>
      </c>
      <c r="V139" s="134">
        <v>58265</v>
      </c>
      <c r="W139" s="1976">
        <v>385666</v>
      </c>
      <c r="X139" s="640"/>
      <c r="Y139" s="1977"/>
      <c r="Z139" s="641">
        <f t="shared" ref="Z139:Z202" si="7">SUM(V139:Y139)</f>
        <v>443931</v>
      </c>
      <c r="AA139" s="1976">
        <v>464600</v>
      </c>
      <c r="AB139" s="573">
        <v>3050</v>
      </c>
      <c r="AC139" s="1976">
        <v>12460</v>
      </c>
      <c r="AD139" s="1974"/>
      <c r="AE139" s="1975"/>
      <c r="AF139" s="641">
        <f t="shared" ref="AF139:AF202" si="8">SUM(AB139:AE139)</f>
        <v>15510</v>
      </c>
      <c r="AG139" s="3141">
        <v>54040</v>
      </c>
    </row>
    <row r="140" spans="1:33" s="10" customFormat="1">
      <c r="A140" s="63">
        <f t="shared" si="6"/>
        <v>2003.11</v>
      </c>
      <c r="B140" s="250">
        <v>1801097</v>
      </c>
      <c r="C140" s="3140">
        <v>25579</v>
      </c>
      <c r="D140" s="3140">
        <v>0</v>
      </c>
      <c r="E140" s="134">
        <v>0</v>
      </c>
      <c r="F140" s="573">
        <v>341134</v>
      </c>
      <c r="G140" s="3140">
        <v>10153</v>
      </c>
      <c r="H140" s="3140">
        <v>0</v>
      </c>
      <c r="I140" s="86">
        <v>0</v>
      </c>
      <c r="J140" s="573">
        <v>1435782</v>
      </c>
      <c r="K140" s="3140">
        <v>10630</v>
      </c>
      <c r="L140" s="3140">
        <v>0</v>
      </c>
      <c r="M140" s="86">
        <v>0</v>
      </c>
      <c r="N140" s="573">
        <v>6202</v>
      </c>
      <c r="O140" s="3140">
        <v>0</v>
      </c>
      <c r="P140" s="3140">
        <v>0</v>
      </c>
      <c r="Q140" s="86">
        <v>0</v>
      </c>
      <c r="R140" s="134">
        <v>2174013</v>
      </c>
      <c r="S140" s="3140">
        <v>221274</v>
      </c>
      <c r="T140" s="3140">
        <v>0</v>
      </c>
      <c r="U140" s="86">
        <v>0</v>
      </c>
      <c r="V140" s="134">
        <v>135696</v>
      </c>
      <c r="W140" s="1976">
        <v>340204</v>
      </c>
      <c r="X140" s="640"/>
      <c r="Y140" s="1977"/>
      <c r="Z140" s="641">
        <f t="shared" si="7"/>
        <v>475900</v>
      </c>
      <c r="AA140" s="1976">
        <v>489250</v>
      </c>
      <c r="AB140" s="573">
        <v>1500</v>
      </c>
      <c r="AC140" s="1976">
        <v>7341</v>
      </c>
      <c r="AD140" s="1974"/>
      <c r="AE140" s="1975"/>
      <c r="AF140" s="641">
        <f t="shared" si="8"/>
        <v>8841</v>
      </c>
      <c r="AG140" s="3141">
        <v>88480</v>
      </c>
    </row>
    <row r="141" spans="1:33" s="10" customFormat="1">
      <c r="A141" s="63">
        <f t="shared" si="6"/>
        <v>2003.12</v>
      </c>
      <c r="B141" s="250">
        <v>1662395</v>
      </c>
      <c r="C141" s="3140">
        <v>2250</v>
      </c>
      <c r="D141" s="3140">
        <v>0</v>
      </c>
      <c r="E141" s="134">
        <v>0</v>
      </c>
      <c r="F141" s="573">
        <v>318045</v>
      </c>
      <c r="G141" s="3140">
        <v>895</v>
      </c>
      <c r="H141" s="3140">
        <v>0</v>
      </c>
      <c r="I141" s="86">
        <v>0</v>
      </c>
      <c r="J141" s="573">
        <v>1303322</v>
      </c>
      <c r="K141" s="3140">
        <v>920</v>
      </c>
      <c r="L141" s="3140">
        <v>0</v>
      </c>
      <c r="M141" s="86">
        <v>0</v>
      </c>
      <c r="N141" s="573">
        <v>1325</v>
      </c>
      <c r="O141" s="3140">
        <v>0</v>
      </c>
      <c r="P141" s="3140">
        <v>0</v>
      </c>
      <c r="Q141" s="86">
        <v>0</v>
      </c>
      <c r="R141" s="134">
        <v>1915321</v>
      </c>
      <c r="S141" s="3140">
        <v>169569</v>
      </c>
      <c r="T141" s="3140">
        <v>757</v>
      </c>
      <c r="U141" s="86">
        <v>0</v>
      </c>
      <c r="V141" s="134">
        <v>62236</v>
      </c>
      <c r="W141" s="1976">
        <v>189915</v>
      </c>
      <c r="X141" s="640"/>
      <c r="Y141" s="1977"/>
      <c r="Z141" s="641">
        <f t="shared" si="7"/>
        <v>252151</v>
      </c>
      <c r="AA141" s="1976">
        <v>259290</v>
      </c>
      <c r="AB141" s="573">
        <v>7015</v>
      </c>
      <c r="AC141" s="1976">
        <v>6015</v>
      </c>
      <c r="AD141" s="1974"/>
      <c r="AE141" s="1975"/>
      <c r="AF141" s="641">
        <f t="shared" si="8"/>
        <v>13030</v>
      </c>
      <c r="AG141" s="3141">
        <v>50740</v>
      </c>
    </row>
    <row r="142" spans="1:33" s="10" customFormat="1">
      <c r="A142" s="63">
        <f t="shared" si="6"/>
        <v>2004.01</v>
      </c>
      <c r="B142" s="250">
        <v>1708020</v>
      </c>
      <c r="C142" s="3140">
        <v>87086</v>
      </c>
      <c r="D142" s="3140">
        <v>257</v>
      </c>
      <c r="E142" s="134">
        <v>0</v>
      </c>
      <c r="F142" s="573">
        <v>324821</v>
      </c>
      <c r="G142" s="3140">
        <v>35699</v>
      </c>
      <c r="H142" s="3140">
        <v>74</v>
      </c>
      <c r="I142" s="86">
        <v>0</v>
      </c>
      <c r="J142" s="573">
        <v>1341644</v>
      </c>
      <c r="K142" s="3140">
        <v>35580</v>
      </c>
      <c r="L142" s="3140">
        <v>0</v>
      </c>
      <c r="M142" s="86">
        <v>0</v>
      </c>
      <c r="N142" s="573">
        <v>5425</v>
      </c>
      <c r="O142" s="3140">
        <v>0</v>
      </c>
      <c r="P142" s="3140">
        <v>162</v>
      </c>
      <c r="Q142" s="86">
        <v>0</v>
      </c>
      <c r="R142" s="134">
        <v>1971086</v>
      </c>
      <c r="S142" s="3140">
        <v>193184</v>
      </c>
      <c r="T142" s="3140">
        <v>836</v>
      </c>
      <c r="U142" s="86">
        <v>0</v>
      </c>
      <c r="V142" s="134">
        <v>53999</v>
      </c>
      <c r="W142" s="1976">
        <v>215089</v>
      </c>
      <c r="X142" s="640"/>
      <c r="Y142" s="1977"/>
      <c r="Z142" s="641">
        <f t="shared" si="7"/>
        <v>269088</v>
      </c>
      <c r="AA142" s="1976">
        <v>274090</v>
      </c>
      <c r="AB142" s="573">
        <v>2000</v>
      </c>
      <c r="AC142" s="1976">
        <v>10300</v>
      </c>
      <c r="AD142" s="1974"/>
      <c r="AE142" s="1975"/>
      <c r="AF142" s="641">
        <f t="shared" si="8"/>
        <v>12300</v>
      </c>
      <c r="AG142" s="3141">
        <v>58550</v>
      </c>
    </row>
    <row r="143" spans="1:33" s="10" customFormat="1">
      <c r="A143" s="63">
        <f t="shared" si="6"/>
        <v>2004.02</v>
      </c>
      <c r="B143" s="250">
        <v>1189448</v>
      </c>
      <c r="C143" s="3140">
        <v>157074</v>
      </c>
      <c r="D143" s="3140">
        <v>325</v>
      </c>
      <c r="E143" s="134">
        <v>0</v>
      </c>
      <c r="F143" s="573">
        <v>228554</v>
      </c>
      <c r="G143" s="3140">
        <v>65708</v>
      </c>
      <c r="H143" s="3140">
        <v>22</v>
      </c>
      <c r="I143" s="86">
        <v>0</v>
      </c>
      <c r="J143" s="573">
        <v>937567</v>
      </c>
      <c r="K143" s="3140">
        <v>59995</v>
      </c>
      <c r="L143" s="3140">
        <v>0</v>
      </c>
      <c r="M143" s="86">
        <v>0</v>
      </c>
      <c r="N143" s="573">
        <v>5985</v>
      </c>
      <c r="O143" s="3140">
        <v>0</v>
      </c>
      <c r="P143" s="3140">
        <v>44</v>
      </c>
      <c r="Q143" s="86">
        <v>0</v>
      </c>
      <c r="R143" s="134">
        <v>1371680</v>
      </c>
      <c r="S143" s="3140">
        <v>239109</v>
      </c>
      <c r="T143" s="3140">
        <v>2979</v>
      </c>
      <c r="U143" s="86">
        <v>0</v>
      </c>
      <c r="V143" s="134">
        <v>40250</v>
      </c>
      <c r="W143" s="1976">
        <v>377309</v>
      </c>
      <c r="X143" s="640"/>
      <c r="Y143" s="1977"/>
      <c r="Z143" s="641">
        <f t="shared" si="7"/>
        <v>417559</v>
      </c>
      <c r="AA143" s="1976">
        <v>433360</v>
      </c>
      <c r="AB143" s="573">
        <v>3250</v>
      </c>
      <c r="AC143" s="1976">
        <v>31331</v>
      </c>
      <c r="AD143" s="1974"/>
      <c r="AE143" s="1975"/>
      <c r="AF143" s="641">
        <f t="shared" si="8"/>
        <v>34581</v>
      </c>
      <c r="AG143" s="3141">
        <v>55210</v>
      </c>
    </row>
    <row r="144" spans="1:33" s="10" customFormat="1">
      <c r="A144" s="63">
        <f t="shared" si="6"/>
        <v>2004.03</v>
      </c>
      <c r="B144" s="250">
        <v>1327763</v>
      </c>
      <c r="C144" s="3140">
        <v>101858</v>
      </c>
      <c r="D144" s="3140">
        <v>0</v>
      </c>
      <c r="E144" s="134">
        <v>0</v>
      </c>
      <c r="F144" s="573">
        <v>264339</v>
      </c>
      <c r="G144" s="3140">
        <v>42914</v>
      </c>
      <c r="H144" s="3140">
        <v>0</v>
      </c>
      <c r="I144" s="86">
        <v>0</v>
      </c>
      <c r="J144" s="573">
        <v>1066276</v>
      </c>
      <c r="K144" s="3140">
        <v>40077</v>
      </c>
      <c r="L144" s="3140">
        <v>0</v>
      </c>
      <c r="M144" s="86">
        <v>0</v>
      </c>
      <c r="N144" s="573">
        <v>5160</v>
      </c>
      <c r="O144" s="3140">
        <v>0</v>
      </c>
      <c r="P144" s="3140">
        <v>0</v>
      </c>
      <c r="Q144" s="86">
        <v>0</v>
      </c>
      <c r="R144" s="134">
        <v>1525764</v>
      </c>
      <c r="S144" s="3140">
        <v>416807</v>
      </c>
      <c r="T144" s="3140">
        <v>1000</v>
      </c>
      <c r="U144" s="86">
        <v>0</v>
      </c>
      <c r="V144" s="134">
        <v>66137</v>
      </c>
      <c r="W144" s="1976">
        <v>162794</v>
      </c>
      <c r="X144" s="640"/>
      <c r="Y144" s="1977"/>
      <c r="Z144" s="641">
        <f t="shared" si="7"/>
        <v>228931</v>
      </c>
      <c r="AA144" s="1976">
        <v>230340</v>
      </c>
      <c r="AB144" s="573">
        <v>11100</v>
      </c>
      <c r="AC144" s="1976">
        <v>60000</v>
      </c>
      <c r="AD144" s="1974"/>
      <c r="AE144" s="1975"/>
      <c r="AF144" s="641">
        <f t="shared" si="8"/>
        <v>71100</v>
      </c>
      <c r="AG144" s="3141">
        <v>124980</v>
      </c>
    </row>
    <row r="145" spans="1:33" s="10" customFormat="1">
      <c r="A145" s="63">
        <f t="shared" si="6"/>
        <v>2004.04</v>
      </c>
      <c r="B145" s="250">
        <v>1795846</v>
      </c>
      <c r="C145" s="3140">
        <v>87773</v>
      </c>
      <c r="D145" s="3140">
        <v>0</v>
      </c>
      <c r="E145" s="134">
        <v>0</v>
      </c>
      <c r="F145" s="573">
        <v>343185</v>
      </c>
      <c r="G145" s="3140">
        <v>36043</v>
      </c>
      <c r="H145" s="3140">
        <v>0</v>
      </c>
      <c r="I145" s="86">
        <v>0</v>
      </c>
      <c r="J145" s="573">
        <v>1412917</v>
      </c>
      <c r="K145" s="3140">
        <v>34517</v>
      </c>
      <c r="L145" s="3140">
        <v>0</v>
      </c>
      <c r="M145" s="86">
        <v>0</v>
      </c>
      <c r="N145" s="573">
        <v>7339</v>
      </c>
      <c r="O145" s="3140">
        <v>0</v>
      </c>
      <c r="P145" s="3140">
        <v>0</v>
      </c>
      <c r="Q145" s="86">
        <v>0</v>
      </c>
      <c r="R145" s="134">
        <v>2195563</v>
      </c>
      <c r="S145" s="3140">
        <v>281895</v>
      </c>
      <c r="T145" s="3140">
        <v>111</v>
      </c>
      <c r="U145" s="86">
        <v>0</v>
      </c>
      <c r="V145" s="134">
        <v>59965</v>
      </c>
      <c r="W145" s="1976">
        <v>272487</v>
      </c>
      <c r="X145" s="640"/>
      <c r="Y145" s="1977"/>
      <c r="Z145" s="641">
        <f t="shared" si="7"/>
        <v>332452</v>
      </c>
      <c r="AA145" s="1976">
        <v>334740</v>
      </c>
      <c r="AB145" s="573">
        <v>750</v>
      </c>
      <c r="AC145" s="1976">
        <v>39349</v>
      </c>
      <c r="AD145" s="1974"/>
      <c r="AE145" s="1975"/>
      <c r="AF145" s="641">
        <f t="shared" si="8"/>
        <v>40099</v>
      </c>
      <c r="AG145" s="3141">
        <v>131590</v>
      </c>
    </row>
    <row r="146" spans="1:33" s="10" customFormat="1">
      <c r="A146" s="63">
        <f t="shared" si="6"/>
        <v>2004.05</v>
      </c>
      <c r="B146" s="250">
        <v>2074373</v>
      </c>
      <c r="C146" s="3140">
        <v>9046</v>
      </c>
      <c r="D146" s="3140">
        <v>0</v>
      </c>
      <c r="E146" s="134">
        <v>0</v>
      </c>
      <c r="F146" s="573">
        <v>386282</v>
      </c>
      <c r="G146" s="3140">
        <v>3593</v>
      </c>
      <c r="H146" s="3140">
        <v>0</v>
      </c>
      <c r="I146" s="86">
        <v>0</v>
      </c>
      <c r="J146" s="573">
        <v>1609553</v>
      </c>
      <c r="K146" s="3140">
        <v>3692</v>
      </c>
      <c r="L146" s="3140">
        <v>0</v>
      </c>
      <c r="M146" s="86">
        <v>0</v>
      </c>
      <c r="N146" s="573">
        <v>8045</v>
      </c>
      <c r="O146" s="3140">
        <v>0</v>
      </c>
      <c r="P146" s="3140">
        <v>0</v>
      </c>
      <c r="Q146" s="86">
        <v>0</v>
      </c>
      <c r="R146" s="134">
        <v>2517329</v>
      </c>
      <c r="S146" s="3140">
        <v>193537</v>
      </c>
      <c r="T146" s="3140">
        <v>57</v>
      </c>
      <c r="U146" s="86">
        <v>0</v>
      </c>
      <c r="V146" s="134">
        <v>122080</v>
      </c>
      <c r="W146" s="1976">
        <v>349592</v>
      </c>
      <c r="X146" s="640"/>
      <c r="Y146" s="1977"/>
      <c r="Z146" s="641">
        <f t="shared" si="7"/>
        <v>471672</v>
      </c>
      <c r="AA146" s="1976">
        <v>484670</v>
      </c>
      <c r="AB146" s="573">
        <v>5500</v>
      </c>
      <c r="AC146" s="1976">
        <v>17800</v>
      </c>
      <c r="AD146" s="1974"/>
      <c r="AE146" s="1975"/>
      <c r="AF146" s="641">
        <f t="shared" si="8"/>
        <v>23300</v>
      </c>
      <c r="AG146" s="3141">
        <v>44660</v>
      </c>
    </row>
    <row r="147" spans="1:33" s="10" customFormat="1">
      <c r="A147" s="63">
        <f t="shared" si="6"/>
        <v>2004.06</v>
      </c>
      <c r="B147" s="250">
        <v>1965091</v>
      </c>
      <c r="C147" s="3140">
        <v>25198</v>
      </c>
      <c r="D147" s="3140">
        <v>0</v>
      </c>
      <c r="E147" s="134">
        <v>0</v>
      </c>
      <c r="F147" s="573">
        <v>365668</v>
      </c>
      <c r="G147" s="3140">
        <v>10451</v>
      </c>
      <c r="H147" s="3140">
        <v>0</v>
      </c>
      <c r="I147" s="86">
        <v>0</v>
      </c>
      <c r="J147" s="573">
        <v>1548110</v>
      </c>
      <c r="K147" s="3140">
        <v>9733</v>
      </c>
      <c r="L147" s="3140">
        <v>0</v>
      </c>
      <c r="M147" s="86">
        <v>0</v>
      </c>
      <c r="N147" s="573">
        <v>8413</v>
      </c>
      <c r="O147" s="3140">
        <v>135</v>
      </c>
      <c r="P147" s="3140">
        <v>0</v>
      </c>
      <c r="Q147" s="86">
        <v>0</v>
      </c>
      <c r="R147" s="134">
        <v>2403436</v>
      </c>
      <c r="S147" s="3140">
        <v>208058</v>
      </c>
      <c r="T147" s="3140">
        <v>0</v>
      </c>
      <c r="U147" s="86">
        <v>0</v>
      </c>
      <c r="V147" s="134">
        <v>30700</v>
      </c>
      <c r="W147" s="1976">
        <v>226822</v>
      </c>
      <c r="X147" s="640"/>
      <c r="Y147" s="1977"/>
      <c r="Z147" s="641">
        <f t="shared" si="7"/>
        <v>257522</v>
      </c>
      <c r="AA147" s="1976">
        <v>284580</v>
      </c>
      <c r="AB147" s="573">
        <v>0</v>
      </c>
      <c r="AC147" s="1976">
        <v>4121</v>
      </c>
      <c r="AD147" s="1974"/>
      <c r="AE147" s="1975"/>
      <c r="AF147" s="641">
        <f t="shared" si="8"/>
        <v>4121</v>
      </c>
      <c r="AG147" s="3141">
        <v>75470</v>
      </c>
    </row>
    <row r="148" spans="1:33" s="10" customFormat="1">
      <c r="A148" s="63">
        <f t="shared" si="6"/>
        <v>2004.07</v>
      </c>
      <c r="B148" s="250">
        <v>1853384</v>
      </c>
      <c r="C148" s="3140">
        <v>39142</v>
      </c>
      <c r="D148" s="3140">
        <v>0</v>
      </c>
      <c r="E148" s="134">
        <v>32467</v>
      </c>
      <c r="F148" s="573">
        <v>346346</v>
      </c>
      <c r="G148" s="3140">
        <v>16090</v>
      </c>
      <c r="H148" s="3140">
        <v>0</v>
      </c>
      <c r="I148" s="86">
        <v>5067</v>
      </c>
      <c r="J148" s="573">
        <v>1445963</v>
      </c>
      <c r="K148" s="3140">
        <v>15749</v>
      </c>
      <c r="L148" s="3140">
        <v>0</v>
      </c>
      <c r="M148" s="86">
        <v>16071</v>
      </c>
      <c r="N148" s="573">
        <v>7731</v>
      </c>
      <c r="O148" s="3140">
        <v>0</v>
      </c>
      <c r="P148" s="3140">
        <v>0</v>
      </c>
      <c r="Q148" s="86">
        <v>0</v>
      </c>
      <c r="R148" s="134">
        <v>2269980</v>
      </c>
      <c r="S148" s="3140">
        <v>248730</v>
      </c>
      <c r="T148" s="3140">
        <v>0</v>
      </c>
      <c r="U148" s="86">
        <v>32467</v>
      </c>
      <c r="V148" s="134">
        <v>70963</v>
      </c>
      <c r="W148" s="1976">
        <v>418060</v>
      </c>
      <c r="X148" s="640"/>
      <c r="Y148" s="1977"/>
      <c r="Z148" s="641">
        <f t="shared" si="7"/>
        <v>489023</v>
      </c>
      <c r="AA148" s="1976">
        <v>526430</v>
      </c>
      <c r="AB148" s="573">
        <v>1195</v>
      </c>
      <c r="AC148" s="1976">
        <v>11500</v>
      </c>
      <c r="AD148" s="1974"/>
      <c r="AE148" s="1975"/>
      <c r="AF148" s="641">
        <f t="shared" si="8"/>
        <v>12695</v>
      </c>
      <c r="AG148" s="3141">
        <v>57900</v>
      </c>
    </row>
    <row r="149" spans="1:33" s="10" customFormat="1">
      <c r="A149" s="63">
        <f t="shared" si="6"/>
        <v>2004.08</v>
      </c>
      <c r="B149" s="250">
        <v>1840434</v>
      </c>
      <c r="C149" s="3140">
        <v>34287</v>
      </c>
      <c r="D149" s="3140">
        <v>0</v>
      </c>
      <c r="E149" s="134">
        <v>30693</v>
      </c>
      <c r="F149" s="573">
        <v>346073</v>
      </c>
      <c r="G149" s="3140">
        <v>14087</v>
      </c>
      <c r="H149" s="3140">
        <v>0</v>
      </c>
      <c r="I149" s="86">
        <v>4988</v>
      </c>
      <c r="J149" s="573">
        <v>1436988</v>
      </c>
      <c r="K149" s="3140">
        <v>14965</v>
      </c>
      <c r="L149" s="3140">
        <v>0</v>
      </c>
      <c r="M149" s="86">
        <v>16035</v>
      </c>
      <c r="N149" s="573">
        <v>6947</v>
      </c>
      <c r="O149" s="3140">
        <v>0</v>
      </c>
      <c r="P149" s="3140">
        <v>0</v>
      </c>
      <c r="Q149" s="86">
        <v>0</v>
      </c>
      <c r="R149" s="134">
        <v>2145475</v>
      </c>
      <c r="S149" s="3140">
        <v>247761</v>
      </c>
      <c r="T149" s="3140">
        <v>0</v>
      </c>
      <c r="U149" s="86">
        <v>30693</v>
      </c>
      <c r="V149" s="134">
        <v>109181</v>
      </c>
      <c r="W149" s="1976">
        <v>293529</v>
      </c>
      <c r="X149" s="640"/>
      <c r="Y149" s="1977"/>
      <c r="Z149" s="641">
        <f t="shared" si="7"/>
        <v>402710</v>
      </c>
      <c r="AA149" s="1976">
        <v>403710</v>
      </c>
      <c r="AB149" s="573">
        <v>20417</v>
      </c>
      <c r="AC149" s="1976">
        <v>8192</v>
      </c>
      <c r="AD149" s="1974"/>
      <c r="AE149" s="1975"/>
      <c r="AF149" s="641">
        <f t="shared" si="8"/>
        <v>28609</v>
      </c>
      <c r="AG149" s="3141">
        <v>72100</v>
      </c>
    </row>
    <row r="150" spans="1:33" s="10" customFormat="1">
      <c r="A150" s="63">
        <f t="shared" ref="A150:A213" si="9">A138+1</f>
        <v>2004.09</v>
      </c>
      <c r="B150" s="250">
        <v>1712007</v>
      </c>
      <c r="C150" s="3140">
        <v>41694</v>
      </c>
      <c r="D150" s="3140">
        <v>0</v>
      </c>
      <c r="E150" s="134">
        <v>0</v>
      </c>
      <c r="F150" s="573">
        <v>323970</v>
      </c>
      <c r="G150" s="3140">
        <v>17262</v>
      </c>
      <c r="H150" s="3140">
        <v>0</v>
      </c>
      <c r="I150" s="86">
        <v>0</v>
      </c>
      <c r="J150" s="573">
        <v>1346560</v>
      </c>
      <c r="K150" s="3140">
        <v>17074</v>
      </c>
      <c r="L150" s="3140">
        <v>0</v>
      </c>
      <c r="M150" s="86">
        <v>0</v>
      </c>
      <c r="N150" s="573">
        <v>6624</v>
      </c>
      <c r="O150" s="3140">
        <v>0</v>
      </c>
      <c r="P150" s="3140">
        <v>0</v>
      </c>
      <c r="Q150" s="86">
        <v>0</v>
      </c>
      <c r="R150" s="134">
        <v>2121037</v>
      </c>
      <c r="S150" s="3140">
        <v>198596</v>
      </c>
      <c r="T150" s="3140">
        <v>200</v>
      </c>
      <c r="U150" s="86">
        <v>0</v>
      </c>
      <c r="V150" s="134">
        <v>39050</v>
      </c>
      <c r="W150" s="1976">
        <v>223139</v>
      </c>
      <c r="X150" s="640"/>
      <c r="Y150" s="1977"/>
      <c r="Z150" s="641">
        <f t="shared" si="7"/>
        <v>262189</v>
      </c>
      <c r="AA150" s="1976">
        <v>300420</v>
      </c>
      <c r="AB150" s="573">
        <v>1500</v>
      </c>
      <c r="AC150" s="1976">
        <v>19200</v>
      </c>
      <c r="AD150" s="1974"/>
      <c r="AE150" s="1975"/>
      <c r="AF150" s="641">
        <f t="shared" si="8"/>
        <v>20700</v>
      </c>
      <c r="AG150" s="3141">
        <v>89890</v>
      </c>
    </row>
    <row r="151" spans="1:33" s="10" customFormat="1">
      <c r="A151" s="63">
        <f t="shared" si="9"/>
        <v>2004.1</v>
      </c>
      <c r="B151" s="250">
        <v>1753331</v>
      </c>
      <c r="C151" s="3140">
        <v>16460</v>
      </c>
      <c r="D151" s="3140">
        <v>0</v>
      </c>
      <c r="E151" s="134">
        <v>0</v>
      </c>
      <c r="F151" s="573">
        <v>328202</v>
      </c>
      <c r="G151" s="3140">
        <v>7498</v>
      </c>
      <c r="H151" s="3140">
        <v>0</v>
      </c>
      <c r="I151" s="86">
        <v>0</v>
      </c>
      <c r="J151" s="573">
        <v>1366137</v>
      </c>
      <c r="K151" s="3140">
        <v>6888</v>
      </c>
      <c r="L151" s="3140">
        <v>0</v>
      </c>
      <c r="M151" s="86">
        <v>0</v>
      </c>
      <c r="N151" s="573">
        <v>8775</v>
      </c>
      <c r="O151" s="3140">
        <v>0</v>
      </c>
      <c r="P151" s="3140">
        <v>0</v>
      </c>
      <c r="Q151" s="86">
        <v>0</v>
      </c>
      <c r="R151" s="134">
        <v>2122414</v>
      </c>
      <c r="S151" s="3140">
        <v>240933</v>
      </c>
      <c r="T151" s="3140">
        <v>0</v>
      </c>
      <c r="U151" s="86">
        <v>0</v>
      </c>
      <c r="V151" s="134">
        <v>104168</v>
      </c>
      <c r="W151" s="1976">
        <v>300484</v>
      </c>
      <c r="X151" s="640"/>
      <c r="Y151" s="1977"/>
      <c r="Z151" s="641">
        <f t="shared" si="7"/>
        <v>404652</v>
      </c>
      <c r="AA151" s="1976">
        <v>417450</v>
      </c>
      <c r="AB151" s="573">
        <v>0</v>
      </c>
      <c r="AC151" s="1976">
        <v>10400</v>
      </c>
      <c r="AD151" s="1974"/>
      <c r="AE151" s="1975"/>
      <c r="AF151" s="641">
        <f t="shared" si="8"/>
        <v>10400</v>
      </c>
      <c r="AG151" s="3141">
        <v>60130</v>
      </c>
    </row>
    <row r="152" spans="1:33" s="10" customFormat="1">
      <c r="A152" s="63">
        <f t="shared" si="9"/>
        <v>2004.11</v>
      </c>
      <c r="B152" s="250">
        <v>1625981</v>
      </c>
      <c r="C152" s="3140">
        <v>26110</v>
      </c>
      <c r="D152" s="3140">
        <v>0</v>
      </c>
      <c r="E152" s="134">
        <v>0</v>
      </c>
      <c r="F152" s="573">
        <v>306775</v>
      </c>
      <c r="G152" s="3140">
        <v>11338</v>
      </c>
      <c r="H152" s="3140">
        <v>0</v>
      </c>
      <c r="I152" s="86">
        <v>0</v>
      </c>
      <c r="J152" s="573">
        <v>1273980</v>
      </c>
      <c r="K152" s="3140">
        <v>10696</v>
      </c>
      <c r="L152" s="3140">
        <v>0</v>
      </c>
      <c r="M152" s="86">
        <v>0</v>
      </c>
      <c r="N152" s="573">
        <v>8168</v>
      </c>
      <c r="O152" s="3140">
        <v>0</v>
      </c>
      <c r="P152" s="3140">
        <v>0</v>
      </c>
      <c r="Q152" s="86">
        <v>0</v>
      </c>
      <c r="R152" s="134">
        <v>1926535</v>
      </c>
      <c r="S152" s="3140">
        <v>231105</v>
      </c>
      <c r="T152" s="3140">
        <v>1172</v>
      </c>
      <c r="U152" s="86">
        <v>0</v>
      </c>
      <c r="V152" s="134">
        <v>115732</v>
      </c>
      <c r="W152" s="1976">
        <v>380474</v>
      </c>
      <c r="X152" s="640"/>
      <c r="Y152" s="1977"/>
      <c r="Z152" s="641">
        <f t="shared" si="7"/>
        <v>496206</v>
      </c>
      <c r="AA152" s="1976">
        <v>516110</v>
      </c>
      <c r="AB152" s="573">
        <v>9500</v>
      </c>
      <c r="AC152" s="1976">
        <v>8900</v>
      </c>
      <c r="AD152" s="1974"/>
      <c r="AE152" s="1975"/>
      <c r="AF152" s="641">
        <f t="shared" si="8"/>
        <v>18400</v>
      </c>
      <c r="AG152" s="3141">
        <v>72980</v>
      </c>
    </row>
    <row r="153" spans="1:33" s="10" customFormat="1">
      <c r="A153" s="63">
        <f t="shared" si="9"/>
        <v>2004.12</v>
      </c>
      <c r="B153" s="250">
        <v>1370071</v>
      </c>
      <c r="C153" s="3140">
        <v>8350</v>
      </c>
      <c r="D153" s="3140">
        <v>0</v>
      </c>
      <c r="E153" s="134">
        <v>0</v>
      </c>
      <c r="F153" s="573">
        <v>257967</v>
      </c>
      <c r="G153" s="3140">
        <v>3464</v>
      </c>
      <c r="H153" s="3140">
        <v>0</v>
      </c>
      <c r="I153" s="86">
        <v>0</v>
      </c>
      <c r="J153" s="573">
        <v>1069304</v>
      </c>
      <c r="K153" s="3140">
        <v>3305</v>
      </c>
      <c r="L153" s="3140">
        <v>0</v>
      </c>
      <c r="M153" s="86">
        <v>0</v>
      </c>
      <c r="N153" s="573">
        <v>8454</v>
      </c>
      <c r="O153" s="3140">
        <v>0</v>
      </c>
      <c r="P153" s="3140">
        <v>0</v>
      </c>
      <c r="Q153" s="86">
        <v>0</v>
      </c>
      <c r="R153" s="134">
        <v>1659187</v>
      </c>
      <c r="S153" s="3140">
        <v>142763</v>
      </c>
      <c r="T153" s="3140">
        <v>2279</v>
      </c>
      <c r="U153" s="86">
        <v>0</v>
      </c>
      <c r="V153" s="134">
        <v>36300</v>
      </c>
      <c r="W153" s="1976">
        <v>298435</v>
      </c>
      <c r="X153" s="640"/>
      <c r="Y153" s="1977"/>
      <c r="Z153" s="641">
        <f t="shared" si="7"/>
        <v>334735</v>
      </c>
      <c r="AA153" s="1976">
        <v>382240</v>
      </c>
      <c r="AB153" s="573">
        <v>3250</v>
      </c>
      <c r="AC153" s="1976">
        <v>25465</v>
      </c>
      <c r="AD153" s="1974"/>
      <c r="AE153" s="1975"/>
      <c r="AF153" s="641">
        <f t="shared" si="8"/>
        <v>28715</v>
      </c>
      <c r="AG153" s="3141">
        <v>57270</v>
      </c>
    </row>
    <row r="154" spans="1:33" s="10" customFormat="1">
      <c r="A154" s="63">
        <f t="shared" si="9"/>
        <v>2005.01</v>
      </c>
      <c r="B154" s="250">
        <v>1733221</v>
      </c>
      <c r="C154" s="3140">
        <v>146073</v>
      </c>
      <c r="D154" s="3140">
        <v>0</v>
      </c>
      <c r="E154" s="134">
        <v>0</v>
      </c>
      <c r="F154" s="573">
        <v>331699</v>
      </c>
      <c r="G154" s="3140">
        <v>59665</v>
      </c>
      <c r="H154" s="3140">
        <v>0</v>
      </c>
      <c r="I154" s="86">
        <v>0</v>
      </c>
      <c r="J154" s="573">
        <v>1366648</v>
      </c>
      <c r="K154" s="3140">
        <v>61106</v>
      </c>
      <c r="L154" s="3140">
        <v>0</v>
      </c>
      <c r="M154" s="86">
        <v>0</v>
      </c>
      <c r="N154" s="573">
        <v>7990</v>
      </c>
      <c r="O154" s="3140">
        <v>0</v>
      </c>
      <c r="P154" s="3140">
        <v>0</v>
      </c>
      <c r="Q154" s="86">
        <v>0</v>
      </c>
      <c r="R154" s="134">
        <v>1986404</v>
      </c>
      <c r="S154" s="3140">
        <v>213898</v>
      </c>
      <c r="T154" s="3140">
        <v>2227</v>
      </c>
      <c r="U154" s="86">
        <v>0</v>
      </c>
      <c r="V154" s="134">
        <v>87153</v>
      </c>
      <c r="W154" s="1976">
        <v>192068</v>
      </c>
      <c r="X154" s="640"/>
      <c r="Y154" s="1977"/>
      <c r="Z154" s="641">
        <f t="shared" si="7"/>
        <v>279221</v>
      </c>
      <c r="AA154" s="1976">
        <v>302570</v>
      </c>
      <c r="AB154" s="573">
        <v>22522</v>
      </c>
      <c r="AC154" s="1976">
        <v>61950</v>
      </c>
      <c r="AD154" s="1974"/>
      <c r="AE154" s="1975"/>
      <c r="AF154" s="641">
        <f t="shared" si="8"/>
        <v>84472</v>
      </c>
      <c r="AG154" s="3141">
        <v>113050</v>
      </c>
    </row>
    <row r="155" spans="1:33" s="10" customFormat="1">
      <c r="A155" s="63">
        <f t="shared" si="9"/>
        <v>2005.02</v>
      </c>
      <c r="B155" s="250">
        <v>1601148</v>
      </c>
      <c r="C155" s="3140">
        <v>141348</v>
      </c>
      <c r="D155" s="3140">
        <v>0</v>
      </c>
      <c r="E155" s="134">
        <v>0</v>
      </c>
      <c r="F155" s="573">
        <v>304185.75</v>
      </c>
      <c r="G155" s="3140">
        <v>56877</v>
      </c>
      <c r="H155" s="3140">
        <v>0</v>
      </c>
      <c r="I155" s="86">
        <v>0</v>
      </c>
      <c r="J155" s="573">
        <v>1262998</v>
      </c>
      <c r="K155" s="3140">
        <v>57907</v>
      </c>
      <c r="L155" s="3140">
        <v>0</v>
      </c>
      <c r="M155" s="86">
        <v>0</v>
      </c>
      <c r="N155" s="573">
        <v>7912</v>
      </c>
      <c r="O155" s="3140">
        <v>0</v>
      </c>
      <c r="P155" s="3140">
        <v>0</v>
      </c>
      <c r="Q155" s="86">
        <v>0</v>
      </c>
      <c r="R155" s="134">
        <v>1799936</v>
      </c>
      <c r="S155" s="3140">
        <v>235302</v>
      </c>
      <c r="T155" s="3140">
        <v>3918</v>
      </c>
      <c r="U155" s="86">
        <v>0</v>
      </c>
      <c r="V155" s="134">
        <v>66000</v>
      </c>
      <c r="W155" s="1976">
        <v>224273</v>
      </c>
      <c r="X155" s="640"/>
      <c r="Y155" s="1977"/>
      <c r="Z155" s="641">
        <f t="shared" si="7"/>
        <v>290273</v>
      </c>
      <c r="AA155" s="1976">
        <v>295600</v>
      </c>
      <c r="AB155" s="573">
        <v>2200</v>
      </c>
      <c r="AC155" s="1976">
        <v>67247</v>
      </c>
      <c r="AD155" s="1974"/>
      <c r="AE155" s="1975"/>
      <c r="AF155" s="641">
        <f t="shared" si="8"/>
        <v>69447</v>
      </c>
      <c r="AG155" s="3141">
        <v>89610</v>
      </c>
    </row>
    <row r="156" spans="1:33" s="10" customFormat="1">
      <c r="A156" s="63">
        <f t="shared" si="9"/>
        <v>2005.03</v>
      </c>
      <c r="B156" s="250">
        <v>1709170</v>
      </c>
      <c r="C156" s="3140">
        <v>146112</v>
      </c>
      <c r="D156" s="3140">
        <v>0</v>
      </c>
      <c r="E156" s="134">
        <v>8236</v>
      </c>
      <c r="F156" s="573">
        <v>330421.19</v>
      </c>
      <c r="G156" s="3140">
        <v>59740</v>
      </c>
      <c r="H156" s="3140">
        <v>0</v>
      </c>
      <c r="I156" s="86">
        <v>1194</v>
      </c>
      <c r="J156" s="573">
        <v>1315592.53</v>
      </c>
      <c r="K156" s="3140">
        <v>59795</v>
      </c>
      <c r="L156" s="3140">
        <v>0</v>
      </c>
      <c r="M156" s="86">
        <v>7042</v>
      </c>
      <c r="N156" s="573">
        <v>8614</v>
      </c>
      <c r="O156" s="3140">
        <v>0</v>
      </c>
      <c r="P156" s="3140">
        <v>0</v>
      </c>
      <c r="Q156" s="86">
        <v>0</v>
      </c>
      <c r="R156" s="134">
        <v>1924887</v>
      </c>
      <c r="S156" s="3140">
        <v>551689</v>
      </c>
      <c r="T156" s="3140">
        <v>4488</v>
      </c>
      <c r="U156" s="86">
        <v>8236</v>
      </c>
      <c r="V156" s="134">
        <v>83150</v>
      </c>
      <c r="W156" s="1976">
        <v>328093</v>
      </c>
      <c r="X156" s="640"/>
      <c r="Y156" s="1977"/>
      <c r="Z156" s="641">
        <f t="shared" si="7"/>
        <v>411243</v>
      </c>
      <c r="AA156" s="1976">
        <v>431010</v>
      </c>
      <c r="AB156" s="573">
        <v>35700</v>
      </c>
      <c r="AC156" s="1976">
        <v>87400</v>
      </c>
      <c r="AD156" s="1974"/>
      <c r="AE156" s="1975"/>
      <c r="AF156" s="641">
        <f t="shared" si="8"/>
        <v>123100</v>
      </c>
      <c r="AG156" s="3141">
        <v>170190</v>
      </c>
    </row>
    <row r="157" spans="1:33" s="10" customFormat="1">
      <c r="A157" s="63">
        <f t="shared" si="9"/>
        <v>2005.04</v>
      </c>
      <c r="B157" s="250">
        <v>1927413</v>
      </c>
      <c r="C157" s="3140">
        <v>31147</v>
      </c>
      <c r="D157" s="3140">
        <v>0</v>
      </c>
      <c r="E157" s="134">
        <v>28833</v>
      </c>
      <c r="F157" s="573">
        <v>368414</v>
      </c>
      <c r="G157" s="3140">
        <v>12766</v>
      </c>
      <c r="H157" s="3140">
        <v>0</v>
      </c>
      <c r="I157" s="86">
        <v>4326</v>
      </c>
      <c r="J157" s="573">
        <v>1505788</v>
      </c>
      <c r="K157" s="3140">
        <v>13925</v>
      </c>
      <c r="L157" s="3140">
        <v>0</v>
      </c>
      <c r="M157" s="86">
        <v>24048</v>
      </c>
      <c r="N157" s="573">
        <v>9871</v>
      </c>
      <c r="O157" s="3140">
        <v>0</v>
      </c>
      <c r="P157" s="3140">
        <v>0</v>
      </c>
      <c r="Q157" s="86">
        <v>0</v>
      </c>
      <c r="R157" s="134">
        <v>2247994</v>
      </c>
      <c r="S157" s="3140">
        <v>343878</v>
      </c>
      <c r="T157" s="3140">
        <v>820</v>
      </c>
      <c r="U157" s="86">
        <v>28833</v>
      </c>
      <c r="V157" s="134">
        <v>82366</v>
      </c>
      <c r="W157" s="1976">
        <v>294687</v>
      </c>
      <c r="X157" s="640"/>
      <c r="Y157" s="1977"/>
      <c r="Z157" s="641">
        <f t="shared" si="7"/>
        <v>377053</v>
      </c>
      <c r="AA157" s="1976">
        <v>381050</v>
      </c>
      <c r="AB157" s="573">
        <v>39300</v>
      </c>
      <c r="AC157" s="1976">
        <v>17136</v>
      </c>
      <c r="AD157" s="1974"/>
      <c r="AE157" s="1975"/>
      <c r="AF157" s="641">
        <f t="shared" si="8"/>
        <v>56436</v>
      </c>
      <c r="AG157" s="3141">
        <v>162530</v>
      </c>
    </row>
    <row r="158" spans="1:33" s="10" customFormat="1">
      <c r="A158" s="63">
        <f t="shared" si="9"/>
        <v>2005.05</v>
      </c>
      <c r="B158" s="250">
        <v>2328722</v>
      </c>
      <c r="C158" s="3140">
        <v>44121</v>
      </c>
      <c r="D158" s="3140">
        <v>0</v>
      </c>
      <c r="E158" s="134">
        <v>16592</v>
      </c>
      <c r="F158" s="573">
        <v>414927</v>
      </c>
      <c r="G158" s="3140">
        <v>17186</v>
      </c>
      <c r="H158" s="3140">
        <v>0</v>
      </c>
      <c r="I158" s="86">
        <v>2390</v>
      </c>
      <c r="J158" s="573">
        <v>1839466</v>
      </c>
      <c r="K158" s="3140">
        <v>17332</v>
      </c>
      <c r="L158" s="3140">
        <v>0</v>
      </c>
      <c r="M158" s="86">
        <v>13870</v>
      </c>
      <c r="N158" s="573">
        <v>10083</v>
      </c>
      <c r="O158" s="3140">
        <v>0</v>
      </c>
      <c r="P158" s="3140">
        <v>0</v>
      </c>
      <c r="Q158" s="86">
        <v>0</v>
      </c>
      <c r="R158" s="134">
        <v>2749303</v>
      </c>
      <c r="S158" s="3140">
        <v>264859</v>
      </c>
      <c r="T158" s="3140">
        <v>1470</v>
      </c>
      <c r="U158" s="86">
        <v>16592</v>
      </c>
      <c r="V158" s="134">
        <v>71500</v>
      </c>
      <c r="W158" s="1976">
        <v>312298</v>
      </c>
      <c r="X158" s="640"/>
      <c r="Y158" s="1977"/>
      <c r="Z158" s="641">
        <f t="shared" si="7"/>
        <v>383798</v>
      </c>
      <c r="AA158" s="1976">
        <v>389800</v>
      </c>
      <c r="AB158" s="573">
        <v>4000</v>
      </c>
      <c r="AC158" s="1976">
        <v>21599</v>
      </c>
      <c r="AD158" s="1974"/>
      <c r="AE158" s="1975"/>
      <c r="AF158" s="641">
        <f t="shared" si="8"/>
        <v>25599</v>
      </c>
      <c r="AG158" s="3141">
        <v>68170</v>
      </c>
    </row>
    <row r="159" spans="1:33" s="10" customFormat="1">
      <c r="A159" s="63">
        <f t="shared" si="9"/>
        <v>2005.06</v>
      </c>
      <c r="B159" s="250">
        <v>2279287</v>
      </c>
      <c r="C159" s="3140">
        <v>99303</v>
      </c>
      <c r="D159" s="3140">
        <v>0</v>
      </c>
      <c r="E159" s="134">
        <v>0</v>
      </c>
      <c r="F159" s="573">
        <v>421927</v>
      </c>
      <c r="G159" s="3140">
        <v>40534</v>
      </c>
      <c r="H159" s="3140">
        <v>0</v>
      </c>
      <c r="I159" s="86">
        <v>0</v>
      </c>
      <c r="J159" s="573">
        <v>1787114</v>
      </c>
      <c r="K159" s="3140">
        <v>40665</v>
      </c>
      <c r="L159" s="3140">
        <v>0</v>
      </c>
      <c r="M159" s="86">
        <v>0</v>
      </c>
      <c r="N159" s="573">
        <v>7953</v>
      </c>
      <c r="O159" s="3140">
        <v>0</v>
      </c>
      <c r="P159" s="3140">
        <v>0</v>
      </c>
      <c r="Q159" s="86">
        <v>0</v>
      </c>
      <c r="R159" s="134">
        <v>2669452</v>
      </c>
      <c r="S159" s="3140">
        <v>376105</v>
      </c>
      <c r="T159" s="3140">
        <v>1</v>
      </c>
      <c r="U159" s="86">
        <v>0</v>
      </c>
      <c r="V159" s="134">
        <v>24900</v>
      </c>
      <c r="W159" s="1976">
        <v>413798</v>
      </c>
      <c r="X159" s="640"/>
      <c r="Y159" s="1977"/>
      <c r="Z159" s="641">
        <f t="shared" si="7"/>
        <v>438698</v>
      </c>
      <c r="AA159" s="1976">
        <v>466550</v>
      </c>
      <c r="AB159" s="573">
        <v>3000</v>
      </c>
      <c r="AC159" s="1976">
        <v>45000</v>
      </c>
      <c r="AD159" s="1974"/>
      <c r="AE159" s="1975"/>
      <c r="AF159" s="641">
        <f t="shared" si="8"/>
        <v>48000</v>
      </c>
      <c r="AG159" s="3141">
        <v>138000</v>
      </c>
    </row>
    <row r="160" spans="1:33" s="10" customFormat="1">
      <c r="A160" s="63">
        <f t="shared" si="9"/>
        <v>2005.07</v>
      </c>
      <c r="B160" s="250">
        <v>2455082</v>
      </c>
      <c r="C160" s="3140">
        <v>77216</v>
      </c>
      <c r="D160" s="3140">
        <v>0</v>
      </c>
      <c r="E160" s="134">
        <v>0</v>
      </c>
      <c r="F160" s="573">
        <v>462772.96799999999</v>
      </c>
      <c r="G160" s="3140">
        <v>31378</v>
      </c>
      <c r="H160" s="3140">
        <v>0</v>
      </c>
      <c r="I160" s="86">
        <v>0</v>
      </c>
      <c r="J160" s="573">
        <v>2010968</v>
      </c>
      <c r="K160" s="3140">
        <v>31809</v>
      </c>
      <c r="L160" s="3140">
        <v>0</v>
      </c>
      <c r="M160" s="86">
        <v>0</v>
      </c>
      <c r="N160" s="573">
        <v>10677</v>
      </c>
      <c r="O160" s="3140">
        <v>0</v>
      </c>
      <c r="P160" s="3140">
        <v>0</v>
      </c>
      <c r="Q160" s="86">
        <v>0</v>
      </c>
      <c r="R160" s="134">
        <v>2860824</v>
      </c>
      <c r="S160" s="3140">
        <v>332407</v>
      </c>
      <c r="T160" s="3140">
        <v>378</v>
      </c>
      <c r="U160" s="86">
        <v>0</v>
      </c>
      <c r="V160" s="134">
        <v>68100</v>
      </c>
      <c r="W160" s="1976">
        <v>335246</v>
      </c>
      <c r="X160" s="640"/>
      <c r="Y160" s="1977"/>
      <c r="Z160" s="641">
        <f t="shared" si="7"/>
        <v>403346</v>
      </c>
      <c r="AA160" s="1976">
        <v>408850</v>
      </c>
      <c r="AB160" s="573">
        <v>4700</v>
      </c>
      <c r="AC160" s="1976">
        <v>48705</v>
      </c>
      <c r="AD160" s="1974"/>
      <c r="AE160" s="1975"/>
      <c r="AF160" s="641">
        <f t="shared" si="8"/>
        <v>53405</v>
      </c>
      <c r="AG160" s="3141">
        <v>82050</v>
      </c>
    </row>
    <row r="161" spans="1:33" s="10" customFormat="1">
      <c r="A161" s="63">
        <f t="shared" si="9"/>
        <v>2005.08</v>
      </c>
      <c r="B161" s="250">
        <v>2270189</v>
      </c>
      <c r="C161" s="3140">
        <v>57545</v>
      </c>
      <c r="D161" s="3140">
        <v>0</v>
      </c>
      <c r="E161" s="134">
        <v>6313</v>
      </c>
      <c r="F161" s="573">
        <v>427487</v>
      </c>
      <c r="G161" s="3140">
        <v>24022</v>
      </c>
      <c r="H161" s="3140">
        <v>0</v>
      </c>
      <c r="I161" s="86">
        <v>666</v>
      </c>
      <c r="J161" s="573">
        <v>1757892</v>
      </c>
      <c r="K161" s="3140">
        <v>24102</v>
      </c>
      <c r="L161" s="3140">
        <v>0</v>
      </c>
      <c r="M161" s="86">
        <v>5521</v>
      </c>
      <c r="N161" s="573">
        <v>8494</v>
      </c>
      <c r="O161" s="3140">
        <v>0</v>
      </c>
      <c r="P161" s="3140">
        <v>0</v>
      </c>
      <c r="Q161" s="86">
        <v>0</v>
      </c>
      <c r="R161" s="134">
        <v>2591338</v>
      </c>
      <c r="S161" s="3140">
        <v>332116</v>
      </c>
      <c r="T161" s="3140">
        <v>0</v>
      </c>
      <c r="U161" s="86">
        <v>6313</v>
      </c>
      <c r="V161" s="134">
        <v>117736</v>
      </c>
      <c r="W161" s="1976">
        <v>414298</v>
      </c>
      <c r="X161" s="640"/>
      <c r="Y161" s="1977"/>
      <c r="Z161" s="641">
        <f t="shared" si="7"/>
        <v>532034</v>
      </c>
      <c r="AA161" s="1976">
        <v>556850</v>
      </c>
      <c r="AB161" s="573">
        <v>7100</v>
      </c>
      <c r="AC161" s="1976">
        <v>47800</v>
      </c>
      <c r="AD161" s="1974"/>
      <c r="AE161" s="1975"/>
      <c r="AF161" s="641">
        <f t="shared" si="8"/>
        <v>54900</v>
      </c>
      <c r="AG161" s="3141">
        <v>135940</v>
      </c>
    </row>
    <row r="162" spans="1:33" s="10" customFormat="1">
      <c r="A162" s="63">
        <f t="shared" si="9"/>
        <v>2005.09</v>
      </c>
      <c r="B162" s="250">
        <v>2324396</v>
      </c>
      <c r="C162" s="3140">
        <v>79012</v>
      </c>
      <c r="D162" s="3140">
        <v>0</v>
      </c>
      <c r="E162" s="134">
        <v>0</v>
      </c>
      <c r="F162" s="573">
        <v>436615</v>
      </c>
      <c r="G162" s="3140">
        <v>33231</v>
      </c>
      <c r="H162" s="3140">
        <v>0</v>
      </c>
      <c r="I162" s="86">
        <v>0</v>
      </c>
      <c r="J162" s="573">
        <v>1809961</v>
      </c>
      <c r="K162" s="3140">
        <v>32862</v>
      </c>
      <c r="L162" s="3140">
        <v>0</v>
      </c>
      <c r="M162" s="86">
        <v>0</v>
      </c>
      <c r="N162" s="573">
        <v>8987</v>
      </c>
      <c r="O162" s="3140">
        <v>0</v>
      </c>
      <c r="P162" s="3140">
        <v>0</v>
      </c>
      <c r="Q162" s="86">
        <v>0</v>
      </c>
      <c r="R162" s="134">
        <v>2774658</v>
      </c>
      <c r="S162" s="3140">
        <v>262481</v>
      </c>
      <c r="T162" s="3140">
        <v>770</v>
      </c>
      <c r="U162" s="86">
        <v>0</v>
      </c>
      <c r="V162" s="134">
        <v>76593</v>
      </c>
      <c r="W162" s="1976">
        <v>318151</v>
      </c>
      <c r="X162" s="640"/>
      <c r="Y162" s="1977"/>
      <c r="Z162" s="641">
        <f t="shared" si="7"/>
        <v>394744</v>
      </c>
      <c r="AA162" s="1976">
        <v>404770</v>
      </c>
      <c r="AB162" s="573">
        <v>2500</v>
      </c>
      <c r="AC162" s="1976">
        <v>3500</v>
      </c>
      <c r="AD162" s="1974"/>
      <c r="AE162" s="1975"/>
      <c r="AF162" s="641">
        <f t="shared" si="8"/>
        <v>6000</v>
      </c>
      <c r="AG162" s="3141">
        <v>63440</v>
      </c>
    </row>
    <row r="163" spans="1:33" s="10" customFormat="1">
      <c r="A163" s="63">
        <f t="shared" si="9"/>
        <v>2005.1</v>
      </c>
      <c r="B163" s="250">
        <v>1991119</v>
      </c>
      <c r="C163" s="3140">
        <v>0</v>
      </c>
      <c r="D163" s="3140">
        <v>0</v>
      </c>
      <c r="E163" s="134">
        <v>0</v>
      </c>
      <c r="F163" s="573">
        <v>376190</v>
      </c>
      <c r="G163" s="3140">
        <v>0</v>
      </c>
      <c r="H163" s="3140">
        <v>0</v>
      </c>
      <c r="I163" s="86">
        <v>0</v>
      </c>
      <c r="J163" s="573">
        <v>1556159</v>
      </c>
      <c r="K163" s="3140">
        <v>0</v>
      </c>
      <c r="L163" s="3140">
        <v>0</v>
      </c>
      <c r="M163" s="86">
        <v>0</v>
      </c>
      <c r="N163" s="573">
        <v>9642</v>
      </c>
      <c r="O163" s="3140">
        <v>0</v>
      </c>
      <c r="P163" s="3140">
        <v>0</v>
      </c>
      <c r="Q163" s="86">
        <v>0</v>
      </c>
      <c r="R163" s="134">
        <v>2421991</v>
      </c>
      <c r="S163" s="3140">
        <v>225971</v>
      </c>
      <c r="T163" s="3140">
        <v>76</v>
      </c>
      <c r="U163" s="86">
        <v>0</v>
      </c>
      <c r="V163" s="134">
        <v>53410</v>
      </c>
      <c r="W163" s="1976">
        <v>302151</v>
      </c>
      <c r="X163" s="640"/>
      <c r="Y163" s="1977"/>
      <c r="Z163" s="641">
        <f t="shared" si="7"/>
        <v>355561</v>
      </c>
      <c r="AA163" s="1976">
        <v>359560</v>
      </c>
      <c r="AB163" s="573">
        <v>4500</v>
      </c>
      <c r="AC163" s="1976">
        <v>35664</v>
      </c>
      <c r="AD163" s="1974"/>
      <c r="AE163" s="1975"/>
      <c r="AF163" s="641">
        <f t="shared" si="8"/>
        <v>40164</v>
      </c>
      <c r="AG163" s="3141">
        <v>77900</v>
      </c>
    </row>
    <row r="164" spans="1:33" s="10" customFormat="1">
      <c r="A164" s="63">
        <f t="shared" si="9"/>
        <v>2005.11</v>
      </c>
      <c r="B164" s="250">
        <v>1688682</v>
      </c>
      <c r="C164" s="3140">
        <v>0</v>
      </c>
      <c r="D164" s="3140">
        <v>0</v>
      </c>
      <c r="E164" s="134">
        <v>0</v>
      </c>
      <c r="F164" s="573">
        <v>319520</v>
      </c>
      <c r="G164" s="3140">
        <v>0</v>
      </c>
      <c r="H164" s="3140">
        <v>0</v>
      </c>
      <c r="I164" s="86">
        <v>0</v>
      </c>
      <c r="J164" s="573">
        <v>1306118</v>
      </c>
      <c r="K164" s="3140">
        <v>0</v>
      </c>
      <c r="L164" s="3140">
        <v>0</v>
      </c>
      <c r="M164" s="86">
        <v>0</v>
      </c>
      <c r="N164" s="573">
        <v>10467</v>
      </c>
      <c r="O164" s="3140">
        <v>0</v>
      </c>
      <c r="P164" s="3140">
        <v>0</v>
      </c>
      <c r="Q164" s="86">
        <v>0</v>
      </c>
      <c r="R164" s="134">
        <v>2078839</v>
      </c>
      <c r="S164" s="3140">
        <v>221549</v>
      </c>
      <c r="T164" s="3140">
        <v>0</v>
      </c>
      <c r="U164" s="86">
        <v>0</v>
      </c>
      <c r="V164" s="134">
        <v>45678</v>
      </c>
      <c r="W164" s="1976">
        <v>291458</v>
      </c>
      <c r="X164" s="640"/>
      <c r="Y164" s="1977"/>
      <c r="Z164" s="641">
        <f t="shared" si="7"/>
        <v>337136</v>
      </c>
      <c r="AA164" s="1976">
        <v>358700</v>
      </c>
      <c r="AB164" s="573">
        <v>6730</v>
      </c>
      <c r="AC164" s="1976">
        <v>29481</v>
      </c>
      <c r="AD164" s="1974"/>
      <c r="AE164" s="1975"/>
      <c r="AF164" s="641">
        <f t="shared" si="8"/>
        <v>36211</v>
      </c>
      <c r="AG164" s="3141">
        <v>84030</v>
      </c>
    </row>
    <row r="165" spans="1:33" s="10" customFormat="1">
      <c r="A165" s="63">
        <f t="shared" si="9"/>
        <v>2005.12</v>
      </c>
      <c r="B165" s="250">
        <v>2176678</v>
      </c>
      <c r="C165" s="3140">
        <v>49521</v>
      </c>
      <c r="D165" s="3140">
        <v>0</v>
      </c>
      <c r="E165" s="134">
        <v>0</v>
      </c>
      <c r="F165" s="573">
        <v>413623</v>
      </c>
      <c r="G165" s="3140">
        <v>21370</v>
      </c>
      <c r="H165" s="3140">
        <v>0</v>
      </c>
      <c r="I165" s="86">
        <v>0</v>
      </c>
      <c r="J165" s="573">
        <v>1708911</v>
      </c>
      <c r="K165" s="3140">
        <v>22245</v>
      </c>
      <c r="L165" s="3140">
        <v>0</v>
      </c>
      <c r="M165" s="86">
        <v>0</v>
      </c>
      <c r="N165" s="573">
        <v>8402</v>
      </c>
      <c r="O165" s="3140">
        <v>0</v>
      </c>
      <c r="P165" s="3140">
        <v>0</v>
      </c>
      <c r="Q165" s="86">
        <v>0</v>
      </c>
      <c r="R165" s="134">
        <v>2585185</v>
      </c>
      <c r="S165" s="3140">
        <v>203007</v>
      </c>
      <c r="T165" s="3140">
        <v>4983</v>
      </c>
      <c r="U165" s="86">
        <v>0</v>
      </c>
      <c r="V165" s="134">
        <v>104759</v>
      </c>
      <c r="W165" s="1976">
        <v>459413</v>
      </c>
      <c r="X165" s="640"/>
      <c r="Y165" s="1977"/>
      <c r="Z165" s="641">
        <f t="shared" si="7"/>
        <v>564172</v>
      </c>
      <c r="AA165" s="1976">
        <v>608870</v>
      </c>
      <c r="AB165" s="573">
        <v>500</v>
      </c>
      <c r="AC165" s="1976">
        <v>12500</v>
      </c>
      <c r="AD165" s="1974"/>
      <c r="AE165" s="1975"/>
      <c r="AF165" s="641">
        <f t="shared" si="8"/>
        <v>13000</v>
      </c>
      <c r="AG165" s="3141">
        <v>91330</v>
      </c>
    </row>
    <row r="166" spans="1:33" s="10" customFormat="1">
      <c r="A166" s="63">
        <f t="shared" si="9"/>
        <v>2006.01</v>
      </c>
      <c r="B166" s="250">
        <v>2193463</v>
      </c>
      <c r="C166" s="3140">
        <v>176970</v>
      </c>
      <c r="D166" s="3140">
        <v>0</v>
      </c>
      <c r="E166" s="134">
        <v>0</v>
      </c>
      <c r="F166" s="573">
        <v>416962</v>
      </c>
      <c r="G166" s="3140">
        <v>73168</v>
      </c>
      <c r="H166" s="3140">
        <v>0</v>
      </c>
      <c r="I166" s="86">
        <v>0</v>
      </c>
      <c r="J166" s="573">
        <v>1712631</v>
      </c>
      <c r="K166" s="3140">
        <v>72220</v>
      </c>
      <c r="L166" s="3140">
        <v>0</v>
      </c>
      <c r="M166" s="86">
        <v>0</v>
      </c>
      <c r="N166" s="573">
        <v>9234</v>
      </c>
      <c r="O166" s="3140">
        <v>0</v>
      </c>
      <c r="P166" s="3140">
        <v>0</v>
      </c>
      <c r="Q166" s="86">
        <v>0</v>
      </c>
      <c r="R166" s="134">
        <v>2372189</v>
      </c>
      <c r="S166" s="3140">
        <v>269243</v>
      </c>
      <c r="T166" s="3140">
        <v>8217</v>
      </c>
      <c r="U166" s="86">
        <v>0</v>
      </c>
      <c r="V166" s="134">
        <v>65795</v>
      </c>
      <c r="W166" s="1976">
        <v>397408</v>
      </c>
      <c r="X166" s="640"/>
      <c r="Y166" s="1977"/>
      <c r="Z166" s="641">
        <f t="shared" si="7"/>
        <v>463203</v>
      </c>
      <c r="AA166" s="1976">
        <v>463200</v>
      </c>
      <c r="AB166" s="573">
        <v>0</v>
      </c>
      <c r="AC166" s="1976">
        <v>53172</v>
      </c>
      <c r="AD166" s="1974"/>
      <c r="AE166" s="1975"/>
      <c r="AF166" s="641">
        <f t="shared" si="8"/>
        <v>53172</v>
      </c>
      <c r="AG166" s="3141">
        <v>102890</v>
      </c>
    </row>
    <row r="167" spans="1:33" s="10" customFormat="1">
      <c r="A167" s="63">
        <f t="shared" si="9"/>
        <v>2006.02</v>
      </c>
      <c r="B167" s="250">
        <v>1767369</v>
      </c>
      <c r="C167" s="3140">
        <v>144248</v>
      </c>
      <c r="D167" s="3140">
        <v>0</v>
      </c>
      <c r="E167" s="134">
        <v>0</v>
      </c>
      <c r="F167" s="573">
        <v>340470</v>
      </c>
      <c r="G167" s="3140">
        <v>58524</v>
      </c>
      <c r="H167" s="3140">
        <v>0</v>
      </c>
      <c r="I167" s="86">
        <v>0</v>
      </c>
      <c r="J167" s="573">
        <v>1387700</v>
      </c>
      <c r="K167" s="3140">
        <v>64862</v>
      </c>
      <c r="L167" s="3140">
        <v>0</v>
      </c>
      <c r="M167" s="86">
        <v>0</v>
      </c>
      <c r="N167" s="573">
        <v>7876</v>
      </c>
      <c r="O167" s="3140">
        <v>0</v>
      </c>
      <c r="P167" s="3140">
        <v>0</v>
      </c>
      <c r="Q167" s="86">
        <v>0</v>
      </c>
      <c r="R167" s="134">
        <v>2372189</v>
      </c>
      <c r="S167" s="3140">
        <v>269243</v>
      </c>
      <c r="T167" s="3140">
        <v>8217</v>
      </c>
      <c r="U167" s="86">
        <v>0</v>
      </c>
      <c r="V167" s="134">
        <v>68400</v>
      </c>
      <c r="W167" s="1976">
        <v>296391</v>
      </c>
      <c r="X167" s="640"/>
      <c r="Y167" s="1977"/>
      <c r="Z167" s="641">
        <f t="shared" si="7"/>
        <v>364791</v>
      </c>
      <c r="AA167" s="1976">
        <v>369230</v>
      </c>
      <c r="AB167" s="573">
        <v>12595.531000000001</v>
      </c>
      <c r="AC167" s="1976">
        <v>34398</v>
      </c>
      <c r="AD167" s="1974"/>
      <c r="AE167" s="1975"/>
      <c r="AF167" s="641">
        <f t="shared" si="8"/>
        <v>46993.531000000003</v>
      </c>
      <c r="AG167" s="3141">
        <v>53110</v>
      </c>
    </row>
    <row r="168" spans="1:33" s="10" customFormat="1">
      <c r="A168" s="63">
        <f t="shared" si="9"/>
        <v>2006.03</v>
      </c>
      <c r="B168" s="250">
        <v>2033101</v>
      </c>
      <c r="C168" s="3140">
        <v>164559</v>
      </c>
      <c r="D168" s="3140">
        <v>0</v>
      </c>
      <c r="E168" s="134">
        <v>0</v>
      </c>
      <c r="F168" s="573">
        <v>389168</v>
      </c>
      <c r="G168" s="3140">
        <v>67915</v>
      </c>
      <c r="H168" s="3140">
        <v>0</v>
      </c>
      <c r="I168" s="86">
        <v>0</v>
      </c>
      <c r="J168" s="573">
        <v>1596667</v>
      </c>
      <c r="K168" s="3140">
        <v>67879</v>
      </c>
      <c r="L168" s="3140">
        <v>0</v>
      </c>
      <c r="M168" s="86">
        <v>0</v>
      </c>
      <c r="N168" s="573">
        <v>8274</v>
      </c>
      <c r="O168" s="3140">
        <v>0</v>
      </c>
      <c r="P168" s="3140">
        <v>0</v>
      </c>
      <c r="Q168" s="86">
        <v>0</v>
      </c>
      <c r="R168" s="134">
        <v>2272583</v>
      </c>
      <c r="S168" s="3140">
        <v>341563</v>
      </c>
      <c r="T168" s="3140">
        <v>4804</v>
      </c>
      <c r="U168" s="86">
        <v>0</v>
      </c>
      <c r="V168" s="134">
        <v>69595</v>
      </c>
      <c r="W168" s="1976">
        <v>388555.4</v>
      </c>
      <c r="X168" s="640"/>
      <c r="Y168" s="1977"/>
      <c r="Z168" s="641">
        <f t="shared" si="7"/>
        <v>458150.40000000002</v>
      </c>
      <c r="AA168" s="1976">
        <v>460350</v>
      </c>
      <c r="AB168" s="573">
        <v>5850</v>
      </c>
      <c r="AC168" s="1976">
        <v>92881.34</v>
      </c>
      <c r="AD168" s="1974"/>
      <c r="AE168" s="1975"/>
      <c r="AF168" s="641">
        <f t="shared" si="8"/>
        <v>98731.34</v>
      </c>
      <c r="AG168" s="3141">
        <v>170640</v>
      </c>
    </row>
    <row r="169" spans="1:33" s="10" customFormat="1">
      <c r="A169" s="63">
        <f t="shared" si="9"/>
        <v>2006.04</v>
      </c>
      <c r="B169" s="250">
        <v>2582850</v>
      </c>
      <c r="C169" s="3140">
        <v>163129</v>
      </c>
      <c r="D169" s="3140">
        <v>0</v>
      </c>
      <c r="E169" s="134">
        <v>0</v>
      </c>
      <c r="F169" s="573">
        <v>487895</v>
      </c>
      <c r="G169" s="3140">
        <v>67241</v>
      </c>
      <c r="H169" s="3140">
        <v>0</v>
      </c>
      <c r="I169" s="86">
        <v>0</v>
      </c>
      <c r="J169" s="573">
        <v>2001580</v>
      </c>
      <c r="K169" s="3140">
        <v>72176</v>
      </c>
      <c r="L169" s="3140">
        <v>0</v>
      </c>
      <c r="M169" s="86">
        <v>0</v>
      </c>
      <c r="N169" s="573">
        <v>10607</v>
      </c>
      <c r="O169" s="3140">
        <v>0</v>
      </c>
      <c r="P169" s="3140">
        <v>0</v>
      </c>
      <c r="Q169" s="86">
        <v>0</v>
      </c>
      <c r="R169" s="134">
        <v>2961181</v>
      </c>
      <c r="S169" s="3140">
        <v>558842</v>
      </c>
      <c r="T169" s="3140">
        <v>4147</v>
      </c>
      <c r="U169" s="86">
        <v>0</v>
      </c>
      <c r="V169" s="134">
        <v>26601</v>
      </c>
      <c r="W169" s="1976">
        <v>454482.7</v>
      </c>
      <c r="X169" s="640"/>
      <c r="Y169" s="1977"/>
      <c r="Z169" s="641">
        <f t="shared" si="7"/>
        <v>481083.7</v>
      </c>
      <c r="AA169" s="1976">
        <v>481080</v>
      </c>
      <c r="AB169" s="573">
        <v>16977.169999999998</v>
      </c>
      <c r="AC169" s="1976">
        <v>82586.960000000006</v>
      </c>
      <c r="AD169" s="1974"/>
      <c r="AE169" s="1975"/>
      <c r="AF169" s="641">
        <f t="shared" si="8"/>
        <v>99564.13</v>
      </c>
      <c r="AG169" s="3141">
        <v>153020</v>
      </c>
    </row>
    <row r="170" spans="1:33" s="10" customFormat="1">
      <c r="A170" s="63">
        <f t="shared" si="9"/>
        <v>2006.05</v>
      </c>
      <c r="B170" s="250">
        <v>2862943</v>
      </c>
      <c r="C170" s="3140">
        <v>147362</v>
      </c>
      <c r="D170" s="3140">
        <v>0</v>
      </c>
      <c r="E170" s="134">
        <v>829</v>
      </c>
      <c r="F170" s="573">
        <v>533861</v>
      </c>
      <c r="G170" s="3140">
        <v>60088</v>
      </c>
      <c r="H170" s="3140">
        <v>0</v>
      </c>
      <c r="I170" s="86">
        <v>141</v>
      </c>
      <c r="J170" s="573">
        <v>2227743</v>
      </c>
      <c r="K170" s="3140">
        <v>69244</v>
      </c>
      <c r="L170" s="3140">
        <v>0</v>
      </c>
      <c r="M170" s="86">
        <v>671</v>
      </c>
      <c r="N170" s="573">
        <v>10883</v>
      </c>
      <c r="O170" s="3140">
        <v>0</v>
      </c>
      <c r="P170" s="3140">
        <v>0</v>
      </c>
      <c r="Q170" s="86">
        <v>0</v>
      </c>
      <c r="R170" s="134">
        <v>3343470</v>
      </c>
      <c r="S170" s="3140">
        <v>426113</v>
      </c>
      <c r="T170" s="3140">
        <v>2308</v>
      </c>
      <c r="U170" s="86">
        <v>829</v>
      </c>
      <c r="V170" s="134">
        <v>134184</v>
      </c>
      <c r="W170" s="1976">
        <v>538767</v>
      </c>
      <c r="X170" s="640"/>
      <c r="Y170" s="1977"/>
      <c r="Z170" s="641">
        <f t="shared" si="7"/>
        <v>672951</v>
      </c>
      <c r="AA170" s="1976">
        <v>679650</v>
      </c>
      <c r="AB170" s="573">
        <v>1600</v>
      </c>
      <c r="AC170" s="1976">
        <v>55713</v>
      </c>
      <c r="AD170" s="1974"/>
      <c r="AE170" s="1975"/>
      <c r="AF170" s="641">
        <f t="shared" si="8"/>
        <v>57313</v>
      </c>
      <c r="AG170" s="3141">
        <v>121060</v>
      </c>
    </row>
    <row r="171" spans="1:33" s="10" customFormat="1">
      <c r="A171" s="63">
        <f t="shared" si="9"/>
        <v>2006.06</v>
      </c>
      <c r="B171" s="250">
        <v>2668353</v>
      </c>
      <c r="C171" s="3140">
        <v>123349</v>
      </c>
      <c r="D171" s="3140">
        <v>0</v>
      </c>
      <c r="E171" s="134">
        <v>27482</v>
      </c>
      <c r="F171" s="573">
        <v>494643</v>
      </c>
      <c r="G171" s="3140">
        <v>50538</v>
      </c>
      <c r="H171" s="3140">
        <v>0</v>
      </c>
      <c r="I171" s="86">
        <v>4672</v>
      </c>
      <c r="J171" s="573">
        <v>2074055</v>
      </c>
      <c r="K171" s="3140">
        <v>51767</v>
      </c>
      <c r="L171" s="3140">
        <v>0</v>
      </c>
      <c r="M171" s="86">
        <v>22260</v>
      </c>
      <c r="N171" s="573">
        <v>10503</v>
      </c>
      <c r="O171" s="3140">
        <v>0</v>
      </c>
      <c r="P171" s="3140">
        <v>0</v>
      </c>
      <c r="Q171" s="86">
        <v>0</v>
      </c>
      <c r="R171" s="134">
        <v>3047458</v>
      </c>
      <c r="S171" s="3140">
        <v>333815</v>
      </c>
      <c r="T171" s="3140">
        <v>3364</v>
      </c>
      <c r="U171" s="86">
        <v>27482</v>
      </c>
      <c r="V171" s="134">
        <v>85030</v>
      </c>
      <c r="W171" s="1976">
        <v>346814</v>
      </c>
      <c r="X171" s="640"/>
      <c r="Y171" s="1977"/>
      <c r="Z171" s="641">
        <f t="shared" si="7"/>
        <v>431844</v>
      </c>
      <c r="AA171" s="1976">
        <v>453140</v>
      </c>
      <c r="AB171" s="573">
        <v>2350</v>
      </c>
      <c r="AC171" s="1976">
        <v>53250</v>
      </c>
      <c r="AD171" s="1974"/>
      <c r="AE171" s="1975"/>
      <c r="AF171" s="641">
        <f t="shared" si="8"/>
        <v>55600</v>
      </c>
      <c r="AG171" s="3141">
        <v>123760</v>
      </c>
    </row>
    <row r="172" spans="1:33" s="10" customFormat="1">
      <c r="A172" s="63">
        <f t="shared" si="9"/>
        <v>2006.07</v>
      </c>
      <c r="B172" s="250">
        <v>2664044</v>
      </c>
      <c r="C172" s="3140">
        <v>110022</v>
      </c>
      <c r="D172" s="3140">
        <v>0</v>
      </c>
      <c r="E172" s="134">
        <v>3346</v>
      </c>
      <c r="F172" s="573">
        <v>494423</v>
      </c>
      <c r="G172" s="3140">
        <v>45059</v>
      </c>
      <c r="H172" s="3140">
        <v>0</v>
      </c>
      <c r="I172" s="86">
        <v>249</v>
      </c>
      <c r="J172" s="573">
        <v>2043033</v>
      </c>
      <c r="K172" s="3140">
        <v>47261</v>
      </c>
      <c r="L172" s="3140">
        <v>0</v>
      </c>
      <c r="M172" s="86">
        <v>2038</v>
      </c>
      <c r="N172" s="573">
        <v>10027</v>
      </c>
      <c r="O172" s="3140">
        <v>0</v>
      </c>
      <c r="P172" s="3140">
        <v>0</v>
      </c>
      <c r="Q172" s="86">
        <v>0</v>
      </c>
      <c r="R172" s="134">
        <v>3047582</v>
      </c>
      <c r="S172" s="3140">
        <v>386116</v>
      </c>
      <c r="T172" s="3140">
        <v>0</v>
      </c>
      <c r="U172" s="86">
        <v>3346</v>
      </c>
      <c r="V172" s="134">
        <v>84769</v>
      </c>
      <c r="W172" s="1976">
        <v>394371</v>
      </c>
      <c r="X172" s="640"/>
      <c r="Y172" s="1977"/>
      <c r="Z172" s="641">
        <f t="shared" si="7"/>
        <v>479140</v>
      </c>
      <c r="AA172" s="1976">
        <v>485370</v>
      </c>
      <c r="AB172" s="573">
        <v>0</v>
      </c>
      <c r="AC172" s="1976">
        <v>55154</v>
      </c>
      <c r="AD172" s="1974"/>
      <c r="AE172" s="1975"/>
      <c r="AF172" s="641">
        <f t="shared" si="8"/>
        <v>55154</v>
      </c>
      <c r="AG172" s="3141">
        <v>94190</v>
      </c>
    </row>
    <row r="173" spans="1:33" s="10" customFormat="1">
      <c r="A173" s="63">
        <f t="shared" si="9"/>
        <v>2006.08</v>
      </c>
      <c r="B173" s="250">
        <v>2425168</v>
      </c>
      <c r="C173" s="3140">
        <v>100266</v>
      </c>
      <c r="D173" s="3140">
        <v>0</v>
      </c>
      <c r="E173" s="134">
        <v>0</v>
      </c>
      <c r="F173" s="573">
        <v>456713</v>
      </c>
      <c r="G173" s="3140">
        <v>44217</v>
      </c>
      <c r="H173" s="3140">
        <v>0</v>
      </c>
      <c r="I173" s="86">
        <v>0</v>
      </c>
      <c r="J173" s="573">
        <v>1904980</v>
      </c>
      <c r="K173" s="3140">
        <v>41810</v>
      </c>
      <c r="L173" s="3140">
        <v>0</v>
      </c>
      <c r="M173" s="86">
        <v>0</v>
      </c>
      <c r="N173" s="573">
        <v>8549</v>
      </c>
      <c r="O173" s="3140">
        <v>0</v>
      </c>
      <c r="P173" s="3140">
        <v>0</v>
      </c>
      <c r="Q173" s="86">
        <v>0</v>
      </c>
      <c r="R173" s="134">
        <v>2763436</v>
      </c>
      <c r="S173" s="3140">
        <v>287409</v>
      </c>
      <c r="T173" s="3140">
        <v>1995</v>
      </c>
      <c r="U173" s="86">
        <v>0</v>
      </c>
      <c r="V173" s="134">
        <v>73500</v>
      </c>
      <c r="W173" s="1976">
        <v>539122</v>
      </c>
      <c r="X173" s="640"/>
      <c r="Y173" s="1977"/>
      <c r="Z173" s="641">
        <f t="shared" si="7"/>
        <v>612622</v>
      </c>
      <c r="AA173" s="1976">
        <v>644790</v>
      </c>
      <c r="AB173" s="573">
        <v>0</v>
      </c>
      <c r="AC173" s="1976">
        <v>23608</v>
      </c>
      <c r="AD173" s="1974"/>
      <c r="AE173" s="1975"/>
      <c r="AF173" s="641">
        <f t="shared" si="8"/>
        <v>23608</v>
      </c>
      <c r="AG173" s="3141">
        <v>103350</v>
      </c>
    </row>
    <row r="174" spans="1:33" s="10" customFormat="1">
      <c r="A174" s="63">
        <f t="shared" si="9"/>
        <v>2006.09</v>
      </c>
      <c r="B174" s="250">
        <v>2649679</v>
      </c>
      <c r="C174" s="3140">
        <v>10288</v>
      </c>
      <c r="D174" s="3140">
        <v>0</v>
      </c>
      <c r="E174" s="134">
        <v>5049</v>
      </c>
      <c r="F174" s="573">
        <v>499901</v>
      </c>
      <c r="G174" s="3140">
        <v>4267</v>
      </c>
      <c r="H174" s="3140">
        <v>0</v>
      </c>
      <c r="I174" s="86">
        <v>811</v>
      </c>
      <c r="J174" s="573">
        <v>2059347</v>
      </c>
      <c r="K174" s="3140">
        <v>4312</v>
      </c>
      <c r="L174" s="3140">
        <v>0</v>
      </c>
      <c r="M174" s="86">
        <v>2818</v>
      </c>
      <c r="N174" s="573">
        <v>11798</v>
      </c>
      <c r="O174" s="3140">
        <v>0</v>
      </c>
      <c r="P174" s="3140">
        <v>0</v>
      </c>
      <c r="Q174" s="86">
        <v>0</v>
      </c>
      <c r="R174" s="134">
        <v>3057683</v>
      </c>
      <c r="S174" s="3140">
        <v>347549</v>
      </c>
      <c r="T174" s="3140">
        <v>1435</v>
      </c>
      <c r="U174" s="86">
        <v>5049</v>
      </c>
      <c r="V174" s="134">
        <v>103130</v>
      </c>
      <c r="W174" s="1976">
        <v>421547</v>
      </c>
      <c r="X174" s="640"/>
      <c r="Y174" s="1977"/>
      <c r="Z174" s="641">
        <f t="shared" si="7"/>
        <v>524677</v>
      </c>
      <c r="AA174" s="1976">
        <v>528330</v>
      </c>
      <c r="AB174" s="573">
        <v>0</v>
      </c>
      <c r="AC174" s="1976">
        <v>38083</v>
      </c>
      <c r="AD174" s="1974"/>
      <c r="AE174" s="1975"/>
      <c r="AF174" s="641">
        <f t="shared" si="8"/>
        <v>38083</v>
      </c>
      <c r="AG174" s="3141">
        <v>78390</v>
      </c>
    </row>
    <row r="175" spans="1:33" s="10" customFormat="1">
      <c r="A175" s="63">
        <f t="shared" si="9"/>
        <v>2006.1</v>
      </c>
      <c r="B175" s="250">
        <v>2358565</v>
      </c>
      <c r="C175" s="3140">
        <v>40403</v>
      </c>
      <c r="D175" s="3140">
        <v>0</v>
      </c>
      <c r="E175" s="134">
        <v>2293</v>
      </c>
      <c r="F175" s="573">
        <v>445098</v>
      </c>
      <c r="G175" s="3140">
        <v>16085</v>
      </c>
      <c r="H175" s="3140">
        <v>0</v>
      </c>
      <c r="I175" s="86">
        <v>636</v>
      </c>
      <c r="J175" s="573">
        <v>1832924</v>
      </c>
      <c r="K175" s="3140">
        <v>19713</v>
      </c>
      <c r="L175" s="3140">
        <v>0</v>
      </c>
      <c r="M175" s="86">
        <v>2721</v>
      </c>
      <c r="N175" s="573">
        <v>9773</v>
      </c>
      <c r="O175" s="3140">
        <v>0</v>
      </c>
      <c r="P175" s="3140">
        <v>0</v>
      </c>
      <c r="Q175" s="86">
        <v>0</v>
      </c>
      <c r="R175" s="134">
        <v>2636081</v>
      </c>
      <c r="S175" s="3140">
        <v>246494</v>
      </c>
      <c r="T175" s="3140">
        <v>120</v>
      </c>
      <c r="U175" s="86">
        <v>2293</v>
      </c>
      <c r="V175" s="134">
        <v>132849</v>
      </c>
      <c r="W175" s="1976">
        <v>422698</v>
      </c>
      <c r="X175" s="640"/>
      <c r="Y175" s="1977"/>
      <c r="Z175" s="641">
        <f t="shared" si="7"/>
        <v>555547</v>
      </c>
      <c r="AA175" s="1976">
        <v>576900</v>
      </c>
      <c r="AB175" s="573">
        <v>1000</v>
      </c>
      <c r="AC175" s="1976">
        <v>40600</v>
      </c>
      <c r="AD175" s="1974"/>
      <c r="AE175" s="1975"/>
      <c r="AF175" s="641">
        <f t="shared" si="8"/>
        <v>41600</v>
      </c>
      <c r="AG175" s="3141">
        <v>101300</v>
      </c>
    </row>
    <row r="176" spans="1:33" s="10" customFormat="1">
      <c r="A176" s="63">
        <f t="shared" si="9"/>
        <v>2006.11</v>
      </c>
      <c r="B176" s="250">
        <v>2313550</v>
      </c>
      <c r="C176" s="3140">
        <v>11104</v>
      </c>
      <c r="D176" s="3140">
        <v>0</v>
      </c>
      <c r="E176" s="134">
        <v>0</v>
      </c>
      <c r="F176" s="573">
        <v>439167</v>
      </c>
      <c r="G176" s="3140">
        <v>4594</v>
      </c>
      <c r="H176" s="3140">
        <v>0</v>
      </c>
      <c r="I176" s="86">
        <v>0</v>
      </c>
      <c r="J176" s="573">
        <v>1800837</v>
      </c>
      <c r="K176" s="3140">
        <v>4914</v>
      </c>
      <c r="L176" s="3140">
        <v>0</v>
      </c>
      <c r="M176" s="86">
        <v>0</v>
      </c>
      <c r="N176" s="573">
        <v>9166</v>
      </c>
      <c r="O176" s="3140">
        <v>0</v>
      </c>
      <c r="P176" s="3140">
        <v>0</v>
      </c>
      <c r="Q176" s="86">
        <v>0</v>
      </c>
      <c r="R176" s="134">
        <v>2682960</v>
      </c>
      <c r="S176" s="3140">
        <v>259761</v>
      </c>
      <c r="T176" s="3140">
        <v>850</v>
      </c>
      <c r="U176" s="86">
        <v>0</v>
      </c>
      <c r="V176" s="134">
        <v>74088</v>
      </c>
      <c r="W176" s="1976">
        <v>362494</v>
      </c>
      <c r="X176" s="640"/>
      <c r="Y176" s="1977"/>
      <c r="Z176" s="641">
        <f t="shared" si="7"/>
        <v>436582</v>
      </c>
      <c r="AA176" s="1976">
        <v>449620</v>
      </c>
      <c r="AB176" s="573">
        <v>0</v>
      </c>
      <c r="AC176" s="1976">
        <v>7030</v>
      </c>
      <c r="AD176" s="1974"/>
      <c r="AE176" s="1975"/>
      <c r="AF176" s="641">
        <f t="shared" si="8"/>
        <v>7030</v>
      </c>
      <c r="AG176" s="3141">
        <v>37600</v>
      </c>
    </row>
    <row r="177" spans="1:33" s="10" customFormat="1">
      <c r="A177" s="63">
        <f t="shared" si="9"/>
        <v>2006.12</v>
      </c>
      <c r="B177" s="250">
        <v>2284849</v>
      </c>
      <c r="C177" s="3140">
        <v>96283</v>
      </c>
      <c r="D177" s="3140">
        <v>0</v>
      </c>
      <c r="E177" s="134">
        <v>0</v>
      </c>
      <c r="F177" s="573">
        <v>437967</v>
      </c>
      <c r="G177" s="3140">
        <v>37820</v>
      </c>
      <c r="H177" s="3140">
        <v>0</v>
      </c>
      <c r="I177" s="86">
        <v>0</v>
      </c>
      <c r="J177" s="573">
        <v>1776521</v>
      </c>
      <c r="K177" s="3140">
        <v>40586</v>
      </c>
      <c r="L177" s="3140">
        <v>0</v>
      </c>
      <c r="M177" s="86">
        <v>0</v>
      </c>
      <c r="N177" s="573">
        <v>9491</v>
      </c>
      <c r="O177" s="3140">
        <v>0</v>
      </c>
      <c r="P177" s="3140">
        <v>0</v>
      </c>
      <c r="Q177" s="86">
        <v>0</v>
      </c>
      <c r="R177" s="134">
        <v>2610711</v>
      </c>
      <c r="S177" s="3140">
        <v>108733</v>
      </c>
      <c r="T177" s="3140">
        <v>0</v>
      </c>
      <c r="U177" s="86">
        <v>0</v>
      </c>
      <c r="V177" s="134">
        <v>96553</v>
      </c>
      <c r="W177" s="1976">
        <v>378470.66666666698</v>
      </c>
      <c r="X177" s="640"/>
      <c r="Y177" s="1977"/>
      <c r="Z177" s="641">
        <f t="shared" si="7"/>
        <v>475023.66666666698</v>
      </c>
      <c r="AA177" s="1976">
        <v>494620</v>
      </c>
      <c r="AB177" s="573">
        <v>1000</v>
      </c>
      <c r="AC177" s="1976">
        <v>27121</v>
      </c>
      <c r="AD177" s="1974"/>
      <c r="AE177" s="1975"/>
      <c r="AF177" s="641">
        <f t="shared" si="8"/>
        <v>28121</v>
      </c>
      <c r="AG177" s="3141">
        <v>75020</v>
      </c>
    </row>
    <row r="178" spans="1:33" s="10" customFormat="1">
      <c r="A178" s="63">
        <f t="shared" si="9"/>
        <v>2007.01</v>
      </c>
      <c r="B178" s="250">
        <v>2155118</v>
      </c>
      <c r="C178" s="3140">
        <v>166276</v>
      </c>
      <c r="D178" s="3140">
        <v>0</v>
      </c>
      <c r="E178" s="134">
        <v>0</v>
      </c>
      <c r="F178" s="573">
        <v>411691</v>
      </c>
      <c r="G178" s="3140">
        <v>66844</v>
      </c>
      <c r="H178" s="3140">
        <v>0</v>
      </c>
      <c r="I178" s="86">
        <v>0</v>
      </c>
      <c r="J178" s="573">
        <v>1650183</v>
      </c>
      <c r="K178" s="3140">
        <v>69094</v>
      </c>
      <c r="L178" s="3140">
        <v>0</v>
      </c>
      <c r="M178" s="86">
        <v>0</v>
      </c>
      <c r="N178" s="573">
        <v>6663</v>
      </c>
      <c r="O178" s="3140">
        <v>0</v>
      </c>
      <c r="P178" s="3140">
        <v>0</v>
      </c>
      <c r="Q178" s="86">
        <v>0</v>
      </c>
      <c r="R178" s="134">
        <v>2359169</v>
      </c>
      <c r="S178" s="3140">
        <v>189188</v>
      </c>
      <c r="T178" s="3140">
        <v>0</v>
      </c>
      <c r="U178" s="86">
        <v>0</v>
      </c>
      <c r="V178" s="134">
        <v>35400</v>
      </c>
      <c r="W178" s="1976">
        <v>186630</v>
      </c>
      <c r="X178" s="640"/>
      <c r="Y178" s="1977"/>
      <c r="Z178" s="641">
        <f t="shared" si="7"/>
        <v>222030</v>
      </c>
      <c r="AA178" s="1976">
        <v>228530</v>
      </c>
      <c r="AB178" s="573">
        <v>0</v>
      </c>
      <c r="AC178" s="1976">
        <v>20855</v>
      </c>
      <c r="AD178" s="1974"/>
      <c r="AE178" s="1975"/>
      <c r="AF178" s="641">
        <f t="shared" si="8"/>
        <v>20855</v>
      </c>
      <c r="AG178" s="3141">
        <v>40420</v>
      </c>
    </row>
    <row r="179" spans="1:33" s="10" customFormat="1">
      <c r="A179" s="63">
        <f t="shared" si="9"/>
        <v>2007.02</v>
      </c>
      <c r="B179" s="250">
        <v>1797926</v>
      </c>
      <c r="C179" s="3140">
        <v>139068</v>
      </c>
      <c r="D179" s="3140">
        <v>0</v>
      </c>
      <c r="E179" s="134">
        <v>0</v>
      </c>
      <c r="F179" s="573">
        <v>343909</v>
      </c>
      <c r="G179" s="3140">
        <v>55490</v>
      </c>
      <c r="H179" s="3140">
        <v>0</v>
      </c>
      <c r="I179" s="86">
        <v>0</v>
      </c>
      <c r="J179" s="573">
        <v>1393290</v>
      </c>
      <c r="K179" s="3140">
        <v>57732</v>
      </c>
      <c r="L179" s="3140">
        <v>0</v>
      </c>
      <c r="M179" s="86">
        <v>0</v>
      </c>
      <c r="N179" s="573">
        <v>7869</v>
      </c>
      <c r="O179" s="3140">
        <v>0</v>
      </c>
      <c r="P179" s="3140">
        <v>0</v>
      </c>
      <c r="Q179" s="86">
        <v>0</v>
      </c>
      <c r="R179" s="134">
        <v>1874825</v>
      </c>
      <c r="S179" s="3140">
        <v>269363</v>
      </c>
      <c r="T179" s="3140">
        <v>2911</v>
      </c>
      <c r="U179" s="86">
        <v>0</v>
      </c>
      <c r="V179" s="134">
        <v>78451</v>
      </c>
      <c r="W179" s="1976">
        <v>427762</v>
      </c>
      <c r="X179" s="640"/>
      <c r="Y179" s="1977"/>
      <c r="Z179" s="641">
        <f t="shared" si="7"/>
        <v>506213</v>
      </c>
      <c r="AA179" s="1976">
        <v>506210</v>
      </c>
      <c r="AB179" s="573">
        <v>0</v>
      </c>
      <c r="AC179" s="1976">
        <v>83478</v>
      </c>
      <c r="AD179" s="1974"/>
      <c r="AE179" s="1975"/>
      <c r="AF179" s="641">
        <f t="shared" si="8"/>
        <v>83478</v>
      </c>
      <c r="AG179" s="3141">
        <v>98160</v>
      </c>
    </row>
    <row r="180" spans="1:33" s="10" customFormat="1">
      <c r="A180" s="63">
        <f t="shared" si="9"/>
        <v>2007.03</v>
      </c>
      <c r="B180" s="250">
        <v>2200671</v>
      </c>
      <c r="C180" s="3140">
        <v>161222</v>
      </c>
      <c r="D180" s="3140">
        <v>0</v>
      </c>
      <c r="E180" s="134">
        <v>0</v>
      </c>
      <c r="F180" s="573">
        <v>427360</v>
      </c>
      <c r="G180" s="3140">
        <v>63813</v>
      </c>
      <c r="H180" s="3140">
        <v>0</v>
      </c>
      <c r="I180" s="86">
        <v>0</v>
      </c>
      <c r="J180" s="573">
        <v>1701101</v>
      </c>
      <c r="K180" s="3140">
        <v>67808</v>
      </c>
      <c r="L180" s="3140">
        <v>0</v>
      </c>
      <c r="M180" s="86">
        <v>0</v>
      </c>
      <c r="N180" s="573">
        <v>8868</v>
      </c>
      <c r="O180" s="3140">
        <v>0</v>
      </c>
      <c r="P180" s="3140">
        <v>0</v>
      </c>
      <c r="Q180" s="86">
        <v>0</v>
      </c>
      <c r="R180" s="134">
        <v>2362293</v>
      </c>
      <c r="S180" s="3140">
        <v>290873</v>
      </c>
      <c r="T180" s="3140">
        <v>3289</v>
      </c>
      <c r="U180" s="86">
        <v>0</v>
      </c>
      <c r="V180" s="134">
        <v>75653</v>
      </c>
      <c r="W180" s="1976">
        <v>376186</v>
      </c>
      <c r="X180" s="640"/>
      <c r="Y180" s="1977"/>
      <c r="Z180" s="641">
        <f t="shared" si="7"/>
        <v>451839</v>
      </c>
      <c r="AA180" s="1976">
        <v>461340</v>
      </c>
      <c r="AB180" s="573">
        <v>12529</v>
      </c>
      <c r="AC180" s="1976">
        <v>53493</v>
      </c>
      <c r="AD180" s="1974"/>
      <c r="AE180" s="1975"/>
      <c r="AF180" s="641">
        <f t="shared" si="8"/>
        <v>66022</v>
      </c>
      <c r="AG180" s="3141">
        <v>97550</v>
      </c>
    </row>
    <row r="181" spans="1:33" s="10" customFormat="1">
      <c r="A181" s="63">
        <f t="shared" si="9"/>
        <v>2007.04</v>
      </c>
      <c r="B181" s="250">
        <v>2723659</v>
      </c>
      <c r="C181" s="3140">
        <v>91734</v>
      </c>
      <c r="D181" s="3140">
        <v>0</v>
      </c>
      <c r="E181" s="134">
        <v>0</v>
      </c>
      <c r="F181" s="573">
        <v>531204</v>
      </c>
      <c r="G181" s="3140">
        <v>37107</v>
      </c>
      <c r="H181" s="3140">
        <v>0</v>
      </c>
      <c r="I181" s="86">
        <v>0</v>
      </c>
      <c r="J181" s="573">
        <v>2082917</v>
      </c>
      <c r="K181" s="3140">
        <v>37720</v>
      </c>
      <c r="L181" s="3140">
        <v>0</v>
      </c>
      <c r="M181" s="86">
        <v>0</v>
      </c>
      <c r="N181" s="573">
        <v>9533</v>
      </c>
      <c r="O181" s="3140">
        <v>0</v>
      </c>
      <c r="P181" s="3140">
        <v>0</v>
      </c>
      <c r="Q181" s="86">
        <v>0</v>
      </c>
      <c r="R181" s="134">
        <v>2979279</v>
      </c>
      <c r="S181" s="3140">
        <v>521222</v>
      </c>
      <c r="T181" s="3140">
        <v>3981</v>
      </c>
      <c r="U181" s="86">
        <v>0</v>
      </c>
      <c r="V181" s="134">
        <v>70000</v>
      </c>
      <c r="W181" s="1976">
        <v>335463</v>
      </c>
      <c r="X181" s="640"/>
      <c r="Y181" s="1977"/>
      <c r="Z181" s="641">
        <f t="shared" si="7"/>
        <v>405463</v>
      </c>
      <c r="AA181" s="1976">
        <v>419160</v>
      </c>
      <c r="AB181" s="573">
        <v>7000</v>
      </c>
      <c r="AC181" s="1976">
        <v>32623</v>
      </c>
      <c r="AD181" s="1974"/>
      <c r="AE181" s="1975"/>
      <c r="AF181" s="641">
        <f t="shared" si="8"/>
        <v>39623</v>
      </c>
      <c r="AG181" s="3141">
        <v>106930</v>
      </c>
    </row>
    <row r="182" spans="1:33" s="10" customFormat="1">
      <c r="A182" s="63">
        <f t="shared" si="9"/>
        <v>2007.05</v>
      </c>
      <c r="B182" s="250">
        <v>2993642</v>
      </c>
      <c r="C182" s="3140">
        <v>122432</v>
      </c>
      <c r="D182" s="3140">
        <v>0</v>
      </c>
      <c r="E182" s="86">
        <v>9071</v>
      </c>
      <c r="F182" s="573">
        <v>572692</v>
      </c>
      <c r="G182" s="3140">
        <v>48369</v>
      </c>
      <c r="H182" s="3140">
        <v>0</v>
      </c>
      <c r="I182" s="86">
        <v>5058</v>
      </c>
      <c r="J182" s="573">
        <v>2302082</v>
      </c>
      <c r="K182" s="3140">
        <v>51579</v>
      </c>
      <c r="L182" s="3140">
        <v>0</v>
      </c>
      <c r="M182" s="86">
        <v>428</v>
      </c>
      <c r="N182" s="573">
        <v>11137</v>
      </c>
      <c r="O182" s="3140">
        <v>0</v>
      </c>
      <c r="P182" s="3140">
        <v>0</v>
      </c>
      <c r="Q182" s="86">
        <v>0</v>
      </c>
      <c r="R182" s="134">
        <v>3441014</v>
      </c>
      <c r="S182" s="3140">
        <v>256293</v>
      </c>
      <c r="T182" s="3140">
        <v>2457</v>
      </c>
      <c r="U182" s="86">
        <v>9071</v>
      </c>
      <c r="V182" s="134">
        <v>174123</v>
      </c>
      <c r="W182" s="1976">
        <v>430699.89</v>
      </c>
      <c r="X182" s="640"/>
      <c r="Y182" s="1977"/>
      <c r="Z182" s="641">
        <f t="shared" si="7"/>
        <v>604822.89</v>
      </c>
      <c r="AA182" s="1976">
        <v>614770</v>
      </c>
      <c r="AB182" s="573">
        <v>2000</v>
      </c>
      <c r="AC182" s="1976">
        <v>71080</v>
      </c>
      <c r="AD182" s="1974"/>
      <c r="AE182" s="1975"/>
      <c r="AF182" s="641">
        <f t="shared" si="8"/>
        <v>73080</v>
      </c>
      <c r="AG182" s="3141">
        <v>111390</v>
      </c>
    </row>
    <row r="183" spans="1:33" s="10" customFormat="1">
      <c r="A183" s="63">
        <f t="shared" si="9"/>
        <v>2007.06</v>
      </c>
      <c r="B183" s="250">
        <v>2858824</v>
      </c>
      <c r="C183" s="3140">
        <v>69899</v>
      </c>
      <c r="D183" s="3140">
        <v>0</v>
      </c>
      <c r="E183" s="86">
        <v>28884</v>
      </c>
      <c r="F183" s="573">
        <v>546978</v>
      </c>
      <c r="G183" s="3140">
        <v>27009</v>
      </c>
      <c r="H183" s="3140">
        <v>0</v>
      </c>
      <c r="I183" s="86">
        <v>4044</v>
      </c>
      <c r="J183" s="573">
        <v>2198938</v>
      </c>
      <c r="K183" s="3140">
        <v>30589</v>
      </c>
      <c r="L183" s="3140">
        <v>0</v>
      </c>
      <c r="M183" s="86">
        <v>15885</v>
      </c>
      <c r="N183" s="573">
        <v>9237</v>
      </c>
      <c r="O183" s="3140">
        <v>0</v>
      </c>
      <c r="P183" s="3140">
        <v>0</v>
      </c>
      <c r="Q183" s="86">
        <v>0</v>
      </c>
      <c r="R183" s="134">
        <v>3252083</v>
      </c>
      <c r="S183" s="3140">
        <v>263691</v>
      </c>
      <c r="T183" s="3140">
        <v>654</v>
      </c>
      <c r="U183" s="86">
        <v>28884</v>
      </c>
      <c r="V183" s="134">
        <v>144087</v>
      </c>
      <c r="W183" s="1976">
        <v>511018</v>
      </c>
      <c r="X183" s="640"/>
      <c r="Y183" s="1977"/>
      <c r="Z183" s="641">
        <f t="shared" si="7"/>
        <v>655105</v>
      </c>
      <c r="AA183" s="1976">
        <v>662010</v>
      </c>
      <c r="AB183" s="573">
        <v>0</v>
      </c>
      <c r="AC183" s="1976">
        <v>38352</v>
      </c>
      <c r="AD183" s="1974"/>
      <c r="AE183" s="1975"/>
      <c r="AF183" s="641">
        <f t="shared" si="8"/>
        <v>38352</v>
      </c>
      <c r="AG183" s="3141">
        <v>89360</v>
      </c>
    </row>
    <row r="184" spans="1:33" s="10" customFormat="1">
      <c r="A184" s="63">
        <f t="shared" si="9"/>
        <v>2007.07</v>
      </c>
      <c r="B184" s="250">
        <v>2499480</v>
      </c>
      <c r="C184" s="3140">
        <v>96177</v>
      </c>
      <c r="D184" s="3140">
        <v>0</v>
      </c>
      <c r="E184" s="86">
        <v>410</v>
      </c>
      <c r="F184" s="573">
        <v>481097</v>
      </c>
      <c r="G184" s="3140">
        <v>37221</v>
      </c>
      <c r="H184" s="3140">
        <v>0</v>
      </c>
      <c r="I184" s="86">
        <v>57</v>
      </c>
      <c r="J184" s="573">
        <v>1902927</v>
      </c>
      <c r="K184" s="3140">
        <v>40902</v>
      </c>
      <c r="L184" s="3140">
        <v>0</v>
      </c>
      <c r="M184" s="86">
        <v>225</v>
      </c>
      <c r="N184" s="573">
        <v>8530</v>
      </c>
      <c r="O184" s="3140">
        <v>0</v>
      </c>
      <c r="P184" s="3140">
        <v>0</v>
      </c>
      <c r="Q184" s="86">
        <v>0</v>
      </c>
      <c r="R184" s="134">
        <v>2798413</v>
      </c>
      <c r="S184" s="3140">
        <v>322488</v>
      </c>
      <c r="T184" s="3140">
        <v>0</v>
      </c>
      <c r="U184" s="86">
        <v>410</v>
      </c>
      <c r="V184" s="134">
        <v>148302</v>
      </c>
      <c r="W184" s="1976">
        <v>549106</v>
      </c>
      <c r="X184" s="640"/>
      <c r="Y184" s="1977"/>
      <c r="Z184" s="641">
        <f t="shared" si="7"/>
        <v>697408</v>
      </c>
      <c r="AA184" s="1976">
        <v>716510</v>
      </c>
      <c r="AB184" s="573">
        <v>0</v>
      </c>
      <c r="AC184" s="1976">
        <v>44913</v>
      </c>
      <c r="AD184" s="1974"/>
      <c r="AE184" s="1975"/>
      <c r="AF184" s="641">
        <f t="shared" si="8"/>
        <v>44913</v>
      </c>
      <c r="AG184" s="3141">
        <v>65600</v>
      </c>
    </row>
    <row r="185" spans="1:33" s="10" customFormat="1">
      <c r="A185" s="63">
        <f t="shared" si="9"/>
        <v>2007.08</v>
      </c>
      <c r="B185" s="250">
        <v>2672478</v>
      </c>
      <c r="C185" s="3140">
        <v>21814</v>
      </c>
      <c r="D185" s="3140">
        <v>0</v>
      </c>
      <c r="E185" s="86">
        <v>14699</v>
      </c>
      <c r="F185" s="573">
        <v>513782</v>
      </c>
      <c r="G185" s="3140">
        <v>8538</v>
      </c>
      <c r="H185" s="3140">
        <v>0</v>
      </c>
      <c r="I185" s="86">
        <v>2478</v>
      </c>
      <c r="J185" s="573">
        <v>2056156</v>
      </c>
      <c r="K185" s="3140">
        <v>9283</v>
      </c>
      <c r="L185" s="3140">
        <v>0</v>
      </c>
      <c r="M185" s="86">
        <v>8345</v>
      </c>
      <c r="N185" s="573">
        <v>11526</v>
      </c>
      <c r="O185" s="3140">
        <v>0</v>
      </c>
      <c r="P185" s="3140">
        <v>0</v>
      </c>
      <c r="Q185" s="86">
        <v>0</v>
      </c>
      <c r="R185" s="134">
        <v>3014169</v>
      </c>
      <c r="S185" s="3140">
        <v>256753</v>
      </c>
      <c r="T185" s="3140">
        <v>180</v>
      </c>
      <c r="U185" s="86">
        <v>14699</v>
      </c>
      <c r="V185" s="134">
        <v>121027</v>
      </c>
      <c r="W185" s="1976">
        <v>437027</v>
      </c>
      <c r="X185" s="640"/>
      <c r="Y185" s="1977"/>
      <c r="Z185" s="641">
        <f t="shared" si="7"/>
        <v>558054</v>
      </c>
      <c r="AA185" s="1976">
        <v>570850</v>
      </c>
      <c r="AB185" s="573">
        <v>0</v>
      </c>
      <c r="AC185" s="1976">
        <v>35380</v>
      </c>
      <c r="AD185" s="1974"/>
      <c r="AE185" s="1975"/>
      <c r="AF185" s="641">
        <f t="shared" si="8"/>
        <v>35380</v>
      </c>
      <c r="AG185" s="3141">
        <v>88470</v>
      </c>
    </row>
    <row r="186" spans="1:33" s="10" customFormat="1">
      <c r="A186" s="63">
        <f t="shared" si="9"/>
        <v>2007.09</v>
      </c>
      <c r="B186" s="250">
        <v>3120813</v>
      </c>
      <c r="C186" s="3140">
        <v>31624</v>
      </c>
      <c r="D186" s="3140">
        <v>0</v>
      </c>
      <c r="E186" s="86">
        <v>0</v>
      </c>
      <c r="F186" s="573">
        <v>602935</v>
      </c>
      <c r="G186" s="3140">
        <v>12561</v>
      </c>
      <c r="H186" s="3140">
        <v>0</v>
      </c>
      <c r="I186" s="86">
        <v>0</v>
      </c>
      <c r="J186" s="573">
        <v>2411814</v>
      </c>
      <c r="K186" s="3140">
        <v>14086</v>
      </c>
      <c r="L186" s="3140">
        <v>0</v>
      </c>
      <c r="M186" s="86">
        <v>0</v>
      </c>
      <c r="N186" s="573">
        <v>11578</v>
      </c>
      <c r="O186" s="3140">
        <v>0</v>
      </c>
      <c r="P186" s="3140">
        <v>0</v>
      </c>
      <c r="Q186" s="86">
        <v>0</v>
      </c>
      <c r="R186" s="134">
        <v>3579232</v>
      </c>
      <c r="S186" s="3140">
        <v>192318</v>
      </c>
      <c r="T186" s="3140">
        <v>411</v>
      </c>
      <c r="U186" s="86">
        <v>0</v>
      </c>
      <c r="V186" s="134">
        <v>143440</v>
      </c>
      <c r="W186" s="1976">
        <v>344728</v>
      </c>
      <c r="X186" s="640"/>
      <c r="Y186" s="1977"/>
      <c r="Z186" s="641">
        <f t="shared" si="7"/>
        <v>488168</v>
      </c>
      <c r="AA186" s="1976">
        <v>509740</v>
      </c>
      <c r="AB186" s="573">
        <v>0</v>
      </c>
      <c r="AC186" s="1976">
        <v>24518</v>
      </c>
      <c r="AD186" s="1974"/>
      <c r="AE186" s="1975"/>
      <c r="AF186" s="641">
        <f t="shared" si="8"/>
        <v>24518</v>
      </c>
      <c r="AG186" s="3141">
        <v>79450</v>
      </c>
    </row>
    <row r="187" spans="1:33" s="10" customFormat="1">
      <c r="A187" s="63">
        <f t="shared" si="9"/>
        <v>2007.1</v>
      </c>
      <c r="B187" s="250">
        <v>3192195</v>
      </c>
      <c r="C187" s="3140">
        <v>39669</v>
      </c>
      <c r="D187" s="3140">
        <v>0</v>
      </c>
      <c r="E187" s="86">
        <v>0</v>
      </c>
      <c r="F187" s="573">
        <v>611309</v>
      </c>
      <c r="G187" s="3140">
        <v>15605</v>
      </c>
      <c r="H187" s="3140">
        <v>0</v>
      </c>
      <c r="I187" s="86">
        <v>0</v>
      </c>
      <c r="J187" s="573">
        <v>2472363</v>
      </c>
      <c r="K187" s="3140">
        <v>17327</v>
      </c>
      <c r="L187" s="3140">
        <v>0</v>
      </c>
      <c r="M187" s="86">
        <v>0</v>
      </c>
      <c r="N187" s="573">
        <v>10390</v>
      </c>
      <c r="O187" s="3140">
        <v>0</v>
      </c>
      <c r="P187" s="3140">
        <v>0</v>
      </c>
      <c r="Q187" s="86">
        <v>0</v>
      </c>
      <c r="R187" s="134">
        <v>3580250</v>
      </c>
      <c r="S187" s="3140">
        <v>185343</v>
      </c>
      <c r="T187" s="3140">
        <v>0</v>
      </c>
      <c r="U187" s="86">
        <v>0</v>
      </c>
      <c r="V187" s="134">
        <v>146082</v>
      </c>
      <c r="W187" s="1976">
        <v>556186</v>
      </c>
      <c r="X187" s="640"/>
      <c r="Y187" s="1977"/>
      <c r="Z187" s="641">
        <f t="shared" si="7"/>
        <v>702268</v>
      </c>
      <c r="AA187" s="1976">
        <v>733410</v>
      </c>
      <c r="AB187" s="573">
        <v>0</v>
      </c>
      <c r="AC187" s="1976">
        <v>11020</v>
      </c>
      <c r="AD187" s="1974"/>
      <c r="AE187" s="1975"/>
      <c r="AF187" s="641">
        <f t="shared" si="8"/>
        <v>11020</v>
      </c>
      <c r="AG187" s="3141">
        <v>47830</v>
      </c>
    </row>
    <row r="188" spans="1:33" s="10" customFormat="1">
      <c r="A188" s="63">
        <f t="shared" si="9"/>
        <v>2007.11</v>
      </c>
      <c r="B188" s="250">
        <v>3021078</v>
      </c>
      <c r="C188" s="3140">
        <v>0</v>
      </c>
      <c r="D188" s="3140">
        <v>0</v>
      </c>
      <c r="E188" s="86">
        <v>0</v>
      </c>
      <c r="F188" s="573">
        <v>587216</v>
      </c>
      <c r="G188" s="3140">
        <v>0</v>
      </c>
      <c r="H188" s="3140">
        <v>0</v>
      </c>
      <c r="I188" s="86">
        <v>0</v>
      </c>
      <c r="J188" s="573">
        <v>2333339</v>
      </c>
      <c r="K188" s="3140">
        <v>0</v>
      </c>
      <c r="L188" s="3140">
        <v>0</v>
      </c>
      <c r="M188" s="86">
        <v>0</v>
      </c>
      <c r="N188" s="573">
        <v>10649</v>
      </c>
      <c r="O188" s="3140">
        <v>0</v>
      </c>
      <c r="P188" s="3140">
        <v>0</v>
      </c>
      <c r="Q188" s="86">
        <v>0</v>
      </c>
      <c r="R188" s="134">
        <v>3426008</v>
      </c>
      <c r="S188" s="3140">
        <v>120010</v>
      </c>
      <c r="T188" s="3140">
        <v>630</v>
      </c>
      <c r="U188" s="86">
        <v>0</v>
      </c>
      <c r="V188" s="134">
        <v>131600</v>
      </c>
      <c r="W188" s="1976">
        <v>366019</v>
      </c>
      <c r="X188" s="640"/>
      <c r="Y188" s="1977"/>
      <c r="Z188" s="641">
        <f t="shared" si="7"/>
        <v>497619</v>
      </c>
      <c r="AA188" s="1976">
        <v>515000</v>
      </c>
      <c r="AB188" s="573">
        <v>0</v>
      </c>
      <c r="AC188" s="1976">
        <v>8399</v>
      </c>
      <c r="AD188" s="1974"/>
      <c r="AE188" s="1975"/>
      <c r="AF188" s="641">
        <f t="shared" si="8"/>
        <v>8399</v>
      </c>
      <c r="AG188" s="3141">
        <v>34400</v>
      </c>
    </row>
    <row r="189" spans="1:33" s="10" customFormat="1">
      <c r="A189" s="63">
        <f t="shared" si="9"/>
        <v>2007.12</v>
      </c>
      <c r="B189" s="250">
        <v>3173124</v>
      </c>
      <c r="C189" s="3140">
        <v>16107</v>
      </c>
      <c r="D189" s="3140">
        <v>0</v>
      </c>
      <c r="E189" s="86">
        <v>0</v>
      </c>
      <c r="F189" s="573">
        <v>611310</v>
      </c>
      <c r="G189" s="3140">
        <v>6230</v>
      </c>
      <c r="H189" s="3140">
        <v>0</v>
      </c>
      <c r="I189" s="86">
        <v>0</v>
      </c>
      <c r="J189" s="573">
        <v>2439520</v>
      </c>
      <c r="K189" s="3140">
        <v>6713</v>
      </c>
      <c r="L189" s="3140">
        <v>0</v>
      </c>
      <c r="M189" s="86">
        <v>0</v>
      </c>
      <c r="N189" s="573">
        <v>8313</v>
      </c>
      <c r="O189" s="3140">
        <v>0</v>
      </c>
      <c r="P189" s="3140">
        <v>0</v>
      </c>
      <c r="Q189" s="86">
        <v>0</v>
      </c>
      <c r="R189" s="134">
        <v>3599303</v>
      </c>
      <c r="S189" s="3140">
        <v>43115</v>
      </c>
      <c r="T189" s="3140">
        <v>0</v>
      </c>
      <c r="U189" s="86">
        <v>0</v>
      </c>
      <c r="V189" s="134">
        <v>165400</v>
      </c>
      <c r="W189" s="1976">
        <v>520320</v>
      </c>
      <c r="X189" s="640"/>
      <c r="Y189" s="1977"/>
      <c r="Z189" s="641">
        <f t="shared" si="7"/>
        <v>685720</v>
      </c>
      <c r="AA189" s="1976">
        <v>700240</v>
      </c>
      <c r="AB189" s="573">
        <v>0</v>
      </c>
      <c r="AC189" s="1976">
        <v>4036</v>
      </c>
      <c r="AD189" s="1974"/>
      <c r="AE189" s="1975"/>
      <c r="AF189" s="641">
        <f t="shared" si="8"/>
        <v>4036</v>
      </c>
      <c r="AG189" s="3141">
        <v>27940</v>
      </c>
    </row>
    <row r="190" spans="1:33" s="10" customFormat="1">
      <c r="A190" s="63">
        <f t="shared" si="9"/>
        <v>2008.01</v>
      </c>
      <c r="B190" s="250">
        <v>2602520</v>
      </c>
      <c r="C190" s="3140">
        <v>167226</v>
      </c>
      <c r="D190" s="3140">
        <v>0</v>
      </c>
      <c r="E190" s="86">
        <v>0</v>
      </c>
      <c r="F190" s="573">
        <v>509249</v>
      </c>
      <c r="G190" s="3140">
        <v>68440</v>
      </c>
      <c r="H190" s="3140">
        <v>0</v>
      </c>
      <c r="I190" s="86">
        <v>0</v>
      </c>
      <c r="J190" s="573">
        <v>2000671</v>
      </c>
      <c r="K190" s="3140">
        <v>69544</v>
      </c>
      <c r="L190" s="3140">
        <v>0</v>
      </c>
      <c r="M190" s="86">
        <v>0</v>
      </c>
      <c r="N190" s="573">
        <v>9790</v>
      </c>
      <c r="O190" s="3140">
        <v>0</v>
      </c>
      <c r="P190" s="3140">
        <v>0</v>
      </c>
      <c r="Q190" s="86">
        <v>0</v>
      </c>
      <c r="R190" s="134">
        <v>2942092</v>
      </c>
      <c r="S190" s="3140">
        <v>239943</v>
      </c>
      <c r="T190" s="3140">
        <v>210</v>
      </c>
      <c r="U190" s="86">
        <v>0</v>
      </c>
      <c r="V190" s="134">
        <v>162096</v>
      </c>
      <c r="W190" s="1976">
        <v>490002</v>
      </c>
      <c r="X190" s="640"/>
      <c r="Y190" s="1977"/>
      <c r="Z190" s="641">
        <f t="shared" si="7"/>
        <v>652098</v>
      </c>
      <c r="AA190" s="1976">
        <v>672800</v>
      </c>
      <c r="AB190" s="573">
        <v>0</v>
      </c>
      <c r="AC190" s="1976">
        <v>49328</v>
      </c>
      <c r="AD190" s="1974"/>
      <c r="AE190" s="1975"/>
      <c r="AF190" s="641">
        <f t="shared" si="8"/>
        <v>49328</v>
      </c>
      <c r="AG190" s="3141">
        <v>54980</v>
      </c>
    </row>
    <row r="191" spans="1:33" s="10" customFormat="1">
      <c r="A191" s="63">
        <f t="shared" si="9"/>
        <v>2008.02</v>
      </c>
      <c r="B191" s="250">
        <v>1925063</v>
      </c>
      <c r="C191" s="3140">
        <v>172461</v>
      </c>
      <c r="D191" s="3140">
        <v>0</v>
      </c>
      <c r="E191" s="86">
        <v>0</v>
      </c>
      <c r="F191" s="573">
        <v>375471</v>
      </c>
      <c r="G191" s="3140">
        <v>71151</v>
      </c>
      <c r="H191" s="3140">
        <v>0</v>
      </c>
      <c r="I191" s="86">
        <v>0</v>
      </c>
      <c r="J191" s="573">
        <v>1496146</v>
      </c>
      <c r="K191" s="3140">
        <v>72753</v>
      </c>
      <c r="L191" s="3140">
        <v>0</v>
      </c>
      <c r="M191" s="86">
        <v>0</v>
      </c>
      <c r="N191" s="573">
        <v>8095</v>
      </c>
      <c r="O191" s="3140">
        <v>0</v>
      </c>
      <c r="P191" s="3140">
        <v>0</v>
      </c>
      <c r="Q191" s="86">
        <v>0</v>
      </c>
      <c r="R191" s="134">
        <v>2177204</v>
      </c>
      <c r="S191" s="3140">
        <v>255468</v>
      </c>
      <c r="T191" s="3140">
        <v>1671</v>
      </c>
      <c r="U191" s="86">
        <v>0</v>
      </c>
      <c r="V191" s="134">
        <v>69416</v>
      </c>
      <c r="W191" s="1976">
        <v>273540</v>
      </c>
      <c r="X191" s="640"/>
      <c r="Y191" s="1977"/>
      <c r="Z191" s="641">
        <f t="shared" si="7"/>
        <v>342956</v>
      </c>
      <c r="AA191" s="1976">
        <v>348760</v>
      </c>
      <c r="AB191" s="573">
        <v>0</v>
      </c>
      <c r="AC191" s="1976">
        <v>70645</v>
      </c>
      <c r="AD191" s="1974"/>
      <c r="AE191" s="1975"/>
      <c r="AF191" s="641">
        <f t="shared" si="8"/>
        <v>70645</v>
      </c>
      <c r="AG191" s="3141">
        <v>86350</v>
      </c>
    </row>
    <row r="192" spans="1:33" s="10" customFormat="1">
      <c r="A192" s="63">
        <f t="shared" si="9"/>
        <v>2008.03</v>
      </c>
      <c r="B192" s="250">
        <v>1152908</v>
      </c>
      <c r="C192" s="3140">
        <v>178838</v>
      </c>
      <c r="D192" s="3140">
        <v>0</v>
      </c>
      <c r="E192" s="86">
        <v>0</v>
      </c>
      <c r="F192" s="573">
        <v>221304</v>
      </c>
      <c r="G192" s="3140">
        <v>74492</v>
      </c>
      <c r="H192" s="3140">
        <v>0</v>
      </c>
      <c r="I192" s="86">
        <v>0</v>
      </c>
      <c r="J192" s="573">
        <v>888695</v>
      </c>
      <c r="K192" s="3140">
        <v>74075</v>
      </c>
      <c r="L192" s="3140">
        <v>0</v>
      </c>
      <c r="M192" s="86">
        <v>0</v>
      </c>
      <c r="N192" s="573">
        <v>8283</v>
      </c>
      <c r="O192" s="3140">
        <v>0</v>
      </c>
      <c r="P192" s="3140">
        <v>0</v>
      </c>
      <c r="Q192" s="86">
        <v>0</v>
      </c>
      <c r="R192" s="134">
        <v>1179405</v>
      </c>
      <c r="S192" s="3140">
        <v>510405</v>
      </c>
      <c r="T192" s="3140">
        <v>1663</v>
      </c>
      <c r="U192" s="86">
        <v>0</v>
      </c>
      <c r="V192" s="134">
        <v>58552</v>
      </c>
      <c r="W192" s="1976">
        <v>221632</v>
      </c>
      <c r="X192" s="640"/>
      <c r="Y192" s="1977"/>
      <c r="Z192" s="641">
        <f t="shared" si="7"/>
        <v>280184</v>
      </c>
      <c r="AA192" s="1976">
        <v>282790</v>
      </c>
      <c r="AB192" s="573">
        <v>0</v>
      </c>
      <c r="AC192" s="1976">
        <v>67658</v>
      </c>
      <c r="AD192" s="1974"/>
      <c r="AE192" s="1975"/>
      <c r="AF192" s="641">
        <f t="shared" si="8"/>
        <v>67658</v>
      </c>
      <c r="AG192" s="3141">
        <v>87660</v>
      </c>
    </row>
    <row r="193" spans="1:33" s="10" customFormat="1">
      <c r="A193" s="63">
        <f t="shared" si="9"/>
        <v>2008.04</v>
      </c>
      <c r="B193" s="250">
        <v>2665207</v>
      </c>
      <c r="C193" s="3140">
        <v>163109</v>
      </c>
      <c r="D193" s="3140">
        <v>0</v>
      </c>
      <c r="E193" s="86">
        <v>5011</v>
      </c>
      <c r="F193" s="573">
        <v>508122</v>
      </c>
      <c r="G193" s="3140">
        <v>68282</v>
      </c>
      <c r="H193" s="3140">
        <v>0</v>
      </c>
      <c r="I193" s="86">
        <v>0</v>
      </c>
      <c r="J193" s="573">
        <v>2079141</v>
      </c>
      <c r="K193" s="3140">
        <v>64390</v>
      </c>
      <c r="L193" s="3140">
        <v>0</v>
      </c>
      <c r="M193" s="86">
        <v>0</v>
      </c>
      <c r="N193" s="573">
        <v>14238</v>
      </c>
      <c r="O193" s="3140">
        <v>0</v>
      </c>
      <c r="P193" s="3140">
        <v>0</v>
      </c>
      <c r="Q193" s="86">
        <v>0</v>
      </c>
      <c r="R193" s="134">
        <v>2796236</v>
      </c>
      <c r="S193" s="3140">
        <v>550804</v>
      </c>
      <c r="T193" s="3140">
        <v>1114</v>
      </c>
      <c r="U193" s="86">
        <v>5011</v>
      </c>
      <c r="V193" s="134">
        <v>63300</v>
      </c>
      <c r="W193" s="1976">
        <v>258416</v>
      </c>
      <c r="X193" s="640"/>
      <c r="Y193" s="1977"/>
      <c r="Z193" s="641">
        <f t="shared" si="7"/>
        <v>321716</v>
      </c>
      <c r="AA193" s="1976">
        <v>326720</v>
      </c>
      <c r="AB193" s="573">
        <v>22730</v>
      </c>
      <c r="AC193" s="1976">
        <v>113660</v>
      </c>
      <c r="AD193" s="1974"/>
      <c r="AE193" s="1975"/>
      <c r="AF193" s="641">
        <f t="shared" si="8"/>
        <v>136390</v>
      </c>
      <c r="AG193" s="3141">
        <v>226740</v>
      </c>
    </row>
    <row r="194" spans="1:33" s="10" customFormat="1">
      <c r="A194" s="63">
        <f t="shared" si="9"/>
        <v>2008.05</v>
      </c>
      <c r="B194" s="250">
        <v>3063751</v>
      </c>
      <c r="C194" s="3140">
        <v>168732</v>
      </c>
      <c r="D194" s="3140">
        <v>0</v>
      </c>
      <c r="E194" s="86">
        <v>0</v>
      </c>
      <c r="F194" s="573">
        <v>578627</v>
      </c>
      <c r="G194" s="3140">
        <v>69914</v>
      </c>
      <c r="H194" s="3140">
        <v>0</v>
      </c>
      <c r="I194" s="86">
        <v>0</v>
      </c>
      <c r="J194" s="573">
        <v>2401796</v>
      </c>
      <c r="K194" s="3140">
        <v>68385</v>
      </c>
      <c r="L194" s="3140">
        <v>0</v>
      </c>
      <c r="M194" s="86">
        <v>0</v>
      </c>
      <c r="N194" s="573">
        <v>14547</v>
      </c>
      <c r="O194" s="3140">
        <v>0</v>
      </c>
      <c r="P194" s="3140">
        <v>0</v>
      </c>
      <c r="Q194" s="86">
        <v>0</v>
      </c>
      <c r="R194" s="134">
        <v>3300346</v>
      </c>
      <c r="S194" s="3140">
        <v>470001</v>
      </c>
      <c r="T194" s="3140">
        <v>420</v>
      </c>
      <c r="U194" s="86">
        <v>0</v>
      </c>
      <c r="V194" s="134">
        <v>184463</v>
      </c>
      <c r="W194" s="1976">
        <v>373524</v>
      </c>
      <c r="X194" s="640"/>
      <c r="Y194" s="1977"/>
      <c r="Z194" s="641">
        <f t="shared" si="7"/>
        <v>557987</v>
      </c>
      <c r="AA194" s="1976">
        <v>557990</v>
      </c>
      <c r="AB194" s="573">
        <v>0</v>
      </c>
      <c r="AC194" s="1976">
        <v>68036</v>
      </c>
      <c r="AD194" s="1974"/>
      <c r="AE194" s="1975"/>
      <c r="AF194" s="641">
        <f t="shared" si="8"/>
        <v>68036</v>
      </c>
      <c r="AG194" s="3141">
        <v>136280</v>
      </c>
    </row>
    <row r="195" spans="1:33" s="10" customFormat="1">
      <c r="A195" s="63">
        <f t="shared" si="9"/>
        <v>2008.06</v>
      </c>
      <c r="B195" s="250">
        <v>1747920</v>
      </c>
      <c r="C195" s="3140">
        <v>135401</v>
      </c>
      <c r="D195" s="3140">
        <v>0</v>
      </c>
      <c r="E195" s="86">
        <v>0</v>
      </c>
      <c r="F195" s="573">
        <v>335895</v>
      </c>
      <c r="G195" s="3140">
        <v>55607</v>
      </c>
      <c r="H195" s="3140">
        <v>0</v>
      </c>
      <c r="I195" s="86">
        <v>0</v>
      </c>
      <c r="J195" s="573">
        <v>1383934</v>
      </c>
      <c r="K195" s="3140">
        <v>54822</v>
      </c>
      <c r="L195" s="3140">
        <v>0</v>
      </c>
      <c r="M195" s="86">
        <v>0</v>
      </c>
      <c r="N195" s="573">
        <v>8864</v>
      </c>
      <c r="O195" s="3140">
        <v>0</v>
      </c>
      <c r="P195" s="3140">
        <v>0</v>
      </c>
      <c r="Q195" s="86">
        <v>0</v>
      </c>
      <c r="R195" s="134">
        <v>1899191</v>
      </c>
      <c r="S195" s="3140">
        <v>307556</v>
      </c>
      <c r="T195" s="3140">
        <v>1226</v>
      </c>
      <c r="U195" s="86">
        <v>0</v>
      </c>
      <c r="V195" s="134">
        <v>44276</v>
      </c>
      <c r="W195" s="1976">
        <v>209005</v>
      </c>
      <c r="X195" s="640"/>
      <c r="Y195" s="1977"/>
      <c r="Z195" s="641">
        <f t="shared" si="7"/>
        <v>253281</v>
      </c>
      <c r="AA195" s="1976">
        <v>258280</v>
      </c>
      <c r="AB195" s="573">
        <v>10575</v>
      </c>
      <c r="AC195" s="1976">
        <v>25892</v>
      </c>
      <c r="AD195" s="1974"/>
      <c r="AE195" s="1975"/>
      <c r="AF195" s="641">
        <f t="shared" si="8"/>
        <v>36467</v>
      </c>
      <c r="AG195" s="3141">
        <v>62170</v>
      </c>
    </row>
    <row r="196" spans="1:33" s="10" customFormat="1">
      <c r="A196" s="63">
        <f t="shared" si="9"/>
        <v>2008.07</v>
      </c>
      <c r="B196" s="250">
        <v>3183098</v>
      </c>
      <c r="C196" s="3140">
        <v>112564</v>
      </c>
      <c r="D196" s="3140">
        <v>0</v>
      </c>
      <c r="E196" s="86">
        <v>2331</v>
      </c>
      <c r="F196" s="573">
        <v>605451</v>
      </c>
      <c r="G196" s="3140">
        <v>45630</v>
      </c>
      <c r="H196" s="3140">
        <v>0</v>
      </c>
      <c r="I196" s="86">
        <v>373</v>
      </c>
      <c r="J196" s="573">
        <v>2499209</v>
      </c>
      <c r="K196" s="3140">
        <v>46114</v>
      </c>
      <c r="L196" s="3140">
        <v>0</v>
      </c>
      <c r="M196" s="86">
        <v>1349</v>
      </c>
      <c r="N196" s="573">
        <v>9836</v>
      </c>
      <c r="O196" s="3140">
        <v>0</v>
      </c>
      <c r="P196" s="3140">
        <v>0</v>
      </c>
      <c r="Q196" s="86">
        <v>0</v>
      </c>
      <c r="R196" s="134">
        <v>3453937</v>
      </c>
      <c r="S196" s="3140">
        <v>410738</v>
      </c>
      <c r="T196" s="3140">
        <v>910</v>
      </c>
      <c r="U196" s="86">
        <v>2331</v>
      </c>
      <c r="V196" s="134">
        <v>101424</v>
      </c>
      <c r="W196" s="1976">
        <v>291720</v>
      </c>
      <c r="X196" s="640"/>
      <c r="Y196" s="1977"/>
      <c r="Z196" s="641">
        <f t="shared" si="7"/>
        <v>393144</v>
      </c>
      <c r="AA196" s="1976">
        <v>408990</v>
      </c>
      <c r="AB196" s="573">
        <v>0</v>
      </c>
      <c r="AC196" s="1976">
        <v>102406</v>
      </c>
      <c r="AD196" s="1974"/>
      <c r="AE196" s="1975"/>
      <c r="AF196" s="641">
        <f t="shared" si="8"/>
        <v>102406</v>
      </c>
      <c r="AG196" s="3141">
        <v>160360</v>
      </c>
    </row>
    <row r="197" spans="1:33" s="10" customFormat="1">
      <c r="A197" s="63">
        <f t="shared" si="9"/>
        <v>2008.08</v>
      </c>
      <c r="B197" s="250">
        <v>2776840</v>
      </c>
      <c r="C197" s="3140">
        <v>75726</v>
      </c>
      <c r="D197" s="3140">
        <v>0</v>
      </c>
      <c r="E197" s="86">
        <v>22703</v>
      </c>
      <c r="F197" s="573">
        <v>526598</v>
      </c>
      <c r="G197" s="3140">
        <v>30451</v>
      </c>
      <c r="H197" s="3140">
        <v>0</v>
      </c>
      <c r="I197" s="86">
        <v>3726</v>
      </c>
      <c r="J197" s="573">
        <v>2171410</v>
      </c>
      <c r="K197" s="3140">
        <v>30199</v>
      </c>
      <c r="L197" s="3140">
        <v>0</v>
      </c>
      <c r="M197" s="86">
        <v>12605</v>
      </c>
      <c r="N197" s="573">
        <v>14181</v>
      </c>
      <c r="O197" s="3140">
        <v>0</v>
      </c>
      <c r="P197" s="3140">
        <v>0</v>
      </c>
      <c r="Q197" s="86">
        <v>0</v>
      </c>
      <c r="R197" s="134">
        <v>3033116</v>
      </c>
      <c r="S197" s="3140">
        <v>370998</v>
      </c>
      <c r="T197" s="3140">
        <v>840</v>
      </c>
      <c r="U197" s="86">
        <v>22703</v>
      </c>
      <c r="V197" s="134">
        <v>161313</v>
      </c>
      <c r="W197" s="1976">
        <v>432607</v>
      </c>
      <c r="X197" s="640"/>
      <c r="Y197" s="1977"/>
      <c r="Z197" s="641">
        <f t="shared" si="7"/>
        <v>593920</v>
      </c>
      <c r="AA197" s="1976">
        <v>601480</v>
      </c>
      <c r="AB197" s="573">
        <v>0</v>
      </c>
      <c r="AC197" s="1976">
        <v>40448</v>
      </c>
      <c r="AD197" s="1974"/>
      <c r="AE197" s="1975"/>
      <c r="AF197" s="641">
        <f t="shared" si="8"/>
        <v>40448</v>
      </c>
      <c r="AG197" s="3141">
        <v>117090</v>
      </c>
    </row>
    <row r="198" spans="1:33" s="10" customFormat="1">
      <c r="A198" s="63">
        <f t="shared" si="9"/>
        <v>2008.09</v>
      </c>
      <c r="B198" s="250">
        <v>2918183</v>
      </c>
      <c r="C198" s="3140">
        <v>85025</v>
      </c>
      <c r="D198" s="3140">
        <v>0</v>
      </c>
      <c r="E198" s="86">
        <v>0</v>
      </c>
      <c r="F198" s="573">
        <v>560751</v>
      </c>
      <c r="G198" s="3140">
        <v>35117</v>
      </c>
      <c r="H198" s="3140">
        <v>0</v>
      </c>
      <c r="I198" s="86">
        <v>0</v>
      </c>
      <c r="J198" s="573">
        <v>2266445</v>
      </c>
      <c r="K198" s="3140">
        <v>35550</v>
      </c>
      <c r="L198" s="3140">
        <v>0</v>
      </c>
      <c r="M198" s="86">
        <v>0</v>
      </c>
      <c r="N198" s="573">
        <v>11768</v>
      </c>
      <c r="O198" s="3140">
        <v>0</v>
      </c>
      <c r="P198" s="3140">
        <v>0</v>
      </c>
      <c r="Q198" s="86">
        <v>0</v>
      </c>
      <c r="R198" s="134">
        <v>3217285</v>
      </c>
      <c r="S198" s="3140">
        <v>340442</v>
      </c>
      <c r="T198" s="3140">
        <v>70</v>
      </c>
      <c r="U198" s="86">
        <v>0</v>
      </c>
      <c r="V198" s="134">
        <v>72789</v>
      </c>
      <c r="W198" s="1976">
        <v>568047</v>
      </c>
      <c r="X198" s="640"/>
      <c r="Y198" s="1977"/>
      <c r="Z198" s="641">
        <f t="shared" si="7"/>
        <v>640836</v>
      </c>
      <c r="AA198" s="1976">
        <v>657790</v>
      </c>
      <c r="AB198" s="573">
        <v>0</v>
      </c>
      <c r="AC198" s="1976">
        <v>38141</v>
      </c>
      <c r="AD198" s="1974"/>
      <c r="AE198" s="1975"/>
      <c r="AF198" s="641">
        <f t="shared" si="8"/>
        <v>38141</v>
      </c>
      <c r="AG198" s="3141">
        <v>75730</v>
      </c>
    </row>
    <row r="199" spans="1:33" s="10" customFormat="1">
      <c r="A199" s="63">
        <f t="shared" si="9"/>
        <v>2008.1</v>
      </c>
      <c r="B199" s="250">
        <v>2507675</v>
      </c>
      <c r="C199" s="3140">
        <v>45111</v>
      </c>
      <c r="D199" s="3140">
        <v>0</v>
      </c>
      <c r="E199" s="86">
        <v>0</v>
      </c>
      <c r="F199" s="573">
        <v>478778</v>
      </c>
      <c r="G199" s="3140">
        <v>19065</v>
      </c>
      <c r="H199" s="3140">
        <v>0</v>
      </c>
      <c r="I199" s="86">
        <v>0</v>
      </c>
      <c r="J199" s="573">
        <v>1953838</v>
      </c>
      <c r="K199" s="3140">
        <v>19992</v>
      </c>
      <c r="L199" s="3140">
        <v>0</v>
      </c>
      <c r="M199" s="86">
        <v>0</v>
      </c>
      <c r="N199" s="573">
        <v>13930</v>
      </c>
      <c r="O199" s="3140">
        <v>0</v>
      </c>
      <c r="P199" s="3140">
        <v>0</v>
      </c>
      <c r="Q199" s="86">
        <v>0</v>
      </c>
      <c r="R199" s="134">
        <v>2767180</v>
      </c>
      <c r="S199" s="3140">
        <v>297314</v>
      </c>
      <c r="T199" s="3140">
        <v>0</v>
      </c>
      <c r="U199" s="86">
        <v>0</v>
      </c>
      <c r="V199" s="134">
        <v>115834</v>
      </c>
      <c r="W199" s="1976">
        <v>225274</v>
      </c>
      <c r="X199" s="640"/>
      <c r="Y199" s="1977"/>
      <c r="Z199" s="641">
        <f t="shared" si="7"/>
        <v>341108</v>
      </c>
      <c r="AA199" s="1976">
        <v>366680</v>
      </c>
      <c r="AB199" s="573">
        <v>0</v>
      </c>
      <c r="AC199" s="1976">
        <v>10891</v>
      </c>
      <c r="AD199" s="1974"/>
      <c r="AE199" s="1975"/>
      <c r="AF199" s="641">
        <f t="shared" si="8"/>
        <v>10891</v>
      </c>
      <c r="AG199" s="3141">
        <v>78320</v>
      </c>
    </row>
    <row r="200" spans="1:33" s="10" customFormat="1">
      <c r="A200" s="63">
        <f t="shared" si="9"/>
        <v>2008.11</v>
      </c>
      <c r="B200" s="250">
        <v>2209837</v>
      </c>
      <c r="C200" s="3140">
        <v>18090</v>
      </c>
      <c r="D200" s="3140">
        <v>0</v>
      </c>
      <c r="E200" s="86">
        <v>0</v>
      </c>
      <c r="F200" s="573">
        <v>427326</v>
      </c>
      <c r="G200" s="3140">
        <v>6720</v>
      </c>
      <c r="H200" s="3140">
        <v>0</v>
      </c>
      <c r="I200" s="86">
        <v>0</v>
      </c>
      <c r="J200" s="573">
        <v>1726922</v>
      </c>
      <c r="K200" s="3140">
        <v>7204</v>
      </c>
      <c r="L200" s="3140">
        <v>0</v>
      </c>
      <c r="M200" s="86">
        <v>0</v>
      </c>
      <c r="N200" s="573">
        <v>11558</v>
      </c>
      <c r="O200" s="3140">
        <v>0</v>
      </c>
      <c r="P200" s="3140">
        <v>0</v>
      </c>
      <c r="Q200" s="86">
        <v>0</v>
      </c>
      <c r="R200" s="134">
        <v>2602112</v>
      </c>
      <c r="S200" s="3140">
        <v>200146</v>
      </c>
      <c r="T200" s="3140">
        <v>93</v>
      </c>
      <c r="U200" s="86">
        <v>0</v>
      </c>
      <c r="V200" s="134">
        <v>76601</v>
      </c>
      <c r="W200" s="1976">
        <v>276336</v>
      </c>
      <c r="X200" s="640"/>
      <c r="Y200" s="1977"/>
      <c r="Z200" s="641">
        <f t="shared" si="7"/>
        <v>352937</v>
      </c>
      <c r="AA200" s="1976">
        <v>355200</v>
      </c>
      <c r="AB200" s="573">
        <v>0</v>
      </c>
      <c r="AC200" s="1976">
        <v>30987</v>
      </c>
      <c r="AD200" s="1974"/>
      <c r="AE200" s="1975"/>
      <c r="AF200" s="641">
        <f t="shared" si="8"/>
        <v>30987</v>
      </c>
      <c r="AG200" s="3141">
        <v>59980</v>
      </c>
    </row>
    <row r="201" spans="1:33" s="10" customFormat="1">
      <c r="A201" s="63">
        <f t="shared" si="9"/>
        <v>2008.12</v>
      </c>
      <c r="B201" s="250">
        <v>2071662</v>
      </c>
      <c r="C201" s="3140">
        <v>80918</v>
      </c>
      <c r="D201" s="3140">
        <v>0</v>
      </c>
      <c r="E201" s="86">
        <v>0</v>
      </c>
      <c r="F201" s="573">
        <v>397286</v>
      </c>
      <c r="G201" s="3140">
        <v>31937</v>
      </c>
      <c r="H201" s="3140">
        <v>0</v>
      </c>
      <c r="I201" s="86">
        <v>0</v>
      </c>
      <c r="J201" s="573">
        <v>1605129</v>
      </c>
      <c r="K201" s="3140">
        <v>33996</v>
      </c>
      <c r="L201" s="3140">
        <v>0</v>
      </c>
      <c r="M201" s="86">
        <v>0</v>
      </c>
      <c r="N201" s="573">
        <v>12441</v>
      </c>
      <c r="O201" s="3140">
        <v>0</v>
      </c>
      <c r="P201" s="3140">
        <v>0</v>
      </c>
      <c r="Q201" s="86">
        <v>0</v>
      </c>
      <c r="R201" s="134">
        <v>2338139</v>
      </c>
      <c r="S201" s="3140">
        <v>249089</v>
      </c>
      <c r="T201" s="3140">
        <v>210</v>
      </c>
      <c r="U201" s="86">
        <v>0</v>
      </c>
      <c r="V201" s="134">
        <v>89875</v>
      </c>
      <c r="W201" s="1976">
        <v>189498</v>
      </c>
      <c r="X201" s="640"/>
      <c r="Y201" s="1977"/>
      <c r="Z201" s="641">
        <f t="shared" si="7"/>
        <v>279373</v>
      </c>
      <c r="AA201" s="1976">
        <v>288010</v>
      </c>
      <c r="AB201" s="573">
        <v>0</v>
      </c>
      <c r="AC201" s="1976">
        <v>15727</v>
      </c>
      <c r="AD201" s="1974"/>
      <c r="AE201" s="1975"/>
      <c r="AF201" s="641">
        <f t="shared" si="8"/>
        <v>15727</v>
      </c>
      <c r="AG201" s="3141">
        <v>41740</v>
      </c>
    </row>
    <row r="202" spans="1:33" s="10" customFormat="1">
      <c r="A202" s="63">
        <f t="shared" si="9"/>
        <v>2009.01</v>
      </c>
      <c r="B202" s="250">
        <v>2203830</v>
      </c>
      <c r="C202" s="3140">
        <v>90596</v>
      </c>
      <c r="D202" s="3140">
        <v>0</v>
      </c>
      <c r="E202" s="86">
        <v>0</v>
      </c>
      <c r="F202" s="573">
        <v>419434</v>
      </c>
      <c r="G202" s="3140">
        <v>35931</v>
      </c>
      <c r="H202" s="3140">
        <v>0</v>
      </c>
      <c r="I202" s="86">
        <v>0</v>
      </c>
      <c r="J202" s="573">
        <v>1712399</v>
      </c>
      <c r="K202" s="3140">
        <v>39754</v>
      </c>
      <c r="L202" s="3140">
        <v>0</v>
      </c>
      <c r="M202" s="86">
        <v>0</v>
      </c>
      <c r="N202" s="573">
        <v>11920</v>
      </c>
      <c r="O202" s="3140">
        <v>0</v>
      </c>
      <c r="P202" s="3140">
        <v>0</v>
      </c>
      <c r="Q202" s="86">
        <v>0</v>
      </c>
      <c r="R202" s="134">
        <v>2314057</v>
      </c>
      <c r="S202" s="3140">
        <v>216789</v>
      </c>
      <c r="T202" s="3140">
        <v>306</v>
      </c>
      <c r="U202" s="86">
        <v>0</v>
      </c>
      <c r="V202" s="134">
        <v>133863</v>
      </c>
      <c r="W202" s="1976">
        <v>341484</v>
      </c>
      <c r="X202" s="640"/>
      <c r="Y202" s="1977"/>
      <c r="Z202" s="641">
        <f t="shared" si="7"/>
        <v>475347</v>
      </c>
      <c r="AA202" s="1976">
        <v>496504</v>
      </c>
      <c r="AB202" s="573">
        <v>0</v>
      </c>
      <c r="AC202" s="1976">
        <v>58164</v>
      </c>
      <c r="AD202" s="1974"/>
      <c r="AE202" s="1975"/>
      <c r="AF202" s="641">
        <f t="shared" si="8"/>
        <v>58164</v>
      </c>
      <c r="AG202" s="3141">
        <v>71641</v>
      </c>
    </row>
    <row r="203" spans="1:33" s="10" customFormat="1">
      <c r="A203" s="63">
        <f t="shared" si="9"/>
        <v>2009.02</v>
      </c>
      <c r="B203" s="250">
        <v>1883818</v>
      </c>
      <c r="C203" s="3140">
        <v>102132</v>
      </c>
      <c r="D203" s="3140">
        <v>0</v>
      </c>
      <c r="E203" s="86">
        <v>0</v>
      </c>
      <c r="F203" s="573">
        <v>353610</v>
      </c>
      <c r="G203" s="3140">
        <v>41084</v>
      </c>
      <c r="H203" s="3140">
        <v>0</v>
      </c>
      <c r="I203" s="86">
        <v>0</v>
      </c>
      <c r="J203" s="573">
        <v>1452942</v>
      </c>
      <c r="K203" s="3140">
        <v>43829</v>
      </c>
      <c r="L203" s="3140">
        <v>0</v>
      </c>
      <c r="M203" s="86">
        <v>0</v>
      </c>
      <c r="N203" s="573">
        <v>10772</v>
      </c>
      <c r="O203" s="3140">
        <v>0</v>
      </c>
      <c r="P203" s="3140">
        <v>0</v>
      </c>
      <c r="Q203" s="86">
        <v>0</v>
      </c>
      <c r="R203" s="134">
        <v>2084034</v>
      </c>
      <c r="S203" s="3140">
        <v>327550</v>
      </c>
      <c r="T203" s="3140">
        <v>0</v>
      </c>
      <c r="U203" s="86">
        <v>0</v>
      </c>
      <c r="V203" s="134">
        <v>79220</v>
      </c>
      <c r="W203" s="1976">
        <v>326224</v>
      </c>
      <c r="X203" s="640"/>
      <c r="Y203" s="1977"/>
      <c r="Z203" s="641">
        <f t="shared" ref="Z203:Z265" si="10">SUM(V203:Y203)</f>
        <v>405444</v>
      </c>
      <c r="AA203" s="1976">
        <v>413794</v>
      </c>
      <c r="AB203" s="573">
        <v>0</v>
      </c>
      <c r="AC203" s="1976">
        <v>47880</v>
      </c>
      <c r="AD203" s="1974"/>
      <c r="AE203" s="1975"/>
      <c r="AF203" s="641">
        <f t="shared" ref="AF203:AF224" si="11">SUM(AB203:AE203)</f>
        <v>47880</v>
      </c>
      <c r="AG203" s="3141">
        <v>93097</v>
      </c>
    </row>
    <row r="204" spans="1:33" s="10" customFormat="1">
      <c r="A204" s="63">
        <f t="shared" si="9"/>
        <v>2009.03</v>
      </c>
      <c r="B204" s="250">
        <v>1930031</v>
      </c>
      <c r="C204" s="3140">
        <v>135420</v>
      </c>
      <c r="D204" s="3140">
        <v>0</v>
      </c>
      <c r="E204" s="86">
        <v>0</v>
      </c>
      <c r="F204" s="573">
        <v>373489</v>
      </c>
      <c r="G204" s="3140">
        <v>53934</v>
      </c>
      <c r="H204" s="3140">
        <v>0</v>
      </c>
      <c r="I204" s="86">
        <v>0</v>
      </c>
      <c r="J204" s="573">
        <v>1501984</v>
      </c>
      <c r="K204" s="3140">
        <v>59357</v>
      </c>
      <c r="L204" s="3140">
        <v>0</v>
      </c>
      <c r="M204" s="86">
        <v>0</v>
      </c>
      <c r="N204" s="573">
        <v>11478</v>
      </c>
      <c r="O204" s="3140">
        <v>0</v>
      </c>
      <c r="P204" s="3140">
        <v>0</v>
      </c>
      <c r="Q204" s="86">
        <v>0</v>
      </c>
      <c r="R204" s="134">
        <v>2074538</v>
      </c>
      <c r="S204" s="3140">
        <v>493931</v>
      </c>
      <c r="T204" s="3140">
        <v>743</v>
      </c>
      <c r="U204" s="86">
        <v>0</v>
      </c>
      <c r="V204" s="134">
        <v>63595</v>
      </c>
      <c r="W204" s="1976">
        <v>361910</v>
      </c>
      <c r="X204" s="640"/>
      <c r="Y204" s="1977"/>
      <c r="Z204" s="641">
        <f t="shared" si="10"/>
        <v>425505</v>
      </c>
      <c r="AA204" s="1976">
        <v>433205</v>
      </c>
      <c r="AB204" s="573">
        <v>0</v>
      </c>
      <c r="AC204" s="1976">
        <v>15550</v>
      </c>
      <c r="AD204" s="1974"/>
      <c r="AE204" s="1975"/>
      <c r="AF204" s="641">
        <f t="shared" si="11"/>
        <v>15550</v>
      </c>
      <c r="AG204" s="3141">
        <v>62690</v>
      </c>
    </row>
    <row r="205" spans="1:33" s="10" customFormat="1">
      <c r="A205" s="63">
        <f t="shared" si="9"/>
        <v>2009.04</v>
      </c>
      <c r="B205" s="2583">
        <f>F205/0.19</f>
        <v>2961694.7368421052</v>
      </c>
      <c r="C205" s="3140">
        <v>118090</v>
      </c>
      <c r="D205" s="3140">
        <v>0</v>
      </c>
      <c r="E205" s="86">
        <v>0</v>
      </c>
      <c r="F205" s="573">
        <v>562722</v>
      </c>
      <c r="G205" s="3140">
        <v>45898</v>
      </c>
      <c r="H205" s="3140">
        <v>0</v>
      </c>
      <c r="I205" s="86">
        <v>0</v>
      </c>
      <c r="J205" s="573">
        <v>2318143</v>
      </c>
      <c r="K205" s="3140">
        <v>50759</v>
      </c>
      <c r="L205" s="3140">
        <v>0</v>
      </c>
      <c r="M205" s="86">
        <v>0</v>
      </c>
      <c r="N205" s="573">
        <v>12717</v>
      </c>
      <c r="O205" s="3140">
        <v>0</v>
      </c>
      <c r="P205" s="3140">
        <v>0</v>
      </c>
      <c r="Q205" s="86">
        <v>0</v>
      </c>
      <c r="R205" s="134">
        <v>3182545</v>
      </c>
      <c r="S205" s="3140">
        <v>318734</v>
      </c>
      <c r="T205" s="3140">
        <v>0</v>
      </c>
      <c r="U205" s="86">
        <v>0</v>
      </c>
      <c r="V205" s="134">
        <v>87206</v>
      </c>
      <c r="W205" s="1976">
        <v>376173</v>
      </c>
      <c r="X205" s="640"/>
      <c r="Y205" s="1977"/>
      <c r="Z205" s="641">
        <f t="shared" si="10"/>
        <v>463379</v>
      </c>
      <c r="AA205" s="1976">
        <v>463929</v>
      </c>
      <c r="AB205" s="573">
        <v>730</v>
      </c>
      <c r="AC205" s="1976">
        <v>44248</v>
      </c>
      <c r="AD205" s="1974"/>
      <c r="AE205" s="1975"/>
      <c r="AF205" s="641">
        <f t="shared" si="11"/>
        <v>44978</v>
      </c>
      <c r="AG205" s="3141">
        <v>120472</v>
      </c>
    </row>
    <row r="206" spans="1:33" s="10" customFormat="1">
      <c r="A206" s="63">
        <f t="shared" si="9"/>
        <v>2009.05</v>
      </c>
      <c r="B206" s="250">
        <v>3298255</v>
      </c>
      <c r="C206" s="3140">
        <v>85707</v>
      </c>
      <c r="D206" s="3140">
        <v>0</v>
      </c>
      <c r="E206" s="86">
        <v>15642</v>
      </c>
      <c r="F206" s="573">
        <v>627085</v>
      </c>
      <c r="G206" s="3140">
        <v>33765</v>
      </c>
      <c r="H206" s="3140">
        <v>0</v>
      </c>
      <c r="I206" s="86">
        <v>2144</v>
      </c>
      <c r="J206" s="573">
        <v>2563096</v>
      </c>
      <c r="K206" s="3140">
        <v>36579</v>
      </c>
      <c r="L206" s="3140">
        <v>0</v>
      </c>
      <c r="M206" s="86">
        <v>13157</v>
      </c>
      <c r="N206" s="573">
        <v>11592</v>
      </c>
      <c r="O206" s="3140">
        <v>0</v>
      </c>
      <c r="P206" s="3140">
        <v>0</v>
      </c>
      <c r="Q206" s="86">
        <v>0</v>
      </c>
      <c r="R206" s="134">
        <v>3566404</v>
      </c>
      <c r="S206" s="3140">
        <v>348345</v>
      </c>
      <c r="T206" s="3140">
        <v>0</v>
      </c>
      <c r="U206" s="86">
        <v>15642</v>
      </c>
      <c r="V206" s="134">
        <v>143065</v>
      </c>
      <c r="W206" s="1976">
        <v>356171</v>
      </c>
      <c r="X206" s="640"/>
      <c r="Y206" s="1977"/>
      <c r="Z206" s="641">
        <f t="shared" si="10"/>
        <v>499236</v>
      </c>
      <c r="AA206" s="1976">
        <v>509296</v>
      </c>
      <c r="AB206" s="573">
        <v>0</v>
      </c>
      <c r="AC206" s="1976">
        <v>33956</v>
      </c>
      <c r="AD206" s="1974"/>
      <c r="AE206" s="1975"/>
      <c r="AF206" s="641">
        <f t="shared" si="11"/>
        <v>33956</v>
      </c>
      <c r="AG206" s="3141">
        <v>107500</v>
      </c>
    </row>
    <row r="207" spans="1:33" s="10" customFormat="1">
      <c r="A207" s="63">
        <f t="shared" si="9"/>
        <v>2009.06</v>
      </c>
      <c r="B207" s="250">
        <v>2820313</v>
      </c>
      <c r="C207" s="3140">
        <v>78457</v>
      </c>
      <c r="D207" s="3140">
        <v>0</v>
      </c>
      <c r="E207" s="86">
        <v>269</v>
      </c>
      <c r="F207" s="573">
        <v>531432</v>
      </c>
      <c r="G207" s="3140">
        <v>31232</v>
      </c>
      <c r="H207" s="3140">
        <v>0</v>
      </c>
      <c r="I207" s="86">
        <v>38</v>
      </c>
      <c r="J207" s="573">
        <v>2233872</v>
      </c>
      <c r="K207" s="3140">
        <v>32918</v>
      </c>
      <c r="L207" s="3140">
        <v>0</v>
      </c>
      <c r="M207" s="86">
        <v>218</v>
      </c>
      <c r="N207" s="573">
        <v>11252</v>
      </c>
      <c r="O207" s="3140">
        <v>0</v>
      </c>
      <c r="P207" s="3140">
        <v>0</v>
      </c>
      <c r="Q207" s="86">
        <v>0</v>
      </c>
      <c r="R207" s="134">
        <v>3024434</v>
      </c>
      <c r="S207" s="3140">
        <v>327368</v>
      </c>
      <c r="T207" s="3140">
        <v>380</v>
      </c>
      <c r="U207" s="86">
        <v>269</v>
      </c>
      <c r="V207" s="134">
        <v>118740</v>
      </c>
      <c r="W207" s="1976">
        <v>278059</v>
      </c>
      <c r="X207" s="640"/>
      <c r="Y207" s="1977"/>
      <c r="Z207" s="641">
        <f t="shared" si="10"/>
        <v>396799</v>
      </c>
      <c r="AA207" s="1976">
        <v>415229</v>
      </c>
      <c r="AB207" s="573">
        <v>0</v>
      </c>
      <c r="AC207" s="1976">
        <v>94300</v>
      </c>
      <c r="AD207" s="1974"/>
      <c r="AE207" s="1975"/>
      <c r="AF207" s="641">
        <f t="shared" si="11"/>
        <v>94300</v>
      </c>
      <c r="AG207" s="3141">
        <v>110307</v>
      </c>
    </row>
    <row r="208" spans="1:33" s="10" customFormat="1">
      <c r="A208" s="63">
        <f t="shared" si="9"/>
        <v>2009.07</v>
      </c>
      <c r="B208" s="250">
        <v>2477476</v>
      </c>
      <c r="C208" s="3140">
        <v>116246</v>
      </c>
      <c r="D208" s="3140">
        <v>0</v>
      </c>
      <c r="E208" s="86">
        <v>3847</v>
      </c>
      <c r="F208" s="573">
        <v>470355</v>
      </c>
      <c r="G208" s="3140">
        <v>51472</v>
      </c>
      <c r="H208" s="3140">
        <v>0</v>
      </c>
      <c r="I208" s="86">
        <v>539</v>
      </c>
      <c r="J208" s="573">
        <v>1932394</v>
      </c>
      <c r="K208" s="3140">
        <v>58159</v>
      </c>
      <c r="L208" s="3140">
        <v>0</v>
      </c>
      <c r="M208" s="86">
        <v>3232</v>
      </c>
      <c r="N208" s="573">
        <v>11077</v>
      </c>
      <c r="O208" s="3140">
        <v>0</v>
      </c>
      <c r="P208" s="3140">
        <v>0</v>
      </c>
      <c r="Q208" s="86">
        <v>0</v>
      </c>
      <c r="R208" s="134">
        <v>2748733</v>
      </c>
      <c r="S208" s="3140">
        <v>304982</v>
      </c>
      <c r="T208" s="3140">
        <v>490</v>
      </c>
      <c r="U208" s="86">
        <v>3847</v>
      </c>
      <c r="V208" s="134">
        <v>82100</v>
      </c>
      <c r="W208" s="1976">
        <v>335915</v>
      </c>
      <c r="X208" s="640"/>
      <c r="Y208" s="1977"/>
      <c r="Z208" s="641">
        <f t="shared" si="10"/>
        <v>418015</v>
      </c>
      <c r="AA208" s="1976">
        <v>435775</v>
      </c>
      <c r="AB208" s="573">
        <v>0</v>
      </c>
      <c r="AC208" s="1976">
        <v>27220</v>
      </c>
      <c r="AD208" s="1974"/>
      <c r="AE208" s="1975"/>
      <c r="AF208" s="641">
        <f t="shared" si="11"/>
        <v>27220</v>
      </c>
      <c r="AG208" s="3141">
        <v>79414</v>
      </c>
    </row>
    <row r="209" spans="1:33" s="10" customFormat="1">
      <c r="A209" s="63">
        <f t="shared" si="9"/>
        <v>2009.08</v>
      </c>
      <c r="B209" s="250">
        <v>1956384</v>
      </c>
      <c r="C209" s="3140">
        <v>55364</v>
      </c>
      <c r="D209" s="3140">
        <v>0</v>
      </c>
      <c r="E209" s="86">
        <v>7225</v>
      </c>
      <c r="F209" s="573">
        <v>375094</v>
      </c>
      <c r="G209" s="3140">
        <v>24488</v>
      </c>
      <c r="H209" s="3140">
        <v>0</v>
      </c>
      <c r="I209" s="86">
        <v>1002</v>
      </c>
      <c r="J209" s="573">
        <v>1536239</v>
      </c>
      <c r="K209" s="3140">
        <v>25297</v>
      </c>
      <c r="L209" s="3140">
        <v>0</v>
      </c>
      <c r="M209" s="86">
        <v>6079</v>
      </c>
      <c r="N209" s="573">
        <v>12340</v>
      </c>
      <c r="O209" s="3140">
        <v>0</v>
      </c>
      <c r="P209" s="3140">
        <v>0</v>
      </c>
      <c r="Q209" s="86">
        <v>0</v>
      </c>
      <c r="R209" s="134">
        <v>2211410</v>
      </c>
      <c r="S209" s="3140">
        <v>261986</v>
      </c>
      <c r="T209" s="3140">
        <v>583</v>
      </c>
      <c r="U209" s="86">
        <v>7225</v>
      </c>
      <c r="V209" s="134">
        <v>83212</v>
      </c>
      <c r="W209" s="1976">
        <v>201692</v>
      </c>
      <c r="X209" s="640"/>
      <c r="Y209" s="1977"/>
      <c r="Z209" s="641">
        <f t="shared" si="10"/>
        <v>284904</v>
      </c>
      <c r="AA209" s="1976">
        <v>300182</v>
      </c>
      <c r="AB209" s="573">
        <v>0</v>
      </c>
      <c r="AC209" s="1976">
        <v>38250</v>
      </c>
      <c r="AD209" s="1974"/>
      <c r="AE209" s="1975"/>
      <c r="AF209" s="641">
        <f t="shared" si="11"/>
        <v>38250</v>
      </c>
      <c r="AG209" s="3141">
        <v>74315</v>
      </c>
    </row>
    <row r="210" spans="1:33" s="10" customFormat="1">
      <c r="A210" s="63">
        <f t="shared" si="9"/>
        <v>2009.09</v>
      </c>
      <c r="B210" s="250">
        <v>2059999</v>
      </c>
      <c r="C210" s="3140">
        <v>69606</v>
      </c>
      <c r="D210" s="3140">
        <v>0</v>
      </c>
      <c r="E210" s="86">
        <v>272</v>
      </c>
      <c r="F210" s="573">
        <v>395766</v>
      </c>
      <c r="G210" s="3140">
        <v>27472</v>
      </c>
      <c r="H210" s="3140">
        <v>0</v>
      </c>
      <c r="I210" s="86">
        <v>38</v>
      </c>
      <c r="J210" s="573">
        <v>1611434</v>
      </c>
      <c r="K210" s="3140">
        <v>30699</v>
      </c>
      <c r="L210" s="3140">
        <v>0</v>
      </c>
      <c r="M210" s="86">
        <v>229</v>
      </c>
      <c r="N210" s="573">
        <v>13785</v>
      </c>
      <c r="O210" s="3140">
        <v>0</v>
      </c>
      <c r="P210" s="3140">
        <v>0</v>
      </c>
      <c r="Q210" s="86">
        <v>0</v>
      </c>
      <c r="R210" s="134">
        <v>2350691</v>
      </c>
      <c r="S210" s="3140">
        <v>273892</v>
      </c>
      <c r="T210" s="3140">
        <v>0</v>
      </c>
      <c r="U210" s="86">
        <v>272</v>
      </c>
      <c r="V210" s="134">
        <v>94670</v>
      </c>
      <c r="W210" s="1976">
        <v>243410</v>
      </c>
      <c r="X210" s="640"/>
      <c r="Y210" s="1977"/>
      <c r="Z210" s="641">
        <f t="shared" si="10"/>
        <v>338080</v>
      </c>
      <c r="AA210" s="1976">
        <v>350280</v>
      </c>
      <c r="AB210" s="573">
        <v>0</v>
      </c>
      <c r="AC210" s="1976">
        <v>23318</v>
      </c>
      <c r="AD210" s="1974"/>
      <c r="AE210" s="1975"/>
      <c r="AF210" s="641">
        <f t="shared" si="11"/>
        <v>23318</v>
      </c>
      <c r="AG210" s="3141">
        <v>63652</v>
      </c>
    </row>
    <row r="211" spans="1:33" s="10" customFormat="1">
      <c r="A211" s="63">
        <f t="shared" si="9"/>
        <v>2009.1</v>
      </c>
      <c r="B211" s="250">
        <v>2144398</v>
      </c>
      <c r="C211" s="3140">
        <v>47341</v>
      </c>
      <c r="D211" s="3140">
        <v>0</v>
      </c>
      <c r="E211" s="86">
        <v>7778</v>
      </c>
      <c r="F211" s="573">
        <v>411397</v>
      </c>
      <c r="G211" s="3140">
        <v>19204</v>
      </c>
      <c r="H211" s="3140">
        <v>0</v>
      </c>
      <c r="I211" s="86">
        <v>1089</v>
      </c>
      <c r="J211" s="573">
        <v>1688220</v>
      </c>
      <c r="K211" s="3140">
        <v>21917</v>
      </c>
      <c r="L211" s="3140">
        <v>0</v>
      </c>
      <c r="M211" s="86">
        <v>6534</v>
      </c>
      <c r="N211" s="573">
        <v>10972</v>
      </c>
      <c r="O211" s="3140">
        <v>0</v>
      </c>
      <c r="P211" s="3140">
        <v>0</v>
      </c>
      <c r="Q211" s="86">
        <v>0</v>
      </c>
      <c r="R211" s="134">
        <v>2419401</v>
      </c>
      <c r="S211" s="3140">
        <v>269833</v>
      </c>
      <c r="T211" s="3140">
        <v>77</v>
      </c>
      <c r="U211" s="86">
        <v>7778</v>
      </c>
      <c r="V211" s="134">
        <v>46100</v>
      </c>
      <c r="W211" s="1976">
        <v>181628</v>
      </c>
      <c r="X211" s="640"/>
      <c r="Y211" s="1977"/>
      <c r="Z211" s="641">
        <f t="shared" si="10"/>
        <v>227728</v>
      </c>
      <c r="AA211" s="1976">
        <v>238228</v>
      </c>
      <c r="AB211" s="573">
        <v>0</v>
      </c>
      <c r="AC211" s="1976">
        <v>18400</v>
      </c>
      <c r="AD211" s="1974"/>
      <c r="AE211" s="1975"/>
      <c r="AF211" s="641">
        <f t="shared" si="11"/>
        <v>18400</v>
      </c>
      <c r="AG211" s="3141">
        <v>50560</v>
      </c>
    </row>
    <row r="212" spans="1:33" s="10" customFormat="1">
      <c r="A212" s="63">
        <f t="shared" si="9"/>
        <v>2009.11</v>
      </c>
      <c r="B212" s="250">
        <v>2051707</v>
      </c>
      <c r="C212" s="3140">
        <v>0</v>
      </c>
      <c r="D212" s="3140">
        <v>0</v>
      </c>
      <c r="E212" s="86">
        <v>6606</v>
      </c>
      <c r="F212" s="573">
        <v>395745</v>
      </c>
      <c r="G212" s="3140">
        <v>0</v>
      </c>
      <c r="H212" s="3140">
        <v>0</v>
      </c>
      <c r="I212" s="86">
        <v>972</v>
      </c>
      <c r="J212" s="573">
        <v>1614229</v>
      </c>
      <c r="K212" s="3140">
        <v>0</v>
      </c>
      <c r="L212" s="3140">
        <v>0</v>
      </c>
      <c r="M212" s="86">
        <v>5518</v>
      </c>
      <c r="N212" s="573">
        <v>9755</v>
      </c>
      <c r="O212" s="3140">
        <v>0</v>
      </c>
      <c r="P212" s="3140">
        <v>0</v>
      </c>
      <c r="Q212" s="86">
        <v>0</v>
      </c>
      <c r="R212" s="134">
        <v>2349613</v>
      </c>
      <c r="S212" s="3140">
        <v>178424</v>
      </c>
      <c r="T212" s="3140">
        <v>490</v>
      </c>
      <c r="U212" s="86">
        <v>6606</v>
      </c>
      <c r="V212" s="134">
        <v>40835</v>
      </c>
      <c r="W212" s="1976">
        <v>233771</v>
      </c>
      <c r="X212" s="640"/>
      <c r="Y212" s="1977"/>
      <c r="Z212" s="641">
        <f t="shared" si="10"/>
        <v>274606</v>
      </c>
      <c r="AA212" s="1976">
        <v>290706</v>
      </c>
      <c r="AB212" s="573">
        <v>0</v>
      </c>
      <c r="AC212" s="1976">
        <v>3900</v>
      </c>
      <c r="AD212" s="1974"/>
      <c r="AE212" s="1975"/>
      <c r="AF212" s="641">
        <f t="shared" si="11"/>
        <v>3900</v>
      </c>
      <c r="AG212" s="3141">
        <v>43250</v>
      </c>
    </row>
    <row r="213" spans="1:33" s="10" customFormat="1">
      <c r="A213" s="63">
        <f t="shared" si="9"/>
        <v>2009.12</v>
      </c>
      <c r="B213" s="250">
        <v>1769471</v>
      </c>
      <c r="C213" s="3140">
        <v>12005</v>
      </c>
      <c r="D213" s="3140">
        <v>0</v>
      </c>
      <c r="E213" s="86">
        <v>0</v>
      </c>
      <c r="F213" s="573">
        <v>339403</v>
      </c>
      <c r="G213" s="3140">
        <v>4790</v>
      </c>
      <c r="H213" s="3140">
        <v>0</v>
      </c>
      <c r="I213" s="86">
        <v>0</v>
      </c>
      <c r="J213" s="573">
        <v>1380711</v>
      </c>
      <c r="K213" s="3140">
        <v>5836</v>
      </c>
      <c r="L213" s="3140">
        <v>0</v>
      </c>
      <c r="M213" s="86">
        <v>0</v>
      </c>
      <c r="N213" s="573">
        <v>9407</v>
      </c>
      <c r="O213" s="3140">
        <v>0</v>
      </c>
      <c r="P213" s="3140">
        <v>0</v>
      </c>
      <c r="Q213" s="86">
        <v>0</v>
      </c>
      <c r="R213" s="134">
        <v>1981080</v>
      </c>
      <c r="S213" s="3140">
        <v>141519</v>
      </c>
      <c r="T213" s="3140">
        <v>280</v>
      </c>
      <c r="U213" s="86">
        <v>0</v>
      </c>
      <c r="V213" s="134">
        <v>104223</v>
      </c>
      <c r="W213" s="1976">
        <v>168666</v>
      </c>
      <c r="X213" s="640"/>
      <c r="Y213" s="1977"/>
      <c r="Z213" s="641">
        <f t="shared" si="10"/>
        <v>272889</v>
      </c>
      <c r="AA213" s="1976">
        <v>297639</v>
      </c>
      <c r="AB213" s="573">
        <v>0</v>
      </c>
      <c r="AC213" s="1976">
        <v>0</v>
      </c>
      <c r="AD213" s="1974"/>
      <c r="AE213" s="1975"/>
      <c r="AF213" s="641">
        <f t="shared" si="11"/>
        <v>0</v>
      </c>
      <c r="AG213" s="3141">
        <v>20250</v>
      </c>
    </row>
    <row r="214" spans="1:33" s="10" customFormat="1">
      <c r="A214" s="63">
        <f t="shared" ref="A214:A277" si="12">A202+1</f>
        <v>2010.01</v>
      </c>
      <c r="B214" s="250">
        <v>1494065</v>
      </c>
      <c r="C214" s="3140">
        <v>34892</v>
      </c>
      <c r="D214" s="3140">
        <v>0</v>
      </c>
      <c r="E214" s="86">
        <v>0</v>
      </c>
      <c r="F214" s="573">
        <v>287432</v>
      </c>
      <c r="G214" s="3140">
        <v>13672</v>
      </c>
      <c r="H214" s="3140">
        <v>0</v>
      </c>
      <c r="I214" s="86">
        <v>0</v>
      </c>
      <c r="J214" s="573">
        <v>1161354</v>
      </c>
      <c r="K214" s="3140">
        <v>15350</v>
      </c>
      <c r="L214" s="3140">
        <v>0</v>
      </c>
      <c r="M214" s="86">
        <v>0</v>
      </c>
      <c r="N214" s="573">
        <v>6981</v>
      </c>
      <c r="O214" s="3140">
        <v>0</v>
      </c>
      <c r="P214" s="3140">
        <v>0</v>
      </c>
      <c r="Q214" s="86">
        <v>0</v>
      </c>
      <c r="R214" s="134">
        <v>1628176</v>
      </c>
      <c r="S214" s="3140">
        <v>113919</v>
      </c>
      <c r="T214" s="3140">
        <v>350</v>
      </c>
      <c r="U214" s="86">
        <v>0</v>
      </c>
      <c r="V214" s="134">
        <v>43000</v>
      </c>
      <c r="W214" s="1976">
        <v>129563</v>
      </c>
      <c r="X214" s="573">
        <v>0</v>
      </c>
      <c r="Y214" s="1976">
        <f>15100+1997</f>
        <v>17097</v>
      </c>
      <c r="Z214" s="641">
        <f t="shared" si="10"/>
        <v>189660</v>
      </c>
      <c r="AA214" s="1976">
        <f>198793+17097</f>
        <v>215890</v>
      </c>
      <c r="AB214" s="573">
        <v>0</v>
      </c>
      <c r="AC214" s="1976">
        <v>7500</v>
      </c>
      <c r="AD214" s="573">
        <v>0</v>
      </c>
      <c r="AE214" s="1976">
        <v>0</v>
      </c>
      <c r="AF214" s="641">
        <f t="shared" si="11"/>
        <v>7500</v>
      </c>
      <c r="AG214" s="3141">
        <v>38250</v>
      </c>
    </row>
    <row r="215" spans="1:33" s="10" customFormat="1">
      <c r="A215" s="63">
        <f t="shared" si="12"/>
        <v>2010.02</v>
      </c>
      <c r="B215" s="250">
        <v>1153769</v>
      </c>
      <c r="C215" s="3140">
        <v>74676</v>
      </c>
      <c r="D215" s="3140">
        <v>0</v>
      </c>
      <c r="E215" s="86">
        <v>0</v>
      </c>
      <c r="F215" s="573">
        <v>222008</v>
      </c>
      <c r="G215" s="3140">
        <v>29323</v>
      </c>
      <c r="H215" s="3140">
        <v>0</v>
      </c>
      <c r="I215" s="86">
        <v>0</v>
      </c>
      <c r="J215" s="573">
        <v>906928</v>
      </c>
      <c r="K215" s="3140">
        <v>32368</v>
      </c>
      <c r="L215" s="3140">
        <v>0</v>
      </c>
      <c r="M215" s="86">
        <v>0</v>
      </c>
      <c r="N215" s="573">
        <v>6520</v>
      </c>
      <c r="O215" s="3140">
        <v>0</v>
      </c>
      <c r="P215" s="3140">
        <v>0</v>
      </c>
      <c r="Q215" s="86">
        <v>0</v>
      </c>
      <c r="R215" s="134">
        <v>1401766</v>
      </c>
      <c r="S215" s="3140">
        <v>248953</v>
      </c>
      <c r="T215" s="3140">
        <v>1572</v>
      </c>
      <c r="U215" s="86">
        <v>0</v>
      </c>
      <c r="V215" s="134">
        <v>51914</v>
      </c>
      <c r="W215" s="1976">
        <v>189809</v>
      </c>
      <c r="X215" s="573">
        <v>3255</v>
      </c>
      <c r="Y215" s="1976">
        <v>10500</v>
      </c>
      <c r="Z215" s="641">
        <f t="shared" si="10"/>
        <v>255478</v>
      </c>
      <c r="AA215" s="1976">
        <f>267008+10500+3255</f>
        <v>280763</v>
      </c>
      <c r="AB215" s="573">
        <v>0</v>
      </c>
      <c r="AC215" s="1976">
        <v>618</v>
      </c>
      <c r="AD215" s="573">
        <v>0</v>
      </c>
      <c r="AE215" s="1976">
        <v>0</v>
      </c>
      <c r="AF215" s="641">
        <f t="shared" si="11"/>
        <v>618</v>
      </c>
      <c r="AG215" s="3141">
        <v>618</v>
      </c>
    </row>
    <row r="216" spans="1:33" s="10" customFormat="1">
      <c r="A216" s="63">
        <f t="shared" si="12"/>
        <v>2010.03</v>
      </c>
      <c r="B216" s="250">
        <v>1551161</v>
      </c>
      <c r="C216" s="3140">
        <v>99071</v>
      </c>
      <c r="D216" s="3140">
        <v>0</v>
      </c>
      <c r="E216" s="86">
        <v>0</v>
      </c>
      <c r="F216" s="573">
        <v>299941</v>
      </c>
      <c r="G216" s="3140">
        <v>39074</v>
      </c>
      <c r="H216" s="3140">
        <v>0</v>
      </c>
      <c r="I216" s="86">
        <v>0</v>
      </c>
      <c r="J216" s="573">
        <v>1203648</v>
      </c>
      <c r="K216" s="3140">
        <v>41504</v>
      </c>
      <c r="L216" s="3140">
        <v>0</v>
      </c>
      <c r="M216" s="86">
        <v>0</v>
      </c>
      <c r="N216" s="573">
        <v>20043</v>
      </c>
      <c r="O216" s="3140">
        <v>0</v>
      </c>
      <c r="P216" s="3140">
        <v>0</v>
      </c>
      <c r="Q216" s="86">
        <v>0</v>
      </c>
      <c r="R216" s="134">
        <v>1708403</v>
      </c>
      <c r="S216" s="3140">
        <v>429657</v>
      </c>
      <c r="T216" s="3140">
        <v>350</v>
      </c>
      <c r="U216" s="86">
        <v>0</v>
      </c>
      <c r="V216" s="134">
        <v>19272</v>
      </c>
      <c r="W216" s="1976">
        <v>57750</v>
      </c>
      <c r="X216" s="573">
        <v>0</v>
      </c>
      <c r="Y216" s="1976">
        <f>5000+2120</f>
        <v>7120</v>
      </c>
      <c r="Z216" s="641">
        <f t="shared" si="10"/>
        <v>84142</v>
      </c>
      <c r="AA216" s="1976">
        <f>83572+7120</f>
        <v>90692</v>
      </c>
      <c r="AB216" s="573">
        <v>0</v>
      </c>
      <c r="AC216" s="1976">
        <v>42700</v>
      </c>
      <c r="AD216" s="573">
        <v>0</v>
      </c>
      <c r="AE216" s="1976">
        <v>0</v>
      </c>
      <c r="AF216" s="641">
        <f t="shared" si="11"/>
        <v>42700</v>
      </c>
      <c r="AG216" s="3141">
        <v>115212</v>
      </c>
    </row>
    <row r="217" spans="1:33" s="10" customFormat="1">
      <c r="A217" s="63">
        <f t="shared" si="12"/>
        <v>2010.04</v>
      </c>
      <c r="B217" s="250">
        <v>3244912</v>
      </c>
      <c r="C217" s="3140">
        <v>85295</v>
      </c>
      <c r="D217" s="3140">
        <v>0</v>
      </c>
      <c r="E217" s="86">
        <v>0</v>
      </c>
      <c r="F217" s="573">
        <v>620109</v>
      </c>
      <c r="G217" s="3140">
        <v>36925</v>
      </c>
      <c r="H217" s="3140">
        <v>0</v>
      </c>
      <c r="I217" s="86">
        <v>0</v>
      </c>
      <c r="J217" s="573">
        <v>2514533</v>
      </c>
      <c r="K217" s="3140">
        <v>43682</v>
      </c>
      <c r="L217" s="3140">
        <v>0</v>
      </c>
      <c r="M217" s="86">
        <v>0</v>
      </c>
      <c r="N217" s="573">
        <v>10185</v>
      </c>
      <c r="O217" s="3140">
        <v>0</v>
      </c>
      <c r="P217" s="3140">
        <v>0</v>
      </c>
      <c r="Q217" s="86">
        <v>0</v>
      </c>
      <c r="R217" s="134">
        <v>3616827</v>
      </c>
      <c r="S217" s="3140">
        <v>320939</v>
      </c>
      <c r="T217" s="3140">
        <v>140</v>
      </c>
      <c r="U217" s="86">
        <v>0</v>
      </c>
      <c r="V217" s="134">
        <v>151276</v>
      </c>
      <c r="W217" s="1976">
        <v>351762</v>
      </c>
      <c r="X217" s="573">
        <f>46+2562</f>
        <v>2608</v>
      </c>
      <c r="Y217" s="1976">
        <f>18354+984</f>
        <v>19338</v>
      </c>
      <c r="Z217" s="641">
        <f t="shared" si="10"/>
        <v>524984</v>
      </c>
      <c r="AA217" s="1976">
        <f>519998+18400+3546</f>
        <v>541944</v>
      </c>
      <c r="AB217" s="573">
        <v>0</v>
      </c>
      <c r="AC217" s="1976">
        <v>69000</v>
      </c>
      <c r="AD217" s="573">
        <v>0</v>
      </c>
      <c r="AE217" s="1976">
        <v>0</v>
      </c>
      <c r="AF217" s="641">
        <f t="shared" si="11"/>
        <v>69000</v>
      </c>
      <c r="AG217" s="3141">
        <v>106700</v>
      </c>
    </row>
    <row r="218" spans="1:33" s="10" customFormat="1">
      <c r="A218" s="63">
        <f t="shared" si="12"/>
        <v>2010.05</v>
      </c>
      <c r="B218" s="250">
        <v>3514579</v>
      </c>
      <c r="C218" s="3140">
        <v>47580</v>
      </c>
      <c r="D218" s="3140">
        <v>0</v>
      </c>
      <c r="E218" s="86">
        <v>8968</v>
      </c>
      <c r="F218" s="573">
        <v>655096</v>
      </c>
      <c r="G218" s="3140">
        <v>18836</v>
      </c>
      <c r="H218" s="3140">
        <v>0</v>
      </c>
      <c r="I218" s="86">
        <v>1491</v>
      </c>
      <c r="J218" s="573">
        <v>2703540</v>
      </c>
      <c r="K218" s="3140">
        <v>21289</v>
      </c>
      <c r="L218" s="3140">
        <v>0</v>
      </c>
      <c r="M218" s="86">
        <v>7298</v>
      </c>
      <c r="N218" s="573">
        <v>9916</v>
      </c>
      <c r="O218" s="3140">
        <v>0</v>
      </c>
      <c r="P218" s="3140">
        <v>0</v>
      </c>
      <c r="Q218" s="86">
        <v>0</v>
      </c>
      <c r="R218" s="134">
        <v>3960757</v>
      </c>
      <c r="S218" s="3140">
        <v>229986</v>
      </c>
      <c r="T218" s="3140">
        <v>420</v>
      </c>
      <c r="U218" s="86">
        <v>8968</v>
      </c>
      <c r="V218" s="134">
        <v>88533</v>
      </c>
      <c r="W218" s="1976">
        <v>380614</v>
      </c>
      <c r="X218" s="573">
        <v>3417</v>
      </c>
      <c r="Y218" s="1976">
        <v>17705</v>
      </c>
      <c r="Z218" s="641">
        <f t="shared" si="10"/>
        <v>490269</v>
      </c>
      <c r="AA218" s="1976">
        <f>492699+21122</f>
        <v>513821</v>
      </c>
      <c r="AB218" s="573">
        <v>0</v>
      </c>
      <c r="AC218" s="1976">
        <v>24660</v>
      </c>
      <c r="AD218" s="573">
        <v>4000</v>
      </c>
      <c r="AE218" s="1976">
        <v>0</v>
      </c>
      <c r="AF218" s="641">
        <f t="shared" si="11"/>
        <v>28660</v>
      </c>
      <c r="AG218" s="3141">
        <f>48270+4000</f>
        <v>52270</v>
      </c>
    </row>
    <row r="219" spans="1:33" s="10" customFormat="1">
      <c r="A219" s="63">
        <f t="shared" si="12"/>
        <v>2010.06</v>
      </c>
      <c r="B219" s="250">
        <v>3042356</v>
      </c>
      <c r="C219" s="3140">
        <v>28412</v>
      </c>
      <c r="D219" s="3140">
        <v>0</v>
      </c>
      <c r="E219" s="86">
        <v>9817</v>
      </c>
      <c r="F219" s="573">
        <v>574001</v>
      </c>
      <c r="G219" s="3140">
        <v>10959</v>
      </c>
      <c r="H219" s="3140">
        <v>0</v>
      </c>
      <c r="I219" s="86">
        <v>1422</v>
      </c>
      <c r="J219" s="573">
        <v>2340290</v>
      </c>
      <c r="K219" s="3140">
        <v>13039</v>
      </c>
      <c r="L219" s="3140">
        <v>0</v>
      </c>
      <c r="M219" s="86">
        <v>8200</v>
      </c>
      <c r="N219" s="573">
        <v>11883</v>
      </c>
      <c r="O219" s="3140">
        <v>0</v>
      </c>
      <c r="P219" s="3140">
        <v>0</v>
      </c>
      <c r="Q219" s="86">
        <v>0</v>
      </c>
      <c r="R219" s="134">
        <v>3435659</v>
      </c>
      <c r="S219" s="3140">
        <v>212444</v>
      </c>
      <c r="T219" s="3140">
        <v>350</v>
      </c>
      <c r="U219" s="86">
        <v>9817</v>
      </c>
      <c r="V219" s="134">
        <v>132770</v>
      </c>
      <c r="W219" s="1976">
        <v>362868</v>
      </c>
      <c r="X219" s="573">
        <v>0</v>
      </c>
      <c r="Y219" s="1976">
        <v>16000</v>
      </c>
      <c r="Z219" s="641">
        <f t="shared" si="10"/>
        <v>511638</v>
      </c>
      <c r="AA219" s="1976">
        <f>529573+16000</f>
        <v>545573</v>
      </c>
      <c r="AB219" s="573">
        <v>4000</v>
      </c>
      <c r="AC219" s="1976">
        <v>3500</v>
      </c>
      <c r="AD219" s="573">
        <v>0</v>
      </c>
      <c r="AE219" s="1976">
        <v>0</v>
      </c>
      <c r="AF219" s="641">
        <f t="shared" si="11"/>
        <v>7500</v>
      </c>
      <c r="AG219" s="3141">
        <v>34000</v>
      </c>
    </row>
    <row r="220" spans="1:33" s="10" customFormat="1">
      <c r="A220" s="63">
        <f t="shared" si="12"/>
        <v>2010.07</v>
      </c>
      <c r="B220" s="250">
        <v>2908450</v>
      </c>
      <c r="C220" s="3140">
        <v>31123</v>
      </c>
      <c r="D220" s="3140">
        <v>0</v>
      </c>
      <c r="E220" s="86">
        <v>26310</v>
      </c>
      <c r="F220" s="573">
        <v>549227</v>
      </c>
      <c r="G220" s="3140">
        <v>12114</v>
      </c>
      <c r="H220" s="3140">
        <v>0</v>
      </c>
      <c r="I220" s="86">
        <v>3887</v>
      </c>
      <c r="J220" s="573">
        <v>2245039</v>
      </c>
      <c r="K220" s="3140">
        <v>14270</v>
      </c>
      <c r="L220" s="3140">
        <v>0</v>
      </c>
      <c r="M220" s="86">
        <v>21897</v>
      </c>
      <c r="N220" s="573">
        <v>11916</v>
      </c>
      <c r="O220" s="3140">
        <v>0</v>
      </c>
      <c r="P220" s="3140">
        <v>0</v>
      </c>
      <c r="Q220" s="86">
        <v>0</v>
      </c>
      <c r="R220" s="134">
        <v>3359074</v>
      </c>
      <c r="S220" s="3140">
        <v>202739</v>
      </c>
      <c r="T220" s="3140">
        <v>540</v>
      </c>
      <c r="U220" s="86">
        <v>26310</v>
      </c>
      <c r="V220" s="134">
        <v>88939</v>
      </c>
      <c r="W220" s="1976">
        <v>499432</v>
      </c>
      <c r="X220" s="573">
        <v>4461</v>
      </c>
      <c r="Y220" s="1976">
        <v>19000</v>
      </c>
      <c r="Z220" s="641">
        <f t="shared" si="10"/>
        <v>611832</v>
      </c>
      <c r="AA220" s="1976">
        <f>625071+23461</f>
        <v>648532</v>
      </c>
      <c r="AB220" s="573">
        <v>0</v>
      </c>
      <c r="AC220" s="1976">
        <v>8050</v>
      </c>
      <c r="AD220" s="573">
        <v>0</v>
      </c>
      <c r="AE220" s="1976">
        <v>0</v>
      </c>
      <c r="AF220" s="641">
        <f t="shared" si="11"/>
        <v>8050</v>
      </c>
      <c r="AG220" s="3141">
        <v>26050</v>
      </c>
    </row>
    <row r="221" spans="1:33" s="10" customFormat="1">
      <c r="A221" s="63">
        <f t="shared" si="12"/>
        <v>2010.08</v>
      </c>
      <c r="B221" s="250">
        <v>3355217</v>
      </c>
      <c r="C221" s="3140">
        <v>28872</v>
      </c>
      <c r="D221" s="3140">
        <v>0</v>
      </c>
      <c r="E221" s="86">
        <v>23862</v>
      </c>
      <c r="F221" s="573">
        <v>640789</v>
      </c>
      <c r="G221" s="3140">
        <v>11832</v>
      </c>
      <c r="H221" s="3140">
        <v>0</v>
      </c>
      <c r="I221" s="86">
        <v>3453</v>
      </c>
      <c r="J221" s="573">
        <v>2610232</v>
      </c>
      <c r="K221" s="3140">
        <v>12920</v>
      </c>
      <c r="L221" s="3140">
        <v>0</v>
      </c>
      <c r="M221" s="86">
        <v>19931</v>
      </c>
      <c r="N221" s="573">
        <v>11143</v>
      </c>
      <c r="O221" s="3140">
        <v>0</v>
      </c>
      <c r="P221" s="3140">
        <v>0</v>
      </c>
      <c r="Q221" s="86">
        <v>0</v>
      </c>
      <c r="R221" s="134">
        <v>3799353</v>
      </c>
      <c r="S221" s="3140">
        <v>227116</v>
      </c>
      <c r="T221" s="3140">
        <v>350</v>
      </c>
      <c r="U221" s="86">
        <v>23862</v>
      </c>
      <c r="V221" s="134">
        <v>101173</v>
      </c>
      <c r="W221" s="1976">
        <v>366254</v>
      </c>
      <c r="X221" s="573">
        <v>0</v>
      </c>
      <c r="Y221" s="1976">
        <v>36833</v>
      </c>
      <c r="Z221" s="641">
        <f t="shared" si="10"/>
        <v>504260</v>
      </c>
      <c r="AA221" s="1976">
        <f>511606+36833</f>
        <v>548439</v>
      </c>
      <c r="AB221" s="573">
        <v>5737</v>
      </c>
      <c r="AC221" s="1976">
        <v>0</v>
      </c>
      <c r="AD221" s="573">
        <v>0</v>
      </c>
      <c r="AE221" s="1976">
        <v>0</v>
      </c>
      <c r="AF221" s="641">
        <f t="shared" si="11"/>
        <v>5737</v>
      </c>
      <c r="AG221" s="3141">
        <v>17637</v>
      </c>
    </row>
    <row r="222" spans="1:33" s="10" customFormat="1">
      <c r="A222" s="63">
        <f t="shared" si="12"/>
        <v>2010.09</v>
      </c>
      <c r="B222" s="250">
        <v>3144024</v>
      </c>
      <c r="C222" s="3140">
        <v>42295</v>
      </c>
      <c r="D222" s="3140">
        <v>0</v>
      </c>
      <c r="E222" s="86">
        <v>2482</v>
      </c>
      <c r="F222" s="573">
        <v>600542</v>
      </c>
      <c r="G222" s="3140">
        <v>16876</v>
      </c>
      <c r="H222" s="3140">
        <v>0</v>
      </c>
      <c r="I222" s="86">
        <v>1200</v>
      </c>
      <c r="J222" s="573">
        <v>2416159</v>
      </c>
      <c r="K222" s="3140">
        <v>18308</v>
      </c>
      <c r="L222" s="3140">
        <v>0</v>
      </c>
      <c r="M222" s="86">
        <v>6969</v>
      </c>
      <c r="N222" s="573">
        <v>10532</v>
      </c>
      <c r="O222" s="3140">
        <v>0</v>
      </c>
      <c r="P222" s="3140">
        <v>0</v>
      </c>
      <c r="Q222" s="86">
        <v>0</v>
      </c>
      <c r="R222" s="134">
        <v>3607395</v>
      </c>
      <c r="S222" s="3140">
        <v>207818</v>
      </c>
      <c r="T222" s="3140">
        <v>640</v>
      </c>
      <c r="U222" s="86">
        <v>2482</v>
      </c>
      <c r="V222" s="134">
        <v>85437</v>
      </c>
      <c r="W222" s="1976">
        <v>429977</v>
      </c>
      <c r="X222" s="573">
        <v>9700</v>
      </c>
      <c r="Y222" s="1976">
        <f>27589+4500</f>
        <v>32089</v>
      </c>
      <c r="Z222" s="641">
        <f t="shared" si="10"/>
        <v>557203</v>
      </c>
      <c r="AA222" s="1976">
        <f>538914+37289+4500</f>
        <v>580703</v>
      </c>
      <c r="AB222" s="573">
        <v>500</v>
      </c>
      <c r="AC222" s="1976">
        <v>0</v>
      </c>
      <c r="AD222" s="573">
        <v>0</v>
      </c>
      <c r="AE222" s="1976">
        <v>0</v>
      </c>
      <c r="AF222" s="641">
        <f t="shared" si="11"/>
        <v>500</v>
      </c>
      <c r="AG222" s="3141">
        <v>34150</v>
      </c>
    </row>
    <row r="223" spans="1:33" s="10" customFormat="1">
      <c r="A223" s="63">
        <f t="shared" si="12"/>
        <v>2010.1</v>
      </c>
      <c r="B223" s="250">
        <v>3141269</v>
      </c>
      <c r="C223" s="3140">
        <v>10957</v>
      </c>
      <c r="D223" s="3140">
        <v>0</v>
      </c>
      <c r="E223" s="134">
        <v>21201</v>
      </c>
      <c r="F223" s="573">
        <v>605262</v>
      </c>
      <c r="G223" s="3140">
        <v>4263</v>
      </c>
      <c r="H223" s="3140">
        <v>0</v>
      </c>
      <c r="I223" s="86">
        <v>3068</v>
      </c>
      <c r="J223" s="573">
        <v>2425370</v>
      </c>
      <c r="K223" s="3140">
        <v>5126</v>
      </c>
      <c r="L223" s="3140">
        <v>0</v>
      </c>
      <c r="M223" s="86">
        <v>17709</v>
      </c>
      <c r="N223" s="573">
        <v>12071</v>
      </c>
      <c r="O223" s="3140">
        <v>0</v>
      </c>
      <c r="P223" s="3140">
        <v>0</v>
      </c>
      <c r="Q223" s="86">
        <v>0</v>
      </c>
      <c r="R223" s="134">
        <v>3564164</v>
      </c>
      <c r="S223" s="3140">
        <v>207474</v>
      </c>
      <c r="T223" s="3140">
        <v>280</v>
      </c>
      <c r="U223" s="86">
        <v>21201</v>
      </c>
      <c r="V223" s="134">
        <v>103898</v>
      </c>
      <c r="W223" s="1976">
        <v>297781</v>
      </c>
      <c r="X223" s="573">
        <f>8831+1554</f>
        <v>10385</v>
      </c>
      <c r="Y223" s="1976">
        <v>2900</v>
      </c>
      <c r="Z223" s="641">
        <f t="shared" si="10"/>
        <v>414964</v>
      </c>
      <c r="AA223" s="1976">
        <f>432379+11731+1554</f>
        <v>445664</v>
      </c>
      <c r="AB223" s="573">
        <v>0</v>
      </c>
      <c r="AC223" s="1976">
        <v>5000</v>
      </c>
      <c r="AD223" s="573">
        <v>0</v>
      </c>
      <c r="AE223" s="1976">
        <v>0</v>
      </c>
      <c r="AF223" s="641">
        <f t="shared" si="11"/>
        <v>5000</v>
      </c>
      <c r="AG223" s="3141">
        <v>36800</v>
      </c>
    </row>
    <row r="224" spans="1:33" s="10" customFormat="1">
      <c r="A224" s="63">
        <f t="shared" si="12"/>
        <v>2010.11</v>
      </c>
      <c r="B224" s="250">
        <v>2685278</v>
      </c>
      <c r="C224" s="3140">
        <v>6700</v>
      </c>
      <c r="D224" s="3140">
        <v>0</v>
      </c>
      <c r="E224" s="134">
        <v>29346</v>
      </c>
      <c r="F224" s="573">
        <v>520604</v>
      </c>
      <c r="G224" s="3140">
        <v>2665</v>
      </c>
      <c r="H224" s="3140">
        <v>0</v>
      </c>
      <c r="I224" s="86">
        <v>4255</v>
      </c>
      <c r="J224" s="573">
        <v>2086915</v>
      </c>
      <c r="K224" s="3140">
        <v>2816</v>
      </c>
      <c r="L224" s="3140">
        <v>0</v>
      </c>
      <c r="M224" s="86">
        <v>24506</v>
      </c>
      <c r="N224" s="573">
        <v>12261</v>
      </c>
      <c r="O224" s="3140">
        <v>0</v>
      </c>
      <c r="P224" s="3140">
        <v>0</v>
      </c>
      <c r="Q224" s="86">
        <v>0</v>
      </c>
      <c r="R224" s="134">
        <v>3142342</v>
      </c>
      <c r="S224" s="3140">
        <v>131252</v>
      </c>
      <c r="T224" s="3140">
        <v>1270</v>
      </c>
      <c r="U224" s="86">
        <v>29346</v>
      </c>
      <c r="V224" s="134">
        <v>110000</v>
      </c>
      <c r="W224" s="1976">
        <v>342099</v>
      </c>
      <c r="X224" s="573">
        <v>0</v>
      </c>
      <c r="Y224" s="1976">
        <v>25226</v>
      </c>
      <c r="Z224" s="641">
        <f t="shared" si="10"/>
        <v>477325</v>
      </c>
      <c r="AA224" s="1976">
        <f>511099+25226</f>
        <v>536325</v>
      </c>
      <c r="AB224" s="573">
        <v>8335</v>
      </c>
      <c r="AC224" s="1976">
        <v>0</v>
      </c>
      <c r="AD224" s="573">
        <v>0</v>
      </c>
      <c r="AE224" s="1976">
        <v>0</v>
      </c>
      <c r="AF224" s="641">
        <f t="shared" si="11"/>
        <v>8335</v>
      </c>
      <c r="AG224" s="3141">
        <v>12835</v>
      </c>
    </row>
    <row r="225" spans="1:33" s="10" customFormat="1">
      <c r="A225" s="63">
        <f t="shared" si="12"/>
        <v>2010.12</v>
      </c>
      <c r="B225" s="250">
        <v>2314331</v>
      </c>
      <c r="C225" s="3140">
        <v>5713</v>
      </c>
      <c r="D225" s="3140">
        <v>0</v>
      </c>
      <c r="E225" s="134">
        <v>8051</v>
      </c>
      <c r="F225" s="573">
        <v>447304</v>
      </c>
      <c r="G225" s="3140">
        <v>2170</v>
      </c>
      <c r="H225" s="3140">
        <v>0</v>
      </c>
      <c r="I225" s="86">
        <v>1167</v>
      </c>
      <c r="J225" s="573">
        <v>1784184</v>
      </c>
      <c r="K225" s="3140">
        <v>2751</v>
      </c>
      <c r="L225" s="3140">
        <v>0</v>
      </c>
      <c r="M225" s="86">
        <v>6723</v>
      </c>
      <c r="N225" s="573">
        <v>10451</v>
      </c>
      <c r="O225" s="3140">
        <v>0</v>
      </c>
      <c r="P225" s="3140">
        <v>0</v>
      </c>
      <c r="Q225" s="86">
        <v>0</v>
      </c>
      <c r="R225" s="134">
        <v>2680163</v>
      </c>
      <c r="S225" s="3140">
        <v>176645</v>
      </c>
      <c r="T225" s="3140">
        <v>800</v>
      </c>
      <c r="U225" s="86">
        <v>8051</v>
      </c>
      <c r="V225" s="134">
        <v>94811</v>
      </c>
      <c r="W225" s="1976">
        <v>278947</v>
      </c>
      <c r="X225" s="573">
        <v>0</v>
      </c>
      <c r="Y225" s="1976">
        <f>12500+4475</f>
        <v>16975</v>
      </c>
      <c r="Z225" s="641">
        <f t="shared" si="10"/>
        <v>390733</v>
      </c>
      <c r="AA225" s="1976">
        <f>391258+12500+4475</f>
        <v>408233</v>
      </c>
      <c r="AB225" s="573">
        <v>0</v>
      </c>
      <c r="AC225" s="1976">
        <v>3000</v>
      </c>
      <c r="AD225" s="573">
        <v>0</v>
      </c>
      <c r="AE225" s="1976">
        <v>0</v>
      </c>
      <c r="AF225" s="641">
        <f>SUM(AB225:AE225)</f>
        <v>3000</v>
      </c>
      <c r="AG225" s="3141">
        <v>27600</v>
      </c>
    </row>
    <row r="226" spans="1:33" s="10" customFormat="1">
      <c r="A226" s="63">
        <f t="shared" si="12"/>
        <v>2011.01</v>
      </c>
      <c r="B226" s="250">
        <v>1996061</v>
      </c>
      <c r="C226" s="3140">
        <v>99572</v>
      </c>
      <c r="D226" s="3140">
        <v>0</v>
      </c>
      <c r="E226" s="134">
        <v>0</v>
      </c>
      <c r="F226" s="573">
        <v>386219</v>
      </c>
      <c r="G226" s="3140">
        <v>39950</v>
      </c>
      <c r="H226" s="3140">
        <v>0</v>
      </c>
      <c r="I226" s="86">
        <v>0</v>
      </c>
      <c r="J226" s="573">
        <v>1554593</v>
      </c>
      <c r="K226" s="3140">
        <v>42629</v>
      </c>
      <c r="L226" s="3140">
        <v>0</v>
      </c>
      <c r="M226" s="86">
        <v>0</v>
      </c>
      <c r="N226" s="573">
        <v>4043</v>
      </c>
      <c r="O226" s="3140">
        <v>0</v>
      </c>
      <c r="P226" s="3140">
        <v>0</v>
      </c>
      <c r="Q226" s="86">
        <v>0</v>
      </c>
      <c r="R226" s="134">
        <v>2304419</v>
      </c>
      <c r="S226" s="3140">
        <v>178855</v>
      </c>
      <c r="T226" s="3140">
        <v>0</v>
      </c>
      <c r="U226" s="86">
        <v>0</v>
      </c>
      <c r="V226" s="134">
        <v>37087</v>
      </c>
      <c r="W226" s="1976">
        <v>194376</v>
      </c>
      <c r="X226" s="573">
        <v>0</v>
      </c>
      <c r="Y226" s="1976">
        <v>6600</v>
      </c>
      <c r="Z226" s="641">
        <f t="shared" si="10"/>
        <v>238063</v>
      </c>
      <c r="AA226" s="1976">
        <f>264964+6600</f>
        <v>271564</v>
      </c>
      <c r="AB226" s="573">
        <v>1000</v>
      </c>
      <c r="AC226" s="1976">
        <v>4750</v>
      </c>
      <c r="AD226" s="573">
        <v>0</v>
      </c>
      <c r="AE226" s="1976">
        <v>0</v>
      </c>
      <c r="AF226" s="641">
        <f t="shared" ref="AF226:AF289" si="13">SUM(AB226:AE226)</f>
        <v>5750</v>
      </c>
      <c r="AG226" s="3141">
        <v>14750</v>
      </c>
    </row>
    <row r="227" spans="1:33" s="10" customFormat="1">
      <c r="A227" s="63">
        <f t="shared" si="12"/>
        <v>2011.02</v>
      </c>
      <c r="B227" s="250">
        <v>1663572</v>
      </c>
      <c r="C227" s="3140">
        <v>135914</v>
      </c>
      <c r="D227" s="3140">
        <v>0</v>
      </c>
      <c r="E227" s="134">
        <v>0</v>
      </c>
      <c r="F227" s="573">
        <v>320648</v>
      </c>
      <c r="G227" s="3140">
        <v>59575</v>
      </c>
      <c r="H227" s="3140">
        <v>0</v>
      </c>
      <c r="I227" s="86">
        <v>0</v>
      </c>
      <c r="J227" s="573">
        <v>1297282</v>
      </c>
      <c r="K227" s="3140">
        <v>64852</v>
      </c>
      <c r="L227" s="3140">
        <v>0</v>
      </c>
      <c r="M227" s="86">
        <v>0</v>
      </c>
      <c r="N227" s="573">
        <v>8654</v>
      </c>
      <c r="O227" s="3140">
        <v>0</v>
      </c>
      <c r="P227" s="3140">
        <v>0</v>
      </c>
      <c r="Q227" s="86">
        <v>0</v>
      </c>
      <c r="R227" s="134">
        <v>2019596</v>
      </c>
      <c r="S227" s="3140">
        <v>216518</v>
      </c>
      <c r="T227" s="3140">
        <v>0</v>
      </c>
      <c r="U227" s="86">
        <v>0</v>
      </c>
      <c r="V227" s="134">
        <v>63640</v>
      </c>
      <c r="W227" s="1976">
        <v>183260</v>
      </c>
      <c r="X227" s="573">
        <v>0</v>
      </c>
      <c r="Y227" s="1976">
        <v>13800</v>
      </c>
      <c r="Z227" s="641">
        <f t="shared" si="10"/>
        <v>260700</v>
      </c>
      <c r="AA227" s="1976">
        <f>266900+13800</f>
        <v>280700</v>
      </c>
      <c r="AB227" s="573">
        <v>0</v>
      </c>
      <c r="AC227" s="1976">
        <v>7400</v>
      </c>
      <c r="AD227" s="573">
        <v>0</v>
      </c>
      <c r="AE227" s="1976">
        <v>0</v>
      </c>
      <c r="AF227" s="641">
        <f t="shared" si="13"/>
        <v>7400</v>
      </c>
      <c r="AG227" s="3141">
        <v>32900</v>
      </c>
    </row>
    <row r="228" spans="1:33" s="10" customFormat="1">
      <c r="A228" s="63">
        <f t="shared" si="12"/>
        <v>2011.03</v>
      </c>
      <c r="B228" s="250">
        <v>2538860</v>
      </c>
      <c r="C228" s="3140">
        <v>172309</v>
      </c>
      <c r="D228" s="3140">
        <v>0</v>
      </c>
      <c r="E228" s="134">
        <v>0</v>
      </c>
      <c r="F228" s="573">
        <v>491161</v>
      </c>
      <c r="G228" s="3140">
        <v>71266</v>
      </c>
      <c r="H228" s="3140">
        <v>0</v>
      </c>
      <c r="I228" s="86">
        <v>0</v>
      </c>
      <c r="J228" s="573">
        <v>1976395</v>
      </c>
      <c r="K228" s="3140">
        <v>80072</v>
      </c>
      <c r="L228" s="3140">
        <v>0</v>
      </c>
      <c r="M228" s="86">
        <v>0</v>
      </c>
      <c r="N228" s="573">
        <v>8285</v>
      </c>
      <c r="O228" s="3140">
        <v>0</v>
      </c>
      <c r="P228" s="3140">
        <v>0</v>
      </c>
      <c r="Q228" s="86">
        <v>0</v>
      </c>
      <c r="R228" s="134">
        <v>2750251</v>
      </c>
      <c r="S228" s="3140">
        <v>528336</v>
      </c>
      <c r="T228" s="3140">
        <v>940</v>
      </c>
      <c r="U228" s="86">
        <v>0</v>
      </c>
      <c r="V228" s="134">
        <v>185257</v>
      </c>
      <c r="W228" s="1976">
        <v>194535</v>
      </c>
      <c r="X228" s="573">
        <v>0</v>
      </c>
      <c r="Y228" s="1976">
        <v>12150</v>
      </c>
      <c r="Z228" s="641">
        <f t="shared" si="10"/>
        <v>391942</v>
      </c>
      <c r="AA228" s="1976">
        <f>400934+12150</f>
        <v>413084</v>
      </c>
      <c r="AB228" s="573">
        <v>3000</v>
      </c>
      <c r="AC228" s="1976">
        <v>39800</v>
      </c>
      <c r="AD228" s="573">
        <v>0</v>
      </c>
      <c r="AE228" s="1976">
        <v>0</v>
      </c>
      <c r="AF228" s="641">
        <f t="shared" si="13"/>
        <v>42800</v>
      </c>
      <c r="AG228" s="3141">
        <v>61800</v>
      </c>
    </row>
    <row r="229" spans="1:33" s="10" customFormat="1">
      <c r="A229" s="63">
        <f t="shared" si="12"/>
        <v>2011.04</v>
      </c>
      <c r="B229" s="250">
        <v>3302936</v>
      </c>
      <c r="C229" s="3140">
        <v>85904</v>
      </c>
      <c r="D229" s="3140">
        <v>0</v>
      </c>
      <c r="E229" s="134">
        <v>0</v>
      </c>
      <c r="F229" s="573">
        <v>639170</v>
      </c>
      <c r="G229" s="3140">
        <v>35132</v>
      </c>
      <c r="H229" s="3140">
        <v>0</v>
      </c>
      <c r="I229" s="86">
        <v>0</v>
      </c>
      <c r="J229" s="573">
        <v>2582678</v>
      </c>
      <c r="K229" s="3140">
        <v>42845</v>
      </c>
      <c r="L229" s="3140">
        <v>0</v>
      </c>
      <c r="M229" s="86">
        <v>0</v>
      </c>
      <c r="N229" s="573">
        <v>11802</v>
      </c>
      <c r="O229" s="3140">
        <v>0</v>
      </c>
      <c r="P229" s="3140">
        <v>0</v>
      </c>
      <c r="Q229" s="86">
        <v>0</v>
      </c>
      <c r="R229" s="134">
        <v>3742495</v>
      </c>
      <c r="S229" s="3140">
        <v>314222</v>
      </c>
      <c r="T229" s="3140">
        <v>862</v>
      </c>
      <c r="U229" s="86">
        <v>0</v>
      </c>
      <c r="V229" s="134">
        <v>75920</v>
      </c>
      <c r="W229" s="1976">
        <v>206074</v>
      </c>
      <c r="X229" s="573">
        <v>0</v>
      </c>
      <c r="Y229" s="1976">
        <v>0</v>
      </c>
      <c r="Z229" s="641">
        <f t="shared" si="10"/>
        <v>281994</v>
      </c>
      <c r="AA229" s="1976">
        <v>300994</v>
      </c>
      <c r="AB229" s="573">
        <v>3550</v>
      </c>
      <c r="AC229" s="1976">
        <v>19000</v>
      </c>
      <c r="AD229" s="573">
        <v>0</v>
      </c>
      <c r="AE229" s="1976">
        <v>0</v>
      </c>
      <c r="AF229" s="641">
        <f t="shared" si="13"/>
        <v>22550</v>
      </c>
      <c r="AG229" s="3141">
        <v>135640</v>
      </c>
    </row>
    <row r="230" spans="1:33" s="10" customFormat="1">
      <c r="A230" s="63">
        <f t="shared" si="12"/>
        <v>2011.05</v>
      </c>
      <c r="B230" s="250">
        <v>3480090</v>
      </c>
      <c r="C230" s="3140">
        <v>67897</v>
      </c>
      <c r="D230" s="3140">
        <v>0</v>
      </c>
      <c r="E230" s="134">
        <v>22405</v>
      </c>
      <c r="F230" s="573">
        <v>657478</v>
      </c>
      <c r="G230" s="3140">
        <v>27604</v>
      </c>
      <c r="H230" s="3140">
        <v>0</v>
      </c>
      <c r="I230" s="86">
        <v>3363</v>
      </c>
      <c r="J230" s="573">
        <v>2688328</v>
      </c>
      <c r="K230" s="3140">
        <v>34997</v>
      </c>
      <c r="L230" s="3140">
        <v>0</v>
      </c>
      <c r="M230" s="86">
        <v>18594</v>
      </c>
      <c r="N230" s="573">
        <v>11863</v>
      </c>
      <c r="O230" s="3140">
        <v>0</v>
      </c>
      <c r="P230" s="3140">
        <v>0</v>
      </c>
      <c r="Q230" s="86">
        <v>0</v>
      </c>
      <c r="R230" s="134">
        <v>3963056</v>
      </c>
      <c r="S230" s="3140">
        <v>268969</v>
      </c>
      <c r="T230" s="3140">
        <v>150</v>
      </c>
      <c r="U230" s="86">
        <v>22405</v>
      </c>
      <c r="V230" s="134">
        <v>113063</v>
      </c>
      <c r="W230" s="1976">
        <v>418916</v>
      </c>
      <c r="X230" s="573">
        <v>0</v>
      </c>
      <c r="Y230" s="1976">
        <v>40004</v>
      </c>
      <c r="Z230" s="641">
        <f t="shared" si="10"/>
        <v>571983</v>
      </c>
      <c r="AA230" s="1976">
        <f>558329+40004</f>
        <v>598333</v>
      </c>
      <c r="AB230" s="573">
        <v>15600</v>
      </c>
      <c r="AC230" s="1976">
        <v>33200</v>
      </c>
      <c r="AD230" s="573">
        <v>0</v>
      </c>
      <c r="AE230" s="1976">
        <v>0</v>
      </c>
      <c r="AF230" s="641">
        <f t="shared" si="13"/>
        <v>48800</v>
      </c>
      <c r="AG230" s="3141">
        <v>71882</v>
      </c>
    </row>
    <row r="231" spans="1:33" s="10" customFormat="1">
      <c r="A231" s="63">
        <f t="shared" si="12"/>
        <v>2011.06</v>
      </c>
      <c r="B231" s="250">
        <v>2859165</v>
      </c>
      <c r="C231" s="3140">
        <v>123127</v>
      </c>
      <c r="D231" s="3140">
        <v>0</v>
      </c>
      <c r="E231" s="134">
        <v>25796</v>
      </c>
      <c r="F231" s="573">
        <v>541410</v>
      </c>
      <c r="G231" s="3140">
        <v>50670</v>
      </c>
      <c r="H231" s="3140">
        <v>0</v>
      </c>
      <c r="I231" s="86">
        <v>3723</v>
      </c>
      <c r="J231" s="573">
        <v>2217835</v>
      </c>
      <c r="K231" s="3140">
        <v>57721</v>
      </c>
      <c r="L231" s="3140">
        <v>0</v>
      </c>
      <c r="M231" s="86">
        <v>21556</v>
      </c>
      <c r="N231" s="573">
        <v>12639</v>
      </c>
      <c r="O231" s="3140">
        <v>0</v>
      </c>
      <c r="P231" s="3140">
        <v>0</v>
      </c>
      <c r="Q231" s="86">
        <v>0</v>
      </c>
      <c r="R231" s="134">
        <v>3265023</v>
      </c>
      <c r="S231" s="3140">
        <v>394674</v>
      </c>
      <c r="T231" s="3140">
        <v>1137</v>
      </c>
      <c r="U231" s="86">
        <v>25796</v>
      </c>
      <c r="V231" s="134">
        <v>74772</v>
      </c>
      <c r="W231" s="1976">
        <v>412585</v>
      </c>
      <c r="X231" s="573">
        <v>0</v>
      </c>
      <c r="Y231" s="1976">
        <v>2957</v>
      </c>
      <c r="Z231" s="641">
        <f t="shared" si="10"/>
        <v>490314</v>
      </c>
      <c r="AA231" s="1976">
        <f>532557+2957</f>
        <v>535514</v>
      </c>
      <c r="AB231" s="573">
        <v>5508</v>
      </c>
      <c r="AC231" s="1976">
        <v>75100</v>
      </c>
      <c r="AD231" s="573">
        <v>0</v>
      </c>
      <c r="AE231" s="1976">
        <v>0</v>
      </c>
      <c r="AF231" s="641">
        <f t="shared" si="13"/>
        <v>80608</v>
      </c>
      <c r="AG231" s="3141">
        <v>135107</v>
      </c>
    </row>
    <row r="232" spans="1:33" s="10" customFormat="1">
      <c r="A232" s="63">
        <f t="shared" si="12"/>
        <v>2011.07</v>
      </c>
      <c r="B232" s="250">
        <v>2744956</v>
      </c>
      <c r="C232" s="3140">
        <v>105720</v>
      </c>
      <c r="D232" s="3140">
        <v>0</v>
      </c>
      <c r="E232" s="134">
        <v>31740</v>
      </c>
      <c r="F232" s="573">
        <v>523124</v>
      </c>
      <c r="G232" s="3140">
        <v>43650</v>
      </c>
      <c r="H232" s="3140">
        <v>0</v>
      </c>
      <c r="I232" s="86">
        <v>4444</v>
      </c>
      <c r="J232" s="573">
        <v>2137138</v>
      </c>
      <c r="K232" s="3140">
        <v>49592</v>
      </c>
      <c r="L232" s="3140">
        <v>0</v>
      </c>
      <c r="M232" s="86">
        <v>26661</v>
      </c>
      <c r="N232" s="573">
        <v>12821</v>
      </c>
      <c r="O232" s="3140">
        <v>0</v>
      </c>
      <c r="P232" s="3140">
        <v>0</v>
      </c>
      <c r="Q232" s="86">
        <v>0</v>
      </c>
      <c r="R232" s="134">
        <v>3228883</v>
      </c>
      <c r="S232" s="3140">
        <v>314022</v>
      </c>
      <c r="T232" s="3140">
        <v>1216</v>
      </c>
      <c r="U232" s="86">
        <v>31740</v>
      </c>
      <c r="V232" s="134">
        <v>116715</v>
      </c>
      <c r="W232" s="1976">
        <v>183460</v>
      </c>
      <c r="X232" s="573">
        <v>0</v>
      </c>
      <c r="Y232" s="1976">
        <f>20000+1831</f>
        <v>21831</v>
      </c>
      <c r="Z232" s="641">
        <f t="shared" si="10"/>
        <v>322006</v>
      </c>
      <c r="AA232" s="1976">
        <f>318175+21831</f>
        <v>340006</v>
      </c>
      <c r="AB232" s="573">
        <v>0</v>
      </c>
      <c r="AC232" s="1976">
        <v>20500</v>
      </c>
      <c r="AD232" s="573">
        <v>0</v>
      </c>
      <c r="AE232" s="1976">
        <v>0</v>
      </c>
      <c r="AF232" s="641">
        <f t="shared" si="13"/>
        <v>20500</v>
      </c>
      <c r="AG232" s="3141">
        <v>67280</v>
      </c>
    </row>
    <row r="233" spans="1:33" s="10" customFormat="1">
      <c r="A233" s="63">
        <f t="shared" si="12"/>
        <v>2011.08</v>
      </c>
      <c r="B233" s="250">
        <v>2573611</v>
      </c>
      <c r="C233" s="3140">
        <v>107255</v>
      </c>
      <c r="D233" s="3140">
        <v>0</v>
      </c>
      <c r="E233" s="134">
        <v>30804</v>
      </c>
      <c r="F233" s="573">
        <v>485803</v>
      </c>
      <c r="G233" s="3140">
        <v>44567</v>
      </c>
      <c r="H233" s="3140">
        <v>0</v>
      </c>
      <c r="I233" s="86">
        <v>4405</v>
      </c>
      <c r="J233" s="573">
        <v>1966167</v>
      </c>
      <c r="K233" s="3140">
        <v>51468</v>
      </c>
      <c r="L233" s="3140">
        <v>0</v>
      </c>
      <c r="M233" s="86">
        <v>25783</v>
      </c>
      <c r="N233" s="573">
        <v>12922</v>
      </c>
      <c r="O233" s="3140">
        <v>0</v>
      </c>
      <c r="P233" s="3140">
        <v>0</v>
      </c>
      <c r="Q233" s="86">
        <v>0</v>
      </c>
      <c r="R233" s="134">
        <v>3011541</v>
      </c>
      <c r="S233" s="3140">
        <v>352275</v>
      </c>
      <c r="T233" s="3140">
        <v>77</v>
      </c>
      <c r="U233" s="86">
        <v>30804</v>
      </c>
      <c r="V233" s="134">
        <v>64996</v>
      </c>
      <c r="W233" s="1976">
        <v>352645</v>
      </c>
      <c r="X233" s="573">
        <v>0</v>
      </c>
      <c r="Y233" s="1976">
        <f>21602+1847</f>
        <v>23449</v>
      </c>
      <c r="Z233" s="641">
        <f t="shared" si="10"/>
        <v>441090</v>
      </c>
      <c r="AA233" s="1976">
        <f>457316+23449</f>
        <v>480765</v>
      </c>
      <c r="AB233" s="573">
        <v>0</v>
      </c>
      <c r="AC233" s="1976">
        <v>17800</v>
      </c>
      <c r="AD233" s="573">
        <v>0</v>
      </c>
      <c r="AE233" s="1976">
        <v>0</v>
      </c>
      <c r="AF233" s="641">
        <f t="shared" si="13"/>
        <v>17800</v>
      </c>
      <c r="AG233" s="3141">
        <v>56601</v>
      </c>
    </row>
    <row r="234" spans="1:33" s="10" customFormat="1">
      <c r="A234" s="63">
        <f t="shared" si="12"/>
        <v>2011.09</v>
      </c>
      <c r="B234" s="250">
        <v>3273214</v>
      </c>
      <c r="C234" s="3140">
        <v>54343</v>
      </c>
      <c r="D234" s="3140">
        <v>0</v>
      </c>
      <c r="E234" s="134">
        <v>30404</v>
      </c>
      <c r="F234" s="573">
        <v>624547</v>
      </c>
      <c r="G234" s="3140">
        <v>22498</v>
      </c>
      <c r="H234" s="3140">
        <v>0</v>
      </c>
      <c r="I234" s="86">
        <v>4363</v>
      </c>
      <c r="J234" s="573">
        <v>2528579</v>
      </c>
      <c r="K234" s="3140">
        <v>28127</v>
      </c>
      <c r="L234" s="3140">
        <v>0</v>
      </c>
      <c r="M234" s="86">
        <v>25433</v>
      </c>
      <c r="N234" s="573">
        <v>12851</v>
      </c>
      <c r="O234" s="3140">
        <v>0</v>
      </c>
      <c r="P234" s="3140">
        <v>0</v>
      </c>
      <c r="Q234" s="86">
        <v>0</v>
      </c>
      <c r="R234" s="134">
        <v>3717074</v>
      </c>
      <c r="S234" s="3140">
        <v>284145</v>
      </c>
      <c r="T234" s="3140">
        <v>383</v>
      </c>
      <c r="U234" s="86">
        <v>30404</v>
      </c>
      <c r="V234" s="134">
        <v>91017</v>
      </c>
      <c r="W234" s="1976">
        <v>219501</v>
      </c>
      <c r="X234" s="573">
        <v>0</v>
      </c>
      <c r="Y234" s="1976">
        <f>20000</f>
        <v>20000</v>
      </c>
      <c r="Z234" s="641">
        <f t="shared" si="10"/>
        <v>330518</v>
      </c>
      <c r="AA234" s="1976">
        <f>326460+20000</f>
        <v>346460</v>
      </c>
      <c r="AB234" s="573">
        <v>4100</v>
      </c>
      <c r="AC234" s="1976">
        <v>2200</v>
      </c>
      <c r="AD234" s="573">
        <v>0</v>
      </c>
      <c r="AE234" s="1976">
        <v>0</v>
      </c>
      <c r="AF234" s="641">
        <f t="shared" si="13"/>
        <v>6300</v>
      </c>
      <c r="AG234" s="3141">
        <v>21700</v>
      </c>
    </row>
    <row r="235" spans="1:33" s="10" customFormat="1">
      <c r="A235" s="63">
        <f t="shared" si="12"/>
        <v>2011.1</v>
      </c>
      <c r="B235" s="250">
        <v>2880412</v>
      </c>
      <c r="C235" s="3140">
        <v>52550</v>
      </c>
      <c r="D235" s="3140">
        <v>0</v>
      </c>
      <c r="E235" s="134">
        <v>12529</v>
      </c>
      <c r="F235" s="573">
        <v>552026</v>
      </c>
      <c r="G235" s="3140">
        <v>21854</v>
      </c>
      <c r="H235" s="3140">
        <v>0</v>
      </c>
      <c r="I235" s="86">
        <v>2496</v>
      </c>
      <c r="J235" s="573">
        <v>2206352</v>
      </c>
      <c r="K235" s="3140">
        <v>23798</v>
      </c>
      <c r="L235" s="3140">
        <v>0</v>
      </c>
      <c r="M235" s="86">
        <v>0</v>
      </c>
      <c r="N235" s="573">
        <v>11966</v>
      </c>
      <c r="O235" s="3140">
        <v>0</v>
      </c>
      <c r="P235" s="3140">
        <v>0</v>
      </c>
      <c r="Q235" s="86">
        <v>0</v>
      </c>
      <c r="R235" s="134">
        <v>3316838</v>
      </c>
      <c r="S235" s="3140">
        <v>248004</v>
      </c>
      <c r="T235" s="3140">
        <v>300</v>
      </c>
      <c r="U235" s="86">
        <v>12529</v>
      </c>
      <c r="V235" s="134">
        <v>93082</v>
      </c>
      <c r="W235" s="1976">
        <v>271660</v>
      </c>
      <c r="X235" s="573">
        <v>0</v>
      </c>
      <c r="Y235" s="1976">
        <f>9000</f>
        <v>9000</v>
      </c>
      <c r="Z235" s="641">
        <f t="shared" si="10"/>
        <v>373742</v>
      </c>
      <c r="AA235" s="1976">
        <f>414022+9000</f>
        <v>423022</v>
      </c>
      <c r="AB235" s="573">
        <v>4925</v>
      </c>
      <c r="AC235" s="1976">
        <f>15000+5250</f>
        <v>20250</v>
      </c>
      <c r="AD235" s="573">
        <v>0</v>
      </c>
      <c r="AE235" s="1976">
        <v>0</v>
      </c>
      <c r="AF235" s="641">
        <f t="shared" si="13"/>
        <v>25175</v>
      </c>
      <c r="AG235" s="3141">
        <f>5250+77405</f>
        <v>82655</v>
      </c>
    </row>
    <row r="236" spans="1:33" s="10" customFormat="1">
      <c r="A236" s="63">
        <f t="shared" si="12"/>
        <v>2011.11</v>
      </c>
      <c r="B236" s="250">
        <v>2600324</v>
      </c>
      <c r="C236" s="3140">
        <v>14387</v>
      </c>
      <c r="D236" s="3140">
        <v>0</v>
      </c>
      <c r="E236" s="134">
        <v>3952</v>
      </c>
      <c r="F236" s="573">
        <v>502606</v>
      </c>
      <c r="G236" s="3140">
        <v>6000</v>
      </c>
      <c r="H236" s="3140">
        <v>0</v>
      </c>
      <c r="I236" s="86">
        <v>566</v>
      </c>
      <c r="J236" s="573">
        <v>2018395</v>
      </c>
      <c r="K236" s="3140">
        <v>7843</v>
      </c>
      <c r="L236" s="3140">
        <v>0</v>
      </c>
      <c r="M236" s="86">
        <v>0</v>
      </c>
      <c r="N236" s="573">
        <v>12873</v>
      </c>
      <c r="O236" s="3140">
        <v>0</v>
      </c>
      <c r="P236" s="3140">
        <v>0</v>
      </c>
      <c r="Q236" s="86">
        <v>0</v>
      </c>
      <c r="R236" s="134">
        <v>2977055</v>
      </c>
      <c r="S236" s="3140">
        <v>184877</v>
      </c>
      <c r="T236" s="3140">
        <v>80</v>
      </c>
      <c r="U236" s="86">
        <v>3952</v>
      </c>
      <c r="V236" s="134">
        <v>51455</v>
      </c>
      <c r="W236" s="1976">
        <v>212551</v>
      </c>
      <c r="X236" s="573">
        <v>0</v>
      </c>
      <c r="Y236" s="1976">
        <f>6478</f>
        <v>6478</v>
      </c>
      <c r="Z236" s="641">
        <f t="shared" si="10"/>
        <v>270484</v>
      </c>
      <c r="AA236" s="1976">
        <f>271006+6478</f>
        <v>277484</v>
      </c>
      <c r="AB236" s="573">
        <v>0</v>
      </c>
      <c r="AC236" s="1976">
        <v>4500</v>
      </c>
      <c r="AD236" s="573">
        <v>0</v>
      </c>
      <c r="AE236" s="1976">
        <v>0</v>
      </c>
      <c r="AF236" s="641">
        <f t="shared" si="13"/>
        <v>4500</v>
      </c>
      <c r="AG236" s="3141">
        <v>62840</v>
      </c>
    </row>
    <row r="237" spans="1:33" s="10" customFormat="1">
      <c r="A237" s="63">
        <f t="shared" si="12"/>
        <v>2011.12</v>
      </c>
      <c r="B237" s="250">
        <v>2422645</v>
      </c>
      <c r="C237" s="3140">
        <v>21132</v>
      </c>
      <c r="D237" s="3140">
        <v>0</v>
      </c>
      <c r="E237" s="134">
        <v>0</v>
      </c>
      <c r="F237" s="573">
        <v>464209</v>
      </c>
      <c r="G237" s="3140">
        <v>8420</v>
      </c>
      <c r="H237" s="3140">
        <v>0</v>
      </c>
      <c r="I237" s="86">
        <v>0</v>
      </c>
      <c r="J237" s="573">
        <v>1865659</v>
      </c>
      <c r="K237" s="3140">
        <v>10125</v>
      </c>
      <c r="L237" s="3140">
        <v>0</v>
      </c>
      <c r="M237" s="86">
        <v>0</v>
      </c>
      <c r="N237" s="573">
        <v>13745</v>
      </c>
      <c r="O237" s="3140">
        <v>0</v>
      </c>
      <c r="P237" s="3140">
        <v>0</v>
      </c>
      <c r="Q237" s="86">
        <v>0</v>
      </c>
      <c r="R237" s="134">
        <v>2845965</v>
      </c>
      <c r="S237" s="3140">
        <v>246870</v>
      </c>
      <c r="T237" s="3140">
        <v>267</v>
      </c>
      <c r="U237" s="86">
        <v>0</v>
      </c>
      <c r="V237" s="134">
        <v>78238</v>
      </c>
      <c r="W237" s="1976">
        <v>133250</v>
      </c>
      <c r="X237" s="573">
        <v>0</v>
      </c>
      <c r="Y237" s="1976">
        <f>21500</f>
        <v>21500</v>
      </c>
      <c r="Z237" s="641">
        <f t="shared" si="10"/>
        <v>232988</v>
      </c>
      <c r="AA237" s="1976">
        <f>234738+21500</f>
        <v>256238</v>
      </c>
      <c r="AB237" s="573">
        <v>2875</v>
      </c>
      <c r="AC237" s="1976">
        <v>11950</v>
      </c>
      <c r="AD237" s="573">
        <v>1475</v>
      </c>
      <c r="AE237" s="1976">
        <v>0</v>
      </c>
      <c r="AF237" s="641">
        <f t="shared" si="13"/>
        <v>16300</v>
      </c>
      <c r="AG237" s="3141">
        <f>38375+1475</f>
        <v>39850</v>
      </c>
    </row>
    <row r="238" spans="1:33" s="10" customFormat="1">
      <c r="A238" s="63">
        <f t="shared" si="12"/>
        <v>2012.01</v>
      </c>
      <c r="B238" s="250">
        <v>2243816</v>
      </c>
      <c r="C238" s="3140">
        <v>147360</v>
      </c>
      <c r="D238" s="3140">
        <v>0</v>
      </c>
      <c r="E238" s="134">
        <v>0</v>
      </c>
      <c r="F238" s="573">
        <v>428443</v>
      </c>
      <c r="G238" s="3140">
        <v>52971</v>
      </c>
      <c r="H238" s="3140">
        <v>0</v>
      </c>
      <c r="I238" s="86">
        <v>0</v>
      </c>
      <c r="J238" s="573">
        <v>1736705</v>
      </c>
      <c r="K238" s="3140">
        <v>54691</v>
      </c>
      <c r="L238" s="3140">
        <v>0</v>
      </c>
      <c r="M238" s="86">
        <v>0</v>
      </c>
      <c r="N238" s="573">
        <v>10974</v>
      </c>
      <c r="O238" s="3140">
        <v>0</v>
      </c>
      <c r="P238" s="3140">
        <v>0</v>
      </c>
      <c r="Q238" s="86">
        <v>0</v>
      </c>
      <c r="R238" s="134">
        <v>2697485</v>
      </c>
      <c r="S238" s="3140">
        <v>216838</v>
      </c>
      <c r="T238" s="3140">
        <v>1080</v>
      </c>
      <c r="U238" s="86">
        <v>0</v>
      </c>
      <c r="V238" s="134">
        <v>23868</v>
      </c>
      <c r="W238" s="1976">
        <v>147769</v>
      </c>
      <c r="X238" s="573">
        <v>0</v>
      </c>
      <c r="Y238" s="1976">
        <f>16500</f>
        <v>16500</v>
      </c>
      <c r="Z238" s="641">
        <f t="shared" si="10"/>
        <v>188137</v>
      </c>
      <c r="AA238" s="1976">
        <f>191937+16500</f>
        <v>208437</v>
      </c>
      <c r="AB238" s="573">
        <v>0</v>
      </c>
      <c r="AC238" s="1976">
        <v>4597</v>
      </c>
      <c r="AD238" s="573">
        <v>0</v>
      </c>
      <c r="AE238" s="1976">
        <v>0</v>
      </c>
      <c r="AF238" s="641">
        <f t="shared" si="13"/>
        <v>4597</v>
      </c>
      <c r="AG238" s="3141">
        <v>33597</v>
      </c>
    </row>
    <row r="239" spans="1:33" s="10" customFormat="1">
      <c r="A239" s="63">
        <f t="shared" si="12"/>
        <v>2012.02</v>
      </c>
      <c r="B239" s="250">
        <v>1910375</v>
      </c>
      <c r="C239" s="3140">
        <v>200864</v>
      </c>
      <c r="D239" s="3140">
        <v>0</v>
      </c>
      <c r="E239" s="134">
        <v>0</v>
      </c>
      <c r="F239" s="573">
        <v>369542</v>
      </c>
      <c r="G239" s="3140">
        <v>72625</v>
      </c>
      <c r="H239" s="3140">
        <v>0</v>
      </c>
      <c r="I239" s="86">
        <v>0</v>
      </c>
      <c r="J239" s="573">
        <v>1487426</v>
      </c>
      <c r="K239" s="3140">
        <v>73478</v>
      </c>
      <c r="L239" s="3140">
        <v>0</v>
      </c>
      <c r="M239" s="86">
        <v>0</v>
      </c>
      <c r="N239" s="573">
        <v>11288</v>
      </c>
      <c r="O239" s="3140">
        <v>0</v>
      </c>
      <c r="P239" s="3140">
        <v>0</v>
      </c>
      <c r="Q239" s="86">
        <v>0</v>
      </c>
      <c r="R239" s="134">
        <v>2265447</v>
      </c>
      <c r="S239" s="3140">
        <v>323945</v>
      </c>
      <c r="T239" s="3140">
        <v>600</v>
      </c>
      <c r="U239" s="86">
        <v>0</v>
      </c>
      <c r="V239" s="134">
        <v>96079</v>
      </c>
      <c r="W239" s="1976">
        <v>229740</v>
      </c>
      <c r="X239" s="573">
        <v>0</v>
      </c>
      <c r="Y239" s="1976">
        <v>19086</v>
      </c>
      <c r="Z239" s="641">
        <f t="shared" si="10"/>
        <v>344905</v>
      </c>
      <c r="AA239" s="1976">
        <f>421139+19086</f>
        <v>440225</v>
      </c>
      <c r="AB239" s="573">
        <v>0</v>
      </c>
      <c r="AC239" s="1976">
        <v>41700</v>
      </c>
      <c r="AD239" s="573">
        <v>0</v>
      </c>
      <c r="AE239" s="1976">
        <v>0</v>
      </c>
      <c r="AF239" s="641">
        <f t="shared" si="13"/>
        <v>41700</v>
      </c>
      <c r="AG239" s="3141">
        <v>80100</v>
      </c>
    </row>
    <row r="240" spans="1:33" s="10" customFormat="1">
      <c r="A240" s="63">
        <f t="shared" si="12"/>
        <v>2012.03</v>
      </c>
      <c r="B240" s="250">
        <v>2062809</v>
      </c>
      <c r="C240" s="3140">
        <v>180018</v>
      </c>
      <c r="D240" s="3140">
        <v>0</v>
      </c>
      <c r="E240" s="134">
        <v>0</v>
      </c>
      <c r="F240" s="573">
        <v>401362</v>
      </c>
      <c r="G240" s="3140">
        <v>73995</v>
      </c>
      <c r="H240" s="3140">
        <v>0</v>
      </c>
      <c r="I240" s="86">
        <v>0</v>
      </c>
      <c r="J240" s="573">
        <v>1591089</v>
      </c>
      <c r="K240" s="3140">
        <v>80872</v>
      </c>
      <c r="L240" s="3140">
        <v>0</v>
      </c>
      <c r="M240" s="86">
        <v>0</v>
      </c>
      <c r="N240" s="573">
        <v>13127</v>
      </c>
      <c r="O240" s="3140">
        <v>0</v>
      </c>
      <c r="P240" s="3140">
        <v>0</v>
      </c>
      <c r="Q240" s="86">
        <v>0</v>
      </c>
      <c r="R240" s="134">
        <v>2436638</v>
      </c>
      <c r="S240" s="3140">
        <v>566052</v>
      </c>
      <c r="T240" s="3140">
        <v>220</v>
      </c>
      <c r="U240" s="86">
        <v>0</v>
      </c>
      <c r="V240" s="134">
        <v>17300</v>
      </c>
      <c r="W240" s="1976">
        <v>274806</v>
      </c>
      <c r="X240" s="573">
        <v>0</v>
      </c>
      <c r="Y240" s="1976">
        <f>11000+4964</f>
        <v>15964</v>
      </c>
      <c r="Z240" s="641">
        <f t="shared" si="10"/>
        <v>308070</v>
      </c>
      <c r="AA240" s="1976">
        <f>316856+15964</f>
        <v>332820</v>
      </c>
      <c r="AB240" s="573">
        <v>0</v>
      </c>
      <c r="AC240" s="1976">
        <v>61000</v>
      </c>
      <c r="AD240" s="573">
        <v>0</v>
      </c>
      <c r="AE240" s="1976">
        <v>0</v>
      </c>
      <c r="AF240" s="641">
        <f t="shared" si="13"/>
        <v>61000</v>
      </c>
      <c r="AG240" s="3141">
        <v>86350</v>
      </c>
    </row>
    <row r="241" spans="1:35" s="10" customFormat="1">
      <c r="A241" s="63">
        <f t="shared" si="12"/>
        <v>2012.04</v>
      </c>
      <c r="B241" s="250">
        <v>3167072</v>
      </c>
      <c r="C241" s="3140">
        <v>140386</v>
      </c>
      <c r="D241" s="3140">
        <v>0</v>
      </c>
      <c r="E241" s="134">
        <v>0</v>
      </c>
      <c r="F241" s="573">
        <v>616109</v>
      </c>
      <c r="G241" s="3140">
        <v>57842</v>
      </c>
      <c r="H241" s="3140">
        <v>0</v>
      </c>
      <c r="I241" s="86">
        <v>0</v>
      </c>
      <c r="J241" s="573">
        <v>2461016</v>
      </c>
      <c r="K241" s="3140">
        <v>64511</v>
      </c>
      <c r="L241" s="3140">
        <v>0</v>
      </c>
      <c r="M241" s="86">
        <v>0</v>
      </c>
      <c r="N241" s="573">
        <v>8828</v>
      </c>
      <c r="O241" s="3140">
        <v>0</v>
      </c>
      <c r="P241" s="3140">
        <v>0</v>
      </c>
      <c r="Q241" s="86">
        <v>0</v>
      </c>
      <c r="R241" s="134">
        <v>3505040</v>
      </c>
      <c r="S241" s="3140">
        <v>479905</v>
      </c>
      <c r="T241" s="3140">
        <v>0</v>
      </c>
      <c r="U241" s="86">
        <v>0</v>
      </c>
      <c r="V241" s="134">
        <v>30278</v>
      </c>
      <c r="W241" s="1976">
        <v>249019</v>
      </c>
      <c r="X241" s="573">
        <v>1772</v>
      </c>
      <c r="Y241" s="1976">
        <v>0</v>
      </c>
      <c r="Z241" s="641">
        <f t="shared" si="10"/>
        <v>281069</v>
      </c>
      <c r="AA241" s="1976">
        <f>295947+1772</f>
        <v>297719</v>
      </c>
      <c r="AB241" s="573">
        <v>0</v>
      </c>
      <c r="AC241" s="1976">
        <v>27267</v>
      </c>
      <c r="AD241" s="573">
        <v>0</v>
      </c>
      <c r="AE241" s="1976">
        <v>0</v>
      </c>
      <c r="AF241" s="641">
        <f t="shared" si="13"/>
        <v>27267</v>
      </c>
      <c r="AG241" s="3141">
        <v>86517</v>
      </c>
    </row>
    <row r="242" spans="1:35" s="10" customFormat="1">
      <c r="A242" s="63">
        <f t="shared" si="12"/>
        <v>2012.05</v>
      </c>
      <c r="B242" s="250">
        <v>3275086</v>
      </c>
      <c r="C242" s="3140">
        <v>96929</v>
      </c>
      <c r="D242" s="3140">
        <v>0</v>
      </c>
      <c r="E242" s="134">
        <v>27184</v>
      </c>
      <c r="F242" s="573">
        <v>615550</v>
      </c>
      <c r="G242" s="3140">
        <v>30153</v>
      </c>
      <c r="H242" s="3140">
        <v>0</v>
      </c>
      <c r="I242" s="86">
        <v>4185</v>
      </c>
      <c r="J242" s="573">
        <v>2549974</v>
      </c>
      <c r="K242" s="3140">
        <v>36228</v>
      </c>
      <c r="L242" s="3140">
        <v>0</v>
      </c>
      <c r="M242" s="86">
        <v>22456</v>
      </c>
      <c r="N242" s="573">
        <v>11218</v>
      </c>
      <c r="O242" s="3140">
        <v>0</v>
      </c>
      <c r="P242" s="3140">
        <v>0</v>
      </c>
      <c r="Q242" s="86">
        <v>0</v>
      </c>
      <c r="R242" s="134">
        <v>3766583</v>
      </c>
      <c r="S242" s="3140">
        <v>287994</v>
      </c>
      <c r="T242" s="3140">
        <v>175</v>
      </c>
      <c r="U242" s="86">
        <v>27184</v>
      </c>
      <c r="V242" s="134">
        <v>79266</v>
      </c>
      <c r="W242" s="1976">
        <v>343738</v>
      </c>
      <c r="X242" s="573">
        <v>2923</v>
      </c>
      <c r="Y242" s="1976">
        <v>1471</v>
      </c>
      <c r="Z242" s="641">
        <f t="shared" si="10"/>
        <v>427398</v>
      </c>
      <c r="AA242" s="1976">
        <f>465304+2923+1471</f>
        <v>469698</v>
      </c>
      <c r="AB242" s="573">
        <v>0</v>
      </c>
      <c r="AC242" s="1976">
        <v>17000</v>
      </c>
      <c r="AD242" s="573">
        <v>0</v>
      </c>
      <c r="AE242" s="1976">
        <v>0</v>
      </c>
      <c r="AF242" s="641">
        <f t="shared" si="13"/>
        <v>17000</v>
      </c>
      <c r="AG242" s="3141">
        <v>66300</v>
      </c>
    </row>
    <row r="243" spans="1:35" s="10" customFormat="1">
      <c r="A243" s="63">
        <f t="shared" si="12"/>
        <v>2012.06</v>
      </c>
      <c r="B243" s="250">
        <v>2731818</v>
      </c>
      <c r="C243" s="3140">
        <v>108025</v>
      </c>
      <c r="D243" s="3140">
        <v>0</v>
      </c>
      <c r="E243" s="134">
        <v>16399</v>
      </c>
      <c r="F243" s="573">
        <v>522568</v>
      </c>
      <c r="G243" s="3140">
        <v>44042</v>
      </c>
      <c r="H243" s="3140">
        <v>0</v>
      </c>
      <c r="I243" s="86">
        <v>2614</v>
      </c>
      <c r="J243" s="573">
        <v>2119871</v>
      </c>
      <c r="K243" s="3140">
        <v>50594</v>
      </c>
      <c r="L243" s="3140">
        <v>0</v>
      </c>
      <c r="M243" s="86">
        <v>13457</v>
      </c>
      <c r="N243" s="573">
        <v>13360</v>
      </c>
      <c r="O243" s="3140">
        <v>0</v>
      </c>
      <c r="P243" s="3140">
        <v>0</v>
      </c>
      <c r="Q243" s="86">
        <v>0</v>
      </c>
      <c r="R243" s="134">
        <v>3213159</v>
      </c>
      <c r="S243" s="3140">
        <v>369608</v>
      </c>
      <c r="T243" s="3140">
        <v>260</v>
      </c>
      <c r="U243" s="86">
        <v>16399</v>
      </c>
      <c r="V243" s="134">
        <v>28420</v>
      </c>
      <c r="W243" s="1976">
        <v>357917</v>
      </c>
      <c r="X243" s="573">
        <v>1034</v>
      </c>
      <c r="Y243" s="1976">
        <f>12000+998</f>
        <v>12998</v>
      </c>
      <c r="Z243" s="641">
        <f t="shared" si="10"/>
        <v>400369</v>
      </c>
      <c r="AA243" s="1976">
        <f>403384+12000+2032</f>
        <v>417416</v>
      </c>
      <c r="AB243" s="573">
        <v>6000</v>
      </c>
      <c r="AC243" s="1976">
        <v>1200</v>
      </c>
      <c r="AD243" s="573">
        <v>0</v>
      </c>
      <c r="AE243" s="1976">
        <v>0</v>
      </c>
      <c r="AF243" s="641">
        <f t="shared" si="13"/>
        <v>7200</v>
      </c>
      <c r="AG243" s="3141">
        <v>83594</v>
      </c>
      <c r="AI243" s="165"/>
    </row>
    <row r="244" spans="1:35" s="10" customFormat="1">
      <c r="A244" s="63">
        <f t="shared" si="12"/>
        <v>2012.07</v>
      </c>
      <c r="B244" s="250">
        <v>2466046</v>
      </c>
      <c r="C244" s="3140">
        <v>86638</v>
      </c>
      <c r="D244" s="3140">
        <v>0</v>
      </c>
      <c r="E244" s="134">
        <v>25183</v>
      </c>
      <c r="F244" s="573">
        <v>467201</v>
      </c>
      <c r="G244" s="3140">
        <v>35679</v>
      </c>
      <c r="H244" s="3140">
        <v>0</v>
      </c>
      <c r="I244" s="86">
        <v>3903</v>
      </c>
      <c r="J244" s="573">
        <v>1909155</v>
      </c>
      <c r="K244" s="3140">
        <v>42139</v>
      </c>
      <c r="L244" s="3140">
        <v>0</v>
      </c>
      <c r="M244" s="86">
        <v>20776</v>
      </c>
      <c r="N244" s="573">
        <v>12775</v>
      </c>
      <c r="O244" s="3140">
        <v>0</v>
      </c>
      <c r="P244" s="3140">
        <v>0</v>
      </c>
      <c r="Q244" s="86">
        <v>0</v>
      </c>
      <c r="R244" s="134">
        <v>2963372</v>
      </c>
      <c r="S244" s="3140">
        <v>332219</v>
      </c>
      <c r="T244" s="3140">
        <v>200</v>
      </c>
      <c r="U244" s="86">
        <v>25183</v>
      </c>
      <c r="V244" s="134">
        <v>64978</v>
      </c>
      <c r="W244" s="1976">
        <v>205235</v>
      </c>
      <c r="X244" s="573">
        <v>0</v>
      </c>
      <c r="Y244" s="1976">
        <v>2300</v>
      </c>
      <c r="Z244" s="641">
        <f t="shared" si="10"/>
        <v>272513</v>
      </c>
      <c r="AA244" s="1976">
        <f>299603+2300</f>
        <v>301903</v>
      </c>
      <c r="AB244" s="573">
        <v>0</v>
      </c>
      <c r="AC244" s="1976">
        <v>30740</v>
      </c>
      <c r="AD244" s="573">
        <v>0</v>
      </c>
      <c r="AE244" s="1976">
        <v>0</v>
      </c>
      <c r="AF244" s="641">
        <f t="shared" si="13"/>
        <v>30740</v>
      </c>
      <c r="AG244" s="3141">
        <v>56390</v>
      </c>
    </row>
    <row r="245" spans="1:35" s="10" customFormat="1">
      <c r="A245" s="63">
        <f t="shared" si="12"/>
        <v>2012.08</v>
      </c>
      <c r="B245" s="250">
        <v>2304062</v>
      </c>
      <c r="C245" s="3140">
        <v>53430</v>
      </c>
      <c r="D245" s="3140">
        <v>0</v>
      </c>
      <c r="E245" s="134">
        <v>12204</v>
      </c>
      <c r="F245" s="573">
        <v>437058</v>
      </c>
      <c r="G245" s="3140">
        <v>22499</v>
      </c>
      <c r="H245" s="3140">
        <v>0</v>
      </c>
      <c r="I245" s="86">
        <v>1824</v>
      </c>
      <c r="J245" s="573">
        <v>1785949</v>
      </c>
      <c r="K245" s="3140">
        <v>24222</v>
      </c>
      <c r="L245" s="3140">
        <v>0</v>
      </c>
      <c r="M245" s="86">
        <v>10137</v>
      </c>
      <c r="N245" s="573">
        <v>11986</v>
      </c>
      <c r="O245" s="3140">
        <v>0</v>
      </c>
      <c r="P245" s="3140">
        <v>0</v>
      </c>
      <c r="Q245" s="86">
        <v>0</v>
      </c>
      <c r="R245" s="134">
        <v>2812108</v>
      </c>
      <c r="S245" s="3140">
        <v>294938</v>
      </c>
      <c r="T245" s="3140">
        <v>70</v>
      </c>
      <c r="U245" s="86">
        <v>12204</v>
      </c>
      <c r="V245" s="134">
        <v>43845</v>
      </c>
      <c r="W245" s="1976">
        <v>286985</v>
      </c>
      <c r="X245" s="573">
        <f>1955</f>
        <v>1955</v>
      </c>
      <c r="Y245" s="1976">
        <v>1408</v>
      </c>
      <c r="Z245" s="641">
        <f t="shared" si="10"/>
        <v>334193</v>
      </c>
      <c r="AA245" s="1976">
        <f>366337+1955+1408</f>
        <v>369700</v>
      </c>
      <c r="AB245" s="573">
        <v>0</v>
      </c>
      <c r="AC245" s="1976">
        <v>0</v>
      </c>
      <c r="AD245" s="573">
        <v>0</v>
      </c>
      <c r="AE245" s="1976">
        <v>0</v>
      </c>
      <c r="AF245" s="641">
        <f t="shared" si="13"/>
        <v>0</v>
      </c>
      <c r="AG245" s="3141">
        <v>16060</v>
      </c>
    </row>
    <row r="246" spans="1:35" s="10" customFormat="1">
      <c r="A246" s="63">
        <f t="shared" si="12"/>
        <v>2012.09</v>
      </c>
      <c r="B246" s="250">
        <v>2554620</v>
      </c>
      <c r="C246" s="3140">
        <v>51606</v>
      </c>
      <c r="D246" s="3140">
        <v>0</v>
      </c>
      <c r="E246" s="134">
        <v>28237</v>
      </c>
      <c r="F246" s="573">
        <v>487638</v>
      </c>
      <c r="G246" s="3140">
        <v>21512</v>
      </c>
      <c r="H246" s="3140">
        <v>0</v>
      </c>
      <c r="I246" s="86">
        <v>4240</v>
      </c>
      <c r="J246" s="573">
        <v>1981466</v>
      </c>
      <c r="K246" s="3140">
        <v>25890</v>
      </c>
      <c r="L246" s="3140">
        <v>0</v>
      </c>
      <c r="M246" s="86">
        <v>23432</v>
      </c>
      <c r="N246" s="573">
        <v>11406</v>
      </c>
      <c r="O246" s="3140">
        <v>0</v>
      </c>
      <c r="P246" s="3140">
        <v>0</v>
      </c>
      <c r="Q246" s="86">
        <v>0</v>
      </c>
      <c r="R246" s="134">
        <v>3079868</v>
      </c>
      <c r="S246" s="3140">
        <v>233503</v>
      </c>
      <c r="T246" s="3140">
        <v>430</v>
      </c>
      <c r="U246" s="86">
        <v>28237</v>
      </c>
      <c r="V246" s="134">
        <v>27200</v>
      </c>
      <c r="W246" s="1976">
        <v>279153</v>
      </c>
      <c r="X246" s="573">
        <v>0</v>
      </c>
      <c r="Y246" s="1976">
        <v>5000</v>
      </c>
      <c r="Z246" s="641">
        <f t="shared" si="10"/>
        <v>311353</v>
      </c>
      <c r="AA246" s="1976">
        <v>382019</v>
      </c>
      <c r="AB246" s="573">
        <v>0</v>
      </c>
      <c r="AC246" s="1976">
        <v>24300</v>
      </c>
      <c r="AD246" s="573">
        <v>0</v>
      </c>
      <c r="AE246" s="1976">
        <v>0</v>
      </c>
      <c r="AF246" s="641">
        <f t="shared" si="13"/>
        <v>24300</v>
      </c>
      <c r="AG246" s="3141">
        <v>38050</v>
      </c>
    </row>
    <row r="247" spans="1:35" s="10" customFormat="1">
      <c r="A247" s="63">
        <f t="shared" si="12"/>
        <v>2012.1</v>
      </c>
      <c r="B247" s="250">
        <v>1945648</v>
      </c>
      <c r="C247" s="3140">
        <v>48933</v>
      </c>
      <c r="D247" s="3140">
        <v>0</v>
      </c>
      <c r="E247" s="134">
        <v>1827</v>
      </c>
      <c r="F247" s="573">
        <v>378599</v>
      </c>
      <c r="G247" s="3140">
        <v>20456</v>
      </c>
      <c r="H247" s="3140">
        <v>0</v>
      </c>
      <c r="I247" s="86">
        <v>275</v>
      </c>
      <c r="J247" s="573">
        <v>1508324</v>
      </c>
      <c r="K247" s="3140">
        <v>24418</v>
      </c>
      <c r="L247" s="3140">
        <v>0</v>
      </c>
      <c r="M247" s="86">
        <v>1516</v>
      </c>
      <c r="N247" s="573">
        <v>11367</v>
      </c>
      <c r="O247" s="3140">
        <v>0</v>
      </c>
      <c r="P247" s="3140">
        <v>0</v>
      </c>
      <c r="Q247" s="86">
        <v>0</v>
      </c>
      <c r="R247" s="134">
        <v>2409273</v>
      </c>
      <c r="S247" s="3140">
        <v>260610</v>
      </c>
      <c r="T247" s="3140">
        <v>255</v>
      </c>
      <c r="U247" s="86">
        <v>1827</v>
      </c>
      <c r="V247" s="134">
        <v>44366</v>
      </c>
      <c r="W247" s="1976">
        <v>263966</v>
      </c>
      <c r="X247" s="573">
        <v>1950</v>
      </c>
      <c r="Y247" s="1976">
        <v>10000</v>
      </c>
      <c r="Z247" s="641">
        <f t="shared" si="10"/>
        <v>320282</v>
      </c>
      <c r="AA247" s="1976">
        <f>368471+11950</f>
        <v>380421</v>
      </c>
      <c r="AB247" s="573">
        <v>0</v>
      </c>
      <c r="AC247" s="1976">
        <v>4440</v>
      </c>
      <c r="AD247" s="573">
        <v>0</v>
      </c>
      <c r="AE247" s="1976">
        <v>0</v>
      </c>
      <c r="AF247" s="641">
        <f t="shared" si="13"/>
        <v>4440</v>
      </c>
      <c r="AG247" s="3141">
        <v>22350</v>
      </c>
    </row>
    <row r="248" spans="1:35" s="10" customFormat="1">
      <c r="A248" s="63">
        <f t="shared" si="12"/>
        <v>2012.11</v>
      </c>
      <c r="B248" s="250">
        <v>1836983</v>
      </c>
      <c r="C248" s="3140">
        <v>19611</v>
      </c>
      <c r="D248" s="3140">
        <v>0</v>
      </c>
      <c r="E248" s="134">
        <v>0</v>
      </c>
      <c r="F248" s="573">
        <v>348703</v>
      </c>
      <c r="G248" s="3140">
        <v>8537</v>
      </c>
      <c r="H248" s="3140">
        <v>0</v>
      </c>
      <c r="I248" s="86">
        <v>0</v>
      </c>
      <c r="J248" s="573">
        <v>1420935</v>
      </c>
      <c r="K248" s="3140">
        <v>10169</v>
      </c>
      <c r="L248" s="3140">
        <v>0</v>
      </c>
      <c r="M248" s="86">
        <v>0</v>
      </c>
      <c r="N248" s="573">
        <v>12122</v>
      </c>
      <c r="O248" s="3140">
        <v>0</v>
      </c>
      <c r="P248" s="3140">
        <v>0</v>
      </c>
      <c r="Q248" s="86">
        <v>0</v>
      </c>
      <c r="R248" s="134">
        <v>2236196</v>
      </c>
      <c r="S248" s="3140">
        <v>189350</v>
      </c>
      <c r="T248" s="3140">
        <v>28</v>
      </c>
      <c r="U248" s="86">
        <v>0</v>
      </c>
      <c r="V248" s="134">
        <v>26496</v>
      </c>
      <c r="W248" s="1976">
        <v>292800</v>
      </c>
      <c r="X248" s="573">
        <v>0</v>
      </c>
      <c r="Y248" s="1976">
        <v>0</v>
      </c>
      <c r="Z248" s="641">
        <f t="shared" si="10"/>
        <v>319296</v>
      </c>
      <c r="AA248" s="1976">
        <f>330546</f>
        <v>330546</v>
      </c>
      <c r="AB248" s="573">
        <v>2000</v>
      </c>
      <c r="AC248" s="1976">
        <v>2700</v>
      </c>
      <c r="AD248" s="573">
        <v>0</v>
      </c>
      <c r="AE248" s="1976">
        <v>0</v>
      </c>
      <c r="AF248" s="641">
        <f t="shared" si="13"/>
        <v>4700</v>
      </c>
      <c r="AG248" s="3141">
        <v>32560</v>
      </c>
    </row>
    <row r="249" spans="1:35" s="10" customFormat="1">
      <c r="A249" s="63">
        <f t="shared" si="12"/>
        <v>2012.12</v>
      </c>
      <c r="B249" s="250">
        <v>1538074</v>
      </c>
      <c r="C249" s="3140">
        <v>65502</v>
      </c>
      <c r="D249" s="3140">
        <v>0</v>
      </c>
      <c r="E249" s="134">
        <v>0</v>
      </c>
      <c r="F249" s="573">
        <v>297386</v>
      </c>
      <c r="G249" s="3140">
        <v>25756</v>
      </c>
      <c r="H249" s="3140">
        <v>0</v>
      </c>
      <c r="I249" s="86">
        <v>0</v>
      </c>
      <c r="J249" s="573">
        <v>1190121</v>
      </c>
      <c r="K249" s="3140">
        <v>28768</v>
      </c>
      <c r="L249" s="3140">
        <v>0</v>
      </c>
      <c r="M249" s="86">
        <v>0</v>
      </c>
      <c r="N249" s="573">
        <v>10210</v>
      </c>
      <c r="O249" s="3140">
        <v>0</v>
      </c>
      <c r="P249" s="3140">
        <v>0</v>
      </c>
      <c r="Q249" s="86">
        <v>0</v>
      </c>
      <c r="R249" s="134">
        <v>1957999</v>
      </c>
      <c r="S249" s="3140">
        <v>154272</v>
      </c>
      <c r="T249" s="3140">
        <v>100</v>
      </c>
      <c r="U249" s="86">
        <v>0</v>
      </c>
      <c r="V249" s="134">
        <v>5200</v>
      </c>
      <c r="W249" s="1976">
        <v>236469</v>
      </c>
      <c r="X249" s="573">
        <v>0</v>
      </c>
      <c r="Y249" s="1976">
        <v>4312</v>
      </c>
      <c r="Z249" s="641">
        <f t="shared" si="10"/>
        <v>245981</v>
      </c>
      <c r="AA249" s="1976">
        <f>306759+4312</f>
        <v>311071</v>
      </c>
      <c r="AB249" s="573">
        <v>0</v>
      </c>
      <c r="AC249" s="1976">
        <v>8500</v>
      </c>
      <c r="AD249" s="573">
        <v>0</v>
      </c>
      <c r="AE249" s="1976">
        <v>0</v>
      </c>
      <c r="AF249" s="641">
        <f t="shared" si="13"/>
        <v>8500</v>
      </c>
      <c r="AG249" s="3141">
        <v>40716</v>
      </c>
    </row>
    <row r="250" spans="1:35" s="10" customFormat="1">
      <c r="A250" s="63">
        <f t="shared" si="12"/>
        <v>2013.01</v>
      </c>
      <c r="B250" s="250">
        <v>1451685</v>
      </c>
      <c r="C250" s="3140">
        <v>176787</v>
      </c>
      <c r="D250" s="3140">
        <v>0</v>
      </c>
      <c r="E250" s="134">
        <v>0</v>
      </c>
      <c r="F250" s="573">
        <v>278912</v>
      </c>
      <c r="G250" s="3140">
        <v>70085</v>
      </c>
      <c r="H250" s="3140">
        <v>0</v>
      </c>
      <c r="I250" s="86">
        <v>0</v>
      </c>
      <c r="J250" s="573">
        <v>1127653</v>
      </c>
      <c r="K250" s="3140">
        <v>82705</v>
      </c>
      <c r="L250" s="3140">
        <v>0</v>
      </c>
      <c r="M250" s="86">
        <v>0</v>
      </c>
      <c r="N250" s="573">
        <v>10671</v>
      </c>
      <c r="O250" s="3140">
        <v>0</v>
      </c>
      <c r="P250" s="3140">
        <v>0</v>
      </c>
      <c r="Q250" s="86">
        <v>0</v>
      </c>
      <c r="R250" s="134">
        <v>1708802</v>
      </c>
      <c r="S250" s="3140">
        <v>331824</v>
      </c>
      <c r="T250" s="3140">
        <v>500</v>
      </c>
      <c r="U250" s="86">
        <v>0</v>
      </c>
      <c r="V250" s="134">
        <v>46311</v>
      </c>
      <c r="W250" s="1976">
        <v>76654</v>
      </c>
      <c r="X250" s="573">
        <v>0</v>
      </c>
      <c r="Y250" s="1976">
        <v>0</v>
      </c>
      <c r="Z250" s="641">
        <f t="shared" si="10"/>
        <v>122965</v>
      </c>
      <c r="AA250" s="1976">
        <v>176779</v>
      </c>
      <c r="AB250" s="573">
        <v>0</v>
      </c>
      <c r="AC250" s="1976">
        <v>54150</v>
      </c>
      <c r="AD250" s="573">
        <v>0</v>
      </c>
      <c r="AE250" s="1976">
        <v>0</v>
      </c>
      <c r="AF250" s="641">
        <f t="shared" si="13"/>
        <v>54150</v>
      </c>
      <c r="AG250" s="3141">
        <v>64350</v>
      </c>
    </row>
    <row r="251" spans="1:35" s="10" customFormat="1">
      <c r="A251" s="63">
        <f t="shared" si="12"/>
        <v>2013.02</v>
      </c>
      <c r="B251" s="250">
        <v>973744</v>
      </c>
      <c r="C251" s="3140">
        <v>161114</v>
      </c>
      <c r="D251" s="3140">
        <v>0</v>
      </c>
      <c r="E251" s="134">
        <v>0</v>
      </c>
      <c r="F251" s="573">
        <v>187174</v>
      </c>
      <c r="G251" s="3140">
        <v>64010</v>
      </c>
      <c r="H251" s="3140">
        <v>0</v>
      </c>
      <c r="I251" s="86">
        <v>0</v>
      </c>
      <c r="J251" s="573">
        <v>754313</v>
      </c>
      <c r="K251" s="3140">
        <v>73611</v>
      </c>
      <c r="L251" s="3140">
        <v>0</v>
      </c>
      <c r="M251" s="86">
        <v>0</v>
      </c>
      <c r="N251" s="573">
        <v>9263</v>
      </c>
      <c r="O251" s="3140">
        <v>0</v>
      </c>
      <c r="P251" s="3140">
        <v>0</v>
      </c>
      <c r="Q251" s="86">
        <v>0</v>
      </c>
      <c r="R251" s="134">
        <v>1212383</v>
      </c>
      <c r="S251" s="3140">
        <v>276254</v>
      </c>
      <c r="T251" s="3140">
        <v>295</v>
      </c>
      <c r="U251" s="86">
        <v>0</v>
      </c>
      <c r="V251" s="134">
        <v>22066</v>
      </c>
      <c r="W251" s="1976">
        <v>167725</v>
      </c>
      <c r="X251" s="573">
        <v>0</v>
      </c>
      <c r="Y251" s="1976">
        <f>11368+4779</f>
        <v>16147</v>
      </c>
      <c r="Z251" s="641">
        <f t="shared" si="10"/>
        <v>205938</v>
      </c>
      <c r="AA251" s="1976">
        <f>235470+11368+4779</f>
        <v>251617</v>
      </c>
      <c r="AB251" s="573">
        <v>0</v>
      </c>
      <c r="AC251" s="1976">
        <v>46100</v>
      </c>
      <c r="AD251" s="573">
        <v>0</v>
      </c>
      <c r="AE251" s="1976">
        <v>0</v>
      </c>
      <c r="AF251" s="641">
        <f t="shared" si="13"/>
        <v>46100</v>
      </c>
      <c r="AG251" s="3141">
        <v>52450</v>
      </c>
    </row>
    <row r="252" spans="1:35" s="10" customFormat="1">
      <c r="A252" s="63">
        <f t="shared" si="12"/>
        <v>2013.03</v>
      </c>
      <c r="B252" s="250">
        <v>1478890</v>
      </c>
      <c r="C252" s="3140">
        <v>112941</v>
      </c>
      <c r="D252" s="3140">
        <v>0</v>
      </c>
      <c r="E252" s="134">
        <v>0</v>
      </c>
      <c r="F252" s="573">
        <v>287250</v>
      </c>
      <c r="G252" s="3140">
        <v>46515</v>
      </c>
      <c r="H252" s="3140">
        <v>0</v>
      </c>
      <c r="I252" s="86">
        <v>0</v>
      </c>
      <c r="J252" s="573">
        <v>1136603</v>
      </c>
      <c r="K252" s="3140">
        <v>51955</v>
      </c>
      <c r="L252" s="3140">
        <v>0</v>
      </c>
      <c r="M252" s="86">
        <v>0</v>
      </c>
      <c r="N252" s="573">
        <v>11925</v>
      </c>
      <c r="O252" s="3140">
        <v>0</v>
      </c>
      <c r="P252" s="3140">
        <v>0</v>
      </c>
      <c r="Q252" s="86">
        <v>0</v>
      </c>
      <c r="R252" s="134">
        <v>1721068</v>
      </c>
      <c r="S252" s="3140">
        <v>411044</v>
      </c>
      <c r="T252" s="3140">
        <v>82</v>
      </c>
      <c r="U252" s="86">
        <v>3107</v>
      </c>
      <c r="V252" s="134">
        <v>8956</v>
      </c>
      <c r="W252" s="1976">
        <v>120408</v>
      </c>
      <c r="X252" s="573">
        <v>15846</v>
      </c>
      <c r="Y252" s="1976">
        <v>0</v>
      </c>
      <c r="Z252" s="641">
        <f t="shared" si="10"/>
        <v>145210</v>
      </c>
      <c r="AA252" s="1976">
        <f>151924+15846</f>
        <v>167770</v>
      </c>
      <c r="AB252" s="573">
        <v>0</v>
      </c>
      <c r="AC252" s="1976">
        <v>25026</v>
      </c>
      <c r="AD252" s="573">
        <v>0</v>
      </c>
      <c r="AE252" s="1976">
        <v>0</v>
      </c>
      <c r="AF252" s="641">
        <f t="shared" si="13"/>
        <v>25026</v>
      </c>
      <c r="AG252" s="3141">
        <v>35026</v>
      </c>
    </row>
    <row r="253" spans="1:35" s="10" customFormat="1">
      <c r="A253" s="63">
        <f t="shared" si="12"/>
        <v>2013.04</v>
      </c>
      <c r="B253" s="250">
        <v>3044899</v>
      </c>
      <c r="C253" s="3140">
        <v>70902</v>
      </c>
      <c r="D253" s="3140">
        <v>0</v>
      </c>
      <c r="E253" s="134">
        <v>0</v>
      </c>
      <c r="F253" s="573">
        <v>594210</v>
      </c>
      <c r="G253" s="3140">
        <v>28925</v>
      </c>
      <c r="H253" s="3140">
        <v>0</v>
      </c>
      <c r="I253" s="86">
        <v>0</v>
      </c>
      <c r="J253" s="573">
        <v>2338356</v>
      </c>
      <c r="K253" s="3140">
        <v>34520</v>
      </c>
      <c r="L253" s="3140">
        <v>0</v>
      </c>
      <c r="M253" s="86">
        <v>0</v>
      </c>
      <c r="N253" s="573">
        <v>14879</v>
      </c>
      <c r="O253" s="3140">
        <v>0</v>
      </c>
      <c r="P253" s="3140">
        <v>0</v>
      </c>
      <c r="Q253" s="86">
        <v>0</v>
      </c>
      <c r="R253" s="134">
        <v>3587628</v>
      </c>
      <c r="S253" s="3140">
        <v>284528</v>
      </c>
      <c r="T253" s="3140">
        <v>50</v>
      </c>
      <c r="U253" s="86">
        <v>0</v>
      </c>
      <c r="V253" s="134">
        <v>39450</v>
      </c>
      <c r="W253" s="1976">
        <v>380223</v>
      </c>
      <c r="X253" s="573">
        <v>13000</v>
      </c>
      <c r="Y253" s="1976">
        <v>0</v>
      </c>
      <c r="Z253" s="641">
        <f t="shared" si="10"/>
        <v>432673</v>
      </c>
      <c r="AA253" s="1976">
        <f>459357+13000</f>
        <v>472357</v>
      </c>
      <c r="AB253" s="573">
        <v>0</v>
      </c>
      <c r="AC253" s="1976">
        <v>14280</v>
      </c>
      <c r="AD253" s="573">
        <v>0</v>
      </c>
      <c r="AE253" s="1976">
        <v>0</v>
      </c>
      <c r="AF253" s="641">
        <f t="shared" si="13"/>
        <v>14280</v>
      </c>
      <c r="AG253" s="3141">
        <v>50484</v>
      </c>
    </row>
    <row r="254" spans="1:35" s="10" customFormat="1">
      <c r="A254" s="63">
        <f t="shared" si="12"/>
        <v>2013.05</v>
      </c>
      <c r="B254" s="250">
        <v>3324968</v>
      </c>
      <c r="C254" s="3140">
        <v>73592</v>
      </c>
      <c r="D254" s="3140">
        <v>0</v>
      </c>
      <c r="E254" s="134">
        <v>25796</v>
      </c>
      <c r="F254" s="573">
        <v>621742</v>
      </c>
      <c r="G254" s="3140">
        <v>29571</v>
      </c>
      <c r="H254" s="3140">
        <v>0</v>
      </c>
      <c r="I254" s="86">
        <v>3953</v>
      </c>
      <c r="J254" s="573">
        <v>2564450</v>
      </c>
      <c r="K254" s="3140">
        <v>35336</v>
      </c>
      <c r="L254" s="3140">
        <v>0</v>
      </c>
      <c r="M254" s="86">
        <v>21326</v>
      </c>
      <c r="N254" s="573">
        <v>14367</v>
      </c>
      <c r="O254" s="3140">
        <v>0</v>
      </c>
      <c r="P254" s="3140">
        <v>0</v>
      </c>
      <c r="Q254" s="86">
        <v>0</v>
      </c>
      <c r="R254" s="134">
        <v>3933147</v>
      </c>
      <c r="S254" s="3140">
        <v>202431</v>
      </c>
      <c r="T254" s="3140">
        <v>0</v>
      </c>
      <c r="U254" s="86">
        <v>25796</v>
      </c>
      <c r="V254" s="134">
        <v>94837</v>
      </c>
      <c r="W254" s="1976">
        <v>513870</v>
      </c>
      <c r="X254" s="573">
        <v>10810</v>
      </c>
      <c r="Y254" s="1976">
        <v>20450</v>
      </c>
      <c r="Z254" s="641">
        <f t="shared" si="10"/>
        <v>639967</v>
      </c>
      <c r="AA254" s="1976">
        <f>632207+10810+20450</f>
        <v>663467</v>
      </c>
      <c r="AB254" s="573">
        <v>0</v>
      </c>
      <c r="AC254" s="1976">
        <v>7440</v>
      </c>
      <c r="AD254" s="573">
        <v>0</v>
      </c>
      <c r="AE254" s="1976">
        <v>0</v>
      </c>
      <c r="AF254" s="641">
        <f t="shared" si="13"/>
        <v>7440</v>
      </c>
      <c r="AG254" s="3141">
        <v>22560</v>
      </c>
    </row>
    <row r="255" spans="1:35" s="10" customFormat="1">
      <c r="A255" s="63">
        <f t="shared" si="12"/>
        <v>2013.06</v>
      </c>
      <c r="B255" s="250">
        <v>3394774</v>
      </c>
      <c r="C255" s="3140">
        <v>58565</v>
      </c>
      <c r="D255" s="3140">
        <v>0</v>
      </c>
      <c r="E255" s="134">
        <v>22270</v>
      </c>
      <c r="F255" s="573">
        <v>635638</v>
      </c>
      <c r="G255" s="3140">
        <v>23831</v>
      </c>
      <c r="H255" s="3140">
        <v>0</v>
      </c>
      <c r="I255" s="86">
        <v>3627</v>
      </c>
      <c r="J255" s="573">
        <v>2610701</v>
      </c>
      <c r="K255" s="3140">
        <v>28844</v>
      </c>
      <c r="L255" s="3140">
        <v>0</v>
      </c>
      <c r="M255" s="86">
        <v>18197</v>
      </c>
      <c r="N255" s="573">
        <v>13931</v>
      </c>
      <c r="O255" s="3140">
        <v>0</v>
      </c>
      <c r="P255" s="3140">
        <v>0</v>
      </c>
      <c r="Q255" s="86">
        <v>0</v>
      </c>
      <c r="R255" s="134">
        <v>3925034</v>
      </c>
      <c r="S255" s="3140">
        <v>213761</v>
      </c>
      <c r="T255" s="3140">
        <v>0</v>
      </c>
      <c r="U255" s="86">
        <v>22270</v>
      </c>
      <c r="V255" s="134">
        <v>50117</v>
      </c>
      <c r="W255" s="1976">
        <v>419135</v>
      </c>
      <c r="X255" s="573">
        <v>0</v>
      </c>
      <c r="Y255" s="1976">
        <v>8116</v>
      </c>
      <c r="Z255" s="641">
        <f t="shared" si="10"/>
        <v>477368</v>
      </c>
      <c r="AA255" s="1976">
        <f>506852+8116</f>
        <v>514968</v>
      </c>
      <c r="AB255" s="573">
        <v>0</v>
      </c>
      <c r="AC255" s="1976">
        <v>5300</v>
      </c>
      <c r="AD255" s="573">
        <v>0</v>
      </c>
      <c r="AE255" s="1976">
        <v>0</v>
      </c>
      <c r="AF255" s="641">
        <f t="shared" si="13"/>
        <v>5300</v>
      </c>
      <c r="AG255" s="3141">
        <v>15250</v>
      </c>
    </row>
    <row r="256" spans="1:35" s="10" customFormat="1">
      <c r="A256" s="63">
        <f t="shared" si="12"/>
        <v>2013.07</v>
      </c>
      <c r="B256" s="250">
        <v>3133681</v>
      </c>
      <c r="C256" s="3140">
        <v>65763</v>
      </c>
      <c r="D256" s="3140">
        <v>0</v>
      </c>
      <c r="E256" s="134">
        <v>10892</v>
      </c>
      <c r="F256" s="573">
        <v>591396</v>
      </c>
      <c r="G256" s="3140">
        <v>26967</v>
      </c>
      <c r="H256" s="3140">
        <v>0</v>
      </c>
      <c r="I256" s="86">
        <v>1941</v>
      </c>
      <c r="J256" s="573">
        <v>2420311</v>
      </c>
      <c r="K256" s="3140">
        <v>31606</v>
      </c>
      <c r="L256" s="3140">
        <v>0</v>
      </c>
      <c r="M256" s="86">
        <v>8733</v>
      </c>
      <c r="N256" s="573">
        <v>15040</v>
      </c>
      <c r="O256" s="3140">
        <v>0</v>
      </c>
      <c r="P256" s="3140">
        <v>0</v>
      </c>
      <c r="Q256" s="86">
        <v>0</v>
      </c>
      <c r="R256" s="134">
        <v>3641364</v>
      </c>
      <c r="S256" s="3140">
        <v>176382</v>
      </c>
      <c r="T256" s="3140">
        <v>64</v>
      </c>
      <c r="U256" s="86">
        <v>10892</v>
      </c>
      <c r="V256" s="134">
        <v>87650</v>
      </c>
      <c r="W256" s="1976">
        <v>311120</v>
      </c>
      <c r="X256" s="573">
        <v>0</v>
      </c>
      <c r="Y256" s="1976">
        <f>23414+1972</f>
        <v>25386</v>
      </c>
      <c r="Z256" s="641">
        <f t="shared" si="10"/>
        <v>424156</v>
      </c>
      <c r="AA256" s="1976">
        <f>409770+25386</f>
        <v>435156</v>
      </c>
      <c r="AB256" s="573">
        <v>0</v>
      </c>
      <c r="AC256" s="1976">
        <v>3400</v>
      </c>
      <c r="AD256" s="573">
        <v>0</v>
      </c>
      <c r="AE256" s="1976">
        <v>0</v>
      </c>
      <c r="AF256" s="641">
        <f t="shared" si="13"/>
        <v>3400</v>
      </c>
      <c r="AG256" s="3141">
        <v>5499</v>
      </c>
    </row>
    <row r="257" spans="1:33" s="10" customFormat="1">
      <c r="A257" s="63">
        <f t="shared" si="12"/>
        <v>2013.08</v>
      </c>
      <c r="B257" s="250">
        <v>3094712</v>
      </c>
      <c r="C257" s="3140">
        <v>40301</v>
      </c>
      <c r="D257" s="3140">
        <v>0</v>
      </c>
      <c r="E257" s="134">
        <v>22982</v>
      </c>
      <c r="F257" s="573">
        <v>578223</v>
      </c>
      <c r="G257" s="3140">
        <v>16791</v>
      </c>
      <c r="H257" s="3140">
        <v>0</v>
      </c>
      <c r="I257" s="86">
        <v>4596</v>
      </c>
      <c r="J257" s="573">
        <v>2377826</v>
      </c>
      <c r="K257" s="3140">
        <v>19688</v>
      </c>
      <c r="L257" s="3140">
        <v>0</v>
      </c>
      <c r="M257" s="86">
        <v>17926</v>
      </c>
      <c r="N257" s="573">
        <v>16728</v>
      </c>
      <c r="O257" s="3140">
        <v>0</v>
      </c>
      <c r="P257" s="3140">
        <v>0</v>
      </c>
      <c r="Q257" s="86">
        <v>0</v>
      </c>
      <c r="R257" s="134">
        <v>3678455</v>
      </c>
      <c r="S257" s="3140">
        <v>155861</v>
      </c>
      <c r="T257" s="3140">
        <v>0</v>
      </c>
      <c r="U257" s="86">
        <v>22982</v>
      </c>
      <c r="V257" s="134">
        <v>72516</v>
      </c>
      <c r="W257" s="1976">
        <v>352754</v>
      </c>
      <c r="X257" s="573">
        <f>5293</f>
        <v>5293</v>
      </c>
      <c r="Y257" s="1976">
        <f>27959+8656</f>
        <v>36615</v>
      </c>
      <c r="Z257" s="641">
        <f t="shared" si="10"/>
        <v>467178</v>
      </c>
      <c r="AA257" s="1976">
        <f>444020+33252+8656</f>
        <v>485928</v>
      </c>
      <c r="AB257" s="573">
        <v>0</v>
      </c>
      <c r="AC257" s="1976">
        <v>4500</v>
      </c>
      <c r="AD257" s="573">
        <v>0</v>
      </c>
      <c r="AE257" s="1976">
        <v>0</v>
      </c>
      <c r="AF257" s="641">
        <f t="shared" si="13"/>
        <v>4500</v>
      </c>
      <c r="AG257" s="3141">
        <v>9245</v>
      </c>
    </row>
    <row r="258" spans="1:33" s="10" customFormat="1">
      <c r="A258" s="63">
        <f t="shared" si="12"/>
        <v>2013.09</v>
      </c>
      <c r="B258" s="250">
        <v>3117419</v>
      </c>
      <c r="C258" s="3140">
        <v>50011</v>
      </c>
      <c r="D258" s="3140">
        <v>0</v>
      </c>
      <c r="E258" s="134">
        <v>2440</v>
      </c>
      <c r="F258" s="573">
        <v>594240</v>
      </c>
      <c r="G258" s="3140">
        <v>20447</v>
      </c>
      <c r="H258" s="3140">
        <v>0</v>
      </c>
      <c r="I258" s="86">
        <v>415</v>
      </c>
      <c r="J258" s="573">
        <v>2378638</v>
      </c>
      <c r="K258" s="3140">
        <v>24640</v>
      </c>
      <c r="L258" s="3140">
        <v>0</v>
      </c>
      <c r="M258" s="86">
        <v>1977</v>
      </c>
      <c r="N258" s="573">
        <v>15405</v>
      </c>
      <c r="O258" s="3140">
        <v>0</v>
      </c>
      <c r="P258" s="3140">
        <v>0</v>
      </c>
      <c r="Q258" s="86">
        <v>0</v>
      </c>
      <c r="R258" s="134">
        <v>3582271</v>
      </c>
      <c r="S258" s="3140">
        <v>190218</v>
      </c>
      <c r="T258" s="3140">
        <v>0</v>
      </c>
      <c r="U258" s="86">
        <v>2440</v>
      </c>
      <c r="V258" s="134">
        <v>55420</v>
      </c>
      <c r="W258" s="1976">
        <v>434770</v>
      </c>
      <c r="X258" s="573">
        <f>4761</f>
        <v>4761</v>
      </c>
      <c r="Y258" s="1976">
        <f>27600+2007</f>
        <v>29607</v>
      </c>
      <c r="Z258" s="641">
        <f t="shared" si="10"/>
        <v>524558</v>
      </c>
      <c r="AA258" s="1976">
        <f>524190+32361+2007</f>
        <v>558558</v>
      </c>
      <c r="AB258" s="573">
        <v>0</v>
      </c>
      <c r="AC258" s="1976">
        <v>4000</v>
      </c>
      <c r="AD258" s="573">
        <v>0</v>
      </c>
      <c r="AE258" s="1976">
        <v>0</v>
      </c>
      <c r="AF258" s="641">
        <f t="shared" si="13"/>
        <v>4000</v>
      </c>
      <c r="AG258" s="3141">
        <v>4000</v>
      </c>
    </row>
    <row r="259" spans="1:33" s="10" customFormat="1">
      <c r="A259" s="63">
        <f t="shared" si="12"/>
        <v>2013.1</v>
      </c>
      <c r="B259" s="250">
        <v>2494526</v>
      </c>
      <c r="C259" s="3140">
        <v>51692</v>
      </c>
      <c r="D259" s="3140">
        <v>0</v>
      </c>
      <c r="E259" s="134">
        <v>0</v>
      </c>
      <c r="F259" s="573">
        <v>473307</v>
      </c>
      <c r="G259" s="3140">
        <v>21285</v>
      </c>
      <c r="H259" s="3140">
        <v>0</v>
      </c>
      <c r="I259" s="86">
        <v>0</v>
      </c>
      <c r="J259" s="573">
        <v>1932962</v>
      </c>
      <c r="K259" s="3140">
        <v>23136</v>
      </c>
      <c r="L259" s="3140">
        <v>0</v>
      </c>
      <c r="M259" s="86">
        <v>0</v>
      </c>
      <c r="N259" s="573">
        <v>17613</v>
      </c>
      <c r="O259" s="3140">
        <v>0</v>
      </c>
      <c r="P259" s="3140">
        <v>0</v>
      </c>
      <c r="Q259" s="86">
        <v>0</v>
      </c>
      <c r="R259" s="134">
        <v>2963012</v>
      </c>
      <c r="S259" s="3140">
        <v>201893</v>
      </c>
      <c r="T259" s="3140">
        <v>0</v>
      </c>
      <c r="U259" s="86">
        <v>0</v>
      </c>
      <c r="V259" s="134">
        <v>25000</v>
      </c>
      <c r="W259" s="1976">
        <v>285746</v>
      </c>
      <c r="X259" s="573">
        <f>5293</f>
        <v>5293</v>
      </c>
      <c r="Y259" s="1976">
        <f>27959+8656</f>
        <v>36615</v>
      </c>
      <c r="Z259" s="641">
        <f t="shared" si="10"/>
        <v>352654</v>
      </c>
      <c r="AA259" s="1976">
        <f>310746+33252+8656</f>
        <v>352654</v>
      </c>
      <c r="AB259" s="573">
        <v>0</v>
      </c>
      <c r="AC259" s="1976">
        <v>9550</v>
      </c>
      <c r="AD259" s="573">
        <v>0</v>
      </c>
      <c r="AE259" s="1976">
        <v>0</v>
      </c>
      <c r="AF259" s="641">
        <f t="shared" si="13"/>
        <v>9550</v>
      </c>
      <c r="AG259" s="3141">
        <v>12050</v>
      </c>
    </row>
    <row r="260" spans="1:33" s="10" customFormat="1">
      <c r="A260" s="63">
        <f t="shared" si="12"/>
        <v>2013.11</v>
      </c>
      <c r="B260" s="250">
        <v>2038608</v>
      </c>
      <c r="C260" s="3140">
        <v>0</v>
      </c>
      <c r="D260" s="3140">
        <v>0</v>
      </c>
      <c r="E260" s="134">
        <v>0</v>
      </c>
      <c r="F260" s="573">
        <v>390223</v>
      </c>
      <c r="G260" s="3140">
        <v>0</v>
      </c>
      <c r="H260" s="3140">
        <v>0</v>
      </c>
      <c r="I260" s="86">
        <v>0</v>
      </c>
      <c r="J260" s="573">
        <v>1607056</v>
      </c>
      <c r="K260" s="3140">
        <v>0</v>
      </c>
      <c r="L260" s="3140">
        <v>0</v>
      </c>
      <c r="M260" s="86">
        <v>0</v>
      </c>
      <c r="N260" s="573">
        <v>13907</v>
      </c>
      <c r="O260" s="3140">
        <v>0</v>
      </c>
      <c r="P260" s="3140">
        <v>0</v>
      </c>
      <c r="Q260" s="86">
        <v>0</v>
      </c>
      <c r="R260" s="134">
        <v>2318967</v>
      </c>
      <c r="S260" s="3140">
        <v>58460</v>
      </c>
      <c r="T260" s="3140">
        <v>0</v>
      </c>
      <c r="U260" s="86">
        <v>0</v>
      </c>
      <c r="V260" s="134">
        <v>26105</v>
      </c>
      <c r="W260" s="1976">
        <v>305472</v>
      </c>
      <c r="X260" s="573">
        <f>6195</f>
        <v>6195</v>
      </c>
      <c r="Y260" s="1976">
        <f>41315+2559</f>
        <v>43874</v>
      </c>
      <c r="Z260" s="641">
        <f t="shared" si="10"/>
        <v>381646</v>
      </c>
      <c r="AA260" s="1976">
        <f>331577+47510+2559</f>
        <v>381646</v>
      </c>
      <c r="AB260" s="573">
        <v>0</v>
      </c>
      <c r="AC260" s="1976">
        <v>5200</v>
      </c>
      <c r="AD260" s="573">
        <v>0</v>
      </c>
      <c r="AE260" s="1976">
        <v>0</v>
      </c>
      <c r="AF260" s="641">
        <f t="shared" si="13"/>
        <v>5200</v>
      </c>
      <c r="AG260" s="3141">
        <v>10900</v>
      </c>
    </row>
    <row r="261" spans="1:33" s="10" customFormat="1">
      <c r="A261" s="63">
        <f t="shared" si="12"/>
        <v>2013.12</v>
      </c>
      <c r="B261" s="250">
        <v>1417314</v>
      </c>
      <c r="C261" s="3140">
        <v>22388</v>
      </c>
      <c r="D261" s="3140">
        <v>0</v>
      </c>
      <c r="E261" s="134">
        <v>0</v>
      </c>
      <c r="F261" s="573">
        <v>268820</v>
      </c>
      <c r="G261" s="3140">
        <v>9116</v>
      </c>
      <c r="H261" s="3140">
        <v>0</v>
      </c>
      <c r="I261" s="86">
        <v>0</v>
      </c>
      <c r="J261" s="573">
        <v>1093675</v>
      </c>
      <c r="K261" s="3140">
        <v>10204</v>
      </c>
      <c r="L261" s="3140">
        <v>0</v>
      </c>
      <c r="M261" s="86">
        <v>0</v>
      </c>
      <c r="N261" s="573">
        <v>13022</v>
      </c>
      <c r="O261" s="3140">
        <v>0</v>
      </c>
      <c r="P261" s="3140">
        <v>0</v>
      </c>
      <c r="Q261" s="86">
        <v>0</v>
      </c>
      <c r="R261" s="134">
        <v>1768668</v>
      </c>
      <c r="S261" s="3140">
        <v>81755</v>
      </c>
      <c r="T261" s="3140">
        <v>0</v>
      </c>
      <c r="U261" s="86">
        <v>0</v>
      </c>
      <c r="V261" s="134">
        <v>23312</v>
      </c>
      <c r="W261" s="1976">
        <v>280344</v>
      </c>
      <c r="X261" s="573">
        <f>6914</f>
        <v>6914</v>
      </c>
      <c r="Y261" s="1976">
        <f>54213+5794</f>
        <v>60007</v>
      </c>
      <c r="Z261" s="641">
        <f t="shared" si="10"/>
        <v>370577</v>
      </c>
      <c r="AA261" s="1976">
        <f>303656+61127+5794</f>
        <v>370577</v>
      </c>
      <c r="AB261" s="573">
        <v>0</v>
      </c>
      <c r="AC261" s="1976">
        <v>0</v>
      </c>
      <c r="AD261" s="573">
        <v>0</v>
      </c>
      <c r="AE261" s="1976">
        <v>0</v>
      </c>
      <c r="AF261" s="641">
        <f t="shared" si="13"/>
        <v>0</v>
      </c>
      <c r="AG261" s="3141">
        <v>2550</v>
      </c>
    </row>
    <row r="262" spans="1:33" s="10" customFormat="1">
      <c r="A262" s="63">
        <f t="shared" si="12"/>
        <v>2014.01</v>
      </c>
      <c r="B262" s="250">
        <v>1597188</v>
      </c>
      <c r="C262" s="3140">
        <v>101164</v>
      </c>
      <c r="D262" s="3140">
        <v>0</v>
      </c>
      <c r="E262" s="134">
        <v>0</v>
      </c>
      <c r="F262" s="573">
        <v>307178</v>
      </c>
      <c r="G262" s="3140">
        <v>38675</v>
      </c>
      <c r="H262" s="3140">
        <v>0</v>
      </c>
      <c r="I262" s="86">
        <v>0</v>
      </c>
      <c r="J262" s="573">
        <v>1214323</v>
      </c>
      <c r="K262" s="3140">
        <v>49381</v>
      </c>
      <c r="L262" s="3140">
        <v>0</v>
      </c>
      <c r="M262" s="86">
        <v>0</v>
      </c>
      <c r="N262" s="573">
        <v>14073</v>
      </c>
      <c r="O262" s="3140">
        <v>0</v>
      </c>
      <c r="P262" s="3140">
        <v>0</v>
      </c>
      <c r="Q262" s="86">
        <v>0</v>
      </c>
      <c r="R262" s="134">
        <v>1968357</v>
      </c>
      <c r="S262" s="3140">
        <v>180816</v>
      </c>
      <c r="T262" s="3140">
        <v>1000</v>
      </c>
      <c r="U262" s="86">
        <v>0</v>
      </c>
      <c r="V262" s="134">
        <v>28905</v>
      </c>
      <c r="W262" s="1976">
        <v>153445</v>
      </c>
      <c r="X262" s="573">
        <v>4895</v>
      </c>
      <c r="Y262" s="1976">
        <v>35000</v>
      </c>
      <c r="Z262" s="641">
        <f t="shared" si="10"/>
        <v>222245</v>
      </c>
      <c r="AA262" s="1976">
        <v>233105</v>
      </c>
      <c r="AB262" s="573">
        <v>0</v>
      </c>
      <c r="AC262" s="1976">
        <v>500</v>
      </c>
      <c r="AD262" s="573">
        <v>0</v>
      </c>
      <c r="AE262" s="1976">
        <v>0</v>
      </c>
      <c r="AF262" s="641">
        <f t="shared" si="13"/>
        <v>500</v>
      </c>
      <c r="AG262" s="3141">
        <v>500</v>
      </c>
    </row>
    <row r="263" spans="1:33" s="10" customFormat="1">
      <c r="A263" s="63">
        <f t="shared" si="12"/>
        <v>2014.02</v>
      </c>
      <c r="B263" s="250">
        <v>1283810</v>
      </c>
      <c r="C263" s="3140">
        <v>89431</v>
      </c>
      <c r="D263" s="3140">
        <v>0</v>
      </c>
      <c r="E263" s="134">
        <v>0</v>
      </c>
      <c r="F263" s="573">
        <v>247469</v>
      </c>
      <c r="G263" s="3140">
        <v>35833</v>
      </c>
      <c r="H263" s="3140">
        <v>0</v>
      </c>
      <c r="I263" s="86">
        <v>0</v>
      </c>
      <c r="J263" s="573">
        <v>982482</v>
      </c>
      <c r="K263" s="3140">
        <v>37567</v>
      </c>
      <c r="L263" s="3140">
        <v>0</v>
      </c>
      <c r="M263" s="86">
        <v>0</v>
      </c>
      <c r="N263" s="573">
        <v>11295</v>
      </c>
      <c r="O263" s="3140">
        <v>0</v>
      </c>
      <c r="P263" s="3140">
        <v>0</v>
      </c>
      <c r="Q263" s="86">
        <v>0</v>
      </c>
      <c r="R263" s="134">
        <v>1533689</v>
      </c>
      <c r="S263" s="3140">
        <v>186811</v>
      </c>
      <c r="T263" s="3140">
        <v>100</v>
      </c>
      <c r="U263" s="86">
        <v>0</v>
      </c>
      <c r="V263" s="134">
        <v>20500</v>
      </c>
      <c r="W263" s="1976">
        <v>105658</v>
      </c>
      <c r="X263" s="573">
        <v>0</v>
      </c>
      <c r="Y263" s="1976">
        <v>28796</v>
      </c>
      <c r="Z263" s="641">
        <f t="shared" si="10"/>
        <v>154954</v>
      </c>
      <c r="AA263" s="1976">
        <v>169954</v>
      </c>
      <c r="AB263" s="573">
        <v>3000</v>
      </c>
      <c r="AC263" s="1976">
        <v>1470</v>
      </c>
      <c r="AD263" s="573">
        <v>0</v>
      </c>
      <c r="AE263" s="1976">
        <v>0</v>
      </c>
      <c r="AF263" s="641">
        <f t="shared" si="13"/>
        <v>4470</v>
      </c>
      <c r="AG263" s="3141">
        <v>6470</v>
      </c>
    </row>
    <row r="264" spans="1:33" s="10" customFormat="1">
      <c r="A264" s="63">
        <f t="shared" si="12"/>
        <v>2014.03</v>
      </c>
      <c r="B264" s="250">
        <v>1812063</v>
      </c>
      <c r="C264" s="3140">
        <v>74463</v>
      </c>
      <c r="D264" s="3140">
        <v>0</v>
      </c>
      <c r="E264" s="134">
        <v>0</v>
      </c>
      <c r="F264" s="573">
        <v>352923</v>
      </c>
      <c r="G264" s="3140">
        <v>30344</v>
      </c>
      <c r="H264" s="3140">
        <v>0</v>
      </c>
      <c r="I264" s="86">
        <v>0</v>
      </c>
      <c r="J264" s="573">
        <v>1377051</v>
      </c>
      <c r="K264" s="3140">
        <v>35235</v>
      </c>
      <c r="L264" s="3140">
        <v>0</v>
      </c>
      <c r="M264" s="86">
        <v>0</v>
      </c>
      <c r="N264" s="573">
        <v>12653</v>
      </c>
      <c r="O264" s="3140">
        <v>0</v>
      </c>
      <c r="P264" s="3140">
        <v>0</v>
      </c>
      <c r="Q264" s="86">
        <v>0</v>
      </c>
      <c r="R264" s="134">
        <v>2108432</v>
      </c>
      <c r="S264" s="3140">
        <v>320204</v>
      </c>
      <c r="T264" s="3140">
        <v>150</v>
      </c>
      <c r="U264" s="86">
        <v>0</v>
      </c>
      <c r="V264" s="134">
        <v>48177</v>
      </c>
      <c r="W264" s="1976">
        <v>218030</v>
      </c>
      <c r="X264" s="573">
        <v>6973</v>
      </c>
      <c r="Y264" s="1976">
        <v>21597</v>
      </c>
      <c r="Z264" s="641">
        <f t="shared" si="10"/>
        <v>294777</v>
      </c>
      <c r="AA264" s="1976">
        <v>313277</v>
      </c>
      <c r="AB264" s="573">
        <v>0</v>
      </c>
      <c r="AC264" s="1976">
        <v>15730</v>
      </c>
      <c r="AD264" s="573">
        <v>0</v>
      </c>
      <c r="AE264" s="1976">
        <v>0</v>
      </c>
      <c r="AF264" s="641">
        <f t="shared" si="13"/>
        <v>15730</v>
      </c>
      <c r="AG264" s="3141">
        <v>15730</v>
      </c>
    </row>
    <row r="265" spans="1:33" s="10" customFormat="1">
      <c r="A265" s="63">
        <f t="shared" si="12"/>
        <v>2014.04</v>
      </c>
      <c r="B265" s="250">
        <v>3432145</v>
      </c>
      <c r="C265" s="3140">
        <v>60386</v>
      </c>
      <c r="D265" s="3140">
        <v>0</v>
      </c>
      <c r="E265" s="134">
        <v>1155</v>
      </c>
      <c r="F265" s="573">
        <v>646166</v>
      </c>
      <c r="G265" s="3140">
        <v>24900</v>
      </c>
      <c r="H265" s="3140">
        <v>0</v>
      </c>
      <c r="I265" s="86">
        <v>191</v>
      </c>
      <c r="J265" s="573">
        <v>2598037</v>
      </c>
      <c r="K265" s="3140">
        <v>29409</v>
      </c>
      <c r="L265" s="3140">
        <v>0</v>
      </c>
      <c r="M265" s="86">
        <v>942</v>
      </c>
      <c r="N265" s="573">
        <v>15988</v>
      </c>
      <c r="O265" s="3140">
        <v>0</v>
      </c>
      <c r="P265" s="3140">
        <v>0</v>
      </c>
      <c r="Q265" s="86">
        <v>0</v>
      </c>
      <c r="R265" s="134">
        <v>3902595</v>
      </c>
      <c r="S265" s="3140">
        <v>278019</v>
      </c>
      <c r="T265" s="3140">
        <v>100</v>
      </c>
      <c r="U265" s="86">
        <v>1155</v>
      </c>
      <c r="V265" s="134">
        <v>29787</v>
      </c>
      <c r="W265" s="1976">
        <v>439309</v>
      </c>
      <c r="X265" s="573">
        <v>5620</v>
      </c>
      <c r="Y265" s="1976">
        <v>27863</v>
      </c>
      <c r="Z265" s="641">
        <f t="shared" si="10"/>
        <v>502579</v>
      </c>
      <c r="AA265" s="1976">
        <v>521579</v>
      </c>
      <c r="AB265" s="573">
        <v>0</v>
      </c>
      <c r="AC265" s="1976">
        <v>15150</v>
      </c>
      <c r="AD265" s="573">
        <v>0</v>
      </c>
      <c r="AE265" s="1976">
        <v>0</v>
      </c>
      <c r="AF265" s="641">
        <f>SUM(AB265:AE265)</f>
        <v>15150</v>
      </c>
      <c r="AG265" s="3141">
        <v>25150</v>
      </c>
    </row>
    <row r="266" spans="1:33" s="10" customFormat="1">
      <c r="A266" s="63">
        <f t="shared" si="12"/>
        <v>2014.05</v>
      </c>
      <c r="B266" s="250">
        <v>4040546</v>
      </c>
      <c r="C266" s="3140">
        <v>52270</v>
      </c>
      <c r="D266" s="3140">
        <v>0</v>
      </c>
      <c r="E266" s="134">
        <v>21084</v>
      </c>
      <c r="F266" s="573">
        <v>744510</v>
      </c>
      <c r="G266" s="3140">
        <v>21574</v>
      </c>
      <c r="H266" s="3140">
        <v>0</v>
      </c>
      <c r="I266" s="86">
        <v>3479</v>
      </c>
      <c r="J266" s="573">
        <v>3099433</v>
      </c>
      <c r="K266" s="3140">
        <v>25695</v>
      </c>
      <c r="L266" s="3140">
        <v>0</v>
      </c>
      <c r="M266" s="86">
        <v>17184</v>
      </c>
      <c r="N266" s="573">
        <v>17523</v>
      </c>
      <c r="O266" s="3140">
        <v>0</v>
      </c>
      <c r="P266" s="3140">
        <v>0</v>
      </c>
      <c r="Q266" s="86">
        <v>0</v>
      </c>
      <c r="R266" s="134">
        <v>4658613</v>
      </c>
      <c r="S266" s="3140">
        <v>185215</v>
      </c>
      <c r="T266" s="3140">
        <v>220</v>
      </c>
      <c r="U266" s="86">
        <v>21084</v>
      </c>
      <c r="V266" s="134">
        <v>100528</v>
      </c>
      <c r="W266" s="1976">
        <v>513225</v>
      </c>
      <c r="X266" s="573">
        <v>9919</v>
      </c>
      <c r="Y266" s="1976">
        <v>47513</v>
      </c>
      <c r="Z266" s="641">
        <f>SUM(V266:Y266)</f>
        <v>671185</v>
      </c>
      <c r="AA266" s="1976">
        <v>679235</v>
      </c>
      <c r="AB266" s="573">
        <v>0</v>
      </c>
      <c r="AC266" s="1976">
        <v>9500</v>
      </c>
      <c r="AD266" s="573">
        <v>0</v>
      </c>
      <c r="AE266" s="1976">
        <v>0</v>
      </c>
      <c r="AF266" s="641">
        <f t="shared" si="13"/>
        <v>9500</v>
      </c>
      <c r="AG266" s="3141">
        <v>24320</v>
      </c>
    </row>
    <row r="267" spans="1:33" s="10" customFormat="1">
      <c r="A267" s="63">
        <f t="shared" si="12"/>
        <v>2014.06</v>
      </c>
      <c r="B267" s="250">
        <v>3632853</v>
      </c>
      <c r="C267" s="3140">
        <v>77457</v>
      </c>
      <c r="D267" s="3140">
        <v>0</v>
      </c>
      <c r="E267" s="134">
        <v>25197</v>
      </c>
      <c r="F267" s="573">
        <v>677815</v>
      </c>
      <c r="G267" s="3140">
        <v>31851</v>
      </c>
      <c r="H267" s="3140">
        <v>0</v>
      </c>
      <c r="I267" s="86">
        <v>3917</v>
      </c>
      <c r="J267" s="573">
        <v>2765012</v>
      </c>
      <c r="K267" s="3140">
        <v>33415</v>
      </c>
      <c r="L267" s="3140">
        <v>0</v>
      </c>
      <c r="M267" s="86">
        <v>20776</v>
      </c>
      <c r="N267" s="573">
        <v>15327</v>
      </c>
      <c r="O267" s="3140">
        <v>0</v>
      </c>
      <c r="P267" s="3140">
        <v>0</v>
      </c>
      <c r="Q267" s="86">
        <v>0</v>
      </c>
      <c r="R267" s="134">
        <v>4186684</v>
      </c>
      <c r="S267" s="3140">
        <v>243046</v>
      </c>
      <c r="T267" s="3140">
        <v>270</v>
      </c>
      <c r="U267" s="86">
        <v>25197</v>
      </c>
      <c r="V267" s="134">
        <v>47000</v>
      </c>
      <c r="W267" s="1976">
        <v>448602</v>
      </c>
      <c r="X267" s="573">
        <v>0</v>
      </c>
      <c r="Y267" s="1976">
        <v>71713</v>
      </c>
      <c r="Z267" s="641">
        <f t="shared" ref="Z267:Z330" si="14">SUM(V267:Y267)</f>
        <v>567315</v>
      </c>
      <c r="AA267" s="1976">
        <v>583815</v>
      </c>
      <c r="AB267" s="573">
        <v>0</v>
      </c>
      <c r="AC267" s="1976">
        <v>19850</v>
      </c>
      <c r="AD267" s="573">
        <v>0</v>
      </c>
      <c r="AE267" s="1976">
        <v>0</v>
      </c>
      <c r="AF267" s="641">
        <f t="shared" si="13"/>
        <v>19850</v>
      </c>
      <c r="AG267" s="3141">
        <v>35315</v>
      </c>
    </row>
    <row r="268" spans="1:33" s="10" customFormat="1">
      <c r="A268" s="63">
        <f t="shared" si="12"/>
        <v>2014.07</v>
      </c>
      <c r="B268" s="250">
        <v>3293488</v>
      </c>
      <c r="C268" s="3140">
        <v>27671</v>
      </c>
      <c r="D268" s="3140">
        <v>0</v>
      </c>
      <c r="E268" s="134">
        <v>32393</v>
      </c>
      <c r="F268" s="573">
        <v>620446</v>
      </c>
      <c r="G268" s="3140">
        <v>11600</v>
      </c>
      <c r="H268" s="3140">
        <v>0</v>
      </c>
      <c r="I268" s="86">
        <v>4836</v>
      </c>
      <c r="J268" s="573">
        <v>2526818</v>
      </c>
      <c r="K268" s="3140">
        <v>12166</v>
      </c>
      <c r="L268" s="3140">
        <v>0</v>
      </c>
      <c r="M268" s="86">
        <v>26909</v>
      </c>
      <c r="N268" s="573">
        <v>15946</v>
      </c>
      <c r="O268" s="3140">
        <v>0</v>
      </c>
      <c r="P268" s="3140">
        <v>0</v>
      </c>
      <c r="Q268" s="86">
        <v>0</v>
      </c>
      <c r="R268" s="134">
        <v>3907983</v>
      </c>
      <c r="S268" s="3140">
        <v>139863</v>
      </c>
      <c r="T268" s="3140">
        <v>0</v>
      </c>
      <c r="U268" s="86">
        <v>32393</v>
      </c>
      <c r="V268" s="134">
        <v>21267.172829473115</v>
      </c>
      <c r="W268" s="1976">
        <v>377879.86795296823</v>
      </c>
      <c r="X268" s="573">
        <v>7766.0109779813065</v>
      </c>
      <c r="Y268" s="1976">
        <v>49226</v>
      </c>
      <c r="Z268" s="641">
        <f>SUM(V268:Y268)</f>
        <v>456139.05176042265</v>
      </c>
      <c r="AA268" s="1976">
        <v>442664</v>
      </c>
      <c r="AB268" s="573">
        <v>0</v>
      </c>
      <c r="AC268" s="1976">
        <v>2827.4285714285716</v>
      </c>
      <c r="AD268" s="573">
        <v>0</v>
      </c>
      <c r="AE268" s="1976">
        <v>0</v>
      </c>
      <c r="AF268" s="641">
        <f t="shared" si="13"/>
        <v>2827.4285714285716</v>
      </c>
      <c r="AG268" s="3141">
        <v>2000</v>
      </c>
    </row>
    <row r="269" spans="1:33" s="10" customFormat="1">
      <c r="A269" s="63">
        <f t="shared" si="12"/>
        <v>2014.08</v>
      </c>
      <c r="B269" s="250">
        <v>2965883</v>
      </c>
      <c r="C269" s="3140">
        <v>43157</v>
      </c>
      <c r="D269" s="3140">
        <v>0</v>
      </c>
      <c r="E269" s="134">
        <v>28527</v>
      </c>
      <c r="F269" s="573">
        <v>557876</v>
      </c>
      <c r="G269" s="3140">
        <v>18225</v>
      </c>
      <c r="H269" s="3140">
        <v>0</v>
      </c>
      <c r="I269" s="86">
        <v>4136</v>
      </c>
      <c r="J269" s="573">
        <v>2266332</v>
      </c>
      <c r="K269" s="3140">
        <v>21847</v>
      </c>
      <c r="L269" s="3140">
        <v>0</v>
      </c>
      <c r="M269" s="86">
        <v>23820</v>
      </c>
      <c r="N269" s="573">
        <v>17018</v>
      </c>
      <c r="O269" s="3140">
        <v>0</v>
      </c>
      <c r="P269" s="3140">
        <v>0</v>
      </c>
      <c r="Q269" s="86">
        <v>0</v>
      </c>
      <c r="R269" s="134">
        <v>3494906</v>
      </c>
      <c r="S269" s="3140">
        <v>145759</v>
      </c>
      <c r="T269" s="3140">
        <v>543</v>
      </c>
      <c r="U269" s="86">
        <v>28527</v>
      </c>
      <c r="V269" s="134">
        <v>78453.711228497894</v>
      </c>
      <c r="W269" s="1976">
        <v>312450.09207617579</v>
      </c>
      <c r="X269" s="573">
        <v>8627.2331723229399</v>
      </c>
      <c r="Y269" s="1976">
        <v>67246</v>
      </c>
      <c r="Z269" s="641">
        <f t="shared" si="14"/>
        <v>466777.03647699661</v>
      </c>
      <c r="AA269" s="1976">
        <v>450881</v>
      </c>
      <c r="AB269" s="573">
        <v>0</v>
      </c>
      <c r="AC269" s="1976">
        <v>4241.1428571428569</v>
      </c>
      <c r="AD269" s="573">
        <v>0</v>
      </c>
      <c r="AE269" s="1976">
        <v>0</v>
      </c>
      <c r="AF269" s="641">
        <f t="shared" si="13"/>
        <v>4241.1428571428569</v>
      </c>
      <c r="AG269" s="3141">
        <v>3000</v>
      </c>
    </row>
    <row r="270" spans="1:33" s="10" customFormat="1">
      <c r="A270" s="63">
        <f t="shared" si="12"/>
        <v>2014.09</v>
      </c>
      <c r="B270" s="250">
        <v>2853120</v>
      </c>
      <c r="C270" s="3140">
        <v>6190</v>
      </c>
      <c r="D270" s="3140">
        <v>0</v>
      </c>
      <c r="E270" s="134">
        <v>26796</v>
      </c>
      <c r="F270" s="573">
        <v>535692</v>
      </c>
      <c r="G270" s="3140">
        <v>2490</v>
      </c>
      <c r="H270" s="3140">
        <v>0</v>
      </c>
      <c r="I270" s="86">
        <v>4116</v>
      </c>
      <c r="J270" s="573">
        <v>2153844</v>
      </c>
      <c r="K270" s="3140">
        <v>3421</v>
      </c>
      <c r="L270" s="3140">
        <v>0</v>
      </c>
      <c r="M270" s="86">
        <v>22144</v>
      </c>
      <c r="N270" s="573">
        <v>18428</v>
      </c>
      <c r="O270" s="3140">
        <v>0</v>
      </c>
      <c r="P270" s="3140">
        <v>0</v>
      </c>
      <c r="Q270" s="86">
        <v>0</v>
      </c>
      <c r="R270" s="134">
        <v>3357760</v>
      </c>
      <c r="S270" s="3140">
        <v>120788</v>
      </c>
      <c r="T270" s="3140">
        <v>500</v>
      </c>
      <c r="U270" s="86">
        <v>26796</v>
      </c>
      <c r="V270" s="134">
        <v>39100</v>
      </c>
      <c r="W270" s="1976">
        <v>260951</v>
      </c>
      <c r="X270" s="573">
        <v>8637.7035317734153</v>
      </c>
      <c r="Y270" s="1976">
        <v>12056</v>
      </c>
      <c r="Z270" s="641">
        <f t="shared" si="14"/>
        <v>320744.70353177341</v>
      </c>
      <c r="AA270" s="1976">
        <v>323067</v>
      </c>
      <c r="AB270" s="573">
        <v>0</v>
      </c>
      <c r="AC270" s="1976">
        <v>9000</v>
      </c>
      <c r="AD270" s="573">
        <v>0</v>
      </c>
      <c r="AE270" s="1976">
        <v>0</v>
      </c>
      <c r="AF270" s="641">
        <f t="shared" si="13"/>
        <v>9000</v>
      </c>
      <c r="AG270" s="3141">
        <v>11500</v>
      </c>
    </row>
    <row r="271" spans="1:33" s="10" customFormat="1">
      <c r="A271" s="63">
        <f t="shared" si="12"/>
        <v>2014.1</v>
      </c>
      <c r="B271" s="250">
        <v>2529528</v>
      </c>
      <c r="C271" s="3140">
        <v>62979</v>
      </c>
      <c r="D271" s="3140">
        <v>0</v>
      </c>
      <c r="E271" s="134">
        <v>29016</v>
      </c>
      <c r="F271" s="573">
        <v>475352</v>
      </c>
      <c r="G271" s="3140">
        <v>27014</v>
      </c>
      <c r="H271" s="3140">
        <v>0</v>
      </c>
      <c r="I271" s="86">
        <v>4263</v>
      </c>
      <c r="J271" s="573">
        <v>1924261</v>
      </c>
      <c r="K271" s="3140">
        <v>30668</v>
      </c>
      <c r="L271" s="3140">
        <v>0</v>
      </c>
      <c r="M271" s="86">
        <v>24172</v>
      </c>
      <c r="N271" s="573">
        <v>17623</v>
      </c>
      <c r="O271" s="3140">
        <v>0</v>
      </c>
      <c r="P271" s="3140">
        <v>0</v>
      </c>
      <c r="Q271" s="86">
        <v>0</v>
      </c>
      <c r="R271" s="134">
        <v>3137103</v>
      </c>
      <c r="S271" s="3140">
        <v>201357</v>
      </c>
      <c r="T271" s="3140">
        <v>56</v>
      </c>
      <c r="U271" s="86">
        <v>29016</v>
      </c>
      <c r="V271" s="134">
        <v>56548</v>
      </c>
      <c r="W271" s="1976">
        <v>302050</v>
      </c>
      <c r="X271" s="573">
        <v>4662</v>
      </c>
      <c r="Y271" s="1976">
        <v>38101</v>
      </c>
      <c r="Z271" s="641">
        <f t="shared" si="14"/>
        <v>401361</v>
      </c>
      <c r="AA271" s="1976">
        <v>410561</v>
      </c>
      <c r="AB271" s="573">
        <v>0</v>
      </c>
      <c r="AC271" s="1976">
        <v>12955</v>
      </c>
      <c r="AD271" s="573">
        <v>0</v>
      </c>
      <c r="AE271" s="1976">
        <v>0</v>
      </c>
      <c r="AF271" s="641">
        <f>SUM(AB271:AE271)</f>
        <v>12955</v>
      </c>
      <c r="AG271" s="3141">
        <v>12955</v>
      </c>
    </row>
    <row r="272" spans="1:33" s="10" customFormat="1">
      <c r="A272" s="63">
        <f t="shared" si="12"/>
        <v>2014.11</v>
      </c>
      <c r="B272" s="250">
        <v>2599085</v>
      </c>
      <c r="C272" s="3140">
        <v>14649</v>
      </c>
      <c r="D272" s="3140">
        <v>0</v>
      </c>
      <c r="E272" s="86">
        <v>11496</v>
      </c>
      <c r="F272" s="573">
        <v>488379</v>
      </c>
      <c r="G272" s="3140">
        <v>6138</v>
      </c>
      <c r="H272" s="3140">
        <v>0</v>
      </c>
      <c r="I272" s="86">
        <v>1715</v>
      </c>
      <c r="J272" s="573">
        <v>1983322</v>
      </c>
      <c r="K272" s="3140">
        <v>7432</v>
      </c>
      <c r="L272" s="3140">
        <v>0</v>
      </c>
      <c r="M272" s="86">
        <v>9550</v>
      </c>
      <c r="N272" s="573">
        <v>15597</v>
      </c>
      <c r="O272" s="3140">
        <v>0</v>
      </c>
      <c r="P272" s="3140">
        <v>0</v>
      </c>
      <c r="Q272" s="86">
        <v>0</v>
      </c>
      <c r="R272" s="134">
        <v>3192368</v>
      </c>
      <c r="S272" s="3140">
        <v>104469</v>
      </c>
      <c r="T272" s="3140">
        <v>120</v>
      </c>
      <c r="U272" s="86">
        <v>11496</v>
      </c>
      <c r="V272" s="134">
        <v>17977</v>
      </c>
      <c r="W272" s="1976">
        <v>199195</v>
      </c>
      <c r="X272" s="573">
        <v>23</v>
      </c>
      <c r="Y272" s="1976">
        <v>45599</v>
      </c>
      <c r="Z272" s="641">
        <f t="shared" si="14"/>
        <v>262794</v>
      </c>
      <c r="AA272" s="1976">
        <v>262794</v>
      </c>
      <c r="AB272" s="573">
        <v>0</v>
      </c>
      <c r="AC272" s="1976">
        <v>0</v>
      </c>
      <c r="AD272" s="573">
        <v>0</v>
      </c>
      <c r="AE272" s="1976">
        <v>0</v>
      </c>
      <c r="AF272" s="641">
        <f t="shared" si="13"/>
        <v>0</v>
      </c>
      <c r="AG272" s="3141">
        <v>0</v>
      </c>
    </row>
    <row r="273" spans="1:33" s="10" customFormat="1">
      <c r="A273" s="63">
        <f t="shared" si="12"/>
        <v>2014.12</v>
      </c>
      <c r="B273" s="250">
        <v>2050934</v>
      </c>
      <c r="C273" s="3140">
        <v>16973</v>
      </c>
      <c r="D273" s="3140">
        <v>0</v>
      </c>
      <c r="E273" s="134">
        <v>0</v>
      </c>
      <c r="F273" s="573">
        <v>385928</v>
      </c>
      <c r="G273" s="3140">
        <v>7157</v>
      </c>
      <c r="H273" s="3140">
        <v>0</v>
      </c>
      <c r="I273" s="86">
        <v>0</v>
      </c>
      <c r="J273" s="573">
        <v>1563085</v>
      </c>
      <c r="K273" s="3140">
        <v>8350</v>
      </c>
      <c r="L273" s="3140">
        <v>0</v>
      </c>
      <c r="M273" s="86">
        <v>0</v>
      </c>
      <c r="N273" s="573">
        <v>14500</v>
      </c>
      <c r="O273" s="3140">
        <v>0</v>
      </c>
      <c r="P273" s="3140">
        <v>0</v>
      </c>
      <c r="Q273" s="86">
        <v>0</v>
      </c>
      <c r="R273" s="134">
        <v>2484742</v>
      </c>
      <c r="S273" s="3140">
        <v>110244</v>
      </c>
      <c r="T273" s="3140">
        <v>500</v>
      </c>
      <c r="U273" s="86">
        <v>0</v>
      </c>
      <c r="V273" s="134">
        <v>49231</v>
      </c>
      <c r="W273" s="1976">
        <v>246529.45589688589</v>
      </c>
      <c r="X273" s="573">
        <v>0</v>
      </c>
      <c r="Y273" s="1976">
        <v>44673</v>
      </c>
      <c r="Z273" s="641">
        <f>SUM(V273:Y273)</f>
        <v>340433.45589688589</v>
      </c>
      <c r="AA273" s="1976">
        <v>335079</v>
      </c>
      <c r="AB273" s="573">
        <v>0</v>
      </c>
      <c r="AC273" s="1976">
        <v>800</v>
      </c>
      <c r="AD273" s="573">
        <v>0</v>
      </c>
      <c r="AE273" s="1976">
        <v>0</v>
      </c>
      <c r="AF273" s="641">
        <f t="shared" si="13"/>
        <v>800</v>
      </c>
      <c r="AG273" s="3141">
        <v>800</v>
      </c>
    </row>
    <row r="274" spans="1:33" s="10" customFormat="1">
      <c r="A274" s="63">
        <f t="shared" si="12"/>
        <v>2015.01</v>
      </c>
      <c r="B274" s="250">
        <v>1465302</v>
      </c>
      <c r="C274" s="3140">
        <v>117285</v>
      </c>
      <c r="D274" s="3140">
        <v>0</v>
      </c>
      <c r="E274" s="134">
        <v>0</v>
      </c>
      <c r="F274" s="573">
        <v>274839</v>
      </c>
      <c r="G274" s="3140">
        <v>47875</v>
      </c>
      <c r="H274" s="3140">
        <v>0</v>
      </c>
      <c r="I274" s="86">
        <v>0</v>
      </c>
      <c r="J274" s="573">
        <v>1115444</v>
      </c>
      <c r="K274" s="3140">
        <v>62184</v>
      </c>
      <c r="L274" s="3140">
        <v>0</v>
      </c>
      <c r="M274" s="86">
        <v>0</v>
      </c>
      <c r="N274" s="573">
        <v>15220</v>
      </c>
      <c r="O274" s="3140">
        <v>0</v>
      </c>
      <c r="P274" s="3140">
        <v>0</v>
      </c>
      <c r="Q274" s="86">
        <v>0</v>
      </c>
      <c r="R274" s="134">
        <v>1789755</v>
      </c>
      <c r="S274" s="3140">
        <v>195625</v>
      </c>
      <c r="T274" s="3140">
        <v>50</v>
      </c>
      <c r="U274" s="86">
        <v>0</v>
      </c>
      <c r="V274" s="134">
        <v>57110.534094775241</v>
      </c>
      <c r="W274" s="1976">
        <v>235693.89923203585</v>
      </c>
      <c r="X274" s="573">
        <v>0</v>
      </c>
      <c r="Y274" s="1976">
        <v>38196.103612370251</v>
      </c>
      <c r="Z274" s="641">
        <f t="shared" si="14"/>
        <v>331000.53693918133</v>
      </c>
      <c r="AA274" s="1976">
        <v>298800</v>
      </c>
      <c r="AB274" s="573">
        <v>0</v>
      </c>
      <c r="AC274" s="1976">
        <v>0</v>
      </c>
      <c r="AD274" s="573">
        <v>0</v>
      </c>
      <c r="AE274" s="1976">
        <v>0</v>
      </c>
      <c r="AF274" s="641">
        <f t="shared" si="13"/>
        <v>0</v>
      </c>
      <c r="AG274" s="3141">
        <v>2500</v>
      </c>
    </row>
    <row r="275" spans="1:33" s="10" customFormat="1">
      <c r="A275" s="63">
        <f t="shared" si="12"/>
        <v>2015.02</v>
      </c>
      <c r="B275" s="250">
        <v>1693807</v>
      </c>
      <c r="C275" s="3140">
        <v>107206</v>
      </c>
      <c r="D275" s="3140">
        <v>0</v>
      </c>
      <c r="E275" s="134">
        <v>0</v>
      </c>
      <c r="F275" s="573">
        <v>323179</v>
      </c>
      <c r="G275" s="3140">
        <v>44047</v>
      </c>
      <c r="H275" s="3140">
        <v>0</v>
      </c>
      <c r="I275" s="86">
        <v>0</v>
      </c>
      <c r="J275" s="573">
        <v>1289479</v>
      </c>
      <c r="K275" s="3140">
        <v>57581</v>
      </c>
      <c r="L275" s="3140">
        <v>0</v>
      </c>
      <c r="M275" s="86">
        <v>0</v>
      </c>
      <c r="N275" s="573">
        <v>11647</v>
      </c>
      <c r="O275" s="3140">
        <v>0</v>
      </c>
      <c r="P275" s="3140">
        <v>0</v>
      </c>
      <c r="Q275" s="86">
        <v>0</v>
      </c>
      <c r="R275" s="134">
        <v>2109169</v>
      </c>
      <c r="S275" s="3140">
        <v>166264</v>
      </c>
      <c r="T275" s="3140">
        <v>370</v>
      </c>
      <c r="U275" s="86">
        <v>0</v>
      </c>
      <c r="V275" s="134">
        <v>51839.955125953071</v>
      </c>
      <c r="W275" s="1976">
        <v>240204.77603193239</v>
      </c>
      <c r="X275" s="573">
        <v>7744.9586826347304</v>
      </c>
      <c r="Y275" s="1976">
        <v>38324.179655470391</v>
      </c>
      <c r="Z275" s="641">
        <f t="shared" si="14"/>
        <v>338113.86949599057</v>
      </c>
      <c r="AA275" s="1976">
        <v>291333</v>
      </c>
      <c r="AB275" s="573">
        <v>0</v>
      </c>
      <c r="AC275" s="1976">
        <v>0</v>
      </c>
      <c r="AD275" s="573">
        <v>0</v>
      </c>
      <c r="AE275" s="1976">
        <v>0</v>
      </c>
      <c r="AF275" s="641">
        <f t="shared" si="13"/>
        <v>0</v>
      </c>
      <c r="AG275" s="3141">
        <v>0</v>
      </c>
    </row>
    <row r="276" spans="1:33" s="10" customFormat="1">
      <c r="A276" s="63">
        <f t="shared" si="12"/>
        <v>2015.03</v>
      </c>
      <c r="B276" s="250">
        <v>1989102</v>
      </c>
      <c r="C276" s="3140">
        <v>118860</v>
      </c>
      <c r="D276" s="3140">
        <v>0</v>
      </c>
      <c r="E276" s="134">
        <v>0</v>
      </c>
      <c r="F276" s="573">
        <v>385844</v>
      </c>
      <c r="G276" s="3140">
        <v>49523</v>
      </c>
      <c r="H276" s="3140">
        <v>0</v>
      </c>
      <c r="I276" s="86">
        <v>0</v>
      </c>
      <c r="J276" s="573">
        <v>1485033</v>
      </c>
      <c r="K276" s="3140">
        <v>59858</v>
      </c>
      <c r="L276" s="3140">
        <v>0</v>
      </c>
      <c r="M276" s="86">
        <v>0</v>
      </c>
      <c r="N276" s="573">
        <v>13725</v>
      </c>
      <c r="O276" s="3140">
        <v>0</v>
      </c>
      <c r="P276" s="3140">
        <v>0</v>
      </c>
      <c r="Q276" s="86">
        <v>0</v>
      </c>
      <c r="R276" s="134">
        <v>2273176</v>
      </c>
      <c r="S276" s="3140">
        <v>428639</v>
      </c>
      <c r="T276" s="3140">
        <v>400</v>
      </c>
      <c r="U276" s="86">
        <v>0</v>
      </c>
      <c r="V276" s="134">
        <v>28609.246758252248</v>
      </c>
      <c r="W276" s="1976">
        <v>293739.47719014296</v>
      </c>
      <c r="X276" s="573">
        <v>0</v>
      </c>
      <c r="Y276" s="1976">
        <v>51806.02336479308</v>
      </c>
      <c r="Z276" s="641">
        <f t="shared" si="14"/>
        <v>374154.74731318833</v>
      </c>
      <c r="AA276" s="1976">
        <v>323135</v>
      </c>
      <c r="AB276" s="573">
        <v>0</v>
      </c>
      <c r="AC276" s="1976">
        <v>12876.934640758498</v>
      </c>
      <c r="AD276" s="573">
        <v>0</v>
      </c>
      <c r="AE276" s="1976">
        <v>0</v>
      </c>
      <c r="AF276" s="641">
        <f t="shared" si="13"/>
        <v>12876.934640758498</v>
      </c>
      <c r="AG276" s="3141">
        <v>11860</v>
      </c>
    </row>
    <row r="277" spans="1:33" s="10" customFormat="1">
      <c r="A277" s="63">
        <f t="shared" si="12"/>
        <v>2015.04</v>
      </c>
      <c r="B277" s="250">
        <v>3761219</v>
      </c>
      <c r="C277" s="3140">
        <v>54578</v>
      </c>
      <c r="D277" s="3140">
        <v>0</v>
      </c>
      <c r="E277" s="134">
        <v>0</v>
      </c>
      <c r="F277" s="573">
        <v>740431</v>
      </c>
      <c r="G277" s="3140">
        <v>23271</v>
      </c>
      <c r="H277" s="3140">
        <v>0</v>
      </c>
      <c r="I277" s="86">
        <v>0</v>
      </c>
      <c r="J277" s="573">
        <v>2875780</v>
      </c>
      <c r="K277" s="3140">
        <v>26615</v>
      </c>
      <c r="L277" s="3140">
        <v>0</v>
      </c>
      <c r="M277" s="86">
        <v>0</v>
      </c>
      <c r="N277" s="573">
        <v>15476</v>
      </c>
      <c r="O277" s="3140">
        <v>0</v>
      </c>
      <c r="P277" s="3140">
        <v>0</v>
      </c>
      <c r="Q277" s="86">
        <v>0</v>
      </c>
      <c r="R277" s="134">
        <v>4245041</v>
      </c>
      <c r="S277" s="3140">
        <v>345134</v>
      </c>
      <c r="T277" s="3140">
        <v>200</v>
      </c>
      <c r="U277" s="86">
        <v>0</v>
      </c>
      <c r="V277" s="134">
        <v>128314.21627243131</v>
      </c>
      <c r="W277" s="1976">
        <v>531089.47575693019</v>
      </c>
      <c r="X277" s="573">
        <v>4706.2729540918162</v>
      </c>
      <c r="Y277" s="1976">
        <v>86973.938233979599</v>
      </c>
      <c r="Z277" s="641">
        <f t="shared" si="14"/>
        <v>751083.9032174329</v>
      </c>
      <c r="AA277" s="1976">
        <v>620191</v>
      </c>
      <c r="AB277" s="573">
        <v>0</v>
      </c>
      <c r="AC277" s="1976">
        <v>457.09200043260392</v>
      </c>
      <c r="AD277" s="573">
        <v>0</v>
      </c>
      <c r="AE277" s="1976">
        <v>0</v>
      </c>
      <c r="AF277" s="641">
        <f t="shared" si="13"/>
        <v>457.09200043260392</v>
      </c>
      <c r="AG277" s="3141">
        <v>31350</v>
      </c>
    </row>
    <row r="278" spans="1:33" s="10" customFormat="1">
      <c r="A278" s="63">
        <f t="shared" ref="A278:A343" si="15">A266+1</f>
        <v>2015.05</v>
      </c>
      <c r="B278" s="250">
        <v>3119129</v>
      </c>
      <c r="C278" s="3140">
        <v>26940</v>
      </c>
      <c r="D278" s="3140">
        <v>0</v>
      </c>
      <c r="E278" s="86">
        <v>0</v>
      </c>
      <c r="F278" s="573">
        <v>605401</v>
      </c>
      <c r="G278" s="3140">
        <v>11337</v>
      </c>
      <c r="H278" s="3140">
        <v>0</v>
      </c>
      <c r="I278" s="86">
        <v>0</v>
      </c>
      <c r="J278" s="573">
        <v>2400239</v>
      </c>
      <c r="K278" s="3140">
        <v>14240</v>
      </c>
      <c r="L278" s="3140">
        <v>0</v>
      </c>
      <c r="M278" s="86">
        <v>0</v>
      </c>
      <c r="N278" s="573">
        <v>16710</v>
      </c>
      <c r="O278" s="3140">
        <v>0</v>
      </c>
      <c r="P278" s="3140">
        <v>0</v>
      </c>
      <c r="Q278" s="86">
        <v>0</v>
      </c>
      <c r="R278" s="134">
        <v>3588586</v>
      </c>
      <c r="S278" s="3140">
        <v>95740</v>
      </c>
      <c r="T278" s="3140">
        <v>360</v>
      </c>
      <c r="U278" s="86">
        <v>330</v>
      </c>
      <c r="V278" s="134">
        <v>0</v>
      </c>
      <c r="W278" s="1976">
        <v>360295.18227134814</v>
      </c>
      <c r="X278" s="573">
        <v>0</v>
      </c>
      <c r="Y278" s="1976">
        <v>9146.3960434616638</v>
      </c>
      <c r="Z278" s="641">
        <f t="shared" si="14"/>
        <v>369441.57831480983</v>
      </c>
      <c r="AA278" s="1976">
        <v>307072</v>
      </c>
      <c r="AB278" s="573">
        <v>0</v>
      </c>
      <c r="AC278" s="1976">
        <v>23078.481817760454</v>
      </c>
      <c r="AD278" s="573">
        <v>0</v>
      </c>
      <c r="AE278" s="1976">
        <v>0</v>
      </c>
      <c r="AF278" s="641">
        <f t="shared" si="13"/>
        <v>23078.481817760454</v>
      </c>
      <c r="AG278" s="3141">
        <v>12500</v>
      </c>
    </row>
    <row r="279" spans="1:33" s="10" customFormat="1">
      <c r="A279" s="63">
        <f t="shared" si="15"/>
        <v>2015.06</v>
      </c>
      <c r="B279" s="250">
        <v>3962340</v>
      </c>
      <c r="C279" s="3140">
        <v>28750</v>
      </c>
      <c r="D279" s="3140">
        <v>0</v>
      </c>
      <c r="E279" s="134">
        <v>22965</v>
      </c>
      <c r="F279" s="573">
        <v>767330</v>
      </c>
      <c r="G279" s="3140">
        <v>11959</v>
      </c>
      <c r="H279" s="3140">
        <v>0</v>
      </c>
      <c r="I279" s="86">
        <v>3726</v>
      </c>
      <c r="J279" s="573">
        <v>3031076</v>
      </c>
      <c r="K279" s="3140">
        <v>13733</v>
      </c>
      <c r="L279" s="3140">
        <v>0</v>
      </c>
      <c r="M279" s="86">
        <v>18780</v>
      </c>
      <c r="N279" s="573">
        <v>17286</v>
      </c>
      <c r="O279" s="3140">
        <v>0</v>
      </c>
      <c r="P279" s="3140">
        <v>0</v>
      </c>
      <c r="Q279" s="86">
        <v>0</v>
      </c>
      <c r="R279" s="134">
        <v>4531328</v>
      </c>
      <c r="S279" s="3140">
        <v>245595</v>
      </c>
      <c r="T279" s="3140">
        <v>0</v>
      </c>
      <c r="U279" s="86">
        <v>23301</v>
      </c>
      <c r="V279" s="134">
        <v>100337.48655516845</v>
      </c>
      <c r="W279" s="1976">
        <v>620298.33935550821</v>
      </c>
      <c r="X279" s="573">
        <v>0</v>
      </c>
      <c r="Y279" s="1976">
        <v>80437.643620593182</v>
      </c>
      <c r="Z279" s="641">
        <f t="shared" si="14"/>
        <v>801073.46953126974</v>
      </c>
      <c r="AA279" s="1976">
        <v>676450</v>
      </c>
      <c r="AB279" s="573">
        <v>0</v>
      </c>
      <c r="AC279" s="1976">
        <v>21676.60863765817</v>
      </c>
      <c r="AD279" s="573">
        <v>0</v>
      </c>
      <c r="AE279" s="1976">
        <v>0</v>
      </c>
      <c r="AF279" s="641">
        <f t="shared" si="13"/>
        <v>21676.60863765817</v>
      </c>
      <c r="AG279" s="3141">
        <v>21178</v>
      </c>
    </row>
    <row r="280" spans="1:33" s="10" customFormat="1">
      <c r="A280" s="63">
        <f t="shared" si="15"/>
        <v>2015.07</v>
      </c>
      <c r="B280" s="250">
        <v>4192574</v>
      </c>
      <c r="C280" s="3140">
        <v>39810</v>
      </c>
      <c r="D280" s="3140">
        <v>0</v>
      </c>
      <c r="E280" s="134">
        <v>20339</v>
      </c>
      <c r="F280" s="573">
        <v>811611</v>
      </c>
      <c r="G280" s="3140">
        <v>17097</v>
      </c>
      <c r="H280" s="3140">
        <v>0</v>
      </c>
      <c r="I280" s="86">
        <v>3356</v>
      </c>
      <c r="J280" s="573">
        <v>3235315</v>
      </c>
      <c r="K280" s="3140">
        <v>19172</v>
      </c>
      <c r="L280" s="3140">
        <v>0</v>
      </c>
      <c r="M280" s="86">
        <v>16576</v>
      </c>
      <c r="N280" s="573">
        <v>17330</v>
      </c>
      <c r="O280" s="3140">
        <v>0</v>
      </c>
      <c r="P280" s="3140">
        <v>0</v>
      </c>
      <c r="Q280" s="86">
        <v>0</v>
      </c>
      <c r="R280" s="134">
        <v>4768200</v>
      </c>
      <c r="S280" s="3140">
        <v>283996</v>
      </c>
      <c r="T280" s="3140">
        <v>140</v>
      </c>
      <c r="U280" s="86">
        <v>20835</v>
      </c>
      <c r="V280" s="134">
        <v>155194.90751845416</v>
      </c>
      <c r="W280" s="1976">
        <v>455009.30300246837</v>
      </c>
      <c r="X280" s="573">
        <v>0</v>
      </c>
      <c r="Y280" s="1976">
        <v>43212.642475199282</v>
      </c>
      <c r="Z280" s="641">
        <f t="shared" si="14"/>
        <v>653416.85299612186</v>
      </c>
      <c r="AA280" s="1976">
        <v>571024</v>
      </c>
      <c r="AB280" s="573">
        <v>0</v>
      </c>
      <c r="AC280" s="1976">
        <v>21522.503334655179</v>
      </c>
      <c r="AD280" s="573">
        <v>0</v>
      </c>
      <c r="AE280" s="1976">
        <v>0</v>
      </c>
      <c r="AF280" s="641">
        <f t="shared" si="13"/>
        <v>21522.503334655179</v>
      </c>
      <c r="AG280" s="3141">
        <v>23830</v>
      </c>
    </row>
    <row r="281" spans="1:33" s="10" customFormat="1">
      <c r="A281" s="63">
        <f t="shared" si="15"/>
        <v>2015.08</v>
      </c>
      <c r="B281" s="250">
        <v>3662972</v>
      </c>
      <c r="C281" s="3140">
        <v>57280</v>
      </c>
      <c r="D281" s="3140">
        <v>0</v>
      </c>
      <c r="E281" s="134">
        <v>17960</v>
      </c>
      <c r="F281" s="573">
        <v>701191</v>
      </c>
      <c r="G281" s="3140">
        <v>24952</v>
      </c>
      <c r="H281" s="3140">
        <v>0</v>
      </c>
      <c r="I281" s="86">
        <v>3037</v>
      </c>
      <c r="J281" s="573">
        <v>2800187</v>
      </c>
      <c r="K281" s="3140">
        <v>26329</v>
      </c>
      <c r="L281" s="3140">
        <v>0</v>
      </c>
      <c r="M281" s="86">
        <v>14565</v>
      </c>
      <c r="N281" s="573">
        <v>17063</v>
      </c>
      <c r="O281" s="3140">
        <v>0</v>
      </c>
      <c r="P281" s="3140">
        <v>0</v>
      </c>
      <c r="Q281" s="86">
        <v>0</v>
      </c>
      <c r="R281" s="134">
        <v>4270805</v>
      </c>
      <c r="S281" s="3140">
        <v>265382</v>
      </c>
      <c r="T281" s="3140">
        <v>50</v>
      </c>
      <c r="U281" s="86">
        <v>18449</v>
      </c>
      <c r="V281" s="134">
        <v>64883.612459281518</v>
      </c>
      <c r="W281" s="1976">
        <v>384810.49068653648</v>
      </c>
      <c r="X281" s="573">
        <v>0</v>
      </c>
      <c r="Y281" s="1976">
        <v>62005.054235700227</v>
      </c>
      <c r="Z281" s="641">
        <f>SUM(V281:Y281)</f>
        <v>511699.15738151822</v>
      </c>
      <c r="AA281" s="1976">
        <v>451683</v>
      </c>
      <c r="AB281" s="573">
        <v>0</v>
      </c>
      <c r="AC281" s="1976">
        <v>3134.3451458235695</v>
      </c>
      <c r="AD281" s="573">
        <v>0</v>
      </c>
      <c r="AE281" s="1976">
        <v>0</v>
      </c>
      <c r="AF281" s="641">
        <f t="shared" si="13"/>
        <v>3134.3451458235695</v>
      </c>
      <c r="AG281" s="3141">
        <v>19149</v>
      </c>
    </row>
    <row r="282" spans="1:33" s="10" customFormat="1">
      <c r="A282" s="63">
        <f t="shared" si="15"/>
        <v>2015.09</v>
      </c>
      <c r="B282" s="250">
        <v>3275494</v>
      </c>
      <c r="C282" s="3140">
        <v>43412</v>
      </c>
      <c r="D282" s="3140">
        <v>0</v>
      </c>
      <c r="E282" s="134">
        <v>11780</v>
      </c>
      <c r="F282" s="573">
        <v>636013</v>
      </c>
      <c r="G282" s="3140">
        <v>18685</v>
      </c>
      <c r="H282" s="3140">
        <v>0</v>
      </c>
      <c r="I282" s="86">
        <v>1887</v>
      </c>
      <c r="J282" s="573">
        <v>2478329</v>
      </c>
      <c r="K282" s="3140">
        <v>22043</v>
      </c>
      <c r="L282" s="3140">
        <v>0</v>
      </c>
      <c r="M282" s="86">
        <v>9657</v>
      </c>
      <c r="N282" s="573">
        <v>15721</v>
      </c>
      <c r="O282" s="3140">
        <v>0</v>
      </c>
      <c r="P282" s="3140">
        <v>0</v>
      </c>
      <c r="Q282" s="86">
        <v>0</v>
      </c>
      <c r="R282" s="134">
        <v>3830531</v>
      </c>
      <c r="S282" s="3140">
        <v>191515</v>
      </c>
      <c r="T282" s="3140">
        <v>500</v>
      </c>
      <c r="U282" s="86">
        <v>12270</v>
      </c>
      <c r="V282" s="134">
        <v>42317.934129432891</v>
      </c>
      <c r="W282" s="1976">
        <v>495790.00976404769</v>
      </c>
      <c r="X282" s="573">
        <v>521.76836327345313</v>
      </c>
      <c r="Y282" s="1976">
        <v>52934.548676018792</v>
      </c>
      <c r="Z282" s="641">
        <f t="shared" si="14"/>
        <v>591564.26093277289</v>
      </c>
      <c r="AA282" s="1976">
        <v>545979</v>
      </c>
      <c r="AB282" s="573">
        <v>0</v>
      </c>
      <c r="AC282" s="1976">
        <v>0</v>
      </c>
      <c r="AD282" s="573">
        <v>0</v>
      </c>
      <c r="AE282" s="1976">
        <v>0</v>
      </c>
      <c r="AF282" s="641">
        <f t="shared" si="13"/>
        <v>0</v>
      </c>
      <c r="AG282" s="3141">
        <v>0</v>
      </c>
    </row>
    <row r="283" spans="1:33" s="10" customFormat="1">
      <c r="A283" s="63">
        <f t="shared" si="15"/>
        <v>2015.1</v>
      </c>
      <c r="B283" s="250">
        <v>3305788</v>
      </c>
      <c r="C283" s="3140">
        <v>16229</v>
      </c>
      <c r="D283" s="3140">
        <v>0</v>
      </c>
      <c r="E283" s="134">
        <v>20064</v>
      </c>
      <c r="F283" s="573">
        <v>643099</v>
      </c>
      <c r="G283" s="3140">
        <v>7061</v>
      </c>
      <c r="H283" s="3140">
        <v>0</v>
      </c>
      <c r="I283" s="86">
        <v>2881</v>
      </c>
      <c r="J283" s="573">
        <v>2529356</v>
      </c>
      <c r="K283" s="3140">
        <v>8347</v>
      </c>
      <c r="L283" s="3140">
        <v>0</v>
      </c>
      <c r="M283" s="86">
        <v>16781</v>
      </c>
      <c r="N283" s="573">
        <v>13856</v>
      </c>
      <c r="O283" s="3140">
        <v>0</v>
      </c>
      <c r="P283" s="3140">
        <v>0</v>
      </c>
      <c r="Q283" s="86">
        <v>0</v>
      </c>
      <c r="R283" s="134">
        <v>3892371</v>
      </c>
      <c r="S283" s="3140">
        <v>123299</v>
      </c>
      <c r="T283" s="3140">
        <v>550</v>
      </c>
      <c r="U283" s="86">
        <v>20476</v>
      </c>
      <c r="V283" s="134">
        <v>70602.223028280088</v>
      </c>
      <c r="W283" s="1976">
        <v>284105.8622426868</v>
      </c>
      <c r="X283" s="573">
        <v>0</v>
      </c>
      <c r="Y283" s="1976">
        <v>26758.12350655895</v>
      </c>
      <c r="Z283" s="641">
        <f t="shared" si="14"/>
        <v>381466.20877752581</v>
      </c>
      <c r="AA283" s="1976">
        <v>365450</v>
      </c>
      <c r="AB283" s="573">
        <v>0</v>
      </c>
      <c r="AC283" s="1976">
        <v>0</v>
      </c>
      <c r="AD283" s="573">
        <v>0</v>
      </c>
      <c r="AE283" s="1976">
        <v>0</v>
      </c>
      <c r="AF283" s="641">
        <f t="shared" si="13"/>
        <v>0</v>
      </c>
      <c r="AG283" s="3141">
        <v>4000</v>
      </c>
    </row>
    <row r="284" spans="1:33" s="10" customFormat="1">
      <c r="A284" s="63">
        <f t="shared" si="15"/>
        <v>2015.11</v>
      </c>
      <c r="B284" s="250">
        <v>2650686</v>
      </c>
      <c r="C284" s="3140">
        <v>7589</v>
      </c>
      <c r="D284" s="3140">
        <v>0</v>
      </c>
      <c r="E284" s="134">
        <v>16723</v>
      </c>
      <c r="F284" s="573">
        <v>522396</v>
      </c>
      <c r="G284" s="3140">
        <v>3288</v>
      </c>
      <c r="H284" s="3140">
        <v>0</v>
      </c>
      <c r="I284" s="86">
        <v>2341</v>
      </c>
      <c r="J284" s="573">
        <v>2022174</v>
      </c>
      <c r="K284" s="3140">
        <v>3261</v>
      </c>
      <c r="L284" s="3140">
        <v>0</v>
      </c>
      <c r="M284" s="86">
        <v>14048</v>
      </c>
      <c r="N284" s="573">
        <v>12780</v>
      </c>
      <c r="O284" s="3140">
        <v>0</v>
      </c>
      <c r="P284" s="3140">
        <v>0</v>
      </c>
      <c r="Q284" s="86">
        <v>0</v>
      </c>
      <c r="R284" s="134">
        <v>3006109</v>
      </c>
      <c r="S284" s="3140">
        <v>129689</v>
      </c>
      <c r="T284" s="3140">
        <v>341</v>
      </c>
      <c r="U284" s="86">
        <v>17113</v>
      </c>
      <c r="V284" s="134">
        <v>75703</v>
      </c>
      <c r="W284" s="1976">
        <v>330944.06459803163</v>
      </c>
      <c r="X284" s="573">
        <v>0</v>
      </c>
      <c r="Y284" s="1976">
        <v>49467.626586908111</v>
      </c>
      <c r="Z284" s="641">
        <f t="shared" si="14"/>
        <v>456114.69118493976</v>
      </c>
      <c r="AA284" s="1976">
        <v>425863</v>
      </c>
      <c r="AB284" s="573">
        <v>0</v>
      </c>
      <c r="AC284" s="1976">
        <v>0</v>
      </c>
      <c r="AD284" s="573">
        <v>0</v>
      </c>
      <c r="AE284" s="1976">
        <v>0</v>
      </c>
      <c r="AF284" s="641">
        <f t="shared" si="13"/>
        <v>0</v>
      </c>
      <c r="AG284" s="3141">
        <v>0</v>
      </c>
    </row>
    <row r="285" spans="1:33" s="10" customFormat="1">
      <c r="A285" s="63">
        <f t="shared" si="15"/>
        <v>2015.12</v>
      </c>
      <c r="B285" s="250">
        <v>2323623</v>
      </c>
      <c r="C285" s="3140">
        <v>50807</v>
      </c>
      <c r="D285" s="3140">
        <v>0</v>
      </c>
      <c r="E285" s="134">
        <v>5130</v>
      </c>
      <c r="F285" s="573">
        <v>458666</v>
      </c>
      <c r="G285" s="3140">
        <v>19749</v>
      </c>
      <c r="H285" s="3140">
        <v>0</v>
      </c>
      <c r="I285" s="86">
        <v>804</v>
      </c>
      <c r="J285" s="573">
        <v>1784827</v>
      </c>
      <c r="K285" s="3140">
        <v>20777</v>
      </c>
      <c r="L285" s="3140">
        <v>0</v>
      </c>
      <c r="M285" s="86">
        <v>17417</v>
      </c>
      <c r="N285" s="573">
        <v>13786</v>
      </c>
      <c r="O285" s="3140">
        <v>0</v>
      </c>
      <c r="P285" s="3140">
        <v>0</v>
      </c>
      <c r="Q285" s="86">
        <v>0</v>
      </c>
      <c r="R285" s="134">
        <v>2620964</v>
      </c>
      <c r="S285" s="3140">
        <v>159828</v>
      </c>
      <c r="T285" s="3140">
        <v>0</v>
      </c>
      <c r="U285" s="86">
        <v>5541</v>
      </c>
      <c r="V285" s="134">
        <v>27849</v>
      </c>
      <c r="W285" s="1976">
        <v>147674.90413541344</v>
      </c>
      <c r="X285" s="573">
        <v>15151</v>
      </c>
      <c r="Y285" s="1976">
        <v>33305.719988946505</v>
      </c>
      <c r="Z285" s="641">
        <f t="shared" si="14"/>
        <v>223980.62412435995</v>
      </c>
      <c r="AA285" s="1976">
        <v>210928</v>
      </c>
      <c r="AB285" s="573">
        <v>0</v>
      </c>
      <c r="AC285" s="1976">
        <v>57.462994340098774</v>
      </c>
      <c r="AD285" s="573">
        <v>0</v>
      </c>
      <c r="AE285" s="1976">
        <v>0</v>
      </c>
      <c r="AF285" s="641">
        <f t="shared" si="13"/>
        <v>57.462994340098774</v>
      </c>
      <c r="AG285" s="3141">
        <v>44</v>
      </c>
    </row>
    <row r="286" spans="1:33" s="10" customFormat="1">
      <c r="A286" s="63">
        <f t="shared" si="15"/>
        <v>2016.01</v>
      </c>
      <c r="B286" s="250">
        <v>3386549</v>
      </c>
      <c r="C286" s="3140">
        <v>124752</v>
      </c>
      <c r="D286" s="3140">
        <v>0</v>
      </c>
      <c r="E286" s="134">
        <v>0</v>
      </c>
      <c r="F286" s="573">
        <v>668352</v>
      </c>
      <c r="G286" s="3140">
        <v>49993</v>
      </c>
      <c r="H286" s="3140">
        <v>0</v>
      </c>
      <c r="I286" s="86">
        <v>0</v>
      </c>
      <c r="J286" s="573">
        <v>2595341</v>
      </c>
      <c r="K286" s="3140">
        <v>53903</v>
      </c>
      <c r="L286" s="3140">
        <v>0</v>
      </c>
      <c r="M286" s="86">
        <v>0</v>
      </c>
      <c r="N286" s="573">
        <v>14185</v>
      </c>
      <c r="O286" s="3140">
        <v>0</v>
      </c>
      <c r="P286" s="3140">
        <v>0</v>
      </c>
      <c r="Q286" s="86">
        <v>0</v>
      </c>
      <c r="R286" s="134">
        <v>3910467</v>
      </c>
      <c r="S286" s="3140">
        <v>200356</v>
      </c>
      <c r="T286" s="3140">
        <v>0</v>
      </c>
      <c r="U286" s="86">
        <v>308</v>
      </c>
      <c r="V286" s="134">
        <v>53500</v>
      </c>
      <c r="W286" s="1976">
        <v>381919.66795195086</v>
      </c>
      <c r="X286" s="573">
        <v>11000</v>
      </c>
      <c r="Y286" s="1976">
        <v>107623.11533371042</v>
      </c>
      <c r="Z286" s="641">
        <f t="shared" si="14"/>
        <v>554042.78328566125</v>
      </c>
      <c r="AA286" s="1976">
        <v>359794</v>
      </c>
      <c r="AB286" s="573">
        <v>0</v>
      </c>
      <c r="AC286" s="1976">
        <v>0</v>
      </c>
      <c r="AD286" s="573">
        <v>0</v>
      </c>
      <c r="AE286" s="1976">
        <v>0</v>
      </c>
      <c r="AF286" s="641">
        <f t="shared" si="13"/>
        <v>0</v>
      </c>
      <c r="AG286" s="3141">
        <v>0</v>
      </c>
    </row>
    <row r="287" spans="1:33" s="10" customFormat="1">
      <c r="A287" s="63">
        <f t="shared" si="15"/>
        <v>2016.02</v>
      </c>
      <c r="B287" s="250">
        <v>2793951</v>
      </c>
      <c r="C287" s="3140">
        <v>116325</v>
      </c>
      <c r="D287" s="3140">
        <v>0</v>
      </c>
      <c r="E287" s="134">
        <v>0</v>
      </c>
      <c r="F287" s="573">
        <v>548186</v>
      </c>
      <c r="G287" s="3140">
        <v>44707</v>
      </c>
      <c r="H287" s="3140">
        <v>0</v>
      </c>
      <c r="I287" s="86">
        <v>0</v>
      </c>
      <c r="J287" s="573">
        <v>2147221</v>
      </c>
      <c r="K287" s="3140">
        <v>49745</v>
      </c>
      <c r="L287" s="3140">
        <v>0</v>
      </c>
      <c r="M287" s="86">
        <v>0</v>
      </c>
      <c r="N287" s="573">
        <v>10365</v>
      </c>
      <c r="O287" s="3140">
        <v>0</v>
      </c>
      <c r="P287" s="3140">
        <v>0</v>
      </c>
      <c r="Q287" s="86">
        <v>0</v>
      </c>
      <c r="R287" s="134">
        <v>3205307</v>
      </c>
      <c r="S287" s="3140">
        <v>278630</v>
      </c>
      <c r="T287" s="3140">
        <v>0</v>
      </c>
      <c r="U287" s="86">
        <v>167</v>
      </c>
      <c r="V287" s="134">
        <v>42000</v>
      </c>
      <c r="W287" s="1976">
        <v>366779.74114861107</v>
      </c>
      <c r="X287" s="573">
        <v>0</v>
      </c>
      <c r="Y287" s="1976">
        <v>26002.786137472351</v>
      </c>
      <c r="Z287" s="641">
        <f t="shared" si="14"/>
        <v>434782.52728608344</v>
      </c>
      <c r="AA287" s="1976">
        <v>289021</v>
      </c>
      <c r="AB287" s="573">
        <v>0</v>
      </c>
      <c r="AC287" s="1976">
        <v>2146.3496971746495</v>
      </c>
      <c r="AD287" s="573">
        <v>0</v>
      </c>
      <c r="AE287" s="1976">
        <v>0</v>
      </c>
      <c r="AF287" s="641">
        <f t="shared" si="13"/>
        <v>2146.3496971746495</v>
      </c>
      <c r="AG287" s="3141">
        <v>4500</v>
      </c>
    </row>
    <row r="288" spans="1:33" s="10" customFormat="1">
      <c r="A288" s="63">
        <f t="shared" si="15"/>
        <v>2016.03</v>
      </c>
      <c r="B288" s="250">
        <v>2884414</v>
      </c>
      <c r="C288" s="3140">
        <v>123771</v>
      </c>
      <c r="D288" s="3140">
        <v>0</v>
      </c>
      <c r="E288" s="134">
        <v>0</v>
      </c>
      <c r="F288" s="573">
        <v>572999</v>
      </c>
      <c r="G288" s="3140">
        <v>49495</v>
      </c>
      <c r="H288" s="3140">
        <v>0</v>
      </c>
      <c r="I288" s="86">
        <v>0</v>
      </c>
      <c r="J288" s="573">
        <v>2195375</v>
      </c>
      <c r="K288" s="3140">
        <v>55224</v>
      </c>
      <c r="L288" s="3140">
        <v>0</v>
      </c>
      <c r="M288" s="86">
        <v>0</v>
      </c>
      <c r="N288" s="573">
        <v>13452</v>
      </c>
      <c r="O288" s="3140">
        <v>0</v>
      </c>
      <c r="P288" s="3140">
        <v>0</v>
      </c>
      <c r="Q288" s="86">
        <v>0</v>
      </c>
      <c r="R288" s="134">
        <v>3230589</v>
      </c>
      <c r="S288" s="3140">
        <v>411584</v>
      </c>
      <c r="T288" s="3140">
        <v>0</v>
      </c>
      <c r="U288" s="86">
        <v>210</v>
      </c>
      <c r="V288" s="134">
        <v>50106</v>
      </c>
      <c r="W288" s="1976">
        <v>450455.89301958471</v>
      </c>
      <c r="X288" s="573">
        <v>0</v>
      </c>
      <c r="Y288" s="1976">
        <v>23399.104017686182</v>
      </c>
      <c r="Z288" s="641">
        <f t="shared" si="14"/>
        <v>523960.99703727086</v>
      </c>
      <c r="AA288" s="1976">
        <v>340872</v>
      </c>
      <c r="AB288" s="573">
        <v>0</v>
      </c>
      <c r="AC288" s="1976">
        <v>108811.34424796602</v>
      </c>
      <c r="AD288" s="573">
        <v>0</v>
      </c>
      <c r="AE288" s="1976">
        <v>0</v>
      </c>
      <c r="AF288" s="641">
        <f t="shared" si="13"/>
        <v>108811.34424796602</v>
      </c>
      <c r="AG288" s="3141">
        <v>59196</v>
      </c>
    </row>
    <row r="289" spans="1:33" s="10" customFormat="1">
      <c r="A289" s="63">
        <f t="shared" si="15"/>
        <v>2016.04</v>
      </c>
      <c r="B289" s="250">
        <v>3300647</v>
      </c>
      <c r="C289" s="3140">
        <v>121682</v>
      </c>
      <c r="D289" s="3140">
        <v>0</v>
      </c>
      <c r="E289" s="134">
        <v>0</v>
      </c>
      <c r="F289" s="573">
        <v>653292</v>
      </c>
      <c r="G289" s="3140">
        <v>48914</v>
      </c>
      <c r="H289" s="3140">
        <v>0</v>
      </c>
      <c r="I289" s="86">
        <v>0</v>
      </c>
      <c r="J289" s="573">
        <v>2513017</v>
      </c>
      <c r="K289" s="3140">
        <v>54404</v>
      </c>
      <c r="L289" s="3140">
        <v>0</v>
      </c>
      <c r="M289" s="86">
        <v>0</v>
      </c>
      <c r="N289" s="573">
        <v>10564</v>
      </c>
      <c r="O289" s="3140">
        <v>0</v>
      </c>
      <c r="P289" s="3140">
        <v>0</v>
      </c>
      <c r="Q289" s="86">
        <v>0</v>
      </c>
      <c r="R289" s="134">
        <v>3728116</v>
      </c>
      <c r="S289" s="3140">
        <v>387656</v>
      </c>
      <c r="T289" s="3140">
        <v>147</v>
      </c>
      <c r="U289" s="86">
        <v>349</v>
      </c>
      <c r="V289" s="134">
        <v>72450</v>
      </c>
      <c r="W289" s="1976">
        <v>382015.84730625618</v>
      </c>
      <c r="X289" s="573">
        <v>0</v>
      </c>
      <c r="Y289" s="1976">
        <v>51880.292810540566</v>
      </c>
      <c r="Z289" s="641">
        <f>SUM(V289:Y289)</f>
        <v>506346.14011679677</v>
      </c>
      <c r="AA289" s="1976">
        <v>343643</v>
      </c>
      <c r="AB289" s="573">
        <v>0</v>
      </c>
      <c r="AC289" s="1976">
        <v>44072.869767428216</v>
      </c>
      <c r="AD289" s="573">
        <v>0</v>
      </c>
      <c r="AE289" s="1976">
        <v>0</v>
      </c>
      <c r="AF289" s="641">
        <f t="shared" si="13"/>
        <v>44072.869767428216</v>
      </c>
      <c r="AG289" s="3141">
        <v>46950</v>
      </c>
    </row>
    <row r="290" spans="1:33" s="10" customFormat="1">
      <c r="A290" s="63">
        <f t="shared" si="15"/>
        <v>2016.05</v>
      </c>
      <c r="B290" s="250">
        <v>3754595</v>
      </c>
      <c r="C290" s="3140">
        <v>83447</v>
      </c>
      <c r="D290" s="3140">
        <v>0</v>
      </c>
      <c r="E290" s="134">
        <v>9724</v>
      </c>
      <c r="F290" s="573">
        <v>732900</v>
      </c>
      <c r="G290" s="3140">
        <v>34279</v>
      </c>
      <c r="H290" s="3140">
        <v>0</v>
      </c>
      <c r="I290" s="86">
        <v>1466</v>
      </c>
      <c r="J290" s="573">
        <v>2823234</v>
      </c>
      <c r="K290" s="3140">
        <v>37940</v>
      </c>
      <c r="L290" s="3140">
        <v>0</v>
      </c>
      <c r="M290" s="86">
        <v>6542</v>
      </c>
      <c r="N290" s="573">
        <v>14103</v>
      </c>
      <c r="O290" s="3140">
        <v>0</v>
      </c>
      <c r="P290" s="3140">
        <v>0</v>
      </c>
      <c r="Q290" s="86">
        <v>0</v>
      </c>
      <c r="R290" s="134">
        <v>4351900</v>
      </c>
      <c r="S290" s="3140">
        <v>217533</v>
      </c>
      <c r="T290" s="3140">
        <v>211</v>
      </c>
      <c r="U290" s="86">
        <v>10319</v>
      </c>
      <c r="V290" s="134">
        <v>55700</v>
      </c>
      <c r="W290" s="1976">
        <v>495618.46423884941</v>
      </c>
      <c r="X290" s="573">
        <v>0</v>
      </c>
      <c r="Y290" s="1976">
        <v>92076.75213076768</v>
      </c>
      <c r="Z290" s="641">
        <f t="shared" si="14"/>
        <v>643395.21636961715</v>
      </c>
      <c r="AA290" s="1976">
        <v>420191</v>
      </c>
      <c r="AB290" s="573">
        <v>0</v>
      </c>
      <c r="AC290" s="1976">
        <v>14298.89592947563</v>
      </c>
      <c r="AD290" s="573">
        <v>0</v>
      </c>
      <c r="AE290" s="1976">
        <v>0</v>
      </c>
      <c r="AF290" s="641">
        <f t="shared" ref="AF290:AF353" si="16">SUM(AB290:AE290)</f>
        <v>14298.89592947563</v>
      </c>
      <c r="AG290" s="3141">
        <v>43528</v>
      </c>
    </row>
    <row r="291" spans="1:33" s="10" customFormat="1">
      <c r="A291" s="63">
        <f t="shared" si="15"/>
        <v>2016.06</v>
      </c>
      <c r="B291" s="250">
        <v>3574352</v>
      </c>
      <c r="C291" s="3140">
        <v>95850</v>
      </c>
      <c r="D291" s="3140">
        <v>0</v>
      </c>
      <c r="E291" s="134">
        <v>8646</v>
      </c>
      <c r="F291" s="573">
        <v>703710</v>
      </c>
      <c r="G291" s="3140">
        <v>39605</v>
      </c>
      <c r="H291" s="3140">
        <v>0</v>
      </c>
      <c r="I291" s="86">
        <v>1485</v>
      </c>
      <c r="J291" s="573">
        <v>2740501</v>
      </c>
      <c r="K291" s="3140">
        <v>41330</v>
      </c>
      <c r="L291" s="3140">
        <v>0</v>
      </c>
      <c r="M291" s="86">
        <v>6195</v>
      </c>
      <c r="N291" s="573">
        <v>14793</v>
      </c>
      <c r="O291" s="3140">
        <v>0</v>
      </c>
      <c r="P291" s="3140">
        <v>0</v>
      </c>
      <c r="Q291" s="86">
        <v>0</v>
      </c>
      <c r="R291" s="134">
        <v>4045934</v>
      </c>
      <c r="S291" s="3140">
        <v>309359</v>
      </c>
      <c r="T291" s="3140">
        <v>71</v>
      </c>
      <c r="U291" s="86">
        <v>9121</v>
      </c>
      <c r="V291" s="134">
        <v>96305</v>
      </c>
      <c r="W291" s="1976">
        <v>375030.10711110453</v>
      </c>
      <c r="X291" s="573">
        <v>0</v>
      </c>
      <c r="Y291" s="1976">
        <v>86984.983579897264</v>
      </c>
      <c r="Z291" s="641">
        <f t="shared" si="14"/>
        <v>558320.09069100185</v>
      </c>
      <c r="AA291" s="1976">
        <v>503409</v>
      </c>
      <c r="AB291" s="573">
        <v>0</v>
      </c>
      <c r="AC291" s="1976">
        <v>0</v>
      </c>
      <c r="AD291" s="573">
        <v>0</v>
      </c>
      <c r="AE291" s="1976">
        <v>0</v>
      </c>
      <c r="AF291" s="641">
        <f t="shared" si="16"/>
        <v>0</v>
      </c>
      <c r="AG291" s="3141">
        <v>0</v>
      </c>
    </row>
    <row r="292" spans="1:33" s="10" customFormat="1">
      <c r="A292" s="63">
        <f t="shared" si="15"/>
        <v>2016.07</v>
      </c>
      <c r="B292" s="250">
        <v>3455037</v>
      </c>
      <c r="C292" s="3140">
        <v>53006</v>
      </c>
      <c r="D292" s="3140">
        <v>0</v>
      </c>
      <c r="E292" s="134">
        <v>10438</v>
      </c>
      <c r="F292" s="573">
        <v>682106</v>
      </c>
      <c r="G292" s="3140">
        <v>21597</v>
      </c>
      <c r="H292" s="3140">
        <v>0</v>
      </c>
      <c r="I292" s="86">
        <v>1637</v>
      </c>
      <c r="J292" s="573">
        <v>2635287</v>
      </c>
      <c r="K292" s="3140">
        <v>22714</v>
      </c>
      <c r="L292" s="3140">
        <v>0</v>
      </c>
      <c r="M292" s="86">
        <v>7513</v>
      </c>
      <c r="N292" s="573">
        <v>13620</v>
      </c>
      <c r="O292" s="3140">
        <v>0</v>
      </c>
      <c r="P292" s="3140">
        <v>0</v>
      </c>
      <c r="Q292" s="86">
        <v>0</v>
      </c>
      <c r="R292" s="134">
        <v>3975717</v>
      </c>
      <c r="S292" s="3140">
        <v>222617</v>
      </c>
      <c r="T292" s="3140">
        <v>373</v>
      </c>
      <c r="U292" s="86">
        <v>11165</v>
      </c>
      <c r="V292" s="134">
        <v>53014</v>
      </c>
      <c r="W292" s="1976">
        <v>398624.25684505893</v>
      </c>
      <c r="X292" s="573">
        <v>0</v>
      </c>
      <c r="Y292" s="1976">
        <v>38683.805016522107</v>
      </c>
      <c r="Z292" s="641">
        <f t="shared" si="14"/>
        <v>490322.06186158105</v>
      </c>
      <c r="AA292" s="1976">
        <v>436711</v>
      </c>
      <c r="AB292" s="573">
        <v>0</v>
      </c>
      <c r="AC292" s="1976">
        <v>1035.1856630151767</v>
      </c>
      <c r="AD292" s="573">
        <v>0</v>
      </c>
      <c r="AE292" s="1976">
        <v>0</v>
      </c>
      <c r="AF292" s="641">
        <f t="shared" si="16"/>
        <v>1035.1856630151767</v>
      </c>
      <c r="AG292" s="3141">
        <v>26065</v>
      </c>
    </row>
    <row r="293" spans="1:33" s="10" customFormat="1">
      <c r="A293" s="63">
        <f t="shared" si="15"/>
        <v>2016.08</v>
      </c>
      <c r="B293" s="250">
        <v>3195019</v>
      </c>
      <c r="C293" s="3140">
        <v>65915</v>
      </c>
      <c r="D293" s="3140">
        <v>0</v>
      </c>
      <c r="E293" s="134">
        <v>18083</v>
      </c>
      <c r="F293" s="573">
        <v>618095</v>
      </c>
      <c r="G293" s="3140">
        <v>26712</v>
      </c>
      <c r="H293" s="3140">
        <v>0</v>
      </c>
      <c r="I293" s="86">
        <v>2796</v>
      </c>
      <c r="J293" s="573">
        <v>2441783</v>
      </c>
      <c r="K293" s="3140">
        <v>29621</v>
      </c>
      <c r="L293" s="3140">
        <v>0</v>
      </c>
      <c r="M293" s="86">
        <v>9933</v>
      </c>
      <c r="N293" s="573">
        <v>13858</v>
      </c>
      <c r="O293" s="3140">
        <v>0</v>
      </c>
      <c r="P293" s="3140">
        <v>0</v>
      </c>
      <c r="Q293" s="86">
        <v>0</v>
      </c>
      <c r="R293" s="134">
        <v>3756860</v>
      </c>
      <c r="S293" s="3140">
        <v>229743</v>
      </c>
      <c r="T293" s="3140">
        <v>480</v>
      </c>
      <c r="U293" s="86">
        <v>18735</v>
      </c>
      <c r="V293" s="134">
        <v>62645</v>
      </c>
      <c r="W293" s="1976">
        <v>354853.11121855141</v>
      </c>
      <c r="X293" s="573">
        <v>2255</v>
      </c>
      <c r="Y293" s="1976">
        <v>46223.904317819804</v>
      </c>
      <c r="Z293" s="641">
        <f t="shared" si="14"/>
        <v>465977.01553637121</v>
      </c>
      <c r="AA293" s="1976">
        <v>437358</v>
      </c>
      <c r="AB293" s="573">
        <v>0</v>
      </c>
      <c r="AC293" s="1976">
        <v>2795.0012901409773</v>
      </c>
      <c r="AD293" s="573">
        <v>0</v>
      </c>
      <c r="AE293" s="1976">
        <v>0</v>
      </c>
      <c r="AF293" s="641">
        <f t="shared" si="16"/>
        <v>2795.0012901409773</v>
      </c>
      <c r="AG293" s="3141">
        <v>4700</v>
      </c>
    </row>
    <row r="294" spans="1:33" s="10" customFormat="1">
      <c r="A294" s="63">
        <f t="shared" si="15"/>
        <v>2016.09</v>
      </c>
      <c r="B294" s="250">
        <v>2955564</v>
      </c>
      <c r="C294" s="3140">
        <v>27576</v>
      </c>
      <c r="D294" s="3140">
        <v>0</v>
      </c>
      <c r="E294" s="134">
        <v>4365</v>
      </c>
      <c r="F294" s="573">
        <v>592380</v>
      </c>
      <c r="G294" s="3140">
        <v>10799</v>
      </c>
      <c r="H294" s="3140">
        <v>0</v>
      </c>
      <c r="I294" s="86">
        <v>758</v>
      </c>
      <c r="J294" s="573">
        <v>2262728</v>
      </c>
      <c r="K294" s="3140">
        <v>13864</v>
      </c>
      <c r="L294" s="3140">
        <v>0</v>
      </c>
      <c r="M294" s="86">
        <v>3481</v>
      </c>
      <c r="N294" s="573">
        <v>11964</v>
      </c>
      <c r="O294" s="3140">
        <v>0</v>
      </c>
      <c r="P294" s="3140">
        <v>0</v>
      </c>
      <c r="Q294" s="86">
        <v>0</v>
      </c>
      <c r="R294" s="134">
        <v>3540968</v>
      </c>
      <c r="S294" s="3140">
        <v>122460</v>
      </c>
      <c r="T294" s="3140">
        <v>917</v>
      </c>
      <c r="U294" s="86">
        <v>5047</v>
      </c>
      <c r="V294" s="134">
        <v>61158</v>
      </c>
      <c r="W294" s="1976">
        <v>205058.34595989337</v>
      </c>
      <c r="X294" s="573">
        <v>0</v>
      </c>
      <c r="Y294" s="1976">
        <v>30535.791337226416</v>
      </c>
      <c r="Z294" s="641">
        <f t="shared" si="14"/>
        <v>296752.13729711977</v>
      </c>
      <c r="AA294" s="1976">
        <v>279120</v>
      </c>
      <c r="AB294" s="573">
        <v>0</v>
      </c>
      <c r="AC294" s="1976">
        <v>2070.3713260303534</v>
      </c>
      <c r="AD294" s="573">
        <v>0</v>
      </c>
      <c r="AE294" s="1976">
        <v>0</v>
      </c>
      <c r="AF294" s="641">
        <f t="shared" si="16"/>
        <v>2070.3713260303534</v>
      </c>
      <c r="AG294" s="3141">
        <v>2000</v>
      </c>
    </row>
    <row r="295" spans="1:33" s="10" customFormat="1">
      <c r="A295" s="63">
        <f t="shared" si="15"/>
        <v>2016.1</v>
      </c>
      <c r="B295" s="250">
        <v>3118618</v>
      </c>
      <c r="C295" s="3140">
        <v>15182</v>
      </c>
      <c r="D295" s="3140">
        <v>0</v>
      </c>
      <c r="E295" s="134">
        <v>0</v>
      </c>
      <c r="F295" s="573">
        <v>619305</v>
      </c>
      <c r="G295" s="3140">
        <v>6559</v>
      </c>
      <c r="H295" s="3140">
        <v>0</v>
      </c>
      <c r="I295" s="86">
        <v>0</v>
      </c>
      <c r="J295" s="573">
        <v>2386741</v>
      </c>
      <c r="K295" s="3140">
        <v>8141</v>
      </c>
      <c r="L295" s="3140">
        <v>0</v>
      </c>
      <c r="M295" s="86">
        <v>0</v>
      </c>
      <c r="N295" s="573">
        <v>13161</v>
      </c>
      <c r="O295" s="3140">
        <v>0</v>
      </c>
      <c r="P295" s="3140">
        <v>0</v>
      </c>
      <c r="Q295" s="86">
        <v>0</v>
      </c>
      <c r="R295" s="134">
        <v>3705761</v>
      </c>
      <c r="S295" s="3140">
        <v>129406</v>
      </c>
      <c r="T295" s="3140">
        <v>430</v>
      </c>
      <c r="U295" s="86">
        <v>489</v>
      </c>
      <c r="V295" s="134">
        <v>37000</v>
      </c>
      <c r="W295" s="1976">
        <v>268680.35618535208</v>
      </c>
      <c r="X295" s="573">
        <v>0</v>
      </c>
      <c r="Y295" s="1976">
        <v>71303.473520595537</v>
      </c>
      <c r="Z295" s="641">
        <f t="shared" si="14"/>
        <v>376983.8297059476</v>
      </c>
      <c r="AA295" s="1976">
        <v>356798</v>
      </c>
      <c r="AB295" s="573">
        <v>0</v>
      </c>
      <c r="AC295" s="1976">
        <v>0</v>
      </c>
      <c r="AD295" s="573">
        <v>0</v>
      </c>
      <c r="AE295" s="1976">
        <v>0</v>
      </c>
      <c r="AF295" s="641">
        <f t="shared" si="16"/>
        <v>0</v>
      </c>
      <c r="AG295" s="3141">
        <v>2100</v>
      </c>
    </row>
    <row r="296" spans="1:33" s="10" customFormat="1">
      <c r="A296" s="63">
        <f t="shared" si="15"/>
        <v>2016.11</v>
      </c>
      <c r="B296" s="250">
        <v>3267947</v>
      </c>
      <c r="C296" s="3140">
        <v>2099</v>
      </c>
      <c r="D296" s="3140">
        <v>0</v>
      </c>
      <c r="E296" s="134">
        <v>0</v>
      </c>
      <c r="F296" s="573">
        <v>641919</v>
      </c>
      <c r="G296" s="3140">
        <v>919</v>
      </c>
      <c r="H296" s="3140">
        <v>0</v>
      </c>
      <c r="I296" s="86">
        <v>0</v>
      </c>
      <c r="J296" s="573">
        <v>2498235</v>
      </c>
      <c r="K296" s="3140">
        <v>1118</v>
      </c>
      <c r="L296" s="3140">
        <v>0</v>
      </c>
      <c r="M296" s="86">
        <v>0</v>
      </c>
      <c r="N296" s="573">
        <v>12454</v>
      </c>
      <c r="O296" s="3140">
        <v>0</v>
      </c>
      <c r="P296" s="3140">
        <v>0</v>
      </c>
      <c r="Q296" s="86">
        <v>0</v>
      </c>
      <c r="R296" s="134">
        <v>3645433</v>
      </c>
      <c r="S296" s="3140">
        <v>93321</v>
      </c>
      <c r="T296" s="3140">
        <v>560</v>
      </c>
      <c r="U296" s="86">
        <v>330</v>
      </c>
      <c r="V296" s="134">
        <v>66983</v>
      </c>
      <c r="W296" s="1976">
        <v>368408.34457992995</v>
      </c>
      <c r="X296" s="573">
        <v>0</v>
      </c>
      <c r="Y296" s="1976">
        <v>85901.991797761671</v>
      </c>
      <c r="Z296" s="641">
        <f t="shared" si="14"/>
        <v>521293.33637769159</v>
      </c>
      <c r="AA296" s="1976">
        <v>481649</v>
      </c>
      <c r="AB296" s="573">
        <v>0</v>
      </c>
      <c r="AC296" s="1976">
        <v>879.90781356290029</v>
      </c>
      <c r="AD296" s="573">
        <v>0</v>
      </c>
      <c r="AE296" s="1976">
        <v>0</v>
      </c>
      <c r="AF296" s="641">
        <f t="shared" si="16"/>
        <v>879.90781356290029</v>
      </c>
      <c r="AG296" s="3141">
        <v>850</v>
      </c>
    </row>
    <row r="297" spans="1:33" s="10" customFormat="1">
      <c r="A297" s="63">
        <f t="shared" si="15"/>
        <v>2016.12</v>
      </c>
      <c r="B297" s="250">
        <v>2852057</v>
      </c>
      <c r="C297" s="3140">
        <v>42979</v>
      </c>
      <c r="D297" s="3140">
        <v>0</v>
      </c>
      <c r="E297" s="134">
        <v>0</v>
      </c>
      <c r="F297" s="573">
        <v>558803</v>
      </c>
      <c r="G297" s="3140">
        <v>16924</v>
      </c>
      <c r="H297" s="3140">
        <v>0</v>
      </c>
      <c r="I297" s="86">
        <v>0</v>
      </c>
      <c r="J297" s="573">
        <v>2186113</v>
      </c>
      <c r="K297" s="3140">
        <v>19410</v>
      </c>
      <c r="L297" s="3140">
        <v>0</v>
      </c>
      <c r="M297" s="86">
        <v>0</v>
      </c>
      <c r="N297" s="573">
        <v>12056</v>
      </c>
      <c r="O297" s="3140">
        <v>0</v>
      </c>
      <c r="P297" s="3140">
        <v>0</v>
      </c>
      <c r="Q297" s="86">
        <v>0</v>
      </c>
      <c r="R297" s="134">
        <v>3388459</v>
      </c>
      <c r="S297" s="3140">
        <v>139675</v>
      </c>
      <c r="T297" s="3140">
        <v>90</v>
      </c>
      <c r="U297" s="86">
        <v>0</v>
      </c>
      <c r="V297" s="134">
        <v>31500</v>
      </c>
      <c r="W297" s="1976">
        <v>364653.86443485756</v>
      </c>
      <c r="X297" s="573">
        <v>0</v>
      </c>
      <c r="Y297" s="1976">
        <v>52345</v>
      </c>
      <c r="Z297" s="641">
        <f t="shared" si="14"/>
        <v>448498.86443485756</v>
      </c>
      <c r="AA297" s="1976">
        <v>456350</v>
      </c>
      <c r="AB297" s="573">
        <v>0</v>
      </c>
      <c r="AC297" s="1976">
        <v>414.07426520607072</v>
      </c>
      <c r="AD297" s="573">
        <v>0</v>
      </c>
      <c r="AE297" s="1976">
        <v>400</v>
      </c>
      <c r="AF297" s="641">
        <f t="shared" si="16"/>
        <v>814.07426520607078</v>
      </c>
      <c r="AG297" s="3141">
        <v>400</v>
      </c>
    </row>
    <row r="298" spans="1:33" s="10" customFormat="1">
      <c r="A298" s="63">
        <f t="shared" si="15"/>
        <v>2017.01</v>
      </c>
      <c r="B298" s="250">
        <v>2509684</v>
      </c>
      <c r="C298" s="3140">
        <v>174626</v>
      </c>
      <c r="D298" s="3140">
        <v>0</v>
      </c>
      <c r="E298" s="134">
        <v>0</v>
      </c>
      <c r="F298" s="573">
        <v>495510</v>
      </c>
      <c r="G298" s="3140">
        <v>69803</v>
      </c>
      <c r="H298" s="3140">
        <v>0</v>
      </c>
      <c r="I298" s="86">
        <v>0</v>
      </c>
      <c r="J298" s="573">
        <v>1929504</v>
      </c>
      <c r="K298" s="3140">
        <v>80627</v>
      </c>
      <c r="L298" s="3140">
        <v>0</v>
      </c>
      <c r="M298" s="86">
        <v>0</v>
      </c>
      <c r="N298" s="573">
        <v>11297</v>
      </c>
      <c r="O298" s="3140">
        <v>0</v>
      </c>
      <c r="P298" s="3140">
        <v>0</v>
      </c>
      <c r="Q298" s="86">
        <v>0</v>
      </c>
      <c r="R298" s="134">
        <v>2966406</v>
      </c>
      <c r="S298" s="3140">
        <v>308973</v>
      </c>
      <c r="T298" s="3140">
        <v>671</v>
      </c>
      <c r="U298" s="86">
        <v>0</v>
      </c>
      <c r="V298" s="134">
        <v>66184</v>
      </c>
      <c r="W298" s="1976">
        <v>195281.84874978152</v>
      </c>
      <c r="X298" s="573">
        <v>0</v>
      </c>
      <c r="Y298" s="1976">
        <v>25171.78714144996</v>
      </c>
      <c r="Z298" s="641">
        <f t="shared" si="14"/>
        <v>286637.63589123148</v>
      </c>
      <c r="AA298" s="1976">
        <v>207811</v>
      </c>
      <c r="AB298" s="573">
        <v>0</v>
      </c>
      <c r="AC298" s="1976">
        <v>20832.051941473739</v>
      </c>
      <c r="AD298" s="573">
        <v>0</v>
      </c>
      <c r="AE298" s="1976">
        <v>0</v>
      </c>
      <c r="AF298" s="641">
        <f t="shared" si="16"/>
        <v>20832.051941473739</v>
      </c>
      <c r="AG298" s="3141">
        <v>16860</v>
      </c>
    </row>
    <row r="299" spans="1:33" s="10" customFormat="1">
      <c r="A299" s="63">
        <f t="shared" si="15"/>
        <v>2017.02</v>
      </c>
      <c r="B299" s="250">
        <v>2270106</v>
      </c>
      <c r="C299" s="3140">
        <v>155736</v>
      </c>
      <c r="D299" s="3140">
        <v>0</v>
      </c>
      <c r="E299" s="134">
        <v>0</v>
      </c>
      <c r="F299" s="573">
        <v>441980</v>
      </c>
      <c r="G299" s="3140">
        <v>62142</v>
      </c>
      <c r="H299" s="3140">
        <v>0</v>
      </c>
      <c r="I299" s="86">
        <v>0</v>
      </c>
      <c r="J299" s="573">
        <v>1738711</v>
      </c>
      <c r="K299" s="3140">
        <v>71482</v>
      </c>
      <c r="L299" s="3140">
        <v>0</v>
      </c>
      <c r="M299" s="86">
        <v>0</v>
      </c>
      <c r="N299" s="573">
        <v>10669</v>
      </c>
      <c r="O299" s="3140">
        <v>0</v>
      </c>
      <c r="P299" s="3140">
        <v>0</v>
      </c>
      <c r="Q299" s="86">
        <v>0</v>
      </c>
      <c r="R299" s="134">
        <v>2623432</v>
      </c>
      <c r="S299" s="3140">
        <v>203940</v>
      </c>
      <c r="T299" s="3140">
        <v>520</v>
      </c>
      <c r="U299" s="86">
        <v>0</v>
      </c>
      <c r="V299" s="134">
        <v>60000</v>
      </c>
      <c r="W299" s="1976">
        <v>203650.07498246676</v>
      </c>
      <c r="X299" s="573">
        <v>0</v>
      </c>
      <c r="Y299" s="1976">
        <v>18550.019713248708</v>
      </c>
      <c r="Z299" s="641">
        <f t="shared" si="14"/>
        <v>282200.09469571547</v>
      </c>
      <c r="AA299" s="1976">
        <v>211341</v>
      </c>
      <c r="AB299" s="573">
        <v>0</v>
      </c>
      <c r="AC299" s="1976">
        <v>7042.8645353736847</v>
      </c>
      <c r="AD299" s="573">
        <v>0</v>
      </c>
      <c r="AE299" s="1976">
        <v>0</v>
      </c>
      <c r="AF299" s="641">
        <f t="shared" si="16"/>
        <v>7042.8645353736847</v>
      </c>
      <c r="AG299" s="3141">
        <v>11900</v>
      </c>
    </row>
    <row r="300" spans="1:33" s="10" customFormat="1">
      <c r="A300" s="63">
        <f t="shared" si="15"/>
        <v>2017.03</v>
      </c>
      <c r="B300" s="250">
        <v>2936368</v>
      </c>
      <c r="C300" s="3140">
        <v>170030</v>
      </c>
      <c r="D300" s="3140">
        <v>0</v>
      </c>
      <c r="E300" s="134">
        <v>0</v>
      </c>
      <c r="F300" s="573">
        <v>576883</v>
      </c>
      <c r="G300" s="3140">
        <v>68337</v>
      </c>
      <c r="H300" s="3140">
        <v>0</v>
      </c>
      <c r="I300" s="86">
        <v>0</v>
      </c>
      <c r="J300" s="573">
        <v>2279974</v>
      </c>
      <c r="K300" s="3140">
        <v>77063</v>
      </c>
      <c r="L300" s="3140">
        <v>0</v>
      </c>
      <c r="M300" s="86">
        <v>0</v>
      </c>
      <c r="N300" s="573">
        <v>12036</v>
      </c>
      <c r="O300" s="3140">
        <v>0</v>
      </c>
      <c r="P300" s="3140">
        <v>0</v>
      </c>
      <c r="Q300" s="86">
        <v>0</v>
      </c>
      <c r="R300" s="134">
        <v>3358121</v>
      </c>
      <c r="S300" s="3140">
        <v>416095</v>
      </c>
      <c r="T300" s="3140">
        <v>433</v>
      </c>
      <c r="U300" s="86">
        <v>94</v>
      </c>
      <c r="V300" s="134">
        <v>62000</v>
      </c>
      <c r="W300" s="1976">
        <v>415337.52598425746</v>
      </c>
      <c r="X300" s="573">
        <v>0</v>
      </c>
      <c r="Y300" s="1976">
        <v>43382.63353794744</v>
      </c>
      <c r="Z300" s="641">
        <f t="shared" si="14"/>
        <v>520720.15952220489</v>
      </c>
      <c r="AA300" s="1976">
        <v>429777</v>
      </c>
      <c r="AB300" s="573">
        <v>0</v>
      </c>
      <c r="AC300" s="1976">
        <v>85255.728586102472</v>
      </c>
      <c r="AD300" s="573">
        <v>0</v>
      </c>
      <c r="AE300" s="1976">
        <v>0</v>
      </c>
      <c r="AF300" s="641">
        <f t="shared" si="16"/>
        <v>85255.728586102472</v>
      </c>
      <c r="AG300" s="3141">
        <v>71300</v>
      </c>
    </row>
    <row r="301" spans="1:33" s="10" customFormat="1">
      <c r="A301" s="63">
        <f t="shared" si="15"/>
        <v>2017.04</v>
      </c>
      <c r="B301" s="250">
        <v>3560752</v>
      </c>
      <c r="C301" s="3140">
        <v>148585</v>
      </c>
      <c r="D301" s="3140">
        <v>0</v>
      </c>
      <c r="E301" s="134">
        <v>0</v>
      </c>
      <c r="F301" s="573">
        <v>698094</v>
      </c>
      <c r="G301" s="3140">
        <v>59994</v>
      </c>
      <c r="H301" s="3140">
        <v>0</v>
      </c>
      <c r="I301" s="86">
        <v>0</v>
      </c>
      <c r="J301" s="573">
        <v>2689740</v>
      </c>
      <c r="K301" s="3140">
        <v>65978</v>
      </c>
      <c r="L301" s="3140">
        <v>0</v>
      </c>
      <c r="M301" s="86">
        <v>0</v>
      </c>
      <c r="N301" s="573">
        <v>13416</v>
      </c>
      <c r="O301" s="3140">
        <v>0</v>
      </c>
      <c r="P301" s="3140">
        <v>0</v>
      </c>
      <c r="Q301" s="86">
        <v>0</v>
      </c>
      <c r="R301" s="134">
        <v>3997905</v>
      </c>
      <c r="S301" s="3140">
        <v>433761</v>
      </c>
      <c r="T301" s="3140">
        <v>50</v>
      </c>
      <c r="U301" s="86">
        <v>121</v>
      </c>
      <c r="V301" s="134">
        <v>60550</v>
      </c>
      <c r="W301" s="1976">
        <v>415954.96407630597</v>
      </c>
      <c r="X301" s="573">
        <v>0</v>
      </c>
      <c r="Y301" s="1976">
        <v>262772.55521512381</v>
      </c>
      <c r="Z301" s="641">
        <f t="shared" si="14"/>
        <v>739277.51929142978</v>
      </c>
      <c r="AA301" s="1976">
        <v>565657</v>
      </c>
      <c r="AB301" s="573">
        <v>0</v>
      </c>
      <c r="AC301" s="1976">
        <v>3475.5958544685072</v>
      </c>
      <c r="AD301" s="573">
        <v>0</v>
      </c>
      <c r="AE301" s="1976">
        <v>0</v>
      </c>
      <c r="AF301" s="641">
        <f t="shared" si="16"/>
        <v>3475.5958544685072</v>
      </c>
      <c r="AG301" s="3141">
        <v>26495</v>
      </c>
    </row>
    <row r="302" spans="1:33" s="10" customFormat="1">
      <c r="A302" s="63">
        <f t="shared" si="15"/>
        <v>2017.05</v>
      </c>
      <c r="B302" s="250">
        <v>3972738</v>
      </c>
      <c r="C302" s="3140">
        <v>91255</v>
      </c>
      <c r="D302" s="3140">
        <v>0</v>
      </c>
      <c r="E302" s="134">
        <v>10248</v>
      </c>
      <c r="F302" s="573">
        <v>767842</v>
      </c>
      <c r="G302" s="3140">
        <v>36960</v>
      </c>
      <c r="H302" s="3140">
        <v>0</v>
      </c>
      <c r="I302" s="86">
        <v>1639</v>
      </c>
      <c r="J302" s="573">
        <v>3012678</v>
      </c>
      <c r="K302" s="3140">
        <v>41505</v>
      </c>
      <c r="L302" s="3140">
        <v>0</v>
      </c>
      <c r="M302" s="86">
        <v>7601</v>
      </c>
      <c r="N302" s="573">
        <v>14301</v>
      </c>
      <c r="O302" s="3140">
        <v>0</v>
      </c>
      <c r="P302" s="3140">
        <v>0</v>
      </c>
      <c r="Q302" s="86">
        <v>0</v>
      </c>
      <c r="R302" s="134">
        <v>4523524</v>
      </c>
      <c r="S302" s="3140">
        <v>315786</v>
      </c>
      <c r="T302" s="3140">
        <v>252</v>
      </c>
      <c r="U302" s="86">
        <v>10419</v>
      </c>
      <c r="V302" s="134">
        <v>54839</v>
      </c>
      <c r="W302" s="1976">
        <v>429556.46139418508</v>
      </c>
      <c r="X302" s="573">
        <v>0</v>
      </c>
      <c r="Y302" s="1976">
        <v>70978.150863281422</v>
      </c>
      <c r="Z302" s="641">
        <f t="shared" si="14"/>
        <v>555373.61225746654</v>
      </c>
      <c r="AA302" s="1976">
        <v>530173</v>
      </c>
      <c r="AB302" s="573">
        <v>0</v>
      </c>
      <c r="AC302" s="1976">
        <v>5430.618522607042</v>
      </c>
      <c r="AD302" s="573">
        <v>0</v>
      </c>
      <c r="AE302" s="1976">
        <v>0</v>
      </c>
      <c r="AF302" s="641">
        <f t="shared" si="16"/>
        <v>5430.618522607042</v>
      </c>
      <c r="AG302" s="3141">
        <v>7000</v>
      </c>
    </row>
    <row r="303" spans="1:33" s="10" customFormat="1">
      <c r="A303" s="63">
        <f t="shared" si="15"/>
        <v>2017.06</v>
      </c>
      <c r="B303" s="250">
        <v>3259934</v>
      </c>
      <c r="C303" s="3140">
        <v>84267</v>
      </c>
      <c r="D303" s="3140">
        <v>0</v>
      </c>
      <c r="E303" s="134">
        <v>12295</v>
      </c>
      <c r="F303" s="573">
        <v>629762</v>
      </c>
      <c r="G303" s="3140">
        <v>34590</v>
      </c>
      <c r="H303" s="3140">
        <v>0</v>
      </c>
      <c r="I303" s="86">
        <v>1968</v>
      </c>
      <c r="J303" s="573">
        <v>2468416</v>
      </c>
      <c r="K303" s="3140">
        <v>35532</v>
      </c>
      <c r="L303" s="3140">
        <v>0</v>
      </c>
      <c r="M303" s="86">
        <v>9042</v>
      </c>
      <c r="N303" s="573">
        <v>14906</v>
      </c>
      <c r="O303" s="3140">
        <v>0</v>
      </c>
      <c r="P303" s="3140">
        <v>0</v>
      </c>
      <c r="Q303" s="86">
        <v>0</v>
      </c>
      <c r="R303" s="134">
        <v>3864808</v>
      </c>
      <c r="S303" s="3140">
        <v>251376</v>
      </c>
      <c r="T303" s="3140">
        <v>701</v>
      </c>
      <c r="U303" s="86">
        <v>12717</v>
      </c>
      <c r="V303" s="134">
        <v>43442</v>
      </c>
      <c r="W303" s="1976">
        <v>346359.32656646299</v>
      </c>
      <c r="X303" s="573">
        <v>3224</v>
      </c>
      <c r="Y303" s="1976">
        <v>68533.392420220916</v>
      </c>
      <c r="Z303" s="641">
        <f t="shared" si="14"/>
        <v>461558.71898668387</v>
      </c>
      <c r="AA303" s="1976">
        <v>441217</v>
      </c>
      <c r="AB303" s="573">
        <v>0</v>
      </c>
      <c r="AC303" s="1976">
        <v>1086.1237045214084</v>
      </c>
      <c r="AD303" s="573">
        <v>0</v>
      </c>
      <c r="AE303" s="1976">
        <v>0</v>
      </c>
      <c r="AF303" s="641">
        <f t="shared" si="16"/>
        <v>1086.1237045214084</v>
      </c>
      <c r="AG303" s="3141">
        <v>1000</v>
      </c>
    </row>
    <row r="304" spans="1:33" s="10" customFormat="1">
      <c r="A304" s="63">
        <f t="shared" si="15"/>
        <v>2017.07</v>
      </c>
      <c r="B304" s="250">
        <v>3744394</v>
      </c>
      <c r="C304" s="3140">
        <v>76696</v>
      </c>
      <c r="D304" s="3140">
        <v>0</v>
      </c>
      <c r="E304" s="134">
        <v>0</v>
      </c>
      <c r="F304" s="573">
        <v>723317</v>
      </c>
      <c r="G304" s="3140">
        <v>31783</v>
      </c>
      <c r="H304" s="3140">
        <v>0</v>
      </c>
      <c r="I304" s="86">
        <v>0</v>
      </c>
      <c r="J304" s="573">
        <v>2842121</v>
      </c>
      <c r="K304" s="3140">
        <v>31946</v>
      </c>
      <c r="L304" s="3140">
        <v>0</v>
      </c>
      <c r="M304" s="86">
        <v>0</v>
      </c>
      <c r="N304" s="573">
        <v>14527</v>
      </c>
      <c r="O304" s="3140">
        <v>0</v>
      </c>
      <c r="P304" s="3140">
        <v>0</v>
      </c>
      <c r="Q304" s="86">
        <v>0</v>
      </c>
      <c r="R304" s="134">
        <v>4304897</v>
      </c>
      <c r="S304" s="3140">
        <v>317867</v>
      </c>
      <c r="T304" s="3140">
        <v>672</v>
      </c>
      <c r="U304" s="86">
        <v>494</v>
      </c>
      <c r="V304" s="134">
        <v>32500</v>
      </c>
      <c r="W304" s="1976">
        <v>406486.44164771849</v>
      </c>
      <c r="X304" s="573">
        <v>0</v>
      </c>
      <c r="Y304" s="1976">
        <v>52722.618554854162</v>
      </c>
      <c r="Z304" s="641">
        <f t="shared" si="14"/>
        <v>491709.06020257267</v>
      </c>
      <c r="AA304" s="1976">
        <v>467890</v>
      </c>
      <c r="AB304" s="573">
        <v>0</v>
      </c>
      <c r="AC304" s="1976">
        <v>5973.6803748677467</v>
      </c>
      <c r="AD304" s="573">
        <v>0</v>
      </c>
      <c r="AE304" s="1976">
        <v>0</v>
      </c>
      <c r="AF304" s="641">
        <f t="shared" si="16"/>
        <v>5973.6803748677467</v>
      </c>
      <c r="AG304" s="3141">
        <v>39010</v>
      </c>
    </row>
    <row r="305" spans="1:33" s="10" customFormat="1">
      <c r="A305" s="63">
        <f t="shared" si="15"/>
        <v>2017.08</v>
      </c>
      <c r="B305" s="250">
        <v>3170909</v>
      </c>
      <c r="C305" s="3140">
        <v>82570</v>
      </c>
      <c r="D305" s="3140">
        <v>0</v>
      </c>
      <c r="E305" s="134">
        <v>21163</v>
      </c>
      <c r="F305" s="573">
        <v>621226</v>
      </c>
      <c r="G305" s="3140">
        <v>34092</v>
      </c>
      <c r="H305" s="3140">
        <v>0</v>
      </c>
      <c r="I305" s="86">
        <v>3213</v>
      </c>
      <c r="J305" s="573">
        <v>2409865</v>
      </c>
      <c r="K305" s="3140">
        <v>37676</v>
      </c>
      <c r="L305" s="3140">
        <v>0</v>
      </c>
      <c r="M305" s="86">
        <v>15560</v>
      </c>
      <c r="N305" s="573">
        <v>18018</v>
      </c>
      <c r="O305" s="3140">
        <v>0</v>
      </c>
      <c r="P305" s="3140">
        <v>0</v>
      </c>
      <c r="Q305" s="86">
        <v>0</v>
      </c>
      <c r="R305" s="134">
        <v>3726921</v>
      </c>
      <c r="S305" s="3140">
        <v>300018</v>
      </c>
      <c r="T305" s="3140">
        <v>1152</v>
      </c>
      <c r="U305" s="86">
        <v>21838</v>
      </c>
      <c r="V305" s="134">
        <v>103680</v>
      </c>
      <c r="W305" s="1976">
        <v>410978.31979312614</v>
      </c>
      <c r="X305" s="573">
        <v>5000</v>
      </c>
      <c r="Y305" s="1976">
        <v>54701.47016347896</v>
      </c>
      <c r="Z305" s="641">
        <f t="shared" si="14"/>
        <v>574359.78995660506</v>
      </c>
      <c r="AA305" s="1976">
        <v>568162</v>
      </c>
      <c r="AB305" s="573">
        <v>0</v>
      </c>
      <c r="AC305" s="1976">
        <v>4652.690900507494</v>
      </c>
      <c r="AD305" s="573">
        <v>0</v>
      </c>
      <c r="AE305" s="1976">
        <v>0</v>
      </c>
      <c r="AF305" s="641">
        <f t="shared" si="16"/>
        <v>4652.690900507494</v>
      </c>
      <c r="AG305" s="3141">
        <v>18455</v>
      </c>
    </row>
    <row r="306" spans="1:33" s="10" customFormat="1">
      <c r="A306" s="63">
        <f t="shared" si="15"/>
        <v>2017.09</v>
      </c>
      <c r="B306" s="250">
        <v>2898390</v>
      </c>
      <c r="C306" s="3140">
        <v>52889</v>
      </c>
      <c r="D306" s="3140">
        <v>0</v>
      </c>
      <c r="E306" s="134">
        <v>568</v>
      </c>
      <c r="F306" s="573">
        <v>566690</v>
      </c>
      <c r="G306" s="3140">
        <v>22093</v>
      </c>
      <c r="H306" s="3140">
        <v>0</v>
      </c>
      <c r="I306" s="86">
        <v>99</v>
      </c>
      <c r="J306" s="573">
        <v>2209112</v>
      </c>
      <c r="K306" s="3140">
        <v>23897</v>
      </c>
      <c r="L306" s="3140">
        <v>0</v>
      </c>
      <c r="M306" s="86">
        <v>442</v>
      </c>
      <c r="N306" s="573">
        <v>14079</v>
      </c>
      <c r="O306" s="3140">
        <v>0</v>
      </c>
      <c r="P306" s="3140">
        <v>0</v>
      </c>
      <c r="Q306" s="86">
        <v>0</v>
      </c>
      <c r="R306" s="134">
        <v>3244205</v>
      </c>
      <c r="S306" s="3140">
        <v>208766</v>
      </c>
      <c r="T306" s="3140">
        <v>500</v>
      </c>
      <c r="U306" s="86">
        <v>1252</v>
      </c>
      <c r="V306" s="134">
        <v>32500</v>
      </c>
      <c r="W306" s="1976">
        <v>382518.43199666083</v>
      </c>
      <c r="X306" s="573">
        <v>0</v>
      </c>
      <c r="Y306" s="1976">
        <v>40779.372390394608</v>
      </c>
      <c r="Z306" s="641">
        <f t="shared" si="14"/>
        <v>455797.80438705545</v>
      </c>
      <c r="AA306" s="1976">
        <v>458048</v>
      </c>
      <c r="AB306" s="573">
        <v>0</v>
      </c>
      <c r="AC306" s="1976">
        <v>29156.862976513632</v>
      </c>
      <c r="AD306" s="573">
        <v>0</v>
      </c>
      <c r="AE306" s="1976">
        <v>0</v>
      </c>
      <c r="AF306" s="641">
        <f t="shared" si="16"/>
        <v>29156.862976513632</v>
      </c>
      <c r="AG306" s="3141">
        <v>32500</v>
      </c>
    </row>
    <row r="307" spans="1:33" s="10" customFormat="1">
      <c r="A307" s="63">
        <f t="shared" si="15"/>
        <v>2017.1</v>
      </c>
      <c r="B307" s="250">
        <v>3051844</v>
      </c>
      <c r="C307" s="3140">
        <v>50955</v>
      </c>
      <c r="D307" s="3140">
        <v>0</v>
      </c>
      <c r="E307" s="134">
        <v>0</v>
      </c>
      <c r="F307" s="573">
        <v>587732</v>
      </c>
      <c r="G307" s="3140">
        <v>19262</v>
      </c>
      <c r="H307" s="3140">
        <v>0</v>
      </c>
      <c r="I307" s="86">
        <v>0</v>
      </c>
      <c r="J307" s="573">
        <v>2294366</v>
      </c>
      <c r="K307" s="3140">
        <v>24928</v>
      </c>
      <c r="L307" s="3140">
        <v>0</v>
      </c>
      <c r="M307" s="86">
        <v>0</v>
      </c>
      <c r="N307" s="573">
        <v>14867</v>
      </c>
      <c r="O307" s="3140">
        <v>0</v>
      </c>
      <c r="P307" s="3140">
        <v>0</v>
      </c>
      <c r="Q307" s="86">
        <v>0</v>
      </c>
      <c r="R307" s="134">
        <v>3580292</v>
      </c>
      <c r="S307" s="3140">
        <v>182890</v>
      </c>
      <c r="T307" s="3140">
        <v>900</v>
      </c>
      <c r="U307" s="86">
        <v>475</v>
      </c>
      <c r="V307" s="134">
        <v>44685</v>
      </c>
      <c r="W307" s="1976">
        <v>348818.73388741055</v>
      </c>
      <c r="X307" s="573">
        <v>0</v>
      </c>
      <c r="Y307" s="1976">
        <v>21382</v>
      </c>
      <c r="Z307" s="641">
        <f t="shared" si="14"/>
        <v>414885.73388741055</v>
      </c>
      <c r="AA307" s="1976">
        <v>414117</v>
      </c>
      <c r="AB307" s="573">
        <v>0</v>
      </c>
      <c r="AC307" s="1976">
        <v>12303.782603564263</v>
      </c>
      <c r="AD307" s="573">
        <v>0</v>
      </c>
      <c r="AE307" s="1976">
        <v>0</v>
      </c>
      <c r="AF307" s="641">
        <f t="shared" si="16"/>
        <v>12303.782603564263</v>
      </c>
      <c r="AG307" s="3141">
        <v>11900</v>
      </c>
    </row>
    <row r="308" spans="1:33" s="10" customFormat="1">
      <c r="A308" s="63">
        <f t="shared" si="15"/>
        <v>2017.11</v>
      </c>
      <c r="B308" s="250">
        <v>2672896</v>
      </c>
      <c r="C308" s="3140">
        <v>9591</v>
      </c>
      <c r="D308" s="3140">
        <v>0</v>
      </c>
      <c r="E308" s="134">
        <v>0</v>
      </c>
      <c r="F308" s="573">
        <v>521114</v>
      </c>
      <c r="G308" s="3140">
        <v>4141</v>
      </c>
      <c r="H308" s="3140">
        <v>0</v>
      </c>
      <c r="I308" s="86">
        <v>0</v>
      </c>
      <c r="J308" s="573">
        <v>2014546</v>
      </c>
      <c r="K308" s="3140">
        <v>5144</v>
      </c>
      <c r="L308" s="3140">
        <v>0</v>
      </c>
      <c r="M308" s="86">
        <v>0</v>
      </c>
      <c r="N308" s="573">
        <v>16148</v>
      </c>
      <c r="O308" s="3140">
        <v>0</v>
      </c>
      <c r="P308" s="3140">
        <v>0</v>
      </c>
      <c r="Q308" s="86">
        <v>0</v>
      </c>
      <c r="R308" s="134">
        <v>3352362</v>
      </c>
      <c r="S308" s="3140">
        <v>107100</v>
      </c>
      <c r="T308" s="3140">
        <v>700</v>
      </c>
      <c r="U308" s="86">
        <v>403</v>
      </c>
      <c r="V308" s="134">
        <v>63518</v>
      </c>
      <c r="W308" s="1976">
        <v>233992.27090597435</v>
      </c>
      <c r="X308" s="573">
        <v>0</v>
      </c>
      <c r="Y308" s="1976">
        <v>110888</v>
      </c>
      <c r="Z308" s="641">
        <f t="shared" si="14"/>
        <v>408398.27090597432</v>
      </c>
      <c r="AA308" s="1976">
        <v>414038</v>
      </c>
      <c r="AB308" s="573">
        <v>0</v>
      </c>
      <c r="AC308" s="1976">
        <v>0</v>
      </c>
      <c r="AD308" s="573">
        <v>0</v>
      </c>
      <c r="AE308" s="1976">
        <v>0</v>
      </c>
      <c r="AF308" s="641">
        <f t="shared" si="16"/>
        <v>0</v>
      </c>
      <c r="AG308" s="3141">
        <v>4999</v>
      </c>
    </row>
    <row r="309" spans="1:33" s="10" customFormat="1">
      <c r="A309" s="63">
        <f t="shared" si="15"/>
        <v>2017.12</v>
      </c>
      <c r="B309" s="250">
        <v>1728576</v>
      </c>
      <c r="C309" s="3140">
        <v>28858</v>
      </c>
      <c r="D309" s="3140">
        <v>0</v>
      </c>
      <c r="E309" s="134">
        <v>0</v>
      </c>
      <c r="F309" s="573">
        <v>343371</v>
      </c>
      <c r="G309" s="3140">
        <v>11468</v>
      </c>
      <c r="H309" s="3140">
        <v>0</v>
      </c>
      <c r="I309" s="86">
        <v>0</v>
      </c>
      <c r="J309" s="573">
        <v>1306754</v>
      </c>
      <c r="K309" s="3140">
        <v>13153</v>
      </c>
      <c r="L309" s="3140">
        <v>0</v>
      </c>
      <c r="M309" s="86">
        <v>0</v>
      </c>
      <c r="N309" s="573">
        <v>14170</v>
      </c>
      <c r="O309" s="3140">
        <v>0</v>
      </c>
      <c r="P309" s="3140">
        <v>0</v>
      </c>
      <c r="Q309" s="86">
        <v>0</v>
      </c>
      <c r="R309" s="134">
        <v>2178912</v>
      </c>
      <c r="S309" s="3140">
        <v>108423</v>
      </c>
      <c r="T309" s="3140">
        <v>650</v>
      </c>
      <c r="U309" s="86">
        <v>298</v>
      </c>
      <c r="V309" s="134">
        <v>61800</v>
      </c>
      <c r="W309" s="1976">
        <v>287241</v>
      </c>
      <c r="X309" s="573">
        <v>0</v>
      </c>
      <c r="Y309" s="1976">
        <v>15766</v>
      </c>
      <c r="Z309" s="641">
        <f t="shared" si="14"/>
        <v>364807</v>
      </c>
      <c r="AA309" s="1976">
        <v>368639</v>
      </c>
      <c r="AB309" s="573">
        <v>0</v>
      </c>
      <c r="AC309" s="1976">
        <v>0</v>
      </c>
      <c r="AD309" s="573">
        <v>0</v>
      </c>
      <c r="AE309" s="1976">
        <v>0</v>
      </c>
      <c r="AF309" s="641">
        <f t="shared" si="16"/>
        <v>0</v>
      </c>
      <c r="AG309" s="3141">
        <v>3500</v>
      </c>
    </row>
    <row r="310" spans="1:33">
      <c r="A310" s="63">
        <f t="shared" si="15"/>
        <v>2018.01</v>
      </c>
      <c r="B310" s="250">
        <v>2427064</v>
      </c>
      <c r="C310" s="3140">
        <v>151716</v>
      </c>
      <c r="D310" s="3140">
        <v>0</v>
      </c>
      <c r="E310" s="134">
        <v>0</v>
      </c>
      <c r="F310" s="573">
        <v>474334</v>
      </c>
      <c r="G310" s="3140">
        <v>61865</v>
      </c>
      <c r="H310" s="3140">
        <v>0</v>
      </c>
      <c r="I310" s="86">
        <v>0</v>
      </c>
      <c r="J310" s="573">
        <v>1847535</v>
      </c>
      <c r="K310" s="3140">
        <v>67974</v>
      </c>
      <c r="L310" s="3140">
        <v>0</v>
      </c>
      <c r="M310" s="86">
        <v>0</v>
      </c>
      <c r="N310" s="573">
        <v>12152</v>
      </c>
      <c r="O310" s="3140">
        <v>0</v>
      </c>
      <c r="P310" s="3140">
        <v>0</v>
      </c>
      <c r="Q310" s="86">
        <v>0</v>
      </c>
      <c r="R310" s="134">
        <v>2730605</v>
      </c>
      <c r="S310" s="3140">
        <v>229902</v>
      </c>
      <c r="T310" s="3140">
        <v>342</v>
      </c>
      <c r="U310" s="86">
        <v>0</v>
      </c>
      <c r="V310" s="134">
        <v>17000.043076798331</v>
      </c>
      <c r="W310" s="1976">
        <v>66562</v>
      </c>
      <c r="X310" s="573">
        <v>3084</v>
      </c>
      <c r="Y310" s="1976">
        <v>26038</v>
      </c>
      <c r="Z310" s="641">
        <f t="shared" si="14"/>
        <v>112684.04307679833</v>
      </c>
      <c r="AA310" s="1976">
        <v>112684</v>
      </c>
      <c r="AB310" s="573">
        <v>0</v>
      </c>
      <c r="AC310" s="1976">
        <v>5000</v>
      </c>
      <c r="AD310" s="573">
        <v>0</v>
      </c>
      <c r="AE310" s="1976">
        <v>0</v>
      </c>
      <c r="AF310" s="641">
        <f t="shared" si="16"/>
        <v>5000</v>
      </c>
      <c r="AG310" s="3141">
        <v>9500</v>
      </c>
    </row>
    <row r="311" spans="1:33">
      <c r="A311" s="63">
        <f t="shared" si="15"/>
        <v>2018.02</v>
      </c>
      <c r="B311" s="250">
        <v>2019689</v>
      </c>
      <c r="C311" s="3140">
        <v>157544</v>
      </c>
      <c r="D311" s="3140">
        <v>0</v>
      </c>
      <c r="E311" s="134">
        <v>0</v>
      </c>
      <c r="F311" s="573">
        <v>400726</v>
      </c>
      <c r="G311" s="3140">
        <v>64295</v>
      </c>
      <c r="H311" s="3140">
        <v>0</v>
      </c>
      <c r="I311" s="86">
        <v>0</v>
      </c>
      <c r="J311" s="573">
        <v>1543302</v>
      </c>
      <c r="K311" s="3140">
        <v>69444</v>
      </c>
      <c r="L311" s="3140">
        <v>0</v>
      </c>
      <c r="M311" s="86">
        <v>0</v>
      </c>
      <c r="N311" s="573">
        <v>11104</v>
      </c>
      <c r="O311" s="3140">
        <v>0</v>
      </c>
      <c r="P311" s="3140">
        <v>0</v>
      </c>
      <c r="Q311" s="86">
        <v>0</v>
      </c>
      <c r="R311" s="134">
        <v>2376064</v>
      </c>
      <c r="S311" s="3140">
        <v>196424</v>
      </c>
      <c r="T311" s="3140">
        <v>261</v>
      </c>
      <c r="U311" s="86">
        <v>0</v>
      </c>
      <c r="V311" s="134">
        <v>3600.0091221455286</v>
      </c>
      <c r="W311" s="1976">
        <v>117987</v>
      </c>
      <c r="X311" s="573">
        <v>0</v>
      </c>
      <c r="Y311" s="1976">
        <v>6250</v>
      </c>
      <c r="Z311" s="641">
        <f>SUM(V311:Y311)</f>
        <v>127837.00912214552</v>
      </c>
      <c r="AA311" s="1976">
        <v>187837</v>
      </c>
      <c r="AB311" s="573">
        <v>0</v>
      </c>
      <c r="AC311" s="1976">
        <v>14556.233974546605</v>
      </c>
      <c r="AD311" s="573">
        <v>0</v>
      </c>
      <c r="AE311" s="1976">
        <v>0</v>
      </c>
      <c r="AF311" s="641">
        <f t="shared" si="16"/>
        <v>14556.233974546605</v>
      </c>
      <c r="AG311" s="3141">
        <v>14556</v>
      </c>
    </row>
    <row r="312" spans="1:33">
      <c r="A312" s="63">
        <f t="shared" si="15"/>
        <v>2018.03</v>
      </c>
      <c r="B312" s="250">
        <v>2674920</v>
      </c>
      <c r="C312" s="3140">
        <v>166404</v>
      </c>
      <c r="D312" s="3140">
        <v>0</v>
      </c>
      <c r="E312" s="134">
        <v>0</v>
      </c>
      <c r="F312" s="573">
        <v>537800</v>
      </c>
      <c r="G312" s="3140">
        <v>68363</v>
      </c>
      <c r="H312" s="3140">
        <v>0</v>
      </c>
      <c r="I312" s="86">
        <v>0</v>
      </c>
      <c r="J312" s="573">
        <v>1993894</v>
      </c>
      <c r="K312" s="3140">
        <v>72084</v>
      </c>
      <c r="L312" s="3140">
        <v>0</v>
      </c>
      <c r="M312" s="86">
        <v>0</v>
      </c>
      <c r="N312" s="573">
        <v>12356</v>
      </c>
      <c r="O312" s="3140">
        <v>0</v>
      </c>
      <c r="P312" s="3140">
        <v>0</v>
      </c>
      <c r="Q312" s="86">
        <v>0</v>
      </c>
      <c r="R312" s="134">
        <v>3043963</v>
      </c>
      <c r="S312" s="3140">
        <v>392512</v>
      </c>
      <c r="T312" s="3140">
        <v>1200</v>
      </c>
      <c r="U312" s="86">
        <v>346</v>
      </c>
      <c r="V312" s="134">
        <v>65618.166271373688</v>
      </c>
      <c r="W312" s="1976">
        <v>344870</v>
      </c>
      <c r="X312" s="573">
        <v>7284.0000000000009</v>
      </c>
      <c r="Y312" s="1976">
        <f>72250+12405</f>
        <v>84655</v>
      </c>
      <c r="Z312" s="641">
        <f t="shared" si="14"/>
        <v>502427.16627137369</v>
      </c>
      <c r="AA312" s="1976">
        <f>410488+79534+12405</f>
        <v>502427</v>
      </c>
      <c r="AB312" s="573">
        <v>0</v>
      </c>
      <c r="AC312" s="1976">
        <v>0</v>
      </c>
      <c r="AD312" s="573">
        <v>0</v>
      </c>
      <c r="AE312" s="1976">
        <v>0</v>
      </c>
      <c r="AF312" s="641">
        <f t="shared" si="16"/>
        <v>0</v>
      </c>
      <c r="AG312" s="3141">
        <v>0</v>
      </c>
    </row>
    <row r="313" spans="1:33">
      <c r="A313" s="63">
        <f t="shared" si="15"/>
        <v>2018.04</v>
      </c>
      <c r="B313" s="250">
        <v>2965070</v>
      </c>
      <c r="C313" s="3140">
        <v>128975</v>
      </c>
      <c r="D313" s="3140">
        <v>0</v>
      </c>
      <c r="E313" s="134">
        <v>5572</v>
      </c>
      <c r="F313" s="573">
        <v>577676.5</v>
      </c>
      <c r="G313" s="3140">
        <v>53257</v>
      </c>
      <c r="H313" s="3140">
        <v>0</v>
      </c>
      <c r="I313" s="86">
        <v>891</v>
      </c>
      <c r="J313" s="573">
        <v>2116337</v>
      </c>
      <c r="K313" s="3140">
        <v>56806</v>
      </c>
      <c r="L313" s="3140">
        <v>0</v>
      </c>
      <c r="M313" s="86">
        <v>4060</v>
      </c>
      <c r="N313" s="573">
        <v>13278.3</v>
      </c>
      <c r="O313" s="3140">
        <v>0</v>
      </c>
      <c r="P313" s="3140">
        <v>0</v>
      </c>
      <c r="Q313" s="86">
        <v>0</v>
      </c>
      <c r="R313" s="134">
        <v>3363231</v>
      </c>
      <c r="S313" s="3140">
        <v>384683</v>
      </c>
      <c r="T313" s="3140">
        <v>270</v>
      </c>
      <c r="U313" s="86">
        <v>5946</v>
      </c>
      <c r="V313" s="134">
        <v>2057.0052122925977</v>
      </c>
      <c r="W313" s="1976">
        <v>411633</v>
      </c>
      <c r="X313" s="573">
        <v>7581.9999999999991</v>
      </c>
      <c r="Y313" s="1976">
        <f>29500+30300</f>
        <v>59800</v>
      </c>
      <c r="Z313" s="641">
        <f t="shared" si="14"/>
        <v>481072.0052122926</v>
      </c>
      <c r="AA313" s="1976">
        <f>413690+37082+30300</f>
        <v>481072</v>
      </c>
      <c r="AB313" s="573">
        <v>0</v>
      </c>
      <c r="AC313" s="1976">
        <v>40700</v>
      </c>
      <c r="AD313" s="573">
        <v>0</v>
      </c>
      <c r="AE313" s="1976">
        <v>0</v>
      </c>
      <c r="AF313" s="641">
        <f t="shared" si="16"/>
        <v>40700</v>
      </c>
      <c r="AG313" s="3141">
        <v>49700</v>
      </c>
    </row>
    <row r="314" spans="1:33">
      <c r="A314" s="63">
        <f t="shared" si="15"/>
        <v>2018.05</v>
      </c>
      <c r="B314" s="250">
        <v>3256708</v>
      </c>
      <c r="C314" s="3140">
        <v>98948</v>
      </c>
      <c r="D314" s="3140">
        <v>0</v>
      </c>
      <c r="E314" s="134">
        <v>14504</v>
      </c>
      <c r="F314" s="573">
        <v>642596</v>
      </c>
      <c r="G314" s="3140">
        <v>40623</v>
      </c>
      <c r="H314" s="3140">
        <v>0</v>
      </c>
      <c r="I314" s="86">
        <v>2321</v>
      </c>
      <c r="J314" s="573">
        <v>2402210</v>
      </c>
      <c r="K314" s="3140">
        <v>44495</v>
      </c>
      <c r="L314" s="3140">
        <v>0</v>
      </c>
      <c r="M314" s="86">
        <v>0</v>
      </c>
      <c r="N314" s="573">
        <v>11229</v>
      </c>
      <c r="O314" s="3140">
        <v>0</v>
      </c>
      <c r="P314" s="3140">
        <v>0</v>
      </c>
      <c r="Q314" s="86">
        <v>0</v>
      </c>
      <c r="R314" s="134">
        <v>3665804</v>
      </c>
      <c r="S314" s="3140">
        <v>353091</v>
      </c>
      <c r="T314" s="3140">
        <v>600</v>
      </c>
      <c r="U314" s="86">
        <v>15049</v>
      </c>
      <c r="V314" s="134">
        <v>10530.026682275671</v>
      </c>
      <c r="W314" s="1976">
        <v>239961</v>
      </c>
      <c r="X314" s="573">
        <v>9639</v>
      </c>
      <c r="Y314" s="1976">
        <f>42000+13904</f>
        <v>55904</v>
      </c>
      <c r="Z314" s="641">
        <f t="shared" si="14"/>
        <v>316034.0266822757</v>
      </c>
      <c r="AA314" s="1976">
        <f>250491+51639+13904</f>
        <v>316034</v>
      </c>
      <c r="AB314" s="573">
        <v>0</v>
      </c>
      <c r="AC314" s="1976">
        <v>11450</v>
      </c>
      <c r="AD314" s="573">
        <v>0</v>
      </c>
      <c r="AE314" s="1976">
        <v>0</v>
      </c>
      <c r="AF314" s="641">
        <f t="shared" si="16"/>
        <v>11450</v>
      </c>
      <c r="AG314" s="3141">
        <v>26942</v>
      </c>
    </row>
    <row r="315" spans="1:33">
      <c r="A315" s="63">
        <f t="shared" si="15"/>
        <v>2018.06</v>
      </c>
      <c r="B315" s="250">
        <v>2849025</v>
      </c>
      <c r="C315" s="3140">
        <v>81793</v>
      </c>
      <c r="D315" s="3140">
        <v>0</v>
      </c>
      <c r="E315" s="134">
        <v>18482</v>
      </c>
      <c r="F315" s="573">
        <v>568811</v>
      </c>
      <c r="G315" s="3140">
        <v>33482</v>
      </c>
      <c r="H315" s="3140">
        <v>0</v>
      </c>
      <c r="I315" s="86">
        <v>3088</v>
      </c>
      <c r="J315" s="573">
        <v>2148120</v>
      </c>
      <c r="K315" s="3140">
        <v>36700</v>
      </c>
      <c r="L315" s="3140">
        <v>0</v>
      </c>
      <c r="M315" s="86">
        <v>13335</v>
      </c>
      <c r="N315" s="573">
        <v>11061</v>
      </c>
      <c r="O315" s="3140">
        <v>0</v>
      </c>
      <c r="P315" s="3140">
        <v>0</v>
      </c>
      <c r="Q315" s="86">
        <v>0</v>
      </c>
      <c r="R315" s="134">
        <v>3267533</v>
      </c>
      <c r="S315" s="3140">
        <v>262815</v>
      </c>
      <c r="T315" s="3140">
        <v>500</v>
      </c>
      <c r="U315" s="86">
        <v>18952</v>
      </c>
      <c r="V315" s="134">
        <v>49691.125913481512</v>
      </c>
      <c r="W315" s="1976">
        <v>248550</v>
      </c>
      <c r="X315" s="573">
        <v>0</v>
      </c>
      <c r="Y315" s="1976">
        <v>56448</v>
      </c>
      <c r="Z315" s="641">
        <f t="shared" si="14"/>
        <v>354689.12591348152</v>
      </c>
      <c r="AA315" s="1976">
        <f>298241+40000+16448</f>
        <v>354689</v>
      </c>
      <c r="AB315" s="573">
        <v>0</v>
      </c>
      <c r="AC315" s="1976">
        <v>32510</v>
      </c>
      <c r="AD315" s="573">
        <v>0</v>
      </c>
      <c r="AE315" s="1976">
        <v>0</v>
      </c>
      <c r="AF315" s="641">
        <f t="shared" si="16"/>
        <v>32510</v>
      </c>
      <c r="AG315" s="3141">
        <v>66010</v>
      </c>
    </row>
    <row r="316" spans="1:33">
      <c r="A316" s="63">
        <f t="shared" si="15"/>
        <v>2018.07</v>
      </c>
      <c r="B316" s="250">
        <v>2990714</v>
      </c>
      <c r="C316" s="3140">
        <v>69989</v>
      </c>
      <c r="D316" s="3140">
        <v>0</v>
      </c>
      <c r="E316" s="134">
        <v>18960</v>
      </c>
      <c r="F316" s="573">
        <v>595096</v>
      </c>
      <c r="G316" s="3140">
        <v>28373</v>
      </c>
      <c r="H316" s="3140">
        <v>0</v>
      </c>
      <c r="I316" s="86">
        <v>3345</v>
      </c>
      <c r="J316" s="573">
        <v>2252311</v>
      </c>
      <c r="K316" s="3140">
        <v>28525</v>
      </c>
      <c r="L316" s="3140">
        <v>0</v>
      </c>
      <c r="M316" s="86">
        <v>13705</v>
      </c>
      <c r="N316" s="573">
        <v>12592</v>
      </c>
      <c r="O316" s="3140">
        <v>0</v>
      </c>
      <c r="P316" s="3140">
        <v>0</v>
      </c>
      <c r="Q316" s="86">
        <v>0</v>
      </c>
      <c r="R316" s="134">
        <v>3438094</v>
      </c>
      <c r="S316" s="3140">
        <v>231670</v>
      </c>
      <c r="T316" s="3140">
        <v>770</v>
      </c>
      <c r="U316" s="86">
        <v>19548</v>
      </c>
      <c r="V316" s="134">
        <v>39891.101080974244</v>
      </c>
      <c r="W316" s="1976">
        <v>233930</v>
      </c>
      <c r="X316" s="573">
        <v>6925.9999999999991</v>
      </c>
      <c r="Y316" s="1976">
        <v>46031</v>
      </c>
      <c r="Z316" s="641">
        <f t="shared" si="14"/>
        <v>326778.10108097421</v>
      </c>
      <c r="AA316" s="1976">
        <f>273821+52957</f>
        <v>326778</v>
      </c>
      <c r="AB316" s="573">
        <v>0</v>
      </c>
      <c r="AC316" s="1976">
        <v>9862</v>
      </c>
      <c r="AD316" s="573">
        <v>0</v>
      </c>
      <c r="AE316" s="1976">
        <v>0</v>
      </c>
      <c r="AF316" s="641">
        <f t="shared" si="16"/>
        <v>9862</v>
      </c>
      <c r="AG316" s="3141">
        <v>16862</v>
      </c>
    </row>
    <row r="317" spans="1:33">
      <c r="A317" s="63">
        <f t="shared" si="15"/>
        <v>2018.08</v>
      </c>
      <c r="B317" s="250">
        <v>2631763</v>
      </c>
      <c r="C317" s="3140">
        <v>78334</v>
      </c>
      <c r="D317" s="3140">
        <v>0</v>
      </c>
      <c r="E317" s="134">
        <v>15655</v>
      </c>
      <c r="F317" s="573">
        <v>524037</v>
      </c>
      <c r="G317" s="3140">
        <v>32216</v>
      </c>
      <c r="H317" s="3140">
        <v>0</v>
      </c>
      <c r="I317" s="86">
        <v>2897</v>
      </c>
      <c r="J317" s="573">
        <v>1926822</v>
      </c>
      <c r="K317" s="3140">
        <v>32973</v>
      </c>
      <c r="L317" s="3140">
        <v>0</v>
      </c>
      <c r="M317" s="86">
        <v>11372</v>
      </c>
      <c r="N317" s="573">
        <v>12227</v>
      </c>
      <c r="O317" s="3140">
        <v>0</v>
      </c>
      <c r="P317" s="3140">
        <v>0</v>
      </c>
      <c r="Q317" s="86">
        <v>0</v>
      </c>
      <c r="R317" s="134">
        <v>3038351</v>
      </c>
      <c r="S317" s="3140">
        <v>246767</v>
      </c>
      <c r="T317" s="3140">
        <v>755</v>
      </c>
      <c r="U317" s="86">
        <v>23876</v>
      </c>
      <c r="V317" s="134">
        <v>71086.180126899184</v>
      </c>
      <c r="W317" s="1976">
        <v>306456</v>
      </c>
      <c r="X317" s="573">
        <v>3761</v>
      </c>
      <c r="Y317" s="1976">
        <v>23500</v>
      </c>
      <c r="Z317" s="641">
        <f t="shared" si="14"/>
        <v>404803.18012689915</v>
      </c>
      <c r="AA317" s="1976">
        <f>386542+27261</f>
        <v>413803</v>
      </c>
      <c r="AB317" s="573">
        <v>0</v>
      </c>
      <c r="AC317" s="1976">
        <v>41050</v>
      </c>
      <c r="AD317" s="573">
        <v>0</v>
      </c>
      <c r="AE317" s="1976">
        <v>0</v>
      </c>
      <c r="AF317" s="641">
        <f t="shared" si="16"/>
        <v>41050</v>
      </c>
      <c r="AG317" s="3141">
        <v>101150</v>
      </c>
    </row>
    <row r="318" spans="1:33">
      <c r="A318" s="63">
        <f t="shared" si="15"/>
        <v>2018.09</v>
      </c>
      <c r="B318" s="250">
        <v>2523541</v>
      </c>
      <c r="C318" s="3140">
        <v>85188</v>
      </c>
      <c r="D318" s="3140">
        <v>0</v>
      </c>
      <c r="E318" s="134">
        <v>12821</v>
      </c>
      <c r="F318" s="573">
        <v>508191</v>
      </c>
      <c r="G318" s="3140">
        <v>35528</v>
      </c>
      <c r="H318" s="3140">
        <v>0</v>
      </c>
      <c r="I318" s="86">
        <v>2308</v>
      </c>
      <c r="J318" s="573">
        <v>1903549</v>
      </c>
      <c r="K318" s="3140">
        <v>39379</v>
      </c>
      <c r="L318" s="3140">
        <v>0</v>
      </c>
      <c r="M318" s="86">
        <v>9356</v>
      </c>
      <c r="N318" s="573">
        <v>11792</v>
      </c>
      <c r="O318" s="3140">
        <v>0</v>
      </c>
      <c r="P318" s="3140">
        <v>0</v>
      </c>
      <c r="Q318" s="86">
        <v>0</v>
      </c>
      <c r="R318" s="134">
        <v>2909598</v>
      </c>
      <c r="S318" s="3140">
        <v>264204</v>
      </c>
      <c r="T318" s="3140">
        <v>810</v>
      </c>
      <c r="U318" s="86">
        <v>13477</v>
      </c>
      <c r="V318" s="134">
        <v>50462.127867141018</v>
      </c>
      <c r="W318" s="1976">
        <v>304698</v>
      </c>
      <c r="X318" s="573">
        <v>10538</v>
      </c>
      <c r="Y318" s="1976">
        <v>49258</v>
      </c>
      <c r="Z318" s="641">
        <f t="shared" si="14"/>
        <v>414956.12786714104</v>
      </c>
      <c r="AA318" s="1976">
        <f>363391+59796</f>
        <v>423187</v>
      </c>
      <c r="AB318" s="573">
        <v>0</v>
      </c>
      <c r="AC318" s="1976">
        <v>2750</v>
      </c>
      <c r="AD318" s="573">
        <v>0</v>
      </c>
      <c r="AE318" s="1976">
        <v>0</v>
      </c>
      <c r="AF318" s="641">
        <f t="shared" si="16"/>
        <v>2750</v>
      </c>
      <c r="AG318" s="3141">
        <v>4750</v>
      </c>
    </row>
    <row r="319" spans="1:33">
      <c r="A319" s="63">
        <f t="shared" si="15"/>
        <v>2018.1</v>
      </c>
      <c r="B319" s="250">
        <v>2887707</v>
      </c>
      <c r="C319" s="3140">
        <v>60712</v>
      </c>
      <c r="D319" s="3140">
        <v>0</v>
      </c>
      <c r="E319" s="134">
        <v>15330</v>
      </c>
      <c r="F319" s="573">
        <v>578684</v>
      </c>
      <c r="G319" s="3140">
        <v>25494</v>
      </c>
      <c r="H319" s="3140">
        <v>0</v>
      </c>
      <c r="I319" s="86">
        <v>2742</v>
      </c>
      <c r="J319" s="573">
        <v>2167972</v>
      </c>
      <c r="K319" s="3140">
        <v>29389</v>
      </c>
      <c r="L319" s="3140">
        <v>0</v>
      </c>
      <c r="M319" s="86">
        <v>10946</v>
      </c>
      <c r="N319" s="573">
        <v>11041</v>
      </c>
      <c r="O319" s="3140">
        <v>0</v>
      </c>
      <c r="P319" s="3140">
        <v>0</v>
      </c>
      <c r="Q319" s="86">
        <v>0</v>
      </c>
      <c r="R319" s="134">
        <v>3304948</v>
      </c>
      <c r="S319" s="3140">
        <v>207300</v>
      </c>
      <c r="T319" s="3140">
        <v>188</v>
      </c>
      <c r="U319" s="86">
        <v>15852</v>
      </c>
      <c r="V319" s="134">
        <v>33349.084504008679</v>
      </c>
      <c r="W319" s="1976">
        <v>266128</v>
      </c>
      <c r="X319" s="573">
        <v>13710</v>
      </c>
      <c r="Y319" s="1976">
        <v>46829</v>
      </c>
      <c r="Z319" s="641">
        <f t="shared" si="14"/>
        <v>360016.0845040087</v>
      </c>
      <c r="AA319" s="1976">
        <f>299477+60539</f>
        <v>360016</v>
      </c>
      <c r="AB319" s="573">
        <v>0</v>
      </c>
      <c r="AC319" s="1976">
        <v>3500</v>
      </c>
      <c r="AD319" s="573">
        <v>0</v>
      </c>
      <c r="AE319" s="1976">
        <v>0</v>
      </c>
      <c r="AF319" s="641">
        <f t="shared" si="16"/>
        <v>3500</v>
      </c>
      <c r="AG319" s="3141">
        <v>28500</v>
      </c>
    </row>
    <row r="320" spans="1:33">
      <c r="A320" s="63">
        <f t="shared" si="15"/>
        <v>2018.11</v>
      </c>
      <c r="B320" s="250">
        <v>2882527</v>
      </c>
      <c r="C320" s="3140">
        <v>33605</v>
      </c>
      <c r="D320" s="3140">
        <v>0</v>
      </c>
      <c r="E320" s="134">
        <v>0</v>
      </c>
      <c r="F320" s="573">
        <v>576813</v>
      </c>
      <c r="G320" s="3140">
        <v>14258</v>
      </c>
      <c r="H320" s="3140">
        <v>0</v>
      </c>
      <c r="I320" s="86">
        <v>2021</v>
      </c>
      <c r="J320" s="573">
        <v>2153637</v>
      </c>
      <c r="K320" s="3140">
        <v>17422</v>
      </c>
      <c r="L320" s="3140">
        <v>0</v>
      </c>
      <c r="M320" s="86">
        <v>10042</v>
      </c>
      <c r="N320" s="573">
        <v>10183</v>
      </c>
      <c r="O320" s="3140">
        <v>0</v>
      </c>
      <c r="P320" s="3140">
        <v>0</v>
      </c>
      <c r="Q320" s="86">
        <v>0</v>
      </c>
      <c r="R320" s="134">
        <v>3166194</v>
      </c>
      <c r="S320" s="3140">
        <v>188737</v>
      </c>
      <c r="T320" s="3140">
        <v>0</v>
      </c>
      <c r="U320" s="86">
        <v>14697</v>
      </c>
      <c r="V320" s="134">
        <v>18500.046877692301</v>
      </c>
      <c r="W320" s="1976">
        <v>166656</v>
      </c>
      <c r="X320" s="573">
        <v>0</v>
      </c>
      <c r="Y320" s="1976">
        <v>45800</v>
      </c>
      <c r="Z320" s="641">
        <f t="shared" si="14"/>
        <v>230956.04687769231</v>
      </c>
      <c r="AA320" s="1976">
        <f>185156+15000+30800</f>
        <v>230956</v>
      </c>
      <c r="AB320" s="573">
        <v>0</v>
      </c>
      <c r="AC320" s="1976">
        <v>4000</v>
      </c>
      <c r="AD320" s="573">
        <v>0</v>
      </c>
      <c r="AE320" s="1976">
        <v>0</v>
      </c>
      <c r="AF320" s="641">
        <f t="shared" si="16"/>
        <v>4000</v>
      </c>
      <c r="AG320" s="3141">
        <v>6300</v>
      </c>
    </row>
    <row r="321" spans="1:47">
      <c r="A321" s="63">
        <f t="shared" si="15"/>
        <v>2018.12</v>
      </c>
      <c r="B321" s="250">
        <v>2372851</v>
      </c>
      <c r="C321" s="3140">
        <v>44125</v>
      </c>
      <c r="D321" s="3140">
        <v>0</v>
      </c>
      <c r="E321" s="134">
        <v>0</v>
      </c>
      <c r="F321" s="573">
        <v>467317</v>
      </c>
      <c r="G321" s="3140">
        <v>17876</v>
      </c>
      <c r="H321" s="3140">
        <v>0</v>
      </c>
      <c r="I321" s="86">
        <v>0</v>
      </c>
      <c r="J321" s="573">
        <v>1787634</v>
      </c>
      <c r="K321" s="3140">
        <v>19301</v>
      </c>
      <c r="L321" s="3140">
        <v>0</v>
      </c>
      <c r="M321" s="86">
        <v>0</v>
      </c>
      <c r="N321" s="573">
        <v>9426</v>
      </c>
      <c r="O321" s="3140">
        <v>0</v>
      </c>
      <c r="P321" s="3140">
        <v>0</v>
      </c>
      <c r="Q321" s="86">
        <v>0</v>
      </c>
      <c r="R321" s="134">
        <v>2454742</v>
      </c>
      <c r="S321" s="3140">
        <v>113991</v>
      </c>
      <c r="T321" s="3140">
        <v>0</v>
      </c>
      <c r="U321" s="86">
        <v>321</v>
      </c>
      <c r="V321" s="134">
        <v>32860.083264917237</v>
      </c>
      <c r="W321" s="1976">
        <v>326704</v>
      </c>
      <c r="X321" s="573">
        <v>18294</v>
      </c>
      <c r="Y321" s="1976">
        <f>58723+9000</f>
        <v>67723</v>
      </c>
      <c r="Z321" s="641">
        <f t="shared" si="14"/>
        <v>445581.08326491725</v>
      </c>
      <c r="AA321" s="1976">
        <f>359564+77017+9000</f>
        <v>445581</v>
      </c>
      <c r="AB321" s="573">
        <v>0</v>
      </c>
      <c r="AC321" s="1976">
        <v>0</v>
      </c>
      <c r="AD321" s="573">
        <v>0</v>
      </c>
      <c r="AE321" s="1976">
        <v>0</v>
      </c>
      <c r="AF321" s="641">
        <f t="shared" si="16"/>
        <v>0</v>
      </c>
      <c r="AG321" s="3141">
        <v>5500</v>
      </c>
      <c r="AI321" s="1202"/>
      <c r="AJ321" s="1202"/>
      <c r="AK321" s="1202"/>
      <c r="AL321" s="1202"/>
      <c r="AM321" s="1202"/>
      <c r="AN321" s="1202"/>
      <c r="AO321" s="1202"/>
      <c r="AP321" s="1202"/>
      <c r="AQ321" s="1202"/>
      <c r="AR321" s="1202"/>
      <c r="AS321" s="1202"/>
      <c r="AT321" s="1202"/>
      <c r="AU321" s="1202"/>
    </row>
    <row r="322" spans="1:47">
      <c r="A322" s="63">
        <f t="shared" si="15"/>
        <v>2019.01</v>
      </c>
      <c r="B322" s="250">
        <v>2183629</v>
      </c>
      <c r="C322" s="3140">
        <v>150076</v>
      </c>
      <c r="D322" s="3140">
        <v>0</v>
      </c>
      <c r="E322" s="134">
        <v>0</v>
      </c>
      <c r="F322" s="573">
        <v>433735</v>
      </c>
      <c r="G322" s="3140">
        <v>63357</v>
      </c>
      <c r="H322" s="3140">
        <v>0</v>
      </c>
      <c r="I322" s="86">
        <v>0</v>
      </c>
      <c r="J322" s="573">
        <v>1620325</v>
      </c>
      <c r="K322" s="3140">
        <v>63674</v>
      </c>
      <c r="L322" s="3140">
        <v>0</v>
      </c>
      <c r="M322" s="86">
        <v>0</v>
      </c>
      <c r="N322" s="573">
        <v>9847</v>
      </c>
      <c r="O322" s="3140">
        <v>0</v>
      </c>
      <c r="P322" s="3140">
        <v>0</v>
      </c>
      <c r="Q322" s="86">
        <v>0</v>
      </c>
      <c r="R322" s="134">
        <v>2495737</v>
      </c>
      <c r="S322" s="3140">
        <v>282559</v>
      </c>
      <c r="T322" s="3140">
        <v>0</v>
      </c>
      <c r="U322" s="86">
        <v>316</v>
      </c>
      <c r="V322" s="134">
        <v>45100</v>
      </c>
      <c r="W322" s="1976">
        <v>248805</v>
      </c>
      <c r="X322" s="573">
        <v>12000</v>
      </c>
      <c r="Y322" s="1976">
        <v>28950</v>
      </c>
      <c r="Z322" s="641">
        <f>SUM(V322:Y322)</f>
        <v>334855</v>
      </c>
      <c r="AA322" s="1976">
        <f>293905+40950</f>
        <v>334855</v>
      </c>
      <c r="AB322" s="573">
        <v>0</v>
      </c>
      <c r="AC322" s="1976">
        <v>45700</v>
      </c>
      <c r="AD322" s="573">
        <v>0</v>
      </c>
      <c r="AE322" s="1976">
        <v>0</v>
      </c>
      <c r="AF322" s="641">
        <f t="shared" si="16"/>
        <v>45700</v>
      </c>
      <c r="AG322" s="3141">
        <v>75576</v>
      </c>
      <c r="AI322" s="1202"/>
      <c r="AJ322" s="1202"/>
      <c r="AK322" s="1202"/>
      <c r="AL322" s="1202"/>
      <c r="AM322" s="1202"/>
      <c r="AN322" s="1202"/>
      <c r="AO322" s="1202"/>
      <c r="AP322" s="1202"/>
      <c r="AQ322" s="1202"/>
      <c r="AR322" s="1202"/>
      <c r="AS322" s="1202"/>
      <c r="AT322" s="1202"/>
    </row>
    <row r="323" spans="1:47">
      <c r="A323" s="63">
        <f t="shared" si="15"/>
        <v>2019.02</v>
      </c>
      <c r="B323" s="250">
        <v>1935022</v>
      </c>
      <c r="C323" s="3140">
        <v>144450</v>
      </c>
      <c r="D323" s="3140">
        <v>0</v>
      </c>
      <c r="E323" s="134">
        <v>0</v>
      </c>
      <c r="F323" s="573">
        <v>386736</v>
      </c>
      <c r="G323" s="3140">
        <v>61464</v>
      </c>
      <c r="H323" s="3140">
        <v>0</v>
      </c>
      <c r="I323" s="86">
        <v>0</v>
      </c>
      <c r="J323" s="573">
        <v>1451084</v>
      </c>
      <c r="K323" s="3140">
        <v>62003</v>
      </c>
      <c r="L323" s="3140">
        <v>0</v>
      </c>
      <c r="M323" s="86">
        <v>0</v>
      </c>
      <c r="N323" s="573">
        <v>9866</v>
      </c>
      <c r="O323" s="3140">
        <v>0</v>
      </c>
      <c r="P323" s="3140">
        <v>0</v>
      </c>
      <c r="Q323" s="86">
        <v>0</v>
      </c>
      <c r="R323" s="134">
        <v>2346028</v>
      </c>
      <c r="S323" s="3140">
        <v>252497</v>
      </c>
      <c r="T323" s="3140">
        <v>0</v>
      </c>
      <c r="U323" s="86">
        <v>377</v>
      </c>
      <c r="V323" s="134">
        <v>53810</v>
      </c>
      <c r="W323" s="1976">
        <v>230792</v>
      </c>
      <c r="X323" s="573">
        <v>3527</v>
      </c>
      <c r="Y323" s="1976">
        <v>13300</v>
      </c>
      <c r="Z323" s="641">
        <f t="shared" si="14"/>
        <v>301429</v>
      </c>
      <c r="AA323" s="1976">
        <f>284602+16827</f>
        <v>301429</v>
      </c>
      <c r="AB323" s="573">
        <v>0</v>
      </c>
      <c r="AC323" s="1976">
        <v>10000</v>
      </c>
      <c r="AD323" s="573">
        <v>0</v>
      </c>
      <c r="AE323" s="1976">
        <v>0</v>
      </c>
      <c r="AF323" s="641">
        <f t="shared" si="16"/>
        <v>10000</v>
      </c>
      <c r="AG323" s="3141">
        <v>12300</v>
      </c>
      <c r="AI323" s="1202"/>
      <c r="AJ323" s="1202"/>
      <c r="AK323" s="1202"/>
      <c r="AL323" s="1202"/>
      <c r="AM323" s="1202"/>
      <c r="AN323" s="1202"/>
      <c r="AO323" s="1202"/>
      <c r="AP323" s="1202"/>
      <c r="AQ323" s="1202"/>
      <c r="AR323" s="1202"/>
      <c r="AS323" s="1202"/>
      <c r="AT323" s="1202"/>
    </row>
    <row r="324" spans="1:47">
      <c r="A324" s="63">
        <f t="shared" si="15"/>
        <v>2019.03</v>
      </c>
      <c r="B324" s="250">
        <v>2606154</v>
      </c>
      <c r="C324" s="3140">
        <v>122303</v>
      </c>
      <c r="D324" s="3140">
        <v>0</v>
      </c>
      <c r="E324" s="134">
        <v>0</v>
      </c>
      <c r="F324" s="573">
        <v>527546</v>
      </c>
      <c r="G324" s="3140">
        <v>53144</v>
      </c>
      <c r="H324" s="3140">
        <v>0</v>
      </c>
      <c r="I324" s="86">
        <v>0</v>
      </c>
      <c r="J324" s="573">
        <v>1955799</v>
      </c>
      <c r="K324" s="3140">
        <v>54574</v>
      </c>
      <c r="L324" s="3140">
        <v>0</v>
      </c>
      <c r="M324" s="86">
        <v>0</v>
      </c>
      <c r="N324" s="573">
        <v>9978</v>
      </c>
      <c r="O324" s="3140">
        <v>0</v>
      </c>
      <c r="P324" s="3140">
        <v>0</v>
      </c>
      <c r="Q324" s="86">
        <v>0</v>
      </c>
      <c r="R324" s="134">
        <v>2901255</v>
      </c>
      <c r="S324" s="3140">
        <v>342187</v>
      </c>
      <c r="T324" s="3140">
        <v>0</v>
      </c>
      <c r="U324" s="86">
        <v>236</v>
      </c>
      <c r="V324" s="134">
        <v>24180</v>
      </c>
      <c r="W324" s="1976">
        <v>265454</v>
      </c>
      <c r="X324" s="573">
        <v>12420</v>
      </c>
      <c r="Y324" s="1976">
        <v>40070</v>
      </c>
      <c r="Z324" s="641">
        <f t="shared" si="14"/>
        <v>342124</v>
      </c>
      <c r="AA324" s="1976">
        <f>295634+47620+4870</f>
        <v>348124</v>
      </c>
      <c r="AB324" s="573">
        <v>0</v>
      </c>
      <c r="AC324" s="1976">
        <v>39800</v>
      </c>
      <c r="AD324" s="573">
        <v>0</v>
      </c>
      <c r="AE324" s="1976">
        <v>0</v>
      </c>
      <c r="AF324" s="641">
        <f t="shared" si="16"/>
        <v>39800</v>
      </c>
      <c r="AG324" s="3141">
        <v>66800</v>
      </c>
      <c r="AI324" s="385"/>
      <c r="AJ324" s="385"/>
      <c r="AK324" s="385"/>
      <c r="AL324" s="385"/>
      <c r="AM324" s="385"/>
      <c r="AN324" s="385"/>
      <c r="AO324" s="385"/>
      <c r="AP324" s="385"/>
      <c r="AQ324" s="385"/>
      <c r="AR324" s="385"/>
      <c r="AS324" s="385"/>
      <c r="AT324" s="385"/>
    </row>
    <row r="325" spans="1:47">
      <c r="A325" s="63">
        <f t="shared" si="15"/>
        <v>2019.04</v>
      </c>
      <c r="B325" s="250">
        <v>3423835</v>
      </c>
      <c r="C325" s="3140">
        <v>76101</v>
      </c>
      <c r="D325" s="3140">
        <v>0</v>
      </c>
      <c r="E325" s="134">
        <v>0</v>
      </c>
      <c r="F325" s="573">
        <v>676338</v>
      </c>
      <c r="G325" s="3140">
        <v>32454</v>
      </c>
      <c r="H325" s="3140">
        <v>0</v>
      </c>
      <c r="I325" s="86">
        <v>3.6840000000000002</v>
      </c>
      <c r="J325" s="573">
        <v>2568720</v>
      </c>
      <c r="K325" s="3140">
        <v>35382</v>
      </c>
      <c r="L325" s="3140">
        <v>0</v>
      </c>
      <c r="M325" s="86">
        <v>15754</v>
      </c>
      <c r="N325" s="573">
        <v>11285</v>
      </c>
      <c r="O325" s="3140">
        <v>0</v>
      </c>
      <c r="P325" s="3140">
        <v>0</v>
      </c>
      <c r="Q325" s="86">
        <v>0</v>
      </c>
      <c r="R325" s="134">
        <v>3820747</v>
      </c>
      <c r="S325" s="3140">
        <v>386458</v>
      </c>
      <c r="T325" s="3140">
        <v>0</v>
      </c>
      <c r="U325" s="86">
        <v>22145</v>
      </c>
      <c r="V325" s="134">
        <v>15000</v>
      </c>
      <c r="W325" s="1976">
        <v>319090</v>
      </c>
      <c r="X325" s="573">
        <v>0</v>
      </c>
      <c r="Y325" s="1976">
        <v>54588</v>
      </c>
      <c r="Z325" s="641">
        <f t="shared" si="14"/>
        <v>388678</v>
      </c>
      <c r="AA325" s="1976">
        <f>334090+37500+17088</f>
        <v>388678</v>
      </c>
      <c r="AB325" s="573">
        <v>0</v>
      </c>
      <c r="AC325" s="1976">
        <v>5000</v>
      </c>
      <c r="AD325" s="573">
        <v>0</v>
      </c>
      <c r="AE325" s="1976">
        <v>0</v>
      </c>
      <c r="AF325" s="641">
        <f t="shared" si="16"/>
        <v>5000</v>
      </c>
      <c r="AG325" s="3141">
        <v>25200</v>
      </c>
    </row>
    <row r="326" spans="1:47">
      <c r="A326" s="63">
        <f t="shared" si="15"/>
        <v>2019.05</v>
      </c>
      <c r="B326" s="250">
        <v>3543993</v>
      </c>
      <c r="C326" s="3140">
        <v>100335</v>
      </c>
      <c r="D326" s="3140">
        <v>0</v>
      </c>
      <c r="E326" s="134">
        <v>7898</v>
      </c>
      <c r="F326" s="573">
        <v>686094</v>
      </c>
      <c r="G326" s="3140">
        <v>42855</v>
      </c>
      <c r="H326" s="3140">
        <v>0</v>
      </c>
      <c r="I326" s="86">
        <v>1342</v>
      </c>
      <c r="J326" s="573">
        <v>2644676</v>
      </c>
      <c r="K326" s="3140">
        <v>45017</v>
      </c>
      <c r="L326" s="3140">
        <v>0</v>
      </c>
      <c r="M326" s="86">
        <v>5699</v>
      </c>
      <c r="N326" s="573">
        <v>14277</v>
      </c>
      <c r="O326" s="3140">
        <v>0</v>
      </c>
      <c r="P326" s="3140">
        <v>0</v>
      </c>
      <c r="Q326" s="86">
        <v>0</v>
      </c>
      <c r="R326" s="134">
        <v>3970321</v>
      </c>
      <c r="S326" s="3140">
        <v>386269</v>
      </c>
      <c r="T326" s="3140">
        <v>0</v>
      </c>
      <c r="U326" s="86">
        <v>22356</v>
      </c>
      <c r="V326" s="134">
        <v>79874</v>
      </c>
      <c r="W326" s="1976">
        <v>376434</v>
      </c>
      <c r="X326" s="573">
        <v>2432</v>
      </c>
      <c r="Y326" s="1976">
        <v>40000</v>
      </c>
      <c r="Z326" s="641">
        <f t="shared" si="14"/>
        <v>498740</v>
      </c>
      <c r="AA326" s="1976">
        <f>456308+42432</f>
        <v>498740</v>
      </c>
      <c r="AB326" s="573">
        <v>0</v>
      </c>
      <c r="AC326" s="1976">
        <v>18000</v>
      </c>
      <c r="AD326" s="573">
        <v>0</v>
      </c>
      <c r="AE326" s="1976">
        <v>0</v>
      </c>
      <c r="AF326" s="641">
        <f t="shared" si="16"/>
        <v>18000</v>
      </c>
      <c r="AG326" s="3141">
        <v>74772</v>
      </c>
    </row>
    <row r="327" spans="1:47">
      <c r="A327" s="63">
        <f t="shared" si="15"/>
        <v>2019.06</v>
      </c>
      <c r="B327" s="250">
        <v>3832187</v>
      </c>
      <c r="C327" s="3140">
        <v>80969</v>
      </c>
      <c r="D327" s="3140">
        <v>0</v>
      </c>
      <c r="E327" s="134">
        <v>15614</v>
      </c>
      <c r="F327" s="573">
        <v>746699</v>
      </c>
      <c r="G327" s="3140">
        <v>34665</v>
      </c>
      <c r="H327" s="3140">
        <v>0</v>
      </c>
      <c r="I327" s="86">
        <v>2279</v>
      </c>
      <c r="J327" s="573">
        <v>2864475</v>
      </c>
      <c r="K327" s="3140">
        <v>37343</v>
      </c>
      <c r="L327" s="3140">
        <v>0</v>
      </c>
      <c r="M327" s="86">
        <v>11307</v>
      </c>
      <c r="N327" s="573">
        <v>13818</v>
      </c>
      <c r="O327" s="3140">
        <v>0</v>
      </c>
      <c r="P327" s="3140">
        <v>0</v>
      </c>
      <c r="Q327" s="86">
        <v>0</v>
      </c>
      <c r="R327" s="134">
        <v>4294195</v>
      </c>
      <c r="S327" s="3140">
        <v>288505</v>
      </c>
      <c r="T327" s="3140">
        <v>0</v>
      </c>
      <c r="U327" s="86">
        <v>7718</v>
      </c>
      <c r="V327" s="134">
        <v>71748</v>
      </c>
      <c r="W327" s="1976">
        <v>411820</v>
      </c>
      <c r="X327" s="573">
        <v>11464</v>
      </c>
      <c r="Y327" s="1976">
        <v>41239</v>
      </c>
      <c r="Z327" s="641">
        <f t="shared" si="14"/>
        <v>536271</v>
      </c>
      <c r="AA327" s="1976">
        <f>488568+52703</f>
        <v>541271</v>
      </c>
      <c r="AB327" s="573">
        <v>0</v>
      </c>
      <c r="AC327" s="1976">
        <v>6000</v>
      </c>
      <c r="AD327" s="573">
        <v>0</v>
      </c>
      <c r="AE327" s="1976">
        <v>0</v>
      </c>
      <c r="AF327" s="641">
        <f t="shared" si="16"/>
        <v>6000</v>
      </c>
      <c r="AG327" s="3141">
        <v>78634</v>
      </c>
    </row>
    <row r="328" spans="1:47">
      <c r="A328" s="63">
        <f t="shared" si="15"/>
        <v>2019.07</v>
      </c>
      <c r="B328" s="250">
        <v>3982476</v>
      </c>
      <c r="C328" s="3140">
        <v>85493</v>
      </c>
      <c r="D328" s="3140">
        <v>0</v>
      </c>
      <c r="E328" s="134">
        <v>18875</v>
      </c>
      <c r="F328" s="573">
        <v>780168</v>
      </c>
      <c r="G328" s="3140">
        <v>47889</v>
      </c>
      <c r="H328" s="3140">
        <v>0</v>
      </c>
      <c r="I328" s="86">
        <v>2769</v>
      </c>
      <c r="J328" s="573">
        <v>2971732</v>
      </c>
      <c r="K328" s="3140">
        <v>39130</v>
      </c>
      <c r="L328" s="3140">
        <v>0</v>
      </c>
      <c r="M328" s="86">
        <v>13550</v>
      </c>
      <c r="N328" s="573">
        <v>15294</v>
      </c>
      <c r="O328" s="3140">
        <v>0</v>
      </c>
      <c r="P328" s="3140">
        <v>0</v>
      </c>
      <c r="Q328" s="86">
        <v>0</v>
      </c>
      <c r="R328" s="134">
        <v>4443797</v>
      </c>
      <c r="S328" s="3140">
        <v>331435</v>
      </c>
      <c r="T328" s="3140">
        <v>0</v>
      </c>
      <c r="U328" s="86">
        <v>20347</v>
      </c>
      <c r="V328" s="134">
        <v>64000</v>
      </c>
      <c r="W328" s="1976">
        <v>404751</v>
      </c>
      <c r="X328" s="573">
        <v>0</v>
      </c>
      <c r="Y328" s="1976">
        <v>45500</v>
      </c>
      <c r="Z328" s="641">
        <f t="shared" si="14"/>
        <v>514251</v>
      </c>
      <c r="AA328" s="1976">
        <f>478751+45500</f>
        <v>524251</v>
      </c>
      <c r="AB328" s="573">
        <v>0</v>
      </c>
      <c r="AC328" s="1976">
        <v>31000</v>
      </c>
      <c r="AD328" s="573">
        <v>0</v>
      </c>
      <c r="AE328" s="1976">
        <v>0</v>
      </c>
      <c r="AF328" s="641">
        <f t="shared" si="16"/>
        <v>31000</v>
      </c>
      <c r="AG328" s="3141">
        <v>71000</v>
      </c>
    </row>
    <row r="329" spans="1:47">
      <c r="A329" s="63">
        <f t="shared" si="15"/>
        <v>2019.08</v>
      </c>
      <c r="B329" s="250">
        <v>3782090</v>
      </c>
      <c r="C329" s="3140">
        <v>121418</v>
      </c>
      <c r="D329" s="3140">
        <v>0</v>
      </c>
      <c r="E329" s="134">
        <v>1187</v>
      </c>
      <c r="F329" s="573">
        <v>741219</v>
      </c>
      <c r="G329" s="3140">
        <v>51653</v>
      </c>
      <c r="H329" s="3140">
        <v>0</v>
      </c>
      <c r="I329" s="86">
        <v>188</v>
      </c>
      <c r="J329" s="573">
        <v>2834048</v>
      </c>
      <c r="K329" s="3140">
        <v>53394</v>
      </c>
      <c r="L329" s="3140">
        <v>0</v>
      </c>
      <c r="M329" s="86">
        <v>834</v>
      </c>
      <c r="N329" s="573">
        <v>15733</v>
      </c>
      <c r="O329" s="3140">
        <v>0</v>
      </c>
      <c r="P329" s="3140">
        <v>0</v>
      </c>
      <c r="Q329" s="86">
        <v>0</v>
      </c>
      <c r="R329" s="134">
        <v>4152116</v>
      </c>
      <c r="S329" s="3140">
        <v>364712</v>
      </c>
      <c r="T329" s="3140">
        <v>78</v>
      </c>
      <c r="U329" s="86">
        <v>1948</v>
      </c>
      <c r="V329" s="134">
        <v>49500</v>
      </c>
      <c r="W329" s="1976">
        <v>476712</v>
      </c>
      <c r="X329" s="573">
        <v>0</v>
      </c>
      <c r="Y329" s="1976">
        <v>32458</v>
      </c>
      <c r="Z329" s="641">
        <f t="shared" si="14"/>
        <v>558670</v>
      </c>
      <c r="AA329" s="1976">
        <f>530712+32458</f>
        <v>563170</v>
      </c>
      <c r="AB329" s="573">
        <v>0</v>
      </c>
      <c r="AC329" s="1976">
        <v>20970</v>
      </c>
      <c r="AD329" s="573">
        <v>0</v>
      </c>
      <c r="AE329" s="1976">
        <v>0</v>
      </c>
      <c r="AF329" s="641">
        <f t="shared" si="16"/>
        <v>20970</v>
      </c>
      <c r="AG329" s="3141">
        <v>90907</v>
      </c>
    </row>
    <row r="330" spans="1:47">
      <c r="A330" s="63">
        <f t="shared" si="15"/>
        <v>2019.09</v>
      </c>
      <c r="B330" s="250">
        <v>2762280</v>
      </c>
      <c r="C330" s="3140">
        <v>27254</v>
      </c>
      <c r="D330" s="3140">
        <v>0</v>
      </c>
      <c r="E330" s="134">
        <v>20127</v>
      </c>
      <c r="F330" s="573">
        <v>540044</v>
      </c>
      <c r="G330" s="3140">
        <v>11703</v>
      </c>
      <c r="H330" s="3140">
        <v>0</v>
      </c>
      <c r="I330" s="86">
        <v>3052</v>
      </c>
      <c r="J330" s="573">
        <v>2047755</v>
      </c>
      <c r="K330" s="3140">
        <v>14270</v>
      </c>
      <c r="L330" s="3140">
        <v>0</v>
      </c>
      <c r="M330" s="86">
        <v>14477</v>
      </c>
      <c r="N330" s="573">
        <v>12878</v>
      </c>
      <c r="O330" s="3140">
        <v>0</v>
      </c>
      <c r="P330" s="3140">
        <v>0</v>
      </c>
      <c r="Q330" s="86">
        <v>0</v>
      </c>
      <c r="R330" s="134">
        <v>3148516</v>
      </c>
      <c r="S330" s="3140">
        <v>176629</v>
      </c>
      <c r="T330" s="3140">
        <v>112</v>
      </c>
      <c r="U330" s="86">
        <v>20658</v>
      </c>
      <c r="V330" s="134">
        <v>43524</v>
      </c>
      <c r="W330" s="1976">
        <v>311008</v>
      </c>
      <c r="X330" s="573">
        <f>17000+2462</f>
        <v>19462</v>
      </c>
      <c r="Y330" s="1976">
        <v>19500</v>
      </c>
      <c r="Z330" s="641">
        <f t="shared" si="14"/>
        <v>393494</v>
      </c>
      <c r="AA330" s="1976">
        <f>365232+36500+2462</f>
        <v>404194</v>
      </c>
      <c r="AB330" s="573">
        <v>0</v>
      </c>
      <c r="AC330" s="1976">
        <v>4000</v>
      </c>
      <c r="AD330" s="573">
        <v>0</v>
      </c>
      <c r="AE330" s="1976">
        <v>0</v>
      </c>
      <c r="AF330" s="641">
        <f t="shared" si="16"/>
        <v>4000</v>
      </c>
      <c r="AG330" s="3141">
        <v>19200</v>
      </c>
    </row>
    <row r="331" spans="1:47">
      <c r="A331" s="63">
        <f t="shared" si="15"/>
        <v>2019.1</v>
      </c>
      <c r="B331" s="250">
        <v>3563090</v>
      </c>
      <c r="C331" s="3140">
        <v>1809</v>
      </c>
      <c r="D331" s="3140">
        <v>0</v>
      </c>
      <c r="E331" s="134">
        <v>9607</v>
      </c>
      <c r="F331" s="573">
        <v>699895</v>
      </c>
      <c r="G331" s="3140">
        <v>738</v>
      </c>
      <c r="H331" s="3140">
        <v>0</v>
      </c>
      <c r="I331" s="86">
        <v>1480</v>
      </c>
      <c r="J331" s="573">
        <v>2650340</v>
      </c>
      <c r="K331" s="3140">
        <v>979</v>
      </c>
      <c r="L331" s="3140">
        <v>0</v>
      </c>
      <c r="M331" s="86">
        <v>6811</v>
      </c>
      <c r="N331" s="573">
        <v>15167</v>
      </c>
      <c r="O331" s="3140">
        <v>0</v>
      </c>
      <c r="P331" s="3140">
        <v>0</v>
      </c>
      <c r="Q331" s="86">
        <v>0</v>
      </c>
      <c r="R331" s="134">
        <v>3928342</v>
      </c>
      <c r="S331" s="3140">
        <v>189885</v>
      </c>
      <c r="T331" s="3140">
        <v>170</v>
      </c>
      <c r="U331" s="86">
        <v>10206</v>
      </c>
      <c r="V331" s="134">
        <v>26269</v>
      </c>
      <c r="W331" s="1976">
        <v>265291</v>
      </c>
      <c r="X331" s="573">
        <v>1000</v>
      </c>
      <c r="Y331" s="1976">
        <v>64115</v>
      </c>
      <c r="Z331" s="641">
        <f t="shared" ref="Z331:Z393" si="17">SUM(V331:Y331)</f>
        <v>356675</v>
      </c>
      <c r="AA331" s="1976">
        <f>294350+65115</f>
        <v>359465</v>
      </c>
      <c r="AB331" s="573">
        <v>0</v>
      </c>
      <c r="AC331" s="1976">
        <v>0</v>
      </c>
      <c r="AD331" s="573">
        <v>0</v>
      </c>
      <c r="AE331" s="1976">
        <v>0</v>
      </c>
      <c r="AF331" s="641">
        <f t="shared" si="16"/>
        <v>0</v>
      </c>
      <c r="AG331" s="3141">
        <v>13500</v>
      </c>
    </row>
    <row r="332" spans="1:47">
      <c r="A332" s="63">
        <f t="shared" si="15"/>
        <v>2019.11</v>
      </c>
      <c r="B332" s="250">
        <v>2646407</v>
      </c>
      <c r="C332" s="3140">
        <v>29954</v>
      </c>
      <c r="D332" s="3140">
        <v>0</v>
      </c>
      <c r="E332" s="134">
        <v>0</v>
      </c>
      <c r="F332" s="573">
        <v>525323</v>
      </c>
      <c r="G332" s="3140">
        <v>12999</v>
      </c>
      <c r="H332" s="3140">
        <v>0</v>
      </c>
      <c r="I332" s="86">
        <v>0</v>
      </c>
      <c r="J332" s="573">
        <v>1946805</v>
      </c>
      <c r="K332" s="3140">
        <v>16076</v>
      </c>
      <c r="L332" s="3140">
        <v>0</v>
      </c>
      <c r="M332" s="86">
        <v>0</v>
      </c>
      <c r="N332" s="573">
        <v>11859</v>
      </c>
      <c r="O332" s="3140">
        <v>0</v>
      </c>
      <c r="P332" s="3140">
        <v>0</v>
      </c>
      <c r="Q332" s="86">
        <v>0</v>
      </c>
      <c r="R332" s="134">
        <v>2928889</v>
      </c>
      <c r="S332" s="3140">
        <v>157571</v>
      </c>
      <c r="T332" s="3140">
        <v>170</v>
      </c>
      <c r="U332" s="86">
        <v>541</v>
      </c>
      <c r="V332" s="134">
        <v>33960</v>
      </c>
      <c r="W332" s="1976">
        <v>297115</v>
      </c>
      <c r="X332" s="573">
        <v>11000</v>
      </c>
      <c r="Y332" s="1976">
        <v>34000</v>
      </c>
      <c r="Z332" s="641">
        <f>SUM(V332:Y332)</f>
        <v>376075</v>
      </c>
      <c r="AA332" s="1976">
        <f>344074+45000</f>
        <v>389074</v>
      </c>
      <c r="AB332" s="573">
        <v>23453</v>
      </c>
      <c r="AC332" s="1976">
        <v>7500</v>
      </c>
      <c r="AD332" s="573">
        <v>0</v>
      </c>
      <c r="AE332" s="1976">
        <v>0</v>
      </c>
      <c r="AF332" s="641">
        <f t="shared" si="16"/>
        <v>30953</v>
      </c>
      <c r="AG332" s="3141">
        <v>37953</v>
      </c>
    </row>
    <row r="333" spans="1:47">
      <c r="A333" s="63">
        <f t="shared" si="15"/>
        <v>2019.12</v>
      </c>
      <c r="B333" s="250">
        <v>2347419</v>
      </c>
      <c r="C333" s="3140">
        <v>44898</v>
      </c>
      <c r="D333" s="3140">
        <v>0</v>
      </c>
      <c r="E333" s="134">
        <v>0</v>
      </c>
      <c r="F333" s="573">
        <v>468819</v>
      </c>
      <c r="G333" s="3140">
        <v>11272</v>
      </c>
      <c r="H333" s="3140">
        <v>0</v>
      </c>
      <c r="I333" s="86">
        <v>0</v>
      </c>
      <c r="J333" s="573">
        <v>1733175</v>
      </c>
      <c r="K333" s="3140">
        <v>13849</v>
      </c>
      <c r="L333" s="3140">
        <v>0</v>
      </c>
      <c r="M333" s="86">
        <v>0</v>
      </c>
      <c r="N333" s="573">
        <v>11486</v>
      </c>
      <c r="O333" s="3140">
        <v>0</v>
      </c>
      <c r="P333" s="3140">
        <v>0</v>
      </c>
      <c r="Q333" s="86">
        <v>0</v>
      </c>
      <c r="R333" s="134">
        <v>2745010</v>
      </c>
      <c r="S333" s="3140">
        <v>122470</v>
      </c>
      <c r="T333" s="3140">
        <v>261</v>
      </c>
      <c r="U333" s="86">
        <v>386</v>
      </c>
      <c r="V333" s="134">
        <v>88148</v>
      </c>
      <c r="W333" s="1976">
        <v>247357</v>
      </c>
      <c r="X333" s="573">
        <v>4000</v>
      </c>
      <c r="Y333" s="1976">
        <v>47100</v>
      </c>
      <c r="Z333" s="641">
        <f t="shared" si="17"/>
        <v>386605</v>
      </c>
      <c r="AA333" s="1976">
        <f>355505+51100</f>
        <v>406605</v>
      </c>
      <c r="AB333" s="573">
        <v>0</v>
      </c>
      <c r="AC333" s="1976">
        <v>1000</v>
      </c>
      <c r="AD333" s="573">
        <v>0</v>
      </c>
      <c r="AE333" s="1976">
        <v>0</v>
      </c>
      <c r="AF333" s="641">
        <f t="shared" si="16"/>
        <v>1000</v>
      </c>
      <c r="AG333" s="3141">
        <v>28000</v>
      </c>
    </row>
    <row r="334" spans="1:47">
      <c r="A334" s="63">
        <f t="shared" si="15"/>
        <v>2020.01</v>
      </c>
      <c r="B334" s="250">
        <v>2002063</v>
      </c>
      <c r="C334" s="3140">
        <v>97888</v>
      </c>
      <c r="D334" s="3140">
        <v>0</v>
      </c>
      <c r="E334" s="134">
        <v>0</v>
      </c>
      <c r="F334" s="573">
        <v>392730</v>
      </c>
      <c r="G334" s="3140">
        <v>42771</v>
      </c>
      <c r="H334" s="3140">
        <v>0</v>
      </c>
      <c r="I334" s="86">
        <v>2457</v>
      </c>
      <c r="J334" s="573">
        <v>1467836</v>
      </c>
      <c r="K334" s="3140">
        <v>49434</v>
      </c>
      <c r="L334" s="3140">
        <v>0</v>
      </c>
      <c r="M334" s="86">
        <v>12</v>
      </c>
      <c r="N334" s="573">
        <v>12103</v>
      </c>
      <c r="O334" s="3140">
        <v>0</v>
      </c>
      <c r="P334" s="3140">
        <v>0</v>
      </c>
      <c r="Q334" s="86">
        <v>3656</v>
      </c>
      <c r="R334" s="134">
        <v>2315940</v>
      </c>
      <c r="S334" s="3140">
        <v>174450</v>
      </c>
      <c r="T334" s="3140">
        <v>0</v>
      </c>
      <c r="U334" s="86">
        <v>0</v>
      </c>
      <c r="V334" s="134">
        <v>62264</v>
      </c>
      <c r="W334" s="1976">
        <v>359385</v>
      </c>
      <c r="X334" s="573">
        <v>10000</v>
      </c>
      <c r="Y334" s="1976">
        <v>7150</v>
      </c>
      <c r="Z334" s="641">
        <f t="shared" si="17"/>
        <v>438799</v>
      </c>
      <c r="AA334" s="1976">
        <f>421649+17150</f>
        <v>438799</v>
      </c>
      <c r="AB334" s="573">
        <v>0</v>
      </c>
      <c r="AC334" s="1976">
        <v>5500</v>
      </c>
      <c r="AD334" s="573">
        <v>0</v>
      </c>
      <c r="AE334" s="1976">
        <v>0</v>
      </c>
      <c r="AF334" s="641">
        <f t="shared" si="16"/>
        <v>5500</v>
      </c>
      <c r="AG334" s="3141">
        <v>5500</v>
      </c>
    </row>
    <row r="335" spans="1:47">
      <c r="A335" s="63">
        <f t="shared" si="15"/>
        <v>2020.02</v>
      </c>
      <c r="B335" s="250">
        <v>2351546</v>
      </c>
      <c r="C335" s="3140">
        <v>103173</v>
      </c>
      <c r="D335" s="3140">
        <v>0</v>
      </c>
      <c r="E335" s="134">
        <v>0</v>
      </c>
      <c r="F335" s="573">
        <v>463188</v>
      </c>
      <c r="G335" s="3140">
        <v>45645</v>
      </c>
      <c r="H335" s="3140">
        <v>0</v>
      </c>
      <c r="I335" s="86">
        <v>2265</v>
      </c>
      <c r="J335" s="573">
        <v>1727736</v>
      </c>
      <c r="K335" s="3140">
        <v>50067</v>
      </c>
      <c r="L335" s="3140">
        <v>0</v>
      </c>
      <c r="M335" s="86">
        <v>12</v>
      </c>
      <c r="N335" s="573">
        <v>12156</v>
      </c>
      <c r="O335" s="3140">
        <v>0</v>
      </c>
      <c r="P335" s="3140">
        <v>0</v>
      </c>
      <c r="Q335" s="86">
        <v>3677</v>
      </c>
      <c r="R335" s="134">
        <v>2630170</v>
      </c>
      <c r="S335" s="3140">
        <v>211339</v>
      </c>
      <c r="T335" s="3140">
        <v>0</v>
      </c>
      <c r="U335" s="86">
        <v>0</v>
      </c>
      <c r="V335" s="134">
        <v>24264</v>
      </c>
      <c r="W335" s="1976">
        <v>229245</v>
      </c>
      <c r="X335" s="573">
        <v>0</v>
      </c>
      <c r="Y335" s="1976">
        <v>18460</v>
      </c>
      <c r="Z335" s="641">
        <f t="shared" si="17"/>
        <v>271969</v>
      </c>
      <c r="AA335" s="1976">
        <f>253509+18460</f>
        <v>271969</v>
      </c>
      <c r="AB335" s="573">
        <v>0</v>
      </c>
      <c r="AC335" s="1976">
        <v>35300</v>
      </c>
      <c r="AD335" s="573">
        <v>0</v>
      </c>
      <c r="AE335" s="1976">
        <v>0</v>
      </c>
      <c r="AF335" s="641">
        <f t="shared" si="16"/>
        <v>35300</v>
      </c>
      <c r="AG335" s="3141">
        <v>35300</v>
      </c>
    </row>
    <row r="336" spans="1:47">
      <c r="A336" s="63">
        <f t="shared" si="15"/>
        <v>2020.03</v>
      </c>
      <c r="B336" s="250">
        <v>2450467</v>
      </c>
      <c r="C336" s="3140">
        <v>79360</v>
      </c>
      <c r="D336" s="3140">
        <v>0</v>
      </c>
      <c r="E336" s="134">
        <v>0</v>
      </c>
      <c r="F336" s="573">
        <v>499625</v>
      </c>
      <c r="G336" s="3140">
        <v>35210</v>
      </c>
      <c r="H336" s="3140">
        <v>0</v>
      </c>
      <c r="I336" s="86">
        <v>0</v>
      </c>
      <c r="J336" s="573">
        <v>1804828</v>
      </c>
      <c r="K336" s="3140">
        <v>39011</v>
      </c>
      <c r="L336" s="3140">
        <v>0</v>
      </c>
      <c r="M336" s="86">
        <v>0</v>
      </c>
      <c r="N336" s="573">
        <v>12604</v>
      </c>
      <c r="O336" s="3140">
        <v>0</v>
      </c>
      <c r="P336" s="3140">
        <v>0</v>
      </c>
      <c r="Q336" s="86">
        <v>0</v>
      </c>
      <c r="R336" s="134">
        <v>2740944</v>
      </c>
      <c r="S336" s="3140">
        <v>337835</v>
      </c>
      <c r="T336" s="3140">
        <v>149</v>
      </c>
      <c r="U336" s="86">
        <v>350</v>
      </c>
      <c r="V336" s="134">
        <v>0</v>
      </c>
      <c r="W336" s="1976">
        <v>167947</v>
      </c>
      <c r="X336" s="573">
        <v>0</v>
      </c>
      <c r="Y336" s="1976">
        <v>14941</v>
      </c>
      <c r="Z336" s="641">
        <f t="shared" si="17"/>
        <v>182888</v>
      </c>
      <c r="AA336" s="1976">
        <f>167947+14941</f>
        <v>182888</v>
      </c>
      <c r="AB336" s="573">
        <v>0</v>
      </c>
      <c r="AC336" s="1976">
        <v>35900</v>
      </c>
      <c r="AD336" s="573">
        <v>0</v>
      </c>
      <c r="AE336" s="1976">
        <v>0</v>
      </c>
      <c r="AF336" s="641">
        <f t="shared" si="16"/>
        <v>35900</v>
      </c>
      <c r="AG336" s="3141">
        <v>45800</v>
      </c>
    </row>
    <row r="337" spans="1:33">
      <c r="A337" s="63">
        <f t="shared" si="15"/>
        <v>2020.04</v>
      </c>
      <c r="B337" s="250">
        <v>3300360</v>
      </c>
      <c r="C337" s="3140">
        <v>45832</v>
      </c>
      <c r="D337" s="3140">
        <v>0</v>
      </c>
      <c r="E337" s="134">
        <v>15455</v>
      </c>
      <c r="F337" s="573">
        <v>668037</v>
      </c>
      <c r="G337" s="3140">
        <v>21168</v>
      </c>
      <c r="H337" s="3140">
        <v>0</v>
      </c>
      <c r="I337" s="86">
        <v>2473</v>
      </c>
      <c r="J337" s="573">
        <v>2441173</v>
      </c>
      <c r="K337" s="3140">
        <v>23880</v>
      </c>
      <c r="L337" s="3140">
        <v>0</v>
      </c>
      <c r="M337" s="86">
        <v>10879</v>
      </c>
      <c r="N337" s="573">
        <v>13960</v>
      </c>
      <c r="O337" s="3140">
        <v>0</v>
      </c>
      <c r="P337" s="3140">
        <v>0</v>
      </c>
      <c r="Q337" s="86">
        <v>0</v>
      </c>
      <c r="R337" s="134">
        <v>3661211</v>
      </c>
      <c r="S337" s="3140">
        <v>311796</v>
      </c>
      <c r="T337" s="3140">
        <v>0</v>
      </c>
      <c r="U337" s="86">
        <v>11248</v>
      </c>
      <c r="V337" s="134">
        <v>44417</v>
      </c>
      <c r="W337" s="1976">
        <v>446194</v>
      </c>
      <c r="X337" s="573">
        <v>0</v>
      </c>
      <c r="Y337" s="1976">
        <v>15000</v>
      </c>
      <c r="Z337" s="641">
        <f t="shared" si="17"/>
        <v>505611</v>
      </c>
      <c r="AA337" s="1976">
        <f>495667+15000</f>
        <v>510667</v>
      </c>
      <c r="AB337" s="573">
        <v>0</v>
      </c>
      <c r="AC337" s="1976">
        <v>24480</v>
      </c>
      <c r="AD337" s="573">
        <v>0</v>
      </c>
      <c r="AE337" s="1976">
        <v>0</v>
      </c>
      <c r="AF337" s="641">
        <f t="shared" si="16"/>
        <v>24480</v>
      </c>
      <c r="AG337" s="3141">
        <v>49508</v>
      </c>
    </row>
    <row r="338" spans="1:33">
      <c r="A338" s="63">
        <f t="shared" si="15"/>
        <v>2020.05</v>
      </c>
      <c r="B338" s="250">
        <v>3591764</v>
      </c>
      <c r="C338" s="3140">
        <v>41142</v>
      </c>
      <c r="D338" s="3140">
        <v>0</v>
      </c>
      <c r="E338" s="134">
        <v>29200</v>
      </c>
      <c r="F338" s="573">
        <v>714707</v>
      </c>
      <c r="G338" s="3140">
        <v>18232</v>
      </c>
      <c r="H338" s="3140">
        <v>0</v>
      </c>
      <c r="I338" s="86">
        <v>4906</v>
      </c>
      <c r="J338" s="573">
        <v>2701191</v>
      </c>
      <c r="K338" s="3140">
        <v>21590</v>
      </c>
      <c r="L338" s="3140">
        <v>0</v>
      </c>
      <c r="M338" s="86">
        <v>20364</v>
      </c>
      <c r="N338" s="573">
        <v>13371</v>
      </c>
      <c r="O338" s="3140">
        <v>0</v>
      </c>
      <c r="P338" s="3140">
        <v>0</v>
      </c>
      <c r="Q338" s="86">
        <v>0</v>
      </c>
      <c r="R338" s="134">
        <v>4026609</v>
      </c>
      <c r="S338" s="3140">
        <v>275739</v>
      </c>
      <c r="T338" s="3140">
        <v>0</v>
      </c>
      <c r="U338" s="86">
        <v>29791</v>
      </c>
      <c r="V338" s="134">
        <v>80650</v>
      </c>
      <c r="W338" s="1976">
        <v>457821</v>
      </c>
      <c r="X338" s="573">
        <v>0</v>
      </c>
      <c r="Y338" s="1976">
        <v>44218</v>
      </c>
      <c r="Z338" s="641">
        <f t="shared" si="17"/>
        <v>582689</v>
      </c>
      <c r="AA338" s="1976">
        <f>544216+44218</f>
        <v>588434</v>
      </c>
      <c r="AB338" s="573">
        <v>0</v>
      </c>
      <c r="AC338" s="1976">
        <v>31300</v>
      </c>
      <c r="AD338" s="573">
        <v>0</v>
      </c>
      <c r="AE338" s="1976">
        <v>0</v>
      </c>
      <c r="AF338" s="641">
        <f t="shared" si="16"/>
        <v>31300</v>
      </c>
      <c r="AG338" s="3141">
        <v>92302</v>
      </c>
    </row>
    <row r="339" spans="1:33">
      <c r="A339" s="63">
        <f t="shared" si="15"/>
        <v>2020.06</v>
      </c>
      <c r="B339" s="250">
        <v>3164173</v>
      </c>
      <c r="C339" s="3140">
        <v>49931</v>
      </c>
      <c r="D339" s="3140">
        <v>0</v>
      </c>
      <c r="E339" s="134">
        <v>14611</v>
      </c>
      <c r="F339" s="573">
        <v>632001</v>
      </c>
      <c r="G339" s="3140">
        <v>22501</v>
      </c>
      <c r="H339" s="3140">
        <v>0</v>
      </c>
      <c r="I339" s="86">
        <v>22528</v>
      </c>
      <c r="J339" s="573">
        <v>2364571</v>
      </c>
      <c r="K339" s="3140">
        <v>24819</v>
      </c>
      <c r="L339" s="3140">
        <v>0</v>
      </c>
      <c r="M339" s="86">
        <v>10176</v>
      </c>
      <c r="N339" s="573">
        <v>14009</v>
      </c>
      <c r="O339" s="3140">
        <v>0</v>
      </c>
      <c r="P339" s="3140">
        <v>0</v>
      </c>
      <c r="Q339" s="86">
        <v>0</v>
      </c>
      <c r="R339" s="134">
        <v>3642380</v>
      </c>
      <c r="S339" s="3140">
        <v>267976</v>
      </c>
      <c r="T339" s="3140">
        <v>0</v>
      </c>
      <c r="U339" s="86">
        <v>15341</v>
      </c>
      <c r="V339" s="134">
        <v>43500</v>
      </c>
      <c r="W339" s="1976">
        <v>513934</v>
      </c>
      <c r="X339" s="573">
        <v>0</v>
      </c>
      <c r="Y339" s="1976">
        <v>82127</v>
      </c>
      <c r="Z339" s="641">
        <f t="shared" si="17"/>
        <v>639561</v>
      </c>
      <c r="AA339" s="1976">
        <f>565434+82127</f>
        <v>647561</v>
      </c>
      <c r="AB339" s="573">
        <v>0</v>
      </c>
      <c r="AC339" s="1976">
        <v>13000</v>
      </c>
      <c r="AD339" s="573">
        <v>0</v>
      </c>
      <c r="AE339" s="1976">
        <v>0</v>
      </c>
      <c r="AF339" s="641">
        <f t="shared" si="16"/>
        <v>13000</v>
      </c>
      <c r="AG339" s="3141">
        <v>27000</v>
      </c>
    </row>
    <row r="340" spans="1:33">
      <c r="A340" s="63">
        <f t="shared" si="15"/>
        <v>2020.07</v>
      </c>
      <c r="B340" s="250">
        <v>2993140</v>
      </c>
      <c r="C340" s="3140">
        <v>37648</v>
      </c>
      <c r="D340" s="3140">
        <v>0</v>
      </c>
      <c r="E340" s="134">
        <v>21913</v>
      </c>
      <c r="F340" s="573">
        <v>600691</v>
      </c>
      <c r="G340" s="3140">
        <v>16647</v>
      </c>
      <c r="H340" s="3140">
        <v>0</v>
      </c>
      <c r="I340" s="86">
        <v>3835</v>
      </c>
      <c r="J340" s="573">
        <v>2241486</v>
      </c>
      <c r="K340" s="3140">
        <v>19731</v>
      </c>
      <c r="L340" s="3140">
        <v>0</v>
      </c>
      <c r="M340" s="86">
        <v>15004</v>
      </c>
      <c r="N340" s="573">
        <v>15549</v>
      </c>
      <c r="O340" s="3140">
        <v>786</v>
      </c>
      <c r="P340" s="3140">
        <v>0</v>
      </c>
      <c r="Q340" s="86">
        <v>0</v>
      </c>
      <c r="R340" s="134">
        <v>3507676</v>
      </c>
      <c r="S340" s="3140">
        <v>204083</v>
      </c>
      <c r="T340" s="3140">
        <v>70</v>
      </c>
      <c r="U340" s="86">
        <v>22522</v>
      </c>
      <c r="V340" s="134">
        <v>87864</v>
      </c>
      <c r="W340" s="1976">
        <v>405946</v>
      </c>
      <c r="X340" s="573">
        <v>14030</v>
      </c>
      <c r="Y340" s="1976">
        <v>59195</v>
      </c>
      <c r="Z340" s="641">
        <f t="shared" si="17"/>
        <v>567035</v>
      </c>
      <c r="AA340" s="1976">
        <f>506209+73225</f>
        <v>579434</v>
      </c>
      <c r="AB340" s="573">
        <v>0</v>
      </c>
      <c r="AC340" s="1976">
        <v>34650</v>
      </c>
      <c r="AD340" s="573">
        <v>0</v>
      </c>
      <c r="AE340" s="1976">
        <v>0</v>
      </c>
      <c r="AF340" s="641">
        <f t="shared" si="16"/>
        <v>34650</v>
      </c>
      <c r="AG340" s="3141">
        <v>88150</v>
      </c>
    </row>
    <row r="341" spans="1:33">
      <c r="A341" s="63">
        <f t="shared" si="15"/>
        <v>2020.08</v>
      </c>
      <c r="B341" s="250">
        <v>2934657</v>
      </c>
      <c r="C341" s="3140">
        <v>32744</v>
      </c>
      <c r="D341" s="3140">
        <v>0</v>
      </c>
      <c r="E341" s="134">
        <v>26966</v>
      </c>
      <c r="F341" s="573">
        <v>589577</v>
      </c>
      <c r="G341" s="3140">
        <v>14403</v>
      </c>
      <c r="H341" s="3140">
        <v>0</v>
      </c>
      <c r="I341" s="86">
        <v>4613</v>
      </c>
      <c r="J341" s="573">
        <v>2212727</v>
      </c>
      <c r="K341" s="3140">
        <v>17255</v>
      </c>
      <c r="L341" s="3140">
        <v>0</v>
      </c>
      <c r="M341" s="86">
        <v>17968</v>
      </c>
      <c r="N341" s="573">
        <v>15392</v>
      </c>
      <c r="O341" s="3140">
        <v>0</v>
      </c>
      <c r="P341" s="3140">
        <v>0</v>
      </c>
      <c r="Q341" s="86">
        <v>0</v>
      </c>
      <c r="R341" s="134">
        <v>3297111</v>
      </c>
      <c r="S341" s="3140">
        <v>271243</v>
      </c>
      <c r="T341" s="3140">
        <v>70</v>
      </c>
      <c r="U341" s="86">
        <v>27651</v>
      </c>
      <c r="V341" s="134">
        <v>62174</v>
      </c>
      <c r="W341" s="1976">
        <v>310477</v>
      </c>
      <c r="X341" s="573">
        <v>4394</v>
      </c>
      <c r="Y341" s="1976">
        <v>31210</v>
      </c>
      <c r="Z341" s="641">
        <f t="shared" si="17"/>
        <v>408255</v>
      </c>
      <c r="AA341" s="1976">
        <f>378378+35406</f>
        <v>413784</v>
      </c>
      <c r="AB341" s="573">
        <v>0</v>
      </c>
      <c r="AC341" s="1976">
        <v>9980</v>
      </c>
      <c r="AD341" s="573">
        <v>0</v>
      </c>
      <c r="AE341" s="1976">
        <v>0</v>
      </c>
      <c r="AF341" s="641">
        <f t="shared" si="16"/>
        <v>9980</v>
      </c>
      <c r="AG341" s="3141">
        <v>30000</v>
      </c>
    </row>
    <row r="342" spans="1:33">
      <c r="A342" s="63">
        <f>A330+1</f>
        <v>2020.09</v>
      </c>
      <c r="B342" s="250">
        <v>2903759</v>
      </c>
      <c r="C342" s="3140">
        <v>15854</v>
      </c>
      <c r="D342" s="3140">
        <v>0</v>
      </c>
      <c r="E342" s="134">
        <v>5575</v>
      </c>
      <c r="F342" s="573">
        <v>595006</v>
      </c>
      <c r="G342" s="3140">
        <v>6792</v>
      </c>
      <c r="H342" s="3140">
        <v>0</v>
      </c>
      <c r="I342" s="86">
        <v>1243</v>
      </c>
      <c r="J342" s="573">
        <v>2183820</v>
      </c>
      <c r="K342" s="3140">
        <v>36618</v>
      </c>
      <c r="L342" s="3140">
        <v>0</v>
      </c>
      <c r="M342" s="86">
        <v>3707</v>
      </c>
      <c r="N342" s="573">
        <v>15351</v>
      </c>
      <c r="O342" s="3140">
        <v>0</v>
      </c>
      <c r="P342" s="3140">
        <v>0</v>
      </c>
      <c r="Q342" s="86">
        <v>0</v>
      </c>
      <c r="R342" s="134">
        <v>3127112</v>
      </c>
      <c r="S342" s="3140">
        <v>145136</v>
      </c>
      <c r="T342" s="3140">
        <v>0</v>
      </c>
      <c r="U342" s="86">
        <v>6253</v>
      </c>
      <c r="V342" s="134">
        <v>49930</v>
      </c>
      <c r="W342" s="1976">
        <v>319532</v>
      </c>
      <c r="X342" s="573">
        <v>0</v>
      </c>
      <c r="Y342" s="1976">
        <v>85539</v>
      </c>
      <c r="Z342" s="641">
        <f t="shared" si="17"/>
        <v>455001</v>
      </c>
      <c r="AA342" s="1976">
        <f>378660+85539</f>
        <v>464199</v>
      </c>
      <c r="AB342" s="573">
        <v>0</v>
      </c>
      <c r="AC342" s="1976">
        <v>8800</v>
      </c>
      <c r="AD342" s="573">
        <v>0</v>
      </c>
      <c r="AE342" s="1976">
        <v>0</v>
      </c>
      <c r="AF342" s="641">
        <f t="shared" si="16"/>
        <v>8800</v>
      </c>
      <c r="AG342" s="3141">
        <v>18800</v>
      </c>
    </row>
    <row r="343" spans="1:33">
      <c r="A343" s="63">
        <f t="shared" si="15"/>
        <v>2020.1</v>
      </c>
      <c r="B343" s="250">
        <v>2707576</v>
      </c>
      <c r="C343" s="3140">
        <v>20614</v>
      </c>
      <c r="D343" s="3140">
        <v>0</v>
      </c>
      <c r="E343" s="134">
        <v>0</v>
      </c>
      <c r="F343" s="573">
        <v>546550</v>
      </c>
      <c r="G343" s="3140">
        <v>9083</v>
      </c>
      <c r="H343" s="3140">
        <v>0</v>
      </c>
      <c r="I343" s="86">
        <v>0</v>
      </c>
      <c r="J343" s="573">
        <v>2020423</v>
      </c>
      <c r="K343" s="3140">
        <v>10866</v>
      </c>
      <c r="L343" s="3140">
        <v>0</v>
      </c>
      <c r="M343" s="86">
        <v>0</v>
      </c>
      <c r="N343" s="573">
        <v>14448</v>
      </c>
      <c r="O343" s="3140">
        <v>0</v>
      </c>
      <c r="P343" s="3140">
        <v>0</v>
      </c>
      <c r="Q343" s="86">
        <v>0</v>
      </c>
      <c r="R343" s="134">
        <v>3107674</v>
      </c>
      <c r="S343" s="3140">
        <v>153621</v>
      </c>
      <c r="T343" s="3140">
        <v>417</v>
      </c>
      <c r="U343" s="86">
        <v>576</v>
      </c>
      <c r="V343" s="134">
        <v>63045</v>
      </c>
      <c r="W343" s="1976">
        <v>473817</v>
      </c>
      <c r="X343" s="573">
        <v>10120</v>
      </c>
      <c r="Y343" s="1976">
        <v>41000</v>
      </c>
      <c r="Z343" s="641">
        <f t="shared" si="17"/>
        <v>587982</v>
      </c>
      <c r="AA343" s="1976">
        <f>556005+51120</f>
        <v>607125</v>
      </c>
      <c r="AB343" s="573">
        <v>0</v>
      </c>
      <c r="AC343" s="1976">
        <v>9457</v>
      </c>
      <c r="AD343" s="573">
        <v>0</v>
      </c>
      <c r="AE343" s="1976">
        <v>0</v>
      </c>
      <c r="AF343" s="641">
        <f t="shared" si="16"/>
        <v>9457</v>
      </c>
      <c r="AG343" s="3141">
        <v>11457</v>
      </c>
    </row>
    <row r="344" spans="1:33">
      <c r="A344" s="63">
        <f>A332+1</f>
        <v>2020.11</v>
      </c>
      <c r="B344" s="250">
        <v>2579902</v>
      </c>
      <c r="C344" s="3140">
        <v>24750</v>
      </c>
      <c r="D344" s="3140">
        <v>0</v>
      </c>
      <c r="E344" s="134">
        <v>0</v>
      </c>
      <c r="F344" s="573">
        <v>517531</v>
      </c>
      <c r="G344" s="3140">
        <v>10857</v>
      </c>
      <c r="H344" s="3140">
        <v>0</v>
      </c>
      <c r="I344" s="86">
        <v>0</v>
      </c>
      <c r="J344" s="573">
        <v>1919032</v>
      </c>
      <c r="K344" s="3140">
        <v>13212</v>
      </c>
      <c r="L344" s="3140">
        <v>0</v>
      </c>
      <c r="M344" s="86">
        <v>0</v>
      </c>
      <c r="N344" s="573">
        <v>13291</v>
      </c>
      <c r="O344" s="3140">
        <v>0</v>
      </c>
      <c r="P344" s="3140">
        <v>0</v>
      </c>
      <c r="Q344" s="86">
        <v>0</v>
      </c>
      <c r="R344" s="134">
        <v>2971344</v>
      </c>
      <c r="S344" s="3140">
        <v>120731</v>
      </c>
      <c r="T344" s="3140">
        <v>0</v>
      </c>
      <c r="U344" s="86">
        <v>586</v>
      </c>
      <c r="V344" s="134">
        <v>91219</v>
      </c>
      <c r="W344" s="1976">
        <v>415782</v>
      </c>
      <c r="X344" s="573">
        <v>0</v>
      </c>
      <c r="Y344" s="1976">
        <v>46181</v>
      </c>
      <c r="Z344" s="641">
        <f t="shared" si="17"/>
        <v>553182</v>
      </c>
      <c r="AA344" s="1976">
        <f>527333+46181</f>
        <v>573514</v>
      </c>
      <c r="AB344" s="573">
        <v>0</v>
      </c>
      <c r="AC344" s="1976">
        <v>1636</v>
      </c>
      <c r="AD344" s="573">
        <v>0</v>
      </c>
      <c r="AE344" s="1976">
        <v>0</v>
      </c>
      <c r="AF344" s="641">
        <f t="shared" si="16"/>
        <v>1636</v>
      </c>
      <c r="AG344" s="3141">
        <v>7636</v>
      </c>
    </row>
    <row r="345" spans="1:33">
      <c r="A345" s="63">
        <f>A333+1</f>
        <v>2020.12</v>
      </c>
      <c r="B345" s="250">
        <v>550228</v>
      </c>
      <c r="C345" s="3140">
        <v>0</v>
      </c>
      <c r="D345" s="3140">
        <v>0</v>
      </c>
      <c r="E345" s="134">
        <v>0</v>
      </c>
      <c r="F345" s="573">
        <v>109024</v>
      </c>
      <c r="G345" s="3140">
        <v>0</v>
      </c>
      <c r="H345" s="3140">
        <v>0</v>
      </c>
      <c r="I345" s="86">
        <v>0</v>
      </c>
      <c r="J345" s="573">
        <v>400538</v>
      </c>
      <c r="K345" s="3140">
        <v>0</v>
      </c>
      <c r="L345" s="3140">
        <v>0</v>
      </c>
      <c r="M345" s="86">
        <v>0</v>
      </c>
      <c r="N345" s="573">
        <v>15423</v>
      </c>
      <c r="O345" s="3140">
        <v>0</v>
      </c>
      <c r="P345" s="3140">
        <v>0</v>
      </c>
      <c r="Q345" s="86">
        <v>0</v>
      </c>
      <c r="R345" s="134">
        <v>808184</v>
      </c>
      <c r="S345" s="3140">
        <v>14614</v>
      </c>
      <c r="T345" s="3140">
        <v>75</v>
      </c>
      <c r="U345" s="86">
        <v>180</v>
      </c>
      <c r="V345" s="134">
        <v>0</v>
      </c>
      <c r="W345" s="1976">
        <v>74814</v>
      </c>
      <c r="X345" s="573">
        <v>0</v>
      </c>
      <c r="Y345" s="1976">
        <v>2500</v>
      </c>
      <c r="Z345" s="641">
        <f t="shared" si="17"/>
        <v>77314</v>
      </c>
      <c r="AA345" s="1976">
        <v>99814</v>
      </c>
      <c r="AB345" s="573">
        <v>0</v>
      </c>
      <c r="AC345" s="1976">
        <v>0</v>
      </c>
      <c r="AD345" s="573">
        <v>0</v>
      </c>
      <c r="AE345" s="1976">
        <v>0</v>
      </c>
      <c r="AF345" s="641">
        <f t="shared" si="16"/>
        <v>0</v>
      </c>
      <c r="AG345" s="3141">
        <v>0</v>
      </c>
    </row>
    <row r="346" spans="1:33">
      <c r="A346" s="63">
        <f t="shared" ref="A346:A409" si="18">A334+1</f>
        <v>2021.01</v>
      </c>
      <c r="B346" s="250">
        <v>2909725</v>
      </c>
      <c r="C346" s="3140">
        <v>74267</v>
      </c>
      <c r="D346" s="3140">
        <v>0</v>
      </c>
      <c r="E346" s="134">
        <v>0</v>
      </c>
      <c r="F346" s="573">
        <v>584815</v>
      </c>
      <c r="G346" s="3140">
        <v>32368</v>
      </c>
      <c r="H346" s="3140">
        <v>0</v>
      </c>
      <c r="I346" s="86">
        <v>0</v>
      </c>
      <c r="J346" s="573">
        <v>2196017</v>
      </c>
      <c r="K346" s="3140">
        <v>36142</v>
      </c>
      <c r="L346" s="3140">
        <v>0</v>
      </c>
      <c r="M346" s="86">
        <v>0</v>
      </c>
      <c r="N346" s="573">
        <v>13938</v>
      </c>
      <c r="O346" s="3140">
        <v>0</v>
      </c>
      <c r="P346" s="3140">
        <v>0</v>
      </c>
      <c r="Q346" s="86">
        <v>0</v>
      </c>
      <c r="R346" s="134">
        <v>3215852</v>
      </c>
      <c r="S346" s="3140">
        <v>164823</v>
      </c>
      <c r="T346" s="3140">
        <v>30</v>
      </c>
      <c r="U346" s="86">
        <v>207</v>
      </c>
      <c r="V346" s="134">
        <v>52660</v>
      </c>
      <c r="W346" s="1976">
        <v>576148</v>
      </c>
      <c r="X346" s="573">
        <v>11066</v>
      </c>
      <c r="Y346" s="1976">
        <v>28499</v>
      </c>
      <c r="Z346" s="641">
        <f t="shared" si="17"/>
        <v>668373</v>
      </c>
      <c r="AA346" s="1976">
        <f>664272+39565</f>
        <v>703837</v>
      </c>
      <c r="AB346" s="573">
        <v>0</v>
      </c>
      <c r="AC346" s="1976">
        <v>5000</v>
      </c>
      <c r="AD346" s="573">
        <v>0</v>
      </c>
      <c r="AE346" s="1976">
        <v>3492</v>
      </c>
      <c r="AF346" s="641">
        <f t="shared" si="16"/>
        <v>8492</v>
      </c>
      <c r="AG346" s="3141">
        <f>7500+3492</f>
        <v>10992</v>
      </c>
    </row>
    <row r="347" spans="1:33">
      <c r="A347" s="63">
        <f t="shared" si="18"/>
        <v>2021.02</v>
      </c>
      <c r="B347" s="250">
        <v>2540386</v>
      </c>
      <c r="C347" s="3140">
        <v>86901</v>
      </c>
      <c r="D347" s="3140">
        <v>0</v>
      </c>
      <c r="E347" s="134">
        <v>0</v>
      </c>
      <c r="F347" s="573">
        <v>513891</v>
      </c>
      <c r="G347" s="3140">
        <v>38116</v>
      </c>
      <c r="H347" s="3140">
        <v>0</v>
      </c>
      <c r="I347" s="86">
        <v>0</v>
      </c>
      <c r="J347" s="573">
        <v>1886251</v>
      </c>
      <c r="K347" s="3140">
        <v>41293</v>
      </c>
      <c r="L347" s="3140">
        <v>0</v>
      </c>
      <c r="M347" s="86">
        <v>0</v>
      </c>
      <c r="N347" s="573">
        <v>11542</v>
      </c>
      <c r="O347" s="3140">
        <v>0</v>
      </c>
      <c r="P347" s="3140">
        <v>0</v>
      </c>
      <c r="Q347" s="86">
        <v>0</v>
      </c>
      <c r="R347" s="134">
        <v>2849225</v>
      </c>
      <c r="S347" s="3140">
        <v>202482</v>
      </c>
      <c r="T347" s="3140">
        <v>149</v>
      </c>
      <c r="U347" s="86">
        <v>203</v>
      </c>
      <c r="V347" s="134">
        <v>0</v>
      </c>
      <c r="W347" s="1976">
        <v>403860</v>
      </c>
      <c r="X347" s="573">
        <v>7000</v>
      </c>
      <c r="Y347" s="1976">
        <v>71853</v>
      </c>
      <c r="Z347" s="641">
        <f t="shared" si="17"/>
        <v>482713</v>
      </c>
      <c r="AA347" s="1976">
        <f>418906+78853</f>
        <v>497759</v>
      </c>
      <c r="AB347" s="573">
        <v>0</v>
      </c>
      <c r="AC347" s="1976">
        <v>11000</v>
      </c>
      <c r="AD347" s="573">
        <v>0</v>
      </c>
      <c r="AE347" s="1976">
        <v>0</v>
      </c>
      <c r="AF347" s="641">
        <f t="shared" si="16"/>
        <v>11000</v>
      </c>
      <c r="AG347" s="3141">
        <v>11000</v>
      </c>
    </row>
    <row r="348" spans="1:33">
      <c r="A348" s="63">
        <f t="shared" si="18"/>
        <v>2021.03</v>
      </c>
      <c r="B348" s="250">
        <v>3066587</v>
      </c>
      <c r="C348" s="3140">
        <v>102693</v>
      </c>
      <c r="D348" s="3140">
        <v>0</v>
      </c>
      <c r="E348" s="134">
        <v>0</v>
      </c>
      <c r="F348" s="573">
        <v>621396</v>
      </c>
      <c r="G348" s="3140">
        <v>44456</v>
      </c>
      <c r="H348" s="3140">
        <v>0</v>
      </c>
      <c r="I348" s="86">
        <v>0</v>
      </c>
      <c r="J348" s="573">
        <v>2284076</v>
      </c>
      <c r="K348" s="3140">
        <v>45699</v>
      </c>
      <c r="L348" s="3140">
        <v>0</v>
      </c>
      <c r="M348" s="86">
        <v>0</v>
      </c>
      <c r="N348" s="573">
        <v>14077</v>
      </c>
      <c r="O348" s="3140">
        <v>0</v>
      </c>
      <c r="P348" s="3140">
        <v>0</v>
      </c>
      <c r="Q348" s="86">
        <v>0</v>
      </c>
      <c r="R348" s="134">
        <v>3393667</v>
      </c>
      <c r="S348" s="3140">
        <v>388663</v>
      </c>
      <c r="T348" s="3140">
        <v>263</v>
      </c>
      <c r="U348" s="86">
        <v>177</v>
      </c>
      <c r="V348" s="134">
        <v>67953</v>
      </c>
      <c r="W348" s="1976">
        <v>420845</v>
      </c>
      <c r="X348" s="573">
        <v>0</v>
      </c>
      <c r="Y348" s="1976">
        <v>6107</v>
      </c>
      <c r="Z348" s="641">
        <f t="shared" si="17"/>
        <v>494905</v>
      </c>
      <c r="AA348" s="1976">
        <f>488798+6107</f>
        <v>494905</v>
      </c>
      <c r="AB348" s="573">
        <v>5000</v>
      </c>
      <c r="AC348" s="1976">
        <v>23693</v>
      </c>
      <c r="AD348" s="573">
        <v>0</v>
      </c>
      <c r="AE348" s="1976">
        <v>0</v>
      </c>
      <c r="AF348" s="641">
        <f t="shared" si="16"/>
        <v>28693</v>
      </c>
      <c r="AG348" s="3141">
        <v>28693</v>
      </c>
    </row>
    <row r="349" spans="1:33">
      <c r="A349" s="63">
        <f t="shared" si="18"/>
        <v>2021.04</v>
      </c>
      <c r="B349" s="250">
        <v>3886918</v>
      </c>
      <c r="C349" s="3140">
        <v>58201</v>
      </c>
      <c r="D349" s="3140">
        <v>0</v>
      </c>
      <c r="E349" s="134">
        <v>3949</v>
      </c>
      <c r="F349" s="573">
        <v>785419</v>
      </c>
      <c r="G349" s="3140">
        <v>25521</v>
      </c>
      <c r="H349" s="3140">
        <v>0</v>
      </c>
      <c r="I349" s="86">
        <v>652</v>
      </c>
      <c r="J349" s="573">
        <v>2870820</v>
      </c>
      <c r="K349" s="3140">
        <v>27677</v>
      </c>
      <c r="L349" s="3140">
        <v>0</v>
      </c>
      <c r="M349" s="86">
        <v>2707</v>
      </c>
      <c r="N349" s="573">
        <v>13343</v>
      </c>
      <c r="O349" s="3140">
        <v>0</v>
      </c>
      <c r="P349" s="3140">
        <v>0</v>
      </c>
      <c r="Q349" s="86">
        <v>0</v>
      </c>
      <c r="R349" s="134">
        <v>4206624</v>
      </c>
      <c r="S349" s="3140">
        <v>395543</v>
      </c>
      <c r="T349" s="3140">
        <v>150</v>
      </c>
      <c r="U349" s="86">
        <v>4416</v>
      </c>
      <c r="V349" s="134">
        <v>81892</v>
      </c>
      <c r="W349" s="1976">
        <v>524366</v>
      </c>
      <c r="X349" s="573">
        <v>3200</v>
      </c>
      <c r="Y349" s="1976">
        <f>53480+8650</f>
        <v>62130</v>
      </c>
      <c r="Z349" s="641">
        <f>SUM(V349:Y349)</f>
        <v>671588</v>
      </c>
      <c r="AA349" s="1976">
        <f>606258+56680+8650</f>
        <v>671588</v>
      </c>
      <c r="AB349" s="573">
        <v>0</v>
      </c>
      <c r="AC349" s="1976">
        <v>38342</v>
      </c>
      <c r="AD349" s="573">
        <v>0</v>
      </c>
      <c r="AE349" s="1976">
        <v>0</v>
      </c>
      <c r="AF349" s="641">
        <f t="shared" si="16"/>
        <v>38342</v>
      </c>
      <c r="AG349" s="3141">
        <v>74342</v>
      </c>
    </row>
    <row r="350" spans="1:33">
      <c r="A350" s="63">
        <f t="shared" si="18"/>
        <v>2021.05</v>
      </c>
      <c r="B350" s="250">
        <v>3927520</v>
      </c>
      <c r="C350" s="3140">
        <v>38394</v>
      </c>
      <c r="D350" s="3140">
        <v>0</v>
      </c>
      <c r="E350" s="134">
        <v>24326</v>
      </c>
      <c r="F350" s="573">
        <v>781805</v>
      </c>
      <c r="G350" s="3140">
        <v>17205</v>
      </c>
      <c r="H350" s="3140">
        <v>0</v>
      </c>
      <c r="I350" s="86">
        <v>4098</v>
      </c>
      <c r="J350" s="573">
        <v>2913997</v>
      </c>
      <c r="K350" s="3140">
        <v>19246</v>
      </c>
      <c r="L350" s="3140">
        <v>0</v>
      </c>
      <c r="M350" s="86">
        <v>17295</v>
      </c>
      <c r="N350" s="573">
        <v>12852</v>
      </c>
      <c r="O350" s="3140">
        <v>0</v>
      </c>
      <c r="P350" s="3140">
        <v>0</v>
      </c>
      <c r="Q350" s="86">
        <v>0</v>
      </c>
      <c r="R350" s="134">
        <v>4297568</v>
      </c>
      <c r="S350" s="3140">
        <v>334791</v>
      </c>
      <c r="T350" s="3140">
        <v>50</v>
      </c>
      <c r="U350" s="86">
        <v>24908</v>
      </c>
      <c r="V350" s="134">
        <v>64287</v>
      </c>
      <c r="W350" s="1976">
        <v>527943</v>
      </c>
      <c r="X350" s="573">
        <v>6122</v>
      </c>
      <c r="Y350" s="1976">
        <f>43470+14364</f>
        <v>57834</v>
      </c>
      <c r="Z350" s="641">
        <f t="shared" si="17"/>
        <v>656186</v>
      </c>
      <c r="AA350" s="1976">
        <f>592231+49592+14364</f>
        <v>656187</v>
      </c>
      <c r="AB350" s="573">
        <v>22000</v>
      </c>
      <c r="AC350" s="1976">
        <v>28507</v>
      </c>
      <c r="AD350" s="573">
        <v>0</v>
      </c>
      <c r="AE350" s="1976">
        <v>0</v>
      </c>
      <c r="AF350" s="641">
        <f t="shared" si="16"/>
        <v>50507</v>
      </c>
      <c r="AG350" s="3141">
        <v>80507</v>
      </c>
    </row>
    <row r="351" spans="1:33">
      <c r="A351" s="63">
        <f t="shared" si="18"/>
        <v>2021.06</v>
      </c>
      <c r="B351" s="250">
        <v>3781098</v>
      </c>
      <c r="C351" s="3140">
        <v>64980</v>
      </c>
      <c r="D351" s="3140">
        <v>0</v>
      </c>
      <c r="E351" s="134">
        <v>28136</v>
      </c>
      <c r="F351" s="573">
        <v>762456</v>
      </c>
      <c r="G351" s="3140">
        <v>28434</v>
      </c>
      <c r="H351" s="3140">
        <v>0</v>
      </c>
      <c r="I351" s="86">
        <v>4783</v>
      </c>
      <c r="J351" s="573">
        <v>2860018</v>
      </c>
      <c r="K351" s="3140">
        <v>30360</v>
      </c>
      <c r="L351" s="3140">
        <v>0</v>
      </c>
      <c r="M351" s="86">
        <v>19315</v>
      </c>
      <c r="N351" s="573">
        <v>14978</v>
      </c>
      <c r="O351" s="3140">
        <v>0</v>
      </c>
      <c r="P351" s="3140">
        <v>0</v>
      </c>
      <c r="Q351" s="86">
        <v>0</v>
      </c>
      <c r="R351" s="134">
        <v>4092647</v>
      </c>
      <c r="S351" s="3140">
        <v>365178</v>
      </c>
      <c r="T351" s="3140">
        <v>200</v>
      </c>
      <c r="U351" s="86">
        <v>28766</v>
      </c>
      <c r="V351" s="134">
        <v>46495</v>
      </c>
      <c r="W351" s="1976">
        <v>543339</v>
      </c>
      <c r="X351" s="573">
        <v>0</v>
      </c>
      <c r="Y351" s="1976">
        <f>95198+11195</f>
        <v>106393</v>
      </c>
      <c r="Z351" s="641">
        <f t="shared" si="17"/>
        <v>696227</v>
      </c>
      <c r="AA351" s="1976">
        <f>596430+95198+11195</f>
        <v>702823</v>
      </c>
      <c r="AB351" s="573">
        <v>0</v>
      </c>
      <c r="AC351" s="1976">
        <v>31800</v>
      </c>
      <c r="AD351" s="573">
        <v>0</v>
      </c>
      <c r="AE351" s="1976">
        <v>0</v>
      </c>
      <c r="AF351" s="641">
        <f t="shared" si="16"/>
        <v>31800</v>
      </c>
      <c r="AG351" s="3141">
        <v>109224</v>
      </c>
    </row>
    <row r="352" spans="1:33">
      <c r="A352" s="63">
        <f t="shared" si="18"/>
        <v>2021.07</v>
      </c>
      <c r="B352" s="250">
        <v>3441848</v>
      </c>
      <c r="C352" s="3140">
        <v>71893</v>
      </c>
      <c r="D352" s="3140">
        <v>0</v>
      </c>
      <c r="E352" s="134">
        <v>26753</v>
      </c>
      <c r="F352" s="573">
        <v>681160</v>
      </c>
      <c r="G352" s="3140">
        <v>31403</v>
      </c>
      <c r="H352" s="3140">
        <v>0</v>
      </c>
      <c r="I352" s="86">
        <v>4548</v>
      </c>
      <c r="J352" s="573">
        <v>2524403</v>
      </c>
      <c r="K352" s="3140">
        <v>33688</v>
      </c>
      <c r="L352" s="3140">
        <v>0</v>
      </c>
      <c r="M352" s="86">
        <v>18327</v>
      </c>
      <c r="N352" s="573">
        <v>15301</v>
      </c>
      <c r="O352" s="3140">
        <v>0</v>
      </c>
      <c r="P352" s="3140">
        <v>0</v>
      </c>
      <c r="Q352" s="86">
        <v>0</v>
      </c>
      <c r="R352" s="134">
        <v>3851350</v>
      </c>
      <c r="S352" s="3140">
        <v>325984</v>
      </c>
      <c r="T352" s="3140">
        <v>65</v>
      </c>
      <c r="U352" s="86">
        <v>27323</v>
      </c>
      <c r="V352" s="134">
        <v>85958</v>
      </c>
      <c r="W352" s="1976">
        <v>322719</v>
      </c>
      <c r="X352" s="573">
        <v>0</v>
      </c>
      <c r="Y352" s="1976">
        <f>45607+4440</f>
        <v>50047</v>
      </c>
      <c r="Z352" s="641">
        <f t="shared" si="17"/>
        <v>458724</v>
      </c>
      <c r="AA352" s="1976">
        <f>408704+45607+4440</f>
        <v>458751</v>
      </c>
      <c r="AB352" s="573">
        <v>0</v>
      </c>
      <c r="AC352" s="1976">
        <v>75010</v>
      </c>
      <c r="AD352" s="573">
        <v>0</v>
      </c>
      <c r="AE352" s="1976">
        <v>0</v>
      </c>
      <c r="AF352" s="641">
        <f t="shared" si="16"/>
        <v>75010</v>
      </c>
      <c r="AG352" s="3141">
        <v>108010</v>
      </c>
    </row>
    <row r="353" spans="1:33">
      <c r="A353" s="63">
        <f t="shared" si="18"/>
        <v>2021.08</v>
      </c>
      <c r="B353" s="250">
        <v>3202173</v>
      </c>
      <c r="C353" s="3140">
        <v>45004</v>
      </c>
      <c r="D353" s="3140">
        <v>0</v>
      </c>
      <c r="E353" s="134">
        <v>13793</v>
      </c>
      <c r="F353" s="573">
        <v>635425</v>
      </c>
      <c r="G353" s="3140">
        <v>19695</v>
      </c>
      <c r="H353" s="3140">
        <v>0</v>
      </c>
      <c r="I353" s="86">
        <v>2345</v>
      </c>
      <c r="J353" s="573">
        <v>2348590</v>
      </c>
      <c r="K353" s="3140">
        <v>22573</v>
      </c>
      <c r="L353" s="3140">
        <v>0</v>
      </c>
      <c r="M353" s="86">
        <v>9744</v>
      </c>
      <c r="N353" s="573">
        <v>16762</v>
      </c>
      <c r="O353" s="3140">
        <v>0</v>
      </c>
      <c r="P353" s="3140">
        <v>0</v>
      </c>
      <c r="Q353" s="86">
        <v>0</v>
      </c>
      <c r="R353" s="134">
        <v>3569891</v>
      </c>
      <c r="S353" s="3140">
        <v>299808</v>
      </c>
      <c r="T353" s="3140">
        <v>0</v>
      </c>
      <c r="U353" s="86">
        <v>14358</v>
      </c>
      <c r="V353" s="134">
        <v>53211</v>
      </c>
      <c r="W353" s="1976">
        <v>402332</v>
      </c>
      <c r="X353" s="573">
        <v>0</v>
      </c>
      <c r="Y353" s="1976">
        <f>90249+15998</f>
        <v>106247</v>
      </c>
      <c r="Z353" s="641">
        <f t="shared" si="17"/>
        <v>561790</v>
      </c>
      <c r="AA353" s="1976">
        <f>473770+90249+15998</f>
        <v>580017</v>
      </c>
      <c r="AB353" s="573">
        <v>0</v>
      </c>
      <c r="AC353" s="1976">
        <v>23421</v>
      </c>
      <c r="AD353" s="573">
        <v>0</v>
      </c>
      <c r="AE353" s="1976">
        <v>0</v>
      </c>
      <c r="AF353" s="641">
        <f t="shared" si="16"/>
        <v>23421</v>
      </c>
      <c r="AG353" s="3141">
        <v>120421</v>
      </c>
    </row>
    <row r="354" spans="1:33">
      <c r="A354" s="63">
        <f t="shared" si="18"/>
        <v>2021.09</v>
      </c>
      <c r="B354" s="250">
        <v>3240968</v>
      </c>
      <c r="C354" s="3140">
        <v>37983</v>
      </c>
      <c r="D354" s="3140">
        <v>0</v>
      </c>
      <c r="E354" s="134">
        <v>16777</v>
      </c>
      <c r="F354" s="573">
        <v>629861</v>
      </c>
      <c r="G354" s="3140">
        <v>16962</v>
      </c>
      <c r="H354" s="3140">
        <v>0</v>
      </c>
      <c r="I354" s="86">
        <v>2968</v>
      </c>
      <c r="J354" s="573">
        <v>2407448</v>
      </c>
      <c r="K354" s="3140">
        <v>19538</v>
      </c>
      <c r="L354" s="3140">
        <v>0</v>
      </c>
      <c r="M354" s="86">
        <v>11517</v>
      </c>
      <c r="N354" s="573">
        <v>17457</v>
      </c>
      <c r="O354" s="3140">
        <v>0</v>
      </c>
      <c r="P354" s="3140">
        <v>0</v>
      </c>
      <c r="Q354" s="86">
        <v>0</v>
      </c>
      <c r="R354" s="134">
        <v>3697468</v>
      </c>
      <c r="S354" s="3140">
        <v>202457</v>
      </c>
      <c r="T354" s="3140">
        <v>30</v>
      </c>
      <c r="U354" s="86">
        <v>17509</v>
      </c>
      <c r="V354" s="134">
        <v>67750</v>
      </c>
      <c r="W354" s="1976">
        <v>363184</v>
      </c>
      <c r="X354" s="573">
        <v>15295</v>
      </c>
      <c r="Y354" s="1976">
        <f>97662+35622</f>
        <v>133284</v>
      </c>
      <c r="Z354" s="641">
        <f t="shared" si="17"/>
        <v>579513</v>
      </c>
      <c r="AA354" s="1976">
        <f>448897+112957+35622</f>
        <v>597476</v>
      </c>
      <c r="AB354" s="573">
        <v>0</v>
      </c>
      <c r="AC354" s="1976">
        <v>30258</v>
      </c>
      <c r="AD354" s="573">
        <v>0</v>
      </c>
      <c r="AE354" s="1976">
        <v>0</v>
      </c>
      <c r="AF354" s="641">
        <f t="shared" ref="AF354:AF405" si="19">SUM(AB354:AE354)</f>
        <v>30258</v>
      </c>
      <c r="AG354" s="3141">
        <v>50358</v>
      </c>
    </row>
    <row r="355" spans="1:33">
      <c r="A355" s="63">
        <f t="shared" si="18"/>
        <v>2021.1</v>
      </c>
      <c r="B355" s="250">
        <v>3067193</v>
      </c>
      <c r="C355" s="3140">
        <v>12177</v>
      </c>
      <c r="D355" s="3140">
        <v>0</v>
      </c>
      <c r="E355" s="134">
        <v>0</v>
      </c>
      <c r="F355" s="573">
        <v>613355</v>
      </c>
      <c r="G355" s="3140">
        <v>5373</v>
      </c>
      <c r="H355" s="3140">
        <v>0</v>
      </c>
      <c r="I355" s="86">
        <v>0</v>
      </c>
      <c r="J355" s="573">
        <v>2299797</v>
      </c>
      <c r="K355" s="3140">
        <v>6267</v>
      </c>
      <c r="L355" s="3140">
        <v>0</v>
      </c>
      <c r="M355" s="86">
        <v>0</v>
      </c>
      <c r="N355" s="573">
        <v>14987</v>
      </c>
      <c r="O355" s="3140">
        <v>0</v>
      </c>
      <c r="P355" s="3140">
        <v>0</v>
      </c>
      <c r="Q355" s="86">
        <v>0</v>
      </c>
      <c r="R355" s="134">
        <v>3327002</v>
      </c>
      <c r="S355" s="3140">
        <v>153150</v>
      </c>
      <c r="T355" s="3140">
        <v>30</v>
      </c>
      <c r="U355" s="86">
        <v>664</v>
      </c>
      <c r="V355" s="134">
        <v>62688</v>
      </c>
      <c r="W355" s="1976">
        <v>334282</v>
      </c>
      <c r="X355" s="573">
        <v>0</v>
      </c>
      <c r="Y355" s="1976">
        <f>66215+7813</f>
        <v>74028</v>
      </c>
      <c r="Z355" s="641">
        <f t="shared" si="17"/>
        <v>470998</v>
      </c>
      <c r="AA355" s="1976">
        <f>433790+66215+7813</f>
        <v>507818</v>
      </c>
      <c r="AB355" s="573">
        <v>0</v>
      </c>
      <c r="AC355" s="1976">
        <v>12500</v>
      </c>
      <c r="AD355" s="573">
        <v>0</v>
      </c>
      <c r="AE355" s="1976">
        <v>996</v>
      </c>
      <c r="AF355" s="641">
        <f t="shared" si="19"/>
        <v>13496</v>
      </c>
      <c r="AG355" s="3141">
        <f>12500+996</f>
        <v>13496</v>
      </c>
    </row>
    <row r="356" spans="1:33">
      <c r="A356" s="63">
        <f t="shared" si="18"/>
        <v>2021.11</v>
      </c>
      <c r="B356" s="250">
        <v>2515583</v>
      </c>
      <c r="C356" s="3140">
        <v>20615</v>
      </c>
      <c r="D356" s="3140">
        <v>0</v>
      </c>
      <c r="E356" s="134">
        <v>0</v>
      </c>
      <c r="F356" s="573">
        <v>504598</v>
      </c>
      <c r="G356" s="3140">
        <v>9275</v>
      </c>
      <c r="H356" s="3140">
        <v>0</v>
      </c>
      <c r="I356" s="86">
        <v>0</v>
      </c>
      <c r="J356" s="573">
        <v>1837077</v>
      </c>
      <c r="K356" s="3140">
        <v>10326</v>
      </c>
      <c r="L356" s="3140">
        <v>0</v>
      </c>
      <c r="M356" s="86">
        <v>0</v>
      </c>
      <c r="N356" s="573">
        <v>14855</v>
      </c>
      <c r="O356" s="3140">
        <v>0</v>
      </c>
      <c r="P356" s="3140">
        <v>0</v>
      </c>
      <c r="Q356" s="86">
        <v>0</v>
      </c>
      <c r="R356" s="134">
        <v>2909133</v>
      </c>
      <c r="S356" s="3140">
        <v>147237</v>
      </c>
      <c r="T356" s="3140">
        <v>0</v>
      </c>
      <c r="U356" s="86">
        <v>714</v>
      </c>
      <c r="V356" s="134">
        <v>75489</v>
      </c>
      <c r="W356" s="1976">
        <v>374777</v>
      </c>
      <c r="X356" s="573">
        <v>0</v>
      </c>
      <c r="Y356" s="1976">
        <v>52987</v>
      </c>
      <c r="Z356" s="641">
        <f>SUM(V356:Y356)</f>
        <v>503253</v>
      </c>
      <c r="AA356" s="1976">
        <f>460266+52987</f>
        <v>513253</v>
      </c>
      <c r="AB356" s="573">
        <v>0</v>
      </c>
      <c r="AC356" s="1976">
        <v>6014</v>
      </c>
      <c r="AD356" s="573">
        <v>0</v>
      </c>
      <c r="AE356" s="1976">
        <v>0</v>
      </c>
      <c r="AF356" s="641">
        <f t="shared" si="19"/>
        <v>6014</v>
      </c>
      <c r="AG356" s="3141">
        <v>6014</v>
      </c>
    </row>
    <row r="357" spans="1:33">
      <c r="A357" s="63">
        <f t="shared" si="18"/>
        <v>2021.12</v>
      </c>
      <c r="B357" s="250">
        <v>2516638</v>
      </c>
      <c r="C357" s="3140">
        <v>42405</v>
      </c>
      <c r="D357" s="3140">
        <v>0</v>
      </c>
      <c r="E357" s="134">
        <v>0</v>
      </c>
      <c r="F357" s="573">
        <v>503685</v>
      </c>
      <c r="G357" s="3140">
        <v>19023</v>
      </c>
      <c r="H357" s="3140">
        <v>0</v>
      </c>
      <c r="I357" s="86">
        <v>0</v>
      </c>
      <c r="J357" s="573">
        <v>1860880</v>
      </c>
      <c r="K357" s="3140">
        <v>19943</v>
      </c>
      <c r="L357" s="3140">
        <v>0</v>
      </c>
      <c r="M357" s="86">
        <v>0</v>
      </c>
      <c r="N357" s="573">
        <v>14528</v>
      </c>
      <c r="O357" s="3140">
        <v>0</v>
      </c>
      <c r="P357" s="3140">
        <v>0</v>
      </c>
      <c r="Q357" s="86">
        <v>0</v>
      </c>
      <c r="R357" s="134">
        <v>2950093</v>
      </c>
      <c r="S357" s="3140">
        <v>119990</v>
      </c>
      <c r="T357" s="3140">
        <v>20</v>
      </c>
      <c r="U357" s="86">
        <v>0</v>
      </c>
      <c r="V357" s="134">
        <v>45507</v>
      </c>
      <c r="W357" s="1976">
        <v>302237</v>
      </c>
      <c r="X357" s="573">
        <v>11050</v>
      </c>
      <c r="Y357" s="1976">
        <v>52824</v>
      </c>
      <c r="Z357" s="641">
        <f>SUM(V357:Y357)</f>
        <v>411618</v>
      </c>
      <c r="AA357" s="1976">
        <f>347744+62450+1424</f>
        <v>411618</v>
      </c>
      <c r="AB357" s="573">
        <v>0</v>
      </c>
      <c r="AC357" s="1976">
        <v>9076</v>
      </c>
      <c r="AD357" s="573">
        <v>0</v>
      </c>
      <c r="AE357" s="1976">
        <v>0</v>
      </c>
      <c r="AF357" s="641">
        <f t="shared" si="19"/>
        <v>9076</v>
      </c>
      <c r="AG357" s="3141">
        <v>15076</v>
      </c>
    </row>
    <row r="358" spans="1:33">
      <c r="A358" s="63">
        <f t="shared" si="18"/>
        <v>2022.01</v>
      </c>
      <c r="B358" s="250">
        <v>2161154</v>
      </c>
      <c r="C358" s="3140">
        <v>125809</v>
      </c>
      <c r="D358" s="3140">
        <v>0</v>
      </c>
      <c r="E358" s="134">
        <v>0</v>
      </c>
      <c r="F358" s="573">
        <v>431346</v>
      </c>
      <c r="G358" s="3140">
        <v>54700</v>
      </c>
      <c r="H358" s="3140">
        <v>0</v>
      </c>
      <c r="I358" s="86">
        <v>0</v>
      </c>
      <c r="J358" s="573">
        <v>1596426</v>
      </c>
      <c r="K358" s="3140">
        <v>57131</v>
      </c>
      <c r="L358" s="3140">
        <v>0</v>
      </c>
      <c r="M358" s="86">
        <v>0</v>
      </c>
      <c r="N358" s="573">
        <v>14264</v>
      </c>
      <c r="O358" s="3140">
        <v>0</v>
      </c>
      <c r="P358" s="3140">
        <v>0</v>
      </c>
      <c r="Q358" s="86">
        <v>0</v>
      </c>
      <c r="R358" s="134">
        <v>2517871</v>
      </c>
      <c r="S358" s="3140">
        <v>165313</v>
      </c>
      <c r="T358" s="3140">
        <v>20</v>
      </c>
      <c r="U358" s="86">
        <v>209</v>
      </c>
      <c r="V358" s="134">
        <v>30880</v>
      </c>
      <c r="W358" s="1976">
        <v>188594</v>
      </c>
      <c r="X358" s="573">
        <v>0</v>
      </c>
      <c r="Y358" s="1976">
        <v>69940</v>
      </c>
      <c r="Z358" s="641">
        <f>SUM(V358:Y358)</f>
        <v>289414</v>
      </c>
      <c r="AA358" s="1976">
        <v>289414</v>
      </c>
      <c r="AB358" s="573">
        <v>0</v>
      </c>
      <c r="AC358" s="1976">
        <v>26500</v>
      </c>
      <c r="AD358" s="573">
        <v>0</v>
      </c>
      <c r="AE358" s="1976">
        <v>0</v>
      </c>
      <c r="AF358" s="641">
        <f t="shared" si="19"/>
        <v>26500</v>
      </c>
      <c r="AG358" s="3141">
        <v>65034</v>
      </c>
    </row>
    <row r="359" spans="1:33">
      <c r="A359" s="63">
        <f t="shared" si="18"/>
        <v>2022.02</v>
      </c>
      <c r="B359" s="250">
        <v>2326122</v>
      </c>
      <c r="C359" s="3140">
        <v>135953</v>
      </c>
      <c r="D359" s="3140">
        <v>0</v>
      </c>
      <c r="E359" s="134">
        <v>0</v>
      </c>
      <c r="F359" s="573">
        <v>462088</v>
      </c>
      <c r="G359" s="3140">
        <v>58713</v>
      </c>
      <c r="H359" s="3140">
        <v>0</v>
      </c>
      <c r="I359" s="86">
        <v>0</v>
      </c>
      <c r="J359" s="573">
        <v>1725249</v>
      </c>
      <c r="K359" s="3140">
        <v>63997</v>
      </c>
      <c r="L359" s="3140">
        <v>0</v>
      </c>
      <c r="M359" s="86">
        <v>0</v>
      </c>
      <c r="N359" s="573">
        <v>13204</v>
      </c>
      <c r="O359" s="3140">
        <v>0</v>
      </c>
      <c r="P359" s="3140">
        <v>0</v>
      </c>
      <c r="Q359" s="86">
        <v>0</v>
      </c>
      <c r="R359" s="134">
        <v>2643817</v>
      </c>
      <c r="S359" s="3140">
        <v>236135</v>
      </c>
      <c r="T359" s="3140">
        <v>100</v>
      </c>
      <c r="U359" s="86">
        <v>426</v>
      </c>
      <c r="V359" s="134">
        <v>2600</v>
      </c>
      <c r="W359" s="1976">
        <v>219215</v>
      </c>
      <c r="X359" s="573">
        <v>0</v>
      </c>
      <c r="Y359" s="1976">
        <v>49398</v>
      </c>
      <c r="Z359" s="641">
        <f t="shared" si="17"/>
        <v>271213</v>
      </c>
      <c r="AA359" s="1976">
        <v>271213</v>
      </c>
      <c r="AB359" s="573">
        <v>0</v>
      </c>
      <c r="AC359" s="1976">
        <v>14700</v>
      </c>
      <c r="AD359" s="573">
        <v>0</v>
      </c>
      <c r="AE359" s="1976">
        <v>0</v>
      </c>
      <c r="AF359" s="641">
        <f t="shared" si="19"/>
        <v>14700</v>
      </c>
      <c r="AG359" s="3141">
        <v>14700</v>
      </c>
    </row>
    <row r="360" spans="1:33">
      <c r="A360" s="63">
        <f t="shared" si="18"/>
        <v>2022.03</v>
      </c>
      <c r="B360" s="250">
        <v>2692235</v>
      </c>
      <c r="C360" s="3140">
        <v>137589</v>
      </c>
      <c r="D360" s="3140">
        <v>0</v>
      </c>
      <c r="E360" s="134">
        <v>0</v>
      </c>
      <c r="F360" s="573">
        <v>538260</v>
      </c>
      <c r="G360" s="3140">
        <v>61067</v>
      </c>
      <c r="H360" s="3140">
        <v>0</v>
      </c>
      <c r="I360" s="86">
        <v>0</v>
      </c>
      <c r="J360" s="573">
        <v>1982395</v>
      </c>
      <c r="K360" s="3140">
        <v>53678</v>
      </c>
      <c r="L360" s="3140">
        <v>0</v>
      </c>
      <c r="M360" s="86">
        <v>83</v>
      </c>
      <c r="N360" s="573">
        <v>14249</v>
      </c>
      <c r="O360" s="3140">
        <v>0</v>
      </c>
      <c r="P360" s="3140">
        <v>0</v>
      </c>
      <c r="Q360" s="86">
        <v>0</v>
      </c>
      <c r="R360" s="134">
        <v>2934752</v>
      </c>
      <c r="S360" s="3140">
        <v>400691</v>
      </c>
      <c r="T360" s="3140">
        <v>50</v>
      </c>
      <c r="U360" s="86">
        <v>474</v>
      </c>
      <c r="V360" s="134">
        <v>39178</v>
      </c>
      <c r="W360" s="1976">
        <v>323182</v>
      </c>
      <c r="X360" s="1201">
        <v>0</v>
      </c>
      <c r="Y360" s="134">
        <v>24122</v>
      </c>
      <c r="Z360" s="641">
        <f>SUM(V360:Y360)</f>
        <v>386482</v>
      </c>
      <c r="AA360" s="1976">
        <v>389482</v>
      </c>
      <c r="AB360" s="573">
        <v>0</v>
      </c>
      <c r="AC360" s="1976">
        <v>43000</v>
      </c>
      <c r="AD360" s="573">
        <v>0</v>
      </c>
      <c r="AE360" s="1976">
        <v>0</v>
      </c>
      <c r="AF360" s="641">
        <f t="shared" si="19"/>
        <v>43000</v>
      </c>
      <c r="AG360" s="3141">
        <v>59106</v>
      </c>
    </row>
    <row r="361" spans="1:33">
      <c r="A361" s="63">
        <f t="shared" si="18"/>
        <v>2022.04</v>
      </c>
      <c r="B361" s="250">
        <v>3586350</v>
      </c>
      <c r="C361" s="3140">
        <v>118864</v>
      </c>
      <c r="D361" s="3140">
        <v>0</v>
      </c>
      <c r="E361" s="134">
        <v>0</v>
      </c>
      <c r="F361" s="573">
        <v>720141</v>
      </c>
      <c r="G361" s="3140">
        <v>53225</v>
      </c>
      <c r="H361" s="3140">
        <v>0</v>
      </c>
      <c r="I361" s="86">
        <v>0</v>
      </c>
      <c r="J361" s="573">
        <v>2640310</v>
      </c>
      <c r="K361" s="3140">
        <v>53958</v>
      </c>
      <c r="L361" s="3140">
        <v>0</v>
      </c>
      <c r="M361" s="86">
        <v>0</v>
      </c>
      <c r="N361" s="573">
        <v>14586</v>
      </c>
      <c r="O361" s="3140">
        <v>729</v>
      </c>
      <c r="P361" s="3140">
        <v>0</v>
      </c>
      <c r="Q361" s="86">
        <v>0</v>
      </c>
      <c r="R361" s="134">
        <v>3927838</v>
      </c>
      <c r="S361" s="3140">
        <v>429264</v>
      </c>
      <c r="T361" s="3140">
        <v>0</v>
      </c>
      <c r="U361" s="86">
        <v>565</v>
      </c>
      <c r="V361" s="134">
        <v>51344</v>
      </c>
      <c r="W361" s="1976">
        <v>352122</v>
      </c>
      <c r="X361" s="573">
        <v>7415</v>
      </c>
      <c r="Y361" s="1976">
        <v>40200</v>
      </c>
      <c r="Z361" s="641">
        <f t="shared" si="17"/>
        <v>451081</v>
      </c>
      <c r="AA361" s="1976">
        <f>403466+43415+4200</f>
        <v>451081</v>
      </c>
      <c r="AB361" s="573">
        <v>0</v>
      </c>
      <c r="AC361" s="1976">
        <v>35000</v>
      </c>
      <c r="AD361" s="573">
        <v>0</v>
      </c>
      <c r="AE361" s="1976">
        <v>0</v>
      </c>
      <c r="AF361" s="641">
        <f t="shared" si="19"/>
        <v>35000</v>
      </c>
      <c r="AG361" s="3141">
        <v>66576</v>
      </c>
    </row>
    <row r="362" spans="1:33">
      <c r="A362" s="63">
        <f t="shared" si="18"/>
        <v>2022.05</v>
      </c>
      <c r="B362" s="250">
        <v>3788758</v>
      </c>
      <c r="C362" s="3140">
        <v>95686</v>
      </c>
      <c r="D362" s="3140">
        <v>0</v>
      </c>
      <c r="E362" s="134">
        <v>20267</v>
      </c>
      <c r="F362" s="573">
        <v>731497</v>
      </c>
      <c r="G362" s="3140">
        <v>41630</v>
      </c>
      <c r="H362" s="3140">
        <v>0</v>
      </c>
      <c r="I362" s="86">
        <v>3313</v>
      </c>
      <c r="J362" s="573">
        <v>2818386</v>
      </c>
      <c r="K362" s="3140">
        <v>44041</v>
      </c>
      <c r="L362" s="3140">
        <v>0</v>
      </c>
      <c r="M362" s="86">
        <v>14473</v>
      </c>
      <c r="N362" s="573">
        <v>16519</v>
      </c>
      <c r="O362" s="3140">
        <v>712</v>
      </c>
      <c r="P362" s="3140">
        <v>0</v>
      </c>
      <c r="Q362" s="86">
        <v>0</v>
      </c>
      <c r="R362" s="134">
        <v>4142910</v>
      </c>
      <c r="S362" s="3140">
        <v>361566</v>
      </c>
      <c r="T362" s="3140">
        <v>70</v>
      </c>
      <c r="U362" s="86">
        <v>38900</v>
      </c>
      <c r="V362" s="134">
        <v>42900</v>
      </c>
      <c r="W362" s="1976">
        <v>428135</v>
      </c>
      <c r="X362" s="573">
        <v>0</v>
      </c>
      <c r="Y362" s="1976">
        <v>39850</v>
      </c>
      <c r="Z362" s="641">
        <f t="shared" si="17"/>
        <v>510885</v>
      </c>
      <c r="AA362" s="1976">
        <f>471035+39850+34507</f>
        <v>545392</v>
      </c>
      <c r="AB362" s="573">
        <v>0</v>
      </c>
      <c r="AC362" s="1976">
        <v>77775</v>
      </c>
      <c r="AD362" s="573">
        <v>0</v>
      </c>
      <c r="AE362" s="1976">
        <v>0</v>
      </c>
      <c r="AF362" s="641">
        <f t="shared" si="19"/>
        <v>77775</v>
      </c>
      <c r="AG362" s="3141">
        <v>125905</v>
      </c>
    </row>
    <row r="363" spans="1:33">
      <c r="A363" s="63">
        <f t="shared" si="18"/>
        <v>2022.06</v>
      </c>
      <c r="B363" s="250">
        <v>3584654</v>
      </c>
      <c r="C363" s="3140">
        <v>102181</v>
      </c>
      <c r="D363" s="3140">
        <v>0</v>
      </c>
      <c r="E363" s="134">
        <v>19987</v>
      </c>
      <c r="F363" s="573">
        <v>690370</v>
      </c>
      <c r="G363" s="3140">
        <v>47795</v>
      </c>
      <c r="H363" s="3140">
        <v>0</v>
      </c>
      <c r="I363" s="86">
        <v>3306</v>
      </c>
      <c r="J363" s="573">
        <v>2654522</v>
      </c>
      <c r="K363" s="3140">
        <v>46442</v>
      </c>
      <c r="L363" s="3140">
        <v>0</v>
      </c>
      <c r="M363" s="86">
        <v>13660</v>
      </c>
      <c r="N363" s="573">
        <v>17081</v>
      </c>
      <c r="O363" s="3140">
        <v>889</v>
      </c>
      <c r="P363" s="3140">
        <v>0</v>
      </c>
      <c r="Q363" s="86">
        <v>0</v>
      </c>
      <c r="R363" s="134">
        <v>3931703</v>
      </c>
      <c r="S363" s="3140">
        <v>408529</v>
      </c>
      <c r="T363" s="3140">
        <v>85</v>
      </c>
      <c r="U363" s="86">
        <v>20460</v>
      </c>
      <c r="V363" s="134">
        <v>57991</v>
      </c>
      <c r="W363" s="1976">
        <v>445303</v>
      </c>
      <c r="X363" s="573">
        <v>3009</v>
      </c>
      <c r="Y363" s="1976">
        <v>45739</v>
      </c>
      <c r="Z363" s="641">
        <f t="shared" si="17"/>
        <v>552042</v>
      </c>
      <c r="AA363" s="1976">
        <v>557424</v>
      </c>
      <c r="AB363" s="573">
        <v>0</v>
      </c>
      <c r="AC363" s="1976">
        <v>51680</v>
      </c>
      <c r="AD363" s="573">
        <v>0</v>
      </c>
      <c r="AE363" s="1976">
        <v>0</v>
      </c>
      <c r="AF363" s="641">
        <f t="shared" si="19"/>
        <v>51680</v>
      </c>
      <c r="AG363" s="3141">
        <v>120883</v>
      </c>
    </row>
    <row r="364" spans="1:33">
      <c r="A364" s="63">
        <f t="shared" si="18"/>
        <v>2022.07</v>
      </c>
      <c r="B364" s="250">
        <v>3101789</v>
      </c>
      <c r="C364" s="3140">
        <v>91136</v>
      </c>
      <c r="D364" s="3140">
        <v>0</v>
      </c>
      <c r="E364" s="134">
        <v>27608</v>
      </c>
      <c r="F364" s="573">
        <v>598844</v>
      </c>
      <c r="G364" s="3140">
        <v>39501</v>
      </c>
      <c r="H364" s="3140">
        <v>0</v>
      </c>
      <c r="I364" s="86">
        <v>4555</v>
      </c>
      <c r="J364" s="573">
        <v>2287091</v>
      </c>
      <c r="K364" s="3140">
        <v>41691</v>
      </c>
      <c r="L364" s="3140">
        <v>0</v>
      </c>
      <c r="M364" s="86">
        <v>19349</v>
      </c>
      <c r="N364" s="573">
        <v>16661</v>
      </c>
      <c r="O364" s="3140">
        <v>956</v>
      </c>
      <c r="P364" s="3140">
        <v>0</v>
      </c>
      <c r="Q364" s="86">
        <v>0</v>
      </c>
      <c r="R364" s="134">
        <v>3479766</v>
      </c>
      <c r="S364" s="3140">
        <v>377426</v>
      </c>
      <c r="T364" s="3140">
        <v>0</v>
      </c>
      <c r="U364" s="86">
        <v>27953</v>
      </c>
      <c r="V364" s="134">
        <v>8000</v>
      </c>
      <c r="W364" s="1976">
        <v>268718</v>
      </c>
      <c r="X364" s="573">
        <v>0</v>
      </c>
      <c r="Y364" s="1976">
        <v>19309</v>
      </c>
      <c r="Z364" s="641">
        <f t="shared" si="17"/>
        <v>296027</v>
      </c>
      <c r="AA364" s="1976">
        <v>298540</v>
      </c>
      <c r="AB364" s="573">
        <v>0</v>
      </c>
      <c r="AC364" s="1976">
        <v>41300</v>
      </c>
      <c r="AD364" s="573">
        <v>0</v>
      </c>
      <c r="AE364" s="1976">
        <v>0</v>
      </c>
      <c r="AF364" s="641">
        <f t="shared" si="19"/>
        <v>41300</v>
      </c>
      <c r="AG364" s="3141">
        <v>91053</v>
      </c>
    </row>
    <row r="365" spans="1:33">
      <c r="A365" s="63">
        <f t="shared" si="18"/>
        <v>2022.08</v>
      </c>
      <c r="B365" s="250">
        <v>2731382</v>
      </c>
      <c r="C365" s="3140">
        <v>46028</v>
      </c>
      <c r="D365" s="3140">
        <v>0</v>
      </c>
      <c r="E365" s="134">
        <v>21962</v>
      </c>
      <c r="F365" s="573">
        <v>527782</v>
      </c>
      <c r="G365" s="3140">
        <v>20246</v>
      </c>
      <c r="H365" s="3140">
        <v>0</v>
      </c>
      <c r="I365" s="86">
        <v>3721</v>
      </c>
      <c r="J365" s="573">
        <v>2013223</v>
      </c>
      <c r="K365" s="3140">
        <v>23209</v>
      </c>
      <c r="L365" s="3140">
        <v>0</v>
      </c>
      <c r="M365" s="86">
        <v>15726</v>
      </c>
      <c r="N365" s="573">
        <v>20169</v>
      </c>
      <c r="O365" s="3140">
        <v>861</v>
      </c>
      <c r="P365" s="3140">
        <v>0</v>
      </c>
      <c r="Q365" s="86">
        <v>0</v>
      </c>
      <c r="R365" s="134">
        <v>3146980</v>
      </c>
      <c r="S365" s="3140">
        <v>312395</v>
      </c>
      <c r="T365" s="3140">
        <v>63</v>
      </c>
      <c r="U365" s="86">
        <v>22708</v>
      </c>
      <c r="V365" s="134">
        <v>59536</v>
      </c>
      <c r="W365" s="1976">
        <v>387226</v>
      </c>
      <c r="X365" s="573">
        <f>3918+1982</f>
        <v>5900</v>
      </c>
      <c r="Y365" s="1976">
        <f>12650+8000</f>
        <v>20650</v>
      </c>
      <c r="Z365" s="641">
        <f t="shared" si="17"/>
        <v>473312</v>
      </c>
      <c r="AA365" s="1976">
        <f>450950+16568+9982</f>
        <v>477500</v>
      </c>
      <c r="AB365" s="573">
        <v>0</v>
      </c>
      <c r="AC365" s="1976">
        <v>18000</v>
      </c>
      <c r="AD365" s="573">
        <v>0</v>
      </c>
      <c r="AE365" s="1976">
        <v>0</v>
      </c>
      <c r="AF365" s="641">
        <f t="shared" si="19"/>
        <v>18000</v>
      </c>
      <c r="AG365" s="3141">
        <v>65729</v>
      </c>
    </row>
    <row r="366" spans="1:33">
      <c r="A366" s="63">
        <f t="shared" si="18"/>
        <v>2022.09</v>
      </c>
      <c r="B366" s="250">
        <v>2658635</v>
      </c>
      <c r="C366" s="3140">
        <v>48437</v>
      </c>
      <c r="D366" s="3140">
        <v>0</v>
      </c>
      <c r="E366" s="134">
        <v>23237</v>
      </c>
      <c r="F366" s="573">
        <v>516647</v>
      </c>
      <c r="G366" s="3140">
        <v>21822</v>
      </c>
      <c r="H366" s="3140">
        <v>0</v>
      </c>
      <c r="I366" s="86">
        <v>3732</v>
      </c>
      <c r="J366" s="573">
        <v>1960253</v>
      </c>
      <c r="K366" s="3140">
        <v>24460</v>
      </c>
      <c r="L366" s="3140">
        <v>0</v>
      </c>
      <c r="M366" s="86">
        <v>16368</v>
      </c>
      <c r="N366" s="573">
        <v>17781</v>
      </c>
      <c r="O366" s="3140">
        <v>556</v>
      </c>
      <c r="P366" s="3140">
        <v>0</v>
      </c>
      <c r="Q366" s="86">
        <v>0</v>
      </c>
      <c r="R366" s="134">
        <v>2873464</v>
      </c>
      <c r="S366" s="3140">
        <v>202234</v>
      </c>
      <c r="T366" s="3140">
        <v>0</v>
      </c>
      <c r="U366" s="86">
        <v>23919</v>
      </c>
      <c r="V366" s="134">
        <v>80879</v>
      </c>
      <c r="W366" s="1976">
        <v>210621</v>
      </c>
      <c r="X366" s="573">
        <v>4000</v>
      </c>
      <c r="Y366" s="1976">
        <v>38610</v>
      </c>
      <c r="Z366" s="641">
        <f t="shared" si="17"/>
        <v>334110</v>
      </c>
      <c r="AA366" s="1976">
        <v>334110</v>
      </c>
      <c r="AB366" s="573">
        <v>0</v>
      </c>
      <c r="AC366" s="1976">
        <v>8540</v>
      </c>
      <c r="AD366" s="573">
        <v>0</v>
      </c>
      <c r="AE366" s="1976">
        <v>0</v>
      </c>
      <c r="AF366" s="641">
        <f t="shared" si="19"/>
        <v>8540</v>
      </c>
      <c r="AG366" s="3141">
        <v>42290</v>
      </c>
    </row>
    <row r="367" spans="1:33">
      <c r="A367" s="63">
        <f t="shared" si="18"/>
        <v>2022.1</v>
      </c>
      <c r="B367" s="250">
        <v>2493611</v>
      </c>
      <c r="C367" s="3140">
        <v>33897</v>
      </c>
      <c r="D367" s="3140">
        <v>0</v>
      </c>
      <c r="E367" s="134">
        <v>10537</v>
      </c>
      <c r="F367" s="573">
        <v>488740</v>
      </c>
      <c r="G367" s="3140">
        <v>14780</v>
      </c>
      <c r="H367" s="3140">
        <v>0</v>
      </c>
      <c r="I367" s="86">
        <v>1686</v>
      </c>
      <c r="J367" s="573">
        <v>1843616</v>
      </c>
      <c r="K367" s="3140">
        <v>17206</v>
      </c>
      <c r="L367" s="3140">
        <v>0</v>
      </c>
      <c r="M367" s="86">
        <v>7870</v>
      </c>
      <c r="N367" s="573">
        <v>16334</v>
      </c>
      <c r="O367" s="3140">
        <v>400</v>
      </c>
      <c r="P367" s="3140">
        <v>0</v>
      </c>
      <c r="Q367" s="86">
        <v>0</v>
      </c>
      <c r="R367" s="134">
        <v>2916139</v>
      </c>
      <c r="S367" s="3140">
        <v>150518</v>
      </c>
      <c r="T367" s="3140">
        <v>78</v>
      </c>
      <c r="U367" s="86">
        <v>11327</v>
      </c>
      <c r="V367" s="134">
        <v>55990</v>
      </c>
      <c r="W367" s="1976">
        <v>168146</v>
      </c>
      <c r="X367" s="573">
        <v>0</v>
      </c>
      <c r="Y367" s="1976">
        <v>6000</v>
      </c>
      <c r="Z367" s="641">
        <f t="shared" si="17"/>
        <v>230136</v>
      </c>
      <c r="AA367" s="1976">
        <v>230136</v>
      </c>
      <c r="AB367" s="573">
        <v>0</v>
      </c>
      <c r="AC367" s="1976">
        <v>0</v>
      </c>
      <c r="AD367" s="573">
        <v>0</v>
      </c>
      <c r="AE367" s="1976">
        <v>0</v>
      </c>
      <c r="AF367" s="641">
        <f t="shared" si="19"/>
        <v>0</v>
      </c>
      <c r="AG367" s="3141">
        <v>15000</v>
      </c>
    </row>
    <row r="368" spans="1:33">
      <c r="A368" s="63">
        <f t="shared" si="18"/>
        <v>2022.11</v>
      </c>
      <c r="B368" s="250">
        <v>2900448</v>
      </c>
      <c r="C368" s="3140">
        <v>15626</v>
      </c>
      <c r="D368" s="3140">
        <v>0</v>
      </c>
      <c r="E368" s="134">
        <v>2374</v>
      </c>
      <c r="F368" s="573">
        <v>569045</v>
      </c>
      <c r="G368" s="3140">
        <v>7015</v>
      </c>
      <c r="H368" s="3140">
        <v>0</v>
      </c>
      <c r="I368" s="86">
        <v>311</v>
      </c>
      <c r="J368" s="573">
        <v>2141567</v>
      </c>
      <c r="K368" s="3140">
        <v>8724</v>
      </c>
      <c r="L368" s="3140">
        <v>0</v>
      </c>
      <c r="M368" s="86">
        <v>1613</v>
      </c>
      <c r="N368" s="573">
        <v>16738</v>
      </c>
      <c r="O368" s="3140">
        <v>324</v>
      </c>
      <c r="P368" s="3140">
        <v>0</v>
      </c>
      <c r="Q368" s="86">
        <v>0</v>
      </c>
      <c r="R368" s="134">
        <v>3323050</v>
      </c>
      <c r="S368" s="3140">
        <v>150460</v>
      </c>
      <c r="T368" s="3140">
        <v>0</v>
      </c>
      <c r="U368" s="86">
        <v>2897</v>
      </c>
      <c r="V368" s="134">
        <v>52478</v>
      </c>
      <c r="W368" s="1976">
        <v>197658</v>
      </c>
      <c r="X368" s="573">
        <v>0</v>
      </c>
      <c r="Y368" s="1976">
        <f>24350+17633</f>
        <v>41983</v>
      </c>
      <c r="Z368" s="641">
        <f t="shared" si="17"/>
        <v>292119</v>
      </c>
      <c r="AA368" s="1976">
        <f>265136+30045+17633</f>
        <v>312814</v>
      </c>
      <c r="AB368" s="573">
        <v>0</v>
      </c>
      <c r="AC368" s="1976">
        <v>13940</v>
      </c>
      <c r="AD368" s="573">
        <v>0</v>
      </c>
      <c r="AE368" s="1976">
        <v>0</v>
      </c>
      <c r="AF368" s="641">
        <f t="shared" si="19"/>
        <v>13940</v>
      </c>
      <c r="AG368" s="3141">
        <v>43440</v>
      </c>
    </row>
    <row r="369" spans="1:33">
      <c r="A369" s="63">
        <f t="shared" si="18"/>
        <v>2022.12</v>
      </c>
      <c r="B369" s="250">
        <v>2276268</v>
      </c>
      <c r="C369" s="3140">
        <v>40448</v>
      </c>
      <c r="D369" s="3140">
        <v>0</v>
      </c>
      <c r="E369" s="134">
        <v>19</v>
      </c>
      <c r="F369" s="573">
        <v>444965</v>
      </c>
      <c r="G369" s="3140">
        <v>17895</v>
      </c>
      <c r="H369" s="3140">
        <v>0</v>
      </c>
      <c r="I369" s="86">
        <v>0</v>
      </c>
      <c r="J369" s="573">
        <v>1670781</v>
      </c>
      <c r="K369" s="3140">
        <v>20863</v>
      </c>
      <c r="L369" s="3140">
        <v>0</v>
      </c>
      <c r="M369" s="86">
        <v>0</v>
      </c>
      <c r="N369" s="573">
        <v>15023</v>
      </c>
      <c r="O369" s="3140">
        <v>131</v>
      </c>
      <c r="P369" s="3140">
        <v>0</v>
      </c>
      <c r="Q369" s="86">
        <v>0</v>
      </c>
      <c r="R369" s="134">
        <v>2622045</v>
      </c>
      <c r="S369" s="3140">
        <v>189318</v>
      </c>
      <c r="T369" s="3140">
        <v>0</v>
      </c>
      <c r="U369" s="86">
        <v>623</v>
      </c>
      <c r="V369" s="134">
        <v>57970</v>
      </c>
      <c r="W369" s="1976">
        <v>268857</v>
      </c>
      <c r="X369" s="573">
        <v>6418</v>
      </c>
      <c r="Y369" s="1976">
        <v>10305</v>
      </c>
      <c r="Z369" s="641">
        <f t="shared" si="17"/>
        <v>343550</v>
      </c>
      <c r="AA369" s="1976">
        <v>343550</v>
      </c>
      <c r="AB369" s="573">
        <v>0</v>
      </c>
      <c r="AC369" s="1976">
        <v>1765</v>
      </c>
      <c r="AD369" s="573">
        <v>0</v>
      </c>
      <c r="AE369" s="1976">
        <v>1520</v>
      </c>
      <c r="AF369" s="641">
        <f t="shared" si="19"/>
        <v>3285</v>
      </c>
      <c r="AG369" s="3141">
        <v>29400</v>
      </c>
    </row>
    <row r="370" spans="1:33">
      <c r="A370" s="63">
        <f t="shared" si="18"/>
        <v>2023.01</v>
      </c>
      <c r="B370" s="250">
        <v>1554443</v>
      </c>
      <c r="C370" s="3140">
        <v>136735</v>
      </c>
      <c r="D370" s="3140">
        <v>0</v>
      </c>
      <c r="E370" s="134">
        <v>0</v>
      </c>
      <c r="F370" s="573">
        <v>306356</v>
      </c>
      <c r="G370" s="3140">
        <v>57799</v>
      </c>
      <c r="H370" s="3140">
        <v>0</v>
      </c>
      <c r="I370" s="86">
        <v>0</v>
      </c>
      <c r="J370" s="573">
        <v>1162810</v>
      </c>
      <c r="K370" s="3140">
        <v>67364</v>
      </c>
      <c r="L370" s="3140">
        <v>0</v>
      </c>
      <c r="M370" s="86">
        <v>0</v>
      </c>
      <c r="N370" s="573">
        <v>13159</v>
      </c>
      <c r="O370" s="3140">
        <v>439</v>
      </c>
      <c r="P370" s="3140">
        <v>0</v>
      </c>
      <c r="Q370" s="86">
        <v>0</v>
      </c>
      <c r="R370" s="134">
        <v>1885017</v>
      </c>
      <c r="S370" s="3140">
        <v>204410</v>
      </c>
      <c r="T370" s="3140">
        <v>50</v>
      </c>
      <c r="U370" s="86">
        <v>474</v>
      </c>
      <c r="V370" s="134">
        <v>13504</v>
      </c>
      <c r="W370" s="1976">
        <v>174915</v>
      </c>
      <c r="X370" s="573">
        <v>0</v>
      </c>
      <c r="Y370" s="1976">
        <v>15575</v>
      </c>
      <c r="Z370" s="641">
        <f>SUM(V370:Y370)</f>
        <v>203994</v>
      </c>
      <c r="AA370" s="1976">
        <v>239398</v>
      </c>
      <c r="AB370" s="573">
        <v>0</v>
      </c>
      <c r="AC370" s="1976">
        <v>1250</v>
      </c>
      <c r="AD370" s="573">
        <v>0</v>
      </c>
      <c r="AE370" s="1976">
        <v>0</v>
      </c>
      <c r="AF370" s="641">
        <f t="shared" si="19"/>
        <v>1250</v>
      </c>
      <c r="AG370" s="3141">
        <v>1250</v>
      </c>
    </row>
    <row r="371" spans="1:33">
      <c r="A371" s="63">
        <f t="shared" si="18"/>
        <v>2023.02</v>
      </c>
      <c r="B371" s="250">
        <v>1307195</v>
      </c>
      <c r="C371" s="3140">
        <v>135054</v>
      </c>
      <c r="D371" s="3140">
        <v>0</v>
      </c>
      <c r="E371" s="134">
        <v>0</v>
      </c>
      <c r="F371" s="573">
        <v>258162</v>
      </c>
      <c r="G371" s="3140">
        <v>56926</v>
      </c>
      <c r="H371" s="3140">
        <v>0</v>
      </c>
      <c r="I371" s="86">
        <v>0</v>
      </c>
      <c r="J371" s="573">
        <v>969675</v>
      </c>
      <c r="K371" s="3140">
        <v>65796</v>
      </c>
      <c r="L371" s="3140">
        <v>0</v>
      </c>
      <c r="M371" s="86">
        <v>0</v>
      </c>
      <c r="N371" s="573">
        <v>14011</v>
      </c>
      <c r="O371" s="3140">
        <v>353</v>
      </c>
      <c r="P371" s="3140">
        <v>0</v>
      </c>
      <c r="Q371" s="86">
        <v>0</v>
      </c>
      <c r="R371" s="134">
        <v>1554451</v>
      </c>
      <c r="S371" s="3140">
        <v>224359</v>
      </c>
      <c r="T371" s="3140">
        <v>275</v>
      </c>
      <c r="U371" s="86">
        <v>270</v>
      </c>
      <c r="V371" s="134">
        <v>84452</v>
      </c>
      <c r="W371" s="1976">
        <v>180618</v>
      </c>
      <c r="X371" s="573">
        <v>190</v>
      </c>
      <c r="Y371" s="1976">
        <v>22708</v>
      </c>
      <c r="Z371" s="641">
        <f t="shared" si="17"/>
        <v>287968</v>
      </c>
      <c r="AA371" s="1976">
        <v>293984</v>
      </c>
      <c r="AB371" s="573">
        <v>0</v>
      </c>
      <c r="AC371" s="1976">
        <v>13000</v>
      </c>
      <c r="AD371" s="573">
        <v>0</v>
      </c>
      <c r="AE371" s="1976">
        <v>1237</v>
      </c>
      <c r="AF371" s="641">
        <f>SUM(AB371:AE371)</f>
        <v>14237</v>
      </c>
      <c r="AG371" s="3141">
        <v>20273</v>
      </c>
    </row>
    <row r="372" spans="1:33">
      <c r="A372" s="63">
        <f t="shared" si="18"/>
        <v>2023.03</v>
      </c>
      <c r="B372" s="250">
        <v>1996644</v>
      </c>
      <c r="C372" s="3140">
        <v>163486</v>
      </c>
      <c r="D372" s="3140">
        <v>0</v>
      </c>
      <c r="E372" s="134">
        <v>0</v>
      </c>
      <c r="F372" s="573">
        <v>397586</v>
      </c>
      <c r="G372" s="3140">
        <v>68510</v>
      </c>
      <c r="H372" s="3140">
        <v>0</v>
      </c>
      <c r="I372" s="86">
        <v>0</v>
      </c>
      <c r="J372" s="573">
        <v>1513491</v>
      </c>
      <c r="K372" s="3140">
        <v>79550</v>
      </c>
      <c r="L372" s="3140">
        <v>0</v>
      </c>
      <c r="M372" s="86">
        <v>0</v>
      </c>
      <c r="N372" s="573">
        <v>19165</v>
      </c>
      <c r="O372" s="3140">
        <v>633</v>
      </c>
      <c r="P372" s="3140">
        <v>0</v>
      </c>
      <c r="Q372" s="86">
        <v>0</v>
      </c>
      <c r="R372" s="134">
        <v>2111736</v>
      </c>
      <c r="S372" s="3140">
        <v>443656</v>
      </c>
      <c r="T372" s="3140">
        <v>0</v>
      </c>
      <c r="U372" s="86">
        <v>412</v>
      </c>
      <c r="V372" s="134">
        <v>26000</v>
      </c>
      <c r="W372" s="1976">
        <v>148698</v>
      </c>
      <c r="X372" s="573">
        <v>0</v>
      </c>
      <c r="Y372" s="1976">
        <v>22830</v>
      </c>
      <c r="Z372" s="641">
        <f t="shared" si="17"/>
        <v>197528</v>
      </c>
      <c r="AA372" s="1976">
        <v>207528</v>
      </c>
      <c r="AB372" s="573">
        <v>0</v>
      </c>
      <c r="AC372" s="1976">
        <v>36700</v>
      </c>
      <c r="AD372" s="573">
        <v>0</v>
      </c>
      <c r="AE372" s="1976">
        <v>2485</v>
      </c>
      <c r="AF372" s="641">
        <f t="shared" si="19"/>
        <v>39185</v>
      </c>
      <c r="AG372" s="3141">
        <v>39185</v>
      </c>
    </row>
    <row r="373" spans="1:33">
      <c r="A373" s="63">
        <f t="shared" si="18"/>
        <v>2023.04</v>
      </c>
      <c r="B373" s="250">
        <v>2685803</v>
      </c>
      <c r="C373" s="3140">
        <v>113461</v>
      </c>
      <c r="D373" s="3140">
        <v>0</v>
      </c>
      <c r="E373" s="134">
        <v>5938</v>
      </c>
      <c r="F373" s="573">
        <v>517716</v>
      </c>
      <c r="G373" s="3140">
        <v>48170</v>
      </c>
      <c r="H373" s="3140">
        <v>0</v>
      </c>
      <c r="I373" s="86">
        <v>1009</v>
      </c>
      <c r="J373" s="573">
        <v>2037643</v>
      </c>
      <c r="K373" s="3140">
        <v>54746</v>
      </c>
      <c r="L373" s="3140">
        <v>0</v>
      </c>
      <c r="M373" s="86">
        <v>4043</v>
      </c>
      <c r="N373" s="573">
        <v>14557</v>
      </c>
      <c r="O373" s="3140">
        <v>412</v>
      </c>
      <c r="P373" s="3140">
        <v>0</v>
      </c>
      <c r="Q373" s="86">
        <v>0</v>
      </c>
      <c r="R373" s="134">
        <v>2878991</v>
      </c>
      <c r="S373" s="3140">
        <v>419324</v>
      </c>
      <c r="T373" s="3140">
        <v>250</v>
      </c>
      <c r="U373" s="86">
        <v>6339</v>
      </c>
      <c r="V373" s="134">
        <v>55708</v>
      </c>
      <c r="W373" s="1976">
        <v>279731</v>
      </c>
      <c r="X373" s="573">
        <v>0</v>
      </c>
      <c r="Y373" s="1976">
        <v>62875</v>
      </c>
      <c r="Z373" s="641">
        <f t="shared" si="17"/>
        <v>398314</v>
      </c>
      <c r="AA373" s="1976">
        <v>401314</v>
      </c>
      <c r="AB373" s="573">
        <v>0</v>
      </c>
      <c r="AC373" s="1976">
        <v>33890</v>
      </c>
      <c r="AD373" s="573">
        <v>0</v>
      </c>
      <c r="AE373" s="1976">
        <v>0</v>
      </c>
      <c r="AF373" s="641">
        <f t="shared" si="19"/>
        <v>33890</v>
      </c>
      <c r="AG373" s="3141">
        <v>53890</v>
      </c>
    </row>
    <row r="374" spans="1:33">
      <c r="A374" s="63">
        <f t="shared" si="18"/>
        <v>2023.05</v>
      </c>
      <c r="B374" s="250">
        <v>3129930</v>
      </c>
      <c r="C374" s="3140">
        <v>111178</v>
      </c>
      <c r="D374" s="3140">
        <v>0</v>
      </c>
      <c r="E374" s="134">
        <v>9617</v>
      </c>
      <c r="F374" s="573">
        <v>621853</v>
      </c>
      <c r="G374" s="3140">
        <v>47500</v>
      </c>
      <c r="H374" s="3140">
        <v>0</v>
      </c>
      <c r="I374" s="86">
        <v>1635</v>
      </c>
      <c r="J374" s="573">
        <v>2392188</v>
      </c>
      <c r="K374" s="3140">
        <v>54058</v>
      </c>
      <c r="L374" s="3140">
        <v>0</v>
      </c>
      <c r="M374" s="86">
        <v>7010</v>
      </c>
      <c r="N374" s="573">
        <v>15096</v>
      </c>
      <c r="O374" s="3140">
        <v>626</v>
      </c>
      <c r="P374" s="3140">
        <v>0</v>
      </c>
      <c r="Q374" s="86">
        <v>0</v>
      </c>
      <c r="R374" s="134">
        <v>3493949</v>
      </c>
      <c r="S374" s="3140">
        <v>419980</v>
      </c>
      <c r="T374" s="3140">
        <v>0</v>
      </c>
      <c r="U374" s="86">
        <v>9978</v>
      </c>
      <c r="V374" s="134">
        <v>121344</v>
      </c>
      <c r="W374" s="1976">
        <v>317288</v>
      </c>
      <c r="X374" s="573">
        <v>1843</v>
      </c>
      <c r="Y374" s="1976">
        <v>50771</v>
      </c>
      <c r="Z374" s="641">
        <f t="shared" si="17"/>
        <v>491246</v>
      </c>
      <c r="AA374" s="1976">
        <v>491246</v>
      </c>
      <c r="AB374" s="573">
        <v>0</v>
      </c>
      <c r="AC374" s="1976">
        <v>13000</v>
      </c>
      <c r="AD374" s="573">
        <v>0</v>
      </c>
      <c r="AE374" s="1976">
        <v>0</v>
      </c>
      <c r="AF374" s="641">
        <f t="shared" si="19"/>
        <v>13000</v>
      </c>
      <c r="AG374" s="3141">
        <v>81520</v>
      </c>
    </row>
    <row r="375" spans="1:33">
      <c r="A375" s="63">
        <f t="shared" si="18"/>
        <v>2023.06</v>
      </c>
      <c r="B375" s="250">
        <v>2762246</v>
      </c>
      <c r="C375" s="3140">
        <v>68883</v>
      </c>
      <c r="D375" s="3140">
        <v>0</v>
      </c>
      <c r="E375" s="134">
        <v>23264</v>
      </c>
      <c r="F375" s="573">
        <v>535715</v>
      </c>
      <c r="G375" s="3140">
        <v>29708</v>
      </c>
      <c r="H375" s="3140">
        <v>0</v>
      </c>
      <c r="I375" s="86">
        <v>3955</v>
      </c>
      <c r="J375" s="573">
        <v>2036680</v>
      </c>
      <c r="K375" s="3140">
        <v>34532</v>
      </c>
      <c r="L375" s="3140">
        <v>0</v>
      </c>
      <c r="M375" s="86">
        <v>15956</v>
      </c>
      <c r="N375" s="573">
        <v>76534</v>
      </c>
      <c r="O375" s="3140">
        <v>403</v>
      </c>
      <c r="P375" s="3140">
        <v>0</v>
      </c>
      <c r="Q375" s="86">
        <v>0</v>
      </c>
      <c r="R375" s="134">
        <v>3017678</v>
      </c>
      <c r="S375" s="3140">
        <v>348134</v>
      </c>
      <c r="T375" s="3140">
        <v>0</v>
      </c>
      <c r="U375" s="86">
        <v>23603</v>
      </c>
      <c r="V375" s="134">
        <v>73010</v>
      </c>
      <c r="W375" s="1976">
        <v>289358</v>
      </c>
      <c r="X375" s="573">
        <v>0</v>
      </c>
      <c r="Y375" s="1976">
        <v>114128</v>
      </c>
      <c r="Z375" s="641">
        <f t="shared" si="17"/>
        <v>476496</v>
      </c>
      <c r="AA375" s="1976">
        <v>476496</v>
      </c>
      <c r="AB375" s="573">
        <v>0</v>
      </c>
      <c r="AC375" s="1976">
        <v>28651</v>
      </c>
      <c r="AD375" s="573">
        <v>0</v>
      </c>
      <c r="AE375" s="1976">
        <v>0</v>
      </c>
      <c r="AF375" s="641">
        <f t="shared" si="19"/>
        <v>28651</v>
      </c>
      <c r="AG375" s="3141">
        <v>86335</v>
      </c>
    </row>
    <row r="376" spans="1:33">
      <c r="A376" s="63">
        <f t="shared" si="18"/>
        <v>2023.07</v>
      </c>
      <c r="B376" s="250">
        <v>2430394</v>
      </c>
      <c r="C376" s="3140">
        <v>81927</v>
      </c>
      <c r="D376" s="3140">
        <v>0</v>
      </c>
      <c r="E376" s="134">
        <v>25393</v>
      </c>
      <c r="F376" s="573">
        <v>476331</v>
      </c>
      <c r="G376" s="3140">
        <v>35670</v>
      </c>
      <c r="H376" s="3140">
        <v>0</v>
      </c>
      <c r="I376" s="86">
        <v>4209</v>
      </c>
      <c r="J376" s="573">
        <v>1805587</v>
      </c>
      <c r="K376" s="3140">
        <v>41513</v>
      </c>
      <c r="L376" s="3140">
        <v>0</v>
      </c>
      <c r="M376" s="86">
        <v>17887</v>
      </c>
      <c r="N376" s="573">
        <v>51925</v>
      </c>
      <c r="O376" s="3140">
        <v>443</v>
      </c>
      <c r="P376" s="3140">
        <v>0</v>
      </c>
      <c r="Q376" s="86">
        <v>0</v>
      </c>
      <c r="R376" s="134">
        <v>2551641</v>
      </c>
      <c r="S376" s="3140">
        <v>402141</v>
      </c>
      <c r="T376" s="3140">
        <v>0</v>
      </c>
      <c r="U376" s="86">
        <v>25995</v>
      </c>
      <c r="V376" s="134">
        <v>51040</v>
      </c>
      <c r="W376" s="1976">
        <v>189489</v>
      </c>
      <c r="X376" s="573">
        <v>8267</v>
      </c>
      <c r="Y376" s="1976">
        <v>66370</v>
      </c>
      <c r="Z376" s="641">
        <f t="shared" si="17"/>
        <v>315166</v>
      </c>
      <c r="AA376" s="1976">
        <v>315166</v>
      </c>
      <c r="AB376" s="573">
        <v>0</v>
      </c>
      <c r="AC376" s="1976">
        <v>34450</v>
      </c>
      <c r="AD376" s="573">
        <v>0</v>
      </c>
      <c r="AE376" s="1976">
        <v>0</v>
      </c>
      <c r="AF376" s="641">
        <f t="shared" si="19"/>
        <v>34450</v>
      </c>
      <c r="AG376" s="3141">
        <v>80620</v>
      </c>
    </row>
    <row r="377" spans="1:33">
      <c r="A377" s="63">
        <f t="shared" si="18"/>
        <v>2023.08</v>
      </c>
      <c r="B377" s="250">
        <v>1735216</v>
      </c>
      <c r="C377" s="3140">
        <v>121084</v>
      </c>
      <c r="D377" s="3140">
        <v>0</v>
      </c>
      <c r="E377" s="134">
        <v>15856</v>
      </c>
      <c r="F377" s="573">
        <v>344215</v>
      </c>
      <c r="G377" s="3140">
        <v>51946</v>
      </c>
      <c r="H377" s="3140">
        <v>0</v>
      </c>
      <c r="I377" s="86">
        <v>2569</v>
      </c>
      <c r="J377" s="573">
        <v>1313553</v>
      </c>
      <c r="K377" s="3140">
        <v>59203</v>
      </c>
      <c r="L377" s="3140">
        <v>0</v>
      </c>
      <c r="M377" s="86">
        <v>11661</v>
      </c>
      <c r="N377" s="573">
        <v>21872</v>
      </c>
      <c r="O377" s="3140">
        <v>934</v>
      </c>
      <c r="P377" s="3140">
        <v>0</v>
      </c>
      <c r="Q377" s="86">
        <v>0</v>
      </c>
      <c r="R377" s="134">
        <v>2078639</v>
      </c>
      <c r="S377" s="3140">
        <v>405950</v>
      </c>
      <c r="T377" s="3140">
        <v>100</v>
      </c>
      <c r="U377" s="86">
        <v>16894</v>
      </c>
      <c r="V377" s="134">
        <v>37900</v>
      </c>
      <c r="W377" s="1976">
        <v>149649</v>
      </c>
      <c r="X377" s="573">
        <v>0</v>
      </c>
      <c r="Y377" s="1976">
        <v>47053</v>
      </c>
      <c r="Z377" s="641">
        <f t="shared" si="17"/>
        <v>234602</v>
      </c>
      <c r="AA377" s="1976">
        <v>239602</v>
      </c>
      <c r="AB377" s="573">
        <v>0</v>
      </c>
      <c r="AC377" s="1976">
        <v>22700</v>
      </c>
      <c r="AD377" s="573">
        <v>0</v>
      </c>
      <c r="AE377" s="1976">
        <v>0</v>
      </c>
      <c r="AF377" s="641">
        <f t="shared" si="19"/>
        <v>22700</v>
      </c>
      <c r="AG377" s="3141">
        <v>81050</v>
      </c>
    </row>
    <row r="378" spans="1:33">
      <c r="A378" s="63">
        <f t="shared" si="18"/>
        <v>2023.09</v>
      </c>
      <c r="B378" s="250">
        <v>1760242</v>
      </c>
      <c r="C378" s="3140">
        <v>68237</v>
      </c>
      <c r="D378" s="3140">
        <v>0</v>
      </c>
      <c r="E378" s="134">
        <v>19085</v>
      </c>
      <c r="F378" s="573">
        <v>348401</v>
      </c>
      <c r="G378" s="3140">
        <v>29518</v>
      </c>
      <c r="H378" s="3140">
        <v>0</v>
      </c>
      <c r="I378" s="86">
        <v>3092</v>
      </c>
      <c r="J378" s="573">
        <v>1333715</v>
      </c>
      <c r="K378" s="3140">
        <v>35487</v>
      </c>
      <c r="L378" s="3140">
        <v>0</v>
      </c>
      <c r="M378" s="86">
        <v>13639</v>
      </c>
      <c r="N378" s="573">
        <v>19853</v>
      </c>
      <c r="O378" s="3140">
        <v>819</v>
      </c>
      <c r="P378" s="3140">
        <v>0</v>
      </c>
      <c r="Q378" s="86">
        <v>0</v>
      </c>
      <c r="R378" s="134">
        <v>1907363</v>
      </c>
      <c r="S378" s="3140">
        <v>353168</v>
      </c>
      <c r="T378" s="3140">
        <v>0</v>
      </c>
      <c r="U378" s="86">
        <v>20149</v>
      </c>
      <c r="V378" s="134">
        <v>34000</v>
      </c>
      <c r="W378" s="1976">
        <v>199987</v>
      </c>
      <c r="X378" s="573">
        <v>0</v>
      </c>
      <c r="Y378" s="1976">
        <v>109343</v>
      </c>
      <c r="Z378" s="641">
        <f t="shared" si="17"/>
        <v>343330</v>
      </c>
      <c r="AA378" s="1976">
        <v>343330</v>
      </c>
      <c r="AB378" s="573">
        <v>0</v>
      </c>
      <c r="AC378" s="1976">
        <v>28961</v>
      </c>
      <c r="AD378" s="573">
        <v>0</v>
      </c>
      <c r="AE378" s="1976">
        <v>0</v>
      </c>
      <c r="AF378" s="641">
        <f t="shared" si="19"/>
        <v>28961</v>
      </c>
      <c r="AG378" s="3141">
        <v>70461</v>
      </c>
    </row>
    <row r="379" spans="1:33">
      <c r="A379" s="63">
        <f t="shared" si="18"/>
        <v>2023.1</v>
      </c>
      <c r="B379" s="250">
        <v>1669953</v>
      </c>
      <c r="C379" s="3140">
        <v>67365</v>
      </c>
      <c r="D379" s="3140">
        <v>0</v>
      </c>
      <c r="E379" s="134">
        <v>26428</v>
      </c>
      <c r="F379" s="573">
        <v>331552</v>
      </c>
      <c r="G379" s="3140">
        <v>29562</v>
      </c>
      <c r="H379" s="3140">
        <v>0</v>
      </c>
      <c r="I379" s="86">
        <v>4281</v>
      </c>
      <c r="J379" s="573">
        <v>1270218</v>
      </c>
      <c r="K379" s="3140">
        <v>33596</v>
      </c>
      <c r="L379" s="3140">
        <v>0</v>
      </c>
      <c r="M379" s="86">
        <v>18451</v>
      </c>
      <c r="N379" s="573">
        <v>19340</v>
      </c>
      <c r="O379" s="3140">
        <v>869</v>
      </c>
      <c r="P379" s="3140">
        <v>0</v>
      </c>
      <c r="Q379" s="86">
        <v>0</v>
      </c>
      <c r="R379" s="134">
        <v>1860826</v>
      </c>
      <c r="S379" s="3140">
        <v>256492</v>
      </c>
      <c r="T379" s="3140">
        <v>150</v>
      </c>
      <c r="U379" s="86">
        <v>27285</v>
      </c>
      <c r="V379" s="134">
        <v>25803</v>
      </c>
      <c r="W379" s="1976">
        <v>151318</v>
      </c>
      <c r="X379" s="573">
        <v>4697</v>
      </c>
      <c r="Y379" s="1976">
        <v>88908</v>
      </c>
      <c r="Z379" s="641">
        <f t="shared" si="17"/>
        <v>270726</v>
      </c>
      <c r="AA379" s="1976">
        <v>266029</v>
      </c>
      <c r="AB379" s="573">
        <v>0</v>
      </c>
      <c r="AC379" s="1976">
        <v>14950</v>
      </c>
      <c r="AD379" s="573">
        <v>0</v>
      </c>
      <c r="AE379" s="1976">
        <v>0</v>
      </c>
      <c r="AF379" s="641">
        <f t="shared" si="19"/>
        <v>14950</v>
      </c>
      <c r="AG379" s="3141">
        <v>55273</v>
      </c>
    </row>
    <row r="380" spans="1:33">
      <c r="A380" s="63">
        <f t="shared" si="18"/>
        <v>2023.11</v>
      </c>
      <c r="B380" s="250">
        <v>1705181</v>
      </c>
      <c r="C380" s="3140">
        <v>11303</v>
      </c>
      <c r="D380" s="3140">
        <v>0</v>
      </c>
      <c r="E380" s="134">
        <v>6837</v>
      </c>
      <c r="F380" s="573">
        <v>338852</v>
      </c>
      <c r="G380" s="3140">
        <v>4887</v>
      </c>
      <c r="H380" s="3140">
        <v>0</v>
      </c>
      <c r="I380" s="86">
        <v>1380</v>
      </c>
      <c r="J380" s="573">
        <v>1284095</v>
      </c>
      <c r="K380" s="3140">
        <v>5322</v>
      </c>
      <c r="L380" s="3140">
        <v>0</v>
      </c>
      <c r="M380" s="86">
        <v>6296</v>
      </c>
      <c r="N380" s="573">
        <v>17794</v>
      </c>
      <c r="O380" s="3140">
        <v>743</v>
      </c>
      <c r="P380" s="3140">
        <v>0</v>
      </c>
      <c r="Q380" s="86">
        <v>0</v>
      </c>
      <c r="R380" s="134">
        <v>1898983</v>
      </c>
      <c r="S380" s="3140">
        <v>231580</v>
      </c>
      <c r="T380" s="3140">
        <v>0</v>
      </c>
      <c r="U380" s="86">
        <v>7531</v>
      </c>
      <c r="V380" s="134">
        <v>34113</v>
      </c>
      <c r="W380" s="1976">
        <v>164196</v>
      </c>
      <c r="X380" s="573">
        <v>10687</v>
      </c>
      <c r="Y380" s="1976">
        <v>43176</v>
      </c>
      <c r="Z380" s="641">
        <f t="shared" si="17"/>
        <v>252172</v>
      </c>
      <c r="AA380" s="1976">
        <v>255872</v>
      </c>
      <c r="AB380" s="573">
        <v>0</v>
      </c>
      <c r="AC380" s="1976">
        <v>21498</v>
      </c>
      <c r="AD380" s="573">
        <v>0</v>
      </c>
      <c r="AE380" s="1976">
        <v>0</v>
      </c>
      <c r="AF380" s="641">
        <f t="shared" si="19"/>
        <v>21498</v>
      </c>
      <c r="AG380" s="3141">
        <v>44358</v>
      </c>
    </row>
    <row r="381" spans="1:33">
      <c r="A381" s="63">
        <f t="shared" si="18"/>
        <v>2023.12</v>
      </c>
      <c r="B381" s="250">
        <v>1605023</v>
      </c>
      <c r="C381" s="3140">
        <v>51926</v>
      </c>
      <c r="D381" s="3140">
        <v>0</v>
      </c>
      <c r="E381" s="134">
        <v>0</v>
      </c>
      <c r="F381" s="573">
        <v>319926</v>
      </c>
      <c r="G381" s="3140">
        <v>22447</v>
      </c>
      <c r="H381" s="3140">
        <v>0</v>
      </c>
      <c r="I381" s="86">
        <v>0</v>
      </c>
      <c r="J381" s="573">
        <v>1199398</v>
      </c>
      <c r="K381" s="3140">
        <v>26535</v>
      </c>
      <c r="L381" s="3140">
        <v>0</v>
      </c>
      <c r="M381" s="86">
        <v>0</v>
      </c>
      <c r="N381" s="573">
        <v>17537</v>
      </c>
      <c r="O381" s="3140">
        <v>481</v>
      </c>
      <c r="P381" s="3140">
        <v>0</v>
      </c>
      <c r="Q381" s="86">
        <v>0</v>
      </c>
      <c r="R381" s="134">
        <v>1901089</v>
      </c>
      <c r="S381" s="3140">
        <v>217242</v>
      </c>
      <c r="T381" s="3140">
        <v>300</v>
      </c>
      <c r="U381" s="86">
        <v>349</v>
      </c>
      <c r="V381" s="134">
        <v>105948</v>
      </c>
      <c r="W381" s="1976">
        <v>160005</v>
      </c>
      <c r="X381" s="573">
        <v>7677</v>
      </c>
      <c r="Y381" s="1976">
        <v>49211</v>
      </c>
      <c r="Z381" s="641">
        <f t="shared" si="17"/>
        <v>322841</v>
      </c>
      <c r="AA381" s="1976">
        <v>322841</v>
      </c>
      <c r="AB381" s="573">
        <v>0</v>
      </c>
      <c r="AC381" s="1976">
        <v>5962</v>
      </c>
      <c r="AD381" s="573">
        <v>0</v>
      </c>
      <c r="AE381" s="1976">
        <v>0</v>
      </c>
      <c r="AF381" s="641">
        <f t="shared" si="19"/>
        <v>5962</v>
      </c>
      <c r="AG381" s="3141">
        <v>26382</v>
      </c>
    </row>
    <row r="382" spans="1:33">
      <c r="A382" s="63">
        <f t="shared" si="18"/>
        <v>2024.01</v>
      </c>
      <c r="B382" s="250">
        <v>1854879</v>
      </c>
      <c r="C382" s="3140">
        <v>151680</v>
      </c>
      <c r="D382" s="3140">
        <v>0</v>
      </c>
      <c r="E382" s="134">
        <v>0</v>
      </c>
      <c r="F382" s="573">
        <v>368546</v>
      </c>
      <c r="G382" s="3140">
        <v>66015</v>
      </c>
      <c r="H382" s="3140">
        <v>0</v>
      </c>
      <c r="I382" s="86">
        <v>0</v>
      </c>
      <c r="J382" s="573">
        <v>1412424</v>
      </c>
      <c r="K382" s="3140">
        <v>71945</v>
      </c>
      <c r="L382" s="3140">
        <v>0</v>
      </c>
      <c r="M382" s="86">
        <v>0</v>
      </c>
      <c r="N382" s="573">
        <v>17011</v>
      </c>
      <c r="O382" s="3140">
        <v>742</v>
      </c>
      <c r="P382" s="3140">
        <v>0</v>
      </c>
      <c r="Q382" s="86">
        <v>0</v>
      </c>
      <c r="R382" s="134">
        <v>2130427</v>
      </c>
      <c r="S382" s="3140">
        <v>218598</v>
      </c>
      <c r="T382" s="3140">
        <v>0</v>
      </c>
      <c r="U382" s="86">
        <v>530</v>
      </c>
      <c r="V382" s="134">
        <v>36010</v>
      </c>
      <c r="W382" s="1976">
        <v>162651</v>
      </c>
      <c r="X382" s="573">
        <v>0</v>
      </c>
      <c r="Y382" s="1976">
        <v>25313</v>
      </c>
      <c r="Z382" s="641">
        <f t="shared" si="17"/>
        <v>223974</v>
      </c>
      <c r="AA382" s="1976">
        <v>248195</v>
      </c>
      <c r="AB382" s="573">
        <v>0</v>
      </c>
      <c r="AC382" s="1976">
        <v>30500</v>
      </c>
      <c r="AD382" s="573">
        <v>0</v>
      </c>
      <c r="AE382" s="1976">
        <v>0</v>
      </c>
      <c r="AF382" s="641">
        <f t="shared" si="19"/>
        <v>30500</v>
      </c>
      <c r="AG382" s="3141">
        <v>40233</v>
      </c>
    </row>
    <row r="383" spans="1:33">
      <c r="A383" s="63">
        <f t="shared" si="18"/>
        <v>2024.02</v>
      </c>
      <c r="B383" s="250">
        <v>2153136</v>
      </c>
      <c r="C383" s="3140">
        <v>165855</v>
      </c>
      <c r="D383" s="3140">
        <v>0</v>
      </c>
      <c r="E383" s="134">
        <v>0</v>
      </c>
      <c r="F383" s="573">
        <v>431540</v>
      </c>
      <c r="G383" s="3140">
        <v>72492</v>
      </c>
      <c r="H383" s="3140">
        <v>0</v>
      </c>
      <c r="I383" s="86">
        <v>0</v>
      </c>
      <c r="J383" s="573">
        <v>1622819</v>
      </c>
      <c r="K383" s="3140">
        <v>77786</v>
      </c>
      <c r="L383" s="3140">
        <v>0</v>
      </c>
      <c r="M383" s="86">
        <v>250</v>
      </c>
      <c r="N383" s="573">
        <v>15437</v>
      </c>
      <c r="O383" s="3140">
        <v>372</v>
      </c>
      <c r="P383" s="3140">
        <v>0</v>
      </c>
      <c r="Q383" s="86">
        <v>0</v>
      </c>
      <c r="R383" s="134">
        <v>2362125</v>
      </c>
      <c r="S383" s="3140">
        <v>286602</v>
      </c>
      <c r="T383" s="3140">
        <v>0</v>
      </c>
      <c r="U383" s="86">
        <v>356</v>
      </c>
      <c r="V383" s="134">
        <v>90924</v>
      </c>
      <c r="W383" s="1976">
        <v>266048</v>
      </c>
      <c r="X383" s="573">
        <v>5170</v>
      </c>
      <c r="Y383" s="1976">
        <v>98286</v>
      </c>
      <c r="Z383" s="641">
        <f t="shared" si="17"/>
        <v>460428</v>
      </c>
      <c r="AA383" s="1976">
        <v>460428</v>
      </c>
      <c r="AB383" s="573">
        <v>0</v>
      </c>
      <c r="AC383" s="1976">
        <v>37146</v>
      </c>
      <c r="AD383" s="573">
        <v>0</v>
      </c>
      <c r="AE383" s="1976">
        <v>0</v>
      </c>
      <c r="AF383" s="641">
        <f t="shared" si="19"/>
        <v>37146</v>
      </c>
      <c r="AG383" s="3141">
        <v>37146</v>
      </c>
    </row>
    <row r="384" spans="1:33">
      <c r="A384" s="63">
        <f t="shared" si="18"/>
        <v>2024.03</v>
      </c>
      <c r="B384" s="250">
        <v>2671240</v>
      </c>
      <c r="C384" s="3140">
        <v>112953</v>
      </c>
      <c r="D384" s="3140">
        <v>0</v>
      </c>
      <c r="E384" s="134">
        <v>0</v>
      </c>
      <c r="F384" s="573">
        <v>535808</v>
      </c>
      <c r="G384" s="3140">
        <v>49306</v>
      </c>
      <c r="H384" s="3140">
        <v>0</v>
      </c>
      <c r="I384" s="86">
        <v>0</v>
      </c>
      <c r="J384" s="573">
        <v>2016723</v>
      </c>
      <c r="K384" s="3140">
        <v>55306</v>
      </c>
      <c r="L384" s="3140">
        <v>0</v>
      </c>
      <c r="M384" s="86">
        <v>30</v>
      </c>
      <c r="N384" s="573">
        <v>14004</v>
      </c>
      <c r="O384" s="3140">
        <v>497</v>
      </c>
      <c r="P384" s="3140">
        <v>0</v>
      </c>
      <c r="Q384" s="86">
        <v>0</v>
      </c>
      <c r="R384" s="134">
        <v>2907942</v>
      </c>
      <c r="S384" s="3140">
        <v>374493</v>
      </c>
      <c r="T384" s="3140">
        <v>0</v>
      </c>
      <c r="U384" s="86">
        <v>382</v>
      </c>
      <c r="V384" s="134">
        <v>79112</v>
      </c>
      <c r="W384" s="1976">
        <v>288875</v>
      </c>
      <c r="X384" s="573">
        <v>884</v>
      </c>
      <c r="Y384" s="1976">
        <v>17204</v>
      </c>
      <c r="Z384" s="641">
        <f t="shared" si="17"/>
        <v>386075</v>
      </c>
      <c r="AA384" s="1976">
        <v>386075</v>
      </c>
      <c r="AB384" s="573">
        <v>0</v>
      </c>
      <c r="AC384" s="1976">
        <v>40860</v>
      </c>
      <c r="AD384" s="573">
        <v>0</v>
      </c>
      <c r="AE384" s="1976">
        <v>0</v>
      </c>
      <c r="AF384" s="641">
        <f t="shared" si="19"/>
        <v>40860</v>
      </c>
      <c r="AG384" s="3141">
        <v>76515</v>
      </c>
    </row>
    <row r="385" spans="1:33">
      <c r="A385" s="63">
        <f t="shared" si="18"/>
        <v>2024.04</v>
      </c>
      <c r="B385" s="250">
        <v>3556860</v>
      </c>
      <c r="C385" s="3140">
        <v>111858</v>
      </c>
      <c r="D385" s="3140">
        <v>0</v>
      </c>
      <c r="E385" s="134">
        <v>10657</v>
      </c>
      <c r="F385" s="573">
        <v>722881</v>
      </c>
      <c r="G385" s="3140">
        <v>49364</v>
      </c>
      <c r="H385" s="3140">
        <v>0</v>
      </c>
      <c r="I385" s="86">
        <v>1773</v>
      </c>
      <c r="J385" s="573">
        <v>2670781</v>
      </c>
      <c r="K385" s="3140">
        <v>49669</v>
      </c>
      <c r="L385" s="3140">
        <v>0</v>
      </c>
      <c r="M385" s="86">
        <v>8439</v>
      </c>
      <c r="N385" s="573">
        <v>15874</v>
      </c>
      <c r="O385" s="3140">
        <v>611</v>
      </c>
      <c r="P385" s="3140">
        <v>0</v>
      </c>
      <c r="Q385" s="86">
        <v>0</v>
      </c>
      <c r="R385" s="134">
        <v>3826521</v>
      </c>
      <c r="S385" s="3140">
        <v>385978</v>
      </c>
      <c r="T385" s="3140">
        <v>0</v>
      </c>
      <c r="U385" s="86">
        <v>11100</v>
      </c>
      <c r="V385" s="134">
        <v>61130</v>
      </c>
      <c r="W385" s="1976">
        <v>454148</v>
      </c>
      <c r="X385" s="573">
        <v>0</v>
      </c>
      <c r="Y385" s="1976">
        <v>28000</v>
      </c>
      <c r="Z385" s="641">
        <f t="shared" si="17"/>
        <v>543278</v>
      </c>
      <c r="AA385" s="1976">
        <v>543278</v>
      </c>
      <c r="AB385" s="573">
        <v>0</v>
      </c>
      <c r="AC385" s="1976">
        <v>52656</v>
      </c>
      <c r="AD385" s="573">
        <v>0</v>
      </c>
      <c r="AE385" s="1976">
        <v>0</v>
      </c>
      <c r="AF385" s="641">
        <f t="shared" si="19"/>
        <v>52656</v>
      </c>
      <c r="AG385" s="3141">
        <v>52656</v>
      </c>
    </row>
    <row r="386" spans="1:33">
      <c r="A386" s="63">
        <f t="shared" si="18"/>
        <v>2024.05</v>
      </c>
      <c r="B386" s="250">
        <v>3588212</v>
      </c>
      <c r="C386" s="3140">
        <v>86148</v>
      </c>
      <c r="D386" s="3140">
        <v>0</v>
      </c>
      <c r="E386" s="134">
        <v>13161</v>
      </c>
      <c r="F386" s="573">
        <v>712333</v>
      </c>
      <c r="G386" s="3140">
        <v>38925</v>
      </c>
      <c r="H386" s="3140">
        <v>0</v>
      </c>
      <c r="I386" s="86">
        <v>1891</v>
      </c>
      <c r="J386" s="573">
        <v>2706156</v>
      </c>
      <c r="K386" s="3140">
        <v>37402</v>
      </c>
      <c r="L386" s="3140">
        <v>0</v>
      </c>
      <c r="M386" s="86">
        <v>9987</v>
      </c>
      <c r="N386" s="573">
        <v>18446</v>
      </c>
      <c r="O386" s="3140">
        <v>746</v>
      </c>
      <c r="P386" s="3140">
        <v>0</v>
      </c>
      <c r="Q386" s="86">
        <v>0</v>
      </c>
      <c r="R386" s="134">
        <v>3976076</v>
      </c>
      <c r="S386" s="3140">
        <v>371638</v>
      </c>
      <c r="T386" s="3140">
        <v>0</v>
      </c>
      <c r="U386" s="86">
        <v>13599</v>
      </c>
      <c r="V386" s="134">
        <v>91200</v>
      </c>
      <c r="W386" s="1976">
        <v>447173</v>
      </c>
      <c r="X386" s="573">
        <v>0</v>
      </c>
      <c r="Y386" s="1976">
        <v>34981</v>
      </c>
      <c r="Z386" s="641">
        <f t="shared" si="17"/>
        <v>573354</v>
      </c>
      <c r="AA386" s="1976">
        <v>573354</v>
      </c>
      <c r="AB386" s="573">
        <v>0</v>
      </c>
      <c r="AC386" s="1976">
        <v>71689</v>
      </c>
      <c r="AD386" s="573">
        <v>0</v>
      </c>
      <c r="AE386" s="1976">
        <v>0</v>
      </c>
      <c r="AF386" s="641">
        <f t="shared" si="19"/>
        <v>71689</v>
      </c>
      <c r="AG386" s="3141">
        <v>139157</v>
      </c>
    </row>
    <row r="387" spans="1:33">
      <c r="A387" s="63">
        <f t="shared" si="18"/>
        <v>2024.06</v>
      </c>
      <c r="B387" s="250">
        <v>3616510</v>
      </c>
      <c r="C387" s="3140">
        <v>96071</v>
      </c>
      <c r="D387" s="3140">
        <v>0</v>
      </c>
      <c r="E387" s="134">
        <v>15748</v>
      </c>
      <c r="F387" s="573">
        <v>714476</v>
      </c>
      <c r="G387" s="3140">
        <v>42142</v>
      </c>
      <c r="H387" s="3140">
        <v>0</v>
      </c>
      <c r="I387" s="86">
        <v>2068</v>
      </c>
      <c r="J387" s="573">
        <v>2774747</v>
      </c>
      <c r="K387" s="3140">
        <v>42629</v>
      </c>
      <c r="L387" s="3140">
        <v>0</v>
      </c>
      <c r="M387" s="86">
        <v>11156</v>
      </c>
      <c r="N387" s="573">
        <v>18197</v>
      </c>
      <c r="O387" s="3140">
        <v>444</v>
      </c>
      <c r="P387" s="3140">
        <v>0</v>
      </c>
      <c r="Q387" s="86">
        <v>0</v>
      </c>
      <c r="R387" s="134">
        <v>3968846</v>
      </c>
      <c r="S387" s="3140">
        <v>356801</v>
      </c>
      <c r="T387" s="3140">
        <v>600</v>
      </c>
      <c r="U387" s="86">
        <v>16403</v>
      </c>
      <c r="V387" s="134">
        <v>102085</v>
      </c>
      <c r="W387" s="1976">
        <v>503715</v>
      </c>
      <c r="X387" s="573">
        <v>0</v>
      </c>
      <c r="Y387" s="1976">
        <v>58994</v>
      </c>
      <c r="Z387" s="641">
        <f t="shared" si="17"/>
        <v>664794</v>
      </c>
      <c r="AA387" s="1976">
        <v>666911</v>
      </c>
      <c r="AB387" s="573">
        <v>0</v>
      </c>
      <c r="AC387" s="1976">
        <v>17500</v>
      </c>
      <c r="AD387" s="573">
        <v>0</v>
      </c>
      <c r="AE387" s="1976">
        <v>0</v>
      </c>
      <c r="AF387" s="641">
        <f t="shared" si="19"/>
        <v>17500</v>
      </c>
      <c r="AG387" s="3141">
        <v>40815</v>
      </c>
    </row>
    <row r="388" spans="1:33">
      <c r="A388" s="63">
        <f t="shared" si="18"/>
        <v>2024.07</v>
      </c>
      <c r="B388" s="250">
        <v>3957880</v>
      </c>
      <c r="C388" s="3140">
        <v>71305</v>
      </c>
      <c r="D388" s="3140">
        <v>0</v>
      </c>
      <c r="E388" s="134">
        <v>15184</v>
      </c>
      <c r="F388" s="573">
        <v>790200</v>
      </c>
      <c r="G388" s="3140">
        <v>31897</v>
      </c>
      <c r="H388" s="3140">
        <v>0</v>
      </c>
      <c r="I388" s="86">
        <v>2126</v>
      </c>
      <c r="J388" s="573">
        <v>2982941</v>
      </c>
      <c r="K388" s="3140">
        <v>34567</v>
      </c>
      <c r="L388" s="3140">
        <v>0</v>
      </c>
      <c r="M388" s="86">
        <v>10663</v>
      </c>
      <c r="N388" s="573">
        <v>19340</v>
      </c>
      <c r="O388" s="3140">
        <v>691</v>
      </c>
      <c r="P388" s="3140">
        <v>0</v>
      </c>
      <c r="Q388" s="86">
        <v>0</v>
      </c>
      <c r="R388" s="134">
        <v>4405351</v>
      </c>
      <c r="S388" s="3140">
        <v>355644</v>
      </c>
      <c r="T388" s="3140">
        <v>410</v>
      </c>
      <c r="U388" s="86">
        <v>15977</v>
      </c>
      <c r="V388" s="134">
        <v>54000</v>
      </c>
      <c r="W388" s="1976">
        <v>493622</v>
      </c>
      <c r="X388" s="573">
        <v>0</v>
      </c>
      <c r="Y388" s="1976">
        <v>8315</v>
      </c>
      <c r="Z388" s="641">
        <f t="shared" si="17"/>
        <v>555937</v>
      </c>
      <c r="AA388" s="1976">
        <v>555937</v>
      </c>
      <c r="AB388" s="573">
        <v>0</v>
      </c>
      <c r="AC388" s="1976">
        <v>52054</v>
      </c>
      <c r="AD388" s="573">
        <v>0</v>
      </c>
      <c r="AE388" s="1976">
        <v>0</v>
      </c>
      <c r="AF388" s="641">
        <f t="shared" si="19"/>
        <v>52054</v>
      </c>
      <c r="AG388" s="3141">
        <v>166010</v>
      </c>
    </row>
    <row r="389" spans="1:33">
      <c r="A389" s="63">
        <f t="shared" si="18"/>
        <v>2024.08</v>
      </c>
      <c r="B389" s="250">
        <v>2862543</v>
      </c>
      <c r="C389" s="3140">
        <v>61132</v>
      </c>
      <c r="D389" s="3140">
        <v>0</v>
      </c>
      <c r="E389" s="134">
        <v>7487</v>
      </c>
      <c r="F389" s="573">
        <v>574863</v>
      </c>
      <c r="G389" s="3140">
        <v>26844</v>
      </c>
      <c r="H389" s="3140">
        <v>0</v>
      </c>
      <c r="I389" s="86">
        <v>1048</v>
      </c>
      <c r="J389" s="573">
        <v>2171594</v>
      </c>
      <c r="K389" s="3140">
        <v>29178</v>
      </c>
      <c r="L389" s="3140">
        <v>0</v>
      </c>
      <c r="M389" s="86">
        <v>5278</v>
      </c>
      <c r="N389" s="573">
        <v>21920</v>
      </c>
      <c r="O389" s="3140">
        <v>661</v>
      </c>
      <c r="P389" s="3140">
        <v>0</v>
      </c>
      <c r="Q389" s="86">
        <v>0</v>
      </c>
      <c r="R389" s="134">
        <v>3233433</v>
      </c>
      <c r="S389" s="3140">
        <v>330297</v>
      </c>
      <c r="T389" s="3140">
        <v>450</v>
      </c>
      <c r="U389" s="86">
        <v>8382</v>
      </c>
      <c r="V389" s="134">
        <v>77400</v>
      </c>
      <c r="W389" s="1976">
        <v>353165</v>
      </c>
      <c r="X389" s="573">
        <v>4810</v>
      </c>
      <c r="Y389" s="1976">
        <v>49848</v>
      </c>
      <c r="Z389" s="641">
        <f t="shared" si="17"/>
        <v>485223</v>
      </c>
      <c r="AA389" s="1976">
        <v>485223</v>
      </c>
      <c r="AB389" s="573">
        <v>0</v>
      </c>
      <c r="AC389" s="1976">
        <v>23200</v>
      </c>
      <c r="AD389" s="573">
        <v>0</v>
      </c>
      <c r="AE389" s="1976">
        <v>0</v>
      </c>
      <c r="AF389" s="641">
        <f t="shared" si="19"/>
        <v>23200</v>
      </c>
      <c r="AG389" s="3141">
        <v>87680</v>
      </c>
    </row>
    <row r="390" spans="1:33">
      <c r="A390" s="63">
        <f t="shared" si="18"/>
        <v>2024.09</v>
      </c>
      <c r="B390" s="250">
        <v>3721262</v>
      </c>
      <c r="C390" s="3140">
        <v>44045</v>
      </c>
      <c r="D390" s="3140">
        <v>0</v>
      </c>
      <c r="E390" s="134">
        <v>14777</v>
      </c>
      <c r="F390" s="573">
        <v>746862</v>
      </c>
      <c r="G390" s="3140">
        <v>19385</v>
      </c>
      <c r="H390" s="3140">
        <v>0</v>
      </c>
      <c r="I390" s="86">
        <v>2053</v>
      </c>
      <c r="J390" s="573">
        <v>2817058</v>
      </c>
      <c r="K390" s="3140">
        <v>22270</v>
      </c>
      <c r="L390" s="3140">
        <v>0</v>
      </c>
      <c r="M390" s="86">
        <v>11215</v>
      </c>
      <c r="N390" s="573">
        <v>19659</v>
      </c>
      <c r="O390" s="3140">
        <v>649</v>
      </c>
      <c r="P390" s="3140">
        <v>0</v>
      </c>
      <c r="Q390" s="86">
        <v>0</v>
      </c>
      <c r="R390" s="134">
        <v>4114660</v>
      </c>
      <c r="S390" s="3140">
        <v>300058</v>
      </c>
      <c r="T390" s="3140">
        <v>80</v>
      </c>
      <c r="U390" s="86">
        <v>15600</v>
      </c>
      <c r="V390" s="134">
        <v>72914</v>
      </c>
      <c r="W390" s="1976">
        <v>455427</v>
      </c>
      <c r="X390" s="573">
        <v>1830</v>
      </c>
      <c r="Y390" s="1976">
        <f>32830+2500</f>
        <v>35330</v>
      </c>
      <c r="Z390" s="641">
        <f t="shared" si="17"/>
        <v>565501</v>
      </c>
      <c r="AA390" s="1976">
        <v>565501</v>
      </c>
      <c r="AB390" s="573">
        <v>0</v>
      </c>
      <c r="AC390" s="1976">
        <v>17592</v>
      </c>
      <c r="AD390" s="573">
        <v>0</v>
      </c>
      <c r="AE390" s="1976">
        <v>0</v>
      </c>
      <c r="AF390" s="641">
        <f t="shared" si="19"/>
        <v>17592</v>
      </c>
      <c r="AG390" s="3141">
        <v>60043</v>
      </c>
    </row>
    <row r="391" spans="1:33">
      <c r="A391" s="63">
        <f t="shared" si="18"/>
        <v>2024.1</v>
      </c>
      <c r="B391" s="250">
        <v>3709388</v>
      </c>
      <c r="C391" s="3140">
        <v>29748</v>
      </c>
      <c r="D391" s="3140">
        <v>0</v>
      </c>
      <c r="E391" s="134">
        <v>12735</v>
      </c>
      <c r="F391" s="573">
        <v>737835</v>
      </c>
      <c r="G391" s="3140">
        <v>12933</v>
      </c>
      <c r="H391" s="3140">
        <v>0</v>
      </c>
      <c r="I391" s="86">
        <v>897</v>
      </c>
      <c r="J391" s="573">
        <v>2810273</v>
      </c>
      <c r="K391" s="3140">
        <v>15023</v>
      </c>
      <c r="L391" s="3140">
        <v>0</v>
      </c>
      <c r="M391" s="86">
        <v>9719</v>
      </c>
      <c r="N391" s="573">
        <v>21471</v>
      </c>
      <c r="O391" s="3140">
        <v>686</v>
      </c>
      <c r="P391" s="3140">
        <v>0</v>
      </c>
      <c r="Q391" s="86">
        <v>0</v>
      </c>
      <c r="R391" s="134">
        <v>4146668</v>
      </c>
      <c r="S391" s="3140">
        <v>333544</v>
      </c>
      <c r="T391" s="3140">
        <v>500</v>
      </c>
      <c r="U391" s="86">
        <v>13432</v>
      </c>
      <c r="V391" s="134">
        <v>102934</v>
      </c>
      <c r="W391" s="1976">
        <v>523141</v>
      </c>
      <c r="X391" s="573">
        <v>0</v>
      </c>
      <c r="Y391" s="1976">
        <v>26266</v>
      </c>
      <c r="Z391" s="641">
        <f t="shared" si="17"/>
        <v>652341</v>
      </c>
      <c r="AA391" s="1976">
        <v>652341</v>
      </c>
      <c r="AB391" s="573">
        <v>0</v>
      </c>
      <c r="AC391" s="1976">
        <v>21340</v>
      </c>
      <c r="AD391" s="573">
        <v>0</v>
      </c>
      <c r="AE391" s="1976">
        <v>0</v>
      </c>
      <c r="AF391" s="641">
        <f t="shared" si="19"/>
        <v>21340</v>
      </c>
      <c r="AG391" s="3141">
        <v>58740</v>
      </c>
    </row>
    <row r="392" spans="1:33">
      <c r="A392" s="63">
        <f t="shared" si="18"/>
        <v>2024.11</v>
      </c>
      <c r="B392" s="250">
        <v>3205128</v>
      </c>
      <c r="C392" s="3140">
        <v>24289</v>
      </c>
      <c r="D392" s="3140">
        <v>0</v>
      </c>
      <c r="E392" s="134">
        <v>0</v>
      </c>
      <c r="F392" s="573">
        <v>639702</v>
      </c>
      <c r="G392" s="3140">
        <v>10493</v>
      </c>
      <c r="H392" s="3140">
        <v>0</v>
      </c>
      <c r="I392" s="86">
        <v>0</v>
      </c>
      <c r="J392" s="573">
        <v>2427791</v>
      </c>
      <c r="K392" s="3140">
        <v>12298</v>
      </c>
      <c r="L392" s="3140">
        <v>0</v>
      </c>
      <c r="M392" s="86">
        <v>0</v>
      </c>
      <c r="N392" s="573">
        <v>17347</v>
      </c>
      <c r="O392" s="3140">
        <v>672</v>
      </c>
      <c r="P392" s="3140">
        <v>0</v>
      </c>
      <c r="Q392" s="86">
        <v>0</v>
      </c>
      <c r="R392" s="134">
        <v>3437203</v>
      </c>
      <c r="S392" s="3140">
        <v>280629</v>
      </c>
      <c r="T392" s="3140">
        <v>688</v>
      </c>
      <c r="U392" s="86">
        <v>471</v>
      </c>
      <c r="V392" s="134">
        <v>73387</v>
      </c>
      <c r="W392" s="1976">
        <v>510928</v>
      </c>
      <c r="X392" s="573">
        <v>1648</v>
      </c>
      <c r="Y392" s="1976">
        <v>12907</v>
      </c>
      <c r="Z392" s="641">
        <f t="shared" si="17"/>
        <v>598870</v>
      </c>
      <c r="AA392" s="1976">
        <v>598870</v>
      </c>
      <c r="AB392" s="573">
        <v>0</v>
      </c>
      <c r="AC392" s="1976">
        <v>27700</v>
      </c>
      <c r="AD392" s="573">
        <v>0</v>
      </c>
      <c r="AE392" s="1976">
        <v>0</v>
      </c>
      <c r="AF392" s="641">
        <f t="shared" si="19"/>
        <v>27700</v>
      </c>
      <c r="AG392" s="3141">
        <v>111674</v>
      </c>
    </row>
    <row r="393" spans="1:33">
      <c r="A393" s="63">
        <f t="shared" si="18"/>
        <v>2024.12</v>
      </c>
      <c r="B393" s="250">
        <v>3312065</v>
      </c>
      <c r="C393" s="3140">
        <v>45538</v>
      </c>
      <c r="D393" s="3140">
        <v>0</v>
      </c>
      <c r="E393" s="134">
        <v>0</v>
      </c>
      <c r="F393" s="573">
        <v>665437</v>
      </c>
      <c r="G393" s="3140">
        <v>19594</v>
      </c>
      <c r="H393" s="3140">
        <v>0</v>
      </c>
      <c r="I393" s="86">
        <v>0</v>
      </c>
      <c r="J393" s="573">
        <v>2484440</v>
      </c>
      <c r="K393" s="3140">
        <v>23717</v>
      </c>
      <c r="L393" s="3140">
        <v>0</v>
      </c>
      <c r="M393" s="86">
        <v>0</v>
      </c>
      <c r="N393" s="573">
        <v>16559</v>
      </c>
      <c r="O393" s="3140">
        <v>645</v>
      </c>
      <c r="P393" s="3140">
        <v>0</v>
      </c>
      <c r="Q393" s="86">
        <v>0</v>
      </c>
      <c r="R393" s="134">
        <v>3659773</v>
      </c>
      <c r="S393" s="3140">
        <v>186883</v>
      </c>
      <c r="T393" s="3140">
        <v>420</v>
      </c>
      <c r="U393" s="86">
        <v>329</v>
      </c>
      <c r="V393" s="134">
        <v>132850</v>
      </c>
      <c r="W393" s="1976">
        <v>418760</v>
      </c>
      <c r="X393" s="573">
        <v>0</v>
      </c>
      <c r="Y393" s="1976">
        <v>20865</v>
      </c>
      <c r="Z393" s="641">
        <f t="shared" si="17"/>
        <v>572475</v>
      </c>
      <c r="AA393" s="1976">
        <v>572475</v>
      </c>
      <c r="AB393" s="573">
        <v>0</v>
      </c>
      <c r="AC393" s="1976">
        <v>20500</v>
      </c>
      <c r="AD393" s="573">
        <v>0</v>
      </c>
      <c r="AE393" s="1976">
        <v>0</v>
      </c>
      <c r="AF393" s="641">
        <f t="shared" si="19"/>
        <v>20500</v>
      </c>
      <c r="AG393" s="3141">
        <v>29500</v>
      </c>
    </row>
    <row r="394" spans="1:33">
      <c r="A394" s="63">
        <f t="shared" si="18"/>
        <v>2025.01</v>
      </c>
      <c r="B394" s="250">
        <v>2527379</v>
      </c>
      <c r="C394" s="3140">
        <v>130117</v>
      </c>
      <c r="D394" s="3140">
        <v>0</v>
      </c>
      <c r="E394" s="134">
        <v>0</v>
      </c>
      <c r="F394" s="573">
        <v>506727</v>
      </c>
      <c r="G394" s="3140">
        <v>57245</v>
      </c>
      <c r="H394" s="3140">
        <v>0</v>
      </c>
      <c r="I394" s="86">
        <v>0</v>
      </c>
      <c r="J394" s="573">
        <v>1927254</v>
      </c>
      <c r="K394" s="3140">
        <v>65785</v>
      </c>
      <c r="L394" s="3140">
        <v>0</v>
      </c>
      <c r="M394" s="86">
        <v>0</v>
      </c>
      <c r="N394" s="573">
        <v>16230</v>
      </c>
      <c r="O394" s="3140">
        <v>654</v>
      </c>
      <c r="P394" s="3140">
        <v>0</v>
      </c>
      <c r="Q394" s="86">
        <v>0</v>
      </c>
      <c r="R394" s="134">
        <v>2905671</v>
      </c>
      <c r="S394" s="3140">
        <v>181272</v>
      </c>
      <c r="T394" s="3140">
        <v>390</v>
      </c>
      <c r="U394" s="86">
        <v>337</v>
      </c>
      <c r="V394" s="134">
        <v>114608</v>
      </c>
      <c r="W394" s="1976">
        <v>332826</v>
      </c>
      <c r="X394" s="573">
        <v>0</v>
      </c>
      <c r="Y394" s="1976">
        <v>5000</v>
      </c>
      <c r="Z394" s="641">
        <v>452434</v>
      </c>
      <c r="AA394" s="1976">
        <v>457434</v>
      </c>
      <c r="AB394" s="573">
        <v>0</v>
      </c>
      <c r="AC394" s="1976">
        <v>19545</v>
      </c>
      <c r="AD394" s="573">
        <v>0</v>
      </c>
      <c r="AE394" s="1976">
        <v>0</v>
      </c>
      <c r="AF394" s="641">
        <v>19545</v>
      </c>
      <c r="AG394" s="3141">
        <v>36645</v>
      </c>
    </row>
    <row r="395" spans="1:33">
      <c r="A395" s="63">
        <f t="shared" si="18"/>
        <v>2025.02</v>
      </c>
      <c r="B395" s="250">
        <v>2306928</v>
      </c>
      <c r="C395" s="3140">
        <v>180450</v>
      </c>
      <c r="D395" s="3140">
        <v>0</v>
      </c>
      <c r="E395" s="134">
        <v>0</v>
      </c>
      <c r="F395" s="573">
        <v>457070</v>
      </c>
      <c r="G395" s="3140">
        <v>78106</v>
      </c>
      <c r="H395" s="3140">
        <v>0</v>
      </c>
      <c r="I395" s="86">
        <v>0</v>
      </c>
      <c r="J395" s="573">
        <v>1720150</v>
      </c>
      <c r="K395" s="3140">
        <v>85422</v>
      </c>
      <c r="L395" s="3140">
        <v>0</v>
      </c>
      <c r="M395" s="86">
        <v>0</v>
      </c>
      <c r="N395" s="573">
        <v>12553</v>
      </c>
      <c r="O395" s="3140">
        <v>1151</v>
      </c>
      <c r="P395" s="3140">
        <v>0</v>
      </c>
      <c r="Q395" s="86">
        <v>0</v>
      </c>
      <c r="R395" s="134">
        <v>2644364</v>
      </c>
      <c r="S395" s="3140">
        <v>304882</v>
      </c>
      <c r="T395" s="3140">
        <v>100</v>
      </c>
      <c r="U395" s="86">
        <v>234</v>
      </c>
      <c r="V395" s="134">
        <v>114170</v>
      </c>
      <c r="W395" s="1976">
        <v>405235</v>
      </c>
      <c r="X395" s="573">
        <v>8720</v>
      </c>
      <c r="Y395" s="1976">
        <v>0</v>
      </c>
      <c r="Z395" s="641">
        <f t="shared" ref="Z395:Z405" si="20">SUM(V395:Y395)</f>
        <v>528125</v>
      </c>
      <c r="AA395" s="1976">
        <v>528125</v>
      </c>
      <c r="AB395" s="573">
        <v>0</v>
      </c>
      <c r="AC395" s="1976">
        <v>47350</v>
      </c>
      <c r="AD395" s="573">
        <v>0</v>
      </c>
      <c r="AE395" s="1976">
        <v>0</v>
      </c>
      <c r="AF395" s="641">
        <f t="shared" si="19"/>
        <v>47350</v>
      </c>
      <c r="AG395" s="3141">
        <v>55350</v>
      </c>
    </row>
    <row r="396" spans="1:33">
      <c r="A396" s="63">
        <f t="shared" si="18"/>
        <v>2025.03</v>
      </c>
      <c r="B396" s="250">
        <v>2901720</v>
      </c>
      <c r="C396" s="3140">
        <v>149614</v>
      </c>
      <c r="D396" s="3140">
        <v>0</v>
      </c>
      <c r="E396" s="134">
        <v>62</v>
      </c>
      <c r="F396" s="573">
        <v>583911</v>
      </c>
      <c r="G396" s="3140">
        <v>65681</v>
      </c>
      <c r="H396" s="3140">
        <v>0</v>
      </c>
      <c r="I396" s="86">
        <v>6</v>
      </c>
      <c r="J396" s="573">
        <v>2208394</v>
      </c>
      <c r="K396" s="3140">
        <v>71298</v>
      </c>
      <c r="L396" s="3140">
        <v>0</v>
      </c>
      <c r="M396" s="86">
        <v>0</v>
      </c>
      <c r="N396" s="573">
        <v>12772</v>
      </c>
      <c r="O396" s="3140">
        <v>1181</v>
      </c>
      <c r="P396" s="3140">
        <v>0</v>
      </c>
      <c r="Q396" s="86">
        <v>0</v>
      </c>
      <c r="R396" s="134">
        <v>3231543</v>
      </c>
      <c r="S396" s="3140">
        <v>372027</v>
      </c>
      <c r="T396" s="3140">
        <v>450</v>
      </c>
      <c r="U396" s="86">
        <v>372</v>
      </c>
      <c r="V396" s="134">
        <v>61800</v>
      </c>
      <c r="W396" s="1976">
        <v>355387</v>
      </c>
      <c r="X396" s="573">
        <v>0</v>
      </c>
      <c r="Y396" s="1976">
        <v>1500</v>
      </c>
      <c r="Z396" s="641">
        <f t="shared" si="20"/>
        <v>418687</v>
      </c>
      <c r="AA396" s="1976">
        <v>418687</v>
      </c>
      <c r="AB396" s="573">
        <v>0</v>
      </c>
      <c r="AC396" s="1976">
        <v>60850</v>
      </c>
      <c r="AD396" s="573">
        <v>0</v>
      </c>
      <c r="AE396" s="1976">
        <v>0</v>
      </c>
      <c r="AF396" s="641">
        <f t="shared" si="19"/>
        <v>60850</v>
      </c>
      <c r="AG396" s="3141">
        <v>92630</v>
      </c>
    </row>
    <row r="397" spans="1:33">
      <c r="A397" s="63">
        <f t="shared" si="18"/>
        <v>2025.04</v>
      </c>
      <c r="B397" s="250">
        <v>3058869</v>
      </c>
      <c r="C397" s="3140">
        <v>128985</v>
      </c>
      <c r="D397" s="3140">
        <v>0</v>
      </c>
      <c r="E397" s="134">
        <v>6028</v>
      </c>
      <c r="F397" s="573">
        <v>617086</v>
      </c>
      <c r="G397" s="3140">
        <v>57556</v>
      </c>
      <c r="H397" s="3140">
        <v>0</v>
      </c>
      <c r="I397" s="86">
        <v>1054</v>
      </c>
      <c r="J397" s="573">
        <v>2315529</v>
      </c>
      <c r="K397" s="3140">
        <v>61415</v>
      </c>
      <c r="L397" s="3140">
        <v>0</v>
      </c>
      <c r="M397" s="86">
        <v>4302</v>
      </c>
      <c r="N397" s="573">
        <v>14254</v>
      </c>
      <c r="O397" s="3140">
        <v>2033</v>
      </c>
      <c r="P397" s="3140">
        <v>0</v>
      </c>
      <c r="Q397" s="86">
        <v>0</v>
      </c>
      <c r="R397" s="134">
        <v>3395024</v>
      </c>
      <c r="S397" s="3140">
        <v>418968</v>
      </c>
      <c r="T397" s="3140">
        <v>450</v>
      </c>
      <c r="U397" s="86">
        <v>6496</v>
      </c>
      <c r="V397" s="134">
        <v>91275</v>
      </c>
      <c r="W397" s="1976">
        <v>425347</v>
      </c>
      <c r="X397" s="573">
        <v>3670</v>
      </c>
      <c r="Y397" s="1976">
        <v>34502</v>
      </c>
      <c r="Z397" s="641">
        <f t="shared" si="20"/>
        <v>554794</v>
      </c>
      <c r="AA397" s="1976">
        <v>559294</v>
      </c>
      <c r="AB397" s="573">
        <v>0</v>
      </c>
      <c r="AC397" s="1976">
        <v>49100</v>
      </c>
      <c r="AD397" s="573">
        <v>0</v>
      </c>
      <c r="AE397" s="1976">
        <v>0</v>
      </c>
      <c r="AF397" s="641">
        <f t="shared" si="19"/>
        <v>49100</v>
      </c>
      <c r="AG397" s="3141">
        <v>119610</v>
      </c>
    </row>
    <row r="398" spans="1:33">
      <c r="A398" s="63">
        <f t="shared" si="18"/>
        <v>2025.05</v>
      </c>
      <c r="B398" s="250" t="e">
        <v>#N/A</v>
      </c>
      <c r="C398" s="3140" t="e">
        <v>#N/A</v>
      </c>
      <c r="D398" s="3140" t="e">
        <v>#N/A</v>
      </c>
      <c r="E398" s="134" t="e">
        <v>#N/A</v>
      </c>
      <c r="F398" s="573" t="e">
        <v>#N/A</v>
      </c>
      <c r="G398" s="3140" t="e">
        <v>#N/A</v>
      </c>
      <c r="H398" s="3140" t="e">
        <v>#N/A</v>
      </c>
      <c r="I398" s="86" t="e">
        <v>#N/A</v>
      </c>
      <c r="J398" s="573" t="e">
        <v>#N/A</v>
      </c>
      <c r="K398" s="3140" t="e">
        <v>#N/A</v>
      </c>
      <c r="L398" s="3140" t="e">
        <v>#N/A</v>
      </c>
      <c r="M398" s="86" t="e">
        <v>#N/A</v>
      </c>
      <c r="N398" s="573" t="e">
        <v>#N/A</v>
      </c>
      <c r="O398" s="3140" t="e">
        <v>#N/A</v>
      </c>
      <c r="P398" s="3140" t="e">
        <v>#N/A</v>
      </c>
      <c r="Q398" s="86" t="e">
        <v>#N/A</v>
      </c>
      <c r="R398" s="134" t="e">
        <v>#N/A</v>
      </c>
      <c r="S398" s="3140" t="e">
        <v>#N/A</v>
      </c>
      <c r="T398" s="3140" t="e">
        <v>#N/A</v>
      </c>
      <c r="U398" s="86" t="e">
        <v>#N/A</v>
      </c>
      <c r="V398" s="134" t="e">
        <v>#N/A</v>
      </c>
      <c r="W398" s="1976" t="e">
        <v>#N/A</v>
      </c>
      <c r="X398" s="573" t="e">
        <v>#N/A</v>
      </c>
      <c r="Y398" s="1976" t="e">
        <v>#N/A</v>
      </c>
      <c r="Z398" s="641" t="e">
        <f t="shared" si="20"/>
        <v>#N/A</v>
      </c>
      <c r="AA398" s="1976" t="e">
        <v>#N/A</v>
      </c>
      <c r="AB398" s="573" t="e">
        <v>#N/A</v>
      </c>
      <c r="AC398" s="1976" t="e">
        <v>#N/A</v>
      </c>
      <c r="AD398" s="573" t="e">
        <v>#N/A</v>
      </c>
      <c r="AE398" s="1976" t="e">
        <v>#N/A</v>
      </c>
      <c r="AF398" s="641" t="e">
        <f t="shared" si="19"/>
        <v>#N/A</v>
      </c>
      <c r="AG398" s="3141" t="e">
        <v>#N/A</v>
      </c>
    </row>
    <row r="399" spans="1:33">
      <c r="A399" s="63">
        <f t="shared" si="18"/>
        <v>2025.06</v>
      </c>
      <c r="B399" s="250" t="e">
        <v>#N/A</v>
      </c>
      <c r="C399" s="3140" t="e">
        <v>#N/A</v>
      </c>
      <c r="D399" s="3140" t="e">
        <v>#N/A</v>
      </c>
      <c r="E399" s="134" t="e">
        <v>#N/A</v>
      </c>
      <c r="F399" s="573" t="e">
        <v>#N/A</v>
      </c>
      <c r="G399" s="3140" t="e">
        <v>#N/A</v>
      </c>
      <c r="H399" s="3140" t="e">
        <v>#N/A</v>
      </c>
      <c r="I399" s="86" t="e">
        <v>#N/A</v>
      </c>
      <c r="J399" s="573" t="e">
        <v>#N/A</v>
      </c>
      <c r="K399" s="3140" t="e">
        <v>#N/A</v>
      </c>
      <c r="L399" s="3140" t="e">
        <v>#N/A</v>
      </c>
      <c r="M399" s="86" t="e">
        <v>#N/A</v>
      </c>
      <c r="N399" s="573" t="e">
        <v>#N/A</v>
      </c>
      <c r="O399" s="3140" t="e">
        <v>#N/A</v>
      </c>
      <c r="P399" s="3140" t="e">
        <v>#N/A</v>
      </c>
      <c r="Q399" s="86" t="e">
        <v>#N/A</v>
      </c>
      <c r="R399" s="134" t="e">
        <v>#N/A</v>
      </c>
      <c r="S399" s="3140" t="e">
        <v>#N/A</v>
      </c>
      <c r="T399" s="3140" t="e">
        <v>#N/A</v>
      </c>
      <c r="U399" s="86" t="e">
        <v>#N/A</v>
      </c>
      <c r="V399" s="134" t="e">
        <v>#N/A</v>
      </c>
      <c r="W399" s="1976" t="e">
        <v>#N/A</v>
      </c>
      <c r="X399" s="573" t="e">
        <v>#N/A</v>
      </c>
      <c r="Y399" s="1976" t="e">
        <v>#N/A</v>
      </c>
      <c r="Z399" s="641" t="e">
        <f t="shared" si="20"/>
        <v>#N/A</v>
      </c>
      <c r="AA399" s="1976" t="e">
        <v>#N/A</v>
      </c>
      <c r="AB399" s="573" t="e">
        <v>#N/A</v>
      </c>
      <c r="AC399" s="1976" t="e">
        <v>#N/A</v>
      </c>
      <c r="AD399" s="573" t="e">
        <v>#N/A</v>
      </c>
      <c r="AE399" s="1976" t="e">
        <v>#N/A</v>
      </c>
      <c r="AF399" s="641" t="e">
        <f t="shared" si="19"/>
        <v>#N/A</v>
      </c>
      <c r="AG399" s="3141" t="e">
        <v>#N/A</v>
      </c>
    </row>
    <row r="400" spans="1:33">
      <c r="A400" s="63">
        <f t="shared" si="18"/>
        <v>2025.07</v>
      </c>
      <c r="B400" s="250" t="e">
        <v>#N/A</v>
      </c>
      <c r="C400" s="3140" t="e">
        <v>#N/A</v>
      </c>
      <c r="D400" s="3140" t="e">
        <v>#N/A</v>
      </c>
      <c r="E400" s="134" t="e">
        <v>#N/A</v>
      </c>
      <c r="F400" s="573" t="e">
        <v>#N/A</v>
      </c>
      <c r="G400" s="3140" t="e">
        <v>#N/A</v>
      </c>
      <c r="H400" s="3140" t="e">
        <v>#N/A</v>
      </c>
      <c r="I400" s="86" t="e">
        <v>#N/A</v>
      </c>
      <c r="J400" s="573" t="e">
        <v>#N/A</v>
      </c>
      <c r="K400" s="3140" t="e">
        <v>#N/A</v>
      </c>
      <c r="L400" s="3140" t="e">
        <v>#N/A</v>
      </c>
      <c r="M400" s="86" t="e">
        <v>#N/A</v>
      </c>
      <c r="N400" s="573" t="e">
        <v>#N/A</v>
      </c>
      <c r="O400" s="3140" t="e">
        <v>#N/A</v>
      </c>
      <c r="P400" s="3140" t="e">
        <v>#N/A</v>
      </c>
      <c r="Q400" s="86" t="e">
        <v>#N/A</v>
      </c>
      <c r="R400" s="134" t="e">
        <v>#N/A</v>
      </c>
      <c r="S400" s="3140" t="e">
        <v>#N/A</v>
      </c>
      <c r="T400" s="3140" t="e">
        <v>#N/A</v>
      </c>
      <c r="U400" s="86" t="e">
        <v>#N/A</v>
      </c>
      <c r="V400" s="134" t="e">
        <v>#N/A</v>
      </c>
      <c r="W400" s="1976" t="e">
        <v>#N/A</v>
      </c>
      <c r="X400" s="573" t="e">
        <v>#N/A</v>
      </c>
      <c r="Y400" s="1976" t="e">
        <v>#N/A</v>
      </c>
      <c r="Z400" s="641" t="e">
        <f t="shared" si="20"/>
        <v>#N/A</v>
      </c>
      <c r="AA400" s="1976" t="e">
        <v>#N/A</v>
      </c>
      <c r="AB400" s="573" t="e">
        <v>#N/A</v>
      </c>
      <c r="AC400" s="1976" t="e">
        <v>#N/A</v>
      </c>
      <c r="AD400" s="573" t="e">
        <v>#N/A</v>
      </c>
      <c r="AE400" s="1976" t="e">
        <v>#N/A</v>
      </c>
      <c r="AF400" s="641" t="e">
        <f t="shared" si="19"/>
        <v>#N/A</v>
      </c>
      <c r="AG400" s="3141" t="e">
        <v>#N/A</v>
      </c>
    </row>
    <row r="401" spans="1:33">
      <c r="A401" s="63">
        <f t="shared" si="18"/>
        <v>2025.08</v>
      </c>
      <c r="B401" s="250" t="e">
        <v>#N/A</v>
      </c>
      <c r="C401" s="3140" t="e">
        <v>#N/A</v>
      </c>
      <c r="D401" s="3140" t="e">
        <v>#N/A</v>
      </c>
      <c r="E401" s="134" t="e">
        <v>#N/A</v>
      </c>
      <c r="F401" s="573" t="e">
        <v>#N/A</v>
      </c>
      <c r="G401" s="3140" t="e">
        <v>#N/A</v>
      </c>
      <c r="H401" s="3140" t="e">
        <v>#N/A</v>
      </c>
      <c r="I401" s="86" t="e">
        <v>#N/A</v>
      </c>
      <c r="J401" s="573" t="e">
        <v>#N/A</v>
      </c>
      <c r="K401" s="3140" t="e">
        <v>#N/A</v>
      </c>
      <c r="L401" s="3140" t="e">
        <v>#N/A</v>
      </c>
      <c r="M401" s="86" t="e">
        <v>#N/A</v>
      </c>
      <c r="N401" s="573" t="e">
        <v>#N/A</v>
      </c>
      <c r="O401" s="3140" t="e">
        <v>#N/A</v>
      </c>
      <c r="P401" s="3140" t="e">
        <v>#N/A</v>
      </c>
      <c r="Q401" s="86" t="e">
        <v>#N/A</v>
      </c>
      <c r="R401" s="134" t="e">
        <v>#N/A</v>
      </c>
      <c r="S401" s="3140" t="e">
        <v>#N/A</v>
      </c>
      <c r="T401" s="3140" t="e">
        <v>#N/A</v>
      </c>
      <c r="U401" s="86" t="e">
        <v>#N/A</v>
      </c>
      <c r="V401" s="134" t="e">
        <v>#N/A</v>
      </c>
      <c r="W401" s="1976" t="e">
        <v>#N/A</v>
      </c>
      <c r="X401" s="573" t="e">
        <v>#N/A</v>
      </c>
      <c r="Y401" s="1976" t="e">
        <v>#N/A</v>
      </c>
      <c r="Z401" s="641" t="e">
        <f t="shared" si="20"/>
        <v>#N/A</v>
      </c>
      <c r="AA401" s="1976" t="e">
        <v>#N/A</v>
      </c>
      <c r="AB401" s="573" t="e">
        <v>#N/A</v>
      </c>
      <c r="AC401" s="1976" t="e">
        <v>#N/A</v>
      </c>
      <c r="AD401" s="573" t="e">
        <v>#N/A</v>
      </c>
      <c r="AE401" s="1976" t="e">
        <v>#N/A</v>
      </c>
      <c r="AF401" s="641" t="e">
        <f t="shared" si="19"/>
        <v>#N/A</v>
      </c>
      <c r="AG401" s="3141" t="e">
        <v>#N/A</v>
      </c>
    </row>
    <row r="402" spans="1:33">
      <c r="A402" s="63">
        <f t="shared" si="18"/>
        <v>2025.09</v>
      </c>
      <c r="B402" s="250" t="e">
        <v>#N/A</v>
      </c>
      <c r="C402" s="3140" t="e">
        <v>#N/A</v>
      </c>
      <c r="D402" s="3140" t="e">
        <v>#N/A</v>
      </c>
      <c r="E402" s="134" t="e">
        <v>#N/A</v>
      </c>
      <c r="F402" s="573" t="e">
        <v>#N/A</v>
      </c>
      <c r="G402" s="3140" t="e">
        <v>#N/A</v>
      </c>
      <c r="H402" s="3140" t="e">
        <v>#N/A</v>
      </c>
      <c r="I402" s="86" t="e">
        <v>#N/A</v>
      </c>
      <c r="J402" s="573" t="e">
        <v>#N/A</v>
      </c>
      <c r="K402" s="3140" t="e">
        <v>#N/A</v>
      </c>
      <c r="L402" s="3140" t="e">
        <v>#N/A</v>
      </c>
      <c r="M402" s="86" t="e">
        <v>#N/A</v>
      </c>
      <c r="N402" s="573" t="e">
        <v>#N/A</v>
      </c>
      <c r="O402" s="3140" t="e">
        <v>#N/A</v>
      </c>
      <c r="P402" s="3140" t="e">
        <v>#N/A</v>
      </c>
      <c r="Q402" s="86" t="e">
        <v>#N/A</v>
      </c>
      <c r="R402" s="134" t="e">
        <v>#N/A</v>
      </c>
      <c r="S402" s="3140" t="e">
        <v>#N/A</v>
      </c>
      <c r="T402" s="3140" t="e">
        <v>#N/A</v>
      </c>
      <c r="U402" s="86" t="e">
        <v>#N/A</v>
      </c>
      <c r="V402" s="134" t="e">
        <v>#N/A</v>
      </c>
      <c r="W402" s="1976" t="e">
        <v>#N/A</v>
      </c>
      <c r="X402" s="573" t="e">
        <v>#N/A</v>
      </c>
      <c r="Y402" s="1976" t="e">
        <v>#N/A</v>
      </c>
      <c r="Z402" s="641" t="e">
        <f t="shared" si="20"/>
        <v>#N/A</v>
      </c>
      <c r="AA402" s="1976" t="e">
        <v>#N/A</v>
      </c>
      <c r="AB402" s="573" t="e">
        <v>#N/A</v>
      </c>
      <c r="AC402" s="1976" t="e">
        <v>#N/A</v>
      </c>
      <c r="AD402" s="573" t="e">
        <v>#N/A</v>
      </c>
      <c r="AE402" s="1976" t="e">
        <v>#N/A</v>
      </c>
      <c r="AF402" s="641" t="e">
        <f t="shared" si="19"/>
        <v>#N/A</v>
      </c>
      <c r="AG402" s="3141" t="e">
        <v>#N/A</v>
      </c>
    </row>
    <row r="403" spans="1:33">
      <c r="A403" s="63">
        <f t="shared" si="18"/>
        <v>2025.1</v>
      </c>
      <c r="B403" s="250" t="e">
        <v>#N/A</v>
      </c>
      <c r="C403" s="3140" t="e">
        <v>#N/A</v>
      </c>
      <c r="D403" s="3140" t="e">
        <v>#N/A</v>
      </c>
      <c r="E403" s="134" t="e">
        <v>#N/A</v>
      </c>
      <c r="F403" s="573" t="e">
        <v>#N/A</v>
      </c>
      <c r="G403" s="3140" t="e">
        <v>#N/A</v>
      </c>
      <c r="H403" s="3140" t="e">
        <v>#N/A</v>
      </c>
      <c r="I403" s="86" t="e">
        <v>#N/A</v>
      </c>
      <c r="J403" s="573" t="e">
        <v>#N/A</v>
      </c>
      <c r="K403" s="3140" t="e">
        <v>#N/A</v>
      </c>
      <c r="L403" s="3140" t="e">
        <v>#N/A</v>
      </c>
      <c r="M403" s="86" t="e">
        <v>#N/A</v>
      </c>
      <c r="N403" s="573" t="e">
        <v>#N/A</v>
      </c>
      <c r="O403" s="3140" t="e">
        <v>#N/A</v>
      </c>
      <c r="P403" s="3140" t="e">
        <v>#N/A</v>
      </c>
      <c r="Q403" s="86" t="e">
        <v>#N/A</v>
      </c>
      <c r="R403" s="134" t="e">
        <v>#N/A</v>
      </c>
      <c r="S403" s="3140" t="e">
        <v>#N/A</v>
      </c>
      <c r="T403" s="3140" t="e">
        <v>#N/A</v>
      </c>
      <c r="U403" s="86" t="e">
        <v>#N/A</v>
      </c>
      <c r="V403" s="134" t="e">
        <v>#N/A</v>
      </c>
      <c r="W403" s="1976" t="e">
        <v>#N/A</v>
      </c>
      <c r="X403" s="573" t="e">
        <v>#N/A</v>
      </c>
      <c r="Y403" s="1976" t="e">
        <v>#N/A</v>
      </c>
      <c r="Z403" s="641" t="e">
        <f t="shared" si="20"/>
        <v>#N/A</v>
      </c>
      <c r="AA403" s="1976" t="e">
        <v>#N/A</v>
      </c>
      <c r="AB403" s="573" t="e">
        <v>#N/A</v>
      </c>
      <c r="AC403" s="1976" t="e">
        <v>#N/A</v>
      </c>
      <c r="AD403" s="573" t="e">
        <v>#N/A</v>
      </c>
      <c r="AE403" s="1976" t="e">
        <v>#N/A</v>
      </c>
      <c r="AF403" s="641" t="e">
        <f t="shared" si="19"/>
        <v>#N/A</v>
      </c>
      <c r="AG403" s="3141" t="e">
        <v>#N/A</v>
      </c>
    </row>
    <row r="404" spans="1:33">
      <c r="A404" s="63">
        <f t="shared" si="18"/>
        <v>2025.11</v>
      </c>
      <c r="B404" s="250" t="e">
        <v>#N/A</v>
      </c>
      <c r="C404" s="3140" t="e">
        <v>#N/A</v>
      </c>
      <c r="D404" s="3140" t="e">
        <v>#N/A</v>
      </c>
      <c r="E404" s="134" t="e">
        <v>#N/A</v>
      </c>
      <c r="F404" s="573" t="e">
        <v>#N/A</v>
      </c>
      <c r="G404" s="3140" t="e">
        <v>#N/A</v>
      </c>
      <c r="H404" s="3140" t="e">
        <v>#N/A</v>
      </c>
      <c r="I404" s="86" t="e">
        <v>#N/A</v>
      </c>
      <c r="J404" s="573" t="e">
        <v>#N/A</v>
      </c>
      <c r="K404" s="3140" t="e">
        <v>#N/A</v>
      </c>
      <c r="L404" s="3140" t="e">
        <v>#N/A</v>
      </c>
      <c r="M404" s="86" t="e">
        <v>#N/A</v>
      </c>
      <c r="N404" s="573" t="e">
        <v>#N/A</v>
      </c>
      <c r="O404" s="3140" t="e">
        <v>#N/A</v>
      </c>
      <c r="P404" s="3140" t="e">
        <v>#N/A</v>
      </c>
      <c r="Q404" s="86" t="e">
        <v>#N/A</v>
      </c>
      <c r="R404" s="134" t="e">
        <v>#N/A</v>
      </c>
      <c r="S404" s="3140" t="e">
        <v>#N/A</v>
      </c>
      <c r="T404" s="3140" t="e">
        <v>#N/A</v>
      </c>
      <c r="U404" s="86" t="e">
        <v>#N/A</v>
      </c>
      <c r="V404" s="134" t="e">
        <v>#N/A</v>
      </c>
      <c r="W404" s="1976" t="e">
        <v>#N/A</v>
      </c>
      <c r="X404" s="573" t="e">
        <v>#N/A</v>
      </c>
      <c r="Y404" s="1976" t="e">
        <v>#N/A</v>
      </c>
      <c r="Z404" s="641" t="e">
        <f t="shared" si="20"/>
        <v>#N/A</v>
      </c>
      <c r="AA404" s="1976" t="e">
        <v>#N/A</v>
      </c>
      <c r="AB404" s="573" t="e">
        <v>#N/A</v>
      </c>
      <c r="AC404" s="1976" t="e">
        <v>#N/A</v>
      </c>
      <c r="AD404" s="573" t="e">
        <v>#N/A</v>
      </c>
      <c r="AE404" s="1976" t="e">
        <v>#N/A</v>
      </c>
      <c r="AF404" s="641" t="e">
        <f t="shared" si="19"/>
        <v>#N/A</v>
      </c>
      <c r="AG404" s="3141" t="e">
        <v>#N/A</v>
      </c>
    </row>
    <row r="405" spans="1:33">
      <c r="A405" s="63">
        <f t="shared" si="18"/>
        <v>2025.12</v>
      </c>
      <c r="B405" s="250" t="e">
        <v>#N/A</v>
      </c>
      <c r="C405" s="3140" t="e">
        <v>#N/A</v>
      </c>
      <c r="D405" s="3140" t="e">
        <v>#N/A</v>
      </c>
      <c r="E405" s="134" t="e">
        <v>#N/A</v>
      </c>
      <c r="F405" s="573" t="e">
        <v>#N/A</v>
      </c>
      <c r="G405" s="3140" t="e">
        <v>#N/A</v>
      </c>
      <c r="H405" s="3140" t="e">
        <v>#N/A</v>
      </c>
      <c r="I405" s="86" t="e">
        <v>#N/A</v>
      </c>
      <c r="J405" s="573" t="e">
        <v>#N/A</v>
      </c>
      <c r="K405" s="3140" t="e">
        <v>#N/A</v>
      </c>
      <c r="L405" s="3140" t="e">
        <v>#N/A</v>
      </c>
      <c r="M405" s="86" t="e">
        <v>#N/A</v>
      </c>
      <c r="N405" s="573" t="e">
        <v>#N/A</v>
      </c>
      <c r="O405" s="3140" t="e">
        <v>#N/A</v>
      </c>
      <c r="P405" s="3140" t="e">
        <v>#N/A</v>
      </c>
      <c r="Q405" s="86" t="e">
        <v>#N/A</v>
      </c>
      <c r="R405" s="134" t="e">
        <v>#N/A</v>
      </c>
      <c r="S405" s="3140" t="e">
        <v>#N/A</v>
      </c>
      <c r="T405" s="3140" t="e">
        <v>#N/A</v>
      </c>
      <c r="U405" s="86" t="e">
        <v>#N/A</v>
      </c>
      <c r="V405" s="134" t="e">
        <v>#N/A</v>
      </c>
      <c r="W405" s="1976" t="e">
        <v>#N/A</v>
      </c>
      <c r="X405" s="573" t="e">
        <v>#N/A</v>
      </c>
      <c r="Y405" s="1976" t="e">
        <v>#N/A</v>
      </c>
      <c r="Z405" s="641" t="e">
        <f t="shared" si="20"/>
        <v>#N/A</v>
      </c>
      <c r="AA405" s="1976" t="e">
        <v>#N/A</v>
      </c>
      <c r="AB405" s="573" t="e">
        <v>#N/A</v>
      </c>
      <c r="AC405" s="1976" t="e">
        <v>#N/A</v>
      </c>
      <c r="AD405" s="573" t="e">
        <v>#N/A</v>
      </c>
      <c r="AE405" s="1976" t="e">
        <v>#N/A</v>
      </c>
      <c r="AF405" s="641" t="e">
        <f t="shared" si="19"/>
        <v>#N/A</v>
      </c>
      <c r="AG405" s="3141" t="e">
        <v>#N/A</v>
      </c>
    </row>
    <row r="406" spans="1:33">
      <c r="A406" s="63">
        <f t="shared" si="18"/>
        <v>2026.01</v>
      </c>
      <c r="B406" s="250" t="e">
        <v>#N/A</v>
      </c>
      <c r="C406" s="3140" t="e">
        <v>#N/A</v>
      </c>
      <c r="D406" s="3140" t="e">
        <v>#N/A</v>
      </c>
      <c r="E406" s="134" t="e">
        <v>#N/A</v>
      </c>
      <c r="F406" s="573" t="e">
        <v>#N/A</v>
      </c>
      <c r="G406" s="3140" t="e">
        <v>#N/A</v>
      </c>
      <c r="H406" s="3140" t="e">
        <v>#N/A</v>
      </c>
      <c r="I406" s="86" t="e">
        <v>#N/A</v>
      </c>
      <c r="J406" s="573" t="e">
        <v>#N/A</v>
      </c>
      <c r="K406" s="3140" t="e">
        <v>#N/A</v>
      </c>
      <c r="L406" s="3140" t="e">
        <v>#N/A</v>
      </c>
      <c r="M406" s="86" t="e">
        <v>#N/A</v>
      </c>
      <c r="N406" s="573" t="e">
        <v>#N/A</v>
      </c>
      <c r="O406" s="3140" t="e">
        <v>#N/A</v>
      </c>
      <c r="P406" s="3140" t="e">
        <v>#N/A</v>
      </c>
      <c r="Q406" s="86" t="e">
        <v>#N/A</v>
      </c>
      <c r="R406" s="134" t="e">
        <v>#N/A</v>
      </c>
      <c r="S406" s="3140" t="e">
        <v>#N/A</v>
      </c>
      <c r="T406" s="3140" t="e">
        <v>#N/A</v>
      </c>
      <c r="U406" s="86" t="e">
        <v>#N/A</v>
      </c>
      <c r="V406" s="134" t="e">
        <v>#N/A</v>
      </c>
      <c r="W406" s="1976" t="e">
        <v>#N/A</v>
      </c>
      <c r="X406" s="573" t="e">
        <v>#N/A</v>
      </c>
      <c r="Y406" s="1976" t="e">
        <v>#N/A</v>
      </c>
      <c r="Z406" s="641" t="e">
        <f t="shared" ref="Z406:Z419" si="21">SUM(V406:Y406)</f>
        <v>#N/A</v>
      </c>
      <c r="AA406" s="1976" t="e">
        <v>#N/A</v>
      </c>
      <c r="AB406" s="573" t="e">
        <v>#N/A</v>
      </c>
      <c r="AC406" s="1976" t="e">
        <v>#N/A</v>
      </c>
      <c r="AD406" s="573" t="e">
        <v>#N/A</v>
      </c>
      <c r="AE406" s="1976" t="e">
        <v>#N/A</v>
      </c>
      <c r="AF406" s="641" t="e">
        <f t="shared" ref="AF406:AF419" si="22">SUM(AB406:AE406)</f>
        <v>#N/A</v>
      </c>
      <c r="AG406" s="3141" t="e">
        <v>#N/A</v>
      </c>
    </row>
    <row r="407" spans="1:33">
      <c r="A407" s="63">
        <f t="shared" si="18"/>
        <v>2026.02</v>
      </c>
      <c r="B407" s="250" t="e">
        <v>#N/A</v>
      </c>
      <c r="C407" s="3140" t="e">
        <v>#N/A</v>
      </c>
      <c r="D407" s="3140" t="e">
        <v>#N/A</v>
      </c>
      <c r="E407" s="134" t="e">
        <v>#N/A</v>
      </c>
      <c r="F407" s="573" t="e">
        <v>#N/A</v>
      </c>
      <c r="G407" s="3140" t="e">
        <v>#N/A</v>
      </c>
      <c r="H407" s="3140" t="e">
        <v>#N/A</v>
      </c>
      <c r="I407" s="86" t="e">
        <v>#N/A</v>
      </c>
      <c r="J407" s="573" t="e">
        <v>#N/A</v>
      </c>
      <c r="K407" s="3140" t="e">
        <v>#N/A</v>
      </c>
      <c r="L407" s="3140" t="e">
        <v>#N/A</v>
      </c>
      <c r="M407" s="86" t="e">
        <v>#N/A</v>
      </c>
      <c r="N407" s="573" t="e">
        <v>#N/A</v>
      </c>
      <c r="O407" s="3140" t="e">
        <v>#N/A</v>
      </c>
      <c r="P407" s="3140" t="e">
        <v>#N/A</v>
      </c>
      <c r="Q407" s="86" t="e">
        <v>#N/A</v>
      </c>
      <c r="R407" s="134" t="e">
        <v>#N/A</v>
      </c>
      <c r="S407" s="3140" t="e">
        <v>#N/A</v>
      </c>
      <c r="T407" s="3140" t="e">
        <v>#N/A</v>
      </c>
      <c r="U407" s="86" t="e">
        <v>#N/A</v>
      </c>
      <c r="V407" s="134" t="e">
        <v>#N/A</v>
      </c>
      <c r="W407" s="1976" t="e">
        <v>#N/A</v>
      </c>
      <c r="X407" s="573" t="e">
        <v>#N/A</v>
      </c>
      <c r="Y407" s="1976" t="e">
        <v>#N/A</v>
      </c>
      <c r="Z407" s="641" t="e">
        <f t="shared" si="21"/>
        <v>#N/A</v>
      </c>
      <c r="AA407" s="1976" t="e">
        <v>#N/A</v>
      </c>
      <c r="AB407" s="573" t="e">
        <v>#N/A</v>
      </c>
      <c r="AC407" s="1976" t="e">
        <v>#N/A</v>
      </c>
      <c r="AD407" s="573" t="e">
        <v>#N/A</v>
      </c>
      <c r="AE407" s="1976" t="e">
        <v>#N/A</v>
      </c>
      <c r="AF407" s="641" t="e">
        <f t="shared" si="22"/>
        <v>#N/A</v>
      </c>
      <c r="AG407" s="3141" t="e">
        <v>#N/A</v>
      </c>
    </row>
    <row r="408" spans="1:33">
      <c r="A408" s="63">
        <f t="shared" si="18"/>
        <v>2026.03</v>
      </c>
      <c r="B408" s="250" t="e">
        <v>#N/A</v>
      </c>
      <c r="C408" s="3140" t="e">
        <v>#N/A</v>
      </c>
      <c r="D408" s="3140" t="e">
        <v>#N/A</v>
      </c>
      <c r="E408" s="134" t="e">
        <v>#N/A</v>
      </c>
      <c r="F408" s="573" t="e">
        <v>#N/A</v>
      </c>
      <c r="G408" s="3140" t="e">
        <v>#N/A</v>
      </c>
      <c r="H408" s="3140" t="e">
        <v>#N/A</v>
      </c>
      <c r="I408" s="86" t="e">
        <v>#N/A</v>
      </c>
      <c r="J408" s="573" t="e">
        <v>#N/A</v>
      </c>
      <c r="K408" s="3140" t="e">
        <v>#N/A</v>
      </c>
      <c r="L408" s="3140" t="e">
        <v>#N/A</v>
      </c>
      <c r="M408" s="86" t="e">
        <v>#N/A</v>
      </c>
      <c r="N408" s="573" t="e">
        <v>#N/A</v>
      </c>
      <c r="O408" s="3140" t="e">
        <v>#N/A</v>
      </c>
      <c r="P408" s="3140" t="e">
        <v>#N/A</v>
      </c>
      <c r="Q408" s="86" t="e">
        <v>#N/A</v>
      </c>
      <c r="R408" s="134" t="e">
        <v>#N/A</v>
      </c>
      <c r="S408" s="3140" t="e">
        <v>#N/A</v>
      </c>
      <c r="T408" s="3140" t="e">
        <v>#N/A</v>
      </c>
      <c r="U408" s="86" t="e">
        <v>#N/A</v>
      </c>
      <c r="V408" s="134" t="e">
        <v>#N/A</v>
      </c>
      <c r="W408" s="1976" t="e">
        <v>#N/A</v>
      </c>
      <c r="X408" s="573" t="e">
        <v>#N/A</v>
      </c>
      <c r="Y408" s="1976" t="e">
        <v>#N/A</v>
      </c>
      <c r="Z408" s="641" t="e">
        <f t="shared" si="21"/>
        <v>#N/A</v>
      </c>
      <c r="AA408" s="1976" t="e">
        <v>#N/A</v>
      </c>
      <c r="AB408" s="573" t="e">
        <v>#N/A</v>
      </c>
      <c r="AC408" s="1976" t="e">
        <v>#N/A</v>
      </c>
      <c r="AD408" s="573" t="e">
        <v>#N/A</v>
      </c>
      <c r="AE408" s="1976" t="e">
        <v>#N/A</v>
      </c>
      <c r="AF408" s="641" t="e">
        <f t="shared" si="22"/>
        <v>#N/A</v>
      </c>
      <c r="AG408" s="3141" t="e">
        <v>#N/A</v>
      </c>
    </row>
    <row r="409" spans="1:33">
      <c r="A409" s="63">
        <f t="shared" si="18"/>
        <v>2026.04</v>
      </c>
      <c r="B409" s="250" t="e">
        <v>#N/A</v>
      </c>
      <c r="C409" s="3140" t="e">
        <v>#N/A</v>
      </c>
      <c r="D409" s="3140" t="e">
        <v>#N/A</v>
      </c>
      <c r="E409" s="134" t="e">
        <v>#N/A</v>
      </c>
      <c r="F409" s="573" t="e">
        <v>#N/A</v>
      </c>
      <c r="G409" s="3140" t="e">
        <v>#N/A</v>
      </c>
      <c r="H409" s="3140" t="e">
        <v>#N/A</v>
      </c>
      <c r="I409" s="86" t="e">
        <v>#N/A</v>
      </c>
      <c r="J409" s="573" t="e">
        <v>#N/A</v>
      </c>
      <c r="K409" s="3140" t="e">
        <v>#N/A</v>
      </c>
      <c r="L409" s="3140" t="e">
        <v>#N/A</v>
      </c>
      <c r="M409" s="86" t="e">
        <v>#N/A</v>
      </c>
      <c r="N409" s="573" t="e">
        <v>#N/A</v>
      </c>
      <c r="O409" s="3140" t="e">
        <v>#N/A</v>
      </c>
      <c r="P409" s="3140" t="e">
        <v>#N/A</v>
      </c>
      <c r="Q409" s="86" t="e">
        <v>#N/A</v>
      </c>
      <c r="R409" s="134" t="e">
        <v>#N/A</v>
      </c>
      <c r="S409" s="3140" t="e">
        <v>#N/A</v>
      </c>
      <c r="T409" s="3140" t="e">
        <v>#N/A</v>
      </c>
      <c r="U409" s="86" t="e">
        <v>#N/A</v>
      </c>
      <c r="V409" s="134" t="e">
        <v>#N/A</v>
      </c>
      <c r="W409" s="1976" t="e">
        <v>#N/A</v>
      </c>
      <c r="X409" s="573" t="e">
        <v>#N/A</v>
      </c>
      <c r="Y409" s="1976" t="e">
        <v>#N/A</v>
      </c>
      <c r="Z409" s="641" t="e">
        <f t="shared" si="21"/>
        <v>#N/A</v>
      </c>
      <c r="AA409" s="1976" t="e">
        <v>#N/A</v>
      </c>
      <c r="AB409" s="573" t="e">
        <v>#N/A</v>
      </c>
      <c r="AC409" s="1976" t="e">
        <v>#N/A</v>
      </c>
      <c r="AD409" s="573" t="e">
        <v>#N/A</v>
      </c>
      <c r="AE409" s="1976" t="e">
        <v>#N/A</v>
      </c>
      <c r="AF409" s="641" t="e">
        <f t="shared" si="22"/>
        <v>#N/A</v>
      </c>
      <c r="AG409" s="3141" t="e">
        <v>#N/A</v>
      </c>
    </row>
    <row r="410" spans="1:33">
      <c r="A410" s="63">
        <f t="shared" ref="A410:A465" si="23">A398+1</f>
        <v>2026.05</v>
      </c>
      <c r="B410" s="250" t="e">
        <v>#N/A</v>
      </c>
      <c r="C410" s="3140" t="e">
        <v>#N/A</v>
      </c>
      <c r="D410" s="3140" t="e">
        <v>#N/A</v>
      </c>
      <c r="E410" s="134" t="e">
        <v>#N/A</v>
      </c>
      <c r="F410" s="573" t="e">
        <v>#N/A</v>
      </c>
      <c r="G410" s="3140" t="e">
        <v>#N/A</v>
      </c>
      <c r="H410" s="3140" t="e">
        <v>#N/A</v>
      </c>
      <c r="I410" s="86" t="e">
        <v>#N/A</v>
      </c>
      <c r="J410" s="573" t="e">
        <v>#N/A</v>
      </c>
      <c r="K410" s="3140" t="e">
        <v>#N/A</v>
      </c>
      <c r="L410" s="3140" t="e">
        <v>#N/A</v>
      </c>
      <c r="M410" s="86" t="e">
        <v>#N/A</v>
      </c>
      <c r="N410" s="573" t="e">
        <v>#N/A</v>
      </c>
      <c r="O410" s="3140" t="e">
        <v>#N/A</v>
      </c>
      <c r="P410" s="3140" t="e">
        <v>#N/A</v>
      </c>
      <c r="Q410" s="86" t="e">
        <v>#N/A</v>
      </c>
      <c r="R410" s="134" t="e">
        <v>#N/A</v>
      </c>
      <c r="S410" s="3140" t="e">
        <v>#N/A</v>
      </c>
      <c r="T410" s="3140" t="e">
        <v>#N/A</v>
      </c>
      <c r="U410" s="86" t="e">
        <v>#N/A</v>
      </c>
      <c r="V410" s="134" t="e">
        <v>#N/A</v>
      </c>
      <c r="W410" s="1976" t="e">
        <v>#N/A</v>
      </c>
      <c r="X410" s="573" t="e">
        <v>#N/A</v>
      </c>
      <c r="Y410" s="1976" t="e">
        <v>#N/A</v>
      </c>
      <c r="Z410" s="641" t="e">
        <f t="shared" si="21"/>
        <v>#N/A</v>
      </c>
      <c r="AA410" s="1976" t="e">
        <v>#N/A</v>
      </c>
      <c r="AB410" s="573" t="e">
        <v>#N/A</v>
      </c>
      <c r="AC410" s="1976" t="e">
        <v>#N/A</v>
      </c>
      <c r="AD410" s="573" t="e">
        <v>#N/A</v>
      </c>
      <c r="AE410" s="1976" t="e">
        <v>#N/A</v>
      </c>
      <c r="AF410" s="641" t="e">
        <f t="shared" si="22"/>
        <v>#N/A</v>
      </c>
      <c r="AG410" s="3141" t="e">
        <v>#N/A</v>
      </c>
    </row>
    <row r="411" spans="1:33">
      <c r="A411" s="63">
        <f t="shared" si="23"/>
        <v>2026.06</v>
      </c>
      <c r="B411" s="250" t="e">
        <v>#N/A</v>
      </c>
      <c r="C411" s="3140" t="e">
        <v>#N/A</v>
      </c>
      <c r="D411" s="3140" t="e">
        <v>#N/A</v>
      </c>
      <c r="E411" s="134" t="e">
        <v>#N/A</v>
      </c>
      <c r="F411" s="573" t="e">
        <v>#N/A</v>
      </c>
      <c r="G411" s="3140" t="e">
        <v>#N/A</v>
      </c>
      <c r="H411" s="3140" t="e">
        <v>#N/A</v>
      </c>
      <c r="I411" s="86" t="e">
        <v>#N/A</v>
      </c>
      <c r="J411" s="573" t="e">
        <v>#N/A</v>
      </c>
      <c r="K411" s="3140" t="e">
        <v>#N/A</v>
      </c>
      <c r="L411" s="3140" t="e">
        <v>#N/A</v>
      </c>
      <c r="M411" s="86" t="e">
        <v>#N/A</v>
      </c>
      <c r="N411" s="573" t="e">
        <v>#N/A</v>
      </c>
      <c r="O411" s="3140" t="e">
        <v>#N/A</v>
      </c>
      <c r="P411" s="3140" t="e">
        <v>#N/A</v>
      </c>
      <c r="Q411" s="86" t="e">
        <v>#N/A</v>
      </c>
      <c r="R411" s="134" t="e">
        <v>#N/A</v>
      </c>
      <c r="S411" s="3140" t="e">
        <v>#N/A</v>
      </c>
      <c r="T411" s="3140" t="e">
        <v>#N/A</v>
      </c>
      <c r="U411" s="86" t="e">
        <v>#N/A</v>
      </c>
      <c r="V411" s="134" t="e">
        <v>#N/A</v>
      </c>
      <c r="W411" s="1976" t="e">
        <v>#N/A</v>
      </c>
      <c r="X411" s="573" t="e">
        <v>#N/A</v>
      </c>
      <c r="Y411" s="1976" t="e">
        <v>#N/A</v>
      </c>
      <c r="Z411" s="641" t="e">
        <f t="shared" si="21"/>
        <v>#N/A</v>
      </c>
      <c r="AA411" s="1976" t="e">
        <v>#N/A</v>
      </c>
      <c r="AB411" s="573" t="e">
        <v>#N/A</v>
      </c>
      <c r="AC411" s="1976" t="e">
        <v>#N/A</v>
      </c>
      <c r="AD411" s="573" t="e">
        <v>#N/A</v>
      </c>
      <c r="AE411" s="1976" t="e">
        <v>#N/A</v>
      </c>
      <c r="AF411" s="641" t="e">
        <f t="shared" si="22"/>
        <v>#N/A</v>
      </c>
      <c r="AG411" s="3141" t="e">
        <v>#N/A</v>
      </c>
    </row>
    <row r="412" spans="1:33">
      <c r="A412" s="63">
        <f t="shared" si="23"/>
        <v>2026.07</v>
      </c>
      <c r="B412" s="250" t="e">
        <v>#N/A</v>
      </c>
      <c r="C412" s="3140" t="e">
        <v>#N/A</v>
      </c>
      <c r="D412" s="3140" t="e">
        <v>#N/A</v>
      </c>
      <c r="E412" s="134" t="e">
        <v>#N/A</v>
      </c>
      <c r="F412" s="573" t="e">
        <v>#N/A</v>
      </c>
      <c r="G412" s="3140" t="e">
        <v>#N/A</v>
      </c>
      <c r="H412" s="3140" t="e">
        <v>#N/A</v>
      </c>
      <c r="I412" s="86" t="e">
        <v>#N/A</v>
      </c>
      <c r="J412" s="573" t="e">
        <v>#N/A</v>
      </c>
      <c r="K412" s="3140" t="e">
        <v>#N/A</v>
      </c>
      <c r="L412" s="3140" t="e">
        <v>#N/A</v>
      </c>
      <c r="M412" s="86" t="e">
        <v>#N/A</v>
      </c>
      <c r="N412" s="573" t="e">
        <v>#N/A</v>
      </c>
      <c r="O412" s="3140" t="e">
        <v>#N/A</v>
      </c>
      <c r="P412" s="3140" t="e">
        <v>#N/A</v>
      </c>
      <c r="Q412" s="86" t="e">
        <v>#N/A</v>
      </c>
      <c r="R412" s="134" t="e">
        <v>#N/A</v>
      </c>
      <c r="S412" s="3140" t="e">
        <v>#N/A</v>
      </c>
      <c r="T412" s="3140" t="e">
        <v>#N/A</v>
      </c>
      <c r="U412" s="86" t="e">
        <v>#N/A</v>
      </c>
      <c r="V412" s="134" t="e">
        <v>#N/A</v>
      </c>
      <c r="W412" s="1976" t="e">
        <v>#N/A</v>
      </c>
      <c r="X412" s="573" t="e">
        <v>#N/A</v>
      </c>
      <c r="Y412" s="1976" t="e">
        <v>#N/A</v>
      </c>
      <c r="Z412" s="641" t="e">
        <f t="shared" si="21"/>
        <v>#N/A</v>
      </c>
      <c r="AA412" s="1976" t="e">
        <v>#N/A</v>
      </c>
      <c r="AB412" s="573" t="e">
        <v>#N/A</v>
      </c>
      <c r="AC412" s="1976" t="e">
        <v>#N/A</v>
      </c>
      <c r="AD412" s="573" t="e">
        <v>#N/A</v>
      </c>
      <c r="AE412" s="1976" t="e">
        <v>#N/A</v>
      </c>
      <c r="AF412" s="641" t="e">
        <f t="shared" si="22"/>
        <v>#N/A</v>
      </c>
      <c r="AG412" s="3141" t="e">
        <v>#N/A</v>
      </c>
    </row>
    <row r="413" spans="1:33">
      <c r="A413" s="63">
        <f t="shared" si="23"/>
        <v>2026.08</v>
      </c>
      <c r="B413" s="250" t="e">
        <v>#N/A</v>
      </c>
      <c r="C413" s="3140" t="e">
        <v>#N/A</v>
      </c>
      <c r="D413" s="3140" t="e">
        <v>#N/A</v>
      </c>
      <c r="E413" s="134" t="e">
        <v>#N/A</v>
      </c>
      <c r="F413" s="573" t="e">
        <v>#N/A</v>
      </c>
      <c r="G413" s="3140" t="e">
        <v>#N/A</v>
      </c>
      <c r="H413" s="3140" t="e">
        <v>#N/A</v>
      </c>
      <c r="I413" s="86" t="e">
        <v>#N/A</v>
      </c>
      <c r="J413" s="573" t="e">
        <v>#N/A</v>
      </c>
      <c r="K413" s="3140" t="e">
        <v>#N/A</v>
      </c>
      <c r="L413" s="3140" t="e">
        <v>#N/A</v>
      </c>
      <c r="M413" s="86" t="e">
        <v>#N/A</v>
      </c>
      <c r="N413" s="573" t="e">
        <v>#N/A</v>
      </c>
      <c r="O413" s="3140" t="e">
        <v>#N/A</v>
      </c>
      <c r="P413" s="3140" t="e">
        <v>#N/A</v>
      </c>
      <c r="Q413" s="86" t="e">
        <v>#N/A</v>
      </c>
      <c r="R413" s="134" t="e">
        <v>#N/A</v>
      </c>
      <c r="S413" s="3140" t="e">
        <v>#N/A</v>
      </c>
      <c r="T413" s="3140" t="e">
        <v>#N/A</v>
      </c>
      <c r="U413" s="86" t="e">
        <v>#N/A</v>
      </c>
      <c r="V413" s="134" t="e">
        <v>#N/A</v>
      </c>
      <c r="W413" s="1976" t="e">
        <v>#N/A</v>
      </c>
      <c r="X413" s="573" t="e">
        <v>#N/A</v>
      </c>
      <c r="Y413" s="1976" t="e">
        <v>#N/A</v>
      </c>
      <c r="Z413" s="641" t="e">
        <f t="shared" si="21"/>
        <v>#N/A</v>
      </c>
      <c r="AA413" s="1976" t="e">
        <v>#N/A</v>
      </c>
      <c r="AB413" s="573" t="e">
        <v>#N/A</v>
      </c>
      <c r="AC413" s="1976" t="e">
        <v>#N/A</v>
      </c>
      <c r="AD413" s="573" t="e">
        <v>#N/A</v>
      </c>
      <c r="AE413" s="1976" t="e">
        <v>#N/A</v>
      </c>
      <c r="AF413" s="641" t="e">
        <f t="shared" si="22"/>
        <v>#N/A</v>
      </c>
      <c r="AG413" s="3141" t="e">
        <v>#N/A</v>
      </c>
    </row>
    <row r="414" spans="1:33">
      <c r="A414" s="63">
        <f t="shared" si="23"/>
        <v>2026.09</v>
      </c>
      <c r="B414" s="250" t="e">
        <v>#N/A</v>
      </c>
      <c r="C414" s="3140" t="e">
        <v>#N/A</v>
      </c>
      <c r="D414" s="3140" t="e">
        <v>#N/A</v>
      </c>
      <c r="E414" s="134" t="e">
        <v>#N/A</v>
      </c>
      <c r="F414" s="573" t="e">
        <v>#N/A</v>
      </c>
      <c r="G414" s="3140" t="e">
        <v>#N/A</v>
      </c>
      <c r="H414" s="3140" t="e">
        <v>#N/A</v>
      </c>
      <c r="I414" s="86" t="e">
        <v>#N/A</v>
      </c>
      <c r="J414" s="573" t="e">
        <v>#N/A</v>
      </c>
      <c r="K414" s="3140" t="e">
        <v>#N/A</v>
      </c>
      <c r="L414" s="3140" t="e">
        <v>#N/A</v>
      </c>
      <c r="M414" s="86" t="e">
        <v>#N/A</v>
      </c>
      <c r="N414" s="573" t="e">
        <v>#N/A</v>
      </c>
      <c r="O414" s="3140" t="e">
        <v>#N/A</v>
      </c>
      <c r="P414" s="3140" t="e">
        <v>#N/A</v>
      </c>
      <c r="Q414" s="86" t="e">
        <v>#N/A</v>
      </c>
      <c r="R414" s="134" t="e">
        <v>#N/A</v>
      </c>
      <c r="S414" s="3140" t="e">
        <v>#N/A</v>
      </c>
      <c r="T414" s="3140" t="e">
        <v>#N/A</v>
      </c>
      <c r="U414" s="86" t="e">
        <v>#N/A</v>
      </c>
      <c r="V414" s="134" t="e">
        <v>#N/A</v>
      </c>
      <c r="W414" s="1976" t="e">
        <v>#N/A</v>
      </c>
      <c r="X414" s="573" t="e">
        <v>#N/A</v>
      </c>
      <c r="Y414" s="1976" t="e">
        <v>#N/A</v>
      </c>
      <c r="Z414" s="641" t="e">
        <f t="shared" si="21"/>
        <v>#N/A</v>
      </c>
      <c r="AA414" s="1976" t="e">
        <v>#N/A</v>
      </c>
      <c r="AB414" s="573" t="e">
        <v>#N/A</v>
      </c>
      <c r="AC414" s="1976" t="e">
        <v>#N/A</v>
      </c>
      <c r="AD414" s="573" t="e">
        <v>#N/A</v>
      </c>
      <c r="AE414" s="1976" t="e">
        <v>#N/A</v>
      </c>
      <c r="AF414" s="641" t="e">
        <f t="shared" si="22"/>
        <v>#N/A</v>
      </c>
      <c r="AG414" s="3141" t="e">
        <v>#N/A</v>
      </c>
    </row>
    <row r="415" spans="1:33">
      <c r="A415" s="63">
        <f t="shared" si="23"/>
        <v>2026.1</v>
      </c>
      <c r="B415" s="250" t="e">
        <v>#N/A</v>
      </c>
      <c r="C415" s="3140" t="e">
        <v>#N/A</v>
      </c>
      <c r="D415" s="3140" t="e">
        <v>#N/A</v>
      </c>
      <c r="E415" s="134" t="e">
        <v>#N/A</v>
      </c>
      <c r="F415" s="573" t="e">
        <v>#N/A</v>
      </c>
      <c r="G415" s="3140" t="e">
        <v>#N/A</v>
      </c>
      <c r="H415" s="3140" t="e">
        <v>#N/A</v>
      </c>
      <c r="I415" s="86" t="e">
        <v>#N/A</v>
      </c>
      <c r="J415" s="573" t="e">
        <v>#N/A</v>
      </c>
      <c r="K415" s="3140" t="e">
        <v>#N/A</v>
      </c>
      <c r="L415" s="3140" t="e">
        <v>#N/A</v>
      </c>
      <c r="M415" s="86" t="e">
        <v>#N/A</v>
      </c>
      <c r="N415" s="573" t="e">
        <v>#N/A</v>
      </c>
      <c r="O415" s="3140" t="e">
        <v>#N/A</v>
      </c>
      <c r="P415" s="3140" t="e">
        <v>#N/A</v>
      </c>
      <c r="Q415" s="86" t="e">
        <v>#N/A</v>
      </c>
      <c r="R415" s="134" t="e">
        <v>#N/A</v>
      </c>
      <c r="S415" s="3140" t="e">
        <v>#N/A</v>
      </c>
      <c r="T415" s="3140" t="e">
        <v>#N/A</v>
      </c>
      <c r="U415" s="86" t="e">
        <v>#N/A</v>
      </c>
      <c r="V415" s="134" t="e">
        <v>#N/A</v>
      </c>
      <c r="W415" s="1976" t="e">
        <v>#N/A</v>
      </c>
      <c r="X415" s="573" t="e">
        <v>#N/A</v>
      </c>
      <c r="Y415" s="1976" t="e">
        <v>#N/A</v>
      </c>
      <c r="Z415" s="641" t="e">
        <f t="shared" si="21"/>
        <v>#N/A</v>
      </c>
      <c r="AA415" s="1976" t="e">
        <v>#N/A</v>
      </c>
      <c r="AB415" s="573" t="e">
        <v>#N/A</v>
      </c>
      <c r="AC415" s="1976" t="e">
        <v>#N/A</v>
      </c>
      <c r="AD415" s="573" t="e">
        <v>#N/A</v>
      </c>
      <c r="AE415" s="1976" t="e">
        <v>#N/A</v>
      </c>
      <c r="AF415" s="641" t="e">
        <f t="shared" si="22"/>
        <v>#N/A</v>
      </c>
      <c r="AG415" s="3141" t="e">
        <v>#N/A</v>
      </c>
    </row>
    <row r="416" spans="1:33">
      <c r="A416" s="63">
        <f t="shared" si="23"/>
        <v>2026.11</v>
      </c>
      <c r="B416" s="250" t="e">
        <v>#N/A</v>
      </c>
      <c r="C416" s="3140" t="e">
        <v>#N/A</v>
      </c>
      <c r="D416" s="3140" t="e">
        <v>#N/A</v>
      </c>
      <c r="E416" s="134" t="e">
        <v>#N/A</v>
      </c>
      <c r="F416" s="573" t="e">
        <v>#N/A</v>
      </c>
      <c r="G416" s="3140" t="e">
        <v>#N/A</v>
      </c>
      <c r="H416" s="3140" t="e">
        <v>#N/A</v>
      </c>
      <c r="I416" s="86" t="e">
        <v>#N/A</v>
      </c>
      <c r="J416" s="573" t="e">
        <v>#N/A</v>
      </c>
      <c r="K416" s="3140" t="e">
        <v>#N/A</v>
      </c>
      <c r="L416" s="3140" t="e">
        <v>#N/A</v>
      </c>
      <c r="M416" s="86" t="e">
        <v>#N/A</v>
      </c>
      <c r="N416" s="573" t="e">
        <v>#N/A</v>
      </c>
      <c r="O416" s="3140" t="e">
        <v>#N/A</v>
      </c>
      <c r="P416" s="3140" t="e">
        <v>#N/A</v>
      </c>
      <c r="Q416" s="86" t="e">
        <v>#N/A</v>
      </c>
      <c r="R416" s="134" t="e">
        <v>#N/A</v>
      </c>
      <c r="S416" s="3140" t="e">
        <v>#N/A</v>
      </c>
      <c r="T416" s="3140" t="e">
        <v>#N/A</v>
      </c>
      <c r="U416" s="86" t="e">
        <v>#N/A</v>
      </c>
      <c r="V416" s="134" t="e">
        <v>#N/A</v>
      </c>
      <c r="W416" s="1976" t="e">
        <v>#N/A</v>
      </c>
      <c r="X416" s="573" t="e">
        <v>#N/A</v>
      </c>
      <c r="Y416" s="1976" t="e">
        <v>#N/A</v>
      </c>
      <c r="Z416" s="641" t="e">
        <f t="shared" si="21"/>
        <v>#N/A</v>
      </c>
      <c r="AA416" s="1976" t="e">
        <v>#N/A</v>
      </c>
      <c r="AB416" s="573" t="e">
        <v>#N/A</v>
      </c>
      <c r="AC416" s="1976" t="e">
        <v>#N/A</v>
      </c>
      <c r="AD416" s="573" t="e">
        <v>#N/A</v>
      </c>
      <c r="AE416" s="1976" t="e">
        <v>#N/A</v>
      </c>
      <c r="AF416" s="641" t="e">
        <f t="shared" si="22"/>
        <v>#N/A</v>
      </c>
      <c r="AG416" s="3141" t="e">
        <v>#N/A</v>
      </c>
    </row>
    <row r="417" spans="1:33">
      <c r="A417" s="63">
        <f t="shared" si="23"/>
        <v>2026.12</v>
      </c>
      <c r="B417" s="250" t="e">
        <v>#N/A</v>
      </c>
      <c r="C417" s="3140" t="e">
        <v>#N/A</v>
      </c>
      <c r="D417" s="3140" t="e">
        <v>#N/A</v>
      </c>
      <c r="E417" s="134" t="e">
        <v>#N/A</v>
      </c>
      <c r="F417" s="573" t="e">
        <v>#N/A</v>
      </c>
      <c r="G417" s="3140" t="e">
        <v>#N/A</v>
      </c>
      <c r="H417" s="3140" t="e">
        <v>#N/A</v>
      </c>
      <c r="I417" s="86" t="e">
        <v>#N/A</v>
      </c>
      <c r="J417" s="573" t="e">
        <v>#N/A</v>
      </c>
      <c r="K417" s="3140" t="e">
        <v>#N/A</v>
      </c>
      <c r="L417" s="3140" t="e">
        <v>#N/A</v>
      </c>
      <c r="M417" s="86" t="e">
        <v>#N/A</v>
      </c>
      <c r="N417" s="573" t="e">
        <v>#N/A</v>
      </c>
      <c r="O417" s="3140" t="e">
        <v>#N/A</v>
      </c>
      <c r="P417" s="3140" t="e">
        <v>#N/A</v>
      </c>
      <c r="Q417" s="86" t="e">
        <v>#N/A</v>
      </c>
      <c r="R417" s="134" t="e">
        <v>#N/A</v>
      </c>
      <c r="S417" s="3140" t="e">
        <v>#N/A</v>
      </c>
      <c r="T417" s="3140" t="e">
        <v>#N/A</v>
      </c>
      <c r="U417" s="86" t="e">
        <v>#N/A</v>
      </c>
      <c r="V417" s="134" t="e">
        <v>#N/A</v>
      </c>
      <c r="W417" s="1976" t="e">
        <v>#N/A</v>
      </c>
      <c r="X417" s="573" t="e">
        <v>#N/A</v>
      </c>
      <c r="Y417" s="1976" t="e">
        <v>#N/A</v>
      </c>
      <c r="Z417" s="641" t="e">
        <f t="shared" si="21"/>
        <v>#N/A</v>
      </c>
      <c r="AA417" s="1976" t="e">
        <v>#N/A</v>
      </c>
      <c r="AB417" s="573" t="e">
        <v>#N/A</v>
      </c>
      <c r="AC417" s="1976" t="e">
        <v>#N/A</v>
      </c>
      <c r="AD417" s="573" t="e">
        <v>#N/A</v>
      </c>
      <c r="AE417" s="1976" t="e">
        <v>#N/A</v>
      </c>
      <c r="AF417" s="641" t="e">
        <f t="shared" si="22"/>
        <v>#N/A</v>
      </c>
      <c r="AG417" s="3141" t="e">
        <v>#N/A</v>
      </c>
    </row>
    <row r="418" spans="1:33">
      <c r="A418" s="63">
        <f t="shared" si="23"/>
        <v>2027.01</v>
      </c>
      <c r="B418" s="250" t="e">
        <v>#N/A</v>
      </c>
      <c r="C418" s="3140" t="e">
        <v>#N/A</v>
      </c>
      <c r="D418" s="3140" t="e">
        <v>#N/A</v>
      </c>
      <c r="E418" s="134" t="e">
        <v>#N/A</v>
      </c>
      <c r="F418" s="573" t="e">
        <v>#N/A</v>
      </c>
      <c r="G418" s="3140" t="e">
        <v>#N/A</v>
      </c>
      <c r="H418" s="3140" t="e">
        <v>#N/A</v>
      </c>
      <c r="I418" s="86" t="e">
        <v>#N/A</v>
      </c>
      <c r="J418" s="573" t="e">
        <v>#N/A</v>
      </c>
      <c r="K418" s="3140" t="e">
        <v>#N/A</v>
      </c>
      <c r="L418" s="3140" t="e">
        <v>#N/A</v>
      </c>
      <c r="M418" s="86" t="e">
        <v>#N/A</v>
      </c>
      <c r="N418" s="573" t="e">
        <v>#N/A</v>
      </c>
      <c r="O418" s="3140" t="e">
        <v>#N/A</v>
      </c>
      <c r="P418" s="3140" t="e">
        <v>#N/A</v>
      </c>
      <c r="Q418" s="86" t="e">
        <v>#N/A</v>
      </c>
      <c r="R418" s="134" t="e">
        <v>#N/A</v>
      </c>
      <c r="S418" s="3140" t="e">
        <v>#N/A</v>
      </c>
      <c r="T418" s="3140" t="e">
        <v>#N/A</v>
      </c>
      <c r="U418" s="86" t="e">
        <v>#N/A</v>
      </c>
      <c r="V418" s="134" t="e">
        <v>#N/A</v>
      </c>
      <c r="W418" s="1976" t="e">
        <v>#N/A</v>
      </c>
      <c r="X418" s="573" t="e">
        <v>#N/A</v>
      </c>
      <c r="Y418" s="1976" t="e">
        <v>#N/A</v>
      </c>
      <c r="Z418" s="641" t="e">
        <f t="shared" si="21"/>
        <v>#N/A</v>
      </c>
      <c r="AA418" s="1976" t="e">
        <v>#N/A</v>
      </c>
      <c r="AB418" s="573" t="e">
        <v>#N/A</v>
      </c>
      <c r="AC418" s="1976" t="e">
        <v>#N/A</v>
      </c>
      <c r="AD418" s="573" t="e">
        <v>#N/A</v>
      </c>
      <c r="AE418" s="1976" t="e">
        <v>#N/A</v>
      </c>
      <c r="AF418" s="641" t="e">
        <f t="shared" si="22"/>
        <v>#N/A</v>
      </c>
      <c r="AG418" s="3141" t="e">
        <v>#N/A</v>
      </c>
    </row>
    <row r="419" spans="1:33">
      <c r="A419" s="63">
        <f t="shared" si="23"/>
        <v>2027.02</v>
      </c>
      <c r="B419" s="250" t="e">
        <v>#N/A</v>
      </c>
      <c r="C419" s="3140" t="e">
        <v>#N/A</v>
      </c>
      <c r="D419" s="3140" t="e">
        <v>#N/A</v>
      </c>
      <c r="E419" s="134" t="e">
        <v>#N/A</v>
      </c>
      <c r="F419" s="573" t="e">
        <v>#N/A</v>
      </c>
      <c r="G419" s="3140" t="e">
        <v>#N/A</v>
      </c>
      <c r="H419" s="3140" t="e">
        <v>#N/A</v>
      </c>
      <c r="I419" s="86" t="e">
        <v>#N/A</v>
      </c>
      <c r="J419" s="573" t="e">
        <v>#N/A</v>
      </c>
      <c r="K419" s="3140" t="e">
        <v>#N/A</v>
      </c>
      <c r="L419" s="3140" t="e">
        <v>#N/A</v>
      </c>
      <c r="M419" s="86" t="e">
        <v>#N/A</v>
      </c>
      <c r="N419" s="573" t="e">
        <v>#N/A</v>
      </c>
      <c r="O419" s="3140" t="e">
        <v>#N/A</v>
      </c>
      <c r="P419" s="3140" t="e">
        <v>#N/A</v>
      </c>
      <c r="Q419" s="86" t="e">
        <v>#N/A</v>
      </c>
      <c r="R419" s="134" t="e">
        <v>#N/A</v>
      </c>
      <c r="S419" s="3140" t="e">
        <v>#N/A</v>
      </c>
      <c r="T419" s="3140" t="e">
        <v>#N/A</v>
      </c>
      <c r="U419" s="86" t="e">
        <v>#N/A</v>
      </c>
      <c r="V419" s="134" t="e">
        <v>#N/A</v>
      </c>
      <c r="W419" s="1976" t="e">
        <v>#N/A</v>
      </c>
      <c r="X419" s="573" t="e">
        <v>#N/A</v>
      </c>
      <c r="Y419" s="1976" t="e">
        <v>#N/A</v>
      </c>
      <c r="Z419" s="641" t="e">
        <f t="shared" si="21"/>
        <v>#N/A</v>
      </c>
      <c r="AA419" s="1976" t="e">
        <v>#N/A</v>
      </c>
      <c r="AB419" s="573" t="e">
        <v>#N/A</v>
      </c>
      <c r="AC419" s="1976" t="e">
        <v>#N/A</v>
      </c>
      <c r="AD419" s="573" t="e">
        <v>#N/A</v>
      </c>
      <c r="AE419" s="1976" t="e">
        <v>#N/A</v>
      </c>
      <c r="AF419" s="641" t="e">
        <f t="shared" si="22"/>
        <v>#N/A</v>
      </c>
      <c r="AG419" s="3141" t="e">
        <v>#N/A</v>
      </c>
    </row>
    <row r="420" spans="1:33">
      <c r="A420" s="63">
        <f t="shared" si="23"/>
        <v>2027.03</v>
      </c>
      <c r="B420" s="250" t="e">
        <v>#N/A</v>
      </c>
      <c r="C420" s="3140" t="e">
        <v>#N/A</v>
      </c>
      <c r="D420" s="3140" t="e">
        <v>#N/A</v>
      </c>
      <c r="E420" s="134" t="e">
        <v>#N/A</v>
      </c>
      <c r="F420" s="573" t="e">
        <v>#N/A</v>
      </c>
      <c r="G420" s="3140" t="e">
        <v>#N/A</v>
      </c>
      <c r="H420" s="3140" t="e">
        <v>#N/A</v>
      </c>
      <c r="I420" s="86" t="e">
        <v>#N/A</v>
      </c>
      <c r="J420" s="573" t="e">
        <v>#N/A</v>
      </c>
      <c r="K420" s="3140" t="e">
        <v>#N/A</v>
      </c>
      <c r="L420" s="3140" t="e">
        <v>#N/A</v>
      </c>
      <c r="M420" s="86" t="e">
        <v>#N/A</v>
      </c>
      <c r="N420" s="573" t="e">
        <v>#N/A</v>
      </c>
      <c r="O420" s="3140" t="e">
        <v>#N/A</v>
      </c>
      <c r="P420" s="3140" t="e">
        <v>#N/A</v>
      </c>
      <c r="Q420" s="86" t="e">
        <v>#N/A</v>
      </c>
      <c r="R420" s="134" t="e">
        <v>#N/A</v>
      </c>
      <c r="S420" s="3140" t="e">
        <v>#N/A</v>
      </c>
      <c r="T420" s="3140" t="e">
        <v>#N/A</v>
      </c>
      <c r="U420" s="86" t="e">
        <v>#N/A</v>
      </c>
      <c r="V420" s="134" t="e">
        <v>#N/A</v>
      </c>
      <c r="W420" s="1976" t="e">
        <v>#N/A</v>
      </c>
      <c r="X420" s="573" t="e">
        <v>#N/A</v>
      </c>
      <c r="Y420" s="1976" t="e">
        <v>#N/A</v>
      </c>
      <c r="Z420" s="641" t="e">
        <f t="shared" ref="Z420:Z465" si="24">SUM(V420:Y420)</f>
        <v>#N/A</v>
      </c>
      <c r="AA420" s="1976" t="e">
        <v>#N/A</v>
      </c>
      <c r="AB420" s="573" t="e">
        <v>#N/A</v>
      </c>
      <c r="AC420" s="1976" t="e">
        <v>#N/A</v>
      </c>
      <c r="AD420" s="573" t="e">
        <v>#N/A</v>
      </c>
      <c r="AE420" s="1976" t="e">
        <v>#N/A</v>
      </c>
      <c r="AF420" s="641" t="e">
        <f t="shared" ref="AF420:AF465" si="25">SUM(AB420:AE420)</f>
        <v>#N/A</v>
      </c>
      <c r="AG420" s="3141" t="e">
        <v>#N/A</v>
      </c>
    </row>
    <row r="421" spans="1:33">
      <c r="A421" s="63">
        <f t="shared" si="23"/>
        <v>2027.04</v>
      </c>
      <c r="B421" s="250" t="e">
        <v>#N/A</v>
      </c>
      <c r="C421" s="3140" t="e">
        <v>#N/A</v>
      </c>
      <c r="D421" s="3140" t="e">
        <v>#N/A</v>
      </c>
      <c r="E421" s="134" t="e">
        <v>#N/A</v>
      </c>
      <c r="F421" s="573" t="e">
        <v>#N/A</v>
      </c>
      <c r="G421" s="3140" t="e">
        <v>#N/A</v>
      </c>
      <c r="H421" s="3140" t="e">
        <v>#N/A</v>
      </c>
      <c r="I421" s="86" t="e">
        <v>#N/A</v>
      </c>
      <c r="J421" s="573" t="e">
        <v>#N/A</v>
      </c>
      <c r="K421" s="3140" t="e">
        <v>#N/A</v>
      </c>
      <c r="L421" s="3140" t="e">
        <v>#N/A</v>
      </c>
      <c r="M421" s="86" t="e">
        <v>#N/A</v>
      </c>
      <c r="N421" s="573" t="e">
        <v>#N/A</v>
      </c>
      <c r="O421" s="3140" t="e">
        <v>#N/A</v>
      </c>
      <c r="P421" s="3140" t="e">
        <v>#N/A</v>
      </c>
      <c r="Q421" s="86" t="e">
        <v>#N/A</v>
      </c>
      <c r="R421" s="134" t="e">
        <v>#N/A</v>
      </c>
      <c r="S421" s="3140" t="e">
        <v>#N/A</v>
      </c>
      <c r="T421" s="3140" t="e">
        <v>#N/A</v>
      </c>
      <c r="U421" s="86" t="e">
        <v>#N/A</v>
      </c>
      <c r="V421" s="134" t="e">
        <v>#N/A</v>
      </c>
      <c r="W421" s="1976" t="e">
        <v>#N/A</v>
      </c>
      <c r="X421" s="573" t="e">
        <v>#N/A</v>
      </c>
      <c r="Y421" s="1976" t="e">
        <v>#N/A</v>
      </c>
      <c r="Z421" s="641" t="e">
        <f t="shared" si="24"/>
        <v>#N/A</v>
      </c>
      <c r="AA421" s="1976" t="e">
        <v>#N/A</v>
      </c>
      <c r="AB421" s="573" t="e">
        <v>#N/A</v>
      </c>
      <c r="AC421" s="1976" t="e">
        <v>#N/A</v>
      </c>
      <c r="AD421" s="573" t="e">
        <v>#N/A</v>
      </c>
      <c r="AE421" s="1976" t="e">
        <v>#N/A</v>
      </c>
      <c r="AF421" s="641" t="e">
        <f t="shared" si="25"/>
        <v>#N/A</v>
      </c>
      <c r="AG421" s="3141" t="e">
        <v>#N/A</v>
      </c>
    </row>
    <row r="422" spans="1:33">
      <c r="A422" s="63">
        <f t="shared" si="23"/>
        <v>2027.05</v>
      </c>
      <c r="B422" s="250" t="e">
        <v>#N/A</v>
      </c>
      <c r="C422" s="3140" t="e">
        <v>#N/A</v>
      </c>
      <c r="D422" s="3140" t="e">
        <v>#N/A</v>
      </c>
      <c r="E422" s="134" t="e">
        <v>#N/A</v>
      </c>
      <c r="F422" s="573" t="e">
        <v>#N/A</v>
      </c>
      <c r="G422" s="3140" t="e">
        <v>#N/A</v>
      </c>
      <c r="H422" s="3140" t="e">
        <v>#N/A</v>
      </c>
      <c r="I422" s="86" t="e">
        <v>#N/A</v>
      </c>
      <c r="J422" s="573" t="e">
        <v>#N/A</v>
      </c>
      <c r="K422" s="3140" t="e">
        <v>#N/A</v>
      </c>
      <c r="L422" s="3140" t="e">
        <v>#N/A</v>
      </c>
      <c r="M422" s="86" t="e">
        <v>#N/A</v>
      </c>
      <c r="N422" s="573" t="e">
        <v>#N/A</v>
      </c>
      <c r="O422" s="3140" t="e">
        <v>#N/A</v>
      </c>
      <c r="P422" s="3140" t="e">
        <v>#N/A</v>
      </c>
      <c r="Q422" s="86" t="e">
        <v>#N/A</v>
      </c>
      <c r="R422" s="134" t="e">
        <v>#N/A</v>
      </c>
      <c r="S422" s="3140" t="e">
        <v>#N/A</v>
      </c>
      <c r="T422" s="3140" t="e">
        <v>#N/A</v>
      </c>
      <c r="U422" s="86" t="e">
        <v>#N/A</v>
      </c>
      <c r="V422" s="134" t="e">
        <v>#N/A</v>
      </c>
      <c r="W422" s="1976" t="e">
        <v>#N/A</v>
      </c>
      <c r="X422" s="573" t="e">
        <v>#N/A</v>
      </c>
      <c r="Y422" s="1976" t="e">
        <v>#N/A</v>
      </c>
      <c r="Z422" s="641" t="e">
        <f t="shared" si="24"/>
        <v>#N/A</v>
      </c>
      <c r="AA422" s="1976" t="e">
        <v>#N/A</v>
      </c>
      <c r="AB422" s="573" t="e">
        <v>#N/A</v>
      </c>
      <c r="AC422" s="1976" t="e">
        <v>#N/A</v>
      </c>
      <c r="AD422" s="573" t="e">
        <v>#N/A</v>
      </c>
      <c r="AE422" s="1976" t="e">
        <v>#N/A</v>
      </c>
      <c r="AF422" s="641" t="e">
        <f t="shared" si="25"/>
        <v>#N/A</v>
      </c>
      <c r="AG422" s="3141" t="e">
        <v>#N/A</v>
      </c>
    </row>
    <row r="423" spans="1:33">
      <c r="A423" s="63">
        <f t="shared" si="23"/>
        <v>2027.06</v>
      </c>
      <c r="B423" s="250" t="e">
        <v>#N/A</v>
      </c>
      <c r="C423" s="3140" t="e">
        <v>#N/A</v>
      </c>
      <c r="D423" s="3140" t="e">
        <v>#N/A</v>
      </c>
      <c r="E423" s="134" t="e">
        <v>#N/A</v>
      </c>
      <c r="F423" s="573" t="e">
        <v>#N/A</v>
      </c>
      <c r="G423" s="3140" t="e">
        <v>#N/A</v>
      </c>
      <c r="H423" s="3140" t="e">
        <v>#N/A</v>
      </c>
      <c r="I423" s="86" t="e">
        <v>#N/A</v>
      </c>
      <c r="J423" s="573" t="e">
        <v>#N/A</v>
      </c>
      <c r="K423" s="3140" t="e">
        <v>#N/A</v>
      </c>
      <c r="L423" s="3140" t="e">
        <v>#N/A</v>
      </c>
      <c r="M423" s="86" t="e">
        <v>#N/A</v>
      </c>
      <c r="N423" s="573" t="e">
        <v>#N/A</v>
      </c>
      <c r="O423" s="3140" t="e">
        <v>#N/A</v>
      </c>
      <c r="P423" s="3140" t="e">
        <v>#N/A</v>
      </c>
      <c r="Q423" s="86" t="e">
        <v>#N/A</v>
      </c>
      <c r="R423" s="134" t="e">
        <v>#N/A</v>
      </c>
      <c r="S423" s="3140" t="e">
        <v>#N/A</v>
      </c>
      <c r="T423" s="3140" t="e">
        <v>#N/A</v>
      </c>
      <c r="U423" s="86" t="e">
        <v>#N/A</v>
      </c>
      <c r="V423" s="134" t="e">
        <v>#N/A</v>
      </c>
      <c r="W423" s="1976" t="e">
        <v>#N/A</v>
      </c>
      <c r="X423" s="573" t="e">
        <v>#N/A</v>
      </c>
      <c r="Y423" s="1976" t="e">
        <v>#N/A</v>
      </c>
      <c r="Z423" s="641" t="e">
        <f t="shared" si="24"/>
        <v>#N/A</v>
      </c>
      <c r="AA423" s="1976" t="e">
        <v>#N/A</v>
      </c>
      <c r="AB423" s="573" t="e">
        <v>#N/A</v>
      </c>
      <c r="AC423" s="1976" t="e">
        <v>#N/A</v>
      </c>
      <c r="AD423" s="573" t="e">
        <v>#N/A</v>
      </c>
      <c r="AE423" s="1976" t="e">
        <v>#N/A</v>
      </c>
      <c r="AF423" s="641" t="e">
        <f t="shared" si="25"/>
        <v>#N/A</v>
      </c>
      <c r="AG423" s="3141" t="e">
        <v>#N/A</v>
      </c>
    </row>
    <row r="424" spans="1:33">
      <c r="A424" s="63">
        <f t="shared" si="23"/>
        <v>2027.07</v>
      </c>
      <c r="B424" s="250" t="e">
        <v>#N/A</v>
      </c>
      <c r="C424" s="3140" t="e">
        <v>#N/A</v>
      </c>
      <c r="D424" s="3140" t="e">
        <v>#N/A</v>
      </c>
      <c r="E424" s="134" t="e">
        <v>#N/A</v>
      </c>
      <c r="F424" s="573" t="e">
        <v>#N/A</v>
      </c>
      <c r="G424" s="3140" t="e">
        <v>#N/A</v>
      </c>
      <c r="H424" s="3140" t="e">
        <v>#N/A</v>
      </c>
      <c r="I424" s="86" t="e">
        <v>#N/A</v>
      </c>
      <c r="J424" s="573" t="e">
        <v>#N/A</v>
      </c>
      <c r="K424" s="3140" t="e">
        <v>#N/A</v>
      </c>
      <c r="L424" s="3140" t="e">
        <v>#N/A</v>
      </c>
      <c r="M424" s="86" t="e">
        <v>#N/A</v>
      </c>
      <c r="N424" s="573" t="e">
        <v>#N/A</v>
      </c>
      <c r="O424" s="3140" t="e">
        <v>#N/A</v>
      </c>
      <c r="P424" s="3140" t="e">
        <v>#N/A</v>
      </c>
      <c r="Q424" s="86" t="e">
        <v>#N/A</v>
      </c>
      <c r="R424" s="134" t="e">
        <v>#N/A</v>
      </c>
      <c r="S424" s="3140" t="e">
        <v>#N/A</v>
      </c>
      <c r="T424" s="3140" t="e">
        <v>#N/A</v>
      </c>
      <c r="U424" s="86" t="e">
        <v>#N/A</v>
      </c>
      <c r="V424" s="134" t="e">
        <v>#N/A</v>
      </c>
      <c r="W424" s="1976" t="e">
        <v>#N/A</v>
      </c>
      <c r="X424" s="573" t="e">
        <v>#N/A</v>
      </c>
      <c r="Y424" s="1976" t="e">
        <v>#N/A</v>
      </c>
      <c r="Z424" s="641" t="e">
        <f t="shared" si="24"/>
        <v>#N/A</v>
      </c>
      <c r="AA424" s="1976" t="e">
        <v>#N/A</v>
      </c>
      <c r="AB424" s="573" t="e">
        <v>#N/A</v>
      </c>
      <c r="AC424" s="1976" t="e">
        <v>#N/A</v>
      </c>
      <c r="AD424" s="573" t="e">
        <v>#N/A</v>
      </c>
      <c r="AE424" s="1976" t="e">
        <v>#N/A</v>
      </c>
      <c r="AF424" s="641" t="e">
        <f t="shared" si="25"/>
        <v>#N/A</v>
      </c>
      <c r="AG424" s="3141" t="e">
        <v>#N/A</v>
      </c>
    </row>
    <row r="425" spans="1:33">
      <c r="A425" s="63">
        <f t="shared" si="23"/>
        <v>2027.08</v>
      </c>
      <c r="B425" s="250" t="e">
        <v>#N/A</v>
      </c>
      <c r="C425" s="3140" t="e">
        <v>#N/A</v>
      </c>
      <c r="D425" s="3140" t="e">
        <v>#N/A</v>
      </c>
      <c r="E425" s="134" t="e">
        <v>#N/A</v>
      </c>
      <c r="F425" s="573" t="e">
        <v>#N/A</v>
      </c>
      <c r="G425" s="3140" t="e">
        <v>#N/A</v>
      </c>
      <c r="H425" s="3140" t="e">
        <v>#N/A</v>
      </c>
      <c r="I425" s="86" t="e">
        <v>#N/A</v>
      </c>
      <c r="J425" s="573" t="e">
        <v>#N/A</v>
      </c>
      <c r="K425" s="3140" t="e">
        <v>#N/A</v>
      </c>
      <c r="L425" s="3140" t="e">
        <v>#N/A</v>
      </c>
      <c r="M425" s="86" t="e">
        <v>#N/A</v>
      </c>
      <c r="N425" s="573" t="e">
        <v>#N/A</v>
      </c>
      <c r="O425" s="3140" t="e">
        <v>#N/A</v>
      </c>
      <c r="P425" s="3140" t="e">
        <v>#N/A</v>
      </c>
      <c r="Q425" s="86" t="e">
        <v>#N/A</v>
      </c>
      <c r="R425" s="134" t="e">
        <v>#N/A</v>
      </c>
      <c r="S425" s="3140" t="e">
        <v>#N/A</v>
      </c>
      <c r="T425" s="3140" t="e">
        <v>#N/A</v>
      </c>
      <c r="U425" s="86" t="e">
        <v>#N/A</v>
      </c>
      <c r="V425" s="134" t="e">
        <v>#N/A</v>
      </c>
      <c r="W425" s="1976" t="e">
        <v>#N/A</v>
      </c>
      <c r="X425" s="573" t="e">
        <v>#N/A</v>
      </c>
      <c r="Y425" s="1976" t="e">
        <v>#N/A</v>
      </c>
      <c r="Z425" s="641" t="e">
        <f t="shared" si="24"/>
        <v>#N/A</v>
      </c>
      <c r="AA425" s="1976" t="e">
        <v>#N/A</v>
      </c>
      <c r="AB425" s="573" t="e">
        <v>#N/A</v>
      </c>
      <c r="AC425" s="1976" t="e">
        <v>#N/A</v>
      </c>
      <c r="AD425" s="573" t="e">
        <v>#N/A</v>
      </c>
      <c r="AE425" s="1976" t="e">
        <v>#N/A</v>
      </c>
      <c r="AF425" s="641" t="e">
        <f t="shared" si="25"/>
        <v>#N/A</v>
      </c>
      <c r="AG425" s="3141" t="e">
        <v>#N/A</v>
      </c>
    </row>
    <row r="426" spans="1:33">
      <c r="A426" s="63">
        <f t="shared" si="23"/>
        <v>2027.09</v>
      </c>
      <c r="B426" s="250" t="e">
        <v>#N/A</v>
      </c>
      <c r="C426" s="3140" t="e">
        <v>#N/A</v>
      </c>
      <c r="D426" s="3140" t="e">
        <v>#N/A</v>
      </c>
      <c r="E426" s="134" t="e">
        <v>#N/A</v>
      </c>
      <c r="F426" s="573" t="e">
        <v>#N/A</v>
      </c>
      <c r="G426" s="3140" t="e">
        <v>#N/A</v>
      </c>
      <c r="H426" s="3140" t="e">
        <v>#N/A</v>
      </c>
      <c r="I426" s="86" t="e">
        <v>#N/A</v>
      </c>
      <c r="J426" s="573" t="e">
        <v>#N/A</v>
      </c>
      <c r="K426" s="3140" t="e">
        <v>#N/A</v>
      </c>
      <c r="L426" s="3140" t="e">
        <v>#N/A</v>
      </c>
      <c r="M426" s="86" t="e">
        <v>#N/A</v>
      </c>
      <c r="N426" s="573" t="e">
        <v>#N/A</v>
      </c>
      <c r="O426" s="3140" t="e">
        <v>#N/A</v>
      </c>
      <c r="P426" s="3140" t="e">
        <v>#N/A</v>
      </c>
      <c r="Q426" s="86" t="e">
        <v>#N/A</v>
      </c>
      <c r="R426" s="134" t="e">
        <v>#N/A</v>
      </c>
      <c r="S426" s="3140" t="e">
        <v>#N/A</v>
      </c>
      <c r="T426" s="3140" t="e">
        <v>#N/A</v>
      </c>
      <c r="U426" s="86" t="e">
        <v>#N/A</v>
      </c>
      <c r="V426" s="134" t="e">
        <v>#N/A</v>
      </c>
      <c r="W426" s="1976" t="e">
        <v>#N/A</v>
      </c>
      <c r="X426" s="573" t="e">
        <v>#N/A</v>
      </c>
      <c r="Y426" s="1976" t="e">
        <v>#N/A</v>
      </c>
      <c r="Z426" s="641" t="e">
        <f t="shared" si="24"/>
        <v>#N/A</v>
      </c>
      <c r="AA426" s="1976" t="e">
        <v>#N/A</v>
      </c>
      <c r="AB426" s="573" t="e">
        <v>#N/A</v>
      </c>
      <c r="AC426" s="1976" t="e">
        <v>#N/A</v>
      </c>
      <c r="AD426" s="573" t="e">
        <v>#N/A</v>
      </c>
      <c r="AE426" s="1976" t="e">
        <v>#N/A</v>
      </c>
      <c r="AF426" s="641" t="e">
        <f t="shared" si="25"/>
        <v>#N/A</v>
      </c>
      <c r="AG426" s="3141" t="e">
        <v>#N/A</v>
      </c>
    </row>
    <row r="427" spans="1:33">
      <c r="A427" s="63">
        <f t="shared" si="23"/>
        <v>2027.1</v>
      </c>
      <c r="B427" s="250" t="e">
        <v>#N/A</v>
      </c>
      <c r="C427" s="3140" t="e">
        <v>#N/A</v>
      </c>
      <c r="D427" s="3140" t="e">
        <v>#N/A</v>
      </c>
      <c r="E427" s="134" t="e">
        <v>#N/A</v>
      </c>
      <c r="F427" s="573" t="e">
        <v>#N/A</v>
      </c>
      <c r="G427" s="3140" t="e">
        <v>#N/A</v>
      </c>
      <c r="H427" s="3140" t="e">
        <v>#N/A</v>
      </c>
      <c r="I427" s="86" t="e">
        <v>#N/A</v>
      </c>
      <c r="J427" s="573" t="e">
        <v>#N/A</v>
      </c>
      <c r="K427" s="3140" t="e">
        <v>#N/A</v>
      </c>
      <c r="L427" s="3140" t="e">
        <v>#N/A</v>
      </c>
      <c r="M427" s="86" t="e">
        <v>#N/A</v>
      </c>
      <c r="N427" s="573" t="e">
        <v>#N/A</v>
      </c>
      <c r="O427" s="3140" t="e">
        <v>#N/A</v>
      </c>
      <c r="P427" s="3140" t="e">
        <v>#N/A</v>
      </c>
      <c r="Q427" s="86" t="e">
        <v>#N/A</v>
      </c>
      <c r="R427" s="134" t="e">
        <v>#N/A</v>
      </c>
      <c r="S427" s="3140" t="e">
        <v>#N/A</v>
      </c>
      <c r="T427" s="3140" t="e">
        <v>#N/A</v>
      </c>
      <c r="U427" s="86" t="e">
        <v>#N/A</v>
      </c>
      <c r="V427" s="134" t="e">
        <v>#N/A</v>
      </c>
      <c r="W427" s="1976" t="e">
        <v>#N/A</v>
      </c>
      <c r="X427" s="573" t="e">
        <v>#N/A</v>
      </c>
      <c r="Y427" s="1976" t="e">
        <v>#N/A</v>
      </c>
      <c r="Z427" s="641" t="e">
        <f t="shared" si="24"/>
        <v>#N/A</v>
      </c>
      <c r="AA427" s="1976" t="e">
        <v>#N/A</v>
      </c>
      <c r="AB427" s="573" t="e">
        <v>#N/A</v>
      </c>
      <c r="AC427" s="1976" t="e">
        <v>#N/A</v>
      </c>
      <c r="AD427" s="573" t="e">
        <v>#N/A</v>
      </c>
      <c r="AE427" s="1976" t="e">
        <v>#N/A</v>
      </c>
      <c r="AF427" s="641" t="e">
        <f t="shared" si="25"/>
        <v>#N/A</v>
      </c>
      <c r="AG427" s="3141" t="e">
        <v>#N/A</v>
      </c>
    </row>
    <row r="428" spans="1:33">
      <c r="A428" s="63">
        <f t="shared" si="23"/>
        <v>2027.11</v>
      </c>
      <c r="B428" s="250" t="e">
        <v>#N/A</v>
      </c>
      <c r="C428" s="3140" t="e">
        <v>#N/A</v>
      </c>
      <c r="D428" s="3140" t="e">
        <v>#N/A</v>
      </c>
      <c r="E428" s="134" t="e">
        <v>#N/A</v>
      </c>
      <c r="F428" s="573" t="e">
        <v>#N/A</v>
      </c>
      <c r="G428" s="3140" t="e">
        <v>#N/A</v>
      </c>
      <c r="H428" s="3140" t="e">
        <v>#N/A</v>
      </c>
      <c r="I428" s="86" t="e">
        <v>#N/A</v>
      </c>
      <c r="J428" s="573" t="e">
        <v>#N/A</v>
      </c>
      <c r="K428" s="3140" t="e">
        <v>#N/A</v>
      </c>
      <c r="L428" s="3140" t="e">
        <v>#N/A</v>
      </c>
      <c r="M428" s="86" t="e">
        <v>#N/A</v>
      </c>
      <c r="N428" s="573" t="e">
        <v>#N/A</v>
      </c>
      <c r="O428" s="3140" t="e">
        <v>#N/A</v>
      </c>
      <c r="P428" s="3140" t="e">
        <v>#N/A</v>
      </c>
      <c r="Q428" s="86" t="e">
        <v>#N/A</v>
      </c>
      <c r="R428" s="134" t="e">
        <v>#N/A</v>
      </c>
      <c r="S428" s="3140" t="e">
        <v>#N/A</v>
      </c>
      <c r="T428" s="3140" t="e">
        <v>#N/A</v>
      </c>
      <c r="U428" s="86" t="e">
        <v>#N/A</v>
      </c>
      <c r="V428" s="134" t="e">
        <v>#N/A</v>
      </c>
      <c r="W428" s="1976" t="e">
        <v>#N/A</v>
      </c>
      <c r="X428" s="573" t="e">
        <v>#N/A</v>
      </c>
      <c r="Y428" s="1976" t="e">
        <v>#N/A</v>
      </c>
      <c r="Z428" s="641" t="e">
        <f t="shared" si="24"/>
        <v>#N/A</v>
      </c>
      <c r="AA428" s="1976" t="e">
        <v>#N/A</v>
      </c>
      <c r="AB428" s="573" t="e">
        <v>#N/A</v>
      </c>
      <c r="AC428" s="1976" t="e">
        <v>#N/A</v>
      </c>
      <c r="AD428" s="573" t="e">
        <v>#N/A</v>
      </c>
      <c r="AE428" s="1976" t="e">
        <v>#N/A</v>
      </c>
      <c r="AF428" s="641" t="e">
        <f t="shared" si="25"/>
        <v>#N/A</v>
      </c>
      <c r="AG428" s="3141" t="e">
        <v>#N/A</v>
      </c>
    </row>
    <row r="429" spans="1:33">
      <c r="A429" s="63">
        <f t="shared" si="23"/>
        <v>2027.12</v>
      </c>
      <c r="B429" s="250" t="e">
        <v>#N/A</v>
      </c>
      <c r="C429" s="3140" t="e">
        <v>#N/A</v>
      </c>
      <c r="D429" s="3140" t="e">
        <v>#N/A</v>
      </c>
      <c r="E429" s="134" t="e">
        <v>#N/A</v>
      </c>
      <c r="F429" s="573" t="e">
        <v>#N/A</v>
      </c>
      <c r="G429" s="3140" t="e">
        <v>#N/A</v>
      </c>
      <c r="H429" s="3140" t="e">
        <v>#N/A</v>
      </c>
      <c r="I429" s="86" t="e">
        <v>#N/A</v>
      </c>
      <c r="J429" s="573" t="e">
        <v>#N/A</v>
      </c>
      <c r="K429" s="3140" t="e">
        <v>#N/A</v>
      </c>
      <c r="L429" s="3140" t="e">
        <v>#N/A</v>
      </c>
      <c r="M429" s="86" t="e">
        <v>#N/A</v>
      </c>
      <c r="N429" s="573" t="e">
        <v>#N/A</v>
      </c>
      <c r="O429" s="3140" t="e">
        <v>#N/A</v>
      </c>
      <c r="P429" s="3140" t="e">
        <v>#N/A</v>
      </c>
      <c r="Q429" s="86" t="e">
        <v>#N/A</v>
      </c>
      <c r="R429" s="134" t="e">
        <v>#N/A</v>
      </c>
      <c r="S429" s="3140" t="e">
        <v>#N/A</v>
      </c>
      <c r="T429" s="3140" t="e">
        <v>#N/A</v>
      </c>
      <c r="U429" s="86" t="e">
        <v>#N/A</v>
      </c>
      <c r="V429" s="134" t="e">
        <v>#N/A</v>
      </c>
      <c r="W429" s="1976" t="e">
        <v>#N/A</v>
      </c>
      <c r="X429" s="573" t="e">
        <v>#N/A</v>
      </c>
      <c r="Y429" s="1976" t="e">
        <v>#N/A</v>
      </c>
      <c r="Z429" s="641" t="e">
        <f t="shared" si="24"/>
        <v>#N/A</v>
      </c>
      <c r="AA429" s="1976" t="e">
        <v>#N/A</v>
      </c>
      <c r="AB429" s="573" t="e">
        <v>#N/A</v>
      </c>
      <c r="AC429" s="1976" t="e">
        <v>#N/A</v>
      </c>
      <c r="AD429" s="573" t="e">
        <v>#N/A</v>
      </c>
      <c r="AE429" s="1976" t="e">
        <v>#N/A</v>
      </c>
      <c r="AF429" s="641" t="e">
        <f t="shared" si="25"/>
        <v>#N/A</v>
      </c>
      <c r="AG429" s="3141" t="e">
        <v>#N/A</v>
      </c>
    </row>
    <row r="430" spans="1:33">
      <c r="A430" s="63">
        <f t="shared" si="23"/>
        <v>2028.01</v>
      </c>
      <c r="B430" s="250" t="e">
        <v>#N/A</v>
      </c>
      <c r="C430" s="3140" t="e">
        <v>#N/A</v>
      </c>
      <c r="D430" s="3140" t="e">
        <v>#N/A</v>
      </c>
      <c r="E430" s="134" t="e">
        <v>#N/A</v>
      </c>
      <c r="F430" s="573" t="e">
        <v>#N/A</v>
      </c>
      <c r="G430" s="3140" t="e">
        <v>#N/A</v>
      </c>
      <c r="H430" s="3140" t="e">
        <v>#N/A</v>
      </c>
      <c r="I430" s="86" t="e">
        <v>#N/A</v>
      </c>
      <c r="J430" s="573" t="e">
        <v>#N/A</v>
      </c>
      <c r="K430" s="3140" t="e">
        <v>#N/A</v>
      </c>
      <c r="L430" s="3140" t="e">
        <v>#N/A</v>
      </c>
      <c r="M430" s="86" t="e">
        <v>#N/A</v>
      </c>
      <c r="N430" s="573" t="e">
        <v>#N/A</v>
      </c>
      <c r="O430" s="3140" t="e">
        <v>#N/A</v>
      </c>
      <c r="P430" s="3140" t="e">
        <v>#N/A</v>
      </c>
      <c r="Q430" s="86" t="e">
        <v>#N/A</v>
      </c>
      <c r="R430" s="134" t="e">
        <v>#N/A</v>
      </c>
      <c r="S430" s="3140" t="e">
        <v>#N/A</v>
      </c>
      <c r="T430" s="3140" t="e">
        <v>#N/A</v>
      </c>
      <c r="U430" s="86" t="e">
        <v>#N/A</v>
      </c>
      <c r="V430" s="134" t="e">
        <v>#N/A</v>
      </c>
      <c r="W430" s="1976" t="e">
        <v>#N/A</v>
      </c>
      <c r="X430" s="573" t="e">
        <v>#N/A</v>
      </c>
      <c r="Y430" s="1976" t="e">
        <v>#N/A</v>
      </c>
      <c r="Z430" s="641" t="e">
        <f t="shared" si="24"/>
        <v>#N/A</v>
      </c>
      <c r="AA430" s="1976" t="e">
        <v>#N/A</v>
      </c>
      <c r="AB430" s="573" t="e">
        <v>#N/A</v>
      </c>
      <c r="AC430" s="1976" t="e">
        <v>#N/A</v>
      </c>
      <c r="AD430" s="573" t="e">
        <v>#N/A</v>
      </c>
      <c r="AE430" s="1976" t="e">
        <v>#N/A</v>
      </c>
      <c r="AF430" s="641" t="e">
        <f t="shared" si="25"/>
        <v>#N/A</v>
      </c>
      <c r="AG430" s="3141" t="e">
        <v>#N/A</v>
      </c>
    </row>
    <row r="431" spans="1:33">
      <c r="A431" s="63">
        <f t="shared" si="23"/>
        <v>2028.02</v>
      </c>
      <c r="B431" s="250" t="e">
        <v>#N/A</v>
      </c>
      <c r="C431" s="3140" t="e">
        <v>#N/A</v>
      </c>
      <c r="D431" s="3140" t="e">
        <v>#N/A</v>
      </c>
      <c r="E431" s="134" t="e">
        <v>#N/A</v>
      </c>
      <c r="F431" s="573" t="e">
        <v>#N/A</v>
      </c>
      <c r="G431" s="3140" t="e">
        <v>#N/A</v>
      </c>
      <c r="H431" s="3140" t="e">
        <v>#N/A</v>
      </c>
      <c r="I431" s="86" t="e">
        <v>#N/A</v>
      </c>
      <c r="J431" s="573" t="e">
        <v>#N/A</v>
      </c>
      <c r="K431" s="3140" t="e">
        <v>#N/A</v>
      </c>
      <c r="L431" s="3140" t="e">
        <v>#N/A</v>
      </c>
      <c r="M431" s="86" t="e">
        <v>#N/A</v>
      </c>
      <c r="N431" s="573" t="e">
        <v>#N/A</v>
      </c>
      <c r="O431" s="3140" t="e">
        <v>#N/A</v>
      </c>
      <c r="P431" s="3140" t="e">
        <v>#N/A</v>
      </c>
      <c r="Q431" s="86" t="e">
        <v>#N/A</v>
      </c>
      <c r="R431" s="134" t="e">
        <v>#N/A</v>
      </c>
      <c r="S431" s="3140" t="e">
        <v>#N/A</v>
      </c>
      <c r="T431" s="3140" t="e">
        <v>#N/A</v>
      </c>
      <c r="U431" s="86" t="e">
        <v>#N/A</v>
      </c>
      <c r="V431" s="134" t="e">
        <v>#N/A</v>
      </c>
      <c r="W431" s="1976" t="e">
        <v>#N/A</v>
      </c>
      <c r="X431" s="573" t="e">
        <v>#N/A</v>
      </c>
      <c r="Y431" s="1976" t="e">
        <v>#N/A</v>
      </c>
      <c r="Z431" s="641" t="e">
        <f t="shared" si="24"/>
        <v>#N/A</v>
      </c>
      <c r="AA431" s="1976" t="e">
        <v>#N/A</v>
      </c>
      <c r="AB431" s="573" t="e">
        <v>#N/A</v>
      </c>
      <c r="AC431" s="1976" t="e">
        <v>#N/A</v>
      </c>
      <c r="AD431" s="573" t="e">
        <v>#N/A</v>
      </c>
      <c r="AE431" s="1976" t="e">
        <v>#N/A</v>
      </c>
      <c r="AF431" s="641" t="e">
        <f t="shared" si="25"/>
        <v>#N/A</v>
      </c>
      <c r="AG431" s="3141" t="e">
        <v>#N/A</v>
      </c>
    </row>
    <row r="432" spans="1:33">
      <c r="A432" s="63">
        <f t="shared" si="23"/>
        <v>2028.03</v>
      </c>
      <c r="B432" s="250" t="e">
        <v>#N/A</v>
      </c>
      <c r="C432" s="3140" t="e">
        <v>#N/A</v>
      </c>
      <c r="D432" s="3140" t="e">
        <v>#N/A</v>
      </c>
      <c r="E432" s="134" t="e">
        <v>#N/A</v>
      </c>
      <c r="F432" s="573" t="e">
        <v>#N/A</v>
      </c>
      <c r="G432" s="3140" t="e">
        <v>#N/A</v>
      </c>
      <c r="H432" s="3140" t="e">
        <v>#N/A</v>
      </c>
      <c r="I432" s="86" t="e">
        <v>#N/A</v>
      </c>
      <c r="J432" s="573" t="e">
        <v>#N/A</v>
      </c>
      <c r="K432" s="3140" t="e">
        <v>#N/A</v>
      </c>
      <c r="L432" s="3140" t="e">
        <v>#N/A</v>
      </c>
      <c r="M432" s="86" t="e">
        <v>#N/A</v>
      </c>
      <c r="N432" s="573" t="e">
        <v>#N/A</v>
      </c>
      <c r="O432" s="3140" t="e">
        <v>#N/A</v>
      </c>
      <c r="P432" s="3140" t="e">
        <v>#N/A</v>
      </c>
      <c r="Q432" s="86" t="e">
        <v>#N/A</v>
      </c>
      <c r="R432" s="134" t="e">
        <v>#N/A</v>
      </c>
      <c r="S432" s="3140" t="e">
        <v>#N/A</v>
      </c>
      <c r="T432" s="3140" t="e">
        <v>#N/A</v>
      </c>
      <c r="U432" s="86" t="e">
        <v>#N/A</v>
      </c>
      <c r="V432" s="134" t="e">
        <v>#N/A</v>
      </c>
      <c r="W432" s="1976" t="e">
        <v>#N/A</v>
      </c>
      <c r="X432" s="573" t="e">
        <v>#N/A</v>
      </c>
      <c r="Y432" s="1976" t="e">
        <v>#N/A</v>
      </c>
      <c r="Z432" s="641" t="e">
        <f t="shared" si="24"/>
        <v>#N/A</v>
      </c>
      <c r="AA432" s="1976" t="e">
        <v>#N/A</v>
      </c>
      <c r="AB432" s="573" t="e">
        <v>#N/A</v>
      </c>
      <c r="AC432" s="1976" t="e">
        <v>#N/A</v>
      </c>
      <c r="AD432" s="573" t="e">
        <v>#N/A</v>
      </c>
      <c r="AE432" s="1976" t="e">
        <v>#N/A</v>
      </c>
      <c r="AF432" s="641" t="e">
        <f t="shared" si="25"/>
        <v>#N/A</v>
      </c>
      <c r="AG432" s="3141" t="e">
        <v>#N/A</v>
      </c>
    </row>
    <row r="433" spans="1:33">
      <c r="A433" s="63">
        <f t="shared" si="23"/>
        <v>2028.04</v>
      </c>
      <c r="B433" s="250" t="e">
        <v>#N/A</v>
      </c>
      <c r="C433" s="3140" t="e">
        <v>#N/A</v>
      </c>
      <c r="D433" s="3140" t="e">
        <v>#N/A</v>
      </c>
      <c r="E433" s="134" t="e">
        <v>#N/A</v>
      </c>
      <c r="F433" s="573" t="e">
        <v>#N/A</v>
      </c>
      <c r="G433" s="3140" t="e">
        <v>#N/A</v>
      </c>
      <c r="H433" s="3140" t="e">
        <v>#N/A</v>
      </c>
      <c r="I433" s="86" t="e">
        <v>#N/A</v>
      </c>
      <c r="J433" s="573" t="e">
        <v>#N/A</v>
      </c>
      <c r="K433" s="3140" t="e">
        <v>#N/A</v>
      </c>
      <c r="L433" s="3140" t="e">
        <v>#N/A</v>
      </c>
      <c r="M433" s="86" t="e">
        <v>#N/A</v>
      </c>
      <c r="N433" s="573" t="e">
        <v>#N/A</v>
      </c>
      <c r="O433" s="3140" t="e">
        <v>#N/A</v>
      </c>
      <c r="P433" s="3140" t="e">
        <v>#N/A</v>
      </c>
      <c r="Q433" s="86" t="e">
        <v>#N/A</v>
      </c>
      <c r="R433" s="134" t="e">
        <v>#N/A</v>
      </c>
      <c r="S433" s="3140" t="e">
        <v>#N/A</v>
      </c>
      <c r="T433" s="3140" t="e">
        <v>#N/A</v>
      </c>
      <c r="U433" s="86" t="e">
        <v>#N/A</v>
      </c>
      <c r="V433" s="134" t="e">
        <v>#N/A</v>
      </c>
      <c r="W433" s="1976" t="e">
        <v>#N/A</v>
      </c>
      <c r="X433" s="573" t="e">
        <v>#N/A</v>
      </c>
      <c r="Y433" s="1976" t="e">
        <v>#N/A</v>
      </c>
      <c r="Z433" s="641" t="e">
        <f t="shared" si="24"/>
        <v>#N/A</v>
      </c>
      <c r="AA433" s="1976" t="e">
        <v>#N/A</v>
      </c>
      <c r="AB433" s="573" t="e">
        <v>#N/A</v>
      </c>
      <c r="AC433" s="1976" t="e">
        <v>#N/A</v>
      </c>
      <c r="AD433" s="573" t="e">
        <v>#N/A</v>
      </c>
      <c r="AE433" s="1976" t="e">
        <v>#N/A</v>
      </c>
      <c r="AF433" s="641" t="e">
        <f t="shared" si="25"/>
        <v>#N/A</v>
      </c>
      <c r="AG433" s="3141" t="e">
        <v>#N/A</v>
      </c>
    </row>
    <row r="434" spans="1:33">
      <c r="A434" s="63">
        <f t="shared" si="23"/>
        <v>2028.05</v>
      </c>
      <c r="B434" s="250" t="e">
        <v>#N/A</v>
      </c>
      <c r="C434" s="3140" t="e">
        <v>#N/A</v>
      </c>
      <c r="D434" s="3140" t="e">
        <v>#N/A</v>
      </c>
      <c r="E434" s="134" t="e">
        <v>#N/A</v>
      </c>
      <c r="F434" s="573" t="e">
        <v>#N/A</v>
      </c>
      <c r="G434" s="3140" t="e">
        <v>#N/A</v>
      </c>
      <c r="H434" s="3140" t="e">
        <v>#N/A</v>
      </c>
      <c r="I434" s="86" t="e">
        <v>#N/A</v>
      </c>
      <c r="J434" s="573" t="e">
        <v>#N/A</v>
      </c>
      <c r="K434" s="3140" t="e">
        <v>#N/A</v>
      </c>
      <c r="L434" s="3140" t="e">
        <v>#N/A</v>
      </c>
      <c r="M434" s="86" t="e">
        <v>#N/A</v>
      </c>
      <c r="N434" s="573" t="e">
        <v>#N/A</v>
      </c>
      <c r="O434" s="3140" t="e">
        <v>#N/A</v>
      </c>
      <c r="P434" s="3140" t="e">
        <v>#N/A</v>
      </c>
      <c r="Q434" s="86" t="e">
        <v>#N/A</v>
      </c>
      <c r="R434" s="134" t="e">
        <v>#N/A</v>
      </c>
      <c r="S434" s="3140" t="e">
        <v>#N/A</v>
      </c>
      <c r="T434" s="3140" t="e">
        <v>#N/A</v>
      </c>
      <c r="U434" s="86" t="e">
        <v>#N/A</v>
      </c>
      <c r="V434" s="134" t="e">
        <v>#N/A</v>
      </c>
      <c r="W434" s="1976" t="e">
        <v>#N/A</v>
      </c>
      <c r="X434" s="573" t="e">
        <v>#N/A</v>
      </c>
      <c r="Y434" s="1976" t="e">
        <v>#N/A</v>
      </c>
      <c r="Z434" s="641" t="e">
        <f t="shared" si="24"/>
        <v>#N/A</v>
      </c>
      <c r="AA434" s="1976" t="e">
        <v>#N/A</v>
      </c>
      <c r="AB434" s="573" t="e">
        <v>#N/A</v>
      </c>
      <c r="AC434" s="1976" t="e">
        <v>#N/A</v>
      </c>
      <c r="AD434" s="573" t="e">
        <v>#N/A</v>
      </c>
      <c r="AE434" s="1976" t="e">
        <v>#N/A</v>
      </c>
      <c r="AF434" s="641" t="e">
        <f t="shared" si="25"/>
        <v>#N/A</v>
      </c>
      <c r="AG434" s="3141" t="e">
        <v>#N/A</v>
      </c>
    </row>
    <row r="435" spans="1:33">
      <c r="A435" s="63">
        <f t="shared" si="23"/>
        <v>2028.06</v>
      </c>
      <c r="B435" s="250" t="e">
        <v>#N/A</v>
      </c>
      <c r="C435" s="3140" t="e">
        <v>#N/A</v>
      </c>
      <c r="D435" s="3140" t="e">
        <v>#N/A</v>
      </c>
      <c r="E435" s="134" t="e">
        <v>#N/A</v>
      </c>
      <c r="F435" s="573" t="e">
        <v>#N/A</v>
      </c>
      <c r="G435" s="3140" t="e">
        <v>#N/A</v>
      </c>
      <c r="H435" s="3140" t="e">
        <v>#N/A</v>
      </c>
      <c r="I435" s="86" t="e">
        <v>#N/A</v>
      </c>
      <c r="J435" s="573" t="e">
        <v>#N/A</v>
      </c>
      <c r="K435" s="3140" t="e">
        <v>#N/A</v>
      </c>
      <c r="L435" s="3140" t="e">
        <v>#N/A</v>
      </c>
      <c r="M435" s="86" t="e">
        <v>#N/A</v>
      </c>
      <c r="N435" s="573" t="e">
        <v>#N/A</v>
      </c>
      <c r="O435" s="3140" t="e">
        <v>#N/A</v>
      </c>
      <c r="P435" s="3140" t="e">
        <v>#N/A</v>
      </c>
      <c r="Q435" s="86" t="e">
        <v>#N/A</v>
      </c>
      <c r="R435" s="134" t="e">
        <v>#N/A</v>
      </c>
      <c r="S435" s="3140" t="e">
        <v>#N/A</v>
      </c>
      <c r="T435" s="3140" t="e">
        <v>#N/A</v>
      </c>
      <c r="U435" s="86" t="e">
        <v>#N/A</v>
      </c>
      <c r="V435" s="134" t="e">
        <v>#N/A</v>
      </c>
      <c r="W435" s="1976" t="e">
        <v>#N/A</v>
      </c>
      <c r="X435" s="573" t="e">
        <v>#N/A</v>
      </c>
      <c r="Y435" s="1976" t="e">
        <v>#N/A</v>
      </c>
      <c r="Z435" s="641" t="e">
        <f t="shared" si="24"/>
        <v>#N/A</v>
      </c>
      <c r="AA435" s="1976" t="e">
        <v>#N/A</v>
      </c>
      <c r="AB435" s="573" t="e">
        <v>#N/A</v>
      </c>
      <c r="AC435" s="1976" t="e">
        <v>#N/A</v>
      </c>
      <c r="AD435" s="573" t="e">
        <v>#N/A</v>
      </c>
      <c r="AE435" s="1976" t="e">
        <v>#N/A</v>
      </c>
      <c r="AF435" s="641" t="e">
        <f t="shared" si="25"/>
        <v>#N/A</v>
      </c>
      <c r="AG435" s="3141" t="e">
        <v>#N/A</v>
      </c>
    </row>
    <row r="436" spans="1:33">
      <c r="A436" s="63">
        <f t="shared" si="23"/>
        <v>2028.07</v>
      </c>
      <c r="B436" s="250" t="e">
        <v>#N/A</v>
      </c>
      <c r="C436" s="3140" t="e">
        <v>#N/A</v>
      </c>
      <c r="D436" s="3140" t="e">
        <v>#N/A</v>
      </c>
      <c r="E436" s="134" t="e">
        <v>#N/A</v>
      </c>
      <c r="F436" s="573" t="e">
        <v>#N/A</v>
      </c>
      <c r="G436" s="3140" t="e">
        <v>#N/A</v>
      </c>
      <c r="H436" s="3140" t="e">
        <v>#N/A</v>
      </c>
      <c r="I436" s="86" t="e">
        <v>#N/A</v>
      </c>
      <c r="J436" s="573" t="e">
        <v>#N/A</v>
      </c>
      <c r="K436" s="3140" t="e">
        <v>#N/A</v>
      </c>
      <c r="L436" s="3140" t="e">
        <v>#N/A</v>
      </c>
      <c r="M436" s="86" t="e">
        <v>#N/A</v>
      </c>
      <c r="N436" s="573" t="e">
        <v>#N/A</v>
      </c>
      <c r="O436" s="3140" t="e">
        <v>#N/A</v>
      </c>
      <c r="P436" s="3140" t="e">
        <v>#N/A</v>
      </c>
      <c r="Q436" s="86" t="e">
        <v>#N/A</v>
      </c>
      <c r="R436" s="134" t="e">
        <v>#N/A</v>
      </c>
      <c r="S436" s="3140" t="e">
        <v>#N/A</v>
      </c>
      <c r="T436" s="3140" t="e">
        <v>#N/A</v>
      </c>
      <c r="U436" s="86" t="e">
        <v>#N/A</v>
      </c>
      <c r="V436" s="134" t="e">
        <v>#N/A</v>
      </c>
      <c r="W436" s="1976" t="e">
        <v>#N/A</v>
      </c>
      <c r="X436" s="573" t="e">
        <v>#N/A</v>
      </c>
      <c r="Y436" s="1976" t="e">
        <v>#N/A</v>
      </c>
      <c r="Z436" s="641" t="e">
        <f t="shared" si="24"/>
        <v>#N/A</v>
      </c>
      <c r="AA436" s="1976" t="e">
        <v>#N/A</v>
      </c>
      <c r="AB436" s="573" t="e">
        <v>#N/A</v>
      </c>
      <c r="AC436" s="1976" t="e">
        <v>#N/A</v>
      </c>
      <c r="AD436" s="573" t="e">
        <v>#N/A</v>
      </c>
      <c r="AE436" s="1976" t="e">
        <v>#N/A</v>
      </c>
      <c r="AF436" s="641" t="e">
        <f t="shared" si="25"/>
        <v>#N/A</v>
      </c>
      <c r="AG436" s="3141" t="e">
        <v>#N/A</v>
      </c>
    </row>
    <row r="437" spans="1:33">
      <c r="A437" s="63">
        <f t="shared" si="23"/>
        <v>2028.08</v>
      </c>
      <c r="B437" s="250" t="e">
        <v>#N/A</v>
      </c>
      <c r="C437" s="3140" t="e">
        <v>#N/A</v>
      </c>
      <c r="D437" s="3140" t="e">
        <v>#N/A</v>
      </c>
      <c r="E437" s="134" t="e">
        <v>#N/A</v>
      </c>
      <c r="F437" s="573" t="e">
        <v>#N/A</v>
      </c>
      <c r="G437" s="3140" t="e">
        <v>#N/A</v>
      </c>
      <c r="H437" s="3140" t="e">
        <v>#N/A</v>
      </c>
      <c r="I437" s="86" t="e">
        <v>#N/A</v>
      </c>
      <c r="J437" s="573" t="e">
        <v>#N/A</v>
      </c>
      <c r="K437" s="3140" t="e">
        <v>#N/A</v>
      </c>
      <c r="L437" s="3140" t="e">
        <v>#N/A</v>
      </c>
      <c r="M437" s="86" t="e">
        <v>#N/A</v>
      </c>
      <c r="N437" s="573" t="e">
        <v>#N/A</v>
      </c>
      <c r="O437" s="3140" t="e">
        <v>#N/A</v>
      </c>
      <c r="P437" s="3140" t="e">
        <v>#N/A</v>
      </c>
      <c r="Q437" s="86" t="e">
        <v>#N/A</v>
      </c>
      <c r="R437" s="134" t="e">
        <v>#N/A</v>
      </c>
      <c r="S437" s="3140" t="e">
        <v>#N/A</v>
      </c>
      <c r="T437" s="3140" t="e">
        <v>#N/A</v>
      </c>
      <c r="U437" s="86" t="e">
        <v>#N/A</v>
      </c>
      <c r="V437" s="134" t="e">
        <v>#N/A</v>
      </c>
      <c r="W437" s="1976" t="e">
        <v>#N/A</v>
      </c>
      <c r="X437" s="573" t="e">
        <v>#N/A</v>
      </c>
      <c r="Y437" s="1976" t="e">
        <v>#N/A</v>
      </c>
      <c r="Z437" s="641" t="e">
        <f t="shared" si="24"/>
        <v>#N/A</v>
      </c>
      <c r="AA437" s="1976" t="e">
        <v>#N/A</v>
      </c>
      <c r="AB437" s="573" t="e">
        <v>#N/A</v>
      </c>
      <c r="AC437" s="1976" t="e">
        <v>#N/A</v>
      </c>
      <c r="AD437" s="573" t="e">
        <v>#N/A</v>
      </c>
      <c r="AE437" s="1976" t="e">
        <v>#N/A</v>
      </c>
      <c r="AF437" s="641" t="e">
        <f t="shared" si="25"/>
        <v>#N/A</v>
      </c>
      <c r="AG437" s="3141" t="e">
        <v>#N/A</v>
      </c>
    </row>
    <row r="438" spans="1:33">
      <c r="A438" s="63">
        <f t="shared" si="23"/>
        <v>2028.09</v>
      </c>
      <c r="B438" s="250" t="e">
        <v>#N/A</v>
      </c>
      <c r="C438" s="3140" t="e">
        <v>#N/A</v>
      </c>
      <c r="D438" s="3140" t="e">
        <v>#N/A</v>
      </c>
      <c r="E438" s="134" t="e">
        <v>#N/A</v>
      </c>
      <c r="F438" s="573" t="e">
        <v>#N/A</v>
      </c>
      <c r="G438" s="3140" t="e">
        <v>#N/A</v>
      </c>
      <c r="H438" s="3140" t="e">
        <v>#N/A</v>
      </c>
      <c r="I438" s="86" t="e">
        <v>#N/A</v>
      </c>
      <c r="J438" s="573" t="e">
        <v>#N/A</v>
      </c>
      <c r="K438" s="3140" t="e">
        <v>#N/A</v>
      </c>
      <c r="L438" s="3140" t="e">
        <v>#N/A</v>
      </c>
      <c r="M438" s="86" t="e">
        <v>#N/A</v>
      </c>
      <c r="N438" s="573" t="e">
        <v>#N/A</v>
      </c>
      <c r="O438" s="3140" t="e">
        <v>#N/A</v>
      </c>
      <c r="P438" s="3140" t="e">
        <v>#N/A</v>
      </c>
      <c r="Q438" s="86" t="e">
        <v>#N/A</v>
      </c>
      <c r="R438" s="134" t="e">
        <v>#N/A</v>
      </c>
      <c r="S438" s="3140" t="e">
        <v>#N/A</v>
      </c>
      <c r="T438" s="3140" t="e">
        <v>#N/A</v>
      </c>
      <c r="U438" s="86" t="e">
        <v>#N/A</v>
      </c>
      <c r="V438" s="134" t="e">
        <v>#N/A</v>
      </c>
      <c r="W438" s="1976" t="e">
        <v>#N/A</v>
      </c>
      <c r="X438" s="573" t="e">
        <v>#N/A</v>
      </c>
      <c r="Y438" s="1976" t="e">
        <v>#N/A</v>
      </c>
      <c r="Z438" s="641" t="e">
        <f t="shared" si="24"/>
        <v>#N/A</v>
      </c>
      <c r="AA438" s="1976" t="e">
        <v>#N/A</v>
      </c>
      <c r="AB438" s="573" t="e">
        <v>#N/A</v>
      </c>
      <c r="AC438" s="1976" t="e">
        <v>#N/A</v>
      </c>
      <c r="AD438" s="573" t="e">
        <v>#N/A</v>
      </c>
      <c r="AE438" s="1976" t="e">
        <v>#N/A</v>
      </c>
      <c r="AF438" s="641" t="e">
        <f t="shared" si="25"/>
        <v>#N/A</v>
      </c>
      <c r="AG438" s="3141" t="e">
        <v>#N/A</v>
      </c>
    </row>
    <row r="439" spans="1:33">
      <c r="A439" s="63">
        <f t="shared" si="23"/>
        <v>2028.1</v>
      </c>
      <c r="B439" s="250" t="e">
        <v>#N/A</v>
      </c>
      <c r="C439" s="3140" t="e">
        <v>#N/A</v>
      </c>
      <c r="D439" s="3140" t="e">
        <v>#N/A</v>
      </c>
      <c r="E439" s="134" t="e">
        <v>#N/A</v>
      </c>
      <c r="F439" s="573" t="e">
        <v>#N/A</v>
      </c>
      <c r="G439" s="3140" t="e">
        <v>#N/A</v>
      </c>
      <c r="H439" s="3140" t="e">
        <v>#N/A</v>
      </c>
      <c r="I439" s="86" t="e">
        <v>#N/A</v>
      </c>
      <c r="J439" s="573" t="e">
        <v>#N/A</v>
      </c>
      <c r="K439" s="3140" t="e">
        <v>#N/A</v>
      </c>
      <c r="L439" s="3140" t="e">
        <v>#N/A</v>
      </c>
      <c r="M439" s="86" t="e">
        <v>#N/A</v>
      </c>
      <c r="N439" s="573" t="e">
        <v>#N/A</v>
      </c>
      <c r="O439" s="3140" t="e">
        <v>#N/A</v>
      </c>
      <c r="P439" s="3140" t="e">
        <v>#N/A</v>
      </c>
      <c r="Q439" s="86" t="e">
        <v>#N/A</v>
      </c>
      <c r="R439" s="134" t="e">
        <v>#N/A</v>
      </c>
      <c r="S439" s="3140" t="e">
        <v>#N/A</v>
      </c>
      <c r="T439" s="3140" t="e">
        <v>#N/A</v>
      </c>
      <c r="U439" s="86" t="e">
        <v>#N/A</v>
      </c>
      <c r="V439" s="134" t="e">
        <v>#N/A</v>
      </c>
      <c r="W439" s="1976" t="e">
        <v>#N/A</v>
      </c>
      <c r="X439" s="573" t="e">
        <v>#N/A</v>
      </c>
      <c r="Y439" s="1976" t="e">
        <v>#N/A</v>
      </c>
      <c r="Z439" s="641" t="e">
        <f t="shared" si="24"/>
        <v>#N/A</v>
      </c>
      <c r="AA439" s="1976" t="e">
        <v>#N/A</v>
      </c>
      <c r="AB439" s="573" t="e">
        <v>#N/A</v>
      </c>
      <c r="AC439" s="1976" t="e">
        <v>#N/A</v>
      </c>
      <c r="AD439" s="573" t="e">
        <v>#N/A</v>
      </c>
      <c r="AE439" s="1976" t="e">
        <v>#N/A</v>
      </c>
      <c r="AF439" s="641" t="e">
        <f t="shared" si="25"/>
        <v>#N/A</v>
      </c>
      <c r="AG439" s="3141" t="e">
        <v>#N/A</v>
      </c>
    </row>
    <row r="440" spans="1:33">
      <c r="A440" s="63">
        <f t="shared" si="23"/>
        <v>2028.11</v>
      </c>
      <c r="B440" s="250" t="e">
        <v>#N/A</v>
      </c>
      <c r="C440" s="3140" t="e">
        <v>#N/A</v>
      </c>
      <c r="D440" s="3140" t="e">
        <v>#N/A</v>
      </c>
      <c r="E440" s="134" t="e">
        <v>#N/A</v>
      </c>
      <c r="F440" s="573" t="e">
        <v>#N/A</v>
      </c>
      <c r="G440" s="3140" t="e">
        <v>#N/A</v>
      </c>
      <c r="H440" s="3140" t="e">
        <v>#N/A</v>
      </c>
      <c r="I440" s="86" t="e">
        <v>#N/A</v>
      </c>
      <c r="J440" s="573" t="e">
        <v>#N/A</v>
      </c>
      <c r="K440" s="3140" t="e">
        <v>#N/A</v>
      </c>
      <c r="L440" s="3140" t="e">
        <v>#N/A</v>
      </c>
      <c r="M440" s="86" t="e">
        <v>#N/A</v>
      </c>
      <c r="N440" s="573" t="e">
        <v>#N/A</v>
      </c>
      <c r="O440" s="3140" t="e">
        <v>#N/A</v>
      </c>
      <c r="P440" s="3140" t="e">
        <v>#N/A</v>
      </c>
      <c r="Q440" s="86" t="e">
        <v>#N/A</v>
      </c>
      <c r="R440" s="134" t="e">
        <v>#N/A</v>
      </c>
      <c r="S440" s="3140" t="e">
        <v>#N/A</v>
      </c>
      <c r="T440" s="3140" t="e">
        <v>#N/A</v>
      </c>
      <c r="U440" s="86" t="e">
        <v>#N/A</v>
      </c>
      <c r="V440" s="134" t="e">
        <v>#N/A</v>
      </c>
      <c r="W440" s="1976" t="e">
        <v>#N/A</v>
      </c>
      <c r="X440" s="573" t="e">
        <v>#N/A</v>
      </c>
      <c r="Y440" s="1976" t="e">
        <v>#N/A</v>
      </c>
      <c r="Z440" s="641" t="e">
        <f t="shared" si="24"/>
        <v>#N/A</v>
      </c>
      <c r="AA440" s="1976" t="e">
        <v>#N/A</v>
      </c>
      <c r="AB440" s="573" t="e">
        <v>#N/A</v>
      </c>
      <c r="AC440" s="1976" t="e">
        <v>#N/A</v>
      </c>
      <c r="AD440" s="573" t="e">
        <v>#N/A</v>
      </c>
      <c r="AE440" s="1976" t="e">
        <v>#N/A</v>
      </c>
      <c r="AF440" s="641" t="e">
        <f t="shared" si="25"/>
        <v>#N/A</v>
      </c>
      <c r="AG440" s="3141" t="e">
        <v>#N/A</v>
      </c>
    </row>
    <row r="441" spans="1:33">
      <c r="A441" s="63">
        <f t="shared" si="23"/>
        <v>2028.12</v>
      </c>
      <c r="B441" s="250" t="e">
        <v>#N/A</v>
      </c>
      <c r="C441" s="3140" t="e">
        <v>#N/A</v>
      </c>
      <c r="D441" s="3140" t="e">
        <v>#N/A</v>
      </c>
      <c r="E441" s="134" t="e">
        <v>#N/A</v>
      </c>
      <c r="F441" s="573" t="e">
        <v>#N/A</v>
      </c>
      <c r="G441" s="3140" t="e">
        <v>#N/A</v>
      </c>
      <c r="H441" s="3140" t="e">
        <v>#N/A</v>
      </c>
      <c r="I441" s="86" t="e">
        <v>#N/A</v>
      </c>
      <c r="J441" s="573" t="e">
        <v>#N/A</v>
      </c>
      <c r="K441" s="3140" t="e">
        <v>#N/A</v>
      </c>
      <c r="L441" s="3140" t="e">
        <v>#N/A</v>
      </c>
      <c r="M441" s="86" t="e">
        <v>#N/A</v>
      </c>
      <c r="N441" s="573" t="e">
        <v>#N/A</v>
      </c>
      <c r="O441" s="3140" t="e">
        <v>#N/A</v>
      </c>
      <c r="P441" s="3140" t="e">
        <v>#N/A</v>
      </c>
      <c r="Q441" s="86" t="e">
        <v>#N/A</v>
      </c>
      <c r="R441" s="134" t="e">
        <v>#N/A</v>
      </c>
      <c r="S441" s="3140" t="e">
        <v>#N/A</v>
      </c>
      <c r="T441" s="3140" t="e">
        <v>#N/A</v>
      </c>
      <c r="U441" s="86" t="e">
        <v>#N/A</v>
      </c>
      <c r="V441" s="134" t="e">
        <v>#N/A</v>
      </c>
      <c r="W441" s="1976" t="e">
        <v>#N/A</v>
      </c>
      <c r="X441" s="573" t="e">
        <v>#N/A</v>
      </c>
      <c r="Y441" s="1976" t="e">
        <v>#N/A</v>
      </c>
      <c r="Z441" s="641" t="e">
        <f t="shared" si="24"/>
        <v>#N/A</v>
      </c>
      <c r="AA441" s="1976" t="e">
        <v>#N/A</v>
      </c>
      <c r="AB441" s="573" t="e">
        <v>#N/A</v>
      </c>
      <c r="AC441" s="1976" t="e">
        <v>#N/A</v>
      </c>
      <c r="AD441" s="573" t="e">
        <v>#N/A</v>
      </c>
      <c r="AE441" s="1976" t="e">
        <v>#N/A</v>
      </c>
      <c r="AF441" s="641" t="e">
        <f t="shared" si="25"/>
        <v>#N/A</v>
      </c>
      <c r="AG441" s="3141" t="e">
        <v>#N/A</v>
      </c>
    </row>
    <row r="442" spans="1:33">
      <c r="A442" s="63">
        <f t="shared" si="23"/>
        <v>2029.01</v>
      </c>
      <c r="B442" s="250" t="e">
        <v>#N/A</v>
      </c>
      <c r="C442" s="3140" t="e">
        <v>#N/A</v>
      </c>
      <c r="D442" s="3140" t="e">
        <v>#N/A</v>
      </c>
      <c r="E442" s="134" t="e">
        <v>#N/A</v>
      </c>
      <c r="F442" s="573" t="e">
        <v>#N/A</v>
      </c>
      <c r="G442" s="3140" t="e">
        <v>#N/A</v>
      </c>
      <c r="H442" s="3140" t="e">
        <v>#N/A</v>
      </c>
      <c r="I442" s="86" t="e">
        <v>#N/A</v>
      </c>
      <c r="J442" s="573" t="e">
        <v>#N/A</v>
      </c>
      <c r="K442" s="3140" t="e">
        <v>#N/A</v>
      </c>
      <c r="L442" s="3140" t="e">
        <v>#N/A</v>
      </c>
      <c r="M442" s="86" t="e">
        <v>#N/A</v>
      </c>
      <c r="N442" s="573" t="e">
        <v>#N/A</v>
      </c>
      <c r="O442" s="3140" t="e">
        <v>#N/A</v>
      </c>
      <c r="P442" s="3140" t="e">
        <v>#N/A</v>
      </c>
      <c r="Q442" s="86" t="e">
        <v>#N/A</v>
      </c>
      <c r="R442" s="134" t="e">
        <v>#N/A</v>
      </c>
      <c r="S442" s="3140" t="e">
        <v>#N/A</v>
      </c>
      <c r="T442" s="3140" t="e">
        <v>#N/A</v>
      </c>
      <c r="U442" s="86" t="e">
        <v>#N/A</v>
      </c>
      <c r="V442" s="134" t="e">
        <v>#N/A</v>
      </c>
      <c r="W442" s="1976" t="e">
        <v>#N/A</v>
      </c>
      <c r="X442" s="573" t="e">
        <v>#N/A</v>
      </c>
      <c r="Y442" s="1976" t="e">
        <v>#N/A</v>
      </c>
      <c r="Z442" s="641" t="e">
        <f t="shared" si="24"/>
        <v>#N/A</v>
      </c>
      <c r="AA442" s="1976" t="e">
        <v>#N/A</v>
      </c>
      <c r="AB442" s="573" t="e">
        <v>#N/A</v>
      </c>
      <c r="AC442" s="1976" t="e">
        <v>#N/A</v>
      </c>
      <c r="AD442" s="573" t="e">
        <v>#N/A</v>
      </c>
      <c r="AE442" s="1976" t="e">
        <v>#N/A</v>
      </c>
      <c r="AF442" s="641" t="e">
        <f t="shared" si="25"/>
        <v>#N/A</v>
      </c>
      <c r="AG442" s="3141" t="e">
        <v>#N/A</v>
      </c>
    </row>
    <row r="443" spans="1:33">
      <c r="A443" s="63">
        <f t="shared" si="23"/>
        <v>2029.02</v>
      </c>
      <c r="B443" s="250" t="e">
        <v>#N/A</v>
      </c>
      <c r="C443" s="3140" t="e">
        <v>#N/A</v>
      </c>
      <c r="D443" s="3140" t="e">
        <v>#N/A</v>
      </c>
      <c r="E443" s="134" t="e">
        <v>#N/A</v>
      </c>
      <c r="F443" s="573" t="e">
        <v>#N/A</v>
      </c>
      <c r="G443" s="3140" t="e">
        <v>#N/A</v>
      </c>
      <c r="H443" s="3140" t="e">
        <v>#N/A</v>
      </c>
      <c r="I443" s="86" t="e">
        <v>#N/A</v>
      </c>
      <c r="J443" s="573" t="e">
        <v>#N/A</v>
      </c>
      <c r="K443" s="3140" t="e">
        <v>#N/A</v>
      </c>
      <c r="L443" s="3140" t="e">
        <v>#N/A</v>
      </c>
      <c r="M443" s="86" t="e">
        <v>#N/A</v>
      </c>
      <c r="N443" s="573" t="e">
        <v>#N/A</v>
      </c>
      <c r="O443" s="3140" t="e">
        <v>#N/A</v>
      </c>
      <c r="P443" s="3140" t="e">
        <v>#N/A</v>
      </c>
      <c r="Q443" s="86" t="e">
        <v>#N/A</v>
      </c>
      <c r="R443" s="134" t="e">
        <v>#N/A</v>
      </c>
      <c r="S443" s="3140" t="e">
        <v>#N/A</v>
      </c>
      <c r="T443" s="3140" t="e">
        <v>#N/A</v>
      </c>
      <c r="U443" s="86" t="e">
        <v>#N/A</v>
      </c>
      <c r="V443" s="134" t="e">
        <v>#N/A</v>
      </c>
      <c r="W443" s="1976" t="e">
        <v>#N/A</v>
      </c>
      <c r="X443" s="573" t="e">
        <v>#N/A</v>
      </c>
      <c r="Y443" s="1976" t="e">
        <v>#N/A</v>
      </c>
      <c r="Z443" s="641" t="e">
        <f t="shared" si="24"/>
        <v>#N/A</v>
      </c>
      <c r="AA443" s="1976" t="e">
        <v>#N/A</v>
      </c>
      <c r="AB443" s="573" t="e">
        <v>#N/A</v>
      </c>
      <c r="AC443" s="1976" t="e">
        <v>#N/A</v>
      </c>
      <c r="AD443" s="573" t="e">
        <v>#N/A</v>
      </c>
      <c r="AE443" s="1976" t="e">
        <v>#N/A</v>
      </c>
      <c r="AF443" s="641" t="e">
        <f t="shared" si="25"/>
        <v>#N/A</v>
      </c>
      <c r="AG443" s="3141" t="e">
        <v>#N/A</v>
      </c>
    </row>
    <row r="444" spans="1:33">
      <c r="A444" s="63">
        <f t="shared" si="23"/>
        <v>2029.03</v>
      </c>
      <c r="B444" s="250" t="e">
        <v>#N/A</v>
      </c>
      <c r="C444" s="3140" t="e">
        <v>#N/A</v>
      </c>
      <c r="D444" s="3140" t="e">
        <v>#N/A</v>
      </c>
      <c r="E444" s="134" t="e">
        <v>#N/A</v>
      </c>
      <c r="F444" s="573" t="e">
        <v>#N/A</v>
      </c>
      <c r="G444" s="3140" t="e">
        <v>#N/A</v>
      </c>
      <c r="H444" s="3140" t="e">
        <v>#N/A</v>
      </c>
      <c r="I444" s="86" t="e">
        <v>#N/A</v>
      </c>
      <c r="J444" s="573" t="e">
        <v>#N/A</v>
      </c>
      <c r="K444" s="3140" t="e">
        <v>#N/A</v>
      </c>
      <c r="L444" s="3140" t="e">
        <v>#N/A</v>
      </c>
      <c r="M444" s="86" t="e">
        <v>#N/A</v>
      </c>
      <c r="N444" s="573" t="e">
        <v>#N/A</v>
      </c>
      <c r="O444" s="3140" t="e">
        <v>#N/A</v>
      </c>
      <c r="P444" s="3140" t="e">
        <v>#N/A</v>
      </c>
      <c r="Q444" s="86" t="e">
        <v>#N/A</v>
      </c>
      <c r="R444" s="134" t="e">
        <v>#N/A</v>
      </c>
      <c r="S444" s="3140" t="e">
        <v>#N/A</v>
      </c>
      <c r="T444" s="3140" t="e">
        <v>#N/A</v>
      </c>
      <c r="U444" s="86" t="e">
        <v>#N/A</v>
      </c>
      <c r="V444" s="134" t="e">
        <v>#N/A</v>
      </c>
      <c r="W444" s="1976" t="e">
        <v>#N/A</v>
      </c>
      <c r="X444" s="573" t="e">
        <v>#N/A</v>
      </c>
      <c r="Y444" s="1976" t="e">
        <v>#N/A</v>
      </c>
      <c r="Z444" s="641" t="e">
        <f t="shared" si="24"/>
        <v>#N/A</v>
      </c>
      <c r="AA444" s="1976" t="e">
        <v>#N/A</v>
      </c>
      <c r="AB444" s="573" t="e">
        <v>#N/A</v>
      </c>
      <c r="AC444" s="1976" t="e">
        <v>#N/A</v>
      </c>
      <c r="AD444" s="573" t="e">
        <v>#N/A</v>
      </c>
      <c r="AE444" s="1976" t="e">
        <v>#N/A</v>
      </c>
      <c r="AF444" s="641" t="e">
        <f t="shared" si="25"/>
        <v>#N/A</v>
      </c>
      <c r="AG444" s="3141" t="e">
        <v>#N/A</v>
      </c>
    </row>
    <row r="445" spans="1:33">
      <c r="A445" s="63">
        <f t="shared" si="23"/>
        <v>2029.04</v>
      </c>
      <c r="B445" s="250" t="e">
        <v>#N/A</v>
      </c>
      <c r="C445" s="3140" t="e">
        <v>#N/A</v>
      </c>
      <c r="D445" s="3140" t="e">
        <v>#N/A</v>
      </c>
      <c r="E445" s="134" t="e">
        <v>#N/A</v>
      </c>
      <c r="F445" s="573" t="e">
        <v>#N/A</v>
      </c>
      <c r="G445" s="3140" t="e">
        <v>#N/A</v>
      </c>
      <c r="H445" s="3140" t="e">
        <v>#N/A</v>
      </c>
      <c r="I445" s="86" t="e">
        <v>#N/A</v>
      </c>
      <c r="J445" s="573" t="e">
        <v>#N/A</v>
      </c>
      <c r="K445" s="3140" t="e">
        <v>#N/A</v>
      </c>
      <c r="L445" s="3140" t="e">
        <v>#N/A</v>
      </c>
      <c r="M445" s="86" t="e">
        <v>#N/A</v>
      </c>
      <c r="N445" s="573" t="e">
        <v>#N/A</v>
      </c>
      <c r="O445" s="3140" t="e">
        <v>#N/A</v>
      </c>
      <c r="P445" s="3140" t="e">
        <v>#N/A</v>
      </c>
      <c r="Q445" s="86" t="e">
        <v>#N/A</v>
      </c>
      <c r="R445" s="134" t="e">
        <v>#N/A</v>
      </c>
      <c r="S445" s="3140" t="e">
        <v>#N/A</v>
      </c>
      <c r="T445" s="3140" t="e">
        <v>#N/A</v>
      </c>
      <c r="U445" s="86" t="e">
        <v>#N/A</v>
      </c>
      <c r="V445" s="134" t="e">
        <v>#N/A</v>
      </c>
      <c r="W445" s="1976" t="e">
        <v>#N/A</v>
      </c>
      <c r="X445" s="573" t="e">
        <v>#N/A</v>
      </c>
      <c r="Y445" s="1976" t="e">
        <v>#N/A</v>
      </c>
      <c r="Z445" s="641" t="e">
        <f t="shared" si="24"/>
        <v>#N/A</v>
      </c>
      <c r="AA445" s="1976" t="e">
        <v>#N/A</v>
      </c>
      <c r="AB445" s="573" t="e">
        <v>#N/A</v>
      </c>
      <c r="AC445" s="1976" t="e">
        <v>#N/A</v>
      </c>
      <c r="AD445" s="573" t="e">
        <v>#N/A</v>
      </c>
      <c r="AE445" s="1976" t="e">
        <v>#N/A</v>
      </c>
      <c r="AF445" s="641" t="e">
        <f t="shared" si="25"/>
        <v>#N/A</v>
      </c>
      <c r="AG445" s="3141" t="e">
        <v>#N/A</v>
      </c>
    </row>
    <row r="446" spans="1:33">
      <c r="A446" s="63">
        <f t="shared" si="23"/>
        <v>2029.05</v>
      </c>
      <c r="B446" s="250" t="e">
        <v>#N/A</v>
      </c>
      <c r="C446" s="3140" t="e">
        <v>#N/A</v>
      </c>
      <c r="D446" s="3140" t="e">
        <v>#N/A</v>
      </c>
      <c r="E446" s="134" t="e">
        <v>#N/A</v>
      </c>
      <c r="F446" s="573" t="e">
        <v>#N/A</v>
      </c>
      <c r="G446" s="3140" t="e">
        <v>#N/A</v>
      </c>
      <c r="H446" s="3140" t="e">
        <v>#N/A</v>
      </c>
      <c r="I446" s="86" t="e">
        <v>#N/A</v>
      </c>
      <c r="J446" s="573" t="e">
        <v>#N/A</v>
      </c>
      <c r="K446" s="3140" t="e">
        <v>#N/A</v>
      </c>
      <c r="L446" s="3140" t="e">
        <v>#N/A</v>
      </c>
      <c r="M446" s="86" t="e">
        <v>#N/A</v>
      </c>
      <c r="N446" s="573" t="e">
        <v>#N/A</v>
      </c>
      <c r="O446" s="3140" t="e">
        <v>#N/A</v>
      </c>
      <c r="P446" s="3140" t="e">
        <v>#N/A</v>
      </c>
      <c r="Q446" s="86" t="e">
        <v>#N/A</v>
      </c>
      <c r="R446" s="134" t="e">
        <v>#N/A</v>
      </c>
      <c r="S446" s="3140" t="e">
        <v>#N/A</v>
      </c>
      <c r="T446" s="3140" t="e">
        <v>#N/A</v>
      </c>
      <c r="U446" s="86" t="e">
        <v>#N/A</v>
      </c>
      <c r="V446" s="134" t="e">
        <v>#N/A</v>
      </c>
      <c r="W446" s="1976" t="e">
        <v>#N/A</v>
      </c>
      <c r="X446" s="573" t="e">
        <v>#N/A</v>
      </c>
      <c r="Y446" s="1976" t="e">
        <v>#N/A</v>
      </c>
      <c r="Z446" s="641" t="e">
        <f t="shared" si="24"/>
        <v>#N/A</v>
      </c>
      <c r="AA446" s="1976" t="e">
        <v>#N/A</v>
      </c>
      <c r="AB446" s="573" t="e">
        <v>#N/A</v>
      </c>
      <c r="AC446" s="1976" t="e">
        <v>#N/A</v>
      </c>
      <c r="AD446" s="573" t="e">
        <v>#N/A</v>
      </c>
      <c r="AE446" s="1976" t="e">
        <v>#N/A</v>
      </c>
      <c r="AF446" s="641" t="e">
        <f t="shared" si="25"/>
        <v>#N/A</v>
      </c>
      <c r="AG446" s="3141" t="e">
        <v>#N/A</v>
      </c>
    </row>
    <row r="447" spans="1:33">
      <c r="A447" s="63">
        <f t="shared" si="23"/>
        <v>2029.06</v>
      </c>
      <c r="B447" s="250" t="e">
        <v>#N/A</v>
      </c>
      <c r="C447" s="3140" t="e">
        <v>#N/A</v>
      </c>
      <c r="D447" s="3140" t="e">
        <v>#N/A</v>
      </c>
      <c r="E447" s="134" t="e">
        <v>#N/A</v>
      </c>
      <c r="F447" s="573" t="e">
        <v>#N/A</v>
      </c>
      <c r="G447" s="3140" t="e">
        <v>#N/A</v>
      </c>
      <c r="H447" s="3140" t="e">
        <v>#N/A</v>
      </c>
      <c r="I447" s="86" t="e">
        <v>#N/A</v>
      </c>
      <c r="J447" s="573" t="e">
        <v>#N/A</v>
      </c>
      <c r="K447" s="3140" t="e">
        <v>#N/A</v>
      </c>
      <c r="L447" s="3140" t="e">
        <v>#N/A</v>
      </c>
      <c r="M447" s="86" t="e">
        <v>#N/A</v>
      </c>
      <c r="N447" s="573" t="e">
        <v>#N/A</v>
      </c>
      <c r="O447" s="3140" t="e">
        <v>#N/A</v>
      </c>
      <c r="P447" s="3140" t="e">
        <v>#N/A</v>
      </c>
      <c r="Q447" s="86" t="e">
        <v>#N/A</v>
      </c>
      <c r="R447" s="134" t="e">
        <v>#N/A</v>
      </c>
      <c r="S447" s="3140" t="e">
        <v>#N/A</v>
      </c>
      <c r="T447" s="3140" t="e">
        <v>#N/A</v>
      </c>
      <c r="U447" s="86" t="e">
        <v>#N/A</v>
      </c>
      <c r="V447" s="134" t="e">
        <v>#N/A</v>
      </c>
      <c r="W447" s="1976" t="e">
        <v>#N/A</v>
      </c>
      <c r="X447" s="573" t="e">
        <v>#N/A</v>
      </c>
      <c r="Y447" s="1976" t="e">
        <v>#N/A</v>
      </c>
      <c r="Z447" s="641" t="e">
        <f t="shared" si="24"/>
        <v>#N/A</v>
      </c>
      <c r="AA447" s="1976" t="e">
        <v>#N/A</v>
      </c>
      <c r="AB447" s="573" t="e">
        <v>#N/A</v>
      </c>
      <c r="AC447" s="1976" t="e">
        <v>#N/A</v>
      </c>
      <c r="AD447" s="573" t="e">
        <v>#N/A</v>
      </c>
      <c r="AE447" s="1976" t="e">
        <v>#N/A</v>
      </c>
      <c r="AF447" s="641" t="e">
        <f t="shared" si="25"/>
        <v>#N/A</v>
      </c>
      <c r="AG447" s="3141" t="e">
        <v>#N/A</v>
      </c>
    </row>
    <row r="448" spans="1:33">
      <c r="A448" s="63">
        <f t="shared" si="23"/>
        <v>2029.07</v>
      </c>
      <c r="B448" s="250" t="e">
        <v>#N/A</v>
      </c>
      <c r="C448" s="3140" t="e">
        <v>#N/A</v>
      </c>
      <c r="D448" s="3140" t="e">
        <v>#N/A</v>
      </c>
      <c r="E448" s="134" t="e">
        <v>#N/A</v>
      </c>
      <c r="F448" s="573" t="e">
        <v>#N/A</v>
      </c>
      <c r="G448" s="3140" t="e">
        <v>#N/A</v>
      </c>
      <c r="H448" s="3140" t="e">
        <v>#N/A</v>
      </c>
      <c r="I448" s="86" t="e">
        <v>#N/A</v>
      </c>
      <c r="J448" s="573" t="e">
        <v>#N/A</v>
      </c>
      <c r="K448" s="3140" t="e">
        <v>#N/A</v>
      </c>
      <c r="L448" s="3140" t="e">
        <v>#N/A</v>
      </c>
      <c r="M448" s="86" t="e">
        <v>#N/A</v>
      </c>
      <c r="N448" s="573" t="e">
        <v>#N/A</v>
      </c>
      <c r="O448" s="3140" t="e">
        <v>#N/A</v>
      </c>
      <c r="P448" s="3140" t="e">
        <v>#N/A</v>
      </c>
      <c r="Q448" s="86" t="e">
        <v>#N/A</v>
      </c>
      <c r="R448" s="134" t="e">
        <v>#N/A</v>
      </c>
      <c r="S448" s="3140" t="e">
        <v>#N/A</v>
      </c>
      <c r="T448" s="3140" t="e">
        <v>#N/A</v>
      </c>
      <c r="U448" s="86" t="e">
        <v>#N/A</v>
      </c>
      <c r="V448" s="134" t="e">
        <v>#N/A</v>
      </c>
      <c r="W448" s="1976" t="e">
        <v>#N/A</v>
      </c>
      <c r="X448" s="573" t="e">
        <v>#N/A</v>
      </c>
      <c r="Y448" s="1976" t="e">
        <v>#N/A</v>
      </c>
      <c r="Z448" s="641" t="e">
        <f t="shared" si="24"/>
        <v>#N/A</v>
      </c>
      <c r="AA448" s="1976" t="e">
        <v>#N/A</v>
      </c>
      <c r="AB448" s="573" t="e">
        <v>#N/A</v>
      </c>
      <c r="AC448" s="1976" t="e">
        <v>#N/A</v>
      </c>
      <c r="AD448" s="573" t="e">
        <v>#N/A</v>
      </c>
      <c r="AE448" s="1976" t="e">
        <v>#N/A</v>
      </c>
      <c r="AF448" s="641" t="e">
        <f t="shared" si="25"/>
        <v>#N/A</v>
      </c>
      <c r="AG448" s="3141" t="e">
        <v>#N/A</v>
      </c>
    </row>
    <row r="449" spans="1:33">
      <c r="A449" s="63">
        <f t="shared" si="23"/>
        <v>2029.08</v>
      </c>
      <c r="B449" s="250" t="e">
        <v>#N/A</v>
      </c>
      <c r="C449" s="3140" t="e">
        <v>#N/A</v>
      </c>
      <c r="D449" s="3140" t="e">
        <v>#N/A</v>
      </c>
      <c r="E449" s="134" t="e">
        <v>#N/A</v>
      </c>
      <c r="F449" s="573" t="e">
        <v>#N/A</v>
      </c>
      <c r="G449" s="3140" t="e">
        <v>#N/A</v>
      </c>
      <c r="H449" s="3140" t="e">
        <v>#N/A</v>
      </c>
      <c r="I449" s="86" t="e">
        <v>#N/A</v>
      </c>
      <c r="J449" s="573" t="e">
        <v>#N/A</v>
      </c>
      <c r="K449" s="3140" t="e">
        <v>#N/A</v>
      </c>
      <c r="L449" s="3140" t="e">
        <v>#N/A</v>
      </c>
      <c r="M449" s="86" t="e">
        <v>#N/A</v>
      </c>
      <c r="N449" s="573" t="e">
        <v>#N/A</v>
      </c>
      <c r="O449" s="3140" t="e">
        <v>#N/A</v>
      </c>
      <c r="P449" s="3140" t="e">
        <v>#N/A</v>
      </c>
      <c r="Q449" s="86" t="e">
        <v>#N/A</v>
      </c>
      <c r="R449" s="134" t="e">
        <v>#N/A</v>
      </c>
      <c r="S449" s="3140" t="e">
        <v>#N/A</v>
      </c>
      <c r="T449" s="3140" t="e">
        <v>#N/A</v>
      </c>
      <c r="U449" s="86" t="e">
        <v>#N/A</v>
      </c>
      <c r="V449" s="134" t="e">
        <v>#N/A</v>
      </c>
      <c r="W449" s="1976" t="e">
        <v>#N/A</v>
      </c>
      <c r="X449" s="573" t="e">
        <v>#N/A</v>
      </c>
      <c r="Y449" s="1976" t="e">
        <v>#N/A</v>
      </c>
      <c r="Z449" s="641" t="e">
        <f t="shared" si="24"/>
        <v>#N/A</v>
      </c>
      <c r="AA449" s="1976" t="e">
        <v>#N/A</v>
      </c>
      <c r="AB449" s="573" t="e">
        <v>#N/A</v>
      </c>
      <c r="AC449" s="1976" t="e">
        <v>#N/A</v>
      </c>
      <c r="AD449" s="573" t="e">
        <v>#N/A</v>
      </c>
      <c r="AE449" s="1976" t="e">
        <v>#N/A</v>
      </c>
      <c r="AF449" s="641" t="e">
        <f t="shared" si="25"/>
        <v>#N/A</v>
      </c>
      <c r="AG449" s="3141" t="e">
        <v>#N/A</v>
      </c>
    </row>
    <row r="450" spans="1:33">
      <c r="A450" s="63">
        <f t="shared" si="23"/>
        <v>2029.09</v>
      </c>
      <c r="B450" s="250" t="e">
        <v>#N/A</v>
      </c>
      <c r="C450" s="3140" t="e">
        <v>#N/A</v>
      </c>
      <c r="D450" s="3140" t="e">
        <v>#N/A</v>
      </c>
      <c r="E450" s="134" t="e">
        <v>#N/A</v>
      </c>
      <c r="F450" s="573" t="e">
        <v>#N/A</v>
      </c>
      <c r="G450" s="3140" t="e">
        <v>#N/A</v>
      </c>
      <c r="H450" s="3140" t="e">
        <v>#N/A</v>
      </c>
      <c r="I450" s="86" t="e">
        <v>#N/A</v>
      </c>
      <c r="J450" s="573" t="e">
        <v>#N/A</v>
      </c>
      <c r="K450" s="3140" t="e">
        <v>#N/A</v>
      </c>
      <c r="L450" s="3140" t="e">
        <v>#N/A</v>
      </c>
      <c r="M450" s="86" t="e">
        <v>#N/A</v>
      </c>
      <c r="N450" s="573" t="e">
        <v>#N/A</v>
      </c>
      <c r="O450" s="3140" t="e">
        <v>#N/A</v>
      </c>
      <c r="P450" s="3140" t="e">
        <v>#N/A</v>
      </c>
      <c r="Q450" s="86" t="e">
        <v>#N/A</v>
      </c>
      <c r="R450" s="134" t="e">
        <v>#N/A</v>
      </c>
      <c r="S450" s="3140" t="e">
        <v>#N/A</v>
      </c>
      <c r="T450" s="3140" t="e">
        <v>#N/A</v>
      </c>
      <c r="U450" s="86" t="e">
        <v>#N/A</v>
      </c>
      <c r="V450" s="134" t="e">
        <v>#N/A</v>
      </c>
      <c r="W450" s="1976" t="e">
        <v>#N/A</v>
      </c>
      <c r="X450" s="573" t="e">
        <v>#N/A</v>
      </c>
      <c r="Y450" s="1976" t="e">
        <v>#N/A</v>
      </c>
      <c r="Z450" s="641" t="e">
        <f t="shared" si="24"/>
        <v>#N/A</v>
      </c>
      <c r="AA450" s="1976" t="e">
        <v>#N/A</v>
      </c>
      <c r="AB450" s="573" t="e">
        <v>#N/A</v>
      </c>
      <c r="AC450" s="1976" t="e">
        <v>#N/A</v>
      </c>
      <c r="AD450" s="573" t="e">
        <v>#N/A</v>
      </c>
      <c r="AE450" s="1976" t="e">
        <v>#N/A</v>
      </c>
      <c r="AF450" s="641" t="e">
        <f t="shared" si="25"/>
        <v>#N/A</v>
      </c>
      <c r="AG450" s="3141" t="e">
        <v>#N/A</v>
      </c>
    </row>
    <row r="451" spans="1:33">
      <c r="A451" s="63">
        <f t="shared" si="23"/>
        <v>2029.1</v>
      </c>
      <c r="B451" s="250" t="e">
        <v>#N/A</v>
      </c>
      <c r="C451" s="3140" t="e">
        <v>#N/A</v>
      </c>
      <c r="D451" s="3140" t="e">
        <v>#N/A</v>
      </c>
      <c r="E451" s="134" t="e">
        <v>#N/A</v>
      </c>
      <c r="F451" s="573" t="e">
        <v>#N/A</v>
      </c>
      <c r="G451" s="3140" t="e">
        <v>#N/A</v>
      </c>
      <c r="H451" s="3140" t="e">
        <v>#N/A</v>
      </c>
      <c r="I451" s="86" t="e">
        <v>#N/A</v>
      </c>
      <c r="J451" s="573" t="e">
        <v>#N/A</v>
      </c>
      <c r="K451" s="3140" t="e">
        <v>#N/A</v>
      </c>
      <c r="L451" s="3140" t="e">
        <v>#N/A</v>
      </c>
      <c r="M451" s="86" t="e">
        <v>#N/A</v>
      </c>
      <c r="N451" s="573" t="e">
        <v>#N/A</v>
      </c>
      <c r="O451" s="3140" t="e">
        <v>#N/A</v>
      </c>
      <c r="P451" s="3140" t="e">
        <v>#N/A</v>
      </c>
      <c r="Q451" s="86" t="e">
        <v>#N/A</v>
      </c>
      <c r="R451" s="134" t="e">
        <v>#N/A</v>
      </c>
      <c r="S451" s="3140" t="e">
        <v>#N/A</v>
      </c>
      <c r="T451" s="3140" t="e">
        <v>#N/A</v>
      </c>
      <c r="U451" s="86" t="e">
        <v>#N/A</v>
      </c>
      <c r="V451" s="134" t="e">
        <v>#N/A</v>
      </c>
      <c r="W451" s="1976" t="e">
        <v>#N/A</v>
      </c>
      <c r="X451" s="573" t="e">
        <v>#N/A</v>
      </c>
      <c r="Y451" s="1976" t="e">
        <v>#N/A</v>
      </c>
      <c r="Z451" s="641" t="e">
        <f t="shared" si="24"/>
        <v>#N/A</v>
      </c>
      <c r="AA451" s="1976" t="e">
        <v>#N/A</v>
      </c>
      <c r="AB451" s="573" t="e">
        <v>#N/A</v>
      </c>
      <c r="AC451" s="1976" t="e">
        <v>#N/A</v>
      </c>
      <c r="AD451" s="573" t="e">
        <v>#N/A</v>
      </c>
      <c r="AE451" s="1976" t="e">
        <v>#N/A</v>
      </c>
      <c r="AF451" s="641" t="e">
        <f t="shared" si="25"/>
        <v>#N/A</v>
      </c>
      <c r="AG451" s="3141" t="e">
        <v>#N/A</v>
      </c>
    </row>
    <row r="452" spans="1:33">
      <c r="A452" s="63">
        <f t="shared" si="23"/>
        <v>2029.11</v>
      </c>
      <c r="B452" s="250" t="e">
        <v>#N/A</v>
      </c>
      <c r="C452" s="3140" t="e">
        <v>#N/A</v>
      </c>
      <c r="D452" s="3140" t="e">
        <v>#N/A</v>
      </c>
      <c r="E452" s="134" t="e">
        <v>#N/A</v>
      </c>
      <c r="F452" s="573" t="e">
        <v>#N/A</v>
      </c>
      <c r="G452" s="3140" t="e">
        <v>#N/A</v>
      </c>
      <c r="H452" s="3140" t="e">
        <v>#N/A</v>
      </c>
      <c r="I452" s="86" t="e">
        <v>#N/A</v>
      </c>
      <c r="J452" s="573" t="e">
        <v>#N/A</v>
      </c>
      <c r="K452" s="3140" t="e">
        <v>#N/A</v>
      </c>
      <c r="L452" s="3140" t="e">
        <v>#N/A</v>
      </c>
      <c r="M452" s="86" t="e">
        <v>#N/A</v>
      </c>
      <c r="N452" s="573" t="e">
        <v>#N/A</v>
      </c>
      <c r="O452" s="3140" t="e">
        <v>#N/A</v>
      </c>
      <c r="P452" s="3140" t="e">
        <v>#N/A</v>
      </c>
      <c r="Q452" s="86" t="e">
        <v>#N/A</v>
      </c>
      <c r="R452" s="134" t="e">
        <v>#N/A</v>
      </c>
      <c r="S452" s="3140" t="e">
        <v>#N/A</v>
      </c>
      <c r="T452" s="3140" t="e">
        <v>#N/A</v>
      </c>
      <c r="U452" s="86" t="e">
        <v>#N/A</v>
      </c>
      <c r="V452" s="134" t="e">
        <v>#N/A</v>
      </c>
      <c r="W452" s="1976" t="e">
        <v>#N/A</v>
      </c>
      <c r="X452" s="573" t="e">
        <v>#N/A</v>
      </c>
      <c r="Y452" s="1976" t="e">
        <v>#N/A</v>
      </c>
      <c r="Z452" s="641" t="e">
        <f t="shared" si="24"/>
        <v>#N/A</v>
      </c>
      <c r="AA452" s="1976" t="e">
        <v>#N/A</v>
      </c>
      <c r="AB452" s="573" t="e">
        <v>#N/A</v>
      </c>
      <c r="AC452" s="1976" t="e">
        <v>#N/A</v>
      </c>
      <c r="AD452" s="573" t="e">
        <v>#N/A</v>
      </c>
      <c r="AE452" s="1976" t="e">
        <v>#N/A</v>
      </c>
      <c r="AF452" s="641" t="e">
        <f t="shared" si="25"/>
        <v>#N/A</v>
      </c>
      <c r="AG452" s="3141" t="e">
        <v>#N/A</v>
      </c>
    </row>
    <row r="453" spans="1:33">
      <c r="A453" s="63">
        <f t="shared" si="23"/>
        <v>2029.12</v>
      </c>
      <c r="B453" s="250" t="e">
        <v>#N/A</v>
      </c>
      <c r="C453" s="3140" t="e">
        <v>#N/A</v>
      </c>
      <c r="D453" s="3140" t="e">
        <v>#N/A</v>
      </c>
      <c r="E453" s="134" t="e">
        <v>#N/A</v>
      </c>
      <c r="F453" s="573" t="e">
        <v>#N/A</v>
      </c>
      <c r="G453" s="3140" t="e">
        <v>#N/A</v>
      </c>
      <c r="H453" s="3140" t="e">
        <v>#N/A</v>
      </c>
      <c r="I453" s="86" t="e">
        <v>#N/A</v>
      </c>
      <c r="J453" s="573" t="e">
        <v>#N/A</v>
      </c>
      <c r="K453" s="3140" t="e">
        <v>#N/A</v>
      </c>
      <c r="L453" s="3140" t="e">
        <v>#N/A</v>
      </c>
      <c r="M453" s="86" t="e">
        <v>#N/A</v>
      </c>
      <c r="N453" s="573" t="e">
        <v>#N/A</v>
      </c>
      <c r="O453" s="3140" t="e">
        <v>#N/A</v>
      </c>
      <c r="P453" s="3140" t="e">
        <v>#N/A</v>
      </c>
      <c r="Q453" s="86" t="e">
        <v>#N/A</v>
      </c>
      <c r="R453" s="134" t="e">
        <v>#N/A</v>
      </c>
      <c r="S453" s="3140" t="e">
        <v>#N/A</v>
      </c>
      <c r="T453" s="3140" t="e">
        <v>#N/A</v>
      </c>
      <c r="U453" s="86" t="e">
        <v>#N/A</v>
      </c>
      <c r="V453" s="134" t="e">
        <v>#N/A</v>
      </c>
      <c r="W453" s="1976" t="e">
        <v>#N/A</v>
      </c>
      <c r="X453" s="573" t="e">
        <v>#N/A</v>
      </c>
      <c r="Y453" s="1976" t="e">
        <v>#N/A</v>
      </c>
      <c r="Z453" s="641" t="e">
        <f t="shared" si="24"/>
        <v>#N/A</v>
      </c>
      <c r="AA453" s="1976" t="e">
        <v>#N/A</v>
      </c>
      <c r="AB453" s="573" t="e">
        <v>#N/A</v>
      </c>
      <c r="AC453" s="1976" t="e">
        <v>#N/A</v>
      </c>
      <c r="AD453" s="573" t="e">
        <v>#N/A</v>
      </c>
      <c r="AE453" s="1976" t="e">
        <v>#N/A</v>
      </c>
      <c r="AF453" s="641" t="e">
        <f t="shared" si="25"/>
        <v>#N/A</v>
      </c>
      <c r="AG453" s="3141" t="e">
        <v>#N/A</v>
      </c>
    </row>
    <row r="454" spans="1:33">
      <c r="A454" s="63">
        <f t="shared" si="23"/>
        <v>2030.01</v>
      </c>
      <c r="B454" s="250" t="e">
        <v>#N/A</v>
      </c>
      <c r="C454" s="3140" t="e">
        <v>#N/A</v>
      </c>
      <c r="D454" s="3140" t="e">
        <v>#N/A</v>
      </c>
      <c r="E454" s="134" t="e">
        <v>#N/A</v>
      </c>
      <c r="F454" s="573" t="e">
        <v>#N/A</v>
      </c>
      <c r="G454" s="3140" t="e">
        <v>#N/A</v>
      </c>
      <c r="H454" s="3140" t="e">
        <v>#N/A</v>
      </c>
      <c r="I454" s="86" t="e">
        <v>#N/A</v>
      </c>
      <c r="J454" s="573" t="e">
        <v>#N/A</v>
      </c>
      <c r="K454" s="3140" t="e">
        <v>#N/A</v>
      </c>
      <c r="L454" s="3140" t="e">
        <v>#N/A</v>
      </c>
      <c r="M454" s="86" t="e">
        <v>#N/A</v>
      </c>
      <c r="N454" s="573" t="e">
        <v>#N/A</v>
      </c>
      <c r="O454" s="3140" t="e">
        <v>#N/A</v>
      </c>
      <c r="P454" s="3140" t="e">
        <v>#N/A</v>
      </c>
      <c r="Q454" s="86" t="e">
        <v>#N/A</v>
      </c>
      <c r="R454" s="134" t="e">
        <v>#N/A</v>
      </c>
      <c r="S454" s="3140" t="e">
        <v>#N/A</v>
      </c>
      <c r="T454" s="3140" t="e">
        <v>#N/A</v>
      </c>
      <c r="U454" s="86" t="e">
        <v>#N/A</v>
      </c>
      <c r="V454" s="134" t="e">
        <v>#N/A</v>
      </c>
      <c r="W454" s="1976" t="e">
        <v>#N/A</v>
      </c>
      <c r="X454" s="573" t="e">
        <v>#N/A</v>
      </c>
      <c r="Y454" s="1976" t="e">
        <v>#N/A</v>
      </c>
      <c r="Z454" s="641" t="e">
        <f t="shared" si="24"/>
        <v>#N/A</v>
      </c>
      <c r="AA454" s="1976" t="e">
        <v>#N/A</v>
      </c>
      <c r="AB454" s="573" t="e">
        <v>#N/A</v>
      </c>
      <c r="AC454" s="1976" t="e">
        <v>#N/A</v>
      </c>
      <c r="AD454" s="573" t="e">
        <v>#N/A</v>
      </c>
      <c r="AE454" s="1976" t="e">
        <v>#N/A</v>
      </c>
      <c r="AF454" s="641" t="e">
        <f t="shared" si="25"/>
        <v>#N/A</v>
      </c>
      <c r="AG454" s="3141" t="e">
        <v>#N/A</v>
      </c>
    </row>
    <row r="455" spans="1:33">
      <c r="A455" s="63">
        <f t="shared" si="23"/>
        <v>2030.02</v>
      </c>
      <c r="B455" s="250" t="e">
        <v>#N/A</v>
      </c>
      <c r="C455" s="3140" t="e">
        <v>#N/A</v>
      </c>
      <c r="D455" s="3140" t="e">
        <v>#N/A</v>
      </c>
      <c r="E455" s="134" t="e">
        <v>#N/A</v>
      </c>
      <c r="F455" s="573" t="e">
        <v>#N/A</v>
      </c>
      <c r="G455" s="3140" t="e">
        <v>#N/A</v>
      </c>
      <c r="H455" s="3140" t="e">
        <v>#N/A</v>
      </c>
      <c r="I455" s="86" t="e">
        <v>#N/A</v>
      </c>
      <c r="J455" s="573" t="e">
        <v>#N/A</v>
      </c>
      <c r="K455" s="3140" t="e">
        <v>#N/A</v>
      </c>
      <c r="L455" s="3140" t="e">
        <v>#N/A</v>
      </c>
      <c r="M455" s="86" t="e">
        <v>#N/A</v>
      </c>
      <c r="N455" s="573" t="e">
        <v>#N/A</v>
      </c>
      <c r="O455" s="3140" t="e">
        <v>#N/A</v>
      </c>
      <c r="P455" s="3140" t="e">
        <v>#N/A</v>
      </c>
      <c r="Q455" s="86" t="e">
        <v>#N/A</v>
      </c>
      <c r="R455" s="134" t="e">
        <v>#N/A</v>
      </c>
      <c r="S455" s="3140" t="e">
        <v>#N/A</v>
      </c>
      <c r="T455" s="3140" t="e">
        <v>#N/A</v>
      </c>
      <c r="U455" s="86" t="e">
        <v>#N/A</v>
      </c>
      <c r="V455" s="134" t="e">
        <v>#N/A</v>
      </c>
      <c r="W455" s="1976" t="e">
        <v>#N/A</v>
      </c>
      <c r="X455" s="573" t="e">
        <v>#N/A</v>
      </c>
      <c r="Y455" s="1976" t="e">
        <v>#N/A</v>
      </c>
      <c r="Z455" s="641" t="e">
        <f t="shared" si="24"/>
        <v>#N/A</v>
      </c>
      <c r="AA455" s="1976" t="e">
        <v>#N/A</v>
      </c>
      <c r="AB455" s="573" t="e">
        <v>#N/A</v>
      </c>
      <c r="AC455" s="1976" t="e">
        <v>#N/A</v>
      </c>
      <c r="AD455" s="573" t="e">
        <v>#N/A</v>
      </c>
      <c r="AE455" s="1976" t="e">
        <v>#N/A</v>
      </c>
      <c r="AF455" s="641" t="e">
        <f t="shared" si="25"/>
        <v>#N/A</v>
      </c>
      <c r="AG455" s="3141" t="e">
        <v>#N/A</v>
      </c>
    </row>
    <row r="456" spans="1:33">
      <c r="A456" s="63">
        <f t="shared" si="23"/>
        <v>2030.03</v>
      </c>
      <c r="B456" s="250" t="e">
        <v>#N/A</v>
      </c>
      <c r="C456" s="3140" t="e">
        <v>#N/A</v>
      </c>
      <c r="D456" s="3140" t="e">
        <v>#N/A</v>
      </c>
      <c r="E456" s="134" t="e">
        <v>#N/A</v>
      </c>
      <c r="F456" s="573" t="e">
        <v>#N/A</v>
      </c>
      <c r="G456" s="3140" t="e">
        <v>#N/A</v>
      </c>
      <c r="H456" s="3140" t="e">
        <v>#N/A</v>
      </c>
      <c r="I456" s="86" t="e">
        <v>#N/A</v>
      </c>
      <c r="J456" s="573" t="e">
        <v>#N/A</v>
      </c>
      <c r="K456" s="3140" t="e">
        <v>#N/A</v>
      </c>
      <c r="L456" s="3140" t="e">
        <v>#N/A</v>
      </c>
      <c r="M456" s="86" t="e">
        <v>#N/A</v>
      </c>
      <c r="N456" s="573" t="e">
        <v>#N/A</v>
      </c>
      <c r="O456" s="3140" t="e">
        <v>#N/A</v>
      </c>
      <c r="P456" s="3140" t="e">
        <v>#N/A</v>
      </c>
      <c r="Q456" s="86" t="e">
        <v>#N/A</v>
      </c>
      <c r="R456" s="134" t="e">
        <v>#N/A</v>
      </c>
      <c r="S456" s="3140" t="e">
        <v>#N/A</v>
      </c>
      <c r="T456" s="3140" t="e">
        <v>#N/A</v>
      </c>
      <c r="U456" s="86" t="e">
        <v>#N/A</v>
      </c>
      <c r="V456" s="134" t="e">
        <v>#N/A</v>
      </c>
      <c r="W456" s="1976" t="e">
        <v>#N/A</v>
      </c>
      <c r="X456" s="573" t="e">
        <v>#N/A</v>
      </c>
      <c r="Y456" s="1976" t="e">
        <v>#N/A</v>
      </c>
      <c r="Z456" s="641" t="e">
        <f t="shared" si="24"/>
        <v>#N/A</v>
      </c>
      <c r="AA456" s="1976" t="e">
        <v>#N/A</v>
      </c>
      <c r="AB456" s="573" t="e">
        <v>#N/A</v>
      </c>
      <c r="AC456" s="1976" t="e">
        <v>#N/A</v>
      </c>
      <c r="AD456" s="573" t="e">
        <v>#N/A</v>
      </c>
      <c r="AE456" s="1976" t="e">
        <v>#N/A</v>
      </c>
      <c r="AF456" s="641" t="e">
        <f t="shared" si="25"/>
        <v>#N/A</v>
      </c>
      <c r="AG456" s="3141" t="e">
        <v>#N/A</v>
      </c>
    </row>
    <row r="457" spans="1:33">
      <c r="A457" s="63">
        <f t="shared" si="23"/>
        <v>2030.04</v>
      </c>
      <c r="B457" s="250" t="e">
        <v>#N/A</v>
      </c>
      <c r="C457" s="3140" t="e">
        <v>#N/A</v>
      </c>
      <c r="D457" s="3140" t="e">
        <v>#N/A</v>
      </c>
      <c r="E457" s="134" t="e">
        <v>#N/A</v>
      </c>
      <c r="F457" s="573" t="e">
        <v>#N/A</v>
      </c>
      <c r="G457" s="3140" t="e">
        <v>#N/A</v>
      </c>
      <c r="H457" s="3140" t="e">
        <v>#N/A</v>
      </c>
      <c r="I457" s="86" t="e">
        <v>#N/A</v>
      </c>
      <c r="J457" s="573" t="e">
        <v>#N/A</v>
      </c>
      <c r="K457" s="3140" t="e">
        <v>#N/A</v>
      </c>
      <c r="L457" s="3140" t="e">
        <v>#N/A</v>
      </c>
      <c r="M457" s="86" t="e">
        <v>#N/A</v>
      </c>
      <c r="N457" s="573" t="e">
        <v>#N/A</v>
      </c>
      <c r="O457" s="3140" t="e">
        <v>#N/A</v>
      </c>
      <c r="P457" s="3140" t="e">
        <v>#N/A</v>
      </c>
      <c r="Q457" s="86" t="e">
        <v>#N/A</v>
      </c>
      <c r="R457" s="134" t="e">
        <v>#N/A</v>
      </c>
      <c r="S457" s="3140" t="e">
        <v>#N/A</v>
      </c>
      <c r="T457" s="3140" t="e">
        <v>#N/A</v>
      </c>
      <c r="U457" s="86" t="e">
        <v>#N/A</v>
      </c>
      <c r="V457" s="134" t="e">
        <v>#N/A</v>
      </c>
      <c r="W457" s="1976" t="e">
        <v>#N/A</v>
      </c>
      <c r="X457" s="573" t="e">
        <v>#N/A</v>
      </c>
      <c r="Y457" s="1976" t="e">
        <v>#N/A</v>
      </c>
      <c r="Z457" s="641" t="e">
        <f t="shared" si="24"/>
        <v>#N/A</v>
      </c>
      <c r="AA457" s="1976" t="e">
        <v>#N/A</v>
      </c>
      <c r="AB457" s="573" t="e">
        <v>#N/A</v>
      </c>
      <c r="AC457" s="1976" t="e">
        <v>#N/A</v>
      </c>
      <c r="AD457" s="573" t="e">
        <v>#N/A</v>
      </c>
      <c r="AE457" s="1976" t="e">
        <v>#N/A</v>
      </c>
      <c r="AF457" s="641" t="e">
        <f t="shared" si="25"/>
        <v>#N/A</v>
      </c>
      <c r="AG457" s="3141" t="e">
        <v>#N/A</v>
      </c>
    </row>
    <row r="458" spans="1:33">
      <c r="A458" s="63">
        <f t="shared" si="23"/>
        <v>2030.05</v>
      </c>
      <c r="B458" s="250" t="e">
        <v>#N/A</v>
      </c>
      <c r="C458" s="3140" t="e">
        <v>#N/A</v>
      </c>
      <c r="D458" s="3140" t="e">
        <v>#N/A</v>
      </c>
      <c r="E458" s="134" t="e">
        <v>#N/A</v>
      </c>
      <c r="F458" s="573" t="e">
        <v>#N/A</v>
      </c>
      <c r="G458" s="3140" t="e">
        <v>#N/A</v>
      </c>
      <c r="H458" s="3140" t="e">
        <v>#N/A</v>
      </c>
      <c r="I458" s="86" t="e">
        <v>#N/A</v>
      </c>
      <c r="J458" s="573" t="e">
        <v>#N/A</v>
      </c>
      <c r="K458" s="3140" t="e">
        <v>#N/A</v>
      </c>
      <c r="L458" s="3140" t="e">
        <v>#N/A</v>
      </c>
      <c r="M458" s="86" t="e">
        <v>#N/A</v>
      </c>
      <c r="N458" s="573" t="e">
        <v>#N/A</v>
      </c>
      <c r="O458" s="3140" t="e">
        <v>#N/A</v>
      </c>
      <c r="P458" s="3140" t="e">
        <v>#N/A</v>
      </c>
      <c r="Q458" s="86" t="e">
        <v>#N/A</v>
      </c>
      <c r="R458" s="134" t="e">
        <v>#N/A</v>
      </c>
      <c r="S458" s="3140" t="e">
        <v>#N/A</v>
      </c>
      <c r="T458" s="3140" t="e">
        <v>#N/A</v>
      </c>
      <c r="U458" s="86" t="e">
        <v>#N/A</v>
      </c>
      <c r="V458" s="134" t="e">
        <v>#N/A</v>
      </c>
      <c r="W458" s="1976" t="e">
        <v>#N/A</v>
      </c>
      <c r="X458" s="573" t="e">
        <v>#N/A</v>
      </c>
      <c r="Y458" s="1976" t="e">
        <v>#N/A</v>
      </c>
      <c r="Z458" s="641" t="e">
        <f t="shared" si="24"/>
        <v>#N/A</v>
      </c>
      <c r="AA458" s="1976" t="e">
        <v>#N/A</v>
      </c>
      <c r="AB458" s="573" t="e">
        <v>#N/A</v>
      </c>
      <c r="AC458" s="1976" t="e">
        <v>#N/A</v>
      </c>
      <c r="AD458" s="573" t="e">
        <v>#N/A</v>
      </c>
      <c r="AE458" s="1976" t="e">
        <v>#N/A</v>
      </c>
      <c r="AF458" s="641" t="e">
        <f t="shared" si="25"/>
        <v>#N/A</v>
      </c>
      <c r="AG458" s="3141" t="e">
        <v>#N/A</v>
      </c>
    </row>
    <row r="459" spans="1:33">
      <c r="A459" s="63">
        <f t="shared" si="23"/>
        <v>2030.06</v>
      </c>
      <c r="B459" s="250" t="e">
        <v>#N/A</v>
      </c>
      <c r="C459" s="3140" t="e">
        <v>#N/A</v>
      </c>
      <c r="D459" s="3140" t="e">
        <v>#N/A</v>
      </c>
      <c r="E459" s="134" t="e">
        <v>#N/A</v>
      </c>
      <c r="F459" s="573" t="e">
        <v>#N/A</v>
      </c>
      <c r="G459" s="3140" t="e">
        <v>#N/A</v>
      </c>
      <c r="H459" s="3140" t="e">
        <v>#N/A</v>
      </c>
      <c r="I459" s="86" t="e">
        <v>#N/A</v>
      </c>
      <c r="J459" s="573" t="e">
        <v>#N/A</v>
      </c>
      <c r="K459" s="3140" t="e">
        <v>#N/A</v>
      </c>
      <c r="L459" s="3140" t="e">
        <v>#N/A</v>
      </c>
      <c r="M459" s="86" t="e">
        <v>#N/A</v>
      </c>
      <c r="N459" s="573" t="e">
        <v>#N/A</v>
      </c>
      <c r="O459" s="3140" t="e">
        <v>#N/A</v>
      </c>
      <c r="P459" s="3140" t="e">
        <v>#N/A</v>
      </c>
      <c r="Q459" s="86" t="e">
        <v>#N/A</v>
      </c>
      <c r="R459" s="134" t="e">
        <v>#N/A</v>
      </c>
      <c r="S459" s="3140" t="e">
        <v>#N/A</v>
      </c>
      <c r="T459" s="3140" t="e">
        <v>#N/A</v>
      </c>
      <c r="U459" s="86" t="e">
        <v>#N/A</v>
      </c>
      <c r="V459" s="134" t="e">
        <v>#N/A</v>
      </c>
      <c r="W459" s="1976" t="e">
        <v>#N/A</v>
      </c>
      <c r="X459" s="573" t="e">
        <v>#N/A</v>
      </c>
      <c r="Y459" s="1976" t="e">
        <v>#N/A</v>
      </c>
      <c r="Z459" s="641" t="e">
        <f t="shared" si="24"/>
        <v>#N/A</v>
      </c>
      <c r="AA459" s="1976" t="e">
        <v>#N/A</v>
      </c>
      <c r="AB459" s="573" t="e">
        <v>#N/A</v>
      </c>
      <c r="AC459" s="1976" t="e">
        <v>#N/A</v>
      </c>
      <c r="AD459" s="573" t="e">
        <v>#N/A</v>
      </c>
      <c r="AE459" s="1976" t="e">
        <v>#N/A</v>
      </c>
      <c r="AF459" s="641" t="e">
        <f t="shared" si="25"/>
        <v>#N/A</v>
      </c>
      <c r="AG459" s="3141" t="e">
        <v>#N/A</v>
      </c>
    </row>
    <row r="460" spans="1:33">
      <c r="A460" s="63">
        <f t="shared" si="23"/>
        <v>2030.07</v>
      </c>
      <c r="B460" s="250" t="e">
        <v>#N/A</v>
      </c>
      <c r="C460" s="3140" t="e">
        <v>#N/A</v>
      </c>
      <c r="D460" s="3140" t="e">
        <v>#N/A</v>
      </c>
      <c r="E460" s="134" t="e">
        <v>#N/A</v>
      </c>
      <c r="F460" s="573" t="e">
        <v>#N/A</v>
      </c>
      <c r="G460" s="3140" t="e">
        <v>#N/A</v>
      </c>
      <c r="H460" s="3140" t="e">
        <v>#N/A</v>
      </c>
      <c r="I460" s="86" t="e">
        <v>#N/A</v>
      </c>
      <c r="J460" s="573" t="e">
        <v>#N/A</v>
      </c>
      <c r="K460" s="3140" t="e">
        <v>#N/A</v>
      </c>
      <c r="L460" s="3140" t="e">
        <v>#N/A</v>
      </c>
      <c r="M460" s="86" t="e">
        <v>#N/A</v>
      </c>
      <c r="N460" s="573" t="e">
        <v>#N/A</v>
      </c>
      <c r="O460" s="3140" t="e">
        <v>#N/A</v>
      </c>
      <c r="P460" s="3140" t="e">
        <v>#N/A</v>
      </c>
      <c r="Q460" s="86" t="e">
        <v>#N/A</v>
      </c>
      <c r="R460" s="134" t="e">
        <v>#N/A</v>
      </c>
      <c r="S460" s="3140" t="e">
        <v>#N/A</v>
      </c>
      <c r="T460" s="3140" t="e">
        <v>#N/A</v>
      </c>
      <c r="U460" s="86" t="e">
        <v>#N/A</v>
      </c>
      <c r="V460" s="134" t="e">
        <v>#N/A</v>
      </c>
      <c r="W460" s="1976" t="e">
        <v>#N/A</v>
      </c>
      <c r="X460" s="573" t="e">
        <v>#N/A</v>
      </c>
      <c r="Y460" s="1976" t="e">
        <v>#N/A</v>
      </c>
      <c r="Z460" s="641" t="e">
        <f t="shared" si="24"/>
        <v>#N/A</v>
      </c>
      <c r="AA460" s="1976" t="e">
        <v>#N/A</v>
      </c>
      <c r="AB460" s="573" t="e">
        <v>#N/A</v>
      </c>
      <c r="AC460" s="1976" t="e">
        <v>#N/A</v>
      </c>
      <c r="AD460" s="573" t="e">
        <v>#N/A</v>
      </c>
      <c r="AE460" s="1976" t="e">
        <v>#N/A</v>
      </c>
      <c r="AF460" s="641" t="e">
        <f t="shared" si="25"/>
        <v>#N/A</v>
      </c>
      <c r="AG460" s="3141" t="e">
        <v>#N/A</v>
      </c>
    </row>
    <row r="461" spans="1:33">
      <c r="A461" s="63">
        <f t="shared" si="23"/>
        <v>2030.08</v>
      </c>
      <c r="B461" s="250" t="e">
        <v>#N/A</v>
      </c>
      <c r="C461" s="3140" t="e">
        <v>#N/A</v>
      </c>
      <c r="D461" s="3140" t="e">
        <v>#N/A</v>
      </c>
      <c r="E461" s="134" t="e">
        <v>#N/A</v>
      </c>
      <c r="F461" s="573" t="e">
        <v>#N/A</v>
      </c>
      <c r="G461" s="3140" t="e">
        <v>#N/A</v>
      </c>
      <c r="H461" s="3140" t="e">
        <v>#N/A</v>
      </c>
      <c r="I461" s="86" t="e">
        <v>#N/A</v>
      </c>
      <c r="J461" s="573" t="e">
        <v>#N/A</v>
      </c>
      <c r="K461" s="3140" t="e">
        <v>#N/A</v>
      </c>
      <c r="L461" s="3140" t="e">
        <v>#N/A</v>
      </c>
      <c r="M461" s="86" t="e">
        <v>#N/A</v>
      </c>
      <c r="N461" s="573" t="e">
        <v>#N/A</v>
      </c>
      <c r="O461" s="3140" t="e">
        <v>#N/A</v>
      </c>
      <c r="P461" s="3140" t="e">
        <v>#N/A</v>
      </c>
      <c r="Q461" s="86" t="e">
        <v>#N/A</v>
      </c>
      <c r="R461" s="134" t="e">
        <v>#N/A</v>
      </c>
      <c r="S461" s="3140" t="e">
        <v>#N/A</v>
      </c>
      <c r="T461" s="3140" t="e">
        <v>#N/A</v>
      </c>
      <c r="U461" s="86" t="e">
        <v>#N/A</v>
      </c>
      <c r="V461" s="134" t="e">
        <v>#N/A</v>
      </c>
      <c r="W461" s="1976" t="e">
        <v>#N/A</v>
      </c>
      <c r="X461" s="573" t="e">
        <v>#N/A</v>
      </c>
      <c r="Y461" s="1976" t="e">
        <v>#N/A</v>
      </c>
      <c r="Z461" s="641" t="e">
        <f t="shared" si="24"/>
        <v>#N/A</v>
      </c>
      <c r="AA461" s="1976" t="e">
        <v>#N/A</v>
      </c>
      <c r="AB461" s="573" t="e">
        <v>#N/A</v>
      </c>
      <c r="AC461" s="1976" t="e">
        <v>#N/A</v>
      </c>
      <c r="AD461" s="573" t="e">
        <v>#N/A</v>
      </c>
      <c r="AE461" s="1976" t="e">
        <v>#N/A</v>
      </c>
      <c r="AF461" s="641" t="e">
        <f t="shared" si="25"/>
        <v>#N/A</v>
      </c>
      <c r="AG461" s="3141" t="e">
        <v>#N/A</v>
      </c>
    </row>
    <row r="462" spans="1:33">
      <c r="A462" s="63">
        <f t="shared" si="23"/>
        <v>2030.09</v>
      </c>
      <c r="B462" s="250" t="e">
        <v>#N/A</v>
      </c>
      <c r="C462" s="3140" t="e">
        <v>#N/A</v>
      </c>
      <c r="D462" s="3140" t="e">
        <v>#N/A</v>
      </c>
      <c r="E462" s="134" t="e">
        <v>#N/A</v>
      </c>
      <c r="F462" s="573" t="e">
        <v>#N/A</v>
      </c>
      <c r="G462" s="3140" t="e">
        <v>#N/A</v>
      </c>
      <c r="H462" s="3140" t="e">
        <v>#N/A</v>
      </c>
      <c r="I462" s="86" t="e">
        <v>#N/A</v>
      </c>
      <c r="J462" s="573" t="e">
        <v>#N/A</v>
      </c>
      <c r="K462" s="3140" t="e">
        <v>#N/A</v>
      </c>
      <c r="L462" s="3140" t="e">
        <v>#N/A</v>
      </c>
      <c r="M462" s="86" t="e">
        <v>#N/A</v>
      </c>
      <c r="N462" s="573" t="e">
        <v>#N/A</v>
      </c>
      <c r="O462" s="3140" t="e">
        <v>#N/A</v>
      </c>
      <c r="P462" s="3140" t="e">
        <v>#N/A</v>
      </c>
      <c r="Q462" s="86" t="e">
        <v>#N/A</v>
      </c>
      <c r="R462" s="134" t="e">
        <v>#N/A</v>
      </c>
      <c r="S462" s="3140" t="e">
        <v>#N/A</v>
      </c>
      <c r="T462" s="3140" t="e">
        <v>#N/A</v>
      </c>
      <c r="U462" s="86" t="e">
        <v>#N/A</v>
      </c>
      <c r="V462" s="134" t="e">
        <v>#N/A</v>
      </c>
      <c r="W462" s="1976" t="e">
        <v>#N/A</v>
      </c>
      <c r="X462" s="573" t="e">
        <v>#N/A</v>
      </c>
      <c r="Y462" s="1976" t="e">
        <v>#N/A</v>
      </c>
      <c r="Z462" s="641" t="e">
        <f t="shared" si="24"/>
        <v>#N/A</v>
      </c>
      <c r="AA462" s="1976" t="e">
        <v>#N/A</v>
      </c>
      <c r="AB462" s="573" t="e">
        <v>#N/A</v>
      </c>
      <c r="AC462" s="1976" t="e">
        <v>#N/A</v>
      </c>
      <c r="AD462" s="573" t="e">
        <v>#N/A</v>
      </c>
      <c r="AE462" s="1976" t="e">
        <v>#N/A</v>
      </c>
      <c r="AF462" s="641" t="e">
        <f t="shared" si="25"/>
        <v>#N/A</v>
      </c>
      <c r="AG462" s="3141" t="e">
        <v>#N/A</v>
      </c>
    </row>
    <row r="463" spans="1:33">
      <c r="A463" s="63">
        <f t="shared" si="23"/>
        <v>2030.1</v>
      </c>
      <c r="B463" s="250" t="e">
        <v>#N/A</v>
      </c>
      <c r="C463" s="3140" t="e">
        <v>#N/A</v>
      </c>
      <c r="D463" s="3140" t="e">
        <v>#N/A</v>
      </c>
      <c r="E463" s="134" t="e">
        <v>#N/A</v>
      </c>
      <c r="F463" s="573" t="e">
        <v>#N/A</v>
      </c>
      <c r="G463" s="3140" t="e">
        <v>#N/A</v>
      </c>
      <c r="H463" s="3140" t="e">
        <v>#N/A</v>
      </c>
      <c r="I463" s="86" t="e">
        <v>#N/A</v>
      </c>
      <c r="J463" s="573" t="e">
        <v>#N/A</v>
      </c>
      <c r="K463" s="3140" t="e">
        <v>#N/A</v>
      </c>
      <c r="L463" s="3140" t="e">
        <v>#N/A</v>
      </c>
      <c r="M463" s="86" t="e">
        <v>#N/A</v>
      </c>
      <c r="N463" s="573" t="e">
        <v>#N/A</v>
      </c>
      <c r="O463" s="3140" t="e">
        <v>#N/A</v>
      </c>
      <c r="P463" s="3140" t="e">
        <v>#N/A</v>
      </c>
      <c r="Q463" s="86" t="e">
        <v>#N/A</v>
      </c>
      <c r="R463" s="134" t="e">
        <v>#N/A</v>
      </c>
      <c r="S463" s="3140" t="e">
        <v>#N/A</v>
      </c>
      <c r="T463" s="3140" t="e">
        <v>#N/A</v>
      </c>
      <c r="U463" s="86" t="e">
        <v>#N/A</v>
      </c>
      <c r="V463" s="134" t="e">
        <v>#N/A</v>
      </c>
      <c r="W463" s="1976" t="e">
        <v>#N/A</v>
      </c>
      <c r="X463" s="573" t="e">
        <v>#N/A</v>
      </c>
      <c r="Y463" s="1976" t="e">
        <v>#N/A</v>
      </c>
      <c r="Z463" s="641" t="e">
        <f t="shared" si="24"/>
        <v>#N/A</v>
      </c>
      <c r="AA463" s="1976" t="e">
        <v>#N/A</v>
      </c>
      <c r="AB463" s="573" t="e">
        <v>#N/A</v>
      </c>
      <c r="AC463" s="1976" t="e">
        <v>#N/A</v>
      </c>
      <c r="AD463" s="573" t="e">
        <v>#N/A</v>
      </c>
      <c r="AE463" s="1976" t="e">
        <v>#N/A</v>
      </c>
      <c r="AF463" s="641" t="e">
        <f t="shared" si="25"/>
        <v>#N/A</v>
      </c>
      <c r="AG463" s="3141" t="e">
        <v>#N/A</v>
      </c>
    </row>
    <row r="464" spans="1:33">
      <c r="A464" s="63">
        <f t="shared" si="23"/>
        <v>2030.11</v>
      </c>
      <c r="B464" s="250" t="e">
        <v>#N/A</v>
      </c>
      <c r="C464" s="3140" t="e">
        <v>#N/A</v>
      </c>
      <c r="D464" s="3140" t="e">
        <v>#N/A</v>
      </c>
      <c r="E464" s="134" t="e">
        <v>#N/A</v>
      </c>
      <c r="F464" s="573" t="e">
        <v>#N/A</v>
      </c>
      <c r="G464" s="3140" t="e">
        <v>#N/A</v>
      </c>
      <c r="H464" s="3140" t="e">
        <v>#N/A</v>
      </c>
      <c r="I464" s="86" t="e">
        <v>#N/A</v>
      </c>
      <c r="J464" s="573" t="e">
        <v>#N/A</v>
      </c>
      <c r="K464" s="3140" t="e">
        <v>#N/A</v>
      </c>
      <c r="L464" s="3140" t="e">
        <v>#N/A</v>
      </c>
      <c r="M464" s="86" t="e">
        <v>#N/A</v>
      </c>
      <c r="N464" s="573" t="e">
        <v>#N/A</v>
      </c>
      <c r="O464" s="3140" t="e">
        <v>#N/A</v>
      </c>
      <c r="P464" s="3140" t="e">
        <v>#N/A</v>
      </c>
      <c r="Q464" s="86" t="e">
        <v>#N/A</v>
      </c>
      <c r="R464" s="134" t="e">
        <v>#N/A</v>
      </c>
      <c r="S464" s="3140" t="e">
        <v>#N/A</v>
      </c>
      <c r="T464" s="3140" t="e">
        <v>#N/A</v>
      </c>
      <c r="U464" s="86" t="e">
        <v>#N/A</v>
      </c>
      <c r="V464" s="134" t="e">
        <v>#N/A</v>
      </c>
      <c r="W464" s="1976" t="e">
        <v>#N/A</v>
      </c>
      <c r="X464" s="573" t="e">
        <v>#N/A</v>
      </c>
      <c r="Y464" s="1976" t="e">
        <v>#N/A</v>
      </c>
      <c r="Z464" s="641" t="e">
        <f t="shared" si="24"/>
        <v>#N/A</v>
      </c>
      <c r="AA464" s="1976" t="e">
        <v>#N/A</v>
      </c>
      <c r="AB464" s="573" t="e">
        <v>#N/A</v>
      </c>
      <c r="AC464" s="1976" t="e">
        <v>#N/A</v>
      </c>
      <c r="AD464" s="573" t="e">
        <v>#N/A</v>
      </c>
      <c r="AE464" s="1976" t="e">
        <v>#N/A</v>
      </c>
      <c r="AF464" s="641" t="e">
        <f t="shared" si="25"/>
        <v>#N/A</v>
      </c>
      <c r="AG464" s="3141" t="e">
        <v>#N/A</v>
      </c>
    </row>
    <row r="465" spans="1:33">
      <c r="A465" s="63">
        <f t="shared" si="23"/>
        <v>2030.12</v>
      </c>
      <c r="B465" s="250" t="e">
        <v>#N/A</v>
      </c>
      <c r="C465" s="3140" t="e">
        <v>#N/A</v>
      </c>
      <c r="D465" s="3140" t="e">
        <v>#N/A</v>
      </c>
      <c r="E465" s="134" t="e">
        <v>#N/A</v>
      </c>
      <c r="F465" s="573" t="e">
        <v>#N/A</v>
      </c>
      <c r="G465" s="3140" t="e">
        <v>#N/A</v>
      </c>
      <c r="H465" s="3140" t="e">
        <v>#N/A</v>
      </c>
      <c r="I465" s="86" t="e">
        <v>#N/A</v>
      </c>
      <c r="J465" s="573" t="e">
        <v>#N/A</v>
      </c>
      <c r="K465" s="3140" t="e">
        <v>#N/A</v>
      </c>
      <c r="L465" s="3140" t="e">
        <v>#N/A</v>
      </c>
      <c r="M465" s="86" t="e">
        <v>#N/A</v>
      </c>
      <c r="N465" s="573" t="e">
        <v>#N/A</v>
      </c>
      <c r="O465" s="3140" t="e">
        <v>#N/A</v>
      </c>
      <c r="P465" s="3140" t="e">
        <v>#N/A</v>
      </c>
      <c r="Q465" s="86" t="e">
        <v>#N/A</v>
      </c>
      <c r="R465" s="134" t="e">
        <v>#N/A</v>
      </c>
      <c r="S465" s="3140" t="e">
        <v>#N/A</v>
      </c>
      <c r="T465" s="3140" t="e">
        <v>#N/A</v>
      </c>
      <c r="U465" s="86" t="e">
        <v>#N/A</v>
      </c>
      <c r="V465" s="134" t="e">
        <v>#N/A</v>
      </c>
      <c r="W465" s="1976" t="e">
        <v>#N/A</v>
      </c>
      <c r="X465" s="573" t="e">
        <v>#N/A</v>
      </c>
      <c r="Y465" s="1976" t="e">
        <v>#N/A</v>
      </c>
      <c r="Z465" s="641" t="e">
        <f t="shared" si="24"/>
        <v>#N/A</v>
      </c>
      <c r="AA465" s="1976" t="e">
        <v>#N/A</v>
      </c>
      <c r="AB465" s="573" t="e">
        <v>#N/A</v>
      </c>
      <c r="AC465" s="1976" t="e">
        <v>#N/A</v>
      </c>
      <c r="AD465" s="573" t="e">
        <v>#N/A</v>
      </c>
      <c r="AE465" s="1976" t="e">
        <v>#N/A</v>
      </c>
      <c r="AF465" s="641" t="e">
        <f t="shared" si="25"/>
        <v>#N/A</v>
      </c>
      <c r="AG465" s="3141" t="e">
        <v>#N/A</v>
      </c>
    </row>
  </sheetData>
  <phoneticPr fontId="62" type="noConversion"/>
  <hyperlinks>
    <hyperlink ref="A5" location="INDICE!A13" display="VOLVER AL INDICE" xr:uid="{00000000-0004-0000-1600-000000000000}"/>
  </hyperlinks>
  <pageMargins left="0.75" right="0.75" top="1" bottom="1" header="0" footer="0"/>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0"/>
  <dimension ref="A1:Y483"/>
  <sheetViews>
    <sheetView zoomScale="130" zoomScaleNormal="130" workbookViewId="0">
      <pane xSplit="1" ySplit="9" topLeftCell="E371" activePane="bottomRight" state="frozen"/>
      <selection pane="topRight" activeCell="A5" sqref="A5"/>
      <selection pane="bottomLeft" activeCell="A5" sqref="A5"/>
      <selection pane="bottomRight" activeCell="G386" sqref="G386"/>
    </sheetView>
  </sheetViews>
  <sheetFormatPr baseColWidth="10" defaultColWidth="11.42578125" defaultRowHeight="12.75"/>
  <cols>
    <col min="1" max="1" width="12" style="24" bestFit="1" customWidth="1"/>
    <col min="2" max="12" width="16.42578125" style="24" customWidth="1"/>
    <col min="13" max="13" width="16.42578125" style="347" customWidth="1"/>
    <col min="14" max="14" width="11.42578125" style="9" customWidth="1"/>
    <col min="15" max="16384" width="11.42578125" style="9"/>
  </cols>
  <sheetData>
    <row r="1" spans="1:13" ht="3" customHeight="1">
      <c r="A1" s="34"/>
      <c r="B1" s="574"/>
      <c r="C1" s="574"/>
      <c r="D1" s="574"/>
      <c r="E1" s="574"/>
      <c r="F1" s="574"/>
      <c r="G1" s="574"/>
      <c r="H1" s="575"/>
      <c r="I1" s="574"/>
      <c r="J1" s="574"/>
      <c r="K1" s="574"/>
      <c r="L1" s="574"/>
      <c r="M1" s="576"/>
    </row>
    <row r="2" spans="1:13">
      <c r="A2" s="59" t="s">
        <v>105</v>
      </c>
      <c r="B2" s="1958" t="s">
        <v>761</v>
      </c>
      <c r="C2" s="2435"/>
      <c r="D2" s="1958"/>
      <c r="E2" s="1958"/>
      <c r="F2" s="1958"/>
      <c r="G2" s="1958"/>
      <c r="H2" s="1958" t="s">
        <v>762</v>
      </c>
      <c r="I2" s="2435"/>
      <c r="J2" s="1958"/>
      <c r="K2" s="1958"/>
      <c r="L2" s="1958"/>
      <c r="M2" s="577"/>
    </row>
    <row r="3" spans="1:13" ht="22.5">
      <c r="A3" s="37" t="s">
        <v>212</v>
      </c>
      <c r="B3" s="1958" t="s">
        <v>763</v>
      </c>
      <c r="C3" s="2435"/>
      <c r="D3" s="1958"/>
      <c r="E3" s="1958"/>
      <c r="F3" s="1958"/>
      <c r="G3" s="1958"/>
      <c r="H3" s="1958" t="s">
        <v>763</v>
      </c>
      <c r="I3" s="2435"/>
      <c r="J3" s="1958"/>
      <c r="K3" s="1958"/>
      <c r="L3" s="1958"/>
      <c r="M3" s="577"/>
    </row>
    <row r="4" spans="1:13" ht="3.75" hidden="1" customHeight="1">
      <c r="A4" s="57"/>
      <c r="B4" s="2436"/>
      <c r="C4" s="578"/>
      <c r="D4" s="578"/>
      <c r="E4" s="578"/>
      <c r="F4" s="578"/>
      <c r="G4" s="578"/>
      <c r="H4" s="2436"/>
      <c r="I4" s="578"/>
      <c r="J4" s="578"/>
      <c r="K4" s="578"/>
      <c r="L4" s="578"/>
      <c r="M4" s="579"/>
    </row>
    <row r="5" spans="1:13" ht="33.75">
      <c r="A5" s="2390" t="s">
        <v>137</v>
      </c>
      <c r="B5" s="2402" t="s">
        <v>764</v>
      </c>
      <c r="C5" s="780" t="s">
        <v>765</v>
      </c>
      <c r="D5" s="777" t="s">
        <v>765</v>
      </c>
      <c r="E5" s="811" t="s">
        <v>766</v>
      </c>
      <c r="F5" s="3143" t="s">
        <v>767</v>
      </c>
      <c r="G5" s="1736" t="s">
        <v>768</v>
      </c>
      <c r="H5" s="2402" t="s">
        <v>764</v>
      </c>
      <c r="I5" s="2402" t="s">
        <v>765</v>
      </c>
      <c r="J5" s="777" t="s">
        <v>765</v>
      </c>
      <c r="K5" s="353" t="s">
        <v>769</v>
      </c>
      <c r="L5" s="1763" t="s">
        <v>767</v>
      </c>
      <c r="M5" s="1058" t="s">
        <v>768</v>
      </c>
    </row>
    <row r="6" spans="1:13" hidden="1">
      <c r="A6" s="33"/>
      <c r="B6" s="2437"/>
      <c r="C6" s="781"/>
      <c r="D6" s="791"/>
      <c r="E6" s="578"/>
      <c r="F6" s="2436"/>
      <c r="G6" s="1978"/>
      <c r="H6" s="2437"/>
      <c r="I6" s="2437"/>
      <c r="J6" s="793"/>
      <c r="K6" s="578"/>
      <c r="L6" s="578"/>
      <c r="M6" s="71"/>
    </row>
    <row r="7" spans="1:13" ht="22.5">
      <c r="A7" s="2373" t="s">
        <v>123</v>
      </c>
      <c r="B7" s="3144" t="s">
        <v>770</v>
      </c>
      <c r="C7" s="3145" t="s">
        <v>770</v>
      </c>
      <c r="D7" s="3326" t="s">
        <v>770</v>
      </c>
      <c r="E7" s="3146" t="s">
        <v>262</v>
      </c>
      <c r="F7" s="3143" t="s">
        <v>771</v>
      </c>
      <c r="G7" s="3147" t="s">
        <v>358</v>
      </c>
      <c r="H7" s="6" t="s">
        <v>770</v>
      </c>
      <c r="I7" s="6" t="s">
        <v>770</v>
      </c>
      <c r="J7" s="794" t="s">
        <v>770</v>
      </c>
      <c r="K7" s="3148" t="s">
        <v>262</v>
      </c>
      <c r="L7" s="3147" t="s">
        <v>771</v>
      </c>
      <c r="M7" s="1" t="s">
        <v>358</v>
      </c>
    </row>
    <row r="8" spans="1:13" ht="13.5" thickBot="1">
      <c r="A8" s="147" t="s">
        <v>141</v>
      </c>
      <c r="B8" s="2400" t="s">
        <v>772</v>
      </c>
      <c r="C8" s="773" t="s">
        <v>773</v>
      </c>
      <c r="D8" s="560" t="s">
        <v>774</v>
      </c>
      <c r="E8" s="150" t="s">
        <v>775</v>
      </c>
      <c r="F8" s="2400" t="s">
        <v>776</v>
      </c>
      <c r="G8" s="1964" t="s">
        <v>777</v>
      </c>
      <c r="H8" s="2400" t="s">
        <v>778</v>
      </c>
      <c r="I8" s="2400" t="s">
        <v>779</v>
      </c>
      <c r="J8" s="560" t="s">
        <v>780</v>
      </c>
      <c r="K8" s="149" t="s">
        <v>781</v>
      </c>
      <c r="L8" s="1964" t="s">
        <v>782</v>
      </c>
      <c r="M8" s="1979" t="s">
        <v>783</v>
      </c>
    </row>
    <row r="9" spans="1:13" ht="13.5" hidden="1" thickBot="1">
      <c r="A9" s="72"/>
      <c r="B9" s="792"/>
      <c r="C9" s="2783"/>
      <c r="D9" s="2088"/>
      <c r="E9" s="580"/>
      <c r="F9" s="792"/>
      <c r="G9" s="2089"/>
      <c r="H9" s="792"/>
      <c r="I9" s="792"/>
      <c r="J9" s="2088"/>
      <c r="K9" s="580"/>
      <c r="L9" s="580"/>
      <c r="M9" s="2028"/>
    </row>
    <row r="10" spans="1:13">
      <c r="A10" s="67">
        <v>1994.01</v>
      </c>
      <c r="B10" s="2784">
        <v>170491.82350689804</v>
      </c>
      <c r="C10" s="2785"/>
      <c r="D10" s="1055">
        <v>1032357</v>
      </c>
      <c r="E10" s="1056">
        <f>B10/D10</f>
        <v>0.16514812560664388</v>
      </c>
      <c r="F10" s="2790">
        <v>209</v>
      </c>
      <c r="G10" s="2789">
        <v>0.63900000000000001</v>
      </c>
      <c r="H10" s="595">
        <v>52497.775111568029</v>
      </c>
      <c r="I10" s="2786"/>
      <c r="J10" s="2787"/>
      <c r="K10" s="2788"/>
      <c r="L10" s="2782">
        <v>86.45</v>
      </c>
      <c r="M10" s="594">
        <v>0.98</v>
      </c>
    </row>
    <row r="11" spans="1:13">
      <c r="A11" s="63">
        <v>1994.02</v>
      </c>
      <c r="B11" s="778">
        <v>161579.05095065094</v>
      </c>
      <c r="C11" s="782"/>
      <c r="D11" s="1981">
        <v>996918</v>
      </c>
      <c r="E11" s="786">
        <f t="shared" ref="E11:E74" si="0">B11/D11</f>
        <v>0.16207857712535129</v>
      </c>
      <c r="F11" s="584">
        <v>209</v>
      </c>
      <c r="G11" s="585">
        <v>0.63600000000000001</v>
      </c>
      <c r="H11" s="586">
        <v>52564.030117526112</v>
      </c>
      <c r="I11" s="581"/>
      <c r="J11" s="1980"/>
      <c r="K11" s="582"/>
      <c r="L11" s="584">
        <v>85.66</v>
      </c>
      <c r="M11" s="587">
        <v>0.99</v>
      </c>
    </row>
    <row r="12" spans="1:13">
      <c r="A12" s="63">
        <v>1994.03</v>
      </c>
      <c r="B12" s="778">
        <v>188786.52001106984</v>
      </c>
      <c r="C12" s="782"/>
      <c r="D12" s="1981">
        <v>1162789</v>
      </c>
      <c r="E12" s="786">
        <f t="shared" si="0"/>
        <v>0.16235664425022067</v>
      </c>
      <c r="F12" s="584">
        <v>209</v>
      </c>
      <c r="G12" s="585">
        <v>0.621</v>
      </c>
      <c r="H12" s="586">
        <v>59051.844529077782</v>
      </c>
      <c r="I12" s="581"/>
      <c r="J12" s="1980"/>
      <c r="K12" s="582"/>
      <c r="L12" s="584">
        <v>81.47</v>
      </c>
      <c r="M12" s="587">
        <v>1.05</v>
      </c>
    </row>
    <row r="13" spans="1:13">
      <c r="A13" s="63">
        <v>1994.04</v>
      </c>
      <c r="B13" s="778">
        <v>168378.98641590757</v>
      </c>
      <c r="C13" s="782"/>
      <c r="D13" s="1981">
        <v>1060222</v>
      </c>
      <c r="E13" s="786">
        <f t="shared" si="0"/>
        <v>0.15881483917133163</v>
      </c>
      <c r="F13" s="584">
        <v>209</v>
      </c>
      <c r="G13" s="585">
        <v>0.624</v>
      </c>
      <c r="H13" s="586">
        <v>55966.845814154534</v>
      </c>
      <c r="I13" s="581"/>
      <c r="J13" s="1980"/>
      <c r="K13" s="582"/>
      <c r="L13" s="584">
        <v>85.73</v>
      </c>
      <c r="M13" s="587">
        <v>1.07</v>
      </c>
    </row>
    <row r="14" spans="1:13">
      <c r="A14" s="63">
        <v>1994.05</v>
      </c>
      <c r="B14" s="778">
        <v>182598.13718343529</v>
      </c>
      <c r="C14" s="782"/>
      <c r="D14" s="1981">
        <v>1137106</v>
      </c>
      <c r="E14" s="786">
        <f t="shared" si="0"/>
        <v>0.16058145606780308</v>
      </c>
      <c r="F14" s="584">
        <v>209</v>
      </c>
      <c r="G14" s="585">
        <v>0.61199999999999999</v>
      </c>
      <c r="H14" s="586">
        <v>56453.406014159213</v>
      </c>
      <c r="I14" s="581"/>
      <c r="J14" s="1980"/>
      <c r="K14" s="582"/>
      <c r="L14" s="584">
        <v>87.35</v>
      </c>
      <c r="M14" s="587">
        <v>0.94</v>
      </c>
    </row>
    <row r="15" spans="1:13">
      <c r="A15" s="63">
        <v>1994.06</v>
      </c>
      <c r="B15" s="778">
        <v>180440.0407817183</v>
      </c>
      <c r="C15" s="782"/>
      <c r="D15" s="1981">
        <v>1111680</v>
      </c>
      <c r="E15" s="786">
        <f t="shared" si="0"/>
        <v>0.16231293248211562</v>
      </c>
      <c r="F15" s="584">
        <v>209</v>
      </c>
      <c r="G15" s="585">
        <v>0.72899999999999998</v>
      </c>
      <c r="H15" s="586">
        <v>53010.216173275076</v>
      </c>
      <c r="I15" s="581"/>
      <c r="J15" s="1980"/>
      <c r="K15" s="582"/>
      <c r="L15" s="584">
        <v>89.5</v>
      </c>
      <c r="M15" s="587">
        <v>0.93</v>
      </c>
    </row>
    <row r="16" spans="1:13">
      <c r="A16" s="63">
        <v>1994.07</v>
      </c>
      <c r="B16" s="778">
        <v>181453.40778774192</v>
      </c>
      <c r="C16" s="782"/>
      <c r="D16" s="1981">
        <v>1111911</v>
      </c>
      <c r="E16" s="786">
        <f t="shared" si="0"/>
        <v>0.16319058610602999</v>
      </c>
      <c r="F16" s="584">
        <v>209</v>
      </c>
      <c r="G16" s="585">
        <v>0.71499999999999997</v>
      </c>
      <c r="H16" s="586">
        <v>50804.131521764524</v>
      </c>
      <c r="I16" s="581"/>
      <c r="J16" s="1980"/>
      <c r="K16" s="582"/>
      <c r="L16" s="584">
        <v>89.12</v>
      </c>
      <c r="M16" s="587">
        <v>0.95</v>
      </c>
    </row>
    <row r="17" spans="1:13">
      <c r="A17" s="63">
        <v>1994.08</v>
      </c>
      <c r="B17" s="778">
        <v>190440.14068102997</v>
      </c>
      <c r="C17" s="782"/>
      <c r="D17" s="1981">
        <v>1111422</v>
      </c>
      <c r="E17" s="786">
        <f t="shared" si="0"/>
        <v>0.1713481833912141</v>
      </c>
      <c r="F17" s="584">
        <v>209</v>
      </c>
      <c r="G17" s="585">
        <v>0.75</v>
      </c>
      <c r="H17" s="586">
        <v>57707.074955022312</v>
      </c>
      <c r="I17" s="581"/>
      <c r="J17" s="1980"/>
      <c r="K17" s="582"/>
      <c r="L17" s="584">
        <v>88.27</v>
      </c>
      <c r="M17" s="587">
        <v>0.94599999999999995</v>
      </c>
    </row>
    <row r="18" spans="1:13">
      <c r="A18" s="63">
        <v>1994.09</v>
      </c>
      <c r="B18" s="778">
        <v>193989.13297336764</v>
      </c>
      <c r="C18" s="782"/>
      <c r="D18" s="1981">
        <v>1082229</v>
      </c>
      <c r="E18" s="786">
        <f t="shared" si="0"/>
        <v>0.17924961627656222</v>
      </c>
      <c r="F18" s="584">
        <v>209</v>
      </c>
      <c r="G18" s="585">
        <v>0.70299999999999996</v>
      </c>
      <c r="H18" s="586">
        <v>60383.156055048014</v>
      </c>
      <c r="I18" s="581"/>
      <c r="J18" s="1980"/>
      <c r="K18" s="582"/>
      <c r="L18" s="584">
        <v>88.74</v>
      </c>
      <c r="M18" s="587">
        <v>0.87</v>
      </c>
    </row>
    <row r="19" spans="1:13">
      <c r="A19" s="63">
        <v>1994.1</v>
      </c>
      <c r="B19" s="778">
        <v>190769.09859801803</v>
      </c>
      <c r="C19" s="782"/>
      <c r="D19" s="1981">
        <v>1091885</v>
      </c>
      <c r="E19" s="786">
        <f t="shared" si="0"/>
        <v>0.1747153762511785</v>
      </c>
      <c r="F19" s="584">
        <v>209</v>
      </c>
      <c r="G19" s="585">
        <v>0.70499999999999996</v>
      </c>
      <c r="H19" s="586">
        <v>61808.673917614899</v>
      </c>
      <c r="I19" s="581"/>
      <c r="J19" s="1980"/>
      <c r="K19" s="582"/>
      <c r="L19" s="584">
        <v>89.73</v>
      </c>
      <c r="M19" s="587">
        <v>0.85</v>
      </c>
    </row>
    <row r="20" spans="1:13">
      <c r="A20" s="63">
        <v>1994.11</v>
      </c>
      <c r="B20" s="778">
        <v>201920.55120678793</v>
      </c>
      <c r="C20" s="782"/>
      <c r="D20" s="1981">
        <v>1181884</v>
      </c>
      <c r="E20" s="786">
        <f t="shared" si="0"/>
        <v>0.17084633619440481</v>
      </c>
      <c r="F20" s="584">
        <v>209</v>
      </c>
      <c r="G20" s="585">
        <v>0.67800000000000005</v>
      </c>
      <c r="H20" s="586">
        <v>72378.417836865352</v>
      </c>
      <c r="I20" s="581"/>
      <c r="J20" s="1980"/>
      <c r="K20" s="582"/>
      <c r="L20" s="584">
        <v>89.28</v>
      </c>
      <c r="M20" s="587">
        <v>0.83</v>
      </c>
    </row>
    <row r="21" spans="1:13">
      <c r="A21" s="63">
        <v>1994.12</v>
      </c>
      <c r="B21" s="778">
        <v>195620.67593077823</v>
      </c>
      <c r="C21" s="782"/>
      <c r="D21" s="1981">
        <v>1119949</v>
      </c>
      <c r="E21" s="786">
        <f t="shared" si="0"/>
        <v>0.17466927148537856</v>
      </c>
      <c r="F21" s="584">
        <v>209</v>
      </c>
      <c r="G21" s="585">
        <v>0.69699999999999995</v>
      </c>
      <c r="H21" s="586">
        <v>72569.936213462934</v>
      </c>
      <c r="I21" s="581"/>
      <c r="J21" s="1980"/>
      <c r="K21" s="582"/>
      <c r="L21" s="584">
        <v>87.02</v>
      </c>
      <c r="M21" s="587">
        <v>1.08</v>
      </c>
    </row>
    <row r="22" spans="1:13">
      <c r="A22" s="63">
        <v>1995.01</v>
      </c>
      <c r="B22" s="778">
        <v>204533.44848702534</v>
      </c>
      <c r="C22" s="782"/>
      <c r="D22" s="1981">
        <v>1097434</v>
      </c>
      <c r="E22" s="786">
        <f t="shared" si="0"/>
        <v>0.18637425894133527</v>
      </c>
      <c r="F22" s="584">
        <v>209</v>
      </c>
      <c r="G22" s="585">
        <v>0.75600000000000001</v>
      </c>
      <c r="H22" s="586">
        <v>63412.252108694127</v>
      </c>
      <c r="I22" s="581"/>
      <c r="J22" s="1980"/>
      <c r="K22" s="582"/>
      <c r="L22" s="584">
        <v>86.45</v>
      </c>
      <c r="M22" s="587">
        <v>1.01</v>
      </c>
    </row>
    <row r="23" spans="1:13">
      <c r="A23" s="63">
        <v>1995.02</v>
      </c>
      <c r="B23" s="778">
        <v>195943.01053400146</v>
      </c>
      <c r="C23" s="782"/>
      <c r="D23" s="1981">
        <v>987285</v>
      </c>
      <c r="E23" s="786">
        <f t="shared" si="0"/>
        <v>0.19846651223709613</v>
      </c>
      <c r="F23" s="584">
        <v>209</v>
      </c>
      <c r="G23" s="585">
        <v>0.71399999999999997</v>
      </c>
      <c r="H23" s="586">
        <v>58445.197130774082</v>
      </c>
      <c r="I23" s="581"/>
      <c r="J23" s="1980"/>
      <c r="K23" s="582"/>
      <c r="L23" s="584">
        <v>85.66</v>
      </c>
      <c r="M23" s="587">
        <v>1.08</v>
      </c>
    </row>
    <row r="24" spans="1:13">
      <c r="A24" s="63">
        <v>1995.03</v>
      </c>
      <c r="B24" s="778">
        <v>227992.12195653326</v>
      </c>
      <c r="C24" s="782"/>
      <c r="D24" s="1981">
        <v>1187208</v>
      </c>
      <c r="E24" s="786">
        <f t="shared" si="0"/>
        <v>0.19204058762789103</v>
      </c>
      <c r="F24" s="584">
        <v>209</v>
      </c>
      <c r="G24" s="585">
        <v>0.66800000000000004</v>
      </c>
      <c r="H24" s="586">
        <v>61614.049837613027</v>
      </c>
      <c r="I24" s="581"/>
      <c r="J24" s="1980"/>
      <c r="K24" s="582"/>
      <c r="L24" s="584">
        <v>81.47</v>
      </c>
      <c r="M24" s="587">
        <v>1.1100000000000001</v>
      </c>
    </row>
    <row r="25" spans="1:13">
      <c r="A25" s="63">
        <v>1995.04</v>
      </c>
      <c r="B25" s="778">
        <v>195166.97893788532</v>
      </c>
      <c r="C25" s="782"/>
      <c r="D25" s="1981">
        <v>1012913</v>
      </c>
      <c r="E25" s="786">
        <f t="shared" si="0"/>
        <v>0.19267891609435886</v>
      </c>
      <c r="F25" s="584">
        <v>209</v>
      </c>
      <c r="G25" s="585">
        <v>0.65700000000000003</v>
      </c>
      <c r="H25" s="586">
        <v>48110.451435781208</v>
      </c>
      <c r="I25" s="581"/>
      <c r="J25" s="1980"/>
      <c r="K25" s="582"/>
      <c r="L25" s="584">
        <v>85.73</v>
      </c>
      <c r="M25" s="587">
        <v>0.97</v>
      </c>
    </row>
    <row r="26" spans="1:13">
      <c r="A26" s="63">
        <v>1995.05</v>
      </c>
      <c r="B26" s="778">
        <v>222857.949903139</v>
      </c>
      <c r="C26" s="782"/>
      <c r="D26" s="1981">
        <v>1154423</v>
      </c>
      <c r="E26" s="786">
        <f t="shared" si="0"/>
        <v>0.19304704592955874</v>
      </c>
      <c r="F26" s="584">
        <v>209</v>
      </c>
      <c r="G26" s="585">
        <v>0.65600000000000003</v>
      </c>
      <c r="H26" s="586">
        <v>59370.696745251058</v>
      </c>
      <c r="I26" s="581"/>
      <c r="J26" s="1980"/>
      <c r="K26" s="582"/>
      <c r="L26" s="584">
        <v>87.35</v>
      </c>
      <c r="M26" s="587">
        <v>0.92</v>
      </c>
    </row>
    <row r="27" spans="1:13">
      <c r="A27" s="63">
        <v>1995.06</v>
      </c>
      <c r="B27" s="778">
        <v>218563.83481225453</v>
      </c>
      <c r="C27" s="782"/>
      <c r="D27" s="1981">
        <v>1097922</v>
      </c>
      <c r="E27" s="786">
        <f t="shared" si="0"/>
        <v>0.19907045747535301</v>
      </c>
      <c r="F27" s="584">
        <v>209</v>
      </c>
      <c r="G27" s="585">
        <v>0.64500000000000002</v>
      </c>
      <c r="H27" s="586">
        <v>57609.762915021376</v>
      </c>
      <c r="I27" s="581"/>
      <c r="J27" s="1980"/>
      <c r="K27" s="582"/>
      <c r="L27" s="584">
        <v>89.5</v>
      </c>
      <c r="M27" s="587">
        <v>0.89</v>
      </c>
    </row>
    <row r="28" spans="1:13">
      <c r="A28" s="63">
        <v>1995.07</v>
      </c>
      <c r="B28" s="778">
        <v>212325.77713138354</v>
      </c>
      <c r="C28" s="782"/>
      <c r="D28" s="1981">
        <v>1081237</v>
      </c>
      <c r="E28" s="786">
        <f t="shared" si="0"/>
        <v>0.19637302194743941</v>
      </c>
      <c r="F28" s="584">
        <v>209</v>
      </c>
      <c r="G28" s="585">
        <v>0.628</v>
      </c>
      <c r="H28" s="586">
        <v>52488.458001355175</v>
      </c>
      <c r="I28" s="581"/>
      <c r="J28" s="1980"/>
      <c r="K28" s="582"/>
      <c r="L28" s="584">
        <v>89.12</v>
      </c>
      <c r="M28" s="587">
        <v>0.89</v>
      </c>
    </row>
    <row r="29" spans="1:13">
      <c r="A29" s="63">
        <v>1995.08</v>
      </c>
      <c r="B29" s="778">
        <v>228973.47627936007</v>
      </c>
      <c r="C29" s="782"/>
      <c r="D29" s="1981">
        <v>1145915</v>
      </c>
      <c r="E29" s="786">
        <f t="shared" si="0"/>
        <v>0.19981715596650718</v>
      </c>
      <c r="F29" s="584">
        <v>209</v>
      </c>
      <c r="G29" s="585">
        <v>0.64400000000000002</v>
      </c>
      <c r="H29" s="586">
        <v>57627.361900978998</v>
      </c>
      <c r="I29" s="581"/>
      <c r="J29" s="1980"/>
      <c r="K29" s="582"/>
      <c r="L29" s="584">
        <v>88.27</v>
      </c>
      <c r="M29" s="587">
        <v>0.95</v>
      </c>
    </row>
    <row r="30" spans="1:13">
      <c r="A30" s="63">
        <v>1995.09</v>
      </c>
      <c r="B30" s="778">
        <v>210937.08901201782</v>
      </c>
      <c r="C30" s="782"/>
      <c r="D30" s="1981">
        <v>1030983</v>
      </c>
      <c r="E30" s="786">
        <f t="shared" si="0"/>
        <v>0.20459802830116289</v>
      </c>
      <c r="F30" s="584">
        <v>209</v>
      </c>
      <c r="G30" s="585">
        <v>0.747</v>
      </c>
      <c r="H30" s="586">
        <v>54552.715530736699</v>
      </c>
      <c r="I30" s="581"/>
      <c r="J30" s="1980"/>
      <c r="K30" s="582"/>
      <c r="L30" s="584">
        <v>88.74</v>
      </c>
      <c r="M30" s="587">
        <v>0.92</v>
      </c>
    </row>
    <row r="31" spans="1:13">
      <c r="A31" s="63">
        <v>1995.1</v>
      </c>
      <c r="B31" s="778">
        <v>199071.42240227049</v>
      </c>
      <c r="C31" s="782"/>
      <c r="D31" s="1981">
        <v>1023800</v>
      </c>
      <c r="E31" s="786">
        <f t="shared" si="0"/>
        <v>0.19444366321768947</v>
      </c>
      <c r="F31" s="584">
        <v>209</v>
      </c>
      <c r="G31" s="585">
        <v>0.78400000000000003</v>
      </c>
      <c r="H31" s="586">
        <v>57099.392322250518</v>
      </c>
      <c r="I31" s="581"/>
      <c r="J31" s="1980"/>
      <c r="K31" s="582"/>
      <c r="L31" s="584">
        <v>89.73</v>
      </c>
      <c r="M31" s="587">
        <v>0.91</v>
      </c>
    </row>
    <row r="32" spans="1:13">
      <c r="A32" s="63">
        <v>1995.11</v>
      </c>
      <c r="B32" s="778">
        <v>208697.30507386755</v>
      </c>
      <c r="C32" s="782"/>
      <c r="D32" s="1981">
        <v>1063022</v>
      </c>
      <c r="E32" s="786">
        <f t="shared" si="0"/>
        <v>0.19632453991908685</v>
      </c>
      <c r="F32" s="584">
        <v>209</v>
      </c>
      <c r="G32" s="585">
        <v>0.77600000000000002</v>
      </c>
      <c r="H32" s="586">
        <v>56535.189537138722</v>
      </c>
      <c r="I32" s="581"/>
      <c r="J32" s="1980"/>
      <c r="K32" s="582"/>
      <c r="L32" s="584">
        <v>89.28</v>
      </c>
      <c r="M32" s="587">
        <v>0.97</v>
      </c>
    </row>
    <row r="33" spans="1:13">
      <c r="A33" s="63">
        <v>1995.12</v>
      </c>
      <c r="B33" s="778">
        <v>183588.32259128193</v>
      </c>
      <c r="C33" s="782"/>
      <c r="D33" s="1981">
        <v>975261</v>
      </c>
      <c r="E33" s="786">
        <f t="shared" si="0"/>
        <v>0.1882453236531369</v>
      </c>
      <c r="F33" s="584">
        <v>209</v>
      </c>
      <c r="G33" s="585">
        <v>0.77700000000000002</v>
      </c>
      <c r="H33" s="586">
        <v>56416.137573307788</v>
      </c>
      <c r="I33" s="581"/>
      <c r="J33" s="1980"/>
      <c r="K33" s="582"/>
      <c r="L33" s="584">
        <v>87.02</v>
      </c>
      <c r="M33" s="587">
        <v>1.01</v>
      </c>
    </row>
    <row r="34" spans="1:13">
      <c r="A34" s="63">
        <v>1996.01</v>
      </c>
      <c r="B34" s="778">
        <v>216092.23489233415</v>
      </c>
      <c r="C34" s="782"/>
      <c r="D34" s="1981">
        <v>1048122</v>
      </c>
      <c r="E34" s="786">
        <f t="shared" si="0"/>
        <v>0.20617087981392829</v>
      </c>
      <c r="F34" s="584">
        <v>209</v>
      </c>
      <c r="G34" s="585">
        <v>0.74199999999999999</v>
      </c>
      <c r="H34" s="586">
        <v>56032.065585644523</v>
      </c>
      <c r="I34" s="581"/>
      <c r="J34" s="1980"/>
      <c r="K34" s="582"/>
      <c r="L34" s="584">
        <v>86.45</v>
      </c>
      <c r="M34" s="587">
        <v>1.07</v>
      </c>
    </row>
    <row r="35" spans="1:13">
      <c r="A35" s="63">
        <v>1996.02</v>
      </c>
      <c r="B35" s="778">
        <v>211942.72881864914</v>
      </c>
      <c r="C35" s="782"/>
      <c r="D35" s="1981">
        <v>1018604</v>
      </c>
      <c r="E35" s="786">
        <f t="shared" si="0"/>
        <v>0.20807176176281375</v>
      </c>
      <c r="F35" s="584">
        <v>209</v>
      </c>
      <c r="G35" s="585">
        <v>0.73399999999999999</v>
      </c>
      <c r="H35" s="586">
        <v>51076.398186873528</v>
      </c>
      <c r="I35" s="581"/>
      <c r="J35" s="1980"/>
      <c r="K35" s="582"/>
      <c r="L35" s="584">
        <v>85.66</v>
      </c>
      <c r="M35" s="587">
        <v>1.06</v>
      </c>
    </row>
    <row r="36" spans="1:13">
      <c r="A36" s="63">
        <v>1996.03</v>
      </c>
      <c r="B36" s="778">
        <v>217962.21714527972</v>
      </c>
      <c r="C36" s="782"/>
      <c r="D36" s="1981">
        <v>1080415</v>
      </c>
      <c r="E36" s="786">
        <f t="shared" si="0"/>
        <v>0.20173934751487135</v>
      </c>
      <c r="F36" s="584">
        <v>209</v>
      </c>
      <c r="G36" s="585">
        <v>0.72499999999999998</v>
      </c>
      <c r="H36" s="586">
        <v>51296.903128577767</v>
      </c>
      <c r="I36" s="581"/>
      <c r="J36" s="1980"/>
      <c r="K36" s="582"/>
      <c r="L36" s="584">
        <v>81.47</v>
      </c>
      <c r="M36" s="587">
        <v>1.03</v>
      </c>
    </row>
    <row r="37" spans="1:13">
      <c r="A37" s="63">
        <v>1996.04</v>
      </c>
      <c r="B37" s="778">
        <v>210422.67830961366</v>
      </c>
      <c r="C37" s="782"/>
      <c r="D37" s="1981">
        <v>1071631</v>
      </c>
      <c r="E37" s="786">
        <f t="shared" si="0"/>
        <v>0.19635740129728765</v>
      </c>
      <c r="F37" s="584">
        <v>209</v>
      </c>
      <c r="G37" s="585">
        <v>0.7</v>
      </c>
      <c r="H37" s="586">
        <v>47553.49529194607</v>
      </c>
      <c r="I37" s="581"/>
      <c r="J37" s="1980"/>
      <c r="K37" s="582"/>
      <c r="L37" s="584">
        <v>85.73</v>
      </c>
      <c r="M37" s="587">
        <v>1.06</v>
      </c>
    </row>
    <row r="38" spans="1:13">
      <c r="A38" s="63">
        <v>1996.05</v>
      </c>
      <c r="B38" s="778">
        <v>213747.58181957356</v>
      </c>
      <c r="C38" s="782"/>
      <c r="D38" s="1981">
        <v>1101575</v>
      </c>
      <c r="E38" s="786">
        <f t="shared" si="0"/>
        <v>0.19403815611245132</v>
      </c>
      <c r="F38" s="584">
        <v>209</v>
      </c>
      <c r="G38" s="585">
        <v>0.68200000000000005</v>
      </c>
      <c r="H38" s="586">
        <v>41992.21572933947</v>
      </c>
      <c r="I38" s="581"/>
      <c r="J38" s="1980"/>
      <c r="K38" s="582"/>
      <c r="L38" s="584">
        <v>87.35</v>
      </c>
      <c r="M38" s="587">
        <v>1.1100000000000001</v>
      </c>
    </row>
    <row r="39" spans="1:13">
      <c r="A39" s="63">
        <v>1996.06</v>
      </c>
      <c r="B39" s="778">
        <v>193425.04741772704</v>
      </c>
      <c r="C39" s="782"/>
      <c r="D39" s="1981">
        <v>1013796</v>
      </c>
      <c r="E39" s="786">
        <f t="shared" si="0"/>
        <v>0.19079286899704381</v>
      </c>
      <c r="F39" s="584">
        <v>209</v>
      </c>
      <c r="G39" s="585">
        <v>0.65800000000000003</v>
      </c>
      <c r="H39" s="586">
        <v>35042.68674501741</v>
      </c>
      <c r="I39" s="581"/>
      <c r="J39" s="1980"/>
      <c r="K39" s="582"/>
      <c r="L39" s="584">
        <v>89.5</v>
      </c>
      <c r="M39" s="587">
        <v>1.1200000000000001</v>
      </c>
    </row>
    <row r="40" spans="1:13">
      <c r="A40" s="63">
        <v>1996.07</v>
      </c>
      <c r="B40" s="778">
        <v>218625.65240739324</v>
      </c>
      <c r="C40" s="782"/>
      <c r="D40" s="1981">
        <v>1147922</v>
      </c>
      <c r="E40" s="786">
        <f t="shared" si="0"/>
        <v>0.1904534039833658</v>
      </c>
      <c r="F40" s="584">
        <v>209</v>
      </c>
      <c r="G40" s="585">
        <v>0.65</v>
      </c>
      <c r="H40" s="586">
        <v>41777.922194443796</v>
      </c>
      <c r="I40" s="581"/>
      <c r="J40" s="1980"/>
      <c r="K40" s="582"/>
      <c r="L40" s="584">
        <v>89.12</v>
      </c>
      <c r="M40" s="587">
        <v>1.1299999999999999</v>
      </c>
    </row>
    <row r="41" spans="1:13">
      <c r="A41" s="63">
        <v>1996.08</v>
      </c>
      <c r="B41" s="778">
        <v>213321.48196736755</v>
      </c>
      <c r="C41" s="782"/>
      <c r="D41" s="1981">
        <v>1087215</v>
      </c>
      <c r="E41" s="786">
        <f t="shared" si="0"/>
        <v>0.19620910488483653</v>
      </c>
      <c r="F41" s="584">
        <v>209</v>
      </c>
      <c r="G41" s="585">
        <v>0.70899999999999996</v>
      </c>
      <c r="H41" s="586">
        <v>42032.589873595178</v>
      </c>
      <c r="I41" s="581"/>
      <c r="J41" s="1980"/>
      <c r="K41" s="582"/>
      <c r="L41" s="584">
        <v>88.27</v>
      </c>
      <c r="M41" s="587">
        <v>1.17</v>
      </c>
    </row>
    <row r="42" spans="1:13">
      <c r="A42" s="63">
        <v>1996.09</v>
      </c>
      <c r="B42" s="778">
        <v>202518.85721688031</v>
      </c>
      <c r="C42" s="782"/>
      <c r="D42" s="1981">
        <v>1066607</v>
      </c>
      <c r="E42" s="786">
        <f t="shared" si="0"/>
        <v>0.18987204960860027</v>
      </c>
      <c r="F42" s="584">
        <v>209</v>
      </c>
      <c r="G42" s="585">
        <v>0.72199999999999998</v>
      </c>
      <c r="H42" s="586">
        <v>41676.469216570484</v>
      </c>
      <c r="I42" s="581"/>
      <c r="J42" s="1980"/>
      <c r="K42" s="582"/>
      <c r="L42" s="584">
        <v>88.74</v>
      </c>
      <c r="M42" s="587">
        <v>1.17</v>
      </c>
    </row>
    <row r="43" spans="1:13">
      <c r="A43" s="63">
        <v>1996.1</v>
      </c>
      <c r="B43" s="778">
        <v>223127.29799624332</v>
      </c>
      <c r="C43" s="782"/>
      <c r="D43" s="1981">
        <v>1157875</v>
      </c>
      <c r="E43" s="786">
        <f t="shared" si="0"/>
        <v>0.19270413299902261</v>
      </c>
      <c r="F43" s="584">
        <v>209</v>
      </c>
      <c r="G43" s="585">
        <v>0.71699999999999997</v>
      </c>
      <c r="H43" s="586">
        <v>45529.611906820253</v>
      </c>
      <c r="I43" s="581"/>
      <c r="J43" s="1980"/>
      <c r="K43" s="582"/>
      <c r="L43" s="584">
        <v>89.73</v>
      </c>
      <c r="M43" s="587">
        <v>1.1200000000000001</v>
      </c>
    </row>
    <row r="44" spans="1:13">
      <c r="A44" s="63">
        <v>1996.11</v>
      </c>
      <c r="B44" s="778">
        <v>207781.08000306186</v>
      </c>
      <c r="C44" s="782"/>
      <c r="D44" s="1981">
        <v>1062404</v>
      </c>
      <c r="E44" s="786">
        <f t="shared" si="0"/>
        <v>0.19557633442933373</v>
      </c>
      <c r="F44" s="584">
        <v>209</v>
      </c>
      <c r="G44" s="585">
        <v>0.747</v>
      </c>
      <c r="H44" s="586">
        <v>48224.327227271664</v>
      </c>
      <c r="I44" s="581"/>
      <c r="J44" s="1980"/>
      <c r="K44" s="582"/>
      <c r="L44" s="584">
        <v>89.28</v>
      </c>
      <c r="M44" s="587">
        <v>1.08</v>
      </c>
    </row>
    <row r="45" spans="1:13">
      <c r="A45" s="63">
        <v>1996.12</v>
      </c>
      <c r="B45" s="778">
        <v>199706.1566380696</v>
      </c>
      <c r="C45" s="782"/>
      <c r="D45" s="1981">
        <v>1060549</v>
      </c>
      <c r="E45" s="786">
        <f t="shared" si="0"/>
        <v>0.18830450704123017</v>
      </c>
      <c r="F45" s="584">
        <v>209</v>
      </c>
      <c r="G45" s="585">
        <v>0.71099999999999997</v>
      </c>
      <c r="H45" s="586">
        <v>53812.52288604874</v>
      </c>
      <c r="I45" s="581"/>
      <c r="J45" s="1980"/>
      <c r="K45" s="582"/>
      <c r="L45" s="584">
        <v>87.02</v>
      </c>
      <c r="M45" s="587">
        <v>1.07</v>
      </c>
    </row>
    <row r="46" spans="1:13">
      <c r="A46" s="63">
        <v>1997.01</v>
      </c>
      <c r="B46" s="778">
        <v>215424.38408771073</v>
      </c>
      <c r="C46" s="782"/>
      <c r="D46" s="1981">
        <v>1046797</v>
      </c>
      <c r="E46" s="786">
        <f t="shared" si="0"/>
        <v>0.20579384932103428</v>
      </c>
      <c r="F46" s="584">
        <v>212</v>
      </c>
      <c r="G46" s="585">
        <v>0.752</v>
      </c>
      <c r="H46" s="586">
        <v>44705.565270216597</v>
      </c>
      <c r="I46" s="581"/>
      <c r="J46" s="1980"/>
      <c r="K46" s="582"/>
      <c r="L46" s="584">
        <v>86.45</v>
      </c>
      <c r="M46" s="587">
        <v>1.07</v>
      </c>
    </row>
    <row r="47" spans="1:13">
      <c r="A47" s="63">
        <v>1997.02</v>
      </c>
      <c r="B47" s="778">
        <v>205822.78689991817</v>
      </c>
      <c r="C47" s="782"/>
      <c r="D47" s="1981">
        <v>996988</v>
      </c>
      <c r="E47" s="786">
        <f t="shared" si="0"/>
        <v>0.20644459802918205</v>
      </c>
      <c r="F47" s="584">
        <v>212</v>
      </c>
      <c r="G47" s="585">
        <v>0.77200000000000002</v>
      </c>
      <c r="H47" s="586">
        <v>39658.797238253232</v>
      </c>
      <c r="I47" s="581"/>
      <c r="J47" s="1980"/>
      <c r="K47" s="582"/>
      <c r="L47" s="584">
        <v>85.66</v>
      </c>
      <c r="M47" s="587">
        <v>1.0900000000000001</v>
      </c>
    </row>
    <row r="48" spans="1:13">
      <c r="A48" s="63">
        <v>1997.03</v>
      </c>
      <c r="B48" s="778">
        <v>213971.67060195137</v>
      </c>
      <c r="C48" s="782"/>
      <c r="D48" s="1981">
        <v>1076010</v>
      </c>
      <c r="E48" s="786">
        <f t="shared" si="0"/>
        <v>0.19885658181796764</v>
      </c>
      <c r="F48" s="584">
        <v>212</v>
      </c>
      <c r="G48" s="585">
        <v>0.73799999999999999</v>
      </c>
      <c r="H48" s="586">
        <v>37705.309796957874</v>
      </c>
      <c r="I48" s="581"/>
      <c r="J48" s="1980"/>
      <c r="K48" s="582"/>
      <c r="L48" s="584">
        <v>81.47</v>
      </c>
      <c r="M48" s="587">
        <v>1.18</v>
      </c>
    </row>
    <row r="49" spans="1:13">
      <c r="A49" s="63">
        <v>1997.04</v>
      </c>
      <c r="B49" s="778">
        <v>246602.5297501634</v>
      </c>
      <c r="C49" s="782"/>
      <c r="D49" s="1981">
        <v>1218636</v>
      </c>
      <c r="E49" s="786">
        <f t="shared" si="0"/>
        <v>0.20235946562399551</v>
      </c>
      <c r="F49" s="584">
        <v>212</v>
      </c>
      <c r="G49" s="585">
        <v>0.73</v>
      </c>
      <c r="H49" s="586">
        <v>40624.670996985908</v>
      </c>
      <c r="I49" s="581"/>
      <c r="J49" s="1980"/>
      <c r="K49" s="582"/>
      <c r="L49" s="584">
        <v>85.73</v>
      </c>
      <c r="M49" s="587">
        <v>1.24</v>
      </c>
    </row>
    <row r="50" spans="1:13">
      <c r="A50" s="63">
        <v>1997.05</v>
      </c>
      <c r="B50" s="778">
        <v>242804.05930601599</v>
      </c>
      <c r="C50" s="782"/>
      <c r="D50" s="1981">
        <v>1143246</v>
      </c>
      <c r="E50" s="786">
        <f t="shared" si="0"/>
        <v>0.2123812891591276</v>
      </c>
      <c r="F50" s="584">
        <v>212</v>
      </c>
      <c r="G50" s="585">
        <v>0.752</v>
      </c>
      <c r="H50" s="586">
        <v>37195.97443865511</v>
      </c>
      <c r="I50" s="581"/>
      <c r="J50" s="1980"/>
      <c r="K50" s="582"/>
      <c r="L50" s="584">
        <v>87.35</v>
      </c>
      <c r="M50" s="587">
        <v>1.3</v>
      </c>
    </row>
    <row r="51" spans="1:13">
      <c r="A51" s="63">
        <v>1997.06</v>
      </c>
      <c r="B51" s="778">
        <v>222987.10452155379</v>
      </c>
      <c r="C51" s="782"/>
      <c r="D51" s="1981">
        <v>1039182</v>
      </c>
      <c r="E51" s="786">
        <f t="shared" si="0"/>
        <v>0.21457945241695275</v>
      </c>
      <c r="F51" s="584">
        <v>212</v>
      </c>
      <c r="G51" s="585">
        <v>0.81499999999999995</v>
      </c>
      <c r="H51" s="586">
        <v>38144.249211430171</v>
      </c>
      <c r="I51" s="581"/>
      <c r="J51" s="1980"/>
      <c r="K51" s="582"/>
      <c r="L51" s="584">
        <v>89.5</v>
      </c>
      <c r="M51" s="587">
        <v>1.34</v>
      </c>
    </row>
    <row r="52" spans="1:13">
      <c r="A52" s="63">
        <v>1997.07</v>
      </c>
      <c r="B52" s="778">
        <v>224982.92973603171</v>
      </c>
      <c r="C52" s="782"/>
      <c r="D52" s="1981">
        <v>1090037</v>
      </c>
      <c r="E52" s="786">
        <f t="shared" si="0"/>
        <v>0.20639935133947904</v>
      </c>
      <c r="F52" s="584">
        <v>212</v>
      </c>
      <c r="G52" s="585">
        <v>0.84399999999999997</v>
      </c>
      <c r="H52" s="586">
        <v>37693.922217808824</v>
      </c>
      <c r="I52" s="581"/>
      <c r="J52" s="1980"/>
      <c r="K52" s="582"/>
      <c r="L52" s="584">
        <v>89.12</v>
      </c>
      <c r="M52" s="587">
        <v>1.34</v>
      </c>
    </row>
    <row r="53" spans="1:13">
      <c r="A53" s="63">
        <v>1997.08</v>
      </c>
      <c r="B53" s="778">
        <v>200766.99072607476</v>
      </c>
      <c r="C53" s="782"/>
      <c r="D53" s="1981">
        <v>1004227</v>
      </c>
      <c r="E53" s="786">
        <f t="shared" si="0"/>
        <v>0.19992192076699267</v>
      </c>
      <c r="F53" s="584">
        <v>212</v>
      </c>
      <c r="G53" s="585">
        <v>0.95299999999999996</v>
      </c>
      <c r="H53" s="586">
        <v>33288.999556064395</v>
      </c>
      <c r="I53" s="581"/>
      <c r="J53" s="1980"/>
      <c r="K53" s="582"/>
      <c r="L53" s="584">
        <v>88.27</v>
      </c>
      <c r="M53" s="587">
        <v>1.31</v>
      </c>
    </row>
    <row r="54" spans="1:13">
      <c r="A54" s="63">
        <v>1997.09</v>
      </c>
      <c r="B54" s="778">
        <v>210501.05418916451</v>
      </c>
      <c r="C54" s="782"/>
      <c r="D54" s="1981">
        <v>1064479</v>
      </c>
      <c r="E54" s="786">
        <f t="shared" si="0"/>
        <v>0.19775031183251573</v>
      </c>
      <c r="F54" s="584">
        <v>212</v>
      </c>
      <c r="G54" s="585">
        <v>0.93</v>
      </c>
      <c r="H54" s="586">
        <v>35844.993457791068</v>
      </c>
      <c r="I54" s="581"/>
      <c r="J54" s="1980"/>
      <c r="K54" s="582"/>
      <c r="L54" s="584">
        <v>88.74</v>
      </c>
      <c r="M54" s="587">
        <v>1.23</v>
      </c>
    </row>
    <row r="55" spans="1:13">
      <c r="A55" s="63">
        <v>1997.1</v>
      </c>
      <c r="B55" s="778">
        <v>202014.38148512345</v>
      </c>
      <c r="C55" s="782"/>
      <c r="D55" s="1981">
        <v>1070150</v>
      </c>
      <c r="E55" s="786">
        <f t="shared" si="0"/>
        <v>0.18877202400142359</v>
      </c>
      <c r="F55" s="584">
        <v>212</v>
      </c>
      <c r="G55" s="585">
        <v>0.93400000000000005</v>
      </c>
      <c r="H55" s="586">
        <v>35916.424636089629</v>
      </c>
      <c r="I55" s="581"/>
      <c r="J55" s="1980"/>
      <c r="K55" s="582"/>
      <c r="L55" s="584">
        <v>89.73</v>
      </c>
      <c r="M55" s="587">
        <v>1.1200000000000001</v>
      </c>
    </row>
    <row r="56" spans="1:13">
      <c r="A56" s="63">
        <v>1997.11</v>
      </c>
      <c r="B56" s="778">
        <v>181041.65844869311</v>
      </c>
      <c r="C56" s="782"/>
      <c r="D56" s="1981">
        <v>955432</v>
      </c>
      <c r="E56" s="786">
        <f t="shared" si="0"/>
        <v>0.18948670177332674</v>
      </c>
      <c r="F56" s="584">
        <v>212</v>
      </c>
      <c r="G56" s="585">
        <v>0.94199999999999995</v>
      </c>
      <c r="H56" s="586">
        <v>35571.691558213977</v>
      </c>
      <c r="I56" s="581"/>
      <c r="J56" s="1980"/>
      <c r="K56" s="582"/>
      <c r="L56" s="584">
        <v>89.28</v>
      </c>
      <c r="M56" s="587">
        <v>1.04</v>
      </c>
    </row>
    <row r="57" spans="1:13">
      <c r="A57" s="63">
        <v>1997.12</v>
      </c>
      <c r="B57" s="778">
        <v>187496.07771254954</v>
      </c>
      <c r="C57" s="782"/>
      <c r="D57" s="1981">
        <v>1089533</v>
      </c>
      <c r="E57" s="786">
        <f t="shared" si="0"/>
        <v>0.17208847984645673</v>
      </c>
      <c r="F57" s="584">
        <v>212</v>
      </c>
      <c r="G57" s="585">
        <v>0.96899999999999997</v>
      </c>
      <c r="H57" s="586">
        <v>42360.759199981308</v>
      </c>
      <c r="I57" s="581"/>
      <c r="J57" s="1980"/>
      <c r="K57" s="582"/>
      <c r="L57" s="584">
        <v>87.02</v>
      </c>
      <c r="M57" s="587">
        <v>1.03</v>
      </c>
    </row>
    <row r="58" spans="1:13">
      <c r="A58" s="63">
        <v>1998.01</v>
      </c>
      <c r="B58" s="778">
        <v>187474</v>
      </c>
      <c r="C58" s="782"/>
      <c r="D58" s="1981">
        <v>981503</v>
      </c>
      <c r="E58" s="786">
        <f t="shared" si="0"/>
        <v>0.1910070575433799</v>
      </c>
      <c r="F58" s="3483">
        <v>218.94203852450562</v>
      </c>
      <c r="G58" s="585">
        <v>0.96699999999999997</v>
      </c>
      <c r="H58" s="586">
        <v>35093.413233954067</v>
      </c>
      <c r="I58" s="581"/>
      <c r="J58" s="1980"/>
      <c r="K58" s="582"/>
      <c r="L58" s="584">
        <v>86.45</v>
      </c>
      <c r="M58" s="587">
        <v>1.04</v>
      </c>
    </row>
    <row r="59" spans="1:13">
      <c r="A59" s="63">
        <v>1998.02</v>
      </c>
      <c r="B59" s="778">
        <v>167361</v>
      </c>
      <c r="C59" s="782"/>
      <c r="D59" s="1981">
        <v>889530</v>
      </c>
      <c r="E59" s="786">
        <f t="shared" si="0"/>
        <v>0.18814542511213786</v>
      </c>
      <c r="F59" s="586">
        <v>215.4932489888204</v>
      </c>
      <c r="G59" s="585">
        <v>1.022</v>
      </c>
      <c r="H59" s="586">
        <v>31389.344307109979</v>
      </c>
      <c r="I59" s="581"/>
      <c r="J59" s="1980"/>
      <c r="K59" s="582"/>
      <c r="L59" s="584">
        <v>85.66</v>
      </c>
      <c r="M59" s="587">
        <v>1.04</v>
      </c>
    </row>
    <row r="60" spans="1:13">
      <c r="A60" s="63">
        <v>1998.03</v>
      </c>
      <c r="B60" s="778">
        <v>193905</v>
      </c>
      <c r="C60" s="782"/>
      <c r="D60" s="1981">
        <v>992968</v>
      </c>
      <c r="E60" s="786">
        <f t="shared" si="0"/>
        <v>0.19527819627621434</v>
      </c>
      <c r="F60" s="586">
        <v>212.82380493618959</v>
      </c>
      <c r="G60" s="585">
        <v>1.0209999999999999</v>
      </c>
      <c r="H60" s="586">
        <v>37035.513096100374</v>
      </c>
      <c r="I60" s="581"/>
      <c r="J60" s="1980"/>
      <c r="K60" s="582"/>
      <c r="L60" s="584">
        <v>81.47</v>
      </c>
      <c r="M60" s="587">
        <v>1.05</v>
      </c>
    </row>
    <row r="61" spans="1:13">
      <c r="A61" s="63">
        <v>1998.04</v>
      </c>
      <c r="B61" s="778">
        <v>186803</v>
      </c>
      <c r="C61" s="782"/>
      <c r="D61" s="1981">
        <v>936164</v>
      </c>
      <c r="E61" s="786">
        <f t="shared" si="0"/>
        <v>0.19954089240774053</v>
      </c>
      <c r="F61" s="586">
        <v>213.56698968286844</v>
      </c>
      <c r="G61" s="585">
        <v>1.044</v>
      </c>
      <c r="H61" s="586">
        <v>39323.381270590435</v>
      </c>
      <c r="I61" s="581"/>
      <c r="J61" s="1980"/>
      <c r="K61" s="582"/>
      <c r="L61" s="584">
        <v>85.73</v>
      </c>
      <c r="M61" s="587">
        <v>1.06</v>
      </c>
    </row>
    <row r="62" spans="1:13">
      <c r="A62" s="63">
        <v>1998.05</v>
      </c>
      <c r="B62" s="778">
        <v>182810</v>
      </c>
      <c r="C62" s="782"/>
      <c r="D62" s="1981">
        <v>912879</v>
      </c>
      <c r="E62" s="786">
        <f t="shared" si="0"/>
        <v>0.2002565509777309</v>
      </c>
      <c r="F62" s="586">
        <v>211.80683713796799</v>
      </c>
      <c r="G62" s="585">
        <v>1.0469999999999999</v>
      </c>
      <c r="H62" s="586">
        <v>38193.940465898733</v>
      </c>
      <c r="I62" s="581"/>
      <c r="J62" s="1980"/>
      <c r="K62" s="582"/>
      <c r="L62" s="584">
        <v>87.35</v>
      </c>
      <c r="M62" s="587">
        <v>1.056</v>
      </c>
    </row>
    <row r="63" spans="1:13">
      <c r="A63" s="63">
        <v>1998.06</v>
      </c>
      <c r="B63" s="778">
        <v>170352</v>
      </c>
      <c r="C63" s="782"/>
      <c r="D63" s="1981">
        <v>909223</v>
      </c>
      <c r="E63" s="786">
        <f t="shared" si="0"/>
        <v>0.18735997659540068</v>
      </c>
      <c r="F63" s="586">
        <v>214.79276625603188</v>
      </c>
      <c r="G63" s="585">
        <v>1.1319999999999999</v>
      </c>
      <c r="H63" s="586">
        <v>42351.442089768454</v>
      </c>
      <c r="I63" s="581"/>
      <c r="J63" s="1980"/>
      <c r="K63" s="582"/>
      <c r="L63" s="584">
        <v>89.5</v>
      </c>
      <c r="M63" s="587">
        <v>1.05</v>
      </c>
    </row>
    <row r="64" spans="1:13">
      <c r="A64" s="63">
        <v>1998.07</v>
      </c>
      <c r="B64" s="778">
        <v>162730</v>
      </c>
      <c r="C64" s="782"/>
      <c r="D64" s="1981">
        <v>895015</v>
      </c>
      <c r="E64" s="786">
        <f t="shared" si="0"/>
        <v>0.18181818181818182</v>
      </c>
      <c r="F64" s="586">
        <v>218.32939744595376</v>
      </c>
      <c r="G64" s="585">
        <v>1.194</v>
      </c>
      <c r="H64" s="586">
        <v>38940.344517395264</v>
      </c>
      <c r="I64" s="581"/>
      <c r="J64" s="1980"/>
      <c r="K64" s="582"/>
      <c r="L64" s="584">
        <v>89.12</v>
      </c>
      <c r="M64" s="587">
        <v>1.08</v>
      </c>
    </row>
    <row r="65" spans="1:13">
      <c r="A65" s="63">
        <v>1998.08</v>
      </c>
      <c r="B65" s="778">
        <v>162278</v>
      </c>
      <c r="C65" s="782"/>
      <c r="D65" s="1981">
        <v>871195</v>
      </c>
      <c r="E65" s="786">
        <f t="shared" si="0"/>
        <v>0.18627058236100988</v>
      </c>
      <c r="F65" s="586">
        <v>223.02892686659251</v>
      </c>
      <c r="G65" s="585">
        <v>1.17</v>
      </c>
      <c r="H65" s="586">
        <v>38394.775952709177</v>
      </c>
      <c r="I65" s="581"/>
      <c r="J65" s="1980"/>
      <c r="K65" s="582"/>
      <c r="L65" s="584">
        <v>88.27</v>
      </c>
      <c r="M65" s="587">
        <v>1.054</v>
      </c>
    </row>
    <row r="66" spans="1:13">
      <c r="A66" s="63">
        <v>1998.09</v>
      </c>
      <c r="B66" s="778">
        <v>184044</v>
      </c>
      <c r="C66" s="782"/>
      <c r="D66" s="1981">
        <v>908890</v>
      </c>
      <c r="E66" s="786">
        <f t="shared" si="0"/>
        <v>0.202493150986368</v>
      </c>
      <c r="F66" s="586">
        <v>225.60768713045942</v>
      </c>
      <c r="G66" s="585">
        <v>0.96499999999999997</v>
      </c>
      <c r="H66" s="586">
        <v>37081.06341269656</v>
      </c>
      <c r="I66" s="581"/>
      <c r="J66" s="1980"/>
      <c r="K66" s="582"/>
      <c r="L66" s="584">
        <v>88.74</v>
      </c>
      <c r="M66" s="587">
        <v>1.0325</v>
      </c>
    </row>
    <row r="67" spans="1:13">
      <c r="A67" s="63">
        <v>1998.1</v>
      </c>
      <c r="B67" s="778">
        <v>188619</v>
      </c>
      <c r="C67" s="782"/>
      <c r="D67" s="1981">
        <v>953602</v>
      </c>
      <c r="E67" s="786">
        <f t="shared" si="0"/>
        <v>0.19779635529287901</v>
      </c>
      <c r="F67" s="586">
        <v>225.20267998834808</v>
      </c>
      <c r="G67" s="585">
        <v>0.89200000000000002</v>
      </c>
      <c r="H67" s="586">
        <v>39306.817519100914</v>
      </c>
      <c r="I67" s="581"/>
      <c r="J67" s="1980"/>
      <c r="K67" s="582"/>
      <c r="L67" s="584">
        <v>89.73</v>
      </c>
      <c r="M67" s="587">
        <v>0.97235000000000005</v>
      </c>
    </row>
    <row r="68" spans="1:13">
      <c r="A68" s="63">
        <v>1998.11</v>
      </c>
      <c r="B68" s="778">
        <v>192104</v>
      </c>
      <c r="C68" s="782"/>
      <c r="D68" s="1981">
        <v>965913</v>
      </c>
      <c r="E68" s="786">
        <f t="shared" si="0"/>
        <v>0.19888333628390964</v>
      </c>
      <c r="F68" s="586">
        <v>226.32357687067031</v>
      </c>
      <c r="G68" s="585">
        <v>0.83299999999999996</v>
      </c>
      <c r="H68" s="586">
        <v>39277.830953994249</v>
      </c>
      <c r="I68" s="581"/>
      <c r="J68" s="1980"/>
      <c r="K68" s="582"/>
      <c r="L68" s="584">
        <v>89.28</v>
      </c>
      <c r="M68" s="587">
        <v>0.91800000000000004</v>
      </c>
    </row>
    <row r="69" spans="1:13">
      <c r="A69" s="63">
        <v>1998.12</v>
      </c>
      <c r="B69" s="778">
        <v>194014</v>
      </c>
      <c r="C69" s="782"/>
      <c r="D69" s="1981">
        <v>1050844</v>
      </c>
      <c r="E69" s="786">
        <f t="shared" si="0"/>
        <v>0.18462683328829019</v>
      </c>
      <c r="F69" s="586">
        <v>223.11545652103209</v>
      </c>
      <c r="G69" s="585">
        <v>0.79800000000000004</v>
      </c>
      <c r="H69" s="586">
        <v>48941.744713661537</v>
      </c>
      <c r="I69" s="581"/>
      <c r="J69" s="1980"/>
      <c r="K69" s="582"/>
      <c r="L69" s="584">
        <v>87.02</v>
      </c>
      <c r="M69" s="587">
        <v>0.86750000000000005</v>
      </c>
    </row>
    <row r="70" spans="1:13">
      <c r="A70" s="63">
        <v>1999.01</v>
      </c>
      <c r="B70" s="250">
        <v>186743</v>
      </c>
      <c r="C70" s="783"/>
      <c r="D70" s="1976">
        <v>948672</v>
      </c>
      <c r="E70" s="657">
        <f t="shared" si="0"/>
        <v>0.19684674998313431</v>
      </c>
      <c r="F70" s="586">
        <v>231.11636369419895</v>
      </c>
      <c r="G70" s="585">
        <v>0.76300000000000001</v>
      </c>
      <c r="H70" s="251">
        <v>44307</v>
      </c>
      <c r="I70" s="588"/>
      <c r="J70" s="2536">
        <v>163488</v>
      </c>
      <c r="K70" s="2791">
        <f>H70/J70</f>
        <v>0.27101071638285379</v>
      </c>
      <c r="L70" s="584">
        <v>86.45</v>
      </c>
      <c r="M70" s="587">
        <v>0.85</v>
      </c>
    </row>
    <row r="71" spans="1:13">
      <c r="A71" s="63">
        <v>1999.02</v>
      </c>
      <c r="B71" s="250">
        <v>171279</v>
      </c>
      <c r="C71" s="782"/>
      <c r="D71" s="1976">
        <v>927260</v>
      </c>
      <c r="E71" s="657">
        <f t="shared" si="0"/>
        <v>0.18471518236524814</v>
      </c>
      <c r="F71" s="586">
        <v>223.99124305348286</v>
      </c>
      <c r="G71" s="585">
        <v>0.76300000000000001</v>
      </c>
      <c r="H71" s="251">
        <v>44728</v>
      </c>
      <c r="I71" s="581"/>
      <c r="J71" s="1976">
        <v>164539</v>
      </c>
      <c r="K71" s="589">
        <f>H71/J71</f>
        <v>0.27183828757923656</v>
      </c>
      <c r="L71" s="584">
        <v>85.66</v>
      </c>
      <c r="M71" s="587">
        <v>0.8175</v>
      </c>
    </row>
    <row r="72" spans="1:13">
      <c r="A72" s="63">
        <v>1999.03</v>
      </c>
      <c r="B72" s="250">
        <v>193437</v>
      </c>
      <c r="C72" s="782"/>
      <c r="D72" s="1976">
        <v>1074506</v>
      </c>
      <c r="E72" s="657">
        <f t="shared" si="0"/>
        <v>0.18002412271313514</v>
      </c>
      <c r="F72" s="586">
        <v>221.15428687947846</v>
      </c>
      <c r="G72" s="585">
        <v>0.77400000000000002</v>
      </c>
      <c r="H72" s="251">
        <v>49318</v>
      </c>
      <c r="I72" s="581"/>
      <c r="J72" s="1976">
        <v>194890</v>
      </c>
      <c r="K72" s="589">
        <f t="shared" ref="K72:K135" si="1">H72/J72</f>
        <v>0.25305556980860999</v>
      </c>
      <c r="L72" s="584">
        <v>81.47</v>
      </c>
      <c r="M72" s="587">
        <v>0.81</v>
      </c>
    </row>
    <row r="73" spans="1:13">
      <c r="A73" s="63">
        <v>1999.04</v>
      </c>
      <c r="B73" s="250">
        <v>178197</v>
      </c>
      <c r="C73" s="782"/>
      <c r="D73" s="1976">
        <v>963026</v>
      </c>
      <c r="E73" s="657">
        <f t="shared" si="0"/>
        <v>0.18503861785663109</v>
      </c>
      <c r="F73" s="586">
        <v>220.37354438705717</v>
      </c>
      <c r="G73" s="585">
        <v>0.79300000000000004</v>
      </c>
      <c r="H73" s="251">
        <v>46168</v>
      </c>
      <c r="I73" s="581"/>
      <c r="J73" s="1976">
        <v>174853</v>
      </c>
      <c r="K73" s="589">
        <f t="shared" si="1"/>
        <v>0.26403893556301578</v>
      </c>
      <c r="L73" s="584">
        <v>85.73</v>
      </c>
      <c r="M73" s="587">
        <v>0.78500000000000003</v>
      </c>
    </row>
    <row r="74" spans="1:13">
      <c r="A74" s="63">
        <v>1999.05</v>
      </c>
      <c r="B74" s="250">
        <v>185773</v>
      </c>
      <c r="C74" s="782"/>
      <c r="D74" s="1976">
        <v>1006152</v>
      </c>
      <c r="E74" s="657">
        <f t="shared" si="0"/>
        <v>0.18463711248399844</v>
      </c>
      <c r="F74" s="586">
        <v>222.63401271285525</v>
      </c>
      <c r="G74" s="585">
        <v>0.753</v>
      </c>
      <c r="H74" s="251">
        <v>47855</v>
      </c>
      <c r="I74" s="581"/>
      <c r="J74" s="1976">
        <v>195503</v>
      </c>
      <c r="K74" s="589">
        <f t="shared" si="1"/>
        <v>0.24477885249842712</v>
      </c>
      <c r="L74" s="584">
        <v>87.35</v>
      </c>
      <c r="M74" s="587">
        <v>0.78800000000000003</v>
      </c>
    </row>
    <row r="75" spans="1:13">
      <c r="A75" s="63">
        <v>1999.06</v>
      </c>
      <c r="B75" s="250">
        <v>178069</v>
      </c>
      <c r="C75" s="782"/>
      <c r="D75" s="1976">
        <v>977610</v>
      </c>
      <c r="E75" s="657">
        <f t="shared" ref="E75:E138" si="2">B75/D75</f>
        <v>0.18214727754421497</v>
      </c>
      <c r="F75" s="586">
        <v>222.17444371917222</v>
      </c>
      <c r="G75" s="585">
        <v>0.75</v>
      </c>
      <c r="H75" s="251">
        <v>41246</v>
      </c>
      <c r="I75" s="581"/>
      <c r="J75" s="1976">
        <v>190309</v>
      </c>
      <c r="K75" s="589">
        <f t="shared" si="1"/>
        <v>0.21673173628152109</v>
      </c>
      <c r="L75" s="584">
        <v>89.5</v>
      </c>
      <c r="M75" s="587">
        <v>0.78500000000000003</v>
      </c>
    </row>
    <row r="76" spans="1:13">
      <c r="A76" s="63">
        <v>1999.07</v>
      </c>
      <c r="B76" s="250">
        <v>175495</v>
      </c>
      <c r="C76" s="782"/>
      <c r="D76" s="1976">
        <v>981162</v>
      </c>
      <c r="E76" s="657">
        <f t="shared" si="2"/>
        <v>0.1788644484804752</v>
      </c>
      <c r="F76" s="586">
        <v>222.39949250932975</v>
      </c>
      <c r="G76" s="585">
        <v>0.77</v>
      </c>
      <c r="H76" s="251">
        <v>39820</v>
      </c>
      <c r="I76" s="581"/>
      <c r="J76" s="1976">
        <v>186240</v>
      </c>
      <c r="K76" s="589">
        <f t="shared" si="1"/>
        <v>0.21381013745704466</v>
      </c>
      <c r="L76" s="584">
        <v>89.12</v>
      </c>
      <c r="M76" s="587">
        <v>0.78500000000000003</v>
      </c>
    </row>
    <row r="77" spans="1:13">
      <c r="A77" s="63">
        <v>1999.08</v>
      </c>
      <c r="B77" s="250">
        <v>179057</v>
      </c>
      <c r="C77" s="782"/>
      <c r="D77" s="1976">
        <v>1021676</v>
      </c>
      <c r="E77" s="657">
        <f t="shared" si="2"/>
        <v>0.17525810530931529</v>
      </c>
      <c r="F77" s="586">
        <v>224.75619944552949</v>
      </c>
      <c r="G77" s="585">
        <v>0.749</v>
      </c>
      <c r="H77" s="251">
        <v>46503</v>
      </c>
      <c r="I77" s="581"/>
      <c r="J77" s="1976">
        <v>204648</v>
      </c>
      <c r="K77" s="589">
        <f t="shared" si="1"/>
        <v>0.22723407998123607</v>
      </c>
      <c r="L77" s="584">
        <v>88.27</v>
      </c>
      <c r="M77" s="587">
        <v>0.73750000000000004</v>
      </c>
    </row>
    <row r="78" spans="1:13">
      <c r="A78" s="63">
        <v>1999.09</v>
      </c>
      <c r="B78" s="250">
        <v>186070</v>
      </c>
      <c r="C78" s="782"/>
      <c r="D78" s="1976">
        <v>1025461</v>
      </c>
      <c r="E78" s="657">
        <f t="shared" si="2"/>
        <v>0.18145009902863199</v>
      </c>
      <c r="F78" s="586">
        <v>225.41867158954753</v>
      </c>
      <c r="G78" s="585">
        <v>0.77100000000000002</v>
      </c>
      <c r="H78" s="251">
        <v>44353</v>
      </c>
      <c r="I78" s="581"/>
      <c r="J78" s="1976">
        <v>206946</v>
      </c>
      <c r="K78" s="589">
        <f t="shared" si="1"/>
        <v>0.21432161046843137</v>
      </c>
      <c r="L78" s="584">
        <v>88.74</v>
      </c>
      <c r="M78" s="587">
        <v>0.69750000000000001</v>
      </c>
    </row>
    <row r="79" spans="1:13">
      <c r="A79" s="63">
        <v>1999.1</v>
      </c>
      <c r="B79" s="250">
        <v>176384</v>
      </c>
      <c r="C79" s="782"/>
      <c r="D79" s="1976">
        <v>1021556</v>
      </c>
      <c r="E79" s="657">
        <f t="shared" si="2"/>
        <v>0.17266209586160719</v>
      </c>
      <c r="F79" s="586">
        <v>232.98948237168682</v>
      </c>
      <c r="G79" s="585">
        <v>0.73099999999999998</v>
      </c>
      <c r="H79" s="251">
        <v>46127</v>
      </c>
      <c r="I79" s="581"/>
      <c r="J79" s="1976">
        <v>239120</v>
      </c>
      <c r="K79" s="589">
        <f t="shared" si="1"/>
        <v>0.19290314486450319</v>
      </c>
      <c r="L79" s="584">
        <v>89.73</v>
      </c>
      <c r="M79" s="587">
        <v>0.68799999999999994</v>
      </c>
    </row>
    <row r="80" spans="1:13">
      <c r="A80" s="63">
        <v>1999.11</v>
      </c>
      <c r="B80" s="250">
        <v>195754</v>
      </c>
      <c r="C80" s="782"/>
      <c r="D80" s="1976">
        <v>1098031</v>
      </c>
      <c r="E80" s="657">
        <f t="shared" si="2"/>
        <v>0.17827729818192747</v>
      </c>
      <c r="F80" s="586">
        <v>227.70476501264412</v>
      </c>
      <c r="G80" s="585">
        <v>0.71099999999999997</v>
      </c>
      <c r="H80" s="251">
        <v>54712</v>
      </c>
      <c r="I80" s="581"/>
      <c r="J80" s="1976">
        <v>273579</v>
      </c>
      <c r="K80" s="589">
        <f t="shared" si="1"/>
        <v>0.19998611004499614</v>
      </c>
      <c r="L80" s="584">
        <v>89.28</v>
      </c>
      <c r="M80" s="587">
        <v>0.68300000000000005</v>
      </c>
    </row>
    <row r="81" spans="1:13">
      <c r="A81" s="63">
        <v>1999.12</v>
      </c>
      <c r="B81" s="250">
        <v>187560</v>
      </c>
      <c r="C81" s="782"/>
      <c r="D81" s="1976">
        <v>1099917</v>
      </c>
      <c r="E81" s="657">
        <f t="shared" si="2"/>
        <v>0.17052195756588906</v>
      </c>
      <c r="F81" s="586">
        <v>223.37874322911932</v>
      </c>
      <c r="G81" s="585">
        <v>0.71399999999999997</v>
      </c>
      <c r="H81" s="251">
        <v>59858</v>
      </c>
      <c r="I81" s="581"/>
      <c r="J81" s="1976">
        <v>303768</v>
      </c>
      <c r="K81" s="589">
        <f t="shared" si="1"/>
        <v>0.19705169734797609</v>
      </c>
      <c r="L81" s="584">
        <v>87.02</v>
      </c>
      <c r="M81" s="587">
        <v>0.68300000000000005</v>
      </c>
    </row>
    <row r="82" spans="1:13">
      <c r="A82" s="63">
        <v>2000.01</v>
      </c>
      <c r="B82" s="250">
        <v>191342</v>
      </c>
      <c r="C82" s="782"/>
      <c r="D82" s="1976">
        <v>1041838</v>
      </c>
      <c r="E82" s="657">
        <f t="shared" si="2"/>
        <v>0.18365811191375242</v>
      </c>
      <c r="F82" s="586">
        <v>223.01315901357032</v>
      </c>
      <c r="G82" s="585">
        <v>0.72799999999999998</v>
      </c>
      <c r="H82" s="251">
        <v>48235</v>
      </c>
      <c r="I82" s="581"/>
      <c r="J82" s="1976">
        <v>189858</v>
      </c>
      <c r="K82" s="589">
        <f t="shared" si="1"/>
        <v>0.25405829620031811</v>
      </c>
      <c r="L82" s="584">
        <v>86.45</v>
      </c>
      <c r="M82" s="587">
        <v>0.70799999999999996</v>
      </c>
    </row>
    <row r="83" spans="1:13">
      <c r="A83" s="63">
        <v>2000.02</v>
      </c>
      <c r="B83" s="250">
        <v>181833</v>
      </c>
      <c r="C83" s="782"/>
      <c r="D83" s="1976">
        <v>1005183</v>
      </c>
      <c r="E83" s="657">
        <f t="shared" si="2"/>
        <v>0.18089541904309961</v>
      </c>
      <c r="F83" s="586">
        <v>218.75034125658055</v>
      </c>
      <c r="G83" s="585">
        <v>0.77200000000000002</v>
      </c>
      <c r="H83" s="251">
        <v>48398</v>
      </c>
      <c r="I83" s="581"/>
      <c r="J83" s="1976">
        <v>191164</v>
      </c>
      <c r="K83" s="589">
        <f t="shared" si="1"/>
        <v>0.25317528404929801</v>
      </c>
      <c r="L83" s="584">
        <v>85.66</v>
      </c>
      <c r="M83" s="587">
        <v>0.71</v>
      </c>
    </row>
    <row r="84" spans="1:13">
      <c r="A84" s="63">
        <v>2000.03</v>
      </c>
      <c r="B84" s="250">
        <v>204452</v>
      </c>
      <c r="C84" s="782"/>
      <c r="D84" s="1976">
        <v>1137095</v>
      </c>
      <c r="E84" s="657">
        <f t="shared" si="2"/>
        <v>0.17980203940743739</v>
      </c>
      <c r="F84" s="586">
        <v>217.13439943114082</v>
      </c>
      <c r="G84" s="585">
        <v>0.80200000000000005</v>
      </c>
      <c r="H84" s="251">
        <v>53074</v>
      </c>
      <c r="I84" s="581"/>
      <c r="J84" s="1976">
        <v>206681</v>
      </c>
      <c r="K84" s="589">
        <f t="shared" si="1"/>
        <v>0.25679186766079126</v>
      </c>
      <c r="L84" s="584">
        <v>81.47</v>
      </c>
      <c r="M84" s="587">
        <v>0.70799999999999996</v>
      </c>
    </row>
    <row r="85" spans="1:13">
      <c r="A85" s="63">
        <v>2000.04</v>
      </c>
      <c r="B85" s="250">
        <v>164565</v>
      </c>
      <c r="C85" s="782"/>
      <c r="D85" s="1976">
        <v>934731</v>
      </c>
      <c r="E85" s="657">
        <f t="shared" si="2"/>
        <v>0.17605599899864238</v>
      </c>
      <c r="F85" s="586">
        <v>215.17177214669385</v>
      </c>
      <c r="G85" s="585">
        <v>0.79800000000000004</v>
      </c>
      <c r="H85" s="251">
        <v>45024</v>
      </c>
      <c r="I85" s="581"/>
      <c r="J85" s="1976">
        <v>186245</v>
      </c>
      <c r="K85" s="589">
        <f t="shared" si="1"/>
        <v>0.24174608714327903</v>
      </c>
      <c r="L85" s="584">
        <v>85.73</v>
      </c>
      <c r="M85" s="587">
        <v>0.72</v>
      </c>
    </row>
    <row r="86" spans="1:13">
      <c r="A86" s="63">
        <v>2000.05</v>
      </c>
      <c r="B86" s="250">
        <v>191204</v>
      </c>
      <c r="C86" s="782"/>
      <c r="D86" s="1976">
        <v>1079383</v>
      </c>
      <c r="E86" s="657">
        <f t="shared" si="2"/>
        <v>0.17714194127571029</v>
      </c>
      <c r="F86" s="586">
        <v>213.93512900285785</v>
      </c>
      <c r="G86" s="585">
        <v>0.82</v>
      </c>
      <c r="H86" s="251">
        <v>46864</v>
      </c>
      <c r="I86" s="581"/>
      <c r="J86" s="1976">
        <v>214840</v>
      </c>
      <c r="K86" s="589">
        <f t="shared" si="1"/>
        <v>0.21813442561906535</v>
      </c>
      <c r="L86" s="584">
        <v>87.35</v>
      </c>
      <c r="M86" s="587">
        <v>0.73</v>
      </c>
    </row>
    <row r="87" spans="1:13">
      <c r="A87" s="63">
        <v>2000.06</v>
      </c>
      <c r="B87" s="250">
        <v>188960</v>
      </c>
      <c r="C87" s="782"/>
      <c r="D87" s="1976">
        <v>1042738</v>
      </c>
      <c r="E87" s="657">
        <f t="shared" si="2"/>
        <v>0.18121522376666047</v>
      </c>
      <c r="F87" s="586">
        <v>217.445013867928</v>
      </c>
      <c r="G87" s="585">
        <v>0.83699999999999997</v>
      </c>
      <c r="H87" s="251">
        <v>41964</v>
      </c>
      <c r="I87" s="581"/>
      <c r="J87" s="1976">
        <v>199775</v>
      </c>
      <c r="K87" s="589">
        <f t="shared" si="1"/>
        <v>0.21005631335252159</v>
      </c>
      <c r="L87" s="584">
        <v>89.5</v>
      </c>
      <c r="M87" s="587">
        <v>0.755</v>
      </c>
    </row>
    <row r="88" spans="1:13">
      <c r="A88" s="63">
        <v>2000.07</v>
      </c>
      <c r="B88" s="250">
        <v>188842</v>
      </c>
      <c r="C88" s="782"/>
      <c r="D88" s="1976">
        <v>1020005</v>
      </c>
      <c r="E88" s="657">
        <f t="shared" si="2"/>
        <v>0.1851383081455483</v>
      </c>
      <c r="F88" s="586">
        <v>220.2221190962959</v>
      </c>
      <c r="G88" s="585">
        <v>0.83399999999999996</v>
      </c>
      <c r="H88" s="251">
        <v>38036</v>
      </c>
      <c r="I88" s="581"/>
      <c r="J88" s="1976">
        <v>198323</v>
      </c>
      <c r="K88" s="589">
        <f t="shared" si="1"/>
        <v>0.19178814358395144</v>
      </c>
      <c r="L88" s="584">
        <v>89.12</v>
      </c>
      <c r="M88" s="587">
        <v>0.77400000000000002</v>
      </c>
    </row>
    <row r="89" spans="1:13">
      <c r="A89" s="63">
        <v>2000.08</v>
      </c>
      <c r="B89" s="250">
        <v>173743</v>
      </c>
      <c r="C89" s="782"/>
      <c r="D89" s="1976">
        <v>1040549.5</v>
      </c>
      <c r="E89" s="657">
        <f t="shared" si="2"/>
        <v>0.1669723545107657</v>
      </c>
      <c r="F89" s="586">
        <v>220.36363943497511</v>
      </c>
      <c r="G89" s="585">
        <v>0.84499999999999997</v>
      </c>
      <c r="H89" s="251">
        <v>48530</v>
      </c>
      <c r="I89" s="581"/>
      <c r="J89" s="1976">
        <v>207659</v>
      </c>
      <c r="K89" s="589">
        <f t="shared" si="1"/>
        <v>0.23370044158933637</v>
      </c>
      <c r="L89" s="584">
        <v>88.27</v>
      </c>
      <c r="M89" s="587">
        <v>0.82750000000000001</v>
      </c>
    </row>
    <row r="90" spans="1:13">
      <c r="A90" s="63">
        <v>2000.09</v>
      </c>
      <c r="B90" s="250">
        <v>176755</v>
      </c>
      <c r="C90" s="782"/>
      <c r="D90" s="1976">
        <v>1003889</v>
      </c>
      <c r="E90" s="657">
        <f t="shared" si="2"/>
        <v>0.17607026274817236</v>
      </c>
      <c r="F90" s="586">
        <v>223.58820663981345</v>
      </c>
      <c r="G90" s="585">
        <v>0.88300000000000001</v>
      </c>
      <c r="H90" s="251">
        <v>45231</v>
      </c>
      <c r="I90" s="581"/>
      <c r="J90" s="1976">
        <v>197983</v>
      </c>
      <c r="K90" s="589">
        <f t="shared" si="1"/>
        <v>0.2284590091068425</v>
      </c>
      <c r="L90" s="584">
        <v>88.74</v>
      </c>
      <c r="M90" s="587">
        <v>0.89300000000000002</v>
      </c>
    </row>
    <row r="91" spans="1:13">
      <c r="A91" s="63">
        <v>2000.1</v>
      </c>
      <c r="B91" s="250">
        <v>170026</v>
      </c>
      <c r="C91" s="782"/>
      <c r="D91" s="1976">
        <v>998872.5</v>
      </c>
      <c r="E91" s="657">
        <f t="shared" si="2"/>
        <v>0.17021792070559555</v>
      </c>
      <c r="F91" s="586">
        <v>222.20168140993906</v>
      </c>
      <c r="G91" s="585">
        <v>0.86699999999999999</v>
      </c>
      <c r="H91" s="251">
        <v>43651</v>
      </c>
      <c r="I91" s="581"/>
      <c r="J91" s="1976">
        <v>211381</v>
      </c>
      <c r="K91" s="589">
        <f t="shared" si="1"/>
        <v>0.20650389580898945</v>
      </c>
      <c r="L91" s="584">
        <v>89.73</v>
      </c>
      <c r="M91" s="587">
        <v>0.88200000000000001</v>
      </c>
    </row>
    <row r="92" spans="1:13">
      <c r="A92" s="63">
        <v>2000.11</v>
      </c>
      <c r="B92" s="250">
        <v>174857</v>
      </c>
      <c r="C92" s="782"/>
      <c r="D92" s="1976">
        <v>1053555.5</v>
      </c>
      <c r="E92" s="657">
        <f t="shared" si="2"/>
        <v>0.16596847531999975</v>
      </c>
      <c r="F92" s="586">
        <v>223.46029005017405</v>
      </c>
      <c r="G92" s="585">
        <v>0.81100000000000005</v>
      </c>
      <c r="H92" s="251">
        <v>47449</v>
      </c>
      <c r="I92" s="581"/>
      <c r="J92" s="1976">
        <v>233537</v>
      </c>
      <c r="K92" s="589">
        <f t="shared" si="1"/>
        <v>0.20317551394425723</v>
      </c>
      <c r="L92" s="584">
        <v>89.28</v>
      </c>
      <c r="M92" s="587">
        <v>0.83799999999999997</v>
      </c>
    </row>
    <row r="93" spans="1:13">
      <c r="A93" s="63">
        <v>2000.12</v>
      </c>
      <c r="B93" s="250">
        <v>169068</v>
      </c>
      <c r="C93" s="782"/>
      <c r="D93" s="1976">
        <v>1042395</v>
      </c>
      <c r="E93" s="657">
        <f t="shared" si="2"/>
        <v>0.16219187544069186</v>
      </c>
      <c r="F93" s="586">
        <v>218.97465317131659</v>
      </c>
      <c r="G93" s="585">
        <v>0.78300000000000003</v>
      </c>
      <c r="H93" s="251">
        <v>54287</v>
      </c>
      <c r="I93" s="581"/>
      <c r="J93" s="1976">
        <v>288072</v>
      </c>
      <c r="K93" s="589">
        <f t="shared" si="1"/>
        <v>0.1884494154239218</v>
      </c>
      <c r="L93" s="584">
        <v>87.02</v>
      </c>
      <c r="M93" s="587">
        <v>0.81</v>
      </c>
    </row>
    <row r="94" spans="1:13">
      <c r="A94" s="63">
        <v>2001.01</v>
      </c>
      <c r="B94" s="250">
        <v>176138</v>
      </c>
      <c r="C94" s="782"/>
      <c r="D94" s="1976">
        <v>1047059.5</v>
      </c>
      <c r="E94" s="657">
        <f t="shared" si="2"/>
        <v>0.16822157671077909</v>
      </c>
      <c r="F94" s="586">
        <v>219.4618986034767</v>
      </c>
      <c r="G94" s="585">
        <v>0.78700000000000003</v>
      </c>
      <c r="H94" s="251">
        <v>49433</v>
      </c>
      <c r="I94" s="581"/>
      <c r="J94" s="1976">
        <v>197287</v>
      </c>
      <c r="K94" s="589">
        <f t="shared" si="1"/>
        <v>0.25056389929392203</v>
      </c>
      <c r="L94" s="584">
        <v>86.45</v>
      </c>
      <c r="M94" s="587">
        <v>0.79</v>
      </c>
    </row>
    <row r="95" spans="1:13">
      <c r="A95" s="63">
        <v>2001.02</v>
      </c>
      <c r="B95" s="250">
        <v>164820</v>
      </c>
      <c r="C95" s="782"/>
      <c r="D95" s="1976">
        <v>980606</v>
      </c>
      <c r="E95" s="657">
        <f t="shared" si="2"/>
        <v>0.16807973844744983</v>
      </c>
      <c r="F95" s="586">
        <v>218.55332018622752</v>
      </c>
      <c r="G95" s="585">
        <v>0.80700000000000005</v>
      </c>
      <c r="H95" s="251">
        <v>41708</v>
      </c>
      <c r="I95" s="581"/>
      <c r="J95" s="1976">
        <v>180974</v>
      </c>
      <c r="K95" s="589">
        <f t="shared" si="1"/>
        <v>0.23046404455888692</v>
      </c>
      <c r="L95" s="584">
        <v>85.66</v>
      </c>
      <c r="M95" s="587">
        <v>0.82299999999999995</v>
      </c>
    </row>
    <row r="96" spans="1:13">
      <c r="A96" s="63">
        <v>2001.03</v>
      </c>
      <c r="B96" s="250">
        <v>148120</v>
      </c>
      <c r="C96" s="782"/>
      <c r="D96" s="1976">
        <v>1004051</v>
      </c>
      <c r="E96" s="657">
        <f t="shared" si="2"/>
        <v>0.14752238681102853</v>
      </c>
      <c r="F96" s="586">
        <v>210.59970655468879</v>
      </c>
      <c r="G96" s="585">
        <v>0.81</v>
      </c>
      <c r="H96" s="251">
        <v>42620</v>
      </c>
      <c r="I96" s="581"/>
      <c r="J96" s="1976">
        <v>195447</v>
      </c>
      <c r="K96" s="589">
        <f t="shared" si="1"/>
        <v>0.21806423224710536</v>
      </c>
      <c r="L96" s="584">
        <v>81.47</v>
      </c>
      <c r="M96" s="587">
        <v>0.78300000000000003</v>
      </c>
    </row>
    <row r="97" spans="1:13">
      <c r="A97" s="63">
        <v>2001.04</v>
      </c>
      <c r="B97" s="250">
        <v>135437</v>
      </c>
      <c r="C97" s="782"/>
      <c r="D97" s="1976">
        <v>937680.5</v>
      </c>
      <c r="E97" s="657">
        <f t="shared" si="2"/>
        <v>0.14443832414132532</v>
      </c>
      <c r="F97" s="586">
        <v>207.74018803969028</v>
      </c>
      <c r="G97" s="585">
        <v>0.78100000000000003</v>
      </c>
      <c r="H97" s="251">
        <v>45622</v>
      </c>
      <c r="I97" s="581"/>
      <c r="J97" s="1976">
        <v>199578</v>
      </c>
      <c r="K97" s="589">
        <f t="shared" si="1"/>
        <v>0.22859232981591157</v>
      </c>
      <c r="L97" s="584">
        <v>85.73</v>
      </c>
      <c r="M97" s="587">
        <v>0.79400000000000004</v>
      </c>
    </row>
    <row r="98" spans="1:13">
      <c r="A98" s="63">
        <v>2001.05</v>
      </c>
      <c r="B98" s="250">
        <v>144797</v>
      </c>
      <c r="C98" s="782"/>
      <c r="D98" s="1976">
        <v>981754</v>
      </c>
      <c r="E98" s="657">
        <f t="shared" si="2"/>
        <v>0.14748806727550895</v>
      </c>
      <c r="F98" s="586">
        <v>210.33723932149212</v>
      </c>
      <c r="G98" s="585">
        <v>0.77200000000000002</v>
      </c>
      <c r="H98" s="251">
        <v>47257</v>
      </c>
      <c r="I98" s="581"/>
      <c r="J98" s="1976">
        <v>202978</v>
      </c>
      <c r="K98" s="589">
        <f t="shared" si="1"/>
        <v>0.23281833499196958</v>
      </c>
      <c r="L98" s="584">
        <v>87.35</v>
      </c>
      <c r="M98" s="587">
        <v>0.83299999999999996</v>
      </c>
    </row>
    <row r="99" spans="1:13">
      <c r="A99" s="63">
        <v>2001.06</v>
      </c>
      <c r="B99" s="250">
        <v>139493</v>
      </c>
      <c r="C99" s="782"/>
      <c r="D99" s="1976">
        <v>938215</v>
      </c>
      <c r="E99" s="657">
        <f t="shared" si="2"/>
        <v>0.14867914070868618</v>
      </c>
      <c r="F99" s="586">
        <v>214.54819630027106</v>
      </c>
      <c r="G99" s="585">
        <v>0.78300000000000003</v>
      </c>
      <c r="H99" s="251">
        <v>42194</v>
      </c>
      <c r="I99" s="581"/>
      <c r="J99" s="1976">
        <v>180652</v>
      </c>
      <c r="K99" s="589">
        <f t="shared" si="1"/>
        <v>0.23356508646458385</v>
      </c>
      <c r="L99" s="584">
        <v>89.5</v>
      </c>
      <c r="M99" s="587">
        <v>0.85799999999999998</v>
      </c>
    </row>
    <row r="100" spans="1:13">
      <c r="A100" s="63">
        <v>2001.07</v>
      </c>
      <c r="B100" s="250">
        <v>147255</v>
      </c>
      <c r="C100" s="782"/>
      <c r="D100" s="1976">
        <v>963735</v>
      </c>
      <c r="E100" s="657">
        <f t="shared" si="2"/>
        <v>0.15279615246929915</v>
      </c>
      <c r="F100" s="586">
        <v>216.09903138139629</v>
      </c>
      <c r="G100" s="585">
        <v>0.754</v>
      </c>
      <c r="H100" s="251">
        <v>46890</v>
      </c>
      <c r="I100" s="581"/>
      <c r="J100" s="1976">
        <v>199388</v>
      </c>
      <c r="K100" s="589">
        <f t="shared" si="1"/>
        <v>0.2351696190342448</v>
      </c>
      <c r="L100" s="584">
        <v>89.12</v>
      </c>
      <c r="M100" s="587">
        <v>0.86199999999999999</v>
      </c>
    </row>
    <row r="101" spans="1:13">
      <c r="A101" s="63">
        <v>2001.08</v>
      </c>
      <c r="B101" s="250">
        <v>151503</v>
      </c>
      <c r="C101" s="782"/>
      <c r="D101" s="1976">
        <v>976874</v>
      </c>
      <c r="E101" s="657">
        <f t="shared" si="2"/>
        <v>0.15508960213906808</v>
      </c>
      <c r="F101" s="586">
        <v>216.956445720571</v>
      </c>
      <c r="G101" s="585">
        <v>0.72299999999999998</v>
      </c>
      <c r="H101" s="251">
        <v>40596</v>
      </c>
      <c r="I101" s="581"/>
      <c r="J101" s="1976">
        <v>181935</v>
      </c>
      <c r="K101" s="589">
        <f t="shared" si="1"/>
        <v>0.22313463599637234</v>
      </c>
      <c r="L101" s="584">
        <v>88.27</v>
      </c>
      <c r="M101" s="587">
        <v>0.85799999999999998</v>
      </c>
    </row>
    <row r="102" spans="1:13">
      <c r="A102" s="63">
        <v>2001.09</v>
      </c>
      <c r="B102" s="250">
        <v>135508</v>
      </c>
      <c r="C102" s="782"/>
      <c r="D102" s="1976">
        <v>866959</v>
      </c>
      <c r="E102" s="657">
        <f t="shared" si="2"/>
        <v>0.15630266252498676</v>
      </c>
      <c r="F102" s="586">
        <v>217.78167688693225</v>
      </c>
      <c r="G102" s="585">
        <v>0.66900000000000004</v>
      </c>
      <c r="H102" s="251">
        <v>35207</v>
      </c>
      <c r="I102" s="581"/>
      <c r="J102" s="1976">
        <v>182179</v>
      </c>
      <c r="K102" s="589">
        <f t="shared" si="1"/>
        <v>0.19325498548131234</v>
      </c>
      <c r="L102" s="584">
        <v>88.74</v>
      </c>
      <c r="M102" s="587">
        <v>0.82399999999999995</v>
      </c>
    </row>
    <row r="103" spans="1:13">
      <c r="A103" s="63">
        <v>2001.1</v>
      </c>
      <c r="B103" s="250">
        <v>155305</v>
      </c>
      <c r="C103" s="782"/>
      <c r="D103" s="1976">
        <v>995446</v>
      </c>
      <c r="E103" s="657">
        <f t="shared" si="2"/>
        <v>0.15601549456223643</v>
      </c>
      <c r="F103" s="586">
        <v>216.75621453101354</v>
      </c>
      <c r="G103" s="585">
        <v>0.67100000000000004</v>
      </c>
      <c r="H103" s="251">
        <v>42586</v>
      </c>
      <c r="I103" s="581"/>
      <c r="J103" s="1976">
        <v>237883</v>
      </c>
      <c r="K103" s="589">
        <f t="shared" si="1"/>
        <v>0.1790207791225098</v>
      </c>
      <c r="L103" s="584">
        <v>89.73</v>
      </c>
      <c r="M103" s="587">
        <v>0.76800000000000002</v>
      </c>
    </row>
    <row r="104" spans="1:13">
      <c r="A104" s="63">
        <v>2001.11</v>
      </c>
      <c r="B104" s="250">
        <v>150153</v>
      </c>
      <c r="C104" s="782"/>
      <c r="D104" s="1976">
        <v>974489</v>
      </c>
      <c r="E104" s="657">
        <f t="shared" si="2"/>
        <v>0.15408383265485809</v>
      </c>
      <c r="F104" s="586">
        <v>216.5315621308832</v>
      </c>
      <c r="G104" s="585">
        <v>0.624</v>
      </c>
      <c r="H104" s="251">
        <v>40446</v>
      </c>
      <c r="I104" s="581"/>
      <c r="J104" s="1976">
        <v>244455</v>
      </c>
      <c r="K104" s="589">
        <f t="shared" si="1"/>
        <v>0.1654537644965331</v>
      </c>
      <c r="L104" s="584">
        <v>89.28</v>
      </c>
      <c r="M104" s="587">
        <v>0.74</v>
      </c>
    </row>
    <row r="105" spans="1:13">
      <c r="A105" s="63">
        <v>2001.12</v>
      </c>
      <c r="B105" s="250">
        <v>139277</v>
      </c>
      <c r="C105" s="782"/>
      <c r="D105" s="1976">
        <v>919863</v>
      </c>
      <c r="E105" s="657">
        <f t="shared" si="2"/>
        <v>0.15141059049010558</v>
      </c>
      <c r="F105" s="586">
        <v>213.96199441315903</v>
      </c>
      <c r="G105" s="585">
        <v>0.63500000000000001</v>
      </c>
      <c r="H105" s="251">
        <v>45236</v>
      </c>
      <c r="I105" s="581"/>
      <c r="J105" s="1976">
        <v>252904</v>
      </c>
      <c r="K105" s="589">
        <f t="shared" si="1"/>
        <v>0.17886628918482902</v>
      </c>
      <c r="L105" s="584">
        <v>87.02</v>
      </c>
      <c r="M105" s="587">
        <v>0.70799999999999996</v>
      </c>
    </row>
    <row r="106" spans="1:13">
      <c r="A106" s="63">
        <v>2002.01</v>
      </c>
      <c r="B106" s="250">
        <v>139967</v>
      </c>
      <c r="C106" s="782"/>
      <c r="D106" s="1976">
        <v>912176.5</v>
      </c>
      <c r="E106" s="657">
        <f t="shared" si="2"/>
        <v>0.15344289180876727</v>
      </c>
      <c r="F106" s="586">
        <v>213.50055887387521</v>
      </c>
      <c r="G106" s="585">
        <v>0.71</v>
      </c>
      <c r="H106" s="251">
        <v>33943</v>
      </c>
      <c r="I106" s="581"/>
      <c r="J106" s="1976">
        <v>158416</v>
      </c>
      <c r="K106" s="589">
        <f t="shared" si="1"/>
        <v>0.21426497323502677</v>
      </c>
      <c r="L106" s="584">
        <v>86.45</v>
      </c>
      <c r="M106" s="587">
        <v>0.86</v>
      </c>
    </row>
    <row r="107" spans="1:13">
      <c r="A107" s="63">
        <v>2002.02</v>
      </c>
      <c r="B107" s="250">
        <v>149371</v>
      </c>
      <c r="C107" s="782"/>
      <c r="D107" s="1976">
        <v>905497.5</v>
      </c>
      <c r="E107" s="657">
        <f t="shared" si="2"/>
        <v>0.16496014621796307</v>
      </c>
      <c r="F107" s="586">
        <v>218.70442261530789</v>
      </c>
      <c r="G107" s="585">
        <v>0.81100000000000005</v>
      </c>
      <c r="H107" s="251">
        <v>37413</v>
      </c>
      <c r="I107" s="581"/>
      <c r="J107" s="1976">
        <v>148074</v>
      </c>
      <c r="K107" s="589">
        <f t="shared" si="1"/>
        <v>0.25266420843632237</v>
      </c>
      <c r="L107" s="584">
        <v>85.66</v>
      </c>
      <c r="M107" s="587">
        <v>1.008</v>
      </c>
    </row>
    <row r="108" spans="1:13">
      <c r="A108" s="63">
        <v>2002.03</v>
      </c>
      <c r="B108" s="250">
        <v>163789</v>
      </c>
      <c r="C108" s="782"/>
      <c r="D108" s="1976">
        <v>934541.5</v>
      </c>
      <c r="E108" s="657">
        <f t="shared" si="2"/>
        <v>0.17526134473428948</v>
      </c>
      <c r="F108" s="586">
        <v>219.9514980803919</v>
      </c>
      <c r="G108" s="585">
        <v>0.86099999999999999</v>
      </c>
      <c r="H108" s="251">
        <v>38722</v>
      </c>
      <c r="I108" s="581"/>
      <c r="J108" s="1976">
        <v>143522</v>
      </c>
      <c r="K108" s="589">
        <f t="shared" si="1"/>
        <v>0.26979835843982108</v>
      </c>
      <c r="L108" s="584">
        <v>81.47</v>
      </c>
      <c r="M108" s="587">
        <v>1.232</v>
      </c>
    </row>
    <row r="109" spans="1:13">
      <c r="A109" s="63">
        <v>2002.04</v>
      </c>
      <c r="B109" s="250">
        <v>171277</v>
      </c>
      <c r="C109" s="782"/>
      <c r="D109" s="1976">
        <v>1000300.5</v>
      </c>
      <c r="E109" s="657">
        <f t="shared" si="2"/>
        <v>0.17122554672320967</v>
      </c>
      <c r="F109" s="586">
        <v>216.55768495859681</v>
      </c>
      <c r="G109" s="585">
        <v>1.1519999999999999</v>
      </c>
      <c r="H109" s="251">
        <v>39771</v>
      </c>
      <c r="I109" s="581"/>
      <c r="J109" s="1976">
        <v>155054</v>
      </c>
      <c r="K109" s="589">
        <f t="shared" si="1"/>
        <v>0.25649773627252442</v>
      </c>
      <c r="L109" s="584">
        <v>85.73</v>
      </c>
      <c r="M109" s="587">
        <v>1.5249999999999999</v>
      </c>
    </row>
    <row r="110" spans="1:13">
      <c r="A110" s="63">
        <v>2002.05</v>
      </c>
      <c r="B110" s="250">
        <v>181571</v>
      </c>
      <c r="C110" s="782"/>
      <c r="D110" s="1976">
        <v>1009796</v>
      </c>
      <c r="E110" s="657">
        <f t="shared" si="2"/>
        <v>0.17980958530237789</v>
      </c>
      <c r="F110" s="586">
        <v>219.25290358960592</v>
      </c>
      <c r="G110" s="585">
        <v>1.1160000000000001</v>
      </c>
      <c r="H110" s="251">
        <v>37192</v>
      </c>
      <c r="I110" s="581"/>
      <c r="J110" s="1976">
        <v>148675</v>
      </c>
      <c r="K110" s="589">
        <f t="shared" si="1"/>
        <v>0.25015638136875734</v>
      </c>
      <c r="L110" s="584">
        <v>87.35</v>
      </c>
      <c r="M110" s="587">
        <v>1.4830000000000001</v>
      </c>
    </row>
    <row r="111" spans="1:13">
      <c r="A111" s="63">
        <v>2002.06</v>
      </c>
      <c r="B111" s="250">
        <v>183775</v>
      </c>
      <c r="C111" s="782"/>
      <c r="D111" s="1976">
        <v>1042875.5</v>
      </c>
      <c r="E111" s="657">
        <f t="shared" si="2"/>
        <v>0.1762195007937189</v>
      </c>
      <c r="F111" s="586">
        <v>222.83750244354641</v>
      </c>
      <c r="G111" s="585">
        <v>1.1879999999999999</v>
      </c>
      <c r="H111" s="251">
        <v>34586</v>
      </c>
      <c r="I111" s="581"/>
      <c r="J111" s="1976">
        <v>150754</v>
      </c>
      <c r="K111" s="589">
        <f t="shared" si="1"/>
        <v>0.22942011488915717</v>
      </c>
      <c r="L111" s="584">
        <v>86.08</v>
      </c>
      <c r="M111" s="587">
        <v>1.456</v>
      </c>
    </row>
    <row r="112" spans="1:13">
      <c r="A112" s="63">
        <v>2002.07</v>
      </c>
      <c r="B112" s="250">
        <v>189822</v>
      </c>
      <c r="C112" s="782"/>
      <c r="D112" s="1976">
        <v>1063835</v>
      </c>
      <c r="E112" s="657">
        <f t="shared" si="2"/>
        <v>0.17843180568415215</v>
      </c>
      <c r="F112" s="586">
        <v>219.72719291274885</v>
      </c>
      <c r="G112" s="585">
        <v>1.383</v>
      </c>
      <c r="H112" s="251">
        <v>41421</v>
      </c>
      <c r="I112" s="581"/>
      <c r="J112" s="1976">
        <v>178158</v>
      </c>
      <c r="K112" s="589">
        <f t="shared" si="1"/>
        <v>0.23249587444852321</v>
      </c>
      <c r="L112" s="584">
        <v>85.19</v>
      </c>
      <c r="M112" s="587">
        <v>1.58</v>
      </c>
    </row>
    <row r="113" spans="1:13">
      <c r="A113" s="63">
        <v>2002.08</v>
      </c>
      <c r="B113" s="250">
        <v>176041</v>
      </c>
      <c r="C113" s="782"/>
      <c r="D113" s="1976">
        <v>916480.5</v>
      </c>
      <c r="E113" s="657">
        <f t="shared" si="2"/>
        <v>0.19208373773364518</v>
      </c>
      <c r="F113" s="586">
        <v>223.77151437327817</v>
      </c>
      <c r="G113" s="585">
        <v>1.764</v>
      </c>
      <c r="H113" s="251">
        <v>35213</v>
      </c>
      <c r="I113" s="581"/>
      <c r="J113" s="1976">
        <v>150404</v>
      </c>
      <c r="K113" s="589">
        <f t="shared" si="1"/>
        <v>0.23412276269248158</v>
      </c>
      <c r="L113" s="584">
        <v>85.63</v>
      </c>
      <c r="M113" s="587">
        <v>1.8049999999999999</v>
      </c>
    </row>
    <row r="114" spans="1:13">
      <c r="A114" s="63">
        <v>2002.09</v>
      </c>
      <c r="B114" s="250">
        <v>160293</v>
      </c>
      <c r="C114" s="782"/>
      <c r="D114" s="1976">
        <v>891494.5</v>
      </c>
      <c r="E114" s="657">
        <f t="shared" si="2"/>
        <v>0.17980256748639503</v>
      </c>
      <c r="F114" s="586">
        <v>229.09313870407507</v>
      </c>
      <c r="G114" s="585">
        <v>1.92</v>
      </c>
      <c r="H114" s="251">
        <v>37954</v>
      </c>
      <c r="I114" s="581"/>
      <c r="J114" s="1976">
        <v>163208</v>
      </c>
      <c r="K114" s="589">
        <f t="shared" si="1"/>
        <v>0.23254987500612714</v>
      </c>
      <c r="L114" s="584">
        <v>86.2</v>
      </c>
      <c r="M114" s="587">
        <v>1.93</v>
      </c>
    </row>
    <row r="115" spans="1:13">
      <c r="A115" s="63">
        <v>2002.1</v>
      </c>
      <c r="B115" s="250">
        <v>168604</v>
      </c>
      <c r="C115" s="782"/>
      <c r="D115" s="1976">
        <v>954068</v>
      </c>
      <c r="E115" s="657">
        <f t="shared" si="2"/>
        <v>0.17672115614400652</v>
      </c>
      <c r="F115" s="586">
        <v>223.42763578372592</v>
      </c>
      <c r="G115" s="585">
        <v>1.9159999999999999</v>
      </c>
      <c r="H115" s="251">
        <v>41872</v>
      </c>
      <c r="I115" s="581"/>
      <c r="J115" s="1976">
        <v>188725</v>
      </c>
      <c r="K115" s="589">
        <f t="shared" si="1"/>
        <v>0.22186779705921314</v>
      </c>
      <c r="L115" s="584">
        <v>85.33</v>
      </c>
      <c r="M115" s="587">
        <v>1.9279999999999999</v>
      </c>
    </row>
    <row r="116" spans="1:13">
      <c r="A116" s="63">
        <v>2002.11</v>
      </c>
      <c r="B116" s="250">
        <v>169030</v>
      </c>
      <c r="C116" s="782"/>
      <c r="D116" s="1976">
        <v>912140.5</v>
      </c>
      <c r="E116" s="657">
        <f t="shared" si="2"/>
        <v>0.18531136376468318</v>
      </c>
      <c r="F116" s="586">
        <v>222.71842557931285</v>
      </c>
      <c r="G116" s="585">
        <v>1.923</v>
      </c>
      <c r="H116" s="251">
        <v>41794</v>
      </c>
      <c r="I116" s="581"/>
      <c r="J116" s="1976">
        <v>190895</v>
      </c>
      <c r="K116" s="589">
        <f t="shared" si="1"/>
        <v>0.21893711202493518</v>
      </c>
      <c r="L116" s="584">
        <v>85.63</v>
      </c>
      <c r="M116" s="587">
        <v>1.9279999999999999</v>
      </c>
    </row>
    <row r="117" spans="1:13">
      <c r="A117" s="63">
        <v>2002.12</v>
      </c>
      <c r="B117" s="250">
        <v>159664</v>
      </c>
      <c r="C117" s="782"/>
      <c r="D117" s="1976">
        <v>956632</v>
      </c>
      <c r="E117" s="657">
        <f t="shared" si="2"/>
        <v>0.16690221527191229</v>
      </c>
      <c r="F117" s="586">
        <v>215.53921192091849</v>
      </c>
      <c r="G117" s="585">
        <v>1.9350000000000001</v>
      </c>
      <c r="H117" s="251">
        <v>46085</v>
      </c>
      <c r="I117" s="581"/>
      <c r="J117" s="1976">
        <v>223503</v>
      </c>
      <c r="K117" s="589">
        <f t="shared" si="1"/>
        <v>0.20619410030290422</v>
      </c>
      <c r="L117" s="584">
        <v>83.89</v>
      </c>
      <c r="M117" s="587">
        <v>1.978</v>
      </c>
    </row>
    <row r="118" spans="1:13">
      <c r="A118" s="63">
        <v>2003.01</v>
      </c>
      <c r="B118" s="250">
        <v>171976.75</v>
      </c>
      <c r="C118" s="782"/>
      <c r="D118" s="1976">
        <v>948290.83333333337</v>
      </c>
      <c r="E118" s="657">
        <f t="shared" si="2"/>
        <v>0.18135443679813418</v>
      </c>
      <c r="F118" s="586">
        <v>226.63505389150478</v>
      </c>
      <c r="G118" s="585">
        <v>1.881</v>
      </c>
      <c r="H118" s="251">
        <v>37111</v>
      </c>
      <c r="I118" s="581"/>
      <c r="J118" s="1976">
        <v>138963</v>
      </c>
      <c r="K118" s="589">
        <f t="shared" si="1"/>
        <v>0.26705669854565606</v>
      </c>
      <c r="L118" s="584">
        <v>83.77</v>
      </c>
      <c r="M118" s="587">
        <v>2.0880000000000001</v>
      </c>
    </row>
    <row r="119" spans="1:13">
      <c r="A119" s="63">
        <v>2003.02</v>
      </c>
      <c r="B119" s="250">
        <v>151037</v>
      </c>
      <c r="C119" s="782"/>
      <c r="D119" s="1976">
        <v>865925.33333333337</v>
      </c>
      <c r="E119" s="657">
        <f t="shared" si="2"/>
        <v>0.17442265999839862</v>
      </c>
      <c r="F119" s="586">
        <v>217.68955626102263</v>
      </c>
      <c r="G119" s="585">
        <v>1.849</v>
      </c>
      <c r="H119" s="251">
        <v>35341</v>
      </c>
      <c r="I119" s="581"/>
      <c r="J119" s="1976">
        <v>126956</v>
      </c>
      <c r="K119" s="589">
        <f t="shared" si="1"/>
        <v>0.27837203440562086</v>
      </c>
      <c r="L119" s="584">
        <v>84.7</v>
      </c>
      <c r="M119" s="587">
        <v>2.2130000000000001</v>
      </c>
    </row>
    <row r="120" spans="1:13">
      <c r="A120" s="63">
        <v>2003.03</v>
      </c>
      <c r="B120" s="250">
        <v>164540</v>
      </c>
      <c r="C120" s="782"/>
      <c r="D120" s="1976">
        <v>940911.83333333337</v>
      </c>
      <c r="E120" s="657">
        <f t="shared" si="2"/>
        <v>0.17487292025767204</v>
      </c>
      <c r="F120" s="586">
        <v>214.57678270319673</v>
      </c>
      <c r="G120" s="585">
        <v>1.7789999999999999</v>
      </c>
      <c r="H120" s="251">
        <v>35257</v>
      </c>
      <c r="I120" s="581"/>
      <c r="J120" s="1976">
        <v>132619</v>
      </c>
      <c r="K120" s="589">
        <f t="shared" si="1"/>
        <v>0.26585180102398598</v>
      </c>
      <c r="L120" s="584">
        <v>85.53</v>
      </c>
      <c r="M120" s="587">
        <v>2.234</v>
      </c>
    </row>
    <row r="121" spans="1:13">
      <c r="A121" s="63">
        <v>2003.04</v>
      </c>
      <c r="B121" s="250">
        <v>163147</v>
      </c>
      <c r="C121" s="782"/>
      <c r="D121" s="1976">
        <v>994561.33333333337</v>
      </c>
      <c r="E121" s="657">
        <f t="shared" si="2"/>
        <v>0.16403915428041307</v>
      </c>
      <c r="F121" s="586">
        <v>210.82972757862112</v>
      </c>
      <c r="G121" s="585">
        <v>1.6559999999999999</v>
      </c>
      <c r="H121" s="251">
        <v>35513</v>
      </c>
      <c r="I121" s="581"/>
      <c r="J121" s="1976">
        <v>140512</v>
      </c>
      <c r="K121" s="589">
        <f t="shared" si="1"/>
        <v>0.25273997950352994</v>
      </c>
      <c r="L121" s="584">
        <v>87.51</v>
      </c>
      <c r="M121" s="587">
        <v>2.1949999999999998</v>
      </c>
    </row>
    <row r="122" spans="1:13">
      <c r="A122" s="63">
        <v>2003.05</v>
      </c>
      <c r="B122" s="250">
        <v>171105</v>
      </c>
      <c r="C122" s="782"/>
      <c r="D122" s="1976">
        <v>1011823.8333333334</v>
      </c>
      <c r="E122" s="657">
        <f t="shared" si="2"/>
        <v>0.1691055244630035</v>
      </c>
      <c r="F122" s="586">
        <v>209.16498445480886</v>
      </c>
      <c r="G122" s="585">
        <v>1.5720000000000001</v>
      </c>
      <c r="H122" s="251">
        <v>30748</v>
      </c>
      <c r="I122" s="581"/>
      <c r="J122" s="1976">
        <v>136305</v>
      </c>
      <c r="K122" s="589">
        <f t="shared" si="1"/>
        <v>0.22558233373684017</v>
      </c>
      <c r="L122" s="584">
        <v>89.73</v>
      </c>
      <c r="M122" s="587">
        <v>2.1379999999999999</v>
      </c>
    </row>
    <row r="123" spans="1:13">
      <c r="A123" s="63">
        <v>2003.06</v>
      </c>
      <c r="B123" s="250">
        <v>185419</v>
      </c>
      <c r="C123" s="782"/>
      <c r="D123" s="1976">
        <v>1022114.0833333334</v>
      </c>
      <c r="E123" s="657">
        <f t="shared" si="2"/>
        <v>0.1814073429017912</v>
      </c>
      <c r="F123" s="586">
        <v>209.66957196708202</v>
      </c>
      <c r="G123" s="585">
        <v>1.56</v>
      </c>
      <c r="H123" s="251">
        <v>33192</v>
      </c>
      <c r="I123" s="581"/>
      <c r="J123" s="1976">
        <v>139850</v>
      </c>
      <c r="K123" s="589">
        <f t="shared" si="1"/>
        <v>0.23734000715051842</v>
      </c>
      <c r="L123" s="584">
        <v>89.56</v>
      </c>
      <c r="M123" s="587">
        <v>2.0840000000000001</v>
      </c>
    </row>
    <row r="124" spans="1:13">
      <c r="A124" s="63">
        <v>2003.07</v>
      </c>
      <c r="B124" s="250">
        <v>206543</v>
      </c>
      <c r="C124" s="782"/>
      <c r="D124" s="1976">
        <v>1111491.25</v>
      </c>
      <c r="E124" s="657">
        <f t="shared" si="2"/>
        <v>0.18582512457925332</v>
      </c>
      <c r="F124" s="586">
        <v>213.63676473664177</v>
      </c>
      <c r="G124" s="585">
        <v>1.6759999999999999</v>
      </c>
      <c r="H124" s="251">
        <v>34099</v>
      </c>
      <c r="I124" s="581"/>
      <c r="J124" s="1976">
        <v>149986</v>
      </c>
      <c r="K124" s="589">
        <f t="shared" si="1"/>
        <v>0.22734788580267493</v>
      </c>
      <c r="L124" s="584">
        <v>89.39</v>
      </c>
      <c r="M124" s="587">
        <v>2.0649999999999999</v>
      </c>
    </row>
    <row r="125" spans="1:13">
      <c r="A125" s="63">
        <v>2003.08</v>
      </c>
      <c r="B125" s="250">
        <v>187982</v>
      </c>
      <c r="C125" s="782"/>
      <c r="D125" s="1976">
        <v>1042236</v>
      </c>
      <c r="E125" s="657">
        <f t="shared" si="2"/>
        <v>0.18036414017554567</v>
      </c>
      <c r="F125" s="586">
        <v>212.40184904169851</v>
      </c>
      <c r="G125" s="585">
        <v>1.7729999999999999</v>
      </c>
      <c r="H125" s="251">
        <v>34371</v>
      </c>
      <c r="I125" s="581"/>
      <c r="J125" s="1976">
        <v>135286</v>
      </c>
      <c r="K125" s="589">
        <f t="shared" si="1"/>
        <v>0.25406176544505715</v>
      </c>
      <c r="L125" s="584">
        <v>87.63</v>
      </c>
      <c r="M125" s="587">
        <v>2.1080000000000001</v>
      </c>
    </row>
    <row r="126" spans="1:13">
      <c r="A126" s="63">
        <v>2003.09</v>
      </c>
      <c r="B126" s="250">
        <v>202361</v>
      </c>
      <c r="C126" s="782"/>
      <c r="D126" s="1976">
        <v>1113897.5</v>
      </c>
      <c r="E126" s="657">
        <f t="shared" si="2"/>
        <v>0.1816693187658649</v>
      </c>
      <c r="F126" s="586">
        <v>212.89477898886554</v>
      </c>
      <c r="G126" s="585">
        <v>1.76</v>
      </c>
      <c r="H126" s="251">
        <v>37737</v>
      </c>
      <c r="I126" s="581"/>
      <c r="J126" s="1976">
        <v>164080</v>
      </c>
      <c r="K126" s="589">
        <f t="shared" si="1"/>
        <v>0.22999146757679181</v>
      </c>
      <c r="L126" s="584">
        <v>87.68</v>
      </c>
      <c r="M126" s="587">
        <v>2.238</v>
      </c>
    </row>
    <row r="127" spans="1:13">
      <c r="A127" s="63">
        <v>2003.1</v>
      </c>
      <c r="B127" s="250">
        <v>212077</v>
      </c>
      <c r="C127" s="782"/>
      <c r="D127" s="1976">
        <v>1174286</v>
      </c>
      <c r="E127" s="657">
        <f t="shared" si="2"/>
        <v>0.18060080763970618</v>
      </c>
      <c r="F127" s="586">
        <v>211.86459217792682</v>
      </c>
      <c r="G127" s="585">
        <v>1.776</v>
      </c>
      <c r="H127" s="251">
        <v>39771</v>
      </c>
      <c r="I127" s="581"/>
      <c r="J127" s="1976">
        <v>167816</v>
      </c>
      <c r="K127" s="589">
        <f t="shared" si="1"/>
        <v>0.23699170520093435</v>
      </c>
      <c r="L127" s="584">
        <v>87.19</v>
      </c>
      <c r="M127" s="587">
        <v>2.3279999999999998</v>
      </c>
    </row>
    <row r="128" spans="1:13">
      <c r="A128" s="63">
        <v>2003.11</v>
      </c>
      <c r="B128" s="250">
        <v>209558</v>
      </c>
      <c r="C128" s="782"/>
      <c r="D128" s="1976">
        <v>1088776</v>
      </c>
      <c r="E128" s="657">
        <f t="shared" si="2"/>
        <v>0.19247117864464316</v>
      </c>
      <c r="F128" s="586">
        <v>212.25996012109994</v>
      </c>
      <c r="G128" s="585">
        <v>1.7549999999999999</v>
      </c>
      <c r="H128" s="251">
        <v>38100</v>
      </c>
      <c r="I128" s="581"/>
      <c r="J128" s="1976">
        <v>171390</v>
      </c>
      <c r="K128" s="589">
        <f t="shared" si="1"/>
        <v>0.22230001750393838</v>
      </c>
      <c r="L128" s="584">
        <v>87.06</v>
      </c>
      <c r="M128" s="587">
        <v>2.3620000000000001</v>
      </c>
    </row>
    <row r="129" spans="1:13">
      <c r="A129" s="63">
        <v>2003.12</v>
      </c>
      <c r="B129" s="250">
        <v>216381</v>
      </c>
      <c r="C129" s="782"/>
      <c r="D129" s="1976">
        <v>1217320</v>
      </c>
      <c r="E129" s="657">
        <f t="shared" si="2"/>
        <v>0.17775194689974699</v>
      </c>
      <c r="F129" s="586">
        <v>207.63066795929907</v>
      </c>
      <c r="G129" s="585">
        <v>1.8129999999999999</v>
      </c>
      <c r="H129" s="251">
        <v>47109</v>
      </c>
      <c r="I129" s="581"/>
      <c r="J129" s="1976">
        <v>209164</v>
      </c>
      <c r="K129" s="589">
        <f t="shared" si="1"/>
        <v>0.2252251821537167</v>
      </c>
      <c r="L129" s="584">
        <v>85.76</v>
      </c>
      <c r="M129" s="587">
        <v>2.3479999999999999</v>
      </c>
    </row>
    <row r="130" spans="1:13">
      <c r="A130" s="63">
        <v>2004.01</v>
      </c>
      <c r="B130" s="250">
        <v>208464</v>
      </c>
      <c r="C130" s="782"/>
      <c r="D130" s="1976">
        <v>1113413.75</v>
      </c>
      <c r="E130" s="657">
        <f t="shared" si="2"/>
        <v>0.18722959007826157</v>
      </c>
      <c r="F130" s="586">
        <v>212.96336389710794</v>
      </c>
      <c r="G130" s="585">
        <v>1.748</v>
      </c>
      <c r="H130" s="251">
        <v>34306</v>
      </c>
      <c r="I130" s="581"/>
      <c r="J130" s="1976">
        <v>133563</v>
      </c>
      <c r="K130" s="589">
        <f t="shared" si="1"/>
        <v>0.2568525714456848</v>
      </c>
      <c r="L130" s="584">
        <v>84.96</v>
      </c>
      <c r="M130" s="587">
        <v>2.343</v>
      </c>
    </row>
    <row r="131" spans="1:13">
      <c r="A131" s="63">
        <v>2004.02</v>
      </c>
      <c r="B131" s="250">
        <v>201470</v>
      </c>
      <c r="C131" s="782"/>
      <c r="D131" s="1976">
        <v>1084766.75</v>
      </c>
      <c r="E131" s="657">
        <f t="shared" si="2"/>
        <v>0.18572656287630498</v>
      </c>
      <c r="F131" s="586">
        <v>210.533604029125</v>
      </c>
      <c r="G131" s="585">
        <v>1.7829999999999999</v>
      </c>
      <c r="H131" s="251">
        <v>33492</v>
      </c>
      <c r="I131" s="581"/>
      <c r="J131" s="1976">
        <v>133888</v>
      </c>
      <c r="K131" s="589">
        <f t="shared" si="1"/>
        <v>0.25014937858508607</v>
      </c>
      <c r="L131" s="584">
        <v>85.95</v>
      </c>
      <c r="M131" s="587">
        <v>2.302</v>
      </c>
    </row>
    <row r="132" spans="1:13">
      <c r="A132" s="63">
        <v>2004.03</v>
      </c>
      <c r="B132" s="250">
        <v>231241</v>
      </c>
      <c r="C132" s="782"/>
      <c r="D132" s="1976">
        <v>1239671</v>
      </c>
      <c r="E132" s="657">
        <f t="shared" si="2"/>
        <v>0.18653416914649129</v>
      </c>
      <c r="F132" s="586">
        <v>209.79761165681228</v>
      </c>
      <c r="G132" s="585">
        <v>1.7250000000000001</v>
      </c>
      <c r="H132" s="251">
        <v>42682</v>
      </c>
      <c r="I132" s="581"/>
      <c r="J132" s="1976">
        <v>166769</v>
      </c>
      <c r="K132" s="589">
        <f t="shared" si="1"/>
        <v>0.25593485599841698</v>
      </c>
      <c r="L132" s="584">
        <v>87.26</v>
      </c>
      <c r="M132" s="587">
        <v>2.2549999999999999</v>
      </c>
    </row>
    <row r="133" spans="1:13">
      <c r="A133" s="63">
        <v>2004.04</v>
      </c>
      <c r="B133" s="250">
        <v>200462</v>
      </c>
      <c r="C133" s="782"/>
      <c r="D133" s="1976">
        <v>1110502</v>
      </c>
      <c r="E133" s="657">
        <f t="shared" si="2"/>
        <v>0.18051475819043999</v>
      </c>
      <c r="F133" s="586">
        <v>205.38439823259918</v>
      </c>
      <c r="G133" s="585">
        <v>1.734</v>
      </c>
      <c r="H133" s="251">
        <v>34673</v>
      </c>
      <c r="I133" s="581"/>
      <c r="J133" s="1976">
        <v>147170</v>
      </c>
      <c r="K133" s="589">
        <f t="shared" si="1"/>
        <v>0.23559828769450294</v>
      </c>
      <c r="L133" s="584">
        <v>88.49</v>
      </c>
      <c r="M133" s="587">
        <v>2.2080000000000002</v>
      </c>
    </row>
    <row r="134" spans="1:13">
      <c r="A134" s="63">
        <v>2004.05</v>
      </c>
      <c r="B134" s="250">
        <v>215004</v>
      </c>
      <c r="C134" s="782"/>
      <c r="D134" s="1976">
        <v>1192916</v>
      </c>
      <c r="E134" s="657">
        <f t="shared" si="2"/>
        <v>0.18023398126942719</v>
      </c>
      <c r="F134" s="586">
        <v>206.02837714316476</v>
      </c>
      <c r="G134" s="585">
        <v>1.6439999999999999</v>
      </c>
      <c r="H134" s="251">
        <v>39473</v>
      </c>
      <c r="I134" s="581"/>
      <c r="J134" s="1976">
        <v>166020</v>
      </c>
      <c r="K134" s="589">
        <f t="shared" si="1"/>
        <v>0.23776051078183352</v>
      </c>
      <c r="L134" s="584">
        <v>88.7</v>
      </c>
      <c r="M134" s="587">
        <v>2.2080000000000002</v>
      </c>
    </row>
    <row r="135" spans="1:13">
      <c r="A135" s="63">
        <v>2004.06</v>
      </c>
      <c r="B135" s="250">
        <v>233151</v>
      </c>
      <c r="C135" s="782"/>
      <c r="D135" s="1976">
        <v>1256293</v>
      </c>
      <c r="E135" s="657">
        <f t="shared" si="2"/>
        <v>0.1855864834079311</v>
      </c>
      <c r="F135" s="586">
        <v>208.5121871361803</v>
      </c>
      <c r="G135" s="585">
        <v>1.6040000000000001</v>
      </c>
      <c r="H135" s="251">
        <v>40932</v>
      </c>
      <c r="I135" s="581"/>
      <c r="J135" s="1976">
        <v>173274</v>
      </c>
      <c r="K135" s="589">
        <f t="shared" si="1"/>
        <v>0.23622701617092004</v>
      </c>
      <c r="L135" s="584">
        <v>88.85</v>
      </c>
      <c r="M135" s="587">
        <v>2.1930000000000001</v>
      </c>
    </row>
    <row r="136" spans="1:13">
      <c r="A136" s="63">
        <v>2004.07</v>
      </c>
      <c r="B136" s="250">
        <v>231741</v>
      </c>
      <c r="C136" s="782"/>
      <c r="D136" s="1976">
        <v>1230684</v>
      </c>
      <c r="E136" s="657">
        <f t="shared" si="2"/>
        <v>0.18830260245522001</v>
      </c>
      <c r="F136" s="586">
        <v>211.50079332129789</v>
      </c>
      <c r="G136" s="585">
        <v>1.7549999999999999</v>
      </c>
      <c r="H136" s="251">
        <v>39941</v>
      </c>
      <c r="I136" s="581"/>
      <c r="J136" s="1976">
        <v>168435</v>
      </c>
      <c r="K136" s="589">
        <f t="shared" ref="K136:K199" si="3">H136/J136</f>
        <v>0.23713005016772049</v>
      </c>
      <c r="L136" s="584">
        <v>86.74</v>
      </c>
      <c r="M136" s="587">
        <v>2.198</v>
      </c>
    </row>
    <row r="137" spans="1:13">
      <c r="A137" s="63">
        <v>2004.08</v>
      </c>
      <c r="B137" s="250">
        <v>226734</v>
      </c>
      <c r="C137" s="782"/>
      <c r="D137" s="1976">
        <v>1231635</v>
      </c>
      <c r="E137" s="657">
        <f t="shared" si="2"/>
        <v>0.18409187786966105</v>
      </c>
      <c r="F137" s="586">
        <v>210.7884019812914</v>
      </c>
      <c r="G137" s="585">
        <v>1.909</v>
      </c>
      <c r="H137" s="251">
        <v>42007</v>
      </c>
      <c r="I137" s="581"/>
      <c r="J137" s="1976">
        <v>177240</v>
      </c>
      <c r="K137" s="589">
        <f t="shared" si="3"/>
        <v>0.23700631911532385</v>
      </c>
      <c r="L137" s="584">
        <v>85.91</v>
      </c>
      <c r="M137" s="587">
        <v>2.2719999999999998</v>
      </c>
    </row>
    <row r="138" spans="1:13">
      <c r="A138" s="63">
        <v>2004.09</v>
      </c>
      <c r="B138" s="250">
        <v>232502</v>
      </c>
      <c r="C138" s="782"/>
      <c r="D138" s="1976">
        <v>1215847</v>
      </c>
      <c r="E138" s="657">
        <f t="shared" si="2"/>
        <v>0.19122636318549949</v>
      </c>
      <c r="F138" s="586">
        <v>215.26812586066617</v>
      </c>
      <c r="G138" s="585">
        <v>1.94</v>
      </c>
      <c r="H138" s="251">
        <v>54354</v>
      </c>
      <c r="I138" s="581"/>
      <c r="J138" s="1976">
        <v>191854</v>
      </c>
      <c r="K138" s="589">
        <f t="shared" si="3"/>
        <v>0.28330918302459163</v>
      </c>
      <c r="L138" s="584">
        <v>86.45</v>
      </c>
      <c r="M138" s="587">
        <v>2.48</v>
      </c>
    </row>
    <row r="139" spans="1:13">
      <c r="A139" s="63">
        <v>2004.1</v>
      </c>
      <c r="B139" s="250">
        <v>220260</v>
      </c>
      <c r="C139" s="782"/>
      <c r="D139" s="1976">
        <v>1181224</v>
      </c>
      <c r="E139" s="657">
        <f t="shared" ref="E139:E202" si="4">B139/D139</f>
        <v>0.18646759632381327</v>
      </c>
      <c r="F139" s="586">
        <v>217.85561043485546</v>
      </c>
      <c r="G139" s="585">
        <v>1.921</v>
      </c>
      <c r="H139" s="251">
        <v>58858</v>
      </c>
      <c r="I139" s="581"/>
      <c r="J139" s="1976">
        <v>200458</v>
      </c>
      <c r="K139" s="589">
        <f t="shared" si="3"/>
        <v>0.29361761566013828</v>
      </c>
      <c r="L139" s="584">
        <v>87.41</v>
      </c>
      <c r="M139" s="587">
        <v>2.548</v>
      </c>
    </row>
    <row r="140" spans="1:13">
      <c r="A140" s="63">
        <v>2004.11</v>
      </c>
      <c r="B140" s="250">
        <v>227234</v>
      </c>
      <c r="C140" s="782"/>
      <c r="D140" s="1976">
        <v>1226590</v>
      </c>
      <c r="E140" s="657">
        <f t="shared" si="4"/>
        <v>0.18525668723860458</v>
      </c>
      <c r="F140" s="586">
        <v>218.4896647976486</v>
      </c>
      <c r="G140" s="585">
        <v>1.8879999999999999</v>
      </c>
      <c r="H140" s="251">
        <v>63198</v>
      </c>
      <c r="I140" s="581"/>
      <c r="J140" s="1976">
        <v>230684</v>
      </c>
      <c r="K140" s="589">
        <f t="shared" si="3"/>
        <v>0.2739591822579806</v>
      </c>
      <c r="L140" s="584">
        <v>87.95</v>
      </c>
      <c r="M140" s="587">
        <v>2.4750000000000001</v>
      </c>
    </row>
    <row r="141" spans="1:13">
      <c r="A141" s="63">
        <v>2004.12</v>
      </c>
      <c r="B141" s="250">
        <v>219560</v>
      </c>
      <c r="C141" s="782"/>
      <c r="D141" s="1976">
        <v>1248437</v>
      </c>
      <c r="E141" s="657">
        <f t="shared" si="4"/>
        <v>0.17586790522869797</v>
      </c>
      <c r="F141" s="586">
        <v>213.0747164558978</v>
      </c>
      <c r="G141" s="585">
        <v>1.9</v>
      </c>
      <c r="H141" s="251">
        <v>66782</v>
      </c>
      <c r="I141" s="581"/>
      <c r="J141" s="1976">
        <v>259154</v>
      </c>
      <c r="K141" s="589">
        <f t="shared" si="3"/>
        <v>0.25769233737468838</v>
      </c>
      <c r="L141" s="584">
        <v>86.4</v>
      </c>
      <c r="M141" s="587">
        <v>2.4430000000000001</v>
      </c>
    </row>
    <row r="142" spans="1:13">
      <c r="A142" s="63">
        <v>2005.01</v>
      </c>
      <c r="B142" s="250">
        <v>218661</v>
      </c>
      <c r="C142" s="782"/>
      <c r="D142" s="1976">
        <v>1128533</v>
      </c>
      <c r="E142" s="657">
        <f t="shared" si="4"/>
        <v>0.19375685070795448</v>
      </c>
      <c r="F142" s="586">
        <v>218.27140030271053</v>
      </c>
      <c r="G142" s="585">
        <v>1.8720000000000001</v>
      </c>
      <c r="H142" s="251">
        <v>43463</v>
      </c>
      <c r="I142" s="581"/>
      <c r="J142" s="1976">
        <v>164643</v>
      </c>
      <c r="K142" s="589">
        <f t="shared" si="3"/>
        <v>0.26398328504704116</v>
      </c>
      <c r="L142" s="584">
        <v>85.32</v>
      </c>
      <c r="M142" s="587">
        <v>2.4620000000000002</v>
      </c>
    </row>
    <row r="143" spans="1:13">
      <c r="A143" s="63">
        <v>2005.02</v>
      </c>
      <c r="B143" s="250">
        <v>207493</v>
      </c>
      <c r="C143" s="782"/>
      <c r="D143" s="1976">
        <v>1092710</v>
      </c>
      <c r="E143" s="657">
        <f t="shared" si="4"/>
        <v>0.18988844249617923</v>
      </c>
      <c r="F143" s="586">
        <v>217.65972391866015</v>
      </c>
      <c r="G143" s="585">
        <v>1.99</v>
      </c>
      <c r="H143" s="251">
        <v>44527</v>
      </c>
      <c r="I143" s="581"/>
      <c r="J143" s="1976">
        <v>185297</v>
      </c>
      <c r="K143" s="589">
        <f t="shared" si="3"/>
        <v>0.24030070643345547</v>
      </c>
      <c r="L143" s="584">
        <v>85.35</v>
      </c>
      <c r="M143" s="587">
        <v>2.5179999999999998</v>
      </c>
    </row>
    <row r="144" spans="1:13">
      <c r="A144" s="63">
        <v>2005.03</v>
      </c>
      <c r="B144" s="250">
        <v>200404</v>
      </c>
      <c r="C144" s="782"/>
      <c r="D144" s="1976">
        <v>1136206</v>
      </c>
      <c r="E144" s="657">
        <f t="shared" si="4"/>
        <v>0.17637998743185654</v>
      </c>
      <c r="F144" s="586">
        <v>216.26337535765444</v>
      </c>
      <c r="G144" s="585">
        <v>2.085</v>
      </c>
      <c r="H144" s="251">
        <v>49647</v>
      </c>
      <c r="I144" s="581"/>
      <c r="J144" s="1976">
        <v>182334</v>
      </c>
      <c r="K144" s="589">
        <f t="shared" si="3"/>
        <v>0.27228602454835632</v>
      </c>
      <c r="L144" s="584">
        <v>86.76</v>
      </c>
      <c r="M144" s="587">
        <v>2.52</v>
      </c>
    </row>
    <row r="145" spans="1:13">
      <c r="A145" s="63">
        <v>2005.04</v>
      </c>
      <c r="B145" s="250">
        <v>216518</v>
      </c>
      <c r="C145" s="782"/>
      <c r="D145" s="1976">
        <v>1211311</v>
      </c>
      <c r="E145" s="657">
        <f t="shared" si="4"/>
        <v>0.17874682884907345</v>
      </c>
      <c r="F145" s="586">
        <v>217.01180139189444</v>
      </c>
      <c r="G145" s="585">
        <v>1.9730000000000001</v>
      </c>
      <c r="H145" s="251">
        <v>48060</v>
      </c>
      <c r="I145" s="581"/>
      <c r="J145" s="1976">
        <v>194399</v>
      </c>
      <c r="K145" s="589">
        <f t="shared" si="3"/>
        <v>0.24722349394801413</v>
      </c>
      <c r="L145" s="584">
        <v>88.82</v>
      </c>
      <c r="M145" s="587">
        <v>2.5329999999999999</v>
      </c>
    </row>
    <row r="146" spans="1:13">
      <c r="A146" s="63">
        <v>2005.05</v>
      </c>
      <c r="B146" s="250">
        <v>210402</v>
      </c>
      <c r="C146" s="782"/>
      <c r="D146" s="1976">
        <v>1270277</v>
      </c>
      <c r="E146" s="657">
        <f t="shared" si="4"/>
        <v>0.16563473950957153</v>
      </c>
      <c r="F146" s="586">
        <v>216.87928601557624</v>
      </c>
      <c r="G146" s="585">
        <v>1.9019999999999999</v>
      </c>
      <c r="H146" s="251">
        <v>49230</v>
      </c>
      <c r="I146" s="581"/>
      <c r="J146" s="1976">
        <v>190762</v>
      </c>
      <c r="K146" s="589">
        <f t="shared" si="3"/>
        <v>0.25807026556651746</v>
      </c>
      <c r="L146" s="584">
        <v>90.32</v>
      </c>
      <c r="M146" s="587">
        <v>2.5139999999999998</v>
      </c>
    </row>
    <row r="147" spans="1:13">
      <c r="A147" s="63">
        <v>2005.06</v>
      </c>
      <c r="B147" s="250">
        <v>215841</v>
      </c>
      <c r="C147" s="782"/>
      <c r="D147" s="1976">
        <v>1218348</v>
      </c>
      <c r="E147" s="657">
        <f t="shared" si="4"/>
        <v>0.17715874282224783</v>
      </c>
      <c r="F147" s="586">
        <v>217.17447023461068</v>
      </c>
      <c r="G147" s="585">
        <v>1.994</v>
      </c>
      <c r="H147" s="251">
        <v>47223</v>
      </c>
      <c r="I147" s="581"/>
      <c r="J147" s="1976">
        <v>190325</v>
      </c>
      <c r="K147" s="589">
        <f t="shared" si="3"/>
        <v>0.24811769341915146</v>
      </c>
      <c r="L147" s="584">
        <v>92.35</v>
      </c>
      <c r="M147" s="587">
        <v>2.508</v>
      </c>
    </row>
    <row r="148" spans="1:13">
      <c r="A148" s="63">
        <v>2005.07</v>
      </c>
      <c r="B148" s="250">
        <v>215377</v>
      </c>
      <c r="C148" s="782"/>
      <c r="D148" s="1976">
        <v>1201097</v>
      </c>
      <c r="E148" s="657">
        <f t="shared" si="4"/>
        <v>0.17931690779345882</v>
      </c>
      <c r="F148" s="586">
        <v>217.09785121394302</v>
      </c>
      <c r="G148" s="585">
        <v>2.1059999999999999</v>
      </c>
      <c r="H148" s="251">
        <v>46911</v>
      </c>
      <c r="I148" s="581"/>
      <c r="J148" s="1976">
        <v>215420</v>
      </c>
      <c r="K148" s="589">
        <f t="shared" si="3"/>
        <v>0.21776529570142047</v>
      </c>
      <c r="L148" s="584">
        <v>89</v>
      </c>
      <c r="M148" s="587">
        <v>2.4300000000000002</v>
      </c>
    </row>
    <row r="149" spans="1:13">
      <c r="A149" s="63">
        <v>2005.08</v>
      </c>
      <c r="B149" s="250">
        <v>227619</v>
      </c>
      <c r="C149" s="782"/>
      <c r="D149" s="1976">
        <v>1279725</v>
      </c>
      <c r="E149" s="657">
        <f t="shared" si="4"/>
        <v>0.17786555705327317</v>
      </c>
      <c r="F149" s="586">
        <v>223.23835516037016</v>
      </c>
      <c r="G149" s="585">
        <v>2.1890000000000001</v>
      </c>
      <c r="H149" s="251">
        <v>56146</v>
      </c>
      <c r="I149" s="581"/>
      <c r="J149" s="1976">
        <v>209832</v>
      </c>
      <c r="K149" s="589">
        <f t="shared" si="3"/>
        <v>0.26757596553433222</v>
      </c>
      <c r="L149" s="584">
        <v>88</v>
      </c>
      <c r="M149" s="587">
        <v>2.38</v>
      </c>
    </row>
    <row r="150" spans="1:13">
      <c r="A150" s="63">
        <v>2005.09</v>
      </c>
      <c r="B150" s="250">
        <v>221884</v>
      </c>
      <c r="C150" s="782"/>
      <c r="D150" s="1976">
        <v>1246835</v>
      </c>
      <c r="E150" s="657">
        <f t="shared" si="4"/>
        <v>0.17795778912205704</v>
      </c>
      <c r="F150" s="586">
        <v>220.68362328239868</v>
      </c>
      <c r="G150" s="585">
        <v>2.1240000000000001</v>
      </c>
      <c r="H150" s="251">
        <v>52568</v>
      </c>
      <c r="I150" s="581"/>
      <c r="J150" s="1976">
        <v>233719</v>
      </c>
      <c r="K150" s="589">
        <f t="shared" si="3"/>
        <v>0.22491966849079451</v>
      </c>
      <c r="L150" s="584">
        <v>87</v>
      </c>
      <c r="M150" s="587">
        <v>2.34</v>
      </c>
    </row>
    <row r="151" spans="1:13">
      <c r="A151" s="63">
        <v>2005.1</v>
      </c>
      <c r="B151" s="250">
        <v>217962</v>
      </c>
      <c r="C151" s="782"/>
      <c r="D151" s="1976">
        <v>1234561</v>
      </c>
      <c r="E151" s="657">
        <f t="shared" si="4"/>
        <v>0.17655020691565665</v>
      </c>
      <c r="F151" s="586">
        <v>217.82809540753993</v>
      </c>
      <c r="G151" s="585">
        <v>2.2210000000000001</v>
      </c>
      <c r="H151" s="251">
        <v>59839</v>
      </c>
      <c r="I151" s="581"/>
      <c r="J151" s="1976">
        <v>260714</v>
      </c>
      <c r="K151" s="589">
        <f t="shared" si="3"/>
        <v>0.22951970358323681</v>
      </c>
      <c r="L151" s="584">
        <v>87</v>
      </c>
      <c r="M151" s="587">
        <v>2.36</v>
      </c>
    </row>
    <row r="152" spans="1:13">
      <c r="A152" s="63">
        <v>2005.11</v>
      </c>
      <c r="B152" s="250">
        <v>210262</v>
      </c>
      <c r="C152" s="782"/>
      <c r="D152" s="1976">
        <v>1186146</v>
      </c>
      <c r="E152" s="657">
        <f t="shared" si="4"/>
        <v>0.17726485609697287</v>
      </c>
      <c r="F152" s="586">
        <v>230.3610116549286</v>
      </c>
      <c r="G152" s="585">
        <v>2.3380000000000001</v>
      </c>
      <c r="H152" s="251">
        <v>65799</v>
      </c>
      <c r="I152" s="581"/>
      <c r="J152" s="1976">
        <v>277129</v>
      </c>
      <c r="K152" s="589">
        <f t="shared" si="3"/>
        <v>0.23743094371213405</v>
      </c>
      <c r="L152" s="584">
        <v>87</v>
      </c>
      <c r="M152" s="587">
        <v>2.5099999999999998</v>
      </c>
    </row>
    <row r="153" spans="1:13">
      <c r="A153" s="63">
        <v>2005.12</v>
      </c>
      <c r="B153" s="250">
        <v>205231</v>
      </c>
      <c r="C153" s="782"/>
      <c r="D153" s="1976">
        <v>1144571</v>
      </c>
      <c r="E153" s="657">
        <f t="shared" si="4"/>
        <v>0.1793082298957426</v>
      </c>
      <c r="F153" s="586">
        <v>222.44846225928273</v>
      </c>
      <c r="G153" s="585">
        <v>2.2909999999999999</v>
      </c>
      <c r="H153" s="251">
        <v>66351</v>
      </c>
      <c r="I153" s="581"/>
      <c r="J153" s="1976">
        <v>206951</v>
      </c>
      <c r="K153" s="589">
        <f t="shared" si="3"/>
        <v>0.32061212557561936</v>
      </c>
      <c r="L153" s="584">
        <v>87</v>
      </c>
      <c r="M153" s="587">
        <v>2.71</v>
      </c>
    </row>
    <row r="154" spans="1:13">
      <c r="A154" s="63">
        <v>2006.01</v>
      </c>
      <c r="B154" s="250">
        <v>201639</v>
      </c>
      <c r="C154" s="782"/>
      <c r="D154" s="1976">
        <v>1138254</v>
      </c>
      <c r="E154" s="657">
        <f t="shared" si="4"/>
        <v>0.17714763137225961</v>
      </c>
      <c r="F154" s="586">
        <v>226.56414883275363</v>
      </c>
      <c r="G154" s="585">
        <v>2.2629999999999999</v>
      </c>
      <c r="H154" s="251">
        <v>61061</v>
      </c>
      <c r="I154" s="581"/>
      <c r="J154" s="1976">
        <v>206951</v>
      </c>
      <c r="K154" s="589">
        <f t="shared" si="3"/>
        <v>0.29505051920502923</v>
      </c>
      <c r="L154" s="584">
        <v>86.867476975227049</v>
      </c>
      <c r="M154" s="587">
        <v>2.64</v>
      </c>
    </row>
    <row r="155" spans="1:13">
      <c r="A155" s="63">
        <v>2006.02</v>
      </c>
      <c r="B155" s="250">
        <v>176567</v>
      </c>
      <c r="C155" s="782"/>
      <c r="D155" s="1976">
        <v>1007948</v>
      </c>
      <c r="E155" s="657">
        <f t="shared" si="4"/>
        <v>0.17517471139384175</v>
      </c>
      <c r="F155" s="586">
        <v>224.72290961794832</v>
      </c>
      <c r="G155" s="585">
        <v>2.391</v>
      </c>
      <c r="H155" s="251">
        <v>56670</v>
      </c>
      <c r="I155" s="581"/>
      <c r="J155" s="1976">
        <v>200540</v>
      </c>
      <c r="K155" s="589">
        <f t="shared" si="3"/>
        <v>0.28258701505933981</v>
      </c>
      <c r="L155" s="584">
        <v>87.657140078793958</v>
      </c>
      <c r="M155" s="587">
        <v>2.56</v>
      </c>
    </row>
    <row r="156" spans="1:13">
      <c r="A156" s="63">
        <v>2006.03</v>
      </c>
      <c r="B156" s="250">
        <v>190178</v>
      </c>
      <c r="C156" s="782"/>
      <c r="D156" s="1976">
        <v>1114299</v>
      </c>
      <c r="E156" s="657">
        <f t="shared" si="4"/>
        <v>0.17067052918471612</v>
      </c>
      <c r="F156" s="586">
        <v>231.35683076845356</v>
      </c>
      <c r="G156" s="585">
        <v>2.3980000000000001</v>
      </c>
      <c r="H156" s="251">
        <v>59969</v>
      </c>
      <c r="I156" s="581"/>
      <c r="J156" s="1976">
        <v>225934</v>
      </c>
      <c r="K156" s="589">
        <f t="shared" si="3"/>
        <v>0.26542707162268625</v>
      </c>
      <c r="L156" s="584">
        <v>88.160595977594241</v>
      </c>
      <c r="M156" s="587">
        <v>2.5099999999999998</v>
      </c>
    </row>
    <row r="157" spans="1:13">
      <c r="A157" s="63">
        <v>2006.04</v>
      </c>
      <c r="B157" s="250">
        <v>139522</v>
      </c>
      <c r="C157" s="782"/>
      <c r="D157" s="1976">
        <v>878694</v>
      </c>
      <c r="E157" s="657">
        <f t="shared" si="4"/>
        <v>0.15878337623791672</v>
      </c>
      <c r="F157" s="586">
        <v>226.58635613423803</v>
      </c>
      <c r="G157" s="585">
        <v>2.1720000000000002</v>
      </c>
      <c r="H157" s="251">
        <v>53934</v>
      </c>
      <c r="I157" s="581"/>
      <c r="J157" s="1976">
        <v>216154</v>
      </c>
      <c r="K157" s="589">
        <f t="shared" si="3"/>
        <v>0.24951654838679829</v>
      </c>
      <c r="L157" s="584">
        <v>90.187068857850605</v>
      </c>
      <c r="M157" s="587">
        <v>2.4300000000000002</v>
      </c>
    </row>
    <row r="158" spans="1:13">
      <c r="A158" s="63">
        <v>2006.05</v>
      </c>
      <c r="B158" s="250">
        <v>156168</v>
      </c>
      <c r="C158" s="782"/>
      <c r="D158" s="1976">
        <v>1009348</v>
      </c>
      <c r="E158" s="657">
        <f t="shared" si="4"/>
        <v>0.15472166190451658</v>
      </c>
      <c r="F158" s="586">
        <v>226.29668090388571</v>
      </c>
      <c r="G158" s="585">
        <v>2.024</v>
      </c>
      <c r="H158" s="251">
        <v>60878</v>
      </c>
      <c r="I158" s="581"/>
      <c r="J158" s="1976">
        <v>258524</v>
      </c>
      <c r="K158" s="589">
        <f t="shared" si="3"/>
        <v>0.23548297256734385</v>
      </c>
      <c r="L158" s="584">
        <v>89.962233501196181</v>
      </c>
      <c r="M158" s="587">
        <v>2.3199999999999998</v>
      </c>
    </row>
    <row r="159" spans="1:13">
      <c r="A159" s="63">
        <v>2006.06</v>
      </c>
      <c r="B159" s="250">
        <v>183791</v>
      </c>
      <c r="C159" s="782"/>
      <c r="D159" s="1976">
        <v>1041743</v>
      </c>
      <c r="E159" s="657">
        <f t="shared" si="4"/>
        <v>0.17642643147110179</v>
      </c>
      <c r="F159" s="586">
        <v>229.79772811960243</v>
      </c>
      <c r="G159" s="585">
        <v>1.91</v>
      </c>
      <c r="H159" s="251">
        <v>57880</v>
      </c>
      <c r="I159" s="581"/>
      <c r="J159" s="1976">
        <v>240424</v>
      </c>
      <c r="K159" s="589">
        <f t="shared" si="3"/>
        <v>0.24074135693607959</v>
      </c>
      <c r="L159" s="584">
        <v>88.885753617772139</v>
      </c>
      <c r="M159" s="587">
        <v>2.2200000000000002</v>
      </c>
    </row>
    <row r="160" spans="1:13">
      <c r="A160" s="63">
        <v>2006.07</v>
      </c>
      <c r="B160" s="250">
        <v>191489</v>
      </c>
      <c r="C160" s="782"/>
      <c r="D160" s="1976">
        <v>1081878</v>
      </c>
      <c r="E160" s="657">
        <f t="shared" si="4"/>
        <v>0.17699685177071722</v>
      </c>
      <c r="F160" s="586">
        <v>231.29963296428272</v>
      </c>
      <c r="G160" s="585">
        <v>2.052</v>
      </c>
      <c r="H160" s="251">
        <v>60394</v>
      </c>
      <c r="I160" s="581"/>
      <c r="J160" s="1976">
        <v>256085</v>
      </c>
      <c r="K160" s="589">
        <f t="shared" si="3"/>
        <v>0.23583575765858991</v>
      </c>
      <c r="L160" s="584">
        <v>87.482061608366195</v>
      </c>
      <c r="M160" s="587">
        <v>2.16</v>
      </c>
    </row>
    <row r="161" spans="1:13">
      <c r="A161" s="63">
        <v>2006.08</v>
      </c>
      <c r="B161" s="250">
        <v>213417</v>
      </c>
      <c r="C161" s="782"/>
      <c r="D161" s="1976">
        <v>1277126</v>
      </c>
      <c r="E161" s="657">
        <f t="shared" si="4"/>
        <v>0.16710723922306805</v>
      </c>
      <c r="F161" s="586">
        <v>232.00532327789693</v>
      </c>
      <c r="G161" s="585">
        <v>2.0609999999999999</v>
      </c>
      <c r="H161" s="251">
        <v>63732</v>
      </c>
      <c r="I161" s="581"/>
      <c r="J161" s="1976">
        <v>273595</v>
      </c>
      <c r="K161" s="589">
        <f t="shared" si="3"/>
        <v>0.2329428534878196</v>
      </c>
      <c r="L161" s="584">
        <v>86.759798963678918</v>
      </c>
      <c r="M161" s="587">
        <v>2.15</v>
      </c>
    </row>
    <row r="162" spans="1:13">
      <c r="A162" s="63">
        <v>2006.09</v>
      </c>
      <c r="B162" s="250">
        <v>214946</v>
      </c>
      <c r="C162" s="782"/>
      <c r="D162" s="1976">
        <v>1217509</v>
      </c>
      <c r="E162" s="657">
        <f t="shared" si="4"/>
        <v>0.17654571752652343</v>
      </c>
      <c r="F162" s="586">
        <v>230.10254774343849</v>
      </c>
      <c r="G162" s="585">
        <v>2.0659999999999998</v>
      </c>
      <c r="H162" s="251">
        <v>60128</v>
      </c>
      <c r="I162" s="581"/>
      <c r="J162" s="1976">
        <v>265597</v>
      </c>
      <c r="K162" s="589">
        <f t="shared" si="3"/>
        <v>0.22638809926316938</v>
      </c>
      <c r="L162" s="584">
        <v>86.451515202688412</v>
      </c>
      <c r="M162" s="587">
        <v>2.11</v>
      </c>
    </row>
    <row r="163" spans="1:13">
      <c r="A163" s="63">
        <v>2006.1</v>
      </c>
      <c r="B163" s="250">
        <v>213067</v>
      </c>
      <c r="C163" s="782"/>
      <c r="D163" s="1976">
        <v>1253146</v>
      </c>
      <c r="E163" s="657">
        <f t="shared" si="4"/>
        <v>0.17002567937016116</v>
      </c>
      <c r="F163" s="586">
        <v>224.17792111113803</v>
      </c>
      <c r="G163" s="585">
        <v>2.15</v>
      </c>
      <c r="H163" s="251">
        <v>65408</v>
      </c>
      <c r="I163" s="581"/>
      <c r="J163" s="1976">
        <v>297133</v>
      </c>
      <c r="K163" s="589">
        <f t="shared" si="3"/>
        <v>0.22013037932508339</v>
      </c>
      <c r="L163" s="584">
        <v>84.824640129259691</v>
      </c>
      <c r="M163" s="587">
        <v>2.13</v>
      </c>
    </row>
    <row r="164" spans="1:13">
      <c r="A164" s="63">
        <v>2006.11</v>
      </c>
      <c r="B164" s="250">
        <v>220481</v>
      </c>
      <c r="C164" s="782"/>
      <c r="D164" s="1976">
        <v>1270595</v>
      </c>
      <c r="E164" s="657">
        <f t="shared" si="4"/>
        <v>0.17352578909880803</v>
      </c>
      <c r="F164" s="586">
        <v>221.79238286761756</v>
      </c>
      <c r="G164" s="585">
        <v>2.238</v>
      </c>
      <c r="H164" s="251">
        <v>63357</v>
      </c>
      <c r="I164" s="581"/>
      <c r="J164" s="1976">
        <v>292004</v>
      </c>
      <c r="K164" s="589">
        <f t="shared" si="3"/>
        <v>0.21697305516362789</v>
      </c>
      <c r="L164" s="584">
        <v>83.425106790937178</v>
      </c>
      <c r="M164" s="587">
        <v>2.15</v>
      </c>
    </row>
    <row r="165" spans="1:13">
      <c r="A165" s="63">
        <v>2006.12</v>
      </c>
      <c r="B165" s="250">
        <v>174588</v>
      </c>
      <c r="C165" s="782"/>
      <c r="D165" s="1976">
        <v>1124620</v>
      </c>
      <c r="E165" s="657">
        <f t="shared" si="4"/>
        <v>0.15524177055360922</v>
      </c>
      <c r="F165" s="586">
        <v>213.09842136239277</v>
      </c>
      <c r="G165" s="585">
        <v>2.0819999999999999</v>
      </c>
      <c r="H165" s="251">
        <v>59109</v>
      </c>
      <c r="I165" s="581"/>
      <c r="J165" s="1976">
        <v>266028</v>
      </c>
      <c r="K165" s="589">
        <f t="shared" si="3"/>
        <v>0.22219089719879109</v>
      </c>
      <c r="L165" s="584">
        <v>82.29218538712334</v>
      </c>
      <c r="M165" s="587">
        <v>2.23</v>
      </c>
    </row>
    <row r="166" spans="1:13">
      <c r="A166" s="63">
        <v>2007.01</v>
      </c>
      <c r="B166" s="250">
        <v>216586</v>
      </c>
      <c r="C166" s="782"/>
      <c r="D166" s="1976">
        <v>1222573</v>
      </c>
      <c r="E166" s="657">
        <f t="shared" si="4"/>
        <v>0.17715588353415296</v>
      </c>
      <c r="F166" s="586">
        <v>219.7</v>
      </c>
      <c r="G166" s="585">
        <v>2.028</v>
      </c>
      <c r="H166" s="251">
        <v>64703</v>
      </c>
      <c r="I166" s="581"/>
      <c r="J166" s="1976">
        <v>261785</v>
      </c>
      <c r="K166" s="589">
        <f t="shared" si="3"/>
        <v>0.24716083809232767</v>
      </c>
      <c r="L166" s="584">
        <v>86.020383883612354</v>
      </c>
      <c r="M166" s="587">
        <v>2.3199999999999998</v>
      </c>
    </row>
    <row r="167" spans="1:13">
      <c r="A167" s="63">
        <v>2007.02</v>
      </c>
      <c r="B167" s="250">
        <v>186762</v>
      </c>
      <c r="C167" s="782"/>
      <c r="D167" s="1976">
        <v>1085812</v>
      </c>
      <c r="E167" s="657">
        <f t="shared" si="4"/>
        <v>0.17200215138532268</v>
      </c>
      <c r="F167" s="586">
        <v>218.7</v>
      </c>
      <c r="G167" s="585">
        <v>2.0259999999999998</v>
      </c>
      <c r="H167" s="251">
        <v>56649</v>
      </c>
      <c r="I167" s="581"/>
      <c r="J167" s="1976">
        <v>239293</v>
      </c>
      <c r="K167" s="589">
        <f t="shared" si="3"/>
        <v>0.23673488150510044</v>
      </c>
      <c r="L167" s="584">
        <v>85.561239312310391</v>
      </c>
      <c r="M167" s="587">
        <v>2.35</v>
      </c>
    </row>
    <row r="168" spans="1:13">
      <c r="A168" s="63">
        <v>2007.03</v>
      </c>
      <c r="B168" s="250">
        <v>197537</v>
      </c>
      <c r="C168" s="782"/>
      <c r="D168" s="1976">
        <v>1176370</v>
      </c>
      <c r="E168" s="657">
        <f t="shared" si="4"/>
        <v>0.16792080722901809</v>
      </c>
      <c r="F168" s="586">
        <v>218.2</v>
      </c>
      <c r="G168" s="585">
        <v>2.0470000000000002</v>
      </c>
      <c r="H168" s="251">
        <v>60251</v>
      </c>
      <c r="I168" s="581"/>
      <c r="J168" s="1976">
        <v>263932</v>
      </c>
      <c r="K168" s="589">
        <f t="shared" si="3"/>
        <v>0.22828228483094129</v>
      </c>
      <c r="L168" s="584">
        <v>86.617754194262147</v>
      </c>
      <c r="M168" s="587">
        <v>2.38</v>
      </c>
    </row>
    <row r="169" spans="1:13">
      <c r="A169" s="63">
        <v>2007.04</v>
      </c>
      <c r="B169" s="250">
        <v>188915</v>
      </c>
      <c r="C169" s="782"/>
      <c r="D169" s="1976">
        <v>1103249</v>
      </c>
      <c r="E169" s="657">
        <f t="shared" si="4"/>
        <v>0.17123514274656038</v>
      </c>
      <c r="F169" s="586">
        <v>214.9</v>
      </c>
      <c r="G169" s="585">
        <v>2.0880000000000001</v>
      </c>
      <c r="H169" s="251">
        <v>58077</v>
      </c>
      <c r="I169" s="581"/>
      <c r="J169" s="1976">
        <v>263342</v>
      </c>
      <c r="K169" s="589">
        <f t="shared" si="3"/>
        <v>0.22053831139734642</v>
      </c>
      <c r="L169" s="584">
        <v>87.641604675271424</v>
      </c>
      <c r="M169" s="587">
        <v>2.41</v>
      </c>
    </row>
    <row r="170" spans="1:13">
      <c r="A170" s="63">
        <v>2007.05</v>
      </c>
      <c r="B170" s="250">
        <v>218817</v>
      </c>
      <c r="C170" s="782"/>
      <c r="D170" s="1976">
        <v>1209901</v>
      </c>
      <c r="E170" s="657">
        <f t="shared" si="4"/>
        <v>0.18085529311902379</v>
      </c>
      <c r="F170" s="586">
        <v>216.1</v>
      </c>
      <c r="G170" s="585">
        <v>2.0760000000000001</v>
      </c>
      <c r="H170" s="251">
        <v>62687</v>
      </c>
      <c r="I170" s="581"/>
      <c r="J170" s="1976">
        <v>275680</v>
      </c>
      <c r="K170" s="589">
        <f t="shared" si="3"/>
        <v>0.22739045269878119</v>
      </c>
      <c r="L170" s="584">
        <v>87.457120781778798</v>
      </c>
      <c r="M170" s="587">
        <v>2.4</v>
      </c>
    </row>
    <row r="171" spans="1:13">
      <c r="A171" s="63">
        <v>2007.06</v>
      </c>
      <c r="B171" s="250">
        <v>212229</v>
      </c>
      <c r="C171" s="782"/>
      <c r="D171" s="1976">
        <v>1202138</v>
      </c>
      <c r="E171" s="657">
        <f t="shared" si="4"/>
        <v>0.17654295929419084</v>
      </c>
      <c r="F171" s="586">
        <v>218.9</v>
      </c>
      <c r="G171" s="585">
        <v>2.0339999999999998</v>
      </c>
      <c r="H171" s="251">
        <v>59161</v>
      </c>
      <c r="I171" s="581"/>
      <c r="J171" s="1976">
        <v>262640</v>
      </c>
      <c r="K171" s="589">
        <f t="shared" si="3"/>
        <v>0.22525510204081634</v>
      </c>
      <c r="L171" s="584">
        <v>87.6724013859275</v>
      </c>
      <c r="M171" s="587">
        <v>2.44</v>
      </c>
    </row>
    <row r="172" spans="1:13">
      <c r="A172" s="63">
        <v>2007.07</v>
      </c>
      <c r="B172" s="250">
        <v>232113</v>
      </c>
      <c r="C172" s="782"/>
      <c r="D172" s="1976">
        <v>1300901</v>
      </c>
      <c r="E172" s="657">
        <f t="shared" si="4"/>
        <v>0.17842479942747372</v>
      </c>
      <c r="F172" s="586">
        <v>218.5</v>
      </c>
      <c r="G172" s="585">
        <v>2.0830000000000002</v>
      </c>
      <c r="H172" s="251">
        <v>59462</v>
      </c>
      <c r="I172" s="581"/>
      <c r="J172" s="1976">
        <v>268199</v>
      </c>
      <c r="K172" s="589">
        <f t="shared" si="3"/>
        <v>0.22170850748884224</v>
      </c>
      <c r="L172" s="584">
        <v>86.899265473527208</v>
      </c>
      <c r="M172" s="587">
        <v>2.57</v>
      </c>
    </row>
    <row r="173" spans="1:13">
      <c r="A173" s="63">
        <v>2007.08</v>
      </c>
      <c r="B173" s="250">
        <v>245527</v>
      </c>
      <c r="C173" s="782"/>
      <c r="D173" s="1976">
        <v>1381501</v>
      </c>
      <c r="E173" s="657">
        <f t="shared" si="4"/>
        <v>0.17772480801678753</v>
      </c>
      <c r="F173" s="586">
        <v>217</v>
      </c>
      <c r="G173" s="585">
        <v>2.2170000000000001</v>
      </c>
      <c r="H173" s="251">
        <v>57867</v>
      </c>
      <c r="I173" s="581"/>
      <c r="J173" s="1976">
        <v>251921</v>
      </c>
      <c r="K173" s="589">
        <f t="shared" si="3"/>
        <v>0.22970296243663688</v>
      </c>
      <c r="L173" s="584">
        <v>87.210766824652069</v>
      </c>
      <c r="M173" s="587">
        <v>2.78</v>
      </c>
    </row>
    <row r="174" spans="1:13">
      <c r="A174" s="63">
        <v>2007.09</v>
      </c>
      <c r="B174" s="250">
        <v>194798</v>
      </c>
      <c r="C174" s="782"/>
      <c r="D174" s="1976">
        <v>1171053</v>
      </c>
      <c r="E174" s="657">
        <f t="shared" si="4"/>
        <v>0.16634430721752133</v>
      </c>
      <c r="F174" s="586">
        <v>212.7</v>
      </c>
      <c r="G174" s="585">
        <v>2.4900000000000002</v>
      </c>
      <c r="H174" s="251">
        <v>56577</v>
      </c>
      <c r="I174" s="581"/>
      <c r="J174" s="1976">
        <v>237926</v>
      </c>
      <c r="K174" s="589">
        <f t="shared" si="3"/>
        <v>0.23779242285416474</v>
      </c>
      <c r="L174" s="584">
        <v>86.862239678556861</v>
      </c>
      <c r="M174" s="587">
        <v>2.87</v>
      </c>
    </row>
    <row r="175" spans="1:13">
      <c r="A175" s="63">
        <v>2007.1</v>
      </c>
      <c r="B175" s="250">
        <v>236805</v>
      </c>
      <c r="C175" s="782"/>
      <c r="D175" s="1976">
        <v>1387410</v>
      </c>
      <c r="E175" s="657">
        <f t="shared" si="4"/>
        <v>0.17068134149242112</v>
      </c>
      <c r="F175" s="586">
        <v>209.7</v>
      </c>
      <c r="G175" s="585">
        <v>2.617</v>
      </c>
      <c r="H175" s="251">
        <v>68200</v>
      </c>
      <c r="I175" s="581"/>
      <c r="J175" s="1976">
        <v>295248</v>
      </c>
      <c r="K175" s="589">
        <f t="shared" si="3"/>
        <v>0.23099225058256109</v>
      </c>
      <c r="L175" s="584">
        <v>85.600627607977032</v>
      </c>
      <c r="M175" s="587">
        <v>2.94</v>
      </c>
    </row>
    <row r="176" spans="1:13">
      <c r="A176" s="63">
        <v>2007.11</v>
      </c>
      <c r="B176" s="250">
        <v>258749</v>
      </c>
      <c r="C176" s="782"/>
      <c r="D176" s="1976">
        <v>1423321</v>
      </c>
      <c r="E176" s="657">
        <f t="shared" si="4"/>
        <v>0.18179244176120496</v>
      </c>
      <c r="F176" s="586">
        <v>213.7</v>
      </c>
      <c r="G176" s="585">
        <v>2.6240000000000001</v>
      </c>
      <c r="H176" s="251">
        <v>67119</v>
      </c>
      <c r="I176" s="581"/>
      <c r="J176" s="1976">
        <v>287108</v>
      </c>
      <c r="K176" s="589">
        <f t="shared" si="3"/>
        <v>0.23377613998913302</v>
      </c>
      <c r="L176" s="584">
        <v>81.381657761356479</v>
      </c>
      <c r="M176" s="587">
        <v>2.95</v>
      </c>
    </row>
    <row r="177" spans="1:13">
      <c r="A177" s="63">
        <v>2007.12</v>
      </c>
      <c r="B177" s="250">
        <v>216285</v>
      </c>
      <c r="C177" s="782"/>
      <c r="D177" s="1976">
        <v>1291430</v>
      </c>
      <c r="E177" s="657">
        <f t="shared" si="4"/>
        <v>0.16747713774652903</v>
      </c>
      <c r="F177" s="586">
        <v>210.4</v>
      </c>
      <c r="G177" s="585">
        <v>2.589</v>
      </c>
      <c r="H177" s="251">
        <v>61635</v>
      </c>
      <c r="I177" s="581"/>
      <c r="J177" s="1976">
        <v>293081</v>
      </c>
      <c r="K177" s="589">
        <f t="shared" si="3"/>
        <v>0.21030022417010996</v>
      </c>
      <c r="L177" s="584">
        <v>81.553382884544462</v>
      </c>
      <c r="M177" s="587">
        <v>3.06</v>
      </c>
    </row>
    <row r="178" spans="1:13">
      <c r="A178" s="63">
        <v>2008.01</v>
      </c>
      <c r="B178" s="250">
        <v>234866</v>
      </c>
      <c r="C178" s="782"/>
      <c r="D178" s="1976">
        <v>1336470</v>
      </c>
      <c r="E178" s="657">
        <f t="shared" si="4"/>
        <v>0.1757360808697539</v>
      </c>
      <c r="F178" s="586">
        <v>213.91549389370368</v>
      </c>
      <c r="G178" s="585">
        <v>2.5350000000000001</v>
      </c>
      <c r="H178" s="251">
        <v>57926</v>
      </c>
      <c r="I178" s="581"/>
      <c r="J178" s="1976">
        <v>226644</v>
      </c>
      <c r="K178" s="589">
        <f t="shared" si="3"/>
        <v>0.25558144049699089</v>
      </c>
      <c r="L178" s="584">
        <v>85.210715483313038</v>
      </c>
      <c r="M178" s="587">
        <v>3.22</v>
      </c>
    </row>
    <row r="179" spans="1:13">
      <c r="A179" s="63">
        <v>2008.02</v>
      </c>
      <c r="B179" s="250">
        <v>219463</v>
      </c>
      <c r="C179" s="782"/>
      <c r="D179" s="1976">
        <v>1241836</v>
      </c>
      <c r="E179" s="657">
        <f t="shared" si="4"/>
        <v>0.17672462386337648</v>
      </c>
      <c r="F179" s="586">
        <v>211.03904186358017</v>
      </c>
      <c r="G179" s="585">
        <v>2.5859999999999999</v>
      </c>
      <c r="H179" s="251">
        <v>55560</v>
      </c>
      <c r="I179" s="581"/>
      <c r="J179" s="1976">
        <v>228125</v>
      </c>
      <c r="K179" s="589">
        <f t="shared" si="3"/>
        <v>0.24355068493150686</v>
      </c>
      <c r="L179" s="584">
        <v>84.581056876712339</v>
      </c>
      <c r="M179" s="587">
        <v>3.26</v>
      </c>
    </row>
    <row r="180" spans="1:13">
      <c r="A180" s="63">
        <v>2008.03</v>
      </c>
      <c r="B180" s="250">
        <v>125657</v>
      </c>
      <c r="C180" s="782"/>
      <c r="D180" s="1976">
        <v>722024</v>
      </c>
      <c r="E180" s="657">
        <f t="shared" si="4"/>
        <v>0.17403438112860514</v>
      </c>
      <c r="F180" s="586">
        <v>211.23325417611349</v>
      </c>
      <c r="G180" s="585">
        <v>2.7410000000000001</v>
      </c>
      <c r="H180" s="251">
        <v>41941</v>
      </c>
      <c r="I180" s="581"/>
      <c r="J180" s="1976">
        <v>166684</v>
      </c>
      <c r="K180" s="589">
        <f t="shared" si="3"/>
        <v>0.2516198315375201</v>
      </c>
      <c r="L180" s="584">
        <v>86.077071584555199</v>
      </c>
      <c r="M180" s="587">
        <v>3.29</v>
      </c>
    </row>
    <row r="181" spans="1:13">
      <c r="A181" s="63">
        <v>2008.04</v>
      </c>
      <c r="B181" s="250">
        <v>215012</v>
      </c>
      <c r="C181" s="782"/>
      <c r="D181" s="1976">
        <v>1379156</v>
      </c>
      <c r="E181" s="657">
        <f t="shared" si="4"/>
        <v>0.15590114533816335</v>
      </c>
      <c r="F181" s="586">
        <v>213.87965497039136</v>
      </c>
      <c r="G181" s="585">
        <v>2.5579999999999998</v>
      </c>
      <c r="H181" s="251">
        <v>70722</v>
      </c>
      <c r="I181" s="581"/>
      <c r="J181" s="1976">
        <v>304544</v>
      </c>
      <c r="K181" s="589">
        <f t="shared" si="3"/>
        <v>0.23222260166018704</v>
      </c>
      <c r="L181" s="584">
        <v>90.571657532762202</v>
      </c>
      <c r="M181" s="587">
        <v>3.21</v>
      </c>
    </row>
    <row r="182" spans="1:13">
      <c r="A182" s="63">
        <v>2008.05</v>
      </c>
      <c r="B182" s="573">
        <v>168264</v>
      </c>
      <c r="C182" s="782"/>
      <c r="D182" s="1976">
        <v>1103694</v>
      </c>
      <c r="E182" s="787">
        <f t="shared" si="4"/>
        <v>0.15245530011035668</v>
      </c>
      <c r="F182" s="586">
        <v>210.29667211503175</v>
      </c>
      <c r="G182" s="585">
        <v>2.4670000000000001</v>
      </c>
      <c r="H182" s="251">
        <v>66329</v>
      </c>
      <c r="I182" s="581"/>
      <c r="J182" s="1976">
        <v>254133</v>
      </c>
      <c r="K182" s="590">
        <f t="shared" si="3"/>
        <v>0.26100112932991781</v>
      </c>
      <c r="L182" s="584">
        <v>89.117199722978611</v>
      </c>
      <c r="M182" s="587">
        <v>3.19</v>
      </c>
    </row>
    <row r="183" spans="1:13">
      <c r="A183" s="63">
        <v>2008.06</v>
      </c>
      <c r="B183" s="573">
        <v>156945</v>
      </c>
      <c r="C183" s="782"/>
      <c r="D183" s="1976">
        <v>1023830</v>
      </c>
      <c r="E183" s="787">
        <f t="shared" si="4"/>
        <v>0.15329205043806102</v>
      </c>
      <c r="F183" s="586">
        <v>213.18115627481487</v>
      </c>
      <c r="G183" s="585">
        <v>2.5329999999999999</v>
      </c>
      <c r="H183" s="251">
        <v>48170</v>
      </c>
      <c r="I183" s="581"/>
      <c r="J183" s="1976">
        <v>201336</v>
      </c>
      <c r="K183" s="590">
        <f t="shared" si="3"/>
        <v>0.23925179798943061</v>
      </c>
      <c r="L183" s="584">
        <v>89.93704980405208</v>
      </c>
      <c r="M183" s="587">
        <v>3.19</v>
      </c>
    </row>
    <row r="184" spans="1:13">
      <c r="A184" s="63">
        <v>2008.07</v>
      </c>
      <c r="B184" s="573">
        <v>247820</v>
      </c>
      <c r="C184" s="782"/>
      <c r="D184" s="1976">
        <v>1370185</v>
      </c>
      <c r="E184" s="787">
        <f t="shared" si="4"/>
        <v>0.18086608742615048</v>
      </c>
      <c r="F184" s="586">
        <v>219.7193383763331</v>
      </c>
      <c r="G184" s="585">
        <v>2.4780000000000002</v>
      </c>
      <c r="H184" s="251">
        <v>72065</v>
      </c>
      <c r="I184" s="581"/>
      <c r="J184" s="1976">
        <v>301969</v>
      </c>
      <c r="K184" s="590">
        <f t="shared" si="3"/>
        <v>0.23865032503336436</v>
      </c>
      <c r="L184" s="584">
        <v>89.534242587815299</v>
      </c>
      <c r="M184" s="587">
        <v>3.17</v>
      </c>
    </row>
    <row r="185" spans="1:13">
      <c r="A185" s="63">
        <v>2008.08</v>
      </c>
      <c r="B185" s="573">
        <v>236450</v>
      </c>
      <c r="C185" s="782"/>
      <c r="D185" s="1976">
        <v>1300403</v>
      </c>
      <c r="E185" s="787">
        <f t="shared" si="4"/>
        <v>0.18182824862754085</v>
      </c>
      <c r="F185" s="586">
        <v>218.91733423305996</v>
      </c>
      <c r="G185" s="585">
        <v>2.6930000000000001</v>
      </c>
      <c r="H185" s="251">
        <v>61574</v>
      </c>
      <c r="I185" s="581"/>
      <c r="J185" s="1976">
        <v>272550</v>
      </c>
      <c r="K185" s="590">
        <f t="shared" si="3"/>
        <v>0.22591818015043111</v>
      </c>
      <c r="L185" s="584">
        <v>88.405872317006043</v>
      </c>
      <c r="M185" s="587">
        <v>3.14</v>
      </c>
    </row>
    <row r="186" spans="1:13">
      <c r="A186" s="63">
        <v>2008.09</v>
      </c>
      <c r="B186" s="573">
        <v>242093</v>
      </c>
      <c r="C186" s="782"/>
      <c r="D186" s="1976">
        <v>1364431</v>
      </c>
      <c r="E186" s="787">
        <f t="shared" si="4"/>
        <v>0.17743147143387977</v>
      </c>
      <c r="F186" s="586">
        <v>219.73047052708975</v>
      </c>
      <c r="G186" s="585">
        <v>2.746</v>
      </c>
      <c r="H186" s="251">
        <v>68660</v>
      </c>
      <c r="I186" s="581"/>
      <c r="J186" s="1976">
        <v>296734</v>
      </c>
      <c r="K186" s="590">
        <f t="shared" si="3"/>
        <v>0.23138568549610089</v>
      </c>
      <c r="L186" s="584">
        <v>87.729657875403561</v>
      </c>
      <c r="M186" s="587">
        <v>3.16</v>
      </c>
    </row>
    <row r="187" spans="1:13">
      <c r="A187" s="63">
        <v>2008.1</v>
      </c>
      <c r="B187" s="573">
        <v>219432</v>
      </c>
      <c r="C187" s="782"/>
      <c r="D187" s="1976">
        <v>1332022</v>
      </c>
      <c r="E187" s="787">
        <f t="shared" si="4"/>
        <v>0.16473601787357867</v>
      </c>
      <c r="F187" s="586">
        <v>211.91944754163899</v>
      </c>
      <c r="G187" s="585">
        <v>2.8090000000000002</v>
      </c>
      <c r="H187" s="251">
        <v>66705</v>
      </c>
      <c r="I187" s="581"/>
      <c r="J187" s="1976">
        <v>299071</v>
      </c>
      <c r="K187" s="590">
        <f t="shared" si="3"/>
        <v>0.22304068264726437</v>
      </c>
      <c r="L187" s="584">
        <v>84.589420693558452</v>
      </c>
      <c r="M187" s="587">
        <v>3.16</v>
      </c>
    </row>
    <row r="188" spans="1:13">
      <c r="A188" s="63">
        <v>2008.11</v>
      </c>
      <c r="B188" s="573">
        <v>202211</v>
      </c>
      <c r="C188" s="782"/>
      <c r="D188" s="1976">
        <v>1181323</v>
      </c>
      <c r="E188" s="787">
        <f t="shared" si="4"/>
        <v>0.17117333701282375</v>
      </c>
      <c r="F188" s="586">
        <v>213.41145801587797</v>
      </c>
      <c r="G188" s="585">
        <v>2.431</v>
      </c>
      <c r="H188" s="251">
        <v>61122</v>
      </c>
      <c r="I188" s="581"/>
      <c r="J188" s="1976">
        <v>279593</v>
      </c>
      <c r="K188" s="590">
        <f t="shared" si="3"/>
        <v>0.21861062329886657</v>
      </c>
      <c r="L188" s="584">
        <v>84.691205818638949</v>
      </c>
      <c r="M188" s="587">
        <v>3.13</v>
      </c>
    </row>
    <row r="189" spans="1:13">
      <c r="A189" s="63">
        <v>2008.12</v>
      </c>
      <c r="B189" s="573">
        <v>195542</v>
      </c>
      <c r="C189" s="782"/>
      <c r="D189" s="1976">
        <v>1304910</v>
      </c>
      <c r="E189" s="787">
        <f t="shared" si="4"/>
        <v>0.14985094757492853</v>
      </c>
      <c r="F189" s="586">
        <v>215.27850000000001</v>
      </c>
      <c r="G189" s="585">
        <v>2.3769999999999998</v>
      </c>
      <c r="H189" s="251">
        <v>65951</v>
      </c>
      <c r="I189" s="581"/>
      <c r="J189" s="1976">
        <v>325458</v>
      </c>
      <c r="K189" s="590">
        <f t="shared" si="3"/>
        <v>0.20264058649656791</v>
      </c>
      <c r="L189" s="584">
        <v>83.242202537263736</v>
      </c>
      <c r="M189" s="587">
        <v>3.13</v>
      </c>
    </row>
    <row r="190" spans="1:13">
      <c r="A190" s="63">
        <f t="shared" ref="A190:A253" si="5">A178+1</f>
        <v>2009.01</v>
      </c>
      <c r="B190" s="573">
        <v>217644</v>
      </c>
      <c r="C190" s="782"/>
      <c r="D190" s="1976">
        <v>1311459</v>
      </c>
      <c r="E190" s="787">
        <f t="shared" si="4"/>
        <v>0.16595562651977683</v>
      </c>
      <c r="F190" s="586">
        <v>215.075151207646</v>
      </c>
      <c r="G190" s="585">
        <v>2.25</v>
      </c>
      <c r="H190" s="251">
        <v>60147</v>
      </c>
      <c r="I190" s="581"/>
      <c r="J190" s="1976">
        <v>252621</v>
      </c>
      <c r="K190" s="590">
        <f t="shared" si="3"/>
        <v>0.23809184509601339</v>
      </c>
      <c r="L190" s="584">
        <v>86.159075057101347</v>
      </c>
      <c r="M190" s="587">
        <v>3.122985047997842</v>
      </c>
    </row>
    <row r="191" spans="1:13">
      <c r="A191" s="63">
        <f t="shared" si="5"/>
        <v>2009.02</v>
      </c>
      <c r="B191" s="573">
        <v>205418</v>
      </c>
      <c r="C191" s="782"/>
      <c r="D191" s="1976">
        <v>1213668</v>
      </c>
      <c r="E191" s="787">
        <f t="shared" si="4"/>
        <v>0.16925386514269142</v>
      </c>
      <c r="F191" s="586">
        <v>209.72275848634595</v>
      </c>
      <c r="G191" s="585">
        <v>2.4660000000000002</v>
      </c>
      <c r="H191" s="251">
        <v>55832</v>
      </c>
      <c r="I191" s="581"/>
      <c r="J191" s="1976">
        <v>245190</v>
      </c>
      <c r="K191" s="590">
        <f t="shared" si="3"/>
        <v>0.22770912353684897</v>
      </c>
      <c r="L191" s="584">
        <v>85.957244785501445</v>
      </c>
      <c r="M191" s="587">
        <v>3.11591280190214</v>
      </c>
    </row>
    <row r="192" spans="1:13">
      <c r="A192" s="63">
        <f t="shared" si="5"/>
        <v>2009.03</v>
      </c>
      <c r="B192" s="573">
        <v>210333</v>
      </c>
      <c r="C192" s="782"/>
      <c r="D192" s="1976">
        <v>1259783</v>
      </c>
      <c r="E192" s="787">
        <f t="shared" si="4"/>
        <v>0.16695970655263645</v>
      </c>
      <c r="F192" s="586">
        <v>210.24018301086718</v>
      </c>
      <c r="G192" s="585">
        <v>2.8290000000000002</v>
      </c>
      <c r="H192" s="251">
        <v>58988</v>
      </c>
      <c r="I192" s="581"/>
      <c r="J192" s="1976">
        <v>269725</v>
      </c>
      <c r="K192" s="590">
        <f t="shared" si="3"/>
        <v>0.2186968208360367</v>
      </c>
      <c r="L192" s="584">
        <v>87.253020116816884</v>
      </c>
      <c r="M192" s="587">
        <v>3.1123974082073431</v>
      </c>
    </row>
    <row r="193" spans="1:13">
      <c r="A193" s="63">
        <f t="shared" si="5"/>
        <v>2009.04</v>
      </c>
      <c r="B193" s="573">
        <v>228678</v>
      </c>
      <c r="C193" s="782"/>
      <c r="D193" s="1976">
        <v>1342224.25</v>
      </c>
      <c r="E193" s="787">
        <f t="shared" si="4"/>
        <v>0.17037242472709013</v>
      </c>
      <c r="F193" s="586">
        <v>214.03046982913267</v>
      </c>
      <c r="G193" s="585">
        <v>2.58</v>
      </c>
      <c r="H193" s="251">
        <v>59229</v>
      </c>
      <c r="I193" s="581"/>
      <c r="J193" s="1976">
        <v>272071</v>
      </c>
      <c r="K193" s="590">
        <f t="shared" si="3"/>
        <v>0.21769685118957918</v>
      </c>
      <c r="L193" s="584">
        <v>89.159040838604625</v>
      </c>
      <c r="M193" s="587">
        <v>3.1203723459820849</v>
      </c>
    </row>
    <row r="194" spans="1:13">
      <c r="A194" s="63">
        <f t="shared" si="5"/>
        <v>2009.05</v>
      </c>
      <c r="B194" s="573">
        <v>216880</v>
      </c>
      <c r="C194" s="782"/>
      <c r="D194" s="1976">
        <v>1241788</v>
      </c>
      <c r="E194" s="787">
        <f t="shared" si="4"/>
        <v>0.17465138977023453</v>
      </c>
      <c r="F194" s="586">
        <v>212.32942299889766</v>
      </c>
      <c r="G194" s="585">
        <v>2.2909999999999999</v>
      </c>
      <c r="H194" s="251">
        <v>55455</v>
      </c>
      <c r="I194" s="581"/>
      <c r="J194" s="1976">
        <v>251982</v>
      </c>
      <c r="K194" s="590">
        <f t="shared" si="3"/>
        <v>0.22007524346977164</v>
      </c>
      <c r="L194" s="584">
        <v>89.686750244065053</v>
      </c>
      <c r="M194" s="587">
        <v>3.0979193311670885</v>
      </c>
    </row>
    <row r="195" spans="1:13">
      <c r="A195" s="63">
        <f t="shared" si="5"/>
        <v>2009.06</v>
      </c>
      <c r="B195" s="573">
        <v>248402</v>
      </c>
      <c r="C195" s="782"/>
      <c r="D195" s="1976">
        <v>1427990</v>
      </c>
      <c r="E195" s="787">
        <f t="shared" si="4"/>
        <v>0.17395219854480773</v>
      </c>
      <c r="F195" s="586">
        <v>212.81442597283669</v>
      </c>
      <c r="G195" s="585">
        <v>2.3730000000000002</v>
      </c>
      <c r="H195" s="251">
        <v>62801</v>
      </c>
      <c r="I195" s="581"/>
      <c r="J195" s="1976">
        <v>285377</v>
      </c>
      <c r="K195" s="590">
        <f t="shared" si="3"/>
        <v>0.22006328470759731</v>
      </c>
      <c r="L195" s="584">
        <v>89.590020569282046</v>
      </c>
      <c r="M195" s="587">
        <v>3.0238953296306237</v>
      </c>
    </row>
    <row r="196" spans="1:13">
      <c r="A196" s="63">
        <f t="shared" si="5"/>
        <v>2009.07</v>
      </c>
      <c r="B196" s="573">
        <v>245685</v>
      </c>
      <c r="C196" s="782"/>
      <c r="D196" s="1976">
        <v>1458327.25</v>
      </c>
      <c r="E196" s="787">
        <f t="shared" si="4"/>
        <v>0.1684704170480254</v>
      </c>
      <c r="F196" s="586">
        <v>218.37590443279558</v>
      </c>
      <c r="G196" s="585">
        <v>2.64</v>
      </c>
      <c r="H196" s="251">
        <v>64873</v>
      </c>
      <c r="I196" s="581"/>
      <c r="J196" s="1976">
        <v>283084</v>
      </c>
      <c r="K196" s="590">
        <f t="shared" si="3"/>
        <v>0.2291651947831739</v>
      </c>
      <c r="L196" s="584">
        <v>88.023554139407366</v>
      </c>
      <c r="M196" s="587">
        <v>3.0250230126263524</v>
      </c>
    </row>
    <row r="197" spans="1:13">
      <c r="A197" s="63">
        <f t="shared" si="5"/>
        <v>2009.08</v>
      </c>
      <c r="B197" s="573">
        <v>235227</v>
      </c>
      <c r="C197" s="782"/>
      <c r="D197" s="1976">
        <v>1390996</v>
      </c>
      <c r="E197" s="787">
        <f t="shared" si="4"/>
        <v>0.16910688456329134</v>
      </c>
      <c r="F197" s="586">
        <v>214.31858097301131</v>
      </c>
      <c r="G197" s="585">
        <v>2.8039999999999998</v>
      </c>
      <c r="H197" s="251">
        <v>63180</v>
      </c>
      <c r="I197" s="581"/>
      <c r="J197" s="1976">
        <v>285751</v>
      </c>
      <c r="K197" s="590">
        <f t="shared" si="3"/>
        <v>0.22110158844588471</v>
      </c>
      <c r="L197" s="584">
        <v>86.609500929130604</v>
      </c>
      <c r="M197" s="587">
        <v>3.0452331863702646</v>
      </c>
    </row>
    <row r="198" spans="1:13">
      <c r="A198" s="63">
        <f t="shared" si="5"/>
        <v>2009.09</v>
      </c>
      <c r="B198" s="573">
        <v>215509</v>
      </c>
      <c r="C198" s="782"/>
      <c r="D198" s="1976">
        <v>1333419</v>
      </c>
      <c r="E198" s="787">
        <f t="shared" si="4"/>
        <v>0.16162136582724559</v>
      </c>
      <c r="F198" s="586">
        <v>214.31122350101992</v>
      </c>
      <c r="G198" s="585">
        <v>2.9860000000000002</v>
      </c>
      <c r="H198" s="251">
        <v>62729</v>
      </c>
      <c r="I198" s="581"/>
      <c r="J198" s="1976">
        <v>280912</v>
      </c>
      <c r="K198" s="590">
        <f t="shared" si="3"/>
        <v>0.22330480719940765</v>
      </c>
      <c r="L198" s="584">
        <v>85.978081392037367</v>
      </c>
      <c r="M198" s="587">
        <v>3.0984387583949582</v>
      </c>
    </row>
    <row r="199" spans="1:13">
      <c r="A199" s="63">
        <f t="shared" si="5"/>
        <v>2009.1</v>
      </c>
      <c r="B199" s="573">
        <v>249127</v>
      </c>
      <c r="C199" s="782"/>
      <c r="D199" s="1976">
        <v>1439888</v>
      </c>
      <c r="E199" s="787">
        <f t="shared" si="4"/>
        <v>0.17301831809140711</v>
      </c>
      <c r="F199" s="586">
        <v>214.20613139668163</v>
      </c>
      <c r="G199" s="585">
        <v>3.06</v>
      </c>
      <c r="H199" s="251">
        <v>63785</v>
      </c>
      <c r="I199" s="581"/>
      <c r="J199" s="1976">
        <v>301385</v>
      </c>
      <c r="K199" s="590">
        <f t="shared" si="3"/>
        <v>0.21163959719295916</v>
      </c>
      <c r="L199" s="584">
        <v>84.896450387378295</v>
      </c>
      <c r="M199" s="587">
        <v>3.1780384861290871</v>
      </c>
    </row>
    <row r="200" spans="1:13">
      <c r="A200" s="63">
        <f t="shared" si="5"/>
        <v>2009.11</v>
      </c>
      <c r="B200" s="573">
        <v>212024</v>
      </c>
      <c r="C200" s="782"/>
      <c r="D200" s="1976">
        <v>1324910</v>
      </c>
      <c r="E200" s="787">
        <f t="shared" si="4"/>
        <v>0.16002898310073893</v>
      </c>
      <c r="F200" s="586">
        <v>210.92475051502208</v>
      </c>
      <c r="G200" s="585">
        <v>3.2120000000000002</v>
      </c>
      <c r="H200" s="251">
        <v>61635</v>
      </c>
      <c r="I200" s="581"/>
      <c r="J200" s="1976">
        <v>287510</v>
      </c>
      <c r="K200" s="590">
        <f t="shared" ref="K200:K237" si="6">H200/J200</f>
        <v>0.21437515216862021</v>
      </c>
      <c r="L200" s="584">
        <v>83.938496266229819</v>
      </c>
      <c r="M200" s="587">
        <v>3.2903821008202252</v>
      </c>
    </row>
    <row r="201" spans="1:13">
      <c r="A201" s="63">
        <f t="shared" si="5"/>
        <v>2009.12</v>
      </c>
      <c r="B201" s="573">
        <v>198725</v>
      </c>
      <c r="C201" s="782"/>
      <c r="D201" s="1976">
        <v>1308602</v>
      </c>
      <c r="E201" s="787">
        <f t="shared" si="4"/>
        <v>0.15186053513596953</v>
      </c>
      <c r="F201" s="586">
        <v>208.81326525137712</v>
      </c>
      <c r="G201" s="585">
        <v>3.605</v>
      </c>
      <c r="H201" s="251">
        <v>62884</v>
      </c>
      <c r="I201" s="581"/>
      <c r="J201" s="1976">
        <v>323902</v>
      </c>
      <c r="K201" s="590">
        <f t="shared" si="6"/>
        <v>0.19414514266660904</v>
      </c>
      <c r="L201" s="584">
        <v>81.819109337727696</v>
      </c>
      <c r="M201" s="587">
        <v>3.41</v>
      </c>
    </row>
    <row r="202" spans="1:13">
      <c r="A202" s="63">
        <f t="shared" si="5"/>
        <v>2010.01</v>
      </c>
      <c r="B202" s="573">
        <v>193265</v>
      </c>
      <c r="C202" s="782"/>
      <c r="D202" s="1976">
        <v>1133571</v>
      </c>
      <c r="E202" s="787">
        <f t="shared" si="4"/>
        <v>0.17049218796175977</v>
      </c>
      <c r="F202" s="586">
        <v>212.21947725215182</v>
      </c>
      <c r="G202" s="585">
        <v>3.8410000000000002</v>
      </c>
      <c r="H202" s="251">
        <v>55401</v>
      </c>
      <c r="I202" s="581"/>
      <c r="J202" s="1976">
        <v>249611</v>
      </c>
      <c r="K202" s="590">
        <f t="shared" si="6"/>
        <v>0.2219493531935692</v>
      </c>
      <c r="L202" s="584">
        <v>85.577627098273311</v>
      </c>
      <c r="M202" s="587">
        <v>3.6077823466129337</v>
      </c>
    </row>
    <row r="203" spans="1:13">
      <c r="A203" s="63">
        <f t="shared" si="5"/>
        <v>2010.02</v>
      </c>
      <c r="B203" s="573">
        <v>175759</v>
      </c>
      <c r="C203" s="782"/>
      <c r="D203" s="1976">
        <v>965748</v>
      </c>
      <c r="E203" s="787">
        <f t="shared" ref="E203:E266" si="7">B203/D203</f>
        <v>0.18199261090884994</v>
      </c>
      <c r="F203" s="586">
        <v>211.20945410247364</v>
      </c>
      <c r="G203" s="585">
        <v>4.7939999999999996</v>
      </c>
      <c r="H203" s="251">
        <v>53398</v>
      </c>
      <c r="I203" s="581"/>
      <c r="J203" s="1976">
        <v>247473</v>
      </c>
      <c r="K203" s="590">
        <f t="shared" si="6"/>
        <v>0.21577303382591231</v>
      </c>
      <c r="L203" s="584">
        <v>85.178063869593856</v>
      </c>
      <c r="M203" s="587">
        <v>3.8503681517158341</v>
      </c>
    </row>
    <row r="204" spans="1:13">
      <c r="A204" s="63">
        <f t="shared" si="5"/>
        <v>2010.03</v>
      </c>
      <c r="B204" s="573">
        <v>189084</v>
      </c>
      <c r="C204" s="782"/>
      <c r="D204" s="1976">
        <v>1103728</v>
      </c>
      <c r="E204" s="787">
        <f t="shared" si="7"/>
        <v>0.17131394691445717</v>
      </c>
      <c r="F204" s="586">
        <v>211.34024997910768</v>
      </c>
      <c r="G204" s="585">
        <v>4.9470000000000001</v>
      </c>
      <c r="H204" s="251">
        <v>65302</v>
      </c>
      <c r="I204" s="581"/>
      <c r="J204" s="1976">
        <v>300411</v>
      </c>
      <c r="K204" s="590">
        <f t="shared" si="6"/>
        <v>0.21737552885879677</v>
      </c>
      <c r="L204" s="584">
        <v>85.928770584299514</v>
      </c>
      <c r="M204" s="587">
        <v>4.0853237939049034</v>
      </c>
    </row>
    <row r="205" spans="1:13">
      <c r="A205" s="63">
        <f t="shared" si="5"/>
        <v>2010.04</v>
      </c>
      <c r="B205" s="573">
        <v>165784</v>
      </c>
      <c r="C205" s="782"/>
      <c r="D205" s="1976">
        <v>973424</v>
      </c>
      <c r="E205" s="787">
        <f t="shared" si="7"/>
        <v>0.17031016288893638</v>
      </c>
      <c r="F205" s="586">
        <v>215.8</v>
      </c>
      <c r="G205" s="585">
        <v>5.282</v>
      </c>
      <c r="H205" s="251">
        <v>61602</v>
      </c>
      <c r="I205" s="581"/>
      <c r="J205" s="1976">
        <v>267682</v>
      </c>
      <c r="K205" s="590">
        <f t="shared" si="6"/>
        <v>0.23013127516979101</v>
      </c>
      <c r="L205" s="584">
        <v>87.407490604523275</v>
      </c>
      <c r="M205" s="587">
        <v>4.4559482533747801</v>
      </c>
    </row>
    <row r="206" spans="1:13">
      <c r="A206" s="63">
        <f t="shared" si="5"/>
        <v>2010.05</v>
      </c>
      <c r="B206" s="573">
        <v>164873</v>
      </c>
      <c r="C206" s="782"/>
      <c r="D206" s="1976">
        <v>933170</v>
      </c>
      <c r="E206" s="787">
        <f t="shared" si="7"/>
        <v>0.17668056195548507</v>
      </c>
      <c r="F206" s="586">
        <v>228.32699824340423</v>
      </c>
      <c r="G206" s="585">
        <v>5.3230000000000004</v>
      </c>
      <c r="H206" s="251">
        <v>56701</v>
      </c>
      <c r="I206" s="581"/>
      <c r="J206" s="1976">
        <v>260619</v>
      </c>
      <c r="K206" s="590">
        <f t="shared" si="6"/>
        <v>0.21756280240504339</v>
      </c>
      <c r="L206" s="584">
        <v>88.852253289284349</v>
      </c>
      <c r="M206" s="587">
        <v>4.5935728889577581</v>
      </c>
    </row>
    <row r="207" spans="1:13">
      <c r="A207" s="63">
        <f t="shared" si="5"/>
        <v>2010.06</v>
      </c>
      <c r="B207" s="573">
        <v>163712</v>
      </c>
      <c r="C207" s="782"/>
      <c r="D207" s="1976">
        <v>947566</v>
      </c>
      <c r="E207" s="787">
        <f t="shared" si="7"/>
        <v>0.17277107874279998</v>
      </c>
      <c r="F207" s="586">
        <v>222.9</v>
      </c>
      <c r="G207" s="585">
        <v>5.4939999999999998</v>
      </c>
      <c r="H207" s="251">
        <v>57697</v>
      </c>
      <c r="I207" s="581"/>
      <c r="J207" s="1976">
        <v>273321</v>
      </c>
      <c r="K207" s="590">
        <f t="shared" si="6"/>
        <v>0.21109611043425131</v>
      </c>
      <c r="L207" s="584">
        <v>89.563122848226087</v>
      </c>
      <c r="M207" s="587">
        <v>4.7132491488926576</v>
      </c>
    </row>
    <row r="208" spans="1:13">
      <c r="A208" s="63">
        <f t="shared" si="5"/>
        <v>2010.07</v>
      </c>
      <c r="B208" s="573">
        <v>171568</v>
      </c>
      <c r="C208" s="782"/>
      <c r="D208" s="1976">
        <v>1008760</v>
      </c>
      <c r="E208" s="787">
        <f t="shared" si="7"/>
        <v>0.17007811570641182</v>
      </c>
      <c r="F208" s="586">
        <v>225.9</v>
      </c>
      <c r="G208" s="585">
        <v>5.5039999999999996</v>
      </c>
      <c r="H208" s="251">
        <v>55612</v>
      </c>
      <c r="I208" s="581"/>
      <c r="J208" s="1976">
        <v>268407</v>
      </c>
      <c r="K208" s="590">
        <f t="shared" si="6"/>
        <v>0.20719280793719985</v>
      </c>
      <c r="L208" s="584">
        <v>88.970153535489004</v>
      </c>
      <c r="M208" s="587">
        <v>4.8728246018538677</v>
      </c>
    </row>
    <row r="209" spans="1:13">
      <c r="A209" s="63">
        <f t="shared" si="5"/>
        <v>2010.08</v>
      </c>
      <c r="B209" s="573">
        <v>185032</v>
      </c>
      <c r="C209" s="782"/>
      <c r="D209" s="1976">
        <v>1049388</v>
      </c>
      <c r="E209" s="787">
        <f t="shared" si="7"/>
        <v>0.17632372392289603</v>
      </c>
      <c r="F209" s="586">
        <v>228</v>
      </c>
      <c r="G209" s="585">
        <v>5.5789999999999997</v>
      </c>
      <c r="H209" s="251">
        <v>50671</v>
      </c>
      <c r="I209" s="581"/>
      <c r="J209" s="1976">
        <v>268464</v>
      </c>
      <c r="K209" s="590">
        <f t="shared" si="6"/>
        <v>0.18874411466714344</v>
      </c>
      <c r="L209" s="584">
        <v>88.258663778802543</v>
      </c>
      <c r="M209" s="587">
        <v>5.0031799914382935</v>
      </c>
    </row>
    <row r="210" spans="1:13">
      <c r="A210" s="63">
        <f t="shared" si="5"/>
        <v>2010.09</v>
      </c>
      <c r="B210" s="573">
        <v>169704</v>
      </c>
      <c r="C210" s="782"/>
      <c r="D210" s="1976">
        <v>995293</v>
      </c>
      <c r="E210" s="787">
        <f t="shared" si="7"/>
        <v>0.17050657444591694</v>
      </c>
      <c r="F210" s="586">
        <v>226.7</v>
      </c>
      <c r="G210" s="585">
        <v>6.2619999999999996</v>
      </c>
      <c r="H210" s="251">
        <v>47746</v>
      </c>
      <c r="I210" s="581"/>
      <c r="J210" s="1976">
        <v>255902</v>
      </c>
      <c r="K210" s="590">
        <f t="shared" si="6"/>
        <v>0.18657923736430351</v>
      </c>
      <c r="L210" s="584">
        <v>88.588515408353629</v>
      </c>
      <c r="M210" s="587">
        <v>5.2573578895252675</v>
      </c>
    </row>
    <row r="211" spans="1:13">
      <c r="A211" s="63">
        <f t="shared" si="5"/>
        <v>2010.1</v>
      </c>
      <c r="B211" s="573">
        <v>150680</v>
      </c>
      <c r="C211" s="782"/>
      <c r="D211" s="1976">
        <v>894209.5</v>
      </c>
      <c r="E211" s="787">
        <f t="shared" si="7"/>
        <v>0.16850637350643222</v>
      </c>
      <c r="F211" s="586">
        <v>229.22403695667811</v>
      </c>
      <c r="G211" s="585">
        <v>7.2460000000000004</v>
      </c>
      <c r="H211" s="251">
        <v>46712</v>
      </c>
      <c r="I211" s="581"/>
      <c r="J211" s="1976">
        <v>259664</v>
      </c>
      <c r="K211" s="590">
        <f t="shared" si="6"/>
        <v>0.17989401688335696</v>
      </c>
      <c r="L211" s="584">
        <v>88.689757148528273</v>
      </c>
      <c r="M211" s="587">
        <v>5.5600897286256208</v>
      </c>
    </row>
    <row r="212" spans="1:13">
      <c r="A212" s="63">
        <f t="shared" si="5"/>
        <v>2010.11</v>
      </c>
      <c r="B212" s="573">
        <v>161914</v>
      </c>
      <c r="C212" s="782"/>
      <c r="D212" s="1976">
        <v>925877.5</v>
      </c>
      <c r="E212" s="787">
        <f t="shared" si="7"/>
        <v>0.17487626602871331</v>
      </c>
      <c r="F212" s="586">
        <v>230.62286240730248</v>
      </c>
      <c r="G212" s="585">
        <v>7.681</v>
      </c>
      <c r="H212" s="251">
        <v>51696</v>
      </c>
      <c r="I212" s="581"/>
      <c r="J212" s="1976">
        <v>277729</v>
      </c>
      <c r="K212" s="590">
        <f t="shared" si="6"/>
        <v>0.18613828588300105</v>
      </c>
      <c r="L212" s="584">
        <v>86.895890489955107</v>
      </c>
      <c r="M212" s="587">
        <v>5.8381597146472357</v>
      </c>
    </row>
    <row r="213" spans="1:13">
      <c r="A213" s="63">
        <f>A201+1</f>
        <v>2010.12</v>
      </c>
      <c r="B213" s="573">
        <v>152591</v>
      </c>
      <c r="C213" s="782"/>
      <c r="D213" s="1976">
        <v>941484</v>
      </c>
      <c r="E213" s="787">
        <f t="shared" si="7"/>
        <v>0.16207497950044822</v>
      </c>
      <c r="F213" s="586">
        <v>226.1</v>
      </c>
      <c r="G213" s="585">
        <v>7.2889999999999997</v>
      </c>
      <c r="H213" s="251">
        <v>48710</v>
      </c>
      <c r="I213" s="581"/>
      <c r="J213" s="1976">
        <v>304850</v>
      </c>
      <c r="K213" s="590">
        <f t="shared" si="6"/>
        <v>0.15978350008200753</v>
      </c>
      <c r="L213" s="584">
        <v>82.344769506816689</v>
      </c>
      <c r="M213" s="587">
        <v>5.9684373064258462</v>
      </c>
    </row>
    <row r="214" spans="1:13">
      <c r="A214" s="63">
        <f t="shared" si="5"/>
        <v>2011.01</v>
      </c>
      <c r="B214" s="573">
        <v>148543</v>
      </c>
      <c r="C214" s="782"/>
      <c r="D214" s="1976">
        <v>889059</v>
      </c>
      <c r="E214" s="787">
        <f t="shared" si="7"/>
        <v>0.1670789002754598</v>
      </c>
      <c r="F214" s="586">
        <v>224.79785193455822</v>
      </c>
      <c r="G214" s="585">
        <v>7.0519999999999996</v>
      </c>
      <c r="H214" s="251">
        <v>46858</v>
      </c>
      <c r="I214" s="581"/>
      <c r="J214" s="1976">
        <v>240591</v>
      </c>
      <c r="K214" s="590">
        <f t="shared" si="6"/>
        <v>0.1947620650814037</v>
      </c>
      <c r="L214" s="584">
        <v>87.338613765680265</v>
      </c>
      <c r="M214" s="587">
        <v>6.1311034910142546</v>
      </c>
    </row>
    <row r="215" spans="1:13">
      <c r="A215" s="63">
        <f t="shared" si="5"/>
        <v>2011.02</v>
      </c>
      <c r="B215" s="573">
        <v>147221</v>
      </c>
      <c r="C215" s="782"/>
      <c r="D215" s="1976">
        <v>851055</v>
      </c>
      <c r="E215" s="787">
        <f t="shared" si="7"/>
        <v>0.1729864697346235</v>
      </c>
      <c r="F215" s="586">
        <v>226.6438736290568</v>
      </c>
      <c r="G215" s="585">
        <v>7.4240000000000004</v>
      </c>
      <c r="H215" s="251">
        <v>48081</v>
      </c>
      <c r="I215" s="581"/>
      <c r="J215" s="1976">
        <v>233186</v>
      </c>
      <c r="K215" s="590">
        <f t="shared" si="6"/>
        <v>0.20619162385391918</v>
      </c>
      <c r="L215" s="584">
        <v>86.769770179473724</v>
      </c>
      <c r="M215" s="587">
        <v>5.9272681526962092</v>
      </c>
    </row>
    <row r="216" spans="1:13">
      <c r="A216" s="63">
        <f t="shared" si="5"/>
        <v>2011.03</v>
      </c>
      <c r="B216" s="573">
        <v>160559</v>
      </c>
      <c r="C216" s="782"/>
      <c r="D216" s="1976">
        <v>943434</v>
      </c>
      <c r="E216" s="787">
        <f t="shared" si="7"/>
        <v>0.17018572576354044</v>
      </c>
      <c r="F216" s="586">
        <v>229.2727135079208</v>
      </c>
      <c r="G216" s="585">
        <v>7.8520000000000003</v>
      </c>
      <c r="H216" s="251">
        <v>51599</v>
      </c>
      <c r="I216" s="581"/>
      <c r="J216" s="1976">
        <v>272087</v>
      </c>
      <c r="K216" s="590">
        <f t="shared" si="6"/>
        <v>0.18964154847530384</v>
      </c>
      <c r="L216" s="584">
        <v>87.660506300463226</v>
      </c>
      <c r="M216" s="587">
        <v>5.7082475471354304</v>
      </c>
    </row>
    <row r="217" spans="1:13">
      <c r="A217" s="63">
        <f t="shared" si="5"/>
        <v>2011.04</v>
      </c>
      <c r="B217" s="573">
        <v>150523</v>
      </c>
      <c r="C217" s="782"/>
      <c r="D217" s="1976">
        <v>821028</v>
      </c>
      <c r="E217" s="787">
        <f t="shared" si="7"/>
        <v>0.18333479491564234</v>
      </c>
      <c r="F217" s="586">
        <v>230.71402879839928</v>
      </c>
      <c r="G217" s="585">
        <v>7.3739999999999997</v>
      </c>
      <c r="H217" s="251">
        <v>51587</v>
      </c>
      <c r="I217" s="581"/>
      <c r="J217" s="1976">
        <v>284850</v>
      </c>
      <c r="K217" s="590">
        <f t="shared" si="6"/>
        <v>0.18110233456205022</v>
      </c>
      <c r="L217" s="584">
        <v>90.469254647981685</v>
      </c>
      <c r="M217" s="587">
        <v>5.5005452287827179</v>
      </c>
    </row>
    <row r="218" spans="1:13">
      <c r="A218" s="63">
        <f t="shared" si="5"/>
        <v>2011.05</v>
      </c>
      <c r="B218" s="573">
        <v>160502</v>
      </c>
      <c r="C218" s="782"/>
      <c r="D218" s="1976">
        <v>896681</v>
      </c>
      <c r="E218" s="787">
        <f t="shared" si="7"/>
        <v>0.17899565174236992</v>
      </c>
      <c r="F218" s="586">
        <v>232.92775675896539</v>
      </c>
      <c r="G218" s="585">
        <v>7.0830000000000002</v>
      </c>
      <c r="H218" s="251">
        <v>56416</v>
      </c>
      <c r="I218" s="581"/>
      <c r="J218" s="1976">
        <v>300655</v>
      </c>
      <c r="K218" s="590">
        <f t="shared" si="6"/>
        <v>0.1876436447090519</v>
      </c>
      <c r="L218" s="584">
        <v>90.766060423922085</v>
      </c>
      <c r="M218" s="587">
        <v>5.3720413588765323</v>
      </c>
    </row>
    <row r="219" spans="1:13">
      <c r="A219" s="63">
        <f t="shared" si="5"/>
        <v>2011.06</v>
      </c>
      <c r="B219" s="250">
        <v>153527</v>
      </c>
      <c r="C219" s="782"/>
      <c r="D219" s="1976">
        <v>880244</v>
      </c>
      <c r="E219" s="657">
        <f t="shared" si="7"/>
        <v>0.17441413971580608</v>
      </c>
      <c r="F219" s="586">
        <v>231.11528570932779</v>
      </c>
      <c r="G219" s="585">
        <v>7.4749999999999996</v>
      </c>
      <c r="H219" s="251">
        <v>52427</v>
      </c>
      <c r="I219" s="581"/>
      <c r="J219" s="1976">
        <v>302116</v>
      </c>
      <c r="K219" s="589">
        <f t="shared" si="6"/>
        <v>0.17353268281057607</v>
      </c>
      <c r="L219" s="584">
        <v>90.141748876408428</v>
      </c>
      <c r="M219" s="587">
        <v>5.2325914803329532</v>
      </c>
    </row>
    <row r="220" spans="1:13">
      <c r="A220" s="63">
        <f t="shared" si="5"/>
        <v>2011.07</v>
      </c>
      <c r="B220" s="250">
        <v>144839</v>
      </c>
      <c r="C220" s="782"/>
      <c r="D220" s="1976">
        <v>883661</v>
      </c>
      <c r="E220" s="657">
        <f t="shared" si="7"/>
        <v>0.16390787870008974</v>
      </c>
      <c r="F220" s="586">
        <v>231.2152612557183</v>
      </c>
      <c r="G220" s="585">
        <v>7.6829999999999998</v>
      </c>
      <c r="H220" s="251">
        <v>59513</v>
      </c>
      <c r="I220" s="581"/>
      <c r="J220" s="1976">
        <v>300557</v>
      </c>
      <c r="K220" s="589">
        <f t="shared" si="6"/>
        <v>0.19800902990115019</v>
      </c>
      <c r="L220" s="584">
        <v>89.194181405370998</v>
      </c>
      <c r="M220" s="587">
        <v>5.2481526186188852</v>
      </c>
    </row>
    <row r="221" spans="1:13">
      <c r="A221" s="63">
        <f t="shared" si="5"/>
        <v>2011.08</v>
      </c>
      <c r="B221" s="250">
        <v>162990</v>
      </c>
      <c r="C221" s="782"/>
      <c r="D221" s="1976">
        <v>954705</v>
      </c>
      <c r="E221" s="657">
        <f t="shared" si="7"/>
        <v>0.17072289345923611</v>
      </c>
      <c r="F221" s="586">
        <v>230.95518841351617</v>
      </c>
      <c r="G221" s="585">
        <v>8.0519999999999996</v>
      </c>
      <c r="H221" s="251">
        <v>51759</v>
      </c>
      <c r="I221" s="581"/>
      <c r="J221" s="1976">
        <v>310593</v>
      </c>
      <c r="K221" s="589">
        <f t="shared" si="6"/>
        <v>0.16664573895741372</v>
      </c>
      <c r="L221" s="584">
        <v>87.887411888695752</v>
      </c>
      <c r="M221" s="587">
        <v>5.1696314778932528</v>
      </c>
    </row>
    <row r="222" spans="1:13">
      <c r="A222" s="63">
        <f t="shared" si="5"/>
        <v>2011.09</v>
      </c>
      <c r="B222" s="250">
        <v>172415.26</v>
      </c>
      <c r="C222" s="782"/>
      <c r="D222" s="1976">
        <v>947364</v>
      </c>
      <c r="E222" s="657">
        <f t="shared" si="7"/>
        <v>0.18199473486431827</v>
      </c>
      <c r="F222" s="586">
        <v>229.94382175808556</v>
      </c>
      <c r="G222" s="585">
        <v>8.1660000000000004</v>
      </c>
      <c r="H222" s="251">
        <v>47743</v>
      </c>
      <c r="I222" s="581"/>
      <c r="J222" s="1976">
        <v>285618</v>
      </c>
      <c r="K222" s="589">
        <f t="shared" si="6"/>
        <v>0.16715683185233424</v>
      </c>
      <c r="L222" s="584">
        <v>87.709763261971517</v>
      </c>
      <c r="M222" s="587">
        <v>5.6274369372387518</v>
      </c>
    </row>
    <row r="223" spans="1:13">
      <c r="A223" s="63">
        <f t="shared" si="5"/>
        <v>2011.1</v>
      </c>
      <c r="B223" s="250">
        <v>159094.24</v>
      </c>
      <c r="C223" s="782"/>
      <c r="D223" s="1976">
        <v>919001</v>
      </c>
      <c r="E223" s="657">
        <f t="shared" si="7"/>
        <v>0.17311650368171524</v>
      </c>
      <c r="F223" s="586">
        <v>225.65429244710677</v>
      </c>
      <c r="G223" s="585">
        <v>8.3650000000000002</v>
      </c>
      <c r="H223" s="251">
        <v>50515</v>
      </c>
      <c r="I223" s="581"/>
      <c r="J223" s="1976">
        <v>288392</v>
      </c>
      <c r="K223" s="589">
        <f t="shared" si="6"/>
        <v>0.17516089211906016</v>
      </c>
      <c r="L223" s="584">
        <v>86.930686240756799</v>
      </c>
      <c r="M223" s="587">
        <v>6.0933228863487381</v>
      </c>
    </row>
    <row r="224" spans="1:13">
      <c r="A224" s="63">
        <f t="shared" si="5"/>
        <v>2011.11</v>
      </c>
      <c r="B224" s="250">
        <v>155029</v>
      </c>
      <c r="C224" s="782"/>
      <c r="D224" s="1976">
        <v>912403</v>
      </c>
      <c r="E224" s="657">
        <f t="shared" si="7"/>
        <v>0.16991285648995016</v>
      </c>
      <c r="F224" s="586">
        <v>224.44923879360337</v>
      </c>
      <c r="G224" s="585">
        <v>8.2129999999999992</v>
      </c>
      <c r="H224" s="251">
        <v>57643</v>
      </c>
      <c r="I224" s="581"/>
      <c r="J224" s="1976">
        <v>288055</v>
      </c>
      <c r="K224" s="589">
        <f t="shared" si="6"/>
        <v>0.2001110898960268</v>
      </c>
      <c r="L224" s="584">
        <v>85.565362206363929</v>
      </c>
      <c r="M224" s="587">
        <v>6.1299450836640235</v>
      </c>
    </row>
    <row r="225" spans="1:14">
      <c r="A225" s="63">
        <f t="shared" si="5"/>
        <v>2011.12</v>
      </c>
      <c r="B225" s="250">
        <v>150392.82</v>
      </c>
      <c r="C225" s="782"/>
      <c r="D225" s="1976">
        <v>963261</v>
      </c>
      <c r="E225" s="657">
        <f t="shared" si="7"/>
        <v>0.15612883735560767</v>
      </c>
      <c r="F225" s="586">
        <v>222.90056134886171</v>
      </c>
      <c r="G225" s="585">
        <v>7.9850000000000003</v>
      </c>
      <c r="H225" s="251">
        <v>61078</v>
      </c>
      <c r="I225" s="581"/>
      <c r="J225" s="1976">
        <v>336060</v>
      </c>
      <c r="K225" s="589">
        <f t="shared" si="6"/>
        <v>0.1817473070285068</v>
      </c>
      <c r="L225" s="584">
        <v>80.954607140026951</v>
      </c>
      <c r="M225" s="587">
        <v>6.1003595614028789</v>
      </c>
      <c r="N225" s="201"/>
    </row>
    <row r="226" spans="1:14">
      <c r="A226" s="63">
        <f t="shared" si="5"/>
        <v>2012.01</v>
      </c>
      <c r="B226" s="250">
        <v>135783.72</v>
      </c>
      <c r="C226" s="782"/>
      <c r="D226" s="1976">
        <v>955814</v>
      </c>
      <c r="E226" s="657">
        <f t="shared" si="7"/>
        <v>0.14206081936443701</v>
      </c>
      <c r="F226" s="586">
        <v>224.48844686078729</v>
      </c>
      <c r="G226" s="585">
        <v>7.5140000000000002</v>
      </c>
      <c r="H226" s="251">
        <v>43402</v>
      </c>
      <c r="I226" s="581"/>
      <c r="J226" s="1976">
        <v>275185</v>
      </c>
      <c r="K226" s="589">
        <f t="shared" si="6"/>
        <v>0.1577193524356342</v>
      </c>
      <c r="L226" s="584">
        <v>85.192384076780115</v>
      </c>
      <c r="M226" s="587">
        <v>6.234271221165022</v>
      </c>
      <c r="N226" s="201"/>
    </row>
    <row r="227" spans="1:14">
      <c r="A227" s="63">
        <f t="shared" si="5"/>
        <v>2012.02</v>
      </c>
      <c r="B227" s="250">
        <v>117550</v>
      </c>
      <c r="C227" s="782"/>
      <c r="D227" s="1976">
        <v>894784</v>
      </c>
      <c r="E227" s="657">
        <f t="shared" si="7"/>
        <v>0.13137248766182677</v>
      </c>
      <c r="F227" s="586">
        <v>224.33071305185661</v>
      </c>
      <c r="G227" s="585">
        <v>8.3350000000000009</v>
      </c>
      <c r="H227" s="251">
        <v>47509</v>
      </c>
      <c r="I227" s="581"/>
      <c r="J227" s="1976">
        <v>265643</v>
      </c>
      <c r="K227" s="589">
        <f t="shared" si="6"/>
        <v>0.17884529236607025</v>
      </c>
      <c r="L227" s="584">
        <v>85.911187276111761</v>
      </c>
      <c r="M227" s="587">
        <v>6.4603092130925415</v>
      </c>
      <c r="N227" s="201"/>
    </row>
    <row r="228" spans="1:14">
      <c r="A228" s="63">
        <f t="shared" si="5"/>
        <v>2012.03</v>
      </c>
      <c r="B228" s="348">
        <v>169936.00901412926</v>
      </c>
      <c r="C228" s="782"/>
      <c r="D228" s="1976">
        <v>959587</v>
      </c>
      <c r="E228" s="657">
        <f t="shared" si="7"/>
        <v>0.17709286288177023</v>
      </c>
      <c r="F228" s="586">
        <v>228.17730343397201</v>
      </c>
      <c r="G228" s="585">
        <v>8.9760000000000009</v>
      </c>
      <c r="H228" s="251">
        <v>64535</v>
      </c>
      <c r="I228" s="581"/>
      <c r="J228" s="1976">
        <v>332042</v>
      </c>
      <c r="K228" s="589">
        <f t="shared" si="6"/>
        <v>0.19435794266990319</v>
      </c>
      <c r="L228" s="584">
        <v>87.189667821620048</v>
      </c>
      <c r="M228" s="587">
        <v>6.5216506679175676</v>
      </c>
      <c r="N228" s="201"/>
    </row>
    <row r="229" spans="1:14">
      <c r="A229" s="63">
        <f t="shared" si="5"/>
        <v>2012.04</v>
      </c>
      <c r="B229" s="778">
        <v>156496.02637919292</v>
      </c>
      <c r="C229" s="782"/>
      <c r="D229" s="1976">
        <v>854388</v>
      </c>
      <c r="E229" s="657">
        <f t="shared" si="7"/>
        <v>0.18316739745782118</v>
      </c>
      <c r="F229" s="586">
        <v>227.34252314219816</v>
      </c>
      <c r="G229" s="585">
        <v>8.4410000000000007</v>
      </c>
      <c r="H229" s="251">
        <v>55782</v>
      </c>
      <c r="I229" s="581"/>
      <c r="J229" s="1976">
        <v>303752</v>
      </c>
      <c r="K229" s="589">
        <f t="shared" si="6"/>
        <v>0.18364323527087886</v>
      </c>
      <c r="L229" s="584">
        <v>88.809423999075619</v>
      </c>
      <c r="M229" s="587">
        <v>6.5638271843161471</v>
      </c>
      <c r="N229" s="201"/>
    </row>
    <row r="230" spans="1:14">
      <c r="A230" s="63">
        <f t="shared" si="5"/>
        <v>2012.05</v>
      </c>
      <c r="B230" s="778">
        <v>177094.80444221525</v>
      </c>
      <c r="C230" s="782"/>
      <c r="D230" s="1976">
        <v>973060</v>
      </c>
      <c r="E230" s="657">
        <f t="shared" si="7"/>
        <v>0.18199782587118496</v>
      </c>
      <c r="F230" s="586">
        <v>227.95241548304568</v>
      </c>
      <c r="G230" s="585">
        <v>8.5069999999999997</v>
      </c>
      <c r="H230" s="251">
        <v>65648</v>
      </c>
      <c r="I230" s="581"/>
      <c r="J230" s="1976">
        <v>339669</v>
      </c>
      <c r="K230" s="589">
        <f t="shared" si="6"/>
        <v>0.19327050746461996</v>
      </c>
      <c r="L230" s="584">
        <v>88.972774329723336</v>
      </c>
      <c r="M230" s="587">
        <v>6.4718445130100726</v>
      </c>
      <c r="N230" s="201"/>
    </row>
    <row r="231" spans="1:14">
      <c r="A231" s="63">
        <f t="shared" si="5"/>
        <v>2012.06</v>
      </c>
      <c r="B231" s="778">
        <v>162390.57697060134</v>
      </c>
      <c r="C231" s="782"/>
      <c r="D231" s="1976">
        <v>879179</v>
      </c>
      <c r="E231" s="657">
        <f t="shared" si="7"/>
        <v>0.18470706985790303</v>
      </c>
      <c r="F231" s="586">
        <v>226.2262686324847</v>
      </c>
      <c r="G231" s="585">
        <v>8.173</v>
      </c>
      <c r="H231" s="251">
        <v>59213</v>
      </c>
      <c r="I231" s="581"/>
      <c r="J231" s="1976">
        <v>318305</v>
      </c>
      <c r="K231" s="589">
        <f t="shared" si="6"/>
        <v>0.18602598137006959</v>
      </c>
      <c r="L231" s="584">
        <v>88.813292753810373</v>
      </c>
      <c r="M231" s="587">
        <v>6.7603041161456598</v>
      </c>
      <c r="N231" s="201"/>
    </row>
    <row r="232" spans="1:14">
      <c r="A232" s="63">
        <f t="shared" si="5"/>
        <v>2012.07</v>
      </c>
      <c r="B232" s="778">
        <v>169704.26596152823</v>
      </c>
      <c r="C232" s="782"/>
      <c r="D232" s="1976">
        <v>986917</v>
      </c>
      <c r="E232" s="657">
        <f t="shared" si="7"/>
        <v>0.17195393935004488</v>
      </c>
      <c r="F232" s="586">
        <v>227.34283731735829</v>
      </c>
      <c r="G232" s="585">
        <v>7.5149999999999997</v>
      </c>
      <c r="H232" s="251">
        <v>53040</v>
      </c>
      <c r="I232" s="581"/>
      <c r="J232" s="1976">
        <v>335156</v>
      </c>
      <c r="K232" s="589">
        <f t="shared" si="6"/>
        <v>0.1582546634999821</v>
      </c>
      <c r="L232" s="584">
        <v>88.533740133710296</v>
      </c>
      <c r="M232" s="587">
        <v>6.8912749451467974</v>
      </c>
      <c r="N232" s="201"/>
    </row>
    <row r="233" spans="1:14">
      <c r="A233" s="63">
        <f t="shared" si="5"/>
        <v>2012.08</v>
      </c>
      <c r="B233" s="778">
        <v>168194.24904033184</v>
      </c>
      <c r="C233" s="782"/>
      <c r="D233" s="1976">
        <v>959129</v>
      </c>
      <c r="E233" s="657">
        <f t="shared" si="7"/>
        <v>0.17536144672961806</v>
      </c>
      <c r="F233" s="586">
        <v>225.34597537705415</v>
      </c>
      <c r="G233" s="585">
        <v>7.8520000000000003</v>
      </c>
      <c r="H233" s="251">
        <v>52676</v>
      </c>
      <c r="I233" s="581"/>
      <c r="J233" s="1976">
        <v>308693</v>
      </c>
      <c r="K233" s="589">
        <f t="shared" si="6"/>
        <v>0.17064202945968973</v>
      </c>
      <c r="L233" s="584">
        <v>86.905940847376669</v>
      </c>
      <c r="M233" s="587">
        <v>7.1535408389220949</v>
      </c>
      <c r="N233" s="201"/>
    </row>
    <row r="234" spans="1:14">
      <c r="A234" s="63">
        <f t="shared" si="5"/>
        <v>2012.09</v>
      </c>
      <c r="B234" s="778">
        <v>165567.90188021504</v>
      </c>
      <c r="C234" s="782"/>
      <c r="D234" s="1976">
        <v>943421</v>
      </c>
      <c r="E234" s="657">
        <f t="shared" si="7"/>
        <v>0.17549736743215918</v>
      </c>
      <c r="F234" s="586">
        <v>224.05981113682688</v>
      </c>
      <c r="G234" s="585">
        <v>7.8330000000000002</v>
      </c>
      <c r="H234" s="251">
        <v>55167</v>
      </c>
      <c r="I234" s="581"/>
      <c r="J234" s="1976">
        <v>304750</v>
      </c>
      <c r="K234" s="589">
        <f t="shared" si="6"/>
        <v>0.18102378999179655</v>
      </c>
      <c r="L234" s="584">
        <v>87.513978036686638</v>
      </c>
      <c r="M234" s="587">
        <v>7.2366976488661106</v>
      </c>
      <c r="N234" s="201"/>
    </row>
    <row r="235" spans="1:14">
      <c r="A235" s="63">
        <f t="shared" si="5"/>
        <v>2012.1</v>
      </c>
      <c r="B235" s="778">
        <v>179122.86361705165</v>
      </c>
      <c r="C235" s="782"/>
      <c r="D235" s="1976">
        <v>1038946</v>
      </c>
      <c r="E235" s="657">
        <f t="shared" si="7"/>
        <v>0.17240825184085762</v>
      </c>
      <c r="F235" s="586">
        <v>222.73645396007367</v>
      </c>
      <c r="G235" s="585">
        <v>7.9480000000000004</v>
      </c>
      <c r="H235" s="251">
        <v>50835</v>
      </c>
      <c r="I235" s="581"/>
      <c r="J235" s="1976">
        <v>352152</v>
      </c>
      <c r="K235" s="589">
        <f t="shared" si="6"/>
        <v>0.144355278402508</v>
      </c>
      <c r="L235" s="584">
        <v>87.245910563609058</v>
      </c>
      <c r="M235" s="587">
        <v>7.3252240028392803</v>
      </c>
      <c r="N235" s="201"/>
    </row>
    <row r="236" spans="1:14">
      <c r="A236" s="63">
        <f t="shared" si="5"/>
        <v>2012.11</v>
      </c>
      <c r="B236" s="778">
        <v>163194.1205620089</v>
      </c>
      <c r="C236" s="782"/>
      <c r="D236" s="1976">
        <v>995958</v>
      </c>
      <c r="E236" s="657">
        <f t="shared" si="7"/>
        <v>0.16385642824497509</v>
      </c>
      <c r="F236" s="586">
        <v>223.64966568292002</v>
      </c>
      <c r="G236" s="585">
        <v>7.6040000000000001</v>
      </c>
      <c r="H236" s="591">
        <f>AVERAGE(K224,K248)*J236</f>
        <v>73860.694241470235</v>
      </c>
      <c r="I236" s="581"/>
      <c r="J236" s="1976">
        <v>342330</v>
      </c>
      <c r="K236" s="583">
        <f t="shared" si="6"/>
        <v>0.21575875395516092</v>
      </c>
      <c r="L236" s="584">
        <v>85.736401136448322</v>
      </c>
      <c r="M236" s="587">
        <v>7.4914102667803633</v>
      </c>
      <c r="N236" s="201"/>
    </row>
    <row r="237" spans="1:14">
      <c r="A237" s="63">
        <f t="shared" si="5"/>
        <v>2012.12</v>
      </c>
      <c r="B237" s="778">
        <v>153686.20041596718</v>
      </c>
      <c r="C237" s="782"/>
      <c r="D237" s="1976">
        <v>987609</v>
      </c>
      <c r="E237" s="657">
        <f t="shared" si="7"/>
        <v>0.15561441867780385</v>
      </c>
      <c r="F237" s="586">
        <v>222.21992691313437</v>
      </c>
      <c r="G237" s="585">
        <v>7.8620000000000001</v>
      </c>
      <c r="H237" s="591">
        <f>AVERAGE(K225,K249)*J237</f>
        <v>68165.787420910303</v>
      </c>
      <c r="I237" s="581"/>
      <c r="J237" s="1976">
        <v>341081</v>
      </c>
      <c r="K237" s="583">
        <f t="shared" si="6"/>
        <v>0.19985219763314374</v>
      </c>
      <c r="L237" s="584">
        <v>81.863965800958709</v>
      </c>
      <c r="M237" s="587">
        <v>7.3129994545950376</v>
      </c>
      <c r="N237" s="201"/>
    </row>
    <row r="238" spans="1:14">
      <c r="A238" s="63">
        <f t="shared" si="5"/>
        <v>2013.01</v>
      </c>
      <c r="B238" s="778">
        <v>169179.650065833</v>
      </c>
      <c r="C238" s="782"/>
      <c r="D238" s="1976">
        <v>1060153</v>
      </c>
      <c r="E238" s="657">
        <f t="shared" si="7"/>
        <v>0.15958040968221851</v>
      </c>
      <c r="F238" s="586">
        <v>226.58999541576034</v>
      </c>
      <c r="G238" s="585">
        <v>8.2650000000000006</v>
      </c>
      <c r="H238" s="572">
        <v>76013</v>
      </c>
      <c r="I238" s="349">
        <v>326753</v>
      </c>
      <c r="J238" s="1976">
        <v>365158</v>
      </c>
      <c r="K238" s="2792">
        <f>H238/I238</f>
        <v>0.23263137599348743</v>
      </c>
      <c r="L238" s="584">
        <v>85.878922110251722</v>
      </c>
      <c r="M238" s="587">
        <v>7.592913737939309</v>
      </c>
      <c r="N238" s="1982"/>
    </row>
    <row r="239" spans="1:14">
      <c r="A239" s="63">
        <f t="shared" si="5"/>
        <v>2013.02</v>
      </c>
      <c r="B239" s="778">
        <v>148185.14471935661</v>
      </c>
      <c r="C239" s="782"/>
      <c r="D239" s="1976">
        <v>969251</v>
      </c>
      <c r="E239" s="657">
        <f t="shared" si="7"/>
        <v>0.15288624383091337</v>
      </c>
      <c r="F239" s="586">
        <v>225.34486938883737</v>
      </c>
      <c r="G239" s="585">
        <v>9.0739999999999998</v>
      </c>
      <c r="H239" s="573">
        <v>68589</v>
      </c>
      <c r="I239" s="573">
        <v>305300</v>
      </c>
      <c r="J239" s="1976">
        <v>336332</v>
      </c>
      <c r="K239" s="590">
        <f t="shared" ref="K239:K302" si="8">H239/I239</f>
        <v>0.22466098919095973</v>
      </c>
      <c r="L239" s="584">
        <v>86.592568789350992</v>
      </c>
      <c r="M239" s="587">
        <v>7.5379687028783966</v>
      </c>
      <c r="N239" s="1982"/>
    </row>
    <row r="240" spans="1:14">
      <c r="A240" s="63">
        <f t="shared" si="5"/>
        <v>2013.03</v>
      </c>
      <c r="B240" s="778">
        <v>170749.32574898427</v>
      </c>
      <c r="C240" s="782"/>
      <c r="D240" s="1976">
        <v>970462</v>
      </c>
      <c r="E240" s="657">
        <f t="shared" si="7"/>
        <v>0.17594643144088512</v>
      </c>
      <c r="F240" s="586">
        <v>228.16362326770474</v>
      </c>
      <c r="G240" s="585">
        <v>8.6649999999999991</v>
      </c>
      <c r="H240" s="573">
        <v>75465</v>
      </c>
      <c r="I240" s="573">
        <v>338844</v>
      </c>
      <c r="J240" s="1976">
        <v>374171</v>
      </c>
      <c r="K240" s="590">
        <f t="shared" si="8"/>
        <v>0.22271310691645713</v>
      </c>
      <c r="L240" s="584">
        <v>88.316910549522618</v>
      </c>
      <c r="M240" s="587">
        <v>7.3998636310923223</v>
      </c>
      <c r="N240" s="1982"/>
    </row>
    <row r="241" spans="1:14">
      <c r="A241" s="63">
        <f t="shared" si="5"/>
        <v>2013.04</v>
      </c>
      <c r="B241" s="778">
        <v>181697.58759200905</v>
      </c>
      <c r="C241" s="782"/>
      <c r="D241" s="1976">
        <v>1045238</v>
      </c>
      <c r="E241" s="657">
        <f t="shared" si="7"/>
        <v>0.17383369872891058</v>
      </c>
      <c r="F241" s="586">
        <v>225.33542057925621</v>
      </c>
      <c r="G241" s="585">
        <v>8.4350000000000005</v>
      </c>
      <c r="H241" s="573">
        <v>77954</v>
      </c>
      <c r="I241" s="573">
        <v>362675</v>
      </c>
      <c r="J241" s="1976">
        <v>395605</v>
      </c>
      <c r="K241" s="590">
        <f t="shared" si="8"/>
        <v>0.21494175225753084</v>
      </c>
      <c r="L241" s="584">
        <v>91.031395396007639</v>
      </c>
      <c r="M241" s="587">
        <v>7.4722302798026101</v>
      </c>
      <c r="N241" s="1982"/>
    </row>
    <row r="242" spans="1:14">
      <c r="A242" s="63">
        <f t="shared" si="5"/>
        <v>2013.05</v>
      </c>
      <c r="B242" s="778">
        <v>188820.72065323498</v>
      </c>
      <c r="C242" s="782"/>
      <c r="D242" s="1976">
        <v>1058122</v>
      </c>
      <c r="E242" s="657">
        <f t="shared" si="7"/>
        <v>0.17844891293559248</v>
      </c>
      <c r="F242" s="586">
        <v>226.61728762589533</v>
      </c>
      <c r="G242" s="585">
        <v>8.2420000000000009</v>
      </c>
      <c r="H242" s="573">
        <v>82088</v>
      </c>
      <c r="I242" s="573">
        <v>372993</v>
      </c>
      <c r="J242" s="1976">
        <v>411975</v>
      </c>
      <c r="K242" s="590">
        <f t="shared" si="8"/>
        <v>0.22007919719673025</v>
      </c>
      <c r="L242" s="584">
        <v>91.682793716575489</v>
      </c>
      <c r="M242" s="587">
        <v>7.4211209139187897</v>
      </c>
      <c r="N242" s="1982"/>
    </row>
    <row r="243" spans="1:14">
      <c r="A243" s="63">
        <f t="shared" si="5"/>
        <v>2013.06</v>
      </c>
      <c r="B243" s="778">
        <v>173709.71329844272</v>
      </c>
      <c r="C243" s="782"/>
      <c r="D243" s="1976">
        <v>989779</v>
      </c>
      <c r="E243" s="657">
        <f t="shared" si="7"/>
        <v>0.17550353492895152</v>
      </c>
      <c r="F243" s="586">
        <v>225.51076706089646</v>
      </c>
      <c r="G243" s="585">
        <v>8.234</v>
      </c>
      <c r="H243" s="573">
        <v>69090</v>
      </c>
      <c r="I243" s="573">
        <v>331901</v>
      </c>
      <c r="J243" s="1976">
        <v>371801</v>
      </c>
      <c r="K243" s="590">
        <f t="shared" si="8"/>
        <v>0.20816448278251648</v>
      </c>
      <c r="L243" s="584">
        <v>91.055263684061742</v>
      </c>
      <c r="M243" s="587">
        <v>7.3327906190814813</v>
      </c>
      <c r="N243" s="1982"/>
    </row>
    <row r="244" spans="1:14">
      <c r="A244" s="63">
        <f t="shared" si="5"/>
        <v>2013.07</v>
      </c>
      <c r="B244" s="778">
        <v>195150.15675784441</v>
      </c>
      <c r="C244" s="782"/>
      <c r="D244" s="1976">
        <v>1133757</v>
      </c>
      <c r="E244" s="657">
        <f t="shared" si="7"/>
        <v>0.17212696967502245</v>
      </c>
      <c r="F244" s="586">
        <v>226.97650819355468</v>
      </c>
      <c r="G244" s="585">
        <v>8.1720000000000006</v>
      </c>
      <c r="H244" s="573">
        <v>91753</v>
      </c>
      <c r="I244" s="573">
        <v>403533</v>
      </c>
      <c r="J244" s="1976">
        <v>421748</v>
      </c>
      <c r="K244" s="590">
        <f t="shared" si="8"/>
        <v>0.22737421722634829</v>
      </c>
      <c r="L244" s="584">
        <v>90.268699303558293</v>
      </c>
      <c r="M244" s="587">
        <v>7.1868866799478859</v>
      </c>
      <c r="N244" s="1982"/>
    </row>
    <row r="245" spans="1:14">
      <c r="A245" s="63">
        <f t="shared" si="5"/>
        <v>2013.08</v>
      </c>
      <c r="B245" s="778">
        <v>184404.85240638207</v>
      </c>
      <c r="C245" s="782"/>
      <c r="D245" s="1976">
        <v>1049659</v>
      </c>
      <c r="E245" s="657">
        <f t="shared" si="7"/>
        <v>0.17568072336480903</v>
      </c>
      <c r="F245" s="586">
        <v>227.22483396988926</v>
      </c>
      <c r="G245" s="585">
        <v>8.6010000000000009</v>
      </c>
      <c r="H245" s="573">
        <v>85725</v>
      </c>
      <c r="I245" s="573">
        <v>372746</v>
      </c>
      <c r="J245" s="1976">
        <v>410133</v>
      </c>
      <c r="K245" s="590">
        <f t="shared" si="8"/>
        <v>0.22998234722840755</v>
      </c>
      <c r="L245" s="584">
        <v>89.675148965575744</v>
      </c>
      <c r="M245" s="587">
        <v>7.2976694144359815</v>
      </c>
      <c r="N245" s="1982"/>
    </row>
    <row r="246" spans="1:14">
      <c r="A246" s="63">
        <f t="shared" si="5"/>
        <v>2013.09</v>
      </c>
      <c r="B246" s="778">
        <v>185407.55801644627</v>
      </c>
      <c r="C246" s="782"/>
      <c r="D246" s="1976">
        <v>1071109</v>
      </c>
      <c r="E246" s="657">
        <f t="shared" si="7"/>
        <v>0.17309868371607956</v>
      </c>
      <c r="F246" s="586">
        <v>224.21299026243804</v>
      </c>
      <c r="G246" s="585">
        <v>8.718</v>
      </c>
      <c r="H246" s="573">
        <v>86313</v>
      </c>
      <c r="I246" s="573">
        <v>367609</v>
      </c>
      <c r="J246" s="1976">
        <v>411540</v>
      </c>
      <c r="K246" s="590">
        <f t="shared" si="8"/>
        <v>0.23479566604734922</v>
      </c>
      <c r="L246" s="584">
        <v>87.803142511878789</v>
      </c>
      <c r="M246" s="587">
        <v>7.4244111851147068</v>
      </c>
      <c r="N246" s="1982"/>
    </row>
    <row r="247" spans="1:14">
      <c r="A247" s="63">
        <f t="shared" si="5"/>
        <v>2013.1</v>
      </c>
      <c r="B247" s="778">
        <v>185602.34349435419</v>
      </c>
      <c r="C247" s="782"/>
      <c r="D247" s="1976">
        <v>1161800</v>
      </c>
      <c r="E247" s="657">
        <f t="shared" si="7"/>
        <v>0.15975412592042881</v>
      </c>
      <c r="F247" s="586">
        <v>220.18350662764675</v>
      </c>
      <c r="G247" s="585">
        <v>9.26</v>
      </c>
      <c r="H247" s="573">
        <v>89202</v>
      </c>
      <c r="I247" s="573">
        <v>378922</v>
      </c>
      <c r="J247" s="1976">
        <v>429360</v>
      </c>
      <c r="K247" s="590">
        <f t="shared" si="8"/>
        <v>0.23540992605338301</v>
      </c>
      <c r="L247" s="584">
        <v>86.32018504249946</v>
      </c>
      <c r="M247" s="587">
        <v>7.6010164937623914</v>
      </c>
      <c r="N247" s="1982"/>
    </row>
    <row r="248" spans="1:14">
      <c r="A248" s="63">
        <f t="shared" si="5"/>
        <v>2013.11</v>
      </c>
      <c r="B248" s="778">
        <v>166919.32746638497</v>
      </c>
      <c r="C248" s="782"/>
      <c r="D248" s="1976">
        <v>1030823</v>
      </c>
      <c r="E248" s="657">
        <f t="shared" si="7"/>
        <v>0.16192821412248753</v>
      </c>
      <c r="F248" s="586">
        <v>218.26333618865701</v>
      </c>
      <c r="G248" s="585">
        <v>10.584</v>
      </c>
      <c r="H248" s="573">
        <v>87803</v>
      </c>
      <c r="I248" s="573">
        <v>379432</v>
      </c>
      <c r="J248" s="1976">
        <v>414581</v>
      </c>
      <c r="K248" s="590">
        <f t="shared" si="8"/>
        <v>0.23140641801429504</v>
      </c>
      <c r="L248" s="584">
        <v>85.713559225358665</v>
      </c>
      <c r="M248" s="587">
        <v>7.8712201607542145</v>
      </c>
      <c r="N248" s="1982"/>
    </row>
    <row r="249" spans="1:14">
      <c r="A249" s="63">
        <f t="shared" si="5"/>
        <v>2013.12</v>
      </c>
      <c r="B249" s="778">
        <v>168835.26161365194</v>
      </c>
      <c r="C249" s="782"/>
      <c r="D249" s="1976">
        <v>1085358</v>
      </c>
      <c r="E249" s="657">
        <f t="shared" si="7"/>
        <v>0.15555720933890194</v>
      </c>
      <c r="F249" s="586">
        <v>216.98692597281268</v>
      </c>
      <c r="G249" s="585">
        <v>10.669</v>
      </c>
      <c r="H249" s="573">
        <v>92807</v>
      </c>
      <c r="I249" s="573">
        <v>425804</v>
      </c>
      <c r="J249" s="1976">
        <v>463095</v>
      </c>
      <c r="K249" s="590">
        <f t="shared" si="8"/>
        <v>0.21795708823778076</v>
      </c>
      <c r="L249" s="584">
        <v>82.694848386044995</v>
      </c>
      <c r="M249" s="587">
        <v>8.5259896750015169</v>
      </c>
      <c r="N249" s="1982"/>
    </row>
    <row r="250" spans="1:14">
      <c r="A250" s="63">
        <f t="shared" si="5"/>
        <v>2014.01</v>
      </c>
      <c r="B250" s="778">
        <v>170457.56841823278</v>
      </c>
      <c r="C250" s="782"/>
      <c r="D250" s="1976">
        <v>1052691</v>
      </c>
      <c r="E250" s="657">
        <f t="shared" si="7"/>
        <v>0.16192554930006314</v>
      </c>
      <c r="F250" s="586">
        <v>219.39900683636751</v>
      </c>
      <c r="G250" s="585">
        <v>11.348000000000001</v>
      </c>
      <c r="H250" s="573">
        <v>88223</v>
      </c>
      <c r="I250" s="573">
        <v>373933</v>
      </c>
      <c r="J250" s="1976">
        <v>398238</v>
      </c>
      <c r="K250" s="590">
        <f t="shared" si="8"/>
        <v>0.23593264033931213</v>
      </c>
      <c r="L250" s="584">
        <v>84.607945698426533</v>
      </c>
      <c r="M250" s="587">
        <v>9.0373274888222994</v>
      </c>
      <c r="N250" s="1982"/>
    </row>
    <row r="251" spans="1:14">
      <c r="A251" s="63">
        <f t="shared" si="5"/>
        <v>2014.02</v>
      </c>
      <c r="B251" s="778">
        <v>148885.98845479172</v>
      </c>
      <c r="C251" s="782"/>
      <c r="D251" s="1976">
        <v>935531</v>
      </c>
      <c r="E251" s="657">
        <f t="shared" si="7"/>
        <v>0.15914596999435798</v>
      </c>
      <c r="F251" s="586">
        <v>218.26774389206309</v>
      </c>
      <c r="G251" s="585">
        <v>13.018000000000001</v>
      </c>
      <c r="H251" s="573">
        <v>82417</v>
      </c>
      <c r="I251" s="573">
        <v>358488</v>
      </c>
      <c r="J251" s="1976">
        <v>367229</v>
      </c>
      <c r="K251" s="590">
        <f t="shared" si="8"/>
        <v>0.2299016982437348</v>
      </c>
      <c r="L251" s="584">
        <v>85.159886514351484</v>
      </c>
      <c r="M251" s="587">
        <v>10.319241916747337</v>
      </c>
      <c r="N251" s="1982"/>
    </row>
    <row r="252" spans="1:14">
      <c r="A252" s="63">
        <f t="shared" si="5"/>
        <v>2014.03</v>
      </c>
      <c r="B252" s="778">
        <v>168851.34010431598</v>
      </c>
      <c r="C252" s="782"/>
      <c r="D252" s="1976">
        <v>996409</v>
      </c>
      <c r="E252" s="657">
        <f t="shared" si="7"/>
        <v>0.16945987049927888</v>
      </c>
      <c r="F252" s="586">
        <v>219.99335019706581</v>
      </c>
      <c r="G252" s="585">
        <v>12.7</v>
      </c>
      <c r="H252" s="573">
        <v>90485</v>
      </c>
      <c r="I252" s="573">
        <v>389436</v>
      </c>
      <c r="J252" s="1976">
        <v>430707</v>
      </c>
      <c r="K252" s="590">
        <f t="shared" si="8"/>
        <v>0.23234883267083681</v>
      </c>
      <c r="L252" s="584">
        <v>87.842090000344086</v>
      </c>
      <c r="M252" s="587">
        <v>10.36320771026929</v>
      </c>
      <c r="N252" s="1982"/>
    </row>
    <row r="253" spans="1:14">
      <c r="A253" s="63">
        <f t="shared" si="5"/>
        <v>2014.04</v>
      </c>
      <c r="B253" s="778">
        <v>164569.00260276909</v>
      </c>
      <c r="C253" s="782"/>
      <c r="D253" s="1976">
        <v>991565</v>
      </c>
      <c r="E253" s="657">
        <f t="shared" si="7"/>
        <v>0.16596895070193995</v>
      </c>
      <c r="F253" s="586">
        <v>220.46161050707246</v>
      </c>
      <c r="G253" s="585">
        <v>12.76</v>
      </c>
      <c r="H253" s="573">
        <v>93947</v>
      </c>
      <c r="I253" s="573">
        <v>401547</v>
      </c>
      <c r="J253" s="1976">
        <v>400829</v>
      </c>
      <c r="K253" s="590">
        <f t="shared" si="8"/>
        <v>0.23396264945323961</v>
      </c>
      <c r="L253" s="584">
        <v>89.319778094785235</v>
      </c>
      <c r="M253" s="587">
        <v>10.421899190485178</v>
      </c>
      <c r="N253" s="1982"/>
    </row>
    <row r="254" spans="1:14">
      <c r="A254" s="63">
        <f t="shared" ref="A254:A317" si="9">A242+1</f>
        <v>2014.05</v>
      </c>
      <c r="B254" s="778">
        <v>172299.07094484256</v>
      </c>
      <c r="C254" s="782"/>
      <c r="D254" s="1976">
        <v>1000823</v>
      </c>
      <c r="E254" s="657">
        <f t="shared" si="7"/>
        <v>0.17215738541664466</v>
      </c>
      <c r="F254" s="586">
        <v>224.94269541720126</v>
      </c>
      <c r="G254" s="585">
        <v>12.833</v>
      </c>
      <c r="H254" s="573">
        <v>94442</v>
      </c>
      <c r="I254" s="573">
        <v>422122</v>
      </c>
      <c r="J254" s="1976">
        <v>446633</v>
      </c>
      <c r="K254" s="590">
        <f t="shared" si="8"/>
        <v>0.22373152785213754</v>
      </c>
      <c r="L254" s="584">
        <v>90.514754052596871</v>
      </c>
      <c r="M254" s="587">
        <v>10.685502860370026</v>
      </c>
      <c r="N254" s="1982"/>
    </row>
    <row r="255" spans="1:14">
      <c r="A255" s="63">
        <f t="shared" si="9"/>
        <v>2014.06</v>
      </c>
      <c r="B255" s="778">
        <v>177613.7855081906</v>
      </c>
      <c r="C255" s="782"/>
      <c r="D255" s="1976">
        <v>1019093</v>
      </c>
      <c r="E255" s="657">
        <f t="shared" si="7"/>
        <v>0.17428614023272715</v>
      </c>
      <c r="F255" s="586">
        <v>223.06578270521319</v>
      </c>
      <c r="G255" s="585">
        <v>12.484999999999999</v>
      </c>
      <c r="H255" s="573">
        <v>87949</v>
      </c>
      <c r="I255" s="573">
        <v>401237</v>
      </c>
      <c r="J255" s="1976">
        <v>432264</v>
      </c>
      <c r="K255" s="590">
        <f t="shared" si="8"/>
        <v>0.21919464057402482</v>
      </c>
      <c r="L255" s="584">
        <v>89.698752719427048</v>
      </c>
      <c r="M255" s="587">
        <v>10.36320771026929</v>
      </c>
      <c r="N255" s="1982"/>
    </row>
    <row r="256" spans="1:14">
      <c r="A256" s="63">
        <f t="shared" si="9"/>
        <v>2014.07</v>
      </c>
      <c r="B256" s="778">
        <v>173205.95650119431</v>
      </c>
      <c r="C256" s="782"/>
      <c r="D256" s="1976">
        <v>1062187</v>
      </c>
      <c r="E256" s="657">
        <f t="shared" si="7"/>
        <v>0.16306540797542646</v>
      </c>
      <c r="F256" s="586">
        <v>221.13920019432385</v>
      </c>
      <c r="G256" s="585">
        <v>13.581</v>
      </c>
      <c r="H256" s="573">
        <v>96628</v>
      </c>
      <c r="I256" s="573">
        <v>425306</v>
      </c>
      <c r="J256" s="1976">
        <v>430783</v>
      </c>
      <c r="K256" s="590">
        <f t="shared" si="8"/>
        <v>0.22719641857862338</v>
      </c>
      <c r="L256" s="584">
        <v>89.445688010525004</v>
      </c>
      <c r="M256" s="587">
        <v>10.269257227461162</v>
      </c>
      <c r="N256" s="1982"/>
    </row>
    <row r="257" spans="1:14">
      <c r="A257" s="63">
        <f t="shared" si="9"/>
        <v>2014.08</v>
      </c>
      <c r="B257" s="778">
        <v>162479.14680557328</v>
      </c>
      <c r="C257" s="782"/>
      <c r="D257" s="1976">
        <v>958315</v>
      </c>
      <c r="E257" s="657">
        <f t="shared" si="7"/>
        <v>0.1695467010383572</v>
      </c>
      <c r="F257" s="586">
        <v>222.97923400600237</v>
      </c>
      <c r="G257" s="585">
        <v>15.180999999999999</v>
      </c>
      <c r="H257" s="573">
        <v>90853</v>
      </c>
      <c r="I257" s="573">
        <v>400986</v>
      </c>
      <c r="J257" s="1976">
        <v>427505</v>
      </c>
      <c r="K257" s="590">
        <f t="shared" si="8"/>
        <v>0.22657399510207338</v>
      </c>
      <c r="L257" s="584">
        <v>89.072188636663071</v>
      </c>
      <c r="M257" s="587">
        <v>10.774730844075558</v>
      </c>
      <c r="N257" s="1982"/>
    </row>
    <row r="258" spans="1:14">
      <c r="A258" s="63">
        <f t="shared" si="9"/>
        <v>2014.09</v>
      </c>
      <c r="B258" s="778">
        <v>173178.47284806092</v>
      </c>
      <c r="C258" s="782"/>
      <c r="D258" s="1976">
        <v>1028455</v>
      </c>
      <c r="E258" s="657">
        <f t="shared" si="7"/>
        <v>0.16838702018859447</v>
      </c>
      <c r="F258" s="586">
        <v>224.88512530132471</v>
      </c>
      <c r="G258" s="585">
        <v>15.233000000000001</v>
      </c>
      <c r="H258" s="573">
        <v>98833</v>
      </c>
      <c r="I258" s="573">
        <v>436650</v>
      </c>
      <c r="J258" s="1976">
        <v>443929</v>
      </c>
      <c r="K258" s="590">
        <f t="shared" si="8"/>
        <v>0.22634375357838085</v>
      </c>
      <c r="L258" s="584">
        <v>88.572918144712446</v>
      </c>
      <c r="M258" s="587">
        <v>11.637967595158493</v>
      </c>
      <c r="N258" s="1982"/>
    </row>
    <row r="259" spans="1:14">
      <c r="A259" s="63">
        <f t="shared" si="9"/>
        <v>2014.1</v>
      </c>
      <c r="B259" s="778">
        <v>171429.52800000002</v>
      </c>
      <c r="C259" s="782"/>
      <c r="D259" s="1976">
        <v>1032708</v>
      </c>
      <c r="E259" s="788">
        <f t="shared" si="7"/>
        <v>0.16600000000000001</v>
      </c>
      <c r="F259" s="586">
        <v>224.60321972772047</v>
      </c>
      <c r="G259" s="585">
        <v>14.526999999999999</v>
      </c>
      <c r="H259" s="573">
        <v>98837</v>
      </c>
      <c r="I259" s="573">
        <v>435430</v>
      </c>
      <c r="J259" s="1976">
        <v>446474</v>
      </c>
      <c r="K259" s="590">
        <f t="shared" si="8"/>
        <v>0.22698711618400202</v>
      </c>
      <c r="L259" s="584">
        <v>86.972893429113554</v>
      </c>
      <c r="M259" s="587">
        <v>12.172931145637017</v>
      </c>
      <c r="N259" s="1982"/>
    </row>
    <row r="260" spans="1:14">
      <c r="A260" s="63">
        <f t="shared" si="9"/>
        <v>2014.11</v>
      </c>
      <c r="B260" s="778">
        <v>149623.19999999998</v>
      </c>
      <c r="C260" s="782"/>
      <c r="D260" s="1976">
        <v>997488</v>
      </c>
      <c r="E260" s="789">
        <f t="shared" si="7"/>
        <v>0.15</v>
      </c>
      <c r="F260" s="586">
        <v>223.51518303194914</v>
      </c>
      <c r="G260" s="585">
        <v>14.478</v>
      </c>
      <c r="H260" s="573">
        <v>85515</v>
      </c>
      <c r="I260" s="573">
        <v>389925</v>
      </c>
      <c r="J260" s="1976">
        <v>421620</v>
      </c>
      <c r="K260" s="590">
        <f t="shared" si="8"/>
        <v>0.21931140603962301</v>
      </c>
      <c r="L260" s="584">
        <v>84.867332764208086</v>
      </c>
      <c r="M260" s="587">
        <v>12.713914421020649</v>
      </c>
      <c r="N260" s="1982"/>
    </row>
    <row r="261" spans="1:14">
      <c r="A261" s="63">
        <f t="shared" si="9"/>
        <v>2014.12</v>
      </c>
      <c r="B261" s="778">
        <v>157959.802</v>
      </c>
      <c r="C261" s="782"/>
      <c r="D261" s="1976">
        <v>1025713</v>
      </c>
      <c r="E261" s="789">
        <f t="shared" si="7"/>
        <v>0.154</v>
      </c>
      <c r="F261" s="586">
        <v>220.3140144576565</v>
      </c>
      <c r="G261" s="585">
        <v>14.545999999999999</v>
      </c>
      <c r="H261" s="573">
        <v>99346</v>
      </c>
      <c r="I261" s="573">
        <v>449734</v>
      </c>
      <c r="J261" s="1976">
        <v>463939</v>
      </c>
      <c r="K261" s="590">
        <f t="shared" si="8"/>
        <v>0.22089946501709901</v>
      </c>
      <c r="L261" s="584">
        <v>82.04682816488733</v>
      </c>
      <c r="M261" s="587">
        <v>12.905963465919569</v>
      </c>
      <c r="N261" s="1982"/>
    </row>
    <row r="262" spans="1:14">
      <c r="A262" s="63">
        <f t="shared" si="9"/>
        <v>2015.01</v>
      </c>
      <c r="B262" s="778">
        <v>199334.46000000002</v>
      </c>
      <c r="C262" s="782"/>
      <c r="D262" s="1976">
        <v>1022228</v>
      </c>
      <c r="E262" s="789">
        <f t="shared" si="7"/>
        <v>0.19500000000000001</v>
      </c>
      <c r="F262" s="586">
        <v>224.70108851430075</v>
      </c>
      <c r="G262" s="585">
        <v>14.504</v>
      </c>
      <c r="H262" s="573">
        <v>95841</v>
      </c>
      <c r="I262" s="573">
        <v>399499</v>
      </c>
      <c r="J262" s="1976">
        <v>417548</v>
      </c>
      <c r="K262" s="590">
        <f t="shared" si="8"/>
        <v>0.2399029784805469</v>
      </c>
      <c r="L262" s="584">
        <v>85.568540851516659</v>
      </c>
      <c r="M262" s="587">
        <v>13.41</v>
      </c>
      <c r="N262" s="1982"/>
    </row>
    <row r="263" spans="1:14">
      <c r="A263" s="63">
        <f t="shared" si="9"/>
        <v>2015.02</v>
      </c>
      <c r="B263" s="778">
        <v>177812.28</v>
      </c>
      <c r="C263" s="782"/>
      <c r="D263" s="1976">
        <v>945810</v>
      </c>
      <c r="E263" s="789">
        <f t="shared" si="7"/>
        <v>0.188</v>
      </c>
      <c r="F263" s="586">
        <v>224.21387170784828</v>
      </c>
      <c r="G263" s="585">
        <v>15.364000000000001</v>
      </c>
      <c r="H263" s="573">
        <v>87456</v>
      </c>
      <c r="I263" s="573">
        <v>377165</v>
      </c>
      <c r="J263" s="1976">
        <v>394202</v>
      </c>
      <c r="K263" s="590">
        <f t="shared" si="8"/>
        <v>0.23187729508305382</v>
      </c>
      <c r="L263" s="584">
        <v>85.324249098077516</v>
      </c>
      <c r="M263" s="587">
        <v>13.61</v>
      </c>
      <c r="N263" s="1982"/>
    </row>
    <row r="264" spans="1:14">
      <c r="A264" s="63">
        <f t="shared" si="9"/>
        <v>2015.03</v>
      </c>
      <c r="B264" s="778">
        <v>196860.864</v>
      </c>
      <c r="C264" s="782"/>
      <c r="D264" s="1976">
        <v>1069896</v>
      </c>
      <c r="E264" s="789">
        <f t="shared" si="7"/>
        <v>0.184</v>
      </c>
      <c r="F264" s="586">
        <v>224.51040707656904</v>
      </c>
      <c r="G264" s="585">
        <v>15.351000000000001</v>
      </c>
      <c r="H264" s="573">
        <v>100734</v>
      </c>
      <c r="I264" s="573">
        <v>435329</v>
      </c>
      <c r="J264" s="1976">
        <v>452131</v>
      </c>
      <c r="K264" s="590">
        <f t="shared" si="8"/>
        <v>0.23139740288379593</v>
      </c>
      <c r="L264" s="584">
        <v>86.931722936260172</v>
      </c>
      <c r="M264" s="587">
        <v>13.14</v>
      </c>
      <c r="N264" s="1982"/>
    </row>
    <row r="265" spans="1:14">
      <c r="A265" s="63">
        <f t="shared" si="9"/>
        <v>2015.04</v>
      </c>
      <c r="B265" s="778">
        <v>184904.66399999999</v>
      </c>
      <c r="C265" s="782"/>
      <c r="D265" s="1976">
        <v>1010408</v>
      </c>
      <c r="E265" s="789">
        <f t="shared" si="7"/>
        <v>0.183</v>
      </c>
      <c r="F265" s="586">
        <v>225.29526418562025</v>
      </c>
      <c r="G265" s="585">
        <v>14.785</v>
      </c>
      <c r="H265" s="573">
        <v>95588</v>
      </c>
      <c r="I265" s="573">
        <v>434524</v>
      </c>
      <c r="J265" s="1976">
        <v>453275</v>
      </c>
      <c r="K265" s="590">
        <f t="shared" si="8"/>
        <v>0.21998324603474145</v>
      </c>
      <c r="L265" s="584">
        <v>89.500291483419474</v>
      </c>
      <c r="M265" s="587">
        <v>13.16</v>
      </c>
      <c r="N265" s="1982"/>
    </row>
    <row r="266" spans="1:14">
      <c r="A266" s="63">
        <f t="shared" si="9"/>
        <v>2015.05</v>
      </c>
      <c r="B266" s="778">
        <v>186169.01499999998</v>
      </c>
      <c r="C266" s="782"/>
      <c r="D266" s="1976">
        <v>1006319</v>
      </c>
      <c r="E266" s="789">
        <f t="shared" si="7"/>
        <v>0.185</v>
      </c>
      <c r="F266" s="586">
        <v>225.52166283095443</v>
      </c>
      <c r="G266" s="585">
        <v>14.981</v>
      </c>
      <c r="H266" s="573">
        <v>90866</v>
      </c>
      <c r="I266" s="573">
        <v>411726</v>
      </c>
      <c r="J266" s="1976">
        <v>450733</v>
      </c>
      <c r="K266" s="590">
        <f t="shared" si="8"/>
        <v>0.22069531678834953</v>
      </c>
      <c r="L266" s="584">
        <v>90.449312388763033</v>
      </c>
      <c r="M266" s="587">
        <v>12.75</v>
      </c>
      <c r="N266" s="1982"/>
    </row>
    <row r="267" spans="1:14">
      <c r="A267" s="63">
        <f t="shared" si="9"/>
        <v>2015.06</v>
      </c>
      <c r="B267" s="778">
        <v>208870.74000000002</v>
      </c>
      <c r="C267" s="782"/>
      <c r="D267" s="1976">
        <v>1071132</v>
      </c>
      <c r="E267" s="789">
        <f t="shared" ref="E267:E285" si="10">B267/D267</f>
        <v>0.19500000000000001</v>
      </c>
      <c r="F267" s="586">
        <v>225.16265020310271</v>
      </c>
      <c r="G267" s="585">
        <v>15.202999999999999</v>
      </c>
      <c r="H267" s="573">
        <v>95432</v>
      </c>
      <c r="I267" s="573">
        <v>442348</v>
      </c>
      <c r="J267" s="1976">
        <v>466867</v>
      </c>
      <c r="K267" s="590">
        <f t="shared" si="8"/>
        <v>0.21573964390027761</v>
      </c>
      <c r="L267" s="584">
        <v>90.397426578887547</v>
      </c>
      <c r="M267" s="587">
        <v>12.28</v>
      </c>
      <c r="N267" s="1982"/>
    </row>
    <row r="268" spans="1:14">
      <c r="A268" s="63">
        <f t="shared" si="9"/>
        <v>2015.07</v>
      </c>
      <c r="B268" s="778">
        <v>185067.53999999998</v>
      </c>
      <c r="C268" s="782"/>
      <c r="D268" s="1976">
        <v>1028153</v>
      </c>
      <c r="E268" s="789">
        <f t="shared" si="10"/>
        <v>0.18</v>
      </c>
      <c r="F268" s="586">
        <v>225.95133506394475</v>
      </c>
      <c r="G268" s="585">
        <v>16.103999999999999</v>
      </c>
      <c r="H268" s="573">
        <v>98379</v>
      </c>
      <c r="I268" s="573">
        <v>440807</v>
      </c>
      <c r="J268" s="1976">
        <v>455433</v>
      </c>
      <c r="K268" s="590">
        <f t="shared" si="8"/>
        <v>0.22317930522881896</v>
      </c>
      <c r="L268" s="584">
        <v>90.663985840489275</v>
      </c>
      <c r="M268" s="587">
        <v>11.87</v>
      </c>
      <c r="N268" s="1982"/>
    </row>
    <row r="269" spans="1:14">
      <c r="A269" s="63">
        <f t="shared" si="9"/>
        <v>2015.08</v>
      </c>
      <c r="B269" s="778">
        <v>180441.36</v>
      </c>
      <c r="C269" s="782"/>
      <c r="D269" s="1976">
        <v>1002452</v>
      </c>
      <c r="E269" s="789">
        <f t="shared" si="10"/>
        <v>0.18</v>
      </c>
      <c r="F269" s="586">
        <v>223.97110886994204</v>
      </c>
      <c r="G269" s="585">
        <v>16.989999999999998</v>
      </c>
      <c r="H269" s="573">
        <v>86869</v>
      </c>
      <c r="I269" s="573">
        <v>428422</v>
      </c>
      <c r="J269" s="1976">
        <v>469502</v>
      </c>
      <c r="K269" s="590">
        <f t="shared" si="8"/>
        <v>0.20276503074071828</v>
      </c>
      <c r="L269" s="584">
        <v>90.016178432179913</v>
      </c>
      <c r="M269" s="587">
        <v>11.78</v>
      </c>
      <c r="N269" s="1982"/>
    </row>
    <row r="270" spans="1:14">
      <c r="A270" s="63">
        <f t="shared" si="9"/>
        <v>2015.09</v>
      </c>
      <c r="B270" s="778">
        <v>180293.25600000002</v>
      </c>
      <c r="C270" s="782"/>
      <c r="D270" s="1976">
        <v>1066824</v>
      </c>
      <c r="E270" s="789">
        <f t="shared" si="10"/>
        <v>0.16900000000000001</v>
      </c>
      <c r="F270" s="586">
        <v>226.39406650575307</v>
      </c>
      <c r="G270" s="585">
        <v>17.039000000000001</v>
      </c>
      <c r="H270" s="573">
        <v>97339</v>
      </c>
      <c r="I270" s="573">
        <v>452837</v>
      </c>
      <c r="J270" s="1976">
        <v>479698</v>
      </c>
      <c r="K270" s="590">
        <f t="shared" si="8"/>
        <v>0.21495372507105207</v>
      </c>
      <c r="L270" s="584">
        <v>89.521112319813028</v>
      </c>
      <c r="M270" s="587">
        <v>11.89</v>
      </c>
      <c r="N270" s="1982"/>
    </row>
    <row r="271" spans="1:14">
      <c r="A271" s="63">
        <f t="shared" si="9"/>
        <v>2015.1</v>
      </c>
      <c r="B271" s="778">
        <v>173256.63219999999</v>
      </c>
      <c r="C271" s="782"/>
      <c r="D271" s="1976">
        <v>1009066</v>
      </c>
      <c r="E271" s="789">
        <f t="shared" si="10"/>
        <v>0.17169999999999999</v>
      </c>
      <c r="F271" s="586">
        <v>225.65484814670199</v>
      </c>
      <c r="G271" s="585">
        <v>17.927</v>
      </c>
      <c r="H271" s="573">
        <v>89095</v>
      </c>
      <c r="I271" s="573">
        <v>432710</v>
      </c>
      <c r="J271" s="1976">
        <v>488840</v>
      </c>
      <c r="K271" s="590">
        <f t="shared" si="8"/>
        <v>0.20590002542118277</v>
      </c>
      <c r="L271" s="584">
        <v>88.135793991099561</v>
      </c>
      <c r="M271" s="587">
        <v>12.11</v>
      </c>
      <c r="N271" s="1982"/>
    </row>
    <row r="272" spans="1:14">
      <c r="A272" s="63">
        <f t="shared" si="9"/>
        <v>2015.11</v>
      </c>
      <c r="B272" s="778">
        <v>151526.1876</v>
      </c>
      <c r="C272" s="782"/>
      <c r="D272" s="1976">
        <v>960242</v>
      </c>
      <c r="E272" s="789">
        <f t="shared" si="10"/>
        <v>0.1578</v>
      </c>
      <c r="F272" s="586">
        <v>226.49117046414293</v>
      </c>
      <c r="G272" s="585">
        <v>19.713999999999999</v>
      </c>
      <c r="H272" s="573">
        <v>92771</v>
      </c>
      <c r="I272" s="573">
        <v>448955</v>
      </c>
      <c r="J272" s="1976">
        <v>490229</v>
      </c>
      <c r="K272" s="590">
        <f t="shared" si="8"/>
        <v>0.2066376362887149</v>
      </c>
      <c r="L272" s="584">
        <v>85.091486458414778</v>
      </c>
      <c r="M272" s="587">
        <v>12.78</v>
      </c>
      <c r="N272" s="1982"/>
    </row>
    <row r="273" spans="1:17">
      <c r="A273" s="63">
        <f t="shared" si="9"/>
        <v>2015.12</v>
      </c>
      <c r="B273" s="778">
        <v>149527.25699999998</v>
      </c>
      <c r="C273" s="782"/>
      <c r="D273" s="1976">
        <v>964070</v>
      </c>
      <c r="E273" s="789">
        <f t="shared" si="10"/>
        <v>0.15509999999999999</v>
      </c>
      <c r="F273" s="586">
        <v>223.92024326059649</v>
      </c>
      <c r="G273" s="585">
        <v>22.555</v>
      </c>
      <c r="H273" s="573">
        <v>96378</v>
      </c>
      <c r="I273" s="573">
        <v>473034</v>
      </c>
      <c r="J273" s="1976">
        <v>505257</v>
      </c>
      <c r="K273" s="590">
        <f t="shared" si="8"/>
        <v>0.20374433973033651</v>
      </c>
      <c r="L273" s="584">
        <v>82.258730027492931</v>
      </c>
      <c r="M273" s="587">
        <v>13.64</v>
      </c>
      <c r="N273" s="1982"/>
      <c r="O273" s="201"/>
      <c r="P273" s="201"/>
      <c r="Q273" s="201"/>
    </row>
    <row r="274" spans="1:17">
      <c r="A274" s="63">
        <f t="shared" si="9"/>
        <v>2016.01</v>
      </c>
      <c r="B274" s="778">
        <v>166671.11230000001</v>
      </c>
      <c r="C274" s="782"/>
      <c r="D274" s="1976">
        <v>941113</v>
      </c>
      <c r="E274" s="789">
        <f t="shared" si="10"/>
        <v>0.17710000000000001</v>
      </c>
      <c r="F274" s="586">
        <v>225.66078329829332</v>
      </c>
      <c r="G274" s="585">
        <v>21.279</v>
      </c>
      <c r="H274" s="573">
        <v>84697</v>
      </c>
      <c r="I274" s="573">
        <v>411809</v>
      </c>
      <c r="J274" s="1976">
        <v>455627</v>
      </c>
      <c r="K274" s="590">
        <f t="shared" si="8"/>
        <v>0.20567059000653215</v>
      </c>
      <c r="L274" s="584">
        <v>73.401811696849492</v>
      </c>
      <c r="M274" s="587">
        <v>14.67</v>
      </c>
      <c r="N274" s="1982"/>
      <c r="O274" s="201"/>
      <c r="P274" s="201"/>
      <c r="Q274" s="201"/>
    </row>
    <row r="275" spans="1:17">
      <c r="A275" s="63">
        <f t="shared" si="9"/>
        <v>2016.02</v>
      </c>
      <c r="B275" s="778">
        <v>159328.5264</v>
      </c>
      <c r="C275" s="782"/>
      <c r="D275" s="1976">
        <v>913581</v>
      </c>
      <c r="E275" s="789">
        <f t="shared" si="10"/>
        <v>0.1744</v>
      </c>
      <c r="F275" s="586">
        <v>226.48486391317772</v>
      </c>
      <c r="G275" s="585">
        <v>22.103999999999999</v>
      </c>
      <c r="H275" s="573">
        <v>87845</v>
      </c>
      <c r="I275" s="573">
        <v>439781</v>
      </c>
      <c r="J275" s="1976">
        <v>443309</v>
      </c>
      <c r="K275" s="590">
        <f t="shared" si="8"/>
        <v>0.19974714687537662</v>
      </c>
      <c r="L275" s="584">
        <v>77.357688485859995</v>
      </c>
      <c r="M275" s="587">
        <v>14.88</v>
      </c>
      <c r="N275" s="1982"/>
      <c r="O275" s="201"/>
      <c r="P275" s="201"/>
      <c r="Q275" s="201"/>
    </row>
    <row r="276" spans="1:17">
      <c r="A276" s="63">
        <f t="shared" si="9"/>
        <v>2016.03</v>
      </c>
      <c r="B276" s="778">
        <v>176606.55800000002</v>
      </c>
      <c r="C276" s="782"/>
      <c r="D276" s="1976">
        <v>1010335</v>
      </c>
      <c r="E276" s="789">
        <f t="shared" si="10"/>
        <v>0.17480000000000001</v>
      </c>
      <c r="F276" s="586">
        <v>230.09032841153095</v>
      </c>
      <c r="G276" s="585">
        <v>21.942</v>
      </c>
      <c r="H276" s="573">
        <v>97013</v>
      </c>
      <c r="I276" s="573">
        <v>486626</v>
      </c>
      <c r="J276" s="1976">
        <v>518794</v>
      </c>
      <c r="K276" s="590">
        <f t="shared" si="8"/>
        <v>0.19935843954083834</v>
      </c>
      <c r="L276" s="584">
        <v>86.949309352562352</v>
      </c>
      <c r="M276" s="587">
        <v>14.74</v>
      </c>
      <c r="N276" s="1982"/>
      <c r="O276" s="201"/>
      <c r="P276" s="201"/>
      <c r="Q276" s="201"/>
    </row>
    <row r="277" spans="1:17">
      <c r="A277" s="63">
        <f t="shared" si="9"/>
        <v>2016.04</v>
      </c>
      <c r="B277" s="778">
        <v>148460.921</v>
      </c>
      <c r="C277" s="782"/>
      <c r="D277" s="1976">
        <v>902498</v>
      </c>
      <c r="E277" s="789">
        <f t="shared" si="10"/>
        <v>0.16450000000000001</v>
      </c>
      <c r="F277" s="586">
        <v>225.50509617238558</v>
      </c>
      <c r="G277" s="585">
        <v>23.507000000000001</v>
      </c>
      <c r="H277" s="573">
        <v>89711</v>
      </c>
      <c r="I277" s="573">
        <v>468882</v>
      </c>
      <c r="J277" s="1976">
        <v>477071</v>
      </c>
      <c r="K277" s="590">
        <f t="shared" si="8"/>
        <v>0.19132958825461416</v>
      </c>
      <c r="L277" s="584">
        <v>85.235397946604905</v>
      </c>
      <c r="M277" s="587">
        <v>14.61</v>
      </c>
      <c r="N277" s="1982"/>
      <c r="O277" s="201"/>
      <c r="P277" s="201"/>
      <c r="Q277" s="201"/>
    </row>
    <row r="278" spans="1:17">
      <c r="A278" s="63">
        <f t="shared" si="9"/>
        <v>2016.05</v>
      </c>
      <c r="B278" s="778">
        <v>172441.4307</v>
      </c>
      <c r="C278" s="782"/>
      <c r="D278" s="1976">
        <v>985943</v>
      </c>
      <c r="E278" s="789">
        <f t="shared" si="10"/>
        <v>0.1749</v>
      </c>
      <c r="F278" s="586">
        <v>225.72521697320855</v>
      </c>
      <c r="G278" s="585">
        <v>22.344999999999999</v>
      </c>
      <c r="H278" s="573">
        <v>98132</v>
      </c>
      <c r="I278" s="573">
        <v>501450</v>
      </c>
      <c r="J278" s="1976">
        <v>523687</v>
      </c>
      <c r="K278" s="590">
        <f t="shared" si="8"/>
        <v>0.19569648020739855</v>
      </c>
      <c r="L278" s="584">
        <v>93.172610395075068</v>
      </c>
      <c r="M278" s="587">
        <v>14.17</v>
      </c>
      <c r="N278" s="1982"/>
      <c r="O278" s="201"/>
      <c r="P278" s="201"/>
      <c r="Q278" s="201"/>
    </row>
    <row r="279" spans="1:17">
      <c r="A279" s="63">
        <f t="shared" si="9"/>
        <v>2016.06</v>
      </c>
      <c r="B279" s="778">
        <v>157357.7164</v>
      </c>
      <c r="C279" s="782"/>
      <c r="D279" s="1976">
        <v>946228</v>
      </c>
      <c r="E279" s="789">
        <f t="shared" si="10"/>
        <v>0.1663</v>
      </c>
      <c r="F279" s="586">
        <v>225.15146429009303</v>
      </c>
      <c r="G279" s="585">
        <v>23.63</v>
      </c>
      <c r="H279" s="573">
        <v>86294</v>
      </c>
      <c r="I279" s="573">
        <v>476158</v>
      </c>
      <c r="J279" s="1976">
        <v>488628</v>
      </c>
      <c r="K279" s="590">
        <f t="shared" si="8"/>
        <v>0.18122975986962311</v>
      </c>
      <c r="L279" s="584">
        <v>88.180072244775374</v>
      </c>
      <c r="M279" s="587">
        <v>13.94</v>
      </c>
      <c r="N279" s="1982"/>
      <c r="O279" s="201"/>
      <c r="P279" s="201"/>
      <c r="Q279" s="201"/>
    </row>
    <row r="280" spans="1:17">
      <c r="A280" s="63">
        <f t="shared" si="9"/>
        <v>2016.07</v>
      </c>
      <c r="B280" s="778">
        <v>160062.39250000002</v>
      </c>
      <c r="C280" s="782"/>
      <c r="D280" s="1976">
        <v>928975</v>
      </c>
      <c r="E280" s="789">
        <f t="shared" si="10"/>
        <v>0.17230000000000001</v>
      </c>
      <c r="F280" s="586">
        <v>225.66063456045336</v>
      </c>
      <c r="G280" s="585">
        <v>24.939</v>
      </c>
      <c r="H280" s="573">
        <v>89880</v>
      </c>
      <c r="I280" s="573">
        <v>480262</v>
      </c>
      <c r="J280" s="1976">
        <v>503998</v>
      </c>
      <c r="K280" s="590">
        <f t="shared" si="8"/>
        <v>0.18714784846604562</v>
      </c>
      <c r="L280" s="584">
        <v>90.479036673655884</v>
      </c>
      <c r="M280" s="587">
        <v>13.81</v>
      </c>
      <c r="N280" s="1982"/>
      <c r="O280" s="201"/>
      <c r="P280" s="201"/>
      <c r="Q280" s="201"/>
    </row>
    <row r="281" spans="1:17">
      <c r="A281" s="63">
        <f t="shared" si="9"/>
        <v>2016.08</v>
      </c>
      <c r="B281" s="778">
        <v>182785.856</v>
      </c>
      <c r="C281" s="782"/>
      <c r="D281" s="1976">
        <v>1038556</v>
      </c>
      <c r="E281" s="789">
        <f t="shared" si="10"/>
        <v>0.17599999999999999</v>
      </c>
      <c r="F281" s="586">
        <v>225.66765920688587</v>
      </c>
      <c r="G281" s="585">
        <v>25.132000000000001</v>
      </c>
      <c r="H281" s="573">
        <v>98768</v>
      </c>
      <c r="I281" s="573">
        <v>533794</v>
      </c>
      <c r="J281" s="1976">
        <v>531490</v>
      </c>
      <c r="K281" s="590">
        <f t="shared" si="8"/>
        <v>0.1850301801818679</v>
      </c>
      <c r="L281" s="584">
        <v>87.094776870434799</v>
      </c>
      <c r="M281" s="587">
        <v>14.67</v>
      </c>
      <c r="N281" s="1982"/>
      <c r="O281" s="201"/>
      <c r="P281" s="201"/>
      <c r="Q281" s="201"/>
    </row>
    <row r="282" spans="1:17">
      <c r="A282" s="63">
        <f t="shared" si="9"/>
        <v>2016.09</v>
      </c>
      <c r="B282" s="778">
        <v>166975.66739999998</v>
      </c>
      <c r="C282" s="782"/>
      <c r="D282" s="1976">
        <v>978182</v>
      </c>
      <c r="E282" s="789">
        <f t="shared" si="10"/>
        <v>0.17069999999999996</v>
      </c>
      <c r="F282" s="586">
        <v>227.49869553700819</v>
      </c>
      <c r="G282" s="585">
        <v>26.024999999999999</v>
      </c>
      <c r="H282" s="573">
        <v>89888</v>
      </c>
      <c r="I282" s="573">
        <v>476006</v>
      </c>
      <c r="J282" s="1976">
        <v>486206</v>
      </c>
      <c r="K282" s="590">
        <f t="shared" si="8"/>
        <v>0.18883795582408625</v>
      </c>
      <c r="L282" s="584">
        <v>87.134562169384424</v>
      </c>
      <c r="M282" s="587">
        <v>15.97</v>
      </c>
      <c r="N282" s="1982"/>
      <c r="O282" s="201"/>
      <c r="P282" s="201"/>
      <c r="Q282" s="201"/>
    </row>
    <row r="283" spans="1:17">
      <c r="A283" s="63">
        <f t="shared" si="9"/>
        <v>2016.1</v>
      </c>
      <c r="B283" s="778">
        <v>143725.23180000001</v>
      </c>
      <c r="C283" s="782"/>
      <c r="D283" s="1976">
        <v>977058</v>
      </c>
      <c r="E283" s="789">
        <f t="shared" si="10"/>
        <v>0.14710000000000001</v>
      </c>
      <c r="F283" s="586">
        <v>225.62905010744043</v>
      </c>
      <c r="G283" s="585">
        <v>24.978999999999999</v>
      </c>
      <c r="H283" s="573">
        <v>92216</v>
      </c>
      <c r="I283" s="573">
        <v>487568</v>
      </c>
      <c r="J283" s="1976">
        <v>519855</v>
      </c>
      <c r="K283" s="590">
        <f t="shared" si="8"/>
        <v>0.18913464378302103</v>
      </c>
      <c r="L283" s="584">
        <v>86.506742170819606</v>
      </c>
      <c r="M283" s="587">
        <v>17.149999999999999</v>
      </c>
      <c r="N283" s="1982"/>
      <c r="O283" s="201"/>
      <c r="P283" s="201"/>
      <c r="Q283" s="201"/>
    </row>
    <row r="284" spans="1:17">
      <c r="A284" s="63">
        <f t="shared" si="9"/>
        <v>2016.11</v>
      </c>
      <c r="B284" s="778">
        <v>164683.51999999999</v>
      </c>
      <c r="C284" s="782"/>
      <c r="D284" s="1976">
        <v>1029272</v>
      </c>
      <c r="E284" s="789">
        <f t="shared" si="10"/>
        <v>0.16</v>
      </c>
      <c r="F284" s="586">
        <v>227.0260529985508</v>
      </c>
      <c r="G284" s="585">
        <v>24.283000000000001</v>
      </c>
      <c r="H284" s="573">
        <v>95060</v>
      </c>
      <c r="I284" s="573">
        <v>489385</v>
      </c>
      <c r="J284" s="1976">
        <v>493708</v>
      </c>
      <c r="K284" s="590">
        <f t="shared" si="8"/>
        <v>0.19424379578450504</v>
      </c>
      <c r="L284" s="584">
        <v>86.706273240904409</v>
      </c>
      <c r="M284" s="587">
        <v>18.07</v>
      </c>
      <c r="N284" s="1982"/>
      <c r="O284" s="201"/>
      <c r="P284" s="201"/>
      <c r="Q284" s="201"/>
    </row>
    <row r="285" spans="1:17">
      <c r="A285" s="63">
        <f t="shared" si="9"/>
        <v>2016.12</v>
      </c>
      <c r="B285" s="778">
        <v>166168.69949999999</v>
      </c>
      <c r="C285" s="782"/>
      <c r="D285" s="1976">
        <v>1068609</v>
      </c>
      <c r="E285" s="789">
        <f t="shared" si="10"/>
        <v>0.1555</v>
      </c>
      <c r="F285" s="586">
        <v>224.46748777132791</v>
      </c>
      <c r="G285" s="585">
        <v>23.905999999999999</v>
      </c>
      <c r="H285" s="573">
        <v>98815</v>
      </c>
      <c r="I285" s="573">
        <v>537566</v>
      </c>
      <c r="J285" s="1976">
        <v>544188</v>
      </c>
      <c r="K285" s="590">
        <f t="shared" si="8"/>
        <v>0.18381928916635354</v>
      </c>
      <c r="L285" s="584">
        <v>83.655563651719035</v>
      </c>
      <c r="M285" s="587">
        <v>18.52</v>
      </c>
      <c r="N285" s="1982"/>
      <c r="O285" s="201"/>
      <c r="P285" s="201"/>
      <c r="Q285" s="201"/>
    </row>
    <row r="286" spans="1:17">
      <c r="A286" s="63">
        <f t="shared" si="9"/>
        <v>2017.01</v>
      </c>
      <c r="B286" s="779">
        <v>171334</v>
      </c>
      <c r="C286" s="784">
        <v>1026334</v>
      </c>
      <c r="D286" s="1976">
        <v>1042998</v>
      </c>
      <c r="E286" s="790">
        <f>B286/C286</f>
        <v>0.16693785843594774</v>
      </c>
      <c r="F286" s="2793">
        <v>225</v>
      </c>
      <c r="G286" s="585">
        <v>23.449000000000002</v>
      </c>
      <c r="H286" s="573">
        <v>96586</v>
      </c>
      <c r="I286" s="573">
        <v>475232</v>
      </c>
      <c r="J286" s="1976">
        <v>498345</v>
      </c>
      <c r="K286" s="590">
        <f t="shared" si="8"/>
        <v>0.20323968082957378</v>
      </c>
      <c r="L286" s="584">
        <v>85.276567460016594</v>
      </c>
      <c r="M286" s="587">
        <v>19.12</v>
      </c>
      <c r="N286" s="1982"/>
      <c r="O286" s="1147"/>
      <c r="P286" s="1410"/>
      <c r="Q286" s="1983"/>
    </row>
    <row r="287" spans="1:17">
      <c r="A287" s="63">
        <f t="shared" si="9"/>
        <v>2017.02</v>
      </c>
      <c r="B287" s="573">
        <v>147449.75</v>
      </c>
      <c r="C287" s="785">
        <v>891539</v>
      </c>
      <c r="D287" s="1976">
        <v>891443</v>
      </c>
      <c r="E287" s="787">
        <f t="shared" ref="E287:E317" si="11">B287/C287</f>
        <v>0.16538788544303726</v>
      </c>
      <c r="F287" s="592">
        <v>224</v>
      </c>
      <c r="G287" s="585">
        <v>25.24</v>
      </c>
      <c r="H287" s="573">
        <v>83047</v>
      </c>
      <c r="I287" s="573">
        <v>420655</v>
      </c>
      <c r="J287" s="1976">
        <v>441017</v>
      </c>
      <c r="K287" s="590">
        <f t="shared" si="8"/>
        <v>0.19742306640833937</v>
      </c>
      <c r="L287" s="584">
        <v>85.536831600317583</v>
      </c>
      <c r="M287" s="587">
        <v>19.100000000000001</v>
      </c>
      <c r="N287" s="1982"/>
      <c r="O287" s="1147"/>
      <c r="P287" s="1410"/>
      <c r="Q287" s="1983"/>
    </row>
    <row r="288" spans="1:17">
      <c r="A288" s="63">
        <f t="shared" si="9"/>
        <v>2017.03</v>
      </c>
      <c r="B288" s="573">
        <v>182424.5</v>
      </c>
      <c r="C288" s="785">
        <v>1119382.75</v>
      </c>
      <c r="D288" s="1976">
        <v>1119352</v>
      </c>
      <c r="E288" s="787">
        <f t="shared" si="11"/>
        <v>0.16296883259993064</v>
      </c>
      <c r="F288" s="592">
        <v>225</v>
      </c>
      <c r="G288" s="585">
        <v>26.934999999999999</v>
      </c>
      <c r="H288" s="573">
        <v>106990</v>
      </c>
      <c r="I288" s="573">
        <v>533804</v>
      </c>
      <c r="J288" s="1976">
        <v>533969</v>
      </c>
      <c r="K288" s="590">
        <f t="shared" si="8"/>
        <v>0.20042937108002187</v>
      </c>
      <c r="L288" s="584">
        <v>86.714604685184781</v>
      </c>
      <c r="M288" s="587">
        <v>19.079999999999998</v>
      </c>
      <c r="N288" s="1982"/>
      <c r="O288" s="1147"/>
      <c r="P288" s="1410"/>
      <c r="Q288" s="1983"/>
    </row>
    <row r="289" spans="1:19">
      <c r="A289" s="63">
        <f t="shared" si="9"/>
        <v>2017.04</v>
      </c>
      <c r="B289" s="573">
        <v>146450.5</v>
      </c>
      <c r="C289" s="785">
        <v>914039</v>
      </c>
      <c r="D289" s="1976">
        <v>926291</v>
      </c>
      <c r="E289" s="787">
        <f t="shared" si="11"/>
        <v>0.16022346967689563</v>
      </c>
      <c r="F289" s="592">
        <v>225</v>
      </c>
      <c r="G289" s="585">
        <v>26.741</v>
      </c>
      <c r="H289" s="573">
        <v>91786</v>
      </c>
      <c r="I289" s="573">
        <v>481817</v>
      </c>
      <c r="J289" s="1976">
        <v>498344</v>
      </c>
      <c r="K289" s="590">
        <f t="shared" si="8"/>
        <v>0.19049971254646475</v>
      </c>
      <c r="L289" s="584">
        <v>89.231265939694822</v>
      </c>
      <c r="M289" s="587">
        <v>19.13</v>
      </c>
      <c r="N289" s="1982"/>
      <c r="O289" s="1147"/>
      <c r="P289" s="1410"/>
      <c r="Q289" s="1983"/>
      <c r="R289" s="201"/>
      <c r="S289" s="201"/>
    </row>
    <row r="290" spans="1:19">
      <c r="A290" s="63">
        <f t="shared" si="9"/>
        <v>2017.05</v>
      </c>
      <c r="B290" s="573">
        <v>176071.75</v>
      </c>
      <c r="C290" s="785">
        <v>1058656.25</v>
      </c>
      <c r="D290" s="1976">
        <v>1061531</v>
      </c>
      <c r="E290" s="787">
        <f t="shared" si="11"/>
        <v>0.16631626177052278</v>
      </c>
      <c r="F290" s="592">
        <v>226</v>
      </c>
      <c r="G290" s="585">
        <v>25.698</v>
      </c>
      <c r="H290" s="573">
        <v>104404</v>
      </c>
      <c r="I290" s="573">
        <v>558663</v>
      </c>
      <c r="J290" s="1976">
        <v>577010</v>
      </c>
      <c r="K290" s="590">
        <f t="shared" si="8"/>
        <v>0.18688189480957215</v>
      </c>
      <c r="L290" s="584">
        <v>90.743400278880117</v>
      </c>
      <c r="M290" s="587">
        <v>19.07</v>
      </c>
      <c r="N290" s="1982"/>
      <c r="O290" s="1147"/>
      <c r="P290" s="1410"/>
      <c r="Q290" s="1983"/>
      <c r="R290" s="201"/>
      <c r="S290" s="201"/>
    </row>
    <row r="291" spans="1:19">
      <c r="A291" s="63">
        <f t="shared" si="9"/>
        <v>2017.06</v>
      </c>
      <c r="B291" s="573">
        <v>180300.25</v>
      </c>
      <c r="C291" s="785">
        <v>1041857.5</v>
      </c>
      <c r="D291" s="1976">
        <v>1041784</v>
      </c>
      <c r="E291" s="787">
        <f t="shared" si="11"/>
        <v>0.17305653604259699</v>
      </c>
      <c r="F291" s="592">
        <v>227</v>
      </c>
      <c r="G291" s="585">
        <v>25.309000000000001</v>
      </c>
      <c r="H291" s="573">
        <v>92962</v>
      </c>
      <c r="I291" s="573">
        <v>516125</v>
      </c>
      <c r="J291" s="1976">
        <v>531014</v>
      </c>
      <c r="K291" s="590">
        <f t="shared" si="8"/>
        <v>0.18011528215064179</v>
      </c>
      <c r="L291" s="584">
        <v>91.83138185198581</v>
      </c>
      <c r="M291" s="587">
        <v>18.89</v>
      </c>
      <c r="N291" s="1982"/>
      <c r="O291" s="1147"/>
      <c r="P291" s="1410"/>
      <c r="Q291" s="1983"/>
      <c r="R291" s="201"/>
      <c r="S291" s="201"/>
    </row>
    <row r="292" spans="1:19">
      <c r="A292" s="63">
        <f t="shared" si="9"/>
        <v>2017.07</v>
      </c>
      <c r="B292" s="573">
        <v>160239</v>
      </c>
      <c r="C292" s="785">
        <v>1018381.75</v>
      </c>
      <c r="D292" s="1976">
        <v>1040487</v>
      </c>
      <c r="E292" s="787">
        <f t="shared" si="11"/>
        <v>0.15734669243630889</v>
      </c>
      <c r="F292" s="592">
        <v>226</v>
      </c>
      <c r="G292" s="585">
        <v>27.253</v>
      </c>
      <c r="H292" s="573">
        <v>98271</v>
      </c>
      <c r="I292" s="573">
        <v>529015</v>
      </c>
      <c r="J292" s="1976">
        <v>563559</v>
      </c>
      <c r="K292" s="590">
        <f t="shared" si="8"/>
        <v>0.18576221846261448</v>
      </c>
      <c r="L292" s="584">
        <v>91.742569643582897</v>
      </c>
      <c r="M292" s="587">
        <v>18.600000000000001</v>
      </c>
      <c r="N292" s="1982"/>
      <c r="O292" s="1147"/>
      <c r="P292" s="1410"/>
      <c r="Q292" s="1983"/>
      <c r="R292" s="201"/>
      <c r="S292" s="201"/>
    </row>
    <row r="293" spans="1:19">
      <c r="A293" s="63">
        <f t="shared" si="9"/>
        <v>2017.08</v>
      </c>
      <c r="B293" s="573">
        <v>179060.75</v>
      </c>
      <c r="C293" s="785">
        <v>1096585</v>
      </c>
      <c r="D293" s="1976">
        <v>1095758</v>
      </c>
      <c r="E293" s="787">
        <f t="shared" si="11"/>
        <v>0.16328943948713506</v>
      </c>
      <c r="F293" s="592">
        <v>226</v>
      </c>
      <c r="G293" s="585">
        <v>28.494</v>
      </c>
      <c r="H293" s="573">
        <v>100800</v>
      </c>
      <c r="I293" s="573">
        <v>536804</v>
      </c>
      <c r="J293" s="1976">
        <v>557968</v>
      </c>
      <c r="K293" s="590">
        <f t="shared" si="8"/>
        <v>0.18777803444087601</v>
      </c>
      <c r="L293" s="584">
        <v>90.7363488589544</v>
      </c>
      <c r="M293" s="587">
        <v>18.989999999999998</v>
      </c>
      <c r="N293" s="1982"/>
      <c r="O293" s="1147"/>
      <c r="P293" s="1410"/>
      <c r="Q293" s="1983"/>
      <c r="R293" s="201"/>
      <c r="S293" s="201"/>
    </row>
    <row r="294" spans="1:19">
      <c r="A294" s="63">
        <f t="shared" si="9"/>
        <v>2017.09</v>
      </c>
      <c r="B294" s="573">
        <v>170726</v>
      </c>
      <c r="C294" s="785">
        <v>1043453.75</v>
      </c>
      <c r="D294" s="1976">
        <v>1043077</v>
      </c>
      <c r="E294" s="787">
        <f t="shared" si="11"/>
        <v>0.16361625994443932</v>
      </c>
      <c r="F294" s="592">
        <v>227</v>
      </c>
      <c r="G294" s="585">
        <v>28.998000000000001</v>
      </c>
      <c r="H294" s="573">
        <v>97096</v>
      </c>
      <c r="I294" s="573">
        <v>522275</v>
      </c>
      <c r="J294" s="1976">
        <v>527123</v>
      </c>
      <c r="K294" s="590">
        <f t="shared" si="8"/>
        <v>0.185909721889809</v>
      </c>
      <c r="L294" s="584">
        <v>91.385771748815472</v>
      </c>
      <c r="M294" s="587">
        <v>19.37</v>
      </c>
      <c r="N294" s="1982"/>
      <c r="O294" s="1147"/>
      <c r="P294" s="1410"/>
      <c r="Q294" s="1983"/>
      <c r="R294" s="201"/>
      <c r="S294" s="201"/>
    </row>
    <row r="295" spans="1:19">
      <c r="A295" s="63">
        <f t="shared" si="9"/>
        <v>2017.1</v>
      </c>
      <c r="B295" s="573">
        <v>185207.5</v>
      </c>
      <c r="C295" s="785">
        <v>1127657.25</v>
      </c>
      <c r="D295" s="1976">
        <v>1136773</v>
      </c>
      <c r="E295" s="787">
        <f t="shared" si="11"/>
        <v>0.16424095176082981</v>
      </c>
      <c r="F295" s="592">
        <v>226</v>
      </c>
      <c r="G295" s="585">
        <v>28.536000000000001</v>
      </c>
      <c r="H295" s="573">
        <v>106365</v>
      </c>
      <c r="I295" s="573">
        <v>566031</v>
      </c>
      <c r="J295" s="1976">
        <v>585531</v>
      </c>
      <c r="K295" s="590">
        <f t="shared" si="8"/>
        <v>0.18791373617346047</v>
      </c>
      <c r="L295" s="584">
        <v>88.928354651522241</v>
      </c>
      <c r="M295" s="587">
        <v>19.82</v>
      </c>
      <c r="N295" s="1982"/>
      <c r="O295" s="1147"/>
      <c r="P295" s="1410"/>
      <c r="Q295" s="1983"/>
      <c r="R295" s="201"/>
      <c r="S295" s="201"/>
    </row>
    <row r="296" spans="1:19">
      <c r="A296" s="63">
        <f t="shared" si="9"/>
        <v>2017.11</v>
      </c>
      <c r="B296" s="573">
        <v>182543.5</v>
      </c>
      <c r="C296" s="785">
        <v>1121384</v>
      </c>
      <c r="D296" s="1976">
        <v>1119436</v>
      </c>
      <c r="E296" s="787">
        <f t="shared" si="11"/>
        <v>0.16278411320297062</v>
      </c>
      <c r="F296" s="592">
        <v>227</v>
      </c>
      <c r="G296" s="585">
        <v>28.478000000000002</v>
      </c>
      <c r="H296" s="573">
        <v>98711</v>
      </c>
      <c r="I296" s="573">
        <v>528463</v>
      </c>
      <c r="J296" s="1976">
        <v>545439</v>
      </c>
      <c r="K296" s="590">
        <f t="shared" si="8"/>
        <v>0.18678885749806515</v>
      </c>
      <c r="L296" s="584">
        <v>87.568997001037445</v>
      </c>
      <c r="M296" s="587">
        <v>20.82</v>
      </c>
      <c r="N296" s="1982"/>
      <c r="O296" s="1147"/>
      <c r="P296" s="1410"/>
      <c r="Q296" s="1983"/>
      <c r="R296" s="201"/>
      <c r="S296" s="201"/>
    </row>
    <row r="297" spans="1:19">
      <c r="A297" s="63">
        <f t="shared" si="9"/>
        <v>2017.12</v>
      </c>
      <c r="B297" s="573">
        <v>174731.75</v>
      </c>
      <c r="C297" s="785">
        <v>1093798.25</v>
      </c>
      <c r="D297" s="1976">
        <v>1078951</v>
      </c>
      <c r="E297" s="787">
        <f t="shared" si="11"/>
        <v>0.15974769570165248</v>
      </c>
      <c r="F297" s="592">
        <v>224</v>
      </c>
      <c r="G297" s="585">
        <v>27.66</v>
      </c>
      <c r="H297" s="573">
        <v>98353</v>
      </c>
      <c r="I297" s="573">
        <v>552703</v>
      </c>
      <c r="J297" s="1976">
        <v>565897</v>
      </c>
      <c r="K297" s="590">
        <f t="shared" si="8"/>
        <v>0.17794909743569332</v>
      </c>
      <c r="L297" s="584">
        <v>84.858069254908202</v>
      </c>
      <c r="M297" s="587">
        <v>21.4</v>
      </c>
      <c r="N297" s="1982"/>
      <c r="O297" s="1147"/>
      <c r="P297" s="1410"/>
      <c r="Q297" s="1983"/>
      <c r="R297" s="1410"/>
      <c r="S297" s="1410"/>
    </row>
    <row r="298" spans="1:19" s="301" customFormat="1">
      <c r="A298" s="63">
        <f t="shared" si="9"/>
        <v>2018.01</v>
      </c>
      <c r="B298" s="573">
        <v>193907.5</v>
      </c>
      <c r="C298" s="785">
        <v>1114193</v>
      </c>
      <c r="D298" s="1976">
        <v>1128162</v>
      </c>
      <c r="E298" s="787">
        <f t="shared" si="11"/>
        <v>0.17403403180597976</v>
      </c>
      <c r="F298" s="592">
        <v>227</v>
      </c>
      <c r="G298" s="585">
        <v>27.821999999999999</v>
      </c>
      <c r="H298" s="573">
        <v>104310.5</v>
      </c>
      <c r="I298" s="573">
        <v>530116.25</v>
      </c>
      <c r="J298" s="1976">
        <v>544781</v>
      </c>
      <c r="K298" s="590">
        <f t="shared" si="8"/>
        <v>0.19676910488972937</v>
      </c>
      <c r="L298" s="584">
        <v>86.348761574964229</v>
      </c>
      <c r="M298" s="587">
        <v>22.26</v>
      </c>
      <c r="N298" s="1984"/>
      <c r="O298" s="256"/>
      <c r="P298" s="256"/>
      <c r="Q298" s="256"/>
      <c r="R298" s="256"/>
      <c r="S298" s="256"/>
    </row>
    <row r="299" spans="1:19">
      <c r="A299" s="63">
        <f t="shared" si="9"/>
        <v>2018.02</v>
      </c>
      <c r="B299" s="250">
        <v>170728.25</v>
      </c>
      <c r="C299" s="785">
        <v>1016000</v>
      </c>
      <c r="D299" s="1976">
        <v>1014535</v>
      </c>
      <c r="E299" s="787">
        <f t="shared" si="11"/>
        <v>0.1680396161417323</v>
      </c>
      <c r="F299" s="592">
        <v>226</v>
      </c>
      <c r="G299" s="585">
        <v>30.102</v>
      </c>
      <c r="H299" s="573">
        <v>92368.25</v>
      </c>
      <c r="I299" s="573">
        <v>477361.5</v>
      </c>
      <c r="J299" s="1976">
        <v>489980</v>
      </c>
      <c r="K299" s="590">
        <f t="shared" si="8"/>
        <v>0.19349748565814379</v>
      </c>
      <c r="L299" s="584">
        <v>87.314287252520458</v>
      </c>
      <c r="M299" s="587">
        <v>23.15</v>
      </c>
      <c r="N299" s="201"/>
      <c r="O299" s="201"/>
      <c r="P299" s="201"/>
      <c r="Q299" s="201"/>
      <c r="R299" s="201"/>
      <c r="S299" s="201"/>
    </row>
    <row r="300" spans="1:19">
      <c r="A300" s="63">
        <f t="shared" si="9"/>
        <v>2018.03</v>
      </c>
      <c r="B300" s="250">
        <v>198863.25</v>
      </c>
      <c r="C300" s="785">
        <v>1144525</v>
      </c>
      <c r="D300" s="1976">
        <v>1141290</v>
      </c>
      <c r="E300" s="787">
        <f t="shared" si="11"/>
        <v>0.17375177475371878</v>
      </c>
      <c r="F300" s="592">
        <v>228</v>
      </c>
      <c r="G300" s="585">
        <v>27.757999999999999</v>
      </c>
      <c r="H300" s="573">
        <v>105129.5</v>
      </c>
      <c r="I300" s="573">
        <v>553671.5</v>
      </c>
      <c r="J300" s="1976">
        <v>557204</v>
      </c>
      <c r="K300" s="590">
        <f t="shared" si="8"/>
        <v>0.18987702997174316</v>
      </c>
      <c r="L300" s="584">
        <v>87.961870825356598</v>
      </c>
      <c r="M300" s="587">
        <v>23.56</v>
      </c>
      <c r="N300" s="201"/>
      <c r="O300" s="201"/>
      <c r="P300" s="201"/>
      <c r="Q300" s="201"/>
      <c r="R300" s="201"/>
      <c r="S300" s="201"/>
    </row>
    <row r="301" spans="1:19">
      <c r="A301" s="63">
        <f t="shared" si="9"/>
        <v>2018.04</v>
      </c>
      <c r="B301" s="250">
        <v>187141.5</v>
      </c>
      <c r="C301" s="785">
        <v>1097291</v>
      </c>
      <c r="D301" s="1976">
        <v>1097604</v>
      </c>
      <c r="E301" s="787">
        <f t="shared" si="11"/>
        <v>0.17054865117821982</v>
      </c>
      <c r="F301" s="592">
        <v>226</v>
      </c>
      <c r="G301" s="585">
        <v>27.7</v>
      </c>
      <c r="H301" s="573">
        <v>100589.5</v>
      </c>
      <c r="I301" s="573">
        <v>540160.75</v>
      </c>
      <c r="J301" s="1976">
        <v>557225</v>
      </c>
      <c r="K301" s="590">
        <f t="shared" si="8"/>
        <v>0.1862214164949971</v>
      </c>
      <c r="L301" s="584">
        <v>89.726636575257999</v>
      </c>
      <c r="M301" s="587">
        <v>23.9</v>
      </c>
      <c r="N301" s="201"/>
      <c r="O301" s="201"/>
      <c r="P301" s="201"/>
      <c r="Q301" s="201"/>
      <c r="R301" s="201"/>
      <c r="S301" s="201"/>
    </row>
    <row r="302" spans="1:19">
      <c r="A302" s="63">
        <f t="shared" si="9"/>
        <v>2018.05</v>
      </c>
      <c r="B302" s="250">
        <v>190119.25</v>
      </c>
      <c r="C302" s="785">
        <v>1142080</v>
      </c>
      <c r="D302" s="1976">
        <v>1136316</v>
      </c>
      <c r="E302" s="787">
        <f t="shared" si="11"/>
        <v>0.16646754167834127</v>
      </c>
      <c r="F302" s="592">
        <v>226</v>
      </c>
      <c r="G302" s="585">
        <v>30.074999999999999</v>
      </c>
      <c r="H302" s="573">
        <v>105536.75</v>
      </c>
      <c r="I302" s="573">
        <v>566722</v>
      </c>
      <c r="J302" s="1976">
        <v>576048</v>
      </c>
      <c r="K302" s="590">
        <f t="shared" si="8"/>
        <v>0.18622313938756568</v>
      </c>
      <c r="L302" s="584">
        <v>91.073849127447602</v>
      </c>
      <c r="M302" s="587">
        <v>23.85</v>
      </c>
      <c r="N302" s="201"/>
      <c r="O302" s="201"/>
      <c r="P302" s="201"/>
      <c r="Q302" s="201"/>
      <c r="R302" s="201"/>
      <c r="S302" s="201"/>
    </row>
    <row r="303" spans="1:19">
      <c r="A303" s="63">
        <f t="shared" si="9"/>
        <v>2018.06</v>
      </c>
      <c r="B303" s="250">
        <v>185534.25</v>
      </c>
      <c r="C303" s="785">
        <v>1108730.75</v>
      </c>
      <c r="D303" s="1976">
        <v>1091509</v>
      </c>
      <c r="E303" s="787">
        <f t="shared" si="11"/>
        <v>0.16733932020916711</v>
      </c>
      <c r="F303" s="592">
        <v>227</v>
      </c>
      <c r="G303" s="585">
        <v>31.128</v>
      </c>
      <c r="H303" s="573">
        <v>102258.75</v>
      </c>
      <c r="I303" s="573">
        <v>557286.75</v>
      </c>
      <c r="J303" s="1976">
        <v>562547</v>
      </c>
      <c r="K303" s="590">
        <f t="shared" ref="K303:K317" si="12">H303/I303</f>
        <v>0.18349395531115714</v>
      </c>
      <c r="L303" s="584">
        <v>90.702384576857838</v>
      </c>
      <c r="M303" s="587">
        <v>23.97</v>
      </c>
      <c r="N303" s="201"/>
      <c r="O303" s="201"/>
      <c r="P303" s="201"/>
      <c r="Q303" s="201"/>
      <c r="R303" s="201"/>
      <c r="S303" s="201"/>
    </row>
    <row r="304" spans="1:19">
      <c r="A304" s="63">
        <f t="shared" si="9"/>
        <v>2018.07</v>
      </c>
      <c r="B304" s="250">
        <v>195502.75</v>
      </c>
      <c r="C304" s="785">
        <v>1128968.25</v>
      </c>
      <c r="D304" s="1976">
        <v>1111976</v>
      </c>
      <c r="E304" s="787">
        <f t="shared" si="11"/>
        <v>0.17316939603925974</v>
      </c>
      <c r="F304" s="592">
        <v>232</v>
      </c>
      <c r="G304" s="585">
        <v>33.816000000000003</v>
      </c>
      <c r="H304" s="573">
        <v>108248.5</v>
      </c>
      <c r="I304" s="573">
        <v>583913</v>
      </c>
      <c r="J304" s="1976">
        <v>601554</v>
      </c>
      <c r="K304" s="590">
        <f t="shared" si="12"/>
        <v>0.18538463777994324</v>
      </c>
      <c r="L304" s="584">
        <v>90.111958263135591</v>
      </c>
      <c r="M304" s="587">
        <v>24.75</v>
      </c>
      <c r="N304" s="201"/>
      <c r="O304" s="201"/>
      <c r="P304" s="201"/>
      <c r="Q304" s="201"/>
      <c r="R304" s="201"/>
      <c r="S304" s="201"/>
    </row>
    <row r="305" spans="1:13">
      <c r="A305" s="63">
        <f t="shared" si="9"/>
        <v>2018.08</v>
      </c>
      <c r="B305" s="250">
        <v>204335.75</v>
      </c>
      <c r="C305" s="785">
        <v>1187725.5</v>
      </c>
      <c r="D305" s="1976">
        <v>1172217</v>
      </c>
      <c r="E305" s="787">
        <f t="shared" si="11"/>
        <v>0.17203954112292782</v>
      </c>
      <c r="F305" s="592">
        <v>231</v>
      </c>
      <c r="G305" s="585">
        <v>35.975000000000001</v>
      </c>
      <c r="H305" s="573">
        <v>109462.25</v>
      </c>
      <c r="I305" s="573">
        <v>582773</v>
      </c>
      <c r="J305" s="1976">
        <v>579135</v>
      </c>
      <c r="K305" s="590">
        <f t="shared" si="12"/>
        <v>0.18782999555573096</v>
      </c>
      <c r="L305" s="584">
        <v>89.878525822006353</v>
      </c>
      <c r="M305" s="587">
        <v>25.59</v>
      </c>
    </row>
    <row r="306" spans="1:13">
      <c r="A306" s="63">
        <f t="shared" si="9"/>
        <v>2018.09</v>
      </c>
      <c r="B306" s="250">
        <v>174506.25</v>
      </c>
      <c r="C306" s="785">
        <v>999918.75</v>
      </c>
      <c r="D306" s="1976">
        <v>1031908</v>
      </c>
      <c r="E306" s="787">
        <f t="shared" si="11"/>
        <v>0.17452042978492002</v>
      </c>
      <c r="F306" s="592">
        <v>230</v>
      </c>
      <c r="G306" s="585">
        <v>41.823999999999998</v>
      </c>
      <c r="H306" s="573">
        <v>95267</v>
      </c>
      <c r="I306" s="573">
        <v>515697.75</v>
      </c>
      <c r="J306" s="1976">
        <v>546013</v>
      </c>
      <c r="K306" s="590">
        <f t="shared" si="12"/>
        <v>0.18473417811111256</v>
      </c>
      <c r="L306" s="584">
        <v>89.260656232302722</v>
      </c>
      <c r="M306" s="587">
        <v>29.54</v>
      </c>
    </row>
    <row r="307" spans="1:13">
      <c r="A307" s="63">
        <f t="shared" si="9"/>
        <v>2018.1</v>
      </c>
      <c r="B307" s="250">
        <v>210640.5</v>
      </c>
      <c r="C307" s="785">
        <v>1210714</v>
      </c>
      <c r="D307" s="1976">
        <v>1194813</v>
      </c>
      <c r="E307" s="787">
        <f t="shared" si="11"/>
        <v>0.17398039503962126</v>
      </c>
      <c r="F307" s="592">
        <v>230</v>
      </c>
      <c r="G307" s="585">
        <v>40.213000000000001</v>
      </c>
      <c r="H307" s="573">
        <v>111351.75</v>
      </c>
      <c r="I307" s="573">
        <v>604742.75</v>
      </c>
      <c r="J307" s="1976">
        <v>601743</v>
      </c>
      <c r="K307" s="590">
        <f t="shared" si="12"/>
        <v>0.1841307729608995</v>
      </c>
      <c r="L307" s="584">
        <v>88.070507510287385</v>
      </c>
      <c r="M307" s="587">
        <v>33.090000000000003</v>
      </c>
    </row>
    <row r="308" spans="1:13">
      <c r="A308" s="63">
        <f t="shared" si="9"/>
        <v>2018.11</v>
      </c>
      <c r="B308" s="250">
        <v>195486.5</v>
      </c>
      <c r="C308" s="785">
        <v>1129769.75</v>
      </c>
      <c r="D308" s="1976">
        <v>1120645</v>
      </c>
      <c r="E308" s="787">
        <f t="shared" si="11"/>
        <v>0.17303215987151363</v>
      </c>
      <c r="F308" s="592">
        <v>228</v>
      </c>
      <c r="G308" s="585">
        <v>39.835999999999999</v>
      </c>
      <c r="H308" s="573">
        <v>100629.75</v>
      </c>
      <c r="I308" s="573">
        <v>549528.75</v>
      </c>
      <c r="J308" s="1976">
        <v>554911</v>
      </c>
      <c r="K308" s="590">
        <f t="shared" si="12"/>
        <v>0.18312008243426756</v>
      </c>
      <c r="L308" s="584">
        <v>87.031167926633699</v>
      </c>
      <c r="M308" s="587">
        <v>34.450000000000003</v>
      </c>
    </row>
    <row r="309" spans="1:13">
      <c r="A309" s="63">
        <f t="shared" si="9"/>
        <v>2018.12</v>
      </c>
      <c r="B309" s="250">
        <v>184931.25</v>
      </c>
      <c r="C309" s="785">
        <v>1126758.75</v>
      </c>
      <c r="D309" s="1976">
        <v>1103554</v>
      </c>
      <c r="E309" s="787">
        <f t="shared" si="11"/>
        <v>0.1641267485164859</v>
      </c>
      <c r="F309" s="592">
        <v>224</v>
      </c>
      <c r="G309" s="585">
        <v>40.97</v>
      </c>
      <c r="H309" s="573">
        <v>105535.25</v>
      </c>
      <c r="I309" s="573">
        <v>593700.5</v>
      </c>
      <c r="J309" s="1976">
        <v>607835</v>
      </c>
      <c r="K309" s="590">
        <f t="shared" si="12"/>
        <v>0.17775839838437058</v>
      </c>
      <c r="L309" s="584">
        <v>84.025402801591113</v>
      </c>
      <c r="M309" s="587">
        <v>35.020000000000003</v>
      </c>
    </row>
    <row r="310" spans="1:13">
      <c r="A310" s="63">
        <f t="shared" si="9"/>
        <v>2019.01</v>
      </c>
      <c r="B310" s="250">
        <v>201452.25</v>
      </c>
      <c r="C310" s="785">
        <v>1130796</v>
      </c>
      <c r="D310" s="1976">
        <v>1121529</v>
      </c>
      <c r="E310" s="787">
        <f t="shared" si="11"/>
        <v>0.17815083357210318</v>
      </c>
      <c r="F310" s="592">
        <v>226</v>
      </c>
      <c r="G310" s="585">
        <v>46.749000000000002</v>
      </c>
      <c r="H310" s="573">
        <v>104644.75</v>
      </c>
      <c r="I310" s="573">
        <v>542671.25</v>
      </c>
      <c r="J310" s="1976">
        <v>564169</v>
      </c>
      <c r="K310" s="590">
        <f t="shared" si="12"/>
        <v>0.1928326772424373</v>
      </c>
      <c r="L310" s="584">
        <v>87.059049745354443</v>
      </c>
      <c r="M310" s="587">
        <v>36.43</v>
      </c>
    </row>
    <row r="311" spans="1:13">
      <c r="A311" s="63">
        <f t="shared" si="9"/>
        <v>2019.02</v>
      </c>
      <c r="B311" s="250">
        <v>176901.25</v>
      </c>
      <c r="C311" s="785">
        <v>983831</v>
      </c>
      <c r="D311" s="1976">
        <v>989556</v>
      </c>
      <c r="E311" s="787">
        <f t="shared" si="11"/>
        <v>0.17980857484669624</v>
      </c>
      <c r="F311" s="592">
        <v>227</v>
      </c>
      <c r="G311" s="585">
        <v>52.845999999999997</v>
      </c>
      <c r="H311" s="573">
        <v>97318.75</v>
      </c>
      <c r="I311" s="573">
        <v>508235</v>
      </c>
      <c r="J311" s="1976">
        <v>515591</v>
      </c>
      <c r="K311" s="590">
        <f t="shared" si="12"/>
        <v>0.19148376243273288</v>
      </c>
      <c r="L311" s="584">
        <v>86.269225043310399</v>
      </c>
      <c r="M311" s="587">
        <v>37.67</v>
      </c>
    </row>
    <row r="312" spans="1:13">
      <c r="A312" s="63">
        <f t="shared" si="9"/>
        <v>2019.03</v>
      </c>
      <c r="B312" s="250">
        <v>183975</v>
      </c>
      <c r="C312" s="785">
        <v>1020540.25</v>
      </c>
      <c r="D312" s="1976">
        <v>1011300</v>
      </c>
      <c r="E312" s="787">
        <f t="shared" si="11"/>
        <v>0.18027216466964432</v>
      </c>
      <c r="F312" s="592">
        <v>226</v>
      </c>
      <c r="G312" s="585">
        <v>51.258000000000003</v>
      </c>
      <c r="H312" s="573">
        <v>96984.75</v>
      </c>
      <c r="I312" s="573">
        <v>539986</v>
      </c>
      <c r="J312" s="1976">
        <v>560639</v>
      </c>
      <c r="K312" s="590">
        <f t="shared" si="12"/>
        <v>0.17960604534191627</v>
      </c>
      <c r="L312" s="584">
        <v>88.348515077726447</v>
      </c>
      <c r="M312" s="587">
        <v>38.9</v>
      </c>
    </row>
    <row r="313" spans="1:13">
      <c r="A313" s="63">
        <f t="shared" si="9"/>
        <v>2019.04</v>
      </c>
      <c r="B313" s="250">
        <v>193466</v>
      </c>
      <c r="C313" s="785">
        <v>1073913.5</v>
      </c>
      <c r="D313" s="1976">
        <v>1068208</v>
      </c>
      <c r="E313" s="787">
        <f t="shared" si="11"/>
        <v>0.18015044973361449</v>
      </c>
      <c r="F313" s="592">
        <v>223</v>
      </c>
      <c r="G313" s="585">
        <v>49.613999999999997</v>
      </c>
      <c r="H313" s="573">
        <v>106579</v>
      </c>
      <c r="I313" s="573">
        <v>590697.5</v>
      </c>
      <c r="J313" s="1976">
        <v>573013</v>
      </c>
      <c r="K313" s="590">
        <f t="shared" si="12"/>
        <v>0.1804290690243314</v>
      </c>
      <c r="L313" s="584">
        <v>89.206627755831988</v>
      </c>
      <c r="M313" s="587">
        <v>40.15</v>
      </c>
    </row>
    <row r="314" spans="1:13">
      <c r="A314" s="63">
        <f t="shared" si="9"/>
        <v>2019.05</v>
      </c>
      <c r="B314" s="250">
        <v>213467.75</v>
      </c>
      <c r="C314" s="785">
        <v>1175076.5</v>
      </c>
      <c r="D314" s="1976">
        <v>1164803</v>
      </c>
      <c r="E314" s="787">
        <f t="shared" si="11"/>
        <v>0.18166285343975477</v>
      </c>
      <c r="F314" s="592">
        <v>223</v>
      </c>
      <c r="G314" s="585">
        <v>49.381999999999998</v>
      </c>
      <c r="H314" s="573">
        <v>107208.25</v>
      </c>
      <c r="I314" s="573">
        <v>593846.5</v>
      </c>
      <c r="J314" s="1976">
        <v>607005</v>
      </c>
      <c r="K314" s="590">
        <f t="shared" si="12"/>
        <v>0.18053192196973461</v>
      </c>
      <c r="L314" s="584">
        <v>91.310070399897654</v>
      </c>
      <c r="M314" s="587">
        <v>41.5</v>
      </c>
    </row>
    <row r="315" spans="1:13">
      <c r="A315" s="63">
        <f t="shared" si="9"/>
        <v>2019.06</v>
      </c>
      <c r="B315" s="250">
        <v>190704</v>
      </c>
      <c r="C315" s="785">
        <v>1052837.25</v>
      </c>
      <c r="D315" s="1976">
        <v>1082124</v>
      </c>
      <c r="E315" s="787">
        <f t="shared" si="11"/>
        <v>0.18113340879608886</v>
      </c>
      <c r="F315" s="592">
        <v>223</v>
      </c>
      <c r="G315" s="585">
        <v>52.021999999999998</v>
      </c>
      <c r="H315" s="573">
        <v>93335.25</v>
      </c>
      <c r="I315" s="573">
        <v>529273</v>
      </c>
      <c r="J315" s="1976">
        <v>558179</v>
      </c>
      <c r="K315" s="590">
        <f t="shared" si="12"/>
        <v>0.17634613894908677</v>
      </c>
      <c r="L315" s="584">
        <v>92.518526817932766</v>
      </c>
      <c r="M315" s="587">
        <v>42.9</v>
      </c>
    </row>
    <row r="316" spans="1:13">
      <c r="A316" s="63">
        <f t="shared" si="9"/>
        <v>2019.07</v>
      </c>
      <c r="B316" s="250">
        <v>223058</v>
      </c>
      <c r="C316" s="785">
        <v>1267941.25</v>
      </c>
      <c r="D316" s="1976">
        <v>1247747</v>
      </c>
      <c r="E316" s="787">
        <f t="shared" si="11"/>
        <v>0.17592140014373694</v>
      </c>
      <c r="F316" s="592">
        <v>226</v>
      </c>
      <c r="G316" s="585">
        <v>53.503</v>
      </c>
      <c r="H316" s="573">
        <v>113981</v>
      </c>
      <c r="I316" s="573">
        <v>612095.75</v>
      </c>
      <c r="J316" s="1976">
        <v>601360</v>
      </c>
      <c r="K316" s="590">
        <f t="shared" si="12"/>
        <v>0.18621433002924787</v>
      </c>
      <c r="L316" s="584">
        <v>91.128908613282036</v>
      </c>
      <c r="M316" s="587">
        <v>44.09</v>
      </c>
    </row>
    <row r="317" spans="1:13">
      <c r="A317" s="63">
        <f t="shared" si="9"/>
        <v>2019.08</v>
      </c>
      <c r="B317" s="250">
        <v>212836.5</v>
      </c>
      <c r="C317" s="785">
        <v>1198766.75</v>
      </c>
      <c r="D317" s="1976">
        <v>1179602</v>
      </c>
      <c r="E317" s="787">
        <f t="shared" si="11"/>
        <v>0.17754621572545284</v>
      </c>
      <c r="F317" s="592">
        <v>227</v>
      </c>
      <c r="G317" s="585">
        <v>60.783000000000001</v>
      </c>
      <c r="H317" s="573">
        <v>101367.25</v>
      </c>
      <c r="I317" s="573">
        <v>547733.25</v>
      </c>
      <c r="J317" s="1976">
        <v>546057</v>
      </c>
      <c r="K317" s="590">
        <f t="shared" si="12"/>
        <v>0.18506681856542395</v>
      </c>
      <c r="L317" s="584">
        <v>91.856504773787776</v>
      </c>
      <c r="M317" s="587">
        <v>49.2</v>
      </c>
    </row>
    <row r="318" spans="1:13">
      <c r="A318" s="63">
        <f t="shared" ref="A318:A381" si="13">A306+1</f>
        <v>2019.09</v>
      </c>
      <c r="B318" s="250">
        <v>220959.5</v>
      </c>
      <c r="C318" s="785">
        <v>1193545.5</v>
      </c>
      <c r="D318" s="1976">
        <v>1207588</v>
      </c>
      <c r="E318" s="787">
        <f>B318/C318</f>
        <v>0.18512867754099027</v>
      </c>
      <c r="F318" s="592">
        <v>228</v>
      </c>
      <c r="G318" s="585">
        <v>61.283999999999999</v>
      </c>
      <c r="H318" s="573">
        <v>99518.25</v>
      </c>
      <c r="I318" s="573">
        <v>539870.25</v>
      </c>
      <c r="J318" s="1976">
        <v>568105</v>
      </c>
      <c r="K318" s="590">
        <f>H318/I318</f>
        <v>0.18433734772382809</v>
      </c>
      <c r="L318" s="1976">
        <v>92</v>
      </c>
      <c r="M318" s="587">
        <v>55.73</v>
      </c>
    </row>
    <row r="319" spans="1:13">
      <c r="A319" s="63">
        <f t="shared" si="13"/>
        <v>2019.1</v>
      </c>
      <c r="B319" s="250">
        <v>249264.5</v>
      </c>
      <c r="C319" s="785">
        <v>1310355</v>
      </c>
      <c r="D319" s="1976">
        <v>1291890</v>
      </c>
      <c r="E319" s="787">
        <f t="shared" ref="E319:E381" si="14">B319/C319</f>
        <v>0.19022669429276798</v>
      </c>
      <c r="F319" s="251">
        <v>226</v>
      </c>
      <c r="G319" s="593">
        <v>65.927999999999997</v>
      </c>
      <c r="H319" s="573">
        <v>107747</v>
      </c>
      <c r="I319" s="573">
        <v>581612.75</v>
      </c>
      <c r="J319" s="1985">
        <v>577221</v>
      </c>
      <c r="K319" s="590">
        <f t="shared" ref="K319:K382" si="15">H319/I319</f>
        <v>0.18525556738568746</v>
      </c>
      <c r="L319" s="251">
        <v>92</v>
      </c>
      <c r="M319" s="587">
        <v>59.43</v>
      </c>
    </row>
    <row r="320" spans="1:13">
      <c r="A320" s="63">
        <f t="shared" si="13"/>
        <v>2019.11</v>
      </c>
      <c r="B320" s="250">
        <v>220371</v>
      </c>
      <c r="C320" s="785">
        <v>1207186.75</v>
      </c>
      <c r="D320" s="1976">
        <v>1187590</v>
      </c>
      <c r="E320" s="787">
        <f t="shared" si="14"/>
        <v>0.18254922032568696</v>
      </c>
      <c r="F320" s="251">
        <v>226</v>
      </c>
      <c r="G320" s="593">
        <v>71.936000000000007</v>
      </c>
      <c r="H320" s="573">
        <v>98741</v>
      </c>
      <c r="I320" s="573">
        <v>536445.5</v>
      </c>
      <c r="J320" s="1976">
        <v>535114</v>
      </c>
      <c r="K320" s="590">
        <f t="shared" si="15"/>
        <v>0.18406529647466519</v>
      </c>
      <c r="L320" s="1976">
        <v>90</v>
      </c>
      <c r="M320" s="587">
        <v>62.21</v>
      </c>
    </row>
    <row r="321" spans="1:13">
      <c r="A321" s="63">
        <f t="shared" si="13"/>
        <v>2019.12</v>
      </c>
      <c r="B321" s="250">
        <v>221973.5</v>
      </c>
      <c r="C321" s="785">
        <v>1271532.25</v>
      </c>
      <c r="D321" s="1976">
        <v>1249481</v>
      </c>
      <c r="E321" s="787">
        <f t="shared" si="14"/>
        <v>0.17457166343991667</v>
      </c>
      <c r="F321" s="251">
        <v>222</v>
      </c>
      <c r="G321" s="593">
        <v>77.463999999999999</v>
      </c>
      <c r="H321" s="573">
        <v>109314.75</v>
      </c>
      <c r="I321" s="573">
        <v>616844.5</v>
      </c>
      <c r="J321" s="1976">
        <v>624586</v>
      </c>
      <c r="K321" s="590">
        <f t="shared" si="15"/>
        <v>0.17721605688305561</v>
      </c>
      <c r="L321" s="1976">
        <v>86</v>
      </c>
      <c r="M321" s="587">
        <v>64.430000000000007</v>
      </c>
    </row>
    <row r="322" spans="1:13">
      <c r="A322" s="63">
        <f t="shared" si="13"/>
        <v>2020.01</v>
      </c>
      <c r="B322" s="250">
        <v>199820.5</v>
      </c>
      <c r="C322" s="785">
        <v>1143845.5</v>
      </c>
      <c r="D322" s="1976">
        <v>1143239</v>
      </c>
      <c r="E322" s="787">
        <f t="shared" si="14"/>
        <v>0.17469186179427204</v>
      </c>
      <c r="F322" s="251">
        <v>225</v>
      </c>
      <c r="G322" s="593">
        <v>77.290000000000006</v>
      </c>
      <c r="H322" s="573">
        <v>111216.75</v>
      </c>
      <c r="I322" s="573">
        <v>558369</v>
      </c>
      <c r="J322" s="1976">
        <v>570159</v>
      </c>
      <c r="K322" s="590">
        <f t="shared" si="15"/>
        <v>0.19918145527420039</v>
      </c>
      <c r="L322" s="1976">
        <v>90</v>
      </c>
      <c r="M322" s="587">
        <v>66.72</v>
      </c>
    </row>
    <row r="323" spans="1:13">
      <c r="A323" s="63">
        <f t="shared" si="13"/>
        <v>2020.02</v>
      </c>
      <c r="B323" s="250">
        <v>167863.25</v>
      </c>
      <c r="C323" s="785">
        <v>1013204.5</v>
      </c>
      <c r="D323" s="1976">
        <v>1012402</v>
      </c>
      <c r="E323" s="787">
        <f t="shared" si="14"/>
        <v>0.1656755867152189</v>
      </c>
      <c r="F323" s="251">
        <v>223</v>
      </c>
      <c r="G323" s="593">
        <v>80.188999999999993</v>
      </c>
      <c r="H323" s="573">
        <v>96246.75</v>
      </c>
      <c r="I323" s="573">
        <v>511122.75</v>
      </c>
      <c r="J323" s="1976">
        <v>521458</v>
      </c>
      <c r="K323" s="590">
        <f t="shared" si="15"/>
        <v>0.18830457067309173</v>
      </c>
      <c r="L323" s="1976">
        <v>92</v>
      </c>
      <c r="M323" s="587">
        <v>67.7</v>
      </c>
    </row>
    <row r="324" spans="1:13">
      <c r="A324" s="63">
        <f t="shared" si="13"/>
        <v>2020.03</v>
      </c>
      <c r="B324" s="250">
        <v>186691.5</v>
      </c>
      <c r="C324" s="785">
        <v>1095439.25</v>
      </c>
      <c r="D324" s="1976">
        <v>1092247</v>
      </c>
      <c r="E324" s="787">
        <f t="shared" si="14"/>
        <v>0.17042615553532522</v>
      </c>
      <c r="F324" s="251">
        <v>223</v>
      </c>
      <c r="G324" s="593">
        <v>81.290000000000006</v>
      </c>
      <c r="H324" s="573">
        <v>101598.25</v>
      </c>
      <c r="I324" s="573">
        <v>521602.75</v>
      </c>
      <c r="J324" s="1976">
        <v>549513</v>
      </c>
      <c r="K324" s="590">
        <f t="shared" si="15"/>
        <v>0.19478089408079233</v>
      </c>
      <c r="L324" s="1976">
        <v>97</v>
      </c>
      <c r="M324" s="587">
        <v>68.34</v>
      </c>
    </row>
    <row r="325" spans="1:13">
      <c r="A325" s="63">
        <f t="shared" si="13"/>
        <v>2020.04</v>
      </c>
      <c r="B325" s="250">
        <v>208463.75</v>
      </c>
      <c r="C325" s="785">
        <v>1170396.75</v>
      </c>
      <c r="D325" s="1976">
        <v>1165251</v>
      </c>
      <c r="E325" s="787">
        <f t="shared" si="14"/>
        <v>0.17811374647101508</v>
      </c>
      <c r="F325" s="251">
        <v>224</v>
      </c>
      <c r="G325" s="593">
        <v>75.403999999999996</v>
      </c>
      <c r="H325" s="573">
        <v>109035.5</v>
      </c>
      <c r="I325" s="573">
        <v>558938.75</v>
      </c>
      <c r="J325" s="1976">
        <v>544579</v>
      </c>
      <c r="K325" s="590">
        <f t="shared" si="15"/>
        <v>0.19507593631681469</v>
      </c>
      <c r="L325" s="1976">
        <v>98</v>
      </c>
      <c r="M325" s="587">
        <v>64.239999999999995</v>
      </c>
    </row>
    <row r="326" spans="1:13">
      <c r="A326" s="63">
        <f t="shared" si="13"/>
        <v>2020.05</v>
      </c>
      <c r="B326" s="250">
        <v>200229.75</v>
      </c>
      <c r="C326" s="785">
        <v>1145786.75</v>
      </c>
      <c r="D326" s="1976">
        <v>1136153</v>
      </c>
      <c r="E326" s="787">
        <f t="shared" si="14"/>
        <v>0.17475306814291577</v>
      </c>
      <c r="F326" s="251">
        <v>224</v>
      </c>
      <c r="G326" s="593">
        <v>72.245000000000005</v>
      </c>
      <c r="H326" s="573">
        <v>101671</v>
      </c>
      <c r="I326" s="573">
        <v>569805.75</v>
      </c>
      <c r="J326" s="1976">
        <v>613608</v>
      </c>
      <c r="K326" s="590">
        <f t="shared" si="15"/>
        <v>0.17843098283932726</v>
      </c>
      <c r="L326" s="1976">
        <v>98</v>
      </c>
      <c r="M326" s="587">
        <v>57.37</v>
      </c>
    </row>
    <row r="327" spans="1:13">
      <c r="A327" s="63">
        <f t="shared" si="13"/>
        <v>2020.06</v>
      </c>
      <c r="B327" s="250">
        <v>210667.5</v>
      </c>
      <c r="C327" s="785">
        <v>1201604.75</v>
      </c>
      <c r="D327" s="1976">
        <v>1189873</v>
      </c>
      <c r="E327" s="787">
        <f t="shared" si="14"/>
        <v>0.17532179362639835</v>
      </c>
      <c r="F327" s="251">
        <v>226</v>
      </c>
      <c r="G327" s="593">
        <v>74.626000000000005</v>
      </c>
      <c r="H327" s="573">
        <v>119460.25</v>
      </c>
      <c r="I327" s="573">
        <v>652478.75</v>
      </c>
      <c r="J327" s="1976">
        <v>645003</v>
      </c>
      <c r="K327" s="590">
        <f t="shared" si="15"/>
        <v>0.18308680550899167</v>
      </c>
      <c r="L327" s="1976">
        <v>97</v>
      </c>
      <c r="M327" s="587">
        <v>54.4</v>
      </c>
    </row>
    <row r="328" spans="1:13">
      <c r="A328" s="63">
        <f t="shared" si="13"/>
        <v>2020.07</v>
      </c>
      <c r="B328" s="250">
        <v>222968.5</v>
      </c>
      <c r="C328" s="785">
        <v>1211129.75</v>
      </c>
      <c r="D328" s="1976">
        <v>1206244</v>
      </c>
      <c r="E328" s="787">
        <f t="shared" si="14"/>
        <v>0.18409959791673849</v>
      </c>
      <c r="F328" s="251">
        <v>229</v>
      </c>
      <c r="G328" s="593">
        <v>81.257000000000005</v>
      </c>
      <c r="H328" s="573">
        <v>119803.75</v>
      </c>
      <c r="I328" s="573">
        <v>619699.5</v>
      </c>
      <c r="J328" s="1976">
        <v>613509</v>
      </c>
      <c r="K328" s="590">
        <f t="shared" si="15"/>
        <v>0.19332555536998175</v>
      </c>
      <c r="L328" s="1976">
        <v>96</v>
      </c>
      <c r="M328" s="587">
        <v>57</v>
      </c>
    </row>
    <row r="329" spans="1:13">
      <c r="A329" s="63">
        <f t="shared" si="13"/>
        <v>2020.08</v>
      </c>
      <c r="B329" s="250">
        <v>207097</v>
      </c>
      <c r="C329" s="785">
        <v>1156906.75</v>
      </c>
      <c r="D329" s="1976">
        <v>1148535</v>
      </c>
      <c r="E329" s="787">
        <f t="shared" si="14"/>
        <v>0.17900924166965057</v>
      </c>
      <c r="F329" s="251">
        <v>230</v>
      </c>
      <c r="G329" s="593">
        <v>89.846999999999994</v>
      </c>
      <c r="H329" s="573">
        <v>115387</v>
      </c>
      <c r="I329" s="573">
        <v>601283.5</v>
      </c>
      <c r="J329" s="1976">
        <v>595460</v>
      </c>
      <c r="K329" s="590">
        <f t="shared" si="15"/>
        <v>0.19190115810595168</v>
      </c>
      <c r="L329" s="1976">
        <v>94</v>
      </c>
      <c r="M329" s="587">
        <v>67.94</v>
      </c>
    </row>
    <row r="330" spans="1:13">
      <c r="A330" s="63">
        <f t="shared" si="13"/>
        <v>2020.09</v>
      </c>
      <c r="B330" s="250">
        <v>195955</v>
      </c>
      <c r="C330" s="785">
        <v>1210719</v>
      </c>
      <c r="D330" s="1976">
        <v>1200202</v>
      </c>
      <c r="E330" s="787">
        <f t="shared" si="14"/>
        <v>0.16185010725031984</v>
      </c>
      <c r="F330" s="251">
        <v>230</v>
      </c>
      <c r="G330" s="593">
        <v>92.77</v>
      </c>
      <c r="H330" s="573">
        <v>107475.25</v>
      </c>
      <c r="I330" s="573">
        <v>589253.75</v>
      </c>
      <c r="J330" s="1976">
        <v>587841</v>
      </c>
      <c r="K330" s="590">
        <f t="shared" si="15"/>
        <v>0.18239213581585184</v>
      </c>
      <c r="L330" s="1976">
        <v>93</v>
      </c>
      <c r="M330" s="587">
        <v>82.75</v>
      </c>
    </row>
    <row r="331" spans="1:13">
      <c r="A331" s="63">
        <f t="shared" si="13"/>
        <v>2020.1</v>
      </c>
      <c r="B331" s="250">
        <v>213726.75</v>
      </c>
      <c r="C331" s="785">
        <v>1234249.5</v>
      </c>
      <c r="D331" s="1976">
        <v>1205921</v>
      </c>
      <c r="E331" s="787">
        <f t="shared" si="14"/>
        <v>0.1731633271878984</v>
      </c>
      <c r="F331" s="251">
        <v>228</v>
      </c>
      <c r="G331" s="593">
        <v>100.517</v>
      </c>
      <c r="H331" s="573">
        <v>108959.5</v>
      </c>
      <c r="I331" s="573">
        <v>583660</v>
      </c>
      <c r="J331" s="1976">
        <v>582731</v>
      </c>
      <c r="K331" s="590">
        <f t="shared" si="15"/>
        <v>0.18668317170955692</v>
      </c>
      <c r="L331" s="1976">
        <v>93</v>
      </c>
      <c r="M331" s="587">
        <v>94.44</v>
      </c>
    </row>
    <row r="332" spans="1:13">
      <c r="A332" s="63">
        <f t="shared" si="13"/>
        <v>2020.11</v>
      </c>
      <c r="B332" s="250">
        <v>205405</v>
      </c>
      <c r="C332" s="785">
        <v>1224106</v>
      </c>
      <c r="D332" s="1976">
        <v>1212262</v>
      </c>
      <c r="E332" s="787">
        <f t="shared" si="14"/>
        <v>0.16780001078337986</v>
      </c>
      <c r="F332" s="251">
        <v>228</v>
      </c>
      <c r="G332" s="593">
        <v>111.364</v>
      </c>
      <c r="H332" s="573">
        <v>110685</v>
      </c>
      <c r="I332" s="573">
        <v>580316.75</v>
      </c>
      <c r="J332" s="1976">
        <v>573837</v>
      </c>
      <c r="K332" s="590">
        <f t="shared" si="15"/>
        <v>0.19073204418104422</v>
      </c>
      <c r="L332" s="1976">
        <v>93</v>
      </c>
      <c r="M332" s="587">
        <v>98.1</v>
      </c>
    </row>
    <row r="333" spans="1:13">
      <c r="A333" s="63">
        <f t="shared" si="13"/>
        <v>2020.12</v>
      </c>
      <c r="B333" s="250">
        <v>186881.75</v>
      </c>
      <c r="C333" s="785">
        <v>1200821</v>
      </c>
      <c r="D333" s="1976">
        <v>1172523</v>
      </c>
      <c r="E333" s="787">
        <f t="shared" si="14"/>
        <v>0.15562831596049703</v>
      </c>
      <c r="F333" s="251">
        <v>225</v>
      </c>
      <c r="G333" s="593">
        <v>133.54499999999999</v>
      </c>
      <c r="H333" s="573">
        <v>119217</v>
      </c>
      <c r="I333" s="573">
        <v>658577.75</v>
      </c>
      <c r="J333" s="1976">
        <v>649216</v>
      </c>
      <c r="K333" s="590">
        <f t="shared" si="15"/>
        <v>0.18102190667692614</v>
      </c>
      <c r="L333" s="1976">
        <v>90</v>
      </c>
      <c r="M333" s="587">
        <v>98.74</v>
      </c>
    </row>
    <row r="334" spans="1:13">
      <c r="A334" s="63">
        <f t="shared" si="13"/>
        <v>2021.01</v>
      </c>
      <c r="B334" s="250">
        <v>169608.25</v>
      </c>
      <c r="C334" s="785">
        <v>998004.25</v>
      </c>
      <c r="D334" s="1976">
        <v>970970</v>
      </c>
      <c r="E334" s="787">
        <f t="shared" si="14"/>
        <v>0.16994742256859127</v>
      </c>
      <c r="F334" s="251">
        <v>228</v>
      </c>
      <c r="G334" s="593">
        <v>137.53100000000001</v>
      </c>
      <c r="H334" s="573">
        <v>110987.25</v>
      </c>
      <c r="I334" s="573">
        <v>554845.75</v>
      </c>
      <c r="J334" s="1976">
        <v>545722</v>
      </c>
      <c r="K334" s="590">
        <f t="shared" si="15"/>
        <v>0.20003262167908828</v>
      </c>
      <c r="L334" s="1976">
        <v>93</v>
      </c>
      <c r="M334" s="587">
        <v>100.44</v>
      </c>
    </row>
    <row r="335" spans="1:13">
      <c r="A335" s="63">
        <f t="shared" si="13"/>
        <v>2021.02</v>
      </c>
      <c r="B335" s="250">
        <v>165032.75</v>
      </c>
      <c r="C335" s="785">
        <v>1003938.5</v>
      </c>
      <c r="D335" s="1976">
        <v>988537</v>
      </c>
      <c r="E335" s="787">
        <f t="shared" si="14"/>
        <v>0.16438531842338949</v>
      </c>
      <c r="F335" s="251">
        <v>226</v>
      </c>
      <c r="G335" s="593">
        <v>146.215</v>
      </c>
      <c r="H335" s="573">
        <v>107169.75</v>
      </c>
      <c r="I335" s="573">
        <v>553792.25</v>
      </c>
      <c r="J335" s="1976">
        <v>543364</v>
      </c>
      <c r="K335" s="590">
        <f t="shared" si="15"/>
        <v>0.1935197720805952</v>
      </c>
      <c r="L335" s="1976">
        <v>92</v>
      </c>
      <c r="M335" s="587">
        <v>102.13</v>
      </c>
    </row>
    <row r="336" spans="1:13">
      <c r="A336" s="63">
        <f t="shared" si="13"/>
        <v>2021.03</v>
      </c>
      <c r="B336" s="250">
        <v>204759.5</v>
      </c>
      <c r="C336" s="785">
        <v>1178434</v>
      </c>
      <c r="D336" s="1976">
        <v>1153468</v>
      </c>
      <c r="E336" s="787">
        <f t="shared" si="14"/>
        <v>0.17375559428869161</v>
      </c>
      <c r="F336" s="251">
        <v>226</v>
      </c>
      <c r="G336" s="593">
        <v>146.44399999999999</v>
      </c>
      <c r="H336" s="573">
        <v>134914.25</v>
      </c>
      <c r="I336" s="573">
        <v>677942.75</v>
      </c>
      <c r="J336" s="1976">
        <v>673308</v>
      </c>
      <c r="K336" s="590">
        <f t="shared" si="15"/>
        <v>0.19900537324132458</v>
      </c>
      <c r="L336" s="1976">
        <v>93</v>
      </c>
      <c r="M336" s="587">
        <v>103.7</v>
      </c>
    </row>
    <row r="337" spans="1:13">
      <c r="A337" s="63">
        <f t="shared" si="13"/>
        <v>2021.04</v>
      </c>
      <c r="B337" s="250">
        <v>190256.5</v>
      </c>
      <c r="C337" s="785">
        <v>1096350.25</v>
      </c>
      <c r="D337" s="1976">
        <v>1089830</v>
      </c>
      <c r="E337" s="787">
        <f t="shared" si="14"/>
        <v>0.1735362399014366</v>
      </c>
      <c r="F337" s="251">
        <v>226</v>
      </c>
      <c r="G337" s="593">
        <v>146.87200000000001</v>
      </c>
      <c r="H337" s="573">
        <v>123294.5</v>
      </c>
      <c r="I337" s="573">
        <v>610737.25</v>
      </c>
      <c r="J337" s="1976">
        <v>605056</v>
      </c>
      <c r="K337" s="590">
        <f t="shared" si="15"/>
        <v>0.20187813990386211</v>
      </c>
      <c r="L337" s="1976">
        <v>95</v>
      </c>
      <c r="M337" s="587">
        <v>107.92</v>
      </c>
    </row>
    <row r="338" spans="1:13">
      <c r="A338" s="63">
        <f t="shared" si="13"/>
        <v>2021.05</v>
      </c>
      <c r="B338" s="250">
        <v>162604.25</v>
      </c>
      <c r="C338" s="785">
        <v>981869.75</v>
      </c>
      <c r="D338" s="1976">
        <v>969457</v>
      </c>
      <c r="E338" s="787">
        <f t="shared" si="14"/>
        <v>0.16560674162738998</v>
      </c>
      <c r="F338" s="251">
        <v>225</v>
      </c>
      <c r="G338" s="593">
        <v>145.90899999999999</v>
      </c>
      <c r="H338" s="573">
        <v>116571.5</v>
      </c>
      <c r="I338" s="573">
        <v>617742.75</v>
      </c>
      <c r="J338" s="1976">
        <v>613099</v>
      </c>
      <c r="K338" s="590">
        <f t="shared" si="15"/>
        <v>0.18870557363886503</v>
      </c>
      <c r="L338" s="1976">
        <v>95</v>
      </c>
      <c r="M338" s="587">
        <v>107.95</v>
      </c>
    </row>
    <row r="339" spans="1:13">
      <c r="A339" s="63">
        <f t="shared" si="13"/>
        <v>2021.06</v>
      </c>
      <c r="B339" s="250">
        <v>180017.5</v>
      </c>
      <c r="C339" s="785">
        <v>1088398</v>
      </c>
      <c r="D339" s="1976">
        <v>1069571</v>
      </c>
      <c r="E339" s="787">
        <f t="shared" si="14"/>
        <v>0.16539675743615848</v>
      </c>
      <c r="F339" s="251">
        <v>232</v>
      </c>
      <c r="G339" s="593">
        <v>146.14699999999999</v>
      </c>
      <c r="H339" s="573">
        <v>122882</v>
      </c>
      <c r="I339" s="573">
        <v>664341.25</v>
      </c>
      <c r="J339" s="1976">
        <v>658052</v>
      </c>
      <c r="K339" s="590">
        <f t="shared" si="15"/>
        <v>0.18496819217533159</v>
      </c>
      <c r="L339" s="1976">
        <v>95</v>
      </c>
      <c r="M339" s="587">
        <v>107.33</v>
      </c>
    </row>
    <row r="340" spans="1:13">
      <c r="A340" s="63">
        <f t="shared" si="13"/>
        <v>2021.07</v>
      </c>
      <c r="B340" s="250">
        <v>191164.75</v>
      </c>
      <c r="C340" s="785">
        <v>1073294.75</v>
      </c>
      <c r="D340" s="1976">
        <v>1061584</v>
      </c>
      <c r="E340" s="787">
        <f t="shared" si="14"/>
        <v>0.17811020691194102</v>
      </c>
      <c r="F340" s="251">
        <v>234</v>
      </c>
      <c r="G340" s="593">
        <v>140.96899999999999</v>
      </c>
      <c r="H340" s="573">
        <v>124792</v>
      </c>
      <c r="I340" s="573">
        <v>642343.75</v>
      </c>
      <c r="J340" s="1976">
        <v>636124</v>
      </c>
      <c r="K340" s="590">
        <f t="shared" si="15"/>
        <v>0.19427603989297007</v>
      </c>
      <c r="L340" s="1976">
        <v>95</v>
      </c>
      <c r="M340" s="587">
        <v>107.33</v>
      </c>
    </row>
    <row r="341" spans="1:13">
      <c r="A341" s="63">
        <f t="shared" si="13"/>
        <v>2021.08</v>
      </c>
      <c r="B341" s="250">
        <v>194907.75</v>
      </c>
      <c r="C341" s="785">
        <v>1138115.5</v>
      </c>
      <c r="D341" s="1976">
        <v>1137569.5</v>
      </c>
      <c r="E341" s="787">
        <f t="shared" si="14"/>
        <v>0.17125480673973775</v>
      </c>
      <c r="F341" s="251">
        <v>234</v>
      </c>
      <c r="G341" s="593">
        <v>146.78700000000001</v>
      </c>
      <c r="H341" s="573">
        <v>123750.25</v>
      </c>
      <c r="I341" s="573">
        <v>639825</v>
      </c>
      <c r="J341" s="1976">
        <v>636940</v>
      </c>
      <c r="K341" s="590">
        <f t="shared" si="15"/>
        <v>0.19341265189700307</v>
      </c>
      <c r="L341" s="1976">
        <v>98</v>
      </c>
      <c r="M341" s="587">
        <v>115.22</v>
      </c>
    </row>
    <row r="342" spans="1:13">
      <c r="A342" s="63">
        <f t="shared" si="13"/>
        <v>2021.09</v>
      </c>
      <c r="B342" s="250">
        <v>191466.25</v>
      </c>
      <c r="C342" s="785">
        <v>1099155.75</v>
      </c>
      <c r="D342" s="1976">
        <v>1089299</v>
      </c>
      <c r="E342" s="787">
        <f t="shared" si="14"/>
        <v>0.17419392110717702</v>
      </c>
      <c r="F342" s="251">
        <v>233</v>
      </c>
      <c r="G342" s="593">
        <v>159.07599999999999</v>
      </c>
      <c r="H342" s="573">
        <v>115979</v>
      </c>
      <c r="I342" s="573">
        <v>607768.75</v>
      </c>
      <c r="J342" s="1976">
        <v>600563</v>
      </c>
      <c r="K342" s="590">
        <f t="shared" si="15"/>
        <v>0.19082751457688471</v>
      </c>
      <c r="L342" s="1976">
        <v>92</v>
      </c>
      <c r="M342" s="587">
        <v>127.51</v>
      </c>
    </row>
    <row r="343" spans="1:13">
      <c r="A343" s="63">
        <f t="shared" si="13"/>
        <v>2021.1</v>
      </c>
      <c r="B343" s="250">
        <v>185652.75</v>
      </c>
      <c r="C343" s="785">
        <v>1074868.75</v>
      </c>
      <c r="D343" s="1976">
        <v>1062932</v>
      </c>
      <c r="E343" s="787">
        <f t="shared" si="14"/>
        <v>0.17272132062635553</v>
      </c>
      <c r="F343" s="251">
        <v>231</v>
      </c>
      <c r="G343" s="593">
        <v>162.11600000000001</v>
      </c>
      <c r="H343" s="573">
        <v>109271.5</v>
      </c>
      <c r="I343" s="573">
        <v>596364</v>
      </c>
      <c r="J343" s="1976">
        <v>590651</v>
      </c>
      <c r="K343" s="590">
        <f t="shared" si="15"/>
        <v>0.18322953766491606</v>
      </c>
      <c r="L343" s="1976">
        <v>92</v>
      </c>
      <c r="M343" s="587">
        <v>134.58000000000001</v>
      </c>
    </row>
    <row r="344" spans="1:13">
      <c r="A344" s="63">
        <f t="shared" si="13"/>
        <v>2021.11</v>
      </c>
      <c r="B344" s="250">
        <v>186826.5</v>
      </c>
      <c r="C344" s="785">
        <v>1100237.5</v>
      </c>
      <c r="D344" s="1976">
        <v>1097707</v>
      </c>
      <c r="E344" s="787">
        <f>B344/C344</f>
        <v>0.16980561015235346</v>
      </c>
      <c r="F344" s="251">
        <v>230</v>
      </c>
      <c r="G344" s="593">
        <v>188.70599999999999</v>
      </c>
      <c r="H344" s="573">
        <v>120324.5</v>
      </c>
      <c r="I344" s="573">
        <v>633663.5</v>
      </c>
      <c r="J344" s="1976">
        <v>627392</v>
      </c>
      <c r="K344" s="590">
        <f t="shared" si="15"/>
        <v>0.18988706150819795</v>
      </c>
      <c r="L344" s="1976">
        <v>92</v>
      </c>
      <c r="M344" s="587">
        <v>142.62</v>
      </c>
    </row>
    <row r="345" spans="1:13">
      <c r="A345" s="63">
        <f t="shared" si="13"/>
        <v>2021.12</v>
      </c>
      <c r="B345" s="250">
        <v>197332.5</v>
      </c>
      <c r="C345" s="785">
        <v>1133884</v>
      </c>
      <c r="D345" s="1976">
        <v>1133884</v>
      </c>
      <c r="E345" s="787">
        <f t="shared" si="14"/>
        <v>0.17403235251577762</v>
      </c>
      <c r="F345" s="251">
        <v>229</v>
      </c>
      <c r="G345" s="593">
        <v>201.98</v>
      </c>
      <c r="H345" s="573">
        <v>124938.5</v>
      </c>
      <c r="I345" s="573">
        <v>670397.75</v>
      </c>
      <c r="J345" s="1976">
        <v>670398</v>
      </c>
      <c r="K345" s="590">
        <f t="shared" si="15"/>
        <v>0.1863647364568273</v>
      </c>
      <c r="L345" s="1976">
        <v>90</v>
      </c>
      <c r="M345" s="587">
        <v>148.83000000000001</v>
      </c>
    </row>
    <row r="346" spans="1:13">
      <c r="A346" s="63">
        <f t="shared" si="13"/>
        <v>2022.01</v>
      </c>
      <c r="B346" s="250">
        <v>162126.75</v>
      </c>
      <c r="C346" s="785">
        <v>974681.75</v>
      </c>
      <c r="D346" s="1976">
        <v>971796</v>
      </c>
      <c r="E346" s="787">
        <f t="shared" si="14"/>
        <v>0.16633814062897967</v>
      </c>
      <c r="F346" s="251">
        <v>229</v>
      </c>
      <c r="G346" s="593">
        <v>205.89599999999999</v>
      </c>
      <c r="H346" s="573">
        <v>101698</v>
      </c>
      <c r="I346" s="573">
        <v>534899.25</v>
      </c>
      <c r="J346" s="1976">
        <v>533951.25</v>
      </c>
      <c r="K346" s="590">
        <f t="shared" si="15"/>
        <v>0.19012552363833002</v>
      </c>
      <c r="L346" s="1976">
        <v>91</v>
      </c>
      <c r="M346" s="587">
        <v>153.66999999999999</v>
      </c>
    </row>
    <row r="347" spans="1:13">
      <c r="A347" s="63">
        <f t="shared" si="13"/>
        <v>2022.02</v>
      </c>
      <c r="B347" s="250">
        <v>177597.25</v>
      </c>
      <c r="C347" s="785">
        <v>1022410.5</v>
      </c>
      <c r="D347" s="1976">
        <v>1009112</v>
      </c>
      <c r="E347" s="787">
        <f>B347/C347</f>
        <v>0.17370444650167424</v>
      </c>
      <c r="F347" s="251">
        <v>230</v>
      </c>
      <c r="G347" s="593">
        <v>225.01900000000001</v>
      </c>
      <c r="H347" s="573">
        <v>107161.75</v>
      </c>
      <c r="I347" s="573">
        <v>551527.75</v>
      </c>
      <c r="J347" s="1976">
        <v>550318.75</v>
      </c>
      <c r="K347" s="590">
        <f t="shared" si="15"/>
        <v>0.19429983350792412</v>
      </c>
      <c r="L347" s="1976">
        <v>92</v>
      </c>
      <c r="M347" s="587">
        <v>152.4</v>
      </c>
    </row>
    <row r="348" spans="1:13">
      <c r="A348" s="63">
        <f t="shared" si="13"/>
        <v>2022.03</v>
      </c>
      <c r="B348" s="250">
        <v>197598.5</v>
      </c>
      <c r="C348" s="785">
        <v>1146743.75</v>
      </c>
      <c r="D348" s="1976">
        <v>1134657</v>
      </c>
      <c r="E348" s="787">
        <f t="shared" si="14"/>
        <v>0.17231268973561006</v>
      </c>
      <c r="F348" s="251">
        <v>229</v>
      </c>
      <c r="G348" s="593">
        <v>235.24700000000001</v>
      </c>
      <c r="H348" s="573">
        <v>125836</v>
      </c>
      <c r="I348" s="573">
        <v>669293.5</v>
      </c>
      <c r="J348" s="1976">
        <v>667427</v>
      </c>
      <c r="K348" s="590">
        <f t="shared" si="15"/>
        <v>0.18801318106331527</v>
      </c>
      <c r="L348" s="1976">
        <v>94</v>
      </c>
      <c r="M348" s="587">
        <v>153.24</v>
      </c>
    </row>
    <row r="349" spans="1:13">
      <c r="A349" s="63">
        <f t="shared" si="13"/>
        <v>2022.04</v>
      </c>
      <c r="B349" s="250">
        <v>179202.75</v>
      </c>
      <c r="C349" s="785">
        <v>1052178.25</v>
      </c>
      <c r="D349" s="1976">
        <v>1040995</v>
      </c>
      <c r="E349" s="787">
        <f t="shared" si="14"/>
        <v>0.17031596119763928</v>
      </c>
      <c r="F349" s="251">
        <v>231</v>
      </c>
      <c r="G349" s="593">
        <v>239.87899999999999</v>
      </c>
      <c r="H349" s="573">
        <v>117303</v>
      </c>
      <c r="I349" s="573">
        <v>627197</v>
      </c>
      <c r="J349" s="1976">
        <v>625222</v>
      </c>
      <c r="K349" s="590">
        <f t="shared" si="15"/>
        <v>0.18702736141913945</v>
      </c>
      <c r="L349" s="1976">
        <v>96</v>
      </c>
      <c r="M349" s="587">
        <v>159.26</v>
      </c>
    </row>
    <row r="350" spans="1:13">
      <c r="A350" s="63">
        <f t="shared" si="13"/>
        <v>2022.05</v>
      </c>
      <c r="B350" s="250">
        <v>203227.75</v>
      </c>
      <c r="C350" s="785">
        <v>1160459.75</v>
      </c>
      <c r="D350" s="1976">
        <v>1154426</v>
      </c>
      <c r="E350" s="787">
        <f t="shared" si="14"/>
        <v>0.17512692706489821</v>
      </c>
      <c r="F350" s="251">
        <v>232</v>
      </c>
      <c r="G350" s="593">
        <v>233.65199999999999</v>
      </c>
      <c r="H350" s="573">
        <v>125630.25</v>
      </c>
      <c r="I350" s="573">
        <v>679723.25</v>
      </c>
      <c r="J350" s="1976">
        <v>679121</v>
      </c>
      <c r="K350" s="590">
        <f t="shared" si="15"/>
        <v>0.18482558894373555</v>
      </c>
      <c r="L350" s="1976">
        <v>96</v>
      </c>
      <c r="M350" s="587">
        <v>160.75</v>
      </c>
    </row>
    <row r="351" spans="1:13">
      <c r="A351" s="63">
        <f t="shared" si="13"/>
        <v>2022.06</v>
      </c>
      <c r="B351" s="250">
        <v>198543.25</v>
      </c>
      <c r="C351" s="785">
        <v>1139703.75</v>
      </c>
      <c r="D351" s="1976">
        <v>1132861</v>
      </c>
      <c r="E351" s="787">
        <f t="shared" si="14"/>
        <v>0.17420601625641752</v>
      </c>
      <c r="F351" s="251">
        <v>234</v>
      </c>
      <c r="G351" s="593">
        <v>231.203</v>
      </c>
      <c r="H351" s="573">
        <v>122536.25</v>
      </c>
      <c r="I351" s="573">
        <v>665739.5</v>
      </c>
      <c r="J351" s="1976">
        <v>664969</v>
      </c>
      <c r="K351" s="590">
        <f t="shared" si="15"/>
        <v>0.18406035694141629</v>
      </c>
      <c r="L351" s="1976">
        <v>97</v>
      </c>
      <c r="M351" s="587">
        <v>163.51</v>
      </c>
    </row>
    <row r="352" spans="1:13">
      <c r="A352" s="63">
        <f t="shared" si="13"/>
        <v>2022.07</v>
      </c>
      <c r="B352" s="250">
        <v>204323</v>
      </c>
      <c r="C352" s="785">
        <v>1106239.75</v>
      </c>
      <c r="D352" s="1976">
        <v>1103676</v>
      </c>
      <c r="E352" s="787">
        <f t="shared" si="14"/>
        <v>0.18470046841111973</v>
      </c>
      <c r="F352" s="251">
        <v>236</v>
      </c>
      <c r="G352" s="593">
        <v>237.46799999999999</v>
      </c>
      <c r="H352" s="573">
        <v>123121.25</v>
      </c>
      <c r="I352" s="573">
        <v>652551</v>
      </c>
      <c r="J352" s="1976">
        <v>651739</v>
      </c>
      <c r="K352" s="590">
        <f t="shared" si="15"/>
        <v>0.18867682372718761</v>
      </c>
      <c r="L352" s="1976">
        <v>96</v>
      </c>
      <c r="M352" s="587">
        <v>181.89</v>
      </c>
    </row>
    <row r="353" spans="1:13">
      <c r="A353" s="63">
        <f t="shared" si="13"/>
        <v>2022.08</v>
      </c>
      <c r="B353" s="250">
        <v>212258.5</v>
      </c>
      <c r="C353" s="785">
        <v>1228282.5</v>
      </c>
      <c r="D353" s="1976">
        <v>1227017</v>
      </c>
      <c r="E353" s="787">
        <f t="shared" si="14"/>
        <v>0.17280918681166588</v>
      </c>
      <c r="F353" s="251">
        <v>236</v>
      </c>
      <c r="G353" s="593">
        <v>272.447</v>
      </c>
      <c r="H353" s="573">
        <v>129094.75</v>
      </c>
      <c r="I353" s="573">
        <v>692581.75</v>
      </c>
      <c r="J353" s="1976">
        <v>691735</v>
      </c>
      <c r="K353" s="590">
        <f t="shared" si="15"/>
        <v>0.18639640735552157</v>
      </c>
      <c r="L353" s="1976">
        <v>95</v>
      </c>
      <c r="M353" s="587">
        <v>210.1</v>
      </c>
    </row>
    <row r="354" spans="1:13">
      <c r="A354" s="63">
        <f t="shared" si="13"/>
        <v>2022.09</v>
      </c>
      <c r="B354" s="250">
        <v>202740.25</v>
      </c>
      <c r="C354" s="785">
        <v>1178209.5</v>
      </c>
      <c r="D354" s="1976">
        <v>1168810</v>
      </c>
      <c r="E354" s="787">
        <f t="shared" si="14"/>
        <v>0.17207487293219076</v>
      </c>
      <c r="F354" s="251">
        <v>236</v>
      </c>
      <c r="G354" s="593">
        <v>270.33499999999998</v>
      </c>
      <c r="H354" s="573">
        <v>119443</v>
      </c>
      <c r="I354" s="573">
        <v>636145.5</v>
      </c>
      <c r="J354" s="1976">
        <v>635087</v>
      </c>
      <c r="K354" s="590">
        <f t="shared" si="15"/>
        <v>0.18776050447578424</v>
      </c>
      <c r="L354" s="1976">
        <v>95</v>
      </c>
      <c r="M354" s="587">
        <v>230.94</v>
      </c>
    </row>
    <row r="355" spans="1:13">
      <c r="A355" s="63">
        <f t="shared" si="13"/>
        <v>2022.1</v>
      </c>
      <c r="B355" s="1976">
        <v>172015.25</v>
      </c>
      <c r="C355" s="1985">
        <v>1100755.75</v>
      </c>
      <c r="D355" s="1976">
        <v>1094677.25</v>
      </c>
      <c r="E355" s="787">
        <f t="shared" si="14"/>
        <v>0.15627013531385142</v>
      </c>
      <c r="F355" s="251">
        <v>232</v>
      </c>
      <c r="G355" s="593">
        <v>251.56100000000001</v>
      </c>
      <c r="H355" s="573">
        <v>116257.25</v>
      </c>
      <c r="I355" s="573">
        <v>631920.25</v>
      </c>
      <c r="J355" s="1976">
        <v>630693</v>
      </c>
      <c r="K355" s="590">
        <f t="shared" si="15"/>
        <v>0.18397456008095958</v>
      </c>
      <c r="L355" s="1976">
        <v>95</v>
      </c>
      <c r="M355" s="587">
        <v>243.49</v>
      </c>
    </row>
    <row r="356" spans="1:13">
      <c r="A356" s="63">
        <f t="shared" si="13"/>
        <v>2022.11</v>
      </c>
      <c r="B356" s="250">
        <v>191535.5</v>
      </c>
      <c r="C356" s="785">
        <v>1171284</v>
      </c>
      <c r="D356" s="1976">
        <v>1154947</v>
      </c>
      <c r="E356" s="787">
        <f t="shared" si="14"/>
        <v>0.16352609614747576</v>
      </c>
      <c r="F356" s="251">
        <v>233</v>
      </c>
      <c r="G356" s="593">
        <v>255.453</v>
      </c>
      <c r="H356" s="573">
        <v>122844.75</v>
      </c>
      <c r="I356" s="573">
        <v>649855.25</v>
      </c>
      <c r="J356" s="1976">
        <v>647882</v>
      </c>
      <c r="K356" s="590">
        <f t="shared" si="15"/>
        <v>0.18903401949895765</v>
      </c>
      <c r="L356" s="1976">
        <v>94</v>
      </c>
      <c r="M356" s="587">
        <v>250.24</v>
      </c>
    </row>
    <row r="357" spans="1:13">
      <c r="A357" s="63">
        <f t="shared" si="13"/>
        <v>2022.12</v>
      </c>
      <c r="B357" s="250">
        <v>200681.25</v>
      </c>
      <c r="C357" s="785">
        <v>1217784</v>
      </c>
      <c r="D357" s="1976">
        <v>1217784</v>
      </c>
      <c r="E357" s="787">
        <f t="shared" si="14"/>
        <v>0.16479215525906071</v>
      </c>
      <c r="F357" s="251">
        <v>228</v>
      </c>
      <c r="G357" s="593">
        <v>265.82799999999997</v>
      </c>
      <c r="H357" s="573">
        <v>120586.25</v>
      </c>
      <c r="I357" s="573">
        <v>674578</v>
      </c>
      <c r="J357" s="1976">
        <v>674578</v>
      </c>
      <c r="K357" s="590">
        <f t="shared" si="15"/>
        <v>0.17875805318287877</v>
      </c>
      <c r="L357" s="1976">
        <v>91</v>
      </c>
      <c r="M357" s="587">
        <v>260.67</v>
      </c>
    </row>
    <row r="358" spans="1:13">
      <c r="A358" s="63">
        <f t="shared" si="13"/>
        <v>2023.01</v>
      </c>
      <c r="B358" s="250">
        <v>202835.25</v>
      </c>
      <c r="C358" s="785">
        <v>1196056.25</v>
      </c>
      <c r="D358" s="1976">
        <v>1185257</v>
      </c>
      <c r="E358" s="787">
        <f t="shared" si="14"/>
        <v>0.16958671467165529</v>
      </c>
      <c r="F358" s="251">
        <v>228</v>
      </c>
      <c r="G358" s="593">
        <v>298.56099999999998</v>
      </c>
      <c r="H358" s="573">
        <v>122284.25</v>
      </c>
      <c r="I358" s="573">
        <v>641352.5</v>
      </c>
      <c r="J358" s="1976">
        <v>634125</v>
      </c>
      <c r="K358" s="590">
        <f t="shared" si="15"/>
        <v>0.19066620929987799</v>
      </c>
      <c r="L358" s="1976">
        <v>92</v>
      </c>
      <c r="M358" s="587">
        <v>266.77999999999997</v>
      </c>
    </row>
    <row r="359" spans="1:13">
      <c r="A359" s="63">
        <f t="shared" si="13"/>
        <v>2023.02</v>
      </c>
      <c r="B359" s="250">
        <v>175394.75</v>
      </c>
      <c r="C359" s="785">
        <v>1052638</v>
      </c>
      <c r="D359" s="1986">
        <v>1048049</v>
      </c>
      <c r="E359" s="787">
        <f t="shared" si="14"/>
        <v>0.16662399609362383</v>
      </c>
      <c r="F359" s="251">
        <v>227</v>
      </c>
      <c r="G359" s="593">
        <v>380.452</v>
      </c>
      <c r="H359" s="573">
        <v>109108.25</v>
      </c>
      <c r="I359" s="573">
        <v>583279.75</v>
      </c>
      <c r="J359" s="1976">
        <v>577190</v>
      </c>
      <c r="K359" s="590">
        <f t="shared" si="15"/>
        <v>0.18705989707340259</v>
      </c>
      <c r="L359" s="1976">
        <v>92</v>
      </c>
      <c r="M359" s="587">
        <v>280.04000000000002</v>
      </c>
    </row>
    <row r="360" spans="1:13">
      <c r="A360" s="63">
        <f t="shared" si="13"/>
        <v>2023.03</v>
      </c>
      <c r="B360" s="1976">
        <v>216860.25</v>
      </c>
      <c r="C360" s="785">
        <v>1296154.5</v>
      </c>
      <c r="D360" s="1976">
        <v>1290080</v>
      </c>
      <c r="E360" s="787">
        <f t="shared" si="14"/>
        <v>0.16731049423506225</v>
      </c>
      <c r="F360" s="251">
        <v>227</v>
      </c>
      <c r="G360" s="593">
        <v>352.733</v>
      </c>
      <c r="H360" s="573">
        <v>134573</v>
      </c>
      <c r="I360" s="573">
        <v>700782.5</v>
      </c>
      <c r="J360" s="1976">
        <v>699104</v>
      </c>
      <c r="K360" s="590">
        <f t="shared" si="15"/>
        <v>0.19203247797997239</v>
      </c>
      <c r="L360" s="1976">
        <v>93</v>
      </c>
      <c r="M360" s="587">
        <v>298.44</v>
      </c>
    </row>
    <row r="361" spans="1:13">
      <c r="A361" s="63">
        <f t="shared" si="13"/>
        <v>2023.04</v>
      </c>
      <c r="B361" s="250">
        <v>193780.5</v>
      </c>
      <c r="C361" s="785">
        <v>1178713.25</v>
      </c>
      <c r="D361" s="1976">
        <v>1172181</v>
      </c>
      <c r="E361" s="787">
        <f t="shared" si="14"/>
        <v>0.16440003537756109</v>
      </c>
      <c r="F361" s="251">
        <v>224</v>
      </c>
      <c r="G361" s="593">
        <v>335.005</v>
      </c>
      <c r="H361" s="573">
        <v>118314.5</v>
      </c>
      <c r="I361" s="573">
        <v>640781.75</v>
      </c>
      <c r="J361" s="1976">
        <v>638568</v>
      </c>
      <c r="K361" s="590">
        <f t="shared" si="15"/>
        <v>0.18464087031192758</v>
      </c>
      <c r="L361" s="1976">
        <v>94</v>
      </c>
      <c r="M361" s="587">
        <v>311.89</v>
      </c>
    </row>
    <row r="362" spans="1:13">
      <c r="A362" s="63">
        <f t="shared" si="13"/>
        <v>2023.05</v>
      </c>
      <c r="B362" s="250">
        <v>211971</v>
      </c>
      <c r="C362" s="785">
        <v>1287445.75</v>
      </c>
      <c r="D362" s="1976">
        <v>1280624</v>
      </c>
      <c r="E362" s="787">
        <f t="shared" si="14"/>
        <v>0.1646446073553002</v>
      </c>
      <c r="F362" s="251">
        <v>225</v>
      </c>
      <c r="G362" s="593">
        <v>335.50900000000001</v>
      </c>
      <c r="H362" s="573">
        <v>127671</v>
      </c>
      <c r="I362" s="573">
        <v>702204.75</v>
      </c>
      <c r="J362" s="1976">
        <v>700080</v>
      </c>
      <c r="K362" s="590">
        <f t="shared" si="15"/>
        <v>0.18181449214064702</v>
      </c>
      <c r="L362" s="1976">
        <v>96</v>
      </c>
      <c r="M362" s="587">
        <v>328.81</v>
      </c>
    </row>
    <row r="363" spans="1:13">
      <c r="A363" s="63">
        <f t="shared" si="13"/>
        <v>2023.06</v>
      </c>
      <c r="B363" s="250">
        <v>219316.25</v>
      </c>
      <c r="C363" s="785">
        <v>1318743.5</v>
      </c>
      <c r="D363" s="1976">
        <v>1313858</v>
      </c>
      <c r="E363" s="787">
        <f t="shared" si="14"/>
        <v>0.16630698084957385</v>
      </c>
      <c r="F363" s="251">
        <v>226</v>
      </c>
      <c r="G363" s="593">
        <v>342.09800000000001</v>
      </c>
      <c r="H363" s="573">
        <v>123072</v>
      </c>
      <c r="I363" s="573">
        <v>672987.25</v>
      </c>
      <c r="J363" s="1976">
        <v>670880</v>
      </c>
      <c r="K363" s="590">
        <f t="shared" si="15"/>
        <v>0.18287419263886501</v>
      </c>
      <c r="L363" s="1976">
        <v>96</v>
      </c>
      <c r="M363" s="587">
        <v>333.73</v>
      </c>
    </row>
    <row r="364" spans="1:13">
      <c r="A364" s="63">
        <f t="shared" si="13"/>
        <v>2023.07</v>
      </c>
      <c r="B364" s="250">
        <v>220745.25</v>
      </c>
      <c r="C364" s="785">
        <v>1291853.25</v>
      </c>
      <c r="D364" s="1976">
        <v>1286950</v>
      </c>
      <c r="E364" s="787">
        <f t="shared" si="14"/>
        <v>0.17087486523720863</v>
      </c>
      <c r="F364" s="251">
        <v>225</v>
      </c>
      <c r="G364" s="593">
        <v>399.62799999999999</v>
      </c>
      <c r="H364" s="573">
        <v>126290.5</v>
      </c>
      <c r="I364" s="573">
        <v>670547</v>
      </c>
      <c r="J364" s="1976">
        <v>668696</v>
      </c>
      <c r="K364" s="590">
        <f t="shared" si="15"/>
        <v>0.18833951982485941</v>
      </c>
      <c r="L364" s="1976">
        <v>97</v>
      </c>
      <c r="M364" s="587">
        <v>354.51</v>
      </c>
    </row>
    <row r="365" spans="1:13">
      <c r="A365" s="63">
        <f t="shared" si="13"/>
        <v>2023.08</v>
      </c>
      <c r="B365" s="250">
        <v>193476.75</v>
      </c>
      <c r="C365" s="785">
        <v>1239642.25</v>
      </c>
      <c r="D365" s="1976">
        <v>1233095</v>
      </c>
      <c r="E365" s="787">
        <f t="shared" si="14"/>
        <v>0.156074665896552</v>
      </c>
      <c r="F365" s="251">
        <v>226</v>
      </c>
      <c r="G365" s="593">
        <v>613.13900000000001</v>
      </c>
      <c r="H365" s="573">
        <v>132604.5</v>
      </c>
      <c r="I365" s="573">
        <v>713227.25</v>
      </c>
      <c r="J365" s="1976">
        <v>711765</v>
      </c>
      <c r="K365" s="590">
        <f t="shared" si="15"/>
        <v>0.1859218082315279</v>
      </c>
      <c r="L365" s="1976">
        <v>96</v>
      </c>
      <c r="M365" s="587">
        <v>420.7</v>
      </c>
    </row>
    <row r="366" spans="1:13">
      <c r="A366" s="63">
        <f t="shared" si="13"/>
        <v>2023.09</v>
      </c>
      <c r="B366" s="250">
        <v>188336.75</v>
      </c>
      <c r="C366" s="785">
        <v>1162459</v>
      </c>
      <c r="D366" s="1976">
        <v>1157893</v>
      </c>
      <c r="E366" s="787">
        <f t="shared" si="14"/>
        <v>0.1620158216332791</v>
      </c>
      <c r="F366" s="251">
        <v>229</v>
      </c>
      <c r="G366" s="593">
        <v>637.07100000000003</v>
      </c>
      <c r="H366" s="573">
        <v>122808.75</v>
      </c>
      <c r="I366" s="573">
        <v>677524.75</v>
      </c>
      <c r="J366" s="1976">
        <v>675728</v>
      </c>
      <c r="K366" s="590">
        <f t="shared" si="15"/>
        <v>0.18126090596690378</v>
      </c>
      <c r="L366" s="1976">
        <v>95</v>
      </c>
      <c r="M366" s="587">
        <v>499.43</v>
      </c>
    </row>
    <row r="367" spans="1:13">
      <c r="A367" s="63">
        <f t="shared" si="13"/>
        <v>2023.1</v>
      </c>
      <c r="B367" s="250">
        <v>173147.25</v>
      </c>
      <c r="C367" s="785">
        <v>1166184.25</v>
      </c>
      <c r="D367" s="1976">
        <v>1160771</v>
      </c>
      <c r="E367" s="787">
        <f t="shared" si="14"/>
        <v>0.14847332229019558</v>
      </c>
      <c r="F367" s="251">
        <v>223</v>
      </c>
      <c r="G367" s="593">
        <v>779.70899999999995</v>
      </c>
      <c r="H367" s="573">
        <v>124827.5</v>
      </c>
      <c r="I367" s="573">
        <v>699055.75</v>
      </c>
      <c r="J367" s="1976">
        <v>697669</v>
      </c>
      <c r="K367" s="590">
        <f t="shared" si="15"/>
        <v>0.17856587260744225</v>
      </c>
      <c r="L367" s="1976">
        <v>95</v>
      </c>
      <c r="M367" s="587">
        <v>562.88</v>
      </c>
    </row>
    <row r="368" spans="1:13">
      <c r="A368" s="63">
        <f t="shared" si="13"/>
        <v>2023.11</v>
      </c>
      <c r="B368" s="250">
        <v>199057.25</v>
      </c>
      <c r="C368" s="785">
        <v>1241055</v>
      </c>
      <c r="D368" s="1976">
        <v>1234134</v>
      </c>
      <c r="E368" s="787">
        <f t="shared" si="14"/>
        <v>0.16039357643295421</v>
      </c>
      <c r="F368" s="251">
        <v>229</v>
      </c>
      <c r="G368" s="593">
        <v>870.73299999999995</v>
      </c>
      <c r="H368" s="573">
        <v>127896.75</v>
      </c>
      <c r="I368" s="573">
        <v>690526</v>
      </c>
      <c r="J368" s="1976">
        <v>690148</v>
      </c>
      <c r="K368" s="590">
        <f t="shared" si="15"/>
        <v>0.18521641473311648</v>
      </c>
      <c r="L368" s="1976">
        <v>93</v>
      </c>
      <c r="M368" s="587">
        <v>676.61</v>
      </c>
    </row>
    <row r="369" spans="1:13">
      <c r="A369" s="63">
        <f t="shared" si="13"/>
        <v>2023.12</v>
      </c>
      <c r="B369" s="250">
        <v>176734.25</v>
      </c>
      <c r="C369" s="785">
        <v>1081791.5</v>
      </c>
      <c r="D369" s="1976">
        <v>1081792</v>
      </c>
      <c r="E369" s="787">
        <f>B369/C369</f>
        <v>0.16337182349833587</v>
      </c>
      <c r="F369" s="251">
        <v>227</v>
      </c>
      <c r="G369" s="593">
        <v>1243.837</v>
      </c>
      <c r="H369" s="573">
        <v>121781.25</v>
      </c>
      <c r="I369" s="573">
        <v>691141.25</v>
      </c>
      <c r="J369" s="1976">
        <v>691141</v>
      </c>
      <c r="K369" s="590">
        <f t="shared" si="15"/>
        <v>0.17620312779768246</v>
      </c>
      <c r="L369" s="1976">
        <v>90</v>
      </c>
      <c r="M369" s="587">
        <v>932.95</v>
      </c>
    </row>
    <row r="370" spans="1:13">
      <c r="A370" s="63">
        <f t="shared" si="13"/>
        <v>2024.01</v>
      </c>
      <c r="B370" s="250">
        <v>206790.75</v>
      </c>
      <c r="C370" s="785">
        <v>1164874.25</v>
      </c>
      <c r="D370" s="1976">
        <v>1158079</v>
      </c>
      <c r="E370" s="787">
        <f t="shared" si="14"/>
        <v>0.17752195140376739</v>
      </c>
      <c r="F370" s="251">
        <v>230</v>
      </c>
      <c r="G370" s="593">
        <v>1307.19</v>
      </c>
      <c r="H370" s="573">
        <v>122886.25</v>
      </c>
      <c r="I370" s="573">
        <v>636646.75</v>
      </c>
      <c r="J370" s="1976">
        <v>634779</v>
      </c>
      <c r="K370" s="590">
        <f t="shared" si="15"/>
        <v>0.19302109058123676</v>
      </c>
      <c r="L370" s="1976">
        <v>92.608000000000004</v>
      </c>
      <c r="M370" s="587">
        <v>1121.45</v>
      </c>
    </row>
    <row r="371" spans="1:13">
      <c r="A371" s="63">
        <f t="shared" si="13"/>
        <v>2024.02</v>
      </c>
      <c r="B371" s="250">
        <v>179618.5</v>
      </c>
      <c r="C371" s="785">
        <v>1054491.5</v>
      </c>
      <c r="D371" s="1976">
        <v>1044005</v>
      </c>
      <c r="E371" s="787">
        <f t="shared" si="14"/>
        <v>0.17033660299774819</v>
      </c>
      <c r="F371" s="251">
        <v>228</v>
      </c>
      <c r="G371" s="593">
        <v>1440.579</v>
      </c>
      <c r="H371" s="573">
        <v>107646.75</v>
      </c>
      <c r="I371" s="573">
        <v>586497</v>
      </c>
      <c r="J371" s="1976">
        <v>584097</v>
      </c>
      <c r="K371" s="590">
        <f t="shared" si="15"/>
        <v>0.1835418595491537</v>
      </c>
      <c r="L371" s="1976">
        <v>93.417000000000002</v>
      </c>
      <c r="M371" s="587">
        <v>1029.26</v>
      </c>
    </row>
    <row r="372" spans="1:13">
      <c r="A372" s="63">
        <f t="shared" si="13"/>
        <v>2024.03</v>
      </c>
      <c r="B372" s="250">
        <v>182594.5</v>
      </c>
      <c r="C372" s="785">
        <v>1061229.25</v>
      </c>
      <c r="D372" s="1976">
        <v>1053811</v>
      </c>
      <c r="E372" s="787">
        <f t="shared" si="14"/>
        <v>0.17205943013726771</v>
      </c>
      <c r="F372" s="251">
        <v>227</v>
      </c>
      <c r="G372" s="593">
        <v>1433.337</v>
      </c>
      <c r="H372" s="573">
        <v>116433.25</v>
      </c>
      <c r="I372" s="573">
        <v>646762.75</v>
      </c>
      <c r="J372" s="1976">
        <v>641861</v>
      </c>
      <c r="K372" s="590">
        <f t="shared" si="15"/>
        <v>0.18002466901502909</v>
      </c>
      <c r="L372" s="1976">
        <v>94.174000000000007</v>
      </c>
      <c r="M372" s="587">
        <v>985.34</v>
      </c>
    </row>
    <row r="373" spans="1:13">
      <c r="A373" s="63">
        <f t="shared" si="13"/>
        <v>2024.04</v>
      </c>
      <c r="B373" s="250">
        <v>169674.75</v>
      </c>
      <c r="C373" s="785">
        <v>1076481.5</v>
      </c>
      <c r="D373" s="1976">
        <v>1071671</v>
      </c>
      <c r="E373" s="787">
        <f t="shared" si="14"/>
        <v>0.15761975472871573</v>
      </c>
      <c r="F373" s="251">
        <v>226</v>
      </c>
      <c r="G373" s="593">
        <v>1413.1690000000001</v>
      </c>
      <c r="H373" s="573">
        <v>124338.75</v>
      </c>
      <c r="I373" s="573">
        <v>707456.5</v>
      </c>
      <c r="J373" s="1976">
        <v>704355</v>
      </c>
      <c r="K373" s="590">
        <f t="shared" si="15"/>
        <v>0.17575462236900785</v>
      </c>
      <c r="L373" s="1976">
        <v>96.754999999999995</v>
      </c>
      <c r="M373" s="587">
        <v>962.43</v>
      </c>
    </row>
    <row r="374" spans="1:13">
      <c r="A374" s="63">
        <f t="shared" si="13"/>
        <v>2024.05</v>
      </c>
      <c r="B374" s="250">
        <v>195357</v>
      </c>
      <c r="C374" s="785">
        <v>1176696.5</v>
      </c>
      <c r="D374" s="1976">
        <v>1167812</v>
      </c>
      <c r="E374" s="787">
        <f t="shared" si="14"/>
        <v>0.1660215697080768</v>
      </c>
      <c r="F374" s="251">
        <v>227</v>
      </c>
      <c r="G374" s="593">
        <v>1332.77</v>
      </c>
      <c r="H374" s="573">
        <v>129856.25</v>
      </c>
      <c r="I374" s="573">
        <v>744216.75</v>
      </c>
      <c r="J374" s="1976">
        <v>741365</v>
      </c>
      <c r="K374" s="590">
        <f t="shared" si="15"/>
        <v>0.17448713697991883</v>
      </c>
      <c r="L374" s="1976">
        <v>98.471999999999994</v>
      </c>
      <c r="M374" s="587">
        <v>927.35</v>
      </c>
    </row>
    <row r="375" spans="1:13">
      <c r="A375" s="63">
        <f t="shared" si="13"/>
        <v>2024.06</v>
      </c>
      <c r="B375" s="250">
        <v>182227.25</v>
      </c>
      <c r="C375" s="785">
        <v>1030749.25</v>
      </c>
      <c r="D375" s="1976">
        <v>1027301</v>
      </c>
      <c r="E375" s="787">
        <f t="shared" si="14"/>
        <v>0.17679105757292571</v>
      </c>
      <c r="F375" s="251">
        <v>226</v>
      </c>
      <c r="G375" s="593">
        <v>1412.047</v>
      </c>
      <c r="H375" s="573">
        <v>112975.75</v>
      </c>
      <c r="I375" s="573">
        <v>663395</v>
      </c>
      <c r="J375" s="1976">
        <v>660757</v>
      </c>
      <c r="K375" s="590">
        <f t="shared" si="15"/>
        <v>0.17029936915412386</v>
      </c>
      <c r="L375" s="1976">
        <v>98</v>
      </c>
      <c r="M375" s="587">
        <v>924.03</v>
      </c>
    </row>
    <row r="376" spans="1:13">
      <c r="A376" s="63">
        <f t="shared" si="13"/>
        <v>2024.07</v>
      </c>
      <c r="B376" s="250">
        <v>218437</v>
      </c>
      <c r="C376" s="785">
        <v>1262305.5</v>
      </c>
      <c r="D376" s="1976">
        <v>1252125</v>
      </c>
      <c r="E376" s="787">
        <f t="shared" si="14"/>
        <v>0.17304606531461678</v>
      </c>
      <c r="F376" s="251">
        <v>230</v>
      </c>
      <c r="G376" s="593">
        <v>1583.874</v>
      </c>
      <c r="H376" s="573">
        <v>140511.75</v>
      </c>
      <c r="I376" s="573">
        <v>794595</v>
      </c>
      <c r="J376" s="1976">
        <v>791205</v>
      </c>
      <c r="K376" s="590">
        <f t="shared" si="15"/>
        <v>0.176834425084477</v>
      </c>
      <c r="L376" s="1976">
        <v>97</v>
      </c>
      <c r="M376" s="587">
        <v>1021.44</v>
      </c>
    </row>
    <row r="377" spans="1:13">
      <c r="A377" s="63">
        <f t="shared" si="13"/>
        <v>2024.08</v>
      </c>
      <c r="B377" s="250">
        <v>206524.75</v>
      </c>
      <c r="C377" s="785">
        <v>1213395.5</v>
      </c>
      <c r="D377" s="1976">
        <v>1191195</v>
      </c>
      <c r="E377" s="787">
        <f t="shared" si="14"/>
        <v>0.17020398542766971</v>
      </c>
      <c r="F377" s="251">
        <v>231</v>
      </c>
      <c r="G377" s="593">
        <v>1744.4010000000001</v>
      </c>
      <c r="H377" s="573">
        <v>125965.25</v>
      </c>
      <c r="I377" s="573">
        <v>707101.75</v>
      </c>
      <c r="J377" s="1976">
        <v>700341</v>
      </c>
      <c r="K377" s="590">
        <f t="shared" si="15"/>
        <v>0.17814303245607863</v>
      </c>
      <c r="L377" s="1976">
        <v>95</v>
      </c>
      <c r="M377" s="587">
        <v>1230.69</v>
      </c>
    </row>
    <row r="378" spans="1:13">
      <c r="A378" s="63">
        <f t="shared" si="13"/>
        <v>2024.09</v>
      </c>
      <c r="B378" s="250">
        <v>198126.75</v>
      </c>
      <c r="C378" s="785">
        <v>1209216.25</v>
      </c>
      <c r="D378" s="1976">
        <v>1191995</v>
      </c>
      <c r="E378" s="787">
        <f t="shared" si="14"/>
        <v>0.16384724403099943</v>
      </c>
      <c r="F378" s="251">
        <v>231</v>
      </c>
      <c r="G378" s="593">
        <v>1740.934</v>
      </c>
      <c r="H378" s="573">
        <v>117763.25</v>
      </c>
      <c r="I378" s="573">
        <v>677125.5</v>
      </c>
      <c r="J378" s="1976">
        <v>657979</v>
      </c>
      <c r="K378" s="590">
        <f t="shared" si="15"/>
        <v>0.17391643055829384</v>
      </c>
      <c r="L378" s="1976">
        <v>94</v>
      </c>
      <c r="M378" s="587">
        <v>1350.35</v>
      </c>
    </row>
    <row r="379" spans="1:13">
      <c r="A379" s="63">
        <f t="shared" si="13"/>
        <v>2024.1</v>
      </c>
      <c r="B379" s="250">
        <v>205166.25</v>
      </c>
      <c r="C379" s="785">
        <v>1282651.25</v>
      </c>
      <c r="D379" s="1976">
        <v>1270800</v>
      </c>
      <c r="E379" s="787">
        <f t="shared" si="14"/>
        <v>0.15995482014304355</v>
      </c>
      <c r="F379" s="251">
        <v>228</v>
      </c>
      <c r="G379" s="593">
        <v>1740.96</v>
      </c>
      <c r="H379" s="573">
        <v>123625.75</v>
      </c>
      <c r="I379" s="573">
        <v>716563</v>
      </c>
      <c r="J379" s="1976">
        <v>711081</v>
      </c>
      <c r="K379" s="590">
        <f t="shared" si="15"/>
        <v>0.17252600259851542</v>
      </c>
      <c r="L379" s="1976">
        <v>93</v>
      </c>
      <c r="M379" s="587">
        <v>1428.22</v>
      </c>
    </row>
    <row r="380" spans="1:13">
      <c r="A380" s="63">
        <f t="shared" si="13"/>
        <v>2024.11</v>
      </c>
      <c r="B380" s="250">
        <v>186138.75</v>
      </c>
      <c r="C380" s="785">
        <v>1152929.5</v>
      </c>
      <c r="D380" s="1976">
        <v>1140058</v>
      </c>
      <c r="E380" s="787">
        <f t="shared" si="14"/>
        <v>0.16144851007802299</v>
      </c>
      <c r="F380" s="251">
        <v>228</v>
      </c>
      <c r="G380" s="593">
        <v>1872.78</v>
      </c>
      <c r="H380" s="573">
        <v>118758.25</v>
      </c>
      <c r="I380" s="573">
        <v>665290.75</v>
      </c>
      <c r="J380" s="1976">
        <v>647037</v>
      </c>
      <c r="K380" s="590">
        <f t="shared" si="15"/>
        <v>0.17850578863451808</v>
      </c>
      <c r="L380" s="1976">
        <v>92</v>
      </c>
      <c r="M380" s="587">
        <v>1464.03</v>
      </c>
    </row>
    <row r="381" spans="1:13">
      <c r="A381" s="63">
        <f t="shared" si="13"/>
        <v>2024.12</v>
      </c>
      <c r="B381" s="250">
        <v>209148.5</v>
      </c>
      <c r="C381" s="785">
        <v>1238976.5</v>
      </c>
      <c r="D381" s="1976">
        <v>1243592</v>
      </c>
      <c r="E381" s="787">
        <f t="shared" si="14"/>
        <v>0.16880747939932678</v>
      </c>
      <c r="F381" s="251">
        <v>226</v>
      </c>
      <c r="G381" s="593">
        <v>2024.7570000000001</v>
      </c>
      <c r="H381" s="573">
        <v>131533.75</v>
      </c>
      <c r="I381" s="573">
        <v>757238.25</v>
      </c>
      <c r="J381" s="1976">
        <v>757238</v>
      </c>
      <c r="K381" s="590">
        <f t="shared" si="15"/>
        <v>0.17370193594948485</v>
      </c>
      <c r="L381" s="1976">
        <v>90</v>
      </c>
      <c r="M381" s="587">
        <v>1549.88</v>
      </c>
    </row>
    <row r="382" spans="1:13">
      <c r="A382" s="63">
        <f t="shared" ref="A382:A445" si="16">A370+1</f>
        <v>2025.01</v>
      </c>
      <c r="B382" s="250">
        <v>199188.5</v>
      </c>
      <c r="C382" s="785">
        <v>1149814</v>
      </c>
      <c r="D382" s="1976">
        <v>1142166</v>
      </c>
      <c r="E382" s="787">
        <f>B382/C382</f>
        <v>0.173235410248962</v>
      </c>
      <c r="F382" s="251">
        <v>231</v>
      </c>
      <c r="G382" s="593">
        <v>2030.424</v>
      </c>
      <c r="H382" s="573">
        <v>119587</v>
      </c>
      <c r="I382" s="785">
        <v>666043.25</v>
      </c>
      <c r="J382" s="1976">
        <v>661173</v>
      </c>
      <c r="K382" s="590">
        <f t="shared" si="15"/>
        <v>0.17954840019773491</v>
      </c>
      <c r="L382" s="1976">
        <v>92</v>
      </c>
      <c r="M382" s="587">
        <v>1623.9</v>
      </c>
    </row>
    <row r="383" spans="1:13">
      <c r="A383" s="63">
        <f t="shared" si="16"/>
        <v>2025.02</v>
      </c>
      <c r="B383" s="250">
        <v>171719.75</v>
      </c>
      <c r="C383" s="785">
        <v>1034125</v>
      </c>
      <c r="D383" s="1976">
        <v>1025499</v>
      </c>
      <c r="E383" s="787">
        <f t="shared" ref="E383:E384" si="17">B383/C383</f>
        <v>0.16605318505983319</v>
      </c>
      <c r="F383" s="251">
        <v>229</v>
      </c>
      <c r="G383" s="593">
        <v>2206.3130000000001</v>
      </c>
      <c r="H383" s="573">
        <v>111018.75</v>
      </c>
      <c r="I383" s="573">
        <v>628085.25</v>
      </c>
      <c r="J383" s="1976">
        <v>626394</v>
      </c>
      <c r="K383" s="590">
        <f t="shared" ref="K383:K392" si="18">H383/I383</f>
        <v>0.1767574545015983</v>
      </c>
      <c r="L383" s="1976">
        <v>91</v>
      </c>
      <c r="M383" s="587">
        <v>1656.17</v>
      </c>
    </row>
    <row r="384" spans="1:13">
      <c r="A384" s="63">
        <f t="shared" si="16"/>
        <v>2025.03</v>
      </c>
      <c r="B384" s="250">
        <v>176360.5</v>
      </c>
      <c r="C384" s="785">
        <v>1029525</v>
      </c>
      <c r="D384" s="1976">
        <v>1023983</v>
      </c>
      <c r="E384" s="787">
        <f t="shared" si="17"/>
        <v>0.17130278526504941</v>
      </c>
      <c r="F384" s="251">
        <v>228</v>
      </c>
      <c r="G384" s="593">
        <v>2232.712</v>
      </c>
      <c r="H384" s="573">
        <v>117566</v>
      </c>
      <c r="I384" s="573">
        <v>664887.75</v>
      </c>
      <c r="J384" s="1976" t="e">
        <v>#N/A</v>
      </c>
      <c r="K384" s="590">
        <f t="shared" si="18"/>
        <v>0.17682082426695334</v>
      </c>
      <c r="L384" s="1976">
        <v>92</v>
      </c>
      <c r="M384" s="587">
        <v>1633.5</v>
      </c>
    </row>
    <row r="385" spans="1:13">
      <c r="A385" s="63">
        <f t="shared" si="16"/>
        <v>2025.04</v>
      </c>
      <c r="B385" s="250">
        <v>191464</v>
      </c>
      <c r="C385" s="785">
        <v>1129903</v>
      </c>
      <c r="D385" s="1976">
        <v>1121172.75</v>
      </c>
      <c r="E385" s="787">
        <f t="shared" ref="E385:E393" si="19">B385/C385</f>
        <v>0.16945171399668821</v>
      </c>
      <c r="F385" s="251">
        <v>229</v>
      </c>
      <c r="G385" s="593">
        <v>2207.6529999999998</v>
      </c>
      <c r="H385" s="573">
        <v>129709.25</v>
      </c>
      <c r="I385" s="573">
        <v>704982</v>
      </c>
      <c r="J385" s="1976" t="e">
        <v>#N/A</v>
      </c>
      <c r="K385" s="590">
        <f t="shared" si="18"/>
        <v>0.18398944937601244</v>
      </c>
      <c r="L385" s="1976">
        <v>95</v>
      </c>
      <c r="M385" s="587">
        <v>1634.35</v>
      </c>
    </row>
    <row r="386" spans="1:13">
      <c r="A386" s="63">
        <f t="shared" si="16"/>
        <v>2025.05</v>
      </c>
      <c r="B386" s="250">
        <v>202161</v>
      </c>
      <c r="C386" s="785">
        <v>1117702</v>
      </c>
      <c r="D386" s="1976" t="e">
        <v>#N/A</v>
      </c>
      <c r="E386" s="787">
        <f t="shared" si="19"/>
        <v>0.18087200344993568</v>
      </c>
      <c r="F386" s="251">
        <v>232</v>
      </c>
      <c r="G386" s="593" t="e">
        <v>#N/A</v>
      </c>
      <c r="H386" s="573" t="e">
        <v>#N/A</v>
      </c>
      <c r="I386" s="573" t="e">
        <v>#N/A</v>
      </c>
      <c r="J386" s="1976" t="e">
        <v>#N/A</v>
      </c>
      <c r="K386" s="590" t="e">
        <f t="shared" si="18"/>
        <v>#N/A</v>
      </c>
      <c r="L386" s="1976" t="e">
        <v>#N/A</v>
      </c>
      <c r="M386" s="587" t="e">
        <v>#N/A</v>
      </c>
    </row>
    <row r="387" spans="1:13">
      <c r="A387" s="63">
        <f t="shared" si="16"/>
        <v>2025.06</v>
      </c>
      <c r="B387" s="250" t="e">
        <v>#N/A</v>
      </c>
      <c r="C387" s="785" t="e">
        <v>#N/A</v>
      </c>
      <c r="D387" s="1976" t="e">
        <v>#N/A</v>
      </c>
      <c r="E387" s="787" t="e">
        <f t="shared" si="19"/>
        <v>#N/A</v>
      </c>
      <c r="F387" s="251" t="e">
        <v>#N/A</v>
      </c>
      <c r="G387" s="593" t="e">
        <v>#N/A</v>
      </c>
      <c r="H387" s="573" t="e">
        <v>#N/A</v>
      </c>
      <c r="I387" s="573" t="e">
        <v>#N/A</v>
      </c>
      <c r="J387" s="1976" t="e">
        <v>#N/A</v>
      </c>
      <c r="K387" s="590" t="e">
        <f t="shared" si="18"/>
        <v>#N/A</v>
      </c>
      <c r="L387" s="1976" t="e">
        <v>#N/A</v>
      </c>
      <c r="M387" s="587" t="e">
        <v>#N/A</v>
      </c>
    </row>
    <row r="388" spans="1:13">
      <c r="A388" s="63">
        <f t="shared" si="16"/>
        <v>2025.07</v>
      </c>
      <c r="B388" s="250" t="e">
        <v>#N/A</v>
      </c>
      <c r="C388" s="785" t="e">
        <v>#N/A</v>
      </c>
      <c r="D388" s="1976" t="e">
        <v>#N/A</v>
      </c>
      <c r="E388" s="787" t="e">
        <f t="shared" si="19"/>
        <v>#N/A</v>
      </c>
      <c r="F388" s="251" t="e">
        <v>#N/A</v>
      </c>
      <c r="G388" s="593" t="e">
        <v>#N/A</v>
      </c>
      <c r="H388" s="573" t="e">
        <v>#N/A</v>
      </c>
      <c r="I388" s="573" t="e">
        <v>#N/A</v>
      </c>
      <c r="J388" s="1976" t="e">
        <v>#N/A</v>
      </c>
      <c r="K388" s="590" t="e">
        <f t="shared" si="18"/>
        <v>#N/A</v>
      </c>
      <c r="L388" s="1976" t="e">
        <v>#N/A</v>
      </c>
      <c r="M388" s="587" t="e">
        <v>#N/A</v>
      </c>
    </row>
    <row r="389" spans="1:13">
      <c r="A389" s="63">
        <f t="shared" si="16"/>
        <v>2025.08</v>
      </c>
      <c r="B389" s="250" t="e">
        <v>#N/A</v>
      </c>
      <c r="C389" s="785" t="e">
        <v>#N/A</v>
      </c>
      <c r="D389" s="1976" t="e">
        <v>#N/A</v>
      </c>
      <c r="E389" s="787" t="e">
        <f t="shared" si="19"/>
        <v>#N/A</v>
      </c>
      <c r="F389" s="251" t="e">
        <v>#N/A</v>
      </c>
      <c r="G389" s="593" t="e">
        <v>#N/A</v>
      </c>
      <c r="H389" s="573" t="e">
        <v>#N/A</v>
      </c>
      <c r="I389" s="573" t="e">
        <v>#N/A</v>
      </c>
      <c r="J389" s="1976" t="e">
        <v>#N/A</v>
      </c>
      <c r="K389" s="590" t="e">
        <f t="shared" si="18"/>
        <v>#N/A</v>
      </c>
      <c r="L389" s="1976" t="e">
        <v>#N/A</v>
      </c>
      <c r="M389" s="587" t="e">
        <v>#N/A</v>
      </c>
    </row>
    <row r="390" spans="1:13">
      <c r="A390" s="63">
        <f t="shared" si="16"/>
        <v>2025.09</v>
      </c>
      <c r="B390" s="250" t="e">
        <v>#N/A</v>
      </c>
      <c r="C390" s="785" t="e">
        <v>#N/A</v>
      </c>
      <c r="D390" s="1976" t="e">
        <v>#N/A</v>
      </c>
      <c r="E390" s="787" t="e">
        <f t="shared" si="19"/>
        <v>#N/A</v>
      </c>
      <c r="F390" s="251" t="e">
        <v>#N/A</v>
      </c>
      <c r="G390" s="593" t="e">
        <v>#N/A</v>
      </c>
      <c r="H390" s="573" t="e">
        <v>#N/A</v>
      </c>
      <c r="I390" s="573" t="e">
        <v>#N/A</v>
      </c>
      <c r="J390" s="1976" t="e">
        <v>#N/A</v>
      </c>
      <c r="K390" s="590" t="e">
        <f t="shared" si="18"/>
        <v>#N/A</v>
      </c>
      <c r="L390" s="1976" t="e">
        <v>#N/A</v>
      </c>
      <c r="M390" s="587" t="e">
        <v>#N/A</v>
      </c>
    </row>
    <row r="391" spans="1:13">
      <c r="A391" s="63">
        <f t="shared" si="16"/>
        <v>2025.1</v>
      </c>
      <c r="B391" s="250" t="e">
        <v>#N/A</v>
      </c>
      <c r="C391" s="785" t="e">
        <v>#N/A</v>
      </c>
      <c r="D391" s="1976" t="e">
        <v>#N/A</v>
      </c>
      <c r="E391" s="787" t="e">
        <f t="shared" si="19"/>
        <v>#N/A</v>
      </c>
      <c r="F391" s="251" t="e">
        <v>#N/A</v>
      </c>
      <c r="G391" s="593" t="e">
        <v>#N/A</v>
      </c>
      <c r="H391" s="573" t="e">
        <v>#N/A</v>
      </c>
      <c r="I391" s="573" t="e">
        <v>#N/A</v>
      </c>
      <c r="J391" s="1976" t="e">
        <v>#N/A</v>
      </c>
      <c r="K391" s="590" t="e">
        <f t="shared" si="18"/>
        <v>#N/A</v>
      </c>
      <c r="L391" s="1976" t="e">
        <v>#N/A</v>
      </c>
      <c r="M391" s="587" t="e">
        <v>#N/A</v>
      </c>
    </row>
    <row r="392" spans="1:13">
      <c r="A392" s="63">
        <f t="shared" si="16"/>
        <v>2025.11</v>
      </c>
      <c r="B392" s="250" t="e">
        <v>#N/A</v>
      </c>
      <c r="C392" s="785" t="e">
        <v>#N/A</v>
      </c>
      <c r="D392" s="1976" t="e">
        <v>#N/A</v>
      </c>
      <c r="E392" s="787" t="e">
        <f t="shared" si="19"/>
        <v>#N/A</v>
      </c>
      <c r="F392" s="251" t="e">
        <v>#N/A</v>
      </c>
      <c r="G392" s="593" t="e">
        <v>#N/A</v>
      </c>
      <c r="H392" s="573" t="e">
        <v>#N/A</v>
      </c>
      <c r="I392" s="573" t="e">
        <v>#N/A</v>
      </c>
      <c r="J392" s="1976" t="e">
        <v>#N/A</v>
      </c>
      <c r="K392" s="590" t="e">
        <f t="shared" si="18"/>
        <v>#N/A</v>
      </c>
      <c r="L392" s="1976" t="e">
        <v>#N/A</v>
      </c>
      <c r="M392" s="587" t="e">
        <v>#N/A</v>
      </c>
    </row>
    <row r="393" spans="1:13">
      <c r="A393" s="63">
        <f t="shared" si="16"/>
        <v>2025.12</v>
      </c>
      <c r="B393" s="250" t="e">
        <v>#N/A</v>
      </c>
      <c r="C393" s="785" t="e">
        <v>#N/A</v>
      </c>
      <c r="D393" s="1976" t="e">
        <v>#N/A</v>
      </c>
      <c r="E393" s="787" t="e">
        <f t="shared" si="19"/>
        <v>#N/A</v>
      </c>
      <c r="F393" s="251" t="e">
        <v>#N/A</v>
      </c>
      <c r="G393" s="593" t="e">
        <v>#N/A</v>
      </c>
      <c r="H393" s="573" t="e">
        <v>#N/A</v>
      </c>
      <c r="I393" s="573" t="e">
        <v>#N/A</v>
      </c>
      <c r="J393" s="1976" t="e">
        <v>#N/A</v>
      </c>
      <c r="K393" s="590" t="e">
        <f>H393/I393</f>
        <v>#N/A</v>
      </c>
      <c r="L393" s="1976" t="e">
        <v>#N/A</v>
      </c>
      <c r="M393" s="587" t="e">
        <v>#N/A</v>
      </c>
    </row>
    <row r="394" spans="1:13">
      <c r="A394" s="63">
        <f t="shared" si="16"/>
        <v>2026.01</v>
      </c>
      <c r="B394" s="250" t="e">
        <v>#N/A</v>
      </c>
      <c r="C394" s="785" t="e">
        <v>#N/A</v>
      </c>
      <c r="D394" s="1976" t="e">
        <v>#N/A</v>
      </c>
      <c r="E394" s="787" t="e">
        <f t="shared" ref="E394:E453" si="20">B394/C394</f>
        <v>#N/A</v>
      </c>
      <c r="F394" s="251" t="e">
        <v>#N/A</v>
      </c>
      <c r="G394" s="593" t="e">
        <v>#N/A</v>
      </c>
      <c r="H394" s="573" t="e">
        <v>#N/A</v>
      </c>
      <c r="I394" s="573" t="e">
        <v>#N/A</v>
      </c>
      <c r="J394" s="1976" t="e">
        <v>#N/A</v>
      </c>
      <c r="K394" s="590" t="e">
        <f t="shared" ref="K394:K453" si="21">H394/I394</f>
        <v>#N/A</v>
      </c>
      <c r="L394" s="1976" t="e">
        <v>#N/A</v>
      </c>
      <c r="M394" s="587" t="e">
        <v>#N/A</v>
      </c>
    </row>
    <row r="395" spans="1:13">
      <c r="A395" s="63">
        <f t="shared" si="16"/>
        <v>2026.02</v>
      </c>
      <c r="B395" s="250" t="e">
        <v>#N/A</v>
      </c>
      <c r="C395" s="785" t="e">
        <v>#N/A</v>
      </c>
      <c r="D395" s="1976" t="e">
        <v>#N/A</v>
      </c>
      <c r="E395" s="787" t="e">
        <f t="shared" si="20"/>
        <v>#N/A</v>
      </c>
      <c r="F395" s="251" t="e">
        <v>#N/A</v>
      </c>
      <c r="G395" s="593" t="e">
        <v>#N/A</v>
      </c>
      <c r="H395" s="573" t="e">
        <v>#N/A</v>
      </c>
      <c r="I395" s="573" t="e">
        <v>#N/A</v>
      </c>
      <c r="J395" s="1976" t="e">
        <v>#N/A</v>
      </c>
      <c r="K395" s="590" t="e">
        <f t="shared" si="21"/>
        <v>#N/A</v>
      </c>
      <c r="L395" s="1976" t="e">
        <v>#N/A</v>
      </c>
      <c r="M395" s="587" t="e">
        <v>#N/A</v>
      </c>
    </row>
    <row r="396" spans="1:13">
      <c r="A396" s="63">
        <f t="shared" si="16"/>
        <v>2026.03</v>
      </c>
      <c r="B396" s="250" t="e">
        <v>#N/A</v>
      </c>
      <c r="C396" s="785" t="e">
        <v>#N/A</v>
      </c>
      <c r="D396" s="1976" t="e">
        <v>#N/A</v>
      </c>
      <c r="E396" s="787" t="e">
        <f t="shared" si="20"/>
        <v>#N/A</v>
      </c>
      <c r="F396" s="251" t="e">
        <v>#N/A</v>
      </c>
      <c r="G396" s="593" t="e">
        <v>#N/A</v>
      </c>
      <c r="H396" s="573" t="e">
        <v>#N/A</v>
      </c>
      <c r="I396" s="573" t="e">
        <v>#N/A</v>
      </c>
      <c r="J396" s="1976" t="e">
        <v>#N/A</v>
      </c>
      <c r="K396" s="590" t="e">
        <f t="shared" si="21"/>
        <v>#N/A</v>
      </c>
      <c r="L396" s="1976" t="e">
        <v>#N/A</v>
      </c>
      <c r="M396" s="587" t="e">
        <v>#N/A</v>
      </c>
    </row>
    <row r="397" spans="1:13">
      <c r="A397" s="63">
        <f t="shared" si="16"/>
        <v>2026.04</v>
      </c>
      <c r="B397" s="250" t="e">
        <v>#N/A</v>
      </c>
      <c r="C397" s="785" t="e">
        <v>#N/A</v>
      </c>
      <c r="D397" s="1976" t="e">
        <v>#N/A</v>
      </c>
      <c r="E397" s="787" t="e">
        <f t="shared" si="20"/>
        <v>#N/A</v>
      </c>
      <c r="F397" s="251" t="e">
        <v>#N/A</v>
      </c>
      <c r="G397" s="593" t="e">
        <v>#N/A</v>
      </c>
      <c r="H397" s="573" t="e">
        <v>#N/A</v>
      </c>
      <c r="I397" s="573" t="e">
        <v>#N/A</v>
      </c>
      <c r="J397" s="1976" t="e">
        <v>#N/A</v>
      </c>
      <c r="K397" s="590" t="e">
        <f t="shared" si="21"/>
        <v>#N/A</v>
      </c>
      <c r="L397" s="1976" t="e">
        <v>#N/A</v>
      </c>
      <c r="M397" s="587" t="e">
        <v>#N/A</v>
      </c>
    </row>
    <row r="398" spans="1:13">
      <c r="A398" s="63">
        <f t="shared" si="16"/>
        <v>2026.05</v>
      </c>
      <c r="B398" s="250" t="e">
        <v>#N/A</v>
      </c>
      <c r="C398" s="785" t="e">
        <v>#N/A</v>
      </c>
      <c r="D398" s="1976" t="e">
        <v>#N/A</v>
      </c>
      <c r="E398" s="787" t="e">
        <f t="shared" si="20"/>
        <v>#N/A</v>
      </c>
      <c r="F398" s="251" t="e">
        <v>#N/A</v>
      </c>
      <c r="G398" s="593" t="e">
        <v>#N/A</v>
      </c>
      <c r="H398" s="573" t="e">
        <v>#N/A</v>
      </c>
      <c r="I398" s="573" t="e">
        <v>#N/A</v>
      </c>
      <c r="J398" s="1976" t="e">
        <v>#N/A</v>
      </c>
      <c r="K398" s="590" t="e">
        <f t="shared" si="21"/>
        <v>#N/A</v>
      </c>
      <c r="L398" s="1976" t="e">
        <v>#N/A</v>
      </c>
      <c r="M398" s="587" t="e">
        <v>#N/A</v>
      </c>
    </row>
    <row r="399" spans="1:13">
      <c r="A399" s="63">
        <f t="shared" si="16"/>
        <v>2026.06</v>
      </c>
      <c r="B399" s="250" t="e">
        <v>#N/A</v>
      </c>
      <c r="C399" s="785" t="e">
        <v>#N/A</v>
      </c>
      <c r="D399" s="1976" t="e">
        <v>#N/A</v>
      </c>
      <c r="E399" s="787" t="e">
        <f t="shared" si="20"/>
        <v>#N/A</v>
      </c>
      <c r="F399" s="251" t="e">
        <v>#N/A</v>
      </c>
      <c r="G399" s="593" t="e">
        <v>#N/A</v>
      </c>
      <c r="H399" s="573" t="e">
        <v>#N/A</v>
      </c>
      <c r="I399" s="573" t="e">
        <v>#N/A</v>
      </c>
      <c r="J399" s="1976" t="e">
        <v>#N/A</v>
      </c>
      <c r="K399" s="590" t="e">
        <f t="shared" si="21"/>
        <v>#N/A</v>
      </c>
      <c r="L399" s="1976" t="e">
        <v>#N/A</v>
      </c>
      <c r="M399" s="587" t="e">
        <v>#N/A</v>
      </c>
    </row>
    <row r="400" spans="1:13">
      <c r="A400" s="63">
        <f t="shared" si="16"/>
        <v>2026.07</v>
      </c>
      <c r="B400" s="250" t="e">
        <v>#N/A</v>
      </c>
      <c r="C400" s="785" t="e">
        <v>#N/A</v>
      </c>
      <c r="D400" s="1976" t="e">
        <v>#N/A</v>
      </c>
      <c r="E400" s="787" t="e">
        <f t="shared" si="20"/>
        <v>#N/A</v>
      </c>
      <c r="F400" s="251" t="e">
        <v>#N/A</v>
      </c>
      <c r="G400" s="593" t="e">
        <v>#N/A</v>
      </c>
      <c r="H400" s="573" t="e">
        <v>#N/A</v>
      </c>
      <c r="I400" s="573" t="e">
        <v>#N/A</v>
      </c>
      <c r="J400" s="1976" t="e">
        <v>#N/A</v>
      </c>
      <c r="K400" s="590" t="e">
        <f t="shared" si="21"/>
        <v>#N/A</v>
      </c>
      <c r="L400" s="1976" t="e">
        <v>#N/A</v>
      </c>
      <c r="M400" s="587" t="e">
        <v>#N/A</v>
      </c>
    </row>
    <row r="401" spans="1:13">
      <c r="A401" s="63">
        <f t="shared" si="16"/>
        <v>2026.08</v>
      </c>
      <c r="B401" s="250" t="e">
        <v>#N/A</v>
      </c>
      <c r="C401" s="785" t="e">
        <v>#N/A</v>
      </c>
      <c r="D401" s="1976" t="e">
        <v>#N/A</v>
      </c>
      <c r="E401" s="787" t="e">
        <f t="shared" si="20"/>
        <v>#N/A</v>
      </c>
      <c r="F401" s="251" t="e">
        <v>#N/A</v>
      </c>
      <c r="G401" s="593" t="e">
        <v>#N/A</v>
      </c>
      <c r="H401" s="573" t="e">
        <v>#N/A</v>
      </c>
      <c r="I401" s="573" t="e">
        <v>#N/A</v>
      </c>
      <c r="J401" s="1976" t="e">
        <v>#N/A</v>
      </c>
      <c r="K401" s="590" t="e">
        <f t="shared" si="21"/>
        <v>#N/A</v>
      </c>
      <c r="L401" s="1976" t="e">
        <v>#N/A</v>
      </c>
      <c r="M401" s="587" t="e">
        <v>#N/A</v>
      </c>
    </row>
    <row r="402" spans="1:13">
      <c r="A402" s="63">
        <f t="shared" si="16"/>
        <v>2026.09</v>
      </c>
      <c r="B402" s="250" t="e">
        <v>#N/A</v>
      </c>
      <c r="C402" s="785" t="e">
        <v>#N/A</v>
      </c>
      <c r="D402" s="1976" t="e">
        <v>#N/A</v>
      </c>
      <c r="E402" s="787" t="e">
        <f t="shared" si="20"/>
        <v>#N/A</v>
      </c>
      <c r="F402" s="251" t="e">
        <v>#N/A</v>
      </c>
      <c r="G402" s="593" t="e">
        <v>#N/A</v>
      </c>
      <c r="H402" s="573" t="e">
        <v>#N/A</v>
      </c>
      <c r="I402" s="573" t="e">
        <v>#N/A</v>
      </c>
      <c r="J402" s="1976" t="e">
        <v>#N/A</v>
      </c>
      <c r="K402" s="590" t="e">
        <f t="shared" si="21"/>
        <v>#N/A</v>
      </c>
      <c r="L402" s="1976" t="e">
        <v>#N/A</v>
      </c>
      <c r="M402" s="587" t="e">
        <v>#N/A</v>
      </c>
    </row>
    <row r="403" spans="1:13">
      <c r="A403" s="63">
        <f t="shared" si="16"/>
        <v>2026.1</v>
      </c>
      <c r="B403" s="250" t="e">
        <v>#N/A</v>
      </c>
      <c r="C403" s="785" t="e">
        <v>#N/A</v>
      </c>
      <c r="D403" s="1976" t="e">
        <v>#N/A</v>
      </c>
      <c r="E403" s="787" t="e">
        <f t="shared" si="20"/>
        <v>#N/A</v>
      </c>
      <c r="F403" s="251" t="e">
        <v>#N/A</v>
      </c>
      <c r="G403" s="593" t="e">
        <v>#N/A</v>
      </c>
      <c r="H403" s="573" t="e">
        <v>#N/A</v>
      </c>
      <c r="I403" s="573" t="e">
        <v>#N/A</v>
      </c>
      <c r="J403" s="1976" t="e">
        <v>#N/A</v>
      </c>
      <c r="K403" s="590" t="e">
        <f t="shared" si="21"/>
        <v>#N/A</v>
      </c>
      <c r="L403" s="1976" t="e">
        <v>#N/A</v>
      </c>
      <c r="M403" s="587" t="e">
        <v>#N/A</v>
      </c>
    </row>
    <row r="404" spans="1:13">
      <c r="A404" s="63">
        <f t="shared" si="16"/>
        <v>2026.11</v>
      </c>
      <c r="B404" s="250" t="e">
        <v>#N/A</v>
      </c>
      <c r="C404" s="785" t="e">
        <v>#N/A</v>
      </c>
      <c r="D404" s="1976" t="e">
        <v>#N/A</v>
      </c>
      <c r="E404" s="787" t="e">
        <f t="shared" si="20"/>
        <v>#N/A</v>
      </c>
      <c r="F404" s="251" t="e">
        <v>#N/A</v>
      </c>
      <c r="G404" s="593" t="e">
        <v>#N/A</v>
      </c>
      <c r="H404" s="573" t="e">
        <v>#N/A</v>
      </c>
      <c r="I404" s="573" t="e">
        <v>#N/A</v>
      </c>
      <c r="J404" s="1976" t="e">
        <v>#N/A</v>
      </c>
      <c r="K404" s="590" t="e">
        <f t="shared" si="21"/>
        <v>#N/A</v>
      </c>
      <c r="L404" s="1976" t="e">
        <v>#N/A</v>
      </c>
      <c r="M404" s="587" t="e">
        <v>#N/A</v>
      </c>
    </row>
    <row r="405" spans="1:13">
      <c r="A405" s="63">
        <f t="shared" si="16"/>
        <v>2026.12</v>
      </c>
      <c r="B405" s="250" t="e">
        <v>#N/A</v>
      </c>
      <c r="C405" s="785" t="e">
        <v>#N/A</v>
      </c>
      <c r="D405" s="1976" t="e">
        <v>#N/A</v>
      </c>
      <c r="E405" s="787" t="e">
        <f t="shared" si="20"/>
        <v>#N/A</v>
      </c>
      <c r="F405" s="251" t="e">
        <v>#N/A</v>
      </c>
      <c r="G405" s="593" t="e">
        <v>#N/A</v>
      </c>
      <c r="H405" s="573" t="e">
        <v>#N/A</v>
      </c>
      <c r="I405" s="573" t="e">
        <v>#N/A</v>
      </c>
      <c r="J405" s="1976" t="e">
        <v>#N/A</v>
      </c>
      <c r="K405" s="590" t="e">
        <f t="shared" si="21"/>
        <v>#N/A</v>
      </c>
      <c r="L405" s="1976" t="e">
        <v>#N/A</v>
      </c>
      <c r="M405" s="587" t="e">
        <v>#N/A</v>
      </c>
    </row>
    <row r="406" spans="1:13">
      <c r="A406" s="63">
        <f t="shared" si="16"/>
        <v>2027.01</v>
      </c>
      <c r="B406" s="250" t="e">
        <v>#N/A</v>
      </c>
      <c r="C406" s="785" t="e">
        <v>#N/A</v>
      </c>
      <c r="D406" s="1976" t="e">
        <v>#N/A</v>
      </c>
      <c r="E406" s="787" t="e">
        <f t="shared" si="20"/>
        <v>#N/A</v>
      </c>
      <c r="F406" s="251" t="e">
        <v>#N/A</v>
      </c>
      <c r="G406" s="593" t="e">
        <v>#N/A</v>
      </c>
      <c r="H406" s="573" t="e">
        <v>#N/A</v>
      </c>
      <c r="I406" s="573" t="e">
        <v>#N/A</v>
      </c>
      <c r="J406" s="1976" t="e">
        <v>#N/A</v>
      </c>
      <c r="K406" s="590" t="e">
        <f t="shared" si="21"/>
        <v>#N/A</v>
      </c>
      <c r="L406" s="1976" t="e">
        <v>#N/A</v>
      </c>
      <c r="M406" s="587" t="e">
        <v>#N/A</v>
      </c>
    </row>
    <row r="407" spans="1:13">
      <c r="A407" s="63">
        <f t="shared" si="16"/>
        <v>2027.02</v>
      </c>
      <c r="B407" s="250" t="e">
        <v>#N/A</v>
      </c>
      <c r="C407" s="785" t="e">
        <v>#N/A</v>
      </c>
      <c r="D407" s="1976" t="e">
        <v>#N/A</v>
      </c>
      <c r="E407" s="787" t="e">
        <f t="shared" si="20"/>
        <v>#N/A</v>
      </c>
      <c r="F407" s="251" t="e">
        <v>#N/A</v>
      </c>
      <c r="G407" s="593" t="e">
        <v>#N/A</v>
      </c>
      <c r="H407" s="573" t="e">
        <v>#N/A</v>
      </c>
      <c r="I407" s="573" t="e">
        <v>#N/A</v>
      </c>
      <c r="J407" s="1976" t="e">
        <v>#N/A</v>
      </c>
      <c r="K407" s="590" t="e">
        <f t="shared" si="21"/>
        <v>#N/A</v>
      </c>
      <c r="L407" s="1976" t="e">
        <v>#N/A</v>
      </c>
      <c r="M407" s="587" t="e">
        <v>#N/A</v>
      </c>
    </row>
    <row r="408" spans="1:13">
      <c r="A408" s="63">
        <f t="shared" si="16"/>
        <v>2027.03</v>
      </c>
      <c r="B408" s="250" t="e">
        <v>#N/A</v>
      </c>
      <c r="C408" s="785" t="e">
        <v>#N/A</v>
      </c>
      <c r="D408" s="1976" t="e">
        <v>#N/A</v>
      </c>
      <c r="E408" s="787" t="e">
        <f t="shared" si="20"/>
        <v>#N/A</v>
      </c>
      <c r="F408" s="251" t="e">
        <v>#N/A</v>
      </c>
      <c r="G408" s="593" t="e">
        <v>#N/A</v>
      </c>
      <c r="H408" s="573" t="e">
        <v>#N/A</v>
      </c>
      <c r="I408" s="573" t="e">
        <v>#N/A</v>
      </c>
      <c r="J408" s="1976" t="e">
        <v>#N/A</v>
      </c>
      <c r="K408" s="590" t="e">
        <f t="shared" si="21"/>
        <v>#N/A</v>
      </c>
      <c r="L408" s="1976" t="e">
        <v>#N/A</v>
      </c>
      <c r="M408" s="587" t="e">
        <v>#N/A</v>
      </c>
    </row>
    <row r="409" spans="1:13">
      <c r="A409" s="63">
        <f t="shared" si="16"/>
        <v>2027.04</v>
      </c>
      <c r="B409" s="250" t="e">
        <v>#N/A</v>
      </c>
      <c r="C409" s="785" t="e">
        <v>#N/A</v>
      </c>
      <c r="D409" s="1976" t="e">
        <v>#N/A</v>
      </c>
      <c r="E409" s="787" t="e">
        <f t="shared" si="20"/>
        <v>#N/A</v>
      </c>
      <c r="F409" s="251" t="e">
        <v>#N/A</v>
      </c>
      <c r="G409" s="593" t="e">
        <v>#N/A</v>
      </c>
      <c r="H409" s="573" t="e">
        <v>#N/A</v>
      </c>
      <c r="I409" s="573" t="e">
        <v>#N/A</v>
      </c>
      <c r="J409" s="1976" t="e">
        <v>#N/A</v>
      </c>
      <c r="K409" s="590" t="e">
        <f t="shared" si="21"/>
        <v>#N/A</v>
      </c>
      <c r="L409" s="1976" t="e">
        <v>#N/A</v>
      </c>
      <c r="M409" s="587" t="e">
        <v>#N/A</v>
      </c>
    </row>
    <row r="410" spans="1:13">
      <c r="A410" s="63">
        <f t="shared" si="16"/>
        <v>2027.05</v>
      </c>
      <c r="B410" s="250" t="e">
        <v>#N/A</v>
      </c>
      <c r="C410" s="785" t="e">
        <v>#N/A</v>
      </c>
      <c r="D410" s="1976" t="e">
        <v>#N/A</v>
      </c>
      <c r="E410" s="787" t="e">
        <f t="shared" si="20"/>
        <v>#N/A</v>
      </c>
      <c r="F410" s="251" t="e">
        <v>#N/A</v>
      </c>
      <c r="G410" s="593" t="e">
        <v>#N/A</v>
      </c>
      <c r="H410" s="573" t="e">
        <v>#N/A</v>
      </c>
      <c r="I410" s="573" t="e">
        <v>#N/A</v>
      </c>
      <c r="J410" s="1976" t="e">
        <v>#N/A</v>
      </c>
      <c r="K410" s="590" t="e">
        <f t="shared" si="21"/>
        <v>#N/A</v>
      </c>
      <c r="L410" s="1976" t="e">
        <v>#N/A</v>
      </c>
      <c r="M410" s="587" t="e">
        <v>#N/A</v>
      </c>
    </row>
    <row r="411" spans="1:13">
      <c r="A411" s="63">
        <f t="shared" si="16"/>
        <v>2027.06</v>
      </c>
      <c r="B411" s="250" t="e">
        <v>#N/A</v>
      </c>
      <c r="C411" s="785" t="e">
        <v>#N/A</v>
      </c>
      <c r="D411" s="1976" t="e">
        <v>#N/A</v>
      </c>
      <c r="E411" s="787" t="e">
        <f t="shared" si="20"/>
        <v>#N/A</v>
      </c>
      <c r="F411" s="251" t="e">
        <v>#N/A</v>
      </c>
      <c r="G411" s="593" t="e">
        <v>#N/A</v>
      </c>
      <c r="H411" s="573" t="e">
        <v>#N/A</v>
      </c>
      <c r="I411" s="573" t="e">
        <v>#N/A</v>
      </c>
      <c r="J411" s="1976" t="e">
        <v>#N/A</v>
      </c>
      <c r="K411" s="590" t="e">
        <f t="shared" si="21"/>
        <v>#N/A</v>
      </c>
      <c r="L411" s="1976" t="e">
        <v>#N/A</v>
      </c>
      <c r="M411" s="587" t="e">
        <v>#N/A</v>
      </c>
    </row>
    <row r="412" spans="1:13">
      <c r="A412" s="63">
        <f t="shared" si="16"/>
        <v>2027.07</v>
      </c>
      <c r="B412" s="250" t="e">
        <v>#N/A</v>
      </c>
      <c r="C412" s="785" t="e">
        <v>#N/A</v>
      </c>
      <c r="D412" s="1976" t="e">
        <v>#N/A</v>
      </c>
      <c r="E412" s="787" t="e">
        <f t="shared" si="20"/>
        <v>#N/A</v>
      </c>
      <c r="F412" s="251" t="e">
        <v>#N/A</v>
      </c>
      <c r="G412" s="593" t="e">
        <v>#N/A</v>
      </c>
      <c r="H412" s="573" t="e">
        <v>#N/A</v>
      </c>
      <c r="I412" s="573" t="e">
        <v>#N/A</v>
      </c>
      <c r="J412" s="1976" t="e">
        <v>#N/A</v>
      </c>
      <c r="K412" s="590" t="e">
        <f t="shared" si="21"/>
        <v>#N/A</v>
      </c>
      <c r="L412" s="1976" t="e">
        <v>#N/A</v>
      </c>
      <c r="M412" s="587" t="e">
        <v>#N/A</v>
      </c>
    </row>
    <row r="413" spans="1:13">
      <c r="A413" s="63">
        <f t="shared" si="16"/>
        <v>2027.08</v>
      </c>
      <c r="B413" s="250" t="e">
        <v>#N/A</v>
      </c>
      <c r="C413" s="785" t="e">
        <v>#N/A</v>
      </c>
      <c r="D413" s="1976" t="e">
        <v>#N/A</v>
      </c>
      <c r="E413" s="787" t="e">
        <f t="shared" si="20"/>
        <v>#N/A</v>
      </c>
      <c r="F413" s="251" t="e">
        <v>#N/A</v>
      </c>
      <c r="G413" s="593" t="e">
        <v>#N/A</v>
      </c>
      <c r="H413" s="573" t="e">
        <v>#N/A</v>
      </c>
      <c r="I413" s="573" t="e">
        <v>#N/A</v>
      </c>
      <c r="J413" s="1976" t="e">
        <v>#N/A</v>
      </c>
      <c r="K413" s="590" t="e">
        <f t="shared" si="21"/>
        <v>#N/A</v>
      </c>
      <c r="L413" s="1976" t="e">
        <v>#N/A</v>
      </c>
      <c r="M413" s="587" t="e">
        <v>#N/A</v>
      </c>
    </row>
    <row r="414" spans="1:13">
      <c r="A414" s="63">
        <f t="shared" si="16"/>
        <v>2027.09</v>
      </c>
      <c r="B414" s="250" t="e">
        <v>#N/A</v>
      </c>
      <c r="C414" s="785" t="e">
        <v>#N/A</v>
      </c>
      <c r="D414" s="1976" t="e">
        <v>#N/A</v>
      </c>
      <c r="E414" s="787" t="e">
        <f t="shared" si="20"/>
        <v>#N/A</v>
      </c>
      <c r="F414" s="251" t="e">
        <v>#N/A</v>
      </c>
      <c r="G414" s="593" t="e">
        <v>#N/A</v>
      </c>
      <c r="H414" s="573" t="e">
        <v>#N/A</v>
      </c>
      <c r="I414" s="573" t="e">
        <v>#N/A</v>
      </c>
      <c r="J414" s="1976" t="e">
        <v>#N/A</v>
      </c>
      <c r="K414" s="590" t="e">
        <f t="shared" si="21"/>
        <v>#N/A</v>
      </c>
      <c r="L414" s="1976" t="e">
        <v>#N/A</v>
      </c>
      <c r="M414" s="587" t="e">
        <v>#N/A</v>
      </c>
    </row>
    <row r="415" spans="1:13">
      <c r="A415" s="63">
        <f t="shared" si="16"/>
        <v>2027.1</v>
      </c>
      <c r="B415" s="250" t="e">
        <v>#N/A</v>
      </c>
      <c r="C415" s="785" t="e">
        <v>#N/A</v>
      </c>
      <c r="D415" s="1976" t="e">
        <v>#N/A</v>
      </c>
      <c r="E415" s="787" t="e">
        <f t="shared" si="20"/>
        <v>#N/A</v>
      </c>
      <c r="F415" s="251" t="e">
        <v>#N/A</v>
      </c>
      <c r="G415" s="593" t="e">
        <v>#N/A</v>
      </c>
      <c r="H415" s="573" t="e">
        <v>#N/A</v>
      </c>
      <c r="I415" s="573" t="e">
        <v>#N/A</v>
      </c>
      <c r="J415" s="1976" t="e">
        <v>#N/A</v>
      </c>
      <c r="K415" s="590" t="e">
        <f t="shared" si="21"/>
        <v>#N/A</v>
      </c>
      <c r="L415" s="1976" t="e">
        <v>#N/A</v>
      </c>
      <c r="M415" s="587" t="e">
        <v>#N/A</v>
      </c>
    </row>
    <row r="416" spans="1:13">
      <c r="A416" s="63">
        <f t="shared" si="16"/>
        <v>2027.11</v>
      </c>
      <c r="B416" s="250" t="e">
        <v>#N/A</v>
      </c>
      <c r="C416" s="785" t="e">
        <v>#N/A</v>
      </c>
      <c r="D416" s="1976" t="e">
        <v>#N/A</v>
      </c>
      <c r="E416" s="787" t="e">
        <f t="shared" si="20"/>
        <v>#N/A</v>
      </c>
      <c r="F416" s="251" t="e">
        <v>#N/A</v>
      </c>
      <c r="G416" s="593" t="e">
        <v>#N/A</v>
      </c>
      <c r="H416" s="573" t="e">
        <v>#N/A</v>
      </c>
      <c r="I416" s="573" t="e">
        <v>#N/A</v>
      </c>
      <c r="J416" s="1976" t="e">
        <v>#N/A</v>
      </c>
      <c r="K416" s="590" t="e">
        <f t="shared" si="21"/>
        <v>#N/A</v>
      </c>
      <c r="L416" s="1976" t="e">
        <v>#N/A</v>
      </c>
      <c r="M416" s="587" t="e">
        <v>#N/A</v>
      </c>
    </row>
    <row r="417" spans="1:13">
      <c r="A417" s="63">
        <f t="shared" si="16"/>
        <v>2027.12</v>
      </c>
      <c r="B417" s="250" t="e">
        <v>#N/A</v>
      </c>
      <c r="C417" s="785" t="e">
        <v>#N/A</v>
      </c>
      <c r="D417" s="1976" t="e">
        <v>#N/A</v>
      </c>
      <c r="E417" s="787" t="e">
        <f t="shared" si="20"/>
        <v>#N/A</v>
      </c>
      <c r="F417" s="251" t="e">
        <v>#N/A</v>
      </c>
      <c r="G417" s="593" t="e">
        <v>#N/A</v>
      </c>
      <c r="H417" s="573" t="e">
        <v>#N/A</v>
      </c>
      <c r="I417" s="573" t="e">
        <v>#N/A</v>
      </c>
      <c r="J417" s="1976" t="e">
        <v>#N/A</v>
      </c>
      <c r="K417" s="590" t="e">
        <f t="shared" si="21"/>
        <v>#N/A</v>
      </c>
      <c r="L417" s="1976" t="e">
        <v>#N/A</v>
      </c>
      <c r="M417" s="587" t="e">
        <v>#N/A</v>
      </c>
    </row>
    <row r="418" spans="1:13">
      <c r="A418" s="63">
        <f t="shared" si="16"/>
        <v>2028.01</v>
      </c>
      <c r="B418" s="250" t="e">
        <v>#N/A</v>
      </c>
      <c r="C418" s="785" t="e">
        <v>#N/A</v>
      </c>
      <c r="D418" s="1976" t="e">
        <v>#N/A</v>
      </c>
      <c r="E418" s="787" t="e">
        <f t="shared" si="20"/>
        <v>#N/A</v>
      </c>
      <c r="F418" s="251" t="e">
        <v>#N/A</v>
      </c>
      <c r="G418" s="593" t="e">
        <v>#N/A</v>
      </c>
      <c r="H418" s="573" t="e">
        <v>#N/A</v>
      </c>
      <c r="I418" s="573" t="e">
        <v>#N/A</v>
      </c>
      <c r="J418" s="1976" t="e">
        <v>#N/A</v>
      </c>
      <c r="K418" s="590" t="e">
        <f t="shared" si="21"/>
        <v>#N/A</v>
      </c>
      <c r="L418" s="1976" t="e">
        <v>#N/A</v>
      </c>
      <c r="M418" s="587" t="e">
        <v>#N/A</v>
      </c>
    </row>
    <row r="419" spans="1:13">
      <c r="A419" s="63">
        <f t="shared" si="16"/>
        <v>2028.02</v>
      </c>
      <c r="B419" s="250" t="e">
        <v>#N/A</v>
      </c>
      <c r="C419" s="785" t="e">
        <v>#N/A</v>
      </c>
      <c r="D419" s="1976" t="e">
        <v>#N/A</v>
      </c>
      <c r="E419" s="787" t="e">
        <f t="shared" si="20"/>
        <v>#N/A</v>
      </c>
      <c r="F419" s="251" t="e">
        <v>#N/A</v>
      </c>
      <c r="G419" s="593" t="e">
        <v>#N/A</v>
      </c>
      <c r="H419" s="573" t="e">
        <v>#N/A</v>
      </c>
      <c r="I419" s="573" t="e">
        <v>#N/A</v>
      </c>
      <c r="J419" s="1976" t="e">
        <v>#N/A</v>
      </c>
      <c r="K419" s="590" t="e">
        <f t="shared" si="21"/>
        <v>#N/A</v>
      </c>
      <c r="L419" s="1976" t="e">
        <v>#N/A</v>
      </c>
      <c r="M419" s="587" t="e">
        <v>#N/A</v>
      </c>
    </row>
    <row r="420" spans="1:13">
      <c r="A420" s="63">
        <f t="shared" si="16"/>
        <v>2028.03</v>
      </c>
      <c r="B420" s="250" t="e">
        <v>#N/A</v>
      </c>
      <c r="C420" s="785" t="e">
        <v>#N/A</v>
      </c>
      <c r="D420" s="1976" t="e">
        <v>#N/A</v>
      </c>
      <c r="E420" s="787" t="e">
        <f t="shared" si="20"/>
        <v>#N/A</v>
      </c>
      <c r="F420" s="251" t="e">
        <v>#N/A</v>
      </c>
      <c r="G420" s="593" t="e">
        <v>#N/A</v>
      </c>
      <c r="H420" s="573" t="e">
        <v>#N/A</v>
      </c>
      <c r="I420" s="573" t="e">
        <v>#N/A</v>
      </c>
      <c r="J420" s="1976" t="e">
        <v>#N/A</v>
      </c>
      <c r="K420" s="590" t="e">
        <f t="shared" si="21"/>
        <v>#N/A</v>
      </c>
      <c r="L420" s="1976" t="e">
        <v>#N/A</v>
      </c>
      <c r="M420" s="587" t="e">
        <v>#N/A</v>
      </c>
    </row>
    <row r="421" spans="1:13">
      <c r="A421" s="63">
        <f t="shared" si="16"/>
        <v>2028.04</v>
      </c>
      <c r="B421" s="250" t="e">
        <v>#N/A</v>
      </c>
      <c r="C421" s="785" t="e">
        <v>#N/A</v>
      </c>
      <c r="D421" s="1976" t="e">
        <v>#N/A</v>
      </c>
      <c r="E421" s="787" t="e">
        <f t="shared" si="20"/>
        <v>#N/A</v>
      </c>
      <c r="F421" s="251" t="e">
        <v>#N/A</v>
      </c>
      <c r="G421" s="593" t="e">
        <v>#N/A</v>
      </c>
      <c r="H421" s="573" t="e">
        <v>#N/A</v>
      </c>
      <c r="I421" s="573" t="e">
        <v>#N/A</v>
      </c>
      <c r="J421" s="1976" t="e">
        <v>#N/A</v>
      </c>
      <c r="K421" s="590" t="e">
        <f t="shared" si="21"/>
        <v>#N/A</v>
      </c>
      <c r="L421" s="1976" t="e">
        <v>#N/A</v>
      </c>
      <c r="M421" s="587" t="e">
        <v>#N/A</v>
      </c>
    </row>
    <row r="422" spans="1:13">
      <c r="A422" s="63">
        <f t="shared" si="16"/>
        <v>2028.05</v>
      </c>
      <c r="B422" s="250" t="e">
        <v>#N/A</v>
      </c>
      <c r="C422" s="785" t="e">
        <v>#N/A</v>
      </c>
      <c r="D422" s="1976" t="e">
        <v>#N/A</v>
      </c>
      <c r="E422" s="787" t="e">
        <f t="shared" si="20"/>
        <v>#N/A</v>
      </c>
      <c r="F422" s="251" t="e">
        <v>#N/A</v>
      </c>
      <c r="G422" s="593" t="e">
        <v>#N/A</v>
      </c>
      <c r="H422" s="573" t="e">
        <v>#N/A</v>
      </c>
      <c r="I422" s="573" t="e">
        <v>#N/A</v>
      </c>
      <c r="J422" s="1976" t="e">
        <v>#N/A</v>
      </c>
      <c r="K422" s="590" t="e">
        <f t="shared" si="21"/>
        <v>#N/A</v>
      </c>
      <c r="L422" s="1976" t="e">
        <v>#N/A</v>
      </c>
      <c r="M422" s="587" t="e">
        <v>#N/A</v>
      </c>
    </row>
    <row r="423" spans="1:13">
      <c r="A423" s="63">
        <f t="shared" si="16"/>
        <v>2028.06</v>
      </c>
      <c r="B423" s="250" t="e">
        <v>#N/A</v>
      </c>
      <c r="C423" s="785" t="e">
        <v>#N/A</v>
      </c>
      <c r="D423" s="1976" t="e">
        <v>#N/A</v>
      </c>
      <c r="E423" s="787" t="e">
        <f t="shared" si="20"/>
        <v>#N/A</v>
      </c>
      <c r="F423" s="251" t="e">
        <v>#N/A</v>
      </c>
      <c r="G423" s="593" t="e">
        <v>#N/A</v>
      </c>
      <c r="H423" s="573" t="e">
        <v>#N/A</v>
      </c>
      <c r="I423" s="573" t="e">
        <v>#N/A</v>
      </c>
      <c r="J423" s="1976" t="e">
        <v>#N/A</v>
      </c>
      <c r="K423" s="590" t="e">
        <f t="shared" si="21"/>
        <v>#N/A</v>
      </c>
      <c r="L423" s="1976" t="e">
        <v>#N/A</v>
      </c>
      <c r="M423" s="587" t="e">
        <v>#N/A</v>
      </c>
    </row>
    <row r="424" spans="1:13">
      <c r="A424" s="63">
        <f t="shared" si="16"/>
        <v>2028.07</v>
      </c>
      <c r="B424" s="250" t="e">
        <v>#N/A</v>
      </c>
      <c r="C424" s="785" t="e">
        <v>#N/A</v>
      </c>
      <c r="D424" s="1976" t="e">
        <v>#N/A</v>
      </c>
      <c r="E424" s="787" t="e">
        <f t="shared" si="20"/>
        <v>#N/A</v>
      </c>
      <c r="F424" s="251" t="e">
        <v>#N/A</v>
      </c>
      <c r="G424" s="593" t="e">
        <v>#N/A</v>
      </c>
      <c r="H424" s="573" t="e">
        <v>#N/A</v>
      </c>
      <c r="I424" s="573" t="e">
        <v>#N/A</v>
      </c>
      <c r="J424" s="1976" t="e">
        <v>#N/A</v>
      </c>
      <c r="K424" s="590" t="e">
        <f t="shared" si="21"/>
        <v>#N/A</v>
      </c>
      <c r="L424" s="1976" t="e">
        <v>#N/A</v>
      </c>
      <c r="M424" s="587" t="e">
        <v>#N/A</v>
      </c>
    </row>
    <row r="425" spans="1:13">
      <c r="A425" s="63">
        <f t="shared" si="16"/>
        <v>2028.08</v>
      </c>
      <c r="B425" s="250" t="e">
        <v>#N/A</v>
      </c>
      <c r="C425" s="785" t="e">
        <v>#N/A</v>
      </c>
      <c r="D425" s="1976" t="e">
        <v>#N/A</v>
      </c>
      <c r="E425" s="787" t="e">
        <f t="shared" si="20"/>
        <v>#N/A</v>
      </c>
      <c r="F425" s="251" t="e">
        <v>#N/A</v>
      </c>
      <c r="G425" s="593" t="e">
        <v>#N/A</v>
      </c>
      <c r="H425" s="573" t="e">
        <v>#N/A</v>
      </c>
      <c r="I425" s="573" t="e">
        <v>#N/A</v>
      </c>
      <c r="J425" s="1976" t="e">
        <v>#N/A</v>
      </c>
      <c r="K425" s="590" t="e">
        <f t="shared" si="21"/>
        <v>#N/A</v>
      </c>
      <c r="L425" s="1976" t="e">
        <v>#N/A</v>
      </c>
      <c r="M425" s="587" t="e">
        <v>#N/A</v>
      </c>
    </row>
    <row r="426" spans="1:13">
      <c r="A426" s="63">
        <f t="shared" si="16"/>
        <v>2028.09</v>
      </c>
      <c r="B426" s="250" t="e">
        <v>#N/A</v>
      </c>
      <c r="C426" s="785" t="e">
        <v>#N/A</v>
      </c>
      <c r="D426" s="1976" t="e">
        <v>#N/A</v>
      </c>
      <c r="E426" s="787" t="e">
        <f t="shared" si="20"/>
        <v>#N/A</v>
      </c>
      <c r="F426" s="251" t="e">
        <v>#N/A</v>
      </c>
      <c r="G426" s="593" t="e">
        <v>#N/A</v>
      </c>
      <c r="H426" s="573" t="e">
        <v>#N/A</v>
      </c>
      <c r="I426" s="573" t="e">
        <v>#N/A</v>
      </c>
      <c r="J426" s="1976" t="e">
        <v>#N/A</v>
      </c>
      <c r="K426" s="590" t="e">
        <f t="shared" si="21"/>
        <v>#N/A</v>
      </c>
      <c r="L426" s="1976" t="e">
        <v>#N/A</v>
      </c>
      <c r="M426" s="587" t="e">
        <v>#N/A</v>
      </c>
    </row>
    <row r="427" spans="1:13">
      <c r="A427" s="63">
        <f t="shared" si="16"/>
        <v>2028.1</v>
      </c>
      <c r="B427" s="250" t="e">
        <v>#N/A</v>
      </c>
      <c r="C427" s="785" t="e">
        <v>#N/A</v>
      </c>
      <c r="D427" s="1976" t="e">
        <v>#N/A</v>
      </c>
      <c r="E427" s="787" t="e">
        <f t="shared" si="20"/>
        <v>#N/A</v>
      </c>
      <c r="F427" s="251" t="e">
        <v>#N/A</v>
      </c>
      <c r="G427" s="593" t="e">
        <v>#N/A</v>
      </c>
      <c r="H427" s="573" t="e">
        <v>#N/A</v>
      </c>
      <c r="I427" s="573" t="e">
        <v>#N/A</v>
      </c>
      <c r="J427" s="1976" t="e">
        <v>#N/A</v>
      </c>
      <c r="K427" s="590" t="e">
        <f t="shared" si="21"/>
        <v>#N/A</v>
      </c>
      <c r="L427" s="1976" t="e">
        <v>#N/A</v>
      </c>
      <c r="M427" s="587" t="e">
        <v>#N/A</v>
      </c>
    </row>
    <row r="428" spans="1:13">
      <c r="A428" s="63">
        <f t="shared" si="16"/>
        <v>2028.11</v>
      </c>
      <c r="B428" s="250" t="e">
        <v>#N/A</v>
      </c>
      <c r="C428" s="785" t="e">
        <v>#N/A</v>
      </c>
      <c r="D428" s="1976" t="e">
        <v>#N/A</v>
      </c>
      <c r="E428" s="787" t="e">
        <f t="shared" si="20"/>
        <v>#N/A</v>
      </c>
      <c r="F428" s="251" t="e">
        <v>#N/A</v>
      </c>
      <c r="G428" s="593" t="e">
        <v>#N/A</v>
      </c>
      <c r="H428" s="573" t="e">
        <v>#N/A</v>
      </c>
      <c r="I428" s="573" t="e">
        <v>#N/A</v>
      </c>
      <c r="J428" s="1976" t="e">
        <v>#N/A</v>
      </c>
      <c r="K428" s="590" t="e">
        <f t="shared" si="21"/>
        <v>#N/A</v>
      </c>
      <c r="L428" s="1976" t="e">
        <v>#N/A</v>
      </c>
      <c r="M428" s="587" t="e">
        <v>#N/A</v>
      </c>
    </row>
    <row r="429" spans="1:13">
      <c r="A429" s="63">
        <f t="shared" si="16"/>
        <v>2028.12</v>
      </c>
      <c r="B429" s="250" t="e">
        <v>#N/A</v>
      </c>
      <c r="C429" s="785" t="e">
        <v>#N/A</v>
      </c>
      <c r="D429" s="1976" t="e">
        <v>#N/A</v>
      </c>
      <c r="E429" s="787" t="e">
        <f t="shared" si="20"/>
        <v>#N/A</v>
      </c>
      <c r="F429" s="251" t="e">
        <v>#N/A</v>
      </c>
      <c r="G429" s="593" t="e">
        <v>#N/A</v>
      </c>
      <c r="H429" s="573" t="e">
        <v>#N/A</v>
      </c>
      <c r="I429" s="573" t="e">
        <v>#N/A</v>
      </c>
      <c r="J429" s="1976" t="e">
        <v>#N/A</v>
      </c>
      <c r="K429" s="590" t="e">
        <f t="shared" si="21"/>
        <v>#N/A</v>
      </c>
      <c r="L429" s="1976" t="e">
        <v>#N/A</v>
      </c>
      <c r="M429" s="587" t="e">
        <v>#N/A</v>
      </c>
    </row>
    <row r="430" spans="1:13">
      <c r="A430" s="63">
        <f t="shared" si="16"/>
        <v>2029.01</v>
      </c>
      <c r="B430" s="250" t="e">
        <v>#N/A</v>
      </c>
      <c r="C430" s="785" t="e">
        <v>#N/A</v>
      </c>
      <c r="D430" s="1976" t="e">
        <v>#N/A</v>
      </c>
      <c r="E430" s="787" t="e">
        <f t="shared" si="20"/>
        <v>#N/A</v>
      </c>
      <c r="F430" s="251" t="e">
        <v>#N/A</v>
      </c>
      <c r="G430" s="593" t="e">
        <v>#N/A</v>
      </c>
      <c r="H430" s="573" t="e">
        <v>#N/A</v>
      </c>
      <c r="I430" s="573" t="e">
        <v>#N/A</v>
      </c>
      <c r="J430" s="1976" t="e">
        <v>#N/A</v>
      </c>
      <c r="K430" s="590" t="e">
        <f t="shared" si="21"/>
        <v>#N/A</v>
      </c>
      <c r="L430" s="1976" t="e">
        <v>#N/A</v>
      </c>
      <c r="M430" s="587" t="e">
        <v>#N/A</v>
      </c>
    </row>
    <row r="431" spans="1:13">
      <c r="A431" s="63">
        <f t="shared" si="16"/>
        <v>2029.02</v>
      </c>
      <c r="B431" s="250" t="e">
        <v>#N/A</v>
      </c>
      <c r="C431" s="785" t="e">
        <v>#N/A</v>
      </c>
      <c r="D431" s="1976" t="e">
        <v>#N/A</v>
      </c>
      <c r="E431" s="787" t="e">
        <f t="shared" si="20"/>
        <v>#N/A</v>
      </c>
      <c r="F431" s="251" t="e">
        <v>#N/A</v>
      </c>
      <c r="G431" s="593" t="e">
        <v>#N/A</v>
      </c>
      <c r="H431" s="573" t="e">
        <v>#N/A</v>
      </c>
      <c r="I431" s="573" t="e">
        <v>#N/A</v>
      </c>
      <c r="J431" s="1976" t="e">
        <v>#N/A</v>
      </c>
      <c r="K431" s="590" t="e">
        <f t="shared" si="21"/>
        <v>#N/A</v>
      </c>
      <c r="L431" s="1976" t="e">
        <v>#N/A</v>
      </c>
      <c r="M431" s="587" t="e">
        <v>#N/A</v>
      </c>
    </row>
    <row r="432" spans="1:13">
      <c r="A432" s="63">
        <f t="shared" si="16"/>
        <v>2029.03</v>
      </c>
      <c r="B432" s="250" t="e">
        <v>#N/A</v>
      </c>
      <c r="C432" s="785" t="e">
        <v>#N/A</v>
      </c>
      <c r="D432" s="1976" t="e">
        <v>#N/A</v>
      </c>
      <c r="E432" s="787" t="e">
        <f t="shared" si="20"/>
        <v>#N/A</v>
      </c>
      <c r="F432" s="251" t="e">
        <v>#N/A</v>
      </c>
      <c r="G432" s="593" t="e">
        <v>#N/A</v>
      </c>
      <c r="H432" s="573" t="e">
        <v>#N/A</v>
      </c>
      <c r="I432" s="573" t="e">
        <v>#N/A</v>
      </c>
      <c r="J432" s="1976" t="e">
        <v>#N/A</v>
      </c>
      <c r="K432" s="590" t="e">
        <f t="shared" si="21"/>
        <v>#N/A</v>
      </c>
      <c r="L432" s="1976" t="e">
        <v>#N/A</v>
      </c>
      <c r="M432" s="587" t="e">
        <v>#N/A</v>
      </c>
    </row>
    <row r="433" spans="1:13">
      <c r="A433" s="63">
        <f t="shared" si="16"/>
        <v>2029.04</v>
      </c>
      <c r="B433" s="250" t="e">
        <v>#N/A</v>
      </c>
      <c r="C433" s="785" t="e">
        <v>#N/A</v>
      </c>
      <c r="D433" s="1976" t="e">
        <v>#N/A</v>
      </c>
      <c r="E433" s="787" t="e">
        <f t="shared" si="20"/>
        <v>#N/A</v>
      </c>
      <c r="F433" s="251" t="e">
        <v>#N/A</v>
      </c>
      <c r="G433" s="593" t="e">
        <v>#N/A</v>
      </c>
      <c r="H433" s="573" t="e">
        <v>#N/A</v>
      </c>
      <c r="I433" s="573" t="e">
        <v>#N/A</v>
      </c>
      <c r="J433" s="1976" t="e">
        <v>#N/A</v>
      </c>
      <c r="K433" s="590" t="e">
        <f t="shared" si="21"/>
        <v>#N/A</v>
      </c>
      <c r="L433" s="1976" t="e">
        <v>#N/A</v>
      </c>
      <c r="M433" s="587" t="e">
        <v>#N/A</v>
      </c>
    </row>
    <row r="434" spans="1:13">
      <c r="A434" s="63">
        <f t="shared" si="16"/>
        <v>2029.05</v>
      </c>
      <c r="B434" s="250" t="e">
        <v>#N/A</v>
      </c>
      <c r="C434" s="785" t="e">
        <v>#N/A</v>
      </c>
      <c r="D434" s="1976" t="e">
        <v>#N/A</v>
      </c>
      <c r="E434" s="787" t="e">
        <f t="shared" si="20"/>
        <v>#N/A</v>
      </c>
      <c r="F434" s="251" t="e">
        <v>#N/A</v>
      </c>
      <c r="G434" s="593" t="e">
        <v>#N/A</v>
      </c>
      <c r="H434" s="573" t="e">
        <v>#N/A</v>
      </c>
      <c r="I434" s="573" t="e">
        <v>#N/A</v>
      </c>
      <c r="J434" s="1976" t="e">
        <v>#N/A</v>
      </c>
      <c r="K434" s="590" t="e">
        <f t="shared" si="21"/>
        <v>#N/A</v>
      </c>
      <c r="L434" s="1976" t="e">
        <v>#N/A</v>
      </c>
      <c r="M434" s="587" t="e">
        <v>#N/A</v>
      </c>
    </row>
    <row r="435" spans="1:13">
      <c r="A435" s="63">
        <f t="shared" si="16"/>
        <v>2029.06</v>
      </c>
      <c r="B435" s="250" t="e">
        <v>#N/A</v>
      </c>
      <c r="C435" s="785" t="e">
        <v>#N/A</v>
      </c>
      <c r="D435" s="1976" t="e">
        <v>#N/A</v>
      </c>
      <c r="E435" s="787" t="e">
        <f t="shared" si="20"/>
        <v>#N/A</v>
      </c>
      <c r="F435" s="251" t="e">
        <v>#N/A</v>
      </c>
      <c r="G435" s="593" t="e">
        <v>#N/A</v>
      </c>
      <c r="H435" s="573" t="e">
        <v>#N/A</v>
      </c>
      <c r="I435" s="573" t="e">
        <v>#N/A</v>
      </c>
      <c r="J435" s="1976" t="e">
        <v>#N/A</v>
      </c>
      <c r="K435" s="590" t="e">
        <f t="shared" si="21"/>
        <v>#N/A</v>
      </c>
      <c r="L435" s="1976" t="e">
        <v>#N/A</v>
      </c>
      <c r="M435" s="587" t="e">
        <v>#N/A</v>
      </c>
    </row>
    <row r="436" spans="1:13">
      <c r="A436" s="63">
        <f t="shared" si="16"/>
        <v>2029.07</v>
      </c>
      <c r="B436" s="250" t="e">
        <v>#N/A</v>
      </c>
      <c r="C436" s="785" t="e">
        <v>#N/A</v>
      </c>
      <c r="D436" s="1976" t="e">
        <v>#N/A</v>
      </c>
      <c r="E436" s="787" t="e">
        <f t="shared" si="20"/>
        <v>#N/A</v>
      </c>
      <c r="F436" s="251" t="e">
        <v>#N/A</v>
      </c>
      <c r="G436" s="593" t="e">
        <v>#N/A</v>
      </c>
      <c r="H436" s="573" t="e">
        <v>#N/A</v>
      </c>
      <c r="I436" s="573" t="e">
        <v>#N/A</v>
      </c>
      <c r="J436" s="1976" t="e">
        <v>#N/A</v>
      </c>
      <c r="K436" s="590" t="e">
        <f t="shared" si="21"/>
        <v>#N/A</v>
      </c>
      <c r="L436" s="1976" t="e">
        <v>#N/A</v>
      </c>
      <c r="M436" s="587" t="e">
        <v>#N/A</v>
      </c>
    </row>
    <row r="437" spans="1:13">
      <c r="A437" s="63">
        <f t="shared" si="16"/>
        <v>2029.08</v>
      </c>
      <c r="B437" s="250" t="e">
        <v>#N/A</v>
      </c>
      <c r="C437" s="785" t="e">
        <v>#N/A</v>
      </c>
      <c r="D437" s="1976" t="e">
        <v>#N/A</v>
      </c>
      <c r="E437" s="787" t="e">
        <f t="shared" si="20"/>
        <v>#N/A</v>
      </c>
      <c r="F437" s="251" t="e">
        <v>#N/A</v>
      </c>
      <c r="G437" s="593" t="e">
        <v>#N/A</v>
      </c>
      <c r="H437" s="573" t="e">
        <v>#N/A</v>
      </c>
      <c r="I437" s="573" t="e">
        <v>#N/A</v>
      </c>
      <c r="J437" s="1976" t="e">
        <v>#N/A</v>
      </c>
      <c r="K437" s="590" t="e">
        <f t="shared" si="21"/>
        <v>#N/A</v>
      </c>
      <c r="L437" s="1976" t="e">
        <v>#N/A</v>
      </c>
      <c r="M437" s="587" t="e">
        <v>#N/A</v>
      </c>
    </row>
    <row r="438" spans="1:13">
      <c r="A438" s="63">
        <f t="shared" si="16"/>
        <v>2029.09</v>
      </c>
      <c r="B438" s="250" t="e">
        <v>#N/A</v>
      </c>
      <c r="C438" s="785" t="e">
        <v>#N/A</v>
      </c>
      <c r="D438" s="1976" t="e">
        <v>#N/A</v>
      </c>
      <c r="E438" s="787" t="e">
        <f t="shared" si="20"/>
        <v>#N/A</v>
      </c>
      <c r="F438" s="251" t="e">
        <v>#N/A</v>
      </c>
      <c r="G438" s="593" t="e">
        <v>#N/A</v>
      </c>
      <c r="H438" s="573" t="e">
        <v>#N/A</v>
      </c>
      <c r="I438" s="573" t="e">
        <v>#N/A</v>
      </c>
      <c r="J438" s="1976" t="e">
        <v>#N/A</v>
      </c>
      <c r="K438" s="590" t="e">
        <f t="shared" si="21"/>
        <v>#N/A</v>
      </c>
      <c r="L438" s="1976" t="e">
        <v>#N/A</v>
      </c>
      <c r="M438" s="587" t="e">
        <v>#N/A</v>
      </c>
    </row>
    <row r="439" spans="1:13">
      <c r="A439" s="63">
        <f t="shared" si="16"/>
        <v>2029.1</v>
      </c>
      <c r="B439" s="250" t="e">
        <v>#N/A</v>
      </c>
      <c r="C439" s="785" t="e">
        <v>#N/A</v>
      </c>
      <c r="D439" s="1976" t="e">
        <v>#N/A</v>
      </c>
      <c r="E439" s="787" t="e">
        <f t="shared" si="20"/>
        <v>#N/A</v>
      </c>
      <c r="F439" s="251" t="e">
        <v>#N/A</v>
      </c>
      <c r="G439" s="593" t="e">
        <v>#N/A</v>
      </c>
      <c r="H439" s="573" t="e">
        <v>#N/A</v>
      </c>
      <c r="I439" s="573" t="e">
        <v>#N/A</v>
      </c>
      <c r="J439" s="1976" t="e">
        <v>#N/A</v>
      </c>
      <c r="K439" s="590" t="e">
        <f t="shared" si="21"/>
        <v>#N/A</v>
      </c>
      <c r="L439" s="1976" t="e">
        <v>#N/A</v>
      </c>
      <c r="M439" s="587" t="e">
        <v>#N/A</v>
      </c>
    </row>
    <row r="440" spans="1:13">
      <c r="A440" s="63">
        <f t="shared" si="16"/>
        <v>2029.11</v>
      </c>
      <c r="B440" s="250" t="e">
        <v>#N/A</v>
      </c>
      <c r="C440" s="785" t="e">
        <v>#N/A</v>
      </c>
      <c r="D440" s="1976" t="e">
        <v>#N/A</v>
      </c>
      <c r="E440" s="787" t="e">
        <f t="shared" si="20"/>
        <v>#N/A</v>
      </c>
      <c r="F440" s="251" t="e">
        <v>#N/A</v>
      </c>
      <c r="G440" s="593" t="e">
        <v>#N/A</v>
      </c>
      <c r="H440" s="573" t="e">
        <v>#N/A</v>
      </c>
      <c r="I440" s="573" t="e">
        <v>#N/A</v>
      </c>
      <c r="J440" s="1976" t="e">
        <v>#N/A</v>
      </c>
      <c r="K440" s="590" t="e">
        <f t="shared" si="21"/>
        <v>#N/A</v>
      </c>
      <c r="L440" s="1976" t="e">
        <v>#N/A</v>
      </c>
      <c r="M440" s="587" t="e">
        <v>#N/A</v>
      </c>
    </row>
    <row r="441" spans="1:13">
      <c r="A441" s="63">
        <f t="shared" si="16"/>
        <v>2029.12</v>
      </c>
      <c r="B441" s="250" t="e">
        <v>#N/A</v>
      </c>
      <c r="C441" s="785" t="e">
        <v>#N/A</v>
      </c>
      <c r="D441" s="1976" t="e">
        <v>#N/A</v>
      </c>
      <c r="E441" s="787" t="e">
        <f t="shared" si="20"/>
        <v>#N/A</v>
      </c>
      <c r="F441" s="251" t="e">
        <v>#N/A</v>
      </c>
      <c r="G441" s="593" t="e">
        <v>#N/A</v>
      </c>
      <c r="H441" s="573" t="e">
        <v>#N/A</v>
      </c>
      <c r="I441" s="573" t="e">
        <v>#N/A</v>
      </c>
      <c r="J441" s="1976" t="e">
        <v>#N/A</v>
      </c>
      <c r="K441" s="590" t="e">
        <f t="shared" si="21"/>
        <v>#N/A</v>
      </c>
      <c r="L441" s="1976" t="e">
        <v>#N/A</v>
      </c>
      <c r="M441" s="587" t="e">
        <v>#N/A</v>
      </c>
    </row>
    <row r="442" spans="1:13">
      <c r="A442" s="63">
        <f t="shared" si="16"/>
        <v>2030.01</v>
      </c>
      <c r="B442" s="250" t="e">
        <v>#N/A</v>
      </c>
      <c r="C442" s="785" t="e">
        <v>#N/A</v>
      </c>
      <c r="D442" s="1976" t="e">
        <v>#N/A</v>
      </c>
      <c r="E442" s="787" t="e">
        <f t="shared" si="20"/>
        <v>#N/A</v>
      </c>
      <c r="F442" s="251" t="e">
        <v>#N/A</v>
      </c>
      <c r="G442" s="593" t="e">
        <v>#N/A</v>
      </c>
      <c r="H442" s="573" t="e">
        <v>#N/A</v>
      </c>
      <c r="I442" s="573" t="e">
        <v>#N/A</v>
      </c>
      <c r="J442" s="1976" t="e">
        <v>#N/A</v>
      </c>
      <c r="K442" s="590" t="e">
        <f t="shared" si="21"/>
        <v>#N/A</v>
      </c>
      <c r="L442" s="1976" t="e">
        <v>#N/A</v>
      </c>
      <c r="M442" s="587" t="e">
        <v>#N/A</v>
      </c>
    </row>
    <row r="443" spans="1:13">
      <c r="A443" s="63">
        <f t="shared" si="16"/>
        <v>2030.02</v>
      </c>
      <c r="B443" s="250" t="e">
        <v>#N/A</v>
      </c>
      <c r="C443" s="785" t="e">
        <v>#N/A</v>
      </c>
      <c r="D443" s="1976" t="e">
        <v>#N/A</v>
      </c>
      <c r="E443" s="787" t="e">
        <f t="shared" si="20"/>
        <v>#N/A</v>
      </c>
      <c r="F443" s="251" t="e">
        <v>#N/A</v>
      </c>
      <c r="G443" s="593" t="e">
        <v>#N/A</v>
      </c>
      <c r="H443" s="573" t="e">
        <v>#N/A</v>
      </c>
      <c r="I443" s="573" t="e">
        <v>#N/A</v>
      </c>
      <c r="J443" s="1976" t="e">
        <v>#N/A</v>
      </c>
      <c r="K443" s="590" t="e">
        <f t="shared" si="21"/>
        <v>#N/A</v>
      </c>
      <c r="L443" s="1976" t="e">
        <v>#N/A</v>
      </c>
      <c r="M443" s="587" t="e">
        <v>#N/A</v>
      </c>
    </row>
    <row r="444" spans="1:13">
      <c r="A444" s="63">
        <f t="shared" si="16"/>
        <v>2030.03</v>
      </c>
      <c r="B444" s="250" t="e">
        <v>#N/A</v>
      </c>
      <c r="C444" s="785" t="e">
        <v>#N/A</v>
      </c>
      <c r="D444" s="1976" t="e">
        <v>#N/A</v>
      </c>
      <c r="E444" s="787" t="e">
        <f t="shared" si="20"/>
        <v>#N/A</v>
      </c>
      <c r="F444" s="251" t="e">
        <v>#N/A</v>
      </c>
      <c r="G444" s="593" t="e">
        <v>#N/A</v>
      </c>
      <c r="H444" s="573" t="e">
        <v>#N/A</v>
      </c>
      <c r="I444" s="573" t="e">
        <v>#N/A</v>
      </c>
      <c r="J444" s="1976" t="e">
        <v>#N/A</v>
      </c>
      <c r="K444" s="590" t="e">
        <f t="shared" si="21"/>
        <v>#N/A</v>
      </c>
      <c r="L444" s="1976" t="e">
        <v>#N/A</v>
      </c>
      <c r="M444" s="587" t="e">
        <v>#N/A</v>
      </c>
    </row>
    <row r="445" spans="1:13">
      <c r="A445" s="63">
        <f t="shared" si="16"/>
        <v>2030.04</v>
      </c>
      <c r="B445" s="250" t="e">
        <v>#N/A</v>
      </c>
      <c r="C445" s="785" t="e">
        <v>#N/A</v>
      </c>
      <c r="D445" s="1976" t="e">
        <v>#N/A</v>
      </c>
      <c r="E445" s="787" t="e">
        <f t="shared" si="20"/>
        <v>#N/A</v>
      </c>
      <c r="F445" s="251" t="e">
        <v>#N/A</v>
      </c>
      <c r="G445" s="593" t="e">
        <v>#N/A</v>
      </c>
      <c r="H445" s="573" t="e">
        <v>#N/A</v>
      </c>
      <c r="I445" s="573" t="e">
        <v>#N/A</v>
      </c>
      <c r="J445" s="1976" t="e">
        <v>#N/A</v>
      </c>
      <c r="K445" s="590" t="e">
        <f t="shared" si="21"/>
        <v>#N/A</v>
      </c>
      <c r="L445" s="1976" t="e">
        <v>#N/A</v>
      </c>
      <c r="M445" s="587" t="e">
        <v>#N/A</v>
      </c>
    </row>
    <row r="446" spans="1:13">
      <c r="A446" s="63">
        <f t="shared" ref="A446:A453" si="22">A434+1</f>
        <v>2030.05</v>
      </c>
      <c r="B446" s="250" t="e">
        <v>#N/A</v>
      </c>
      <c r="C446" s="785" t="e">
        <v>#N/A</v>
      </c>
      <c r="D446" s="1976" t="e">
        <v>#N/A</v>
      </c>
      <c r="E446" s="787" t="e">
        <f t="shared" si="20"/>
        <v>#N/A</v>
      </c>
      <c r="F446" s="251" t="e">
        <v>#N/A</v>
      </c>
      <c r="G446" s="593" t="e">
        <v>#N/A</v>
      </c>
      <c r="H446" s="573" t="e">
        <v>#N/A</v>
      </c>
      <c r="I446" s="573" t="e">
        <v>#N/A</v>
      </c>
      <c r="J446" s="1976" t="e">
        <v>#N/A</v>
      </c>
      <c r="K446" s="590" t="e">
        <f t="shared" si="21"/>
        <v>#N/A</v>
      </c>
      <c r="L446" s="1976" t="e">
        <v>#N/A</v>
      </c>
      <c r="M446" s="587" t="e">
        <v>#N/A</v>
      </c>
    </row>
    <row r="447" spans="1:13">
      <c r="A447" s="63">
        <f t="shared" si="22"/>
        <v>2030.06</v>
      </c>
      <c r="B447" s="250" t="e">
        <v>#N/A</v>
      </c>
      <c r="C447" s="785" t="e">
        <v>#N/A</v>
      </c>
      <c r="D447" s="1976" t="e">
        <v>#N/A</v>
      </c>
      <c r="E447" s="787" t="e">
        <f t="shared" si="20"/>
        <v>#N/A</v>
      </c>
      <c r="F447" s="251" t="e">
        <v>#N/A</v>
      </c>
      <c r="G447" s="593" t="e">
        <v>#N/A</v>
      </c>
      <c r="H447" s="573" t="e">
        <v>#N/A</v>
      </c>
      <c r="I447" s="573" t="e">
        <v>#N/A</v>
      </c>
      <c r="J447" s="1976" t="e">
        <v>#N/A</v>
      </c>
      <c r="K447" s="590" t="e">
        <f t="shared" si="21"/>
        <v>#N/A</v>
      </c>
      <c r="L447" s="1976" t="e">
        <v>#N/A</v>
      </c>
      <c r="M447" s="587" t="e">
        <v>#N/A</v>
      </c>
    </row>
    <row r="448" spans="1:13">
      <c r="A448" s="63">
        <f t="shared" si="22"/>
        <v>2030.07</v>
      </c>
      <c r="B448" s="250" t="e">
        <v>#N/A</v>
      </c>
      <c r="C448" s="785" t="e">
        <v>#N/A</v>
      </c>
      <c r="D448" s="1976" t="e">
        <v>#N/A</v>
      </c>
      <c r="E448" s="787" t="e">
        <f t="shared" si="20"/>
        <v>#N/A</v>
      </c>
      <c r="F448" s="251" t="e">
        <v>#N/A</v>
      </c>
      <c r="G448" s="593" t="e">
        <v>#N/A</v>
      </c>
      <c r="H448" s="573" t="e">
        <v>#N/A</v>
      </c>
      <c r="I448" s="573" t="e">
        <v>#N/A</v>
      </c>
      <c r="J448" s="1976" t="e">
        <v>#N/A</v>
      </c>
      <c r="K448" s="590" t="e">
        <f t="shared" si="21"/>
        <v>#N/A</v>
      </c>
      <c r="L448" s="1976" t="e">
        <v>#N/A</v>
      </c>
      <c r="M448" s="587" t="e">
        <v>#N/A</v>
      </c>
    </row>
    <row r="449" spans="1:13">
      <c r="A449" s="63">
        <f t="shared" si="22"/>
        <v>2030.08</v>
      </c>
      <c r="B449" s="250" t="e">
        <v>#N/A</v>
      </c>
      <c r="C449" s="785" t="e">
        <v>#N/A</v>
      </c>
      <c r="D449" s="1976" t="e">
        <v>#N/A</v>
      </c>
      <c r="E449" s="787" t="e">
        <f t="shared" si="20"/>
        <v>#N/A</v>
      </c>
      <c r="F449" s="251" t="e">
        <v>#N/A</v>
      </c>
      <c r="G449" s="593" t="e">
        <v>#N/A</v>
      </c>
      <c r="H449" s="573" t="e">
        <v>#N/A</v>
      </c>
      <c r="I449" s="573" t="e">
        <v>#N/A</v>
      </c>
      <c r="J449" s="1976" t="e">
        <v>#N/A</v>
      </c>
      <c r="K449" s="590" t="e">
        <f t="shared" si="21"/>
        <v>#N/A</v>
      </c>
      <c r="L449" s="1976" t="e">
        <v>#N/A</v>
      </c>
      <c r="M449" s="587" t="e">
        <v>#N/A</v>
      </c>
    </row>
    <row r="450" spans="1:13">
      <c r="A450" s="63">
        <f t="shared" si="22"/>
        <v>2030.09</v>
      </c>
      <c r="B450" s="250" t="e">
        <v>#N/A</v>
      </c>
      <c r="C450" s="785" t="e">
        <v>#N/A</v>
      </c>
      <c r="D450" s="1976" t="e">
        <v>#N/A</v>
      </c>
      <c r="E450" s="787" t="e">
        <f t="shared" si="20"/>
        <v>#N/A</v>
      </c>
      <c r="F450" s="251" t="e">
        <v>#N/A</v>
      </c>
      <c r="G450" s="593" t="e">
        <v>#N/A</v>
      </c>
      <c r="H450" s="573" t="e">
        <v>#N/A</v>
      </c>
      <c r="I450" s="573" t="e">
        <v>#N/A</v>
      </c>
      <c r="J450" s="1976" t="e">
        <v>#N/A</v>
      </c>
      <c r="K450" s="590" t="e">
        <f t="shared" si="21"/>
        <v>#N/A</v>
      </c>
      <c r="L450" s="1976" t="e">
        <v>#N/A</v>
      </c>
      <c r="M450" s="587" t="e">
        <v>#N/A</v>
      </c>
    </row>
    <row r="451" spans="1:13">
      <c r="A451" s="63">
        <f t="shared" si="22"/>
        <v>2030.1</v>
      </c>
      <c r="B451" s="250" t="e">
        <v>#N/A</v>
      </c>
      <c r="C451" s="785" t="e">
        <v>#N/A</v>
      </c>
      <c r="D451" s="1976" t="e">
        <v>#N/A</v>
      </c>
      <c r="E451" s="787" t="e">
        <f t="shared" si="20"/>
        <v>#N/A</v>
      </c>
      <c r="F451" s="251" t="e">
        <v>#N/A</v>
      </c>
      <c r="G451" s="593" t="e">
        <v>#N/A</v>
      </c>
      <c r="H451" s="573" t="e">
        <v>#N/A</v>
      </c>
      <c r="I451" s="573" t="e">
        <v>#N/A</v>
      </c>
      <c r="J451" s="1976" t="e">
        <v>#N/A</v>
      </c>
      <c r="K451" s="590" t="e">
        <f t="shared" si="21"/>
        <v>#N/A</v>
      </c>
      <c r="L451" s="1976" t="e">
        <v>#N/A</v>
      </c>
      <c r="M451" s="587" t="e">
        <v>#N/A</v>
      </c>
    </row>
    <row r="452" spans="1:13">
      <c r="A452" s="63">
        <f t="shared" si="22"/>
        <v>2030.11</v>
      </c>
      <c r="B452" s="250" t="e">
        <v>#N/A</v>
      </c>
      <c r="C452" s="785" t="e">
        <v>#N/A</v>
      </c>
      <c r="D452" s="1976" t="e">
        <v>#N/A</v>
      </c>
      <c r="E452" s="787" t="e">
        <f t="shared" si="20"/>
        <v>#N/A</v>
      </c>
      <c r="F452" s="251" t="e">
        <v>#N/A</v>
      </c>
      <c r="G452" s="593" t="e">
        <v>#N/A</v>
      </c>
      <c r="H452" s="573" t="e">
        <v>#N/A</v>
      </c>
      <c r="I452" s="573" t="e">
        <v>#N/A</v>
      </c>
      <c r="J452" s="1976" t="e">
        <v>#N/A</v>
      </c>
      <c r="K452" s="590" t="e">
        <f t="shared" si="21"/>
        <v>#N/A</v>
      </c>
      <c r="L452" s="1976" t="e">
        <v>#N/A</v>
      </c>
      <c r="M452" s="587" t="e">
        <v>#N/A</v>
      </c>
    </row>
    <row r="453" spans="1:13">
      <c r="A453" s="63">
        <f t="shared" si="22"/>
        <v>2030.12</v>
      </c>
      <c r="B453" s="250" t="e">
        <v>#N/A</v>
      </c>
      <c r="C453" s="785" t="e">
        <v>#N/A</v>
      </c>
      <c r="D453" s="1976" t="e">
        <v>#N/A</v>
      </c>
      <c r="E453" s="787" t="e">
        <f t="shared" si="20"/>
        <v>#N/A</v>
      </c>
      <c r="F453" s="251" t="e">
        <v>#N/A</v>
      </c>
      <c r="G453" s="593" t="e">
        <v>#N/A</v>
      </c>
      <c r="H453" s="573" t="e">
        <v>#N/A</v>
      </c>
      <c r="I453" s="573" t="e">
        <v>#N/A</v>
      </c>
      <c r="J453" s="1976" t="e">
        <v>#N/A</v>
      </c>
      <c r="K453" s="590" t="e">
        <f t="shared" si="21"/>
        <v>#N/A</v>
      </c>
      <c r="L453" s="1976" t="e">
        <v>#N/A</v>
      </c>
      <c r="M453" s="587" t="e">
        <v>#N/A</v>
      </c>
    </row>
    <row r="454" spans="1:13">
      <c r="A454" s="62"/>
      <c r="B454" s="62"/>
      <c r="C454" s="62"/>
      <c r="D454" s="62"/>
      <c r="E454" s="62"/>
      <c r="F454" s="62"/>
      <c r="G454" s="62"/>
      <c r="H454" s="62"/>
      <c r="I454" s="62"/>
      <c r="J454" s="62"/>
      <c r="K454" s="62"/>
      <c r="L454" s="62"/>
      <c r="M454" s="62"/>
    </row>
    <row r="455" spans="1:13">
      <c r="A455" s="62"/>
      <c r="B455" s="62"/>
      <c r="C455" s="62"/>
      <c r="D455" s="62"/>
      <c r="E455" s="62"/>
      <c r="F455" s="62"/>
      <c r="G455" s="62"/>
      <c r="H455" s="62"/>
      <c r="I455" s="62"/>
      <c r="J455" s="62"/>
      <c r="K455" s="62"/>
      <c r="L455" s="62"/>
      <c r="M455" s="62"/>
    </row>
    <row r="456" spans="1:13">
      <c r="A456" s="62"/>
      <c r="B456" s="62"/>
      <c r="C456" s="62"/>
      <c r="D456" s="62"/>
      <c r="E456" s="62"/>
      <c r="F456" s="62"/>
      <c r="G456" s="62"/>
      <c r="H456" s="62"/>
      <c r="I456" s="62"/>
      <c r="J456" s="62"/>
      <c r="K456" s="62"/>
      <c r="L456" s="62"/>
      <c r="M456" s="62"/>
    </row>
    <row r="457" spans="1:13">
      <c r="A457" s="62"/>
      <c r="B457" s="62"/>
      <c r="C457" s="62"/>
      <c r="D457" s="62"/>
      <c r="E457" s="62"/>
      <c r="F457" s="62"/>
      <c r="G457" s="62"/>
      <c r="H457" s="62"/>
      <c r="I457" s="62"/>
      <c r="J457" s="62"/>
      <c r="K457" s="62"/>
      <c r="L457" s="62"/>
      <c r="M457" s="62"/>
    </row>
    <row r="459" spans="1:13">
      <c r="A459" s="62"/>
      <c r="B459" s="62"/>
      <c r="C459" s="62"/>
      <c r="D459" s="62"/>
      <c r="E459" s="62"/>
      <c r="F459" s="62"/>
      <c r="G459" s="62"/>
      <c r="H459" s="62"/>
      <c r="I459" s="62"/>
      <c r="J459" s="62"/>
      <c r="K459" s="62"/>
      <c r="L459" s="62"/>
      <c r="M459" s="62"/>
    </row>
    <row r="460" spans="1:13">
      <c r="A460" s="62"/>
      <c r="B460" s="62"/>
      <c r="C460" s="62"/>
      <c r="D460" s="62"/>
      <c r="E460" s="62"/>
      <c r="F460" s="62"/>
      <c r="G460" s="62"/>
      <c r="H460" s="62"/>
      <c r="I460" s="62"/>
      <c r="J460" s="62"/>
      <c r="K460" s="62"/>
      <c r="L460" s="62"/>
      <c r="M460" s="62"/>
    </row>
    <row r="461" spans="1:13">
      <c r="A461" s="62"/>
      <c r="B461" s="62"/>
      <c r="C461" s="62"/>
      <c r="D461" s="62"/>
      <c r="E461" s="62"/>
      <c r="F461" s="62"/>
      <c r="G461" s="62"/>
      <c r="H461" s="62"/>
      <c r="I461" s="62"/>
      <c r="J461" s="62"/>
      <c r="K461" s="62"/>
      <c r="L461" s="62"/>
      <c r="M461" s="62"/>
    </row>
    <row r="462" spans="1:13">
      <c r="A462" s="62"/>
      <c r="B462" s="62"/>
      <c r="C462" s="62"/>
      <c r="D462" s="62"/>
      <c r="E462" s="62"/>
      <c r="F462" s="62"/>
      <c r="G462" s="62"/>
      <c r="H462" s="62"/>
      <c r="I462" s="62"/>
      <c r="J462" s="62"/>
      <c r="K462" s="62"/>
      <c r="L462" s="62"/>
      <c r="M462" s="62"/>
    </row>
    <row r="464" spans="1:13">
      <c r="A464" s="62"/>
      <c r="B464" s="62"/>
      <c r="C464" s="62"/>
      <c r="D464" s="62"/>
      <c r="E464" s="62"/>
      <c r="F464" s="62"/>
      <c r="G464" s="62"/>
      <c r="H464" s="62"/>
      <c r="I464" s="62"/>
      <c r="J464" s="62"/>
      <c r="K464" s="62"/>
      <c r="L464" s="62"/>
      <c r="M464" s="62"/>
    </row>
    <row r="465" spans="13:25">
      <c r="M465" s="62"/>
      <c r="N465" s="201"/>
      <c r="O465" s="201"/>
      <c r="P465" s="201"/>
      <c r="Q465" s="201"/>
      <c r="R465" s="201"/>
      <c r="S465" s="201"/>
      <c r="T465" s="201"/>
      <c r="U465" s="201"/>
      <c r="V465" s="201"/>
      <c r="W465" s="201"/>
      <c r="X465" s="201"/>
      <c r="Y465" s="201"/>
    </row>
    <row r="466" spans="13:25">
      <c r="M466" s="62"/>
      <c r="N466" s="201"/>
      <c r="O466" s="201"/>
      <c r="P466" s="201"/>
      <c r="Q466" s="201"/>
      <c r="R466" s="201"/>
      <c r="S466" s="201"/>
      <c r="T466" s="201"/>
      <c r="U466" s="201"/>
      <c r="V466" s="201"/>
      <c r="W466" s="201"/>
      <c r="X466" s="201"/>
      <c r="Y466" s="201"/>
    </row>
    <row r="467" spans="13:25">
      <c r="M467" s="62"/>
      <c r="N467" s="201"/>
      <c r="O467" s="201"/>
      <c r="P467" s="201"/>
      <c r="Q467" s="201"/>
      <c r="R467" s="201"/>
      <c r="S467" s="201"/>
      <c r="T467" s="201"/>
      <c r="U467" s="201"/>
      <c r="V467" s="201"/>
      <c r="W467" s="201"/>
      <c r="X467" s="201"/>
      <c r="Y467" s="201"/>
    </row>
    <row r="469" spans="13:25">
      <c r="M469" s="62"/>
      <c r="N469" s="201"/>
      <c r="O469" s="201"/>
      <c r="P469" s="201"/>
      <c r="Q469" s="201"/>
      <c r="R469" s="201"/>
      <c r="S469" s="201"/>
      <c r="T469" s="201"/>
      <c r="U469" s="201"/>
      <c r="V469" s="201"/>
      <c r="W469" s="201"/>
      <c r="X469" s="201"/>
      <c r="Y469" s="201"/>
    </row>
    <row r="470" spans="13:25">
      <c r="M470" s="62"/>
      <c r="N470" s="201"/>
      <c r="O470" s="201"/>
      <c r="P470" s="201"/>
      <c r="Q470" s="201"/>
      <c r="R470" s="201"/>
      <c r="S470" s="201"/>
      <c r="T470" s="201"/>
      <c r="U470" s="201"/>
      <c r="V470" s="201"/>
      <c r="W470" s="201"/>
      <c r="X470" s="201"/>
      <c r="Y470" s="201"/>
    </row>
    <row r="471" spans="13:25">
      <c r="M471" s="62"/>
      <c r="N471" s="201"/>
      <c r="O471" s="201"/>
      <c r="P471" s="201"/>
      <c r="Q471" s="201"/>
      <c r="R471" s="201"/>
      <c r="S471" s="201"/>
      <c r="T471" s="201"/>
      <c r="U471" s="201"/>
      <c r="V471" s="201"/>
      <c r="W471" s="201"/>
      <c r="X471" s="201"/>
      <c r="Y471" s="201"/>
    </row>
    <row r="472" spans="13:25">
      <c r="M472" s="62"/>
      <c r="N472" s="201"/>
      <c r="O472" s="201"/>
      <c r="P472" s="201"/>
      <c r="Q472" s="201"/>
      <c r="R472" s="201"/>
      <c r="S472" s="201"/>
      <c r="T472" s="201"/>
      <c r="U472" s="201"/>
      <c r="V472" s="201"/>
      <c r="W472" s="201"/>
      <c r="X472" s="201"/>
      <c r="Y472" s="201"/>
    </row>
    <row r="473" spans="13:25">
      <c r="M473" s="62"/>
      <c r="N473" s="201"/>
      <c r="O473" s="201"/>
      <c r="P473" s="201"/>
      <c r="Q473" s="201"/>
      <c r="R473" s="201"/>
      <c r="S473" s="201"/>
      <c r="T473" s="201"/>
      <c r="U473" s="201"/>
      <c r="V473" s="201"/>
      <c r="W473" s="201"/>
      <c r="X473" s="201"/>
      <c r="Y473" s="201"/>
    </row>
    <row r="474" spans="13:25">
      <c r="M474" s="62"/>
      <c r="N474" s="62"/>
      <c r="O474" s="62"/>
      <c r="P474" s="62"/>
      <c r="Q474" s="62"/>
      <c r="R474" s="62"/>
      <c r="S474" s="62"/>
      <c r="T474" s="62"/>
      <c r="U474" s="62"/>
      <c r="V474" s="62"/>
      <c r="W474" s="62"/>
      <c r="X474" s="62"/>
      <c r="Y474" s="347"/>
    </row>
    <row r="475" spans="13:25">
      <c r="M475" s="62"/>
      <c r="N475" s="62"/>
      <c r="O475" s="62"/>
      <c r="P475" s="62"/>
      <c r="Q475" s="62"/>
      <c r="R475" s="62"/>
      <c r="S475" s="62"/>
      <c r="T475" s="62"/>
      <c r="U475" s="62"/>
      <c r="V475" s="62"/>
      <c r="W475" s="62"/>
      <c r="X475" s="347"/>
      <c r="Y475" s="201"/>
    </row>
    <row r="476" spans="13:25">
      <c r="M476" s="62"/>
      <c r="N476" s="62"/>
      <c r="O476" s="62"/>
      <c r="P476" s="62"/>
      <c r="Q476" s="62"/>
      <c r="R476" s="62"/>
      <c r="S476" s="62"/>
      <c r="T476" s="62"/>
      <c r="U476" s="62"/>
      <c r="V476" s="62"/>
      <c r="W476" s="62"/>
      <c r="X476" s="347"/>
      <c r="Y476" s="201"/>
    </row>
    <row r="478" spans="13:25">
      <c r="M478" s="62"/>
      <c r="N478" s="62"/>
      <c r="O478" s="62"/>
      <c r="P478" s="62"/>
      <c r="Q478" s="62"/>
      <c r="R478" s="62"/>
      <c r="S478" s="62"/>
      <c r="T478" s="62"/>
      <c r="U478" s="62"/>
      <c r="V478" s="62"/>
      <c r="W478" s="62"/>
      <c r="X478" s="62"/>
      <c r="Y478" s="347"/>
    </row>
    <row r="479" spans="13:25">
      <c r="M479" s="62"/>
      <c r="N479" s="62"/>
      <c r="O479" s="62"/>
      <c r="P479" s="62"/>
      <c r="Q479" s="62"/>
      <c r="R479" s="62"/>
      <c r="S479" s="62"/>
      <c r="T479" s="62"/>
      <c r="U479" s="62"/>
      <c r="V479" s="62"/>
      <c r="W479" s="62"/>
      <c r="X479" s="62"/>
      <c r="Y479" s="347"/>
    </row>
    <row r="480" spans="13:25">
      <c r="M480" s="62"/>
      <c r="N480" s="62"/>
      <c r="O480" s="62"/>
      <c r="P480" s="62"/>
      <c r="Q480" s="62"/>
      <c r="R480" s="62"/>
      <c r="S480" s="62"/>
      <c r="T480" s="62"/>
      <c r="U480" s="62"/>
      <c r="V480" s="62"/>
      <c r="W480" s="62"/>
      <c r="X480" s="62"/>
      <c r="Y480" s="347"/>
    </row>
    <row r="481" spans="13:25">
      <c r="M481" s="62"/>
      <c r="N481" s="62"/>
      <c r="O481" s="62"/>
      <c r="P481" s="62"/>
      <c r="Q481" s="62"/>
      <c r="R481" s="62"/>
      <c r="S481" s="62"/>
      <c r="T481" s="62"/>
      <c r="U481" s="62"/>
      <c r="V481" s="62"/>
      <c r="W481" s="62"/>
      <c r="X481" s="62"/>
      <c r="Y481" s="347"/>
    </row>
    <row r="482" spans="13:25">
      <c r="M482" s="62"/>
      <c r="N482" s="62"/>
      <c r="O482" s="62"/>
      <c r="P482" s="62"/>
      <c r="Q482" s="62"/>
      <c r="R482" s="62"/>
      <c r="S482" s="62"/>
      <c r="T482" s="62"/>
      <c r="U482" s="62"/>
      <c r="V482" s="62"/>
      <c r="W482" s="62"/>
      <c r="X482" s="62"/>
      <c r="Y482" s="347"/>
    </row>
    <row r="483" spans="13:25">
      <c r="M483" s="62"/>
      <c r="N483" s="62"/>
      <c r="O483" s="62"/>
      <c r="P483" s="62"/>
      <c r="Q483" s="62"/>
      <c r="R483" s="62"/>
      <c r="S483" s="62"/>
      <c r="T483" s="62"/>
      <c r="U483" s="62"/>
      <c r="V483" s="62"/>
      <c r="W483" s="62"/>
      <c r="X483" s="62"/>
      <c r="Y483" s="347"/>
    </row>
  </sheetData>
  <hyperlinks>
    <hyperlink ref="A5" location="INDICE!A13" display="VOLVER AL INDICE" xr:uid="{00000000-0004-0000-1700-000000000000}"/>
  </hyperlinks>
  <pageMargins left="0.75" right="0.75" top="1" bottom="1" header="0" footer="0"/>
  <pageSetup paperSize="9" orientation="portrait"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7"/>
  <dimension ref="A1:T453"/>
  <sheetViews>
    <sheetView zoomScale="130" zoomScaleNormal="130" workbookViewId="0">
      <pane xSplit="1" ySplit="9" topLeftCell="F376" activePane="bottomRight" state="frozen"/>
      <selection pane="topRight" activeCell="A5" sqref="A5"/>
      <selection pane="bottomLeft" activeCell="A5" sqref="A5"/>
      <selection pane="bottomRight" activeCell="G385" sqref="G385"/>
    </sheetView>
  </sheetViews>
  <sheetFormatPr baseColWidth="10" defaultColWidth="11.42578125" defaultRowHeight="12.75"/>
  <cols>
    <col min="1" max="1" width="9.28515625" style="24" bestFit="1" customWidth="1"/>
    <col min="2" max="2" width="17.42578125" style="24" customWidth="1"/>
    <col min="3" max="3" width="16.5703125" style="24" bestFit="1" customWidth="1"/>
    <col min="4" max="4" width="17.42578125" style="24" customWidth="1"/>
    <col min="5" max="5" width="28.28515625" style="24" customWidth="1"/>
    <col min="6" max="6" width="16" style="24" customWidth="1"/>
    <col min="7" max="7" width="17.7109375" style="24" customWidth="1"/>
    <col min="8" max="15" width="18" style="24" customWidth="1"/>
    <col min="16" max="16384" width="11.42578125" style="9"/>
  </cols>
  <sheetData>
    <row r="1" spans="1:16" ht="3" customHeight="1">
      <c r="A1" s="34"/>
      <c r="B1" s="65"/>
      <c r="C1" s="70"/>
      <c r="D1" s="70"/>
      <c r="E1" s="2437"/>
      <c r="F1" s="1987"/>
      <c r="G1" s="1988"/>
      <c r="H1" s="1987"/>
      <c r="I1" s="1988"/>
      <c r="J1" s="62"/>
      <c r="K1" s="62"/>
      <c r="L1" s="1987"/>
      <c r="M1" s="1988"/>
      <c r="N1" s="1987"/>
      <c r="O1" s="1989"/>
      <c r="P1" s="201"/>
    </row>
    <row r="2" spans="1:16" ht="33.75">
      <c r="A2" s="36" t="s">
        <v>105</v>
      </c>
      <c r="B2" s="383" t="s">
        <v>784</v>
      </c>
      <c r="C2" s="382"/>
      <c r="D2" s="382"/>
      <c r="E2" s="2379" t="s">
        <v>785</v>
      </c>
      <c r="F2" s="2379" t="s">
        <v>786</v>
      </c>
      <c r="G2" s="1709"/>
      <c r="H2" s="2379" t="s">
        <v>787</v>
      </c>
      <c r="I2" s="1709"/>
      <c r="J2" s="2379" t="s">
        <v>788</v>
      </c>
      <c r="K2" s="382"/>
      <c r="L2" s="2379" t="s">
        <v>789</v>
      </c>
      <c r="M2" s="1709"/>
      <c r="N2" s="2379" t="s">
        <v>790</v>
      </c>
      <c r="O2" s="378"/>
      <c r="P2" s="201"/>
    </row>
    <row r="3" spans="1:16" ht="28.5" customHeight="1">
      <c r="A3" s="37" t="s">
        <v>212</v>
      </c>
      <c r="B3" s="1990" t="s">
        <v>791</v>
      </c>
      <c r="C3" s="1063"/>
      <c r="D3" s="1063"/>
      <c r="E3" s="2435" t="s">
        <v>791</v>
      </c>
      <c r="F3" s="2379" t="s">
        <v>792</v>
      </c>
      <c r="G3" s="1788"/>
      <c r="H3" s="2379" t="s">
        <v>793</v>
      </c>
      <c r="I3" s="1788"/>
      <c r="J3" s="2379" t="s">
        <v>794</v>
      </c>
      <c r="K3" s="2379"/>
      <c r="L3" s="2379" t="s">
        <v>793</v>
      </c>
      <c r="M3" s="1788"/>
      <c r="N3" s="2379" t="s">
        <v>794</v>
      </c>
      <c r="O3" s="1882"/>
      <c r="P3" s="201"/>
    </row>
    <row r="4" spans="1:16" ht="3" hidden="1" customHeight="1">
      <c r="A4" s="35"/>
      <c r="B4" s="65"/>
      <c r="C4" s="70"/>
      <c r="D4" s="70"/>
      <c r="E4" s="2437"/>
      <c r="F4" s="1987"/>
      <c r="G4" s="1988"/>
      <c r="H4" s="1987"/>
      <c r="I4" s="1988"/>
      <c r="J4" s="62"/>
      <c r="K4" s="62"/>
      <c r="L4" s="1987"/>
      <c r="M4" s="1988"/>
      <c r="N4" s="1987"/>
      <c r="O4" s="1989"/>
      <c r="P4" s="201"/>
    </row>
    <row r="5" spans="1:16" ht="28.5" customHeight="1">
      <c r="A5" s="2390" t="s">
        <v>137</v>
      </c>
      <c r="B5" s="7" t="s">
        <v>795</v>
      </c>
      <c r="C5" s="1318" t="s">
        <v>796</v>
      </c>
      <c r="D5" s="8" t="s">
        <v>797</v>
      </c>
      <c r="E5" s="2403" t="s">
        <v>798</v>
      </c>
      <c r="F5" s="1991" t="s">
        <v>764</v>
      </c>
      <c r="G5" s="5" t="s">
        <v>765</v>
      </c>
      <c r="H5" s="1991" t="s">
        <v>764</v>
      </c>
      <c r="I5" s="5" t="s">
        <v>765</v>
      </c>
      <c r="J5" s="1991" t="s">
        <v>764</v>
      </c>
      <c r="K5" s="5" t="s">
        <v>765</v>
      </c>
      <c r="L5" s="6" t="s">
        <v>764</v>
      </c>
      <c r="M5" s="794" t="s">
        <v>765</v>
      </c>
      <c r="N5" s="6" t="s">
        <v>764</v>
      </c>
      <c r="O5" s="1992" t="s">
        <v>765</v>
      </c>
      <c r="P5" s="1993"/>
    </row>
    <row r="6" spans="1:16" ht="3" hidden="1" customHeight="1">
      <c r="A6" s="34"/>
      <c r="B6" s="65"/>
      <c r="C6" s="870"/>
      <c r="D6" s="70"/>
      <c r="E6" s="2437"/>
      <c r="F6" s="781"/>
      <c r="G6" s="64"/>
      <c r="H6" s="781"/>
      <c r="I6" s="64"/>
      <c r="J6" s="781"/>
      <c r="K6" s="64"/>
      <c r="L6" s="2437"/>
      <c r="M6" s="793"/>
      <c r="N6" s="2437"/>
      <c r="O6" s="874"/>
      <c r="P6" s="1993"/>
    </row>
    <row r="7" spans="1:16" ht="22.5">
      <c r="A7" s="2373" t="s">
        <v>123</v>
      </c>
      <c r="B7" s="7" t="s">
        <v>125</v>
      </c>
      <c r="C7" s="1318" t="s">
        <v>125</v>
      </c>
      <c r="D7" s="8" t="s">
        <v>125</v>
      </c>
      <c r="E7" s="6" t="s">
        <v>125</v>
      </c>
      <c r="F7" s="1991" t="s">
        <v>799</v>
      </c>
      <c r="G7" s="5" t="s">
        <v>799</v>
      </c>
      <c r="H7" s="1991" t="s">
        <v>361</v>
      </c>
      <c r="I7" s="5" t="s">
        <v>361</v>
      </c>
      <c r="J7" s="1991" t="s">
        <v>361</v>
      </c>
      <c r="K7" s="5" t="s">
        <v>361</v>
      </c>
      <c r="L7" s="6" t="s">
        <v>358</v>
      </c>
      <c r="M7" s="794" t="s">
        <v>358</v>
      </c>
      <c r="N7" s="6" t="s">
        <v>358</v>
      </c>
      <c r="O7" s="1992" t="s">
        <v>358</v>
      </c>
      <c r="P7" s="1993"/>
    </row>
    <row r="8" spans="1:16">
      <c r="A8" s="105" t="s">
        <v>141</v>
      </c>
      <c r="B8" s="2400" t="s">
        <v>800</v>
      </c>
      <c r="C8" s="639" t="s">
        <v>801</v>
      </c>
      <c r="D8" s="149" t="s">
        <v>802</v>
      </c>
      <c r="E8" s="1964" t="s">
        <v>803</v>
      </c>
      <c r="F8" s="773" t="s">
        <v>804</v>
      </c>
      <c r="G8" s="149" t="s">
        <v>805</v>
      </c>
      <c r="H8" s="773" t="s">
        <v>806</v>
      </c>
      <c r="I8" s="149" t="s">
        <v>807</v>
      </c>
      <c r="J8" s="773" t="s">
        <v>808</v>
      </c>
      <c r="K8" s="149" t="s">
        <v>809</v>
      </c>
      <c r="L8" s="2400" t="s">
        <v>810</v>
      </c>
      <c r="M8" s="560" t="s">
        <v>811</v>
      </c>
      <c r="N8" s="2400" t="s">
        <v>812</v>
      </c>
      <c r="O8" s="642" t="s">
        <v>813</v>
      </c>
      <c r="P8" s="1993"/>
    </row>
    <row r="9" spans="1:16" hidden="1">
      <c r="A9" s="2373"/>
      <c r="B9" s="2794"/>
      <c r="C9" s="2795"/>
      <c r="D9" s="2796"/>
      <c r="E9" s="3149"/>
      <c r="F9" s="2797"/>
      <c r="G9" s="2798"/>
      <c r="H9" s="2797"/>
      <c r="I9" s="2798"/>
      <c r="J9" s="2797"/>
      <c r="K9" s="2799"/>
      <c r="L9" s="3149"/>
      <c r="M9" s="2800"/>
      <c r="N9" s="3149"/>
      <c r="O9" s="2801"/>
      <c r="P9" s="1993"/>
    </row>
    <row r="10" spans="1:16">
      <c r="A10" s="2802">
        <v>1994.01</v>
      </c>
      <c r="B10" s="2803"/>
      <c r="C10" s="3327"/>
      <c r="D10" s="2804"/>
      <c r="E10" s="2805">
        <v>488908</v>
      </c>
      <c r="F10" s="2806"/>
      <c r="G10" s="2807"/>
      <c r="H10" s="2806"/>
      <c r="I10" s="2807"/>
      <c r="J10" s="2806"/>
      <c r="K10" s="2807"/>
      <c r="L10" s="2808"/>
      <c r="M10" s="3328"/>
      <c r="N10" s="2808"/>
      <c r="O10" s="3329"/>
      <c r="P10" s="201"/>
    </row>
    <row r="11" spans="1:16">
      <c r="A11" s="63">
        <v>1994.02</v>
      </c>
      <c r="B11" s="1996"/>
      <c r="C11" s="3150"/>
      <c r="D11" s="1997"/>
      <c r="E11" s="573">
        <v>484649</v>
      </c>
      <c r="F11" s="1998"/>
      <c r="G11" s="1999"/>
      <c r="H11" s="1998"/>
      <c r="I11" s="1999"/>
      <c r="J11" s="1998"/>
      <c r="K11" s="1999"/>
      <c r="L11" s="2000"/>
      <c r="M11" s="2001"/>
      <c r="N11" s="2000"/>
      <c r="O11" s="3151"/>
      <c r="P11" s="201"/>
    </row>
    <row r="12" spans="1:16">
      <c r="A12" s="63">
        <v>1994.03</v>
      </c>
      <c r="B12" s="1996"/>
      <c r="C12" s="3150"/>
      <c r="D12" s="1997"/>
      <c r="E12" s="573">
        <v>521257</v>
      </c>
      <c r="F12" s="1998"/>
      <c r="G12" s="1999"/>
      <c r="H12" s="1998"/>
      <c r="I12" s="1999"/>
      <c r="J12" s="1998"/>
      <c r="K12" s="1999"/>
      <c r="L12" s="2000"/>
      <c r="M12" s="2001"/>
      <c r="N12" s="2000"/>
      <c r="O12" s="3151"/>
      <c r="P12" s="201"/>
    </row>
    <row r="13" spans="1:16">
      <c r="A13" s="63">
        <v>1994.04</v>
      </c>
      <c r="B13" s="1996"/>
      <c r="C13" s="3150"/>
      <c r="D13" s="1997"/>
      <c r="E13" s="573">
        <v>473136</v>
      </c>
      <c r="F13" s="1998"/>
      <c r="G13" s="1999"/>
      <c r="H13" s="1998"/>
      <c r="I13" s="1999"/>
      <c r="J13" s="1998"/>
      <c r="K13" s="1999"/>
      <c r="L13" s="2000"/>
      <c r="M13" s="2001"/>
      <c r="N13" s="2000"/>
      <c r="O13" s="3151"/>
      <c r="P13" s="201"/>
    </row>
    <row r="14" spans="1:16">
      <c r="A14" s="63">
        <v>1994.05</v>
      </c>
      <c r="B14" s="1996"/>
      <c r="C14" s="3150"/>
      <c r="D14" s="1997"/>
      <c r="E14" s="573">
        <v>495920</v>
      </c>
      <c r="F14" s="1998"/>
      <c r="G14" s="1999"/>
      <c r="H14" s="1998"/>
      <c r="I14" s="1999"/>
      <c r="J14" s="1998"/>
      <c r="K14" s="1999"/>
      <c r="L14" s="2000"/>
      <c r="M14" s="2001"/>
      <c r="N14" s="2000"/>
      <c r="O14" s="3151"/>
      <c r="P14" s="201"/>
    </row>
    <row r="15" spans="1:16">
      <c r="A15" s="63">
        <v>1994.06</v>
      </c>
      <c r="B15" s="1996"/>
      <c r="C15" s="3150"/>
      <c r="D15" s="1997"/>
      <c r="E15" s="573">
        <v>472288</v>
      </c>
      <c r="F15" s="1998"/>
      <c r="G15" s="1999"/>
      <c r="H15" s="1998"/>
      <c r="I15" s="1999"/>
      <c r="J15" s="1998"/>
      <c r="K15" s="1999"/>
      <c r="L15" s="2000"/>
      <c r="M15" s="2001"/>
      <c r="N15" s="2000"/>
      <c r="O15" s="3151"/>
      <c r="P15" s="201"/>
    </row>
    <row r="16" spans="1:16">
      <c r="A16" s="63">
        <v>1994.07</v>
      </c>
      <c r="B16" s="1996"/>
      <c r="C16" s="3150"/>
      <c r="D16" s="1997"/>
      <c r="E16" s="573">
        <v>490382</v>
      </c>
      <c r="F16" s="1998"/>
      <c r="G16" s="1999"/>
      <c r="H16" s="1998"/>
      <c r="I16" s="1999"/>
      <c r="J16" s="1998"/>
      <c r="K16" s="1999"/>
      <c r="L16" s="2000"/>
      <c r="M16" s="2001"/>
      <c r="N16" s="2000"/>
      <c r="O16" s="3151"/>
      <c r="P16" s="201"/>
    </row>
    <row r="17" spans="1:15">
      <c r="A17" s="63">
        <v>1994.08</v>
      </c>
      <c r="B17" s="1996"/>
      <c r="C17" s="3150"/>
      <c r="D17" s="1997"/>
      <c r="E17" s="573">
        <v>544726</v>
      </c>
      <c r="F17" s="1998"/>
      <c r="G17" s="1999"/>
      <c r="H17" s="1998"/>
      <c r="I17" s="1999"/>
      <c r="J17" s="1998"/>
      <c r="K17" s="1999"/>
      <c r="L17" s="2000"/>
      <c r="M17" s="2001"/>
      <c r="N17" s="2000"/>
      <c r="O17" s="3151"/>
    </row>
    <row r="18" spans="1:15">
      <c r="A18" s="63">
        <v>1994.09</v>
      </c>
      <c r="B18" s="1996"/>
      <c r="C18" s="3150"/>
      <c r="D18" s="1997"/>
      <c r="E18" s="573">
        <v>560564</v>
      </c>
      <c r="F18" s="1998"/>
      <c r="G18" s="1999"/>
      <c r="H18" s="1998"/>
      <c r="I18" s="1999"/>
      <c r="J18" s="1998"/>
      <c r="K18" s="1999"/>
      <c r="L18" s="2000"/>
      <c r="M18" s="2001"/>
      <c r="N18" s="2000"/>
      <c r="O18" s="3151"/>
    </row>
    <row r="19" spans="1:15">
      <c r="A19" s="63">
        <v>1994.1</v>
      </c>
      <c r="B19" s="1996"/>
      <c r="C19" s="3150"/>
      <c r="D19" s="1997"/>
      <c r="E19" s="573">
        <v>533405</v>
      </c>
      <c r="F19" s="1998"/>
      <c r="G19" s="1999"/>
      <c r="H19" s="1998"/>
      <c r="I19" s="1999"/>
      <c r="J19" s="1998"/>
      <c r="K19" s="1999"/>
      <c r="L19" s="2000"/>
      <c r="M19" s="2001"/>
      <c r="N19" s="2000"/>
      <c r="O19" s="3151"/>
    </row>
    <row r="20" spans="1:15">
      <c r="A20" s="63">
        <v>1994.11</v>
      </c>
      <c r="B20" s="1996"/>
      <c r="C20" s="3150"/>
      <c r="D20" s="1997"/>
      <c r="E20" s="573">
        <v>602694</v>
      </c>
      <c r="F20" s="1998"/>
      <c r="G20" s="1999"/>
      <c r="H20" s="1998"/>
      <c r="I20" s="1999"/>
      <c r="J20" s="1998"/>
      <c r="K20" s="1999"/>
      <c r="L20" s="2000"/>
      <c r="M20" s="2001"/>
      <c r="N20" s="2000"/>
      <c r="O20" s="3151"/>
    </row>
    <row r="21" spans="1:15">
      <c r="A21" s="63">
        <v>1994.12</v>
      </c>
      <c r="B21" s="1996"/>
      <c r="C21" s="3150"/>
      <c r="D21" s="1997"/>
      <c r="E21" s="573">
        <v>549198</v>
      </c>
      <c r="F21" s="1998"/>
      <c r="G21" s="1999"/>
      <c r="H21" s="1998"/>
      <c r="I21" s="1999"/>
      <c r="J21" s="1998"/>
      <c r="K21" s="1999"/>
      <c r="L21" s="2000"/>
      <c r="M21" s="2001"/>
      <c r="N21" s="2000"/>
      <c r="O21" s="3151"/>
    </row>
    <row r="22" spans="1:15">
      <c r="A22" s="63">
        <v>1995.01</v>
      </c>
      <c r="B22" s="1996"/>
      <c r="C22" s="3150"/>
      <c r="D22" s="1997"/>
      <c r="E22" s="573">
        <v>536191</v>
      </c>
      <c r="F22" s="1998"/>
      <c r="G22" s="1999"/>
      <c r="H22" s="1998"/>
      <c r="I22" s="1999"/>
      <c r="J22" s="1998"/>
      <c r="K22" s="1999"/>
      <c r="L22" s="2000"/>
      <c r="M22" s="2001"/>
      <c r="N22" s="2000"/>
      <c r="O22" s="3151"/>
    </row>
    <row r="23" spans="1:15">
      <c r="A23" s="63">
        <v>1995.02</v>
      </c>
      <c r="B23" s="1996"/>
      <c r="C23" s="3150"/>
      <c r="D23" s="1997"/>
      <c r="E23" s="573">
        <v>518705</v>
      </c>
      <c r="F23" s="1998"/>
      <c r="G23" s="1999"/>
      <c r="H23" s="1998"/>
      <c r="I23" s="1999"/>
      <c r="J23" s="1998"/>
      <c r="K23" s="1999"/>
      <c r="L23" s="2000"/>
      <c r="M23" s="2001"/>
      <c r="N23" s="2000"/>
      <c r="O23" s="3151"/>
    </row>
    <row r="24" spans="1:15">
      <c r="A24" s="63">
        <v>1995.03</v>
      </c>
      <c r="B24" s="1996"/>
      <c r="C24" s="3150"/>
      <c r="D24" s="1997"/>
      <c r="E24" s="573">
        <v>522843</v>
      </c>
      <c r="F24" s="1998"/>
      <c r="G24" s="1999"/>
      <c r="H24" s="1998"/>
      <c r="I24" s="1999"/>
      <c r="J24" s="1998"/>
      <c r="K24" s="1999"/>
      <c r="L24" s="2000"/>
      <c r="M24" s="2001"/>
      <c r="N24" s="2000"/>
      <c r="O24" s="3151"/>
    </row>
    <row r="25" spans="1:15">
      <c r="A25" s="63">
        <v>1995.04</v>
      </c>
      <c r="B25" s="1996"/>
      <c r="C25" s="3150"/>
      <c r="D25" s="1997"/>
      <c r="E25" s="573">
        <v>416227</v>
      </c>
      <c r="F25" s="1998"/>
      <c r="G25" s="1999"/>
      <c r="H25" s="1998"/>
      <c r="I25" s="1999"/>
      <c r="J25" s="1998"/>
      <c r="K25" s="1999"/>
      <c r="L25" s="2000"/>
      <c r="M25" s="2001"/>
      <c r="N25" s="2000"/>
      <c r="O25" s="3151"/>
    </row>
    <row r="26" spans="1:15">
      <c r="A26" s="63">
        <v>1995.05</v>
      </c>
      <c r="B26" s="1996"/>
      <c r="C26" s="3150"/>
      <c r="D26" s="1997"/>
      <c r="E26" s="573">
        <v>473408</v>
      </c>
      <c r="F26" s="1998"/>
      <c r="G26" s="1999"/>
      <c r="H26" s="1998"/>
      <c r="I26" s="1999"/>
      <c r="J26" s="1998"/>
      <c r="K26" s="1999"/>
      <c r="L26" s="2000"/>
      <c r="M26" s="2001"/>
      <c r="N26" s="2000"/>
      <c r="O26" s="3151"/>
    </row>
    <row r="27" spans="1:15">
      <c r="A27" s="63">
        <v>1995.06</v>
      </c>
      <c r="B27" s="1996"/>
      <c r="C27" s="3150"/>
      <c r="D27" s="1997"/>
      <c r="E27" s="573">
        <v>417235</v>
      </c>
      <c r="F27" s="1998"/>
      <c r="G27" s="1999"/>
      <c r="H27" s="1998"/>
      <c r="I27" s="1999"/>
      <c r="J27" s="1998"/>
      <c r="K27" s="1999"/>
      <c r="L27" s="2000"/>
      <c r="M27" s="2001"/>
      <c r="N27" s="2000"/>
      <c r="O27" s="3151"/>
    </row>
    <row r="28" spans="1:15">
      <c r="A28" s="63">
        <v>1995.07</v>
      </c>
      <c r="B28" s="1996"/>
      <c r="C28" s="3150"/>
      <c r="D28" s="1997"/>
      <c r="E28" s="573">
        <v>400128</v>
      </c>
      <c r="F28" s="1998"/>
      <c r="G28" s="1999"/>
      <c r="H28" s="1998"/>
      <c r="I28" s="1999"/>
      <c r="J28" s="1998"/>
      <c r="K28" s="1999"/>
      <c r="L28" s="2000"/>
      <c r="M28" s="2001"/>
      <c r="N28" s="2000"/>
      <c r="O28" s="3151"/>
    </row>
    <row r="29" spans="1:15">
      <c r="A29" s="63">
        <v>1995.08</v>
      </c>
      <c r="B29" s="1996"/>
      <c r="C29" s="3150"/>
      <c r="D29" s="1997"/>
      <c r="E29" s="573">
        <v>405599</v>
      </c>
      <c r="F29" s="1998"/>
      <c r="G29" s="1999"/>
      <c r="H29" s="1998"/>
      <c r="I29" s="1999"/>
      <c r="J29" s="1998"/>
      <c r="K29" s="1999"/>
      <c r="L29" s="2000"/>
      <c r="M29" s="2001"/>
      <c r="N29" s="2000"/>
      <c r="O29" s="3151"/>
    </row>
    <row r="30" spans="1:15">
      <c r="A30" s="63">
        <v>1995.09</v>
      </c>
      <c r="B30" s="1996"/>
      <c r="C30" s="3150"/>
      <c r="D30" s="1997"/>
      <c r="E30" s="573">
        <v>439485</v>
      </c>
      <c r="F30" s="1998"/>
      <c r="G30" s="1999"/>
      <c r="H30" s="1998"/>
      <c r="I30" s="1999"/>
      <c r="J30" s="1998"/>
      <c r="K30" s="1999"/>
      <c r="L30" s="2000"/>
      <c r="M30" s="2001"/>
      <c r="N30" s="2000"/>
      <c r="O30" s="3151"/>
    </row>
    <row r="31" spans="1:15">
      <c r="A31" s="63">
        <v>1995.1</v>
      </c>
      <c r="B31" s="1996"/>
      <c r="C31" s="3150"/>
      <c r="D31" s="1997"/>
      <c r="E31" s="573">
        <v>403947</v>
      </c>
      <c r="F31" s="1998"/>
      <c r="G31" s="1999"/>
      <c r="H31" s="1998"/>
      <c r="I31" s="1999"/>
      <c r="J31" s="1998"/>
      <c r="K31" s="1999"/>
      <c r="L31" s="2000"/>
      <c r="M31" s="2001"/>
      <c r="N31" s="2000"/>
      <c r="O31" s="3151"/>
    </row>
    <row r="32" spans="1:15">
      <c r="A32" s="63">
        <v>1995.11</v>
      </c>
      <c r="B32" s="1996"/>
      <c r="C32" s="3150"/>
      <c r="D32" s="1997"/>
      <c r="E32" s="573">
        <v>424321</v>
      </c>
      <c r="F32" s="1998"/>
      <c r="G32" s="1999"/>
      <c r="H32" s="1998"/>
      <c r="I32" s="1999"/>
      <c r="J32" s="1998"/>
      <c r="K32" s="1999"/>
      <c r="L32" s="2000"/>
      <c r="M32" s="2001"/>
      <c r="N32" s="2000"/>
      <c r="O32" s="3151"/>
    </row>
    <row r="33" spans="1:15">
      <c r="A33" s="63">
        <v>1995.12</v>
      </c>
      <c r="B33" s="1996"/>
      <c r="C33" s="3150"/>
      <c r="D33" s="1997"/>
      <c r="E33" s="573">
        <v>370817</v>
      </c>
      <c r="F33" s="1998"/>
      <c r="G33" s="1999"/>
      <c r="H33" s="1998"/>
      <c r="I33" s="1999"/>
      <c r="J33" s="1998"/>
      <c r="K33" s="1999"/>
      <c r="L33" s="2000"/>
      <c r="M33" s="2001"/>
      <c r="N33" s="2000"/>
      <c r="O33" s="3151"/>
    </row>
    <row r="34" spans="1:15">
      <c r="A34" s="63">
        <v>1996.01</v>
      </c>
      <c r="B34" s="1996"/>
      <c r="C34" s="3150"/>
      <c r="D34" s="1997"/>
      <c r="E34" s="573">
        <v>391239</v>
      </c>
      <c r="F34" s="1998"/>
      <c r="G34" s="1999"/>
      <c r="H34" s="1998"/>
      <c r="I34" s="1999"/>
      <c r="J34" s="1998"/>
      <c r="K34" s="1999"/>
      <c r="L34" s="2000"/>
      <c r="M34" s="2001"/>
      <c r="N34" s="2000"/>
      <c r="O34" s="3151"/>
    </row>
    <row r="35" spans="1:15">
      <c r="A35" s="63">
        <v>1996.02</v>
      </c>
      <c r="B35" s="1996"/>
      <c r="C35" s="3150"/>
      <c r="D35" s="1997"/>
      <c r="E35" s="573">
        <v>371500</v>
      </c>
      <c r="F35" s="1998"/>
      <c r="G35" s="1999"/>
      <c r="H35" s="1998"/>
      <c r="I35" s="1999"/>
      <c r="J35" s="1998"/>
      <c r="K35" s="1999"/>
      <c r="L35" s="2000"/>
      <c r="M35" s="2001"/>
      <c r="N35" s="2000"/>
      <c r="O35" s="3151"/>
    </row>
    <row r="36" spans="1:15">
      <c r="A36" s="63">
        <v>1996.03</v>
      </c>
      <c r="B36" s="1996"/>
      <c r="C36" s="3150"/>
      <c r="D36" s="1997"/>
      <c r="E36" s="573">
        <v>395300</v>
      </c>
      <c r="F36" s="1998"/>
      <c r="G36" s="1999"/>
      <c r="H36" s="1998"/>
      <c r="I36" s="1999"/>
      <c r="J36" s="1998"/>
      <c r="K36" s="1999"/>
      <c r="L36" s="2000"/>
      <c r="M36" s="2001"/>
      <c r="N36" s="2000"/>
      <c r="O36" s="3151"/>
    </row>
    <row r="37" spans="1:15">
      <c r="A37" s="63">
        <v>1996.04</v>
      </c>
      <c r="B37" s="1996"/>
      <c r="C37" s="3150"/>
      <c r="D37" s="1997"/>
      <c r="E37" s="573">
        <v>366700</v>
      </c>
      <c r="F37" s="1998"/>
      <c r="G37" s="1999"/>
      <c r="H37" s="1998"/>
      <c r="I37" s="1999"/>
      <c r="J37" s="1998"/>
      <c r="K37" s="1999"/>
      <c r="L37" s="2000"/>
      <c r="M37" s="2001"/>
      <c r="N37" s="2000"/>
      <c r="O37" s="3151"/>
    </row>
    <row r="38" spans="1:15">
      <c r="A38" s="63">
        <v>1996.05</v>
      </c>
      <c r="B38" s="1996"/>
      <c r="C38" s="3150"/>
      <c r="D38" s="1997"/>
      <c r="E38" s="573">
        <v>398700</v>
      </c>
      <c r="F38" s="1998"/>
      <c r="G38" s="1999"/>
      <c r="H38" s="1998"/>
      <c r="I38" s="1999"/>
      <c r="J38" s="1998"/>
      <c r="K38" s="1999"/>
      <c r="L38" s="2000"/>
      <c r="M38" s="2001"/>
      <c r="N38" s="2000"/>
      <c r="O38" s="3151"/>
    </row>
    <row r="39" spans="1:15">
      <c r="A39" s="63">
        <v>1996.06</v>
      </c>
      <c r="B39" s="1996"/>
      <c r="C39" s="3150"/>
      <c r="D39" s="1997"/>
      <c r="E39" s="573">
        <v>335300</v>
      </c>
      <c r="F39" s="1998"/>
      <c r="G39" s="1999"/>
      <c r="H39" s="1998"/>
      <c r="I39" s="1999"/>
      <c r="J39" s="1998"/>
      <c r="K39" s="1999"/>
      <c r="L39" s="2000"/>
      <c r="M39" s="2001"/>
      <c r="N39" s="2000"/>
      <c r="O39" s="3151"/>
    </row>
    <row r="40" spans="1:15">
      <c r="A40" s="63">
        <v>1996.07</v>
      </c>
      <c r="B40" s="1996"/>
      <c r="C40" s="3150"/>
      <c r="D40" s="1997"/>
      <c r="E40" s="573">
        <v>391700</v>
      </c>
      <c r="F40" s="1998"/>
      <c r="G40" s="1999"/>
      <c r="H40" s="1998"/>
      <c r="I40" s="1999"/>
      <c r="J40" s="1998"/>
      <c r="K40" s="1999"/>
      <c r="L40" s="2000"/>
      <c r="M40" s="2001"/>
      <c r="N40" s="2000"/>
      <c r="O40" s="3151"/>
    </row>
    <row r="41" spans="1:15">
      <c r="A41" s="63">
        <v>1996.08</v>
      </c>
      <c r="B41" s="1996"/>
      <c r="C41" s="3150"/>
      <c r="D41" s="1997"/>
      <c r="E41" s="573">
        <v>437100</v>
      </c>
      <c r="F41" s="1998"/>
      <c r="G41" s="1999"/>
      <c r="H41" s="1998"/>
      <c r="I41" s="1999"/>
      <c r="J41" s="1998"/>
      <c r="K41" s="1999"/>
      <c r="L41" s="2000"/>
      <c r="M41" s="2001"/>
      <c r="N41" s="2000"/>
      <c r="O41" s="3151"/>
    </row>
    <row r="42" spans="1:15">
      <c r="A42" s="63">
        <v>1996.09</v>
      </c>
      <c r="B42" s="1996"/>
      <c r="C42" s="3150"/>
      <c r="D42" s="1997"/>
      <c r="E42" s="573">
        <v>442300</v>
      </c>
      <c r="F42" s="1998"/>
      <c r="G42" s="1999"/>
      <c r="H42" s="1998"/>
      <c r="I42" s="1999"/>
      <c r="J42" s="1998"/>
      <c r="K42" s="1999"/>
      <c r="L42" s="2000"/>
      <c r="M42" s="2001"/>
      <c r="N42" s="2000"/>
      <c r="O42" s="3151"/>
    </row>
    <row r="43" spans="1:15">
      <c r="A43" s="63">
        <v>1996.1</v>
      </c>
      <c r="B43" s="1996"/>
      <c r="C43" s="3150"/>
      <c r="D43" s="1997"/>
      <c r="E43" s="573">
        <v>509600</v>
      </c>
      <c r="F43" s="1998"/>
      <c r="G43" s="1999"/>
      <c r="H43" s="1998"/>
      <c r="I43" s="1999"/>
      <c r="J43" s="1998"/>
      <c r="K43" s="1999"/>
      <c r="L43" s="2000"/>
      <c r="M43" s="2001"/>
      <c r="N43" s="2000"/>
      <c r="O43" s="3151"/>
    </row>
    <row r="44" spans="1:15">
      <c r="A44" s="63">
        <v>1996.11</v>
      </c>
      <c r="B44" s="1996"/>
      <c r="C44" s="3150"/>
      <c r="D44" s="1997"/>
      <c r="E44" s="573">
        <v>505800</v>
      </c>
      <c r="F44" s="1998"/>
      <c r="G44" s="1999"/>
      <c r="H44" s="1998"/>
      <c r="I44" s="1999"/>
      <c r="J44" s="1998"/>
      <c r="K44" s="1999"/>
      <c r="L44" s="2000"/>
      <c r="M44" s="2001"/>
      <c r="N44" s="2000"/>
      <c r="O44" s="3151"/>
    </row>
    <row r="45" spans="1:15">
      <c r="A45" s="63">
        <v>1996.12</v>
      </c>
      <c r="B45" s="1996"/>
      <c r="C45" s="3150"/>
      <c r="D45" s="1997"/>
      <c r="E45" s="573">
        <v>459100</v>
      </c>
      <c r="F45" s="1998"/>
      <c r="G45" s="1999"/>
      <c r="H45" s="1998"/>
      <c r="I45" s="1999"/>
      <c r="J45" s="1998"/>
      <c r="K45" s="1999"/>
      <c r="L45" s="2000"/>
      <c r="M45" s="2001"/>
      <c r="N45" s="2000"/>
      <c r="O45" s="3151"/>
    </row>
    <row r="46" spans="1:15">
      <c r="A46" s="63">
        <v>1997.01</v>
      </c>
      <c r="B46" s="1996"/>
      <c r="C46" s="3150"/>
      <c r="D46" s="1997"/>
      <c r="E46" s="573">
        <v>494699</v>
      </c>
      <c r="F46" s="1998"/>
      <c r="G46" s="1999"/>
      <c r="H46" s="1998"/>
      <c r="I46" s="1999"/>
      <c r="J46" s="1998"/>
      <c r="K46" s="1999"/>
      <c r="L46" s="2000"/>
      <c r="M46" s="2001"/>
      <c r="N46" s="2000"/>
      <c r="O46" s="3151"/>
    </row>
    <row r="47" spans="1:15">
      <c r="A47" s="63">
        <v>1997.02</v>
      </c>
      <c r="B47" s="1996"/>
      <c r="C47" s="3150"/>
      <c r="D47" s="1997"/>
      <c r="E47" s="573">
        <v>482843</v>
      </c>
      <c r="F47" s="1998"/>
      <c r="G47" s="1999"/>
      <c r="H47" s="1998"/>
      <c r="I47" s="1999"/>
      <c r="J47" s="1998"/>
      <c r="K47" s="1999"/>
      <c r="L47" s="2000"/>
      <c r="M47" s="2001"/>
      <c r="N47" s="2000"/>
      <c r="O47" s="3151"/>
    </row>
    <row r="48" spans="1:15">
      <c r="A48" s="63">
        <v>1997.03</v>
      </c>
      <c r="B48" s="1996"/>
      <c r="C48" s="3150"/>
      <c r="D48" s="1997"/>
      <c r="E48" s="573">
        <v>518135</v>
      </c>
      <c r="F48" s="1998"/>
      <c r="G48" s="1999"/>
      <c r="H48" s="1998"/>
      <c r="I48" s="1999"/>
      <c r="J48" s="1998"/>
      <c r="K48" s="1999"/>
      <c r="L48" s="2000"/>
      <c r="M48" s="2001"/>
      <c r="N48" s="2000"/>
      <c r="O48" s="3151"/>
    </row>
    <row r="49" spans="1:15">
      <c r="A49" s="63">
        <v>1997.04</v>
      </c>
      <c r="B49" s="1996"/>
      <c r="C49" s="3150"/>
      <c r="D49" s="1997"/>
      <c r="E49" s="573">
        <v>531630</v>
      </c>
      <c r="F49" s="1998"/>
      <c r="G49" s="1999"/>
      <c r="H49" s="1998"/>
      <c r="I49" s="1999"/>
      <c r="J49" s="1998"/>
      <c r="K49" s="1999"/>
      <c r="L49" s="2000"/>
      <c r="M49" s="2001"/>
      <c r="N49" s="2000"/>
      <c r="O49" s="3151"/>
    </row>
    <row r="50" spans="1:15">
      <c r="A50" s="63">
        <v>1997.05</v>
      </c>
      <c r="B50" s="1996"/>
      <c r="C50" s="3150"/>
      <c r="D50" s="1997"/>
      <c r="E50" s="573">
        <v>527488</v>
      </c>
      <c r="F50" s="1998"/>
      <c r="G50" s="1999"/>
      <c r="H50" s="1998"/>
      <c r="I50" s="1999"/>
      <c r="J50" s="1998"/>
      <c r="K50" s="1999"/>
      <c r="L50" s="2000"/>
      <c r="M50" s="2001"/>
      <c r="N50" s="2000"/>
      <c r="O50" s="3151"/>
    </row>
    <row r="51" spans="1:15">
      <c r="A51" s="63">
        <v>1997.06</v>
      </c>
      <c r="B51" s="1996"/>
      <c r="C51" s="3150"/>
      <c r="D51" s="1997"/>
      <c r="E51" s="573">
        <v>443844</v>
      </c>
      <c r="F51" s="1998"/>
      <c r="G51" s="1999"/>
      <c r="H51" s="1998"/>
      <c r="I51" s="1999"/>
      <c r="J51" s="1998"/>
      <c r="K51" s="1999"/>
      <c r="L51" s="2000"/>
      <c r="M51" s="2001"/>
      <c r="N51" s="2000"/>
      <c r="O51" s="3151"/>
    </row>
    <row r="52" spans="1:15">
      <c r="A52" s="63">
        <v>1997.07</v>
      </c>
      <c r="B52" s="1996"/>
      <c r="C52" s="3150"/>
      <c r="D52" s="1997"/>
      <c r="E52" s="573">
        <v>562729</v>
      </c>
      <c r="F52" s="1998"/>
      <c r="G52" s="1999"/>
      <c r="H52" s="1998"/>
      <c r="I52" s="1999"/>
      <c r="J52" s="1998"/>
      <c r="K52" s="1999"/>
      <c r="L52" s="2000"/>
      <c r="M52" s="2001"/>
      <c r="N52" s="2000"/>
      <c r="O52" s="3151"/>
    </row>
    <row r="53" spans="1:15">
      <c r="A53" s="63">
        <v>1997.08</v>
      </c>
      <c r="B53" s="1996"/>
      <c r="C53" s="3150"/>
      <c r="D53" s="1997"/>
      <c r="E53" s="573">
        <v>585368</v>
      </c>
      <c r="F53" s="1998"/>
      <c r="G53" s="1999"/>
      <c r="H53" s="1998"/>
      <c r="I53" s="1999"/>
      <c r="J53" s="1998"/>
      <c r="K53" s="1999"/>
      <c r="L53" s="2000"/>
      <c r="M53" s="2001"/>
      <c r="N53" s="2000"/>
      <c r="O53" s="3151"/>
    </row>
    <row r="54" spans="1:15">
      <c r="A54" s="63">
        <v>1997.09</v>
      </c>
      <c r="B54" s="1996"/>
      <c r="C54" s="3150"/>
      <c r="D54" s="1997"/>
      <c r="E54" s="573">
        <v>635617</v>
      </c>
      <c r="F54" s="1998"/>
      <c r="G54" s="1999"/>
      <c r="H54" s="1998"/>
      <c r="I54" s="1999"/>
      <c r="J54" s="1998"/>
      <c r="K54" s="1999"/>
      <c r="L54" s="2000"/>
      <c r="M54" s="2001"/>
      <c r="N54" s="2000"/>
      <c r="O54" s="3151"/>
    </row>
    <row r="55" spans="1:15">
      <c r="A55" s="63">
        <v>1997.1</v>
      </c>
      <c r="B55" s="1996"/>
      <c r="C55" s="3150"/>
      <c r="D55" s="1997"/>
      <c r="E55" s="573">
        <v>699826</v>
      </c>
      <c r="F55" s="1998"/>
      <c r="G55" s="1999"/>
      <c r="H55" s="1998"/>
      <c r="I55" s="1999"/>
      <c r="J55" s="1998"/>
      <c r="K55" s="1999"/>
      <c r="L55" s="2000"/>
      <c r="M55" s="2001"/>
      <c r="N55" s="2000"/>
      <c r="O55" s="3151"/>
    </row>
    <row r="56" spans="1:15">
      <c r="A56" s="63">
        <v>1997.11</v>
      </c>
      <c r="B56" s="1996"/>
      <c r="C56" s="3150"/>
      <c r="D56" s="1997"/>
      <c r="E56" s="573">
        <v>618393</v>
      </c>
      <c r="F56" s="1998"/>
      <c r="G56" s="1999"/>
      <c r="H56" s="1998"/>
      <c r="I56" s="1999"/>
      <c r="J56" s="1998"/>
      <c r="K56" s="1999"/>
      <c r="L56" s="2000"/>
      <c r="M56" s="2001"/>
      <c r="N56" s="2000"/>
      <c r="O56" s="3151"/>
    </row>
    <row r="57" spans="1:15">
      <c r="A57" s="63">
        <v>1997.12</v>
      </c>
      <c r="B57" s="1996"/>
      <c r="C57" s="3150"/>
      <c r="D57" s="1997"/>
      <c r="E57" s="573">
        <v>576831</v>
      </c>
      <c r="F57" s="1998"/>
      <c r="G57" s="1999"/>
      <c r="H57" s="1998"/>
      <c r="I57" s="1999"/>
      <c r="J57" s="1998"/>
      <c r="K57" s="1999"/>
      <c r="L57" s="2000"/>
      <c r="M57" s="2001"/>
      <c r="N57" s="2000"/>
      <c r="O57" s="3151"/>
    </row>
    <row r="58" spans="1:15">
      <c r="A58" s="63">
        <v>1998.01</v>
      </c>
      <c r="B58" s="1996"/>
      <c r="C58" s="3150"/>
      <c r="D58" s="1997"/>
      <c r="E58" s="573">
        <v>605409</v>
      </c>
      <c r="F58" s="1998"/>
      <c r="G58" s="1999"/>
      <c r="H58" s="1998"/>
      <c r="I58" s="1999"/>
      <c r="J58" s="1998"/>
      <c r="K58" s="1999"/>
      <c r="L58" s="2000"/>
      <c r="M58" s="2001"/>
      <c r="N58" s="2000"/>
      <c r="O58" s="3151"/>
    </row>
    <row r="59" spans="1:15">
      <c r="A59" s="63">
        <v>1998.02</v>
      </c>
      <c r="B59" s="1996"/>
      <c r="C59" s="3150"/>
      <c r="D59" s="1997"/>
      <c r="E59" s="573">
        <v>557978</v>
      </c>
      <c r="F59" s="1998"/>
      <c r="G59" s="1999"/>
      <c r="H59" s="1998"/>
      <c r="I59" s="1999"/>
      <c r="J59" s="1998"/>
      <c r="K59" s="1999"/>
      <c r="L59" s="2000"/>
      <c r="M59" s="2001"/>
      <c r="N59" s="2000"/>
      <c r="O59" s="3151"/>
    </row>
    <row r="60" spans="1:15">
      <c r="A60" s="63">
        <v>1998.03</v>
      </c>
      <c r="B60" s="1996"/>
      <c r="C60" s="3150"/>
      <c r="D60" s="1997"/>
      <c r="E60" s="573">
        <v>619433</v>
      </c>
      <c r="F60" s="1998"/>
      <c r="G60" s="1999"/>
      <c r="H60" s="1998"/>
      <c r="I60" s="1999"/>
      <c r="J60" s="1998"/>
      <c r="K60" s="1999"/>
      <c r="L60" s="2000"/>
      <c r="M60" s="2001"/>
      <c r="N60" s="2000"/>
      <c r="O60" s="3151"/>
    </row>
    <row r="61" spans="1:15">
      <c r="A61" s="63">
        <v>1998.04</v>
      </c>
      <c r="B61" s="1996"/>
      <c r="C61" s="3150"/>
      <c r="D61" s="1997"/>
      <c r="E61" s="573">
        <v>538616</v>
      </c>
      <c r="F61" s="1998"/>
      <c r="G61" s="1999"/>
      <c r="H61" s="1998"/>
      <c r="I61" s="1999"/>
      <c r="J61" s="1998"/>
      <c r="K61" s="1999"/>
      <c r="L61" s="2000"/>
      <c r="M61" s="2001"/>
      <c r="N61" s="2000"/>
      <c r="O61" s="3151"/>
    </row>
    <row r="62" spans="1:15">
      <c r="A62" s="63">
        <v>1998.05</v>
      </c>
      <c r="B62" s="1996"/>
      <c r="C62" s="3150"/>
      <c r="D62" s="1997"/>
      <c r="E62" s="573">
        <v>528422</v>
      </c>
      <c r="F62" s="1998"/>
      <c r="G62" s="1999"/>
      <c r="H62" s="1998"/>
      <c r="I62" s="1999"/>
      <c r="J62" s="1998"/>
      <c r="K62" s="1999"/>
      <c r="L62" s="2000"/>
      <c r="M62" s="2001"/>
      <c r="N62" s="2000"/>
      <c r="O62" s="3151"/>
    </row>
    <row r="63" spans="1:15">
      <c r="A63" s="63">
        <v>1998.06</v>
      </c>
      <c r="B63" s="1996"/>
      <c r="C63" s="3150"/>
      <c r="D63" s="1997"/>
      <c r="E63" s="573">
        <v>560126</v>
      </c>
      <c r="F63" s="1998"/>
      <c r="G63" s="1999"/>
      <c r="H63" s="1998"/>
      <c r="I63" s="1999"/>
      <c r="J63" s="1998"/>
      <c r="K63" s="1999"/>
      <c r="L63" s="2000"/>
      <c r="M63" s="2001"/>
      <c r="N63" s="2000"/>
      <c r="O63" s="3151"/>
    </row>
    <row r="64" spans="1:15">
      <c r="A64" s="63">
        <v>1998.07</v>
      </c>
      <c r="B64" s="1996"/>
      <c r="C64" s="3150"/>
      <c r="D64" s="1997"/>
      <c r="E64" s="573">
        <v>572612</v>
      </c>
      <c r="F64" s="1998"/>
      <c r="G64" s="1999"/>
      <c r="H64" s="1998"/>
      <c r="I64" s="1999"/>
      <c r="J64" s="1998"/>
      <c r="K64" s="1999"/>
      <c r="L64" s="2000"/>
      <c r="M64" s="2001"/>
      <c r="N64" s="2000"/>
      <c r="O64" s="3151"/>
    </row>
    <row r="65" spans="1:15">
      <c r="A65" s="63">
        <v>1998.08</v>
      </c>
      <c r="B65" s="1996"/>
      <c r="C65" s="3150"/>
      <c r="D65" s="1997"/>
      <c r="E65" s="573">
        <v>612186</v>
      </c>
      <c r="F65" s="1998"/>
      <c r="G65" s="1999"/>
      <c r="H65" s="1998"/>
      <c r="I65" s="1999"/>
      <c r="J65" s="1998"/>
      <c r="K65" s="1999"/>
      <c r="L65" s="2000"/>
      <c r="M65" s="2001"/>
      <c r="N65" s="2000"/>
      <c r="O65" s="3151"/>
    </row>
    <row r="66" spans="1:15">
      <c r="A66" s="63">
        <v>1998.09</v>
      </c>
      <c r="B66" s="1996"/>
      <c r="C66" s="3150"/>
      <c r="D66" s="1997"/>
      <c r="E66" s="573">
        <v>632256</v>
      </c>
      <c r="F66" s="1998"/>
      <c r="G66" s="1999"/>
      <c r="H66" s="1998"/>
      <c r="I66" s="1999"/>
      <c r="J66" s="1998"/>
      <c r="K66" s="1999"/>
      <c r="L66" s="2000"/>
      <c r="M66" s="2001"/>
      <c r="N66" s="2000"/>
      <c r="O66" s="3151"/>
    </row>
    <row r="67" spans="1:15">
      <c r="A67" s="63">
        <v>1998.1</v>
      </c>
      <c r="B67" s="1996"/>
      <c r="C67" s="3150"/>
      <c r="D67" s="1997"/>
      <c r="E67" s="573">
        <v>655554</v>
      </c>
      <c r="F67" s="1998"/>
      <c r="G67" s="1999"/>
      <c r="H67" s="1998"/>
      <c r="I67" s="1999"/>
      <c r="J67" s="1998"/>
      <c r="K67" s="1999"/>
      <c r="L67" s="2000"/>
      <c r="M67" s="2001"/>
      <c r="N67" s="2000"/>
      <c r="O67" s="3151"/>
    </row>
    <row r="68" spans="1:15">
      <c r="A68" s="63">
        <v>1998.11</v>
      </c>
      <c r="B68" s="1996"/>
      <c r="C68" s="3150"/>
      <c r="D68" s="1997"/>
      <c r="E68" s="573">
        <v>628573</v>
      </c>
      <c r="F68" s="1998"/>
      <c r="G68" s="1999"/>
      <c r="H68" s="1998"/>
      <c r="I68" s="1999"/>
      <c r="J68" s="1998"/>
      <c r="K68" s="1999"/>
      <c r="L68" s="2000"/>
      <c r="M68" s="2001"/>
      <c r="N68" s="2000"/>
      <c r="O68" s="3151"/>
    </row>
    <row r="69" spans="1:15">
      <c r="A69" s="63">
        <v>1998.12</v>
      </c>
      <c r="B69" s="1996"/>
      <c r="C69" s="3150"/>
      <c r="D69" s="1997"/>
      <c r="E69" s="573">
        <v>586165</v>
      </c>
      <c r="F69" s="1998"/>
      <c r="G69" s="1999"/>
      <c r="H69" s="1998"/>
      <c r="I69" s="1999"/>
      <c r="J69" s="1998"/>
      <c r="K69" s="1999"/>
      <c r="L69" s="2000"/>
      <c r="M69" s="2001"/>
      <c r="N69" s="2000"/>
      <c r="O69" s="3151"/>
    </row>
    <row r="70" spans="1:15">
      <c r="A70" s="63">
        <v>1999.01</v>
      </c>
      <c r="B70" s="1996"/>
      <c r="C70" s="3150"/>
      <c r="D70" s="1997"/>
      <c r="E70" s="573">
        <v>591021</v>
      </c>
      <c r="F70" s="1998"/>
      <c r="G70" s="1999"/>
      <c r="H70" s="1998"/>
      <c r="I70" s="1999"/>
      <c r="J70" s="1998"/>
      <c r="K70" s="1999"/>
      <c r="L70" s="2000"/>
      <c r="M70" s="2001"/>
      <c r="N70" s="2000"/>
      <c r="O70" s="3151"/>
    </row>
    <row r="71" spans="1:15">
      <c r="A71" s="63">
        <v>1999.02</v>
      </c>
      <c r="B71" s="1996"/>
      <c r="C71" s="3150"/>
      <c r="D71" s="1997"/>
      <c r="E71" s="573">
        <v>580419</v>
      </c>
      <c r="F71" s="1998"/>
      <c r="G71" s="1999"/>
      <c r="H71" s="1998"/>
      <c r="I71" s="1999"/>
      <c r="J71" s="1998"/>
      <c r="K71" s="1999"/>
      <c r="L71" s="2000"/>
      <c r="M71" s="2001"/>
      <c r="N71" s="2000"/>
      <c r="O71" s="3151"/>
    </row>
    <row r="72" spans="1:15">
      <c r="A72" s="63">
        <v>1999.03</v>
      </c>
      <c r="B72" s="1996"/>
      <c r="C72" s="3150"/>
      <c r="D72" s="1997"/>
      <c r="E72" s="573">
        <v>629980</v>
      </c>
      <c r="F72" s="1998"/>
      <c r="G72" s="1999"/>
      <c r="H72" s="1998"/>
      <c r="I72" s="1999"/>
      <c r="J72" s="1998"/>
      <c r="K72" s="1999"/>
      <c r="L72" s="2000"/>
      <c r="M72" s="2001"/>
      <c r="N72" s="2000"/>
      <c r="O72" s="3151"/>
    </row>
    <row r="73" spans="1:15">
      <c r="A73" s="63">
        <v>1999.04</v>
      </c>
      <c r="B73" s="1996"/>
      <c r="C73" s="3150"/>
      <c r="D73" s="1997"/>
      <c r="E73" s="573">
        <v>579303</v>
      </c>
      <c r="F73" s="1998"/>
      <c r="G73" s="1999"/>
      <c r="H73" s="1998"/>
      <c r="I73" s="1999"/>
      <c r="J73" s="1998"/>
      <c r="K73" s="1999"/>
      <c r="L73" s="2000"/>
      <c r="M73" s="2001"/>
      <c r="N73" s="2000"/>
      <c r="O73" s="3151"/>
    </row>
    <row r="74" spans="1:15">
      <c r="A74" s="63">
        <v>1999.05</v>
      </c>
      <c r="B74" s="1996"/>
      <c r="C74" s="3150"/>
      <c r="D74" s="1997"/>
      <c r="E74" s="573">
        <v>588252</v>
      </c>
      <c r="F74" s="1998"/>
      <c r="G74" s="1999"/>
      <c r="H74" s="1998"/>
      <c r="I74" s="1999"/>
      <c r="J74" s="1998"/>
      <c r="K74" s="1999"/>
      <c r="L74" s="2000"/>
      <c r="M74" s="2001"/>
      <c r="N74" s="2000"/>
      <c r="O74" s="3151"/>
    </row>
    <row r="75" spans="1:15">
      <c r="A75" s="63">
        <v>1999.06</v>
      </c>
      <c r="B75" s="1996"/>
      <c r="C75" s="3150"/>
      <c r="D75" s="1997"/>
      <c r="E75" s="573">
        <v>591866</v>
      </c>
      <c r="F75" s="1998"/>
      <c r="G75" s="1999"/>
      <c r="H75" s="1998"/>
      <c r="I75" s="1999"/>
      <c r="J75" s="1998"/>
      <c r="K75" s="1999"/>
      <c r="L75" s="2000"/>
      <c r="M75" s="2001"/>
      <c r="N75" s="2000"/>
      <c r="O75" s="3151"/>
    </row>
    <row r="76" spans="1:15">
      <c r="A76" s="63">
        <v>1999.07</v>
      </c>
      <c r="B76" s="1996"/>
      <c r="C76" s="3150"/>
      <c r="D76" s="1997"/>
      <c r="E76" s="573">
        <v>526490</v>
      </c>
      <c r="F76" s="1998"/>
      <c r="G76" s="1999"/>
      <c r="H76" s="1998"/>
      <c r="I76" s="1999"/>
      <c r="J76" s="1998"/>
      <c r="K76" s="1999"/>
      <c r="L76" s="2000"/>
      <c r="M76" s="2001"/>
      <c r="N76" s="2000"/>
      <c r="O76" s="3151"/>
    </row>
    <row r="77" spans="1:15">
      <c r="A77" s="63">
        <v>1999.08</v>
      </c>
      <c r="B77" s="1996"/>
      <c r="C77" s="3150"/>
      <c r="D77" s="1997"/>
      <c r="E77" s="573">
        <v>592912</v>
      </c>
      <c r="F77" s="1998"/>
      <c r="G77" s="1999"/>
      <c r="H77" s="1998"/>
      <c r="I77" s="1999"/>
      <c r="J77" s="1998"/>
      <c r="K77" s="1999"/>
      <c r="L77" s="2000"/>
      <c r="M77" s="2001"/>
      <c r="N77" s="2000"/>
      <c r="O77" s="3151"/>
    </row>
    <row r="78" spans="1:15">
      <c r="A78" s="63">
        <v>1999.09</v>
      </c>
      <c r="B78" s="1996"/>
      <c r="C78" s="3150"/>
      <c r="D78" s="1997"/>
      <c r="E78" s="573">
        <v>602634</v>
      </c>
      <c r="F78" s="1998"/>
      <c r="G78" s="1999"/>
      <c r="H78" s="1998"/>
      <c r="I78" s="1999"/>
      <c r="J78" s="1998"/>
      <c r="K78" s="1999"/>
      <c r="L78" s="2000"/>
      <c r="M78" s="2001"/>
      <c r="N78" s="2000"/>
      <c r="O78" s="3151"/>
    </row>
    <row r="79" spans="1:15">
      <c r="A79" s="63">
        <v>1999.1</v>
      </c>
      <c r="B79" s="1996"/>
      <c r="C79" s="3150"/>
      <c r="D79" s="1997"/>
      <c r="E79" s="573">
        <v>621070</v>
      </c>
      <c r="F79" s="1998"/>
      <c r="G79" s="1999"/>
      <c r="H79" s="1998"/>
      <c r="I79" s="1999"/>
      <c r="J79" s="1998"/>
      <c r="K79" s="1999"/>
      <c r="L79" s="2000"/>
      <c r="M79" s="2001"/>
      <c r="N79" s="2000"/>
      <c r="O79" s="3151"/>
    </row>
    <row r="80" spans="1:15">
      <c r="A80" s="63">
        <v>1999.11</v>
      </c>
      <c r="B80" s="1996"/>
      <c r="C80" s="3150"/>
      <c r="D80" s="1997"/>
      <c r="E80" s="573">
        <v>632184</v>
      </c>
      <c r="F80" s="1998"/>
      <c r="G80" s="1999"/>
      <c r="H80" s="1998"/>
      <c r="I80" s="1999"/>
      <c r="J80" s="1998"/>
      <c r="K80" s="1999"/>
      <c r="L80" s="2000"/>
      <c r="M80" s="2001"/>
      <c r="N80" s="2000"/>
      <c r="O80" s="3151"/>
    </row>
    <row r="81" spans="1:15">
      <c r="A81" s="63">
        <v>1999.12</v>
      </c>
      <c r="B81" s="1996"/>
      <c r="C81" s="3150"/>
      <c r="D81" s="1997"/>
      <c r="E81" s="573">
        <v>531122</v>
      </c>
      <c r="F81" s="1998"/>
      <c r="G81" s="1999"/>
      <c r="H81" s="1998"/>
      <c r="I81" s="1999"/>
      <c r="J81" s="1998"/>
      <c r="K81" s="1999"/>
      <c r="L81" s="2000"/>
      <c r="M81" s="2001"/>
      <c r="N81" s="2000"/>
      <c r="O81" s="3151"/>
    </row>
    <row r="82" spans="1:15">
      <c r="A82" s="63">
        <v>2000.01</v>
      </c>
      <c r="B82" s="38">
        <v>40585</v>
      </c>
      <c r="C82" s="3152"/>
      <c r="D82" s="139"/>
      <c r="E82" s="573">
        <v>515923</v>
      </c>
      <c r="F82" s="1998"/>
      <c r="G82" s="1999"/>
      <c r="H82" s="1998"/>
      <c r="I82" s="1999"/>
      <c r="J82" s="1998"/>
      <c r="K82" s="1999"/>
      <c r="L82" s="2000"/>
      <c r="M82" s="2001"/>
      <c r="N82" s="2000"/>
      <c r="O82" s="3151"/>
    </row>
    <row r="83" spans="1:15">
      <c r="A83" s="63">
        <v>2000.02</v>
      </c>
      <c r="B83" s="252">
        <v>34964</v>
      </c>
      <c r="C83" s="3153"/>
      <c r="D83" s="2002"/>
      <c r="E83" s="573">
        <v>508851</v>
      </c>
      <c r="F83" s="1998"/>
      <c r="G83" s="1999"/>
      <c r="H83" s="1998"/>
      <c r="I83" s="1999"/>
      <c r="J83" s="1998"/>
      <c r="K83" s="1999"/>
      <c r="L83" s="2000"/>
      <c r="M83" s="2001"/>
      <c r="N83" s="2000"/>
      <c r="O83" s="3151"/>
    </row>
    <row r="84" spans="1:15">
      <c r="A84" s="63">
        <v>2000.03</v>
      </c>
      <c r="B84" s="252">
        <v>43151</v>
      </c>
      <c r="C84" s="3153"/>
      <c r="D84" s="2002"/>
      <c r="E84" s="573">
        <v>542207</v>
      </c>
      <c r="F84" s="1998"/>
      <c r="G84" s="1999"/>
      <c r="H84" s="1998"/>
      <c r="I84" s="1999"/>
      <c r="J84" s="1998"/>
      <c r="K84" s="1999"/>
      <c r="L84" s="2000"/>
      <c r="M84" s="2001"/>
      <c r="N84" s="2000"/>
      <c r="O84" s="3151"/>
    </row>
    <row r="85" spans="1:15">
      <c r="A85" s="63">
        <v>2000.04</v>
      </c>
      <c r="B85" s="252">
        <v>34179</v>
      </c>
      <c r="C85" s="3153"/>
      <c r="D85" s="2002"/>
      <c r="E85" s="573">
        <v>455159</v>
      </c>
      <c r="F85" s="1998"/>
      <c r="G85" s="1999"/>
      <c r="H85" s="1998"/>
      <c r="I85" s="1999"/>
      <c r="J85" s="1998"/>
      <c r="K85" s="1999"/>
      <c r="L85" s="2000"/>
      <c r="M85" s="2001"/>
      <c r="N85" s="2000"/>
      <c r="O85" s="3151"/>
    </row>
    <row r="86" spans="1:15">
      <c r="A86" s="63">
        <v>2000.05</v>
      </c>
      <c r="B86" s="252">
        <v>31178</v>
      </c>
      <c r="C86" s="3153"/>
      <c r="D86" s="2002"/>
      <c r="E86" s="573">
        <v>458899</v>
      </c>
      <c r="F86" s="1998"/>
      <c r="G86" s="1999"/>
      <c r="H86" s="1998"/>
      <c r="I86" s="1999"/>
      <c r="J86" s="1998"/>
      <c r="K86" s="1999"/>
      <c r="L86" s="2000"/>
      <c r="M86" s="2001"/>
      <c r="N86" s="2000"/>
      <c r="O86" s="3151"/>
    </row>
    <row r="87" spans="1:15">
      <c r="A87" s="63">
        <v>2000.06</v>
      </c>
      <c r="B87" s="252">
        <v>32952</v>
      </c>
      <c r="C87" s="3153"/>
      <c r="D87" s="2002"/>
      <c r="E87" s="573">
        <v>441621</v>
      </c>
      <c r="F87" s="1998"/>
      <c r="G87" s="1999"/>
      <c r="H87" s="1998"/>
      <c r="I87" s="1999"/>
      <c r="J87" s="1998"/>
      <c r="K87" s="1999"/>
      <c r="L87" s="2000"/>
      <c r="M87" s="2001"/>
      <c r="N87" s="2000"/>
      <c r="O87" s="3151"/>
    </row>
    <row r="88" spans="1:15">
      <c r="A88" s="63">
        <v>2000.07</v>
      </c>
      <c r="B88" s="252">
        <v>34814</v>
      </c>
      <c r="C88" s="3153"/>
      <c r="D88" s="2002"/>
      <c r="E88" s="573">
        <v>460590</v>
      </c>
      <c r="F88" s="1998"/>
      <c r="G88" s="1999"/>
      <c r="H88" s="1998"/>
      <c r="I88" s="1999"/>
      <c r="J88" s="1998"/>
      <c r="K88" s="1999"/>
      <c r="L88" s="2000"/>
      <c r="M88" s="2001"/>
      <c r="N88" s="2000"/>
      <c r="O88" s="3151"/>
    </row>
    <row r="89" spans="1:15">
      <c r="A89" s="63">
        <v>2000.08</v>
      </c>
      <c r="B89" s="252">
        <v>41098</v>
      </c>
      <c r="C89" s="3153"/>
      <c r="D89" s="2002"/>
      <c r="E89" s="573">
        <v>538570</v>
      </c>
      <c r="F89" s="1998"/>
      <c r="G89" s="1999"/>
      <c r="H89" s="1998"/>
      <c r="I89" s="1999"/>
      <c r="J89" s="1998"/>
      <c r="K89" s="1999"/>
      <c r="L89" s="2000"/>
      <c r="M89" s="2001"/>
      <c r="N89" s="2000"/>
      <c r="O89" s="3151"/>
    </row>
    <row r="90" spans="1:15">
      <c r="A90" s="63">
        <v>2000.09</v>
      </c>
      <c r="B90" s="252">
        <v>44592</v>
      </c>
      <c r="C90" s="3153"/>
      <c r="D90" s="2002"/>
      <c r="E90" s="573">
        <v>552670</v>
      </c>
      <c r="F90" s="1998"/>
      <c r="G90" s="1999"/>
      <c r="H90" s="1998"/>
      <c r="I90" s="1999"/>
      <c r="J90" s="1998"/>
      <c r="K90" s="1999"/>
      <c r="L90" s="2000"/>
      <c r="M90" s="2001"/>
      <c r="N90" s="2000"/>
      <c r="O90" s="3151"/>
    </row>
    <row r="91" spans="1:15">
      <c r="A91" s="63">
        <v>2000.1</v>
      </c>
      <c r="B91" s="252">
        <v>32797</v>
      </c>
      <c r="C91" s="3153"/>
      <c r="D91" s="2002"/>
      <c r="E91" s="573">
        <v>507250</v>
      </c>
      <c r="F91" s="1998"/>
      <c r="G91" s="1999"/>
      <c r="H91" s="1998"/>
      <c r="I91" s="1999"/>
      <c r="J91" s="1998"/>
      <c r="K91" s="1999"/>
      <c r="L91" s="2000"/>
      <c r="M91" s="2001"/>
      <c r="N91" s="2000"/>
      <c r="O91" s="3151"/>
    </row>
    <row r="92" spans="1:15">
      <c r="A92" s="63">
        <v>2000.11</v>
      </c>
      <c r="B92" s="252">
        <v>35820</v>
      </c>
      <c r="C92" s="3153"/>
      <c r="D92" s="2002"/>
      <c r="E92" s="573">
        <v>532593</v>
      </c>
      <c r="F92" s="1998"/>
      <c r="G92" s="1999"/>
      <c r="H92" s="1998"/>
      <c r="I92" s="1999"/>
      <c r="J92" s="1998"/>
      <c r="K92" s="1999"/>
      <c r="L92" s="2000"/>
      <c r="M92" s="2001"/>
      <c r="N92" s="2000"/>
      <c r="O92" s="3151"/>
    </row>
    <row r="93" spans="1:15">
      <c r="A93" s="63">
        <v>2000.12</v>
      </c>
      <c r="B93" s="252">
        <v>33641</v>
      </c>
      <c r="C93" s="3153"/>
      <c r="D93" s="2002"/>
      <c r="E93" s="573">
        <v>491025</v>
      </c>
      <c r="F93" s="1998"/>
      <c r="G93" s="1999"/>
      <c r="H93" s="1998"/>
      <c r="I93" s="1999"/>
      <c r="J93" s="1998"/>
      <c r="K93" s="1999"/>
      <c r="L93" s="2000"/>
      <c r="M93" s="2001"/>
      <c r="N93" s="2000"/>
      <c r="O93" s="3151"/>
    </row>
    <row r="94" spans="1:15">
      <c r="A94" s="63">
        <v>2001.01</v>
      </c>
      <c r="B94" s="252">
        <v>40056</v>
      </c>
      <c r="C94" s="3153"/>
      <c r="D94" s="2002"/>
      <c r="E94" s="573">
        <v>499804</v>
      </c>
      <c r="F94" s="1998"/>
      <c r="G94" s="1999"/>
      <c r="H94" s="1998"/>
      <c r="I94" s="1999"/>
      <c r="J94" s="1998"/>
      <c r="K94" s="1999"/>
      <c r="L94" s="2000"/>
      <c r="M94" s="2001"/>
      <c r="N94" s="2000"/>
      <c r="O94" s="3151"/>
    </row>
    <row r="95" spans="1:15">
      <c r="A95" s="63">
        <v>2001.02</v>
      </c>
      <c r="B95" s="252">
        <v>39308</v>
      </c>
      <c r="C95" s="3153"/>
      <c r="D95" s="2002"/>
      <c r="E95" s="573">
        <v>478457</v>
      </c>
      <c r="F95" s="1998"/>
      <c r="G95" s="1999"/>
      <c r="H95" s="1998"/>
      <c r="I95" s="1999"/>
      <c r="J95" s="1998"/>
      <c r="K95" s="1999"/>
      <c r="L95" s="2000"/>
      <c r="M95" s="2001"/>
      <c r="N95" s="2000"/>
      <c r="O95" s="3151"/>
    </row>
    <row r="96" spans="1:15">
      <c r="A96" s="63">
        <v>2001.03</v>
      </c>
      <c r="B96" s="252">
        <v>35442</v>
      </c>
      <c r="C96" s="3153"/>
      <c r="D96" s="2002"/>
      <c r="E96" s="573">
        <v>470047</v>
      </c>
      <c r="F96" s="1998"/>
      <c r="G96" s="1999"/>
      <c r="H96" s="1998"/>
      <c r="I96" s="1999"/>
      <c r="J96" s="1998"/>
      <c r="K96" s="1999"/>
      <c r="L96" s="2000"/>
      <c r="M96" s="2001"/>
      <c r="N96" s="2000"/>
      <c r="O96" s="3151"/>
    </row>
    <row r="97" spans="1:20">
      <c r="A97" s="63">
        <v>2001.04</v>
      </c>
      <c r="B97" s="252">
        <v>32879</v>
      </c>
      <c r="C97" s="3153"/>
      <c r="D97" s="2002"/>
      <c r="E97" s="573">
        <v>461199</v>
      </c>
      <c r="F97" s="1998"/>
      <c r="G97" s="1999"/>
      <c r="H97" s="1998"/>
      <c r="I97" s="1999"/>
      <c r="J97" s="1998"/>
      <c r="K97" s="1999"/>
      <c r="L97" s="2000"/>
      <c r="M97" s="2001"/>
      <c r="N97" s="2000"/>
      <c r="O97" s="3151"/>
      <c r="P97" s="201"/>
      <c r="Q97" s="201"/>
      <c r="R97" s="201"/>
      <c r="S97" s="201"/>
      <c r="T97" s="201"/>
    </row>
    <row r="98" spans="1:20">
      <c r="A98" s="63">
        <v>2001.05</v>
      </c>
      <c r="B98" s="252">
        <v>36328</v>
      </c>
      <c r="C98" s="3153"/>
      <c r="D98" s="2002"/>
      <c r="E98" s="573">
        <v>445259</v>
      </c>
      <c r="F98" s="1998"/>
      <c r="G98" s="1999"/>
      <c r="H98" s="1998"/>
      <c r="I98" s="1999"/>
      <c r="J98" s="1998"/>
      <c r="K98" s="1999"/>
      <c r="L98" s="2000"/>
      <c r="M98" s="2001"/>
      <c r="N98" s="2000"/>
      <c r="O98" s="3151"/>
      <c r="P98" s="201"/>
      <c r="Q98" s="201"/>
      <c r="R98" s="201"/>
      <c r="S98" s="201"/>
      <c r="T98" s="201"/>
    </row>
    <row r="99" spans="1:20">
      <c r="A99" s="63">
        <v>2001.06</v>
      </c>
      <c r="B99" s="252">
        <v>34214</v>
      </c>
      <c r="C99" s="3153"/>
      <c r="D99" s="2002"/>
      <c r="E99" s="573">
        <v>436564</v>
      </c>
      <c r="F99" s="1998"/>
      <c r="G99" s="1999"/>
      <c r="H99" s="1998"/>
      <c r="I99" s="1999"/>
      <c r="J99" s="1998"/>
      <c r="K99" s="1999"/>
      <c r="L99" s="2000"/>
      <c r="M99" s="2001"/>
      <c r="N99" s="2000"/>
      <c r="O99" s="3151"/>
      <c r="P99" s="201"/>
      <c r="Q99" s="201"/>
      <c r="R99" s="201"/>
      <c r="S99" s="201"/>
      <c r="T99" s="201"/>
    </row>
    <row r="100" spans="1:20">
      <c r="A100" s="63">
        <v>2001.07</v>
      </c>
      <c r="B100" s="252">
        <v>40425</v>
      </c>
      <c r="C100" s="3153"/>
      <c r="D100" s="2002"/>
      <c r="E100" s="573">
        <v>450975</v>
      </c>
      <c r="F100" s="1998"/>
      <c r="G100" s="1999"/>
      <c r="H100" s="1998"/>
      <c r="I100" s="1999"/>
      <c r="J100" s="1998"/>
      <c r="K100" s="1999"/>
      <c r="L100" s="2000"/>
      <c r="M100" s="2001"/>
      <c r="N100" s="2000"/>
      <c r="O100" s="3151"/>
      <c r="P100" s="201"/>
      <c r="Q100" s="201"/>
      <c r="R100" s="201"/>
      <c r="S100" s="201"/>
      <c r="T100" s="201"/>
    </row>
    <row r="101" spans="1:20">
      <c r="A101" s="63">
        <v>2001.08</v>
      </c>
      <c r="B101" s="252">
        <v>35892</v>
      </c>
      <c r="C101" s="3153"/>
      <c r="D101" s="2002"/>
      <c r="E101" s="573">
        <v>451521</v>
      </c>
      <c r="F101" s="1998"/>
      <c r="G101" s="1999"/>
      <c r="H101" s="1998"/>
      <c r="I101" s="1999"/>
      <c r="J101" s="1998"/>
      <c r="K101" s="1999"/>
      <c r="L101" s="2000"/>
      <c r="M101" s="2001"/>
      <c r="N101" s="2000"/>
      <c r="O101" s="3151"/>
      <c r="P101" s="201"/>
      <c r="Q101" s="201"/>
      <c r="R101" s="201"/>
      <c r="S101" s="201"/>
      <c r="T101" s="201"/>
    </row>
    <row r="102" spans="1:20">
      <c r="A102" s="63">
        <v>2001.09</v>
      </c>
      <c r="B102" s="252">
        <v>35470</v>
      </c>
      <c r="C102" s="3153"/>
      <c r="D102" s="2002"/>
      <c r="E102" s="573">
        <v>425771</v>
      </c>
      <c r="F102" s="1998"/>
      <c r="G102" s="1999"/>
      <c r="H102" s="1998"/>
      <c r="I102" s="1999"/>
      <c r="J102" s="1998"/>
      <c r="K102" s="1999"/>
      <c r="L102" s="2000"/>
      <c r="M102" s="2001"/>
      <c r="N102" s="2000"/>
      <c r="O102" s="3151"/>
      <c r="P102" s="201"/>
      <c r="Q102" s="201"/>
      <c r="R102" s="201"/>
      <c r="S102" s="201"/>
      <c r="T102" s="201"/>
    </row>
    <row r="103" spans="1:20">
      <c r="A103" s="63">
        <v>2001.1</v>
      </c>
      <c r="B103" s="252">
        <v>31462</v>
      </c>
      <c r="C103" s="3153"/>
      <c r="D103" s="2002"/>
      <c r="E103" s="573">
        <v>404195</v>
      </c>
      <c r="F103" s="1998"/>
      <c r="G103" s="1999"/>
      <c r="H103" s="1998"/>
      <c r="I103" s="1999"/>
      <c r="J103" s="1998"/>
      <c r="K103" s="1999"/>
      <c r="L103" s="2000"/>
      <c r="M103" s="2001"/>
      <c r="N103" s="2000"/>
      <c r="O103" s="3151"/>
      <c r="P103" s="201"/>
      <c r="Q103" s="201"/>
      <c r="R103" s="201"/>
      <c r="S103" s="201"/>
      <c r="T103" s="201"/>
    </row>
    <row r="104" spans="1:20">
      <c r="A104" s="63">
        <v>2001.11</v>
      </c>
      <c r="B104" s="252">
        <v>35718</v>
      </c>
      <c r="C104" s="3153"/>
      <c r="D104" s="2002"/>
      <c r="E104" s="573">
        <v>441476</v>
      </c>
      <c r="F104" s="1998"/>
      <c r="G104" s="1999"/>
      <c r="H104" s="1998"/>
      <c r="I104" s="1999"/>
      <c r="J104" s="1998"/>
      <c r="K104" s="1999"/>
      <c r="L104" s="2000"/>
      <c r="M104" s="2001"/>
      <c r="N104" s="2000"/>
      <c r="O104" s="3151"/>
      <c r="P104" s="201"/>
      <c r="Q104" s="201"/>
      <c r="R104" s="201"/>
      <c r="S104" s="201"/>
      <c r="T104" s="201"/>
    </row>
    <row r="105" spans="1:20">
      <c r="A105" s="63">
        <v>2001.12</v>
      </c>
      <c r="B105" s="252">
        <v>23364</v>
      </c>
      <c r="C105" s="3153"/>
      <c r="D105" s="2002"/>
      <c r="E105" s="573">
        <v>321034</v>
      </c>
      <c r="F105" s="1998"/>
      <c r="G105" s="1999"/>
      <c r="H105" s="1998"/>
      <c r="I105" s="1999"/>
      <c r="J105" s="1998"/>
      <c r="K105" s="1999"/>
      <c r="L105" s="2000"/>
      <c r="M105" s="2001"/>
      <c r="N105" s="2000"/>
      <c r="O105" s="3151"/>
      <c r="P105" s="201"/>
      <c r="Q105" s="201"/>
      <c r="R105" s="201"/>
      <c r="S105" s="201"/>
      <c r="T105" s="201"/>
    </row>
    <row r="106" spans="1:20">
      <c r="A106" s="202">
        <v>2002.01</v>
      </c>
      <c r="B106" s="252">
        <v>21364</v>
      </c>
      <c r="C106" s="3153"/>
      <c r="D106" s="2002"/>
      <c r="E106" s="573">
        <v>305007</v>
      </c>
      <c r="F106" s="1998"/>
      <c r="G106" s="1999"/>
      <c r="H106" s="1998"/>
      <c r="I106" s="1999"/>
      <c r="J106" s="1998"/>
      <c r="K106" s="1999"/>
      <c r="L106" s="2000"/>
      <c r="M106" s="2001"/>
      <c r="N106" s="2000"/>
      <c r="O106" s="3151"/>
      <c r="P106" s="32"/>
      <c r="Q106" s="32"/>
      <c r="R106" s="32"/>
      <c r="S106" s="32"/>
      <c r="T106" s="10"/>
    </row>
    <row r="107" spans="1:20">
      <c r="A107" s="202">
        <v>2002.02</v>
      </c>
      <c r="B107" s="252">
        <v>20009</v>
      </c>
      <c r="C107" s="3153"/>
      <c r="D107" s="2002"/>
      <c r="E107" s="573">
        <v>278133</v>
      </c>
      <c r="F107" s="1998"/>
      <c r="G107" s="1999"/>
      <c r="H107" s="1998"/>
      <c r="I107" s="1999"/>
      <c r="J107" s="1998"/>
      <c r="K107" s="1999"/>
      <c r="L107" s="2000"/>
      <c r="M107" s="2001"/>
      <c r="N107" s="2000"/>
      <c r="O107" s="3151"/>
      <c r="P107" s="32"/>
      <c r="Q107" s="32"/>
      <c r="R107" s="32"/>
      <c r="S107" s="32"/>
      <c r="T107" s="32"/>
    </row>
    <row r="108" spans="1:20">
      <c r="A108" s="202">
        <v>2002.03</v>
      </c>
      <c r="B108" s="252">
        <v>19719</v>
      </c>
      <c r="C108" s="3153"/>
      <c r="D108" s="2002"/>
      <c r="E108" s="573">
        <v>317899</v>
      </c>
      <c r="F108" s="1998"/>
      <c r="G108" s="1999"/>
      <c r="H108" s="1998"/>
      <c r="I108" s="1999"/>
      <c r="J108" s="1998"/>
      <c r="K108" s="1999"/>
      <c r="L108" s="2000"/>
      <c r="M108" s="2001"/>
      <c r="N108" s="2000"/>
      <c r="O108" s="3151"/>
      <c r="P108" s="32"/>
      <c r="Q108" s="32"/>
      <c r="R108" s="32"/>
      <c r="S108" s="32"/>
      <c r="T108" s="32"/>
    </row>
    <row r="109" spans="1:20">
      <c r="A109" s="202">
        <v>2002.04</v>
      </c>
      <c r="B109" s="252">
        <v>18276</v>
      </c>
      <c r="C109" s="3153"/>
      <c r="D109" s="2002"/>
      <c r="E109" s="573">
        <v>283413</v>
      </c>
      <c r="F109" s="1998"/>
      <c r="G109" s="1999"/>
      <c r="H109" s="1998"/>
      <c r="I109" s="1999"/>
      <c r="J109" s="1998"/>
      <c r="K109" s="1999"/>
      <c r="L109" s="2000"/>
      <c r="M109" s="2001"/>
      <c r="N109" s="2000"/>
      <c r="O109" s="3151"/>
      <c r="P109" s="32"/>
      <c r="Q109" s="32"/>
      <c r="R109" s="32"/>
      <c r="S109" s="32"/>
      <c r="T109" s="32"/>
    </row>
    <row r="110" spans="1:20">
      <c r="A110" s="202">
        <v>2002.05</v>
      </c>
      <c r="B110" s="252">
        <v>23642</v>
      </c>
      <c r="C110" s="3153"/>
      <c r="D110" s="2002"/>
      <c r="E110" s="573">
        <v>303346</v>
      </c>
      <c r="F110" s="1998"/>
      <c r="G110" s="1999"/>
      <c r="H110" s="1998"/>
      <c r="I110" s="1999"/>
      <c r="J110" s="1998"/>
      <c r="K110" s="1999"/>
      <c r="L110" s="2000"/>
      <c r="M110" s="2001"/>
      <c r="N110" s="2000"/>
      <c r="O110" s="3151"/>
      <c r="P110" s="32"/>
      <c r="Q110" s="32"/>
      <c r="R110" s="32"/>
      <c r="S110" s="32"/>
      <c r="T110" s="32"/>
    </row>
    <row r="111" spans="1:20">
      <c r="A111" s="202">
        <v>2002.06</v>
      </c>
      <c r="B111" s="252">
        <v>24403</v>
      </c>
      <c r="C111" s="3153"/>
      <c r="D111" s="2002"/>
      <c r="E111" s="573">
        <v>299946</v>
      </c>
      <c r="F111" s="1998"/>
      <c r="G111" s="1999"/>
      <c r="H111" s="1998"/>
      <c r="I111" s="1999"/>
      <c r="J111" s="1998"/>
      <c r="K111" s="1999"/>
      <c r="L111" s="2000"/>
      <c r="M111" s="2001"/>
      <c r="N111" s="2000"/>
      <c r="O111" s="3151"/>
      <c r="P111" s="32"/>
      <c r="Q111" s="32"/>
      <c r="R111" s="32"/>
      <c r="S111" s="32"/>
      <c r="T111" s="32"/>
    </row>
    <row r="112" spans="1:20">
      <c r="A112" s="202">
        <v>2002.07</v>
      </c>
      <c r="B112" s="252">
        <v>26058</v>
      </c>
      <c r="C112" s="3153"/>
      <c r="D112" s="2002"/>
      <c r="E112" s="573">
        <v>314196</v>
      </c>
      <c r="F112" s="1998"/>
      <c r="G112" s="1999"/>
      <c r="H112" s="1998"/>
      <c r="I112" s="1999"/>
      <c r="J112" s="1998"/>
      <c r="K112" s="1999"/>
      <c r="L112" s="2000"/>
      <c r="M112" s="2001"/>
      <c r="N112" s="2000"/>
      <c r="O112" s="3151"/>
      <c r="P112" s="32"/>
      <c r="Q112" s="32"/>
      <c r="R112" s="32"/>
      <c r="S112" s="32"/>
      <c r="T112" s="32"/>
    </row>
    <row r="113" spans="1:20">
      <c r="A113" s="202">
        <v>2002.08</v>
      </c>
      <c r="B113" s="252">
        <v>30805</v>
      </c>
      <c r="C113" s="3153"/>
      <c r="D113" s="2002"/>
      <c r="E113" s="573">
        <v>352198</v>
      </c>
      <c r="F113" s="1998"/>
      <c r="G113" s="1999"/>
      <c r="H113" s="1998"/>
      <c r="I113" s="1999"/>
      <c r="J113" s="1998"/>
      <c r="K113" s="1999"/>
      <c r="L113" s="2000"/>
      <c r="M113" s="2001"/>
      <c r="N113" s="2000"/>
      <c r="O113" s="3151"/>
      <c r="P113" s="32"/>
      <c r="Q113" s="32"/>
      <c r="R113" s="32"/>
      <c r="S113" s="32"/>
      <c r="T113" s="32"/>
    </row>
    <row r="114" spans="1:20">
      <c r="A114" s="202">
        <v>2002.09</v>
      </c>
      <c r="B114" s="252">
        <v>31593</v>
      </c>
      <c r="C114" s="3153"/>
      <c r="D114" s="2002"/>
      <c r="E114" s="573">
        <v>348784</v>
      </c>
      <c r="F114" s="1998"/>
      <c r="G114" s="1999"/>
      <c r="H114" s="1998"/>
      <c r="I114" s="1999"/>
      <c r="J114" s="1998"/>
      <c r="K114" s="1999"/>
      <c r="L114" s="2000"/>
      <c r="M114" s="2001"/>
      <c r="N114" s="2000"/>
      <c r="O114" s="3151"/>
      <c r="P114" s="32"/>
      <c r="Q114" s="32"/>
      <c r="R114" s="32"/>
      <c r="S114" s="32"/>
      <c r="T114" s="32"/>
    </row>
    <row r="115" spans="1:20">
      <c r="A115" s="202">
        <v>2002.1</v>
      </c>
      <c r="B115" s="252">
        <v>30653</v>
      </c>
      <c r="C115" s="3153"/>
      <c r="D115" s="2002"/>
      <c r="E115" s="573">
        <v>356989</v>
      </c>
      <c r="F115" s="1998"/>
      <c r="G115" s="1999"/>
      <c r="H115" s="1998"/>
      <c r="I115" s="1999"/>
      <c r="J115" s="1998"/>
      <c r="K115" s="1999"/>
      <c r="L115" s="2000"/>
      <c r="M115" s="2001"/>
      <c r="N115" s="2000"/>
      <c r="O115" s="3151"/>
      <c r="P115" s="32"/>
      <c r="Q115" s="32"/>
      <c r="R115" s="32"/>
      <c r="S115" s="32"/>
      <c r="T115" s="32"/>
    </row>
    <row r="116" spans="1:20">
      <c r="A116" s="202">
        <v>2002.11</v>
      </c>
      <c r="B116" s="252">
        <v>30366</v>
      </c>
      <c r="C116" s="3153"/>
      <c r="D116" s="2002"/>
      <c r="E116" s="573">
        <v>343331</v>
      </c>
      <c r="F116" s="1998"/>
      <c r="G116" s="1999"/>
      <c r="H116" s="1998"/>
      <c r="I116" s="1999"/>
      <c r="J116" s="1998"/>
      <c r="K116" s="1999"/>
      <c r="L116" s="2000"/>
      <c r="M116" s="2001"/>
      <c r="N116" s="2000"/>
      <c r="O116" s="3151"/>
      <c r="P116" s="32"/>
      <c r="Q116" s="32"/>
      <c r="R116" s="32"/>
      <c r="S116" s="32"/>
      <c r="T116" s="32"/>
    </row>
    <row r="117" spans="1:20">
      <c r="A117" s="202">
        <v>2002.12</v>
      </c>
      <c r="B117" s="252">
        <v>27794</v>
      </c>
      <c r="C117" s="3153"/>
      <c r="D117" s="2002"/>
      <c r="E117" s="573">
        <v>333979</v>
      </c>
      <c r="F117" s="1998"/>
      <c r="G117" s="1999"/>
      <c r="H117" s="1998"/>
      <c r="I117" s="1999"/>
      <c r="J117" s="1998"/>
      <c r="K117" s="1999"/>
      <c r="L117" s="2000"/>
      <c r="M117" s="2001"/>
      <c r="N117" s="2000"/>
      <c r="O117" s="3151"/>
      <c r="P117" s="32"/>
      <c r="Q117" s="32"/>
      <c r="R117" s="32"/>
      <c r="S117" s="32"/>
      <c r="T117" s="10"/>
    </row>
    <row r="118" spans="1:20">
      <c r="A118" s="202">
        <v>2003.01</v>
      </c>
      <c r="B118" s="252">
        <v>34028</v>
      </c>
      <c r="C118" s="3153"/>
      <c r="D118" s="2002"/>
      <c r="E118" s="573">
        <v>381492</v>
      </c>
      <c r="F118" s="1998"/>
      <c r="G118" s="1999"/>
      <c r="H118" s="1998"/>
      <c r="I118" s="1999"/>
      <c r="J118" s="1998"/>
      <c r="K118" s="1999"/>
      <c r="L118" s="2000"/>
      <c r="M118" s="2001"/>
      <c r="N118" s="2000"/>
      <c r="O118" s="3151"/>
      <c r="P118" s="201"/>
      <c r="Q118" s="201"/>
      <c r="R118" s="201"/>
      <c r="S118" s="201"/>
      <c r="T118" s="201"/>
    </row>
    <row r="119" spans="1:20">
      <c r="A119" s="202">
        <v>2003.02</v>
      </c>
      <c r="B119" s="252">
        <v>28570</v>
      </c>
      <c r="C119" s="3153"/>
      <c r="D119" s="2002"/>
      <c r="E119" s="573">
        <v>342765</v>
      </c>
      <c r="F119" s="1998"/>
      <c r="G119" s="1999"/>
      <c r="H119" s="1998"/>
      <c r="I119" s="1999"/>
      <c r="J119" s="1998"/>
      <c r="K119" s="1999"/>
      <c r="L119" s="2000"/>
      <c r="M119" s="2001"/>
      <c r="N119" s="2000"/>
      <c r="O119" s="3151"/>
      <c r="P119" s="201"/>
      <c r="Q119" s="201"/>
      <c r="R119" s="201"/>
      <c r="S119" s="201"/>
      <c r="T119" s="201"/>
    </row>
    <row r="120" spans="1:20">
      <c r="A120" s="202">
        <v>2003.03</v>
      </c>
      <c r="B120" s="252">
        <v>29928</v>
      </c>
      <c r="C120" s="3153"/>
      <c r="D120" s="2002"/>
      <c r="E120" s="573">
        <v>375533</v>
      </c>
      <c r="F120" s="1998"/>
      <c r="G120" s="1999"/>
      <c r="H120" s="1998"/>
      <c r="I120" s="1999"/>
      <c r="J120" s="1998"/>
      <c r="K120" s="1999"/>
      <c r="L120" s="2000"/>
      <c r="M120" s="2001"/>
      <c r="N120" s="2000"/>
      <c r="O120" s="3151"/>
      <c r="P120" s="201"/>
      <c r="Q120" s="201"/>
      <c r="R120" s="201"/>
      <c r="S120" s="201"/>
      <c r="T120" s="201"/>
    </row>
    <row r="121" spans="1:20">
      <c r="A121" s="202">
        <v>2003.04</v>
      </c>
      <c r="B121" s="252">
        <v>26681</v>
      </c>
      <c r="C121" s="3153"/>
      <c r="D121" s="2002"/>
      <c r="E121" s="573">
        <v>363489</v>
      </c>
      <c r="F121" s="1998"/>
      <c r="G121" s="1999"/>
      <c r="H121" s="1998"/>
      <c r="I121" s="1999"/>
      <c r="J121" s="1998"/>
      <c r="K121" s="1999"/>
      <c r="L121" s="2000"/>
      <c r="M121" s="2001"/>
      <c r="N121" s="2000"/>
      <c r="O121" s="3151"/>
      <c r="P121" s="201"/>
      <c r="Q121" s="201"/>
      <c r="R121" s="201"/>
      <c r="S121" s="201"/>
      <c r="T121" s="201"/>
    </row>
    <row r="122" spans="1:20">
      <c r="A122" s="202">
        <v>2003.05</v>
      </c>
      <c r="B122" s="252">
        <v>29066</v>
      </c>
      <c r="C122" s="3153"/>
      <c r="D122" s="2002"/>
      <c r="E122" s="573">
        <v>361980</v>
      </c>
      <c r="F122" s="1998"/>
      <c r="G122" s="1999"/>
      <c r="H122" s="1998"/>
      <c r="I122" s="1999"/>
      <c r="J122" s="1998"/>
      <c r="K122" s="1999"/>
      <c r="L122" s="2000"/>
      <c r="M122" s="2001"/>
      <c r="N122" s="2000"/>
      <c r="O122" s="3151"/>
      <c r="P122" s="201"/>
      <c r="Q122" s="201"/>
      <c r="R122" s="201"/>
      <c r="S122" s="201"/>
      <c r="T122" s="201"/>
    </row>
    <row r="123" spans="1:20">
      <c r="A123" s="202">
        <v>2003.06</v>
      </c>
      <c r="B123" s="252">
        <v>35125</v>
      </c>
      <c r="C123" s="3153"/>
      <c r="D123" s="2002"/>
      <c r="E123" s="573">
        <v>369389</v>
      </c>
      <c r="F123" s="1998"/>
      <c r="G123" s="1999"/>
      <c r="H123" s="1998"/>
      <c r="I123" s="1999"/>
      <c r="J123" s="1998"/>
      <c r="K123" s="1999"/>
      <c r="L123" s="2000"/>
      <c r="M123" s="2001"/>
      <c r="N123" s="2000"/>
      <c r="O123" s="3151"/>
      <c r="P123" s="201"/>
      <c r="Q123" s="201"/>
      <c r="R123" s="201"/>
      <c r="S123" s="201"/>
      <c r="T123" s="201"/>
    </row>
    <row r="124" spans="1:20">
      <c r="A124" s="202">
        <v>2003.07</v>
      </c>
      <c r="B124" s="252">
        <v>37512</v>
      </c>
      <c r="C124" s="3153"/>
      <c r="D124" s="2002"/>
      <c r="E124" s="573">
        <v>418505</v>
      </c>
      <c r="F124" s="1998"/>
      <c r="G124" s="1999"/>
      <c r="H124" s="1998"/>
      <c r="I124" s="1999"/>
      <c r="J124" s="1998"/>
      <c r="K124" s="1999"/>
      <c r="L124" s="2000"/>
      <c r="M124" s="2001"/>
      <c r="N124" s="2000"/>
      <c r="O124" s="3151"/>
      <c r="P124" s="201"/>
      <c r="Q124" s="201"/>
      <c r="R124" s="201"/>
      <c r="S124" s="201"/>
      <c r="T124" s="201"/>
    </row>
    <row r="125" spans="1:20">
      <c r="A125" s="202">
        <v>2003.08</v>
      </c>
      <c r="B125" s="252">
        <v>37938</v>
      </c>
      <c r="C125" s="3153"/>
      <c r="D125" s="2002"/>
      <c r="E125" s="573">
        <v>425718</v>
      </c>
      <c r="F125" s="1998"/>
      <c r="G125" s="1999"/>
      <c r="H125" s="1998"/>
      <c r="I125" s="1999"/>
      <c r="J125" s="1998"/>
      <c r="K125" s="1999"/>
      <c r="L125" s="2000"/>
      <c r="M125" s="2001"/>
      <c r="N125" s="2000"/>
      <c r="O125" s="3151"/>
      <c r="P125" s="201"/>
      <c r="Q125" s="201"/>
      <c r="R125" s="201"/>
      <c r="S125" s="201"/>
      <c r="T125" s="201"/>
    </row>
    <row r="126" spans="1:20">
      <c r="A126" s="202">
        <v>2003.09</v>
      </c>
      <c r="B126" s="252">
        <v>46284</v>
      </c>
      <c r="C126" s="3153"/>
      <c r="D126" s="2002"/>
      <c r="E126" s="573">
        <v>485123</v>
      </c>
      <c r="F126" s="1998"/>
      <c r="G126" s="1999"/>
      <c r="H126" s="1998"/>
      <c r="I126" s="1999"/>
      <c r="J126" s="1998"/>
      <c r="K126" s="1999"/>
      <c r="L126" s="2000"/>
      <c r="M126" s="2001"/>
      <c r="N126" s="2000"/>
      <c r="O126" s="3151"/>
      <c r="P126" s="201"/>
      <c r="Q126" s="201"/>
      <c r="R126" s="201"/>
      <c r="S126" s="201"/>
      <c r="T126" s="201"/>
    </row>
    <row r="127" spans="1:20">
      <c r="A127" s="202">
        <v>2003.1</v>
      </c>
      <c r="B127" s="252">
        <v>48273</v>
      </c>
      <c r="C127" s="3153"/>
      <c r="D127" s="2002"/>
      <c r="E127" s="573">
        <v>509630</v>
      </c>
      <c r="F127" s="1998"/>
      <c r="G127" s="1999"/>
      <c r="H127" s="1998"/>
      <c r="I127" s="1999"/>
      <c r="J127" s="1998"/>
      <c r="K127" s="1999"/>
      <c r="L127" s="2000"/>
      <c r="M127" s="2001"/>
      <c r="N127" s="2000"/>
      <c r="O127" s="3151"/>
      <c r="P127" s="201"/>
      <c r="Q127" s="201"/>
      <c r="R127" s="201"/>
      <c r="S127" s="201"/>
      <c r="T127" s="201"/>
    </row>
    <row r="128" spans="1:20">
      <c r="A128" s="202">
        <v>2003.11</v>
      </c>
      <c r="B128" s="252">
        <v>44555</v>
      </c>
      <c r="C128" s="3153"/>
      <c r="D128" s="2002"/>
      <c r="E128" s="573">
        <v>464318</v>
      </c>
      <c r="F128" s="1998"/>
      <c r="G128" s="1999"/>
      <c r="H128" s="1998"/>
      <c r="I128" s="1999"/>
      <c r="J128" s="1998"/>
      <c r="K128" s="1999"/>
      <c r="L128" s="2000"/>
      <c r="M128" s="2001"/>
      <c r="N128" s="2000"/>
      <c r="O128" s="3151"/>
      <c r="P128" s="201"/>
      <c r="Q128" s="201"/>
      <c r="R128" s="201"/>
      <c r="S128" s="201"/>
      <c r="T128" s="201"/>
    </row>
    <row r="129" spans="1:15">
      <c r="A129" s="202">
        <v>2003.12</v>
      </c>
      <c r="B129" s="252">
        <v>44467</v>
      </c>
      <c r="C129" s="3153"/>
      <c r="D129" s="2002"/>
      <c r="E129" s="573">
        <v>442870</v>
      </c>
      <c r="F129" s="1998"/>
      <c r="G129" s="1999"/>
      <c r="H129" s="1998"/>
      <c r="I129" s="1999"/>
      <c r="J129" s="1998"/>
      <c r="K129" s="1999"/>
      <c r="L129" s="2000"/>
      <c r="M129" s="2001"/>
      <c r="N129" s="2000"/>
      <c r="O129" s="3151"/>
    </row>
    <row r="130" spans="1:15">
      <c r="A130" s="202">
        <v>2004.01</v>
      </c>
      <c r="B130" s="252">
        <v>47222.25</v>
      </c>
      <c r="C130" s="3153"/>
      <c r="D130" s="2002"/>
      <c r="E130" s="573">
        <v>466421</v>
      </c>
      <c r="F130" s="1998"/>
      <c r="G130" s="1999"/>
      <c r="H130" s="1998"/>
      <c r="I130" s="1999"/>
      <c r="J130" s="1998"/>
      <c r="K130" s="1999"/>
      <c r="L130" s="2000"/>
      <c r="M130" s="2001"/>
      <c r="N130" s="2000"/>
      <c r="O130" s="3151"/>
    </row>
    <row r="131" spans="1:15">
      <c r="A131" s="202">
        <v>2004.02</v>
      </c>
      <c r="B131" s="252">
        <v>44373.16</v>
      </c>
      <c r="C131" s="3153"/>
      <c r="D131" s="2002"/>
      <c r="E131" s="573">
        <v>446498</v>
      </c>
      <c r="F131" s="1998"/>
      <c r="G131" s="1999"/>
      <c r="H131" s="1998"/>
      <c r="I131" s="1999"/>
      <c r="J131" s="1998"/>
      <c r="K131" s="1999"/>
      <c r="L131" s="2000"/>
      <c r="M131" s="2001"/>
      <c r="N131" s="2000"/>
      <c r="O131" s="3151"/>
    </row>
    <row r="132" spans="1:15">
      <c r="A132" s="202">
        <v>2004.03</v>
      </c>
      <c r="B132" s="252">
        <v>52507.61</v>
      </c>
      <c r="C132" s="3153"/>
      <c r="D132" s="2002"/>
      <c r="E132" s="573">
        <v>520634</v>
      </c>
      <c r="F132" s="1998"/>
      <c r="G132" s="1999"/>
      <c r="H132" s="1998"/>
      <c r="I132" s="1999"/>
      <c r="J132" s="1998"/>
      <c r="K132" s="1999"/>
      <c r="L132" s="2000"/>
      <c r="M132" s="2001"/>
      <c r="N132" s="2000"/>
      <c r="O132" s="3151"/>
    </row>
    <row r="133" spans="1:15">
      <c r="A133" s="202">
        <v>2004.04</v>
      </c>
      <c r="B133" s="252">
        <v>37158.28</v>
      </c>
      <c r="C133" s="3153"/>
      <c r="D133" s="2002"/>
      <c r="E133" s="573">
        <v>415446</v>
      </c>
      <c r="F133" s="1998"/>
      <c r="G133" s="1999"/>
      <c r="H133" s="1998"/>
      <c r="I133" s="1999"/>
      <c r="J133" s="1998"/>
      <c r="K133" s="1999"/>
      <c r="L133" s="2000"/>
      <c r="M133" s="2001"/>
      <c r="N133" s="2000"/>
      <c r="O133" s="3151"/>
    </row>
    <row r="134" spans="1:15">
      <c r="A134" s="202">
        <v>2004.05</v>
      </c>
      <c r="B134" s="252">
        <v>45377.87</v>
      </c>
      <c r="C134" s="3153"/>
      <c r="D134" s="2002"/>
      <c r="E134" s="573">
        <v>448531</v>
      </c>
      <c r="F134" s="1998"/>
      <c r="G134" s="1999"/>
      <c r="H134" s="1998"/>
      <c r="I134" s="1999"/>
      <c r="J134" s="1998"/>
      <c r="K134" s="1999"/>
      <c r="L134" s="2000"/>
      <c r="M134" s="2001"/>
      <c r="N134" s="2000"/>
      <c r="O134" s="3151"/>
    </row>
    <row r="135" spans="1:15">
      <c r="A135" s="202">
        <v>2004.06</v>
      </c>
      <c r="B135" s="252">
        <v>49862.5</v>
      </c>
      <c r="C135" s="3153"/>
      <c r="D135" s="2002"/>
      <c r="E135" s="573">
        <v>485582</v>
      </c>
      <c r="F135" s="1998"/>
      <c r="G135" s="1999"/>
      <c r="H135" s="1998"/>
      <c r="I135" s="1999"/>
      <c r="J135" s="1998"/>
      <c r="K135" s="1999"/>
      <c r="L135" s="2000"/>
      <c r="M135" s="2001"/>
      <c r="N135" s="2000"/>
      <c r="O135" s="3151"/>
    </row>
    <row r="136" spans="1:15">
      <c r="A136" s="202">
        <v>2004.07</v>
      </c>
      <c r="B136" s="252">
        <v>55438.77</v>
      </c>
      <c r="C136" s="3153"/>
      <c r="D136" s="2002"/>
      <c r="E136" s="573">
        <v>503066</v>
      </c>
      <c r="F136" s="1998"/>
      <c r="G136" s="1999"/>
      <c r="H136" s="1998"/>
      <c r="I136" s="1999"/>
      <c r="J136" s="1998"/>
      <c r="K136" s="1999"/>
      <c r="L136" s="2000"/>
      <c r="M136" s="2001"/>
      <c r="N136" s="2000"/>
      <c r="O136" s="3151"/>
    </row>
    <row r="137" spans="1:15">
      <c r="A137" s="202">
        <v>2004.08</v>
      </c>
      <c r="B137" s="252">
        <v>55363.05</v>
      </c>
      <c r="C137" s="3153"/>
      <c r="D137" s="2002"/>
      <c r="E137" s="573">
        <v>508796</v>
      </c>
      <c r="F137" s="1998"/>
      <c r="G137" s="1999"/>
      <c r="H137" s="1998"/>
      <c r="I137" s="1999"/>
      <c r="J137" s="1998"/>
      <c r="K137" s="1999"/>
      <c r="L137" s="2000"/>
      <c r="M137" s="2001"/>
      <c r="N137" s="2000"/>
      <c r="O137" s="3151"/>
    </row>
    <row r="138" spans="1:15">
      <c r="A138" s="202">
        <v>2004.09</v>
      </c>
      <c r="B138" s="252">
        <v>57284.11</v>
      </c>
      <c r="C138" s="3153"/>
      <c r="D138" s="2002"/>
      <c r="E138" s="573">
        <v>575117</v>
      </c>
      <c r="F138" s="1998"/>
      <c r="G138" s="1999"/>
      <c r="H138" s="1998"/>
      <c r="I138" s="1999"/>
      <c r="J138" s="1998"/>
      <c r="K138" s="1999"/>
      <c r="L138" s="2000"/>
      <c r="M138" s="2001"/>
      <c r="N138" s="2000"/>
      <c r="O138" s="3151"/>
    </row>
    <row r="139" spans="1:15">
      <c r="A139" s="202">
        <v>2004.1</v>
      </c>
      <c r="B139" s="252">
        <v>53979.76</v>
      </c>
      <c r="C139" s="3153"/>
      <c r="D139" s="2002"/>
      <c r="E139" s="573">
        <v>554656</v>
      </c>
      <c r="F139" s="1998"/>
      <c r="G139" s="1999"/>
      <c r="H139" s="1998"/>
      <c r="I139" s="1999"/>
      <c r="J139" s="1998"/>
      <c r="K139" s="1999"/>
      <c r="L139" s="2000"/>
      <c r="M139" s="2001"/>
      <c r="N139" s="2000"/>
      <c r="O139" s="3151"/>
    </row>
    <row r="140" spans="1:15">
      <c r="A140" s="202">
        <v>2004.11</v>
      </c>
      <c r="B140" s="252">
        <v>52289.54</v>
      </c>
      <c r="C140" s="3153"/>
      <c r="D140" s="2002"/>
      <c r="E140" s="573">
        <v>573706</v>
      </c>
      <c r="F140" s="1998"/>
      <c r="G140" s="1999"/>
      <c r="H140" s="1998"/>
      <c r="I140" s="1999"/>
      <c r="J140" s="1998"/>
      <c r="K140" s="1999"/>
      <c r="L140" s="2000"/>
      <c r="M140" s="2001"/>
      <c r="N140" s="2000"/>
      <c r="O140" s="3151"/>
    </row>
    <row r="141" spans="1:15">
      <c r="A141" s="202">
        <v>2004.12</v>
      </c>
      <c r="B141" s="252">
        <v>23565.200000000001</v>
      </c>
      <c r="C141" s="3153"/>
      <c r="D141" s="2002"/>
      <c r="E141" s="573">
        <v>547042</v>
      </c>
      <c r="F141" s="1998"/>
      <c r="G141" s="1999"/>
      <c r="H141" s="1998"/>
      <c r="I141" s="1999"/>
      <c r="J141" s="1998"/>
      <c r="K141" s="1999"/>
      <c r="L141" s="2000"/>
      <c r="M141" s="2001"/>
      <c r="N141" s="2000"/>
      <c r="O141" s="3151"/>
    </row>
    <row r="142" spans="1:15">
      <c r="A142" s="202">
        <v>2005.01</v>
      </c>
      <c r="B142" s="252">
        <v>52576.46</v>
      </c>
      <c r="C142" s="3153"/>
      <c r="D142" s="2002"/>
      <c r="E142" s="573">
        <v>535057</v>
      </c>
      <c r="F142" s="795">
        <v>1352</v>
      </c>
      <c r="G142" s="411">
        <v>16074</v>
      </c>
      <c r="H142" s="795">
        <v>25132</v>
      </c>
      <c r="I142" s="411">
        <v>232967</v>
      </c>
      <c r="J142" s="1998"/>
      <c r="K142" s="1999"/>
      <c r="L142" s="798">
        <v>542</v>
      </c>
      <c r="M142" s="1973">
        <v>636.22</v>
      </c>
      <c r="N142" s="2000"/>
      <c r="O142" s="3151"/>
    </row>
    <row r="143" spans="1:15">
      <c r="A143" s="202">
        <v>2005.02</v>
      </c>
      <c r="B143" s="252">
        <v>47851.21</v>
      </c>
      <c r="C143" s="3153"/>
      <c r="D143" s="2002"/>
      <c r="E143" s="573">
        <v>508744</v>
      </c>
      <c r="F143" s="785">
        <v>1373</v>
      </c>
      <c r="G143" s="86">
        <v>16349</v>
      </c>
      <c r="H143" s="785">
        <v>25704</v>
      </c>
      <c r="I143" s="86">
        <v>244272</v>
      </c>
      <c r="J143" s="1998"/>
      <c r="K143" s="1999"/>
      <c r="L143" s="573">
        <v>508.99</v>
      </c>
      <c r="M143" s="1976">
        <v>600.26</v>
      </c>
      <c r="N143" s="2000"/>
      <c r="O143" s="3151"/>
    </row>
    <row r="144" spans="1:15">
      <c r="A144" s="202">
        <v>2005.03</v>
      </c>
      <c r="B144" s="252">
        <v>47192.78</v>
      </c>
      <c r="C144" s="3153"/>
      <c r="D144" s="2002"/>
      <c r="E144" s="573">
        <v>553599</v>
      </c>
      <c r="F144" s="785">
        <v>1399</v>
      </c>
      <c r="G144" s="86">
        <v>16717</v>
      </c>
      <c r="H144" s="785">
        <v>26663</v>
      </c>
      <c r="I144" s="86">
        <v>255825</v>
      </c>
      <c r="J144" s="1998"/>
      <c r="K144" s="1999"/>
      <c r="L144" s="573">
        <v>541.20000000000005</v>
      </c>
      <c r="M144" s="1976">
        <v>654.79999999999995</v>
      </c>
      <c r="N144" s="2000"/>
      <c r="O144" s="3151"/>
    </row>
    <row r="145" spans="1:15">
      <c r="A145" s="202">
        <v>2005.04</v>
      </c>
      <c r="B145" s="252">
        <v>49833.26</v>
      </c>
      <c r="C145" s="3153"/>
      <c r="D145" s="2002"/>
      <c r="E145" s="573">
        <v>574343</v>
      </c>
      <c r="F145" s="785">
        <v>1432</v>
      </c>
      <c r="G145" s="86">
        <v>17092</v>
      </c>
      <c r="H145" s="785">
        <v>26461</v>
      </c>
      <c r="I145" s="86">
        <v>263724</v>
      </c>
      <c r="J145" s="1998"/>
      <c r="K145" s="1999"/>
      <c r="L145" s="573">
        <v>648.80999999999995</v>
      </c>
      <c r="M145" s="1976">
        <v>749.19</v>
      </c>
      <c r="N145" s="2000"/>
      <c r="O145" s="3151"/>
    </row>
    <row r="146" spans="1:15">
      <c r="A146" s="202">
        <v>2005.05</v>
      </c>
      <c r="B146" s="252">
        <v>55936.11</v>
      </c>
      <c r="C146" s="3153"/>
      <c r="D146" s="2002"/>
      <c r="E146" s="573">
        <v>580957</v>
      </c>
      <c r="F146" s="785">
        <v>1082</v>
      </c>
      <c r="G146" s="86">
        <v>11430</v>
      </c>
      <c r="H146" s="785">
        <v>26713</v>
      </c>
      <c r="I146" s="86">
        <v>268327</v>
      </c>
      <c r="J146" s="1998"/>
      <c r="K146" s="1999"/>
      <c r="L146" s="573">
        <v>663.99</v>
      </c>
      <c r="M146" s="1976">
        <v>748.65</v>
      </c>
      <c r="N146" s="2000"/>
      <c r="O146" s="3151"/>
    </row>
    <row r="147" spans="1:15">
      <c r="A147" s="202">
        <v>2005.06</v>
      </c>
      <c r="B147" s="252">
        <v>51137.54</v>
      </c>
      <c r="C147" s="3153"/>
      <c r="D147" s="2002"/>
      <c r="E147" s="573">
        <v>528058</v>
      </c>
      <c r="F147" s="785">
        <v>1173</v>
      </c>
      <c r="G147" s="86">
        <v>12905</v>
      </c>
      <c r="H147" s="785">
        <v>27366</v>
      </c>
      <c r="I147" s="86">
        <v>270029</v>
      </c>
      <c r="J147" s="1998"/>
      <c r="K147" s="1999"/>
      <c r="L147" s="573">
        <v>892.87</v>
      </c>
      <c r="M147" s="1976">
        <v>1000.23</v>
      </c>
      <c r="N147" s="2000"/>
      <c r="O147" s="3151"/>
    </row>
    <row r="148" spans="1:15">
      <c r="A148" s="202">
        <v>2005.07</v>
      </c>
      <c r="B148" s="252">
        <v>59067.22</v>
      </c>
      <c r="C148" s="3153"/>
      <c r="D148" s="2002"/>
      <c r="E148" s="573">
        <v>603207</v>
      </c>
      <c r="F148" s="785">
        <v>1235</v>
      </c>
      <c r="G148" s="86">
        <v>13961</v>
      </c>
      <c r="H148" s="785">
        <v>27915</v>
      </c>
      <c r="I148" s="86">
        <v>270297</v>
      </c>
      <c r="J148" s="1998"/>
      <c r="K148" s="1999"/>
      <c r="L148" s="573">
        <v>656.15</v>
      </c>
      <c r="M148" s="1976">
        <v>727.11</v>
      </c>
      <c r="N148" s="2000"/>
      <c r="O148" s="3151"/>
    </row>
    <row r="149" spans="1:15">
      <c r="A149" s="202">
        <v>2005.08</v>
      </c>
      <c r="B149" s="252">
        <v>65467.99</v>
      </c>
      <c r="C149" s="3153"/>
      <c r="D149" s="2002"/>
      <c r="E149" s="573">
        <v>673919</v>
      </c>
      <c r="F149" s="785">
        <v>1318</v>
      </c>
      <c r="G149" s="86">
        <v>15028</v>
      </c>
      <c r="H149" s="785">
        <v>29729</v>
      </c>
      <c r="I149" s="86">
        <v>282054</v>
      </c>
      <c r="J149" s="1998"/>
      <c r="K149" s="1999"/>
      <c r="L149" s="573">
        <v>679.32</v>
      </c>
      <c r="M149" s="1976">
        <v>754.49</v>
      </c>
      <c r="N149" s="2000"/>
      <c r="O149" s="3151"/>
    </row>
    <row r="150" spans="1:15">
      <c r="A150" s="202">
        <v>2005.09</v>
      </c>
      <c r="B150" s="252">
        <v>71964</v>
      </c>
      <c r="C150" s="3153"/>
      <c r="D150" s="2002"/>
      <c r="E150" s="573">
        <v>721488</v>
      </c>
      <c r="F150" s="785">
        <v>1392</v>
      </c>
      <c r="G150" s="86">
        <v>15937</v>
      </c>
      <c r="H150" s="785">
        <v>31393</v>
      </c>
      <c r="I150" s="86">
        <v>292888</v>
      </c>
      <c r="J150" s="1998"/>
      <c r="K150" s="1999"/>
      <c r="L150" s="573">
        <v>662.64</v>
      </c>
      <c r="M150" s="1976">
        <v>739.09</v>
      </c>
      <c r="N150" s="2000"/>
      <c r="O150" s="3151"/>
    </row>
    <row r="151" spans="1:15">
      <c r="A151" s="202">
        <v>2005.1</v>
      </c>
      <c r="B151" s="252">
        <v>63872</v>
      </c>
      <c r="C151" s="3153"/>
      <c r="D151" s="2002"/>
      <c r="E151" s="573">
        <v>705182</v>
      </c>
      <c r="F151" s="785">
        <v>1447</v>
      </c>
      <c r="G151" s="86">
        <v>16716</v>
      </c>
      <c r="H151" s="785">
        <v>33049</v>
      </c>
      <c r="I151" s="86">
        <v>300079</v>
      </c>
      <c r="J151" s="1998"/>
      <c r="K151" s="1999"/>
      <c r="L151" s="573">
        <v>749.18</v>
      </c>
      <c r="M151" s="1976">
        <v>813.78</v>
      </c>
      <c r="N151" s="2000"/>
      <c r="O151" s="3151"/>
    </row>
    <row r="152" spans="1:15">
      <c r="A152" s="202">
        <v>2005.11</v>
      </c>
      <c r="B152" s="252">
        <v>63775.58</v>
      </c>
      <c r="C152" s="3153"/>
      <c r="D152" s="2002"/>
      <c r="E152" s="573">
        <v>737426</v>
      </c>
      <c r="F152" s="785">
        <v>1503</v>
      </c>
      <c r="G152" s="86">
        <v>17550</v>
      </c>
      <c r="H152" s="785">
        <v>34242</v>
      </c>
      <c r="I152" s="86">
        <v>309416</v>
      </c>
      <c r="J152" s="1998"/>
      <c r="K152" s="1999"/>
      <c r="L152" s="573">
        <v>801.24</v>
      </c>
      <c r="M152" s="1976">
        <v>869.39</v>
      </c>
      <c r="N152" s="2000"/>
      <c r="O152" s="3151"/>
    </row>
    <row r="153" spans="1:15">
      <c r="A153" s="202">
        <v>2005.12</v>
      </c>
      <c r="B153" s="252">
        <v>64360</v>
      </c>
      <c r="C153" s="3153"/>
      <c r="D153" s="2002"/>
      <c r="E153" s="573">
        <v>692891</v>
      </c>
      <c r="F153" s="785">
        <v>1575</v>
      </c>
      <c r="G153" s="86">
        <v>18361</v>
      </c>
      <c r="H153" s="785">
        <v>34598</v>
      </c>
      <c r="I153" s="86">
        <v>312054</v>
      </c>
      <c r="J153" s="1998"/>
      <c r="K153" s="1999"/>
      <c r="L153" s="573">
        <v>1031.8800000000001</v>
      </c>
      <c r="M153" s="1976">
        <v>1146.72</v>
      </c>
      <c r="N153" s="2000"/>
      <c r="O153" s="3151"/>
    </row>
    <row r="154" spans="1:15">
      <c r="A154" s="202">
        <v>2006.01</v>
      </c>
      <c r="B154" s="252">
        <v>60241.08</v>
      </c>
      <c r="C154" s="3153"/>
      <c r="D154" s="2002"/>
      <c r="E154" s="573">
        <v>648557</v>
      </c>
      <c r="F154" s="785">
        <v>1605</v>
      </c>
      <c r="G154" s="86">
        <v>18704</v>
      </c>
      <c r="H154" s="785">
        <v>33611</v>
      </c>
      <c r="I154" s="86">
        <v>305281</v>
      </c>
      <c r="J154" s="1998"/>
      <c r="K154" s="1999"/>
      <c r="L154" s="573">
        <v>839.38</v>
      </c>
      <c r="M154" s="1976">
        <v>918.35</v>
      </c>
      <c r="N154" s="2000"/>
      <c r="O154" s="3151"/>
    </row>
    <row r="155" spans="1:15">
      <c r="A155" s="202">
        <v>2006.02</v>
      </c>
      <c r="B155" s="252">
        <v>58410.66</v>
      </c>
      <c r="C155" s="3153"/>
      <c r="D155" s="2002"/>
      <c r="E155" s="573">
        <v>647844</v>
      </c>
      <c r="F155" s="785">
        <v>1643</v>
      </c>
      <c r="G155" s="86">
        <v>19241</v>
      </c>
      <c r="H155" s="785">
        <v>33986</v>
      </c>
      <c r="I155" s="86">
        <v>311045</v>
      </c>
      <c r="J155" s="1998"/>
      <c r="K155" s="1999"/>
      <c r="L155" s="573">
        <v>768.63</v>
      </c>
      <c r="M155" s="1976">
        <v>875.19</v>
      </c>
      <c r="N155" s="2000"/>
      <c r="O155" s="3151"/>
    </row>
    <row r="156" spans="1:15">
      <c r="A156" s="202">
        <v>2006.03</v>
      </c>
      <c r="B156" s="252">
        <v>63146.19</v>
      </c>
      <c r="C156" s="3153"/>
      <c r="D156" s="2002"/>
      <c r="E156" s="573">
        <v>710198</v>
      </c>
      <c r="F156" s="785">
        <v>1672</v>
      </c>
      <c r="G156" s="86">
        <v>19822</v>
      </c>
      <c r="H156" s="785">
        <v>35475</v>
      </c>
      <c r="I156" s="86">
        <v>323814</v>
      </c>
      <c r="J156" s="1998"/>
      <c r="K156" s="1999"/>
      <c r="L156" s="573">
        <v>847.47</v>
      </c>
      <c r="M156" s="1976">
        <v>938.82</v>
      </c>
      <c r="N156" s="2000"/>
      <c r="O156" s="3151"/>
    </row>
    <row r="157" spans="1:15">
      <c r="A157" s="202">
        <v>2006.04</v>
      </c>
      <c r="B157" s="252">
        <v>63661.22</v>
      </c>
      <c r="C157" s="3153"/>
      <c r="D157" s="2002"/>
      <c r="E157" s="573">
        <v>689943</v>
      </c>
      <c r="F157" s="785">
        <v>1698</v>
      </c>
      <c r="G157" s="86">
        <v>20226</v>
      </c>
      <c r="H157" s="785">
        <v>35246</v>
      </c>
      <c r="I157" s="86">
        <v>322690</v>
      </c>
      <c r="J157" s="1998"/>
      <c r="K157" s="1999"/>
      <c r="L157" s="573">
        <v>851.35</v>
      </c>
      <c r="M157" s="1976">
        <v>952.16</v>
      </c>
      <c r="N157" s="2000"/>
      <c r="O157" s="3151"/>
    </row>
    <row r="158" spans="1:15">
      <c r="A158" s="202">
        <v>2006.05</v>
      </c>
      <c r="B158" s="252">
        <v>69993</v>
      </c>
      <c r="C158" s="3153"/>
      <c r="D158" s="2002"/>
      <c r="E158" s="573">
        <v>745493</v>
      </c>
      <c r="F158" s="785">
        <v>1261</v>
      </c>
      <c r="G158" s="86">
        <v>13889</v>
      </c>
      <c r="H158" s="785">
        <v>35589</v>
      </c>
      <c r="I158" s="86">
        <v>327891</v>
      </c>
      <c r="J158" s="1998"/>
      <c r="K158" s="1999"/>
      <c r="L158" s="573">
        <v>917.43</v>
      </c>
      <c r="M158" s="1976">
        <v>1004.75</v>
      </c>
      <c r="N158" s="2000"/>
      <c r="O158" s="3151"/>
    </row>
    <row r="159" spans="1:15">
      <c r="A159" s="202">
        <v>2006.06</v>
      </c>
      <c r="B159" s="252">
        <v>65946.45</v>
      </c>
      <c r="C159" s="3153"/>
      <c r="D159" s="2002"/>
      <c r="E159" s="573">
        <v>690072</v>
      </c>
      <c r="F159" s="785">
        <v>1421</v>
      </c>
      <c r="G159" s="86">
        <v>15896</v>
      </c>
      <c r="H159" s="785">
        <v>35959</v>
      </c>
      <c r="I159" s="86">
        <v>329633</v>
      </c>
      <c r="J159" s="1998"/>
      <c r="K159" s="1999"/>
      <c r="L159" s="573">
        <v>1248.75</v>
      </c>
      <c r="M159" s="1976">
        <v>1376.96</v>
      </c>
      <c r="N159" s="2000"/>
      <c r="O159" s="3151"/>
    </row>
    <row r="160" spans="1:15">
      <c r="A160" s="202">
        <v>2006.07</v>
      </c>
      <c r="B160" s="252">
        <v>71100.179999999993</v>
      </c>
      <c r="C160" s="3153"/>
      <c r="D160" s="2002"/>
      <c r="E160" s="573">
        <v>733370</v>
      </c>
      <c r="F160" s="785">
        <v>1503</v>
      </c>
      <c r="G160" s="86">
        <v>17201</v>
      </c>
      <c r="H160" s="785">
        <v>35074</v>
      </c>
      <c r="I160" s="86">
        <v>324963</v>
      </c>
      <c r="J160" s="1998"/>
      <c r="K160" s="1999"/>
      <c r="L160" s="573">
        <v>955.29</v>
      </c>
      <c r="M160" s="1976">
        <v>1027.3900000000001</v>
      </c>
      <c r="N160" s="2000"/>
      <c r="O160" s="3151"/>
    </row>
    <row r="161" spans="1:18">
      <c r="A161" s="202">
        <v>2006.08</v>
      </c>
      <c r="B161" s="252">
        <v>77048.05</v>
      </c>
      <c r="C161" s="3153"/>
      <c r="D161" s="2002"/>
      <c r="E161" s="573">
        <v>822595</v>
      </c>
      <c r="F161" s="785">
        <v>1592</v>
      </c>
      <c r="G161" s="86">
        <v>18392</v>
      </c>
      <c r="H161" s="785">
        <v>35529</v>
      </c>
      <c r="I161" s="86">
        <v>329851</v>
      </c>
      <c r="J161" s="1998"/>
      <c r="K161" s="1999"/>
      <c r="L161" s="573">
        <v>987.72</v>
      </c>
      <c r="M161" s="1976">
        <v>1061.6400000000001</v>
      </c>
      <c r="N161" s="2000"/>
      <c r="O161" s="3151"/>
      <c r="P161" s="201"/>
      <c r="Q161" s="201"/>
      <c r="R161" s="201"/>
    </row>
    <row r="162" spans="1:18">
      <c r="A162" s="202">
        <v>2006.09</v>
      </c>
      <c r="B162" s="252">
        <v>75524</v>
      </c>
      <c r="C162" s="3153"/>
      <c r="D162" s="2002"/>
      <c r="E162" s="573">
        <v>829411</v>
      </c>
      <c r="F162" s="785">
        <v>1681</v>
      </c>
      <c r="G162" s="86">
        <v>19324</v>
      </c>
      <c r="H162" s="785">
        <v>35980</v>
      </c>
      <c r="I162" s="86">
        <v>338703</v>
      </c>
      <c r="J162" s="1998"/>
      <c r="K162" s="1999"/>
      <c r="L162" s="573">
        <v>964.47</v>
      </c>
      <c r="M162" s="1976">
        <v>1069.5</v>
      </c>
      <c r="N162" s="2000"/>
      <c r="O162" s="3151"/>
      <c r="P162" s="201"/>
      <c r="Q162" s="201"/>
      <c r="R162" s="201"/>
    </row>
    <row r="163" spans="1:18">
      <c r="A163" s="202">
        <v>2006.1</v>
      </c>
      <c r="B163" s="252">
        <v>72589</v>
      </c>
      <c r="C163" s="3153"/>
      <c r="D163" s="2002"/>
      <c r="E163" s="573">
        <v>779319</v>
      </c>
      <c r="F163" s="785">
        <v>1747</v>
      </c>
      <c r="G163" s="86">
        <v>20142</v>
      </c>
      <c r="H163" s="785">
        <v>36301</v>
      </c>
      <c r="I163" s="86">
        <v>346968</v>
      </c>
      <c r="J163" s="1998"/>
      <c r="K163" s="1999"/>
      <c r="L163" s="573">
        <v>1021.51</v>
      </c>
      <c r="M163" s="1976">
        <v>1135.58</v>
      </c>
      <c r="N163" s="2000"/>
      <c r="O163" s="3151"/>
      <c r="P163" s="201"/>
      <c r="Q163" s="201"/>
      <c r="R163" s="201"/>
    </row>
    <row r="164" spans="1:18">
      <c r="A164" s="202">
        <v>2006.11</v>
      </c>
      <c r="B164" s="252">
        <v>71150</v>
      </c>
      <c r="C164" s="3153"/>
      <c r="D164" s="2002"/>
      <c r="E164" s="573">
        <v>841725</v>
      </c>
      <c r="F164" s="785">
        <v>1806</v>
      </c>
      <c r="G164" s="86">
        <v>20978</v>
      </c>
      <c r="H164" s="785">
        <v>36157</v>
      </c>
      <c r="I164" s="86">
        <v>353612</v>
      </c>
      <c r="J164" s="1998"/>
      <c r="K164" s="1999"/>
      <c r="L164" s="573">
        <v>1023.26</v>
      </c>
      <c r="M164" s="1976">
        <v>1161.52</v>
      </c>
      <c r="N164" s="2000"/>
      <c r="O164" s="3151"/>
      <c r="P164" s="201"/>
      <c r="Q164" s="201"/>
      <c r="R164" s="201"/>
    </row>
    <row r="165" spans="1:18">
      <c r="A165" s="202">
        <v>2006.12</v>
      </c>
      <c r="B165" s="252">
        <v>59411</v>
      </c>
      <c r="C165" s="3153"/>
      <c r="D165" s="2002"/>
      <c r="E165" s="573">
        <v>712198</v>
      </c>
      <c r="F165" s="785">
        <v>1851</v>
      </c>
      <c r="G165" s="86">
        <v>21536</v>
      </c>
      <c r="H165" s="785">
        <v>35805</v>
      </c>
      <c r="I165" s="86">
        <v>345520</v>
      </c>
      <c r="J165" s="1998"/>
      <c r="K165" s="1999"/>
      <c r="L165" s="573">
        <v>1379.05</v>
      </c>
      <c r="M165" s="1976">
        <v>1592.01</v>
      </c>
      <c r="N165" s="2000"/>
      <c r="O165" s="3151"/>
      <c r="P165" s="201"/>
      <c r="Q165" s="201"/>
      <c r="R165" s="201"/>
    </row>
    <row r="166" spans="1:18">
      <c r="A166" s="202">
        <v>2007.01</v>
      </c>
      <c r="B166" s="252">
        <v>66041</v>
      </c>
      <c r="C166" s="3066">
        <v>41118</v>
      </c>
      <c r="D166" s="721">
        <v>24923</v>
      </c>
      <c r="E166" s="573">
        <v>727060</v>
      </c>
      <c r="F166" s="785">
        <v>1900</v>
      </c>
      <c r="G166" s="86">
        <v>22098</v>
      </c>
      <c r="H166" s="785">
        <v>36606</v>
      </c>
      <c r="I166" s="86">
        <v>350379</v>
      </c>
      <c r="J166" s="1998"/>
      <c r="K166" s="1999"/>
      <c r="L166" s="573">
        <v>1169.3599999999999</v>
      </c>
      <c r="M166" s="1976">
        <v>1284.6500000000001</v>
      </c>
      <c r="N166" s="2000"/>
      <c r="O166" s="3151"/>
      <c r="P166" s="201"/>
      <c r="Q166" s="201"/>
      <c r="R166" s="201"/>
    </row>
    <row r="167" spans="1:18">
      <c r="A167" s="202">
        <v>2007.02</v>
      </c>
      <c r="B167" s="252">
        <v>63672.25</v>
      </c>
      <c r="C167" s="3034">
        <v>40936</v>
      </c>
      <c r="D167" s="225">
        <v>22736</v>
      </c>
      <c r="E167" s="573">
        <v>734776</v>
      </c>
      <c r="F167" s="785">
        <v>1922</v>
      </c>
      <c r="G167" s="86">
        <v>22602</v>
      </c>
      <c r="H167" s="785">
        <v>36210</v>
      </c>
      <c r="I167" s="86">
        <v>359902</v>
      </c>
      <c r="J167" s="1998"/>
      <c r="K167" s="1999"/>
      <c r="L167" s="573">
        <v>1077.99</v>
      </c>
      <c r="M167" s="1976">
        <v>1213.5899999999999</v>
      </c>
      <c r="N167" s="2000"/>
      <c r="O167" s="3151"/>
      <c r="P167" s="201"/>
      <c r="Q167" s="201"/>
      <c r="R167" s="201"/>
    </row>
    <row r="168" spans="1:18">
      <c r="A168" s="202">
        <v>2007.03</v>
      </c>
      <c r="B168" s="252">
        <v>48422</v>
      </c>
      <c r="C168" s="3034">
        <v>28779</v>
      </c>
      <c r="D168" s="225">
        <v>19643</v>
      </c>
      <c r="E168" s="573">
        <v>703390</v>
      </c>
      <c r="F168" s="785">
        <v>1963</v>
      </c>
      <c r="G168" s="86">
        <v>23185</v>
      </c>
      <c r="H168" s="785">
        <v>35819</v>
      </c>
      <c r="I168" s="86">
        <v>370993</v>
      </c>
      <c r="J168" s="1998"/>
      <c r="K168" s="1999"/>
      <c r="L168" s="573">
        <v>1108.69</v>
      </c>
      <c r="M168" s="1976">
        <v>1292.3499999999999</v>
      </c>
      <c r="N168" s="2000"/>
      <c r="O168" s="3151"/>
      <c r="P168" s="201"/>
      <c r="Q168" s="201"/>
      <c r="R168" s="201"/>
    </row>
    <row r="169" spans="1:18">
      <c r="A169" s="202">
        <v>2007.04</v>
      </c>
      <c r="B169" s="252">
        <v>59688.88</v>
      </c>
      <c r="C169" s="3034">
        <v>37530</v>
      </c>
      <c r="D169" s="225">
        <v>22159</v>
      </c>
      <c r="E169" s="573">
        <v>702709</v>
      </c>
      <c r="F169" s="785">
        <v>1989</v>
      </c>
      <c r="G169" s="86">
        <v>23594</v>
      </c>
      <c r="H169" s="785">
        <v>34923</v>
      </c>
      <c r="I169" s="86">
        <v>372305</v>
      </c>
      <c r="J169" s="1998"/>
      <c r="K169" s="1999"/>
      <c r="L169" s="573">
        <v>1143.17</v>
      </c>
      <c r="M169" s="1976">
        <v>1284.25</v>
      </c>
      <c r="N169" s="2000"/>
      <c r="O169" s="3151"/>
      <c r="P169" s="201"/>
      <c r="Q169" s="201"/>
      <c r="R169" s="201"/>
    </row>
    <row r="170" spans="1:18">
      <c r="A170" s="202">
        <v>2007.05</v>
      </c>
      <c r="B170" s="252">
        <v>72693</v>
      </c>
      <c r="C170" s="3034">
        <v>44457</v>
      </c>
      <c r="D170" s="225">
        <v>28236</v>
      </c>
      <c r="E170" s="573">
        <v>847401</v>
      </c>
      <c r="F170" s="785">
        <v>1425</v>
      </c>
      <c r="G170" s="86">
        <v>16360</v>
      </c>
      <c r="H170" s="785">
        <v>35532</v>
      </c>
      <c r="I170" s="86">
        <v>381337</v>
      </c>
      <c r="J170" s="1998"/>
      <c r="K170" s="1999"/>
      <c r="L170" s="573">
        <v>1296.0899999999999</v>
      </c>
      <c r="M170" s="1976">
        <v>1424.86</v>
      </c>
      <c r="N170" s="2000"/>
      <c r="O170" s="3151"/>
      <c r="P170" s="201"/>
      <c r="Q170" s="201"/>
      <c r="R170" s="201"/>
    </row>
    <row r="171" spans="1:18">
      <c r="A171" s="202">
        <v>2007.06</v>
      </c>
      <c r="B171" s="252">
        <v>73820.539999999994</v>
      </c>
      <c r="C171" s="3034">
        <v>44054</v>
      </c>
      <c r="D171" s="225">
        <v>29767</v>
      </c>
      <c r="E171" s="573">
        <v>795056</v>
      </c>
      <c r="F171" s="785">
        <v>1548</v>
      </c>
      <c r="G171" s="86">
        <v>18117</v>
      </c>
      <c r="H171" s="785">
        <v>35925</v>
      </c>
      <c r="I171" s="86">
        <v>381983</v>
      </c>
      <c r="J171" s="795">
        <v>39175</v>
      </c>
      <c r="K171" s="411">
        <v>419957</v>
      </c>
      <c r="L171" s="573">
        <v>1735.83</v>
      </c>
      <c r="M171" s="1976">
        <v>1922.68</v>
      </c>
      <c r="N171" s="799">
        <v>1743.1579514996808</v>
      </c>
      <c r="O171" s="2003">
        <v>1948.4673162252329</v>
      </c>
      <c r="P171" s="201"/>
      <c r="Q171" s="201"/>
      <c r="R171" s="1982"/>
    </row>
    <row r="172" spans="1:18">
      <c r="A172" s="202">
        <v>2007.07</v>
      </c>
      <c r="B172" s="252">
        <v>79218</v>
      </c>
      <c r="C172" s="3034">
        <v>46128</v>
      </c>
      <c r="D172" s="225">
        <v>33090</v>
      </c>
      <c r="E172" s="573">
        <v>824601</v>
      </c>
      <c r="F172" s="785">
        <v>1634</v>
      </c>
      <c r="G172" s="86">
        <v>19408</v>
      </c>
      <c r="H172" s="785">
        <v>35803</v>
      </c>
      <c r="I172" s="86">
        <v>381991</v>
      </c>
      <c r="J172" s="785">
        <v>38856</v>
      </c>
      <c r="K172" s="86">
        <v>420327</v>
      </c>
      <c r="L172" s="573">
        <v>1366.1603001713324</v>
      </c>
      <c r="M172" s="1976">
        <v>1467.7379447735068</v>
      </c>
      <c r="N172" s="573">
        <v>1375.6655885834878</v>
      </c>
      <c r="O172" s="3141">
        <v>1490.5131899211804</v>
      </c>
      <c r="P172" s="201"/>
      <c r="Q172" s="201"/>
      <c r="R172" s="1982"/>
    </row>
    <row r="173" spans="1:18">
      <c r="A173" s="202">
        <v>2007.08</v>
      </c>
      <c r="B173" s="252">
        <v>88369</v>
      </c>
      <c r="C173" s="3034">
        <v>50450</v>
      </c>
      <c r="D173" s="225">
        <v>37919</v>
      </c>
      <c r="E173" s="573">
        <v>876500</v>
      </c>
      <c r="F173" s="785">
        <v>1732</v>
      </c>
      <c r="G173" s="86">
        <v>20637</v>
      </c>
      <c r="H173" s="785">
        <v>35746</v>
      </c>
      <c r="I173" s="86">
        <v>384669</v>
      </c>
      <c r="J173" s="785">
        <v>39013</v>
      </c>
      <c r="K173" s="86">
        <v>426088</v>
      </c>
      <c r="L173" s="573">
        <v>1396.93</v>
      </c>
      <c r="M173" s="1976">
        <v>1499.01</v>
      </c>
      <c r="N173" s="573">
        <v>1406.8332481480531</v>
      </c>
      <c r="O173" s="3141">
        <v>1523.6477649218</v>
      </c>
      <c r="P173" s="201"/>
      <c r="Q173" s="201"/>
      <c r="R173" s="1982"/>
    </row>
    <row r="174" spans="1:18">
      <c r="A174" s="202">
        <v>2007.09</v>
      </c>
      <c r="B174" s="252">
        <v>68630</v>
      </c>
      <c r="C174" s="3034">
        <v>48952</v>
      </c>
      <c r="D174" s="225">
        <v>42762</v>
      </c>
      <c r="E174" s="573">
        <v>776052</v>
      </c>
      <c r="F174" s="785">
        <v>1792</v>
      </c>
      <c r="G174" s="86">
        <v>21629</v>
      </c>
      <c r="H174" s="785">
        <v>35285</v>
      </c>
      <c r="I174" s="86">
        <v>385681</v>
      </c>
      <c r="J174" s="785">
        <v>38797</v>
      </c>
      <c r="K174" s="86">
        <v>429208</v>
      </c>
      <c r="L174" s="573">
        <v>1254.99</v>
      </c>
      <c r="M174" s="1976">
        <v>1394.93</v>
      </c>
      <c r="N174" s="573">
        <v>1267.7301314534629</v>
      </c>
      <c r="O174" s="3141">
        <v>1421.9414269072338</v>
      </c>
      <c r="P174" s="201"/>
      <c r="Q174" s="201"/>
      <c r="R174" s="1982"/>
    </row>
    <row r="175" spans="1:18">
      <c r="A175" s="202">
        <v>2007.1</v>
      </c>
      <c r="B175" s="252">
        <v>87905</v>
      </c>
      <c r="C175" s="3034">
        <v>49496</v>
      </c>
      <c r="D175" s="225">
        <v>38409</v>
      </c>
      <c r="E175" s="573">
        <v>878497</v>
      </c>
      <c r="F175" s="785">
        <v>1851</v>
      </c>
      <c r="G175" s="86">
        <v>22522</v>
      </c>
      <c r="H175" s="785">
        <v>36511</v>
      </c>
      <c r="I175" s="86">
        <v>389392</v>
      </c>
      <c r="J175" s="785">
        <v>40220</v>
      </c>
      <c r="K175" s="86">
        <v>434771</v>
      </c>
      <c r="L175" s="573">
        <v>1452.99</v>
      </c>
      <c r="M175" s="1976">
        <v>1569.23</v>
      </c>
      <c r="N175" s="573">
        <v>1466.045274241671</v>
      </c>
      <c r="O175" s="3141">
        <v>1601.8728786648603</v>
      </c>
      <c r="P175" s="201"/>
      <c r="Q175" s="201"/>
      <c r="R175" s="1982"/>
    </row>
    <row r="176" spans="1:18">
      <c r="A176" s="202">
        <v>2007.11</v>
      </c>
      <c r="B176" s="252">
        <v>106545</v>
      </c>
      <c r="C176" s="3034">
        <v>39934</v>
      </c>
      <c r="D176" s="225">
        <v>33748</v>
      </c>
      <c r="E176" s="573">
        <v>947803</v>
      </c>
      <c r="F176" s="785">
        <v>1896</v>
      </c>
      <c r="G176" s="86">
        <v>23329</v>
      </c>
      <c r="H176" s="785">
        <v>37397</v>
      </c>
      <c r="I176" s="86">
        <v>390289</v>
      </c>
      <c r="J176" s="785">
        <v>41263</v>
      </c>
      <c r="K176" s="86">
        <v>436497</v>
      </c>
      <c r="L176" s="573">
        <v>1487.14</v>
      </c>
      <c r="M176" s="1976">
        <v>1575.64</v>
      </c>
      <c r="N176" s="573">
        <v>1500.1022446259362</v>
      </c>
      <c r="O176" s="3141">
        <v>1604.3312542125148</v>
      </c>
      <c r="P176" s="201"/>
      <c r="Q176" s="201"/>
      <c r="R176" s="1982"/>
    </row>
    <row r="177" spans="1:18">
      <c r="A177" s="202">
        <v>2007.12</v>
      </c>
      <c r="B177" s="252">
        <v>83377</v>
      </c>
      <c r="C177" s="3034">
        <v>42944</v>
      </c>
      <c r="D177" s="225">
        <v>40432</v>
      </c>
      <c r="E177" s="573">
        <v>779749</v>
      </c>
      <c r="F177" s="785">
        <v>1949</v>
      </c>
      <c r="G177" s="86">
        <v>23925</v>
      </c>
      <c r="H177" s="785">
        <v>35776</v>
      </c>
      <c r="I177" s="86">
        <v>372969</v>
      </c>
      <c r="J177" s="785">
        <v>39715</v>
      </c>
      <c r="K177" s="86">
        <v>419131</v>
      </c>
      <c r="L177" s="573">
        <v>1971.71</v>
      </c>
      <c r="M177" s="1976">
        <v>2196.6799999999998</v>
      </c>
      <c r="N177" s="573">
        <v>1996.3913584288055</v>
      </c>
      <c r="O177" s="3141">
        <v>2242.6158543748852</v>
      </c>
      <c r="P177" s="201"/>
      <c r="Q177" s="201"/>
      <c r="R177" s="1982"/>
    </row>
    <row r="178" spans="1:18">
      <c r="A178" s="202">
        <f t="shared" ref="A178:A241" si="0">A166+1</f>
        <v>2008.01</v>
      </c>
      <c r="B178" s="252">
        <v>84058</v>
      </c>
      <c r="C178" s="3034">
        <v>45182</v>
      </c>
      <c r="D178" s="225">
        <v>38876</v>
      </c>
      <c r="E178" s="573">
        <v>812216</v>
      </c>
      <c r="F178" s="785">
        <v>1997</v>
      </c>
      <c r="G178" s="86">
        <v>24435</v>
      </c>
      <c r="H178" s="785">
        <v>36361</v>
      </c>
      <c r="I178" s="86">
        <v>369713</v>
      </c>
      <c r="J178" s="785">
        <v>42489</v>
      </c>
      <c r="K178" s="86">
        <v>432696</v>
      </c>
      <c r="L178" s="573">
        <v>1487.17</v>
      </c>
      <c r="M178" s="1976">
        <v>1589.4456668616881</v>
      </c>
      <c r="N178" s="573">
        <v>1475.8771383181531</v>
      </c>
      <c r="O178" s="3141">
        <v>1601.3160483166826</v>
      </c>
      <c r="P178" s="201"/>
      <c r="Q178" s="201"/>
      <c r="R178" s="1982"/>
    </row>
    <row r="179" spans="1:18">
      <c r="A179" s="202">
        <f t="shared" si="0"/>
        <v>2008.02</v>
      </c>
      <c r="B179" s="252">
        <v>77351</v>
      </c>
      <c r="C179" s="3034">
        <v>42252</v>
      </c>
      <c r="D179" s="225">
        <v>35100</v>
      </c>
      <c r="E179" s="573">
        <v>787505</v>
      </c>
      <c r="F179" s="785">
        <v>2049</v>
      </c>
      <c r="G179" s="86">
        <v>24983</v>
      </c>
      <c r="H179" s="785">
        <v>36905</v>
      </c>
      <c r="I179" s="86">
        <v>377322</v>
      </c>
      <c r="J179" s="785">
        <v>41284</v>
      </c>
      <c r="K179" s="86">
        <v>426380</v>
      </c>
      <c r="L179" s="573">
        <v>1442.01</v>
      </c>
      <c r="M179" s="1976">
        <v>1557.92</v>
      </c>
      <c r="N179" s="573">
        <v>1449.3649040790622</v>
      </c>
      <c r="O179" s="3141">
        <v>1586.8522812514657</v>
      </c>
      <c r="P179" s="201"/>
      <c r="Q179" s="201"/>
      <c r="R179" s="1982"/>
    </row>
    <row r="180" spans="1:18">
      <c r="A180" s="202">
        <f t="shared" si="0"/>
        <v>2008.03</v>
      </c>
      <c r="B180" s="252">
        <v>73808</v>
      </c>
      <c r="C180" s="3034">
        <v>39294</v>
      </c>
      <c r="D180" s="225">
        <v>34514</v>
      </c>
      <c r="E180" s="573">
        <v>709549</v>
      </c>
      <c r="F180" s="785">
        <v>2074</v>
      </c>
      <c r="G180" s="86">
        <v>25473</v>
      </c>
      <c r="H180" s="785">
        <v>36784</v>
      </c>
      <c r="I180" s="86">
        <v>377948</v>
      </c>
      <c r="J180" s="785">
        <v>41232</v>
      </c>
      <c r="K180" s="86">
        <v>428938</v>
      </c>
      <c r="L180" s="573">
        <v>1483.58</v>
      </c>
      <c r="M180" s="1976">
        <v>1588.14</v>
      </c>
      <c r="N180" s="573">
        <v>1496.4713465269692</v>
      </c>
      <c r="O180" s="3141">
        <v>1624.8000202593382</v>
      </c>
      <c r="P180" s="201"/>
      <c r="Q180" s="201"/>
      <c r="R180" s="1982"/>
    </row>
    <row r="181" spans="1:18">
      <c r="A181" s="202">
        <f t="shared" si="0"/>
        <v>2008.04</v>
      </c>
      <c r="B181" s="252">
        <v>86686</v>
      </c>
      <c r="C181" s="3034">
        <v>45565</v>
      </c>
      <c r="D181" s="225">
        <v>41121</v>
      </c>
      <c r="E181" s="573">
        <v>896774</v>
      </c>
      <c r="F181" s="785">
        <v>2151</v>
      </c>
      <c r="G181" s="86">
        <v>26288</v>
      </c>
      <c r="H181" s="785">
        <v>36703</v>
      </c>
      <c r="I181" s="86">
        <v>381234</v>
      </c>
      <c r="J181" s="785">
        <v>40935</v>
      </c>
      <c r="K181" s="86">
        <v>429278</v>
      </c>
      <c r="L181" s="573">
        <v>1681.86</v>
      </c>
      <c r="M181" s="1976">
        <v>1800.1</v>
      </c>
      <c r="N181" s="573">
        <v>1696.4050123366312</v>
      </c>
      <c r="O181" s="3141">
        <v>1836.7204902417545</v>
      </c>
      <c r="P181" s="201"/>
      <c r="Q181" s="201"/>
      <c r="R181" s="1982"/>
    </row>
    <row r="182" spans="1:18">
      <c r="A182" s="202">
        <f t="shared" si="0"/>
        <v>2008.05</v>
      </c>
      <c r="B182" s="252">
        <v>85149</v>
      </c>
      <c r="C182" s="3034">
        <v>43313</v>
      </c>
      <c r="D182" s="225">
        <v>41837</v>
      </c>
      <c r="E182" s="573">
        <v>830457</v>
      </c>
      <c r="F182" s="785">
        <v>1591</v>
      </c>
      <c r="G182" s="86">
        <v>18387</v>
      </c>
      <c r="H182" s="785">
        <v>36153</v>
      </c>
      <c r="I182" s="86">
        <v>380506</v>
      </c>
      <c r="J182" s="785">
        <v>40538</v>
      </c>
      <c r="K182" s="86">
        <v>432662</v>
      </c>
      <c r="L182" s="573">
        <v>1699.64</v>
      </c>
      <c r="M182" s="1976">
        <v>1801.78</v>
      </c>
      <c r="N182" s="573">
        <v>1718.8845446247965</v>
      </c>
      <c r="O182" s="3141">
        <v>1848.1098984657767</v>
      </c>
      <c r="P182" s="201"/>
      <c r="Q182" s="201"/>
      <c r="R182" s="1982"/>
    </row>
    <row r="183" spans="1:18">
      <c r="A183" s="202">
        <f t="shared" si="0"/>
        <v>2008.06</v>
      </c>
      <c r="B183" s="252">
        <v>59598</v>
      </c>
      <c r="C183" s="3034">
        <v>32152</v>
      </c>
      <c r="D183" s="225">
        <v>27446</v>
      </c>
      <c r="E183" s="573">
        <v>709098</v>
      </c>
      <c r="F183" s="785">
        <v>1698</v>
      </c>
      <c r="G183" s="86">
        <v>19952</v>
      </c>
      <c r="H183" s="785">
        <v>34990</v>
      </c>
      <c r="I183" s="86">
        <v>373235</v>
      </c>
      <c r="J183" s="785">
        <v>39572</v>
      </c>
      <c r="K183" s="86">
        <v>425839</v>
      </c>
      <c r="L183" s="573">
        <v>2185.7399999999998</v>
      </c>
      <c r="M183" s="1976">
        <v>2402.19</v>
      </c>
      <c r="N183" s="573">
        <v>2221.0822586677446</v>
      </c>
      <c r="O183" s="3141">
        <v>2463.7976724536738</v>
      </c>
      <c r="P183" s="201"/>
      <c r="Q183" s="201"/>
      <c r="R183" s="1982"/>
    </row>
    <row r="184" spans="1:18">
      <c r="A184" s="202">
        <f t="shared" si="0"/>
        <v>2008.07</v>
      </c>
      <c r="B184" s="252">
        <v>96381</v>
      </c>
      <c r="C184" s="3034">
        <v>48999</v>
      </c>
      <c r="D184" s="225">
        <v>47382</v>
      </c>
      <c r="E184" s="573">
        <v>883142</v>
      </c>
      <c r="F184" s="785">
        <v>1776</v>
      </c>
      <c r="G184" s="86">
        <v>21253</v>
      </c>
      <c r="H184" s="785">
        <v>34217</v>
      </c>
      <c r="I184" s="86">
        <v>369346</v>
      </c>
      <c r="J184" s="785">
        <v>38828</v>
      </c>
      <c r="K184" s="86">
        <v>423490</v>
      </c>
      <c r="L184" s="573">
        <v>1707.19</v>
      </c>
      <c r="M184" s="1976">
        <v>1843.63</v>
      </c>
      <c r="N184" s="573">
        <v>1729.0823933759143</v>
      </c>
      <c r="O184" s="3141">
        <v>1894.769576896739</v>
      </c>
      <c r="P184" s="201"/>
      <c r="Q184" s="201"/>
      <c r="R184" s="1982"/>
    </row>
    <row r="185" spans="1:18">
      <c r="A185" s="202">
        <f t="shared" si="0"/>
        <v>2008.08</v>
      </c>
      <c r="B185" s="252">
        <v>85578</v>
      </c>
      <c r="C185" s="3034">
        <v>45110</v>
      </c>
      <c r="D185" s="225">
        <v>40468</v>
      </c>
      <c r="E185" s="573">
        <v>839196</v>
      </c>
      <c r="F185" s="785">
        <v>1842</v>
      </c>
      <c r="G185" s="86">
        <v>22255</v>
      </c>
      <c r="H185" s="785">
        <v>33699</v>
      </c>
      <c r="I185" s="86">
        <v>361653</v>
      </c>
      <c r="J185" s="785">
        <v>38409</v>
      </c>
      <c r="K185" s="86">
        <v>416790</v>
      </c>
      <c r="L185" s="573">
        <v>1649.87</v>
      </c>
      <c r="M185" s="1976">
        <v>1768.83</v>
      </c>
      <c r="N185" s="573">
        <v>1667.0182308833864</v>
      </c>
      <c r="O185" s="3141">
        <v>1819.121241800427</v>
      </c>
      <c r="P185" s="201"/>
      <c r="Q185" s="201"/>
      <c r="R185" s="1982"/>
    </row>
    <row r="186" spans="1:18">
      <c r="A186" s="202">
        <f t="shared" si="0"/>
        <v>2008.09</v>
      </c>
      <c r="B186" s="252">
        <v>91714</v>
      </c>
      <c r="C186" s="3034">
        <v>48952</v>
      </c>
      <c r="D186" s="225">
        <v>42762</v>
      </c>
      <c r="E186" s="573">
        <v>908193</v>
      </c>
      <c r="F186" s="785">
        <v>1924</v>
      </c>
      <c r="G186" s="86">
        <v>23226</v>
      </c>
      <c r="H186" s="785">
        <v>33070</v>
      </c>
      <c r="I186" s="86">
        <v>363246</v>
      </c>
      <c r="J186" s="785">
        <v>38215</v>
      </c>
      <c r="K186" s="86">
        <v>422038</v>
      </c>
      <c r="L186" s="573">
        <v>1687.7</v>
      </c>
      <c r="M186" s="1976">
        <v>1802.64</v>
      </c>
      <c r="N186" s="573">
        <v>1702.5284783461991</v>
      </c>
      <c r="O186" s="3141">
        <v>1852.3411192830979</v>
      </c>
      <c r="P186" s="201"/>
      <c r="Q186" s="201"/>
      <c r="R186" s="1982"/>
    </row>
    <row r="187" spans="1:18">
      <c r="A187" s="202">
        <f t="shared" si="0"/>
        <v>2008.1</v>
      </c>
      <c r="B187" s="252">
        <v>80002</v>
      </c>
      <c r="C187" s="3034">
        <v>44074</v>
      </c>
      <c r="D187" s="225">
        <v>35928</v>
      </c>
      <c r="E187" s="573">
        <v>874601</v>
      </c>
      <c r="F187" s="785">
        <v>1967</v>
      </c>
      <c r="G187" s="86">
        <v>24025</v>
      </c>
      <c r="H187" s="785">
        <v>32619</v>
      </c>
      <c r="I187" s="86">
        <v>363312</v>
      </c>
      <c r="J187" s="785">
        <v>37999</v>
      </c>
      <c r="K187" s="86">
        <v>424073</v>
      </c>
      <c r="L187" s="573">
        <v>1797.86</v>
      </c>
      <c r="M187" s="1976">
        <v>1924.99</v>
      </c>
      <c r="N187" s="573">
        <v>1815.7461391089239</v>
      </c>
      <c r="O187" s="3141">
        <v>1980.3991062152036</v>
      </c>
      <c r="P187" s="201"/>
      <c r="Q187" s="201"/>
      <c r="R187" s="1982"/>
    </row>
    <row r="188" spans="1:18">
      <c r="A188" s="202">
        <f t="shared" si="0"/>
        <v>2008.11</v>
      </c>
      <c r="B188" s="252">
        <v>73682</v>
      </c>
      <c r="C188" s="3034">
        <v>39934</v>
      </c>
      <c r="D188" s="225">
        <v>33748</v>
      </c>
      <c r="E188" s="573">
        <v>803468</v>
      </c>
      <c r="F188" s="785">
        <v>2023</v>
      </c>
      <c r="G188" s="86">
        <v>24661</v>
      </c>
      <c r="H188" s="785">
        <v>31685</v>
      </c>
      <c r="I188" s="86">
        <v>354806</v>
      </c>
      <c r="J188" s="785">
        <v>37196</v>
      </c>
      <c r="K188" s="86">
        <v>416028</v>
      </c>
      <c r="L188" s="573">
        <v>1709.52</v>
      </c>
      <c r="M188" s="1976">
        <v>1835.8</v>
      </c>
      <c r="N188" s="573">
        <v>1721.9507156683517</v>
      </c>
      <c r="O188" s="3141">
        <v>1902.4276380916669</v>
      </c>
      <c r="P188" s="201"/>
      <c r="Q188" s="201"/>
      <c r="R188" s="1982"/>
    </row>
    <row r="189" spans="1:18">
      <c r="A189" s="202">
        <f t="shared" si="0"/>
        <v>2008.12</v>
      </c>
      <c r="B189" s="252">
        <v>63531</v>
      </c>
      <c r="C189" s="3034">
        <v>35556</v>
      </c>
      <c r="D189" s="225">
        <v>27974</v>
      </c>
      <c r="E189" s="573">
        <v>692038</v>
      </c>
      <c r="F189" s="785">
        <v>2056</v>
      </c>
      <c r="G189" s="86">
        <v>25201</v>
      </c>
      <c r="H189" s="785">
        <v>30166</v>
      </c>
      <c r="I189" s="86">
        <v>336239</v>
      </c>
      <c r="J189" s="785">
        <v>35667</v>
      </c>
      <c r="K189" s="86">
        <v>396169</v>
      </c>
      <c r="L189" s="573">
        <v>2446.75</v>
      </c>
      <c r="M189" s="1976">
        <v>2761.17</v>
      </c>
      <c r="N189" s="573">
        <v>2482.3097768245157</v>
      </c>
      <c r="O189" s="3141">
        <v>2836.5632300609086</v>
      </c>
      <c r="P189" s="201"/>
      <c r="Q189" s="201"/>
      <c r="R189" s="1982"/>
    </row>
    <row r="190" spans="1:18">
      <c r="A190" s="202">
        <f t="shared" si="0"/>
        <v>2009.01</v>
      </c>
      <c r="B190" s="252">
        <v>72353</v>
      </c>
      <c r="C190" s="3034">
        <v>39188</v>
      </c>
      <c r="D190" s="225">
        <v>33165</v>
      </c>
      <c r="E190" s="573">
        <v>728799</v>
      </c>
      <c r="F190" s="785">
        <v>2082</v>
      </c>
      <c r="G190" s="86">
        <v>25556</v>
      </c>
      <c r="H190" s="785">
        <v>29058</v>
      </c>
      <c r="I190" s="86">
        <v>324525</v>
      </c>
      <c r="J190" s="785">
        <v>34479</v>
      </c>
      <c r="K190" s="86">
        <v>384287</v>
      </c>
      <c r="L190" s="573">
        <v>1734.73</v>
      </c>
      <c r="M190" s="1976">
        <v>1913.2</v>
      </c>
      <c r="N190" s="573">
        <v>1746.5172435395459</v>
      </c>
      <c r="O190" s="3141">
        <v>1958.6152064472649</v>
      </c>
      <c r="P190" s="201"/>
      <c r="Q190" s="201"/>
      <c r="R190" s="1982"/>
    </row>
    <row r="191" spans="1:18">
      <c r="A191" s="202">
        <f t="shared" si="0"/>
        <v>2009.02</v>
      </c>
      <c r="B191" s="252">
        <v>60707</v>
      </c>
      <c r="C191" s="3034">
        <v>31748</v>
      </c>
      <c r="D191" s="225">
        <v>28959</v>
      </c>
      <c r="E191" s="573">
        <v>684268</v>
      </c>
      <c r="F191" s="785">
        <v>2102</v>
      </c>
      <c r="G191" s="86">
        <v>25836</v>
      </c>
      <c r="H191" s="785">
        <v>28235</v>
      </c>
      <c r="I191" s="86">
        <v>325090</v>
      </c>
      <c r="J191" s="785">
        <v>33580</v>
      </c>
      <c r="K191" s="86">
        <v>385677</v>
      </c>
      <c r="L191" s="573">
        <v>1675.27</v>
      </c>
      <c r="M191" s="1976">
        <v>1848.6</v>
      </c>
      <c r="N191" s="573">
        <v>1688.8585244192973</v>
      </c>
      <c r="O191" s="3141">
        <v>1890.0592155612078</v>
      </c>
      <c r="P191" s="201"/>
      <c r="Q191" s="201"/>
      <c r="R191" s="1982"/>
    </row>
    <row r="192" spans="1:18">
      <c r="A192" s="202">
        <f t="shared" si="0"/>
        <v>2009.03</v>
      </c>
      <c r="B192" s="252">
        <v>69091</v>
      </c>
      <c r="C192" s="3034">
        <v>37590</v>
      </c>
      <c r="D192" s="225">
        <v>31501</v>
      </c>
      <c r="E192" s="573">
        <v>757422</v>
      </c>
      <c r="F192" s="785">
        <v>2137</v>
      </c>
      <c r="G192" s="86">
        <v>26139</v>
      </c>
      <c r="H192" s="785">
        <v>28351</v>
      </c>
      <c r="I192" s="86">
        <v>326427</v>
      </c>
      <c r="J192" s="785">
        <v>33751</v>
      </c>
      <c r="K192" s="86">
        <v>387578</v>
      </c>
      <c r="L192" s="573">
        <v>1766.02</v>
      </c>
      <c r="M192" s="1976">
        <v>1939</v>
      </c>
      <c r="N192" s="573">
        <v>1791.7664371426031</v>
      </c>
      <c r="O192" s="3141">
        <v>1983.4794460211881</v>
      </c>
      <c r="P192" s="201"/>
      <c r="Q192" s="201"/>
      <c r="R192" s="1982"/>
    </row>
    <row r="193" spans="1:18">
      <c r="A193" s="202">
        <f t="shared" si="0"/>
        <v>2009.04</v>
      </c>
      <c r="B193" s="252">
        <v>61662</v>
      </c>
      <c r="C193" s="3034">
        <v>36961</v>
      </c>
      <c r="D193" s="225">
        <v>24701</v>
      </c>
      <c r="E193" s="573">
        <v>761154</v>
      </c>
      <c r="F193" s="785">
        <v>2138</v>
      </c>
      <c r="G193" s="86">
        <v>26231</v>
      </c>
      <c r="H193" s="785">
        <v>27681</v>
      </c>
      <c r="I193" s="86">
        <v>325257</v>
      </c>
      <c r="J193" s="785">
        <v>32960</v>
      </c>
      <c r="K193" s="86">
        <v>386136</v>
      </c>
      <c r="L193" s="573">
        <v>1782.11</v>
      </c>
      <c r="M193" s="1976">
        <v>1956.6</v>
      </c>
      <c r="N193" s="573">
        <v>1811.4904538834951</v>
      </c>
      <c r="O193" s="3141">
        <v>2018.7514842179958</v>
      </c>
      <c r="P193" s="201"/>
      <c r="Q193" s="201"/>
      <c r="R193" s="1982"/>
    </row>
    <row r="194" spans="1:18">
      <c r="A194" s="202">
        <f t="shared" si="0"/>
        <v>2009.05</v>
      </c>
      <c r="B194" s="252">
        <v>56141</v>
      </c>
      <c r="C194" s="3034">
        <v>33745</v>
      </c>
      <c r="D194" s="225">
        <v>22397</v>
      </c>
      <c r="E194" s="573">
        <v>727453</v>
      </c>
      <c r="F194" s="785">
        <v>1328</v>
      </c>
      <c r="G194" s="86">
        <v>15942</v>
      </c>
      <c r="H194" s="785">
        <v>26783</v>
      </c>
      <c r="I194" s="86">
        <v>323945</v>
      </c>
      <c r="J194" s="785">
        <v>31906</v>
      </c>
      <c r="K194" s="86">
        <v>384595</v>
      </c>
      <c r="L194" s="573">
        <v>1772.83</v>
      </c>
      <c r="M194" s="1976">
        <v>1925.8</v>
      </c>
      <c r="N194" s="573">
        <v>1806.5519475960634</v>
      </c>
      <c r="O194" s="3141">
        <v>1975.5450803312574</v>
      </c>
      <c r="P194" s="201"/>
      <c r="Q194" s="201"/>
      <c r="R194" s="1982"/>
    </row>
    <row r="195" spans="1:18">
      <c r="A195" s="202">
        <f t="shared" si="0"/>
        <v>2009.06</v>
      </c>
      <c r="B195" s="252">
        <v>61629</v>
      </c>
      <c r="C195" s="3034">
        <v>38290</v>
      </c>
      <c r="D195" s="225">
        <v>23339</v>
      </c>
      <c r="E195" s="573">
        <v>796637</v>
      </c>
      <c r="F195" s="785">
        <v>1455</v>
      </c>
      <c r="G195" s="86">
        <v>17466</v>
      </c>
      <c r="H195" s="785">
        <v>25972</v>
      </c>
      <c r="I195" s="86">
        <v>324084</v>
      </c>
      <c r="J195" s="785">
        <v>30993</v>
      </c>
      <c r="K195" s="86">
        <v>385055</v>
      </c>
      <c r="L195" s="573">
        <v>2644.39</v>
      </c>
      <c r="M195" s="1976">
        <v>2892.9</v>
      </c>
      <c r="N195" s="573">
        <v>2701.3539602490882</v>
      </c>
      <c r="O195" s="3141">
        <v>2983.2106663983072</v>
      </c>
      <c r="P195" s="201"/>
      <c r="Q195" s="201"/>
      <c r="R195" s="1982"/>
    </row>
    <row r="196" spans="1:18">
      <c r="A196" s="202">
        <f t="shared" si="0"/>
        <v>2009.07</v>
      </c>
      <c r="B196" s="252">
        <v>62284</v>
      </c>
      <c r="C196" s="3034">
        <v>39820</v>
      </c>
      <c r="D196" s="225">
        <v>22464</v>
      </c>
      <c r="E196" s="573">
        <v>809184</v>
      </c>
      <c r="F196" s="785">
        <v>1552</v>
      </c>
      <c r="G196" s="86">
        <v>18601</v>
      </c>
      <c r="H196" s="785">
        <v>25609</v>
      </c>
      <c r="I196" s="86">
        <v>321475</v>
      </c>
      <c r="J196" s="785">
        <v>30875</v>
      </c>
      <c r="K196" s="86">
        <v>384275</v>
      </c>
      <c r="L196" s="573">
        <v>1911.45</v>
      </c>
      <c r="M196" s="1976">
        <v>2067.75</v>
      </c>
      <c r="N196" s="573">
        <v>1944.8317496356276</v>
      </c>
      <c r="O196" s="3141">
        <v>2124.8460564959992</v>
      </c>
      <c r="P196" s="201"/>
      <c r="Q196" s="201"/>
      <c r="R196" s="1982"/>
    </row>
    <row r="197" spans="1:18">
      <c r="A197" s="202">
        <f t="shared" si="0"/>
        <v>2009.08</v>
      </c>
      <c r="B197" s="252">
        <v>63160</v>
      </c>
      <c r="C197" s="3034">
        <v>39459</v>
      </c>
      <c r="D197" s="225">
        <v>23701</v>
      </c>
      <c r="E197" s="573">
        <v>822140</v>
      </c>
      <c r="F197" s="785">
        <v>1618</v>
      </c>
      <c r="G197" s="86">
        <v>19499</v>
      </c>
      <c r="H197" s="785">
        <v>25639</v>
      </c>
      <c r="I197" s="86">
        <v>320488</v>
      </c>
      <c r="J197" s="785">
        <v>30914</v>
      </c>
      <c r="K197" s="86">
        <v>383640</v>
      </c>
      <c r="L197" s="573">
        <v>1864.56</v>
      </c>
      <c r="M197" s="1976">
        <v>2017.89</v>
      </c>
      <c r="N197" s="573">
        <v>1895.4790010998252</v>
      </c>
      <c r="O197" s="3141">
        <v>2072.0942298509021</v>
      </c>
      <c r="P197" s="201"/>
      <c r="Q197" s="201"/>
      <c r="R197" s="1982"/>
    </row>
    <row r="198" spans="1:18">
      <c r="A198" s="202">
        <f t="shared" si="0"/>
        <v>2009.09</v>
      </c>
      <c r="B198" s="252">
        <v>60863</v>
      </c>
      <c r="C198" s="3034">
        <v>38176</v>
      </c>
      <c r="D198" s="225">
        <v>22687</v>
      </c>
      <c r="E198" s="573">
        <v>791461</v>
      </c>
      <c r="F198" s="785">
        <v>1679</v>
      </c>
      <c r="G198" s="86">
        <v>20238</v>
      </c>
      <c r="H198" s="785">
        <v>25915</v>
      </c>
      <c r="I198" s="86">
        <v>320411</v>
      </c>
      <c r="J198" s="785">
        <v>31268</v>
      </c>
      <c r="K198" s="86">
        <v>384233</v>
      </c>
      <c r="L198" s="573">
        <v>1853.19</v>
      </c>
      <c r="M198" s="1976">
        <v>2015.84</v>
      </c>
      <c r="N198" s="573">
        <v>1888.2015782909043</v>
      </c>
      <c r="O198" s="3141">
        <v>2077.2807452249026</v>
      </c>
      <c r="P198" s="201"/>
      <c r="Q198" s="201"/>
      <c r="R198" s="1982"/>
    </row>
    <row r="199" spans="1:18">
      <c r="A199" s="202">
        <f t="shared" si="0"/>
        <v>2009.1</v>
      </c>
      <c r="B199" s="252">
        <v>68202</v>
      </c>
      <c r="C199" s="3034">
        <v>41804</v>
      </c>
      <c r="D199" s="225">
        <v>26398</v>
      </c>
      <c r="E199" s="573">
        <v>866586</v>
      </c>
      <c r="F199" s="785">
        <v>1728</v>
      </c>
      <c r="G199" s="86">
        <v>20901</v>
      </c>
      <c r="H199" s="785">
        <v>25788</v>
      </c>
      <c r="I199" s="86">
        <v>321981</v>
      </c>
      <c r="J199" s="785">
        <v>31185</v>
      </c>
      <c r="K199" s="86">
        <v>386140</v>
      </c>
      <c r="L199" s="573">
        <v>2033.44</v>
      </c>
      <c r="M199" s="1976">
        <v>2188.75</v>
      </c>
      <c r="N199" s="573">
        <v>2071.5313804713805</v>
      </c>
      <c r="O199" s="3141">
        <v>2253.1601078624331</v>
      </c>
      <c r="P199" s="201"/>
      <c r="Q199" s="201"/>
      <c r="R199" s="1982"/>
    </row>
    <row r="200" spans="1:18">
      <c r="A200" s="202">
        <f t="shared" si="0"/>
        <v>2009.11</v>
      </c>
      <c r="B200" s="252">
        <v>60681</v>
      </c>
      <c r="C200" s="3034">
        <v>36059</v>
      </c>
      <c r="D200" s="225">
        <v>24622</v>
      </c>
      <c r="E200" s="573">
        <v>772759</v>
      </c>
      <c r="F200" s="785">
        <v>1778</v>
      </c>
      <c r="G200" s="86">
        <v>21485</v>
      </c>
      <c r="H200" s="785">
        <v>25888</v>
      </c>
      <c r="I200" s="86">
        <v>320719</v>
      </c>
      <c r="J200" s="785">
        <v>31310</v>
      </c>
      <c r="K200" s="86">
        <v>385828</v>
      </c>
      <c r="L200" s="573">
        <v>1940.15</v>
      </c>
      <c r="M200" s="1976">
        <v>2139.0500000000002</v>
      </c>
      <c r="N200" s="573">
        <v>1978.732612583839</v>
      </c>
      <c r="O200" s="3141">
        <v>2218.2540195372035</v>
      </c>
      <c r="P200" s="201"/>
      <c r="Q200" s="201"/>
      <c r="R200" s="1982"/>
    </row>
    <row r="201" spans="1:18">
      <c r="A201" s="202">
        <f t="shared" si="0"/>
        <v>2009.12</v>
      </c>
      <c r="B201" s="252">
        <v>52172</v>
      </c>
      <c r="C201" s="3034">
        <v>32448</v>
      </c>
      <c r="D201" s="225">
        <v>19724</v>
      </c>
      <c r="E201" s="573">
        <v>733488</v>
      </c>
      <c r="F201" s="785">
        <v>1816</v>
      </c>
      <c r="G201" s="86">
        <v>21918</v>
      </c>
      <c r="H201" s="785">
        <v>25503</v>
      </c>
      <c r="I201" s="86">
        <v>309631</v>
      </c>
      <c r="J201" s="785">
        <v>30948</v>
      </c>
      <c r="K201" s="86">
        <v>373459</v>
      </c>
      <c r="L201" s="573">
        <v>2761.5</v>
      </c>
      <c r="M201" s="1976">
        <v>3152.58</v>
      </c>
      <c r="N201" s="573">
        <v>2822.7518514928265</v>
      </c>
      <c r="O201" s="3141">
        <v>3255.9586938325224</v>
      </c>
      <c r="P201" s="201"/>
      <c r="Q201" s="201"/>
      <c r="R201" s="1982"/>
    </row>
    <row r="202" spans="1:18">
      <c r="A202" s="202">
        <f t="shared" si="0"/>
        <v>2010.01</v>
      </c>
      <c r="B202" s="252">
        <v>59927</v>
      </c>
      <c r="C202" s="3034">
        <v>38726</v>
      </c>
      <c r="D202" s="225">
        <v>21201</v>
      </c>
      <c r="E202" s="573">
        <v>743563</v>
      </c>
      <c r="F202" s="785">
        <v>1844</v>
      </c>
      <c r="G202" s="86">
        <v>22322</v>
      </c>
      <c r="H202" s="785">
        <v>25606</v>
      </c>
      <c r="I202" s="86">
        <v>305289</v>
      </c>
      <c r="J202" s="785">
        <v>31058</v>
      </c>
      <c r="K202" s="86">
        <v>368374</v>
      </c>
      <c r="L202" s="573">
        <v>1936.82</v>
      </c>
      <c r="M202" s="1976">
        <v>2150.8000000000002</v>
      </c>
      <c r="N202" s="573">
        <v>1969.6148560757294</v>
      </c>
      <c r="O202" s="3141">
        <v>2213.9320754993569</v>
      </c>
      <c r="P202" s="201"/>
      <c r="Q202" s="201"/>
      <c r="R202" s="1982"/>
    </row>
    <row r="203" spans="1:18">
      <c r="A203" s="202">
        <f t="shared" si="0"/>
        <v>2010.02</v>
      </c>
      <c r="B203" s="252">
        <v>50312</v>
      </c>
      <c r="C203" s="3034">
        <v>32493</v>
      </c>
      <c r="D203" s="225">
        <v>17819</v>
      </c>
      <c r="E203" s="573">
        <v>692124</v>
      </c>
      <c r="F203" s="785">
        <v>1875</v>
      </c>
      <c r="G203" s="86">
        <v>22682</v>
      </c>
      <c r="H203" s="785">
        <v>25655</v>
      </c>
      <c r="I203" s="86">
        <v>309650</v>
      </c>
      <c r="J203" s="785">
        <v>31157</v>
      </c>
      <c r="K203" s="86">
        <v>373638</v>
      </c>
      <c r="L203" s="573">
        <v>1872.61</v>
      </c>
      <c r="M203" s="1976">
        <v>2094.04</v>
      </c>
      <c r="N203" s="573">
        <v>1897.8781959110311</v>
      </c>
      <c r="O203" s="3141">
        <v>2150.8158294391897</v>
      </c>
      <c r="P203" s="201"/>
      <c r="Q203" s="201"/>
      <c r="R203" s="1982"/>
    </row>
    <row r="204" spans="1:18">
      <c r="A204" s="202">
        <f t="shared" si="0"/>
        <v>2010.03</v>
      </c>
      <c r="B204" s="252">
        <v>67622</v>
      </c>
      <c r="C204" s="3034">
        <v>40307</v>
      </c>
      <c r="D204" s="225">
        <v>27315</v>
      </c>
      <c r="E204" s="573">
        <v>871646</v>
      </c>
      <c r="F204" s="785">
        <v>1915</v>
      </c>
      <c r="G204" s="86">
        <v>23090</v>
      </c>
      <c r="H204" s="785">
        <v>25381</v>
      </c>
      <c r="I204" s="86">
        <v>311943</v>
      </c>
      <c r="J204" s="785">
        <v>30944</v>
      </c>
      <c r="K204" s="86">
        <v>378292</v>
      </c>
      <c r="L204" s="573">
        <v>2252.21</v>
      </c>
      <c r="M204" s="1976">
        <v>2431.36</v>
      </c>
      <c r="N204" s="573">
        <v>2247.1834526887278</v>
      </c>
      <c r="O204" s="3141">
        <v>2477.3515681801364</v>
      </c>
      <c r="P204" s="201"/>
      <c r="Q204" s="201"/>
      <c r="R204" s="1982"/>
    </row>
    <row r="205" spans="1:18">
      <c r="A205" s="202">
        <f t="shared" si="0"/>
        <v>2010.04</v>
      </c>
      <c r="B205" s="252">
        <v>65127</v>
      </c>
      <c r="C205" s="3034">
        <v>39630</v>
      </c>
      <c r="D205" s="225">
        <v>25497</v>
      </c>
      <c r="E205" s="573">
        <v>819623</v>
      </c>
      <c r="F205" s="785">
        <v>1905</v>
      </c>
      <c r="G205" s="86">
        <v>23319</v>
      </c>
      <c r="H205" s="785">
        <v>25290</v>
      </c>
      <c r="I205" s="86">
        <v>315299</v>
      </c>
      <c r="J205" s="785">
        <v>30687</v>
      </c>
      <c r="K205" s="86">
        <v>381443</v>
      </c>
      <c r="L205" s="573">
        <v>2077.29</v>
      </c>
      <c r="M205" s="1976">
        <v>2309.96</v>
      </c>
      <c r="N205" s="573">
        <v>2097.5557903998433</v>
      </c>
      <c r="O205" s="3141">
        <v>2370.3761716691615</v>
      </c>
      <c r="P205" s="201"/>
      <c r="Q205" s="201"/>
      <c r="R205" s="1982"/>
    </row>
    <row r="206" spans="1:18">
      <c r="A206" s="202">
        <f t="shared" si="0"/>
        <v>2010.05</v>
      </c>
      <c r="B206" s="252">
        <v>62254</v>
      </c>
      <c r="C206" s="3034">
        <v>37143</v>
      </c>
      <c r="D206" s="225">
        <v>25111</v>
      </c>
      <c r="E206" s="573">
        <v>771257</v>
      </c>
      <c r="F206" s="785">
        <v>1347</v>
      </c>
      <c r="G206" s="86">
        <v>16088</v>
      </c>
      <c r="H206" s="785">
        <v>25145</v>
      </c>
      <c r="I206" s="86">
        <v>314793</v>
      </c>
      <c r="J206" s="785">
        <v>30585</v>
      </c>
      <c r="K206" s="86">
        <v>380863</v>
      </c>
      <c r="L206" s="573">
        <v>2268.9</v>
      </c>
      <c r="M206" s="1976">
        <v>2507.5</v>
      </c>
      <c r="N206" s="573">
        <v>2290.0552591139449</v>
      </c>
      <c r="O206" s="3141">
        <v>2566.4923673604421</v>
      </c>
      <c r="P206" s="201"/>
      <c r="Q206" s="201"/>
      <c r="R206" s="1982"/>
    </row>
    <row r="207" spans="1:18">
      <c r="A207" s="202">
        <f t="shared" si="0"/>
        <v>2010.06</v>
      </c>
      <c r="B207" s="252">
        <v>67270</v>
      </c>
      <c r="C207" s="3034">
        <v>39951</v>
      </c>
      <c r="D207" s="225">
        <v>27319</v>
      </c>
      <c r="E207" s="573">
        <v>802474</v>
      </c>
      <c r="F207" s="785">
        <v>1457</v>
      </c>
      <c r="G207" s="86">
        <v>17447</v>
      </c>
      <c r="H207" s="785">
        <v>25048</v>
      </c>
      <c r="I207" s="86">
        <v>315281</v>
      </c>
      <c r="J207" s="785">
        <v>30390</v>
      </c>
      <c r="K207" s="86">
        <v>380164</v>
      </c>
      <c r="L207" s="573">
        <v>3153.26</v>
      </c>
      <c r="M207" s="1976">
        <v>3570.29</v>
      </c>
      <c r="N207" s="573">
        <v>3222.49</v>
      </c>
      <c r="O207" s="3141">
        <v>3695.26</v>
      </c>
      <c r="P207" s="201"/>
      <c r="Q207" s="201"/>
      <c r="R207" s="1982"/>
    </row>
    <row r="208" spans="1:18">
      <c r="A208" s="202">
        <f t="shared" si="0"/>
        <v>2010.07</v>
      </c>
      <c r="B208" s="252">
        <v>72679</v>
      </c>
      <c r="C208" s="3034">
        <v>43472</v>
      </c>
      <c r="D208" s="225">
        <v>29207</v>
      </c>
      <c r="E208" s="573">
        <v>835247</v>
      </c>
      <c r="F208" s="785">
        <v>1540</v>
      </c>
      <c r="G208" s="86">
        <v>18449</v>
      </c>
      <c r="H208" s="785">
        <v>25294</v>
      </c>
      <c r="I208" s="86">
        <v>313345</v>
      </c>
      <c r="J208" s="785">
        <v>30867</v>
      </c>
      <c r="K208" s="86">
        <v>376942</v>
      </c>
      <c r="L208" s="573">
        <v>2225.6999999999998</v>
      </c>
      <c r="M208" s="1976">
        <v>2494.66</v>
      </c>
      <c r="N208" s="573">
        <v>2178.33</v>
      </c>
      <c r="O208" s="3141">
        <v>2476.25</v>
      </c>
      <c r="P208" s="201"/>
      <c r="Q208" s="201"/>
      <c r="R208" s="1982"/>
    </row>
    <row r="209" spans="1:18">
      <c r="A209" s="202">
        <f t="shared" si="0"/>
        <v>2010.08</v>
      </c>
      <c r="B209" s="252">
        <v>72346</v>
      </c>
      <c r="C209" s="3034">
        <v>44339</v>
      </c>
      <c r="D209" s="225">
        <v>28007</v>
      </c>
      <c r="E209" s="573">
        <v>901284</v>
      </c>
      <c r="F209" s="785">
        <v>1608</v>
      </c>
      <c r="G209" s="86">
        <v>19344</v>
      </c>
      <c r="H209" s="573">
        <v>26019</v>
      </c>
      <c r="I209" s="1976">
        <v>320219</v>
      </c>
      <c r="J209" s="785">
        <v>31743</v>
      </c>
      <c r="K209" s="86">
        <v>386662</v>
      </c>
      <c r="L209" s="573">
        <v>2393.69</v>
      </c>
      <c r="M209" s="1976">
        <v>2669.95</v>
      </c>
      <c r="N209" s="573">
        <v>2388.7800000000002</v>
      </c>
      <c r="O209" s="3141">
        <v>2767.37</v>
      </c>
      <c r="P209" s="201"/>
      <c r="Q209" s="201"/>
      <c r="R209" s="1982"/>
    </row>
    <row r="210" spans="1:18">
      <c r="A210" s="202">
        <f t="shared" si="0"/>
        <v>2010.09</v>
      </c>
      <c r="B210" s="252">
        <v>71787</v>
      </c>
      <c r="C210" s="3034">
        <v>43860</v>
      </c>
      <c r="D210" s="225">
        <v>27927</v>
      </c>
      <c r="E210" s="573">
        <v>911514</v>
      </c>
      <c r="F210" s="785">
        <v>1697</v>
      </c>
      <c r="G210" s="86">
        <v>20187</v>
      </c>
      <c r="H210" s="573">
        <v>26587</v>
      </c>
      <c r="I210" s="1976">
        <v>325007</v>
      </c>
      <c r="J210" s="785">
        <v>32650</v>
      </c>
      <c r="K210" s="86">
        <v>391275</v>
      </c>
      <c r="L210" s="573">
        <v>2343.16</v>
      </c>
      <c r="M210" s="1976">
        <v>2634.02</v>
      </c>
      <c r="N210" s="573">
        <v>2335.27</v>
      </c>
      <c r="O210" s="3141">
        <v>2727.53</v>
      </c>
      <c r="P210" s="201"/>
      <c r="Q210" s="201"/>
      <c r="R210" s="1982"/>
    </row>
    <row r="211" spans="1:18">
      <c r="A211" s="202">
        <f t="shared" si="0"/>
        <v>2010.1</v>
      </c>
      <c r="B211" s="252">
        <v>79384</v>
      </c>
      <c r="C211" s="3034">
        <v>45338</v>
      </c>
      <c r="D211" s="225">
        <v>34046</v>
      </c>
      <c r="E211" s="573">
        <v>934872</v>
      </c>
      <c r="F211" s="785">
        <v>1749</v>
      </c>
      <c r="G211" s="86">
        <v>20847</v>
      </c>
      <c r="H211" s="573">
        <v>26680</v>
      </c>
      <c r="I211" s="1976">
        <v>326034</v>
      </c>
      <c r="J211" s="785">
        <v>32594</v>
      </c>
      <c r="K211" s="86">
        <v>394360</v>
      </c>
      <c r="L211" s="573">
        <v>2360.48</v>
      </c>
      <c r="M211" s="1976">
        <v>2669.11</v>
      </c>
      <c r="N211" s="573">
        <v>2356.75</v>
      </c>
      <c r="O211" s="3141">
        <v>2768.13</v>
      </c>
      <c r="P211" s="201"/>
      <c r="Q211" s="201"/>
      <c r="R211" s="1982"/>
    </row>
    <row r="212" spans="1:18">
      <c r="A212" s="202">
        <f t="shared" si="0"/>
        <v>2010.11</v>
      </c>
      <c r="B212" s="252">
        <v>86817</v>
      </c>
      <c r="C212" s="3034">
        <v>47759</v>
      </c>
      <c r="D212" s="225">
        <v>39058</v>
      </c>
      <c r="E212" s="573">
        <v>1004211</v>
      </c>
      <c r="F212" s="785">
        <v>1810</v>
      </c>
      <c r="G212" s="86">
        <v>21470</v>
      </c>
      <c r="H212" s="573">
        <v>28230</v>
      </c>
      <c r="I212" s="1976">
        <v>337669</v>
      </c>
      <c r="J212" s="785">
        <v>34245</v>
      </c>
      <c r="K212" s="86">
        <v>405115</v>
      </c>
      <c r="L212" s="573">
        <v>2427.84</v>
      </c>
      <c r="M212" s="1976">
        <v>2776.4</v>
      </c>
      <c r="N212" s="573">
        <v>2423.5700000000002</v>
      </c>
      <c r="O212" s="3141">
        <v>2882.43</v>
      </c>
      <c r="P212" s="201"/>
      <c r="Q212" s="201"/>
      <c r="R212" s="1982"/>
    </row>
    <row r="213" spans="1:18">
      <c r="A213" s="202">
        <f t="shared" si="0"/>
        <v>2010.12</v>
      </c>
      <c r="B213" s="252">
        <v>78679</v>
      </c>
      <c r="C213" s="3034">
        <v>45154</v>
      </c>
      <c r="D213" s="225">
        <v>33525</v>
      </c>
      <c r="E213" s="573">
        <v>904291</v>
      </c>
      <c r="F213" s="785">
        <v>1854</v>
      </c>
      <c r="G213" s="86">
        <v>21941</v>
      </c>
      <c r="H213" s="573">
        <v>28013.197969543147</v>
      </c>
      <c r="I213" s="1976">
        <v>330948.22335025383</v>
      </c>
      <c r="J213" s="785">
        <v>33873</v>
      </c>
      <c r="K213" s="86">
        <v>398284</v>
      </c>
      <c r="L213" s="573">
        <v>3459.5078534031413</v>
      </c>
      <c r="M213" s="1976">
        <v>4017.256544502618</v>
      </c>
      <c r="N213" s="573">
        <v>3656</v>
      </c>
      <c r="O213" s="3141">
        <v>4295.88</v>
      </c>
      <c r="P213" s="201"/>
      <c r="Q213" s="201"/>
      <c r="R213" s="1982"/>
    </row>
    <row r="214" spans="1:18">
      <c r="A214" s="202">
        <f t="shared" si="0"/>
        <v>2011.01</v>
      </c>
      <c r="B214" s="252">
        <v>75139</v>
      </c>
      <c r="C214" s="3034">
        <v>46105</v>
      </c>
      <c r="D214" s="225">
        <v>29034</v>
      </c>
      <c r="E214" s="573">
        <v>851247</v>
      </c>
      <c r="F214" s="785">
        <v>1899</v>
      </c>
      <c r="G214" s="86">
        <v>22455</v>
      </c>
      <c r="H214" s="796" t="s">
        <v>356</v>
      </c>
      <c r="I214" s="2004" t="s">
        <v>356</v>
      </c>
      <c r="J214" s="785">
        <v>34219</v>
      </c>
      <c r="K214" s="86">
        <v>397626</v>
      </c>
      <c r="L214" s="796" t="s">
        <v>356</v>
      </c>
      <c r="M214" s="2004" t="s">
        <v>356</v>
      </c>
      <c r="N214" s="573">
        <v>2687.94</v>
      </c>
      <c r="O214" s="3141">
        <v>3097.24</v>
      </c>
      <c r="P214" s="201"/>
      <c r="Q214" s="201"/>
      <c r="R214" s="1982"/>
    </row>
    <row r="215" spans="1:18">
      <c r="A215" s="202">
        <f t="shared" si="0"/>
        <v>2011.02</v>
      </c>
      <c r="B215" s="252">
        <v>63105</v>
      </c>
      <c r="C215" s="3034">
        <v>38462</v>
      </c>
      <c r="D215" s="225">
        <v>24643</v>
      </c>
      <c r="E215" s="573">
        <v>819491</v>
      </c>
      <c r="F215" s="785">
        <v>1937</v>
      </c>
      <c r="G215" s="86">
        <v>22908</v>
      </c>
      <c r="H215" s="797"/>
      <c r="I215" s="2005"/>
      <c r="J215" s="785">
        <v>35408</v>
      </c>
      <c r="K215" s="86">
        <v>405353</v>
      </c>
      <c r="L215" s="2000"/>
      <c r="M215" s="2001"/>
      <c r="N215" s="573">
        <v>2554.71</v>
      </c>
      <c r="O215" s="3141">
        <v>2967.62</v>
      </c>
      <c r="P215" s="201"/>
      <c r="Q215" s="201"/>
      <c r="R215" s="1982"/>
    </row>
    <row r="216" spans="1:18">
      <c r="A216" s="202">
        <f t="shared" si="0"/>
        <v>2011.03</v>
      </c>
      <c r="B216" s="252">
        <v>78159</v>
      </c>
      <c r="C216" s="3034">
        <v>44696</v>
      </c>
      <c r="D216" s="225">
        <v>33463</v>
      </c>
      <c r="E216" s="573">
        <v>911933</v>
      </c>
      <c r="F216" s="785">
        <v>1983</v>
      </c>
      <c r="G216" s="86">
        <v>23471</v>
      </c>
      <c r="H216" s="797"/>
      <c r="I216" s="2005"/>
      <c r="J216" s="785">
        <v>35983</v>
      </c>
      <c r="K216" s="86">
        <v>413282</v>
      </c>
      <c r="L216" s="2000"/>
      <c r="M216" s="2001"/>
      <c r="N216" s="573">
        <v>2841.25</v>
      </c>
      <c r="O216" s="3141">
        <v>3278.17</v>
      </c>
      <c r="P216" s="201"/>
      <c r="Q216" s="201"/>
      <c r="R216" s="1982"/>
    </row>
    <row r="217" spans="1:18">
      <c r="A217" s="202">
        <f t="shared" si="0"/>
        <v>2011.04</v>
      </c>
      <c r="B217" s="252">
        <v>74411</v>
      </c>
      <c r="C217" s="3034">
        <v>44465</v>
      </c>
      <c r="D217" s="225">
        <v>29946</v>
      </c>
      <c r="E217" s="573">
        <v>938741</v>
      </c>
      <c r="F217" s="785">
        <v>2030</v>
      </c>
      <c r="G217" s="86">
        <v>23932</v>
      </c>
      <c r="H217" s="797"/>
      <c r="I217" s="2005"/>
      <c r="J217" s="785">
        <v>35767</v>
      </c>
      <c r="K217" s="86">
        <v>420035</v>
      </c>
      <c r="L217" s="2000"/>
      <c r="M217" s="2001"/>
      <c r="N217" s="573">
        <v>2663.04</v>
      </c>
      <c r="O217" s="3141">
        <v>3124.67</v>
      </c>
      <c r="P217" s="201"/>
      <c r="Q217" s="201"/>
      <c r="R217" s="1982"/>
    </row>
    <row r="218" spans="1:18">
      <c r="A218" s="202">
        <f t="shared" si="0"/>
        <v>2011.05</v>
      </c>
      <c r="B218" s="252">
        <v>79265</v>
      </c>
      <c r="C218" s="3034">
        <v>47746</v>
      </c>
      <c r="D218" s="225">
        <v>31519</v>
      </c>
      <c r="E218" s="573">
        <v>988185</v>
      </c>
      <c r="F218" s="785">
        <v>1633</v>
      </c>
      <c r="G218" s="86">
        <v>18537</v>
      </c>
      <c r="H218" s="797"/>
      <c r="I218" s="2005"/>
      <c r="J218" s="785">
        <v>36724</v>
      </c>
      <c r="K218" s="86">
        <v>424585</v>
      </c>
      <c r="L218" s="2000"/>
      <c r="M218" s="2001"/>
      <c r="N218" s="573">
        <v>3505.7</v>
      </c>
      <c r="O218" s="3141">
        <v>3994.1</v>
      </c>
      <c r="P218" s="201"/>
      <c r="Q218" s="201"/>
      <c r="R218" s="1982"/>
    </row>
    <row r="219" spans="1:18">
      <c r="A219" s="202">
        <f t="shared" si="0"/>
        <v>2011.06</v>
      </c>
      <c r="B219" s="252">
        <v>74056</v>
      </c>
      <c r="C219" s="3034">
        <v>43234</v>
      </c>
      <c r="D219" s="225">
        <v>30822</v>
      </c>
      <c r="E219" s="573">
        <v>887565</v>
      </c>
      <c r="F219" s="785">
        <v>1746</v>
      </c>
      <c r="G219" s="86">
        <v>19863</v>
      </c>
      <c r="H219" s="797"/>
      <c r="I219" s="2005"/>
      <c r="J219" s="785">
        <v>36762</v>
      </c>
      <c r="K219" s="86">
        <v>423663</v>
      </c>
      <c r="L219" s="2000"/>
      <c r="M219" s="2001"/>
      <c r="N219" s="573">
        <v>4171.07</v>
      </c>
      <c r="O219" s="3141">
        <v>4827.03</v>
      </c>
      <c r="P219" s="201"/>
      <c r="Q219" s="201"/>
      <c r="R219" s="1982"/>
    </row>
    <row r="220" spans="1:18">
      <c r="A220" s="202">
        <f t="shared" si="0"/>
        <v>2011.07</v>
      </c>
      <c r="B220" s="252">
        <v>80895</v>
      </c>
      <c r="C220" s="3034">
        <v>47094</v>
      </c>
      <c r="D220" s="225">
        <v>33801</v>
      </c>
      <c r="E220" s="573">
        <v>911313</v>
      </c>
      <c r="F220" s="785">
        <v>1810</v>
      </c>
      <c r="G220" s="86">
        <v>20815</v>
      </c>
      <c r="H220" s="797"/>
      <c r="I220" s="2005"/>
      <c r="J220" s="785">
        <v>37548</v>
      </c>
      <c r="K220" s="86">
        <v>422408</v>
      </c>
      <c r="L220" s="2000"/>
      <c r="M220" s="2001"/>
      <c r="N220" s="573">
        <v>3293.13</v>
      </c>
      <c r="O220" s="3141">
        <v>3635.97</v>
      </c>
      <c r="P220" s="201"/>
      <c r="Q220" s="201"/>
      <c r="R220" s="1982"/>
    </row>
    <row r="221" spans="1:18">
      <c r="A221" s="202">
        <f t="shared" si="0"/>
        <v>2011.08</v>
      </c>
      <c r="B221" s="252">
        <v>84311</v>
      </c>
      <c r="C221" s="3034">
        <v>49356</v>
      </c>
      <c r="D221" s="225">
        <v>34955</v>
      </c>
      <c r="E221" s="573">
        <v>1008599</v>
      </c>
      <c r="F221" s="785">
        <v>1887</v>
      </c>
      <c r="G221" s="86">
        <v>21801</v>
      </c>
      <c r="H221" s="797"/>
      <c r="I221" s="2005"/>
      <c r="J221" s="785">
        <v>38149</v>
      </c>
      <c r="K221" s="86">
        <v>425812</v>
      </c>
      <c r="L221" s="2000"/>
      <c r="M221" s="2001"/>
      <c r="N221" s="573">
        <v>3262.69</v>
      </c>
      <c r="O221" s="3141">
        <v>3656.44</v>
      </c>
      <c r="P221" s="201"/>
      <c r="Q221" s="201"/>
      <c r="R221" s="1982"/>
    </row>
    <row r="222" spans="1:18">
      <c r="A222" s="202">
        <f t="shared" si="0"/>
        <v>2011.09</v>
      </c>
      <c r="B222" s="252">
        <v>91531</v>
      </c>
      <c r="C222" s="3034">
        <v>55995</v>
      </c>
      <c r="D222" s="225">
        <v>35536</v>
      </c>
      <c r="E222" s="573">
        <v>1093892</v>
      </c>
      <c r="F222" s="785">
        <v>1967</v>
      </c>
      <c r="G222" s="86">
        <v>22681</v>
      </c>
      <c r="H222" s="797"/>
      <c r="I222" s="2005"/>
      <c r="J222" s="785">
        <v>37992</v>
      </c>
      <c r="K222" s="86">
        <v>428841</v>
      </c>
      <c r="L222" s="2000"/>
      <c r="M222" s="2001"/>
      <c r="N222" s="573">
        <v>3514.17</v>
      </c>
      <c r="O222" s="3141">
        <v>3863.58</v>
      </c>
      <c r="P222" s="201"/>
      <c r="Q222" s="201"/>
      <c r="R222" s="1982"/>
    </row>
    <row r="223" spans="1:18">
      <c r="A223" s="202">
        <f t="shared" si="0"/>
        <v>2011.1</v>
      </c>
      <c r="B223" s="252">
        <v>75635</v>
      </c>
      <c r="C223" s="3034">
        <v>48788</v>
      </c>
      <c r="D223" s="225">
        <v>26847</v>
      </c>
      <c r="E223" s="573">
        <v>1002307</v>
      </c>
      <c r="F223" s="785">
        <v>2026</v>
      </c>
      <c r="G223" s="86">
        <v>23326</v>
      </c>
      <c r="H223" s="2000"/>
      <c r="I223" s="2001"/>
      <c r="J223" s="785">
        <v>37959</v>
      </c>
      <c r="K223" s="86">
        <v>433984</v>
      </c>
      <c r="L223" s="2000"/>
      <c r="M223" s="2001"/>
      <c r="N223" s="573">
        <v>3413.1</v>
      </c>
      <c r="O223" s="3141">
        <v>3859.85</v>
      </c>
      <c r="P223" s="201"/>
      <c r="Q223" s="201"/>
      <c r="R223" s="1982"/>
    </row>
    <row r="224" spans="1:18">
      <c r="A224" s="202">
        <f t="shared" si="0"/>
        <v>2011.11</v>
      </c>
      <c r="B224" s="252">
        <v>81973</v>
      </c>
      <c r="C224" s="3034">
        <v>48396</v>
      </c>
      <c r="D224" s="225">
        <v>33577</v>
      </c>
      <c r="E224" s="573">
        <v>1049969</v>
      </c>
      <c r="F224" s="785">
        <v>2076</v>
      </c>
      <c r="G224" s="86">
        <v>23976</v>
      </c>
      <c r="H224" s="2000"/>
      <c r="I224" s="2001"/>
      <c r="J224" s="785">
        <v>38592</v>
      </c>
      <c r="K224" s="86">
        <v>438360</v>
      </c>
      <c r="L224" s="2000"/>
      <c r="M224" s="2001"/>
      <c r="N224" s="573">
        <v>3499.1</v>
      </c>
      <c r="O224" s="3141">
        <v>3987.7</v>
      </c>
      <c r="P224" s="201"/>
      <c r="Q224" s="201"/>
      <c r="R224" s="1982"/>
    </row>
    <row r="225" spans="1:18">
      <c r="A225" s="202">
        <f t="shared" si="0"/>
        <v>2011.12</v>
      </c>
      <c r="B225" s="252">
        <v>75564</v>
      </c>
      <c r="C225" s="3034">
        <v>45496</v>
      </c>
      <c r="D225" s="225">
        <v>30068</v>
      </c>
      <c r="E225" s="573">
        <v>922969</v>
      </c>
      <c r="F225" s="785">
        <v>2111</v>
      </c>
      <c r="G225" s="86">
        <v>24359</v>
      </c>
      <c r="H225" s="2000"/>
      <c r="I225" s="2001"/>
      <c r="J225" s="785">
        <v>37460</v>
      </c>
      <c r="K225" s="86">
        <v>418556</v>
      </c>
      <c r="L225" s="2000"/>
      <c r="M225" s="2001"/>
      <c r="N225" s="573">
        <v>4919.09</v>
      </c>
      <c r="O225" s="3141">
        <v>5669.73</v>
      </c>
      <c r="P225" s="201"/>
      <c r="Q225" s="201"/>
      <c r="R225" s="1982"/>
    </row>
    <row r="226" spans="1:18">
      <c r="A226" s="202">
        <f t="shared" si="0"/>
        <v>2012.01</v>
      </c>
      <c r="B226" s="252">
        <v>65876</v>
      </c>
      <c r="C226" s="3034">
        <v>40392</v>
      </c>
      <c r="D226" s="225">
        <v>25484</v>
      </c>
      <c r="E226" s="573">
        <v>860798</v>
      </c>
      <c r="F226" s="785">
        <v>2158</v>
      </c>
      <c r="G226" s="86">
        <v>24800</v>
      </c>
      <c r="H226" s="2000"/>
      <c r="I226" s="2001"/>
      <c r="J226" s="785">
        <v>37451</v>
      </c>
      <c r="K226" s="86">
        <v>410110</v>
      </c>
      <c r="L226" s="2000"/>
      <c r="M226" s="2001"/>
      <c r="N226" s="573">
        <v>3707.03</v>
      </c>
      <c r="O226" s="3141">
        <v>4158.92</v>
      </c>
      <c r="P226" s="201"/>
      <c r="Q226" s="201"/>
      <c r="R226" s="1982"/>
    </row>
    <row r="227" spans="1:18">
      <c r="A227" s="202">
        <f t="shared" si="0"/>
        <v>2012.02</v>
      </c>
      <c r="B227" s="252">
        <v>57253</v>
      </c>
      <c r="C227" s="3034">
        <v>35538</v>
      </c>
      <c r="D227" s="225">
        <v>21715</v>
      </c>
      <c r="E227" s="573">
        <v>763164</v>
      </c>
      <c r="F227" s="785">
        <v>2192</v>
      </c>
      <c r="G227" s="86">
        <v>25084</v>
      </c>
      <c r="H227" s="2000"/>
      <c r="I227" s="2001"/>
      <c r="J227" s="785">
        <v>37634</v>
      </c>
      <c r="K227" s="86">
        <v>408874</v>
      </c>
      <c r="L227" s="2000"/>
      <c r="M227" s="2001"/>
      <c r="N227" s="573">
        <v>3595.75</v>
      </c>
      <c r="O227" s="3141">
        <v>4150.67</v>
      </c>
      <c r="P227" s="201"/>
      <c r="Q227" s="201"/>
      <c r="R227" s="1982"/>
    </row>
    <row r="228" spans="1:18">
      <c r="A228" s="202">
        <f t="shared" si="0"/>
        <v>2012.03</v>
      </c>
      <c r="B228" s="252">
        <v>57400</v>
      </c>
      <c r="C228" s="3034">
        <v>33394</v>
      </c>
      <c r="D228" s="225">
        <v>24006</v>
      </c>
      <c r="E228" s="573">
        <v>952811</v>
      </c>
      <c r="F228" s="785">
        <v>2216</v>
      </c>
      <c r="G228" s="86">
        <v>25504</v>
      </c>
      <c r="H228" s="2000"/>
      <c r="I228" s="2001"/>
      <c r="J228" s="785">
        <v>37941</v>
      </c>
      <c r="K228" s="86">
        <v>416504</v>
      </c>
      <c r="L228" s="2000"/>
      <c r="M228" s="2001"/>
      <c r="N228" s="573">
        <v>3790.13</v>
      </c>
      <c r="O228" s="3141">
        <v>4353.6099999999997</v>
      </c>
      <c r="P228" s="201"/>
      <c r="Q228" s="201"/>
      <c r="R228" s="1982"/>
    </row>
    <row r="229" spans="1:18">
      <c r="A229" s="202">
        <f t="shared" si="0"/>
        <v>2012.04</v>
      </c>
      <c r="B229" s="252">
        <v>64655</v>
      </c>
      <c r="C229" s="3034">
        <v>40514</v>
      </c>
      <c r="D229" s="225">
        <v>24141</v>
      </c>
      <c r="E229" s="573">
        <v>782378</v>
      </c>
      <c r="F229" s="785">
        <v>2243</v>
      </c>
      <c r="G229" s="86">
        <v>25869</v>
      </c>
      <c r="H229" s="2000"/>
      <c r="I229" s="2001"/>
      <c r="J229" s="785">
        <v>36843</v>
      </c>
      <c r="K229" s="86">
        <v>410756</v>
      </c>
      <c r="L229" s="2000"/>
      <c r="M229" s="2001"/>
      <c r="N229" s="573">
        <v>3716.9</v>
      </c>
      <c r="O229" s="3141">
        <v>4238.08</v>
      </c>
      <c r="P229" s="201"/>
      <c r="Q229" s="201"/>
      <c r="R229" s="1982"/>
    </row>
    <row r="230" spans="1:18">
      <c r="A230" s="202">
        <f t="shared" si="0"/>
        <v>2012.05</v>
      </c>
      <c r="B230" s="252">
        <v>67533</v>
      </c>
      <c r="C230" s="3034">
        <v>43040</v>
      </c>
      <c r="D230" s="225">
        <v>24493</v>
      </c>
      <c r="E230" s="573">
        <v>871478</v>
      </c>
      <c r="F230" s="785">
        <v>1725</v>
      </c>
      <c r="G230" s="86">
        <v>18974</v>
      </c>
      <c r="H230" s="2000"/>
      <c r="I230" s="2001"/>
      <c r="J230" s="785">
        <v>36435</v>
      </c>
      <c r="K230" s="86">
        <v>409934</v>
      </c>
      <c r="L230" s="2000"/>
      <c r="M230" s="2001"/>
      <c r="N230" s="573">
        <v>3568.55</v>
      </c>
      <c r="O230" s="3141">
        <v>4196.47</v>
      </c>
      <c r="P230" s="201"/>
      <c r="Q230" s="201"/>
      <c r="R230" s="1982"/>
    </row>
    <row r="231" spans="1:18">
      <c r="A231" s="202">
        <f t="shared" si="0"/>
        <v>2012.06</v>
      </c>
      <c r="B231" s="252">
        <v>71984</v>
      </c>
      <c r="C231" s="3034">
        <v>44068</v>
      </c>
      <c r="D231" s="225">
        <v>27916</v>
      </c>
      <c r="E231" s="573">
        <v>888090</v>
      </c>
      <c r="F231" s="785">
        <v>1820</v>
      </c>
      <c r="G231" s="86">
        <v>20224</v>
      </c>
      <c r="H231" s="2000"/>
      <c r="I231" s="2001"/>
      <c r="J231" s="785">
        <v>35879</v>
      </c>
      <c r="K231" s="86">
        <v>403197</v>
      </c>
      <c r="L231" s="2000"/>
      <c r="M231" s="2001"/>
      <c r="N231" s="573">
        <v>5594.04</v>
      </c>
      <c r="O231" s="3141">
        <v>6375.24</v>
      </c>
      <c r="P231" s="201"/>
      <c r="Q231" s="201"/>
      <c r="R231" s="1982"/>
    </row>
    <row r="232" spans="1:18">
      <c r="A232" s="202">
        <f t="shared" si="0"/>
        <v>2012.07</v>
      </c>
      <c r="B232" s="252">
        <v>74949</v>
      </c>
      <c r="C232" s="3034">
        <v>46752</v>
      </c>
      <c r="D232" s="225">
        <v>28197</v>
      </c>
      <c r="E232" s="573">
        <v>904169</v>
      </c>
      <c r="F232" s="785">
        <v>1883</v>
      </c>
      <c r="G232" s="86">
        <v>21111</v>
      </c>
      <c r="H232" s="2000"/>
      <c r="I232" s="2001"/>
      <c r="J232" s="785">
        <v>35267</v>
      </c>
      <c r="K232" s="86">
        <v>398674</v>
      </c>
      <c r="L232" s="2000"/>
      <c r="M232" s="2001"/>
      <c r="N232" s="573">
        <v>4975.25</v>
      </c>
      <c r="O232" s="3141">
        <v>5665.51</v>
      </c>
      <c r="P232" s="201"/>
      <c r="Q232" s="201"/>
      <c r="R232" s="1982"/>
    </row>
    <row r="233" spans="1:18">
      <c r="A233" s="202">
        <f t="shared" si="0"/>
        <v>2012.08</v>
      </c>
      <c r="B233" s="252">
        <v>64861</v>
      </c>
      <c r="C233" s="3034">
        <v>42997</v>
      </c>
      <c r="D233" s="225">
        <v>21865</v>
      </c>
      <c r="E233" s="573">
        <v>841124</v>
      </c>
      <c r="F233" s="785">
        <v>1953</v>
      </c>
      <c r="G233" s="86">
        <v>22010</v>
      </c>
      <c r="H233" s="2000"/>
      <c r="I233" s="2001"/>
      <c r="J233" s="785">
        <v>35052</v>
      </c>
      <c r="K233" s="86">
        <v>398270</v>
      </c>
      <c r="L233" s="2000"/>
      <c r="M233" s="2001"/>
      <c r="N233" s="573">
        <v>4357.8100000000004</v>
      </c>
      <c r="O233" s="3141">
        <v>5048.5200000000004</v>
      </c>
      <c r="P233" s="201"/>
      <c r="Q233" s="201"/>
      <c r="R233" s="1982"/>
    </row>
    <row r="234" spans="1:18">
      <c r="A234" s="202">
        <f t="shared" si="0"/>
        <v>2012.09</v>
      </c>
      <c r="B234" s="252">
        <v>63236</v>
      </c>
      <c r="C234" s="3034">
        <v>41393</v>
      </c>
      <c r="D234" s="225">
        <v>21843</v>
      </c>
      <c r="E234" s="573">
        <v>889649</v>
      </c>
      <c r="F234" s="785">
        <v>1992</v>
      </c>
      <c r="G234" s="86">
        <v>22557</v>
      </c>
      <c r="H234" s="2000"/>
      <c r="I234" s="2001"/>
      <c r="J234" s="785">
        <v>34100</v>
      </c>
      <c r="K234" s="86">
        <v>394900</v>
      </c>
      <c r="L234" s="2000"/>
      <c r="M234" s="2001"/>
      <c r="N234" s="573">
        <v>3946.8232284568312</v>
      </c>
      <c r="O234" s="3141">
        <v>4789.67</v>
      </c>
      <c r="P234" s="201"/>
      <c r="Q234" s="201"/>
      <c r="R234" s="1982"/>
    </row>
    <row r="235" spans="1:18">
      <c r="A235" s="202">
        <f t="shared" si="0"/>
        <v>2012.1</v>
      </c>
      <c r="B235" s="252">
        <v>66755</v>
      </c>
      <c r="C235" s="3034">
        <v>46180</v>
      </c>
      <c r="D235" s="225">
        <v>20575</v>
      </c>
      <c r="E235" s="573">
        <v>954609</v>
      </c>
      <c r="F235" s="785">
        <v>2043</v>
      </c>
      <c r="G235" s="86">
        <v>23231</v>
      </c>
      <c r="H235" s="2000"/>
      <c r="I235" s="2001"/>
      <c r="J235" s="785">
        <v>34386</v>
      </c>
      <c r="K235" s="86">
        <v>401528</v>
      </c>
      <c r="L235" s="2000"/>
      <c r="M235" s="2001"/>
      <c r="N235" s="573">
        <v>4185.4129339970796</v>
      </c>
      <c r="O235" s="3141">
        <v>5045.43</v>
      </c>
      <c r="P235" s="201"/>
      <c r="Q235" s="201"/>
      <c r="R235" s="1982"/>
    </row>
    <row r="236" spans="1:18">
      <c r="A236" s="202">
        <f t="shared" si="0"/>
        <v>2012.11</v>
      </c>
      <c r="B236" s="252">
        <v>73211</v>
      </c>
      <c r="C236" s="3034">
        <v>48470</v>
      </c>
      <c r="D236" s="225">
        <v>24741</v>
      </c>
      <c r="E236" s="573">
        <v>959567</v>
      </c>
      <c r="F236" s="785">
        <v>2099</v>
      </c>
      <c r="G236" s="86">
        <v>23790</v>
      </c>
      <c r="H236" s="2000"/>
      <c r="I236" s="2001"/>
      <c r="J236" s="785">
        <v>34249</v>
      </c>
      <c r="K236" s="86">
        <v>400792</v>
      </c>
      <c r="L236" s="2000"/>
      <c r="M236" s="2001"/>
      <c r="N236" s="573">
        <v>4234.1375702988053</v>
      </c>
      <c r="O236" s="3141">
        <v>5101.38</v>
      </c>
      <c r="P236" s="201"/>
      <c r="Q236" s="201"/>
      <c r="R236" s="1982"/>
    </row>
    <row r="237" spans="1:18">
      <c r="A237" s="202">
        <f t="shared" si="0"/>
        <v>2012.12</v>
      </c>
      <c r="B237" s="252">
        <v>53603</v>
      </c>
      <c r="C237" s="3034">
        <v>36525</v>
      </c>
      <c r="D237" s="225">
        <v>17079</v>
      </c>
      <c r="E237" s="573">
        <v>787914</v>
      </c>
      <c r="F237" s="785">
        <v>2127</v>
      </c>
      <c r="G237" s="86">
        <v>24164</v>
      </c>
      <c r="H237" s="2000"/>
      <c r="I237" s="2001"/>
      <c r="J237" s="785">
        <v>32532</v>
      </c>
      <c r="K237" s="86">
        <v>384715</v>
      </c>
      <c r="L237" s="2000"/>
      <c r="M237" s="2001"/>
      <c r="N237" s="573">
        <v>5867.11</v>
      </c>
      <c r="O237" s="3141">
        <v>7303.04</v>
      </c>
      <c r="P237" s="201"/>
      <c r="Q237" s="201"/>
      <c r="R237" s="1982"/>
    </row>
    <row r="238" spans="1:18">
      <c r="A238" s="202">
        <f t="shared" si="0"/>
        <v>2013.01</v>
      </c>
      <c r="B238" s="252">
        <v>71356</v>
      </c>
      <c r="C238" s="3034">
        <v>48394</v>
      </c>
      <c r="D238" s="225">
        <v>22962</v>
      </c>
      <c r="E238" s="573">
        <v>888602</v>
      </c>
      <c r="F238" s="785">
        <v>2163</v>
      </c>
      <c r="G238" s="86">
        <v>24554</v>
      </c>
      <c r="H238" s="2000"/>
      <c r="I238" s="2001"/>
      <c r="J238" s="785">
        <v>33424</v>
      </c>
      <c r="K238" s="86">
        <v>383264</v>
      </c>
      <c r="L238" s="2000"/>
      <c r="M238" s="2001"/>
      <c r="N238" s="573">
        <v>4361.3</v>
      </c>
      <c r="O238" s="3141">
        <v>5214.7299999999996</v>
      </c>
      <c r="P238" s="201"/>
      <c r="Q238" s="201"/>
      <c r="R238" s="1982"/>
    </row>
    <row r="239" spans="1:18">
      <c r="A239" s="202">
        <f t="shared" si="0"/>
        <v>2013.02</v>
      </c>
      <c r="B239" s="252">
        <v>59164</v>
      </c>
      <c r="C239" s="3034">
        <v>40868</v>
      </c>
      <c r="D239" s="225">
        <v>18296</v>
      </c>
      <c r="E239" s="573">
        <v>809267</v>
      </c>
      <c r="F239" s="785">
        <v>2183</v>
      </c>
      <c r="G239" s="86">
        <v>24805</v>
      </c>
      <c r="H239" s="2000"/>
      <c r="I239" s="2001"/>
      <c r="J239" s="785">
        <v>33597</v>
      </c>
      <c r="K239" s="86">
        <v>386889</v>
      </c>
      <c r="L239" s="2000"/>
      <c r="M239" s="2001"/>
      <c r="N239" s="573">
        <v>4106.43</v>
      </c>
      <c r="O239" s="3141">
        <v>5028.1899999999996</v>
      </c>
      <c r="P239" s="201"/>
      <c r="Q239" s="201"/>
      <c r="R239" s="1982"/>
    </row>
    <row r="240" spans="1:18">
      <c r="A240" s="202">
        <f t="shared" si="0"/>
        <v>2013.03</v>
      </c>
      <c r="B240" s="252">
        <v>68581</v>
      </c>
      <c r="C240" s="3034">
        <v>44032</v>
      </c>
      <c r="D240" s="225">
        <v>24549</v>
      </c>
      <c r="E240" s="573">
        <v>915326</v>
      </c>
      <c r="F240" s="785">
        <v>2224</v>
      </c>
      <c r="G240" s="86">
        <v>25239</v>
      </c>
      <c r="H240" s="2000"/>
      <c r="I240" s="2001"/>
      <c r="J240" s="785">
        <v>34263</v>
      </c>
      <c r="K240" s="86">
        <v>394314</v>
      </c>
      <c r="L240" s="2000"/>
      <c r="M240" s="2001"/>
      <c r="N240" s="573">
        <v>4552.84</v>
      </c>
      <c r="O240" s="3141">
        <v>5356.25</v>
      </c>
      <c r="P240" s="201"/>
      <c r="Q240" s="201"/>
      <c r="R240" s="1982"/>
    </row>
    <row r="241" spans="1:18">
      <c r="A241" s="202">
        <f t="shared" si="0"/>
        <v>2013.04</v>
      </c>
      <c r="B241" s="252">
        <v>73516</v>
      </c>
      <c r="C241" s="3034">
        <v>48045</v>
      </c>
      <c r="D241" s="225">
        <v>25471</v>
      </c>
      <c r="E241" s="573">
        <v>946722</v>
      </c>
      <c r="F241" s="785">
        <v>2272</v>
      </c>
      <c r="G241" s="86">
        <v>25662</v>
      </c>
      <c r="H241" s="2000"/>
      <c r="I241" s="2001"/>
      <c r="J241" s="785">
        <v>34147</v>
      </c>
      <c r="K241" s="86">
        <v>400481</v>
      </c>
      <c r="L241" s="2000"/>
      <c r="M241" s="2001"/>
      <c r="N241" s="573">
        <v>4777.68</v>
      </c>
      <c r="O241" s="3141">
        <v>5497.51</v>
      </c>
      <c r="P241" s="201"/>
      <c r="Q241" s="201"/>
      <c r="R241" s="1982"/>
    </row>
    <row r="242" spans="1:18">
      <c r="A242" s="202">
        <f t="shared" ref="A242:A306" si="1">A230+1</f>
        <v>2013.05</v>
      </c>
      <c r="B242" s="252">
        <v>73511</v>
      </c>
      <c r="C242" s="3034">
        <v>48220</v>
      </c>
      <c r="D242" s="225">
        <v>25291</v>
      </c>
      <c r="E242" s="573">
        <v>998196</v>
      </c>
      <c r="F242" s="785">
        <v>1847</v>
      </c>
      <c r="G242" s="86">
        <v>20313</v>
      </c>
      <c r="H242" s="2000"/>
      <c r="I242" s="2001"/>
      <c r="J242" s="785">
        <v>34321</v>
      </c>
      <c r="K242" s="86">
        <v>400549</v>
      </c>
      <c r="L242" s="2000"/>
      <c r="M242" s="2001"/>
      <c r="N242" s="573">
        <v>4790.58</v>
      </c>
      <c r="O242" s="3141">
        <v>5492.11</v>
      </c>
      <c r="P242" s="201"/>
      <c r="Q242" s="201"/>
      <c r="R242" s="1982"/>
    </row>
    <row r="243" spans="1:18">
      <c r="A243" s="202">
        <f t="shared" si="1"/>
        <v>2013.06</v>
      </c>
      <c r="B243" s="252">
        <v>72709</v>
      </c>
      <c r="C243" s="3034">
        <v>46786</v>
      </c>
      <c r="D243" s="225">
        <v>25923</v>
      </c>
      <c r="E243" s="573">
        <v>913744</v>
      </c>
      <c r="F243" s="785">
        <v>1916</v>
      </c>
      <c r="G243" s="86">
        <v>21195</v>
      </c>
      <c r="H243" s="2000"/>
      <c r="I243" s="2001"/>
      <c r="J243" s="785">
        <v>33630</v>
      </c>
      <c r="K243" s="86">
        <v>393924</v>
      </c>
      <c r="L243" s="2000"/>
      <c r="M243" s="2001"/>
      <c r="N243" s="573">
        <v>6983.74</v>
      </c>
      <c r="O243" s="3141">
        <v>8070.92</v>
      </c>
      <c r="P243" s="201"/>
      <c r="Q243" s="201"/>
      <c r="R243" s="1982"/>
    </row>
    <row r="244" spans="1:18">
      <c r="A244" s="202">
        <f t="shared" si="1"/>
        <v>2013.07</v>
      </c>
      <c r="B244" s="252">
        <v>79222</v>
      </c>
      <c r="C244" s="3034">
        <v>51428</v>
      </c>
      <c r="D244" s="225">
        <v>27794</v>
      </c>
      <c r="E244" s="573">
        <v>1004648</v>
      </c>
      <c r="F244" s="785">
        <v>1996</v>
      </c>
      <c r="G244" s="86">
        <v>22056</v>
      </c>
      <c r="H244" s="2000"/>
      <c r="I244" s="2001"/>
      <c r="J244" s="785">
        <v>33965</v>
      </c>
      <c r="K244" s="86">
        <v>397754</v>
      </c>
      <c r="L244" s="2000"/>
      <c r="M244" s="2001"/>
      <c r="N244" s="573">
        <v>5642.57</v>
      </c>
      <c r="O244" s="3141">
        <v>6251.76</v>
      </c>
      <c r="P244" s="201"/>
      <c r="Q244" s="201"/>
      <c r="R244" s="1982"/>
    </row>
    <row r="245" spans="1:18">
      <c r="A245" s="202">
        <f t="shared" si="1"/>
        <v>2013.08</v>
      </c>
      <c r="B245" s="252">
        <v>87266</v>
      </c>
      <c r="C245" s="3034">
        <v>54860</v>
      </c>
      <c r="D245" s="225">
        <v>32406</v>
      </c>
      <c r="E245" s="573">
        <v>1071257</v>
      </c>
      <c r="F245" s="785">
        <v>2056</v>
      </c>
      <c r="G245" s="86">
        <v>22780</v>
      </c>
      <c r="H245" s="2000"/>
      <c r="I245" s="2001"/>
      <c r="J245" s="785">
        <v>33417</v>
      </c>
      <c r="K245" s="86">
        <v>400205</v>
      </c>
      <c r="L245" s="2000"/>
      <c r="M245" s="2001"/>
      <c r="N245" s="573">
        <v>5577.27</v>
      </c>
      <c r="O245" s="3141">
        <v>6103.32</v>
      </c>
      <c r="P245" s="201"/>
      <c r="Q245" s="201"/>
      <c r="R245" s="1982"/>
    </row>
    <row r="246" spans="1:18">
      <c r="A246" s="202">
        <f t="shared" si="1"/>
        <v>2013.09</v>
      </c>
      <c r="B246" s="252">
        <v>87790</v>
      </c>
      <c r="C246" s="3034">
        <v>56016</v>
      </c>
      <c r="D246" s="225">
        <v>31774</v>
      </c>
      <c r="E246" s="573">
        <v>1042359</v>
      </c>
      <c r="F246" s="785">
        <v>2105</v>
      </c>
      <c r="G246" s="86">
        <v>23464</v>
      </c>
      <c r="H246" s="2000"/>
      <c r="I246" s="2001"/>
      <c r="J246" s="785">
        <v>33481</v>
      </c>
      <c r="K246" s="86">
        <v>402343</v>
      </c>
      <c r="L246" s="2000"/>
      <c r="M246" s="2001"/>
      <c r="N246" s="573">
        <v>5342.75</v>
      </c>
      <c r="O246" s="3141">
        <v>5814.42</v>
      </c>
      <c r="P246" s="201"/>
      <c r="Q246" s="201"/>
      <c r="R246" s="1982"/>
    </row>
    <row r="247" spans="1:18">
      <c r="A247" s="202">
        <f t="shared" si="1"/>
        <v>2013.1</v>
      </c>
      <c r="B247" s="252">
        <v>92614</v>
      </c>
      <c r="C247" s="3034">
        <v>60100</v>
      </c>
      <c r="D247" s="225">
        <v>32514</v>
      </c>
      <c r="E247" s="573">
        <v>1136672</v>
      </c>
      <c r="F247" s="785">
        <v>2154</v>
      </c>
      <c r="G247" s="86">
        <v>24135</v>
      </c>
      <c r="H247" s="2000"/>
      <c r="I247" s="2001"/>
      <c r="J247" s="785">
        <v>33730</v>
      </c>
      <c r="K247" s="86">
        <v>409888</v>
      </c>
      <c r="L247" s="2000"/>
      <c r="M247" s="2001"/>
      <c r="N247" s="573">
        <v>5615.54</v>
      </c>
      <c r="O247" s="3141">
        <v>6271.93</v>
      </c>
      <c r="P247" s="201"/>
      <c r="Q247" s="201"/>
      <c r="R247" s="1982"/>
    </row>
    <row r="248" spans="1:18">
      <c r="A248" s="202">
        <f t="shared" si="1"/>
        <v>2013.11</v>
      </c>
      <c r="B248" s="252">
        <v>80109</v>
      </c>
      <c r="C248" s="3034">
        <v>53830</v>
      </c>
      <c r="D248" s="225">
        <v>26280</v>
      </c>
      <c r="E248" s="573">
        <v>1046488</v>
      </c>
      <c r="F248" s="785">
        <v>2187</v>
      </c>
      <c r="G248" s="86">
        <v>24654</v>
      </c>
      <c r="H248" s="2000"/>
      <c r="I248" s="2001"/>
      <c r="J248" s="785">
        <v>33863</v>
      </c>
      <c r="K248" s="86">
        <v>404092</v>
      </c>
      <c r="L248" s="2000"/>
      <c r="M248" s="2001"/>
      <c r="N248" s="573">
        <v>5314.43</v>
      </c>
      <c r="O248" s="3141">
        <v>5987.9</v>
      </c>
      <c r="P248" s="201"/>
      <c r="Q248" s="201"/>
      <c r="R248" s="1982"/>
    </row>
    <row r="249" spans="1:18">
      <c r="A249" s="202">
        <f t="shared" si="1"/>
        <v>2013.12</v>
      </c>
      <c r="B249" s="252">
        <v>72370</v>
      </c>
      <c r="C249" s="3034">
        <v>46237</v>
      </c>
      <c r="D249" s="225">
        <v>26134</v>
      </c>
      <c r="E249" s="573">
        <v>914744</v>
      </c>
      <c r="F249" s="785">
        <v>2217</v>
      </c>
      <c r="G249" s="86">
        <v>25049</v>
      </c>
      <c r="H249" s="2000"/>
      <c r="I249" s="2001"/>
      <c r="J249" s="785">
        <v>33388</v>
      </c>
      <c r="K249" s="86">
        <v>387510</v>
      </c>
      <c r="L249" s="2000"/>
      <c r="M249" s="2001"/>
      <c r="N249" s="573">
        <v>7769.78</v>
      </c>
      <c r="O249" s="3141">
        <v>8789.9</v>
      </c>
      <c r="P249" s="201"/>
      <c r="Q249" s="201"/>
      <c r="R249" s="1982"/>
    </row>
    <row r="250" spans="1:18">
      <c r="A250" s="202">
        <f t="shared" si="1"/>
        <v>2014.01</v>
      </c>
      <c r="B250" s="252">
        <v>71424</v>
      </c>
      <c r="C250" s="3034">
        <v>48864</v>
      </c>
      <c r="D250" s="225">
        <v>22560</v>
      </c>
      <c r="E250" s="573">
        <v>910318</v>
      </c>
      <c r="F250" s="785">
        <v>2255</v>
      </c>
      <c r="G250" s="86">
        <v>25377</v>
      </c>
      <c r="H250" s="2000"/>
      <c r="I250" s="2001"/>
      <c r="J250" s="785">
        <v>33301</v>
      </c>
      <c r="K250" s="86">
        <v>381368</v>
      </c>
      <c r="L250" s="2000"/>
      <c r="M250" s="2001"/>
      <c r="N250" s="573">
        <v>5481.23</v>
      </c>
      <c r="O250" s="3141">
        <v>6151.3</v>
      </c>
      <c r="P250" s="201"/>
      <c r="Q250" s="201"/>
      <c r="R250" s="1982"/>
    </row>
    <row r="251" spans="1:18">
      <c r="A251" s="202">
        <f t="shared" si="1"/>
        <v>2014.02</v>
      </c>
      <c r="B251" s="252">
        <v>53417</v>
      </c>
      <c r="C251" s="3034">
        <v>34634</v>
      </c>
      <c r="D251" s="225">
        <v>18783</v>
      </c>
      <c r="E251" s="573">
        <v>783917</v>
      </c>
      <c r="F251" s="785">
        <v>2273</v>
      </c>
      <c r="G251" s="86">
        <v>25556</v>
      </c>
      <c r="H251" s="2000"/>
      <c r="I251" s="2001"/>
      <c r="J251" s="785">
        <v>33079</v>
      </c>
      <c r="K251" s="86">
        <v>380439</v>
      </c>
      <c r="L251" s="2000"/>
      <c r="M251" s="2001"/>
      <c r="N251" s="573">
        <v>5115.1400000000003</v>
      </c>
      <c r="O251" s="3141">
        <v>5823.8</v>
      </c>
      <c r="P251" s="201"/>
      <c r="Q251" s="201"/>
      <c r="R251" s="1982"/>
    </row>
    <row r="252" spans="1:18">
      <c r="A252" s="202">
        <f t="shared" si="1"/>
        <v>2014.03</v>
      </c>
      <c r="B252" s="252">
        <v>70511</v>
      </c>
      <c r="C252" s="3034">
        <v>44990</v>
      </c>
      <c r="D252" s="225">
        <v>25521</v>
      </c>
      <c r="E252" s="573">
        <v>898807</v>
      </c>
      <c r="F252" s="785">
        <v>2289</v>
      </c>
      <c r="G252" s="86">
        <v>25750</v>
      </c>
      <c r="H252" s="2000"/>
      <c r="I252" s="2001"/>
      <c r="J252" s="785">
        <v>32762</v>
      </c>
      <c r="K252" s="86">
        <v>384018</v>
      </c>
      <c r="L252" s="2000"/>
      <c r="M252" s="2001"/>
      <c r="N252" s="573">
        <v>5518.09</v>
      </c>
      <c r="O252" s="3141">
        <v>6300.46</v>
      </c>
      <c r="P252" s="201"/>
      <c r="Q252" s="201"/>
      <c r="R252" s="1982"/>
    </row>
    <row r="253" spans="1:18">
      <c r="A253" s="202">
        <f t="shared" si="1"/>
        <v>2014.04</v>
      </c>
      <c r="B253" s="252">
        <v>71546</v>
      </c>
      <c r="C253" s="3034">
        <v>45496</v>
      </c>
      <c r="D253" s="225">
        <v>26050</v>
      </c>
      <c r="E253" s="573">
        <v>895697</v>
      </c>
      <c r="F253" s="785">
        <v>2288</v>
      </c>
      <c r="G253" s="86">
        <v>25963</v>
      </c>
      <c r="H253" s="2000"/>
      <c r="I253" s="2001"/>
      <c r="J253" s="785">
        <v>32521</v>
      </c>
      <c r="K253" s="86">
        <v>382339</v>
      </c>
      <c r="L253" s="2000"/>
      <c r="M253" s="2001"/>
      <c r="N253" s="573">
        <v>6497.88</v>
      </c>
      <c r="O253" s="3141">
        <v>7066.8</v>
      </c>
      <c r="P253" s="201"/>
      <c r="Q253" s="201"/>
      <c r="R253" s="1982"/>
    </row>
    <row r="254" spans="1:18">
      <c r="A254" s="202">
        <f t="shared" si="1"/>
        <v>2014.05</v>
      </c>
      <c r="B254" s="252">
        <v>73960</v>
      </c>
      <c r="C254" s="3034">
        <v>46834</v>
      </c>
      <c r="D254" s="225">
        <v>27126</v>
      </c>
      <c r="E254" s="573">
        <v>920093</v>
      </c>
      <c r="F254" s="785">
        <v>1632</v>
      </c>
      <c r="G254" s="86">
        <v>17832</v>
      </c>
      <c r="H254" s="2000"/>
      <c r="I254" s="2001"/>
      <c r="J254" s="785">
        <v>32941</v>
      </c>
      <c r="K254" s="86">
        <v>387072</v>
      </c>
      <c r="L254" s="2000"/>
      <c r="M254" s="2001"/>
      <c r="N254" s="573">
        <v>6763.42</v>
      </c>
      <c r="O254" s="3141">
        <v>7387.83</v>
      </c>
      <c r="P254" s="201"/>
      <c r="Q254" s="201"/>
      <c r="R254" s="1982"/>
    </row>
    <row r="255" spans="1:18">
      <c r="A255" s="202">
        <f t="shared" si="1"/>
        <v>2014.06</v>
      </c>
      <c r="B255" s="252">
        <v>75655</v>
      </c>
      <c r="C255" s="3034">
        <v>46566</v>
      </c>
      <c r="D255" s="225">
        <v>29089</v>
      </c>
      <c r="E255" s="573">
        <v>886097</v>
      </c>
      <c r="F255" s="785">
        <v>1724</v>
      </c>
      <c r="G255" s="86">
        <v>19079</v>
      </c>
      <c r="H255" s="2000"/>
      <c r="I255" s="2001"/>
      <c r="J255" s="785">
        <v>33110</v>
      </c>
      <c r="K255" s="86">
        <v>387041</v>
      </c>
      <c r="L255" s="2000"/>
      <c r="M255" s="2001"/>
      <c r="N255" s="573">
        <v>8990.77</v>
      </c>
      <c r="O255" s="3141">
        <v>9929.42</v>
      </c>
      <c r="P255" s="201"/>
      <c r="Q255" s="201"/>
      <c r="R255" s="1982"/>
    </row>
    <row r="256" spans="1:18">
      <c r="A256" s="202">
        <f t="shared" si="1"/>
        <v>2014.07</v>
      </c>
      <c r="B256" s="252">
        <v>77542</v>
      </c>
      <c r="C256" s="3034">
        <v>49232</v>
      </c>
      <c r="D256" s="225">
        <v>28310</v>
      </c>
      <c r="E256" s="573">
        <v>949904</v>
      </c>
      <c r="F256" s="785">
        <v>1809</v>
      </c>
      <c r="G256" s="86">
        <v>20094</v>
      </c>
      <c r="H256" s="2000"/>
      <c r="I256" s="2001"/>
      <c r="J256" s="785">
        <v>33099</v>
      </c>
      <c r="K256" s="86">
        <v>389194</v>
      </c>
      <c r="L256" s="2000"/>
      <c r="M256" s="2001"/>
      <c r="N256" s="573">
        <v>7170.37</v>
      </c>
      <c r="O256" s="3141">
        <v>7795.58</v>
      </c>
      <c r="P256" s="201"/>
      <c r="Q256" s="201"/>
      <c r="R256" s="1982"/>
    </row>
    <row r="257" spans="1:18">
      <c r="A257" s="202">
        <f t="shared" si="1"/>
        <v>2014.08</v>
      </c>
      <c r="B257" s="252">
        <v>83732</v>
      </c>
      <c r="C257" s="3034">
        <v>52684</v>
      </c>
      <c r="D257" s="225">
        <v>31048</v>
      </c>
      <c r="E257" s="573">
        <v>993651</v>
      </c>
      <c r="F257" s="785">
        <v>1850</v>
      </c>
      <c r="G257" s="86">
        <v>20751</v>
      </c>
      <c r="H257" s="2000"/>
      <c r="I257" s="2001"/>
      <c r="J257" s="785">
        <v>32975</v>
      </c>
      <c r="K257" s="86">
        <v>388235</v>
      </c>
      <c r="L257" s="2000"/>
      <c r="M257" s="2001"/>
      <c r="N257" s="573">
        <v>7007.8149982769664</v>
      </c>
      <c r="O257" s="3141">
        <v>7645.503663292473</v>
      </c>
      <c r="P257" s="201"/>
      <c r="Q257" s="201"/>
      <c r="R257" s="1982"/>
    </row>
    <row r="258" spans="1:18">
      <c r="A258" s="202">
        <f t="shared" si="1"/>
        <v>2014.09</v>
      </c>
      <c r="B258" s="252">
        <v>85093</v>
      </c>
      <c r="C258" s="3034">
        <v>56834</v>
      </c>
      <c r="D258" s="225">
        <v>28259</v>
      </c>
      <c r="E258" s="573">
        <v>1045852</v>
      </c>
      <c r="F258" s="785">
        <v>1917</v>
      </c>
      <c r="G258" s="86">
        <v>21523</v>
      </c>
      <c r="H258" s="2000"/>
      <c r="I258" s="2001"/>
      <c r="J258" s="785">
        <v>33106</v>
      </c>
      <c r="K258" s="86">
        <v>391496</v>
      </c>
      <c r="L258" s="2000"/>
      <c r="M258" s="2001"/>
      <c r="N258" s="573">
        <v>7102.13</v>
      </c>
      <c r="O258" s="3141">
        <v>7727.37</v>
      </c>
      <c r="P258" s="201"/>
      <c r="Q258" s="201"/>
      <c r="R258" s="1982"/>
    </row>
    <row r="259" spans="1:18">
      <c r="A259" s="202">
        <f t="shared" si="1"/>
        <v>2014.1</v>
      </c>
      <c r="B259" s="252">
        <v>87730</v>
      </c>
      <c r="C259" s="3034">
        <v>56883</v>
      </c>
      <c r="D259" s="225">
        <v>30847</v>
      </c>
      <c r="E259" s="573">
        <v>1101044</v>
      </c>
      <c r="F259" s="785">
        <v>1962</v>
      </c>
      <c r="G259" s="86">
        <v>22215</v>
      </c>
      <c r="H259" s="2000"/>
      <c r="I259" s="2001"/>
      <c r="J259" s="785">
        <v>33831</v>
      </c>
      <c r="K259" s="86">
        <v>400991</v>
      </c>
      <c r="L259" s="2000"/>
      <c r="M259" s="2001"/>
      <c r="N259" s="573">
        <v>7717.04</v>
      </c>
      <c r="O259" s="3141">
        <v>8034.5</v>
      </c>
      <c r="P259" s="201"/>
      <c r="Q259" s="201"/>
      <c r="R259" s="1982"/>
    </row>
    <row r="260" spans="1:18">
      <c r="A260" s="202">
        <f t="shared" si="1"/>
        <v>2014.11</v>
      </c>
      <c r="B260" s="252">
        <v>79332</v>
      </c>
      <c r="C260" s="3154">
        <v>51487</v>
      </c>
      <c r="D260" s="225">
        <v>27845</v>
      </c>
      <c r="E260" s="573">
        <v>996205</v>
      </c>
      <c r="F260" s="785">
        <v>1998</v>
      </c>
      <c r="G260" s="86">
        <v>22693</v>
      </c>
      <c r="H260" s="2000"/>
      <c r="I260" s="2001"/>
      <c r="J260" s="785">
        <v>33850</v>
      </c>
      <c r="K260" s="86">
        <v>400589</v>
      </c>
      <c r="L260" s="2000"/>
      <c r="M260" s="2001"/>
      <c r="N260" s="573">
        <v>6999.17</v>
      </c>
      <c r="O260" s="3141">
        <v>7655.15</v>
      </c>
      <c r="P260" s="201"/>
      <c r="Q260" s="201"/>
      <c r="R260" s="1982"/>
    </row>
    <row r="261" spans="1:18">
      <c r="A261" s="202">
        <f t="shared" si="1"/>
        <v>2014.12</v>
      </c>
      <c r="B261" s="252">
        <v>71637</v>
      </c>
      <c r="C261" s="3034">
        <v>45871</v>
      </c>
      <c r="D261" s="225">
        <v>25766</v>
      </c>
      <c r="E261" s="573">
        <v>892312</v>
      </c>
      <c r="F261" s="785">
        <v>2035</v>
      </c>
      <c r="G261" s="86">
        <v>23092</v>
      </c>
      <c r="H261" s="2000"/>
      <c r="I261" s="2001"/>
      <c r="J261" s="785">
        <v>33552</v>
      </c>
      <c r="K261" s="86">
        <v>389626</v>
      </c>
      <c r="L261" s="2000"/>
      <c r="M261" s="2001"/>
      <c r="N261" s="573">
        <v>10574.82</v>
      </c>
      <c r="O261" s="3141">
        <v>11477.09</v>
      </c>
      <c r="P261" s="201"/>
      <c r="Q261" s="201"/>
      <c r="R261" s="1982"/>
    </row>
    <row r="262" spans="1:18">
      <c r="A262" s="202">
        <f t="shared" si="1"/>
        <v>2015.01</v>
      </c>
      <c r="B262" s="252">
        <v>72542</v>
      </c>
      <c r="C262" s="3034">
        <v>48716</v>
      </c>
      <c r="D262" s="225">
        <v>23826</v>
      </c>
      <c r="E262" s="573">
        <v>928200</v>
      </c>
      <c r="F262" s="785">
        <v>2067</v>
      </c>
      <c r="G262" s="86">
        <v>23428</v>
      </c>
      <c r="H262" s="2000"/>
      <c r="I262" s="2001"/>
      <c r="J262" s="785">
        <v>33590</v>
      </c>
      <c r="K262" s="86">
        <v>390346</v>
      </c>
      <c r="L262" s="2000"/>
      <c r="M262" s="2001"/>
      <c r="N262" s="800">
        <v>7171.04</v>
      </c>
      <c r="O262" s="3155">
        <v>7833.72</v>
      </c>
      <c r="P262" s="201"/>
      <c r="Q262" s="201"/>
      <c r="R262" s="1982"/>
    </row>
    <row r="263" spans="1:18">
      <c r="A263" s="202">
        <f t="shared" si="1"/>
        <v>2015.02</v>
      </c>
      <c r="B263" s="252">
        <v>70064</v>
      </c>
      <c r="C263" s="3034">
        <v>43300</v>
      </c>
      <c r="D263" s="225">
        <v>26764</v>
      </c>
      <c r="E263" s="573">
        <v>885296</v>
      </c>
      <c r="F263" s="785">
        <v>2088</v>
      </c>
      <c r="G263" s="86">
        <v>23678</v>
      </c>
      <c r="H263" s="2000"/>
      <c r="I263" s="2001"/>
      <c r="J263" s="785">
        <v>33446</v>
      </c>
      <c r="K263" s="86">
        <v>396719</v>
      </c>
      <c r="L263" s="2000"/>
      <c r="M263" s="2001"/>
      <c r="N263" s="573">
        <v>6965.13</v>
      </c>
      <c r="O263" s="3141">
        <v>7707.24</v>
      </c>
      <c r="P263" s="201"/>
      <c r="Q263" s="201"/>
      <c r="R263" s="1982"/>
    </row>
    <row r="264" spans="1:18">
      <c r="A264" s="202">
        <f t="shared" si="1"/>
        <v>2015.03</v>
      </c>
      <c r="B264" s="252">
        <v>73371</v>
      </c>
      <c r="C264" s="3034">
        <v>45626</v>
      </c>
      <c r="D264" s="225">
        <v>27745</v>
      </c>
      <c r="E264" s="573">
        <v>967701</v>
      </c>
      <c r="F264" s="785">
        <v>2103</v>
      </c>
      <c r="G264" s="86">
        <v>24118</v>
      </c>
      <c r="H264" s="2000"/>
      <c r="I264" s="2001"/>
      <c r="J264" s="785">
        <v>33873</v>
      </c>
      <c r="K264" s="86">
        <v>409170</v>
      </c>
      <c r="L264" s="2000"/>
      <c r="M264" s="2001"/>
      <c r="N264" s="573">
        <v>7391.31</v>
      </c>
      <c r="O264" s="3141">
        <v>8078.19</v>
      </c>
      <c r="P264" s="201"/>
      <c r="Q264" s="201"/>
      <c r="R264" s="1982"/>
    </row>
    <row r="265" spans="1:18">
      <c r="A265" s="202">
        <f t="shared" si="1"/>
        <v>2015.04</v>
      </c>
      <c r="B265" s="252">
        <v>83388</v>
      </c>
      <c r="C265" s="3034">
        <v>50147</v>
      </c>
      <c r="D265" s="225">
        <v>33240</v>
      </c>
      <c r="E265" s="573">
        <v>1045288</v>
      </c>
      <c r="F265" s="785">
        <v>2130</v>
      </c>
      <c r="G265" s="86">
        <v>24601</v>
      </c>
      <c r="H265" s="2000"/>
      <c r="I265" s="2001"/>
      <c r="J265" s="785">
        <v>33871</v>
      </c>
      <c r="K265" s="86">
        <v>416315</v>
      </c>
      <c r="L265" s="2000"/>
      <c r="M265" s="2001"/>
      <c r="N265" s="573">
        <v>7581.6</v>
      </c>
      <c r="O265" s="3141">
        <v>8186.18</v>
      </c>
      <c r="P265" s="201"/>
      <c r="Q265" s="201"/>
      <c r="R265" s="1982"/>
    </row>
    <row r="266" spans="1:18">
      <c r="A266" s="202">
        <f t="shared" si="1"/>
        <v>2015.05</v>
      </c>
      <c r="B266" s="252">
        <v>80162</v>
      </c>
      <c r="C266" s="3034">
        <v>48232</v>
      </c>
      <c r="D266" s="225">
        <v>31930</v>
      </c>
      <c r="E266" s="573">
        <v>996155</v>
      </c>
      <c r="F266" s="785">
        <v>1704</v>
      </c>
      <c r="G266" s="86">
        <v>19130</v>
      </c>
      <c r="H266" s="2000"/>
      <c r="I266" s="2001"/>
      <c r="J266" s="785">
        <v>34042</v>
      </c>
      <c r="K266" s="86">
        <v>421373</v>
      </c>
      <c r="L266" s="2000"/>
      <c r="M266" s="2001"/>
      <c r="N266" s="573">
        <v>8000.11</v>
      </c>
      <c r="O266" s="3141">
        <v>8171.01</v>
      </c>
      <c r="P266" s="201"/>
      <c r="Q266" s="201"/>
      <c r="R266" s="1982"/>
    </row>
    <row r="267" spans="1:18">
      <c r="A267" s="202">
        <f t="shared" si="1"/>
        <v>2015.06</v>
      </c>
      <c r="B267" s="252">
        <v>84889</v>
      </c>
      <c r="C267" s="3034">
        <v>53126</v>
      </c>
      <c r="D267" s="225">
        <v>31763</v>
      </c>
      <c r="E267" s="573">
        <v>1055480</v>
      </c>
      <c r="F267" s="785">
        <v>1779</v>
      </c>
      <c r="G267" s="86">
        <v>20214</v>
      </c>
      <c r="H267" s="2000"/>
      <c r="I267" s="2001"/>
      <c r="J267" s="785">
        <v>34333</v>
      </c>
      <c r="K267" s="86">
        <v>427279</v>
      </c>
      <c r="L267" s="2000"/>
      <c r="M267" s="2001"/>
      <c r="N267" s="573">
        <v>11511.93</v>
      </c>
      <c r="O267" s="3141">
        <v>12116.64</v>
      </c>
      <c r="P267" s="201"/>
      <c r="Q267" s="201"/>
      <c r="R267" s="1982"/>
    </row>
    <row r="268" spans="1:18">
      <c r="A268" s="202">
        <f t="shared" si="1"/>
        <v>2015.07</v>
      </c>
      <c r="B268" s="252">
        <v>79655</v>
      </c>
      <c r="C268" s="3034">
        <v>49860</v>
      </c>
      <c r="D268" s="225">
        <v>29795</v>
      </c>
      <c r="E268" s="573">
        <v>1069622</v>
      </c>
      <c r="F268" s="785">
        <v>1844</v>
      </c>
      <c r="G268" s="86">
        <v>20958</v>
      </c>
      <c r="H268" s="2000"/>
      <c r="I268" s="2001"/>
      <c r="J268" s="785">
        <v>34074</v>
      </c>
      <c r="K268" s="86">
        <v>425341</v>
      </c>
      <c r="L268" s="2000"/>
      <c r="M268" s="2001"/>
      <c r="N268" s="573">
        <v>8956.02</v>
      </c>
      <c r="O268" s="3141">
        <v>9444.15</v>
      </c>
      <c r="P268" s="201"/>
      <c r="Q268" s="201"/>
      <c r="R268" s="1982"/>
    </row>
    <row r="269" spans="1:18">
      <c r="A269" s="202">
        <f t="shared" si="1"/>
        <v>2015.08</v>
      </c>
      <c r="B269" s="252">
        <v>77272</v>
      </c>
      <c r="C269" s="3034">
        <v>53263</v>
      </c>
      <c r="D269" s="225">
        <v>24009</v>
      </c>
      <c r="E269" s="573">
        <v>977469</v>
      </c>
      <c r="F269" s="785">
        <v>1891</v>
      </c>
      <c r="G269" s="86">
        <v>21592</v>
      </c>
      <c r="H269" s="2000"/>
      <c r="I269" s="2001"/>
      <c r="J269" s="785">
        <v>33779</v>
      </c>
      <c r="K269" s="86">
        <v>422379</v>
      </c>
      <c r="L269" s="2000"/>
      <c r="M269" s="2001"/>
      <c r="N269" s="573">
        <v>8921.93</v>
      </c>
      <c r="O269" s="3141">
        <v>9434.19</v>
      </c>
      <c r="P269" s="201"/>
      <c r="Q269" s="201"/>
      <c r="R269" s="1982"/>
    </row>
    <row r="270" spans="1:18">
      <c r="A270" s="202">
        <f t="shared" si="1"/>
        <v>2015.09</v>
      </c>
      <c r="B270" s="252">
        <v>82991</v>
      </c>
      <c r="C270" s="3034">
        <v>53084</v>
      </c>
      <c r="D270" s="225">
        <v>29907</v>
      </c>
      <c r="E270" s="573">
        <v>1131223</v>
      </c>
      <c r="F270" s="785">
        <v>1937</v>
      </c>
      <c r="G270" s="86">
        <v>22240</v>
      </c>
      <c r="H270" s="2000"/>
      <c r="I270" s="2001"/>
      <c r="J270" s="785">
        <v>34421</v>
      </c>
      <c r="K270" s="86">
        <v>428083</v>
      </c>
      <c r="L270" s="2000"/>
      <c r="M270" s="2001"/>
      <c r="N270" s="573">
        <v>9323.9599999999991</v>
      </c>
      <c r="O270" s="3141">
        <v>9864.4500000000007</v>
      </c>
      <c r="P270" s="201"/>
      <c r="Q270" s="201"/>
      <c r="R270" s="1982"/>
    </row>
    <row r="271" spans="1:18">
      <c r="A271" s="202">
        <f t="shared" si="1"/>
        <v>2015.1</v>
      </c>
      <c r="B271" s="252">
        <v>87328</v>
      </c>
      <c r="C271" s="3034">
        <v>56212</v>
      </c>
      <c r="D271" s="225">
        <v>31116</v>
      </c>
      <c r="E271" s="573">
        <v>1139923</v>
      </c>
      <c r="F271" s="785">
        <v>1973</v>
      </c>
      <c r="G271" s="86">
        <v>22800</v>
      </c>
      <c r="H271" s="2000"/>
      <c r="I271" s="2001"/>
      <c r="J271" s="785">
        <v>34926</v>
      </c>
      <c r="K271" s="86">
        <v>426694</v>
      </c>
      <c r="L271" s="2000"/>
      <c r="M271" s="2001"/>
      <c r="N271" s="573">
        <v>9441.0400000000009</v>
      </c>
      <c r="O271" s="3141">
        <v>9963.49</v>
      </c>
      <c r="P271" s="201"/>
      <c r="Q271" s="201"/>
      <c r="R271" s="1982"/>
    </row>
    <row r="272" spans="1:18">
      <c r="A272" s="202">
        <f t="shared" si="1"/>
        <v>2015.11</v>
      </c>
      <c r="B272" s="252">
        <v>77317</v>
      </c>
      <c r="C272" s="3034">
        <v>51262</v>
      </c>
      <c r="D272" s="225">
        <v>26055</v>
      </c>
      <c r="E272" s="573">
        <v>995497</v>
      </c>
      <c r="F272" s="785">
        <v>2004</v>
      </c>
      <c r="G272" s="86">
        <v>23242</v>
      </c>
      <c r="H272" s="2000"/>
      <c r="I272" s="2001"/>
      <c r="J272" s="785">
        <v>34715</v>
      </c>
      <c r="K272" s="86">
        <v>416150</v>
      </c>
      <c r="L272" s="2000"/>
      <c r="M272" s="2001"/>
      <c r="N272" s="573">
        <v>9130.5400000000009</v>
      </c>
      <c r="O272" s="3141">
        <v>9591.74</v>
      </c>
      <c r="P272" s="201"/>
      <c r="Q272" s="201"/>
      <c r="R272" s="1982"/>
    </row>
    <row r="273" spans="1:18">
      <c r="A273" s="202">
        <f t="shared" si="1"/>
        <v>2015.12</v>
      </c>
      <c r="B273" s="252">
        <v>71504</v>
      </c>
      <c r="C273" s="3034">
        <v>47078</v>
      </c>
      <c r="D273" s="225">
        <v>24426</v>
      </c>
      <c r="E273" s="573">
        <v>933180</v>
      </c>
      <c r="F273" s="785">
        <v>2027</v>
      </c>
      <c r="G273" s="86">
        <v>23492</v>
      </c>
      <c r="H273" s="2000"/>
      <c r="I273" s="2001"/>
      <c r="J273" s="785">
        <v>33055</v>
      </c>
      <c r="K273" s="86">
        <v>386213</v>
      </c>
      <c r="L273" s="2000"/>
      <c r="M273" s="2001"/>
      <c r="N273" s="573">
        <v>13226.83</v>
      </c>
      <c r="O273" s="3141">
        <v>14229.47</v>
      </c>
      <c r="P273" s="201"/>
      <c r="Q273" s="201"/>
      <c r="R273" s="1982"/>
    </row>
    <row r="274" spans="1:18">
      <c r="A274" s="202">
        <f t="shared" si="1"/>
        <v>2016.01</v>
      </c>
      <c r="B274" s="252">
        <v>68705</v>
      </c>
      <c r="C274" s="3034">
        <v>44714</v>
      </c>
      <c r="D274" s="225">
        <v>23991</v>
      </c>
      <c r="E274" s="573">
        <v>858496</v>
      </c>
      <c r="F274" s="785">
        <v>2046</v>
      </c>
      <c r="G274" s="86">
        <v>23702</v>
      </c>
      <c r="H274" s="2000"/>
      <c r="I274" s="2001"/>
      <c r="J274" s="785">
        <v>32645</v>
      </c>
      <c r="K274" s="86">
        <v>370663</v>
      </c>
      <c r="L274" s="2000"/>
      <c r="M274" s="2001"/>
      <c r="N274" s="573">
        <v>8965.8799999999992</v>
      </c>
      <c r="O274" s="3141">
        <v>9638.83</v>
      </c>
      <c r="P274" s="201"/>
      <c r="Q274" s="201"/>
      <c r="R274" s="1982"/>
    </row>
    <row r="275" spans="1:18">
      <c r="A275" s="202">
        <f t="shared" si="1"/>
        <v>2016.02</v>
      </c>
      <c r="B275" s="252">
        <v>58831</v>
      </c>
      <c r="C275" s="3034">
        <v>37926</v>
      </c>
      <c r="D275" s="225">
        <v>20905</v>
      </c>
      <c r="E275" s="573">
        <v>802256</v>
      </c>
      <c r="F275" s="785">
        <v>2063</v>
      </c>
      <c r="G275" s="86">
        <v>23940</v>
      </c>
      <c r="H275" s="2000"/>
      <c r="I275" s="2001"/>
      <c r="J275" s="785">
        <v>32838</v>
      </c>
      <c r="K275" s="86">
        <v>369663</v>
      </c>
      <c r="L275" s="2000"/>
      <c r="M275" s="2001"/>
      <c r="N275" s="573">
        <v>9112.3799999999992</v>
      </c>
      <c r="O275" s="3141">
        <v>9718.09</v>
      </c>
      <c r="P275" s="201"/>
      <c r="Q275" s="201"/>
      <c r="R275" s="1982"/>
    </row>
    <row r="276" spans="1:18">
      <c r="A276" s="202">
        <f t="shared" si="1"/>
        <v>2016.03</v>
      </c>
      <c r="B276" s="252">
        <v>66974</v>
      </c>
      <c r="C276" s="3034">
        <v>42146</v>
      </c>
      <c r="D276" s="225">
        <v>24828</v>
      </c>
      <c r="E276" s="573">
        <v>885244</v>
      </c>
      <c r="F276" s="785">
        <v>2096</v>
      </c>
      <c r="G276" s="86">
        <v>24297</v>
      </c>
      <c r="H276" s="2000"/>
      <c r="I276" s="2001"/>
      <c r="J276" s="785">
        <v>33133</v>
      </c>
      <c r="K276" s="86">
        <v>368942</v>
      </c>
      <c r="L276" s="2000"/>
      <c r="M276" s="2001"/>
      <c r="N276" s="573">
        <v>9945.5</v>
      </c>
      <c r="O276" s="3141">
        <v>10276.719999999999</v>
      </c>
      <c r="P276" s="201"/>
      <c r="Q276" s="201"/>
      <c r="R276" s="1982"/>
    </row>
    <row r="277" spans="1:18">
      <c r="A277" s="202">
        <f t="shared" si="1"/>
        <v>2016.04</v>
      </c>
      <c r="B277" s="252">
        <v>45916</v>
      </c>
      <c r="C277" s="3034">
        <v>30231</v>
      </c>
      <c r="D277" s="225">
        <v>15685</v>
      </c>
      <c r="E277" s="573">
        <v>756858</v>
      </c>
      <c r="F277" s="785">
        <v>2134</v>
      </c>
      <c r="G277" s="86">
        <v>24580</v>
      </c>
      <c r="H277" s="2000"/>
      <c r="I277" s="2001"/>
      <c r="J277" s="785">
        <v>32343</v>
      </c>
      <c r="K277" s="86">
        <v>366650</v>
      </c>
      <c r="L277" s="2000"/>
      <c r="M277" s="2001"/>
      <c r="N277" s="573">
        <v>10674.23</v>
      </c>
      <c r="O277" s="3141">
        <v>11408.84</v>
      </c>
      <c r="P277" s="201"/>
      <c r="Q277" s="201"/>
      <c r="R277" s="1982"/>
    </row>
    <row r="278" spans="1:18">
      <c r="A278" s="202">
        <f t="shared" si="1"/>
        <v>2016.05</v>
      </c>
      <c r="B278" s="252">
        <v>81687</v>
      </c>
      <c r="C278" s="3034">
        <v>52888</v>
      </c>
      <c r="D278" s="225">
        <v>28798</v>
      </c>
      <c r="E278" s="573">
        <v>881663</v>
      </c>
      <c r="F278" s="785">
        <v>1731</v>
      </c>
      <c r="G278" s="86">
        <v>19011</v>
      </c>
      <c r="H278" s="2000"/>
      <c r="I278" s="2001"/>
      <c r="J278" s="785">
        <v>32806</v>
      </c>
      <c r="K278" s="86">
        <v>367770</v>
      </c>
      <c r="L278" s="2000"/>
      <c r="M278" s="2001"/>
      <c r="N278" s="573">
        <v>12121.32</v>
      </c>
      <c r="O278" s="3141">
        <v>12180.96</v>
      </c>
      <c r="P278" s="201"/>
      <c r="Q278" s="201"/>
      <c r="R278" s="1982"/>
    </row>
    <row r="279" spans="1:18">
      <c r="A279" s="202">
        <f t="shared" si="1"/>
        <v>2016.06</v>
      </c>
      <c r="B279" s="252">
        <v>76599</v>
      </c>
      <c r="C279" s="3034">
        <v>48658</v>
      </c>
      <c r="D279" s="225">
        <v>27940</v>
      </c>
      <c r="E279" s="573">
        <v>859427</v>
      </c>
      <c r="F279" s="785">
        <v>1801</v>
      </c>
      <c r="G279" s="86">
        <v>19970</v>
      </c>
      <c r="H279" s="2000"/>
      <c r="I279" s="2001"/>
      <c r="J279" s="785">
        <v>32697</v>
      </c>
      <c r="K279" s="86">
        <v>365970</v>
      </c>
      <c r="L279" s="2000"/>
      <c r="M279" s="2001"/>
      <c r="N279" s="573">
        <v>16460.87</v>
      </c>
      <c r="O279" s="3141">
        <v>16830.61</v>
      </c>
      <c r="P279" s="201"/>
      <c r="Q279" s="201"/>
      <c r="R279" s="1982"/>
    </row>
    <row r="280" spans="1:18">
      <c r="A280" s="202">
        <f t="shared" si="1"/>
        <v>2016.07</v>
      </c>
      <c r="B280" s="252">
        <v>69318</v>
      </c>
      <c r="C280" s="3034">
        <v>44762</v>
      </c>
      <c r="D280" s="225">
        <v>24556</v>
      </c>
      <c r="E280" s="573">
        <v>848636</v>
      </c>
      <c r="F280" s="785">
        <v>1858</v>
      </c>
      <c r="G280" s="86">
        <v>20585</v>
      </c>
      <c r="H280" s="2000"/>
      <c r="I280" s="2001"/>
      <c r="J280" s="785">
        <v>32920</v>
      </c>
      <c r="K280" s="86">
        <v>365076</v>
      </c>
      <c r="L280" s="2000"/>
      <c r="M280" s="2001"/>
      <c r="N280" s="573">
        <v>11667.58</v>
      </c>
      <c r="O280" s="3141">
        <v>11860.24</v>
      </c>
      <c r="P280" s="201"/>
      <c r="Q280" s="201"/>
      <c r="R280" s="1982"/>
    </row>
    <row r="281" spans="1:18">
      <c r="A281" s="202">
        <f t="shared" si="1"/>
        <v>2016.08</v>
      </c>
      <c r="B281" s="252">
        <v>93214</v>
      </c>
      <c r="C281" s="3034">
        <v>59552</v>
      </c>
      <c r="D281" s="225">
        <v>33662</v>
      </c>
      <c r="E281" s="573">
        <v>1044238</v>
      </c>
      <c r="F281" s="785">
        <v>1914</v>
      </c>
      <c r="G281" s="86">
        <v>21262</v>
      </c>
      <c r="H281" s="2000"/>
      <c r="I281" s="2001"/>
      <c r="J281" s="785">
        <v>33227</v>
      </c>
      <c r="K281" s="86">
        <v>371247</v>
      </c>
      <c r="L281" s="2000"/>
      <c r="M281" s="2001"/>
      <c r="N281" s="573">
        <v>12308.69</v>
      </c>
      <c r="O281" s="3141">
        <v>12485.93</v>
      </c>
      <c r="P281" s="201"/>
      <c r="Q281" s="201"/>
      <c r="R281" s="1982"/>
    </row>
    <row r="282" spans="1:18">
      <c r="A282" s="202">
        <f t="shared" si="1"/>
        <v>2016.09</v>
      </c>
      <c r="B282" s="252">
        <v>86003</v>
      </c>
      <c r="C282" s="3034">
        <v>55192</v>
      </c>
      <c r="D282" s="225">
        <v>30811</v>
      </c>
      <c r="E282" s="573">
        <v>1001131</v>
      </c>
      <c r="F282" s="785">
        <v>1951</v>
      </c>
      <c r="G282" s="86">
        <v>21844</v>
      </c>
      <c r="H282" s="2000"/>
      <c r="I282" s="2001"/>
      <c r="J282" s="785">
        <v>33604</v>
      </c>
      <c r="K282" s="86">
        <v>374353</v>
      </c>
      <c r="L282" s="2000"/>
      <c r="M282" s="2001"/>
      <c r="N282" s="573">
        <v>11702.13</v>
      </c>
      <c r="O282" s="3141">
        <v>12075.19</v>
      </c>
      <c r="P282" s="201"/>
      <c r="Q282" s="201"/>
      <c r="R282" s="1982"/>
    </row>
    <row r="283" spans="1:18">
      <c r="A283" s="202">
        <f t="shared" si="1"/>
        <v>2016.1</v>
      </c>
      <c r="B283" s="252">
        <v>71907</v>
      </c>
      <c r="C283" s="3034">
        <v>47188</v>
      </c>
      <c r="D283" s="225">
        <v>24719</v>
      </c>
      <c r="E283" s="573">
        <v>931619</v>
      </c>
      <c r="F283" s="785">
        <v>1990</v>
      </c>
      <c r="G283" s="86">
        <v>22355</v>
      </c>
      <c r="H283" s="2000"/>
      <c r="I283" s="2001"/>
      <c r="J283" s="785">
        <v>34306</v>
      </c>
      <c r="K283" s="86">
        <v>377081</v>
      </c>
      <c r="L283" s="2000"/>
      <c r="M283" s="2001"/>
      <c r="N283" s="573">
        <v>12455.87</v>
      </c>
      <c r="O283" s="3141">
        <v>12863.9</v>
      </c>
      <c r="P283" s="201"/>
      <c r="Q283" s="201"/>
      <c r="R283" s="1982"/>
    </row>
    <row r="284" spans="1:18">
      <c r="A284" s="202">
        <f t="shared" si="1"/>
        <v>2016.11</v>
      </c>
      <c r="B284" s="252">
        <v>86403</v>
      </c>
      <c r="C284" s="3034">
        <v>52484</v>
      </c>
      <c r="D284" s="225">
        <v>33919</v>
      </c>
      <c r="E284" s="573">
        <v>1013083</v>
      </c>
      <c r="F284" s="785">
        <v>2035</v>
      </c>
      <c r="G284" s="86">
        <v>22862</v>
      </c>
      <c r="H284" s="2000"/>
      <c r="I284" s="2001"/>
      <c r="J284" s="785">
        <v>35192</v>
      </c>
      <c r="K284" s="86">
        <v>383778</v>
      </c>
      <c r="L284" s="2000"/>
      <c r="M284" s="2001"/>
      <c r="N284" s="573">
        <v>13126.37</v>
      </c>
      <c r="O284" s="3141">
        <v>13430.22</v>
      </c>
      <c r="P284" s="201"/>
      <c r="Q284" s="201"/>
      <c r="R284" s="1982"/>
    </row>
    <row r="285" spans="1:18">
      <c r="A285" s="202">
        <f t="shared" si="1"/>
        <v>2016.12</v>
      </c>
      <c r="B285" s="252">
        <v>78455</v>
      </c>
      <c r="C285" s="3034">
        <v>48024</v>
      </c>
      <c r="D285" s="225">
        <v>30431</v>
      </c>
      <c r="E285" s="573">
        <v>940055</v>
      </c>
      <c r="F285" s="785">
        <v>2055</v>
      </c>
      <c r="G285" s="86">
        <v>23160</v>
      </c>
      <c r="H285" s="2000"/>
      <c r="I285" s="2001"/>
      <c r="J285" s="785">
        <v>34799</v>
      </c>
      <c r="K285" s="86">
        <v>373583</v>
      </c>
      <c r="L285" s="2000"/>
      <c r="M285" s="2001"/>
      <c r="N285" s="573">
        <v>18279.8</v>
      </c>
      <c r="O285" s="3141">
        <v>19205.98</v>
      </c>
      <c r="P285" s="201"/>
      <c r="Q285" s="201"/>
      <c r="R285" s="1982"/>
    </row>
    <row r="286" spans="1:18">
      <c r="A286" s="202">
        <f t="shared" si="1"/>
        <v>2017.01</v>
      </c>
      <c r="B286" s="252">
        <v>68635</v>
      </c>
      <c r="C286" s="3034">
        <v>43360</v>
      </c>
      <c r="D286" s="225">
        <v>25275</v>
      </c>
      <c r="E286" s="573">
        <v>873775</v>
      </c>
      <c r="F286" s="785">
        <v>2073</v>
      </c>
      <c r="G286" s="86">
        <v>23505</v>
      </c>
      <c r="H286" s="2000"/>
      <c r="I286" s="2001"/>
      <c r="J286" s="785">
        <v>35690</v>
      </c>
      <c r="K286" s="86">
        <v>374115</v>
      </c>
      <c r="L286" s="2000"/>
      <c r="M286" s="2001"/>
      <c r="N286" s="573">
        <v>13318.5</v>
      </c>
      <c r="O286" s="3141">
        <v>14048.2</v>
      </c>
      <c r="P286" s="201"/>
      <c r="Q286" s="201"/>
      <c r="R286" s="1982"/>
    </row>
    <row r="287" spans="1:18">
      <c r="A287" s="202">
        <f t="shared" si="1"/>
        <v>2017.02</v>
      </c>
      <c r="B287" s="252">
        <v>69053</v>
      </c>
      <c r="C287" s="3034">
        <v>40526</v>
      </c>
      <c r="D287" s="225">
        <v>28527</v>
      </c>
      <c r="E287" s="573">
        <v>799340</v>
      </c>
      <c r="F287" s="785">
        <v>2108</v>
      </c>
      <c r="G287" s="86">
        <v>23773</v>
      </c>
      <c r="H287" s="2000"/>
      <c r="I287" s="2001"/>
      <c r="J287" s="785">
        <v>36387</v>
      </c>
      <c r="K287" s="86">
        <v>380908</v>
      </c>
      <c r="L287" s="2000"/>
      <c r="M287" s="2001"/>
      <c r="N287" s="573">
        <v>12834.22</v>
      </c>
      <c r="O287" s="3141">
        <v>13430.07</v>
      </c>
      <c r="P287" s="201"/>
      <c r="Q287" s="201"/>
      <c r="R287" s="1982"/>
    </row>
    <row r="288" spans="1:18">
      <c r="A288" s="202">
        <f t="shared" si="1"/>
        <v>2017.03</v>
      </c>
      <c r="B288" s="252">
        <v>84278</v>
      </c>
      <c r="C288" s="3034">
        <v>49155</v>
      </c>
      <c r="D288" s="225">
        <v>35123</v>
      </c>
      <c r="E288" s="573">
        <v>1027094</v>
      </c>
      <c r="F288" s="785">
        <v>2139</v>
      </c>
      <c r="G288" s="86">
        <v>24097</v>
      </c>
      <c r="H288" s="2000"/>
      <c r="I288" s="2001"/>
      <c r="J288" s="785">
        <v>37419</v>
      </c>
      <c r="K288" s="86">
        <v>395268</v>
      </c>
      <c r="L288" s="2000"/>
      <c r="M288" s="2001"/>
      <c r="N288" s="573">
        <v>14019.48</v>
      </c>
      <c r="O288" s="3141">
        <v>14638.33</v>
      </c>
      <c r="P288" s="201"/>
      <c r="Q288" s="201"/>
      <c r="R288" s="1982"/>
    </row>
    <row r="289" spans="1:18">
      <c r="A289" s="202">
        <f t="shared" si="1"/>
        <v>2017.04</v>
      </c>
      <c r="B289" s="252">
        <v>71033</v>
      </c>
      <c r="C289" s="3034">
        <v>41476</v>
      </c>
      <c r="D289" s="225">
        <v>29557</v>
      </c>
      <c r="E289" s="573">
        <v>844324</v>
      </c>
      <c r="F289" s="785">
        <v>2150</v>
      </c>
      <c r="G289" s="86">
        <v>24285</v>
      </c>
      <c r="H289" s="2000"/>
      <c r="I289" s="2001"/>
      <c r="J289" s="785">
        <v>36739</v>
      </c>
      <c r="K289" s="86">
        <v>393777</v>
      </c>
      <c r="L289" s="2000"/>
      <c r="M289" s="2001"/>
      <c r="N289" s="573">
        <v>13524.5</v>
      </c>
      <c r="O289" s="3141">
        <v>13984.59</v>
      </c>
      <c r="P289" s="201"/>
      <c r="Q289" s="201"/>
      <c r="R289" s="1982"/>
    </row>
    <row r="290" spans="1:18">
      <c r="A290" s="202">
        <f t="shared" si="1"/>
        <v>2017.05</v>
      </c>
      <c r="B290" s="252">
        <v>84586</v>
      </c>
      <c r="C290" s="3034">
        <v>48678</v>
      </c>
      <c r="D290" s="225">
        <v>35908</v>
      </c>
      <c r="E290" s="573">
        <v>967718</v>
      </c>
      <c r="F290" s="785">
        <v>1772</v>
      </c>
      <c r="G290" s="86">
        <v>19037</v>
      </c>
      <c r="H290" s="2000"/>
      <c r="I290" s="2001"/>
      <c r="J290" s="785">
        <v>37307</v>
      </c>
      <c r="K290" s="86">
        <v>403015</v>
      </c>
      <c r="L290" s="2000"/>
      <c r="M290" s="2001"/>
      <c r="N290" s="573">
        <v>15970.88</v>
      </c>
      <c r="O290" s="3141">
        <v>16721.18</v>
      </c>
      <c r="P290" s="201"/>
      <c r="Q290" s="201"/>
      <c r="R290" s="1982"/>
    </row>
    <row r="291" spans="1:18">
      <c r="A291" s="202">
        <f t="shared" si="1"/>
        <v>2017.06</v>
      </c>
      <c r="B291" s="252">
        <v>87178</v>
      </c>
      <c r="C291" s="3034">
        <v>50558</v>
      </c>
      <c r="D291" s="225">
        <v>36620</v>
      </c>
      <c r="E291" s="573">
        <v>1006666</v>
      </c>
      <c r="F291" s="785">
        <v>1842</v>
      </c>
      <c r="G291" s="86">
        <v>19980</v>
      </c>
      <c r="H291" s="2000"/>
      <c r="I291" s="2001"/>
      <c r="J291" s="785">
        <v>37224</v>
      </c>
      <c r="K291" s="86">
        <v>408945</v>
      </c>
      <c r="L291" s="2000"/>
      <c r="M291" s="2001"/>
      <c r="N291" s="573">
        <v>20751.189999999999</v>
      </c>
      <c r="O291" s="3141">
        <v>22305.39</v>
      </c>
      <c r="P291" s="201"/>
      <c r="Q291" s="201"/>
      <c r="R291" s="1982"/>
    </row>
    <row r="292" spans="1:18">
      <c r="A292" s="202">
        <f t="shared" si="1"/>
        <v>2017.07</v>
      </c>
      <c r="B292" s="252">
        <v>81449</v>
      </c>
      <c r="C292" s="3034">
        <v>48020</v>
      </c>
      <c r="D292" s="225">
        <v>33429</v>
      </c>
      <c r="E292" s="573">
        <v>1016589</v>
      </c>
      <c r="F292" s="785">
        <v>1902</v>
      </c>
      <c r="G292" s="86">
        <v>20657</v>
      </c>
      <c r="H292" s="2000"/>
      <c r="I292" s="2001"/>
      <c r="J292" s="785">
        <v>37142</v>
      </c>
      <c r="K292" s="86">
        <v>410316</v>
      </c>
      <c r="L292" s="2000"/>
      <c r="M292" s="2001"/>
      <c r="N292" s="573">
        <v>15676</v>
      </c>
      <c r="O292" s="3141">
        <v>16886.599999999999</v>
      </c>
      <c r="P292" s="201"/>
      <c r="Q292" s="201"/>
      <c r="R292" s="1982"/>
    </row>
    <row r="293" spans="1:18">
      <c r="A293" s="202">
        <f t="shared" si="1"/>
        <v>2017.08</v>
      </c>
      <c r="B293" s="252">
        <v>94575</v>
      </c>
      <c r="C293" s="3034">
        <v>56346</v>
      </c>
      <c r="D293" s="225">
        <v>38229</v>
      </c>
      <c r="E293" s="573">
        <v>1122059</v>
      </c>
      <c r="F293" s="785">
        <v>1954</v>
      </c>
      <c r="G293" s="86">
        <v>21349</v>
      </c>
      <c r="H293" s="2000"/>
      <c r="I293" s="2001"/>
      <c r="J293" s="785">
        <v>37496</v>
      </c>
      <c r="K293" s="86">
        <v>417586</v>
      </c>
      <c r="L293" s="2000"/>
      <c r="M293" s="2001"/>
      <c r="N293" s="573">
        <v>16172.98</v>
      </c>
      <c r="O293" s="3141">
        <v>17291.47</v>
      </c>
      <c r="P293" s="201"/>
      <c r="Q293" s="201"/>
      <c r="R293" s="1982"/>
    </row>
    <row r="294" spans="1:18">
      <c r="A294" s="202">
        <f t="shared" si="1"/>
        <v>2017.09</v>
      </c>
      <c r="B294" s="252">
        <v>93701</v>
      </c>
      <c r="C294" s="3034">
        <v>56556</v>
      </c>
      <c r="D294" s="225">
        <v>37145</v>
      </c>
      <c r="E294" s="573">
        <v>1131545</v>
      </c>
      <c r="F294" s="785">
        <v>2007</v>
      </c>
      <c r="G294" s="86">
        <v>22051</v>
      </c>
      <c r="H294" s="2000"/>
      <c r="I294" s="2001"/>
      <c r="J294" s="785">
        <v>38242</v>
      </c>
      <c r="K294" s="86">
        <v>422929</v>
      </c>
      <c r="L294" s="2000"/>
      <c r="M294" s="2001"/>
      <c r="N294" s="573">
        <v>15470.69</v>
      </c>
      <c r="O294" s="3141">
        <v>16734.45</v>
      </c>
      <c r="P294" s="201"/>
      <c r="Q294" s="201"/>
      <c r="R294" s="1982"/>
    </row>
    <row r="295" spans="1:18">
      <c r="A295" s="202">
        <f t="shared" si="1"/>
        <v>2017.1</v>
      </c>
      <c r="B295" s="252">
        <v>94644</v>
      </c>
      <c r="C295" s="3034">
        <v>56874</v>
      </c>
      <c r="D295" s="225">
        <v>37770</v>
      </c>
      <c r="E295" s="573">
        <v>1150794</v>
      </c>
      <c r="F295" s="785">
        <v>2052</v>
      </c>
      <c r="G295" s="86">
        <v>22588</v>
      </c>
      <c r="H295" s="2000"/>
      <c r="I295" s="2001"/>
      <c r="J295" s="785">
        <v>39082</v>
      </c>
      <c r="K295" s="86">
        <v>428940</v>
      </c>
      <c r="L295" s="2000"/>
      <c r="M295" s="2001"/>
      <c r="N295" s="573">
        <v>16414.990000000002</v>
      </c>
      <c r="O295" s="3141">
        <v>17409.16</v>
      </c>
      <c r="P295" s="201"/>
      <c r="Q295" s="201"/>
      <c r="R295" s="1982"/>
    </row>
    <row r="296" spans="1:18">
      <c r="A296" s="202">
        <f t="shared" si="1"/>
        <v>2017.11</v>
      </c>
      <c r="B296" s="252">
        <v>96011</v>
      </c>
      <c r="C296" s="3034">
        <v>55776</v>
      </c>
      <c r="D296" s="225">
        <v>40235</v>
      </c>
      <c r="E296" s="573">
        <v>1179763</v>
      </c>
      <c r="F296" s="785">
        <v>2088</v>
      </c>
      <c r="G296" s="86">
        <v>23101</v>
      </c>
      <c r="H296" s="2000"/>
      <c r="I296" s="2001"/>
      <c r="J296" s="785">
        <v>40187</v>
      </c>
      <c r="K296" s="86">
        <v>432814</v>
      </c>
      <c r="L296" s="2000"/>
      <c r="M296" s="2001"/>
      <c r="N296" s="573">
        <v>16710.78</v>
      </c>
      <c r="O296" s="3141">
        <v>17682.63</v>
      </c>
      <c r="P296" s="201"/>
      <c r="Q296" s="201"/>
      <c r="R296" s="1982"/>
    </row>
    <row r="297" spans="1:18">
      <c r="A297" s="202">
        <f t="shared" si="1"/>
        <v>2017.12</v>
      </c>
      <c r="B297" s="252">
        <v>87217</v>
      </c>
      <c r="C297" s="3034">
        <v>48112</v>
      </c>
      <c r="D297" s="225">
        <v>39105</v>
      </c>
      <c r="E297" s="573">
        <v>1004298</v>
      </c>
      <c r="F297" s="785">
        <v>2115</v>
      </c>
      <c r="G297" s="86">
        <v>23436</v>
      </c>
      <c r="H297" s="2000"/>
      <c r="I297" s="2001"/>
      <c r="J297" s="785">
        <v>38679</v>
      </c>
      <c r="K297" s="86">
        <v>418242</v>
      </c>
      <c r="L297" s="2000"/>
      <c r="M297" s="2001"/>
      <c r="N297" s="573">
        <v>22421.41</v>
      </c>
      <c r="O297" s="3141">
        <v>24753.45</v>
      </c>
      <c r="P297" s="201"/>
      <c r="Q297" s="201"/>
      <c r="R297" s="1982"/>
    </row>
    <row r="298" spans="1:18">
      <c r="A298" s="202">
        <f t="shared" si="1"/>
        <v>2018.01</v>
      </c>
      <c r="B298" s="252">
        <v>96168</v>
      </c>
      <c r="C298" s="3034">
        <v>57995</v>
      </c>
      <c r="D298" s="225">
        <v>38173</v>
      </c>
      <c r="E298" s="573">
        <v>1043732</v>
      </c>
      <c r="F298" s="785">
        <v>2148</v>
      </c>
      <c r="G298" s="86">
        <v>23776</v>
      </c>
      <c r="H298" s="2000"/>
      <c r="I298" s="2001"/>
      <c r="J298" s="785">
        <v>38919</v>
      </c>
      <c r="K298" s="86">
        <v>415290</v>
      </c>
      <c r="L298" s="2000"/>
      <c r="M298" s="2001"/>
      <c r="N298" s="573">
        <v>16376.46</v>
      </c>
      <c r="O298" s="3141">
        <v>17681.23</v>
      </c>
      <c r="P298" s="201"/>
      <c r="Q298" s="201"/>
      <c r="R298" s="1982"/>
    </row>
    <row r="299" spans="1:18">
      <c r="A299" s="202">
        <f t="shared" si="1"/>
        <v>2018.02</v>
      </c>
      <c r="B299" s="252">
        <v>84353</v>
      </c>
      <c r="C299" s="3034">
        <v>45578</v>
      </c>
      <c r="D299" s="225">
        <v>38775</v>
      </c>
      <c r="E299" s="573">
        <v>924085</v>
      </c>
      <c r="F299" s="785">
        <v>2176</v>
      </c>
      <c r="G299" s="86">
        <v>24043</v>
      </c>
      <c r="H299" s="2000"/>
      <c r="I299" s="2001"/>
      <c r="J299" s="785">
        <v>38865</v>
      </c>
      <c r="K299" s="86">
        <v>416852</v>
      </c>
      <c r="L299" s="2000"/>
      <c r="M299" s="2001"/>
      <c r="N299" s="573">
        <v>15505.17</v>
      </c>
      <c r="O299" s="3141">
        <v>17028.96</v>
      </c>
      <c r="P299" s="201"/>
      <c r="Q299" s="201"/>
      <c r="R299" s="1982"/>
    </row>
    <row r="300" spans="1:18">
      <c r="A300" s="202">
        <f t="shared" si="1"/>
        <v>2018.03</v>
      </c>
      <c r="B300" s="252">
        <v>96892</v>
      </c>
      <c r="C300" s="3034">
        <v>52842</v>
      </c>
      <c r="D300" s="225">
        <v>44050</v>
      </c>
      <c r="E300" s="573">
        <v>1091122</v>
      </c>
      <c r="F300" s="785">
        <v>2206</v>
      </c>
      <c r="G300" s="86">
        <v>24385</v>
      </c>
      <c r="H300" s="2000"/>
      <c r="I300" s="2001"/>
      <c r="J300" s="785">
        <v>39178</v>
      </c>
      <c r="K300" s="86">
        <v>426446</v>
      </c>
      <c r="L300" s="2000"/>
      <c r="M300" s="2001"/>
      <c r="N300" s="573">
        <v>17296.8</v>
      </c>
      <c r="O300" s="3141">
        <v>18809.22</v>
      </c>
      <c r="P300" s="201"/>
      <c r="Q300" s="201"/>
      <c r="R300" s="1982"/>
    </row>
    <row r="301" spans="1:18">
      <c r="A301" s="202">
        <f t="shared" si="1"/>
        <v>2018.04</v>
      </c>
      <c r="B301" s="252">
        <v>77739</v>
      </c>
      <c r="C301" s="3034">
        <v>46934</v>
      </c>
      <c r="D301" s="225">
        <v>30805</v>
      </c>
      <c r="E301" s="573">
        <v>958184</v>
      </c>
      <c r="F301" s="785">
        <v>2211</v>
      </c>
      <c r="G301" s="86">
        <v>24691</v>
      </c>
      <c r="H301" s="2000"/>
      <c r="I301" s="2001"/>
      <c r="J301" s="785">
        <v>38421</v>
      </c>
      <c r="K301" s="86">
        <v>426114</v>
      </c>
      <c r="L301" s="2000"/>
      <c r="M301" s="2001"/>
      <c r="N301" s="573">
        <v>17850.400000000001</v>
      </c>
      <c r="O301" s="3141">
        <v>19296.060000000001</v>
      </c>
      <c r="P301" s="201"/>
      <c r="Q301" s="201"/>
      <c r="R301" s="1982"/>
    </row>
    <row r="302" spans="1:18">
      <c r="A302" s="202">
        <f t="shared" si="1"/>
        <v>2018.05</v>
      </c>
      <c r="B302" s="252">
        <v>71144</v>
      </c>
      <c r="C302" s="3034">
        <v>41492</v>
      </c>
      <c r="D302" s="225">
        <v>29652</v>
      </c>
      <c r="E302" s="573">
        <v>924765</v>
      </c>
      <c r="F302" s="785">
        <v>1802</v>
      </c>
      <c r="G302" s="86">
        <v>19072</v>
      </c>
      <c r="H302" s="2000"/>
      <c r="I302" s="2001"/>
      <c r="J302" s="785">
        <v>38341</v>
      </c>
      <c r="K302" s="86">
        <v>425787</v>
      </c>
      <c r="L302" s="2000"/>
      <c r="M302" s="2001"/>
      <c r="N302" s="573">
        <v>18302.990000000002</v>
      </c>
      <c r="O302" s="3141">
        <v>20080.23</v>
      </c>
      <c r="P302" s="201"/>
      <c r="Q302" s="201"/>
      <c r="R302" s="1982"/>
    </row>
    <row r="303" spans="1:18">
      <c r="A303" s="202">
        <f t="shared" si="1"/>
        <v>2018.06</v>
      </c>
      <c r="B303" s="252">
        <v>90463</v>
      </c>
      <c r="C303" s="3034">
        <v>51008</v>
      </c>
      <c r="D303" s="225">
        <v>39455</v>
      </c>
      <c r="E303" s="573">
        <v>970895</v>
      </c>
      <c r="F303" s="785">
        <v>1871</v>
      </c>
      <c r="G303" s="86">
        <v>19969</v>
      </c>
      <c r="H303" s="2000"/>
      <c r="I303" s="2001"/>
      <c r="J303" s="785">
        <v>38398</v>
      </c>
      <c r="K303" s="86">
        <v>420353</v>
      </c>
      <c r="L303" s="2000"/>
      <c r="M303" s="2001"/>
      <c r="N303" s="573">
        <v>25381.7</v>
      </c>
      <c r="O303" s="3141">
        <v>27511.16</v>
      </c>
      <c r="P303" s="201"/>
      <c r="Q303" s="201"/>
      <c r="R303" s="1982"/>
    </row>
    <row r="304" spans="1:18">
      <c r="A304" s="202">
        <f t="shared" si="1"/>
        <v>2018.07</v>
      </c>
      <c r="B304" s="252">
        <v>82106</v>
      </c>
      <c r="C304" s="3034">
        <v>42791</v>
      </c>
      <c r="D304" s="225">
        <v>39316</v>
      </c>
      <c r="E304" s="573">
        <v>952280</v>
      </c>
      <c r="F304" s="785">
        <v>1926</v>
      </c>
      <c r="G304" s="86">
        <v>20679</v>
      </c>
      <c r="H304" s="2000"/>
      <c r="I304" s="2001"/>
      <c r="J304" s="785">
        <v>38631</v>
      </c>
      <c r="K304" s="86">
        <v>418562</v>
      </c>
      <c r="L304" s="2000"/>
      <c r="M304" s="2001"/>
      <c r="N304" s="573">
        <v>17945.43</v>
      </c>
      <c r="O304" s="3141">
        <v>19700.150000000001</v>
      </c>
      <c r="P304" s="201"/>
      <c r="Q304" s="201"/>
      <c r="R304" s="1982"/>
    </row>
    <row r="305" spans="1:18">
      <c r="A305" s="202">
        <f t="shared" si="1"/>
        <v>2018.08</v>
      </c>
      <c r="B305" s="252">
        <v>97057</v>
      </c>
      <c r="C305" s="3034">
        <v>55065</v>
      </c>
      <c r="D305" s="225">
        <v>41992</v>
      </c>
      <c r="E305" s="573">
        <v>1115347</v>
      </c>
      <c r="F305" s="785">
        <v>1970</v>
      </c>
      <c r="G305" s="86">
        <v>21330</v>
      </c>
      <c r="H305" s="2000"/>
      <c r="I305" s="2001"/>
      <c r="J305" s="785">
        <v>39189</v>
      </c>
      <c r="K305" s="86">
        <v>421089</v>
      </c>
      <c r="L305" s="2000"/>
      <c r="M305" s="2001"/>
      <c r="N305" s="573">
        <v>19442.919999999998</v>
      </c>
      <c r="O305" s="3141">
        <v>21384.52</v>
      </c>
      <c r="P305" s="134" t="s">
        <v>5</v>
      </c>
      <c r="Q305" s="201"/>
      <c r="R305" s="1982"/>
    </row>
    <row r="306" spans="1:18">
      <c r="A306" s="202">
        <f t="shared" si="1"/>
        <v>2018.09</v>
      </c>
      <c r="B306" s="252">
        <v>83623</v>
      </c>
      <c r="C306" s="3034">
        <v>47134</v>
      </c>
      <c r="D306" s="225">
        <v>36489</v>
      </c>
      <c r="E306" s="573">
        <v>1011872</v>
      </c>
      <c r="F306" s="785">
        <v>2012</v>
      </c>
      <c r="G306" s="86">
        <v>21831</v>
      </c>
      <c r="H306" s="2000"/>
      <c r="I306" s="2001"/>
      <c r="J306" s="785">
        <v>39142</v>
      </c>
      <c r="K306" s="86">
        <v>415503</v>
      </c>
      <c r="L306" s="2000"/>
      <c r="M306" s="2001"/>
      <c r="N306" s="573">
        <v>18312.71</v>
      </c>
      <c r="O306" s="3141">
        <v>20140.53</v>
      </c>
      <c r="P306" s="201"/>
      <c r="Q306" s="201"/>
      <c r="R306" s="1982"/>
    </row>
    <row r="307" spans="1:18">
      <c r="A307" s="202">
        <f t="shared" ref="A307:A370" si="2">A295+1</f>
        <v>2018.1</v>
      </c>
      <c r="B307" s="252">
        <v>80867</v>
      </c>
      <c r="C307" s="3034">
        <v>46512</v>
      </c>
      <c r="D307" s="225">
        <v>34355</v>
      </c>
      <c r="E307" s="573">
        <v>1040317</v>
      </c>
      <c r="F307" s="785">
        <v>2046</v>
      </c>
      <c r="G307" s="86">
        <v>22423</v>
      </c>
      <c r="H307" s="2000"/>
      <c r="I307" s="2001"/>
      <c r="J307" s="785">
        <v>39529</v>
      </c>
      <c r="K307" s="86">
        <v>417090</v>
      </c>
      <c r="L307" s="2000"/>
      <c r="M307" s="2001"/>
      <c r="N307" s="573">
        <v>20169.990000000002</v>
      </c>
      <c r="O307" s="3141">
        <v>22321.59</v>
      </c>
      <c r="P307" s="201"/>
      <c r="Q307" s="201"/>
      <c r="R307" s="1982"/>
    </row>
    <row r="308" spans="1:18">
      <c r="A308" s="202">
        <f t="shared" si="2"/>
        <v>2018.11</v>
      </c>
      <c r="B308" s="252">
        <v>71863</v>
      </c>
      <c r="C308" s="3034">
        <v>41092</v>
      </c>
      <c r="D308" s="225">
        <v>30771</v>
      </c>
      <c r="E308" s="573">
        <v>970181</v>
      </c>
      <c r="F308" s="785">
        <v>2086</v>
      </c>
      <c r="G308" s="86">
        <v>22841</v>
      </c>
      <c r="H308" s="2000"/>
      <c r="I308" s="2001"/>
      <c r="J308" s="785">
        <v>39706</v>
      </c>
      <c r="K308" s="86">
        <v>412596</v>
      </c>
      <c r="L308" s="2000"/>
      <c r="M308" s="2001"/>
      <c r="N308" s="573">
        <v>20323.41</v>
      </c>
      <c r="O308" s="3141">
        <v>22393.040000000001</v>
      </c>
      <c r="P308" s="201"/>
      <c r="Q308" s="201"/>
      <c r="R308" s="1982"/>
    </row>
    <row r="309" spans="1:18">
      <c r="A309" s="202">
        <f t="shared" si="2"/>
        <v>2018.12</v>
      </c>
      <c r="B309" s="252">
        <v>65394</v>
      </c>
      <c r="C309" s="3034">
        <v>36678</v>
      </c>
      <c r="D309" s="225">
        <v>28716</v>
      </c>
      <c r="E309" s="573">
        <v>808887</v>
      </c>
      <c r="F309" s="785">
        <v>2108</v>
      </c>
      <c r="G309" s="86">
        <v>23187</v>
      </c>
      <c r="H309" s="2000"/>
      <c r="I309" s="2001"/>
      <c r="J309" s="785">
        <v>39120</v>
      </c>
      <c r="K309" s="86">
        <v>401316</v>
      </c>
      <c r="L309" s="2000"/>
      <c r="M309" s="2001"/>
      <c r="N309" s="573">
        <v>29770.400000000001</v>
      </c>
      <c r="O309" s="3141">
        <v>32773.370000000003</v>
      </c>
      <c r="P309" s="201"/>
      <c r="Q309" s="201"/>
      <c r="R309" s="1982"/>
    </row>
    <row r="310" spans="1:18">
      <c r="A310" s="202">
        <f t="shared" si="2"/>
        <v>2019.01</v>
      </c>
      <c r="B310" s="252">
        <v>64413</v>
      </c>
      <c r="C310" s="3034">
        <v>38576</v>
      </c>
      <c r="D310" s="225">
        <v>25837</v>
      </c>
      <c r="E310" s="573">
        <v>873987</v>
      </c>
      <c r="F310" s="785">
        <v>2141</v>
      </c>
      <c r="G310" s="86">
        <v>23533</v>
      </c>
      <c r="H310" s="2000"/>
      <c r="I310" s="2001"/>
      <c r="J310" s="785">
        <v>40225</v>
      </c>
      <c r="K310" s="86">
        <v>404846</v>
      </c>
      <c r="L310" s="2000"/>
      <c r="M310" s="2001"/>
      <c r="N310" s="573">
        <v>22001.06</v>
      </c>
      <c r="O310" s="3141">
        <v>24261.98</v>
      </c>
      <c r="P310" s="201"/>
      <c r="Q310" s="201"/>
      <c r="R310" s="1982"/>
    </row>
    <row r="311" spans="1:18">
      <c r="A311" s="202">
        <f t="shared" si="2"/>
        <v>2019.02</v>
      </c>
      <c r="B311" s="252">
        <v>75841</v>
      </c>
      <c r="C311" s="3034">
        <v>42860</v>
      </c>
      <c r="D311" s="225">
        <v>32981</v>
      </c>
      <c r="E311" s="573">
        <v>921087</v>
      </c>
      <c r="F311" s="785">
        <v>2156</v>
      </c>
      <c r="G311" s="86">
        <v>23778</v>
      </c>
      <c r="H311" s="2000"/>
      <c r="I311" s="2001"/>
      <c r="J311" s="785">
        <v>40719</v>
      </c>
      <c r="K311" s="86">
        <v>414575</v>
      </c>
      <c r="L311" s="2000"/>
      <c r="M311" s="2001"/>
      <c r="N311" s="573">
        <v>21582.11</v>
      </c>
      <c r="O311" s="3141">
        <v>23422.32</v>
      </c>
      <c r="P311" s="201"/>
      <c r="Q311" s="201"/>
      <c r="R311" s="1982"/>
    </row>
    <row r="312" spans="1:18">
      <c r="A312" s="202">
        <f t="shared" si="2"/>
        <v>2019.03</v>
      </c>
      <c r="B312" s="252">
        <v>77642</v>
      </c>
      <c r="C312" s="3034">
        <v>44357</v>
      </c>
      <c r="D312" s="225">
        <v>33285</v>
      </c>
      <c r="E312" s="573">
        <v>940167</v>
      </c>
      <c r="F312" s="785">
        <v>2178</v>
      </c>
      <c r="G312" s="86">
        <v>24084</v>
      </c>
      <c r="H312" s="2000"/>
      <c r="I312" s="2001"/>
      <c r="J312" s="785">
        <v>40540</v>
      </c>
      <c r="K312" s="86">
        <v>419809</v>
      </c>
      <c r="L312" s="2000"/>
      <c r="M312" s="2001"/>
      <c r="N312" s="573">
        <v>24119.09</v>
      </c>
      <c r="O312" s="3141">
        <v>25982.03</v>
      </c>
      <c r="P312" s="201"/>
      <c r="Q312" s="201"/>
      <c r="R312" s="1982"/>
    </row>
    <row r="313" spans="1:18">
      <c r="A313" s="202">
        <f t="shared" si="2"/>
        <v>2019.04</v>
      </c>
      <c r="B313" s="252">
        <v>69249</v>
      </c>
      <c r="C313" s="3034">
        <v>37694</v>
      </c>
      <c r="D313" s="225">
        <v>31554</v>
      </c>
      <c r="E313" s="573">
        <v>900938</v>
      </c>
      <c r="F313" s="785">
        <v>2172</v>
      </c>
      <c r="G313" s="86">
        <v>24292</v>
      </c>
      <c r="H313" s="2000"/>
      <c r="I313" s="2001"/>
      <c r="J313" s="785">
        <v>39281</v>
      </c>
      <c r="K313" s="86">
        <v>417728</v>
      </c>
      <c r="L313" s="2000"/>
      <c r="M313" s="2001"/>
      <c r="N313" s="573">
        <v>23553.74</v>
      </c>
      <c r="O313" s="3141">
        <v>26282.48</v>
      </c>
      <c r="P313" s="201"/>
      <c r="Q313" s="201"/>
      <c r="R313" s="1982"/>
    </row>
    <row r="314" spans="1:18">
      <c r="A314" s="202">
        <f t="shared" si="2"/>
        <v>2019.05</v>
      </c>
      <c r="B314" s="252">
        <v>76813</v>
      </c>
      <c r="C314" s="3034">
        <v>39986</v>
      </c>
      <c r="D314" s="225">
        <v>36827</v>
      </c>
      <c r="E314" s="573">
        <v>964733</v>
      </c>
      <c r="F314" s="785">
        <v>1764</v>
      </c>
      <c r="G314" s="86">
        <v>19332</v>
      </c>
      <c r="H314" s="2000"/>
      <c r="I314" s="2001"/>
      <c r="J314" s="785">
        <v>39295</v>
      </c>
      <c r="K314" s="86">
        <v>417391</v>
      </c>
      <c r="L314" s="2000"/>
      <c r="M314" s="2001"/>
      <c r="N314" s="573">
        <v>28652.26</v>
      </c>
      <c r="O314" s="3141">
        <v>30933.21</v>
      </c>
      <c r="P314" s="201"/>
      <c r="Q314" s="201"/>
      <c r="R314" s="1982"/>
    </row>
    <row r="315" spans="1:18">
      <c r="A315" s="202">
        <f t="shared" si="2"/>
        <v>2019.06</v>
      </c>
      <c r="B315" s="252">
        <v>73178</v>
      </c>
      <c r="C315" s="3034">
        <v>38704</v>
      </c>
      <c r="D315" s="225">
        <v>34474</v>
      </c>
      <c r="E315" s="573">
        <v>860652</v>
      </c>
      <c r="F315" s="785">
        <v>1823</v>
      </c>
      <c r="G315" s="86">
        <v>20075</v>
      </c>
      <c r="H315" s="2000"/>
      <c r="I315" s="2001"/>
      <c r="J315" s="785">
        <v>38919</v>
      </c>
      <c r="K315" s="86">
        <v>411178</v>
      </c>
      <c r="L315" s="2000"/>
      <c r="M315" s="2001"/>
      <c r="N315" s="800">
        <v>37236.519999999997</v>
      </c>
      <c r="O315" s="3155">
        <v>40703.69</v>
      </c>
      <c r="P315" s="201"/>
      <c r="Q315" s="201"/>
      <c r="R315" s="1982"/>
    </row>
    <row r="316" spans="1:18">
      <c r="A316" s="202">
        <f t="shared" si="2"/>
        <v>2019.07</v>
      </c>
      <c r="B316" s="252">
        <v>81076</v>
      </c>
      <c r="C316" s="3034">
        <v>44374</v>
      </c>
      <c r="D316" s="225">
        <v>36702</v>
      </c>
      <c r="E316" s="573">
        <v>1000469</v>
      </c>
      <c r="F316" s="785">
        <v>1874</v>
      </c>
      <c r="G316" s="86">
        <v>20665</v>
      </c>
      <c r="H316" s="2000"/>
      <c r="I316" s="2001"/>
      <c r="J316" s="785">
        <v>38712</v>
      </c>
      <c r="K316" s="86">
        <v>408630</v>
      </c>
      <c r="L316" s="2000"/>
      <c r="M316" s="2001"/>
      <c r="N316" s="800">
        <v>28100.48</v>
      </c>
      <c r="O316" s="3155">
        <v>30627.77</v>
      </c>
      <c r="P316" s="201"/>
      <c r="Q316" s="201"/>
      <c r="R316" s="1982"/>
    </row>
    <row r="317" spans="1:18">
      <c r="A317" s="202">
        <f t="shared" si="2"/>
        <v>2019.08</v>
      </c>
      <c r="B317" s="252">
        <v>84089</v>
      </c>
      <c r="C317" s="3034">
        <v>45765</v>
      </c>
      <c r="D317" s="225">
        <v>38324</v>
      </c>
      <c r="E317" s="573">
        <v>1048460</v>
      </c>
      <c r="F317" s="785">
        <v>1932</v>
      </c>
      <c r="G317" s="86">
        <v>21265</v>
      </c>
      <c r="H317" s="2000"/>
      <c r="I317" s="2001"/>
      <c r="J317" s="1054">
        <v>38142</v>
      </c>
      <c r="K317" s="1053">
        <v>406166</v>
      </c>
      <c r="L317" s="2000"/>
      <c r="M317" s="2001"/>
      <c r="N317" s="800">
        <v>29461.42</v>
      </c>
      <c r="O317" s="3155">
        <v>32652.1</v>
      </c>
      <c r="P317" s="201"/>
      <c r="Q317" s="201"/>
      <c r="R317" s="1982"/>
    </row>
    <row r="318" spans="1:18">
      <c r="A318" s="202">
        <f t="shared" si="2"/>
        <v>2019.09</v>
      </c>
      <c r="B318" s="252">
        <v>70532</v>
      </c>
      <c r="C318" s="3034">
        <v>39347</v>
      </c>
      <c r="D318" s="225">
        <v>31185</v>
      </c>
      <c r="E318" s="573">
        <v>938994</v>
      </c>
      <c r="F318" s="785">
        <v>1967</v>
      </c>
      <c r="G318" s="86">
        <v>21722</v>
      </c>
      <c r="H318" s="2000"/>
      <c r="I318" s="2001"/>
      <c r="J318" s="1054">
        <v>37187</v>
      </c>
      <c r="K318" s="1053">
        <v>397065</v>
      </c>
      <c r="L318" s="2000"/>
      <c r="M318" s="2001"/>
      <c r="N318" s="573">
        <v>28067.73</v>
      </c>
      <c r="O318" s="3141">
        <v>30864.46</v>
      </c>
      <c r="P318" s="573"/>
      <c r="Q318" s="201"/>
      <c r="R318" s="1982"/>
    </row>
    <row r="319" spans="1:18">
      <c r="A319" s="202">
        <f t="shared" si="2"/>
        <v>2019.1</v>
      </c>
      <c r="B319" s="252">
        <v>69144</v>
      </c>
      <c r="C319" s="3034">
        <v>41760</v>
      </c>
      <c r="D319" s="225">
        <v>27384</v>
      </c>
      <c r="E319" s="573">
        <v>948931</v>
      </c>
      <c r="F319" s="785">
        <v>2008</v>
      </c>
      <c r="G319" s="86">
        <v>22228</v>
      </c>
      <c r="H319" s="2000"/>
      <c r="I319" s="2001"/>
      <c r="J319" s="785">
        <v>36450</v>
      </c>
      <c r="K319" s="86">
        <v>388164</v>
      </c>
      <c r="L319" s="2000"/>
      <c r="M319" s="2001"/>
      <c r="N319" s="573">
        <v>31032.91</v>
      </c>
      <c r="O319" s="3141">
        <v>34316.199999999997</v>
      </c>
      <c r="P319" s="201"/>
      <c r="Q319" s="201"/>
      <c r="R319" s="1982"/>
    </row>
    <row r="320" spans="1:18">
      <c r="A320" s="202">
        <f t="shared" si="2"/>
        <v>2019.11</v>
      </c>
      <c r="B320" s="252">
        <v>63634</v>
      </c>
      <c r="C320" s="3034">
        <v>35403</v>
      </c>
      <c r="D320" s="225">
        <v>28231</v>
      </c>
      <c r="E320" s="573">
        <v>872207</v>
      </c>
      <c r="F320" s="785">
        <v>2031</v>
      </c>
      <c r="G320" s="86">
        <v>22583</v>
      </c>
      <c r="H320" s="2000"/>
      <c r="I320" s="2001"/>
      <c r="J320" s="1054">
        <v>36389</v>
      </c>
      <c r="K320" s="86">
        <v>378009</v>
      </c>
      <c r="L320" s="2000"/>
      <c r="M320" s="2001"/>
      <c r="N320" s="573">
        <v>31840.6</v>
      </c>
      <c r="O320" s="3141">
        <v>35568.71</v>
      </c>
      <c r="P320" s="201"/>
      <c r="Q320" s="201"/>
      <c r="R320" s="1982"/>
    </row>
    <row r="321" spans="1:18">
      <c r="A321" s="202">
        <f t="shared" si="2"/>
        <v>2019.12</v>
      </c>
      <c r="B321" s="252">
        <v>57265</v>
      </c>
      <c r="C321" s="3034">
        <v>31396</v>
      </c>
      <c r="D321" s="225">
        <v>25869</v>
      </c>
      <c r="E321" s="573">
        <v>732734</v>
      </c>
      <c r="F321" s="785">
        <v>2049</v>
      </c>
      <c r="G321" s="86">
        <v>22832</v>
      </c>
      <c r="H321" s="2000"/>
      <c r="I321" s="2001"/>
      <c r="J321" s="1054">
        <v>34716</v>
      </c>
      <c r="K321" s="86">
        <v>357311</v>
      </c>
      <c r="L321" s="2000"/>
      <c r="M321" s="2001"/>
      <c r="N321" s="573">
        <v>46147.53</v>
      </c>
      <c r="O321" s="3141">
        <v>51361.59</v>
      </c>
      <c r="P321" s="201"/>
      <c r="Q321" s="201"/>
      <c r="R321" s="1982"/>
    </row>
    <row r="322" spans="1:18">
      <c r="A322" s="202">
        <f t="shared" si="2"/>
        <v>2020.01</v>
      </c>
      <c r="B322" s="252">
        <v>54388</v>
      </c>
      <c r="C322" s="3034">
        <v>34050</v>
      </c>
      <c r="D322" s="225">
        <v>20338</v>
      </c>
      <c r="E322" s="573">
        <v>745681</v>
      </c>
      <c r="F322" s="785">
        <v>2065</v>
      </c>
      <c r="G322" s="86">
        <v>23109</v>
      </c>
      <c r="H322" s="2000"/>
      <c r="I322" s="2001"/>
      <c r="J322" s="1054">
        <v>34220</v>
      </c>
      <c r="K322" s="86">
        <v>343671</v>
      </c>
      <c r="L322" s="2000"/>
      <c r="M322" s="2001"/>
      <c r="N322" s="573">
        <v>37006.31</v>
      </c>
      <c r="O322" s="3141">
        <v>40022.47</v>
      </c>
      <c r="P322" s="201"/>
      <c r="Q322" s="201"/>
      <c r="R322" s="1982"/>
    </row>
    <row r="323" spans="1:18">
      <c r="A323" s="202">
        <f t="shared" si="2"/>
        <v>2020.02</v>
      </c>
      <c r="B323" s="252">
        <v>52619</v>
      </c>
      <c r="C323" s="3034">
        <v>30929</v>
      </c>
      <c r="D323" s="225">
        <v>21690</v>
      </c>
      <c r="E323" s="573">
        <v>686602</v>
      </c>
      <c r="F323" s="785">
        <v>2082</v>
      </c>
      <c r="G323" s="86">
        <v>23275</v>
      </c>
      <c r="H323" s="2000"/>
      <c r="I323" s="2001"/>
      <c r="J323" s="1054">
        <v>32480</v>
      </c>
      <c r="K323" s="86">
        <v>337208</v>
      </c>
      <c r="L323" s="2000"/>
      <c r="M323" s="2001"/>
      <c r="N323" s="573">
        <v>38466.339999999997</v>
      </c>
      <c r="O323" s="3141">
        <v>41411.54</v>
      </c>
      <c r="P323" s="201"/>
      <c r="Q323" s="201"/>
      <c r="R323" s="1982"/>
    </row>
    <row r="324" spans="1:18">
      <c r="A324" s="202">
        <f t="shared" si="2"/>
        <v>2020.03</v>
      </c>
      <c r="B324" s="252">
        <v>43044</v>
      </c>
      <c r="C324" s="3034">
        <v>26596</v>
      </c>
      <c r="D324" s="225">
        <v>16448</v>
      </c>
      <c r="E324" s="573">
        <v>502368</v>
      </c>
      <c r="F324" s="785">
        <v>2093</v>
      </c>
      <c r="G324" s="86">
        <v>23408</v>
      </c>
      <c r="H324" s="2000"/>
      <c r="I324" s="2001"/>
      <c r="J324" s="1054">
        <v>30387</v>
      </c>
      <c r="K324" s="86">
        <v>317672</v>
      </c>
      <c r="L324" s="2000"/>
      <c r="M324" s="2001"/>
      <c r="N324" s="573">
        <v>35995.370000000003</v>
      </c>
      <c r="O324" s="3141">
        <v>39099.870000000003</v>
      </c>
      <c r="P324" s="201"/>
      <c r="Q324" s="201"/>
      <c r="R324" s="1982"/>
    </row>
    <row r="325" spans="1:18">
      <c r="A325" s="202">
        <f t="shared" si="2"/>
        <v>2020.04</v>
      </c>
      <c r="B325" s="252">
        <v>24456</v>
      </c>
      <c r="C325" s="3034">
        <v>21177</v>
      </c>
      <c r="D325" s="225">
        <v>3279</v>
      </c>
      <c r="E325" s="573">
        <v>403653</v>
      </c>
      <c r="F325" s="785">
        <v>2095</v>
      </c>
      <c r="G325" s="86">
        <v>23401</v>
      </c>
      <c r="H325" s="2000"/>
      <c r="I325" s="2001"/>
      <c r="J325" s="1054">
        <v>26431</v>
      </c>
      <c r="K325" s="86">
        <v>273111</v>
      </c>
      <c r="L325" s="2000"/>
      <c r="M325" s="2001"/>
      <c r="N325" s="573">
        <v>31062.45</v>
      </c>
      <c r="O325" s="3141">
        <v>33620.089999999997</v>
      </c>
      <c r="P325" s="201"/>
      <c r="Q325" s="201"/>
      <c r="R325" s="1982"/>
    </row>
    <row r="326" spans="1:18">
      <c r="A326" s="202">
        <f t="shared" si="2"/>
        <v>2020.05</v>
      </c>
      <c r="B326" s="252">
        <v>51994</v>
      </c>
      <c r="C326" s="3034">
        <v>38086</v>
      </c>
      <c r="D326" s="225">
        <v>13909</v>
      </c>
      <c r="E326" s="573">
        <v>648543</v>
      </c>
      <c r="F326" s="785">
        <v>1294</v>
      </c>
      <c r="G326" s="86">
        <v>13952</v>
      </c>
      <c r="H326" s="2000"/>
      <c r="I326" s="2001"/>
      <c r="J326" s="1054">
        <v>26171</v>
      </c>
      <c r="K326" s="86">
        <v>268807</v>
      </c>
      <c r="L326" s="2000"/>
      <c r="M326" s="2001"/>
      <c r="N326" s="573">
        <v>33744.33</v>
      </c>
      <c r="O326" s="3141">
        <v>35921.519999999997</v>
      </c>
      <c r="P326" s="201"/>
      <c r="Q326" s="201"/>
      <c r="R326" s="1982"/>
    </row>
    <row r="327" spans="1:18">
      <c r="A327" s="202">
        <f t="shared" si="2"/>
        <v>2020.06</v>
      </c>
      <c r="B327" s="252">
        <v>72737</v>
      </c>
      <c r="C327" s="3034">
        <v>47773</v>
      </c>
      <c r="D327" s="225">
        <v>24964</v>
      </c>
      <c r="E327" s="573">
        <v>797794</v>
      </c>
      <c r="F327" s="785">
        <v>1587</v>
      </c>
      <c r="G327" s="86">
        <v>15930</v>
      </c>
      <c r="H327" s="2000"/>
      <c r="I327" s="2001"/>
      <c r="J327" s="1054">
        <v>26901</v>
      </c>
      <c r="K327" s="86">
        <v>272283</v>
      </c>
      <c r="L327" s="2000"/>
      <c r="M327" s="2001"/>
      <c r="N327" s="573">
        <v>52533.25</v>
      </c>
      <c r="O327" s="3141">
        <v>54461.81</v>
      </c>
      <c r="P327" s="201"/>
      <c r="Q327" s="201"/>
      <c r="R327" s="1982"/>
    </row>
    <row r="328" spans="1:18">
      <c r="A328" s="202">
        <f t="shared" si="2"/>
        <v>2020.07</v>
      </c>
      <c r="B328" s="252">
        <v>84614</v>
      </c>
      <c r="C328" s="3034">
        <v>55453</v>
      </c>
      <c r="D328" s="225">
        <v>29160</v>
      </c>
      <c r="E328" s="573">
        <v>862675</v>
      </c>
      <c r="F328" s="785">
        <v>1685</v>
      </c>
      <c r="G328" s="86">
        <v>16776</v>
      </c>
      <c r="H328" s="2000"/>
      <c r="I328" s="2001"/>
      <c r="J328" s="785">
        <v>27567</v>
      </c>
      <c r="K328" s="86">
        <v>268558</v>
      </c>
      <c r="L328" s="2000"/>
      <c r="M328" s="2001"/>
      <c r="N328" s="573">
        <v>27554.79</v>
      </c>
      <c r="O328" s="3141">
        <v>38763.949999999997</v>
      </c>
      <c r="P328" s="201"/>
      <c r="Q328" s="201"/>
      <c r="R328" s="1982"/>
    </row>
    <row r="329" spans="1:18">
      <c r="A329" s="202">
        <f t="shared" si="2"/>
        <v>2020.08</v>
      </c>
      <c r="B329" s="252">
        <v>81584</v>
      </c>
      <c r="C329" s="3034">
        <v>51641</v>
      </c>
      <c r="D329" s="225">
        <v>29943</v>
      </c>
      <c r="E329" s="573">
        <v>917233</v>
      </c>
      <c r="F329" s="785">
        <v>1743</v>
      </c>
      <c r="G329" s="86">
        <v>17391</v>
      </c>
      <c r="H329" s="2000"/>
      <c r="I329" s="2001"/>
      <c r="J329" s="785">
        <v>28074</v>
      </c>
      <c r="K329" s="86">
        <v>273680</v>
      </c>
      <c r="L329" s="2000"/>
      <c r="M329" s="2001"/>
      <c r="N329" s="573">
        <v>36542.980000000003</v>
      </c>
      <c r="O329" s="3141">
        <v>37918.019999999997</v>
      </c>
      <c r="P329" s="201"/>
      <c r="Q329" s="201"/>
      <c r="R329" s="1982"/>
    </row>
    <row r="330" spans="1:18">
      <c r="A330" s="202">
        <f t="shared" si="2"/>
        <v>2020.09</v>
      </c>
      <c r="B330" s="252">
        <v>85502</v>
      </c>
      <c r="C330" s="3034">
        <v>56891</v>
      </c>
      <c r="D330" s="225">
        <v>28611</v>
      </c>
      <c r="E330" s="573">
        <v>1037475</v>
      </c>
      <c r="F330" s="785">
        <v>1785</v>
      </c>
      <c r="G330" s="86">
        <v>17985</v>
      </c>
      <c r="H330" s="2000"/>
      <c r="I330" s="2001"/>
      <c r="J330" s="785">
        <v>28343</v>
      </c>
      <c r="K330" s="86">
        <v>282413</v>
      </c>
      <c r="L330" s="2000"/>
      <c r="M330" s="2001"/>
      <c r="N330" s="573">
        <v>36254.839999999997</v>
      </c>
      <c r="O330" s="3141">
        <v>39223.89</v>
      </c>
      <c r="P330" s="201"/>
      <c r="Q330" s="201"/>
      <c r="R330" s="1982"/>
    </row>
    <row r="331" spans="1:18">
      <c r="A331" s="202">
        <f t="shared" si="2"/>
        <v>2020.1</v>
      </c>
      <c r="B331" s="252">
        <v>88152</v>
      </c>
      <c r="C331" s="3034">
        <v>55838</v>
      </c>
      <c r="D331" s="225">
        <v>32314</v>
      </c>
      <c r="E331" s="573">
        <v>1070232</v>
      </c>
      <c r="F331" s="785">
        <v>1830</v>
      </c>
      <c r="G331" s="86">
        <v>18518</v>
      </c>
      <c r="H331" s="2000"/>
      <c r="I331" s="2001"/>
      <c r="J331" s="785">
        <v>28925</v>
      </c>
      <c r="K331" s="86">
        <v>291505</v>
      </c>
      <c r="L331" s="2000"/>
      <c r="M331" s="2001"/>
      <c r="N331" s="573">
        <v>37686.65</v>
      </c>
      <c r="O331" s="3141">
        <v>40754.71</v>
      </c>
      <c r="P331" s="201"/>
      <c r="Q331" s="201"/>
      <c r="R331" s="1982"/>
    </row>
    <row r="332" spans="1:18">
      <c r="A332" s="202">
        <f t="shared" si="2"/>
        <v>2020.11</v>
      </c>
      <c r="B332" s="252">
        <v>84605</v>
      </c>
      <c r="C332" s="3034">
        <v>54918</v>
      </c>
      <c r="D332" s="225">
        <v>29687</v>
      </c>
      <c r="E332" s="573">
        <v>1092246</v>
      </c>
      <c r="F332" s="785">
        <v>1871</v>
      </c>
      <c r="G332" s="86">
        <v>18978</v>
      </c>
      <c r="H332" s="2000"/>
      <c r="I332" s="2001"/>
      <c r="J332" s="785">
        <v>29413</v>
      </c>
      <c r="K332" s="86">
        <v>298430</v>
      </c>
      <c r="L332" s="2000"/>
      <c r="M332" s="2001"/>
      <c r="N332" s="573">
        <v>43223.71</v>
      </c>
      <c r="O332" s="3141">
        <v>46641.53</v>
      </c>
      <c r="P332" s="201"/>
      <c r="Q332" s="201"/>
      <c r="R332" s="1982"/>
    </row>
    <row r="333" spans="1:18">
      <c r="A333" s="202">
        <f t="shared" si="2"/>
        <v>2020.12</v>
      </c>
      <c r="B333" s="252">
        <v>81834</v>
      </c>
      <c r="C333" s="3034">
        <v>52354</v>
      </c>
      <c r="D333" s="225">
        <v>29480</v>
      </c>
      <c r="E333" s="573">
        <v>976945</v>
      </c>
      <c r="F333" s="785">
        <v>1890</v>
      </c>
      <c r="G333" s="86">
        <v>19308</v>
      </c>
      <c r="H333" s="2000"/>
      <c r="I333" s="2001"/>
      <c r="J333" s="785">
        <v>28963</v>
      </c>
      <c r="K333" s="86">
        <v>294178</v>
      </c>
      <c r="L333" s="2000"/>
      <c r="M333" s="2001"/>
      <c r="N333" s="573">
        <v>59634.17</v>
      </c>
      <c r="O333" s="3141">
        <v>66716.03</v>
      </c>
      <c r="P333" s="201"/>
      <c r="Q333" s="201"/>
      <c r="R333" s="1982"/>
    </row>
    <row r="334" spans="1:18">
      <c r="A334" s="202">
        <f t="shared" si="2"/>
        <v>2021.01</v>
      </c>
      <c r="B334" s="252">
        <v>70465</v>
      </c>
      <c r="C334" s="3034">
        <v>45155</v>
      </c>
      <c r="D334" s="225">
        <v>25310</v>
      </c>
      <c r="E334" s="573">
        <v>895416</v>
      </c>
      <c r="F334" s="785">
        <v>1917</v>
      </c>
      <c r="G334" s="86">
        <v>19632</v>
      </c>
      <c r="H334" s="2000"/>
      <c r="I334" s="2001"/>
      <c r="J334" s="785">
        <v>30070</v>
      </c>
      <c r="K334" s="86">
        <v>299499</v>
      </c>
      <c r="L334" s="2000"/>
      <c r="M334" s="2001"/>
      <c r="N334" s="573">
        <v>42273.919999999998</v>
      </c>
      <c r="O334" s="3141">
        <v>47200.5</v>
      </c>
      <c r="P334" s="201"/>
      <c r="Q334" s="201"/>
      <c r="R334" s="1982"/>
    </row>
    <row r="335" spans="1:18">
      <c r="A335" s="202">
        <f t="shared" si="2"/>
        <v>2021.02</v>
      </c>
      <c r="B335" s="252">
        <v>66629</v>
      </c>
      <c r="C335" s="3034">
        <v>39837</v>
      </c>
      <c r="D335" s="225">
        <v>26792</v>
      </c>
      <c r="E335" s="573">
        <v>811697</v>
      </c>
      <c r="F335" s="785">
        <v>1938</v>
      </c>
      <c r="G335" s="86">
        <v>19945</v>
      </c>
      <c r="H335" s="2000"/>
      <c r="I335" s="2001"/>
      <c r="J335" s="785">
        <v>31108</v>
      </c>
      <c r="K335" s="86">
        <v>309585</v>
      </c>
      <c r="L335" s="2000"/>
      <c r="M335" s="2001"/>
      <c r="N335" s="573">
        <v>45916.39</v>
      </c>
      <c r="O335" s="3141">
        <v>49048.57</v>
      </c>
      <c r="P335" s="201"/>
      <c r="Q335" s="201"/>
      <c r="R335" s="1982"/>
    </row>
    <row r="336" spans="1:18">
      <c r="A336" s="202">
        <f t="shared" si="2"/>
        <v>2021.03</v>
      </c>
      <c r="B336" s="252">
        <v>78849</v>
      </c>
      <c r="C336" s="3034">
        <v>45479</v>
      </c>
      <c r="D336" s="225">
        <v>33370</v>
      </c>
      <c r="E336" s="573">
        <v>974347</v>
      </c>
      <c r="F336" s="785">
        <v>1959</v>
      </c>
      <c r="G336" s="86">
        <v>20514</v>
      </c>
      <c r="H336" s="2000"/>
      <c r="I336" s="2001"/>
      <c r="J336" s="785">
        <v>32194</v>
      </c>
      <c r="K336" s="86">
        <v>322000</v>
      </c>
      <c r="L336" s="2000"/>
      <c r="M336" s="2001"/>
      <c r="N336" s="573">
        <v>48604.35</v>
      </c>
      <c r="O336" s="3141">
        <v>52877.57</v>
      </c>
      <c r="P336" s="201"/>
      <c r="Q336" s="201"/>
      <c r="R336" s="1982"/>
    </row>
    <row r="337" spans="1:18">
      <c r="A337" s="202">
        <f t="shared" si="2"/>
        <v>2021.04</v>
      </c>
      <c r="B337" s="252">
        <v>75158</v>
      </c>
      <c r="C337" s="3034">
        <v>43145</v>
      </c>
      <c r="D337" s="225">
        <v>32013</v>
      </c>
      <c r="E337" s="573">
        <v>947965</v>
      </c>
      <c r="F337" s="785">
        <v>1980</v>
      </c>
      <c r="G337" s="86">
        <v>20843</v>
      </c>
      <c r="H337" s="2000"/>
      <c r="I337" s="2001"/>
      <c r="J337" s="785">
        <v>31838</v>
      </c>
      <c r="K337" s="86">
        <v>324276</v>
      </c>
      <c r="L337" s="2000"/>
      <c r="M337" s="2001"/>
      <c r="N337" s="573">
        <v>52998.66</v>
      </c>
      <c r="O337" s="3141">
        <v>57000.97</v>
      </c>
      <c r="P337" s="201"/>
      <c r="Q337" s="201"/>
      <c r="R337" s="1982"/>
    </row>
    <row r="338" spans="1:18">
      <c r="A338" s="202">
        <f t="shared" si="2"/>
        <v>2021.05</v>
      </c>
      <c r="B338" s="252">
        <v>69549</v>
      </c>
      <c r="C338" s="3034">
        <v>38367</v>
      </c>
      <c r="D338" s="225">
        <v>31181</v>
      </c>
      <c r="E338" s="573">
        <v>874188</v>
      </c>
      <c r="F338" s="785">
        <v>1659</v>
      </c>
      <c r="G338" s="86">
        <v>17149</v>
      </c>
      <c r="H338" s="2000"/>
      <c r="I338" s="2001"/>
      <c r="J338" s="785">
        <v>31915</v>
      </c>
      <c r="K338" s="86">
        <v>325324</v>
      </c>
      <c r="L338" s="2000"/>
      <c r="M338" s="2001"/>
      <c r="N338" s="573">
        <v>50994.25</v>
      </c>
      <c r="O338" s="3141">
        <v>56244.1</v>
      </c>
      <c r="P338" s="201"/>
      <c r="Q338" s="201"/>
      <c r="R338" s="1982"/>
    </row>
    <row r="339" spans="1:18">
      <c r="A339" s="202">
        <f t="shared" si="2"/>
        <v>2021.06</v>
      </c>
      <c r="B339" s="252">
        <v>85028</v>
      </c>
      <c r="C339" s="3034">
        <v>48947</v>
      </c>
      <c r="D339" s="225">
        <v>36081</v>
      </c>
      <c r="E339" s="573">
        <v>961512</v>
      </c>
      <c r="F339" s="785">
        <v>1712</v>
      </c>
      <c r="G339" s="86">
        <v>17883</v>
      </c>
      <c r="H339" s="2000"/>
      <c r="I339" s="2001"/>
      <c r="J339" s="785">
        <v>31913</v>
      </c>
      <c r="K339" s="86">
        <v>332338</v>
      </c>
      <c r="L339" s="2000"/>
      <c r="M339" s="2001"/>
      <c r="N339" s="573">
        <v>71480.710000000006</v>
      </c>
      <c r="O339" s="3141">
        <v>77637.73</v>
      </c>
      <c r="P339" s="201"/>
      <c r="Q339" s="201"/>
      <c r="R339" s="1982"/>
    </row>
    <row r="340" spans="1:18">
      <c r="A340" s="202">
        <f t="shared" si="2"/>
        <v>2021.07</v>
      </c>
      <c r="B340" s="252">
        <v>86573</v>
      </c>
      <c r="C340" s="3034">
        <v>47864</v>
      </c>
      <c r="D340" s="225">
        <v>38709</v>
      </c>
      <c r="E340" s="573">
        <v>1043235</v>
      </c>
      <c r="F340" s="785">
        <v>1759</v>
      </c>
      <c r="G340" s="86">
        <v>18450</v>
      </c>
      <c r="H340" s="2000"/>
      <c r="I340" s="2001"/>
      <c r="J340" s="785">
        <v>32691</v>
      </c>
      <c r="K340" s="86">
        <v>340020</v>
      </c>
      <c r="L340" s="2000"/>
      <c r="M340" s="2001"/>
      <c r="N340" s="573">
        <v>55842.39</v>
      </c>
      <c r="O340" s="3141">
        <v>62216.44</v>
      </c>
      <c r="P340" s="201"/>
      <c r="Q340" s="201"/>
      <c r="R340" s="1982"/>
    </row>
    <row r="341" spans="1:18" ht="12" customHeight="1">
      <c r="A341" s="202">
        <f t="shared" si="2"/>
        <v>2021.08</v>
      </c>
      <c r="B341" s="252">
        <v>90561</v>
      </c>
      <c r="C341" s="3034">
        <v>50009</v>
      </c>
      <c r="D341" s="225">
        <v>40553</v>
      </c>
      <c r="E341" s="573">
        <v>1083824</v>
      </c>
      <c r="F341" s="785">
        <v>1804</v>
      </c>
      <c r="G341" s="86">
        <v>18985</v>
      </c>
      <c r="H341" s="2000"/>
      <c r="I341" s="2001"/>
      <c r="J341" s="785">
        <v>33398</v>
      </c>
      <c r="K341" s="86">
        <v>349397</v>
      </c>
      <c r="L341" s="2000"/>
      <c r="M341" s="2001"/>
      <c r="N341" s="573">
        <v>56581.78</v>
      </c>
      <c r="O341" s="3141">
        <v>62627.14</v>
      </c>
      <c r="P341" s="201"/>
      <c r="Q341" s="201"/>
      <c r="R341" s="1982"/>
    </row>
    <row r="342" spans="1:18">
      <c r="A342" s="202">
        <f t="shared" si="2"/>
        <v>2021.09</v>
      </c>
      <c r="B342" s="252">
        <v>89168</v>
      </c>
      <c r="C342" s="3034">
        <v>51088</v>
      </c>
      <c r="D342" s="225">
        <v>38080</v>
      </c>
      <c r="E342" s="573">
        <v>1110263</v>
      </c>
      <c r="F342" s="785">
        <v>1874</v>
      </c>
      <c r="G342" s="86">
        <v>19641</v>
      </c>
      <c r="H342" s="2000"/>
      <c r="I342" s="2001"/>
      <c r="J342" s="785">
        <v>34206</v>
      </c>
      <c r="K342" s="86">
        <v>355611</v>
      </c>
      <c r="L342" s="2000"/>
      <c r="M342" s="2001"/>
      <c r="N342" s="573">
        <v>58367.42</v>
      </c>
      <c r="O342" s="3141">
        <v>63996.44</v>
      </c>
      <c r="P342" s="201"/>
      <c r="Q342" s="201"/>
      <c r="R342" s="1982"/>
    </row>
    <row r="343" spans="1:18">
      <c r="A343" s="202">
        <f t="shared" si="2"/>
        <v>2021.1</v>
      </c>
      <c r="B343" s="252">
        <v>87385</v>
      </c>
      <c r="C343" s="3034">
        <v>49933</v>
      </c>
      <c r="D343" s="225">
        <v>37452</v>
      </c>
      <c r="E343" s="573">
        <v>1140962</v>
      </c>
      <c r="F343" s="785">
        <v>1924</v>
      </c>
      <c r="G343" s="86">
        <v>20125</v>
      </c>
      <c r="H343" s="2000"/>
      <c r="I343" s="2001"/>
      <c r="J343" s="785">
        <v>35243</v>
      </c>
      <c r="K343" s="86">
        <v>361263</v>
      </c>
      <c r="L343" s="2000"/>
      <c r="M343" s="2001"/>
      <c r="N343" s="573">
        <v>61461.919999999998</v>
      </c>
      <c r="O343" s="3141">
        <v>68265.070000000007</v>
      </c>
      <c r="P343" s="201"/>
      <c r="Q343" s="201"/>
      <c r="R343" s="1982"/>
    </row>
    <row r="344" spans="1:18">
      <c r="A344" s="202">
        <f t="shared" si="2"/>
        <v>2021.11</v>
      </c>
      <c r="B344" s="252">
        <v>87242</v>
      </c>
      <c r="C344" s="3034">
        <v>49194</v>
      </c>
      <c r="D344" s="225">
        <v>38048</v>
      </c>
      <c r="E344" s="573">
        <v>1142127</v>
      </c>
      <c r="F344" s="785">
        <v>1967</v>
      </c>
      <c r="G344" s="86">
        <v>20580</v>
      </c>
      <c r="H344" s="2000"/>
      <c r="I344" s="2001"/>
      <c r="J344" s="785">
        <v>36352</v>
      </c>
      <c r="K344" s="86">
        <v>367410</v>
      </c>
      <c r="L344" s="2000"/>
      <c r="M344" s="2001"/>
      <c r="N344" s="573">
        <v>64283.43</v>
      </c>
      <c r="O344" s="3141">
        <v>70040.800000000003</v>
      </c>
      <c r="P344" s="201"/>
      <c r="Q344" s="201"/>
      <c r="R344" s="1982"/>
    </row>
    <row r="345" spans="1:18">
      <c r="A345" s="202">
        <f t="shared" si="2"/>
        <v>2021.12</v>
      </c>
      <c r="B345" s="252">
        <v>79649</v>
      </c>
      <c r="C345" s="3034">
        <v>45839</v>
      </c>
      <c r="D345" s="225">
        <v>33810</v>
      </c>
      <c r="E345" s="573">
        <v>1025197</v>
      </c>
      <c r="F345" s="785">
        <v>1985</v>
      </c>
      <c r="G345" s="86">
        <v>20840</v>
      </c>
      <c r="H345" s="2000"/>
      <c r="I345" s="2001"/>
      <c r="J345" s="785">
        <v>35226</v>
      </c>
      <c r="K345" s="86">
        <v>361088</v>
      </c>
      <c r="L345" s="2000"/>
      <c r="M345" s="2001"/>
      <c r="N345" s="573">
        <v>89936.97</v>
      </c>
      <c r="O345" s="3141">
        <v>99434.15</v>
      </c>
      <c r="P345" s="201"/>
      <c r="Q345" s="201"/>
      <c r="R345" s="1982"/>
    </row>
    <row r="346" spans="1:18">
      <c r="A346" s="202">
        <f t="shared" si="2"/>
        <v>2022.01</v>
      </c>
      <c r="B346" s="252">
        <v>66381</v>
      </c>
      <c r="C346" s="3034">
        <v>39402</v>
      </c>
      <c r="D346" s="225">
        <v>26979</v>
      </c>
      <c r="E346" s="573">
        <v>877364</v>
      </c>
      <c r="F346" s="785">
        <v>2006</v>
      </c>
      <c r="G346" s="86">
        <v>21105</v>
      </c>
      <c r="H346" s="2000"/>
      <c r="I346" s="2001"/>
      <c r="J346" s="785">
        <v>36513</v>
      </c>
      <c r="K346" s="86">
        <v>361933</v>
      </c>
      <c r="L346" s="2000"/>
      <c r="M346" s="2001"/>
      <c r="N346" s="573">
        <v>63559.4</v>
      </c>
      <c r="O346" s="3141">
        <v>69972.47</v>
      </c>
      <c r="P346" s="201"/>
      <c r="Q346" s="201"/>
      <c r="R346" s="1982"/>
    </row>
    <row r="347" spans="1:18">
      <c r="A347" s="202">
        <f t="shared" si="2"/>
        <v>2022.02</v>
      </c>
      <c r="B347" s="252">
        <v>76075</v>
      </c>
      <c r="C347" s="3034">
        <v>41893</v>
      </c>
      <c r="D347" s="225">
        <v>34181</v>
      </c>
      <c r="E347" s="573">
        <v>938072</v>
      </c>
      <c r="F347" s="785">
        <v>2033</v>
      </c>
      <c r="G347" s="86">
        <v>21335</v>
      </c>
      <c r="H347" s="2000"/>
      <c r="I347" s="2001"/>
      <c r="J347" s="785">
        <v>37029</v>
      </c>
      <c r="K347" s="86">
        <v>372996</v>
      </c>
      <c r="L347" s="2000"/>
      <c r="M347" s="2001"/>
      <c r="N347" s="573">
        <v>67749.509999999995</v>
      </c>
      <c r="O347" s="3141">
        <v>73151.19</v>
      </c>
      <c r="P347" s="201"/>
      <c r="Q347" s="201"/>
      <c r="R347" s="1982"/>
    </row>
    <row r="348" spans="1:18">
      <c r="A348" s="202">
        <f t="shared" si="2"/>
        <v>2022.03</v>
      </c>
      <c r="B348" s="252">
        <v>79313</v>
      </c>
      <c r="C348" s="3034">
        <v>44980</v>
      </c>
      <c r="D348" s="225">
        <v>34334</v>
      </c>
      <c r="E348" s="573">
        <v>1047227</v>
      </c>
      <c r="F348" s="785">
        <v>2059</v>
      </c>
      <c r="G348" s="86">
        <v>21592</v>
      </c>
      <c r="H348" s="2000"/>
      <c r="I348" s="2001"/>
      <c r="J348" s="785">
        <v>37317</v>
      </c>
      <c r="K348" s="86">
        <v>384784</v>
      </c>
      <c r="L348" s="2000"/>
      <c r="M348" s="2001"/>
      <c r="N348" s="573">
        <v>75959.58</v>
      </c>
      <c r="O348" s="3141">
        <v>84138.35</v>
      </c>
      <c r="P348" s="201"/>
      <c r="Q348" s="201"/>
      <c r="R348" s="1982"/>
    </row>
    <row r="349" spans="1:18">
      <c r="A349" s="202">
        <f t="shared" si="2"/>
        <v>2022.04</v>
      </c>
      <c r="B349" s="252">
        <v>82991</v>
      </c>
      <c r="C349" s="3034">
        <v>44523</v>
      </c>
      <c r="D349" s="225">
        <v>38468</v>
      </c>
      <c r="E349" s="573">
        <v>1039320</v>
      </c>
      <c r="F349" s="785">
        <v>2073</v>
      </c>
      <c r="G349" s="86">
        <v>21849</v>
      </c>
      <c r="H349" s="2000"/>
      <c r="I349" s="2001"/>
      <c r="J349" s="785">
        <v>37352</v>
      </c>
      <c r="K349" s="86">
        <v>386354</v>
      </c>
      <c r="L349" s="2000"/>
      <c r="M349" s="2001"/>
      <c r="N349" s="573">
        <v>74703.83</v>
      </c>
      <c r="O349" s="3141">
        <v>82549.03</v>
      </c>
      <c r="P349" s="201"/>
      <c r="Q349" s="201"/>
      <c r="R349" s="1982"/>
    </row>
    <row r="350" spans="1:18">
      <c r="A350" s="202">
        <f t="shared" si="2"/>
        <v>2022.05</v>
      </c>
      <c r="B350" s="252">
        <v>86980</v>
      </c>
      <c r="C350" s="3034">
        <v>45162</v>
      </c>
      <c r="D350" s="225">
        <v>41818</v>
      </c>
      <c r="E350" s="573">
        <v>1088000</v>
      </c>
      <c r="F350" s="785">
        <v>1742</v>
      </c>
      <c r="G350" s="86">
        <v>17574</v>
      </c>
      <c r="H350" s="2000"/>
      <c r="I350" s="2001"/>
      <c r="J350" s="785">
        <v>37384</v>
      </c>
      <c r="K350" s="86">
        <v>390528</v>
      </c>
      <c r="L350" s="2000"/>
      <c r="M350" s="2001"/>
      <c r="N350" s="573">
        <v>83779.19</v>
      </c>
      <c r="O350" s="3141">
        <v>92281.18</v>
      </c>
      <c r="P350" s="201"/>
      <c r="Q350" s="201"/>
      <c r="R350" s="1982"/>
    </row>
    <row r="351" spans="1:18">
      <c r="A351" s="202">
        <f t="shared" si="2"/>
        <v>2022.06</v>
      </c>
      <c r="B351" s="252">
        <v>84746</v>
      </c>
      <c r="C351" s="3034">
        <v>46774</v>
      </c>
      <c r="D351" s="225">
        <v>37972</v>
      </c>
      <c r="E351" s="573">
        <v>1104095</v>
      </c>
      <c r="F351" s="785">
        <v>1808</v>
      </c>
      <c r="G351" s="86">
        <v>18398</v>
      </c>
      <c r="H351" s="2000"/>
      <c r="I351" s="2001"/>
      <c r="J351" s="785">
        <v>37266</v>
      </c>
      <c r="K351" s="86">
        <v>393577</v>
      </c>
      <c r="L351" s="2000"/>
      <c r="M351" s="2001"/>
      <c r="N351" s="573">
        <v>122665.89</v>
      </c>
      <c r="O351" s="3141">
        <v>138736.39000000001</v>
      </c>
      <c r="P351" s="201"/>
      <c r="Q351" s="201"/>
      <c r="R351" s="1982"/>
    </row>
    <row r="352" spans="1:18">
      <c r="A352" s="202">
        <f t="shared" si="2"/>
        <v>2022.07</v>
      </c>
      <c r="B352" s="252">
        <v>90513</v>
      </c>
      <c r="C352" s="3034">
        <v>48013</v>
      </c>
      <c r="D352" s="225">
        <v>42499</v>
      </c>
      <c r="E352" s="573">
        <v>1146900</v>
      </c>
      <c r="F352" s="785">
        <v>1862</v>
      </c>
      <c r="G352" s="86">
        <v>19007</v>
      </c>
      <c r="H352" s="2000"/>
      <c r="I352" s="2001"/>
      <c r="J352" s="785">
        <v>37105</v>
      </c>
      <c r="K352" s="86">
        <v>400983</v>
      </c>
      <c r="L352" s="2000"/>
      <c r="M352" s="2001"/>
      <c r="N352" s="573">
        <v>86024.44</v>
      </c>
      <c r="O352" s="3141">
        <v>96827.55</v>
      </c>
      <c r="P352" s="201"/>
      <c r="Q352" s="201"/>
      <c r="R352" s="1982"/>
    </row>
    <row r="353" spans="1:18">
      <c r="A353" s="202">
        <f t="shared" si="2"/>
        <v>2022.08</v>
      </c>
      <c r="B353" s="252">
        <v>92775</v>
      </c>
      <c r="C353" s="3034">
        <v>49837</v>
      </c>
      <c r="D353" s="225">
        <v>42938</v>
      </c>
      <c r="E353" s="573">
        <v>1226646</v>
      </c>
      <c r="F353" s="785">
        <v>1907</v>
      </c>
      <c r="G353" s="86">
        <v>19575</v>
      </c>
      <c r="H353" s="2000"/>
      <c r="I353" s="2001"/>
      <c r="J353" s="785">
        <v>38022</v>
      </c>
      <c r="K353" s="86">
        <v>408470</v>
      </c>
      <c r="L353" s="2000"/>
      <c r="M353" s="2001"/>
      <c r="N353" s="573">
        <v>96334.49</v>
      </c>
      <c r="O353" s="3141">
        <v>107017</v>
      </c>
      <c r="P353" s="201"/>
      <c r="Q353" s="201"/>
      <c r="R353" s="1982"/>
    </row>
    <row r="354" spans="1:18">
      <c r="A354" s="202">
        <f t="shared" si="2"/>
        <v>2022.09</v>
      </c>
      <c r="B354" s="252">
        <v>92783</v>
      </c>
      <c r="C354" s="3034">
        <v>48079</v>
      </c>
      <c r="D354" s="225">
        <v>44704</v>
      </c>
      <c r="E354" s="573">
        <v>1212881</v>
      </c>
      <c r="F354" s="785">
        <v>1968</v>
      </c>
      <c r="G354" s="86">
        <v>20097</v>
      </c>
      <c r="H354" s="2000"/>
      <c r="I354" s="2001"/>
      <c r="J354" s="785">
        <v>38784</v>
      </c>
      <c r="K354" s="86">
        <v>416457</v>
      </c>
      <c r="L354" s="2000"/>
      <c r="M354" s="2001"/>
      <c r="N354" s="573">
        <v>104434.59</v>
      </c>
      <c r="O354" s="3141">
        <v>114558.76</v>
      </c>
      <c r="P354" s="201"/>
      <c r="Q354" s="201"/>
      <c r="R354" s="1982"/>
    </row>
    <row r="355" spans="1:18">
      <c r="A355" s="202">
        <f t="shared" si="2"/>
        <v>2022.1</v>
      </c>
      <c r="B355" s="252">
        <v>82447</v>
      </c>
      <c r="C355" s="3034">
        <v>45269</v>
      </c>
      <c r="D355" s="225">
        <v>37177</v>
      </c>
      <c r="E355" s="573">
        <v>1131509</v>
      </c>
      <c r="F355" s="785">
        <v>1997</v>
      </c>
      <c r="G355" s="86">
        <v>20519</v>
      </c>
      <c r="H355" s="2000"/>
      <c r="I355" s="2001"/>
      <c r="J355" s="785">
        <v>38857</v>
      </c>
      <c r="K355" s="86">
        <v>421267</v>
      </c>
      <c r="L355" s="2000"/>
      <c r="M355" s="2001"/>
      <c r="N355" s="573">
        <v>113643.13</v>
      </c>
      <c r="O355" s="3141">
        <v>125408.38</v>
      </c>
      <c r="P355" s="201"/>
      <c r="Q355" s="201"/>
      <c r="R355" s="1982"/>
    </row>
    <row r="356" spans="1:18">
      <c r="A356" s="202">
        <f t="shared" si="2"/>
        <v>2022.11</v>
      </c>
      <c r="B356" s="252">
        <v>85842</v>
      </c>
      <c r="C356" s="3034">
        <v>44533</v>
      </c>
      <c r="D356" s="225">
        <v>41309</v>
      </c>
      <c r="E356" s="573">
        <v>1144153</v>
      </c>
      <c r="F356" s="785">
        <v>2024</v>
      </c>
      <c r="G356" s="86">
        <v>20923</v>
      </c>
      <c r="H356" s="2000"/>
      <c r="I356" s="2001"/>
      <c r="J356" s="785">
        <v>39022</v>
      </c>
      <c r="K356" s="86">
        <v>428302</v>
      </c>
      <c r="L356" s="2000"/>
      <c r="M356" s="2001"/>
      <c r="N356" s="573">
        <v>126412.38</v>
      </c>
      <c r="O356" s="3141">
        <v>138091.22</v>
      </c>
      <c r="P356" s="201"/>
      <c r="Q356" s="201"/>
      <c r="R356" s="1982"/>
    </row>
    <row r="357" spans="1:18">
      <c r="A357" s="202">
        <f t="shared" si="2"/>
        <v>2022.12</v>
      </c>
      <c r="B357" s="252">
        <v>71614</v>
      </c>
      <c r="C357" s="3034">
        <v>37290</v>
      </c>
      <c r="D357" s="225">
        <v>34324</v>
      </c>
      <c r="E357" s="573">
        <v>932660</v>
      </c>
      <c r="F357" s="785">
        <v>2030</v>
      </c>
      <c r="G357" s="86">
        <v>21109</v>
      </c>
      <c r="H357" s="2000"/>
      <c r="I357" s="2001"/>
      <c r="J357" s="785">
        <v>38989</v>
      </c>
      <c r="K357" s="86">
        <v>422994</v>
      </c>
      <c r="L357" s="2000"/>
      <c r="M357" s="2001"/>
      <c r="N357" s="573">
        <v>183606.87</v>
      </c>
      <c r="O357" s="3141">
        <v>202861.06</v>
      </c>
      <c r="P357" s="201"/>
      <c r="Q357" s="201"/>
      <c r="R357" s="1982"/>
    </row>
    <row r="358" spans="1:18">
      <c r="A358" s="202">
        <f t="shared" si="2"/>
        <v>2023.01</v>
      </c>
      <c r="B358" s="252">
        <v>68930</v>
      </c>
      <c r="C358" s="3034">
        <v>37730</v>
      </c>
      <c r="D358" s="225">
        <v>31199</v>
      </c>
      <c r="E358" s="573">
        <v>958230</v>
      </c>
      <c r="F358" s="785">
        <v>2070</v>
      </c>
      <c r="G358" s="86">
        <v>24158</v>
      </c>
      <c r="H358" s="2000"/>
      <c r="I358" s="2001"/>
      <c r="J358" s="785">
        <v>39387</v>
      </c>
      <c r="K358" s="86">
        <v>423702</v>
      </c>
      <c r="L358" s="2000"/>
      <c r="M358" s="2001"/>
      <c r="N358" s="573">
        <v>139949.24</v>
      </c>
      <c r="O358" s="3141">
        <v>154496.98000000001</v>
      </c>
      <c r="P358" s="201"/>
      <c r="Q358" s="201"/>
      <c r="R358" s="1982"/>
    </row>
    <row r="359" spans="1:18">
      <c r="A359" s="202">
        <f t="shared" si="2"/>
        <v>2023.02</v>
      </c>
      <c r="B359" s="252">
        <v>63616</v>
      </c>
      <c r="C359" s="3034">
        <v>32648</v>
      </c>
      <c r="D359" s="225">
        <v>30968</v>
      </c>
      <c r="E359" s="573">
        <v>895938</v>
      </c>
      <c r="F359" s="785">
        <v>2093</v>
      </c>
      <c r="G359" s="86">
        <v>21658</v>
      </c>
      <c r="H359" s="2000"/>
      <c r="I359" s="2001"/>
      <c r="J359" s="785">
        <v>39264</v>
      </c>
      <c r="K359" s="86">
        <v>430752</v>
      </c>
      <c r="L359" s="2000"/>
      <c r="M359" s="2001"/>
      <c r="N359" s="573">
        <v>132660.51</v>
      </c>
      <c r="O359" s="3141">
        <v>151762.43</v>
      </c>
      <c r="P359" s="201"/>
      <c r="Q359" s="201"/>
      <c r="R359" s="1982"/>
    </row>
    <row r="360" spans="1:18">
      <c r="A360" s="202">
        <f t="shared" si="2"/>
        <v>2023.03</v>
      </c>
      <c r="B360" s="252">
        <v>77253</v>
      </c>
      <c r="C360" s="3034">
        <v>39464</v>
      </c>
      <c r="D360" s="225">
        <v>37789</v>
      </c>
      <c r="E360" s="573">
        <v>1113909</v>
      </c>
      <c r="F360" s="785">
        <v>2140</v>
      </c>
      <c r="G360" s="86">
        <v>22081</v>
      </c>
      <c r="H360" s="2000"/>
      <c r="I360" s="2001"/>
      <c r="J360" s="785">
        <v>40377</v>
      </c>
      <c r="K360" s="86">
        <v>446357</v>
      </c>
      <c r="L360" s="2000"/>
      <c r="M360" s="2001"/>
      <c r="N360" s="573">
        <v>155143.32</v>
      </c>
      <c r="O360" s="3141">
        <v>178214.51</v>
      </c>
      <c r="P360" s="201"/>
      <c r="Q360" s="201"/>
      <c r="R360" s="1982"/>
    </row>
    <row r="361" spans="1:18">
      <c r="A361" s="202">
        <f t="shared" si="2"/>
        <v>2023.04</v>
      </c>
      <c r="B361" s="252">
        <v>71717</v>
      </c>
      <c r="C361" s="3034">
        <v>36184</v>
      </c>
      <c r="D361" s="225">
        <v>35533</v>
      </c>
      <c r="E361" s="573">
        <v>1028598</v>
      </c>
      <c r="F361" s="785">
        <v>2149</v>
      </c>
      <c r="G361" s="86">
        <v>22238</v>
      </c>
      <c r="H361" s="2000"/>
      <c r="I361" s="2001"/>
      <c r="J361" s="785">
        <v>40121</v>
      </c>
      <c r="K361" s="86">
        <v>444028</v>
      </c>
      <c r="L361" s="2000"/>
      <c r="M361" s="2001"/>
      <c r="N361" s="573">
        <v>164676.29</v>
      </c>
      <c r="O361" s="3141">
        <v>187704.52</v>
      </c>
      <c r="P361" s="201"/>
      <c r="Q361" s="201"/>
      <c r="R361" s="1982"/>
    </row>
    <row r="362" spans="1:18">
      <c r="A362" s="202">
        <f t="shared" si="2"/>
        <v>2023.05</v>
      </c>
      <c r="B362" s="252">
        <v>72481</v>
      </c>
      <c r="C362" s="3034">
        <v>35831</v>
      </c>
      <c r="D362" s="225">
        <v>36650</v>
      </c>
      <c r="E362" s="573">
        <v>1071951</v>
      </c>
      <c r="F362" s="785">
        <v>1851</v>
      </c>
      <c r="G362" s="86">
        <v>18232</v>
      </c>
      <c r="H362" s="2000"/>
      <c r="I362" s="2001"/>
      <c r="J362" s="785">
        <v>39895</v>
      </c>
      <c r="K362" s="86">
        <v>447038</v>
      </c>
      <c r="L362" s="2000"/>
      <c r="M362" s="2001"/>
      <c r="N362" s="573">
        <v>180745.02</v>
      </c>
      <c r="O362" s="3141">
        <v>206009.21</v>
      </c>
      <c r="P362" s="201"/>
      <c r="Q362" s="201"/>
      <c r="R362" s="1982"/>
    </row>
    <row r="363" spans="1:18">
      <c r="A363" s="202">
        <f t="shared" si="2"/>
        <v>2023.06</v>
      </c>
      <c r="B363" s="252">
        <v>73143</v>
      </c>
      <c r="C363" s="3034">
        <v>33937</v>
      </c>
      <c r="D363" s="225">
        <v>39206</v>
      </c>
      <c r="E363" s="573">
        <v>1080354</v>
      </c>
      <c r="F363" s="785">
        <v>1912</v>
      </c>
      <c r="G363" s="86">
        <v>18896</v>
      </c>
      <c r="H363" s="2000"/>
      <c r="I363" s="2001"/>
      <c r="J363" s="785">
        <v>39109</v>
      </c>
      <c r="K363" s="86">
        <v>442658</v>
      </c>
      <c r="L363" s="2000"/>
      <c r="M363" s="2001"/>
      <c r="N363" s="573">
        <v>265048.89</v>
      </c>
      <c r="O363" s="3141">
        <v>300237.03999999998</v>
      </c>
      <c r="P363" s="201"/>
      <c r="Q363" s="201"/>
      <c r="R363" s="1982"/>
    </row>
    <row r="364" spans="1:18">
      <c r="A364" s="202">
        <f t="shared" si="2"/>
        <v>2023.07</v>
      </c>
      <c r="B364" s="252">
        <v>73818</v>
      </c>
      <c r="C364" s="3034">
        <v>38006</v>
      </c>
      <c r="D364" s="225">
        <v>35812</v>
      </c>
      <c r="E364" s="573">
        <v>1067680</v>
      </c>
      <c r="F364" s="785">
        <v>1959</v>
      </c>
      <c r="G364" s="86">
        <v>19456</v>
      </c>
      <c r="H364" s="2000"/>
      <c r="I364" s="2001"/>
      <c r="J364" s="785">
        <v>37952</v>
      </c>
      <c r="K364" s="86">
        <v>439835</v>
      </c>
      <c r="L364" s="2000"/>
      <c r="M364" s="2001"/>
      <c r="N364" s="573">
        <v>201637.96</v>
      </c>
      <c r="O364" s="3141">
        <v>232983.55</v>
      </c>
      <c r="P364" s="201"/>
      <c r="Q364" s="201"/>
      <c r="R364" s="1982"/>
    </row>
    <row r="365" spans="1:18">
      <c r="A365" s="202">
        <f t="shared" si="2"/>
        <v>2023.08</v>
      </c>
      <c r="B365" s="252">
        <v>86190</v>
      </c>
      <c r="C365" s="3034">
        <v>42894</v>
      </c>
      <c r="D365" s="225">
        <v>43296</v>
      </c>
      <c r="E365" s="573">
        <v>1208153</v>
      </c>
      <c r="F365" s="785">
        <v>2005</v>
      </c>
      <c r="G365" s="86">
        <v>19986</v>
      </c>
      <c r="H365" s="2000"/>
      <c r="I365" s="2001"/>
      <c r="J365" s="785">
        <v>38842</v>
      </c>
      <c r="K365" s="86">
        <v>444668</v>
      </c>
      <c r="L365" s="2000"/>
      <c r="M365" s="2001"/>
      <c r="N365" s="573">
        <v>232215.2</v>
      </c>
      <c r="O365" s="3141">
        <v>259385.89</v>
      </c>
      <c r="P365" s="201"/>
      <c r="Q365" s="201"/>
      <c r="R365" s="1982"/>
    </row>
    <row r="366" spans="1:18">
      <c r="A366" s="202">
        <f t="shared" si="2"/>
        <v>2023.09</v>
      </c>
      <c r="B366" s="252">
        <v>77249</v>
      </c>
      <c r="C366" s="3034">
        <v>40051</v>
      </c>
      <c r="D366" s="225">
        <v>37197</v>
      </c>
      <c r="E366" s="573">
        <v>1118070</v>
      </c>
      <c r="F366" s="785">
        <v>2043</v>
      </c>
      <c r="G366" s="86">
        <v>20405</v>
      </c>
      <c r="H366" s="2000"/>
      <c r="I366" s="2001"/>
      <c r="J366" s="785">
        <v>39049</v>
      </c>
      <c r="K366" s="86">
        <v>439463</v>
      </c>
      <c r="L366" s="2000"/>
      <c r="M366" s="2001"/>
      <c r="N366" s="573">
        <v>237841</v>
      </c>
      <c r="O366" s="3141">
        <v>266503.71000000002</v>
      </c>
      <c r="P366" s="201"/>
      <c r="Q366" s="201"/>
      <c r="R366" s="1982"/>
    </row>
    <row r="367" spans="1:18">
      <c r="A367" s="202">
        <f t="shared" si="2"/>
        <v>2023.1</v>
      </c>
      <c r="B367" s="252">
        <v>76020</v>
      </c>
      <c r="C367" s="3034">
        <v>42299</v>
      </c>
      <c r="D367" s="225">
        <v>33721</v>
      </c>
      <c r="E367" s="573">
        <v>1125075</v>
      </c>
      <c r="F367" s="785">
        <v>2076</v>
      </c>
      <c r="G367" s="86">
        <v>20768</v>
      </c>
      <c r="H367" s="2000"/>
      <c r="I367" s="2001"/>
      <c r="J367" s="785">
        <v>38655</v>
      </c>
      <c r="K367" s="86">
        <v>431562</v>
      </c>
      <c r="L367" s="2000"/>
      <c r="M367" s="2001"/>
      <c r="N367" s="573">
        <v>276399.05</v>
      </c>
      <c r="O367" s="3141">
        <v>308995.40999999997</v>
      </c>
      <c r="P367" s="201"/>
      <c r="Q367" s="201"/>
      <c r="R367" s="1982"/>
    </row>
    <row r="368" spans="1:18">
      <c r="A368" s="202">
        <f t="shared" si="2"/>
        <v>2023.11</v>
      </c>
      <c r="B368" s="252">
        <v>64821</v>
      </c>
      <c r="C368" s="3034">
        <v>33777</v>
      </c>
      <c r="D368" s="225">
        <v>31044</v>
      </c>
      <c r="E368" s="573">
        <v>1019879</v>
      </c>
      <c r="F368" s="785">
        <v>2092</v>
      </c>
      <c r="G368" s="86">
        <v>21006</v>
      </c>
      <c r="H368" s="2000"/>
      <c r="I368" s="2001"/>
      <c r="J368" s="785">
        <v>38140</v>
      </c>
      <c r="K368" s="86">
        <v>422239</v>
      </c>
      <c r="L368" s="2000"/>
      <c r="M368" s="2001"/>
      <c r="N368" s="573">
        <v>308057.26</v>
      </c>
      <c r="O368" s="3141">
        <v>337299.5</v>
      </c>
      <c r="P368" s="201"/>
      <c r="Q368" s="201"/>
      <c r="R368" s="1982"/>
    </row>
    <row r="369" spans="1:18">
      <c r="A369" s="202">
        <f t="shared" si="2"/>
        <v>2023.12</v>
      </c>
      <c r="B369" s="252">
        <v>56421</v>
      </c>
      <c r="C369" s="3034">
        <v>28948</v>
      </c>
      <c r="D369" s="225">
        <v>27473</v>
      </c>
      <c r="E369" s="573">
        <v>810343</v>
      </c>
      <c r="F369" s="785">
        <v>2107</v>
      </c>
      <c r="G369" s="86">
        <v>21172</v>
      </c>
      <c r="H369" s="2000"/>
      <c r="I369" s="2001"/>
      <c r="J369" s="785">
        <v>36358</v>
      </c>
      <c r="K369" s="86">
        <v>394478</v>
      </c>
      <c r="L369" s="2000"/>
      <c r="M369" s="2001"/>
      <c r="N369" s="573">
        <v>466204.93</v>
      </c>
      <c r="O369" s="3141">
        <v>540093.29</v>
      </c>
      <c r="P369" s="201"/>
      <c r="Q369" s="201"/>
      <c r="R369" s="1982"/>
    </row>
    <row r="370" spans="1:18">
      <c r="A370" s="202">
        <f t="shared" si="2"/>
        <v>2024.01</v>
      </c>
      <c r="B370" s="252">
        <v>54645</v>
      </c>
      <c r="C370" s="3034">
        <v>28211</v>
      </c>
      <c r="D370" s="225">
        <v>26435</v>
      </c>
      <c r="E370" s="573">
        <v>767263</v>
      </c>
      <c r="F370" s="785">
        <v>2117</v>
      </c>
      <c r="G370" s="86">
        <v>21313</v>
      </c>
      <c r="H370" s="2000"/>
      <c r="I370" s="2001"/>
      <c r="J370" s="785">
        <v>35318</v>
      </c>
      <c r="K370" s="86">
        <v>370292</v>
      </c>
      <c r="L370" s="2000"/>
      <c r="M370" s="2001"/>
      <c r="N370" s="573">
        <v>416128.6</v>
      </c>
      <c r="O370" s="3141">
        <v>465164.95628189907</v>
      </c>
      <c r="P370" s="201"/>
      <c r="Q370" s="201"/>
      <c r="R370" s="1982"/>
    </row>
    <row r="371" spans="1:18">
      <c r="A371" s="202">
        <f t="shared" ref="A371:A434" si="3">A359+1</f>
        <v>2024.02</v>
      </c>
      <c r="B371" s="252">
        <v>48535</v>
      </c>
      <c r="C371" s="3034">
        <v>25186</v>
      </c>
      <c r="D371" s="225">
        <v>23349</v>
      </c>
      <c r="E371" s="573">
        <v>683899</v>
      </c>
      <c r="F371" s="785">
        <v>2089</v>
      </c>
      <c r="G371" s="86">
        <v>21150</v>
      </c>
      <c r="H371" s="2000"/>
      <c r="I371" s="2001"/>
      <c r="J371" s="785">
        <v>34772</v>
      </c>
      <c r="K371" s="86">
        <v>362100</v>
      </c>
      <c r="L371" s="2000"/>
      <c r="M371" s="2001"/>
      <c r="N371" s="573">
        <v>410306.16</v>
      </c>
      <c r="O371" s="3141">
        <v>456264.673320122</v>
      </c>
      <c r="P371" s="201"/>
      <c r="Q371" s="201"/>
      <c r="R371" s="1982"/>
    </row>
    <row r="372" spans="1:18">
      <c r="A372" s="202">
        <f t="shared" si="3"/>
        <v>2024.03</v>
      </c>
      <c r="B372" s="252">
        <v>43331</v>
      </c>
      <c r="C372" s="3034">
        <v>20647</v>
      </c>
      <c r="D372" s="225">
        <v>22684</v>
      </c>
      <c r="E372" s="573">
        <v>634342</v>
      </c>
      <c r="F372" s="785">
        <v>2092</v>
      </c>
      <c r="G372" s="86">
        <v>20241</v>
      </c>
      <c r="H372" s="2000"/>
      <c r="I372" s="2001"/>
      <c r="J372" s="785">
        <v>34504</v>
      </c>
      <c r="K372" s="86">
        <v>359611</v>
      </c>
      <c r="L372" s="2000"/>
      <c r="M372" s="2001"/>
      <c r="N372" s="573">
        <v>513484.14</v>
      </c>
      <c r="O372" s="3141">
        <v>575927.36228868912</v>
      </c>
      <c r="P372" s="201"/>
      <c r="Q372" s="201"/>
      <c r="R372" s="1982"/>
    </row>
    <row r="373" spans="1:18">
      <c r="A373" s="202">
        <f t="shared" si="3"/>
        <v>2024.04</v>
      </c>
      <c r="B373" s="252">
        <v>47511</v>
      </c>
      <c r="C373" s="3034">
        <v>26303</v>
      </c>
      <c r="D373" s="225">
        <v>21208</v>
      </c>
      <c r="E373" s="573">
        <v>655650</v>
      </c>
      <c r="F373" s="785">
        <v>1860</v>
      </c>
      <c r="G373" s="86">
        <v>17773</v>
      </c>
      <c r="H373" s="2000"/>
      <c r="I373" s="2001"/>
      <c r="J373" s="785">
        <v>33692</v>
      </c>
      <c r="K373" s="86">
        <v>350750</v>
      </c>
      <c r="L373" s="2000"/>
      <c r="M373" s="2001"/>
      <c r="N373" s="573">
        <v>526916.06000000006</v>
      </c>
      <c r="O373" s="3141">
        <v>592083.28103023907</v>
      </c>
      <c r="P373" s="201"/>
      <c r="Q373" s="201"/>
      <c r="R373" s="1982"/>
    </row>
    <row r="374" spans="1:18">
      <c r="A374" s="202">
        <f t="shared" si="3"/>
        <v>2024.05</v>
      </c>
      <c r="B374" s="252" t="e">
        <v>#N/A</v>
      </c>
      <c r="C374" s="3034" t="e">
        <v>#N/A</v>
      </c>
      <c r="D374" s="225" t="e">
        <v>#N/A</v>
      </c>
      <c r="E374" s="573">
        <v>780541</v>
      </c>
      <c r="F374" s="785">
        <v>1665</v>
      </c>
      <c r="G374" s="86">
        <v>16305</v>
      </c>
      <c r="H374" s="2000"/>
      <c r="I374" s="2001"/>
      <c r="J374" s="785">
        <v>33513</v>
      </c>
      <c r="K374" s="86">
        <v>350022</v>
      </c>
      <c r="L374" s="2000"/>
      <c r="M374" s="2001"/>
      <c r="N374" s="573">
        <v>643706.73</v>
      </c>
      <c r="O374" s="3141">
        <v>745952.22</v>
      </c>
      <c r="P374" s="201"/>
      <c r="Q374" s="201"/>
      <c r="R374" s="1982"/>
    </row>
    <row r="375" spans="1:18">
      <c r="A375" s="202">
        <f t="shared" si="3"/>
        <v>2024.06</v>
      </c>
      <c r="B375" s="252" t="e">
        <v>#N/A</v>
      </c>
      <c r="C375" s="3034" t="e">
        <v>#N/A</v>
      </c>
      <c r="D375" s="225" t="e">
        <v>#N/A</v>
      </c>
      <c r="E375" s="573">
        <v>725661</v>
      </c>
      <c r="F375" s="785">
        <v>1735</v>
      </c>
      <c r="G375" s="86">
        <v>16964</v>
      </c>
      <c r="H375" s="2000"/>
      <c r="I375" s="2001"/>
      <c r="J375" s="785">
        <v>33098</v>
      </c>
      <c r="K375" s="86">
        <v>344439</v>
      </c>
      <c r="L375" s="2000"/>
      <c r="M375" s="2001"/>
      <c r="N375" s="573">
        <v>901912.48</v>
      </c>
      <c r="O375" s="3141">
        <v>1055196.33</v>
      </c>
      <c r="P375" s="201"/>
      <c r="Q375" s="201"/>
      <c r="R375" s="1982"/>
    </row>
    <row r="376" spans="1:18">
      <c r="A376" s="202">
        <f t="shared" si="3"/>
        <v>2024.07</v>
      </c>
      <c r="B376" s="252" t="e">
        <v>#N/A</v>
      </c>
      <c r="C376" s="3034" t="e">
        <v>#N/A</v>
      </c>
      <c r="D376" s="225" t="e">
        <v>#N/A</v>
      </c>
      <c r="E376" s="573">
        <v>913317</v>
      </c>
      <c r="F376" s="785">
        <v>1776</v>
      </c>
      <c r="G376" s="86">
        <v>17495</v>
      </c>
      <c r="H376" s="2000"/>
      <c r="I376" s="2001"/>
      <c r="J376" s="785">
        <v>32982</v>
      </c>
      <c r="K376" s="86">
        <v>346182</v>
      </c>
      <c r="L376" s="2000"/>
      <c r="M376" s="2001"/>
      <c r="N376" s="573">
        <v>678588.85</v>
      </c>
      <c r="O376" s="3141">
        <v>775149.4</v>
      </c>
      <c r="P376" s="201"/>
      <c r="Q376" s="201"/>
      <c r="R376" s="1982"/>
    </row>
    <row r="377" spans="1:18">
      <c r="A377" s="202">
        <f t="shared" si="3"/>
        <v>2024.08</v>
      </c>
      <c r="B377" s="252" t="e">
        <v>#N/A</v>
      </c>
      <c r="C377" s="3034" t="e">
        <v>#N/A</v>
      </c>
      <c r="D377" s="225" t="e">
        <v>#N/A</v>
      </c>
      <c r="E377" s="573">
        <v>889908</v>
      </c>
      <c r="F377" s="785">
        <v>1813</v>
      </c>
      <c r="G377" s="86">
        <v>17969</v>
      </c>
      <c r="H377" s="2000"/>
      <c r="I377" s="2001"/>
      <c r="J377" s="785">
        <v>33638</v>
      </c>
      <c r="K377" s="86">
        <v>350865</v>
      </c>
      <c r="L377" s="2000"/>
      <c r="M377" s="2001"/>
      <c r="N377" s="573">
        <v>697263.65</v>
      </c>
      <c r="O377" s="3141">
        <v>800820.73</v>
      </c>
      <c r="P377" s="201"/>
      <c r="Q377" s="201"/>
      <c r="R377" s="1982"/>
    </row>
    <row r="378" spans="1:18">
      <c r="A378" s="202">
        <f t="shared" si="3"/>
        <v>2024.09</v>
      </c>
      <c r="B378" s="252" t="e">
        <v>#N/A</v>
      </c>
      <c r="C378" s="3034" t="e">
        <v>#N/A</v>
      </c>
      <c r="D378" s="225" t="e">
        <v>#N/A</v>
      </c>
      <c r="E378" s="573">
        <v>912724</v>
      </c>
      <c r="F378" s="785">
        <v>1855</v>
      </c>
      <c r="G378" s="86">
        <v>18472</v>
      </c>
      <c r="H378" s="2000"/>
      <c r="I378" s="2001"/>
      <c r="J378" s="785">
        <v>34336</v>
      </c>
      <c r="K378" s="86">
        <v>355931</v>
      </c>
      <c r="L378" s="2000"/>
      <c r="M378" s="2001"/>
      <c r="N378" s="573">
        <v>714256.27</v>
      </c>
      <c r="O378" s="3141">
        <v>807937.64</v>
      </c>
      <c r="P378" s="201"/>
      <c r="Q378" s="201"/>
      <c r="R378" s="1982"/>
    </row>
    <row r="379" spans="1:18">
      <c r="A379" s="202">
        <f t="shared" si="3"/>
        <v>2024.1</v>
      </c>
      <c r="B379" s="252" t="e">
        <v>#N/A</v>
      </c>
      <c r="C379" s="3034" t="e">
        <v>#N/A</v>
      </c>
      <c r="D379" s="225" t="e">
        <v>#N/A</v>
      </c>
      <c r="E379" s="573">
        <v>900698</v>
      </c>
      <c r="F379" s="785">
        <v>1882</v>
      </c>
      <c r="G379" s="86">
        <v>18863</v>
      </c>
      <c r="H379" s="2000"/>
      <c r="I379" s="2001"/>
      <c r="J379" s="785">
        <v>34932</v>
      </c>
      <c r="K379" s="86">
        <v>359150</v>
      </c>
      <c r="L379" s="2000"/>
      <c r="M379" s="2001"/>
      <c r="N379" s="573">
        <v>777389.54</v>
      </c>
      <c r="O379" s="3141">
        <v>901007.52</v>
      </c>
      <c r="P379" s="201"/>
      <c r="Q379" s="201"/>
      <c r="R379" s="1982"/>
    </row>
    <row r="380" spans="1:18">
      <c r="A380" s="202">
        <f t="shared" si="3"/>
        <v>2024.11</v>
      </c>
      <c r="B380" s="252" t="e">
        <v>#N/A</v>
      </c>
      <c r="C380" s="3034" t="e">
        <v>#N/A</v>
      </c>
      <c r="D380" s="225" t="e">
        <v>#N/A</v>
      </c>
      <c r="E380" s="573">
        <v>870090</v>
      </c>
      <c r="F380" s="785">
        <v>1898</v>
      </c>
      <c r="G380" s="86">
        <v>19131</v>
      </c>
      <c r="H380" s="2000"/>
      <c r="I380" s="2001"/>
      <c r="J380" s="785">
        <v>35425</v>
      </c>
      <c r="K380" s="86">
        <v>358011</v>
      </c>
      <c r="L380" s="2000"/>
      <c r="M380" s="2001"/>
      <c r="N380" s="573">
        <v>806990.63</v>
      </c>
      <c r="O380" s="3141">
        <v>923478.61</v>
      </c>
      <c r="P380" s="201"/>
      <c r="Q380" s="201"/>
      <c r="R380" s="1982"/>
    </row>
    <row r="381" spans="1:18">
      <c r="A381" s="202">
        <f t="shared" si="3"/>
        <v>2024.12</v>
      </c>
      <c r="B381" s="252" t="e">
        <v>#N/A</v>
      </c>
      <c r="C381" s="3034" t="e">
        <v>#N/A</v>
      </c>
      <c r="D381" s="225" t="e">
        <v>#N/A</v>
      </c>
      <c r="E381" s="573">
        <v>764935</v>
      </c>
      <c r="F381" s="785">
        <v>1919</v>
      </c>
      <c r="G381" s="86">
        <v>19330</v>
      </c>
      <c r="H381" s="2000"/>
      <c r="I381" s="2001"/>
      <c r="J381" s="785">
        <v>34221</v>
      </c>
      <c r="K381" s="86">
        <v>348731</v>
      </c>
      <c r="L381" s="2000"/>
      <c r="M381" s="2001"/>
      <c r="N381" s="573">
        <v>1164366.07</v>
      </c>
      <c r="O381" s="3141">
        <v>1351573.1</v>
      </c>
      <c r="P381" s="201"/>
      <c r="Q381" s="201"/>
      <c r="R381" s="1982"/>
    </row>
    <row r="382" spans="1:18">
      <c r="A382" s="202">
        <f t="shared" si="3"/>
        <v>2025.01</v>
      </c>
      <c r="B382" s="252" t="e">
        <v>#N/A</v>
      </c>
      <c r="C382" s="3034" t="e">
        <v>#N/A</v>
      </c>
      <c r="D382" s="225" t="e">
        <v>#N/A</v>
      </c>
      <c r="E382" s="573">
        <v>831967</v>
      </c>
      <c r="F382" s="785">
        <v>1933</v>
      </c>
      <c r="G382" s="86">
        <v>19522</v>
      </c>
      <c r="H382" s="2000"/>
      <c r="I382" s="2001"/>
      <c r="J382" s="785">
        <v>34511</v>
      </c>
      <c r="K382" s="86">
        <v>348071</v>
      </c>
      <c r="L382" s="2000"/>
      <c r="M382" s="2001"/>
      <c r="N382" s="573">
        <v>844799.06</v>
      </c>
      <c r="O382" s="3141">
        <v>962765.58</v>
      </c>
      <c r="P382" s="201"/>
      <c r="Q382" s="201"/>
      <c r="R382" s="1982"/>
    </row>
    <row r="383" spans="1:18">
      <c r="A383" s="202">
        <f t="shared" si="3"/>
        <v>2025.02</v>
      </c>
      <c r="B383" s="252" t="e">
        <v>#N/A</v>
      </c>
      <c r="C383" s="3034" t="e">
        <v>#N/A</v>
      </c>
      <c r="D383" s="225" t="e">
        <v>#N/A</v>
      </c>
      <c r="E383" s="573">
        <v>735266</v>
      </c>
      <c r="F383" s="785">
        <v>1914</v>
      </c>
      <c r="G383" s="86">
        <v>19571</v>
      </c>
      <c r="H383" s="2000"/>
      <c r="I383" s="2001"/>
      <c r="J383" s="785">
        <v>34745</v>
      </c>
      <c r="K383" s="86">
        <v>353638</v>
      </c>
      <c r="L383" s="2000"/>
      <c r="M383" s="2001"/>
      <c r="N383" s="573">
        <v>840157.58492124162</v>
      </c>
      <c r="O383" s="3141">
        <v>954327.75372917275</v>
      </c>
      <c r="P383" s="201"/>
      <c r="Q383" s="201"/>
      <c r="R383" s="1982"/>
    </row>
    <row r="384" spans="1:18">
      <c r="A384" s="202">
        <f t="shared" si="3"/>
        <v>2025.03</v>
      </c>
      <c r="B384" s="252" t="e">
        <v>#N/A</v>
      </c>
      <c r="C384" s="3034" t="e">
        <v>#N/A</v>
      </c>
      <c r="D384" s="225" t="e">
        <v>#N/A</v>
      </c>
      <c r="E384" s="573">
        <v>740195</v>
      </c>
      <c r="F384" s="785">
        <v>1557</v>
      </c>
      <c r="G384" s="86">
        <v>15055</v>
      </c>
      <c r="H384" s="2000"/>
      <c r="I384" s="2001"/>
      <c r="J384" s="785">
        <v>34658</v>
      </c>
      <c r="K384" s="86">
        <v>354003</v>
      </c>
      <c r="L384" s="2000"/>
      <c r="M384" s="2001"/>
      <c r="N384" s="573" t="e">
        <v>#N/A</v>
      </c>
      <c r="O384" s="3141" t="e">
        <v>#N/A</v>
      </c>
      <c r="P384" s="201"/>
      <c r="Q384" s="201"/>
      <c r="R384" s="1982"/>
    </row>
    <row r="385" spans="1:18">
      <c r="A385" s="202">
        <f t="shared" si="3"/>
        <v>2025.04</v>
      </c>
      <c r="B385" s="252" t="e">
        <v>#N/A</v>
      </c>
      <c r="C385" s="3034" t="e">
        <v>#N/A</v>
      </c>
      <c r="D385" s="225" t="e">
        <v>#N/A</v>
      </c>
      <c r="E385" s="573">
        <f>837300+161</f>
        <v>837461</v>
      </c>
      <c r="F385" s="785">
        <v>1516</v>
      </c>
      <c r="G385" s="86">
        <v>15946</v>
      </c>
      <c r="H385" s="2000"/>
      <c r="I385" s="2001"/>
      <c r="J385" s="785" t="e">
        <v>#N/A</v>
      </c>
      <c r="K385" s="86" t="e">
        <v>#N/A</v>
      </c>
      <c r="L385" s="2000"/>
      <c r="M385" s="2001"/>
      <c r="N385" s="573" t="e">
        <v>#N/A</v>
      </c>
      <c r="O385" s="3141" t="e">
        <v>#N/A</v>
      </c>
      <c r="P385" s="201"/>
      <c r="Q385" s="201"/>
      <c r="R385" s="1982"/>
    </row>
    <row r="386" spans="1:18">
      <c r="A386" s="202">
        <f t="shared" si="3"/>
        <v>2025.05</v>
      </c>
      <c r="B386" s="252" t="e">
        <v>#N/A</v>
      </c>
      <c r="C386" s="3034" t="e">
        <v>#N/A</v>
      </c>
      <c r="D386" s="225" t="e">
        <v>#N/A</v>
      </c>
      <c r="E386" s="573">
        <v>772461</v>
      </c>
      <c r="F386" s="785" t="e">
        <v>#N/A</v>
      </c>
      <c r="G386" s="86" t="e">
        <v>#N/A</v>
      </c>
      <c r="H386" s="2000"/>
      <c r="I386" s="2001"/>
      <c r="J386" s="785" t="e">
        <v>#N/A</v>
      </c>
      <c r="K386" s="86" t="e">
        <v>#N/A</v>
      </c>
      <c r="L386" s="2000"/>
      <c r="M386" s="2001"/>
      <c r="N386" s="573" t="e">
        <v>#N/A</v>
      </c>
      <c r="O386" s="3141" t="e">
        <v>#N/A</v>
      </c>
      <c r="P386" s="201"/>
      <c r="Q386" s="201"/>
      <c r="R386" s="1982"/>
    </row>
    <row r="387" spans="1:18">
      <c r="A387" s="202">
        <f t="shared" si="3"/>
        <v>2025.06</v>
      </c>
      <c r="B387" s="252" t="e">
        <v>#N/A</v>
      </c>
      <c r="C387" s="3034" t="e">
        <v>#N/A</v>
      </c>
      <c r="D387" s="225" t="e">
        <v>#N/A</v>
      </c>
      <c r="E387" s="573" t="e">
        <v>#N/A</v>
      </c>
      <c r="F387" s="785" t="e">
        <v>#N/A</v>
      </c>
      <c r="G387" s="86" t="e">
        <v>#N/A</v>
      </c>
      <c r="H387" s="2000"/>
      <c r="I387" s="2001"/>
      <c r="J387" s="785" t="e">
        <v>#N/A</v>
      </c>
      <c r="K387" s="86" t="e">
        <v>#N/A</v>
      </c>
      <c r="L387" s="2000"/>
      <c r="M387" s="2001"/>
      <c r="N387" s="573" t="e">
        <v>#N/A</v>
      </c>
      <c r="O387" s="3141" t="e">
        <v>#N/A</v>
      </c>
      <c r="P387" s="201"/>
      <c r="Q387" s="201"/>
      <c r="R387" s="1982"/>
    </row>
    <row r="388" spans="1:18">
      <c r="A388" s="202">
        <f t="shared" si="3"/>
        <v>2025.07</v>
      </c>
      <c r="B388" s="252" t="e">
        <v>#N/A</v>
      </c>
      <c r="C388" s="3034" t="e">
        <v>#N/A</v>
      </c>
      <c r="D388" s="225" t="e">
        <v>#N/A</v>
      </c>
      <c r="E388" s="573" t="e">
        <v>#N/A</v>
      </c>
      <c r="F388" s="785" t="e">
        <v>#N/A</v>
      </c>
      <c r="G388" s="86" t="e">
        <v>#N/A</v>
      </c>
      <c r="H388" s="2000"/>
      <c r="I388" s="2001"/>
      <c r="J388" s="785" t="e">
        <v>#N/A</v>
      </c>
      <c r="K388" s="86" t="e">
        <v>#N/A</v>
      </c>
      <c r="L388" s="2000"/>
      <c r="M388" s="2001"/>
      <c r="N388" s="573" t="e">
        <v>#N/A</v>
      </c>
      <c r="O388" s="3141" t="e">
        <v>#N/A</v>
      </c>
      <c r="P388" s="201"/>
      <c r="Q388" s="201"/>
      <c r="R388" s="1982"/>
    </row>
    <row r="389" spans="1:18">
      <c r="A389" s="202">
        <f t="shared" si="3"/>
        <v>2025.08</v>
      </c>
      <c r="B389" s="252" t="e">
        <v>#N/A</v>
      </c>
      <c r="C389" s="3034" t="e">
        <v>#N/A</v>
      </c>
      <c r="D389" s="225" t="e">
        <v>#N/A</v>
      </c>
      <c r="E389" s="573" t="e">
        <v>#N/A</v>
      </c>
      <c r="F389" s="785" t="e">
        <v>#N/A</v>
      </c>
      <c r="G389" s="86" t="e">
        <v>#N/A</v>
      </c>
      <c r="H389" s="2000"/>
      <c r="I389" s="2001"/>
      <c r="J389" s="785" t="e">
        <v>#N/A</v>
      </c>
      <c r="K389" s="86" t="e">
        <v>#N/A</v>
      </c>
      <c r="L389" s="2000"/>
      <c r="M389" s="2001"/>
      <c r="N389" s="573" t="e">
        <v>#N/A</v>
      </c>
      <c r="O389" s="3141" t="e">
        <v>#N/A</v>
      </c>
      <c r="P389" s="201"/>
      <c r="Q389" s="201"/>
      <c r="R389" s="1982"/>
    </row>
    <row r="390" spans="1:18">
      <c r="A390" s="202">
        <f t="shared" si="3"/>
        <v>2025.09</v>
      </c>
      <c r="B390" s="252" t="e">
        <v>#N/A</v>
      </c>
      <c r="C390" s="3034" t="e">
        <v>#N/A</v>
      </c>
      <c r="D390" s="225" t="e">
        <v>#N/A</v>
      </c>
      <c r="E390" s="573" t="e">
        <v>#N/A</v>
      </c>
      <c r="F390" s="785" t="e">
        <v>#N/A</v>
      </c>
      <c r="G390" s="86" t="e">
        <v>#N/A</v>
      </c>
      <c r="H390" s="2000"/>
      <c r="I390" s="2001"/>
      <c r="J390" s="785" t="e">
        <v>#N/A</v>
      </c>
      <c r="K390" s="86" t="e">
        <v>#N/A</v>
      </c>
      <c r="L390" s="2000"/>
      <c r="M390" s="2001"/>
      <c r="N390" s="573" t="e">
        <v>#N/A</v>
      </c>
      <c r="O390" s="3141" t="e">
        <v>#N/A</v>
      </c>
      <c r="P390" s="201"/>
      <c r="Q390" s="201"/>
      <c r="R390" s="1982"/>
    </row>
    <row r="391" spans="1:18">
      <c r="A391" s="202">
        <f t="shared" si="3"/>
        <v>2025.1</v>
      </c>
      <c r="B391" s="252" t="e">
        <v>#N/A</v>
      </c>
      <c r="C391" s="3034" t="e">
        <v>#N/A</v>
      </c>
      <c r="D391" s="225" t="e">
        <v>#N/A</v>
      </c>
      <c r="E391" s="573" t="e">
        <v>#N/A</v>
      </c>
      <c r="F391" s="785" t="e">
        <v>#N/A</v>
      </c>
      <c r="G391" s="86" t="e">
        <v>#N/A</v>
      </c>
      <c r="H391" s="2000"/>
      <c r="I391" s="2001"/>
      <c r="J391" s="785" t="e">
        <v>#N/A</v>
      </c>
      <c r="K391" s="86" t="e">
        <v>#N/A</v>
      </c>
      <c r="L391" s="2000"/>
      <c r="M391" s="2001"/>
      <c r="N391" s="573" t="e">
        <v>#N/A</v>
      </c>
      <c r="O391" s="3141" t="e">
        <v>#N/A</v>
      </c>
      <c r="P391" s="201"/>
      <c r="Q391" s="201"/>
      <c r="R391" s="1982"/>
    </row>
    <row r="392" spans="1:18">
      <c r="A392" s="202">
        <f t="shared" si="3"/>
        <v>2025.11</v>
      </c>
      <c r="B392" s="252" t="e">
        <v>#N/A</v>
      </c>
      <c r="C392" s="3034" t="e">
        <v>#N/A</v>
      </c>
      <c r="D392" s="225" t="e">
        <v>#N/A</v>
      </c>
      <c r="E392" s="573" t="e">
        <v>#N/A</v>
      </c>
      <c r="F392" s="785" t="e">
        <v>#N/A</v>
      </c>
      <c r="G392" s="86" t="e">
        <v>#N/A</v>
      </c>
      <c r="H392" s="2000"/>
      <c r="I392" s="2001"/>
      <c r="J392" s="785" t="e">
        <v>#N/A</v>
      </c>
      <c r="K392" s="86" t="e">
        <v>#N/A</v>
      </c>
      <c r="L392" s="2000"/>
      <c r="M392" s="2001"/>
      <c r="N392" s="573" t="e">
        <v>#N/A</v>
      </c>
      <c r="O392" s="3141" t="e">
        <v>#N/A</v>
      </c>
      <c r="P392" s="201"/>
      <c r="Q392" s="201"/>
      <c r="R392" s="1982"/>
    </row>
    <row r="393" spans="1:18">
      <c r="A393" s="202">
        <f t="shared" si="3"/>
        <v>2025.12</v>
      </c>
      <c r="B393" s="252" t="e">
        <v>#N/A</v>
      </c>
      <c r="C393" s="3034" t="e">
        <v>#N/A</v>
      </c>
      <c r="D393" s="225" t="e">
        <v>#N/A</v>
      </c>
      <c r="E393" s="573" t="e">
        <v>#N/A</v>
      </c>
      <c r="F393" s="785" t="e">
        <v>#N/A</v>
      </c>
      <c r="G393" s="86" t="e">
        <v>#N/A</v>
      </c>
      <c r="H393" s="2000"/>
      <c r="I393" s="2001"/>
      <c r="J393" s="785" t="e">
        <v>#N/A</v>
      </c>
      <c r="K393" s="86" t="e">
        <v>#N/A</v>
      </c>
      <c r="L393" s="2000"/>
      <c r="M393" s="2001"/>
      <c r="N393" s="573" t="e">
        <v>#N/A</v>
      </c>
      <c r="O393" s="3141" t="e">
        <v>#N/A</v>
      </c>
      <c r="P393" s="201"/>
      <c r="Q393" s="201"/>
      <c r="R393" s="1982"/>
    </row>
    <row r="394" spans="1:18">
      <c r="A394" s="202">
        <f t="shared" si="3"/>
        <v>2026.01</v>
      </c>
      <c r="B394" s="252" t="e">
        <v>#N/A</v>
      </c>
      <c r="C394" s="3034" t="e">
        <v>#N/A</v>
      </c>
      <c r="D394" s="225" t="e">
        <v>#N/A</v>
      </c>
      <c r="E394" s="573" t="e">
        <v>#N/A</v>
      </c>
      <c r="F394" s="785" t="e">
        <v>#N/A</v>
      </c>
      <c r="G394" s="86" t="e">
        <v>#N/A</v>
      </c>
      <c r="H394" s="2000"/>
      <c r="I394" s="2001"/>
      <c r="J394" s="785" t="e">
        <v>#N/A</v>
      </c>
      <c r="K394" s="86" t="e">
        <v>#N/A</v>
      </c>
      <c r="L394" s="2000"/>
      <c r="M394" s="2001"/>
      <c r="N394" s="573" t="e">
        <v>#N/A</v>
      </c>
      <c r="O394" s="3141" t="e">
        <v>#N/A</v>
      </c>
      <c r="P394" s="201"/>
      <c r="Q394" s="201"/>
      <c r="R394" s="201"/>
    </row>
    <row r="395" spans="1:18">
      <c r="A395" s="202">
        <f t="shared" si="3"/>
        <v>2026.02</v>
      </c>
      <c r="B395" s="252" t="e">
        <v>#N/A</v>
      </c>
      <c r="C395" s="3034" t="e">
        <v>#N/A</v>
      </c>
      <c r="D395" s="225" t="e">
        <v>#N/A</v>
      </c>
      <c r="E395" s="573" t="e">
        <v>#N/A</v>
      </c>
      <c r="F395" s="785" t="e">
        <v>#N/A</v>
      </c>
      <c r="G395" s="86" t="e">
        <v>#N/A</v>
      </c>
      <c r="H395" s="2000"/>
      <c r="I395" s="2001"/>
      <c r="J395" s="785" t="e">
        <v>#N/A</v>
      </c>
      <c r="K395" s="86" t="e">
        <v>#N/A</v>
      </c>
      <c r="L395" s="2000"/>
      <c r="M395" s="2001"/>
      <c r="N395" s="573" t="e">
        <v>#N/A</v>
      </c>
      <c r="O395" s="3141" t="e">
        <v>#N/A</v>
      </c>
      <c r="P395" s="201"/>
      <c r="Q395" s="201"/>
      <c r="R395" s="201"/>
    </row>
    <row r="396" spans="1:18">
      <c r="A396" s="202">
        <f t="shared" si="3"/>
        <v>2026.03</v>
      </c>
      <c r="B396" s="252" t="e">
        <v>#N/A</v>
      </c>
      <c r="C396" s="3034" t="e">
        <v>#N/A</v>
      </c>
      <c r="D396" s="225" t="e">
        <v>#N/A</v>
      </c>
      <c r="E396" s="573" t="e">
        <v>#N/A</v>
      </c>
      <c r="F396" s="785" t="e">
        <v>#N/A</v>
      </c>
      <c r="G396" s="86" t="e">
        <v>#N/A</v>
      </c>
      <c r="H396" s="2000"/>
      <c r="I396" s="2001"/>
      <c r="J396" s="785" t="e">
        <v>#N/A</v>
      </c>
      <c r="K396" s="86" t="e">
        <v>#N/A</v>
      </c>
      <c r="L396" s="2000"/>
      <c r="M396" s="2001"/>
      <c r="N396" s="573" t="e">
        <v>#N/A</v>
      </c>
      <c r="O396" s="3141" t="e">
        <v>#N/A</v>
      </c>
      <c r="P396" s="201"/>
      <c r="Q396" s="201"/>
      <c r="R396" s="201"/>
    </row>
    <row r="397" spans="1:18">
      <c r="A397" s="202">
        <f t="shared" si="3"/>
        <v>2026.04</v>
      </c>
      <c r="B397" s="252" t="e">
        <v>#N/A</v>
      </c>
      <c r="C397" s="3034" t="e">
        <v>#N/A</v>
      </c>
      <c r="D397" s="225" t="e">
        <v>#N/A</v>
      </c>
      <c r="E397" s="573" t="e">
        <v>#N/A</v>
      </c>
      <c r="F397" s="785" t="e">
        <v>#N/A</v>
      </c>
      <c r="G397" s="86" t="e">
        <v>#N/A</v>
      </c>
      <c r="H397" s="2000"/>
      <c r="I397" s="2001"/>
      <c r="J397" s="785" t="e">
        <v>#N/A</v>
      </c>
      <c r="K397" s="86" t="e">
        <v>#N/A</v>
      </c>
      <c r="L397" s="2000"/>
      <c r="M397" s="2001"/>
      <c r="N397" s="573" t="e">
        <v>#N/A</v>
      </c>
      <c r="O397" s="3141" t="e">
        <v>#N/A</v>
      </c>
      <c r="P397" s="201"/>
      <c r="Q397" s="201"/>
      <c r="R397" s="201"/>
    </row>
    <row r="398" spans="1:18">
      <c r="A398" s="202">
        <f t="shared" si="3"/>
        <v>2026.05</v>
      </c>
      <c r="B398" s="252" t="e">
        <v>#N/A</v>
      </c>
      <c r="C398" s="3034" t="e">
        <v>#N/A</v>
      </c>
      <c r="D398" s="225" t="e">
        <v>#N/A</v>
      </c>
      <c r="E398" s="573" t="e">
        <v>#N/A</v>
      </c>
      <c r="F398" s="785" t="e">
        <v>#N/A</v>
      </c>
      <c r="G398" s="86" t="e">
        <v>#N/A</v>
      </c>
      <c r="H398" s="2000"/>
      <c r="I398" s="2001"/>
      <c r="J398" s="785" t="e">
        <v>#N/A</v>
      </c>
      <c r="K398" s="86" t="e">
        <v>#N/A</v>
      </c>
      <c r="L398" s="2000"/>
      <c r="M398" s="2001"/>
      <c r="N398" s="573" t="e">
        <v>#N/A</v>
      </c>
      <c r="O398" s="3141" t="e">
        <v>#N/A</v>
      </c>
      <c r="P398" s="201"/>
      <c r="Q398" s="201"/>
      <c r="R398" s="201"/>
    </row>
    <row r="399" spans="1:18">
      <c r="A399" s="202">
        <f t="shared" si="3"/>
        <v>2026.06</v>
      </c>
      <c r="B399" s="252" t="e">
        <v>#N/A</v>
      </c>
      <c r="C399" s="3034" t="e">
        <v>#N/A</v>
      </c>
      <c r="D399" s="225" t="e">
        <v>#N/A</v>
      </c>
      <c r="E399" s="573" t="e">
        <v>#N/A</v>
      </c>
      <c r="F399" s="785" t="e">
        <v>#N/A</v>
      </c>
      <c r="G399" s="86" t="e">
        <v>#N/A</v>
      </c>
      <c r="H399" s="2000"/>
      <c r="I399" s="2001"/>
      <c r="J399" s="785" t="e">
        <v>#N/A</v>
      </c>
      <c r="K399" s="86" t="e">
        <v>#N/A</v>
      </c>
      <c r="L399" s="2000"/>
      <c r="M399" s="2001"/>
      <c r="N399" s="573" t="e">
        <v>#N/A</v>
      </c>
      <c r="O399" s="3141" t="e">
        <v>#N/A</v>
      </c>
      <c r="P399" s="201"/>
      <c r="Q399" s="201"/>
      <c r="R399" s="201"/>
    </row>
    <row r="400" spans="1:18">
      <c r="A400" s="202">
        <f t="shared" si="3"/>
        <v>2026.07</v>
      </c>
      <c r="B400" s="252" t="e">
        <v>#N/A</v>
      </c>
      <c r="C400" s="3034" t="e">
        <v>#N/A</v>
      </c>
      <c r="D400" s="225" t="e">
        <v>#N/A</v>
      </c>
      <c r="E400" s="573" t="e">
        <v>#N/A</v>
      </c>
      <c r="F400" s="785" t="e">
        <v>#N/A</v>
      </c>
      <c r="G400" s="86" t="e">
        <v>#N/A</v>
      </c>
      <c r="H400" s="2000"/>
      <c r="I400" s="2001"/>
      <c r="J400" s="785" t="e">
        <v>#N/A</v>
      </c>
      <c r="K400" s="86" t="e">
        <v>#N/A</v>
      </c>
      <c r="L400" s="2000"/>
      <c r="M400" s="2001"/>
      <c r="N400" s="573" t="e">
        <v>#N/A</v>
      </c>
      <c r="O400" s="3141" t="e">
        <v>#N/A</v>
      </c>
      <c r="P400" s="201"/>
      <c r="Q400" s="201"/>
      <c r="R400" s="201"/>
    </row>
    <row r="401" spans="1:15">
      <c r="A401" s="202">
        <f t="shared" si="3"/>
        <v>2026.08</v>
      </c>
      <c r="B401" s="252" t="e">
        <v>#N/A</v>
      </c>
      <c r="C401" s="3034" t="e">
        <v>#N/A</v>
      </c>
      <c r="D401" s="225" t="e">
        <v>#N/A</v>
      </c>
      <c r="E401" s="573" t="e">
        <v>#N/A</v>
      </c>
      <c r="F401" s="785" t="e">
        <v>#N/A</v>
      </c>
      <c r="G401" s="86" t="e">
        <v>#N/A</v>
      </c>
      <c r="H401" s="2000"/>
      <c r="I401" s="2001"/>
      <c r="J401" s="785" t="e">
        <v>#N/A</v>
      </c>
      <c r="K401" s="86" t="e">
        <v>#N/A</v>
      </c>
      <c r="L401" s="2000"/>
      <c r="M401" s="2001"/>
      <c r="N401" s="573" t="e">
        <v>#N/A</v>
      </c>
      <c r="O401" s="3141" t="e">
        <v>#N/A</v>
      </c>
    </row>
    <row r="402" spans="1:15">
      <c r="A402" s="202">
        <f t="shared" si="3"/>
        <v>2026.09</v>
      </c>
      <c r="B402" s="252" t="e">
        <v>#N/A</v>
      </c>
      <c r="C402" s="3034" t="e">
        <v>#N/A</v>
      </c>
      <c r="D402" s="225" t="e">
        <v>#N/A</v>
      </c>
      <c r="E402" s="573" t="e">
        <v>#N/A</v>
      </c>
      <c r="F402" s="785" t="e">
        <v>#N/A</v>
      </c>
      <c r="G402" s="86" t="e">
        <v>#N/A</v>
      </c>
      <c r="H402" s="2000"/>
      <c r="I402" s="2001"/>
      <c r="J402" s="785" t="e">
        <v>#N/A</v>
      </c>
      <c r="K402" s="86" t="e">
        <v>#N/A</v>
      </c>
      <c r="L402" s="2000"/>
      <c r="M402" s="2001"/>
      <c r="N402" s="573" t="e">
        <v>#N/A</v>
      </c>
      <c r="O402" s="3141" t="e">
        <v>#N/A</v>
      </c>
    </row>
    <row r="403" spans="1:15">
      <c r="A403" s="202">
        <f t="shared" si="3"/>
        <v>2026.1</v>
      </c>
      <c r="B403" s="252" t="e">
        <v>#N/A</v>
      </c>
      <c r="C403" s="3034" t="e">
        <v>#N/A</v>
      </c>
      <c r="D403" s="225" t="e">
        <v>#N/A</v>
      </c>
      <c r="E403" s="573" t="e">
        <v>#N/A</v>
      </c>
      <c r="F403" s="785" t="e">
        <v>#N/A</v>
      </c>
      <c r="G403" s="86" t="e">
        <v>#N/A</v>
      </c>
      <c r="H403" s="2000"/>
      <c r="I403" s="2001"/>
      <c r="J403" s="785" t="e">
        <v>#N/A</v>
      </c>
      <c r="K403" s="86" t="e">
        <v>#N/A</v>
      </c>
      <c r="L403" s="2000"/>
      <c r="M403" s="2001"/>
      <c r="N403" s="573" t="e">
        <v>#N/A</v>
      </c>
      <c r="O403" s="3141" t="e">
        <v>#N/A</v>
      </c>
    </row>
    <row r="404" spans="1:15">
      <c r="A404" s="202">
        <f t="shared" si="3"/>
        <v>2026.11</v>
      </c>
      <c r="B404" s="252" t="e">
        <v>#N/A</v>
      </c>
      <c r="C404" s="3034" t="e">
        <v>#N/A</v>
      </c>
      <c r="D404" s="225" t="e">
        <v>#N/A</v>
      </c>
      <c r="E404" s="573" t="e">
        <v>#N/A</v>
      </c>
      <c r="F404" s="785" t="e">
        <v>#N/A</v>
      </c>
      <c r="G404" s="86" t="e">
        <v>#N/A</v>
      </c>
      <c r="H404" s="2000"/>
      <c r="I404" s="2001"/>
      <c r="J404" s="785" t="e">
        <v>#N/A</v>
      </c>
      <c r="K404" s="86" t="e">
        <v>#N/A</v>
      </c>
      <c r="L404" s="2000"/>
      <c r="M404" s="2001"/>
      <c r="N404" s="573" t="e">
        <v>#N/A</v>
      </c>
      <c r="O404" s="3141" t="e">
        <v>#N/A</v>
      </c>
    </row>
    <row r="405" spans="1:15">
      <c r="A405" s="202">
        <f t="shared" si="3"/>
        <v>2026.12</v>
      </c>
      <c r="B405" s="252" t="e">
        <v>#N/A</v>
      </c>
      <c r="C405" s="3034" t="e">
        <v>#N/A</v>
      </c>
      <c r="D405" s="225" t="e">
        <v>#N/A</v>
      </c>
      <c r="E405" s="573" t="e">
        <v>#N/A</v>
      </c>
      <c r="F405" s="785" t="e">
        <v>#N/A</v>
      </c>
      <c r="G405" s="86" t="e">
        <v>#N/A</v>
      </c>
      <c r="H405" s="2000"/>
      <c r="I405" s="2001"/>
      <c r="J405" s="785" t="e">
        <v>#N/A</v>
      </c>
      <c r="K405" s="86" t="e">
        <v>#N/A</v>
      </c>
      <c r="L405" s="2000"/>
      <c r="M405" s="2001"/>
      <c r="N405" s="573" t="e">
        <v>#N/A</v>
      </c>
      <c r="O405" s="3141" t="e">
        <v>#N/A</v>
      </c>
    </row>
    <row r="406" spans="1:15">
      <c r="A406" s="202">
        <f t="shared" si="3"/>
        <v>2027.01</v>
      </c>
      <c r="B406" s="252" t="e">
        <v>#N/A</v>
      </c>
      <c r="C406" s="3034" t="e">
        <v>#N/A</v>
      </c>
      <c r="D406" s="225" t="e">
        <v>#N/A</v>
      </c>
      <c r="E406" s="573" t="e">
        <v>#N/A</v>
      </c>
      <c r="F406" s="785" t="e">
        <v>#N/A</v>
      </c>
      <c r="G406" s="86" t="e">
        <v>#N/A</v>
      </c>
      <c r="H406" s="2000"/>
      <c r="I406" s="2001"/>
      <c r="J406" s="785" t="e">
        <v>#N/A</v>
      </c>
      <c r="K406" s="86" t="e">
        <v>#N/A</v>
      </c>
      <c r="L406" s="2000"/>
      <c r="M406" s="2001"/>
      <c r="N406" s="573" t="e">
        <v>#N/A</v>
      </c>
      <c r="O406" s="3141" t="e">
        <v>#N/A</v>
      </c>
    </row>
    <row r="407" spans="1:15">
      <c r="A407" s="202">
        <f t="shared" si="3"/>
        <v>2027.02</v>
      </c>
      <c r="B407" s="252" t="e">
        <v>#N/A</v>
      </c>
      <c r="C407" s="3034" t="e">
        <v>#N/A</v>
      </c>
      <c r="D407" s="225" t="e">
        <v>#N/A</v>
      </c>
      <c r="E407" s="573" t="e">
        <v>#N/A</v>
      </c>
      <c r="F407" s="785" t="e">
        <v>#N/A</v>
      </c>
      <c r="G407" s="86" t="e">
        <v>#N/A</v>
      </c>
      <c r="H407" s="2000"/>
      <c r="I407" s="2001"/>
      <c r="J407" s="785" t="e">
        <v>#N/A</v>
      </c>
      <c r="K407" s="86" t="e">
        <v>#N/A</v>
      </c>
      <c r="L407" s="2000"/>
      <c r="M407" s="2001"/>
      <c r="N407" s="573" t="e">
        <v>#N/A</v>
      </c>
      <c r="O407" s="3141" t="e">
        <v>#N/A</v>
      </c>
    </row>
    <row r="408" spans="1:15">
      <c r="A408" s="202">
        <f t="shared" si="3"/>
        <v>2027.03</v>
      </c>
      <c r="B408" s="252" t="e">
        <v>#N/A</v>
      </c>
      <c r="C408" s="3034" t="e">
        <v>#N/A</v>
      </c>
      <c r="D408" s="225" t="e">
        <v>#N/A</v>
      </c>
      <c r="E408" s="573" t="e">
        <v>#N/A</v>
      </c>
      <c r="F408" s="785" t="e">
        <v>#N/A</v>
      </c>
      <c r="G408" s="86" t="e">
        <v>#N/A</v>
      </c>
      <c r="H408" s="2000"/>
      <c r="I408" s="2001"/>
      <c r="J408" s="785" t="e">
        <v>#N/A</v>
      </c>
      <c r="K408" s="86" t="e">
        <v>#N/A</v>
      </c>
      <c r="L408" s="2000"/>
      <c r="M408" s="2001"/>
      <c r="N408" s="573" t="e">
        <v>#N/A</v>
      </c>
      <c r="O408" s="3141" t="e">
        <v>#N/A</v>
      </c>
    </row>
    <row r="409" spans="1:15">
      <c r="A409" s="202">
        <f t="shared" si="3"/>
        <v>2027.04</v>
      </c>
      <c r="B409" s="252" t="e">
        <v>#N/A</v>
      </c>
      <c r="C409" s="3034" t="e">
        <v>#N/A</v>
      </c>
      <c r="D409" s="225" t="e">
        <v>#N/A</v>
      </c>
      <c r="E409" s="573" t="e">
        <v>#N/A</v>
      </c>
      <c r="F409" s="785" t="e">
        <v>#N/A</v>
      </c>
      <c r="G409" s="86" t="e">
        <v>#N/A</v>
      </c>
      <c r="H409" s="2000"/>
      <c r="I409" s="2001"/>
      <c r="J409" s="785" t="e">
        <v>#N/A</v>
      </c>
      <c r="K409" s="86" t="e">
        <v>#N/A</v>
      </c>
      <c r="L409" s="2000"/>
      <c r="M409" s="2001"/>
      <c r="N409" s="573" t="e">
        <v>#N/A</v>
      </c>
      <c r="O409" s="3141" t="e">
        <v>#N/A</v>
      </c>
    </row>
    <row r="410" spans="1:15">
      <c r="A410" s="202">
        <f t="shared" si="3"/>
        <v>2027.05</v>
      </c>
      <c r="B410" s="252" t="e">
        <v>#N/A</v>
      </c>
      <c r="C410" s="3034" t="e">
        <v>#N/A</v>
      </c>
      <c r="D410" s="225" t="e">
        <v>#N/A</v>
      </c>
      <c r="E410" s="573" t="e">
        <v>#N/A</v>
      </c>
      <c r="F410" s="785" t="e">
        <v>#N/A</v>
      </c>
      <c r="G410" s="86" t="e">
        <v>#N/A</v>
      </c>
      <c r="H410" s="2000"/>
      <c r="I410" s="2001"/>
      <c r="J410" s="785" t="e">
        <v>#N/A</v>
      </c>
      <c r="K410" s="86" t="e">
        <v>#N/A</v>
      </c>
      <c r="L410" s="2000"/>
      <c r="M410" s="2001"/>
      <c r="N410" s="573" t="e">
        <v>#N/A</v>
      </c>
      <c r="O410" s="3141" t="e">
        <v>#N/A</v>
      </c>
    </row>
    <row r="411" spans="1:15">
      <c r="A411" s="202">
        <f t="shared" si="3"/>
        <v>2027.06</v>
      </c>
      <c r="B411" s="252" t="e">
        <v>#N/A</v>
      </c>
      <c r="C411" s="3034" t="e">
        <v>#N/A</v>
      </c>
      <c r="D411" s="225" t="e">
        <v>#N/A</v>
      </c>
      <c r="E411" s="573" t="e">
        <v>#N/A</v>
      </c>
      <c r="F411" s="785" t="e">
        <v>#N/A</v>
      </c>
      <c r="G411" s="86" t="e">
        <v>#N/A</v>
      </c>
      <c r="H411" s="2000"/>
      <c r="I411" s="2001"/>
      <c r="J411" s="785" t="e">
        <v>#N/A</v>
      </c>
      <c r="K411" s="86" t="e">
        <v>#N/A</v>
      </c>
      <c r="L411" s="2000"/>
      <c r="M411" s="2001"/>
      <c r="N411" s="573" t="e">
        <v>#N/A</v>
      </c>
      <c r="O411" s="3141" t="e">
        <v>#N/A</v>
      </c>
    </row>
    <row r="412" spans="1:15">
      <c r="A412" s="202">
        <f t="shared" si="3"/>
        <v>2027.07</v>
      </c>
      <c r="B412" s="252" t="e">
        <v>#N/A</v>
      </c>
      <c r="C412" s="3034" t="e">
        <v>#N/A</v>
      </c>
      <c r="D412" s="225" t="e">
        <v>#N/A</v>
      </c>
      <c r="E412" s="573" t="e">
        <v>#N/A</v>
      </c>
      <c r="F412" s="785" t="e">
        <v>#N/A</v>
      </c>
      <c r="G412" s="86" t="e">
        <v>#N/A</v>
      </c>
      <c r="H412" s="2000"/>
      <c r="I412" s="2001"/>
      <c r="J412" s="785" t="e">
        <v>#N/A</v>
      </c>
      <c r="K412" s="86" t="e">
        <v>#N/A</v>
      </c>
      <c r="L412" s="2000"/>
      <c r="M412" s="2001"/>
      <c r="N412" s="573" t="e">
        <v>#N/A</v>
      </c>
      <c r="O412" s="3141" t="e">
        <v>#N/A</v>
      </c>
    </row>
    <row r="413" spans="1:15">
      <c r="A413" s="202">
        <f t="shared" si="3"/>
        <v>2027.08</v>
      </c>
      <c r="B413" s="252" t="e">
        <v>#N/A</v>
      </c>
      <c r="C413" s="3034" t="e">
        <v>#N/A</v>
      </c>
      <c r="D413" s="225" t="e">
        <v>#N/A</v>
      </c>
      <c r="E413" s="573" t="e">
        <v>#N/A</v>
      </c>
      <c r="F413" s="785" t="e">
        <v>#N/A</v>
      </c>
      <c r="G413" s="86" t="e">
        <v>#N/A</v>
      </c>
      <c r="H413" s="2000"/>
      <c r="I413" s="2001"/>
      <c r="J413" s="785" t="e">
        <v>#N/A</v>
      </c>
      <c r="K413" s="86" t="e">
        <v>#N/A</v>
      </c>
      <c r="L413" s="2000"/>
      <c r="M413" s="2001"/>
      <c r="N413" s="573" t="e">
        <v>#N/A</v>
      </c>
      <c r="O413" s="3141" t="e">
        <v>#N/A</v>
      </c>
    </row>
    <row r="414" spans="1:15">
      <c r="A414" s="202">
        <f t="shared" si="3"/>
        <v>2027.09</v>
      </c>
      <c r="B414" s="252" t="e">
        <v>#N/A</v>
      </c>
      <c r="C414" s="3034" t="e">
        <v>#N/A</v>
      </c>
      <c r="D414" s="225" t="e">
        <v>#N/A</v>
      </c>
      <c r="E414" s="573" t="e">
        <v>#N/A</v>
      </c>
      <c r="F414" s="785" t="e">
        <v>#N/A</v>
      </c>
      <c r="G414" s="86" t="e">
        <v>#N/A</v>
      </c>
      <c r="H414" s="2000"/>
      <c r="I414" s="2001"/>
      <c r="J414" s="785" t="e">
        <v>#N/A</v>
      </c>
      <c r="K414" s="86" t="e">
        <v>#N/A</v>
      </c>
      <c r="L414" s="2000"/>
      <c r="M414" s="2001"/>
      <c r="N414" s="573" t="e">
        <v>#N/A</v>
      </c>
      <c r="O414" s="3141" t="e">
        <v>#N/A</v>
      </c>
    </row>
    <row r="415" spans="1:15">
      <c r="A415" s="202">
        <f t="shared" si="3"/>
        <v>2027.1</v>
      </c>
      <c r="B415" s="252" t="e">
        <v>#N/A</v>
      </c>
      <c r="C415" s="3034" t="e">
        <v>#N/A</v>
      </c>
      <c r="D415" s="225" t="e">
        <v>#N/A</v>
      </c>
      <c r="E415" s="573" t="e">
        <v>#N/A</v>
      </c>
      <c r="F415" s="785" t="e">
        <v>#N/A</v>
      </c>
      <c r="G415" s="86" t="e">
        <v>#N/A</v>
      </c>
      <c r="H415" s="2000"/>
      <c r="I415" s="2001"/>
      <c r="J415" s="785" t="e">
        <v>#N/A</v>
      </c>
      <c r="K415" s="86" t="e">
        <v>#N/A</v>
      </c>
      <c r="L415" s="2000"/>
      <c r="M415" s="2001"/>
      <c r="N415" s="573" t="e">
        <v>#N/A</v>
      </c>
      <c r="O415" s="3141" t="e">
        <v>#N/A</v>
      </c>
    </row>
    <row r="416" spans="1:15">
      <c r="A416" s="202">
        <f t="shared" si="3"/>
        <v>2027.11</v>
      </c>
      <c r="B416" s="252" t="e">
        <v>#N/A</v>
      </c>
      <c r="C416" s="3034" t="e">
        <v>#N/A</v>
      </c>
      <c r="D416" s="225" t="e">
        <v>#N/A</v>
      </c>
      <c r="E416" s="573" t="e">
        <v>#N/A</v>
      </c>
      <c r="F416" s="785" t="e">
        <v>#N/A</v>
      </c>
      <c r="G416" s="86" t="e">
        <v>#N/A</v>
      </c>
      <c r="H416" s="2000"/>
      <c r="I416" s="2001"/>
      <c r="J416" s="785" t="e">
        <v>#N/A</v>
      </c>
      <c r="K416" s="86" t="e">
        <v>#N/A</v>
      </c>
      <c r="L416" s="2000"/>
      <c r="M416" s="2001"/>
      <c r="N416" s="573" t="e">
        <v>#N/A</v>
      </c>
      <c r="O416" s="3141" t="e">
        <v>#N/A</v>
      </c>
    </row>
    <row r="417" spans="1:15">
      <c r="A417" s="202">
        <f t="shared" si="3"/>
        <v>2027.12</v>
      </c>
      <c r="B417" s="252" t="e">
        <v>#N/A</v>
      </c>
      <c r="C417" s="3034" t="e">
        <v>#N/A</v>
      </c>
      <c r="D417" s="225" t="e">
        <v>#N/A</v>
      </c>
      <c r="E417" s="573" t="e">
        <v>#N/A</v>
      </c>
      <c r="F417" s="785" t="e">
        <v>#N/A</v>
      </c>
      <c r="G417" s="86" t="e">
        <v>#N/A</v>
      </c>
      <c r="H417" s="2000"/>
      <c r="I417" s="2001"/>
      <c r="J417" s="785" t="e">
        <v>#N/A</v>
      </c>
      <c r="K417" s="86" t="e">
        <v>#N/A</v>
      </c>
      <c r="L417" s="2000"/>
      <c r="M417" s="2001"/>
      <c r="N417" s="573" t="e">
        <v>#N/A</v>
      </c>
      <c r="O417" s="3141" t="e">
        <v>#N/A</v>
      </c>
    </row>
    <row r="418" spans="1:15">
      <c r="A418" s="202">
        <f t="shared" si="3"/>
        <v>2028.01</v>
      </c>
      <c r="B418" s="252" t="e">
        <v>#N/A</v>
      </c>
      <c r="C418" s="3034" t="e">
        <v>#N/A</v>
      </c>
      <c r="D418" s="225" t="e">
        <v>#N/A</v>
      </c>
      <c r="E418" s="573" t="e">
        <v>#N/A</v>
      </c>
      <c r="F418" s="785" t="e">
        <v>#N/A</v>
      </c>
      <c r="G418" s="86" t="e">
        <v>#N/A</v>
      </c>
      <c r="H418" s="2000"/>
      <c r="I418" s="2001"/>
      <c r="J418" s="785" t="e">
        <v>#N/A</v>
      </c>
      <c r="K418" s="86" t="e">
        <v>#N/A</v>
      </c>
      <c r="L418" s="2000"/>
      <c r="M418" s="2001"/>
      <c r="N418" s="573" t="e">
        <v>#N/A</v>
      </c>
      <c r="O418" s="3141" t="e">
        <v>#N/A</v>
      </c>
    </row>
    <row r="419" spans="1:15">
      <c r="A419" s="202">
        <f t="shared" si="3"/>
        <v>2028.02</v>
      </c>
      <c r="B419" s="252" t="e">
        <v>#N/A</v>
      </c>
      <c r="C419" s="3034" t="e">
        <v>#N/A</v>
      </c>
      <c r="D419" s="225" t="e">
        <v>#N/A</v>
      </c>
      <c r="E419" s="573" t="e">
        <v>#N/A</v>
      </c>
      <c r="F419" s="785" t="e">
        <v>#N/A</v>
      </c>
      <c r="G419" s="86" t="e">
        <v>#N/A</v>
      </c>
      <c r="H419" s="2000"/>
      <c r="I419" s="2001"/>
      <c r="J419" s="785" t="e">
        <v>#N/A</v>
      </c>
      <c r="K419" s="86" t="e">
        <v>#N/A</v>
      </c>
      <c r="L419" s="2000"/>
      <c r="M419" s="2001"/>
      <c r="N419" s="573" t="e">
        <v>#N/A</v>
      </c>
      <c r="O419" s="3141" t="e">
        <v>#N/A</v>
      </c>
    </row>
    <row r="420" spans="1:15">
      <c r="A420" s="202">
        <f t="shared" si="3"/>
        <v>2028.03</v>
      </c>
      <c r="B420" s="252" t="e">
        <v>#N/A</v>
      </c>
      <c r="C420" s="3034" t="e">
        <v>#N/A</v>
      </c>
      <c r="D420" s="225" t="e">
        <v>#N/A</v>
      </c>
      <c r="E420" s="573" t="e">
        <v>#N/A</v>
      </c>
      <c r="F420" s="785" t="e">
        <v>#N/A</v>
      </c>
      <c r="G420" s="86" t="e">
        <v>#N/A</v>
      </c>
      <c r="H420" s="2000"/>
      <c r="I420" s="2001"/>
      <c r="J420" s="785" t="e">
        <v>#N/A</v>
      </c>
      <c r="K420" s="86" t="e">
        <v>#N/A</v>
      </c>
      <c r="L420" s="2000"/>
      <c r="M420" s="2001"/>
      <c r="N420" s="573" t="e">
        <v>#N/A</v>
      </c>
      <c r="O420" s="3141" t="e">
        <v>#N/A</v>
      </c>
    </row>
    <row r="421" spans="1:15">
      <c r="A421" s="202">
        <f t="shared" si="3"/>
        <v>2028.04</v>
      </c>
      <c r="B421" s="252" t="e">
        <v>#N/A</v>
      </c>
      <c r="C421" s="3034" t="e">
        <v>#N/A</v>
      </c>
      <c r="D421" s="225" t="e">
        <v>#N/A</v>
      </c>
      <c r="E421" s="573" t="e">
        <v>#N/A</v>
      </c>
      <c r="F421" s="785" t="e">
        <v>#N/A</v>
      </c>
      <c r="G421" s="86" t="e">
        <v>#N/A</v>
      </c>
      <c r="H421" s="2000"/>
      <c r="I421" s="2001"/>
      <c r="J421" s="785" t="e">
        <v>#N/A</v>
      </c>
      <c r="K421" s="86" t="e">
        <v>#N/A</v>
      </c>
      <c r="L421" s="2000"/>
      <c r="M421" s="2001"/>
      <c r="N421" s="573" t="e">
        <v>#N/A</v>
      </c>
      <c r="O421" s="3141" t="e">
        <v>#N/A</v>
      </c>
    </row>
    <row r="422" spans="1:15">
      <c r="A422" s="202">
        <f t="shared" si="3"/>
        <v>2028.05</v>
      </c>
      <c r="B422" s="252" t="e">
        <v>#N/A</v>
      </c>
      <c r="C422" s="3034" t="e">
        <v>#N/A</v>
      </c>
      <c r="D422" s="225" t="e">
        <v>#N/A</v>
      </c>
      <c r="E422" s="573" t="e">
        <v>#N/A</v>
      </c>
      <c r="F422" s="785" t="e">
        <v>#N/A</v>
      </c>
      <c r="G422" s="86" t="e">
        <v>#N/A</v>
      </c>
      <c r="H422" s="2000"/>
      <c r="I422" s="2001"/>
      <c r="J422" s="785" t="e">
        <v>#N/A</v>
      </c>
      <c r="K422" s="86" t="e">
        <v>#N/A</v>
      </c>
      <c r="L422" s="2000"/>
      <c r="M422" s="2001"/>
      <c r="N422" s="573" t="e">
        <v>#N/A</v>
      </c>
      <c r="O422" s="3141" t="e">
        <v>#N/A</v>
      </c>
    </row>
    <row r="423" spans="1:15">
      <c r="A423" s="202">
        <f t="shared" si="3"/>
        <v>2028.06</v>
      </c>
      <c r="B423" s="252" t="e">
        <v>#N/A</v>
      </c>
      <c r="C423" s="3034" t="e">
        <v>#N/A</v>
      </c>
      <c r="D423" s="225" t="e">
        <v>#N/A</v>
      </c>
      <c r="E423" s="573" t="e">
        <v>#N/A</v>
      </c>
      <c r="F423" s="785" t="e">
        <v>#N/A</v>
      </c>
      <c r="G423" s="86" t="e">
        <v>#N/A</v>
      </c>
      <c r="H423" s="2000"/>
      <c r="I423" s="2001"/>
      <c r="J423" s="785" t="e">
        <v>#N/A</v>
      </c>
      <c r="K423" s="86" t="e">
        <v>#N/A</v>
      </c>
      <c r="L423" s="2000"/>
      <c r="M423" s="2001"/>
      <c r="N423" s="573" t="e">
        <v>#N/A</v>
      </c>
      <c r="O423" s="3141" t="e">
        <v>#N/A</v>
      </c>
    </row>
    <row r="424" spans="1:15">
      <c r="A424" s="202">
        <f t="shared" si="3"/>
        <v>2028.07</v>
      </c>
      <c r="B424" s="252" t="e">
        <v>#N/A</v>
      </c>
      <c r="C424" s="3034" t="e">
        <v>#N/A</v>
      </c>
      <c r="D424" s="225" t="e">
        <v>#N/A</v>
      </c>
      <c r="E424" s="573" t="e">
        <v>#N/A</v>
      </c>
      <c r="F424" s="785" t="e">
        <v>#N/A</v>
      </c>
      <c r="G424" s="86" t="e">
        <v>#N/A</v>
      </c>
      <c r="H424" s="2000"/>
      <c r="I424" s="2001"/>
      <c r="J424" s="785" t="e">
        <v>#N/A</v>
      </c>
      <c r="K424" s="86" t="e">
        <v>#N/A</v>
      </c>
      <c r="L424" s="2000"/>
      <c r="M424" s="2001"/>
      <c r="N424" s="573" t="e">
        <v>#N/A</v>
      </c>
      <c r="O424" s="3141" t="e">
        <v>#N/A</v>
      </c>
    </row>
    <row r="425" spans="1:15">
      <c r="A425" s="202">
        <f t="shared" si="3"/>
        <v>2028.08</v>
      </c>
      <c r="B425" s="252" t="e">
        <v>#N/A</v>
      </c>
      <c r="C425" s="3034" t="e">
        <v>#N/A</v>
      </c>
      <c r="D425" s="225" t="e">
        <v>#N/A</v>
      </c>
      <c r="E425" s="573" t="e">
        <v>#N/A</v>
      </c>
      <c r="F425" s="785" t="e">
        <v>#N/A</v>
      </c>
      <c r="G425" s="86" t="e">
        <v>#N/A</v>
      </c>
      <c r="H425" s="2000"/>
      <c r="I425" s="2001"/>
      <c r="J425" s="785" t="e">
        <v>#N/A</v>
      </c>
      <c r="K425" s="86" t="e">
        <v>#N/A</v>
      </c>
      <c r="L425" s="2000"/>
      <c r="M425" s="2001"/>
      <c r="N425" s="573" t="e">
        <v>#N/A</v>
      </c>
      <c r="O425" s="3141" t="e">
        <v>#N/A</v>
      </c>
    </row>
    <row r="426" spans="1:15">
      <c r="A426" s="202">
        <f t="shared" si="3"/>
        <v>2028.09</v>
      </c>
      <c r="B426" s="252" t="e">
        <v>#N/A</v>
      </c>
      <c r="C426" s="3034" t="e">
        <v>#N/A</v>
      </c>
      <c r="D426" s="225" t="e">
        <v>#N/A</v>
      </c>
      <c r="E426" s="573" t="e">
        <v>#N/A</v>
      </c>
      <c r="F426" s="785" t="e">
        <v>#N/A</v>
      </c>
      <c r="G426" s="86" t="e">
        <v>#N/A</v>
      </c>
      <c r="H426" s="2000"/>
      <c r="I426" s="2001"/>
      <c r="J426" s="785" t="e">
        <v>#N/A</v>
      </c>
      <c r="K426" s="86" t="e">
        <v>#N/A</v>
      </c>
      <c r="L426" s="2000"/>
      <c r="M426" s="2001"/>
      <c r="N426" s="573" t="e">
        <v>#N/A</v>
      </c>
      <c r="O426" s="3141" t="e">
        <v>#N/A</v>
      </c>
    </row>
    <row r="427" spans="1:15">
      <c r="A427" s="202">
        <f t="shared" si="3"/>
        <v>2028.1</v>
      </c>
      <c r="B427" s="252" t="e">
        <v>#N/A</v>
      </c>
      <c r="C427" s="3034" t="e">
        <v>#N/A</v>
      </c>
      <c r="D427" s="225" t="e">
        <v>#N/A</v>
      </c>
      <c r="E427" s="573" t="e">
        <v>#N/A</v>
      </c>
      <c r="F427" s="785" t="e">
        <v>#N/A</v>
      </c>
      <c r="G427" s="86" t="e">
        <v>#N/A</v>
      </c>
      <c r="H427" s="2000"/>
      <c r="I427" s="2001"/>
      <c r="J427" s="785" t="e">
        <v>#N/A</v>
      </c>
      <c r="K427" s="86" t="e">
        <v>#N/A</v>
      </c>
      <c r="L427" s="2000"/>
      <c r="M427" s="2001"/>
      <c r="N427" s="573" t="e">
        <v>#N/A</v>
      </c>
      <c r="O427" s="3141" t="e">
        <v>#N/A</v>
      </c>
    </row>
    <row r="428" spans="1:15">
      <c r="A428" s="202">
        <f t="shared" si="3"/>
        <v>2028.11</v>
      </c>
      <c r="B428" s="252" t="e">
        <v>#N/A</v>
      </c>
      <c r="C428" s="3034" t="e">
        <v>#N/A</v>
      </c>
      <c r="D428" s="225" t="e">
        <v>#N/A</v>
      </c>
      <c r="E428" s="573" t="e">
        <v>#N/A</v>
      </c>
      <c r="F428" s="785" t="e">
        <v>#N/A</v>
      </c>
      <c r="G428" s="86" t="e">
        <v>#N/A</v>
      </c>
      <c r="H428" s="2000"/>
      <c r="I428" s="2001"/>
      <c r="J428" s="785" t="e">
        <v>#N/A</v>
      </c>
      <c r="K428" s="86" t="e">
        <v>#N/A</v>
      </c>
      <c r="L428" s="2000"/>
      <c r="M428" s="2001"/>
      <c r="N428" s="573" t="e">
        <v>#N/A</v>
      </c>
      <c r="O428" s="3141" t="e">
        <v>#N/A</v>
      </c>
    </row>
    <row r="429" spans="1:15">
      <c r="A429" s="202">
        <f t="shared" si="3"/>
        <v>2028.12</v>
      </c>
      <c r="B429" s="252" t="e">
        <v>#N/A</v>
      </c>
      <c r="C429" s="3034" t="e">
        <v>#N/A</v>
      </c>
      <c r="D429" s="225" t="e">
        <v>#N/A</v>
      </c>
      <c r="E429" s="573" t="e">
        <v>#N/A</v>
      </c>
      <c r="F429" s="785" t="e">
        <v>#N/A</v>
      </c>
      <c r="G429" s="86" t="e">
        <v>#N/A</v>
      </c>
      <c r="H429" s="2000"/>
      <c r="I429" s="2001"/>
      <c r="J429" s="785" t="e">
        <v>#N/A</v>
      </c>
      <c r="K429" s="86" t="e">
        <v>#N/A</v>
      </c>
      <c r="L429" s="2000"/>
      <c r="M429" s="2001"/>
      <c r="N429" s="573" t="e">
        <v>#N/A</v>
      </c>
      <c r="O429" s="3141" t="e">
        <v>#N/A</v>
      </c>
    </row>
    <row r="430" spans="1:15">
      <c r="A430" s="202">
        <f t="shared" si="3"/>
        <v>2029.01</v>
      </c>
      <c r="B430" s="252" t="e">
        <v>#N/A</v>
      </c>
      <c r="C430" s="3034" t="e">
        <v>#N/A</v>
      </c>
      <c r="D430" s="225" t="e">
        <v>#N/A</v>
      </c>
      <c r="E430" s="573" t="e">
        <v>#N/A</v>
      </c>
      <c r="F430" s="785" t="e">
        <v>#N/A</v>
      </c>
      <c r="G430" s="86" t="e">
        <v>#N/A</v>
      </c>
      <c r="H430" s="2000"/>
      <c r="I430" s="2001"/>
      <c r="J430" s="785" t="e">
        <v>#N/A</v>
      </c>
      <c r="K430" s="86" t="e">
        <v>#N/A</v>
      </c>
      <c r="L430" s="2000"/>
      <c r="M430" s="2001"/>
      <c r="N430" s="573" t="e">
        <v>#N/A</v>
      </c>
      <c r="O430" s="3141" t="e">
        <v>#N/A</v>
      </c>
    </row>
    <row r="431" spans="1:15">
      <c r="A431" s="202">
        <f t="shared" si="3"/>
        <v>2029.02</v>
      </c>
      <c r="B431" s="252" t="e">
        <v>#N/A</v>
      </c>
      <c r="C431" s="3034" t="e">
        <v>#N/A</v>
      </c>
      <c r="D431" s="225" t="e">
        <v>#N/A</v>
      </c>
      <c r="E431" s="573" t="e">
        <v>#N/A</v>
      </c>
      <c r="F431" s="785" t="e">
        <v>#N/A</v>
      </c>
      <c r="G431" s="86" t="e">
        <v>#N/A</v>
      </c>
      <c r="H431" s="2000"/>
      <c r="I431" s="2001"/>
      <c r="J431" s="785" t="e">
        <v>#N/A</v>
      </c>
      <c r="K431" s="86" t="e">
        <v>#N/A</v>
      </c>
      <c r="L431" s="2000"/>
      <c r="M431" s="2001"/>
      <c r="N431" s="573" t="e">
        <v>#N/A</v>
      </c>
      <c r="O431" s="3141" t="e">
        <v>#N/A</v>
      </c>
    </row>
    <row r="432" spans="1:15">
      <c r="A432" s="202">
        <f t="shared" si="3"/>
        <v>2029.03</v>
      </c>
      <c r="B432" s="252" t="e">
        <v>#N/A</v>
      </c>
      <c r="C432" s="3034" t="e">
        <v>#N/A</v>
      </c>
      <c r="D432" s="225" t="e">
        <v>#N/A</v>
      </c>
      <c r="E432" s="573" t="e">
        <v>#N/A</v>
      </c>
      <c r="F432" s="785" t="e">
        <v>#N/A</v>
      </c>
      <c r="G432" s="86" t="e">
        <v>#N/A</v>
      </c>
      <c r="H432" s="2000"/>
      <c r="I432" s="2001"/>
      <c r="J432" s="785" t="e">
        <v>#N/A</v>
      </c>
      <c r="K432" s="86" t="e">
        <v>#N/A</v>
      </c>
      <c r="L432" s="2000"/>
      <c r="M432" s="2001"/>
      <c r="N432" s="573" t="e">
        <v>#N/A</v>
      </c>
      <c r="O432" s="3141" t="e">
        <v>#N/A</v>
      </c>
    </row>
    <row r="433" spans="1:15">
      <c r="A433" s="202">
        <f t="shared" si="3"/>
        <v>2029.04</v>
      </c>
      <c r="B433" s="252" t="e">
        <v>#N/A</v>
      </c>
      <c r="C433" s="3034" t="e">
        <v>#N/A</v>
      </c>
      <c r="D433" s="225" t="e">
        <v>#N/A</v>
      </c>
      <c r="E433" s="573" t="e">
        <v>#N/A</v>
      </c>
      <c r="F433" s="785" t="e">
        <v>#N/A</v>
      </c>
      <c r="G433" s="86" t="e">
        <v>#N/A</v>
      </c>
      <c r="H433" s="2000"/>
      <c r="I433" s="2001"/>
      <c r="J433" s="785" t="e">
        <v>#N/A</v>
      </c>
      <c r="K433" s="86" t="e">
        <v>#N/A</v>
      </c>
      <c r="L433" s="2000"/>
      <c r="M433" s="2001"/>
      <c r="N433" s="573" t="e">
        <v>#N/A</v>
      </c>
      <c r="O433" s="3141" t="e">
        <v>#N/A</v>
      </c>
    </row>
    <row r="434" spans="1:15">
      <c r="A434" s="202">
        <f t="shared" si="3"/>
        <v>2029.05</v>
      </c>
      <c r="B434" s="252" t="e">
        <v>#N/A</v>
      </c>
      <c r="C434" s="3034" t="e">
        <v>#N/A</v>
      </c>
      <c r="D434" s="225" t="e">
        <v>#N/A</v>
      </c>
      <c r="E434" s="573" t="e">
        <v>#N/A</v>
      </c>
      <c r="F434" s="785" t="e">
        <v>#N/A</v>
      </c>
      <c r="G434" s="86" t="e">
        <v>#N/A</v>
      </c>
      <c r="H434" s="2000"/>
      <c r="I434" s="2001"/>
      <c r="J434" s="785" t="e">
        <v>#N/A</v>
      </c>
      <c r="K434" s="86" t="e">
        <v>#N/A</v>
      </c>
      <c r="L434" s="2000"/>
      <c r="M434" s="2001"/>
      <c r="N434" s="573" t="e">
        <v>#N/A</v>
      </c>
      <c r="O434" s="3141" t="e">
        <v>#N/A</v>
      </c>
    </row>
    <row r="435" spans="1:15">
      <c r="A435" s="202">
        <f t="shared" ref="A435:A453" si="4">A423+1</f>
        <v>2029.06</v>
      </c>
      <c r="B435" s="252" t="e">
        <v>#N/A</v>
      </c>
      <c r="C435" s="3034" t="e">
        <v>#N/A</v>
      </c>
      <c r="D435" s="225" t="e">
        <v>#N/A</v>
      </c>
      <c r="E435" s="573" t="e">
        <v>#N/A</v>
      </c>
      <c r="F435" s="785" t="e">
        <v>#N/A</v>
      </c>
      <c r="G435" s="86" t="e">
        <v>#N/A</v>
      </c>
      <c r="H435" s="2000"/>
      <c r="I435" s="2001"/>
      <c r="J435" s="785" t="e">
        <v>#N/A</v>
      </c>
      <c r="K435" s="86" t="e">
        <v>#N/A</v>
      </c>
      <c r="L435" s="2000"/>
      <c r="M435" s="2001"/>
      <c r="N435" s="573" t="e">
        <v>#N/A</v>
      </c>
      <c r="O435" s="3141" t="e">
        <v>#N/A</v>
      </c>
    </row>
    <row r="436" spans="1:15">
      <c r="A436" s="202">
        <f t="shared" si="4"/>
        <v>2029.07</v>
      </c>
      <c r="B436" s="252" t="e">
        <v>#N/A</v>
      </c>
      <c r="C436" s="3034" t="e">
        <v>#N/A</v>
      </c>
      <c r="D436" s="225" t="e">
        <v>#N/A</v>
      </c>
      <c r="E436" s="573" t="e">
        <v>#N/A</v>
      </c>
      <c r="F436" s="785" t="e">
        <v>#N/A</v>
      </c>
      <c r="G436" s="86" t="e">
        <v>#N/A</v>
      </c>
      <c r="H436" s="2000"/>
      <c r="I436" s="2001"/>
      <c r="J436" s="785" t="e">
        <v>#N/A</v>
      </c>
      <c r="K436" s="86" t="e">
        <v>#N/A</v>
      </c>
      <c r="L436" s="2000"/>
      <c r="M436" s="2001"/>
      <c r="N436" s="573" t="e">
        <v>#N/A</v>
      </c>
      <c r="O436" s="3141" t="e">
        <v>#N/A</v>
      </c>
    </row>
    <row r="437" spans="1:15">
      <c r="A437" s="202">
        <f t="shared" si="4"/>
        <v>2029.08</v>
      </c>
      <c r="B437" s="252" t="e">
        <v>#N/A</v>
      </c>
      <c r="C437" s="3034" t="e">
        <v>#N/A</v>
      </c>
      <c r="D437" s="225" t="e">
        <v>#N/A</v>
      </c>
      <c r="E437" s="573" t="e">
        <v>#N/A</v>
      </c>
      <c r="F437" s="785" t="e">
        <v>#N/A</v>
      </c>
      <c r="G437" s="86" t="e">
        <v>#N/A</v>
      </c>
      <c r="H437" s="2000"/>
      <c r="I437" s="2001"/>
      <c r="J437" s="785" t="e">
        <v>#N/A</v>
      </c>
      <c r="K437" s="86" t="e">
        <v>#N/A</v>
      </c>
      <c r="L437" s="2000"/>
      <c r="M437" s="2001"/>
      <c r="N437" s="573" t="e">
        <v>#N/A</v>
      </c>
      <c r="O437" s="3141" t="e">
        <v>#N/A</v>
      </c>
    </row>
    <row r="438" spans="1:15">
      <c r="A438" s="202">
        <f t="shared" si="4"/>
        <v>2029.09</v>
      </c>
      <c r="B438" s="252" t="e">
        <v>#N/A</v>
      </c>
      <c r="C438" s="3034" t="e">
        <v>#N/A</v>
      </c>
      <c r="D438" s="225" t="e">
        <v>#N/A</v>
      </c>
      <c r="E438" s="573" t="e">
        <v>#N/A</v>
      </c>
      <c r="F438" s="785" t="e">
        <v>#N/A</v>
      </c>
      <c r="G438" s="86" t="e">
        <v>#N/A</v>
      </c>
      <c r="H438" s="2000"/>
      <c r="I438" s="2001"/>
      <c r="J438" s="785" t="e">
        <v>#N/A</v>
      </c>
      <c r="K438" s="86" t="e">
        <v>#N/A</v>
      </c>
      <c r="L438" s="2000"/>
      <c r="M438" s="2001"/>
      <c r="N438" s="573" t="e">
        <v>#N/A</v>
      </c>
      <c r="O438" s="3141" t="e">
        <v>#N/A</v>
      </c>
    </row>
    <row r="439" spans="1:15">
      <c r="A439" s="202">
        <f t="shared" si="4"/>
        <v>2029.1</v>
      </c>
      <c r="B439" s="252" t="e">
        <v>#N/A</v>
      </c>
      <c r="C439" s="3034" t="e">
        <v>#N/A</v>
      </c>
      <c r="D439" s="225" t="e">
        <v>#N/A</v>
      </c>
      <c r="E439" s="573" t="e">
        <v>#N/A</v>
      </c>
      <c r="F439" s="785" t="e">
        <v>#N/A</v>
      </c>
      <c r="G439" s="86" t="e">
        <v>#N/A</v>
      </c>
      <c r="H439" s="2000"/>
      <c r="I439" s="2001"/>
      <c r="J439" s="785" t="e">
        <v>#N/A</v>
      </c>
      <c r="K439" s="86" t="e">
        <v>#N/A</v>
      </c>
      <c r="L439" s="2000"/>
      <c r="M439" s="2001"/>
      <c r="N439" s="573" t="e">
        <v>#N/A</v>
      </c>
      <c r="O439" s="3141" t="e">
        <v>#N/A</v>
      </c>
    </row>
    <row r="440" spans="1:15">
      <c r="A440" s="202">
        <f t="shared" si="4"/>
        <v>2029.11</v>
      </c>
      <c r="B440" s="252" t="e">
        <v>#N/A</v>
      </c>
      <c r="C440" s="3034" t="e">
        <v>#N/A</v>
      </c>
      <c r="D440" s="225" t="e">
        <v>#N/A</v>
      </c>
      <c r="E440" s="573" t="e">
        <v>#N/A</v>
      </c>
      <c r="F440" s="785" t="e">
        <v>#N/A</v>
      </c>
      <c r="G440" s="86" t="e">
        <v>#N/A</v>
      </c>
      <c r="H440" s="2000"/>
      <c r="I440" s="2001"/>
      <c r="J440" s="785" t="e">
        <v>#N/A</v>
      </c>
      <c r="K440" s="86" t="e">
        <v>#N/A</v>
      </c>
      <c r="L440" s="2000"/>
      <c r="M440" s="2001"/>
      <c r="N440" s="573" t="e">
        <v>#N/A</v>
      </c>
      <c r="O440" s="3141" t="e">
        <v>#N/A</v>
      </c>
    </row>
    <row r="441" spans="1:15">
      <c r="A441" s="202">
        <f t="shared" si="4"/>
        <v>2029.12</v>
      </c>
      <c r="B441" s="252" t="e">
        <v>#N/A</v>
      </c>
      <c r="C441" s="3034" t="e">
        <v>#N/A</v>
      </c>
      <c r="D441" s="225" t="e">
        <v>#N/A</v>
      </c>
      <c r="E441" s="573" t="e">
        <v>#N/A</v>
      </c>
      <c r="F441" s="785" t="e">
        <v>#N/A</v>
      </c>
      <c r="G441" s="86" t="e">
        <v>#N/A</v>
      </c>
      <c r="H441" s="2000"/>
      <c r="I441" s="2001"/>
      <c r="J441" s="785" t="e">
        <v>#N/A</v>
      </c>
      <c r="K441" s="86" t="e">
        <v>#N/A</v>
      </c>
      <c r="L441" s="2000"/>
      <c r="M441" s="2001"/>
      <c r="N441" s="573" t="e">
        <v>#N/A</v>
      </c>
      <c r="O441" s="3141" t="e">
        <v>#N/A</v>
      </c>
    </row>
    <row r="442" spans="1:15">
      <c r="A442" s="202">
        <f t="shared" si="4"/>
        <v>2030.01</v>
      </c>
      <c r="B442" s="252" t="e">
        <v>#N/A</v>
      </c>
      <c r="C442" s="3034" t="e">
        <v>#N/A</v>
      </c>
      <c r="D442" s="225" t="e">
        <v>#N/A</v>
      </c>
      <c r="E442" s="573" t="e">
        <v>#N/A</v>
      </c>
      <c r="F442" s="785" t="e">
        <v>#N/A</v>
      </c>
      <c r="G442" s="86" t="e">
        <v>#N/A</v>
      </c>
      <c r="H442" s="2000"/>
      <c r="I442" s="2001"/>
      <c r="J442" s="785" t="e">
        <v>#N/A</v>
      </c>
      <c r="K442" s="86" t="e">
        <v>#N/A</v>
      </c>
      <c r="L442" s="2000"/>
      <c r="M442" s="2001"/>
      <c r="N442" s="573" t="e">
        <v>#N/A</v>
      </c>
      <c r="O442" s="3141" t="e">
        <v>#N/A</v>
      </c>
    </row>
    <row r="443" spans="1:15">
      <c r="A443" s="202">
        <f t="shared" si="4"/>
        <v>2030.02</v>
      </c>
      <c r="B443" s="252" t="e">
        <v>#N/A</v>
      </c>
      <c r="C443" s="3034" t="e">
        <v>#N/A</v>
      </c>
      <c r="D443" s="225" t="e">
        <v>#N/A</v>
      </c>
      <c r="E443" s="573" t="e">
        <v>#N/A</v>
      </c>
      <c r="F443" s="785" t="e">
        <v>#N/A</v>
      </c>
      <c r="G443" s="86" t="e">
        <v>#N/A</v>
      </c>
      <c r="H443" s="2000"/>
      <c r="I443" s="2001"/>
      <c r="J443" s="785" t="e">
        <v>#N/A</v>
      </c>
      <c r="K443" s="86" t="e">
        <v>#N/A</v>
      </c>
      <c r="L443" s="2000"/>
      <c r="M443" s="2001"/>
      <c r="N443" s="573" t="e">
        <v>#N/A</v>
      </c>
      <c r="O443" s="3141" t="e">
        <v>#N/A</v>
      </c>
    </row>
    <row r="444" spans="1:15">
      <c r="A444" s="202">
        <f t="shared" si="4"/>
        <v>2030.03</v>
      </c>
      <c r="B444" s="252" t="e">
        <v>#N/A</v>
      </c>
      <c r="C444" s="3034" t="e">
        <v>#N/A</v>
      </c>
      <c r="D444" s="225" t="e">
        <v>#N/A</v>
      </c>
      <c r="E444" s="573" t="e">
        <v>#N/A</v>
      </c>
      <c r="F444" s="785" t="e">
        <v>#N/A</v>
      </c>
      <c r="G444" s="86" t="e">
        <v>#N/A</v>
      </c>
      <c r="H444" s="2000"/>
      <c r="I444" s="2001"/>
      <c r="J444" s="785" t="e">
        <v>#N/A</v>
      </c>
      <c r="K444" s="86" t="e">
        <v>#N/A</v>
      </c>
      <c r="L444" s="2000"/>
      <c r="M444" s="2001"/>
      <c r="N444" s="573" t="e">
        <v>#N/A</v>
      </c>
      <c r="O444" s="3141" t="e">
        <v>#N/A</v>
      </c>
    </row>
    <row r="445" spans="1:15">
      <c r="A445" s="202">
        <f t="shared" si="4"/>
        <v>2030.04</v>
      </c>
      <c r="B445" s="252" t="e">
        <v>#N/A</v>
      </c>
      <c r="C445" s="3034" t="e">
        <v>#N/A</v>
      </c>
      <c r="D445" s="225" t="e">
        <v>#N/A</v>
      </c>
      <c r="E445" s="573" t="e">
        <v>#N/A</v>
      </c>
      <c r="F445" s="785" t="e">
        <v>#N/A</v>
      </c>
      <c r="G445" s="86" t="e">
        <v>#N/A</v>
      </c>
      <c r="H445" s="2000"/>
      <c r="I445" s="2001"/>
      <c r="J445" s="785" t="e">
        <v>#N/A</v>
      </c>
      <c r="K445" s="86" t="e">
        <v>#N/A</v>
      </c>
      <c r="L445" s="2000"/>
      <c r="M445" s="2001"/>
      <c r="N445" s="573" t="e">
        <v>#N/A</v>
      </c>
      <c r="O445" s="3141" t="e">
        <v>#N/A</v>
      </c>
    </row>
    <row r="446" spans="1:15">
      <c r="A446" s="202">
        <f t="shared" si="4"/>
        <v>2030.05</v>
      </c>
      <c r="B446" s="252" t="e">
        <v>#N/A</v>
      </c>
      <c r="C446" s="3034" t="e">
        <v>#N/A</v>
      </c>
      <c r="D446" s="225" t="e">
        <v>#N/A</v>
      </c>
      <c r="E446" s="573" t="e">
        <v>#N/A</v>
      </c>
      <c r="F446" s="785" t="e">
        <v>#N/A</v>
      </c>
      <c r="G446" s="86" t="e">
        <v>#N/A</v>
      </c>
      <c r="H446" s="2000"/>
      <c r="I446" s="2001"/>
      <c r="J446" s="785" t="e">
        <v>#N/A</v>
      </c>
      <c r="K446" s="86" t="e">
        <v>#N/A</v>
      </c>
      <c r="L446" s="2000"/>
      <c r="M446" s="2001"/>
      <c r="N446" s="573" t="e">
        <v>#N/A</v>
      </c>
      <c r="O446" s="3141" t="e">
        <v>#N/A</v>
      </c>
    </row>
    <row r="447" spans="1:15">
      <c r="A447" s="202">
        <f t="shared" si="4"/>
        <v>2030.06</v>
      </c>
      <c r="B447" s="252" t="e">
        <v>#N/A</v>
      </c>
      <c r="C447" s="3034" t="e">
        <v>#N/A</v>
      </c>
      <c r="D447" s="225" t="e">
        <v>#N/A</v>
      </c>
      <c r="E447" s="573" t="e">
        <v>#N/A</v>
      </c>
      <c r="F447" s="785" t="e">
        <v>#N/A</v>
      </c>
      <c r="G447" s="86" t="e">
        <v>#N/A</v>
      </c>
      <c r="H447" s="2000"/>
      <c r="I447" s="2001"/>
      <c r="J447" s="785" t="e">
        <v>#N/A</v>
      </c>
      <c r="K447" s="86" t="e">
        <v>#N/A</v>
      </c>
      <c r="L447" s="2000"/>
      <c r="M447" s="2001"/>
      <c r="N447" s="573" t="e">
        <v>#N/A</v>
      </c>
      <c r="O447" s="3141" t="e">
        <v>#N/A</v>
      </c>
    </row>
    <row r="448" spans="1:15">
      <c r="A448" s="202">
        <f t="shared" si="4"/>
        <v>2030.07</v>
      </c>
      <c r="B448" s="252" t="e">
        <v>#N/A</v>
      </c>
      <c r="C448" s="3034" t="e">
        <v>#N/A</v>
      </c>
      <c r="D448" s="225" t="e">
        <v>#N/A</v>
      </c>
      <c r="E448" s="573" t="e">
        <v>#N/A</v>
      </c>
      <c r="F448" s="785" t="e">
        <v>#N/A</v>
      </c>
      <c r="G448" s="86" t="e">
        <v>#N/A</v>
      </c>
      <c r="H448" s="2000"/>
      <c r="I448" s="2001"/>
      <c r="J448" s="785" t="e">
        <v>#N/A</v>
      </c>
      <c r="K448" s="86" t="e">
        <v>#N/A</v>
      </c>
      <c r="L448" s="2000"/>
      <c r="M448" s="2001"/>
      <c r="N448" s="573" t="e">
        <v>#N/A</v>
      </c>
      <c r="O448" s="3141" t="e">
        <v>#N/A</v>
      </c>
    </row>
    <row r="449" spans="1:15">
      <c r="A449" s="202">
        <f t="shared" si="4"/>
        <v>2030.08</v>
      </c>
      <c r="B449" s="252" t="e">
        <v>#N/A</v>
      </c>
      <c r="C449" s="3034" t="e">
        <v>#N/A</v>
      </c>
      <c r="D449" s="225" t="e">
        <v>#N/A</v>
      </c>
      <c r="E449" s="573" t="e">
        <v>#N/A</v>
      </c>
      <c r="F449" s="785" t="e">
        <v>#N/A</v>
      </c>
      <c r="G449" s="86" t="e">
        <v>#N/A</v>
      </c>
      <c r="H449" s="2000"/>
      <c r="I449" s="2001"/>
      <c r="J449" s="785" t="e">
        <v>#N/A</v>
      </c>
      <c r="K449" s="86" t="e">
        <v>#N/A</v>
      </c>
      <c r="L449" s="2000"/>
      <c r="M449" s="2001"/>
      <c r="N449" s="573" t="e">
        <v>#N/A</v>
      </c>
      <c r="O449" s="3141" t="e">
        <v>#N/A</v>
      </c>
    </row>
    <row r="450" spans="1:15">
      <c r="A450" s="202">
        <f t="shared" si="4"/>
        <v>2030.09</v>
      </c>
      <c r="B450" s="252" t="e">
        <v>#N/A</v>
      </c>
      <c r="C450" s="3034" t="e">
        <v>#N/A</v>
      </c>
      <c r="D450" s="225" t="e">
        <v>#N/A</v>
      </c>
      <c r="E450" s="573" t="e">
        <v>#N/A</v>
      </c>
      <c r="F450" s="785" t="e">
        <v>#N/A</v>
      </c>
      <c r="G450" s="86" t="e">
        <v>#N/A</v>
      </c>
      <c r="H450" s="2000"/>
      <c r="I450" s="2001"/>
      <c r="J450" s="785" t="e">
        <v>#N/A</v>
      </c>
      <c r="K450" s="86" t="e">
        <v>#N/A</v>
      </c>
      <c r="L450" s="2000"/>
      <c r="M450" s="2001"/>
      <c r="N450" s="573" t="e">
        <v>#N/A</v>
      </c>
      <c r="O450" s="3141" t="e">
        <v>#N/A</v>
      </c>
    </row>
    <row r="451" spans="1:15">
      <c r="A451" s="202">
        <f t="shared" si="4"/>
        <v>2030.1</v>
      </c>
      <c r="B451" s="252" t="e">
        <v>#N/A</v>
      </c>
      <c r="C451" s="3034" t="e">
        <v>#N/A</v>
      </c>
      <c r="D451" s="225" t="e">
        <v>#N/A</v>
      </c>
      <c r="E451" s="573" t="e">
        <v>#N/A</v>
      </c>
      <c r="F451" s="785" t="e">
        <v>#N/A</v>
      </c>
      <c r="G451" s="86" t="e">
        <v>#N/A</v>
      </c>
      <c r="H451" s="2000"/>
      <c r="I451" s="2001"/>
      <c r="J451" s="785" t="e">
        <v>#N/A</v>
      </c>
      <c r="K451" s="86" t="e">
        <v>#N/A</v>
      </c>
      <c r="L451" s="2000"/>
      <c r="M451" s="2001"/>
      <c r="N451" s="573" t="e">
        <v>#N/A</v>
      </c>
      <c r="O451" s="3141" t="e">
        <v>#N/A</v>
      </c>
    </row>
    <row r="452" spans="1:15">
      <c r="A452" s="202">
        <f t="shared" si="4"/>
        <v>2030.11</v>
      </c>
      <c r="B452" s="252" t="e">
        <v>#N/A</v>
      </c>
      <c r="C452" s="3034" t="e">
        <v>#N/A</v>
      </c>
      <c r="D452" s="225" t="e">
        <v>#N/A</v>
      </c>
      <c r="E452" s="573" t="e">
        <v>#N/A</v>
      </c>
      <c r="F452" s="785" t="e">
        <v>#N/A</v>
      </c>
      <c r="G452" s="86" t="e">
        <v>#N/A</v>
      </c>
      <c r="H452" s="2000"/>
      <c r="I452" s="2001"/>
      <c r="J452" s="785" t="e">
        <v>#N/A</v>
      </c>
      <c r="K452" s="86" t="e">
        <v>#N/A</v>
      </c>
      <c r="L452" s="2000"/>
      <c r="M452" s="2001"/>
      <c r="N452" s="573" t="e">
        <v>#N/A</v>
      </c>
      <c r="O452" s="3141" t="e">
        <v>#N/A</v>
      </c>
    </row>
    <row r="453" spans="1:15">
      <c r="A453" s="202">
        <f t="shared" si="4"/>
        <v>2030.12</v>
      </c>
      <c r="B453" s="252" t="e">
        <v>#N/A</v>
      </c>
      <c r="C453" s="3034" t="e">
        <v>#N/A</v>
      </c>
      <c r="D453" s="225" t="e">
        <v>#N/A</v>
      </c>
      <c r="E453" s="573" t="e">
        <v>#N/A</v>
      </c>
      <c r="F453" s="785" t="e">
        <v>#N/A</v>
      </c>
      <c r="G453" s="86" t="e">
        <v>#N/A</v>
      </c>
      <c r="H453" s="2000"/>
      <c r="I453" s="2001"/>
      <c r="J453" s="785" t="e">
        <v>#N/A</v>
      </c>
      <c r="K453" s="86" t="e">
        <v>#N/A</v>
      </c>
      <c r="L453" s="2000"/>
      <c r="M453" s="2001"/>
      <c r="N453" s="573" t="e">
        <v>#N/A</v>
      </c>
      <c r="O453" s="3141" t="e">
        <v>#N/A</v>
      </c>
    </row>
  </sheetData>
  <phoneticPr fontId="62" type="noConversion"/>
  <hyperlinks>
    <hyperlink ref="A5" location="INDICE!A13" display="VOLVER AL INDICE" xr:uid="{00000000-0004-0000-1800-000000000000}"/>
  </hyperlinks>
  <pageMargins left="0.75" right="0.75" top="1" bottom="1" header="0" footer="0"/>
  <pageSetup paperSize="9" orientation="portrait" horizontalDpi="300" verticalDpi="3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51">
    <pageSetUpPr autoPageBreaks="0"/>
  </sheetPr>
  <dimension ref="A1:XEO490"/>
  <sheetViews>
    <sheetView zoomScale="130" zoomScaleNormal="130" workbookViewId="0">
      <pane xSplit="1" ySplit="9" topLeftCell="B409" activePane="bottomRight" state="frozen"/>
      <selection pane="topRight" activeCell="A5" sqref="A5"/>
      <selection pane="bottomLeft" activeCell="A5" sqref="A5"/>
      <selection pane="bottomRight" activeCell="E421" sqref="E421"/>
    </sheetView>
  </sheetViews>
  <sheetFormatPr baseColWidth="10" defaultColWidth="11.42578125" defaultRowHeight="12.75"/>
  <cols>
    <col min="1" max="1" width="10.42578125" style="228" bestFit="1" customWidth="1"/>
    <col min="2" max="5" width="13" style="228" customWidth="1"/>
    <col min="6" max="15" width="10.42578125" style="228" customWidth="1"/>
    <col min="16" max="17" width="10.42578125" style="227" customWidth="1"/>
    <col min="18" max="16384" width="11.42578125" style="227"/>
  </cols>
  <sheetData>
    <row r="1" spans="1:18" ht="3" customHeight="1">
      <c r="A1" s="34"/>
      <c r="B1" s="48"/>
      <c r="C1" s="48"/>
      <c r="D1" s="48"/>
      <c r="E1" s="48"/>
      <c r="F1" s="3360"/>
      <c r="G1" s="48"/>
      <c r="H1" s="48"/>
      <c r="I1" s="48"/>
      <c r="J1" s="48"/>
      <c r="K1" s="48"/>
      <c r="L1" s="48"/>
      <c r="M1" s="48"/>
      <c r="N1" s="48"/>
      <c r="O1" s="48"/>
      <c r="R1" s="1158"/>
    </row>
    <row r="2" spans="1:18" ht="22.5">
      <c r="A2" s="36" t="s">
        <v>105</v>
      </c>
      <c r="B2" s="1159" t="s">
        <v>814</v>
      </c>
      <c r="C2" s="2006"/>
      <c r="D2" s="2006"/>
      <c r="E2" s="3352"/>
      <c r="F2" s="3361" t="s">
        <v>815</v>
      </c>
      <c r="G2" s="1160"/>
      <c r="H2" s="1160"/>
      <c r="I2" s="1160"/>
      <c r="J2" s="1160"/>
      <c r="K2" s="1160"/>
      <c r="L2" s="1160"/>
      <c r="M2" s="1160"/>
      <c r="N2" s="1160"/>
      <c r="O2" s="1160"/>
      <c r="P2" s="1160"/>
      <c r="Q2" s="1160"/>
      <c r="R2" s="1161"/>
    </row>
    <row r="3" spans="1:18">
      <c r="A3" s="37" t="s">
        <v>212</v>
      </c>
      <c r="B3" s="2006" t="s">
        <v>122</v>
      </c>
      <c r="C3" s="2006"/>
      <c r="D3" s="2006"/>
      <c r="E3" s="3352"/>
      <c r="F3" s="3359" t="s">
        <v>816</v>
      </c>
      <c r="G3" s="1162"/>
      <c r="H3" s="1162"/>
      <c r="I3" s="1162"/>
      <c r="J3" s="1162"/>
      <c r="K3" s="1162"/>
      <c r="L3" s="1162"/>
      <c r="M3" s="1162"/>
      <c r="N3" s="1162"/>
      <c r="O3" s="1221"/>
      <c r="P3" s="1163"/>
      <c r="Q3" s="1163"/>
      <c r="R3" s="1164"/>
    </row>
    <row r="4" spans="1:18" hidden="1">
      <c r="A4" s="57"/>
      <c r="B4" s="3544"/>
      <c r="C4" s="3545"/>
      <c r="D4" s="1296"/>
      <c r="E4" s="1165"/>
      <c r="F4" s="1165"/>
      <c r="G4" s="1165"/>
      <c r="H4" s="1165"/>
      <c r="I4" s="1165"/>
      <c r="J4" s="1165"/>
      <c r="K4" s="1165"/>
      <c r="L4" s="1165"/>
      <c r="M4" s="1165"/>
      <c r="N4" s="1165"/>
      <c r="O4" s="1166"/>
      <c r="P4" s="1165"/>
      <c r="Q4" s="1165"/>
      <c r="R4" s="1167"/>
    </row>
    <row r="5" spans="1:18" ht="22.5">
      <c r="A5" s="2390" t="s">
        <v>137</v>
      </c>
      <c r="B5" s="1168" t="s">
        <v>817</v>
      </c>
      <c r="C5" s="1297" t="s">
        <v>818</v>
      </c>
      <c r="D5" s="3353" t="s">
        <v>819</v>
      </c>
      <c r="E5" s="3353" t="s">
        <v>820</v>
      </c>
      <c r="F5" s="1169" t="s">
        <v>821</v>
      </c>
      <c r="G5" s="1170" t="s">
        <v>822</v>
      </c>
      <c r="H5" s="1422" t="s">
        <v>823</v>
      </c>
      <c r="I5" s="1170" t="s">
        <v>824</v>
      </c>
      <c r="J5" s="1422" t="s">
        <v>825</v>
      </c>
      <c r="K5" s="1170" t="s">
        <v>826</v>
      </c>
      <c r="L5" s="1422" t="s">
        <v>827</v>
      </c>
      <c r="M5" s="1170" t="s">
        <v>828</v>
      </c>
      <c r="N5" s="1423" t="s">
        <v>829</v>
      </c>
      <c r="O5" s="2438" t="s">
        <v>338</v>
      </c>
      <c r="P5" s="2438" t="s">
        <v>758</v>
      </c>
      <c r="Q5" s="1171" t="s">
        <v>830</v>
      </c>
      <c r="R5" s="2007" t="s">
        <v>831</v>
      </c>
    </row>
    <row r="6" spans="1:18" hidden="1">
      <c r="A6" s="33"/>
      <c r="B6" s="1172"/>
      <c r="C6" s="1298"/>
      <c r="D6" s="3354"/>
      <c r="E6" s="1298"/>
      <c r="F6" s="1173"/>
      <c r="G6" s="1174"/>
      <c r="H6" s="1175"/>
      <c r="I6" s="1174"/>
      <c r="J6" s="1175"/>
      <c r="K6" s="1174"/>
      <c r="L6" s="1175"/>
      <c r="M6" s="1174"/>
      <c r="N6" s="1176"/>
      <c r="O6" s="2438"/>
      <c r="P6" s="1177"/>
      <c r="Q6" s="2008"/>
      <c r="R6" s="1178"/>
    </row>
    <row r="7" spans="1:18" ht="22.5">
      <c r="A7" s="2373" t="s">
        <v>123</v>
      </c>
      <c r="B7" s="1169" t="s">
        <v>832</v>
      </c>
      <c r="C7" s="1170" t="s">
        <v>832</v>
      </c>
      <c r="D7" s="1422" t="s">
        <v>832</v>
      </c>
      <c r="E7" s="1422" t="s">
        <v>832</v>
      </c>
      <c r="F7" s="1173" t="s">
        <v>832</v>
      </c>
      <c r="G7" s="1174" t="s">
        <v>832</v>
      </c>
      <c r="H7" s="1175" t="s">
        <v>832</v>
      </c>
      <c r="I7" s="1174" t="s">
        <v>832</v>
      </c>
      <c r="J7" s="1175" t="s">
        <v>832</v>
      </c>
      <c r="K7" s="1174" t="s">
        <v>832</v>
      </c>
      <c r="L7" s="1175" t="s">
        <v>832</v>
      </c>
      <c r="M7" s="1175" t="s">
        <v>832</v>
      </c>
      <c r="N7" s="1175" t="s">
        <v>832</v>
      </c>
      <c r="O7" s="2438" t="s">
        <v>832</v>
      </c>
      <c r="P7" s="2438" t="s">
        <v>832</v>
      </c>
      <c r="Q7" s="1171" t="s">
        <v>832</v>
      </c>
      <c r="R7" s="2007" t="s">
        <v>832</v>
      </c>
    </row>
    <row r="8" spans="1:18" ht="12.75" customHeight="1" thickBot="1">
      <c r="A8" s="147" t="s">
        <v>141</v>
      </c>
      <c r="B8" s="1179" t="s">
        <v>833</v>
      </c>
      <c r="C8" s="1299" t="s">
        <v>834</v>
      </c>
      <c r="D8" s="3355" t="s">
        <v>835</v>
      </c>
      <c r="E8" s="1299" t="s">
        <v>836</v>
      </c>
      <c r="F8" s="1179" t="s">
        <v>837</v>
      </c>
      <c r="G8" s="3355" t="s">
        <v>838</v>
      </c>
      <c r="H8" s="3355" t="s">
        <v>839</v>
      </c>
      <c r="I8" s="3355" t="s">
        <v>840</v>
      </c>
      <c r="J8" s="3355" t="s">
        <v>841</v>
      </c>
      <c r="K8" s="3355" t="s">
        <v>842</v>
      </c>
      <c r="L8" s="3355" t="s">
        <v>843</v>
      </c>
      <c r="M8" s="3355" t="s">
        <v>844</v>
      </c>
      <c r="N8" s="3364" t="s">
        <v>845</v>
      </c>
      <c r="O8" s="3365" t="s">
        <v>846</v>
      </c>
      <c r="P8" s="3365" t="s">
        <v>847</v>
      </c>
      <c r="Q8" s="3366" t="s">
        <v>848</v>
      </c>
      <c r="R8" s="3367" t="s">
        <v>849</v>
      </c>
    </row>
    <row r="9" spans="1:18" ht="13.5" hidden="1" thickBot="1">
      <c r="A9" s="72"/>
      <c r="B9" s="1180"/>
      <c r="C9" s="1300"/>
      <c r="D9" s="3356"/>
      <c r="E9" s="1300"/>
      <c r="F9" s="1181"/>
      <c r="G9" s="1182"/>
      <c r="H9" s="1183"/>
      <c r="I9" s="1182"/>
      <c r="J9" s="1183"/>
      <c r="K9" s="1182"/>
      <c r="L9" s="1183"/>
      <c r="M9" s="1182"/>
      <c r="N9" s="1184"/>
      <c r="O9" s="1185"/>
      <c r="P9" s="1185"/>
      <c r="Q9" s="1186"/>
      <c r="R9" s="1187"/>
    </row>
    <row r="10" spans="1:18">
      <c r="A10" s="2809">
        <v>1991.01</v>
      </c>
      <c r="B10" s="2810">
        <v>288683</v>
      </c>
      <c r="C10" s="1301"/>
      <c r="D10" s="3357"/>
      <c r="E10" s="1301"/>
      <c r="F10" s="1189">
        <v>156</v>
      </c>
      <c r="G10" s="1190">
        <v>1381</v>
      </c>
      <c r="H10" s="1191">
        <v>2071</v>
      </c>
      <c r="I10" s="1190">
        <v>1725</v>
      </c>
      <c r="J10" s="1191">
        <v>81</v>
      </c>
      <c r="K10" s="1190">
        <v>153</v>
      </c>
      <c r="L10" s="1191">
        <v>236</v>
      </c>
      <c r="M10" s="1190">
        <v>2234</v>
      </c>
      <c r="N10" s="2811">
        <v>394</v>
      </c>
      <c r="O10" s="3351">
        <f>_xlfn.AGGREGATE(9,6,F10:N10)</f>
        <v>8431</v>
      </c>
      <c r="P10" s="2812"/>
      <c r="Q10" s="2813"/>
      <c r="R10" s="2814"/>
    </row>
    <row r="11" spans="1:18">
      <c r="A11" s="1188">
        <v>1991.02</v>
      </c>
      <c r="B11" s="1194">
        <v>177817</v>
      </c>
      <c r="C11" s="1302"/>
      <c r="D11" s="3358"/>
      <c r="E11" s="1302"/>
      <c r="F11" s="1195">
        <v>1081</v>
      </c>
      <c r="G11" s="1196">
        <v>1297</v>
      </c>
      <c r="H11" s="3156">
        <v>2197</v>
      </c>
      <c r="I11" s="1196">
        <v>2153</v>
      </c>
      <c r="J11" s="3156">
        <v>168</v>
      </c>
      <c r="K11" s="1196">
        <v>1325</v>
      </c>
      <c r="L11" s="3156">
        <v>366</v>
      </c>
      <c r="M11" s="1196">
        <v>1311</v>
      </c>
      <c r="N11" s="2010">
        <v>0</v>
      </c>
      <c r="O11" s="1197">
        <f t="shared" ref="O11:O74" si="0">_xlfn.AGGREGATE(9,6,F11:N11)</f>
        <v>9898</v>
      </c>
      <c r="P11" s="1192"/>
      <c r="Q11" s="2009"/>
      <c r="R11" s="1193"/>
    </row>
    <row r="12" spans="1:18">
      <c r="A12" s="1188">
        <v>1991.03</v>
      </c>
      <c r="B12" s="1194">
        <v>208283</v>
      </c>
      <c r="C12" s="1302"/>
      <c r="D12" s="3358"/>
      <c r="E12" s="1302"/>
      <c r="F12" s="1195">
        <v>248</v>
      </c>
      <c r="G12" s="1196">
        <v>2192</v>
      </c>
      <c r="H12" s="3156">
        <v>777</v>
      </c>
      <c r="I12" s="1196">
        <v>4102</v>
      </c>
      <c r="J12" s="3156">
        <v>842</v>
      </c>
      <c r="K12" s="1196">
        <v>1743</v>
      </c>
      <c r="L12" s="3156">
        <v>279</v>
      </c>
      <c r="M12" s="1196">
        <v>978</v>
      </c>
      <c r="N12" s="2010">
        <v>727</v>
      </c>
      <c r="O12" s="1197">
        <f t="shared" si="0"/>
        <v>11888</v>
      </c>
      <c r="P12" s="1192"/>
      <c r="Q12" s="2009"/>
      <c r="R12" s="1193"/>
    </row>
    <row r="13" spans="1:18">
      <c r="A13" s="1188">
        <v>1991.04</v>
      </c>
      <c r="B13" s="1194">
        <v>313177</v>
      </c>
      <c r="C13" s="1302"/>
      <c r="D13" s="3358"/>
      <c r="E13" s="1302"/>
      <c r="F13" s="1195">
        <v>1150</v>
      </c>
      <c r="G13" s="1196">
        <v>619</v>
      </c>
      <c r="H13" s="3156">
        <v>268</v>
      </c>
      <c r="I13" s="1196">
        <v>1352</v>
      </c>
      <c r="J13" s="3156">
        <v>833</v>
      </c>
      <c r="K13" s="1196">
        <v>1698</v>
      </c>
      <c r="L13" s="3156">
        <v>191</v>
      </c>
      <c r="M13" s="1196">
        <v>3127</v>
      </c>
      <c r="N13" s="2010">
        <v>0</v>
      </c>
      <c r="O13" s="1197">
        <f t="shared" si="0"/>
        <v>9238</v>
      </c>
      <c r="P13" s="1192"/>
      <c r="Q13" s="2009"/>
      <c r="R13" s="1193"/>
    </row>
    <row r="14" spans="1:18">
      <c r="A14" s="1188">
        <v>1991.05</v>
      </c>
      <c r="B14" s="1194">
        <v>400947</v>
      </c>
      <c r="C14" s="1302"/>
      <c r="D14" s="3358"/>
      <c r="E14" s="1302"/>
      <c r="F14" s="1195">
        <v>521</v>
      </c>
      <c r="G14" s="1196">
        <v>3650</v>
      </c>
      <c r="H14" s="3156">
        <v>1574</v>
      </c>
      <c r="I14" s="1196">
        <v>2389</v>
      </c>
      <c r="J14" s="3156">
        <v>349</v>
      </c>
      <c r="K14" s="1196">
        <v>3379</v>
      </c>
      <c r="L14" s="3156">
        <v>202</v>
      </c>
      <c r="M14" s="1196">
        <v>1171</v>
      </c>
      <c r="N14" s="2010">
        <v>865</v>
      </c>
      <c r="O14" s="1197">
        <f t="shared" si="0"/>
        <v>14100</v>
      </c>
      <c r="P14" s="1192"/>
      <c r="Q14" s="2009"/>
      <c r="R14" s="1193"/>
    </row>
    <row r="15" spans="1:18">
      <c r="A15" s="1188">
        <v>1991.06</v>
      </c>
      <c r="B15" s="1194">
        <v>274687</v>
      </c>
      <c r="C15" s="1302"/>
      <c r="D15" s="3358"/>
      <c r="E15" s="1302"/>
      <c r="F15" s="1195">
        <v>942</v>
      </c>
      <c r="G15" s="1196">
        <v>1711</v>
      </c>
      <c r="H15" s="3156">
        <v>1897</v>
      </c>
      <c r="I15" s="1196">
        <v>1617</v>
      </c>
      <c r="J15" s="3156">
        <v>70</v>
      </c>
      <c r="K15" s="1196">
        <v>2863</v>
      </c>
      <c r="L15" s="3156">
        <v>123</v>
      </c>
      <c r="M15" s="1196">
        <v>1924</v>
      </c>
      <c r="N15" s="2010">
        <v>0</v>
      </c>
      <c r="O15" s="1197">
        <f t="shared" si="0"/>
        <v>11147</v>
      </c>
      <c r="P15" s="1192"/>
      <c r="Q15" s="2009"/>
      <c r="R15" s="1193"/>
    </row>
    <row r="16" spans="1:18">
      <c r="A16" s="1188">
        <v>1991.07</v>
      </c>
      <c r="B16" s="1194">
        <v>343519</v>
      </c>
      <c r="C16" s="1302"/>
      <c r="D16" s="3358"/>
      <c r="E16" s="1302"/>
      <c r="F16" s="1195">
        <v>810</v>
      </c>
      <c r="G16" s="1196">
        <v>1970</v>
      </c>
      <c r="H16" s="3156">
        <v>489</v>
      </c>
      <c r="I16" s="1196">
        <v>3623</v>
      </c>
      <c r="J16" s="3156">
        <v>489</v>
      </c>
      <c r="K16" s="1196">
        <v>1296</v>
      </c>
      <c r="L16" s="3156">
        <v>435</v>
      </c>
      <c r="M16" s="1196">
        <v>4803</v>
      </c>
      <c r="N16" s="2010">
        <v>1423</v>
      </c>
      <c r="O16" s="1197">
        <f t="shared" si="0"/>
        <v>15338</v>
      </c>
      <c r="P16" s="1192"/>
      <c r="Q16" s="2009"/>
      <c r="R16" s="1193"/>
    </row>
    <row r="17" spans="1:18">
      <c r="A17" s="1188">
        <v>1991.08</v>
      </c>
      <c r="B17" s="1194">
        <v>415156</v>
      </c>
      <c r="C17" s="1302"/>
      <c r="D17" s="3358"/>
      <c r="E17" s="1302"/>
      <c r="F17" s="1195">
        <v>111</v>
      </c>
      <c r="G17" s="1196">
        <v>2134</v>
      </c>
      <c r="H17" s="3156">
        <v>2673</v>
      </c>
      <c r="I17" s="1196">
        <v>5176</v>
      </c>
      <c r="J17" s="3156">
        <v>659</v>
      </c>
      <c r="K17" s="1196">
        <v>2667</v>
      </c>
      <c r="L17" s="3156">
        <v>147</v>
      </c>
      <c r="M17" s="1196">
        <v>4706</v>
      </c>
      <c r="N17" s="2010">
        <v>134</v>
      </c>
      <c r="O17" s="1197">
        <f t="shared" si="0"/>
        <v>18407</v>
      </c>
      <c r="P17" s="1192"/>
      <c r="Q17" s="2009"/>
      <c r="R17" s="1193"/>
    </row>
    <row r="18" spans="1:18">
      <c r="A18" s="1188">
        <v>1991.09</v>
      </c>
      <c r="B18" s="1194">
        <v>289097</v>
      </c>
      <c r="C18" s="1302"/>
      <c r="D18" s="3358"/>
      <c r="E18" s="1302"/>
      <c r="F18" s="1195">
        <v>111</v>
      </c>
      <c r="G18" s="1196">
        <v>3354</v>
      </c>
      <c r="H18" s="3156">
        <v>863</v>
      </c>
      <c r="I18" s="1196">
        <v>6020</v>
      </c>
      <c r="J18" s="3156">
        <v>640</v>
      </c>
      <c r="K18" s="1196">
        <v>596</v>
      </c>
      <c r="L18" s="3156">
        <v>322</v>
      </c>
      <c r="M18" s="1196">
        <v>6076</v>
      </c>
      <c r="N18" s="2010">
        <v>131</v>
      </c>
      <c r="O18" s="1197">
        <f t="shared" si="0"/>
        <v>18113</v>
      </c>
      <c r="P18" s="1192"/>
      <c r="Q18" s="2009"/>
      <c r="R18" s="1193"/>
    </row>
    <row r="19" spans="1:18">
      <c r="A19" s="1188">
        <v>1991.1</v>
      </c>
      <c r="B19" s="1194">
        <v>538362</v>
      </c>
      <c r="C19" s="1302"/>
      <c r="D19" s="3358"/>
      <c r="E19" s="1302"/>
      <c r="F19" s="1195">
        <v>406</v>
      </c>
      <c r="G19" s="1196">
        <v>6461</v>
      </c>
      <c r="H19" s="3156">
        <v>67</v>
      </c>
      <c r="I19" s="1196">
        <v>3349</v>
      </c>
      <c r="J19" s="3156">
        <v>1523</v>
      </c>
      <c r="K19" s="1196">
        <v>1449</v>
      </c>
      <c r="L19" s="3156">
        <v>655</v>
      </c>
      <c r="M19" s="1196">
        <v>8010</v>
      </c>
      <c r="N19" s="2010">
        <v>1051</v>
      </c>
      <c r="O19" s="1197">
        <f t="shared" si="0"/>
        <v>22971</v>
      </c>
      <c r="P19" s="1192"/>
      <c r="Q19" s="2009"/>
      <c r="R19" s="1193"/>
    </row>
    <row r="20" spans="1:18">
      <c r="A20" s="1188">
        <v>1991.11</v>
      </c>
      <c r="B20" s="1194">
        <v>489410</v>
      </c>
      <c r="C20" s="1302"/>
      <c r="D20" s="3358"/>
      <c r="E20" s="1302"/>
      <c r="F20" s="1195">
        <v>158</v>
      </c>
      <c r="G20" s="1196">
        <v>6022</v>
      </c>
      <c r="H20" s="3156">
        <v>2771</v>
      </c>
      <c r="I20" s="1196">
        <v>5720</v>
      </c>
      <c r="J20" s="3156">
        <v>453</v>
      </c>
      <c r="K20" s="1196">
        <v>1018</v>
      </c>
      <c r="L20" s="3156">
        <v>722</v>
      </c>
      <c r="M20" s="1196">
        <v>10485</v>
      </c>
      <c r="N20" s="2010">
        <v>579</v>
      </c>
      <c r="O20" s="1197">
        <f t="shared" si="0"/>
        <v>27928</v>
      </c>
      <c r="P20" s="1192"/>
      <c r="Q20" s="2009"/>
      <c r="R20" s="1193"/>
    </row>
    <row r="21" spans="1:18">
      <c r="A21" s="1188">
        <v>1991.12</v>
      </c>
      <c r="B21" s="1194">
        <v>694907</v>
      </c>
      <c r="C21" s="1302"/>
      <c r="D21" s="3358"/>
      <c r="E21" s="1302"/>
      <c r="F21" s="1195">
        <v>230</v>
      </c>
      <c r="G21" s="1196">
        <v>2449</v>
      </c>
      <c r="H21" s="3156">
        <v>3061</v>
      </c>
      <c r="I21" s="1196">
        <v>4001</v>
      </c>
      <c r="J21" s="3156">
        <v>329</v>
      </c>
      <c r="K21" s="1196">
        <v>3394</v>
      </c>
      <c r="L21" s="3156">
        <v>136</v>
      </c>
      <c r="M21" s="1196">
        <v>5628</v>
      </c>
      <c r="N21" s="2010">
        <v>0</v>
      </c>
      <c r="O21" s="1197">
        <f t="shared" si="0"/>
        <v>19228</v>
      </c>
      <c r="P21" s="1192"/>
      <c r="Q21" s="2009"/>
      <c r="R21" s="1193"/>
    </row>
    <row r="22" spans="1:18">
      <c r="A22" s="1188">
        <v>1992.01</v>
      </c>
      <c r="B22" s="1194">
        <v>258246</v>
      </c>
      <c r="C22" s="1302"/>
      <c r="D22" s="3358"/>
      <c r="E22" s="1302"/>
      <c r="F22" s="1195">
        <v>833</v>
      </c>
      <c r="G22" s="1196">
        <v>1316</v>
      </c>
      <c r="H22" s="3156">
        <v>984</v>
      </c>
      <c r="I22" s="1196">
        <v>1119</v>
      </c>
      <c r="J22" s="3156">
        <v>238</v>
      </c>
      <c r="K22" s="1196">
        <v>614</v>
      </c>
      <c r="L22" s="3156">
        <v>448</v>
      </c>
      <c r="M22" s="1196">
        <v>1968</v>
      </c>
      <c r="N22" s="2010">
        <v>412</v>
      </c>
      <c r="O22" s="1197">
        <f t="shared" si="0"/>
        <v>7932</v>
      </c>
      <c r="P22" s="1192"/>
      <c r="Q22" s="2009"/>
      <c r="R22" s="1193"/>
    </row>
    <row r="23" spans="1:18">
      <c r="A23" s="1188">
        <v>1992.02</v>
      </c>
      <c r="B23" s="1194">
        <v>413222</v>
      </c>
      <c r="C23" s="1302"/>
      <c r="D23" s="3358"/>
      <c r="E23" s="1302"/>
      <c r="F23" s="1195">
        <v>47</v>
      </c>
      <c r="G23" s="1196">
        <v>1410</v>
      </c>
      <c r="H23" s="3156">
        <v>381</v>
      </c>
      <c r="I23" s="1196">
        <v>4629</v>
      </c>
      <c r="J23" s="3156">
        <v>220</v>
      </c>
      <c r="K23" s="1196">
        <v>362</v>
      </c>
      <c r="L23" s="3156">
        <v>296</v>
      </c>
      <c r="M23" s="1196">
        <v>1926</v>
      </c>
      <c r="N23" s="2010">
        <v>270</v>
      </c>
      <c r="O23" s="1197">
        <f t="shared" si="0"/>
        <v>9541</v>
      </c>
      <c r="P23" s="1192"/>
      <c r="Q23" s="2009"/>
      <c r="R23" s="1193"/>
    </row>
    <row r="24" spans="1:18">
      <c r="A24" s="1188">
        <v>1992.03</v>
      </c>
      <c r="B24" s="1194">
        <v>473417</v>
      </c>
      <c r="C24" s="1302"/>
      <c r="D24" s="3358"/>
      <c r="E24" s="1302"/>
      <c r="F24" s="1195">
        <v>67</v>
      </c>
      <c r="G24" s="1196">
        <v>8063</v>
      </c>
      <c r="H24" s="3156">
        <v>1505</v>
      </c>
      <c r="I24" s="1196">
        <v>4649</v>
      </c>
      <c r="J24" s="3156">
        <v>969</v>
      </c>
      <c r="K24" s="1196">
        <v>1410</v>
      </c>
      <c r="L24" s="3156">
        <v>458</v>
      </c>
      <c r="M24" s="1196">
        <v>2048</v>
      </c>
      <c r="N24" s="2010">
        <v>937</v>
      </c>
      <c r="O24" s="1197">
        <f t="shared" si="0"/>
        <v>20106</v>
      </c>
      <c r="P24" s="1192"/>
      <c r="Q24" s="2009"/>
      <c r="R24" s="1193"/>
    </row>
    <row r="25" spans="1:18">
      <c r="A25" s="1188">
        <v>1992.04</v>
      </c>
      <c r="B25" s="1194">
        <v>447301</v>
      </c>
      <c r="C25" s="1302"/>
      <c r="D25" s="3358"/>
      <c r="E25" s="1302"/>
      <c r="F25" s="1195">
        <v>142</v>
      </c>
      <c r="G25" s="1196">
        <v>4928</v>
      </c>
      <c r="H25" s="3156">
        <v>498</v>
      </c>
      <c r="I25" s="1196">
        <v>6732</v>
      </c>
      <c r="J25" s="3156">
        <v>741</v>
      </c>
      <c r="K25" s="1196">
        <v>556</v>
      </c>
      <c r="L25" s="3156">
        <v>393</v>
      </c>
      <c r="M25" s="1196">
        <v>3027</v>
      </c>
      <c r="N25" s="2010">
        <v>0</v>
      </c>
      <c r="O25" s="1197">
        <f t="shared" si="0"/>
        <v>17017</v>
      </c>
      <c r="P25" s="1192"/>
      <c r="Q25" s="2009"/>
      <c r="R25" s="1193"/>
    </row>
    <row r="26" spans="1:18">
      <c r="A26" s="1188">
        <v>1992.05</v>
      </c>
      <c r="B26" s="1194">
        <v>420374</v>
      </c>
      <c r="C26" s="1302"/>
      <c r="D26" s="3358"/>
      <c r="E26" s="1302"/>
      <c r="F26" s="1195">
        <v>527</v>
      </c>
      <c r="G26" s="1196">
        <v>6019</v>
      </c>
      <c r="H26" s="3156">
        <v>1313</v>
      </c>
      <c r="I26" s="1196">
        <v>2101</v>
      </c>
      <c r="J26" s="3156">
        <v>666</v>
      </c>
      <c r="K26" s="1196">
        <v>1878</v>
      </c>
      <c r="L26" s="3156">
        <v>421</v>
      </c>
      <c r="M26" s="1196">
        <v>4303</v>
      </c>
      <c r="N26" s="2010">
        <v>0</v>
      </c>
      <c r="O26" s="1197">
        <f t="shared" si="0"/>
        <v>17228</v>
      </c>
      <c r="P26" s="1192"/>
      <c r="Q26" s="2009"/>
      <c r="R26" s="1193"/>
    </row>
    <row r="27" spans="1:18">
      <c r="A27" s="1188">
        <v>1992.06</v>
      </c>
      <c r="B27" s="1194">
        <v>644177</v>
      </c>
      <c r="C27" s="1302"/>
      <c r="D27" s="3358"/>
      <c r="E27" s="1302"/>
      <c r="F27" s="1195">
        <v>46</v>
      </c>
      <c r="G27" s="1196">
        <v>4544</v>
      </c>
      <c r="H27" s="3156">
        <v>253</v>
      </c>
      <c r="I27" s="1196">
        <v>5936</v>
      </c>
      <c r="J27" s="3156">
        <v>930</v>
      </c>
      <c r="K27" s="1196">
        <v>472</v>
      </c>
      <c r="L27" s="3156">
        <v>491</v>
      </c>
      <c r="M27" s="1196">
        <v>8175</v>
      </c>
      <c r="N27" s="2010">
        <v>0</v>
      </c>
      <c r="O27" s="1197">
        <f t="shared" si="0"/>
        <v>20847</v>
      </c>
      <c r="P27" s="1192"/>
      <c r="Q27" s="2009"/>
      <c r="R27" s="1193"/>
    </row>
    <row r="28" spans="1:18">
      <c r="A28" s="1188">
        <v>1992.07</v>
      </c>
      <c r="B28" s="1194">
        <v>588796</v>
      </c>
      <c r="C28" s="1302"/>
      <c r="D28" s="3358"/>
      <c r="E28" s="1302"/>
      <c r="F28" s="1195">
        <v>282</v>
      </c>
      <c r="G28" s="1196">
        <v>3246</v>
      </c>
      <c r="H28" s="3156">
        <v>1904</v>
      </c>
      <c r="I28" s="1196">
        <v>5825</v>
      </c>
      <c r="J28" s="3156">
        <v>733</v>
      </c>
      <c r="K28" s="1196">
        <v>547</v>
      </c>
      <c r="L28" s="3156">
        <v>721</v>
      </c>
      <c r="M28" s="1196">
        <v>2657</v>
      </c>
      <c r="N28" s="2010">
        <v>0</v>
      </c>
      <c r="O28" s="1197">
        <f t="shared" si="0"/>
        <v>15915</v>
      </c>
      <c r="P28" s="1192"/>
      <c r="Q28" s="2009"/>
      <c r="R28" s="1193"/>
    </row>
    <row r="29" spans="1:18">
      <c r="A29" s="1188">
        <v>1992.08</v>
      </c>
      <c r="B29" s="1194">
        <v>474955</v>
      </c>
      <c r="C29" s="1302"/>
      <c r="D29" s="3358"/>
      <c r="E29" s="1302"/>
      <c r="F29" s="1195">
        <v>206</v>
      </c>
      <c r="G29" s="1196">
        <v>6199</v>
      </c>
      <c r="H29" s="3156">
        <v>6</v>
      </c>
      <c r="I29" s="1196">
        <v>4367</v>
      </c>
      <c r="J29" s="3156">
        <v>373</v>
      </c>
      <c r="K29" s="1196">
        <v>1941</v>
      </c>
      <c r="L29" s="3156">
        <v>366</v>
      </c>
      <c r="M29" s="1196">
        <v>8529</v>
      </c>
      <c r="N29" s="2010">
        <v>0</v>
      </c>
      <c r="O29" s="1197">
        <f t="shared" si="0"/>
        <v>21987</v>
      </c>
      <c r="P29" s="1192"/>
      <c r="Q29" s="2009"/>
      <c r="R29" s="1193"/>
    </row>
    <row r="30" spans="1:18">
      <c r="A30" s="1188">
        <v>1992.09</v>
      </c>
      <c r="B30" s="1194">
        <v>545954</v>
      </c>
      <c r="C30" s="1302"/>
      <c r="D30" s="3358"/>
      <c r="E30" s="1302"/>
      <c r="F30" s="1195">
        <v>448</v>
      </c>
      <c r="G30" s="1196">
        <v>7738</v>
      </c>
      <c r="H30" s="3156">
        <v>2597</v>
      </c>
      <c r="I30" s="1196">
        <v>15306</v>
      </c>
      <c r="J30" s="3156">
        <v>504</v>
      </c>
      <c r="K30" s="1196">
        <v>2675</v>
      </c>
      <c r="L30" s="3156">
        <v>1389</v>
      </c>
      <c r="M30" s="1196">
        <v>3409</v>
      </c>
      <c r="N30" s="2010">
        <v>883</v>
      </c>
      <c r="O30" s="1197">
        <f t="shared" si="0"/>
        <v>34949</v>
      </c>
      <c r="P30" s="1192"/>
      <c r="Q30" s="2009"/>
      <c r="R30" s="1193"/>
    </row>
    <row r="31" spans="1:18">
      <c r="A31" s="1188">
        <v>1992.1</v>
      </c>
      <c r="B31" s="1194">
        <v>556720</v>
      </c>
      <c r="C31" s="1302"/>
      <c r="D31" s="3358"/>
      <c r="E31" s="1302"/>
      <c r="F31" s="1195">
        <v>480</v>
      </c>
      <c r="G31" s="1196">
        <v>10301</v>
      </c>
      <c r="H31" s="3156">
        <v>90</v>
      </c>
      <c r="I31" s="1196">
        <v>7515</v>
      </c>
      <c r="J31" s="3156">
        <v>1325</v>
      </c>
      <c r="K31" s="1196">
        <v>3242</v>
      </c>
      <c r="L31" s="3156">
        <v>228</v>
      </c>
      <c r="M31" s="1196">
        <v>3873</v>
      </c>
      <c r="N31" s="2010">
        <v>738</v>
      </c>
      <c r="O31" s="1197">
        <f t="shared" si="0"/>
        <v>27792</v>
      </c>
      <c r="P31" s="1192"/>
      <c r="Q31" s="2009"/>
      <c r="R31" s="1193"/>
    </row>
    <row r="32" spans="1:18">
      <c r="A32" s="1188">
        <v>1992.11</v>
      </c>
      <c r="B32" s="1194">
        <v>547223</v>
      </c>
      <c r="C32" s="1302"/>
      <c r="D32" s="3358"/>
      <c r="E32" s="1302"/>
      <c r="F32" s="1195">
        <v>143</v>
      </c>
      <c r="G32" s="1196">
        <v>3340</v>
      </c>
      <c r="H32" s="3156">
        <v>588</v>
      </c>
      <c r="I32" s="1196">
        <v>8317</v>
      </c>
      <c r="J32" s="3156">
        <v>711</v>
      </c>
      <c r="K32" s="1196">
        <v>2762</v>
      </c>
      <c r="L32" s="3156">
        <v>1033</v>
      </c>
      <c r="M32" s="1196">
        <v>6440</v>
      </c>
      <c r="N32" s="2010">
        <v>528</v>
      </c>
      <c r="O32" s="1197">
        <f t="shared" si="0"/>
        <v>23862</v>
      </c>
      <c r="P32" s="1192"/>
      <c r="Q32" s="2009"/>
      <c r="R32" s="1193"/>
    </row>
    <row r="33" spans="1:18">
      <c r="A33" s="1188">
        <v>1992.12</v>
      </c>
      <c r="B33" s="1194">
        <v>438233</v>
      </c>
      <c r="C33" s="1302"/>
      <c r="D33" s="3358"/>
      <c r="E33" s="1302"/>
      <c r="F33" s="1195">
        <v>125</v>
      </c>
      <c r="G33" s="1196">
        <v>5621</v>
      </c>
      <c r="H33" s="3156">
        <v>1102</v>
      </c>
      <c r="I33" s="1196">
        <v>4313</v>
      </c>
      <c r="J33" s="3156">
        <v>426</v>
      </c>
      <c r="K33" s="1196">
        <v>2133</v>
      </c>
      <c r="L33" s="3156">
        <v>1519</v>
      </c>
      <c r="M33" s="1196">
        <v>3215</v>
      </c>
      <c r="N33" s="2010">
        <v>632</v>
      </c>
      <c r="O33" s="1197">
        <f t="shared" si="0"/>
        <v>19086</v>
      </c>
      <c r="P33" s="1192"/>
      <c r="Q33" s="2009"/>
      <c r="R33" s="1193"/>
    </row>
    <row r="34" spans="1:18">
      <c r="A34" s="1188">
        <v>1993.01</v>
      </c>
      <c r="B34" s="1194">
        <v>409830</v>
      </c>
      <c r="C34" s="1302"/>
      <c r="D34" s="3358"/>
      <c r="E34" s="1302"/>
      <c r="F34" s="1195">
        <v>455</v>
      </c>
      <c r="G34" s="1196">
        <v>2014</v>
      </c>
      <c r="H34" s="3156">
        <v>855</v>
      </c>
      <c r="I34" s="1196">
        <v>5310</v>
      </c>
      <c r="J34" s="3156">
        <v>2503</v>
      </c>
      <c r="K34" s="1196">
        <v>1014</v>
      </c>
      <c r="L34" s="3156">
        <v>813</v>
      </c>
      <c r="M34" s="1196">
        <v>2316</v>
      </c>
      <c r="N34" s="2010">
        <v>458</v>
      </c>
      <c r="O34" s="1197">
        <f t="shared" si="0"/>
        <v>15738</v>
      </c>
      <c r="P34" s="1192"/>
      <c r="Q34" s="2009"/>
      <c r="R34" s="1193"/>
    </row>
    <row r="35" spans="1:18">
      <c r="A35" s="1188">
        <v>1993.02</v>
      </c>
      <c r="B35" s="1194">
        <v>332926</v>
      </c>
      <c r="C35" s="1302"/>
      <c r="D35" s="3358"/>
      <c r="E35" s="1302"/>
      <c r="F35" s="1195">
        <v>378</v>
      </c>
      <c r="G35" s="1196">
        <v>10714</v>
      </c>
      <c r="H35" s="3156">
        <v>1472</v>
      </c>
      <c r="I35" s="1196">
        <v>8325</v>
      </c>
      <c r="J35" s="3156">
        <v>1018</v>
      </c>
      <c r="K35" s="1196">
        <v>949</v>
      </c>
      <c r="L35" s="3156">
        <v>812</v>
      </c>
      <c r="M35" s="1196">
        <v>11113</v>
      </c>
      <c r="N35" s="2010">
        <v>0</v>
      </c>
      <c r="O35" s="1197">
        <f t="shared" si="0"/>
        <v>34781</v>
      </c>
      <c r="P35" s="1192"/>
      <c r="Q35" s="2009"/>
      <c r="R35" s="1193"/>
    </row>
    <row r="36" spans="1:18">
      <c r="A36" s="1188">
        <v>1993.03</v>
      </c>
      <c r="B36" s="1194">
        <v>490004</v>
      </c>
      <c r="C36" s="1302"/>
      <c r="D36" s="3358"/>
      <c r="E36" s="1302"/>
      <c r="F36" s="1195">
        <v>209</v>
      </c>
      <c r="G36" s="1196">
        <v>2823</v>
      </c>
      <c r="H36" s="3156">
        <v>2551</v>
      </c>
      <c r="I36" s="1196">
        <v>17339</v>
      </c>
      <c r="J36" s="3156">
        <v>618</v>
      </c>
      <c r="K36" s="1196">
        <v>467</v>
      </c>
      <c r="L36" s="3156">
        <v>1253</v>
      </c>
      <c r="M36" s="1196">
        <v>5341</v>
      </c>
      <c r="N36" s="2010">
        <v>1330</v>
      </c>
      <c r="O36" s="1197">
        <f t="shared" si="0"/>
        <v>31931</v>
      </c>
      <c r="P36" s="1192"/>
      <c r="Q36" s="2009"/>
      <c r="R36" s="1193"/>
    </row>
    <row r="37" spans="1:18">
      <c r="A37" s="1188">
        <v>1993.04</v>
      </c>
      <c r="B37" s="1194">
        <v>392737</v>
      </c>
      <c r="C37" s="1302"/>
      <c r="D37" s="3358"/>
      <c r="E37" s="1302"/>
      <c r="F37" s="1195">
        <v>357</v>
      </c>
      <c r="G37" s="1196">
        <v>4150</v>
      </c>
      <c r="H37" s="3156">
        <v>2330</v>
      </c>
      <c r="I37" s="1196">
        <v>6652</v>
      </c>
      <c r="J37" s="3156">
        <v>486</v>
      </c>
      <c r="K37" s="1196">
        <v>1394</v>
      </c>
      <c r="L37" s="3156">
        <v>814</v>
      </c>
      <c r="M37" s="1196">
        <v>17102</v>
      </c>
      <c r="N37" s="2010">
        <v>806</v>
      </c>
      <c r="O37" s="1197">
        <f t="shared" si="0"/>
        <v>34091</v>
      </c>
      <c r="P37" s="1192"/>
      <c r="Q37" s="2009"/>
      <c r="R37" s="1193"/>
    </row>
    <row r="38" spans="1:18">
      <c r="A38" s="1188">
        <v>1993.05</v>
      </c>
      <c r="B38" s="1194">
        <v>403181</v>
      </c>
      <c r="C38" s="1302"/>
      <c r="D38" s="3358"/>
      <c r="E38" s="1302"/>
      <c r="F38" s="1195">
        <v>863</v>
      </c>
      <c r="G38" s="1196">
        <v>5588</v>
      </c>
      <c r="H38" s="3156">
        <v>1980</v>
      </c>
      <c r="I38" s="1196">
        <v>7147</v>
      </c>
      <c r="J38" s="3156">
        <v>905</v>
      </c>
      <c r="K38" s="1196">
        <v>3071</v>
      </c>
      <c r="L38" s="3156">
        <v>408</v>
      </c>
      <c r="M38" s="1196">
        <v>2843</v>
      </c>
      <c r="N38" s="2010">
        <v>410</v>
      </c>
      <c r="O38" s="1197">
        <f t="shared" si="0"/>
        <v>23215</v>
      </c>
      <c r="P38" s="1192"/>
      <c r="Q38" s="2009"/>
      <c r="R38" s="1193"/>
    </row>
    <row r="39" spans="1:18">
      <c r="A39" s="1188">
        <v>1993.06</v>
      </c>
      <c r="B39" s="1194">
        <v>464052</v>
      </c>
      <c r="C39" s="1302"/>
      <c r="D39" s="3358"/>
      <c r="E39" s="1302"/>
      <c r="F39" s="1195">
        <v>807</v>
      </c>
      <c r="G39" s="1196">
        <v>3308</v>
      </c>
      <c r="H39" s="3156">
        <v>3061</v>
      </c>
      <c r="I39" s="1196">
        <v>8366</v>
      </c>
      <c r="J39" s="3156">
        <v>2465</v>
      </c>
      <c r="K39" s="1196">
        <v>5505</v>
      </c>
      <c r="L39" s="3156">
        <v>1492</v>
      </c>
      <c r="M39" s="1196">
        <v>1664</v>
      </c>
      <c r="N39" s="2010">
        <v>1803</v>
      </c>
      <c r="O39" s="1197">
        <f t="shared" si="0"/>
        <v>28471</v>
      </c>
      <c r="P39" s="1192"/>
      <c r="Q39" s="2009"/>
      <c r="R39" s="1193"/>
    </row>
    <row r="40" spans="1:18">
      <c r="A40" s="1188">
        <v>1993.07</v>
      </c>
      <c r="B40" s="1194">
        <v>532577</v>
      </c>
      <c r="C40" s="1302"/>
      <c r="D40" s="3358"/>
      <c r="E40" s="1302"/>
      <c r="F40" s="1195">
        <v>1295</v>
      </c>
      <c r="G40" s="1196">
        <v>2868</v>
      </c>
      <c r="H40" s="3156">
        <v>5546</v>
      </c>
      <c r="I40" s="1196">
        <v>5025</v>
      </c>
      <c r="J40" s="3156">
        <v>609</v>
      </c>
      <c r="K40" s="1196">
        <v>5469</v>
      </c>
      <c r="L40" s="3156">
        <v>863</v>
      </c>
      <c r="M40" s="1196">
        <v>1466</v>
      </c>
      <c r="N40" s="2010">
        <v>156</v>
      </c>
      <c r="O40" s="1197">
        <f t="shared" si="0"/>
        <v>23297</v>
      </c>
      <c r="P40" s="1192"/>
      <c r="Q40" s="2009"/>
      <c r="R40" s="1193"/>
    </row>
    <row r="41" spans="1:18">
      <c r="A41" s="1188">
        <v>1993.08</v>
      </c>
      <c r="B41" s="1194">
        <v>530847</v>
      </c>
      <c r="C41" s="1302"/>
      <c r="D41" s="3358"/>
      <c r="E41" s="1302"/>
      <c r="F41" s="1195">
        <v>2237</v>
      </c>
      <c r="G41" s="1196">
        <v>8516</v>
      </c>
      <c r="H41" s="3156">
        <v>5546</v>
      </c>
      <c r="I41" s="1196">
        <v>6419</v>
      </c>
      <c r="J41" s="3156">
        <v>1763</v>
      </c>
      <c r="K41" s="1196">
        <v>2281</v>
      </c>
      <c r="L41" s="3156">
        <v>1241</v>
      </c>
      <c r="M41" s="1196">
        <v>2366</v>
      </c>
      <c r="N41" s="2010">
        <v>654</v>
      </c>
      <c r="O41" s="1197">
        <f t="shared" si="0"/>
        <v>31023</v>
      </c>
      <c r="P41" s="1192"/>
      <c r="Q41" s="2009"/>
      <c r="R41" s="1193"/>
    </row>
    <row r="42" spans="1:18">
      <c r="A42" s="1188">
        <v>1993.09</v>
      </c>
      <c r="B42" s="1194">
        <v>530908</v>
      </c>
      <c r="C42" s="1302"/>
      <c r="D42" s="3358"/>
      <c r="E42" s="1302"/>
      <c r="F42" s="1195">
        <v>3440</v>
      </c>
      <c r="G42" s="1196">
        <v>5424</v>
      </c>
      <c r="H42" s="3156">
        <v>5545</v>
      </c>
      <c r="I42" s="1196">
        <v>6980</v>
      </c>
      <c r="J42" s="3156">
        <v>1097</v>
      </c>
      <c r="K42" s="1196">
        <v>2305</v>
      </c>
      <c r="L42" s="3156">
        <v>1182</v>
      </c>
      <c r="M42" s="1196">
        <v>5855</v>
      </c>
      <c r="N42" s="2010">
        <v>549</v>
      </c>
      <c r="O42" s="1197">
        <f t="shared" si="0"/>
        <v>32377</v>
      </c>
      <c r="P42" s="1192"/>
      <c r="Q42" s="2009"/>
      <c r="R42" s="1193"/>
    </row>
    <row r="43" spans="1:18">
      <c r="A43" s="1188">
        <v>1993.1</v>
      </c>
      <c r="B43" s="1194">
        <v>581664</v>
      </c>
      <c r="C43" s="1302"/>
      <c r="D43" s="3358"/>
      <c r="E43" s="1302"/>
      <c r="F43" s="1195">
        <v>3421</v>
      </c>
      <c r="G43" s="1196">
        <v>5689</v>
      </c>
      <c r="H43" s="3156">
        <v>2089</v>
      </c>
      <c r="I43" s="1196">
        <v>9860</v>
      </c>
      <c r="J43" s="3156">
        <v>710</v>
      </c>
      <c r="K43" s="1196">
        <v>824</v>
      </c>
      <c r="L43" s="3156">
        <v>608</v>
      </c>
      <c r="M43" s="1196">
        <v>9541</v>
      </c>
      <c r="N43" s="2010">
        <v>0</v>
      </c>
      <c r="O43" s="1197">
        <f t="shared" si="0"/>
        <v>32742</v>
      </c>
      <c r="P43" s="1192"/>
      <c r="Q43" s="2009"/>
      <c r="R43" s="1193"/>
    </row>
    <row r="44" spans="1:18">
      <c r="A44" s="1188">
        <v>1993.11</v>
      </c>
      <c r="B44" s="1194">
        <v>521833</v>
      </c>
      <c r="C44" s="1302"/>
      <c r="D44" s="3358"/>
      <c r="E44" s="1302"/>
      <c r="F44" s="1195">
        <v>4964</v>
      </c>
      <c r="G44" s="1196">
        <v>5398</v>
      </c>
      <c r="H44" s="3156">
        <v>2089</v>
      </c>
      <c r="I44" s="1196">
        <v>14780</v>
      </c>
      <c r="J44" s="3156">
        <v>1597</v>
      </c>
      <c r="K44" s="1196">
        <v>1358</v>
      </c>
      <c r="L44" s="3156">
        <v>934</v>
      </c>
      <c r="M44" s="1196">
        <v>7811</v>
      </c>
      <c r="N44" s="2010">
        <v>886</v>
      </c>
      <c r="O44" s="1197">
        <f t="shared" si="0"/>
        <v>39817</v>
      </c>
      <c r="P44" s="1192"/>
      <c r="Q44" s="2009"/>
      <c r="R44" s="1193"/>
    </row>
    <row r="45" spans="1:18">
      <c r="A45" s="1188">
        <v>1993.12</v>
      </c>
      <c r="B45" s="1194">
        <v>505586</v>
      </c>
      <c r="C45" s="1302"/>
      <c r="D45" s="3358"/>
      <c r="E45" s="1302"/>
      <c r="F45" s="1195">
        <v>2270</v>
      </c>
      <c r="G45" s="1196">
        <v>5825</v>
      </c>
      <c r="H45" s="3156">
        <v>2089</v>
      </c>
      <c r="I45" s="1196">
        <v>3591</v>
      </c>
      <c r="J45" s="3156">
        <v>4389</v>
      </c>
      <c r="K45" s="1196">
        <v>1192</v>
      </c>
      <c r="L45" s="3156">
        <v>3266</v>
      </c>
      <c r="M45" s="1196">
        <v>8547</v>
      </c>
      <c r="N45" s="2010">
        <v>803</v>
      </c>
      <c r="O45" s="1197">
        <f t="shared" si="0"/>
        <v>31972</v>
      </c>
      <c r="P45" s="1192"/>
      <c r="Q45" s="2009"/>
      <c r="R45" s="1193"/>
    </row>
    <row r="46" spans="1:18">
      <c r="A46" s="1188">
        <v>1994.01</v>
      </c>
      <c r="B46" s="1194">
        <v>420046</v>
      </c>
      <c r="C46" s="1302"/>
      <c r="D46" s="3358"/>
      <c r="E46" s="1302"/>
      <c r="F46" s="1195">
        <v>745</v>
      </c>
      <c r="G46" s="1196">
        <v>1822</v>
      </c>
      <c r="H46" s="3156">
        <v>680</v>
      </c>
      <c r="I46" s="1196">
        <v>0</v>
      </c>
      <c r="J46" s="3156">
        <v>4364</v>
      </c>
      <c r="K46" s="1196">
        <v>4497</v>
      </c>
      <c r="L46" s="3156">
        <v>1749</v>
      </c>
      <c r="M46" s="1196">
        <v>6820</v>
      </c>
      <c r="N46" s="2010">
        <v>928</v>
      </c>
      <c r="O46" s="1197">
        <f t="shared" si="0"/>
        <v>21605</v>
      </c>
      <c r="P46" s="1192"/>
      <c r="Q46" s="2009"/>
      <c r="R46" s="1193"/>
    </row>
    <row r="47" spans="1:18">
      <c r="A47" s="1188">
        <v>1994.02</v>
      </c>
      <c r="B47" s="1194">
        <v>522915</v>
      </c>
      <c r="C47" s="1302"/>
      <c r="D47" s="3358"/>
      <c r="E47" s="1302"/>
      <c r="F47" s="1195">
        <v>1471</v>
      </c>
      <c r="G47" s="1196">
        <v>7600</v>
      </c>
      <c r="H47" s="3156">
        <v>2918</v>
      </c>
      <c r="I47" s="1196">
        <v>12231</v>
      </c>
      <c r="J47" s="3156">
        <v>4067</v>
      </c>
      <c r="K47" s="1196">
        <v>1068</v>
      </c>
      <c r="L47" s="3156">
        <v>1662</v>
      </c>
      <c r="M47" s="1196">
        <v>4113</v>
      </c>
      <c r="N47" s="2010">
        <v>2170</v>
      </c>
      <c r="O47" s="1197">
        <f t="shared" si="0"/>
        <v>37300</v>
      </c>
      <c r="P47" s="1192"/>
      <c r="Q47" s="2009"/>
      <c r="R47" s="1193"/>
    </row>
    <row r="48" spans="1:18">
      <c r="A48" s="1188">
        <v>1994.03</v>
      </c>
      <c r="B48" s="1194">
        <v>569520</v>
      </c>
      <c r="C48" s="1302"/>
      <c r="D48" s="3358"/>
      <c r="E48" s="1302"/>
      <c r="F48" s="1195">
        <v>2777</v>
      </c>
      <c r="G48" s="1196">
        <v>10933</v>
      </c>
      <c r="H48" s="3156">
        <v>10010</v>
      </c>
      <c r="I48" s="1196">
        <v>11654</v>
      </c>
      <c r="J48" s="3156">
        <v>8061</v>
      </c>
      <c r="K48" s="1196">
        <v>2102</v>
      </c>
      <c r="L48" s="3156">
        <v>3214</v>
      </c>
      <c r="M48" s="1196">
        <v>19751</v>
      </c>
      <c r="N48" s="2010">
        <v>1070</v>
      </c>
      <c r="O48" s="1197">
        <f t="shared" si="0"/>
        <v>69572</v>
      </c>
      <c r="P48" s="1192"/>
      <c r="Q48" s="2009"/>
      <c r="R48" s="1193"/>
    </row>
    <row r="49" spans="1:18">
      <c r="A49" s="1188">
        <v>1994.04</v>
      </c>
      <c r="B49" s="1194">
        <v>556888</v>
      </c>
      <c r="C49" s="1302"/>
      <c r="D49" s="3358"/>
      <c r="E49" s="1302"/>
      <c r="F49" s="1195">
        <v>7425</v>
      </c>
      <c r="G49" s="1196">
        <v>7371</v>
      </c>
      <c r="H49" s="3156">
        <v>1501</v>
      </c>
      <c r="I49" s="1196">
        <v>17635</v>
      </c>
      <c r="J49" s="3156">
        <v>8778</v>
      </c>
      <c r="K49" s="1196">
        <v>1740</v>
      </c>
      <c r="L49" s="3156">
        <v>3320</v>
      </c>
      <c r="M49" s="1196">
        <v>15365</v>
      </c>
      <c r="N49" s="2010">
        <v>1167</v>
      </c>
      <c r="O49" s="1197">
        <f t="shared" si="0"/>
        <v>64302</v>
      </c>
      <c r="P49" s="1192"/>
      <c r="Q49" s="2009"/>
      <c r="R49" s="1193"/>
    </row>
    <row r="50" spans="1:18">
      <c r="A50" s="1188">
        <v>1994.05</v>
      </c>
      <c r="B50" s="1194">
        <v>620449</v>
      </c>
      <c r="C50" s="1302"/>
      <c r="D50" s="3358"/>
      <c r="E50" s="1302"/>
      <c r="F50" s="1195">
        <v>1405</v>
      </c>
      <c r="G50" s="1196">
        <v>6809</v>
      </c>
      <c r="H50" s="3156">
        <v>5434</v>
      </c>
      <c r="I50" s="1196">
        <v>9293</v>
      </c>
      <c r="J50" s="3156">
        <v>8104</v>
      </c>
      <c r="K50" s="1196">
        <v>3489</v>
      </c>
      <c r="L50" s="3156">
        <v>20440</v>
      </c>
      <c r="M50" s="1196">
        <v>7534</v>
      </c>
      <c r="N50" s="2010">
        <v>657</v>
      </c>
      <c r="O50" s="1197">
        <f t="shared" si="0"/>
        <v>63165</v>
      </c>
      <c r="P50" s="1192"/>
      <c r="Q50" s="2009"/>
      <c r="R50" s="1193"/>
    </row>
    <row r="51" spans="1:18">
      <c r="A51" s="1188">
        <v>1994.06</v>
      </c>
      <c r="B51" s="1194">
        <v>580889</v>
      </c>
      <c r="C51" s="1302"/>
      <c r="D51" s="3358"/>
      <c r="E51" s="1302"/>
      <c r="F51" s="1195">
        <v>2297</v>
      </c>
      <c r="G51" s="1196">
        <v>6241</v>
      </c>
      <c r="H51" s="3156">
        <v>4821</v>
      </c>
      <c r="I51" s="1196">
        <v>4061</v>
      </c>
      <c r="J51" s="3156">
        <v>9976</v>
      </c>
      <c r="K51" s="1196">
        <v>3414</v>
      </c>
      <c r="L51" s="3156">
        <v>3976</v>
      </c>
      <c r="M51" s="1196">
        <v>24477</v>
      </c>
      <c r="N51" s="2010">
        <v>1201</v>
      </c>
      <c r="O51" s="1197">
        <f t="shared" si="0"/>
        <v>60464</v>
      </c>
      <c r="P51" s="1192"/>
      <c r="Q51" s="2009"/>
      <c r="R51" s="1193"/>
    </row>
    <row r="52" spans="1:18">
      <c r="A52" s="1188">
        <v>1994.07</v>
      </c>
      <c r="B52" s="1194">
        <v>760121</v>
      </c>
      <c r="C52" s="1302"/>
      <c r="D52" s="3358"/>
      <c r="E52" s="1302"/>
      <c r="F52" s="1195">
        <v>2821</v>
      </c>
      <c r="G52" s="1196">
        <v>8587</v>
      </c>
      <c r="H52" s="3156">
        <v>2911</v>
      </c>
      <c r="I52" s="1196">
        <v>11483</v>
      </c>
      <c r="J52" s="3156">
        <v>4635</v>
      </c>
      <c r="K52" s="1196">
        <v>2962</v>
      </c>
      <c r="L52" s="3156">
        <v>2311</v>
      </c>
      <c r="M52" s="1196">
        <v>30268</v>
      </c>
      <c r="N52" s="2010">
        <v>1636</v>
      </c>
      <c r="O52" s="1197">
        <f t="shared" si="0"/>
        <v>67614</v>
      </c>
      <c r="P52" s="1192"/>
      <c r="Q52" s="2009"/>
      <c r="R52" s="1193"/>
    </row>
    <row r="53" spans="1:18">
      <c r="A53" s="1188">
        <v>1994.08</v>
      </c>
      <c r="B53" s="1194">
        <v>869879</v>
      </c>
      <c r="C53" s="1302"/>
      <c r="D53" s="3358"/>
      <c r="E53" s="1302"/>
      <c r="F53" s="1195">
        <v>3213</v>
      </c>
      <c r="G53" s="1196">
        <v>5299</v>
      </c>
      <c r="H53" s="3156">
        <v>3371</v>
      </c>
      <c r="I53" s="1196">
        <v>12932</v>
      </c>
      <c r="J53" s="3156">
        <v>10375</v>
      </c>
      <c r="K53" s="1196">
        <v>4213</v>
      </c>
      <c r="L53" s="3156">
        <v>908</v>
      </c>
      <c r="M53" s="1196">
        <v>3583</v>
      </c>
      <c r="N53" s="2010">
        <v>1622</v>
      </c>
      <c r="O53" s="1197">
        <f t="shared" si="0"/>
        <v>45516</v>
      </c>
      <c r="P53" s="1192"/>
      <c r="Q53" s="2009"/>
      <c r="R53" s="1193"/>
    </row>
    <row r="54" spans="1:18">
      <c r="A54" s="1188">
        <v>1994.09</v>
      </c>
      <c r="B54" s="1194">
        <v>606258</v>
      </c>
      <c r="C54" s="1302"/>
      <c r="D54" s="3358"/>
      <c r="E54" s="1302"/>
      <c r="F54" s="1195">
        <v>2466</v>
      </c>
      <c r="G54" s="1196">
        <v>6665</v>
      </c>
      <c r="H54" s="3156">
        <v>737</v>
      </c>
      <c r="I54" s="1196">
        <v>13809</v>
      </c>
      <c r="J54" s="3156">
        <v>12584</v>
      </c>
      <c r="K54" s="1196">
        <v>4073</v>
      </c>
      <c r="L54" s="3156">
        <v>948</v>
      </c>
      <c r="M54" s="1196">
        <v>3990</v>
      </c>
      <c r="N54" s="2010">
        <v>1005</v>
      </c>
      <c r="O54" s="1197">
        <f t="shared" si="0"/>
        <v>46277</v>
      </c>
      <c r="P54" s="1192"/>
      <c r="Q54" s="2009"/>
      <c r="R54" s="1193"/>
    </row>
    <row r="55" spans="1:18">
      <c r="A55" s="1188">
        <v>1994.1</v>
      </c>
      <c r="B55" s="1194">
        <v>627348</v>
      </c>
      <c r="C55" s="1302"/>
      <c r="D55" s="3358"/>
      <c r="E55" s="1302"/>
      <c r="F55" s="1195">
        <v>1040</v>
      </c>
      <c r="G55" s="1196">
        <v>11402</v>
      </c>
      <c r="H55" s="3156">
        <v>2892</v>
      </c>
      <c r="I55" s="1196">
        <v>3759</v>
      </c>
      <c r="J55" s="3156">
        <v>12329</v>
      </c>
      <c r="K55" s="1196">
        <v>3001</v>
      </c>
      <c r="L55" s="3156">
        <v>783</v>
      </c>
      <c r="M55" s="1196">
        <v>3106</v>
      </c>
      <c r="N55" s="2010">
        <v>1224</v>
      </c>
      <c r="O55" s="1197">
        <f t="shared" si="0"/>
        <v>39536</v>
      </c>
      <c r="P55" s="1192"/>
      <c r="Q55" s="2009"/>
      <c r="R55" s="1193"/>
    </row>
    <row r="56" spans="1:18">
      <c r="A56" s="1188">
        <v>1994.11</v>
      </c>
      <c r="B56" s="1194">
        <v>791225</v>
      </c>
      <c r="C56" s="1302"/>
      <c r="D56" s="3358"/>
      <c r="E56" s="1302"/>
      <c r="F56" s="1195">
        <v>380</v>
      </c>
      <c r="G56" s="1196">
        <v>7175</v>
      </c>
      <c r="H56" s="3156">
        <v>5532</v>
      </c>
      <c r="I56" s="1196">
        <v>9972</v>
      </c>
      <c r="J56" s="3156">
        <v>11957</v>
      </c>
      <c r="K56" s="1196">
        <v>4461</v>
      </c>
      <c r="L56" s="3156">
        <v>1398</v>
      </c>
      <c r="M56" s="1196">
        <v>4865</v>
      </c>
      <c r="N56" s="2010">
        <v>1084</v>
      </c>
      <c r="O56" s="1197">
        <f t="shared" si="0"/>
        <v>46824</v>
      </c>
      <c r="P56" s="1192"/>
      <c r="Q56" s="2009"/>
      <c r="R56" s="1193"/>
    </row>
    <row r="57" spans="1:18">
      <c r="A57" s="1188">
        <v>1994.12</v>
      </c>
      <c r="B57" s="1194">
        <v>966672</v>
      </c>
      <c r="C57" s="1302"/>
      <c r="D57" s="3358"/>
      <c r="E57" s="1302"/>
      <c r="F57" s="1195">
        <v>738</v>
      </c>
      <c r="G57" s="1196">
        <v>4840</v>
      </c>
      <c r="H57" s="3156">
        <v>3418</v>
      </c>
      <c r="I57" s="1196">
        <v>12512</v>
      </c>
      <c r="J57" s="3156">
        <v>12730</v>
      </c>
      <c r="K57" s="1196">
        <v>1361</v>
      </c>
      <c r="L57" s="3156">
        <v>315</v>
      </c>
      <c r="M57" s="1196">
        <v>2118</v>
      </c>
      <c r="N57" s="2010">
        <v>1171</v>
      </c>
      <c r="O57" s="1197">
        <f t="shared" si="0"/>
        <v>39203</v>
      </c>
      <c r="P57" s="1192"/>
      <c r="Q57" s="2009"/>
      <c r="R57" s="1193"/>
    </row>
    <row r="58" spans="1:18">
      <c r="A58" s="1188">
        <v>1995.01</v>
      </c>
      <c r="B58" s="1194">
        <v>563649</v>
      </c>
      <c r="C58" s="1302"/>
      <c r="D58" s="3358"/>
      <c r="E58" s="1302"/>
      <c r="F58" s="1195">
        <v>643</v>
      </c>
      <c r="G58" s="1196">
        <v>8950</v>
      </c>
      <c r="H58" s="3156">
        <v>4796</v>
      </c>
      <c r="I58" s="1196">
        <v>0</v>
      </c>
      <c r="J58" s="3156">
        <v>5978</v>
      </c>
      <c r="K58" s="1196">
        <v>2865</v>
      </c>
      <c r="L58" s="3156">
        <v>874</v>
      </c>
      <c r="M58" s="1196">
        <v>2255</v>
      </c>
      <c r="N58" s="2010">
        <v>380</v>
      </c>
      <c r="O58" s="1197">
        <f t="shared" si="0"/>
        <v>26741</v>
      </c>
      <c r="P58" s="1192"/>
      <c r="Q58" s="2009"/>
      <c r="R58" s="1193"/>
    </row>
    <row r="59" spans="1:18">
      <c r="A59" s="1188">
        <v>1995.02</v>
      </c>
      <c r="B59" s="1194">
        <v>504375</v>
      </c>
      <c r="C59" s="1302"/>
      <c r="D59" s="3358"/>
      <c r="E59" s="1302"/>
      <c r="F59" s="1195">
        <v>355</v>
      </c>
      <c r="G59" s="1196">
        <v>2854</v>
      </c>
      <c r="H59" s="3156">
        <v>4667</v>
      </c>
      <c r="I59" s="1196">
        <v>5761</v>
      </c>
      <c r="J59" s="3156">
        <v>12961</v>
      </c>
      <c r="K59" s="1196">
        <v>2392</v>
      </c>
      <c r="L59" s="3156">
        <v>887</v>
      </c>
      <c r="M59" s="1196">
        <v>2888</v>
      </c>
      <c r="N59" s="2010">
        <v>0</v>
      </c>
      <c r="O59" s="1197">
        <f t="shared" si="0"/>
        <v>32765</v>
      </c>
      <c r="P59" s="1192"/>
      <c r="Q59" s="2009"/>
      <c r="R59" s="1193"/>
    </row>
    <row r="60" spans="1:18">
      <c r="A60" s="1188">
        <v>1995.03</v>
      </c>
      <c r="B60" s="1194">
        <v>802175</v>
      </c>
      <c r="C60" s="1302"/>
      <c r="D60" s="3358"/>
      <c r="E60" s="1302"/>
      <c r="F60" s="1195">
        <v>580</v>
      </c>
      <c r="G60" s="1196">
        <v>7863</v>
      </c>
      <c r="H60" s="3156">
        <v>3115</v>
      </c>
      <c r="I60" s="1196">
        <v>12668</v>
      </c>
      <c r="J60" s="3156">
        <v>12205</v>
      </c>
      <c r="K60" s="1196">
        <v>5621</v>
      </c>
      <c r="L60" s="3156">
        <v>718</v>
      </c>
      <c r="M60" s="1196">
        <v>1526</v>
      </c>
      <c r="N60" s="2010">
        <v>1916</v>
      </c>
      <c r="O60" s="1197">
        <f t="shared" si="0"/>
        <v>46212</v>
      </c>
      <c r="P60" s="1192"/>
      <c r="Q60" s="2009"/>
      <c r="R60" s="1193"/>
    </row>
    <row r="61" spans="1:18">
      <c r="A61" s="1188">
        <v>1995.04</v>
      </c>
      <c r="B61" s="1194">
        <v>486529</v>
      </c>
      <c r="C61" s="1302"/>
      <c r="D61" s="3358"/>
      <c r="E61" s="1302"/>
      <c r="F61" s="1195">
        <v>633</v>
      </c>
      <c r="G61" s="1196">
        <v>11726</v>
      </c>
      <c r="H61" s="3156">
        <v>2274</v>
      </c>
      <c r="I61" s="1196">
        <v>3713</v>
      </c>
      <c r="J61" s="3156">
        <v>9347</v>
      </c>
      <c r="K61" s="1196">
        <v>3584</v>
      </c>
      <c r="L61" s="3156">
        <v>798</v>
      </c>
      <c r="M61" s="1196">
        <v>710</v>
      </c>
      <c r="N61" s="2010">
        <v>944</v>
      </c>
      <c r="O61" s="1197">
        <f t="shared" si="0"/>
        <v>33729</v>
      </c>
      <c r="P61" s="1192"/>
      <c r="Q61" s="2009"/>
      <c r="R61" s="1193"/>
    </row>
    <row r="62" spans="1:18">
      <c r="A62" s="1188">
        <v>1995.05</v>
      </c>
      <c r="B62" s="1194">
        <v>593827</v>
      </c>
      <c r="C62" s="1302"/>
      <c r="D62" s="3358"/>
      <c r="E62" s="1302"/>
      <c r="F62" s="1195">
        <v>515</v>
      </c>
      <c r="G62" s="1196">
        <v>6301</v>
      </c>
      <c r="H62" s="3156">
        <v>4915</v>
      </c>
      <c r="I62" s="1196">
        <v>4415</v>
      </c>
      <c r="J62" s="3156">
        <v>11981</v>
      </c>
      <c r="K62" s="1196">
        <v>4074</v>
      </c>
      <c r="L62" s="3156">
        <v>843</v>
      </c>
      <c r="M62" s="1196">
        <v>1740</v>
      </c>
      <c r="N62" s="2010">
        <v>1149</v>
      </c>
      <c r="O62" s="1197">
        <f t="shared" si="0"/>
        <v>35933</v>
      </c>
      <c r="P62" s="1192"/>
      <c r="Q62" s="2009"/>
      <c r="R62" s="1193"/>
    </row>
    <row r="63" spans="1:18">
      <c r="A63" s="1188">
        <v>1995.06</v>
      </c>
      <c r="B63" s="1194">
        <v>461005</v>
      </c>
      <c r="C63" s="1302"/>
      <c r="D63" s="3358"/>
      <c r="E63" s="1302"/>
      <c r="F63" s="1195">
        <v>1147</v>
      </c>
      <c r="G63" s="1196">
        <v>6838</v>
      </c>
      <c r="H63" s="3156">
        <v>7896</v>
      </c>
      <c r="I63" s="1196">
        <v>16219</v>
      </c>
      <c r="J63" s="3156">
        <v>7880</v>
      </c>
      <c r="K63" s="1196">
        <v>3555</v>
      </c>
      <c r="L63" s="3156">
        <v>545</v>
      </c>
      <c r="M63" s="1196">
        <v>1143</v>
      </c>
      <c r="N63" s="2010">
        <v>257</v>
      </c>
      <c r="O63" s="1197">
        <f t="shared" si="0"/>
        <v>45480</v>
      </c>
      <c r="P63" s="1192"/>
      <c r="Q63" s="2009"/>
      <c r="R63" s="1193"/>
    </row>
    <row r="64" spans="1:18">
      <c r="A64" s="1188">
        <v>1995.07</v>
      </c>
      <c r="B64" s="1194">
        <v>437999</v>
      </c>
      <c r="C64" s="1302"/>
      <c r="D64" s="3358"/>
      <c r="E64" s="1302"/>
      <c r="F64" s="1195">
        <v>2067</v>
      </c>
      <c r="G64" s="1196">
        <v>4368</v>
      </c>
      <c r="H64" s="3156">
        <v>4483</v>
      </c>
      <c r="I64" s="1196">
        <v>4735</v>
      </c>
      <c r="J64" s="3156">
        <v>4175</v>
      </c>
      <c r="K64" s="1196">
        <v>2889</v>
      </c>
      <c r="L64" s="3156">
        <v>860</v>
      </c>
      <c r="M64" s="1196">
        <v>2128</v>
      </c>
      <c r="N64" s="2010">
        <v>701</v>
      </c>
      <c r="O64" s="1197">
        <f t="shared" si="0"/>
        <v>26406</v>
      </c>
      <c r="P64" s="1192"/>
      <c r="Q64" s="2009"/>
      <c r="R64" s="1193"/>
    </row>
    <row r="65" spans="1:18">
      <c r="A65" s="1188">
        <v>1995.08</v>
      </c>
      <c r="B65" s="1194">
        <v>435308</v>
      </c>
      <c r="C65" s="1302"/>
      <c r="D65" s="3358"/>
      <c r="E65" s="1302"/>
      <c r="F65" s="1195">
        <v>574</v>
      </c>
      <c r="G65" s="1196">
        <v>7730</v>
      </c>
      <c r="H65" s="3156">
        <v>7029</v>
      </c>
      <c r="I65" s="1196">
        <v>2574</v>
      </c>
      <c r="J65" s="3156">
        <v>10356</v>
      </c>
      <c r="K65" s="1196">
        <v>4450</v>
      </c>
      <c r="L65" s="3156">
        <v>2653</v>
      </c>
      <c r="M65" s="1196">
        <v>1481</v>
      </c>
      <c r="N65" s="2010">
        <v>846</v>
      </c>
      <c r="O65" s="1197">
        <f t="shared" si="0"/>
        <v>37693</v>
      </c>
      <c r="P65" s="1192"/>
      <c r="Q65" s="2009"/>
      <c r="R65" s="1193"/>
    </row>
    <row r="66" spans="1:18">
      <c r="A66" s="1188">
        <v>1995.09</v>
      </c>
      <c r="B66" s="1194">
        <v>535559</v>
      </c>
      <c r="C66" s="1302"/>
      <c r="D66" s="3358"/>
      <c r="E66" s="1302"/>
      <c r="F66" s="1195">
        <v>1010</v>
      </c>
      <c r="G66" s="1196">
        <v>6994</v>
      </c>
      <c r="H66" s="3156">
        <v>4637</v>
      </c>
      <c r="I66" s="1196">
        <v>1601</v>
      </c>
      <c r="J66" s="3156">
        <v>4307</v>
      </c>
      <c r="K66" s="1196">
        <v>2874</v>
      </c>
      <c r="L66" s="3156">
        <v>1241</v>
      </c>
      <c r="M66" s="1196">
        <v>2178</v>
      </c>
      <c r="N66" s="2010">
        <v>1359</v>
      </c>
      <c r="O66" s="1197">
        <f t="shared" si="0"/>
        <v>26201</v>
      </c>
      <c r="P66" s="1192"/>
      <c r="Q66" s="2009"/>
      <c r="R66" s="1193"/>
    </row>
    <row r="67" spans="1:18">
      <c r="A67" s="1188">
        <v>1995.1</v>
      </c>
      <c r="B67" s="1194">
        <v>449085</v>
      </c>
      <c r="C67" s="1302"/>
      <c r="D67" s="3358"/>
      <c r="E67" s="1302"/>
      <c r="F67" s="1195">
        <v>1109</v>
      </c>
      <c r="G67" s="1196">
        <v>7735</v>
      </c>
      <c r="H67" s="3156">
        <v>5930</v>
      </c>
      <c r="I67" s="1196">
        <v>5438</v>
      </c>
      <c r="J67" s="3156">
        <v>3379</v>
      </c>
      <c r="K67" s="1196">
        <v>4347</v>
      </c>
      <c r="L67" s="3156">
        <v>684</v>
      </c>
      <c r="M67" s="1196">
        <v>3554</v>
      </c>
      <c r="N67" s="2010">
        <v>1753</v>
      </c>
      <c r="O67" s="1197">
        <f t="shared" si="0"/>
        <v>33929</v>
      </c>
      <c r="P67" s="1192"/>
      <c r="Q67" s="2009"/>
      <c r="R67" s="1193"/>
    </row>
    <row r="68" spans="1:18">
      <c r="A68" s="1188">
        <v>1995.11</v>
      </c>
      <c r="B68" s="1194">
        <v>432609</v>
      </c>
      <c r="C68" s="1302"/>
      <c r="D68" s="3358"/>
      <c r="E68" s="1302"/>
      <c r="F68" s="1195">
        <v>901</v>
      </c>
      <c r="G68" s="1196">
        <v>10313</v>
      </c>
      <c r="H68" s="3156">
        <v>4944</v>
      </c>
      <c r="I68" s="1196">
        <v>2451</v>
      </c>
      <c r="J68" s="3156">
        <v>3229</v>
      </c>
      <c r="K68" s="1196">
        <v>3239</v>
      </c>
      <c r="L68" s="3156">
        <v>586</v>
      </c>
      <c r="M68" s="1196">
        <v>4296</v>
      </c>
      <c r="N68" s="2010">
        <v>1214</v>
      </c>
      <c r="O68" s="1197">
        <f t="shared" si="0"/>
        <v>31173</v>
      </c>
      <c r="P68" s="1192"/>
      <c r="Q68" s="2009"/>
      <c r="R68" s="1193"/>
    </row>
    <row r="69" spans="1:18">
      <c r="A69" s="1188">
        <v>1995.12</v>
      </c>
      <c r="B69" s="1194">
        <v>439289</v>
      </c>
      <c r="C69" s="1302"/>
      <c r="D69" s="3358"/>
      <c r="E69" s="1302"/>
      <c r="F69" s="1195">
        <v>1767</v>
      </c>
      <c r="G69" s="1196">
        <v>13290</v>
      </c>
      <c r="H69" s="3156">
        <v>3904</v>
      </c>
      <c r="I69" s="1196">
        <v>1214</v>
      </c>
      <c r="J69" s="3156">
        <v>6904</v>
      </c>
      <c r="K69" s="1196">
        <v>2839</v>
      </c>
      <c r="L69" s="3156">
        <v>671</v>
      </c>
      <c r="M69" s="1196">
        <v>3929</v>
      </c>
      <c r="N69" s="2010">
        <v>610</v>
      </c>
      <c r="O69" s="1197">
        <f t="shared" si="0"/>
        <v>35128</v>
      </c>
      <c r="P69" s="1192"/>
      <c r="Q69" s="2009"/>
      <c r="R69" s="1193"/>
    </row>
    <row r="70" spans="1:18">
      <c r="A70" s="1188">
        <v>1996.01</v>
      </c>
      <c r="B70" s="1194">
        <v>335434</v>
      </c>
      <c r="C70" s="1302"/>
      <c r="D70" s="3358"/>
      <c r="E70" s="1302"/>
      <c r="F70" s="1195">
        <v>891</v>
      </c>
      <c r="G70" s="1196">
        <v>3413</v>
      </c>
      <c r="H70" s="3156">
        <v>2578</v>
      </c>
      <c r="I70" s="1196">
        <v>0</v>
      </c>
      <c r="J70" s="3156">
        <v>692</v>
      </c>
      <c r="K70" s="1196">
        <v>2238</v>
      </c>
      <c r="L70" s="3156">
        <v>1074</v>
      </c>
      <c r="M70" s="1196">
        <v>1286</v>
      </c>
      <c r="N70" s="2010">
        <v>1302</v>
      </c>
      <c r="O70" s="1197">
        <f t="shared" si="0"/>
        <v>13474</v>
      </c>
      <c r="P70" s="1192"/>
      <c r="Q70" s="2009"/>
      <c r="R70" s="1193"/>
    </row>
    <row r="71" spans="1:18">
      <c r="A71" s="1188">
        <v>1996.02</v>
      </c>
      <c r="B71" s="1194">
        <v>489814</v>
      </c>
      <c r="C71" s="1302"/>
      <c r="D71" s="3358"/>
      <c r="E71" s="1302"/>
      <c r="F71" s="1195">
        <v>480</v>
      </c>
      <c r="G71" s="1196">
        <v>4991</v>
      </c>
      <c r="H71" s="3156">
        <v>4432</v>
      </c>
      <c r="I71" s="1196">
        <v>3504</v>
      </c>
      <c r="J71" s="3156">
        <v>1197</v>
      </c>
      <c r="K71" s="1196">
        <v>2977</v>
      </c>
      <c r="L71" s="3156">
        <v>917</v>
      </c>
      <c r="M71" s="1196">
        <v>1813</v>
      </c>
      <c r="N71" s="2010">
        <v>1828</v>
      </c>
      <c r="O71" s="1197">
        <f t="shared" si="0"/>
        <v>22139</v>
      </c>
      <c r="P71" s="1192"/>
      <c r="Q71" s="2009"/>
      <c r="R71" s="1193"/>
    </row>
    <row r="72" spans="1:18">
      <c r="A72" s="1188">
        <v>1996.03</v>
      </c>
      <c r="B72" s="1194">
        <v>608278</v>
      </c>
      <c r="C72" s="1302"/>
      <c r="D72" s="3358"/>
      <c r="E72" s="1302"/>
      <c r="F72" s="1195">
        <v>359</v>
      </c>
      <c r="G72" s="1196">
        <v>5318</v>
      </c>
      <c r="H72" s="3156">
        <v>5626</v>
      </c>
      <c r="I72" s="1196">
        <v>2059</v>
      </c>
      <c r="J72" s="3156">
        <v>4528</v>
      </c>
      <c r="K72" s="1196">
        <v>2651</v>
      </c>
      <c r="L72" s="3156">
        <v>861</v>
      </c>
      <c r="M72" s="1196">
        <v>3280</v>
      </c>
      <c r="N72" s="2010">
        <v>857</v>
      </c>
      <c r="O72" s="1197">
        <f t="shared" si="0"/>
        <v>25539</v>
      </c>
      <c r="P72" s="1192"/>
      <c r="Q72" s="2009"/>
      <c r="R72" s="1193"/>
    </row>
    <row r="73" spans="1:18">
      <c r="A73" s="1188">
        <v>1996.04</v>
      </c>
      <c r="B73" s="1194">
        <v>401679</v>
      </c>
      <c r="C73" s="1302"/>
      <c r="D73" s="3358"/>
      <c r="E73" s="1302"/>
      <c r="F73" s="1195">
        <v>1026</v>
      </c>
      <c r="G73" s="1196">
        <v>6578</v>
      </c>
      <c r="H73" s="3156">
        <v>3110</v>
      </c>
      <c r="I73" s="1196">
        <v>4084</v>
      </c>
      <c r="J73" s="3156">
        <v>3059</v>
      </c>
      <c r="K73" s="1196">
        <v>3724</v>
      </c>
      <c r="L73" s="3156">
        <v>398</v>
      </c>
      <c r="M73" s="1196">
        <v>3591</v>
      </c>
      <c r="N73" s="2010">
        <v>519</v>
      </c>
      <c r="O73" s="1197">
        <f t="shared" si="0"/>
        <v>26089</v>
      </c>
      <c r="P73" s="1192"/>
      <c r="Q73" s="2009"/>
      <c r="R73" s="1193"/>
    </row>
    <row r="74" spans="1:18">
      <c r="A74" s="1188">
        <v>1996.05</v>
      </c>
      <c r="B74" s="1194">
        <v>389342</v>
      </c>
      <c r="C74" s="1302"/>
      <c r="D74" s="3358"/>
      <c r="E74" s="1302"/>
      <c r="F74" s="1195">
        <v>815</v>
      </c>
      <c r="G74" s="1196">
        <v>5266</v>
      </c>
      <c r="H74" s="3156">
        <v>2735</v>
      </c>
      <c r="I74" s="1196">
        <v>2909</v>
      </c>
      <c r="J74" s="3156">
        <v>7579</v>
      </c>
      <c r="K74" s="1196">
        <v>2712</v>
      </c>
      <c r="L74" s="3156">
        <v>873</v>
      </c>
      <c r="M74" s="1196">
        <v>1799</v>
      </c>
      <c r="N74" s="2010">
        <v>2175</v>
      </c>
      <c r="O74" s="1197">
        <f t="shared" si="0"/>
        <v>26863</v>
      </c>
      <c r="P74" s="1192"/>
      <c r="Q74" s="2009"/>
      <c r="R74" s="1193"/>
    </row>
    <row r="75" spans="1:18">
      <c r="A75" s="1188">
        <v>1996.06</v>
      </c>
      <c r="B75" s="1194">
        <v>449956</v>
      </c>
      <c r="C75" s="1302"/>
      <c r="D75" s="3358"/>
      <c r="E75" s="1302"/>
      <c r="F75" s="1195">
        <v>1910</v>
      </c>
      <c r="G75" s="1196">
        <v>5118</v>
      </c>
      <c r="H75" s="3156">
        <v>3040</v>
      </c>
      <c r="I75" s="1196">
        <v>4046</v>
      </c>
      <c r="J75" s="3156">
        <v>4385</v>
      </c>
      <c r="K75" s="1196">
        <v>3110</v>
      </c>
      <c r="L75" s="3156">
        <v>1893</v>
      </c>
      <c r="M75" s="1196">
        <v>1722</v>
      </c>
      <c r="N75" s="2010">
        <v>2021</v>
      </c>
      <c r="O75" s="1197">
        <f t="shared" ref="O75:O138" si="1">_xlfn.AGGREGATE(9,6,F75:N75)</f>
        <v>27245</v>
      </c>
      <c r="P75" s="1192"/>
      <c r="Q75" s="2009"/>
      <c r="R75" s="1193"/>
    </row>
    <row r="76" spans="1:18">
      <c r="A76" s="1188">
        <v>1996.07</v>
      </c>
      <c r="B76" s="1194">
        <v>638884</v>
      </c>
      <c r="C76" s="1302"/>
      <c r="D76" s="3358"/>
      <c r="E76" s="1302"/>
      <c r="F76" s="1195">
        <v>788</v>
      </c>
      <c r="G76" s="1196">
        <v>5052</v>
      </c>
      <c r="H76" s="3156">
        <v>4987</v>
      </c>
      <c r="I76" s="1196">
        <v>5602</v>
      </c>
      <c r="J76" s="3156">
        <v>4391</v>
      </c>
      <c r="K76" s="1196">
        <v>3493</v>
      </c>
      <c r="L76" s="3156">
        <v>2466</v>
      </c>
      <c r="M76" s="1196">
        <v>2281</v>
      </c>
      <c r="N76" s="2010">
        <v>655</v>
      </c>
      <c r="O76" s="1197">
        <f t="shared" si="1"/>
        <v>29715</v>
      </c>
      <c r="P76" s="1192"/>
      <c r="Q76" s="2009"/>
      <c r="R76" s="1193"/>
    </row>
    <row r="77" spans="1:18">
      <c r="A77" s="1188">
        <v>1996.08</v>
      </c>
      <c r="B77" s="1194">
        <v>491977</v>
      </c>
      <c r="C77" s="1302"/>
      <c r="D77" s="3358"/>
      <c r="E77" s="1302"/>
      <c r="F77" s="1195">
        <v>550</v>
      </c>
      <c r="G77" s="1196">
        <v>9320</v>
      </c>
      <c r="H77" s="3156">
        <v>5194</v>
      </c>
      <c r="I77" s="1196">
        <v>13822</v>
      </c>
      <c r="J77" s="3156">
        <v>4787</v>
      </c>
      <c r="K77" s="1196">
        <v>3793</v>
      </c>
      <c r="L77" s="3156">
        <v>1069</v>
      </c>
      <c r="M77" s="1196">
        <v>2157</v>
      </c>
      <c r="N77" s="2010">
        <v>2121</v>
      </c>
      <c r="O77" s="1197">
        <f t="shared" si="1"/>
        <v>42813</v>
      </c>
      <c r="P77" s="1192"/>
      <c r="Q77" s="2009"/>
      <c r="R77" s="1193"/>
    </row>
    <row r="78" spans="1:18">
      <c r="A78" s="1188">
        <v>1996.09</v>
      </c>
      <c r="B78" s="1194">
        <v>557991</v>
      </c>
      <c r="C78" s="1302"/>
      <c r="D78" s="3358"/>
      <c r="E78" s="1302"/>
      <c r="F78" s="1195">
        <v>983</v>
      </c>
      <c r="G78" s="1196">
        <v>7923</v>
      </c>
      <c r="H78" s="3156">
        <v>5466</v>
      </c>
      <c r="I78" s="1196">
        <v>7403</v>
      </c>
      <c r="J78" s="3156">
        <v>3568</v>
      </c>
      <c r="K78" s="1196">
        <v>1847</v>
      </c>
      <c r="L78" s="3156">
        <v>1938</v>
      </c>
      <c r="M78" s="1196">
        <v>3370</v>
      </c>
      <c r="N78" s="2010">
        <v>4772</v>
      </c>
      <c r="O78" s="1197">
        <f t="shared" si="1"/>
        <v>37270</v>
      </c>
      <c r="P78" s="1192"/>
      <c r="Q78" s="2009"/>
      <c r="R78" s="1193"/>
    </row>
    <row r="79" spans="1:18">
      <c r="A79" s="1188">
        <v>1996.1</v>
      </c>
      <c r="B79" s="1194">
        <v>711757</v>
      </c>
      <c r="C79" s="1302"/>
      <c r="D79" s="3358"/>
      <c r="E79" s="1302"/>
      <c r="F79" s="1195">
        <v>772</v>
      </c>
      <c r="G79" s="1196">
        <v>11554</v>
      </c>
      <c r="H79" s="3156">
        <v>4584</v>
      </c>
      <c r="I79" s="1196">
        <v>5484</v>
      </c>
      <c r="J79" s="3156">
        <v>6776</v>
      </c>
      <c r="K79" s="1196">
        <v>2724</v>
      </c>
      <c r="L79" s="3156">
        <v>1010</v>
      </c>
      <c r="M79" s="1196">
        <v>8044</v>
      </c>
      <c r="N79" s="2010">
        <v>1908</v>
      </c>
      <c r="O79" s="1197">
        <f t="shared" si="1"/>
        <v>42856</v>
      </c>
      <c r="P79" s="1192"/>
      <c r="Q79" s="2009"/>
      <c r="R79" s="1193"/>
    </row>
    <row r="80" spans="1:18">
      <c r="A80" s="1188">
        <v>1996.11</v>
      </c>
      <c r="B80" s="1194">
        <v>443126</v>
      </c>
      <c r="C80" s="1302"/>
      <c r="D80" s="3358"/>
      <c r="E80" s="1302"/>
      <c r="F80" s="1195">
        <v>1141</v>
      </c>
      <c r="G80" s="1196">
        <v>4590</v>
      </c>
      <c r="H80" s="3156">
        <v>4604</v>
      </c>
      <c r="I80" s="1196">
        <v>7696</v>
      </c>
      <c r="J80" s="3156">
        <v>3340</v>
      </c>
      <c r="K80" s="1196">
        <v>2455</v>
      </c>
      <c r="L80" s="3156">
        <v>558</v>
      </c>
      <c r="M80" s="1196">
        <v>14484</v>
      </c>
      <c r="N80" s="2010">
        <v>1291</v>
      </c>
      <c r="O80" s="1197">
        <f t="shared" si="1"/>
        <v>40159</v>
      </c>
      <c r="P80" s="1192"/>
      <c r="Q80" s="2009"/>
      <c r="R80" s="1193"/>
    </row>
    <row r="81" spans="1:18">
      <c r="A81" s="1188">
        <v>1996.12</v>
      </c>
      <c r="B81" s="1194">
        <v>464151</v>
      </c>
      <c r="C81" s="1302"/>
      <c r="D81" s="3358"/>
      <c r="E81" s="1302"/>
      <c r="F81" s="1195">
        <v>1203</v>
      </c>
      <c r="G81" s="1196">
        <v>6806</v>
      </c>
      <c r="H81" s="3156">
        <v>3865</v>
      </c>
      <c r="I81" s="1196">
        <v>1236</v>
      </c>
      <c r="J81" s="3156">
        <v>2968</v>
      </c>
      <c r="K81" s="1196">
        <v>2356</v>
      </c>
      <c r="L81" s="3156">
        <v>186</v>
      </c>
      <c r="M81" s="1196">
        <v>15451</v>
      </c>
      <c r="N81" s="2010">
        <v>1357</v>
      </c>
      <c r="O81" s="1197">
        <f t="shared" si="1"/>
        <v>35428</v>
      </c>
      <c r="P81" s="1192"/>
      <c r="Q81" s="2009"/>
      <c r="R81" s="1193"/>
    </row>
    <row r="82" spans="1:18">
      <c r="A82" s="1188">
        <v>1997.01</v>
      </c>
      <c r="B82" s="1194">
        <v>383301</v>
      </c>
      <c r="C82" s="1302"/>
      <c r="D82" s="3358"/>
      <c r="E82" s="1302"/>
      <c r="F82" s="1195">
        <v>938</v>
      </c>
      <c r="G82" s="1196">
        <v>11419</v>
      </c>
      <c r="H82" s="3156">
        <v>1637</v>
      </c>
      <c r="I82" s="1196">
        <v>0</v>
      </c>
      <c r="J82" s="3156">
        <v>1339</v>
      </c>
      <c r="K82" s="1196">
        <v>1176</v>
      </c>
      <c r="L82" s="3156">
        <v>782</v>
      </c>
      <c r="M82" s="1196">
        <v>30404</v>
      </c>
      <c r="N82" s="2010">
        <v>755</v>
      </c>
      <c r="O82" s="1197">
        <f t="shared" si="1"/>
        <v>48450</v>
      </c>
      <c r="P82" s="1192"/>
      <c r="Q82" s="2009"/>
      <c r="R82" s="1193"/>
    </row>
    <row r="83" spans="1:18">
      <c r="A83" s="1188">
        <v>1997.02</v>
      </c>
      <c r="B83" s="1194">
        <v>403095</v>
      </c>
      <c r="C83" s="1302"/>
      <c r="D83" s="3358"/>
      <c r="E83" s="1302"/>
      <c r="F83" s="1195">
        <v>1474</v>
      </c>
      <c r="G83" s="1196">
        <v>3093</v>
      </c>
      <c r="H83" s="3156">
        <v>372</v>
      </c>
      <c r="I83" s="1196">
        <v>3311</v>
      </c>
      <c r="J83" s="3156">
        <v>1994</v>
      </c>
      <c r="K83" s="1196">
        <v>1139</v>
      </c>
      <c r="L83" s="3156">
        <v>452</v>
      </c>
      <c r="M83" s="1196">
        <v>1847</v>
      </c>
      <c r="N83" s="2010">
        <v>1341</v>
      </c>
      <c r="O83" s="1197">
        <f t="shared" si="1"/>
        <v>15023</v>
      </c>
      <c r="P83" s="1192"/>
      <c r="Q83" s="2009"/>
      <c r="R83" s="1193"/>
    </row>
    <row r="84" spans="1:18">
      <c r="A84" s="1188">
        <v>1997.03</v>
      </c>
      <c r="B84" s="1194">
        <v>464748</v>
      </c>
      <c r="C84" s="1302"/>
      <c r="D84" s="3358"/>
      <c r="E84" s="1302"/>
      <c r="F84" s="1195">
        <v>792</v>
      </c>
      <c r="G84" s="1196">
        <v>9218</v>
      </c>
      <c r="H84" s="3156">
        <v>482</v>
      </c>
      <c r="I84" s="1196">
        <v>5382</v>
      </c>
      <c r="J84" s="3156">
        <v>3673</v>
      </c>
      <c r="K84" s="1196">
        <v>7298</v>
      </c>
      <c r="L84" s="3156">
        <v>1010</v>
      </c>
      <c r="M84" s="1196">
        <v>3204</v>
      </c>
      <c r="N84" s="2010">
        <v>1805</v>
      </c>
      <c r="O84" s="1197">
        <f t="shared" si="1"/>
        <v>32864</v>
      </c>
      <c r="P84" s="1192"/>
      <c r="Q84" s="2009"/>
      <c r="R84" s="1193"/>
    </row>
    <row r="85" spans="1:18">
      <c r="A85" s="1188">
        <v>1997.04</v>
      </c>
      <c r="B85" s="1194">
        <v>542956</v>
      </c>
      <c r="C85" s="1302"/>
      <c r="D85" s="3358"/>
      <c r="E85" s="1302"/>
      <c r="F85" s="1195">
        <v>742</v>
      </c>
      <c r="G85" s="1196">
        <v>9431</v>
      </c>
      <c r="H85" s="3156">
        <v>3826</v>
      </c>
      <c r="I85" s="1196">
        <v>7157</v>
      </c>
      <c r="J85" s="3156">
        <v>3993</v>
      </c>
      <c r="K85" s="1196">
        <v>3116</v>
      </c>
      <c r="L85" s="3156">
        <v>1012</v>
      </c>
      <c r="M85" s="1196">
        <v>3016</v>
      </c>
      <c r="N85" s="2010">
        <v>2671</v>
      </c>
      <c r="O85" s="1197">
        <f t="shared" si="1"/>
        <v>34964</v>
      </c>
      <c r="P85" s="1192"/>
      <c r="Q85" s="2009"/>
      <c r="R85" s="1193"/>
    </row>
    <row r="86" spans="1:18">
      <c r="A86" s="1188">
        <v>1997.05</v>
      </c>
      <c r="B86" s="1194">
        <v>578626</v>
      </c>
      <c r="C86" s="1302"/>
      <c r="D86" s="3358"/>
      <c r="E86" s="1302"/>
      <c r="F86" s="1195">
        <v>651</v>
      </c>
      <c r="G86" s="1196">
        <v>10627</v>
      </c>
      <c r="H86" s="3156">
        <v>2875</v>
      </c>
      <c r="I86" s="1196">
        <v>3619</v>
      </c>
      <c r="J86" s="3156">
        <v>4649</v>
      </c>
      <c r="K86" s="1196">
        <v>1892</v>
      </c>
      <c r="L86" s="3156">
        <v>1212</v>
      </c>
      <c r="M86" s="1196">
        <v>2299</v>
      </c>
      <c r="N86" s="2010">
        <v>1526</v>
      </c>
      <c r="O86" s="1197">
        <f t="shared" si="1"/>
        <v>29350</v>
      </c>
      <c r="P86" s="1192"/>
      <c r="Q86" s="2009"/>
      <c r="R86" s="1193"/>
    </row>
    <row r="87" spans="1:18">
      <c r="A87" s="1188">
        <v>1997.06</v>
      </c>
      <c r="B87" s="1194">
        <v>531263</v>
      </c>
      <c r="C87" s="1302"/>
      <c r="D87" s="3358"/>
      <c r="E87" s="1302"/>
      <c r="F87" s="1195">
        <v>2379</v>
      </c>
      <c r="G87" s="1196">
        <v>4029</v>
      </c>
      <c r="H87" s="3156">
        <v>8574</v>
      </c>
      <c r="I87" s="1196">
        <v>200</v>
      </c>
      <c r="J87" s="3156">
        <v>3828</v>
      </c>
      <c r="K87" s="1196">
        <v>2023</v>
      </c>
      <c r="L87" s="3156">
        <v>1101</v>
      </c>
      <c r="M87" s="1196">
        <v>2899</v>
      </c>
      <c r="N87" s="2010">
        <v>3529</v>
      </c>
      <c r="O87" s="1197">
        <f t="shared" si="1"/>
        <v>28562</v>
      </c>
      <c r="P87" s="1192"/>
      <c r="Q87" s="2009"/>
      <c r="R87" s="1193"/>
    </row>
    <row r="88" spans="1:18">
      <c r="A88" s="1188">
        <v>1997.07</v>
      </c>
      <c r="B88" s="1194">
        <v>574938</v>
      </c>
      <c r="C88" s="1302"/>
      <c r="D88" s="3358"/>
      <c r="E88" s="1302"/>
      <c r="F88" s="1195">
        <v>1659</v>
      </c>
      <c r="G88" s="1196">
        <v>6483</v>
      </c>
      <c r="H88" s="3156">
        <v>6015</v>
      </c>
      <c r="I88" s="1196">
        <v>5547</v>
      </c>
      <c r="J88" s="3156">
        <v>4809</v>
      </c>
      <c r="K88" s="1196">
        <v>2432</v>
      </c>
      <c r="L88" s="3156">
        <v>993</v>
      </c>
      <c r="M88" s="1196">
        <v>2114</v>
      </c>
      <c r="N88" s="2010">
        <v>1460</v>
      </c>
      <c r="O88" s="1197">
        <f t="shared" si="1"/>
        <v>31512</v>
      </c>
      <c r="P88" s="1192"/>
      <c r="Q88" s="2009"/>
      <c r="R88" s="1193"/>
    </row>
    <row r="89" spans="1:18">
      <c r="A89" s="1188">
        <v>1997.08</v>
      </c>
      <c r="B89" s="1194">
        <v>595990</v>
      </c>
      <c r="C89" s="1302"/>
      <c r="D89" s="3358"/>
      <c r="E89" s="1302"/>
      <c r="F89" s="1195">
        <v>1043</v>
      </c>
      <c r="G89" s="1196">
        <v>3601</v>
      </c>
      <c r="H89" s="3156">
        <v>2656</v>
      </c>
      <c r="I89" s="1196">
        <v>5121</v>
      </c>
      <c r="J89" s="3156">
        <v>2368</v>
      </c>
      <c r="K89" s="1196">
        <v>1609</v>
      </c>
      <c r="L89" s="3156">
        <v>736</v>
      </c>
      <c r="M89" s="1196">
        <v>2934</v>
      </c>
      <c r="N89" s="2010">
        <v>2082</v>
      </c>
      <c r="O89" s="1197">
        <f t="shared" si="1"/>
        <v>22150</v>
      </c>
      <c r="P89" s="1192"/>
      <c r="Q89" s="2009"/>
      <c r="R89" s="1193"/>
    </row>
    <row r="90" spans="1:18">
      <c r="A90" s="1188">
        <v>1997.09</v>
      </c>
      <c r="B90" s="1194">
        <v>575590</v>
      </c>
      <c r="C90" s="1302"/>
      <c r="D90" s="3358"/>
      <c r="E90" s="1302"/>
      <c r="F90" s="1195">
        <v>1834</v>
      </c>
      <c r="G90" s="1196">
        <v>26575</v>
      </c>
      <c r="H90" s="3156">
        <v>3655</v>
      </c>
      <c r="I90" s="1196">
        <v>4894</v>
      </c>
      <c r="J90" s="3156">
        <v>2782</v>
      </c>
      <c r="K90" s="1196">
        <v>2572</v>
      </c>
      <c r="L90" s="3156">
        <v>651</v>
      </c>
      <c r="M90" s="1196">
        <v>4336</v>
      </c>
      <c r="N90" s="2010">
        <v>4113</v>
      </c>
      <c r="O90" s="1197">
        <f t="shared" si="1"/>
        <v>51412</v>
      </c>
      <c r="P90" s="1192"/>
      <c r="Q90" s="2009"/>
      <c r="R90" s="1193"/>
    </row>
    <row r="91" spans="1:18">
      <c r="A91" s="1188">
        <v>1997.1</v>
      </c>
      <c r="B91" s="1194">
        <v>838250</v>
      </c>
      <c r="C91" s="1302"/>
      <c r="D91" s="3358"/>
      <c r="E91" s="1302"/>
      <c r="F91" s="1195">
        <v>722</v>
      </c>
      <c r="G91" s="1196">
        <v>15038</v>
      </c>
      <c r="H91" s="3156">
        <v>2142</v>
      </c>
      <c r="I91" s="1196">
        <v>5285</v>
      </c>
      <c r="J91" s="3156">
        <v>3378</v>
      </c>
      <c r="K91" s="1196">
        <v>2578</v>
      </c>
      <c r="L91" s="3156">
        <v>1119</v>
      </c>
      <c r="M91" s="1196">
        <v>7148</v>
      </c>
      <c r="N91" s="2010">
        <v>2479</v>
      </c>
      <c r="O91" s="1197">
        <f t="shared" si="1"/>
        <v>39889</v>
      </c>
      <c r="P91" s="1192"/>
      <c r="Q91" s="2009"/>
      <c r="R91" s="1193"/>
    </row>
    <row r="92" spans="1:18">
      <c r="A92" s="1188">
        <v>1997.11</v>
      </c>
      <c r="B92" s="1194">
        <v>566874</v>
      </c>
      <c r="C92" s="1302"/>
      <c r="D92" s="3358"/>
      <c r="E92" s="1302"/>
      <c r="F92" s="1195">
        <v>2599</v>
      </c>
      <c r="G92" s="1196">
        <v>15930</v>
      </c>
      <c r="H92" s="3156">
        <v>1010</v>
      </c>
      <c r="I92" s="1196">
        <v>3923</v>
      </c>
      <c r="J92" s="3156">
        <v>7533</v>
      </c>
      <c r="K92" s="1196">
        <v>1689</v>
      </c>
      <c r="L92" s="3156">
        <v>1415</v>
      </c>
      <c r="M92" s="1196">
        <v>2798</v>
      </c>
      <c r="N92" s="2010">
        <v>3046</v>
      </c>
      <c r="O92" s="1197">
        <f t="shared" si="1"/>
        <v>39943</v>
      </c>
      <c r="P92" s="1192"/>
      <c r="Q92" s="2009"/>
      <c r="R92" s="1193"/>
    </row>
    <row r="93" spans="1:18">
      <c r="A93" s="1188">
        <v>1997.12</v>
      </c>
      <c r="B93" s="1194">
        <v>854725</v>
      </c>
      <c r="C93" s="1302"/>
      <c r="D93" s="3358"/>
      <c r="E93" s="1302"/>
      <c r="F93" s="1195">
        <v>532</v>
      </c>
      <c r="G93" s="1196">
        <v>5603</v>
      </c>
      <c r="H93" s="3156">
        <v>2827</v>
      </c>
      <c r="I93" s="1196">
        <v>3557</v>
      </c>
      <c r="J93" s="3156">
        <v>4520</v>
      </c>
      <c r="K93" s="1196">
        <v>3112</v>
      </c>
      <c r="L93" s="3156">
        <v>1001</v>
      </c>
      <c r="M93" s="1196">
        <v>6163</v>
      </c>
      <c r="N93" s="2010">
        <v>3931</v>
      </c>
      <c r="O93" s="1197">
        <f t="shared" si="1"/>
        <v>31246</v>
      </c>
      <c r="P93" s="1192"/>
      <c r="Q93" s="2009"/>
      <c r="R93" s="1193"/>
    </row>
    <row r="94" spans="1:18">
      <c r="A94" s="1188">
        <v>1998.01</v>
      </c>
      <c r="B94" s="1194">
        <v>448402</v>
      </c>
      <c r="C94" s="1302"/>
      <c r="D94" s="3358"/>
      <c r="E94" s="1302"/>
      <c r="F94" s="1195">
        <v>1983</v>
      </c>
      <c r="G94" s="1196">
        <v>16200</v>
      </c>
      <c r="H94" s="3156">
        <v>4516</v>
      </c>
      <c r="I94" s="1196">
        <v>0</v>
      </c>
      <c r="J94" s="3156">
        <v>0</v>
      </c>
      <c r="K94" s="1196">
        <v>3288</v>
      </c>
      <c r="L94" s="3156">
        <v>440</v>
      </c>
      <c r="M94" s="1196">
        <v>3400</v>
      </c>
      <c r="N94" s="2010">
        <v>2970</v>
      </c>
      <c r="O94" s="1197">
        <f t="shared" si="1"/>
        <v>32797</v>
      </c>
      <c r="P94" s="1192"/>
      <c r="Q94" s="2009"/>
      <c r="R94" s="1193"/>
    </row>
    <row r="95" spans="1:18">
      <c r="A95" s="1188">
        <v>1998.02</v>
      </c>
      <c r="B95" s="1194">
        <v>745910</v>
      </c>
      <c r="C95" s="1302"/>
      <c r="D95" s="3358"/>
      <c r="E95" s="1302"/>
      <c r="F95" s="1195">
        <v>3107</v>
      </c>
      <c r="G95" s="1196">
        <v>4348</v>
      </c>
      <c r="H95" s="3156">
        <v>1703</v>
      </c>
      <c r="I95" s="1196">
        <v>4901</v>
      </c>
      <c r="J95" s="3156">
        <v>4962</v>
      </c>
      <c r="K95" s="1196">
        <v>2253</v>
      </c>
      <c r="L95" s="3156">
        <v>370</v>
      </c>
      <c r="M95" s="1196">
        <v>1664</v>
      </c>
      <c r="N95" s="2010">
        <v>1338</v>
      </c>
      <c r="O95" s="1197">
        <f t="shared" si="1"/>
        <v>24646</v>
      </c>
      <c r="P95" s="1192"/>
      <c r="Q95" s="2009"/>
      <c r="R95" s="1193"/>
    </row>
    <row r="96" spans="1:18">
      <c r="A96" s="1188">
        <v>1998.03</v>
      </c>
      <c r="B96" s="1194">
        <v>693558</v>
      </c>
      <c r="C96" s="1302"/>
      <c r="D96" s="3358"/>
      <c r="E96" s="1302"/>
      <c r="F96" s="1195">
        <v>1746</v>
      </c>
      <c r="G96" s="1196">
        <v>17194</v>
      </c>
      <c r="H96" s="3156">
        <v>2166</v>
      </c>
      <c r="I96" s="1196">
        <v>3744</v>
      </c>
      <c r="J96" s="3156">
        <v>2361</v>
      </c>
      <c r="K96" s="1196">
        <v>2174</v>
      </c>
      <c r="L96" s="3156">
        <v>464</v>
      </c>
      <c r="M96" s="1196">
        <v>3930</v>
      </c>
      <c r="N96" s="2010">
        <v>3465</v>
      </c>
      <c r="O96" s="1197">
        <f t="shared" si="1"/>
        <v>37244</v>
      </c>
      <c r="P96" s="1192"/>
      <c r="Q96" s="2009"/>
      <c r="R96" s="1193"/>
    </row>
    <row r="97" spans="1:18">
      <c r="A97" s="1188">
        <v>1998.04</v>
      </c>
      <c r="B97" s="1194">
        <v>699686</v>
      </c>
      <c r="C97" s="1302"/>
      <c r="D97" s="3358"/>
      <c r="E97" s="1302"/>
      <c r="F97" s="1195">
        <v>4363</v>
      </c>
      <c r="G97" s="1196">
        <v>8050</v>
      </c>
      <c r="H97" s="3156">
        <v>2228</v>
      </c>
      <c r="I97" s="1196">
        <v>5833</v>
      </c>
      <c r="J97" s="3156">
        <v>4188</v>
      </c>
      <c r="K97" s="1196">
        <v>3495</v>
      </c>
      <c r="L97" s="3156">
        <v>1666</v>
      </c>
      <c r="M97" s="1196">
        <v>5668</v>
      </c>
      <c r="N97" s="2010">
        <v>1719</v>
      </c>
      <c r="O97" s="1197">
        <f t="shared" si="1"/>
        <v>37210</v>
      </c>
      <c r="P97" s="1192"/>
      <c r="Q97" s="2009"/>
      <c r="R97" s="1193"/>
    </row>
    <row r="98" spans="1:18">
      <c r="A98" s="1188">
        <v>1998.05</v>
      </c>
      <c r="B98" s="1194">
        <v>675425</v>
      </c>
      <c r="C98" s="1302"/>
      <c r="D98" s="3358"/>
      <c r="E98" s="1302"/>
      <c r="F98" s="1195">
        <v>1053</v>
      </c>
      <c r="G98" s="1196">
        <v>13739</v>
      </c>
      <c r="H98" s="3156">
        <v>1332</v>
      </c>
      <c r="I98" s="1196">
        <v>6013</v>
      </c>
      <c r="J98" s="3156">
        <v>8323</v>
      </c>
      <c r="K98" s="1196">
        <v>2627</v>
      </c>
      <c r="L98" s="3156">
        <v>804</v>
      </c>
      <c r="M98" s="1196">
        <v>3975</v>
      </c>
      <c r="N98" s="2010">
        <v>2419</v>
      </c>
      <c r="O98" s="1197">
        <f t="shared" si="1"/>
        <v>40285</v>
      </c>
      <c r="P98" s="1192"/>
      <c r="Q98" s="2009"/>
      <c r="R98" s="1193"/>
    </row>
    <row r="99" spans="1:18">
      <c r="A99" s="1188">
        <v>1998.06</v>
      </c>
      <c r="B99" s="1194">
        <v>586383</v>
      </c>
      <c r="C99" s="1302"/>
      <c r="D99" s="3358"/>
      <c r="E99" s="1302"/>
      <c r="F99" s="1195">
        <v>1799</v>
      </c>
      <c r="G99" s="1196">
        <v>24265</v>
      </c>
      <c r="H99" s="3156">
        <v>132</v>
      </c>
      <c r="I99" s="1196">
        <v>5259</v>
      </c>
      <c r="J99" s="3156">
        <v>8642</v>
      </c>
      <c r="K99" s="1196">
        <v>2924</v>
      </c>
      <c r="L99" s="3156">
        <v>314</v>
      </c>
      <c r="M99" s="1196">
        <v>14310</v>
      </c>
      <c r="N99" s="2010">
        <v>2421</v>
      </c>
      <c r="O99" s="1197">
        <f t="shared" si="1"/>
        <v>60066</v>
      </c>
      <c r="P99" s="1192"/>
      <c r="Q99" s="2009"/>
      <c r="R99" s="1193"/>
    </row>
    <row r="100" spans="1:18">
      <c r="A100" s="1188">
        <v>1998.07</v>
      </c>
      <c r="B100" s="1194">
        <v>627151</v>
      </c>
      <c r="C100" s="1302"/>
      <c r="D100" s="3358"/>
      <c r="E100" s="1302"/>
      <c r="F100" s="1195">
        <v>2994</v>
      </c>
      <c r="G100" s="1196">
        <v>10358</v>
      </c>
      <c r="H100" s="3156">
        <v>3319</v>
      </c>
      <c r="I100" s="1196">
        <v>5085</v>
      </c>
      <c r="J100" s="3156">
        <v>3652</v>
      </c>
      <c r="K100" s="1196">
        <v>2309</v>
      </c>
      <c r="L100" s="3156">
        <v>1535</v>
      </c>
      <c r="M100" s="1196">
        <v>9860</v>
      </c>
      <c r="N100" s="2010">
        <v>3120</v>
      </c>
      <c r="O100" s="1197">
        <f t="shared" si="1"/>
        <v>42232</v>
      </c>
      <c r="P100" s="1192"/>
      <c r="Q100" s="2009"/>
      <c r="R100" s="1193"/>
    </row>
    <row r="101" spans="1:18">
      <c r="A101" s="1188">
        <v>1998.08</v>
      </c>
      <c r="B101" s="1194">
        <v>674178</v>
      </c>
      <c r="C101" s="1302"/>
      <c r="D101" s="3358"/>
      <c r="E101" s="1302"/>
      <c r="F101" s="1195">
        <v>2078</v>
      </c>
      <c r="G101" s="1196">
        <v>7824</v>
      </c>
      <c r="H101" s="3156">
        <v>1710</v>
      </c>
      <c r="I101" s="1196">
        <v>4753</v>
      </c>
      <c r="J101" s="3156">
        <v>7465</v>
      </c>
      <c r="K101" s="1196">
        <v>2917</v>
      </c>
      <c r="L101" s="3156">
        <v>1966</v>
      </c>
      <c r="M101" s="1196">
        <v>3910</v>
      </c>
      <c r="N101" s="2010">
        <v>4734</v>
      </c>
      <c r="O101" s="1197">
        <f t="shared" si="1"/>
        <v>37357</v>
      </c>
      <c r="P101" s="1192"/>
      <c r="Q101" s="2009"/>
      <c r="R101" s="1193"/>
    </row>
    <row r="102" spans="1:18">
      <c r="A102" s="1188">
        <v>1998.09</v>
      </c>
      <c r="B102" s="1194">
        <v>654057</v>
      </c>
      <c r="C102" s="1302"/>
      <c r="D102" s="3358"/>
      <c r="E102" s="1302"/>
      <c r="F102" s="1195">
        <v>2234</v>
      </c>
      <c r="G102" s="1196">
        <v>10323</v>
      </c>
      <c r="H102" s="3156">
        <v>310</v>
      </c>
      <c r="I102" s="1196">
        <v>8727</v>
      </c>
      <c r="J102" s="3156">
        <v>6087</v>
      </c>
      <c r="K102" s="1196">
        <v>7728</v>
      </c>
      <c r="L102" s="3156">
        <v>1311</v>
      </c>
      <c r="M102" s="1196">
        <v>6595</v>
      </c>
      <c r="N102" s="2010">
        <v>5365</v>
      </c>
      <c r="O102" s="1197">
        <f t="shared" si="1"/>
        <v>48680</v>
      </c>
      <c r="P102" s="1192"/>
      <c r="Q102" s="2009"/>
      <c r="R102" s="1193"/>
    </row>
    <row r="103" spans="1:18">
      <c r="A103" s="1188">
        <v>1998.1</v>
      </c>
      <c r="B103" s="1194">
        <v>631279</v>
      </c>
      <c r="C103" s="1302"/>
      <c r="D103" s="3358"/>
      <c r="E103" s="1302"/>
      <c r="F103" s="1195">
        <v>1123</v>
      </c>
      <c r="G103" s="1196">
        <v>8376</v>
      </c>
      <c r="H103" s="3156">
        <v>8553</v>
      </c>
      <c r="I103" s="1196">
        <v>4672</v>
      </c>
      <c r="J103" s="3156">
        <v>4523</v>
      </c>
      <c r="K103" s="1196">
        <v>4537</v>
      </c>
      <c r="L103" s="3156">
        <v>739</v>
      </c>
      <c r="M103" s="1196">
        <v>4147</v>
      </c>
      <c r="N103" s="2010">
        <v>2610</v>
      </c>
      <c r="O103" s="1197">
        <f t="shared" si="1"/>
        <v>39280</v>
      </c>
      <c r="P103" s="1192"/>
      <c r="Q103" s="2009"/>
      <c r="R103" s="1193"/>
    </row>
    <row r="104" spans="1:18">
      <c r="A104" s="1188">
        <v>1998.11</v>
      </c>
      <c r="B104" s="1194">
        <v>569205</v>
      </c>
      <c r="C104" s="1302"/>
      <c r="D104" s="3358"/>
      <c r="E104" s="1302"/>
      <c r="F104" s="1195">
        <v>1580</v>
      </c>
      <c r="G104" s="1196">
        <v>5611</v>
      </c>
      <c r="H104" s="3156">
        <v>7458</v>
      </c>
      <c r="I104" s="1196">
        <v>7103</v>
      </c>
      <c r="J104" s="3156">
        <v>4437</v>
      </c>
      <c r="K104" s="1196">
        <v>2338</v>
      </c>
      <c r="L104" s="3156">
        <v>840</v>
      </c>
      <c r="M104" s="1196">
        <v>4923</v>
      </c>
      <c r="N104" s="2010">
        <v>3510</v>
      </c>
      <c r="O104" s="1197">
        <f t="shared" si="1"/>
        <v>37800</v>
      </c>
      <c r="P104" s="1192"/>
      <c r="Q104" s="2009"/>
      <c r="R104" s="1193"/>
    </row>
    <row r="105" spans="1:18">
      <c r="A105" s="1188">
        <v>1998.12</v>
      </c>
      <c r="B105" s="1194">
        <v>787524</v>
      </c>
      <c r="C105" s="1302"/>
      <c r="D105" s="3358"/>
      <c r="E105" s="1302"/>
      <c r="F105" s="1195">
        <v>2739</v>
      </c>
      <c r="G105" s="1196">
        <v>10405</v>
      </c>
      <c r="H105" s="3156">
        <v>7624</v>
      </c>
      <c r="I105" s="1196">
        <v>5062</v>
      </c>
      <c r="J105" s="3156">
        <v>5071</v>
      </c>
      <c r="K105" s="1196">
        <v>4034</v>
      </c>
      <c r="L105" s="3156">
        <v>875</v>
      </c>
      <c r="M105" s="1196">
        <v>4359</v>
      </c>
      <c r="N105" s="2010">
        <v>3815</v>
      </c>
      <c r="O105" s="1197">
        <f t="shared" si="1"/>
        <v>43984</v>
      </c>
      <c r="P105" s="1192"/>
      <c r="Q105" s="2009"/>
      <c r="R105" s="1193"/>
    </row>
    <row r="106" spans="1:18">
      <c r="A106" s="1188">
        <v>1999.01</v>
      </c>
      <c r="B106" s="1194">
        <v>443343</v>
      </c>
      <c r="C106" s="1302"/>
      <c r="D106" s="3358"/>
      <c r="E106" s="1302"/>
      <c r="F106" s="1195">
        <v>2705</v>
      </c>
      <c r="G106" s="1196">
        <v>8052</v>
      </c>
      <c r="H106" s="3156">
        <v>5088</v>
      </c>
      <c r="I106" s="1196">
        <v>2531</v>
      </c>
      <c r="J106" s="3156">
        <v>0</v>
      </c>
      <c r="K106" s="1196">
        <v>3215</v>
      </c>
      <c r="L106" s="3156">
        <v>113</v>
      </c>
      <c r="M106" s="1196">
        <v>4596</v>
      </c>
      <c r="N106" s="2010">
        <v>426</v>
      </c>
      <c r="O106" s="1197">
        <f t="shared" si="1"/>
        <v>26726</v>
      </c>
      <c r="P106" s="1192"/>
      <c r="Q106" s="2009"/>
      <c r="R106" s="1193"/>
    </row>
    <row r="107" spans="1:18">
      <c r="A107" s="1188">
        <v>1999.02</v>
      </c>
      <c r="B107" s="1194">
        <v>548267</v>
      </c>
      <c r="C107" s="1302"/>
      <c r="D107" s="3358"/>
      <c r="E107" s="1302"/>
      <c r="F107" s="1195">
        <v>1698</v>
      </c>
      <c r="G107" s="1196">
        <v>17497</v>
      </c>
      <c r="H107" s="3156">
        <v>134</v>
      </c>
      <c r="I107" s="1196">
        <v>4407</v>
      </c>
      <c r="J107" s="3156">
        <v>6395</v>
      </c>
      <c r="K107" s="1196">
        <v>5846</v>
      </c>
      <c r="L107" s="3156">
        <v>1116</v>
      </c>
      <c r="M107" s="1196">
        <v>4047</v>
      </c>
      <c r="N107" s="2010">
        <v>1424</v>
      </c>
      <c r="O107" s="1197">
        <f t="shared" si="1"/>
        <v>42564</v>
      </c>
      <c r="P107" s="1192"/>
      <c r="Q107" s="2009"/>
      <c r="R107" s="1193"/>
    </row>
    <row r="108" spans="1:18">
      <c r="A108" s="1188">
        <v>1999.03</v>
      </c>
      <c r="B108" s="1194">
        <v>567530</v>
      </c>
      <c r="C108" s="1302"/>
      <c r="D108" s="3358"/>
      <c r="E108" s="1302"/>
      <c r="F108" s="1195">
        <v>2108</v>
      </c>
      <c r="G108" s="1196">
        <v>14895</v>
      </c>
      <c r="H108" s="3156">
        <v>6636</v>
      </c>
      <c r="I108" s="1196">
        <v>5369</v>
      </c>
      <c r="J108" s="3156">
        <v>4287</v>
      </c>
      <c r="K108" s="1196">
        <v>9376</v>
      </c>
      <c r="L108" s="3156">
        <v>368</v>
      </c>
      <c r="M108" s="1196">
        <v>2945</v>
      </c>
      <c r="N108" s="2010">
        <v>2767</v>
      </c>
      <c r="O108" s="1197">
        <f t="shared" si="1"/>
        <v>48751</v>
      </c>
      <c r="P108" s="1192"/>
      <c r="Q108" s="2009"/>
      <c r="R108" s="1193"/>
    </row>
    <row r="109" spans="1:18">
      <c r="A109" s="1188">
        <v>1999.04</v>
      </c>
      <c r="B109" s="1194">
        <v>481145</v>
      </c>
      <c r="C109" s="1302"/>
      <c r="D109" s="3358"/>
      <c r="E109" s="1302"/>
      <c r="F109" s="1195">
        <v>1028</v>
      </c>
      <c r="G109" s="1196">
        <v>9274</v>
      </c>
      <c r="H109" s="3156">
        <v>5623</v>
      </c>
      <c r="I109" s="1196">
        <v>8455</v>
      </c>
      <c r="J109" s="3156">
        <v>5593</v>
      </c>
      <c r="K109" s="1196">
        <v>6666</v>
      </c>
      <c r="L109" s="3156">
        <v>939</v>
      </c>
      <c r="M109" s="1196">
        <v>4106</v>
      </c>
      <c r="N109" s="2010">
        <v>184</v>
      </c>
      <c r="O109" s="1197">
        <f t="shared" si="1"/>
        <v>41868</v>
      </c>
      <c r="P109" s="1192"/>
      <c r="Q109" s="2009"/>
      <c r="R109" s="1193"/>
    </row>
    <row r="110" spans="1:18">
      <c r="A110" s="1188">
        <v>1999.05</v>
      </c>
      <c r="B110" s="1194">
        <v>510985</v>
      </c>
      <c r="C110" s="1302"/>
      <c r="D110" s="3358"/>
      <c r="E110" s="1302"/>
      <c r="F110" s="1195">
        <v>857</v>
      </c>
      <c r="G110" s="1196">
        <v>3789</v>
      </c>
      <c r="H110" s="3156">
        <v>4435</v>
      </c>
      <c r="I110" s="1196">
        <v>6070</v>
      </c>
      <c r="J110" s="3156">
        <v>5155</v>
      </c>
      <c r="K110" s="1196">
        <v>3624</v>
      </c>
      <c r="L110" s="3156">
        <v>474</v>
      </c>
      <c r="M110" s="1196">
        <v>3706</v>
      </c>
      <c r="N110" s="2010">
        <v>1558</v>
      </c>
      <c r="O110" s="1197">
        <f t="shared" si="1"/>
        <v>29668</v>
      </c>
      <c r="P110" s="1192"/>
      <c r="Q110" s="2009"/>
      <c r="R110" s="1193"/>
    </row>
    <row r="111" spans="1:18">
      <c r="A111" s="1188">
        <v>1999.06</v>
      </c>
      <c r="B111" s="1194">
        <v>554494</v>
      </c>
      <c r="C111" s="1302"/>
      <c r="D111" s="3358"/>
      <c r="E111" s="1302"/>
      <c r="F111" s="1195">
        <v>1564</v>
      </c>
      <c r="G111" s="1196">
        <v>11576</v>
      </c>
      <c r="H111" s="3156">
        <v>5197</v>
      </c>
      <c r="I111" s="1196">
        <v>11123</v>
      </c>
      <c r="J111" s="3156">
        <v>9639</v>
      </c>
      <c r="K111" s="1196">
        <v>4523</v>
      </c>
      <c r="L111" s="3156">
        <v>662</v>
      </c>
      <c r="M111" s="1196">
        <v>7951</v>
      </c>
      <c r="N111" s="2010">
        <v>2657</v>
      </c>
      <c r="O111" s="1197">
        <f t="shared" si="1"/>
        <v>54892</v>
      </c>
      <c r="P111" s="1192"/>
      <c r="Q111" s="2009"/>
      <c r="R111" s="1193"/>
    </row>
    <row r="112" spans="1:18">
      <c r="A112" s="1188">
        <v>1999.07</v>
      </c>
      <c r="B112" s="1194">
        <v>665134</v>
      </c>
      <c r="C112" s="1302"/>
      <c r="D112" s="3358"/>
      <c r="E112" s="1302"/>
      <c r="F112" s="1195">
        <v>1527</v>
      </c>
      <c r="G112" s="1196">
        <v>6604</v>
      </c>
      <c r="H112" s="3156">
        <v>5619</v>
      </c>
      <c r="I112" s="1196">
        <v>12316</v>
      </c>
      <c r="J112" s="3156">
        <v>2019</v>
      </c>
      <c r="K112" s="1196">
        <v>5802</v>
      </c>
      <c r="L112" s="3156">
        <v>1348</v>
      </c>
      <c r="M112" s="1196">
        <v>5329</v>
      </c>
      <c r="N112" s="2010">
        <v>3039</v>
      </c>
      <c r="O112" s="1197">
        <f t="shared" si="1"/>
        <v>43603</v>
      </c>
      <c r="P112" s="1192"/>
      <c r="Q112" s="2009"/>
      <c r="R112" s="1193"/>
    </row>
    <row r="113" spans="1:18">
      <c r="A113" s="1188">
        <v>1999.08</v>
      </c>
      <c r="B113" s="1194">
        <v>485922</v>
      </c>
      <c r="C113" s="1302"/>
      <c r="D113" s="3358"/>
      <c r="E113" s="1302"/>
      <c r="F113" s="1195">
        <v>1280</v>
      </c>
      <c r="G113" s="1196">
        <v>8750</v>
      </c>
      <c r="H113" s="3156">
        <v>5092</v>
      </c>
      <c r="I113" s="1196">
        <v>12003</v>
      </c>
      <c r="J113" s="3156">
        <v>6275</v>
      </c>
      <c r="K113" s="1196">
        <v>4053</v>
      </c>
      <c r="L113" s="3156">
        <v>1142</v>
      </c>
      <c r="M113" s="1196">
        <v>3537</v>
      </c>
      <c r="N113" s="2010">
        <v>2099</v>
      </c>
      <c r="O113" s="1197">
        <f t="shared" si="1"/>
        <v>44231</v>
      </c>
      <c r="P113" s="1192"/>
      <c r="Q113" s="2009"/>
      <c r="R113" s="1193"/>
    </row>
    <row r="114" spans="1:18">
      <c r="A114" s="1188">
        <v>1999.09</v>
      </c>
      <c r="B114" s="1194">
        <v>675139</v>
      </c>
      <c r="C114" s="1302"/>
      <c r="D114" s="3358"/>
      <c r="E114" s="1302"/>
      <c r="F114" s="1195">
        <v>1855</v>
      </c>
      <c r="G114" s="1196">
        <v>7990</v>
      </c>
      <c r="H114" s="3156">
        <v>5774</v>
      </c>
      <c r="I114" s="1196">
        <v>9412</v>
      </c>
      <c r="J114" s="3156">
        <v>12674</v>
      </c>
      <c r="K114" s="1196">
        <v>3806</v>
      </c>
      <c r="L114" s="3156">
        <v>523</v>
      </c>
      <c r="M114" s="1196">
        <v>6907</v>
      </c>
      <c r="N114" s="2010">
        <v>5038</v>
      </c>
      <c r="O114" s="1197">
        <f t="shared" si="1"/>
        <v>53979</v>
      </c>
      <c r="P114" s="1192"/>
      <c r="Q114" s="2009"/>
      <c r="R114" s="1193"/>
    </row>
    <row r="115" spans="1:18">
      <c r="A115" s="1188">
        <v>1999.1</v>
      </c>
      <c r="B115" s="1194">
        <v>470356</v>
      </c>
      <c r="C115" s="1302"/>
      <c r="D115" s="3358"/>
      <c r="E115" s="1302"/>
      <c r="F115" s="1195">
        <v>1196</v>
      </c>
      <c r="G115" s="1196">
        <v>9044</v>
      </c>
      <c r="H115" s="3156">
        <v>4308</v>
      </c>
      <c r="I115" s="1196">
        <v>7484</v>
      </c>
      <c r="J115" s="3156">
        <v>6506</v>
      </c>
      <c r="K115" s="1196">
        <v>2855</v>
      </c>
      <c r="L115" s="3156">
        <v>1516</v>
      </c>
      <c r="M115" s="1196">
        <v>7480</v>
      </c>
      <c r="N115" s="2010">
        <v>3543</v>
      </c>
      <c r="O115" s="1197">
        <f t="shared" si="1"/>
        <v>43932</v>
      </c>
      <c r="P115" s="1192"/>
      <c r="Q115" s="2009"/>
      <c r="R115" s="1193"/>
    </row>
    <row r="116" spans="1:18">
      <c r="A116" s="1188">
        <v>1999.11</v>
      </c>
      <c r="B116" s="1194">
        <v>516762</v>
      </c>
      <c r="C116" s="1302"/>
      <c r="D116" s="3358"/>
      <c r="E116" s="1302"/>
      <c r="F116" s="1195">
        <v>1467</v>
      </c>
      <c r="G116" s="1196">
        <v>6491</v>
      </c>
      <c r="H116" s="3156">
        <v>4578</v>
      </c>
      <c r="I116" s="1196">
        <v>5713</v>
      </c>
      <c r="J116" s="3156">
        <v>9904</v>
      </c>
      <c r="K116" s="1196">
        <v>2798</v>
      </c>
      <c r="L116" s="3156">
        <v>1390</v>
      </c>
      <c r="M116" s="1196">
        <v>3363</v>
      </c>
      <c r="N116" s="2010">
        <v>1831</v>
      </c>
      <c r="O116" s="1197">
        <f t="shared" si="1"/>
        <v>37535</v>
      </c>
      <c r="P116" s="1192"/>
      <c r="Q116" s="2009"/>
      <c r="R116" s="1193"/>
    </row>
    <row r="117" spans="1:18">
      <c r="A117" s="1188">
        <v>1999.12</v>
      </c>
      <c r="B117" s="1194">
        <v>613787</v>
      </c>
      <c r="C117" s="1302"/>
      <c r="D117" s="3358"/>
      <c r="E117" s="1302"/>
      <c r="F117" s="1195">
        <v>982</v>
      </c>
      <c r="G117" s="1196">
        <v>6052</v>
      </c>
      <c r="H117" s="3156">
        <v>5115</v>
      </c>
      <c r="I117" s="1196">
        <v>8044</v>
      </c>
      <c r="J117" s="3156">
        <v>9056</v>
      </c>
      <c r="K117" s="1196">
        <v>2569</v>
      </c>
      <c r="L117" s="3156">
        <v>2713</v>
      </c>
      <c r="M117" s="1196">
        <v>18641</v>
      </c>
      <c r="N117" s="2010">
        <v>2588</v>
      </c>
      <c r="O117" s="1197">
        <f t="shared" si="1"/>
        <v>55760</v>
      </c>
      <c r="P117" s="1192"/>
      <c r="Q117" s="2009"/>
      <c r="R117" s="1193"/>
    </row>
    <row r="118" spans="1:18">
      <c r="A118" s="1188">
        <v>2000.01</v>
      </c>
      <c r="B118" s="1194">
        <v>411991.5</v>
      </c>
      <c r="C118" s="1302"/>
      <c r="D118" s="3358"/>
      <c r="E118" s="1302"/>
      <c r="F118" s="1195">
        <v>1442</v>
      </c>
      <c r="G118" s="1196">
        <v>2772</v>
      </c>
      <c r="H118" s="3156">
        <v>332</v>
      </c>
      <c r="I118" s="1196">
        <v>1528</v>
      </c>
      <c r="J118" s="3156">
        <v>3344</v>
      </c>
      <c r="K118" s="1196">
        <v>1832</v>
      </c>
      <c r="L118" s="3156">
        <v>1836</v>
      </c>
      <c r="M118" s="1196">
        <v>11388</v>
      </c>
      <c r="N118" s="2010">
        <v>4262</v>
      </c>
      <c r="O118" s="1197">
        <f t="shared" si="1"/>
        <v>28736</v>
      </c>
      <c r="P118" s="1192"/>
      <c r="Q118" s="2009"/>
      <c r="R118" s="1193"/>
    </row>
    <row r="119" spans="1:18">
      <c r="A119" s="1188">
        <v>2000.02</v>
      </c>
      <c r="B119" s="1194">
        <v>390673</v>
      </c>
      <c r="C119" s="1302"/>
      <c r="D119" s="3358"/>
      <c r="E119" s="1302"/>
      <c r="F119" s="1195">
        <v>2232</v>
      </c>
      <c r="G119" s="1196">
        <v>2811</v>
      </c>
      <c r="H119" s="3156">
        <v>3237</v>
      </c>
      <c r="I119" s="1196">
        <v>3106</v>
      </c>
      <c r="J119" s="3156">
        <v>4553</v>
      </c>
      <c r="K119" s="1196">
        <v>1203</v>
      </c>
      <c r="L119" s="3156">
        <v>1502</v>
      </c>
      <c r="M119" s="1196">
        <v>10106</v>
      </c>
      <c r="N119" s="2010">
        <v>4517</v>
      </c>
      <c r="O119" s="1197">
        <f t="shared" si="1"/>
        <v>33267</v>
      </c>
      <c r="P119" s="1192"/>
      <c r="Q119" s="2009"/>
      <c r="R119" s="1193"/>
    </row>
    <row r="120" spans="1:18">
      <c r="A120" s="1188">
        <v>2000.03</v>
      </c>
      <c r="B120" s="1194">
        <v>491400</v>
      </c>
      <c r="C120" s="1302"/>
      <c r="D120" s="3358"/>
      <c r="E120" s="1302"/>
      <c r="F120" s="1195">
        <v>1013</v>
      </c>
      <c r="G120" s="1196">
        <v>5070</v>
      </c>
      <c r="H120" s="3156">
        <v>6255</v>
      </c>
      <c r="I120" s="1196">
        <v>6102</v>
      </c>
      <c r="J120" s="3156">
        <v>5211</v>
      </c>
      <c r="K120" s="1196">
        <v>3776</v>
      </c>
      <c r="L120" s="3156">
        <v>1558</v>
      </c>
      <c r="M120" s="1196">
        <v>12619</v>
      </c>
      <c r="N120" s="2010">
        <v>893</v>
      </c>
      <c r="O120" s="1197">
        <f t="shared" si="1"/>
        <v>42497</v>
      </c>
      <c r="P120" s="1192"/>
      <c r="Q120" s="2009"/>
      <c r="R120" s="1193"/>
    </row>
    <row r="121" spans="1:18">
      <c r="A121" s="1188">
        <v>2000.04</v>
      </c>
      <c r="B121" s="1194">
        <v>474576</v>
      </c>
      <c r="C121" s="1302"/>
      <c r="D121" s="3358"/>
      <c r="E121" s="1302"/>
      <c r="F121" s="1195">
        <v>2042</v>
      </c>
      <c r="G121" s="1196">
        <v>3840</v>
      </c>
      <c r="H121" s="3156">
        <v>4686</v>
      </c>
      <c r="I121" s="1196">
        <v>5570</v>
      </c>
      <c r="J121" s="3156">
        <v>4268</v>
      </c>
      <c r="K121" s="1196">
        <v>2258</v>
      </c>
      <c r="L121" s="3156">
        <v>835</v>
      </c>
      <c r="M121" s="1196">
        <v>5040</v>
      </c>
      <c r="N121" s="2010">
        <v>2438</v>
      </c>
      <c r="O121" s="1197">
        <f t="shared" si="1"/>
        <v>30977</v>
      </c>
      <c r="P121" s="1192"/>
      <c r="Q121" s="2009"/>
      <c r="R121" s="1193"/>
    </row>
    <row r="122" spans="1:18">
      <c r="A122" s="1188">
        <v>2000.05</v>
      </c>
      <c r="B122" s="1194">
        <v>458275</v>
      </c>
      <c r="C122" s="1302"/>
      <c r="D122" s="3358"/>
      <c r="E122" s="1302"/>
      <c r="F122" s="1195">
        <v>3026</v>
      </c>
      <c r="G122" s="1196">
        <v>11289</v>
      </c>
      <c r="H122" s="3156">
        <v>5092</v>
      </c>
      <c r="I122" s="1196">
        <v>4652</v>
      </c>
      <c r="J122" s="3156">
        <v>4073</v>
      </c>
      <c r="K122" s="1196">
        <v>2344</v>
      </c>
      <c r="L122" s="3156">
        <v>837</v>
      </c>
      <c r="M122" s="1196">
        <v>5281</v>
      </c>
      <c r="N122" s="2010">
        <v>2801</v>
      </c>
      <c r="O122" s="1197">
        <f t="shared" si="1"/>
        <v>39395</v>
      </c>
      <c r="P122" s="1192"/>
      <c r="Q122" s="2009"/>
      <c r="R122" s="1193"/>
    </row>
    <row r="123" spans="1:18">
      <c r="A123" s="1188">
        <v>2000.06</v>
      </c>
      <c r="B123" s="1194">
        <v>495276</v>
      </c>
      <c r="C123" s="1302"/>
      <c r="D123" s="3358"/>
      <c r="E123" s="1302"/>
      <c r="F123" s="1195">
        <v>1580</v>
      </c>
      <c r="G123" s="1196">
        <v>5342</v>
      </c>
      <c r="H123" s="3156">
        <v>2680</v>
      </c>
      <c r="I123" s="1196">
        <v>3603</v>
      </c>
      <c r="J123" s="3156">
        <v>4540</v>
      </c>
      <c r="K123" s="1196">
        <v>2557</v>
      </c>
      <c r="L123" s="3156">
        <v>1590</v>
      </c>
      <c r="M123" s="1196">
        <v>3886</v>
      </c>
      <c r="N123" s="2010">
        <v>4602</v>
      </c>
      <c r="O123" s="1197">
        <f t="shared" si="1"/>
        <v>30380</v>
      </c>
      <c r="P123" s="1192"/>
      <c r="Q123" s="2009"/>
      <c r="R123" s="1193"/>
    </row>
    <row r="124" spans="1:18">
      <c r="A124" s="1188">
        <v>2000.07</v>
      </c>
      <c r="B124" s="1194">
        <v>492625</v>
      </c>
      <c r="C124" s="1302"/>
      <c r="D124" s="3358"/>
      <c r="E124" s="1302"/>
      <c r="F124" s="1195">
        <v>2277</v>
      </c>
      <c r="G124" s="1196">
        <v>5322</v>
      </c>
      <c r="H124" s="3156">
        <v>1685</v>
      </c>
      <c r="I124" s="1196">
        <v>8838</v>
      </c>
      <c r="J124" s="3156">
        <v>4262</v>
      </c>
      <c r="K124" s="1196">
        <v>3410</v>
      </c>
      <c r="L124" s="3156">
        <v>2350</v>
      </c>
      <c r="M124" s="1196">
        <v>2050</v>
      </c>
      <c r="N124" s="2010">
        <v>2026</v>
      </c>
      <c r="O124" s="1197">
        <f t="shared" si="1"/>
        <v>32220</v>
      </c>
      <c r="P124" s="1192"/>
      <c r="Q124" s="2009"/>
      <c r="R124" s="1193"/>
    </row>
    <row r="125" spans="1:18">
      <c r="A125" s="1188">
        <v>2000.08</v>
      </c>
      <c r="B125" s="1194">
        <v>653836</v>
      </c>
      <c r="C125" s="1302"/>
      <c r="D125" s="3358"/>
      <c r="E125" s="1302"/>
      <c r="F125" s="1195">
        <v>2636</v>
      </c>
      <c r="G125" s="1196">
        <v>9242</v>
      </c>
      <c r="H125" s="3156">
        <v>1653</v>
      </c>
      <c r="I125" s="1196">
        <v>6912</v>
      </c>
      <c r="J125" s="3156">
        <v>6640</v>
      </c>
      <c r="K125" s="1196">
        <v>7465</v>
      </c>
      <c r="L125" s="3156">
        <v>1885</v>
      </c>
      <c r="M125" s="1196">
        <v>2938</v>
      </c>
      <c r="N125" s="2010">
        <v>3167</v>
      </c>
      <c r="O125" s="1197">
        <f t="shared" si="1"/>
        <v>42538</v>
      </c>
      <c r="P125" s="1192"/>
      <c r="Q125" s="2009"/>
      <c r="R125" s="1193"/>
    </row>
    <row r="126" spans="1:18">
      <c r="A126" s="1188">
        <v>2000.09</v>
      </c>
      <c r="B126" s="1194">
        <v>614405</v>
      </c>
      <c r="C126" s="1302"/>
      <c r="D126" s="3358"/>
      <c r="E126" s="1302"/>
      <c r="F126" s="1195">
        <v>2528</v>
      </c>
      <c r="G126" s="1196">
        <v>6783</v>
      </c>
      <c r="H126" s="3156">
        <v>4307</v>
      </c>
      <c r="I126" s="1196">
        <v>6851</v>
      </c>
      <c r="J126" s="3156">
        <v>3657</v>
      </c>
      <c r="K126" s="1196">
        <v>1268</v>
      </c>
      <c r="L126" s="3156">
        <v>980</v>
      </c>
      <c r="M126" s="1196">
        <v>3452</v>
      </c>
      <c r="N126" s="2010">
        <v>3424</v>
      </c>
      <c r="O126" s="1197">
        <f t="shared" si="1"/>
        <v>33250</v>
      </c>
      <c r="P126" s="1192"/>
      <c r="Q126" s="2009"/>
      <c r="R126" s="1193"/>
    </row>
    <row r="127" spans="1:18">
      <c r="A127" s="1188">
        <v>2000.1</v>
      </c>
      <c r="B127" s="1194">
        <v>540904</v>
      </c>
      <c r="C127" s="1302"/>
      <c r="D127" s="3358"/>
      <c r="E127" s="1302"/>
      <c r="F127" s="1195">
        <v>2769</v>
      </c>
      <c r="G127" s="1196">
        <v>5895</v>
      </c>
      <c r="H127" s="3156">
        <v>4751</v>
      </c>
      <c r="I127" s="1196">
        <v>5181</v>
      </c>
      <c r="J127" s="3156">
        <v>3933</v>
      </c>
      <c r="K127" s="1196">
        <v>2151</v>
      </c>
      <c r="L127" s="3156">
        <v>2022</v>
      </c>
      <c r="M127" s="1196">
        <v>2420</v>
      </c>
      <c r="N127" s="2010">
        <v>2461</v>
      </c>
      <c r="O127" s="1197">
        <f t="shared" si="1"/>
        <v>31583</v>
      </c>
      <c r="P127" s="1192"/>
      <c r="Q127" s="2009"/>
      <c r="R127" s="1193"/>
    </row>
    <row r="128" spans="1:18">
      <c r="A128" s="1188">
        <v>2000.11</v>
      </c>
      <c r="B128" s="1194">
        <v>580286</v>
      </c>
      <c r="C128" s="1302"/>
      <c r="D128" s="3358"/>
      <c r="E128" s="1302"/>
      <c r="F128" s="1195">
        <v>771</v>
      </c>
      <c r="G128" s="1196">
        <v>6481</v>
      </c>
      <c r="H128" s="3156">
        <v>2564</v>
      </c>
      <c r="I128" s="1196">
        <v>2606</v>
      </c>
      <c r="J128" s="3156">
        <v>4937</v>
      </c>
      <c r="K128" s="1196">
        <v>5092</v>
      </c>
      <c r="L128" s="3156">
        <v>599</v>
      </c>
      <c r="M128" s="1196">
        <v>3263</v>
      </c>
      <c r="N128" s="2010">
        <v>1916</v>
      </c>
      <c r="O128" s="1197">
        <f t="shared" si="1"/>
        <v>28229</v>
      </c>
      <c r="P128" s="1192"/>
      <c r="Q128" s="2009"/>
      <c r="R128" s="1193"/>
    </row>
    <row r="129" spans="1:18">
      <c r="A129" s="1188">
        <v>2000.12</v>
      </c>
      <c r="B129" s="1194">
        <v>686340.47</v>
      </c>
      <c r="C129" s="1302"/>
      <c r="D129" s="3358"/>
      <c r="E129" s="1302"/>
      <c r="F129" s="1195">
        <v>767</v>
      </c>
      <c r="G129" s="1196">
        <v>9326</v>
      </c>
      <c r="H129" s="3156">
        <v>4704</v>
      </c>
      <c r="I129" s="1196">
        <v>3266</v>
      </c>
      <c r="J129" s="3156">
        <v>7167</v>
      </c>
      <c r="K129" s="1196">
        <v>3673</v>
      </c>
      <c r="L129" s="3156">
        <v>1014</v>
      </c>
      <c r="M129" s="1196">
        <v>2949</v>
      </c>
      <c r="N129" s="2010">
        <v>1806</v>
      </c>
      <c r="O129" s="1197">
        <f t="shared" si="1"/>
        <v>34672</v>
      </c>
      <c r="P129" s="1192"/>
      <c r="Q129" s="2009"/>
      <c r="R129" s="1193"/>
    </row>
    <row r="130" spans="1:18">
      <c r="A130" s="1188">
        <v>2001.01</v>
      </c>
      <c r="B130" s="1194">
        <v>421722</v>
      </c>
      <c r="C130" s="1302"/>
      <c r="D130" s="3358"/>
      <c r="E130" s="1302"/>
      <c r="F130" s="1195">
        <v>274</v>
      </c>
      <c r="G130" s="1196">
        <v>6941</v>
      </c>
      <c r="H130" s="3156">
        <v>0</v>
      </c>
      <c r="I130" s="1196">
        <v>4443</v>
      </c>
      <c r="J130" s="3156">
        <v>0</v>
      </c>
      <c r="K130" s="1196">
        <v>4840</v>
      </c>
      <c r="L130" s="3156">
        <v>760</v>
      </c>
      <c r="M130" s="1196">
        <v>2845</v>
      </c>
      <c r="N130" s="2010">
        <v>2962</v>
      </c>
      <c r="O130" s="1197">
        <f t="shared" si="1"/>
        <v>23065</v>
      </c>
      <c r="P130" s="1192"/>
      <c r="Q130" s="2009"/>
      <c r="R130" s="1193"/>
    </row>
    <row r="131" spans="1:18">
      <c r="A131" s="1188">
        <v>2001.02</v>
      </c>
      <c r="B131" s="1194">
        <v>459005</v>
      </c>
      <c r="C131" s="1302"/>
      <c r="D131" s="3358"/>
      <c r="E131" s="1302"/>
      <c r="F131" s="1195">
        <v>1350</v>
      </c>
      <c r="G131" s="1196">
        <v>13363</v>
      </c>
      <c r="H131" s="3156">
        <v>745</v>
      </c>
      <c r="I131" s="1196">
        <v>9520</v>
      </c>
      <c r="J131" s="3156">
        <v>3004</v>
      </c>
      <c r="K131" s="1196">
        <v>2709</v>
      </c>
      <c r="L131" s="3156">
        <v>1081</v>
      </c>
      <c r="M131" s="1196">
        <v>2621</v>
      </c>
      <c r="N131" s="2010">
        <v>2664</v>
      </c>
      <c r="O131" s="1197">
        <f t="shared" si="1"/>
        <v>37057</v>
      </c>
      <c r="P131" s="1192"/>
      <c r="Q131" s="2009"/>
      <c r="R131" s="1193"/>
    </row>
    <row r="132" spans="1:18">
      <c r="A132" s="1188">
        <v>2001.03</v>
      </c>
      <c r="B132" s="1194">
        <v>581471</v>
      </c>
      <c r="C132" s="1302"/>
      <c r="D132" s="3358"/>
      <c r="E132" s="1302"/>
      <c r="F132" s="1195">
        <v>670</v>
      </c>
      <c r="G132" s="1196">
        <v>4238</v>
      </c>
      <c r="H132" s="3156">
        <v>7163</v>
      </c>
      <c r="I132" s="1196">
        <v>4407</v>
      </c>
      <c r="J132" s="3156">
        <v>5163</v>
      </c>
      <c r="K132" s="1196">
        <v>4856</v>
      </c>
      <c r="L132" s="3156">
        <v>1797</v>
      </c>
      <c r="M132" s="1196">
        <v>4643</v>
      </c>
      <c r="N132" s="2010">
        <v>3440</v>
      </c>
      <c r="O132" s="1197">
        <f t="shared" si="1"/>
        <v>36377</v>
      </c>
      <c r="P132" s="1192"/>
      <c r="Q132" s="2009"/>
      <c r="R132" s="1193"/>
    </row>
    <row r="133" spans="1:18">
      <c r="A133" s="1188">
        <v>2001.04</v>
      </c>
      <c r="B133" s="1194">
        <v>462968</v>
      </c>
      <c r="C133" s="1302"/>
      <c r="D133" s="3358"/>
      <c r="E133" s="1302"/>
      <c r="F133" s="1195">
        <v>357</v>
      </c>
      <c r="G133" s="1196">
        <v>6545</v>
      </c>
      <c r="H133" s="3156">
        <v>3555</v>
      </c>
      <c r="I133" s="1196">
        <v>2998</v>
      </c>
      <c r="J133" s="3156">
        <v>1878</v>
      </c>
      <c r="K133" s="1196">
        <v>4002</v>
      </c>
      <c r="L133" s="3156">
        <v>1309</v>
      </c>
      <c r="M133" s="1196">
        <v>4514</v>
      </c>
      <c r="N133" s="2010">
        <v>2676</v>
      </c>
      <c r="O133" s="1197">
        <f t="shared" si="1"/>
        <v>27834</v>
      </c>
      <c r="P133" s="1192"/>
      <c r="Q133" s="2009"/>
      <c r="R133" s="1193"/>
    </row>
    <row r="134" spans="1:18">
      <c r="A134" s="1188">
        <v>2001.05</v>
      </c>
      <c r="B134" s="1194">
        <v>417676</v>
      </c>
      <c r="C134" s="1302"/>
      <c r="D134" s="3358"/>
      <c r="E134" s="1302"/>
      <c r="F134" s="1195">
        <v>2434</v>
      </c>
      <c r="G134" s="1196">
        <v>12042</v>
      </c>
      <c r="H134" s="3156">
        <v>4471</v>
      </c>
      <c r="I134" s="1196">
        <v>5779</v>
      </c>
      <c r="J134" s="3156">
        <v>3511</v>
      </c>
      <c r="K134" s="1196">
        <v>5764</v>
      </c>
      <c r="L134" s="3156">
        <v>2786</v>
      </c>
      <c r="M134" s="1196">
        <v>3651</v>
      </c>
      <c r="N134" s="2010">
        <v>3219</v>
      </c>
      <c r="O134" s="1197">
        <f t="shared" si="1"/>
        <v>43657</v>
      </c>
      <c r="P134" s="1192"/>
      <c r="Q134" s="2009"/>
      <c r="R134" s="1193"/>
    </row>
    <row r="135" spans="1:18">
      <c r="A135" s="1188">
        <v>2001.06</v>
      </c>
      <c r="B135" s="1194">
        <v>480551</v>
      </c>
      <c r="C135" s="1302"/>
      <c r="D135" s="3358"/>
      <c r="E135" s="1302"/>
      <c r="F135" s="1195">
        <v>1038</v>
      </c>
      <c r="G135" s="1196">
        <v>5771</v>
      </c>
      <c r="H135" s="3156">
        <v>3975</v>
      </c>
      <c r="I135" s="1196">
        <v>5549</v>
      </c>
      <c r="J135" s="3156">
        <v>3304</v>
      </c>
      <c r="K135" s="1196">
        <v>5712</v>
      </c>
      <c r="L135" s="3156">
        <v>993</v>
      </c>
      <c r="M135" s="1196">
        <v>2613</v>
      </c>
      <c r="N135" s="2010">
        <v>2454</v>
      </c>
      <c r="O135" s="1197">
        <f t="shared" si="1"/>
        <v>31409</v>
      </c>
      <c r="P135" s="1192"/>
      <c r="Q135" s="2009"/>
      <c r="R135" s="1193"/>
    </row>
    <row r="136" spans="1:18">
      <c r="A136" s="1188">
        <v>2001.07</v>
      </c>
      <c r="B136" s="1194">
        <v>468838</v>
      </c>
      <c r="C136" s="1302"/>
      <c r="D136" s="3358"/>
      <c r="E136" s="1302"/>
      <c r="F136" s="1195">
        <v>857</v>
      </c>
      <c r="G136" s="1196">
        <v>4533</v>
      </c>
      <c r="H136" s="3156">
        <v>1718</v>
      </c>
      <c r="I136" s="1196">
        <v>3879</v>
      </c>
      <c r="J136" s="3156">
        <v>3537</v>
      </c>
      <c r="K136" s="1196">
        <v>12522</v>
      </c>
      <c r="L136" s="3156">
        <v>1849</v>
      </c>
      <c r="M136" s="1196">
        <v>3155</v>
      </c>
      <c r="N136" s="2010">
        <v>2427</v>
      </c>
      <c r="O136" s="1197">
        <f t="shared" si="1"/>
        <v>34477</v>
      </c>
      <c r="P136" s="1192"/>
      <c r="Q136" s="2009"/>
      <c r="R136" s="1193"/>
    </row>
    <row r="137" spans="1:18">
      <c r="A137" s="1188">
        <v>2001.08</v>
      </c>
      <c r="B137" s="1194">
        <v>447622</v>
      </c>
      <c r="C137" s="1302"/>
      <c r="D137" s="3358"/>
      <c r="E137" s="1302"/>
      <c r="F137" s="1195">
        <v>393</v>
      </c>
      <c r="G137" s="1196">
        <v>8799</v>
      </c>
      <c r="H137" s="3156">
        <v>3981</v>
      </c>
      <c r="I137" s="1196">
        <v>5328</v>
      </c>
      <c r="J137" s="3156">
        <v>2095</v>
      </c>
      <c r="K137" s="1196">
        <v>4815</v>
      </c>
      <c r="L137" s="3156">
        <v>1111</v>
      </c>
      <c r="M137" s="1196">
        <v>3367</v>
      </c>
      <c r="N137" s="2010">
        <v>2995</v>
      </c>
      <c r="O137" s="1197">
        <f t="shared" si="1"/>
        <v>32884</v>
      </c>
      <c r="P137" s="1192"/>
      <c r="Q137" s="2009"/>
      <c r="R137" s="1193"/>
    </row>
    <row r="138" spans="1:18">
      <c r="A138" s="1188">
        <v>2001.09</v>
      </c>
      <c r="B138" s="1194">
        <v>370033</v>
      </c>
      <c r="C138" s="1302"/>
      <c r="D138" s="3358"/>
      <c r="E138" s="1302"/>
      <c r="F138" s="1195">
        <v>2257</v>
      </c>
      <c r="G138" s="1196">
        <v>12010</v>
      </c>
      <c r="H138" s="3156">
        <v>3053</v>
      </c>
      <c r="I138" s="1196">
        <v>8071</v>
      </c>
      <c r="J138" s="3156">
        <v>3331</v>
      </c>
      <c r="K138" s="1196">
        <v>6040</v>
      </c>
      <c r="L138" s="3156">
        <v>956</v>
      </c>
      <c r="M138" s="1196">
        <v>7920</v>
      </c>
      <c r="N138" s="2010">
        <v>4016</v>
      </c>
      <c r="O138" s="1197">
        <f t="shared" si="1"/>
        <v>47654</v>
      </c>
      <c r="P138" s="1192"/>
      <c r="Q138" s="2009"/>
      <c r="R138" s="1193"/>
    </row>
    <row r="139" spans="1:18">
      <c r="A139" s="1188">
        <v>2001.1</v>
      </c>
      <c r="B139" s="1194">
        <v>299046</v>
      </c>
      <c r="C139" s="1302"/>
      <c r="D139" s="3358"/>
      <c r="E139" s="1302"/>
      <c r="F139" s="1195">
        <v>913</v>
      </c>
      <c r="G139" s="1196">
        <v>6273</v>
      </c>
      <c r="H139" s="3156">
        <v>2868</v>
      </c>
      <c r="I139" s="1196">
        <v>4254</v>
      </c>
      <c r="J139" s="3156">
        <v>1678</v>
      </c>
      <c r="K139" s="1196">
        <v>6423</v>
      </c>
      <c r="L139" s="3156">
        <v>851</v>
      </c>
      <c r="M139" s="1196">
        <v>3250</v>
      </c>
      <c r="N139" s="2010">
        <v>1955</v>
      </c>
      <c r="O139" s="1197">
        <f t="shared" ref="O139:O202" si="2">_xlfn.AGGREGATE(9,6,F139:N139)</f>
        <v>28465</v>
      </c>
      <c r="P139" s="1192"/>
      <c r="Q139" s="2009"/>
      <c r="R139" s="1193"/>
    </row>
    <row r="140" spans="1:18">
      <c r="A140" s="1188">
        <v>2001.11</v>
      </c>
      <c r="B140" s="1194">
        <v>357539</v>
      </c>
      <c r="C140" s="1302"/>
      <c r="D140" s="3358"/>
      <c r="E140" s="1302"/>
      <c r="F140" s="1195">
        <v>1575</v>
      </c>
      <c r="G140" s="1196">
        <v>5099</v>
      </c>
      <c r="H140" s="3156">
        <v>2746</v>
      </c>
      <c r="I140" s="1196">
        <v>2263</v>
      </c>
      <c r="J140" s="3156">
        <v>2732</v>
      </c>
      <c r="K140" s="1196">
        <v>6717</v>
      </c>
      <c r="L140" s="3156">
        <v>1443</v>
      </c>
      <c r="M140" s="1196">
        <v>2522</v>
      </c>
      <c r="N140" s="2010">
        <v>2034</v>
      </c>
      <c r="O140" s="1197">
        <f t="shared" si="2"/>
        <v>27131</v>
      </c>
      <c r="P140" s="1192"/>
      <c r="Q140" s="2009"/>
      <c r="R140" s="1193"/>
    </row>
    <row r="141" spans="1:18">
      <c r="A141" s="1188">
        <v>2001.12</v>
      </c>
      <c r="B141" s="1194">
        <v>223630</v>
      </c>
      <c r="C141" s="1302"/>
      <c r="D141" s="3358"/>
      <c r="E141" s="1302"/>
      <c r="F141" s="1195">
        <v>1304</v>
      </c>
      <c r="G141" s="1196">
        <v>8403</v>
      </c>
      <c r="H141" s="3156">
        <v>2176</v>
      </c>
      <c r="I141" s="1196">
        <v>1595</v>
      </c>
      <c r="J141" s="3156">
        <v>699</v>
      </c>
      <c r="K141" s="1196">
        <v>7003</v>
      </c>
      <c r="L141" s="3156">
        <v>336</v>
      </c>
      <c r="M141" s="1196">
        <v>1321</v>
      </c>
      <c r="N141" s="2010">
        <v>1496</v>
      </c>
      <c r="O141" s="1197">
        <f t="shared" si="2"/>
        <v>24333</v>
      </c>
      <c r="P141" s="1192"/>
      <c r="Q141" s="2009"/>
      <c r="R141" s="1193"/>
    </row>
    <row r="142" spans="1:18">
      <c r="A142" s="1198">
        <v>2002.01</v>
      </c>
      <c r="B142" s="1194">
        <v>127130</v>
      </c>
      <c r="C142" s="1302"/>
      <c r="D142" s="3358"/>
      <c r="E142" s="1302"/>
      <c r="F142" s="1195">
        <v>993</v>
      </c>
      <c r="G142" s="1196">
        <v>0</v>
      </c>
      <c r="H142" s="3156">
        <v>476</v>
      </c>
      <c r="I142" s="1196">
        <v>2006</v>
      </c>
      <c r="J142" s="3156">
        <v>0</v>
      </c>
      <c r="K142" s="1196">
        <v>2788</v>
      </c>
      <c r="L142" s="3156">
        <v>378</v>
      </c>
      <c r="M142" s="1196">
        <v>1283</v>
      </c>
      <c r="N142" s="2010">
        <v>1953</v>
      </c>
      <c r="O142" s="1197">
        <f t="shared" si="2"/>
        <v>9877</v>
      </c>
      <c r="P142" s="1192"/>
      <c r="Q142" s="2009"/>
      <c r="R142" s="1193"/>
    </row>
    <row r="143" spans="1:18">
      <c r="A143" s="1198">
        <v>2002.02</v>
      </c>
      <c r="B143" s="1194">
        <v>184400</v>
      </c>
      <c r="C143" s="1302"/>
      <c r="D143" s="3358"/>
      <c r="E143" s="1302"/>
      <c r="F143" s="1195">
        <v>490</v>
      </c>
      <c r="G143" s="1196">
        <v>19195</v>
      </c>
      <c r="H143" s="3156">
        <v>2445</v>
      </c>
      <c r="I143" s="1196">
        <v>855</v>
      </c>
      <c r="J143" s="3156">
        <v>1295</v>
      </c>
      <c r="K143" s="1196">
        <v>4620</v>
      </c>
      <c r="L143" s="3156">
        <v>226</v>
      </c>
      <c r="M143" s="1196">
        <v>1404</v>
      </c>
      <c r="N143" s="2010">
        <v>930</v>
      </c>
      <c r="O143" s="1197">
        <f t="shared" si="2"/>
        <v>31460</v>
      </c>
      <c r="P143" s="1192"/>
      <c r="Q143" s="2009"/>
      <c r="R143" s="1193"/>
    </row>
    <row r="144" spans="1:18">
      <c r="A144" s="1198">
        <v>2002.03</v>
      </c>
      <c r="B144" s="1194">
        <v>287585</v>
      </c>
      <c r="C144" s="1302"/>
      <c r="D144" s="3358"/>
      <c r="E144" s="1302"/>
      <c r="F144" s="1195">
        <v>288</v>
      </c>
      <c r="G144" s="1196">
        <v>10122</v>
      </c>
      <c r="H144" s="3156">
        <v>1050</v>
      </c>
      <c r="I144" s="1196">
        <v>3627</v>
      </c>
      <c r="J144" s="3156">
        <v>1789</v>
      </c>
      <c r="K144" s="1196">
        <v>2873</v>
      </c>
      <c r="L144" s="3156">
        <v>718</v>
      </c>
      <c r="M144" s="1196">
        <v>1168</v>
      </c>
      <c r="N144" s="2010">
        <v>912</v>
      </c>
      <c r="O144" s="1197">
        <f t="shared" si="2"/>
        <v>22547</v>
      </c>
      <c r="P144" s="1192"/>
      <c r="Q144" s="2009"/>
      <c r="R144" s="1193"/>
    </row>
    <row r="145" spans="1:18">
      <c r="A145" s="1198">
        <v>2002.04</v>
      </c>
      <c r="B145" s="1194">
        <v>232922</v>
      </c>
      <c r="C145" s="1302"/>
      <c r="D145" s="3358"/>
      <c r="E145" s="1302"/>
      <c r="F145" s="1195">
        <v>424</v>
      </c>
      <c r="G145" s="1196">
        <v>5814</v>
      </c>
      <c r="H145" s="3156">
        <v>2736</v>
      </c>
      <c r="I145" s="1196">
        <v>6295</v>
      </c>
      <c r="J145" s="3156">
        <v>805</v>
      </c>
      <c r="K145" s="1196">
        <v>2132</v>
      </c>
      <c r="L145" s="3156">
        <v>1097</v>
      </c>
      <c r="M145" s="1196">
        <v>2673</v>
      </c>
      <c r="N145" s="2010">
        <v>1272</v>
      </c>
      <c r="O145" s="1197">
        <f t="shared" si="2"/>
        <v>23248</v>
      </c>
      <c r="P145" s="1192"/>
      <c r="Q145" s="2009"/>
      <c r="R145" s="1193"/>
    </row>
    <row r="146" spans="1:18">
      <c r="A146" s="1198">
        <v>2002.05</v>
      </c>
      <c r="B146" s="1194">
        <v>237156</v>
      </c>
      <c r="C146" s="1302"/>
      <c r="D146" s="3358"/>
      <c r="E146" s="1302"/>
      <c r="F146" s="1195">
        <v>1328</v>
      </c>
      <c r="G146" s="1196">
        <v>4297</v>
      </c>
      <c r="H146" s="3156">
        <v>2510</v>
      </c>
      <c r="I146" s="1196">
        <v>7097</v>
      </c>
      <c r="J146" s="3156">
        <v>2974</v>
      </c>
      <c r="K146" s="1196">
        <v>4361</v>
      </c>
      <c r="L146" s="3156">
        <v>1107</v>
      </c>
      <c r="M146" s="1196">
        <v>6402</v>
      </c>
      <c r="N146" s="2010">
        <v>2082</v>
      </c>
      <c r="O146" s="1197">
        <f t="shared" si="2"/>
        <v>32158</v>
      </c>
      <c r="P146" s="1192"/>
      <c r="Q146" s="2009"/>
      <c r="R146" s="1193"/>
    </row>
    <row r="147" spans="1:18">
      <c r="A147" s="1198">
        <v>2002.06</v>
      </c>
      <c r="B147" s="1194">
        <v>240045</v>
      </c>
      <c r="C147" s="1302"/>
      <c r="D147" s="3358"/>
      <c r="E147" s="1302"/>
      <c r="F147" s="1195">
        <v>1003</v>
      </c>
      <c r="G147" s="1196">
        <v>3155</v>
      </c>
      <c r="H147" s="3156">
        <v>6036</v>
      </c>
      <c r="I147" s="1196">
        <v>4426</v>
      </c>
      <c r="J147" s="3156">
        <v>1660</v>
      </c>
      <c r="K147" s="1196">
        <v>2984</v>
      </c>
      <c r="L147" s="3156">
        <v>1159</v>
      </c>
      <c r="M147" s="1196">
        <v>7821</v>
      </c>
      <c r="N147" s="2010">
        <v>1474</v>
      </c>
      <c r="O147" s="1197">
        <f t="shared" si="2"/>
        <v>29718</v>
      </c>
      <c r="P147" s="1192"/>
      <c r="Q147" s="2009"/>
      <c r="R147" s="1193"/>
    </row>
    <row r="148" spans="1:18">
      <c r="A148" s="1198">
        <v>2002.07</v>
      </c>
      <c r="B148" s="1194">
        <v>292697</v>
      </c>
      <c r="C148" s="1302"/>
      <c r="D148" s="3358"/>
      <c r="E148" s="1302"/>
      <c r="F148" s="1195">
        <v>3185</v>
      </c>
      <c r="G148" s="1196">
        <v>2345</v>
      </c>
      <c r="H148" s="3156">
        <v>3632</v>
      </c>
      <c r="I148" s="1196">
        <v>3980</v>
      </c>
      <c r="J148" s="3156">
        <v>1381</v>
      </c>
      <c r="K148" s="1196">
        <v>2093</v>
      </c>
      <c r="L148" s="3156">
        <v>828</v>
      </c>
      <c r="M148" s="1196">
        <v>7829</v>
      </c>
      <c r="N148" s="2010">
        <v>1644</v>
      </c>
      <c r="O148" s="1197">
        <f t="shared" si="2"/>
        <v>26917</v>
      </c>
      <c r="P148" s="1192"/>
      <c r="Q148" s="2009"/>
      <c r="R148" s="1193"/>
    </row>
    <row r="149" spans="1:18">
      <c r="A149" s="1198">
        <v>2002.08</v>
      </c>
      <c r="B149" s="1194">
        <v>261246</v>
      </c>
      <c r="C149" s="1302"/>
      <c r="D149" s="3358"/>
      <c r="E149" s="1302"/>
      <c r="F149" s="1195">
        <v>597</v>
      </c>
      <c r="G149" s="1196">
        <v>13877</v>
      </c>
      <c r="H149" s="3156">
        <v>3777</v>
      </c>
      <c r="I149" s="1196">
        <v>3712</v>
      </c>
      <c r="J149" s="3156">
        <v>3333</v>
      </c>
      <c r="K149" s="1196">
        <v>2124</v>
      </c>
      <c r="L149" s="3156">
        <v>569</v>
      </c>
      <c r="M149" s="1196">
        <v>5086</v>
      </c>
      <c r="N149" s="2010">
        <v>2716</v>
      </c>
      <c r="O149" s="1197">
        <f t="shared" si="2"/>
        <v>35791</v>
      </c>
      <c r="P149" s="1192"/>
      <c r="Q149" s="2009"/>
      <c r="R149" s="1193"/>
    </row>
    <row r="150" spans="1:18">
      <c r="A150" s="1198">
        <v>2002.09</v>
      </c>
      <c r="B150" s="1194">
        <v>271497</v>
      </c>
      <c r="C150" s="1302"/>
      <c r="D150" s="3358"/>
      <c r="E150" s="1302"/>
      <c r="F150" s="1195">
        <v>2240</v>
      </c>
      <c r="G150" s="1196">
        <v>5140</v>
      </c>
      <c r="H150" s="3156">
        <v>2218</v>
      </c>
      <c r="I150" s="1196">
        <v>3518</v>
      </c>
      <c r="J150" s="3156">
        <v>1844</v>
      </c>
      <c r="K150" s="1196">
        <v>2780</v>
      </c>
      <c r="L150" s="3156">
        <v>1363</v>
      </c>
      <c r="M150" s="1196">
        <v>10104</v>
      </c>
      <c r="N150" s="2010">
        <v>4773</v>
      </c>
      <c r="O150" s="1197">
        <f t="shared" si="2"/>
        <v>33980</v>
      </c>
      <c r="P150" s="1192"/>
      <c r="Q150" s="2009"/>
      <c r="R150" s="1193"/>
    </row>
    <row r="151" spans="1:18">
      <c r="A151" s="1198">
        <v>2002.1</v>
      </c>
      <c r="B151" s="1194">
        <v>321266</v>
      </c>
      <c r="C151" s="1302"/>
      <c r="D151" s="3358"/>
      <c r="E151" s="1302"/>
      <c r="F151" s="1195">
        <v>1775</v>
      </c>
      <c r="G151" s="1196">
        <v>5475</v>
      </c>
      <c r="H151" s="3156">
        <v>876</v>
      </c>
      <c r="I151" s="1196">
        <v>6711</v>
      </c>
      <c r="J151" s="3156">
        <v>4202</v>
      </c>
      <c r="K151" s="1196">
        <v>3869</v>
      </c>
      <c r="L151" s="3156">
        <v>362</v>
      </c>
      <c r="M151" s="1196">
        <v>6601</v>
      </c>
      <c r="N151" s="2010">
        <v>2783</v>
      </c>
      <c r="O151" s="1197">
        <f t="shared" si="2"/>
        <v>32654</v>
      </c>
      <c r="P151" s="1192"/>
      <c r="Q151" s="2009"/>
      <c r="R151" s="1193"/>
    </row>
    <row r="152" spans="1:18">
      <c r="A152" s="1198">
        <v>2002.11</v>
      </c>
      <c r="B152" s="1194">
        <v>250306</v>
      </c>
      <c r="C152" s="1302"/>
      <c r="D152" s="3358"/>
      <c r="E152" s="1302"/>
      <c r="F152" s="1195">
        <v>1381</v>
      </c>
      <c r="G152" s="1196">
        <v>4427</v>
      </c>
      <c r="H152" s="3156">
        <v>967</v>
      </c>
      <c r="I152" s="1196">
        <v>5133</v>
      </c>
      <c r="J152" s="3156">
        <v>7910</v>
      </c>
      <c r="K152" s="1196">
        <v>2270</v>
      </c>
      <c r="L152" s="3156">
        <v>992</v>
      </c>
      <c r="M152" s="1196">
        <v>5755</v>
      </c>
      <c r="N152" s="2010">
        <v>2940</v>
      </c>
      <c r="O152" s="1197">
        <f t="shared" si="2"/>
        <v>31775</v>
      </c>
      <c r="P152" s="1192"/>
      <c r="Q152" s="2009"/>
      <c r="R152" s="1193"/>
    </row>
    <row r="153" spans="1:18">
      <c r="A153" s="1198">
        <v>2002.12</v>
      </c>
      <c r="B153" s="1194">
        <v>331321</v>
      </c>
      <c r="C153" s="1302"/>
      <c r="D153" s="3358"/>
      <c r="E153" s="1302"/>
      <c r="F153" s="1195">
        <v>1530</v>
      </c>
      <c r="G153" s="1196">
        <v>11916</v>
      </c>
      <c r="H153" s="3156">
        <v>2585</v>
      </c>
      <c r="I153" s="1196">
        <v>433</v>
      </c>
      <c r="J153" s="3156">
        <v>14404</v>
      </c>
      <c r="K153" s="1196">
        <v>3732</v>
      </c>
      <c r="L153" s="3156">
        <v>722</v>
      </c>
      <c r="M153" s="1196">
        <v>4331</v>
      </c>
      <c r="N153" s="2010">
        <v>4147</v>
      </c>
      <c r="O153" s="1197">
        <f t="shared" si="2"/>
        <v>43800</v>
      </c>
      <c r="P153" s="1192"/>
      <c r="Q153" s="2009"/>
      <c r="R153" s="1193"/>
    </row>
    <row r="154" spans="1:18">
      <c r="A154" s="1198">
        <v>2003.01</v>
      </c>
      <c r="B154" s="1194">
        <v>221415</v>
      </c>
      <c r="C154" s="1302"/>
      <c r="D154" s="3358"/>
      <c r="E154" s="1302"/>
      <c r="F154" s="1195">
        <v>1931</v>
      </c>
      <c r="G154" s="1196">
        <v>0</v>
      </c>
      <c r="H154" s="3156">
        <v>562</v>
      </c>
      <c r="I154" s="1196">
        <v>0</v>
      </c>
      <c r="J154" s="3156">
        <v>0</v>
      </c>
      <c r="K154" s="1196">
        <v>2038</v>
      </c>
      <c r="L154" s="3156">
        <v>458</v>
      </c>
      <c r="M154" s="1196">
        <v>5576</v>
      </c>
      <c r="N154" s="2010">
        <v>4285</v>
      </c>
      <c r="O154" s="1197">
        <f t="shared" si="2"/>
        <v>14850</v>
      </c>
      <c r="P154" s="1192"/>
      <c r="Q154" s="2009"/>
      <c r="R154" s="1193"/>
    </row>
    <row r="155" spans="1:18">
      <c r="A155" s="1198">
        <v>2003.02</v>
      </c>
      <c r="B155" s="1194">
        <v>278421</v>
      </c>
      <c r="C155" s="1302"/>
      <c r="D155" s="3358"/>
      <c r="E155" s="1302"/>
      <c r="F155" s="1195">
        <v>2755</v>
      </c>
      <c r="G155" s="1196">
        <v>6322</v>
      </c>
      <c r="H155" s="3156">
        <v>7706</v>
      </c>
      <c r="I155" s="1196">
        <v>3593</v>
      </c>
      <c r="J155" s="3156">
        <v>3357</v>
      </c>
      <c r="K155" s="1196">
        <v>3598</v>
      </c>
      <c r="L155" s="3156">
        <v>797</v>
      </c>
      <c r="M155" s="1196">
        <v>3590</v>
      </c>
      <c r="N155" s="2010">
        <v>2554</v>
      </c>
      <c r="O155" s="1197">
        <f t="shared" si="2"/>
        <v>34272</v>
      </c>
      <c r="P155" s="1192"/>
      <c r="Q155" s="2009"/>
      <c r="R155" s="1193"/>
    </row>
    <row r="156" spans="1:18">
      <c r="A156" s="1198">
        <v>2003.03</v>
      </c>
      <c r="B156" s="1194">
        <v>327626</v>
      </c>
      <c r="C156" s="1302"/>
      <c r="D156" s="3358"/>
      <c r="E156" s="1302"/>
      <c r="F156" s="1195">
        <v>2450</v>
      </c>
      <c r="G156" s="1196">
        <v>7957</v>
      </c>
      <c r="H156" s="3156">
        <v>2753</v>
      </c>
      <c r="I156" s="1196">
        <v>7319</v>
      </c>
      <c r="J156" s="3156">
        <v>2849</v>
      </c>
      <c r="K156" s="1196">
        <v>2212</v>
      </c>
      <c r="L156" s="3156">
        <v>499</v>
      </c>
      <c r="M156" s="1196">
        <v>6281</v>
      </c>
      <c r="N156" s="2010">
        <v>4620</v>
      </c>
      <c r="O156" s="1197">
        <f t="shared" si="2"/>
        <v>36940</v>
      </c>
      <c r="P156" s="1192"/>
      <c r="Q156" s="2009"/>
      <c r="R156" s="1193"/>
    </row>
    <row r="157" spans="1:18">
      <c r="A157" s="1198">
        <v>2003.04</v>
      </c>
      <c r="B157" s="1194">
        <v>340317</v>
      </c>
      <c r="C157" s="1302"/>
      <c r="D157" s="3358"/>
      <c r="E157" s="1302"/>
      <c r="F157" s="1195">
        <v>2776</v>
      </c>
      <c r="G157" s="1196">
        <v>6159</v>
      </c>
      <c r="H157" s="3156">
        <v>4483</v>
      </c>
      <c r="I157" s="1196">
        <v>5053</v>
      </c>
      <c r="J157" s="3156">
        <v>2435</v>
      </c>
      <c r="K157" s="1196">
        <v>2380</v>
      </c>
      <c r="L157" s="3156">
        <v>1200</v>
      </c>
      <c r="M157" s="1196">
        <v>9085</v>
      </c>
      <c r="N157" s="2010">
        <v>4424</v>
      </c>
      <c r="O157" s="1197">
        <f t="shared" si="2"/>
        <v>37995</v>
      </c>
      <c r="P157" s="1192"/>
      <c r="Q157" s="2009"/>
      <c r="R157" s="1193"/>
    </row>
    <row r="158" spans="1:18">
      <c r="A158" s="1198">
        <v>2003.05</v>
      </c>
      <c r="B158" s="1194">
        <v>452157</v>
      </c>
      <c r="C158" s="1302"/>
      <c r="D158" s="3358"/>
      <c r="E158" s="1302"/>
      <c r="F158" s="1195">
        <v>1155</v>
      </c>
      <c r="G158" s="1196">
        <v>5146</v>
      </c>
      <c r="H158" s="3156">
        <v>1699</v>
      </c>
      <c r="I158" s="1196">
        <v>3851</v>
      </c>
      <c r="J158" s="3156">
        <v>1159</v>
      </c>
      <c r="K158" s="1196">
        <v>1877</v>
      </c>
      <c r="L158" s="3156">
        <v>810</v>
      </c>
      <c r="M158" s="1196">
        <v>7066</v>
      </c>
      <c r="N158" s="2010">
        <v>2503</v>
      </c>
      <c r="O158" s="1197">
        <f t="shared" si="2"/>
        <v>25266</v>
      </c>
      <c r="P158" s="1192"/>
      <c r="Q158" s="2009"/>
      <c r="R158" s="1193"/>
    </row>
    <row r="159" spans="1:18">
      <c r="A159" s="1198">
        <v>2003.06</v>
      </c>
      <c r="B159" s="1194">
        <v>795816</v>
      </c>
      <c r="C159" s="1302"/>
      <c r="D159" s="3358"/>
      <c r="E159" s="1302"/>
      <c r="F159" s="1195">
        <v>1270</v>
      </c>
      <c r="G159" s="1196">
        <v>3813</v>
      </c>
      <c r="H159" s="3156">
        <v>3188</v>
      </c>
      <c r="I159" s="1196">
        <v>2872</v>
      </c>
      <c r="J159" s="3156">
        <v>3266</v>
      </c>
      <c r="K159" s="1196">
        <v>3934</v>
      </c>
      <c r="L159" s="3156">
        <v>448</v>
      </c>
      <c r="M159" s="1196">
        <v>8924</v>
      </c>
      <c r="N159" s="2010">
        <v>3526</v>
      </c>
      <c r="O159" s="1197">
        <f t="shared" si="2"/>
        <v>31241</v>
      </c>
      <c r="P159" s="1192"/>
      <c r="Q159" s="2009"/>
      <c r="R159" s="1193"/>
    </row>
    <row r="160" spans="1:18">
      <c r="A160" s="1198">
        <v>2003.07</v>
      </c>
      <c r="B160" s="1194">
        <v>357081</v>
      </c>
      <c r="C160" s="1302"/>
      <c r="D160" s="3358"/>
      <c r="E160" s="1302"/>
      <c r="F160" s="1195">
        <v>2090</v>
      </c>
      <c r="G160" s="1196">
        <v>7045</v>
      </c>
      <c r="H160" s="3156">
        <v>1972</v>
      </c>
      <c r="I160" s="1196">
        <v>5566</v>
      </c>
      <c r="J160" s="3156">
        <v>1146</v>
      </c>
      <c r="K160" s="1196">
        <v>2720</v>
      </c>
      <c r="L160" s="3156">
        <v>522</v>
      </c>
      <c r="M160" s="1196">
        <v>8794</v>
      </c>
      <c r="N160" s="2010">
        <v>2758</v>
      </c>
      <c r="O160" s="1197">
        <f t="shared" si="2"/>
        <v>32613</v>
      </c>
      <c r="P160" s="1192"/>
      <c r="Q160" s="2009"/>
      <c r="R160" s="1193"/>
    </row>
    <row r="161" spans="1:18">
      <c r="A161" s="1198">
        <v>2003.08</v>
      </c>
      <c r="B161" s="1194">
        <v>373639</v>
      </c>
      <c r="C161" s="1302"/>
      <c r="D161" s="3358"/>
      <c r="E161" s="1302"/>
      <c r="F161" s="1195">
        <v>1700</v>
      </c>
      <c r="G161" s="1196">
        <v>3928</v>
      </c>
      <c r="H161" s="3156">
        <v>2661</v>
      </c>
      <c r="I161" s="1196">
        <v>1186</v>
      </c>
      <c r="J161" s="3156">
        <v>3881</v>
      </c>
      <c r="K161" s="1196">
        <v>2612</v>
      </c>
      <c r="L161" s="3156">
        <v>520</v>
      </c>
      <c r="M161" s="1196">
        <v>7086</v>
      </c>
      <c r="N161" s="2010">
        <v>1454</v>
      </c>
      <c r="O161" s="1197">
        <f t="shared" si="2"/>
        <v>25028</v>
      </c>
      <c r="P161" s="1192"/>
      <c r="Q161" s="2009"/>
      <c r="R161" s="1193"/>
    </row>
    <row r="162" spans="1:18">
      <c r="A162" s="1198">
        <v>2003.09</v>
      </c>
      <c r="B162" s="1194">
        <v>387682</v>
      </c>
      <c r="C162" s="1302"/>
      <c r="D162" s="3358"/>
      <c r="E162" s="1302"/>
      <c r="F162" s="1195">
        <v>1675</v>
      </c>
      <c r="G162" s="1196">
        <v>5243</v>
      </c>
      <c r="H162" s="3156">
        <v>3673</v>
      </c>
      <c r="I162" s="1196">
        <v>5383</v>
      </c>
      <c r="J162" s="3156">
        <v>2485</v>
      </c>
      <c r="K162" s="1196">
        <v>2553</v>
      </c>
      <c r="L162" s="3156">
        <v>1600</v>
      </c>
      <c r="M162" s="1196">
        <v>13215</v>
      </c>
      <c r="N162" s="2010">
        <v>2948</v>
      </c>
      <c r="O162" s="1197">
        <f t="shared" si="2"/>
        <v>38775</v>
      </c>
      <c r="P162" s="1192"/>
      <c r="Q162" s="2009"/>
      <c r="R162" s="1193"/>
    </row>
    <row r="163" spans="1:18">
      <c r="A163" s="1198">
        <v>2003.1</v>
      </c>
      <c r="B163" s="1194">
        <v>399427</v>
      </c>
      <c r="C163" s="1302"/>
      <c r="D163" s="3358"/>
      <c r="E163" s="1302"/>
      <c r="F163" s="1195">
        <v>961</v>
      </c>
      <c r="G163" s="1196">
        <v>6747</v>
      </c>
      <c r="H163" s="3156">
        <v>2378</v>
      </c>
      <c r="I163" s="1196">
        <v>3428</v>
      </c>
      <c r="J163" s="3156">
        <v>1504</v>
      </c>
      <c r="K163" s="1196">
        <v>5314</v>
      </c>
      <c r="L163" s="3156">
        <v>1680</v>
      </c>
      <c r="M163" s="1196">
        <v>13399</v>
      </c>
      <c r="N163" s="2010">
        <v>2364</v>
      </c>
      <c r="O163" s="1197">
        <f t="shared" si="2"/>
        <v>37775</v>
      </c>
      <c r="P163" s="1192"/>
      <c r="Q163" s="2009"/>
      <c r="R163" s="1193"/>
    </row>
    <row r="164" spans="1:18">
      <c r="A164" s="1198">
        <v>2003.11</v>
      </c>
      <c r="B164" s="1194">
        <v>584155</v>
      </c>
      <c r="C164" s="1302"/>
      <c r="D164" s="3358"/>
      <c r="E164" s="1302"/>
      <c r="F164" s="1195">
        <v>3365</v>
      </c>
      <c r="G164" s="1196">
        <v>11351</v>
      </c>
      <c r="H164" s="3156">
        <v>3757</v>
      </c>
      <c r="I164" s="1196">
        <v>4517</v>
      </c>
      <c r="J164" s="3156">
        <v>1281</v>
      </c>
      <c r="K164" s="1196">
        <v>2048</v>
      </c>
      <c r="L164" s="3156">
        <v>364</v>
      </c>
      <c r="M164" s="1196">
        <v>5251</v>
      </c>
      <c r="N164" s="2010">
        <v>1981</v>
      </c>
      <c r="O164" s="1197">
        <f t="shared" si="2"/>
        <v>33915</v>
      </c>
      <c r="P164" s="1192"/>
      <c r="Q164" s="2009"/>
      <c r="R164" s="1193"/>
    </row>
    <row r="165" spans="1:18">
      <c r="A165" s="1198">
        <v>2003.12</v>
      </c>
      <c r="B165" s="1194">
        <v>468128</v>
      </c>
      <c r="C165" s="1302"/>
      <c r="D165" s="3358"/>
      <c r="E165" s="1302"/>
      <c r="F165" s="1195">
        <v>2089</v>
      </c>
      <c r="G165" s="1196">
        <v>5719</v>
      </c>
      <c r="H165" s="3156">
        <v>1778</v>
      </c>
      <c r="I165" s="1196">
        <v>3563</v>
      </c>
      <c r="J165" s="3156">
        <v>2303</v>
      </c>
      <c r="K165" s="1196">
        <v>4839</v>
      </c>
      <c r="L165" s="3156">
        <v>1955</v>
      </c>
      <c r="M165" s="1196">
        <v>10222</v>
      </c>
      <c r="N165" s="2010">
        <v>1317</v>
      </c>
      <c r="O165" s="1197">
        <f t="shared" si="2"/>
        <v>33785</v>
      </c>
      <c r="P165" s="1192"/>
      <c r="Q165" s="2009"/>
      <c r="R165" s="1193"/>
    </row>
    <row r="166" spans="1:18">
      <c r="A166" s="1198">
        <v>2004.01</v>
      </c>
      <c r="B166" s="1194">
        <v>364587</v>
      </c>
      <c r="C166" s="1302"/>
      <c r="D166" s="3358"/>
      <c r="E166" s="1302"/>
      <c r="F166" s="1195">
        <v>353</v>
      </c>
      <c r="G166" s="1196">
        <v>1517</v>
      </c>
      <c r="H166" s="3156">
        <v>204</v>
      </c>
      <c r="I166" s="1196">
        <v>3517</v>
      </c>
      <c r="J166" s="3156">
        <v>926</v>
      </c>
      <c r="K166" s="1196">
        <v>823</v>
      </c>
      <c r="L166" s="3156">
        <v>749</v>
      </c>
      <c r="M166" s="1196">
        <v>2716</v>
      </c>
      <c r="N166" s="2010">
        <v>2955</v>
      </c>
      <c r="O166" s="1197">
        <f t="shared" si="2"/>
        <v>13760</v>
      </c>
      <c r="P166" s="1192"/>
      <c r="Q166" s="2009"/>
      <c r="R166" s="1193"/>
    </row>
    <row r="167" spans="1:18">
      <c r="A167" s="1198">
        <v>2004.02</v>
      </c>
      <c r="B167" s="1194">
        <v>327088</v>
      </c>
      <c r="C167" s="1302"/>
      <c r="D167" s="3358"/>
      <c r="E167" s="1302"/>
      <c r="F167" s="1195">
        <v>1614</v>
      </c>
      <c r="G167" s="1196">
        <v>10002</v>
      </c>
      <c r="H167" s="3156">
        <v>633</v>
      </c>
      <c r="I167" s="1196">
        <v>3824</v>
      </c>
      <c r="J167" s="3156">
        <v>1291</v>
      </c>
      <c r="K167" s="1196">
        <v>2868</v>
      </c>
      <c r="L167" s="3156">
        <v>528</v>
      </c>
      <c r="M167" s="1196">
        <v>5719</v>
      </c>
      <c r="N167" s="2010">
        <v>2206</v>
      </c>
      <c r="O167" s="1197">
        <f t="shared" si="2"/>
        <v>28685</v>
      </c>
      <c r="P167" s="1192"/>
      <c r="Q167" s="2009"/>
      <c r="R167" s="1193"/>
    </row>
    <row r="168" spans="1:18">
      <c r="A168" s="1198">
        <v>2004.03</v>
      </c>
      <c r="B168" s="1194">
        <v>500987</v>
      </c>
      <c r="C168" s="1302"/>
      <c r="D168" s="3358"/>
      <c r="E168" s="1302"/>
      <c r="F168" s="1195">
        <v>2148</v>
      </c>
      <c r="G168" s="1196">
        <v>8167</v>
      </c>
      <c r="H168" s="3156">
        <v>3013</v>
      </c>
      <c r="I168" s="1196">
        <v>2442</v>
      </c>
      <c r="J168" s="3156">
        <v>2025</v>
      </c>
      <c r="K168" s="1196">
        <v>4653</v>
      </c>
      <c r="L168" s="3156">
        <v>1307</v>
      </c>
      <c r="M168" s="1196">
        <v>10414</v>
      </c>
      <c r="N168" s="2010">
        <v>1892</v>
      </c>
      <c r="O168" s="1197">
        <f t="shared" si="2"/>
        <v>36061</v>
      </c>
      <c r="P168" s="1192"/>
      <c r="Q168" s="2009"/>
      <c r="R168" s="1193"/>
    </row>
    <row r="169" spans="1:18">
      <c r="A169" s="1198">
        <v>2004.04</v>
      </c>
      <c r="B169" s="1194">
        <v>381955</v>
      </c>
      <c r="C169" s="1302"/>
      <c r="D169" s="3358"/>
      <c r="E169" s="1302"/>
      <c r="F169" s="1195">
        <v>1098</v>
      </c>
      <c r="G169" s="1196">
        <v>6579</v>
      </c>
      <c r="H169" s="3156">
        <v>3085</v>
      </c>
      <c r="I169" s="1196">
        <v>3411</v>
      </c>
      <c r="J169" s="3156">
        <v>1226</v>
      </c>
      <c r="K169" s="1196">
        <v>3441</v>
      </c>
      <c r="L169" s="3156">
        <v>1210</v>
      </c>
      <c r="M169" s="1196">
        <v>6073</v>
      </c>
      <c r="N169" s="2010">
        <v>1487</v>
      </c>
      <c r="O169" s="1197">
        <f t="shared" si="2"/>
        <v>27610</v>
      </c>
      <c r="P169" s="1192"/>
      <c r="Q169" s="2009"/>
      <c r="R169" s="1193"/>
    </row>
    <row r="170" spans="1:18">
      <c r="A170" s="1198">
        <v>2004.05</v>
      </c>
      <c r="B170" s="1194">
        <v>405586</v>
      </c>
      <c r="C170" s="1302"/>
      <c r="D170" s="3358"/>
      <c r="E170" s="1302"/>
      <c r="F170" s="1195">
        <v>343</v>
      </c>
      <c r="G170" s="1196">
        <v>9899</v>
      </c>
      <c r="H170" s="3156">
        <v>4757</v>
      </c>
      <c r="I170" s="1196">
        <v>3795</v>
      </c>
      <c r="J170" s="3156">
        <v>2945</v>
      </c>
      <c r="K170" s="1196">
        <v>3001</v>
      </c>
      <c r="L170" s="3156">
        <v>1295</v>
      </c>
      <c r="M170" s="1196">
        <v>8168</v>
      </c>
      <c r="N170" s="2010">
        <v>1906</v>
      </c>
      <c r="O170" s="1197">
        <f t="shared" si="2"/>
        <v>36109</v>
      </c>
      <c r="P170" s="1192"/>
      <c r="Q170" s="2009"/>
      <c r="R170" s="1193"/>
    </row>
    <row r="171" spans="1:18">
      <c r="A171" s="1198">
        <v>2004.06</v>
      </c>
      <c r="B171" s="1194">
        <v>542474</v>
      </c>
      <c r="C171" s="1302"/>
      <c r="D171" s="3358"/>
      <c r="E171" s="1302"/>
      <c r="F171" s="1195">
        <v>1177</v>
      </c>
      <c r="G171" s="1196">
        <v>9707</v>
      </c>
      <c r="H171" s="3156">
        <v>4291</v>
      </c>
      <c r="I171" s="1196">
        <v>4923</v>
      </c>
      <c r="J171" s="3156">
        <v>3245</v>
      </c>
      <c r="K171" s="1196">
        <v>3060</v>
      </c>
      <c r="L171" s="3156">
        <v>2595</v>
      </c>
      <c r="M171" s="1196">
        <v>5248</v>
      </c>
      <c r="N171" s="2010">
        <v>1698</v>
      </c>
      <c r="O171" s="1197">
        <f t="shared" si="2"/>
        <v>35944</v>
      </c>
      <c r="P171" s="1192"/>
      <c r="Q171" s="2009"/>
      <c r="R171" s="1193"/>
    </row>
    <row r="172" spans="1:18">
      <c r="A172" s="1198">
        <v>2004.07</v>
      </c>
      <c r="B172" s="1194">
        <v>451780</v>
      </c>
      <c r="C172" s="1302"/>
      <c r="D172" s="3358"/>
      <c r="E172" s="1302"/>
      <c r="F172" s="1195">
        <v>2364</v>
      </c>
      <c r="G172" s="1196">
        <v>14889</v>
      </c>
      <c r="H172" s="3156">
        <v>3218</v>
      </c>
      <c r="I172" s="1196">
        <v>4021</v>
      </c>
      <c r="J172" s="3156">
        <v>2222</v>
      </c>
      <c r="K172" s="1196">
        <v>5516</v>
      </c>
      <c r="L172" s="3156">
        <v>1307</v>
      </c>
      <c r="M172" s="1196">
        <v>5545</v>
      </c>
      <c r="N172" s="2010">
        <v>3895</v>
      </c>
      <c r="O172" s="1197">
        <f t="shared" si="2"/>
        <v>42977</v>
      </c>
      <c r="P172" s="1192"/>
      <c r="Q172" s="2009"/>
      <c r="R172" s="1193"/>
    </row>
    <row r="173" spans="1:18">
      <c r="A173" s="1198">
        <v>2004.08</v>
      </c>
      <c r="B173" s="1194">
        <v>500665</v>
      </c>
      <c r="C173" s="1302"/>
      <c r="D173" s="3358"/>
      <c r="E173" s="1302"/>
      <c r="F173" s="1195">
        <v>1498</v>
      </c>
      <c r="G173" s="1196">
        <v>22021</v>
      </c>
      <c r="H173" s="3156">
        <v>2794</v>
      </c>
      <c r="I173" s="1196">
        <v>6374</v>
      </c>
      <c r="J173" s="3156">
        <v>4110</v>
      </c>
      <c r="K173" s="1196">
        <v>2078</v>
      </c>
      <c r="L173" s="3156">
        <v>2541</v>
      </c>
      <c r="M173" s="1196">
        <v>4887</v>
      </c>
      <c r="N173" s="2010">
        <v>2523</v>
      </c>
      <c r="O173" s="1197">
        <f t="shared" si="2"/>
        <v>48826</v>
      </c>
      <c r="P173" s="1192"/>
      <c r="Q173" s="2009"/>
      <c r="R173" s="1193"/>
    </row>
    <row r="174" spans="1:18">
      <c r="A174" s="1198">
        <v>2004.09</v>
      </c>
      <c r="B174" s="1194">
        <v>630549</v>
      </c>
      <c r="C174" s="1302"/>
      <c r="D174" s="3358"/>
      <c r="E174" s="1302"/>
      <c r="F174" s="1195">
        <v>1526</v>
      </c>
      <c r="G174" s="1196">
        <v>16449</v>
      </c>
      <c r="H174" s="3156">
        <v>3716</v>
      </c>
      <c r="I174" s="1196">
        <v>7749</v>
      </c>
      <c r="J174" s="3156">
        <v>3625</v>
      </c>
      <c r="K174" s="1196">
        <v>7196</v>
      </c>
      <c r="L174" s="3156">
        <v>984</v>
      </c>
      <c r="M174" s="1196">
        <v>8718</v>
      </c>
      <c r="N174" s="2010">
        <v>2429</v>
      </c>
      <c r="O174" s="1197">
        <f t="shared" si="2"/>
        <v>52392</v>
      </c>
      <c r="P174" s="1192"/>
      <c r="Q174" s="2009"/>
      <c r="R174" s="1193"/>
    </row>
    <row r="175" spans="1:18">
      <c r="A175" s="1198">
        <v>2004.1</v>
      </c>
      <c r="B175" s="1194">
        <v>589511</v>
      </c>
      <c r="C175" s="1302"/>
      <c r="D175" s="3358"/>
      <c r="E175" s="1302"/>
      <c r="F175" s="1195">
        <v>2376</v>
      </c>
      <c r="G175" s="1196">
        <v>9138</v>
      </c>
      <c r="H175" s="3156">
        <v>3563</v>
      </c>
      <c r="I175" s="1196">
        <v>3033</v>
      </c>
      <c r="J175" s="3156">
        <v>5675</v>
      </c>
      <c r="K175" s="1196">
        <v>7170</v>
      </c>
      <c r="L175" s="3156">
        <v>1402</v>
      </c>
      <c r="M175" s="1196">
        <v>7809</v>
      </c>
      <c r="N175" s="2010">
        <v>2454</v>
      </c>
      <c r="O175" s="1197">
        <f t="shared" si="2"/>
        <v>42620</v>
      </c>
      <c r="P175" s="1192"/>
      <c r="Q175" s="2009"/>
      <c r="R175" s="1193"/>
    </row>
    <row r="176" spans="1:18">
      <c r="A176" s="1198">
        <v>2004.11</v>
      </c>
      <c r="B176" s="1194">
        <v>562669</v>
      </c>
      <c r="C176" s="1302"/>
      <c r="D176" s="3358"/>
      <c r="E176" s="1302"/>
      <c r="F176" s="1195">
        <v>2018</v>
      </c>
      <c r="G176" s="1196">
        <v>10864</v>
      </c>
      <c r="H176" s="3156">
        <v>2263</v>
      </c>
      <c r="I176" s="1196">
        <v>6374</v>
      </c>
      <c r="J176" s="3156">
        <v>1132</v>
      </c>
      <c r="K176" s="1196">
        <v>3657</v>
      </c>
      <c r="L176" s="3156">
        <v>1469</v>
      </c>
      <c r="M176" s="1196">
        <v>4129</v>
      </c>
      <c r="N176" s="2010">
        <v>3725</v>
      </c>
      <c r="O176" s="1197">
        <f t="shared" si="2"/>
        <v>35631</v>
      </c>
      <c r="P176" s="1192"/>
      <c r="Q176" s="2009"/>
      <c r="R176" s="1193"/>
    </row>
    <row r="177" spans="1:18">
      <c r="A177" s="1198">
        <v>2004.12</v>
      </c>
      <c r="B177" s="1194">
        <v>498701</v>
      </c>
      <c r="C177" s="1302"/>
      <c r="D177" s="3358"/>
      <c r="E177" s="1302"/>
      <c r="F177" s="1195">
        <v>3247</v>
      </c>
      <c r="G177" s="1196">
        <v>12081</v>
      </c>
      <c r="H177" s="3156">
        <v>4244</v>
      </c>
      <c r="I177" s="1196">
        <v>9284</v>
      </c>
      <c r="J177" s="3156">
        <v>3492</v>
      </c>
      <c r="K177" s="1196">
        <v>2932</v>
      </c>
      <c r="L177" s="3156">
        <v>1034</v>
      </c>
      <c r="M177" s="1196">
        <v>7272</v>
      </c>
      <c r="N177" s="2010">
        <v>2469</v>
      </c>
      <c r="O177" s="1197">
        <f t="shared" si="2"/>
        <v>46055</v>
      </c>
      <c r="P177" s="1192"/>
      <c r="Q177" s="2009"/>
      <c r="R177" s="1193"/>
    </row>
    <row r="178" spans="1:18">
      <c r="A178" s="1198">
        <v>2005.01</v>
      </c>
      <c r="B178" s="1194">
        <v>569799</v>
      </c>
      <c r="C178" s="1302"/>
      <c r="D178" s="3358"/>
      <c r="E178" s="1302"/>
      <c r="F178" s="1195">
        <v>1947</v>
      </c>
      <c r="G178" s="1196">
        <v>0</v>
      </c>
      <c r="H178" s="3156">
        <v>1625</v>
      </c>
      <c r="I178" s="1196">
        <v>9311</v>
      </c>
      <c r="J178" s="3156">
        <v>1901</v>
      </c>
      <c r="K178" s="1196">
        <v>4356</v>
      </c>
      <c r="L178" s="3156">
        <v>2833</v>
      </c>
      <c r="M178" s="1196">
        <v>3784</v>
      </c>
      <c r="N178" s="2010">
        <v>1469</v>
      </c>
      <c r="O178" s="1197">
        <f t="shared" si="2"/>
        <v>27226</v>
      </c>
      <c r="P178" s="1192"/>
      <c r="Q178" s="2009"/>
      <c r="R178" s="1193"/>
    </row>
    <row r="179" spans="1:18">
      <c r="A179" s="1198">
        <v>2005.02</v>
      </c>
      <c r="B179" s="1194">
        <v>406736</v>
      </c>
      <c r="C179" s="1302"/>
      <c r="D179" s="3358"/>
      <c r="E179" s="1302"/>
      <c r="F179" s="1195">
        <v>883</v>
      </c>
      <c r="G179" s="1196">
        <v>10654</v>
      </c>
      <c r="H179" s="3156">
        <v>753</v>
      </c>
      <c r="I179" s="1196">
        <v>0</v>
      </c>
      <c r="J179" s="3156">
        <v>1387</v>
      </c>
      <c r="K179" s="1196">
        <v>1682</v>
      </c>
      <c r="L179" s="3156">
        <v>790</v>
      </c>
      <c r="M179" s="1196">
        <v>6995</v>
      </c>
      <c r="N179" s="2010">
        <v>3542</v>
      </c>
      <c r="O179" s="1197">
        <f t="shared" si="2"/>
        <v>26686</v>
      </c>
      <c r="P179" s="1192"/>
      <c r="Q179" s="2009"/>
      <c r="R179" s="1193"/>
    </row>
    <row r="180" spans="1:18">
      <c r="A180" s="1198">
        <v>2005.03</v>
      </c>
      <c r="B180" s="1194">
        <v>565203</v>
      </c>
      <c r="C180" s="1302"/>
      <c r="D180" s="3358"/>
      <c r="E180" s="1302"/>
      <c r="F180" s="1195">
        <v>1105</v>
      </c>
      <c r="G180" s="1196">
        <v>8852</v>
      </c>
      <c r="H180" s="3156">
        <v>5362</v>
      </c>
      <c r="I180" s="1196">
        <v>9474</v>
      </c>
      <c r="J180" s="3156">
        <v>4203</v>
      </c>
      <c r="K180" s="1196">
        <v>5001</v>
      </c>
      <c r="L180" s="3156">
        <v>2463</v>
      </c>
      <c r="M180" s="1196">
        <v>6521</v>
      </c>
      <c r="N180" s="2010">
        <v>3428</v>
      </c>
      <c r="O180" s="1197">
        <f t="shared" si="2"/>
        <v>46409</v>
      </c>
      <c r="P180" s="1192"/>
      <c r="Q180" s="2009"/>
      <c r="R180" s="1193"/>
    </row>
    <row r="181" spans="1:18">
      <c r="A181" s="1198">
        <v>2005.04</v>
      </c>
      <c r="B181" s="1194">
        <v>611311</v>
      </c>
      <c r="C181" s="1302"/>
      <c r="D181" s="3358"/>
      <c r="E181" s="1302"/>
      <c r="F181" s="1195">
        <v>3593</v>
      </c>
      <c r="G181" s="1196">
        <v>18694</v>
      </c>
      <c r="H181" s="3156">
        <v>5067</v>
      </c>
      <c r="I181" s="1196">
        <v>5704</v>
      </c>
      <c r="J181" s="3156">
        <v>3942</v>
      </c>
      <c r="K181" s="1196">
        <v>3940</v>
      </c>
      <c r="L181" s="3156">
        <v>1938</v>
      </c>
      <c r="M181" s="1196">
        <v>2418</v>
      </c>
      <c r="N181" s="2010">
        <v>3035</v>
      </c>
      <c r="O181" s="1197">
        <f t="shared" si="2"/>
        <v>48331</v>
      </c>
      <c r="P181" s="1192"/>
      <c r="Q181" s="2009"/>
      <c r="R181" s="1193"/>
    </row>
    <row r="182" spans="1:18">
      <c r="A182" s="1198">
        <v>2005.05</v>
      </c>
      <c r="B182" s="1194">
        <v>674222</v>
      </c>
      <c r="C182" s="1302"/>
      <c r="D182" s="3358"/>
      <c r="E182" s="1302"/>
      <c r="F182" s="1195">
        <v>2451</v>
      </c>
      <c r="G182" s="1196">
        <v>12950</v>
      </c>
      <c r="H182" s="3156">
        <v>4371</v>
      </c>
      <c r="I182" s="1196">
        <v>6265</v>
      </c>
      <c r="J182" s="3156">
        <v>8346</v>
      </c>
      <c r="K182" s="1196">
        <v>4972</v>
      </c>
      <c r="L182" s="3156">
        <v>1420</v>
      </c>
      <c r="M182" s="1196">
        <v>6927</v>
      </c>
      <c r="N182" s="2010">
        <v>3940</v>
      </c>
      <c r="O182" s="1197">
        <f t="shared" si="2"/>
        <v>51642</v>
      </c>
      <c r="P182" s="1192"/>
      <c r="Q182" s="2009"/>
      <c r="R182" s="1193"/>
    </row>
    <row r="183" spans="1:18">
      <c r="A183" s="1198">
        <v>2005.06</v>
      </c>
      <c r="B183" s="1194">
        <v>789441</v>
      </c>
      <c r="C183" s="1302"/>
      <c r="D183" s="3358"/>
      <c r="E183" s="1302"/>
      <c r="F183" s="1195">
        <v>1762</v>
      </c>
      <c r="G183" s="1196">
        <v>21960</v>
      </c>
      <c r="H183" s="3156">
        <v>3416</v>
      </c>
      <c r="I183" s="1196">
        <v>6525</v>
      </c>
      <c r="J183" s="3156">
        <v>3095</v>
      </c>
      <c r="K183" s="1196">
        <v>6096</v>
      </c>
      <c r="L183" s="3156">
        <v>3314</v>
      </c>
      <c r="M183" s="1196">
        <v>10085</v>
      </c>
      <c r="N183" s="2010">
        <v>2746</v>
      </c>
      <c r="O183" s="1197">
        <f t="shared" si="2"/>
        <v>58999</v>
      </c>
      <c r="P183" s="1192"/>
      <c r="Q183" s="2009"/>
      <c r="R183" s="1193"/>
    </row>
    <row r="184" spans="1:18">
      <c r="A184" s="1198">
        <v>2005.07</v>
      </c>
      <c r="B184" s="1194">
        <v>637772</v>
      </c>
      <c r="C184" s="1302"/>
      <c r="D184" s="3358"/>
      <c r="E184" s="1302"/>
      <c r="F184" s="1195">
        <v>1988</v>
      </c>
      <c r="G184" s="1196">
        <v>13295</v>
      </c>
      <c r="H184" s="3156">
        <v>6105</v>
      </c>
      <c r="I184" s="1196">
        <v>5046</v>
      </c>
      <c r="J184" s="3156">
        <v>3327</v>
      </c>
      <c r="K184" s="1196">
        <v>4966</v>
      </c>
      <c r="L184" s="3156">
        <v>2438</v>
      </c>
      <c r="M184" s="1196">
        <v>5339</v>
      </c>
      <c r="N184" s="2010">
        <v>5077</v>
      </c>
      <c r="O184" s="1197">
        <f t="shared" si="2"/>
        <v>47581</v>
      </c>
      <c r="P184" s="1192"/>
      <c r="Q184" s="2009"/>
      <c r="R184" s="1193"/>
    </row>
    <row r="185" spans="1:18">
      <c r="A185" s="1198">
        <v>2005.08</v>
      </c>
      <c r="B185" s="1194">
        <v>602838</v>
      </c>
      <c r="C185" s="1302"/>
      <c r="D185" s="3358"/>
      <c r="E185" s="1302"/>
      <c r="F185" s="1195">
        <v>1968</v>
      </c>
      <c r="G185" s="1196">
        <v>15010</v>
      </c>
      <c r="H185" s="3156">
        <v>6173</v>
      </c>
      <c r="I185" s="1196">
        <v>3849</v>
      </c>
      <c r="J185" s="3156">
        <v>2790</v>
      </c>
      <c r="K185" s="1196">
        <v>6527</v>
      </c>
      <c r="L185" s="3156">
        <v>2135</v>
      </c>
      <c r="M185" s="1196">
        <v>10590</v>
      </c>
      <c r="N185" s="2010">
        <v>5137</v>
      </c>
      <c r="O185" s="1197">
        <f t="shared" si="2"/>
        <v>54179</v>
      </c>
      <c r="P185" s="1192"/>
      <c r="Q185" s="2009"/>
      <c r="R185" s="1193"/>
    </row>
    <row r="186" spans="1:18">
      <c r="A186" s="1198">
        <v>2005.09</v>
      </c>
      <c r="B186" s="1194">
        <v>712229</v>
      </c>
      <c r="C186" s="1302"/>
      <c r="D186" s="3358"/>
      <c r="E186" s="1302"/>
      <c r="F186" s="1195">
        <v>1030</v>
      </c>
      <c r="G186" s="1196">
        <v>12868</v>
      </c>
      <c r="H186" s="3156">
        <v>10626</v>
      </c>
      <c r="I186" s="1196">
        <v>4372</v>
      </c>
      <c r="J186" s="3156">
        <v>7564</v>
      </c>
      <c r="K186" s="1196">
        <v>3656</v>
      </c>
      <c r="L186" s="3156">
        <v>2957</v>
      </c>
      <c r="M186" s="1196">
        <v>6630</v>
      </c>
      <c r="N186" s="2010">
        <v>2567</v>
      </c>
      <c r="O186" s="1197">
        <f t="shared" si="2"/>
        <v>52270</v>
      </c>
      <c r="P186" s="1192"/>
      <c r="Q186" s="2009"/>
      <c r="R186" s="1193"/>
    </row>
    <row r="187" spans="1:18">
      <c r="A187" s="1198">
        <v>2005.1</v>
      </c>
      <c r="B187" s="1194">
        <v>629659</v>
      </c>
      <c r="C187" s="1302"/>
      <c r="D187" s="3358"/>
      <c r="E187" s="1302"/>
      <c r="F187" s="1195">
        <v>2517</v>
      </c>
      <c r="G187" s="1196">
        <v>20799</v>
      </c>
      <c r="H187" s="3156">
        <v>5499</v>
      </c>
      <c r="I187" s="1196">
        <v>8462</v>
      </c>
      <c r="J187" s="3156">
        <v>2060</v>
      </c>
      <c r="K187" s="1196">
        <v>4969</v>
      </c>
      <c r="L187" s="3156">
        <v>1641</v>
      </c>
      <c r="M187" s="1196">
        <v>6609</v>
      </c>
      <c r="N187" s="2010">
        <v>5128</v>
      </c>
      <c r="O187" s="1197">
        <f t="shared" si="2"/>
        <v>57684</v>
      </c>
      <c r="P187" s="1192"/>
      <c r="Q187" s="2009"/>
      <c r="R187" s="1193"/>
    </row>
    <row r="188" spans="1:18">
      <c r="A188" s="1198">
        <v>2005.11</v>
      </c>
      <c r="B188" s="1194">
        <v>889630</v>
      </c>
      <c r="C188" s="1302"/>
      <c r="D188" s="3358"/>
      <c r="E188" s="1302"/>
      <c r="F188" s="1195">
        <v>1789</v>
      </c>
      <c r="G188" s="1196">
        <v>9773</v>
      </c>
      <c r="H188" s="3156">
        <v>12133</v>
      </c>
      <c r="I188" s="1196">
        <v>10832</v>
      </c>
      <c r="J188" s="3156">
        <v>2956</v>
      </c>
      <c r="K188" s="1196">
        <v>4037</v>
      </c>
      <c r="L188" s="3156">
        <v>3758</v>
      </c>
      <c r="M188" s="1196">
        <v>6696</v>
      </c>
      <c r="N188" s="2010">
        <v>4156</v>
      </c>
      <c r="O188" s="1197">
        <f t="shared" si="2"/>
        <v>56130</v>
      </c>
      <c r="P188" s="1192"/>
      <c r="Q188" s="2009"/>
      <c r="R188" s="1193"/>
    </row>
    <row r="189" spans="1:18">
      <c r="A189" s="1198">
        <v>2005.12</v>
      </c>
      <c r="B189" s="1194">
        <v>758972</v>
      </c>
      <c r="C189" s="1302"/>
      <c r="D189" s="3358"/>
      <c r="E189" s="1302"/>
      <c r="F189" s="1195">
        <v>5875</v>
      </c>
      <c r="G189" s="1196">
        <v>15148</v>
      </c>
      <c r="H189" s="3156">
        <v>4527</v>
      </c>
      <c r="I189" s="1196">
        <v>10071</v>
      </c>
      <c r="J189" s="3156">
        <v>2997</v>
      </c>
      <c r="K189" s="1196">
        <v>5899</v>
      </c>
      <c r="L189" s="3156">
        <v>3667</v>
      </c>
      <c r="M189" s="1196">
        <v>14542</v>
      </c>
      <c r="N189" s="2010">
        <v>3812</v>
      </c>
      <c r="O189" s="1197">
        <f t="shared" si="2"/>
        <v>66538</v>
      </c>
      <c r="P189" s="1192"/>
      <c r="Q189" s="2009"/>
      <c r="R189" s="1193"/>
    </row>
    <row r="190" spans="1:18">
      <c r="A190" s="1198">
        <v>2006.01</v>
      </c>
      <c r="B190" s="1194">
        <v>659316</v>
      </c>
      <c r="C190" s="1302"/>
      <c r="D190" s="3358"/>
      <c r="E190" s="1302"/>
      <c r="F190" s="1195">
        <v>2235</v>
      </c>
      <c r="G190" s="1196">
        <v>0</v>
      </c>
      <c r="H190" s="3156">
        <v>0</v>
      </c>
      <c r="I190" s="1196">
        <v>4038</v>
      </c>
      <c r="J190" s="3156">
        <v>1313</v>
      </c>
      <c r="K190" s="1196">
        <v>4333</v>
      </c>
      <c r="L190" s="3156">
        <v>2117</v>
      </c>
      <c r="M190" s="1196">
        <v>5210</v>
      </c>
      <c r="N190" s="2010">
        <v>3322</v>
      </c>
      <c r="O190" s="1197">
        <f t="shared" si="2"/>
        <v>22568</v>
      </c>
      <c r="P190" s="1192"/>
      <c r="Q190" s="2009"/>
      <c r="R190" s="1193"/>
    </row>
    <row r="191" spans="1:18">
      <c r="A191" s="1198">
        <v>2006.02</v>
      </c>
      <c r="B191" s="1194">
        <v>643489</v>
      </c>
      <c r="C191" s="1302"/>
      <c r="D191" s="3358"/>
      <c r="E191" s="1302"/>
      <c r="F191" s="1195">
        <v>2196</v>
      </c>
      <c r="G191" s="1196">
        <v>22512</v>
      </c>
      <c r="H191" s="3156">
        <v>6900</v>
      </c>
      <c r="I191" s="1196">
        <v>2090</v>
      </c>
      <c r="J191" s="3156">
        <v>10840</v>
      </c>
      <c r="K191" s="1196">
        <v>5027</v>
      </c>
      <c r="L191" s="3156">
        <v>1435</v>
      </c>
      <c r="M191" s="1196">
        <v>3881</v>
      </c>
      <c r="N191" s="2010">
        <v>2528</v>
      </c>
      <c r="O191" s="1197">
        <f t="shared" si="2"/>
        <v>57409</v>
      </c>
      <c r="P191" s="1192"/>
      <c r="Q191" s="2009"/>
      <c r="R191" s="1193"/>
    </row>
    <row r="192" spans="1:18">
      <c r="A192" s="1198">
        <v>2006.03</v>
      </c>
      <c r="B192" s="1194">
        <v>662150</v>
      </c>
      <c r="C192" s="1302"/>
      <c r="D192" s="3358"/>
      <c r="E192" s="1302"/>
      <c r="F192" s="1195">
        <v>6977</v>
      </c>
      <c r="G192" s="1196">
        <v>11004</v>
      </c>
      <c r="H192" s="3156">
        <v>4850</v>
      </c>
      <c r="I192" s="1196">
        <v>471</v>
      </c>
      <c r="J192" s="3156">
        <v>4470</v>
      </c>
      <c r="K192" s="1196">
        <v>4484</v>
      </c>
      <c r="L192" s="3156">
        <v>3327</v>
      </c>
      <c r="M192" s="1196">
        <v>4328</v>
      </c>
      <c r="N192" s="2010">
        <v>3093</v>
      </c>
      <c r="O192" s="1197">
        <f t="shared" si="2"/>
        <v>43004</v>
      </c>
      <c r="P192" s="1192"/>
      <c r="Q192" s="2009"/>
      <c r="R192" s="1193"/>
    </row>
    <row r="193" spans="1:18">
      <c r="A193" s="1198">
        <v>2006.04</v>
      </c>
      <c r="B193" s="1194">
        <v>698687</v>
      </c>
      <c r="C193" s="1302"/>
      <c r="D193" s="3358"/>
      <c r="E193" s="1302"/>
      <c r="F193" s="1195">
        <v>2877</v>
      </c>
      <c r="G193" s="1196">
        <v>7970</v>
      </c>
      <c r="H193" s="3156">
        <v>5637</v>
      </c>
      <c r="I193" s="1196">
        <v>4217</v>
      </c>
      <c r="J193" s="3156">
        <v>11350</v>
      </c>
      <c r="K193" s="1196">
        <v>3553</v>
      </c>
      <c r="L193" s="3156">
        <v>1702</v>
      </c>
      <c r="M193" s="1196">
        <v>5275</v>
      </c>
      <c r="N193" s="2010">
        <v>3997</v>
      </c>
      <c r="O193" s="1197">
        <f t="shared" si="2"/>
        <v>46578</v>
      </c>
      <c r="P193" s="1192"/>
      <c r="Q193" s="2009"/>
      <c r="R193" s="1193"/>
    </row>
    <row r="194" spans="1:18">
      <c r="A194" s="1198">
        <v>2006.05</v>
      </c>
      <c r="B194" s="1194">
        <v>868849</v>
      </c>
      <c r="C194" s="1302"/>
      <c r="D194" s="3358"/>
      <c r="E194" s="1302"/>
      <c r="F194" s="1195">
        <v>5141</v>
      </c>
      <c r="G194" s="1196">
        <v>24660</v>
      </c>
      <c r="H194" s="3156">
        <v>5184</v>
      </c>
      <c r="I194" s="1196">
        <v>22155</v>
      </c>
      <c r="J194" s="3156">
        <v>5182</v>
      </c>
      <c r="K194" s="1196">
        <v>6421</v>
      </c>
      <c r="L194" s="3156">
        <v>5321</v>
      </c>
      <c r="M194" s="1196">
        <v>4955</v>
      </c>
      <c r="N194" s="2010">
        <v>2996</v>
      </c>
      <c r="O194" s="1197">
        <f t="shared" si="2"/>
        <v>82015</v>
      </c>
      <c r="P194" s="1192"/>
      <c r="Q194" s="2009"/>
      <c r="R194" s="1193"/>
    </row>
    <row r="195" spans="1:18">
      <c r="A195" s="1198">
        <v>2006.06</v>
      </c>
      <c r="B195" s="1194">
        <v>827045</v>
      </c>
      <c r="C195" s="1302"/>
      <c r="D195" s="3358"/>
      <c r="E195" s="1302"/>
      <c r="F195" s="1195">
        <v>3875</v>
      </c>
      <c r="G195" s="1196">
        <v>19694</v>
      </c>
      <c r="H195" s="3156">
        <v>6093</v>
      </c>
      <c r="I195" s="1196">
        <v>17285</v>
      </c>
      <c r="J195" s="3156">
        <v>3113</v>
      </c>
      <c r="K195" s="1196">
        <v>3728</v>
      </c>
      <c r="L195" s="3156">
        <v>3845</v>
      </c>
      <c r="M195" s="1196">
        <v>11746</v>
      </c>
      <c r="N195" s="2010">
        <v>1560</v>
      </c>
      <c r="O195" s="1197">
        <f t="shared" si="2"/>
        <v>70939</v>
      </c>
      <c r="P195" s="1192"/>
      <c r="Q195" s="2009"/>
      <c r="R195" s="1193"/>
    </row>
    <row r="196" spans="1:18">
      <c r="A196" s="1198">
        <v>2006.07</v>
      </c>
      <c r="B196" s="1194">
        <v>989837</v>
      </c>
      <c r="C196" s="1302"/>
      <c r="D196" s="3358"/>
      <c r="E196" s="1302"/>
      <c r="F196" s="1195">
        <v>1041</v>
      </c>
      <c r="G196" s="1196">
        <v>9456</v>
      </c>
      <c r="H196" s="3156">
        <v>3430</v>
      </c>
      <c r="I196" s="1196">
        <v>9103</v>
      </c>
      <c r="J196" s="3156">
        <v>4375</v>
      </c>
      <c r="K196" s="1196">
        <v>3634</v>
      </c>
      <c r="L196" s="3156">
        <v>3689</v>
      </c>
      <c r="M196" s="1196">
        <v>8478</v>
      </c>
      <c r="N196" s="2010">
        <v>3243</v>
      </c>
      <c r="O196" s="1197">
        <f t="shared" si="2"/>
        <v>46449</v>
      </c>
      <c r="P196" s="1192"/>
      <c r="Q196" s="2009"/>
      <c r="R196" s="1193"/>
    </row>
    <row r="197" spans="1:18">
      <c r="A197" s="1198">
        <v>2006.08</v>
      </c>
      <c r="B197" s="1194">
        <v>798876</v>
      </c>
      <c r="C197" s="1302"/>
      <c r="D197" s="3358"/>
      <c r="E197" s="1302"/>
      <c r="F197" s="1195">
        <v>2219</v>
      </c>
      <c r="G197" s="1196">
        <v>13125</v>
      </c>
      <c r="H197" s="3156">
        <v>5919</v>
      </c>
      <c r="I197" s="1196">
        <v>9452</v>
      </c>
      <c r="J197" s="3156">
        <v>7750</v>
      </c>
      <c r="K197" s="1196">
        <v>4371</v>
      </c>
      <c r="L197" s="3156">
        <v>2572</v>
      </c>
      <c r="M197" s="1196">
        <v>5414</v>
      </c>
      <c r="N197" s="2010">
        <v>3738</v>
      </c>
      <c r="O197" s="1197">
        <f t="shared" si="2"/>
        <v>54560</v>
      </c>
      <c r="P197" s="1192"/>
      <c r="Q197" s="2009"/>
      <c r="R197" s="1193"/>
    </row>
    <row r="198" spans="1:18">
      <c r="A198" s="1198">
        <v>2006.09</v>
      </c>
      <c r="B198" s="1194">
        <v>799054</v>
      </c>
      <c r="C198" s="1302"/>
      <c r="D198" s="3358"/>
      <c r="E198" s="1302"/>
      <c r="F198" s="1195">
        <v>3210</v>
      </c>
      <c r="G198" s="1196">
        <v>24568</v>
      </c>
      <c r="H198" s="3156">
        <v>4753</v>
      </c>
      <c r="I198" s="1196">
        <v>5340</v>
      </c>
      <c r="J198" s="3156">
        <v>9910</v>
      </c>
      <c r="K198" s="1196">
        <v>4019</v>
      </c>
      <c r="L198" s="3156">
        <v>3223</v>
      </c>
      <c r="M198" s="1196">
        <v>8933</v>
      </c>
      <c r="N198" s="2010">
        <v>1979</v>
      </c>
      <c r="O198" s="1197">
        <f t="shared" si="2"/>
        <v>65935</v>
      </c>
      <c r="P198" s="1192"/>
      <c r="Q198" s="2009"/>
      <c r="R198" s="1193"/>
    </row>
    <row r="199" spans="1:18">
      <c r="A199" s="1198">
        <v>2006.1</v>
      </c>
      <c r="B199" s="1194">
        <v>777096</v>
      </c>
      <c r="C199" s="1302"/>
      <c r="D199" s="3358"/>
      <c r="E199" s="1302"/>
      <c r="F199" s="1195">
        <v>1989</v>
      </c>
      <c r="G199" s="1196">
        <v>13580</v>
      </c>
      <c r="H199" s="3156">
        <v>7303</v>
      </c>
      <c r="I199" s="1196">
        <v>8167</v>
      </c>
      <c r="J199" s="3156">
        <v>5388</v>
      </c>
      <c r="K199" s="1196">
        <v>3616</v>
      </c>
      <c r="L199" s="3156">
        <v>6186</v>
      </c>
      <c r="M199" s="1196">
        <v>6927</v>
      </c>
      <c r="N199" s="2010">
        <v>2949</v>
      </c>
      <c r="O199" s="1197">
        <f t="shared" si="2"/>
        <v>56105</v>
      </c>
      <c r="P199" s="1192"/>
      <c r="Q199" s="2009"/>
      <c r="R199" s="1193"/>
    </row>
    <row r="200" spans="1:18">
      <c r="A200" s="1198">
        <v>2006.11</v>
      </c>
      <c r="B200" s="1194">
        <v>883576</v>
      </c>
      <c r="C200" s="1302"/>
      <c r="D200" s="3358"/>
      <c r="E200" s="1302"/>
      <c r="F200" s="1195">
        <v>5247</v>
      </c>
      <c r="G200" s="1196">
        <v>16900</v>
      </c>
      <c r="H200" s="3156">
        <v>4882</v>
      </c>
      <c r="I200" s="1196">
        <v>8426</v>
      </c>
      <c r="J200" s="3156">
        <v>12451</v>
      </c>
      <c r="K200" s="1196">
        <v>4584</v>
      </c>
      <c r="L200" s="3156">
        <v>4101</v>
      </c>
      <c r="M200" s="1196">
        <v>4506</v>
      </c>
      <c r="N200" s="2010">
        <v>3905</v>
      </c>
      <c r="O200" s="1197">
        <f t="shared" si="2"/>
        <v>65002</v>
      </c>
      <c r="P200" s="1192"/>
      <c r="Q200" s="2009"/>
      <c r="R200" s="1193"/>
    </row>
    <row r="201" spans="1:18">
      <c r="A201" s="1198">
        <v>2006.12</v>
      </c>
      <c r="B201" s="1194">
        <v>944814</v>
      </c>
      <c r="C201" s="1302"/>
      <c r="D201" s="3358"/>
      <c r="E201" s="1302"/>
      <c r="F201" s="1195">
        <v>2166</v>
      </c>
      <c r="G201" s="1196">
        <v>41924</v>
      </c>
      <c r="H201" s="3156">
        <v>3148</v>
      </c>
      <c r="I201" s="1196">
        <v>6459</v>
      </c>
      <c r="J201" s="3156">
        <v>10076</v>
      </c>
      <c r="K201" s="1196">
        <v>3799</v>
      </c>
      <c r="L201" s="3156">
        <v>6309</v>
      </c>
      <c r="M201" s="1196">
        <v>6068</v>
      </c>
      <c r="N201" s="2010">
        <v>2775</v>
      </c>
      <c r="O201" s="1197">
        <f t="shared" si="2"/>
        <v>82724</v>
      </c>
      <c r="P201" s="1192"/>
      <c r="Q201" s="2009"/>
      <c r="R201" s="1193"/>
    </row>
    <row r="202" spans="1:18">
      <c r="A202" s="1198">
        <v>2007.01</v>
      </c>
      <c r="B202" s="1194">
        <v>684638</v>
      </c>
      <c r="C202" s="1302"/>
      <c r="D202" s="3358"/>
      <c r="E202" s="1302"/>
      <c r="F202" s="1195">
        <v>1760</v>
      </c>
      <c r="G202" s="1196">
        <v>0</v>
      </c>
      <c r="H202" s="3156">
        <v>960</v>
      </c>
      <c r="I202" s="1196">
        <v>6369</v>
      </c>
      <c r="J202" s="3156">
        <v>8816</v>
      </c>
      <c r="K202" s="1196">
        <v>5203</v>
      </c>
      <c r="L202" s="3156">
        <v>4497</v>
      </c>
      <c r="M202" s="1196">
        <v>2411</v>
      </c>
      <c r="N202" s="2010">
        <v>2775</v>
      </c>
      <c r="O202" s="1197">
        <f t="shared" si="2"/>
        <v>32791</v>
      </c>
      <c r="P202" s="1192"/>
      <c r="Q202" s="2009"/>
      <c r="R202" s="1193"/>
    </row>
    <row r="203" spans="1:18">
      <c r="A203" s="1198">
        <v>2007.02</v>
      </c>
      <c r="B203" s="1194">
        <v>689622</v>
      </c>
      <c r="C203" s="1302"/>
      <c r="D203" s="3358"/>
      <c r="E203" s="1302"/>
      <c r="F203" s="1195">
        <v>1537</v>
      </c>
      <c r="G203" s="1196">
        <v>17198</v>
      </c>
      <c r="H203" s="3156">
        <v>7224</v>
      </c>
      <c r="I203" s="1196">
        <v>11110</v>
      </c>
      <c r="J203" s="3156">
        <v>4181</v>
      </c>
      <c r="K203" s="1196">
        <v>3906</v>
      </c>
      <c r="L203" s="3156">
        <v>1822</v>
      </c>
      <c r="M203" s="1196">
        <v>8896</v>
      </c>
      <c r="N203" s="2010">
        <v>1084</v>
      </c>
      <c r="O203" s="1197">
        <f t="shared" ref="O203:O266" si="3">_xlfn.AGGREGATE(9,6,F203:N203)</f>
        <v>56958</v>
      </c>
      <c r="P203" s="1192"/>
      <c r="Q203" s="2009"/>
      <c r="R203" s="1193"/>
    </row>
    <row r="204" spans="1:18">
      <c r="A204" s="1198">
        <v>2007.03</v>
      </c>
      <c r="B204" s="1194">
        <v>818731</v>
      </c>
      <c r="C204" s="1302"/>
      <c r="D204" s="3358"/>
      <c r="E204" s="1302"/>
      <c r="F204" s="1195">
        <v>2608</v>
      </c>
      <c r="G204" s="1196">
        <v>11570</v>
      </c>
      <c r="H204" s="3156">
        <v>4065</v>
      </c>
      <c r="I204" s="1196">
        <v>17752</v>
      </c>
      <c r="J204" s="3156">
        <v>17712</v>
      </c>
      <c r="K204" s="1196">
        <v>4045</v>
      </c>
      <c r="L204" s="3156">
        <v>3682</v>
      </c>
      <c r="M204" s="1196">
        <v>11977</v>
      </c>
      <c r="N204" s="2010">
        <v>2595</v>
      </c>
      <c r="O204" s="1197">
        <f t="shared" si="3"/>
        <v>76006</v>
      </c>
      <c r="P204" s="1192"/>
      <c r="Q204" s="2009"/>
      <c r="R204" s="1193"/>
    </row>
    <row r="205" spans="1:18">
      <c r="A205" s="1198">
        <v>2007.04</v>
      </c>
      <c r="B205" s="1194">
        <v>761321</v>
      </c>
      <c r="C205" s="1302"/>
      <c r="D205" s="3358"/>
      <c r="E205" s="1302"/>
      <c r="F205" s="1195">
        <v>2539</v>
      </c>
      <c r="G205" s="1196">
        <v>11981</v>
      </c>
      <c r="H205" s="3156">
        <v>5459</v>
      </c>
      <c r="I205" s="1196">
        <v>10705</v>
      </c>
      <c r="J205" s="3156">
        <v>9157</v>
      </c>
      <c r="K205" s="1196">
        <v>5986</v>
      </c>
      <c r="L205" s="3156">
        <v>2327</v>
      </c>
      <c r="M205" s="1196">
        <v>6483</v>
      </c>
      <c r="N205" s="2010">
        <v>3928</v>
      </c>
      <c r="O205" s="1197">
        <f t="shared" si="3"/>
        <v>58565</v>
      </c>
      <c r="P205" s="1192"/>
      <c r="Q205" s="2009"/>
      <c r="R205" s="1193"/>
    </row>
    <row r="206" spans="1:18">
      <c r="A206" s="1198">
        <v>2007.05</v>
      </c>
      <c r="B206" s="1194">
        <v>808365</v>
      </c>
      <c r="C206" s="1302"/>
      <c r="D206" s="3358"/>
      <c r="E206" s="1302"/>
      <c r="F206" s="1195">
        <v>2423</v>
      </c>
      <c r="G206" s="1196">
        <v>19368</v>
      </c>
      <c r="H206" s="3156">
        <v>8260</v>
      </c>
      <c r="I206" s="1196">
        <v>12056</v>
      </c>
      <c r="J206" s="3156">
        <v>4771</v>
      </c>
      <c r="K206" s="1196">
        <v>11562</v>
      </c>
      <c r="L206" s="3156">
        <v>3405</v>
      </c>
      <c r="M206" s="1196">
        <v>9131</v>
      </c>
      <c r="N206" s="2010">
        <v>2482</v>
      </c>
      <c r="O206" s="1197">
        <f t="shared" si="3"/>
        <v>73458</v>
      </c>
      <c r="P206" s="1192"/>
      <c r="Q206" s="2009"/>
      <c r="R206" s="1193"/>
    </row>
    <row r="207" spans="1:18">
      <c r="A207" s="1198">
        <v>2007.06</v>
      </c>
      <c r="B207" s="1194">
        <v>804567</v>
      </c>
      <c r="C207" s="1302"/>
      <c r="D207" s="3358"/>
      <c r="E207" s="1302"/>
      <c r="F207" s="1195">
        <v>3032</v>
      </c>
      <c r="G207" s="1196">
        <v>24273</v>
      </c>
      <c r="H207" s="3156">
        <v>4504</v>
      </c>
      <c r="I207" s="1196">
        <v>11096</v>
      </c>
      <c r="J207" s="3156">
        <v>6296</v>
      </c>
      <c r="K207" s="1196">
        <v>2715</v>
      </c>
      <c r="L207" s="3156">
        <v>2133</v>
      </c>
      <c r="M207" s="1196">
        <v>6089</v>
      </c>
      <c r="N207" s="2010">
        <v>2982</v>
      </c>
      <c r="O207" s="1197">
        <f t="shared" si="3"/>
        <v>63120</v>
      </c>
      <c r="P207" s="1192"/>
      <c r="Q207" s="2009"/>
      <c r="R207" s="1193"/>
    </row>
    <row r="208" spans="1:18">
      <c r="A208" s="1198">
        <v>2007.07</v>
      </c>
      <c r="B208" s="1194">
        <v>783120</v>
      </c>
      <c r="C208" s="1302"/>
      <c r="D208" s="3358"/>
      <c r="E208" s="1302"/>
      <c r="F208" s="1195">
        <v>2639</v>
      </c>
      <c r="G208" s="1196">
        <v>13986</v>
      </c>
      <c r="H208" s="3156">
        <v>5726</v>
      </c>
      <c r="I208" s="1196">
        <v>5570</v>
      </c>
      <c r="J208" s="3156">
        <v>5693</v>
      </c>
      <c r="K208" s="1196">
        <v>6080</v>
      </c>
      <c r="L208" s="3156">
        <v>4239</v>
      </c>
      <c r="M208" s="1196">
        <v>5438</v>
      </c>
      <c r="N208" s="2010">
        <v>2147</v>
      </c>
      <c r="O208" s="1197">
        <f t="shared" si="3"/>
        <v>51518</v>
      </c>
      <c r="P208" s="1192"/>
      <c r="Q208" s="2009"/>
      <c r="R208" s="1193"/>
    </row>
    <row r="209" spans="1:18">
      <c r="A209" s="1198">
        <v>2007.08</v>
      </c>
      <c r="B209" s="1194">
        <v>736400</v>
      </c>
      <c r="C209" s="1302"/>
      <c r="D209" s="3358"/>
      <c r="E209" s="1302"/>
      <c r="F209" s="1195">
        <v>3706</v>
      </c>
      <c r="G209" s="1196">
        <v>15568</v>
      </c>
      <c r="H209" s="3156">
        <v>3859</v>
      </c>
      <c r="I209" s="1196">
        <v>4495</v>
      </c>
      <c r="J209" s="3156">
        <v>5547</v>
      </c>
      <c r="K209" s="1196">
        <v>6521</v>
      </c>
      <c r="L209" s="3156">
        <v>4444</v>
      </c>
      <c r="M209" s="1196">
        <v>10517</v>
      </c>
      <c r="N209" s="2010">
        <v>2280</v>
      </c>
      <c r="O209" s="1197">
        <f t="shared" si="3"/>
        <v>56937</v>
      </c>
      <c r="P209" s="1192"/>
      <c r="Q209" s="2009"/>
      <c r="R209" s="1193"/>
    </row>
    <row r="210" spans="1:18">
      <c r="A210" s="1198">
        <v>2007.09</v>
      </c>
      <c r="B210" s="1194">
        <v>709486</v>
      </c>
      <c r="C210" s="1302"/>
      <c r="D210" s="3358"/>
      <c r="E210" s="1302"/>
      <c r="F210" s="1195">
        <v>2763</v>
      </c>
      <c r="G210" s="1196">
        <v>13976</v>
      </c>
      <c r="H210" s="3156">
        <v>6189</v>
      </c>
      <c r="I210" s="1196">
        <v>13266</v>
      </c>
      <c r="J210" s="3156">
        <v>8790</v>
      </c>
      <c r="K210" s="1196">
        <v>4880</v>
      </c>
      <c r="L210" s="3156">
        <v>5057</v>
      </c>
      <c r="M210" s="1196">
        <v>8183</v>
      </c>
      <c r="N210" s="2010">
        <v>2609</v>
      </c>
      <c r="O210" s="1197">
        <f t="shared" si="3"/>
        <v>65713</v>
      </c>
      <c r="P210" s="1192"/>
      <c r="Q210" s="2009"/>
      <c r="R210" s="1193"/>
    </row>
    <row r="211" spans="1:18">
      <c r="A211" s="1198">
        <v>2007.1</v>
      </c>
      <c r="B211" s="1194">
        <v>920654</v>
      </c>
      <c r="C211" s="1302"/>
      <c r="D211" s="3358"/>
      <c r="E211" s="1302"/>
      <c r="F211" s="1195">
        <v>2122</v>
      </c>
      <c r="G211" s="1196">
        <v>13848</v>
      </c>
      <c r="H211" s="3156">
        <v>5660</v>
      </c>
      <c r="I211" s="1196">
        <v>17983</v>
      </c>
      <c r="J211" s="3156">
        <v>13256</v>
      </c>
      <c r="K211" s="1196">
        <v>7194</v>
      </c>
      <c r="L211" s="3156">
        <v>2767</v>
      </c>
      <c r="M211" s="1196">
        <v>7071</v>
      </c>
      <c r="N211" s="2010">
        <v>1749</v>
      </c>
      <c r="O211" s="1197">
        <f t="shared" si="3"/>
        <v>71650</v>
      </c>
      <c r="P211" s="1192"/>
      <c r="Q211" s="2009"/>
      <c r="R211" s="1193"/>
    </row>
    <row r="212" spans="1:18">
      <c r="A212" s="1198">
        <v>2007.11</v>
      </c>
      <c r="B212" s="1194">
        <v>765363</v>
      </c>
      <c r="C212" s="1302"/>
      <c r="D212" s="3358"/>
      <c r="E212" s="1302"/>
      <c r="F212" s="1195">
        <v>2570</v>
      </c>
      <c r="G212" s="1196">
        <v>17668</v>
      </c>
      <c r="H212" s="3156">
        <v>13616</v>
      </c>
      <c r="I212" s="1196">
        <v>6560</v>
      </c>
      <c r="J212" s="3156">
        <v>7545</v>
      </c>
      <c r="K212" s="1196">
        <v>4951</v>
      </c>
      <c r="L212" s="3156">
        <v>4232</v>
      </c>
      <c r="M212" s="1196">
        <v>6342</v>
      </c>
      <c r="N212" s="2010">
        <v>3249</v>
      </c>
      <c r="O212" s="1197">
        <f t="shared" si="3"/>
        <v>66733</v>
      </c>
      <c r="P212" s="1192"/>
      <c r="Q212" s="2009"/>
      <c r="R212" s="1193"/>
    </row>
    <row r="213" spans="1:18">
      <c r="A213" s="1198">
        <v>2007.12</v>
      </c>
      <c r="B213" s="1194">
        <v>1129719</v>
      </c>
      <c r="C213" s="1302"/>
      <c r="D213" s="3358"/>
      <c r="E213" s="1302"/>
      <c r="F213" s="1195">
        <v>3183</v>
      </c>
      <c r="G213" s="1196">
        <v>9342</v>
      </c>
      <c r="H213" s="3156">
        <v>3121</v>
      </c>
      <c r="I213" s="1196">
        <v>19733</v>
      </c>
      <c r="J213" s="3156">
        <v>5860</v>
      </c>
      <c r="K213" s="1196">
        <v>5074</v>
      </c>
      <c r="L213" s="3156">
        <v>3045</v>
      </c>
      <c r="M213" s="1196">
        <v>9329</v>
      </c>
      <c r="N213" s="2010">
        <v>4050</v>
      </c>
      <c r="O213" s="1197">
        <f t="shared" si="3"/>
        <v>62737</v>
      </c>
      <c r="P213" s="1192"/>
      <c r="Q213" s="2009"/>
      <c r="R213" s="1193"/>
    </row>
    <row r="214" spans="1:18">
      <c r="A214" s="1198">
        <f t="shared" ref="A214:A277" si="4">A202+1</f>
        <v>2008.01</v>
      </c>
      <c r="B214" s="1194">
        <v>844301</v>
      </c>
      <c r="C214" s="1302"/>
      <c r="D214" s="3358"/>
      <c r="E214" s="1302"/>
      <c r="F214" s="1195">
        <v>803</v>
      </c>
      <c r="G214" s="1196">
        <v>12349</v>
      </c>
      <c r="H214" s="3156">
        <v>5635</v>
      </c>
      <c r="I214" s="1196">
        <v>13874</v>
      </c>
      <c r="J214" s="3156">
        <v>3873</v>
      </c>
      <c r="K214" s="1196">
        <v>5346</v>
      </c>
      <c r="L214" s="3156">
        <v>2291</v>
      </c>
      <c r="M214" s="1196">
        <v>7857</v>
      </c>
      <c r="N214" s="2010">
        <v>1839</v>
      </c>
      <c r="O214" s="1197">
        <f t="shared" si="3"/>
        <v>53867</v>
      </c>
      <c r="P214" s="1192"/>
      <c r="Q214" s="2009"/>
      <c r="R214" s="1193"/>
    </row>
    <row r="215" spans="1:18">
      <c r="A215" s="1198">
        <f t="shared" si="4"/>
        <v>2008.02</v>
      </c>
      <c r="B215" s="1194">
        <v>608125</v>
      </c>
      <c r="C215" s="1302"/>
      <c r="D215" s="3358"/>
      <c r="E215" s="1302"/>
      <c r="F215" s="1195">
        <v>1311</v>
      </c>
      <c r="G215" s="1196">
        <v>9839</v>
      </c>
      <c r="H215" s="3156">
        <v>159</v>
      </c>
      <c r="I215" s="1196">
        <v>11456</v>
      </c>
      <c r="J215" s="3156">
        <v>3399</v>
      </c>
      <c r="K215" s="1196">
        <v>5209</v>
      </c>
      <c r="L215" s="3156">
        <v>2202</v>
      </c>
      <c r="M215" s="1196">
        <v>11945</v>
      </c>
      <c r="N215" s="2010">
        <v>2534</v>
      </c>
      <c r="O215" s="1197">
        <f t="shared" si="3"/>
        <v>48054</v>
      </c>
      <c r="P215" s="1192"/>
      <c r="Q215" s="2009"/>
      <c r="R215" s="1193"/>
    </row>
    <row r="216" spans="1:18">
      <c r="A216" s="1198">
        <f t="shared" si="4"/>
        <v>2008.03</v>
      </c>
      <c r="B216" s="1194">
        <v>626751</v>
      </c>
      <c r="C216" s="1302"/>
      <c r="D216" s="3358"/>
      <c r="E216" s="1302"/>
      <c r="F216" s="1195">
        <v>1448</v>
      </c>
      <c r="G216" s="1196">
        <v>17534</v>
      </c>
      <c r="H216" s="3156">
        <v>13066</v>
      </c>
      <c r="I216" s="1196">
        <v>4660</v>
      </c>
      <c r="J216" s="3156">
        <v>11065</v>
      </c>
      <c r="K216" s="1196">
        <v>2577</v>
      </c>
      <c r="L216" s="3156">
        <v>1505</v>
      </c>
      <c r="M216" s="1196">
        <v>23216</v>
      </c>
      <c r="N216" s="2010">
        <v>2123</v>
      </c>
      <c r="O216" s="1197">
        <f t="shared" si="3"/>
        <v>77194</v>
      </c>
      <c r="P216" s="1192"/>
      <c r="Q216" s="2009"/>
      <c r="R216" s="1193"/>
    </row>
    <row r="217" spans="1:18">
      <c r="A217" s="1198">
        <f t="shared" si="4"/>
        <v>2008.04</v>
      </c>
      <c r="B217" s="1194">
        <v>817651</v>
      </c>
      <c r="C217" s="1302"/>
      <c r="D217" s="3358"/>
      <c r="E217" s="1302"/>
      <c r="F217" s="1195">
        <v>2647</v>
      </c>
      <c r="G217" s="1196">
        <v>24080</v>
      </c>
      <c r="H217" s="3156">
        <v>2141</v>
      </c>
      <c r="I217" s="1196">
        <v>10510</v>
      </c>
      <c r="J217" s="3156">
        <v>5659</v>
      </c>
      <c r="K217" s="1196">
        <v>3953</v>
      </c>
      <c r="L217" s="3156">
        <v>3536</v>
      </c>
      <c r="M217" s="1196">
        <v>3599</v>
      </c>
      <c r="N217" s="2010">
        <v>4165</v>
      </c>
      <c r="O217" s="1197">
        <f t="shared" si="3"/>
        <v>60290</v>
      </c>
      <c r="P217" s="1192"/>
      <c r="Q217" s="2009"/>
      <c r="R217" s="1193"/>
    </row>
    <row r="218" spans="1:18">
      <c r="A218" s="1198">
        <f t="shared" si="4"/>
        <v>2008.05</v>
      </c>
      <c r="B218" s="1194">
        <v>985259</v>
      </c>
      <c r="C218" s="1302"/>
      <c r="D218" s="3358"/>
      <c r="E218" s="1302"/>
      <c r="F218" s="1195">
        <v>826</v>
      </c>
      <c r="G218" s="1196">
        <v>32087</v>
      </c>
      <c r="H218" s="3156">
        <v>4348</v>
      </c>
      <c r="I218" s="1196">
        <v>10228</v>
      </c>
      <c r="J218" s="3156">
        <v>5056</v>
      </c>
      <c r="K218" s="1196">
        <v>2576</v>
      </c>
      <c r="L218" s="3156">
        <v>3130</v>
      </c>
      <c r="M218" s="1196">
        <v>2733</v>
      </c>
      <c r="N218" s="2010">
        <v>3763</v>
      </c>
      <c r="O218" s="1197">
        <f t="shared" si="3"/>
        <v>64747</v>
      </c>
      <c r="P218" s="1192"/>
      <c r="Q218" s="2009"/>
      <c r="R218" s="1193"/>
    </row>
    <row r="219" spans="1:18">
      <c r="A219" s="1198">
        <f t="shared" si="4"/>
        <v>2008.06</v>
      </c>
      <c r="B219" s="1194">
        <v>710669</v>
      </c>
      <c r="C219" s="1302"/>
      <c r="D219" s="3358"/>
      <c r="E219" s="1302"/>
      <c r="F219" s="1195">
        <v>8986</v>
      </c>
      <c r="G219" s="1196">
        <v>17675</v>
      </c>
      <c r="H219" s="3156">
        <v>4108</v>
      </c>
      <c r="I219" s="1196">
        <v>10055</v>
      </c>
      <c r="J219" s="3156">
        <v>7371</v>
      </c>
      <c r="K219" s="1196">
        <v>4412</v>
      </c>
      <c r="L219" s="3156">
        <v>3577</v>
      </c>
      <c r="M219" s="1196">
        <v>7421</v>
      </c>
      <c r="N219" s="2010">
        <v>2071</v>
      </c>
      <c r="O219" s="1197">
        <f t="shared" si="3"/>
        <v>65676</v>
      </c>
      <c r="P219" s="1192"/>
      <c r="Q219" s="2009"/>
      <c r="R219" s="1193"/>
    </row>
    <row r="220" spans="1:18">
      <c r="A220" s="1198">
        <f t="shared" si="4"/>
        <v>2008.07</v>
      </c>
      <c r="B220" s="1194">
        <v>989554</v>
      </c>
      <c r="C220" s="1302"/>
      <c r="D220" s="3358"/>
      <c r="E220" s="1302"/>
      <c r="F220" s="1195">
        <v>2526</v>
      </c>
      <c r="G220" s="1196">
        <v>16875</v>
      </c>
      <c r="H220" s="3156">
        <v>7414</v>
      </c>
      <c r="I220" s="1196">
        <v>9363</v>
      </c>
      <c r="J220" s="3156">
        <v>8258</v>
      </c>
      <c r="K220" s="1196">
        <v>4986</v>
      </c>
      <c r="L220" s="3156">
        <v>18215</v>
      </c>
      <c r="M220" s="1196">
        <v>5546</v>
      </c>
      <c r="N220" s="2010">
        <v>2188</v>
      </c>
      <c r="O220" s="1197">
        <f t="shared" si="3"/>
        <v>75371</v>
      </c>
      <c r="P220" s="1192"/>
      <c r="Q220" s="2009"/>
      <c r="R220" s="1193"/>
    </row>
    <row r="221" spans="1:18">
      <c r="A221" s="1198">
        <f t="shared" si="4"/>
        <v>2008.08</v>
      </c>
      <c r="B221" s="1194">
        <v>849791</v>
      </c>
      <c r="C221" s="1302"/>
      <c r="D221" s="3358"/>
      <c r="E221" s="1302"/>
      <c r="F221" s="1195">
        <v>1089</v>
      </c>
      <c r="G221" s="1196">
        <v>35448</v>
      </c>
      <c r="H221" s="3156">
        <v>7008</v>
      </c>
      <c r="I221" s="1196">
        <v>25152</v>
      </c>
      <c r="J221" s="3156">
        <v>5030</v>
      </c>
      <c r="K221" s="1196">
        <v>4769</v>
      </c>
      <c r="L221" s="3156">
        <v>2266</v>
      </c>
      <c r="M221" s="1196">
        <v>8240</v>
      </c>
      <c r="N221" s="2010">
        <v>3031</v>
      </c>
      <c r="O221" s="1197">
        <f t="shared" si="3"/>
        <v>92033</v>
      </c>
      <c r="P221" s="1192"/>
      <c r="Q221" s="2009"/>
      <c r="R221" s="1193"/>
    </row>
    <row r="222" spans="1:18">
      <c r="A222" s="1198">
        <f t="shared" si="4"/>
        <v>2008.09</v>
      </c>
      <c r="B222" s="1194">
        <v>816605</v>
      </c>
      <c r="C222" s="1302"/>
      <c r="D222" s="3358"/>
      <c r="E222" s="1302"/>
      <c r="F222" s="1195">
        <v>2250</v>
      </c>
      <c r="G222" s="1196">
        <v>31752</v>
      </c>
      <c r="H222" s="3156">
        <v>4914</v>
      </c>
      <c r="I222" s="1196">
        <v>31119</v>
      </c>
      <c r="J222" s="3156">
        <v>9483</v>
      </c>
      <c r="K222" s="1196">
        <v>5516</v>
      </c>
      <c r="L222" s="3156">
        <v>4196</v>
      </c>
      <c r="M222" s="1196">
        <v>6036</v>
      </c>
      <c r="N222" s="2010">
        <v>3449</v>
      </c>
      <c r="O222" s="1197">
        <f t="shared" si="3"/>
        <v>98715</v>
      </c>
      <c r="P222" s="1192"/>
      <c r="Q222" s="2009"/>
      <c r="R222" s="1193"/>
    </row>
    <row r="223" spans="1:18">
      <c r="A223" s="1198">
        <f t="shared" si="4"/>
        <v>2008.1</v>
      </c>
      <c r="B223" s="1194">
        <v>860896</v>
      </c>
      <c r="C223" s="1302"/>
      <c r="D223" s="3358"/>
      <c r="E223" s="1302"/>
      <c r="F223" s="1195">
        <v>1480</v>
      </c>
      <c r="G223" s="1196">
        <v>19847</v>
      </c>
      <c r="H223" s="3156">
        <v>6141</v>
      </c>
      <c r="I223" s="1196">
        <v>14635</v>
      </c>
      <c r="J223" s="3156">
        <v>5366</v>
      </c>
      <c r="K223" s="1196">
        <v>4354</v>
      </c>
      <c r="L223" s="3156">
        <v>1787</v>
      </c>
      <c r="M223" s="1196">
        <v>2846</v>
      </c>
      <c r="N223" s="2010">
        <v>2473</v>
      </c>
      <c r="O223" s="1197">
        <f t="shared" si="3"/>
        <v>58929</v>
      </c>
      <c r="P223" s="1192"/>
      <c r="Q223" s="2009"/>
      <c r="R223" s="1193"/>
    </row>
    <row r="224" spans="1:18">
      <c r="A224" s="1198">
        <f t="shared" si="4"/>
        <v>2008.11</v>
      </c>
      <c r="B224" s="1194">
        <v>832192</v>
      </c>
      <c r="C224" s="1302"/>
      <c r="D224" s="3358"/>
      <c r="E224" s="1302"/>
      <c r="F224" s="1195">
        <v>919</v>
      </c>
      <c r="G224" s="1196">
        <v>20433</v>
      </c>
      <c r="H224" s="3156">
        <v>5911</v>
      </c>
      <c r="I224" s="1196">
        <v>21868</v>
      </c>
      <c r="J224" s="3156">
        <v>4530</v>
      </c>
      <c r="K224" s="1196">
        <v>12284</v>
      </c>
      <c r="L224" s="3156">
        <v>4694</v>
      </c>
      <c r="M224" s="1196">
        <v>11964</v>
      </c>
      <c r="N224" s="2010">
        <v>2588</v>
      </c>
      <c r="O224" s="1197">
        <f t="shared" si="3"/>
        <v>85191</v>
      </c>
      <c r="P224" s="1192"/>
      <c r="Q224" s="2009"/>
      <c r="R224" s="1193"/>
    </row>
    <row r="225" spans="1:18">
      <c r="A225" s="1198">
        <f t="shared" si="4"/>
        <v>2008.12</v>
      </c>
      <c r="B225" s="1194">
        <v>697331</v>
      </c>
      <c r="C225" s="1302"/>
      <c r="D225" s="3358"/>
      <c r="E225" s="1302"/>
      <c r="F225" s="1195">
        <v>2683</v>
      </c>
      <c r="G225" s="1196">
        <v>24365</v>
      </c>
      <c r="H225" s="3156">
        <v>9414</v>
      </c>
      <c r="I225" s="1196">
        <v>9019</v>
      </c>
      <c r="J225" s="3156">
        <v>4427</v>
      </c>
      <c r="K225" s="1196">
        <v>3114</v>
      </c>
      <c r="L225" s="3156">
        <v>3226</v>
      </c>
      <c r="M225" s="1196">
        <v>3863</v>
      </c>
      <c r="N225" s="2010">
        <v>3443</v>
      </c>
      <c r="O225" s="1197">
        <f t="shared" si="3"/>
        <v>63554</v>
      </c>
      <c r="P225" s="1192"/>
      <c r="Q225" s="2009"/>
      <c r="R225" s="1193"/>
    </row>
    <row r="226" spans="1:18">
      <c r="A226" s="1198">
        <f t="shared" si="4"/>
        <v>2009.01</v>
      </c>
      <c r="B226" s="1194">
        <v>555482</v>
      </c>
      <c r="C226" s="1302"/>
      <c r="D226" s="3358"/>
      <c r="E226" s="1302"/>
      <c r="F226" s="1195">
        <v>2715</v>
      </c>
      <c r="G226" s="1196">
        <v>0</v>
      </c>
      <c r="H226" s="3156">
        <v>4835</v>
      </c>
      <c r="I226" s="1196">
        <v>10829</v>
      </c>
      <c r="J226" s="3156">
        <v>4890</v>
      </c>
      <c r="K226" s="1196">
        <v>4880</v>
      </c>
      <c r="L226" s="3156">
        <v>472</v>
      </c>
      <c r="M226" s="1196">
        <v>4010</v>
      </c>
      <c r="N226" s="2010">
        <v>1182</v>
      </c>
      <c r="O226" s="1197">
        <f t="shared" si="3"/>
        <v>33813</v>
      </c>
      <c r="P226" s="1192"/>
      <c r="Q226" s="2009"/>
      <c r="R226" s="1193"/>
    </row>
    <row r="227" spans="1:18">
      <c r="A227" s="1198">
        <f t="shared" si="4"/>
        <v>2009.02</v>
      </c>
      <c r="B227" s="1194">
        <v>534301</v>
      </c>
      <c r="C227" s="1302"/>
      <c r="D227" s="3358"/>
      <c r="E227" s="1302"/>
      <c r="F227" s="1195">
        <v>1394</v>
      </c>
      <c r="G227" s="1196">
        <v>0</v>
      </c>
      <c r="H227" s="3156">
        <v>4455</v>
      </c>
      <c r="I227" s="1196">
        <v>4077</v>
      </c>
      <c r="J227" s="3156">
        <v>3934</v>
      </c>
      <c r="K227" s="1196">
        <v>2961</v>
      </c>
      <c r="L227" s="3156">
        <v>1904</v>
      </c>
      <c r="M227" s="1196">
        <v>1673</v>
      </c>
      <c r="N227" s="2010">
        <v>1557</v>
      </c>
      <c r="O227" s="1197">
        <f t="shared" si="3"/>
        <v>21955</v>
      </c>
      <c r="P227" s="1192"/>
      <c r="Q227" s="2009"/>
      <c r="R227" s="1193"/>
    </row>
    <row r="228" spans="1:18">
      <c r="A228" s="1198">
        <f t="shared" si="4"/>
        <v>2009.03</v>
      </c>
      <c r="B228" s="1194">
        <v>678316</v>
      </c>
      <c r="C228" s="1302"/>
      <c r="D228" s="3358"/>
      <c r="E228" s="1302"/>
      <c r="F228" s="1195">
        <v>1349</v>
      </c>
      <c r="G228" s="1196">
        <v>32628</v>
      </c>
      <c r="H228" s="3156">
        <v>5189</v>
      </c>
      <c r="I228" s="1196">
        <v>7782</v>
      </c>
      <c r="J228" s="3156">
        <v>3976</v>
      </c>
      <c r="K228" s="1196">
        <v>4358</v>
      </c>
      <c r="L228" s="3156">
        <v>3466</v>
      </c>
      <c r="M228" s="1196">
        <v>6636</v>
      </c>
      <c r="N228" s="2010">
        <v>4076</v>
      </c>
      <c r="O228" s="1197">
        <f t="shared" si="3"/>
        <v>69460</v>
      </c>
      <c r="P228" s="1192"/>
      <c r="Q228" s="2009"/>
      <c r="R228" s="1193"/>
    </row>
    <row r="229" spans="1:18">
      <c r="A229" s="1198">
        <f t="shared" si="4"/>
        <v>2009.04</v>
      </c>
      <c r="B229" s="1194">
        <v>645132</v>
      </c>
      <c r="C229" s="1302"/>
      <c r="D229" s="3358"/>
      <c r="E229" s="1302"/>
      <c r="F229" s="1195">
        <v>3376</v>
      </c>
      <c r="G229" s="1196">
        <v>19807</v>
      </c>
      <c r="H229" s="3156">
        <v>8222</v>
      </c>
      <c r="I229" s="1196">
        <v>13115</v>
      </c>
      <c r="J229" s="3156">
        <v>5628</v>
      </c>
      <c r="K229" s="1196">
        <v>3189</v>
      </c>
      <c r="L229" s="3156">
        <v>7197</v>
      </c>
      <c r="M229" s="1196">
        <v>8574</v>
      </c>
      <c r="N229" s="2010">
        <v>1761</v>
      </c>
      <c r="O229" s="1197">
        <f t="shared" si="3"/>
        <v>70869</v>
      </c>
      <c r="P229" s="1192"/>
      <c r="Q229" s="2009"/>
      <c r="R229" s="1193"/>
    </row>
    <row r="230" spans="1:18">
      <c r="A230" s="1198">
        <f t="shared" si="4"/>
        <v>2009.05</v>
      </c>
      <c r="B230" s="1194">
        <v>676692</v>
      </c>
      <c r="C230" s="1302"/>
      <c r="D230" s="3358"/>
      <c r="E230" s="1302"/>
      <c r="F230" s="1195">
        <v>676</v>
      </c>
      <c r="G230" s="1196">
        <v>18458</v>
      </c>
      <c r="H230" s="3156">
        <v>2171</v>
      </c>
      <c r="I230" s="1196">
        <v>12281</v>
      </c>
      <c r="J230" s="3156">
        <v>2405</v>
      </c>
      <c r="K230" s="1196">
        <v>822</v>
      </c>
      <c r="L230" s="3156">
        <v>756</v>
      </c>
      <c r="M230" s="1196">
        <v>3110</v>
      </c>
      <c r="N230" s="2010">
        <v>1005</v>
      </c>
      <c r="O230" s="1197">
        <f t="shared" si="3"/>
        <v>41684</v>
      </c>
      <c r="P230" s="1192"/>
      <c r="Q230" s="2009"/>
      <c r="R230" s="1193"/>
    </row>
    <row r="231" spans="1:18">
      <c r="A231" s="1198">
        <f t="shared" si="4"/>
        <v>2009.06</v>
      </c>
      <c r="B231" s="1194">
        <v>693075</v>
      </c>
      <c r="C231" s="1302"/>
      <c r="D231" s="3358"/>
      <c r="E231" s="1302"/>
      <c r="F231" s="1195">
        <v>1978</v>
      </c>
      <c r="G231" s="1196">
        <v>10875</v>
      </c>
      <c r="H231" s="3156">
        <v>4793</v>
      </c>
      <c r="I231" s="1196">
        <v>14021</v>
      </c>
      <c r="J231" s="3156">
        <v>4735</v>
      </c>
      <c r="K231" s="1196">
        <v>4227</v>
      </c>
      <c r="L231" s="3156">
        <v>2418</v>
      </c>
      <c r="M231" s="1196">
        <v>6822</v>
      </c>
      <c r="N231" s="2010">
        <v>1897</v>
      </c>
      <c r="O231" s="1197">
        <f t="shared" si="3"/>
        <v>51766</v>
      </c>
      <c r="P231" s="1192"/>
      <c r="Q231" s="2009"/>
      <c r="R231" s="1193"/>
    </row>
    <row r="232" spans="1:18">
      <c r="A232" s="1198">
        <f t="shared" si="4"/>
        <v>2009.07</v>
      </c>
      <c r="B232" s="1194">
        <v>695608</v>
      </c>
      <c r="C232" s="1302"/>
      <c r="D232" s="3358"/>
      <c r="E232" s="1302"/>
      <c r="F232" s="1195">
        <v>2066</v>
      </c>
      <c r="G232" s="1196">
        <v>9119</v>
      </c>
      <c r="H232" s="3156">
        <v>6619</v>
      </c>
      <c r="I232" s="1196">
        <v>11650</v>
      </c>
      <c r="J232" s="3156">
        <v>3594</v>
      </c>
      <c r="K232" s="1196">
        <v>5299</v>
      </c>
      <c r="L232" s="3156">
        <v>5876</v>
      </c>
      <c r="M232" s="1196">
        <v>5723</v>
      </c>
      <c r="N232" s="2010">
        <v>1968</v>
      </c>
      <c r="O232" s="1197">
        <f t="shared" si="3"/>
        <v>51914</v>
      </c>
      <c r="P232" s="1192"/>
      <c r="Q232" s="2009"/>
      <c r="R232" s="1193"/>
    </row>
    <row r="233" spans="1:18">
      <c r="A233" s="1198">
        <f t="shared" si="4"/>
        <v>2009.08</v>
      </c>
      <c r="B233" s="1194">
        <v>690183</v>
      </c>
      <c r="C233" s="1302"/>
      <c r="D233" s="3358"/>
      <c r="E233" s="1302"/>
      <c r="F233" s="1195">
        <v>2786</v>
      </c>
      <c r="G233" s="1196">
        <v>7896</v>
      </c>
      <c r="H233" s="3156">
        <v>6061</v>
      </c>
      <c r="I233" s="1196">
        <v>8373</v>
      </c>
      <c r="J233" s="3156">
        <v>5137</v>
      </c>
      <c r="K233" s="1196">
        <v>4535</v>
      </c>
      <c r="L233" s="3156">
        <v>3370</v>
      </c>
      <c r="M233" s="1196">
        <v>11622</v>
      </c>
      <c r="N233" s="2010">
        <v>2835</v>
      </c>
      <c r="O233" s="1197">
        <f t="shared" si="3"/>
        <v>52615</v>
      </c>
      <c r="P233" s="1192"/>
      <c r="Q233" s="2009"/>
      <c r="R233" s="1193"/>
    </row>
    <row r="234" spans="1:18">
      <c r="A234" s="1198">
        <f t="shared" si="4"/>
        <v>2009.09</v>
      </c>
      <c r="B234" s="1194">
        <v>756325</v>
      </c>
      <c r="C234" s="1302"/>
      <c r="D234" s="3358"/>
      <c r="E234" s="1302"/>
      <c r="F234" s="1195">
        <v>926</v>
      </c>
      <c r="G234" s="1196">
        <v>18488</v>
      </c>
      <c r="H234" s="3156">
        <v>3641</v>
      </c>
      <c r="I234" s="1196">
        <v>18702</v>
      </c>
      <c r="J234" s="3156">
        <v>8245</v>
      </c>
      <c r="K234" s="1196">
        <v>2448</v>
      </c>
      <c r="L234" s="3156">
        <v>3217</v>
      </c>
      <c r="M234" s="1196">
        <v>5754</v>
      </c>
      <c r="N234" s="2010">
        <v>7576</v>
      </c>
      <c r="O234" s="1197">
        <f t="shared" si="3"/>
        <v>68997</v>
      </c>
      <c r="P234" s="1192"/>
      <c r="Q234" s="2009"/>
      <c r="R234" s="1193"/>
    </row>
    <row r="235" spans="1:18">
      <c r="A235" s="1198">
        <f t="shared" si="4"/>
        <v>2009.1</v>
      </c>
      <c r="B235" s="1194">
        <v>876662</v>
      </c>
      <c r="C235" s="1302"/>
      <c r="D235" s="3358"/>
      <c r="E235" s="1302"/>
      <c r="F235" s="1195">
        <v>786</v>
      </c>
      <c r="G235" s="1196">
        <v>18410</v>
      </c>
      <c r="H235" s="3156">
        <v>4741</v>
      </c>
      <c r="I235" s="1196">
        <v>28187</v>
      </c>
      <c r="J235" s="3156">
        <v>6396</v>
      </c>
      <c r="K235" s="1196">
        <v>2125</v>
      </c>
      <c r="L235" s="3156">
        <v>1831</v>
      </c>
      <c r="M235" s="1196">
        <v>3902</v>
      </c>
      <c r="N235" s="2010">
        <v>2012</v>
      </c>
      <c r="O235" s="1197">
        <f t="shared" si="3"/>
        <v>68390</v>
      </c>
      <c r="P235" s="1192"/>
      <c r="Q235" s="2009"/>
      <c r="R235" s="1193"/>
    </row>
    <row r="236" spans="1:18">
      <c r="A236" s="1198">
        <f t="shared" si="4"/>
        <v>2009.11</v>
      </c>
      <c r="B236" s="1194">
        <v>610234</v>
      </c>
      <c r="C236" s="1302"/>
      <c r="D236" s="3358"/>
      <c r="E236" s="1302"/>
      <c r="F236" s="1195">
        <v>2976</v>
      </c>
      <c r="G236" s="1196">
        <v>14627</v>
      </c>
      <c r="H236" s="3156">
        <v>827</v>
      </c>
      <c r="I236" s="1196">
        <v>28761</v>
      </c>
      <c r="J236" s="3156">
        <v>3961</v>
      </c>
      <c r="K236" s="1196">
        <v>5867</v>
      </c>
      <c r="L236" s="3156">
        <v>3217</v>
      </c>
      <c r="M236" s="1196">
        <v>16591</v>
      </c>
      <c r="N236" s="2010">
        <v>823</v>
      </c>
      <c r="O236" s="1197">
        <f t="shared" si="3"/>
        <v>77650</v>
      </c>
      <c r="P236" s="1192"/>
      <c r="Q236" s="2009"/>
      <c r="R236" s="1193"/>
    </row>
    <row r="237" spans="1:18">
      <c r="A237" s="1198">
        <f t="shared" si="4"/>
        <v>2009.12</v>
      </c>
      <c r="B237" s="1194">
        <v>770920</v>
      </c>
      <c r="C237" s="1302"/>
      <c r="D237" s="3358"/>
      <c r="E237" s="1302"/>
      <c r="F237" s="1195">
        <v>3352</v>
      </c>
      <c r="G237" s="1196">
        <v>23426</v>
      </c>
      <c r="H237" s="3156">
        <v>5759</v>
      </c>
      <c r="I237" s="1196">
        <v>18785</v>
      </c>
      <c r="J237" s="3156">
        <v>6314</v>
      </c>
      <c r="K237" s="1196">
        <v>4248</v>
      </c>
      <c r="L237" s="3156">
        <v>3191</v>
      </c>
      <c r="M237" s="1196">
        <v>5652</v>
      </c>
      <c r="N237" s="2010">
        <v>3283</v>
      </c>
      <c r="O237" s="1197">
        <f t="shared" si="3"/>
        <v>74010</v>
      </c>
      <c r="P237" s="1192"/>
      <c r="Q237" s="2009"/>
      <c r="R237" s="1193"/>
    </row>
    <row r="238" spans="1:18">
      <c r="A238" s="3368">
        <f t="shared" si="4"/>
        <v>2010.01</v>
      </c>
      <c r="B238" s="3369">
        <v>519962</v>
      </c>
      <c r="C238" s="3370"/>
      <c r="D238" s="3371"/>
      <c r="E238" s="3370"/>
      <c r="F238" s="3372">
        <v>822</v>
      </c>
      <c r="G238" s="3373">
        <v>9342</v>
      </c>
      <c r="H238" s="3374">
        <v>8446</v>
      </c>
      <c r="I238" s="3373">
        <v>16298</v>
      </c>
      <c r="J238" s="3374">
        <v>4988</v>
      </c>
      <c r="K238" s="3373">
        <v>6357</v>
      </c>
      <c r="L238" s="3374">
        <v>1167</v>
      </c>
      <c r="M238" s="3373">
        <v>4891</v>
      </c>
      <c r="N238" s="3375">
        <v>1131</v>
      </c>
      <c r="O238" s="3376">
        <f t="shared" si="3"/>
        <v>53442</v>
      </c>
      <c r="P238" s="3377">
        <v>33980</v>
      </c>
      <c r="Q238" s="3378" t="e">
        <v>#N/A</v>
      </c>
      <c r="R238" s="3379">
        <v>112834</v>
      </c>
    </row>
    <row r="239" spans="1:18">
      <c r="A239" s="3368">
        <f t="shared" si="4"/>
        <v>2010.02</v>
      </c>
      <c r="B239" s="3369">
        <v>419663</v>
      </c>
      <c r="C239" s="3370"/>
      <c r="D239" s="3371"/>
      <c r="E239" s="3370"/>
      <c r="F239" s="3372">
        <v>822</v>
      </c>
      <c r="G239" s="3373">
        <v>8479</v>
      </c>
      <c r="H239" s="3374">
        <v>11249</v>
      </c>
      <c r="I239" s="3373">
        <v>8241</v>
      </c>
      <c r="J239" s="3374">
        <v>3867</v>
      </c>
      <c r="K239" s="3373">
        <v>3625</v>
      </c>
      <c r="L239" s="3374">
        <v>2433</v>
      </c>
      <c r="M239" s="3373">
        <v>10389</v>
      </c>
      <c r="N239" s="3375">
        <v>1098</v>
      </c>
      <c r="O239" s="3376">
        <f t="shared" si="3"/>
        <v>50203</v>
      </c>
      <c r="P239" s="3380">
        <v>34207</v>
      </c>
      <c r="Q239" s="3375">
        <v>1884</v>
      </c>
      <c r="R239" s="3381">
        <v>110529</v>
      </c>
    </row>
    <row r="240" spans="1:18">
      <c r="A240" s="3368">
        <f t="shared" si="4"/>
        <v>2010.03</v>
      </c>
      <c r="B240" s="3369">
        <v>535436</v>
      </c>
      <c r="C240" s="3370"/>
      <c r="D240" s="3371"/>
      <c r="E240" s="3370"/>
      <c r="F240" s="3372">
        <v>1855</v>
      </c>
      <c r="G240" s="3373">
        <v>7019</v>
      </c>
      <c r="H240" s="3374">
        <v>5688</v>
      </c>
      <c r="I240" s="3373">
        <v>9910</v>
      </c>
      <c r="J240" s="3374">
        <v>9563</v>
      </c>
      <c r="K240" s="3373">
        <v>4351</v>
      </c>
      <c r="L240" s="3374">
        <v>3541</v>
      </c>
      <c r="M240" s="3373">
        <v>7825</v>
      </c>
      <c r="N240" s="3375">
        <v>1617</v>
      </c>
      <c r="O240" s="3376">
        <f t="shared" si="3"/>
        <v>51369</v>
      </c>
      <c r="P240" s="3380">
        <v>26001</v>
      </c>
      <c r="Q240" s="3375">
        <v>2197</v>
      </c>
      <c r="R240" s="3381">
        <v>119058</v>
      </c>
    </row>
    <row r="241" spans="1:18">
      <c r="A241" s="3368">
        <f t="shared" si="4"/>
        <v>2010.04</v>
      </c>
      <c r="B241" s="3369">
        <v>616698</v>
      </c>
      <c r="C241" s="3370"/>
      <c r="D241" s="3371"/>
      <c r="E241" s="3370"/>
      <c r="F241" s="3372">
        <v>3902</v>
      </c>
      <c r="G241" s="3373">
        <v>9250</v>
      </c>
      <c r="H241" s="3374">
        <v>6596</v>
      </c>
      <c r="I241" s="3373">
        <v>15188</v>
      </c>
      <c r="J241" s="3374">
        <v>12506</v>
      </c>
      <c r="K241" s="3373">
        <v>5385</v>
      </c>
      <c r="L241" s="3374">
        <v>4071</v>
      </c>
      <c r="M241" s="3373">
        <v>11328</v>
      </c>
      <c r="N241" s="3375">
        <v>2619</v>
      </c>
      <c r="O241" s="3376">
        <f t="shared" si="3"/>
        <v>70845</v>
      </c>
      <c r="P241" s="3380">
        <v>38424</v>
      </c>
      <c r="Q241" s="3375">
        <v>2845</v>
      </c>
      <c r="R241" s="3381">
        <v>145670</v>
      </c>
    </row>
    <row r="242" spans="1:18">
      <c r="A242" s="3368">
        <f t="shared" si="4"/>
        <v>2010.05</v>
      </c>
      <c r="B242" s="3369">
        <v>557684</v>
      </c>
      <c r="C242" s="3370"/>
      <c r="D242" s="3371"/>
      <c r="E242" s="3370"/>
      <c r="F242" s="3372">
        <v>2776</v>
      </c>
      <c r="G242" s="3373">
        <v>11704</v>
      </c>
      <c r="H242" s="3374">
        <v>10270</v>
      </c>
      <c r="I242" s="3373">
        <v>6423</v>
      </c>
      <c r="J242" s="3374">
        <v>12343</v>
      </c>
      <c r="K242" s="3373">
        <v>9589</v>
      </c>
      <c r="L242" s="3374">
        <v>3746</v>
      </c>
      <c r="M242" s="3373">
        <v>3282</v>
      </c>
      <c r="N242" s="3375">
        <v>3047</v>
      </c>
      <c r="O242" s="3376">
        <f t="shared" si="3"/>
        <v>63180</v>
      </c>
      <c r="P242" s="3380">
        <v>57298</v>
      </c>
      <c r="Q242" s="3375">
        <v>2154</v>
      </c>
      <c r="R242" s="3381">
        <v>165803</v>
      </c>
    </row>
    <row r="243" spans="1:18">
      <c r="A243" s="3368">
        <f t="shared" si="4"/>
        <v>2010.06</v>
      </c>
      <c r="B243" s="3369">
        <v>676012</v>
      </c>
      <c r="C243" s="3370"/>
      <c r="D243" s="3371"/>
      <c r="E243" s="3370"/>
      <c r="F243" s="3372">
        <v>1203</v>
      </c>
      <c r="G243" s="3373">
        <v>16744</v>
      </c>
      <c r="H243" s="3374">
        <v>5549</v>
      </c>
      <c r="I243" s="3373">
        <v>11735</v>
      </c>
      <c r="J243" s="3374">
        <v>17285</v>
      </c>
      <c r="K243" s="3373">
        <v>4825</v>
      </c>
      <c r="L243" s="3374">
        <v>1805</v>
      </c>
      <c r="M243" s="3373">
        <v>22993</v>
      </c>
      <c r="N243" s="3375">
        <v>1893</v>
      </c>
      <c r="O243" s="3376">
        <f t="shared" si="3"/>
        <v>84032</v>
      </c>
      <c r="P243" s="3380">
        <v>47918</v>
      </c>
      <c r="Q243" s="3375">
        <v>498</v>
      </c>
      <c r="R243" s="3381">
        <v>181662</v>
      </c>
    </row>
    <row r="244" spans="1:18">
      <c r="A244" s="3368">
        <f t="shared" si="4"/>
        <v>2010.07</v>
      </c>
      <c r="B244" s="3369">
        <v>693301</v>
      </c>
      <c r="C244" s="3370"/>
      <c r="D244" s="3371"/>
      <c r="E244" s="3370"/>
      <c r="F244" s="3372">
        <v>1136</v>
      </c>
      <c r="G244" s="3373">
        <v>28004</v>
      </c>
      <c r="H244" s="3374">
        <v>6775</v>
      </c>
      <c r="I244" s="3373">
        <v>6638</v>
      </c>
      <c r="J244" s="3374">
        <v>18009</v>
      </c>
      <c r="K244" s="3373">
        <v>4361</v>
      </c>
      <c r="L244" s="3374">
        <v>2464</v>
      </c>
      <c r="M244" s="3373">
        <v>34676</v>
      </c>
      <c r="N244" s="3375">
        <v>3524</v>
      </c>
      <c r="O244" s="3376">
        <f t="shared" si="3"/>
        <v>105587</v>
      </c>
      <c r="P244" s="3380">
        <v>118295</v>
      </c>
      <c r="Q244" s="3375">
        <v>4114</v>
      </c>
      <c r="R244" s="3381">
        <v>269554</v>
      </c>
    </row>
    <row r="245" spans="1:18">
      <c r="A245" s="3368">
        <f t="shared" si="4"/>
        <v>2010.08</v>
      </c>
      <c r="B245" s="3369">
        <v>889489</v>
      </c>
      <c r="C245" s="3370"/>
      <c r="D245" s="3371"/>
      <c r="E245" s="3370"/>
      <c r="F245" s="3372">
        <v>3327</v>
      </c>
      <c r="G245" s="3373">
        <v>30013</v>
      </c>
      <c r="H245" s="3374">
        <v>14691</v>
      </c>
      <c r="I245" s="3373">
        <v>16129</v>
      </c>
      <c r="J245" s="3374">
        <v>12474</v>
      </c>
      <c r="K245" s="3373">
        <v>2598</v>
      </c>
      <c r="L245" s="3374">
        <v>2972</v>
      </c>
      <c r="M245" s="3373">
        <v>12679</v>
      </c>
      <c r="N245" s="3375">
        <v>2145</v>
      </c>
      <c r="O245" s="3376">
        <f t="shared" si="3"/>
        <v>97028</v>
      </c>
      <c r="P245" s="3380">
        <v>49133</v>
      </c>
      <c r="Q245" s="3375">
        <v>860</v>
      </c>
      <c r="R245" s="3381">
        <v>186686</v>
      </c>
    </row>
    <row r="246" spans="1:18">
      <c r="A246" s="3368">
        <f t="shared" si="4"/>
        <v>2010.09</v>
      </c>
      <c r="B246" s="3369">
        <v>779731</v>
      </c>
      <c r="C246" s="3370"/>
      <c r="D246" s="3371"/>
      <c r="E246" s="3370"/>
      <c r="F246" s="3372">
        <v>1178</v>
      </c>
      <c r="G246" s="3373">
        <v>17218</v>
      </c>
      <c r="H246" s="3374">
        <v>12500</v>
      </c>
      <c r="I246" s="3373">
        <v>9460</v>
      </c>
      <c r="J246" s="3374">
        <v>12034</v>
      </c>
      <c r="K246" s="3373">
        <v>3258</v>
      </c>
      <c r="L246" s="3374">
        <v>1469</v>
      </c>
      <c r="M246" s="3373">
        <v>12652</v>
      </c>
      <c r="N246" s="3375">
        <v>2282</v>
      </c>
      <c r="O246" s="3376">
        <f t="shared" si="3"/>
        <v>72051</v>
      </c>
      <c r="P246" s="3380">
        <v>62095</v>
      </c>
      <c r="Q246" s="3375">
        <v>477</v>
      </c>
      <c r="R246" s="3381">
        <v>173524</v>
      </c>
    </row>
    <row r="247" spans="1:18">
      <c r="A247" s="3368">
        <f t="shared" si="4"/>
        <v>2010.1</v>
      </c>
      <c r="B247" s="3369">
        <v>581375</v>
      </c>
      <c r="C247" s="3370"/>
      <c r="D247" s="3371"/>
      <c r="E247" s="3370"/>
      <c r="F247" s="3372">
        <v>1455</v>
      </c>
      <c r="G247" s="3373">
        <v>8910</v>
      </c>
      <c r="H247" s="3374">
        <v>7865</v>
      </c>
      <c r="I247" s="3373">
        <v>14703</v>
      </c>
      <c r="J247" s="3374">
        <v>10261</v>
      </c>
      <c r="K247" s="3373">
        <v>2810</v>
      </c>
      <c r="L247" s="3374">
        <v>1951</v>
      </c>
      <c r="M247" s="3373">
        <v>7439</v>
      </c>
      <c r="N247" s="3375">
        <v>1835</v>
      </c>
      <c r="O247" s="3376">
        <f t="shared" si="3"/>
        <v>57229</v>
      </c>
      <c r="P247" s="3380">
        <v>53874</v>
      </c>
      <c r="Q247" s="3382" t="e">
        <v>#N/A</v>
      </c>
      <c r="R247" s="3381">
        <v>138463</v>
      </c>
    </row>
    <row r="248" spans="1:18">
      <c r="A248" s="3368">
        <f t="shared" si="4"/>
        <v>2010.11</v>
      </c>
      <c r="B248" s="3369">
        <v>885421</v>
      </c>
      <c r="C248" s="3370"/>
      <c r="D248" s="3371"/>
      <c r="E248" s="3370"/>
      <c r="F248" s="3372">
        <v>1037</v>
      </c>
      <c r="G248" s="3373">
        <v>12201</v>
      </c>
      <c r="H248" s="3374">
        <v>6045</v>
      </c>
      <c r="I248" s="3373">
        <v>11941</v>
      </c>
      <c r="J248" s="3374">
        <v>11704</v>
      </c>
      <c r="K248" s="3373">
        <v>1925</v>
      </c>
      <c r="L248" s="3374">
        <v>2340</v>
      </c>
      <c r="M248" s="3373">
        <v>7814</v>
      </c>
      <c r="N248" s="3375">
        <v>2461</v>
      </c>
      <c r="O248" s="3376">
        <f t="shared" si="3"/>
        <v>57468</v>
      </c>
      <c r="P248" s="3380">
        <v>53101</v>
      </c>
      <c r="Q248" s="3382" t="e">
        <v>#N/A</v>
      </c>
      <c r="R248" s="3381">
        <v>158218</v>
      </c>
    </row>
    <row r="249" spans="1:18">
      <c r="A249" s="3368">
        <f t="shared" si="4"/>
        <v>2010.12</v>
      </c>
      <c r="B249" s="3369">
        <v>779701</v>
      </c>
      <c r="C249" s="3370"/>
      <c r="D249" s="3371"/>
      <c r="E249" s="3370"/>
      <c r="F249" s="3372">
        <v>5082</v>
      </c>
      <c r="G249" s="3373">
        <v>19659</v>
      </c>
      <c r="H249" s="3374">
        <v>7067</v>
      </c>
      <c r="I249" s="3373">
        <v>17037</v>
      </c>
      <c r="J249" s="3374">
        <v>21114</v>
      </c>
      <c r="K249" s="3373">
        <v>5043</v>
      </c>
      <c r="L249" s="3374">
        <v>1361</v>
      </c>
      <c r="M249" s="3373">
        <v>8605</v>
      </c>
      <c r="N249" s="3375">
        <v>3451</v>
      </c>
      <c r="O249" s="3376">
        <f t="shared" si="3"/>
        <v>88419</v>
      </c>
      <c r="P249" s="3380">
        <v>59956</v>
      </c>
      <c r="Q249" s="3382" t="e">
        <v>#N/A</v>
      </c>
      <c r="R249" s="3381">
        <v>188881</v>
      </c>
    </row>
    <row r="250" spans="1:18">
      <c r="A250" s="3368">
        <f t="shared" si="4"/>
        <v>2011.01</v>
      </c>
      <c r="B250" s="3369">
        <v>507395</v>
      </c>
      <c r="C250" s="3370"/>
      <c r="D250" s="3371"/>
      <c r="E250" s="3370"/>
      <c r="F250" s="3372">
        <v>2289</v>
      </c>
      <c r="G250" s="3373">
        <v>12920</v>
      </c>
      <c r="H250" s="3374">
        <v>1196</v>
      </c>
      <c r="I250" s="3373">
        <v>7301</v>
      </c>
      <c r="J250" s="3374">
        <v>8337</v>
      </c>
      <c r="K250" s="3383">
        <v>1793</v>
      </c>
      <c r="L250" s="3374">
        <v>1838</v>
      </c>
      <c r="M250" s="3373">
        <v>8834</v>
      </c>
      <c r="N250" s="3375">
        <v>1122</v>
      </c>
      <c r="O250" s="3376">
        <f t="shared" si="3"/>
        <v>45630</v>
      </c>
      <c r="P250" s="3380">
        <v>52645</v>
      </c>
      <c r="Q250" s="3375">
        <v>126</v>
      </c>
      <c r="R250" s="3381">
        <v>114267</v>
      </c>
    </row>
    <row r="251" spans="1:18">
      <c r="A251" s="3368">
        <f t="shared" si="4"/>
        <v>2011.02</v>
      </c>
      <c r="B251" s="3369">
        <v>547401</v>
      </c>
      <c r="C251" s="3370"/>
      <c r="D251" s="3371"/>
      <c r="E251" s="3370"/>
      <c r="F251" s="3372">
        <v>528</v>
      </c>
      <c r="G251" s="3373">
        <v>15624</v>
      </c>
      <c r="H251" s="3374">
        <v>12701</v>
      </c>
      <c r="I251" s="3373">
        <v>4810</v>
      </c>
      <c r="J251" s="3374">
        <v>7740</v>
      </c>
      <c r="K251" s="3373">
        <v>2183</v>
      </c>
      <c r="L251" s="3374">
        <v>2327</v>
      </c>
      <c r="M251" s="3373">
        <v>4662</v>
      </c>
      <c r="N251" s="3375">
        <v>5288</v>
      </c>
      <c r="O251" s="3376">
        <f t="shared" si="3"/>
        <v>55863</v>
      </c>
      <c r="P251" s="3380">
        <v>49541</v>
      </c>
      <c r="Q251" s="3375">
        <v>349</v>
      </c>
      <c r="R251" s="3381">
        <v>130648</v>
      </c>
    </row>
    <row r="252" spans="1:18">
      <c r="A252" s="3368">
        <f t="shared" si="4"/>
        <v>2011.03</v>
      </c>
      <c r="B252" s="3369">
        <v>578814</v>
      </c>
      <c r="C252" s="3370"/>
      <c r="D252" s="3371"/>
      <c r="E252" s="3370"/>
      <c r="F252" s="3372">
        <v>1913</v>
      </c>
      <c r="G252" s="3373">
        <v>15905</v>
      </c>
      <c r="H252" s="3374">
        <v>10773</v>
      </c>
      <c r="I252" s="3373">
        <v>8575</v>
      </c>
      <c r="J252" s="3374">
        <v>12671</v>
      </c>
      <c r="K252" s="3373">
        <v>4481</v>
      </c>
      <c r="L252" s="3374">
        <v>2966</v>
      </c>
      <c r="M252" s="3373">
        <v>4786</v>
      </c>
      <c r="N252" s="3375">
        <v>2027</v>
      </c>
      <c r="O252" s="3376">
        <f t="shared" si="3"/>
        <v>64097</v>
      </c>
      <c r="P252" s="3380">
        <v>73081</v>
      </c>
      <c r="Q252" s="3375">
        <v>1378</v>
      </c>
      <c r="R252" s="3381">
        <v>169106</v>
      </c>
    </row>
    <row r="253" spans="1:18">
      <c r="A253" s="3368">
        <f t="shared" si="4"/>
        <v>2011.04</v>
      </c>
      <c r="B253" s="3369">
        <v>633625</v>
      </c>
      <c r="C253" s="3370"/>
      <c r="D253" s="3371"/>
      <c r="E253" s="3370"/>
      <c r="F253" s="3372">
        <v>2636</v>
      </c>
      <c r="G253" s="3373">
        <v>18122</v>
      </c>
      <c r="H253" s="3374">
        <v>16099</v>
      </c>
      <c r="I253" s="3373">
        <v>6309</v>
      </c>
      <c r="J253" s="3374">
        <v>7746</v>
      </c>
      <c r="K253" s="3373">
        <v>3433</v>
      </c>
      <c r="L253" s="3374">
        <v>2948</v>
      </c>
      <c r="M253" s="3373">
        <v>10314</v>
      </c>
      <c r="N253" s="3375">
        <v>4000</v>
      </c>
      <c r="O253" s="3376">
        <f t="shared" si="3"/>
        <v>71607</v>
      </c>
      <c r="P253" s="3380">
        <v>33670</v>
      </c>
      <c r="Q253" s="3375">
        <v>105</v>
      </c>
      <c r="R253" s="3381">
        <v>139130</v>
      </c>
    </row>
    <row r="254" spans="1:18">
      <c r="A254" s="3368">
        <f t="shared" si="4"/>
        <v>2011.05</v>
      </c>
      <c r="B254" s="3369">
        <v>701791</v>
      </c>
      <c r="C254" s="3370"/>
      <c r="D254" s="3371"/>
      <c r="E254" s="3370"/>
      <c r="F254" s="3372">
        <v>2749</v>
      </c>
      <c r="G254" s="3373">
        <v>25211</v>
      </c>
      <c r="H254" s="3374">
        <v>14729</v>
      </c>
      <c r="I254" s="3373">
        <v>11255</v>
      </c>
      <c r="J254" s="3374">
        <v>12572</v>
      </c>
      <c r="K254" s="3373">
        <v>3068</v>
      </c>
      <c r="L254" s="3374">
        <v>2109</v>
      </c>
      <c r="M254" s="3373">
        <v>8945</v>
      </c>
      <c r="N254" s="3375">
        <v>1597</v>
      </c>
      <c r="O254" s="3376">
        <f t="shared" si="3"/>
        <v>82235</v>
      </c>
      <c r="P254" s="3380">
        <v>75744</v>
      </c>
      <c r="Q254" s="3375">
        <v>1063</v>
      </c>
      <c r="R254" s="3381">
        <v>203308</v>
      </c>
    </row>
    <row r="255" spans="1:18">
      <c r="A255" s="3368">
        <f t="shared" si="4"/>
        <v>2011.06</v>
      </c>
      <c r="B255" s="3369">
        <v>790068</v>
      </c>
      <c r="C255" s="3370"/>
      <c r="D255" s="3371"/>
      <c r="E255" s="3370"/>
      <c r="F255" s="3372">
        <v>1937</v>
      </c>
      <c r="G255" s="3373">
        <v>12613</v>
      </c>
      <c r="H255" s="3374">
        <v>5730</v>
      </c>
      <c r="I255" s="3373">
        <v>13107</v>
      </c>
      <c r="J255" s="3374">
        <v>8883</v>
      </c>
      <c r="K255" s="3373">
        <v>2558</v>
      </c>
      <c r="L255" s="3374">
        <v>2778</v>
      </c>
      <c r="M255" s="3373">
        <v>6181</v>
      </c>
      <c r="N255" s="3375">
        <v>1869</v>
      </c>
      <c r="O255" s="3376">
        <f t="shared" si="3"/>
        <v>55656</v>
      </c>
      <c r="P255" s="3380">
        <v>58478</v>
      </c>
      <c r="Q255" s="3375">
        <v>2938</v>
      </c>
      <c r="R255" s="3381">
        <v>151484</v>
      </c>
    </row>
    <row r="256" spans="1:18">
      <c r="A256" s="3368">
        <f t="shared" si="4"/>
        <v>2011.07</v>
      </c>
      <c r="B256" s="3369">
        <v>603009</v>
      </c>
      <c r="C256" s="3370"/>
      <c r="D256" s="3371"/>
      <c r="E256" s="3370"/>
      <c r="F256" s="3372">
        <v>2689</v>
      </c>
      <c r="G256" s="3373">
        <v>7975</v>
      </c>
      <c r="H256" s="3374">
        <v>6049</v>
      </c>
      <c r="I256" s="3373">
        <v>15466</v>
      </c>
      <c r="J256" s="3374">
        <v>7776</v>
      </c>
      <c r="K256" s="3373">
        <v>2486</v>
      </c>
      <c r="L256" s="3374">
        <v>2200</v>
      </c>
      <c r="M256" s="3373">
        <v>7305</v>
      </c>
      <c r="N256" s="3375">
        <v>1881</v>
      </c>
      <c r="O256" s="3376">
        <f t="shared" si="3"/>
        <v>53827</v>
      </c>
      <c r="P256" s="3380">
        <v>64794</v>
      </c>
      <c r="Q256" s="3375">
        <v>4702</v>
      </c>
      <c r="R256" s="3381">
        <v>163351</v>
      </c>
    </row>
    <row r="257" spans="1:18">
      <c r="A257" s="3368">
        <f t="shared" si="4"/>
        <v>2011.08</v>
      </c>
      <c r="B257" s="3369">
        <v>884436</v>
      </c>
      <c r="C257" s="3370"/>
      <c r="D257" s="3371"/>
      <c r="E257" s="3370"/>
      <c r="F257" s="3372">
        <v>2276</v>
      </c>
      <c r="G257" s="3373">
        <v>23854</v>
      </c>
      <c r="H257" s="3374">
        <v>9893</v>
      </c>
      <c r="I257" s="3373">
        <v>18395</v>
      </c>
      <c r="J257" s="3374">
        <v>13501</v>
      </c>
      <c r="K257" s="3373">
        <v>3505</v>
      </c>
      <c r="L257" s="3374">
        <v>7132</v>
      </c>
      <c r="M257" s="3373">
        <v>9136</v>
      </c>
      <c r="N257" s="3375">
        <v>3220</v>
      </c>
      <c r="O257" s="3376">
        <f t="shared" si="3"/>
        <v>90912</v>
      </c>
      <c r="P257" s="3380">
        <v>97490</v>
      </c>
      <c r="Q257" s="3375">
        <v>2205</v>
      </c>
      <c r="R257" s="3381">
        <v>305884</v>
      </c>
    </row>
    <row r="258" spans="1:18">
      <c r="A258" s="3368">
        <f t="shared" si="4"/>
        <v>2011.09</v>
      </c>
      <c r="B258" s="3369">
        <v>770321</v>
      </c>
      <c r="C258" s="3370"/>
      <c r="D258" s="3371"/>
      <c r="E258" s="3370"/>
      <c r="F258" s="3372">
        <v>3566</v>
      </c>
      <c r="G258" s="3373">
        <v>42682</v>
      </c>
      <c r="H258" s="3374">
        <v>8248</v>
      </c>
      <c r="I258" s="3373">
        <v>18402</v>
      </c>
      <c r="J258" s="3374">
        <v>5913</v>
      </c>
      <c r="K258" s="3373">
        <v>2945</v>
      </c>
      <c r="L258" s="3374">
        <v>2439</v>
      </c>
      <c r="M258" s="3373">
        <v>9653</v>
      </c>
      <c r="N258" s="3375">
        <v>3111</v>
      </c>
      <c r="O258" s="3376">
        <f t="shared" si="3"/>
        <v>96959</v>
      </c>
      <c r="P258" s="3380">
        <v>71005</v>
      </c>
      <c r="Q258" s="3375">
        <v>535</v>
      </c>
      <c r="R258" s="3381">
        <v>211780</v>
      </c>
    </row>
    <row r="259" spans="1:18">
      <c r="A259" s="3368">
        <f t="shared" si="4"/>
        <v>2011.1</v>
      </c>
      <c r="B259" s="3369">
        <v>789984</v>
      </c>
      <c r="C259" s="3370"/>
      <c r="D259" s="3371"/>
      <c r="E259" s="3370"/>
      <c r="F259" s="3372">
        <v>3259</v>
      </c>
      <c r="G259" s="3373">
        <v>18618</v>
      </c>
      <c r="H259" s="3374">
        <v>10327</v>
      </c>
      <c r="I259" s="3373">
        <v>19761</v>
      </c>
      <c r="J259" s="3374">
        <v>676</v>
      </c>
      <c r="K259" s="3373">
        <v>3050</v>
      </c>
      <c r="L259" s="3374">
        <v>4899</v>
      </c>
      <c r="M259" s="3373">
        <v>7356</v>
      </c>
      <c r="N259" s="3375">
        <v>2634</v>
      </c>
      <c r="O259" s="3376">
        <f t="shared" si="3"/>
        <v>70580</v>
      </c>
      <c r="P259" s="3380">
        <v>62524</v>
      </c>
      <c r="Q259" s="3375">
        <v>2045</v>
      </c>
      <c r="R259" s="3381">
        <v>180558</v>
      </c>
    </row>
    <row r="260" spans="1:18">
      <c r="A260" s="3368">
        <f t="shared" si="4"/>
        <v>2011.11</v>
      </c>
      <c r="B260" s="3369">
        <v>692215</v>
      </c>
      <c r="C260" s="3370"/>
      <c r="D260" s="3371"/>
      <c r="E260" s="3370"/>
      <c r="F260" s="3372">
        <v>1596</v>
      </c>
      <c r="G260" s="3373">
        <v>38015</v>
      </c>
      <c r="H260" s="3374">
        <v>9338</v>
      </c>
      <c r="I260" s="3373">
        <v>16047</v>
      </c>
      <c r="J260" s="3374">
        <v>6149</v>
      </c>
      <c r="K260" s="3373">
        <v>2271</v>
      </c>
      <c r="L260" s="3374">
        <v>1274</v>
      </c>
      <c r="M260" s="3373">
        <v>8541</v>
      </c>
      <c r="N260" s="3375">
        <v>2218</v>
      </c>
      <c r="O260" s="3376">
        <f t="shared" si="3"/>
        <v>85449</v>
      </c>
      <c r="P260" s="3380">
        <v>63396</v>
      </c>
      <c r="Q260" s="3382" t="e">
        <v>#N/A</v>
      </c>
      <c r="R260" s="3381">
        <v>199105</v>
      </c>
    </row>
    <row r="261" spans="1:18">
      <c r="A261" s="3368">
        <f t="shared" si="4"/>
        <v>2011.12</v>
      </c>
      <c r="B261" s="3369">
        <v>690243</v>
      </c>
      <c r="C261" s="3370"/>
      <c r="D261" s="3371"/>
      <c r="E261" s="3370"/>
      <c r="F261" s="3372">
        <v>2473</v>
      </c>
      <c r="G261" s="3373">
        <v>14116</v>
      </c>
      <c r="H261" s="3374">
        <v>7219</v>
      </c>
      <c r="I261" s="3373">
        <v>17864</v>
      </c>
      <c r="J261" s="3374">
        <v>7818</v>
      </c>
      <c r="K261" s="3373">
        <v>2854</v>
      </c>
      <c r="L261" s="3374">
        <v>3967</v>
      </c>
      <c r="M261" s="3373">
        <v>6016</v>
      </c>
      <c r="N261" s="3375">
        <v>4316</v>
      </c>
      <c r="O261" s="3376">
        <f t="shared" si="3"/>
        <v>66643</v>
      </c>
      <c r="P261" s="3380">
        <v>49756</v>
      </c>
      <c r="Q261" s="3375">
        <v>845</v>
      </c>
      <c r="R261" s="3381">
        <v>175825</v>
      </c>
    </row>
    <row r="262" spans="1:18">
      <c r="A262" s="3368">
        <f t="shared" si="4"/>
        <v>2012.01</v>
      </c>
      <c r="B262" s="3369">
        <v>517001</v>
      </c>
      <c r="C262" s="3370"/>
      <c r="D262" s="3371"/>
      <c r="E262" s="3370"/>
      <c r="F262" s="3372">
        <v>1478</v>
      </c>
      <c r="G262" s="3373">
        <v>18053</v>
      </c>
      <c r="H262" s="3374">
        <v>0</v>
      </c>
      <c r="I262" s="3373">
        <v>11032</v>
      </c>
      <c r="J262" s="3374">
        <v>7158</v>
      </c>
      <c r="K262" s="3373">
        <v>1192</v>
      </c>
      <c r="L262" s="3374">
        <v>1421</v>
      </c>
      <c r="M262" s="3373">
        <v>4495</v>
      </c>
      <c r="N262" s="3375">
        <v>2682</v>
      </c>
      <c r="O262" s="3376">
        <f t="shared" si="3"/>
        <v>47511</v>
      </c>
      <c r="P262" s="3380">
        <v>71501</v>
      </c>
      <c r="Q262" s="3375">
        <v>0</v>
      </c>
      <c r="R262" s="3381">
        <v>146122</v>
      </c>
    </row>
    <row r="263" spans="1:18">
      <c r="A263" s="3368">
        <f t="shared" si="4"/>
        <v>2012.02</v>
      </c>
      <c r="B263" s="3369">
        <v>537555</v>
      </c>
      <c r="C263" s="3370"/>
      <c r="D263" s="3371"/>
      <c r="E263" s="3370"/>
      <c r="F263" s="3372">
        <v>1540</v>
      </c>
      <c r="G263" s="3373">
        <v>15518</v>
      </c>
      <c r="H263" s="3374">
        <v>9393</v>
      </c>
      <c r="I263" s="3373">
        <v>8339</v>
      </c>
      <c r="J263" s="3374">
        <v>5376</v>
      </c>
      <c r="K263" s="3373">
        <v>2948</v>
      </c>
      <c r="L263" s="3374">
        <v>1324</v>
      </c>
      <c r="M263" s="3373">
        <v>3551</v>
      </c>
      <c r="N263" s="3375">
        <v>1634</v>
      </c>
      <c r="O263" s="3376">
        <f t="shared" si="3"/>
        <v>49623</v>
      </c>
      <c r="P263" s="3380">
        <v>54220</v>
      </c>
      <c r="Q263" s="3375">
        <v>915</v>
      </c>
      <c r="R263" s="3381">
        <v>139400</v>
      </c>
    </row>
    <row r="264" spans="1:18">
      <c r="A264" s="3368">
        <f t="shared" si="4"/>
        <v>2012.03</v>
      </c>
      <c r="B264" s="3369">
        <v>649256</v>
      </c>
      <c r="C264" s="3370"/>
      <c r="D264" s="3371"/>
      <c r="E264" s="3370"/>
      <c r="F264" s="3372">
        <v>1565</v>
      </c>
      <c r="G264" s="3373">
        <v>5523</v>
      </c>
      <c r="H264" s="3374">
        <v>4925</v>
      </c>
      <c r="I264" s="3373">
        <v>8386</v>
      </c>
      <c r="J264" s="3374">
        <v>4211</v>
      </c>
      <c r="K264" s="3373">
        <v>4143</v>
      </c>
      <c r="L264" s="3374">
        <v>2207</v>
      </c>
      <c r="M264" s="3373">
        <v>11305</v>
      </c>
      <c r="N264" s="3375">
        <v>2734</v>
      </c>
      <c r="O264" s="3376">
        <f t="shared" si="3"/>
        <v>44999</v>
      </c>
      <c r="P264" s="3380">
        <v>46367</v>
      </c>
      <c r="Q264" s="3375">
        <v>257</v>
      </c>
      <c r="R264" s="3381">
        <v>132990</v>
      </c>
    </row>
    <row r="265" spans="1:18">
      <c r="A265" s="3368">
        <f t="shared" si="4"/>
        <v>2012.04</v>
      </c>
      <c r="B265" s="3369">
        <v>551374</v>
      </c>
      <c r="C265" s="3370"/>
      <c r="D265" s="3371"/>
      <c r="E265" s="3370"/>
      <c r="F265" s="3384">
        <v>5009</v>
      </c>
      <c r="G265" s="3373">
        <v>17110</v>
      </c>
      <c r="H265" s="3374">
        <v>10425</v>
      </c>
      <c r="I265" s="3373">
        <v>10429</v>
      </c>
      <c r="J265" s="3374">
        <v>3604</v>
      </c>
      <c r="K265" s="3373">
        <v>5324</v>
      </c>
      <c r="L265" s="3374">
        <v>3426</v>
      </c>
      <c r="M265" s="3373">
        <v>9505</v>
      </c>
      <c r="N265" s="3375">
        <v>1103</v>
      </c>
      <c r="O265" s="3376">
        <f t="shared" si="3"/>
        <v>65935</v>
      </c>
      <c r="P265" s="3380">
        <v>57512</v>
      </c>
      <c r="Q265" s="3375">
        <v>1276</v>
      </c>
      <c r="R265" s="3381">
        <v>149544</v>
      </c>
    </row>
    <row r="266" spans="1:18">
      <c r="A266" s="3368">
        <f t="shared" si="4"/>
        <v>2012.05</v>
      </c>
      <c r="B266" s="3369">
        <v>667898</v>
      </c>
      <c r="C266" s="3370"/>
      <c r="D266" s="3371"/>
      <c r="E266" s="3370"/>
      <c r="F266" s="3372">
        <v>2804</v>
      </c>
      <c r="G266" s="3373">
        <v>14758</v>
      </c>
      <c r="H266" s="3374">
        <v>10463</v>
      </c>
      <c r="I266" s="3373">
        <v>18105</v>
      </c>
      <c r="J266" s="3374">
        <v>14595</v>
      </c>
      <c r="K266" s="3373">
        <v>3441</v>
      </c>
      <c r="L266" s="3374">
        <v>4032</v>
      </c>
      <c r="M266" s="3373">
        <v>3760</v>
      </c>
      <c r="N266" s="3375">
        <v>2390</v>
      </c>
      <c r="O266" s="3376">
        <f t="shared" si="3"/>
        <v>74348</v>
      </c>
      <c r="P266" s="3380">
        <v>87164</v>
      </c>
      <c r="Q266" s="3375">
        <v>886</v>
      </c>
      <c r="R266" s="3381">
        <v>203211</v>
      </c>
    </row>
    <row r="267" spans="1:18">
      <c r="A267" s="3368">
        <f t="shared" si="4"/>
        <v>2012.06</v>
      </c>
      <c r="B267" s="3369">
        <v>633073</v>
      </c>
      <c r="C267" s="3370"/>
      <c r="D267" s="3371"/>
      <c r="E267" s="3370"/>
      <c r="F267" s="3372">
        <v>1847</v>
      </c>
      <c r="G267" s="3373">
        <v>8465</v>
      </c>
      <c r="H267" s="3374">
        <v>13254</v>
      </c>
      <c r="I267" s="3373">
        <v>10835</v>
      </c>
      <c r="J267" s="3374">
        <v>9775</v>
      </c>
      <c r="K267" s="3373">
        <v>1346</v>
      </c>
      <c r="L267" s="3374">
        <v>3898</v>
      </c>
      <c r="M267" s="3373">
        <v>6905</v>
      </c>
      <c r="N267" s="3375">
        <v>2297</v>
      </c>
      <c r="O267" s="3376">
        <f t="shared" ref="O267:O330" si="5">_xlfn.AGGREGATE(9,6,F267:N267)</f>
        <v>58622</v>
      </c>
      <c r="P267" s="3380">
        <v>57539</v>
      </c>
      <c r="Q267" s="3375">
        <v>4459</v>
      </c>
      <c r="R267" s="3381">
        <v>184724</v>
      </c>
    </row>
    <row r="268" spans="1:18">
      <c r="A268" s="3368">
        <f t="shared" si="4"/>
        <v>2012.07</v>
      </c>
      <c r="B268" s="3369">
        <v>537671</v>
      </c>
      <c r="C268" s="3370"/>
      <c r="D268" s="3371"/>
      <c r="E268" s="3370"/>
      <c r="F268" s="3372">
        <v>105</v>
      </c>
      <c r="G268" s="3373">
        <v>8077</v>
      </c>
      <c r="H268" s="3374">
        <v>15896</v>
      </c>
      <c r="I268" s="3373">
        <v>22233</v>
      </c>
      <c r="J268" s="3374">
        <v>6271</v>
      </c>
      <c r="K268" s="3373">
        <v>1731</v>
      </c>
      <c r="L268" s="3374">
        <v>3880</v>
      </c>
      <c r="M268" s="3373">
        <v>6453</v>
      </c>
      <c r="N268" s="3375">
        <v>1427</v>
      </c>
      <c r="O268" s="3376">
        <f t="shared" si="5"/>
        <v>66073</v>
      </c>
      <c r="P268" s="3380">
        <v>67303</v>
      </c>
      <c r="Q268" s="3375">
        <v>5704</v>
      </c>
      <c r="R268" s="3381">
        <v>189677</v>
      </c>
    </row>
    <row r="269" spans="1:18">
      <c r="A269" s="3368">
        <f t="shared" si="4"/>
        <v>2012.08</v>
      </c>
      <c r="B269" s="3369">
        <v>897584</v>
      </c>
      <c r="C269" s="3370"/>
      <c r="D269" s="3371"/>
      <c r="E269" s="3370"/>
      <c r="F269" s="3372">
        <v>2560</v>
      </c>
      <c r="G269" s="3373">
        <v>30176</v>
      </c>
      <c r="H269" s="3374">
        <v>11106</v>
      </c>
      <c r="I269" s="3373">
        <v>28629</v>
      </c>
      <c r="J269" s="3374">
        <v>20247</v>
      </c>
      <c r="K269" s="3373">
        <v>4963</v>
      </c>
      <c r="L269" s="3374">
        <v>4563</v>
      </c>
      <c r="M269" s="3373">
        <v>8508</v>
      </c>
      <c r="N269" s="3375">
        <v>5857</v>
      </c>
      <c r="O269" s="3376">
        <f t="shared" si="5"/>
        <v>116609</v>
      </c>
      <c r="P269" s="3380">
        <v>62088</v>
      </c>
      <c r="Q269" s="3375">
        <v>662</v>
      </c>
      <c r="R269" s="3381">
        <v>236141</v>
      </c>
    </row>
    <row r="270" spans="1:18">
      <c r="A270" s="3368">
        <f t="shared" si="4"/>
        <v>2012.09</v>
      </c>
      <c r="B270" s="3369">
        <v>712294</v>
      </c>
      <c r="C270" s="3370"/>
      <c r="D270" s="3371"/>
      <c r="E270" s="3370"/>
      <c r="F270" s="3372">
        <v>1069</v>
      </c>
      <c r="G270" s="3383">
        <v>30498</v>
      </c>
      <c r="H270" s="3374">
        <v>9053</v>
      </c>
      <c r="I270" s="3373">
        <v>20281</v>
      </c>
      <c r="J270" s="3374">
        <v>6516</v>
      </c>
      <c r="K270" s="3373">
        <v>2451</v>
      </c>
      <c r="L270" s="3374">
        <v>2010</v>
      </c>
      <c r="M270" s="3373">
        <v>7446</v>
      </c>
      <c r="N270" s="3375">
        <v>2531</v>
      </c>
      <c r="O270" s="3376">
        <f t="shared" si="5"/>
        <v>81855</v>
      </c>
      <c r="P270" s="3380">
        <v>47932</v>
      </c>
      <c r="Q270" s="3375">
        <v>500</v>
      </c>
      <c r="R270" s="3381">
        <v>134451</v>
      </c>
    </row>
    <row r="271" spans="1:18">
      <c r="A271" s="3368">
        <f t="shared" si="4"/>
        <v>2012.1</v>
      </c>
      <c r="B271" s="3369">
        <v>866944</v>
      </c>
      <c r="C271" s="3370"/>
      <c r="D271" s="3371"/>
      <c r="E271" s="3370"/>
      <c r="F271" s="3372">
        <v>2807</v>
      </c>
      <c r="G271" s="3373">
        <v>12739</v>
      </c>
      <c r="H271" s="3374">
        <v>8975</v>
      </c>
      <c r="I271" s="3373">
        <v>12200</v>
      </c>
      <c r="J271" s="3374">
        <v>7488</v>
      </c>
      <c r="K271" s="3373">
        <v>2385</v>
      </c>
      <c r="L271" s="3374">
        <v>2993</v>
      </c>
      <c r="M271" s="3373">
        <v>6926</v>
      </c>
      <c r="N271" s="3375">
        <v>2024</v>
      </c>
      <c r="O271" s="3376">
        <f t="shared" si="5"/>
        <v>58537</v>
      </c>
      <c r="P271" s="3380">
        <v>60654</v>
      </c>
      <c r="Q271" s="3375">
        <v>309</v>
      </c>
      <c r="R271" s="3381">
        <v>159811</v>
      </c>
    </row>
    <row r="272" spans="1:18">
      <c r="A272" s="3368">
        <f t="shared" si="4"/>
        <v>2012.11</v>
      </c>
      <c r="B272" s="3369">
        <v>650084</v>
      </c>
      <c r="C272" s="3370"/>
      <c r="D272" s="3371"/>
      <c r="E272" s="3370"/>
      <c r="F272" s="3372">
        <v>4297</v>
      </c>
      <c r="G272" s="3373">
        <v>14633</v>
      </c>
      <c r="H272" s="3374">
        <v>6186</v>
      </c>
      <c r="I272" s="3373">
        <v>14276</v>
      </c>
      <c r="J272" s="3374">
        <v>6990</v>
      </c>
      <c r="K272" s="3373">
        <v>2690</v>
      </c>
      <c r="L272" s="3374">
        <v>4435</v>
      </c>
      <c r="M272" s="3373">
        <v>5600</v>
      </c>
      <c r="N272" s="3375">
        <v>2538</v>
      </c>
      <c r="O272" s="3376">
        <f t="shared" si="5"/>
        <v>61645</v>
      </c>
      <c r="P272" s="3380">
        <v>56507</v>
      </c>
      <c r="Q272" s="3375">
        <v>2798</v>
      </c>
      <c r="R272" s="3381">
        <v>153489</v>
      </c>
    </row>
    <row r="273" spans="1:16369">
      <c r="A273" s="3368">
        <f t="shared" si="4"/>
        <v>2012.12</v>
      </c>
      <c r="B273" s="3369">
        <v>788119</v>
      </c>
      <c r="C273" s="3370"/>
      <c r="D273" s="3371"/>
      <c r="E273" s="3370"/>
      <c r="F273" s="3372">
        <v>1800</v>
      </c>
      <c r="G273" s="3373">
        <v>10142</v>
      </c>
      <c r="H273" s="3374">
        <v>3988</v>
      </c>
      <c r="I273" s="3373">
        <v>12985</v>
      </c>
      <c r="J273" s="3374">
        <v>3976</v>
      </c>
      <c r="K273" s="3373">
        <v>2485</v>
      </c>
      <c r="L273" s="3374">
        <v>3111</v>
      </c>
      <c r="M273" s="3373">
        <v>4081</v>
      </c>
      <c r="N273" s="3375">
        <v>1617</v>
      </c>
      <c r="O273" s="3376">
        <f t="shared" si="5"/>
        <v>44185</v>
      </c>
      <c r="P273" s="3380">
        <v>35731</v>
      </c>
      <c r="Q273" s="3375">
        <v>3609</v>
      </c>
      <c r="R273" s="3381">
        <v>127706</v>
      </c>
    </row>
    <row r="274" spans="1:16369">
      <c r="A274" s="3368">
        <f t="shared" si="4"/>
        <v>2013.01</v>
      </c>
      <c r="B274" s="3369">
        <v>491563</v>
      </c>
      <c r="C274" s="3370"/>
      <c r="D274" s="3371"/>
      <c r="E274" s="3370"/>
      <c r="F274" s="3372">
        <v>2528</v>
      </c>
      <c r="G274" s="3373">
        <v>11171</v>
      </c>
      <c r="H274" s="3374">
        <v>1237</v>
      </c>
      <c r="I274" s="3373">
        <v>10990</v>
      </c>
      <c r="J274" s="3374">
        <v>6887</v>
      </c>
      <c r="K274" s="3373">
        <v>4548</v>
      </c>
      <c r="L274" s="3374">
        <v>7192</v>
      </c>
      <c r="M274" s="3373">
        <v>9769</v>
      </c>
      <c r="N274" s="3375">
        <v>2719</v>
      </c>
      <c r="O274" s="3376">
        <f t="shared" si="5"/>
        <v>57041</v>
      </c>
      <c r="P274" s="3380">
        <v>72324</v>
      </c>
      <c r="Q274" s="3375">
        <v>507</v>
      </c>
      <c r="R274" s="3381">
        <v>195114</v>
      </c>
    </row>
    <row r="275" spans="1:16369" s="1199" customFormat="1">
      <c r="A275" s="3368">
        <f t="shared" si="4"/>
        <v>2013.02</v>
      </c>
      <c r="B275" s="3369">
        <v>526011</v>
      </c>
      <c r="C275" s="3370"/>
      <c r="D275" s="3371"/>
      <c r="E275" s="3370"/>
      <c r="F275" s="3372">
        <v>1531</v>
      </c>
      <c r="G275" s="3373">
        <v>12102</v>
      </c>
      <c r="H275" s="3374">
        <v>10208</v>
      </c>
      <c r="I275" s="3373">
        <v>13756</v>
      </c>
      <c r="J275" s="3374">
        <v>5769</v>
      </c>
      <c r="K275" s="3373">
        <v>2798</v>
      </c>
      <c r="L275" s="3374">
        <v>2958</v>
      </c>
      <c r="M275" s="3373">
        <v>3986</v>
      </c>
      <c r="N275" s="3375">
        <v>1062</v>
      </c>
      <c r="O275" s="3376">
        <f t="shared" si="5"/>
        <v>54170</v>
      </c>
      <c r="P275" s="3380">
        <v>22613</v>
      </c>
      <c r="Q275" s="3375">
        <v>2312</v>
      </c>
      <c r="R275" s="3381">
        <v>109513</v>
      </c>
      <c r="S275" s="227"/>
      <c r="T275" s="227"/>
      <c r="U275" s="227"/>
      <c r="V275" s="227"/>
      <c r="W275" s="227"/>
      <c r="X275" s="227"/>
      <c r="Y275" s="227"/>
      <c r="Z275" s="227"/>
      <c r="AA275" s="227"/>
      <c r="AB275" s="227"/>
      <c r="AC275" s="227"/>
      <c r="AD275" s="227"/>
      <c r="AE275" s="227"/>
      <c r="AF275" s="227"/>
      <c r="AG275" s="227"/>
      <c r="AH275" s="227"/>
      <c r="AI275" s="227"/>
      <c r="AJ275" s="227"/>
      <c r="AK275" s="227"/>
      <c r="AL275" s="227"/>
      <c r="AM275" s="227"/>
      <c r="AN275" s="227"/>
      <c r="AO275" s="227"/>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7"/>
      <c r="BK275" s="227"/>
      <c r="BL275" s="227"/>
      <c r="BM275" s="227"/>
      <c r="BN275" s="227"/>
      <c r="BO275" s="227"/>
      <c r="BP275" s="227"/>
      <c r="BQ275" s="227"/>
      <c r="BR275" s="227"/>
      <c r="BS275" s="227"/>
      <c r="BT275" s="227"/>
      <c r="BU275" s="227"/>
      <c r="BV275" s="227"/>
      <c r="BW275" s="227"/>
      <c r="BX275" s="227"/>
      <c r="BY275" s="227"/>
      <c r="BZ275" s="227"/>
      <c r="CA275" s="227"/>
      <c r="CB275" s="227"/>
      <c r="CC275" s="227"/>
      <c r="CD275" s="227"/>
      <c r="CE275" s="227"/>
      <c r="CF275" s="227"/>
      <c r="CG275" s="227"/>
      <c r="CH275" s="227"/>
      <c r="CI275" s="227"/>
      <c r="CJ275" s="227"/>
      <c r="CK275" s="227"/>
      <c r="CL275" s="227"/>
      <c r="CM275" s="227"/>
      <c r="CN275" s="227"/>
      <c r="CO275" s="227"/>
      <c r="CP275" s="227"/>
      <c r="CQ275" s="227"/>
      <c r="CR275" s="227"/>
      <c r="CS275" s="227"/>
      <c r="CT275" s="227"/>
      <c r="CU275" s="227"/>
      <c r="CV275" s="227"/>
      <c r="CW275" s="227"/>
      <c r="CX275" s="227"/>
      <c r="CY275" s="227"/>
      <c r="CZ275" s="227"/>
      <c r="DA275" s="227"/>
      <c r="DB275" s="227"/>
      <c r="DC275" s="227"/>
      <c r="DD275" s="227"/>
      <c r="DE275" s="227"/>
      <c r="DF275" s="227"/>
      <c r="DG275" s="227"/>
      <c r="DH275" s="227"/>
      <c r="DI275" s="227"/>
      <c r="DJ275" s="227"/>
      <c r="DK275" s="227"/>
      <c r="DL275" s="227"/>
      <c r="DM275" s="227"/>
      <c r="DN275" s="227"/>
      <c r="DO275" s="227"/>
      <c r="DP275" s="227"/>
      <c r="DQ275" s="227"/>
      <c r="DR275" s="227"/>
      <c r="DS275" s="227"/>
      <c r="DT275" s="227"/>
      <c r="DU275" s="227"/>
      <c r="DV275" s="227"/>
      <c r="DW275" s="227"/>
      <c r="DX275" s="227"/>
      <c r="DY275" s="227"/>
      <c r="DZ275" s="227"/>
      <c r="EA275" s="227"/>
      <c r="EB275" s="227"/>
      <c r="EC275" s="227"/>
      <c r="ED275" s="227"/>
      <c r="EE275" s="227"/>
      <c r="EF275" s="227"/>
      <c r="EG275" s="227"/>
      <c r="EH275" s="227"/>
      <c r="EI275" s="227"/>
      <c r="EJ275" s="227"/>
      <c r="EK275" s="227"/>
      <c r="EL275" s="227"/>
      <c r="EM275" s="227"/>
      <c r="EN275" s="227"/>
      <c r="EO275" s="227"/>
      <c r="EP275" s="227"/>
      <c r="EQ275" s="227"/>
      <c r="ER275" s="227"/>
      <c r="ES275" s="227"/>
      <c r="ET275" s="227"/>
      <c r="EU275" s="227"/>
      <c r="EV275" s="227"/>
      <c r="EW275" s="227"/>
      <c r="EX275" s="227"/>
      <c r="EY275" s="227"/>
      <c r="EZ275" s="227"/>
      <c r="FA275" s="227"/>
      <c r="FB275" s="227"/>
      <c r="FC275" s="227"/>
      <c r="FD275" s="227"/>
      <c r="FE275" s="227"/>
      <c r="FF275" s="227"/>
      <c r="FG275" s="227"/>
      <c r="FH275" s="227"/>
      <c r="FI275" s="227"/>
      <c r="FJ275" s="227"/>
      <c r="FK275" s="227"/>
      <c r="FL275" s="227"/>
      <c r="FM275" s="227"/>
      <c r="FN275" s="227"/>
      <c r="FO275" s="227"/>
      <c r="FP275" s="227"/>
      <c r="FQ275" s="227"/>
      <c r="FR275" s="227"/>
      <c r="FS275" s="227"/>
      <c r="FT275" s="227"/>
      <c r="FU275" s="227"/>
      <c r="FV275" s="227"/>
      <c r="FW275" s="227"/>
      <c r="FX275" s="227"/>
      <c r="FY275" s="227"/>
      <c r="FZ275" s="227"/>
      <c r="GA275" s="227"/>
      <c r="GB275" s="227"/>
      <c r="GC275" s="227"/>
      <c r="GD275" s="227"/>
      <c r="GE275" s="227"/>
      <c r="GF275" s="227"/>
      <c r="GG275" s="227"/>
      <c r="GH275" s="227"/>
      <c r="GI275" s="227"/>
      <c r="GJ275" s="227"/>
      <c r="GK275" s="227"/>
      <c r="GL275" s="227"/>
      <c r="GM275" s="227"/>
      <c r="GN275" s="227"/>
      <c r="GO275" s="227"/>
      <c r="GP275" s="227"/>
      <c r="GQ275" s="227"/>
      <c r="GR275" s="227"/>
      <c r="GS275" s="227"/>
      <c r="GT275" s="227"/>
      <c r="GU275" s="227"/>
      <c r="GV275" s="227"/>
      <c r="GW275" s="227"/>
      <c r="GX275" s="227"/>
      <c r="GY275" s="227"/>
      <c r="GZ275" s="227"/>
      <c r="HA275" s="227"/>
      <c r="HB275" s="227"/>
      <c r="HC275" s="227"/>
      <c r="HD275" s="227"/>
      <c r="HE275" s="227"/>
      <c r="HF275" s="227"/>
      <c r="HG275" s="227"/>
      <c r="HH275" s="227"/>
      <c r="HI275" s="227"/>
      <c r="HJ275" s="227"/>
      <c r="HK275" s="227"/>
      <c r="HL275" s="227"/>
      <c r="HM275" s="227"/>
      <c r="HN275" s="227"/>
      <c r="HO275" s="227"/>
      <c r="HP275" s="227"/>
      <c r="HQ275" s="227"/>
      <c r="HR275" s="227"/>
      <c r="HS275" s="227"/>
      <c r="HT275" s="227"/>
      <c r="HU275" s="227"/>
      <c r="HV275" s="227"/>
      <c r="HW275" s="227"/>
      <c r="HX275" s="227"/>
      <c r="HY275" s="227"/>
      <c r="HZ275" s="227"/>
      <c r="IA275" s="227"/>
      <c r="IB275" s="227"/>
      <c r="IC275" s="227"/>
      <c r="ID275" s="227"/>
      <c r="IE275" s="227"/>
      <c r="IF275" s="227"/>
      <c r="IG275" s="227"/>
      <c r="IH275" s="227"/>
      <c r="II275" s="227"/>
      <c r="IJ275" s="227"/>
      <c r="IK275" s="227"/>
      <c r="IL275" s="227"/>
      <c r="IM275" s="227"/>
      <c r="IN275" s="227"/>
      <c r="IO275" s="227"/>
      <c r="IP275" s="227"/>
      <c r="IQ275" s="227"/>
      <c r="IR275" s="227"/>
      <c r="IS275" s="227"/>
      <c r="IT275" s="227"/>
      <c r="IU275" s="227"/>
      <c r="IV275" s="227"/>
      <c r="IW275" s="227"/>
      <c r="IX275" s="227"/>
      <c r="IY275" s="227"/>
      <c r="IZ275" s="227"/>
      <c r="JA275" s="227"/>
      <c r="JB275" s="227"/>
      <c r="JC275" s="227"/>
      <c r="JD275" s="227"/>
      <c r="JE275" s="227"/>
      <c r="JF275" s="227"/>
      <c r="JG275" s="227"/>
      <c r="JH275" s="227"/>
      <c r="JI275" s="227"/>
      <c r="JJ275" s="227"/>
      <c r="JK275" s="227"/>
      <c r="JL275" s="227"/>
      <c r="JM275" s="227"/>
      <c r="JN275" s="227"/>
      <c r="JO275" s="227"/>
      <c r="JP275" s="227"/>
      <c r="JQ275" s="227"/>
      <c r="JR275" s="227"/>
      <c r="JS275" s="227"/>
      <c r="JT275" s="227"/>
      <c r="JU275" s="227"/>
      <c r="JV275" s="227"/>
      <c r="JW275" s="227"/>
      <c r="JX275" s="227"/>
      <c r="JY275" s="227"/>
      <c r="JZ275" s="227"/>
      <c r="KA275" s="227"/>
      <c r="KB275" s="227"/>
      <c r="KC275" s="227"/>
      <c r="KD275" s="227"/>
      <c r="KE275" s="227"/>
      <c r="KF275" s="227"/>
      <c r="KG275" s="227"/>
      <c r="KH275" s="227"/>
      <c r="KI275" s="227"/>
      <c r="KJ275" s="227"/>
      <c r="KK275" s="227"/>
      <c r="KL275" s="227"/>
      <c r="KM275" s="227"/>
      <c r="KN275" s="227"/>
      <c r="KO275" s="227"/>
      <c r="KP275" s="227"/>
      <c r="KQ275" s="227"/>
      <c r="KR275" s="227"/>
      <c r="KS275" s="227"/>
      <c r="KT275" s="227"/>
      <c r="KU275" s="227"/>
      <c r="KV275" s="227"/>
      <c r="KW275" s="227"/>
      <c r="KX275" s="227"/>
      <c r="KY275" s="227"/>
      <c r="KZ275" s="227"/>
      <c r="LA275" s="227"/>
      <c r="LB275" s="227"/>
      <c r="LC275" s="227"/>
      <c r="LD275" s="227"/>
      <c r="LE275" s="227"/>
      <c r="LF275" s="227"/>
      <c r="LG275" s="227"/>
      <c r="LH275" s="227"/>
      <c r="LI275" s="227"/>
      <c r="LJ275" s="227"/>
      <c r="LK275" s="227"/>
      <c r="LL275" s="227"/>
      <c r="LM275" s="227"/>
      <c r="LN275" s="227"/>
      <c r="LO275" s="227"/>
      <c r="LP275" s="227"/>
      <c r="LQ275" s="227"/>
      <c r="LR275" s="227"/>
      <c r="LS275" s="227"/>
      <c r="LT275" s="227"/>
      <c r="LU275" s="227"/>
      <c r="LV275" s="227"/>
      <c r="LW275" s="227"/>
      <c r="LX275" s="227"/>
      <c r="LY275" s="227"/>
      <c r="LZ275" s="227"/>
      <c r="MA275" s="227"/>
      <c r="MB275" s="227"/>
      <c r="MC275" s="227"/>
      <c r="MD275" s="227"/>
      <c r="ME275" s="227"/>
      <c r="MF275" s="227"/>
      <c r="MG275" s="227"/>
      <c r="MH275" s="227"/>
      <c r="MI275" s="227"/>
      <c r="MJ275" s="227"/>
      <c r="MK275" s="227"/>
      <c r="ML275" s="227"/>
      <c r="MM275" s="227"/>
      <c r="MN275" s="227"/>
      <c r="MO275" s="227"/>
      <c r="MP275" s="227"/>
      <c r="MQ275" s="227"/>
      <c r="MR275" s="227"/>
      <c r="MS275" s="227"/>
      <c r="MT275" s="227"/>
      <c r="MU275" s="227"/>
      <c r="MV275" s="227"/>
      <c r="MW275" s="227"/>
      <c r="MX275" s="227"/>
      <c r="MY275" s="227"/>
      <c r="MZ275" s="227"/>
      <c r="NA275" s="227"/>
      <c r="NB275" s="227"/>
      <c r="NC275" s="227"/>
      <c r="ND275" s="227"/>
      <c r="NE275" s="227"/>
      <c r="NF275" s="227"/>
      <c r="NG275" s="227"/>
      <c r="NH275" s="227"/>
      <c r="NI275" s="227"/>
      <c r="NJ275" s="227"/>
      <c r="NK275" s="227"/>
      <c r="NL275" s="227"/>
      <c r="NM275" s="227"/>
      <c r="NN275" s="227"/>
      <c r="NO275" s="227"/>
      <c r="NP275" s="227"/>
      <c r="NQ275" s="227"/>
      <c r="NR275" s="227"/>
      <c r="NS275" s="227"/>
      <c r="NT275" s="227"/>
      <c r="NU275" s="227"/>
      <c r="NV275" s="227"/>
      <c r="NW275" s="227"/>
      <c r="NX275" s="227"/>
      <c r="NY275" s="227"/>
      <c r="NZ275" s="227"/>
      <c r="OA275" s="227"/>
      <c r="OB275" s="227"/>
      <c r="OC275" s="227"/>
      <c r="OD275" s="227"/>
      <c r="OE275" s="227"/>
      <c r="OF275" s="227"/>
      <c r="OG275" s="227"/>
      <c r="OH275" s="227"/>
      <c r="OI275" s="227"/>
      <c r="OJ275" s="227"/>
      <c r="OK275" s="227"/>
      <c r="OL275" s="227"/>
      <c r="OM275" s="227"/>
      <c r="ON275" s="227"/>
      <c r="OO275" s="227"/>
      <c r="OP275" s="227"/>
      <c r="OQ275" s="227"/>
      <c r="OR275" s="227"/>
      <c r="OS275" s="227"/>
      <c r="OT275" s="227"/>
      <c r="OU275" s="227"/>
      <c r="OV275" s="227"/>
      <c r="OW275" s="227"/>
      <c r="OX275" s="227"/>
      <c r="OY275" s="227"/>
      <c r="OZ275" s="227"/>
      <c r="PA275" s="227"/>
      <c r="PB275" s="227"/>
      <c r="PC275" s="227"/>
      <c r="PD275" s="227"/>
      <c r="PE275" s="227"/>
      <c r="PF275" s="227"/>
      <c r="PG275" s="227"/>
      <c r="PH275" s="227"/>
      <c r="PI275" s="227"/>
      <c r="PJ275" s="227"/>
      <c r="PK275" s="227"/>
      <c r="PL275" s="227"/>
      <c r="PM275" s="227"/>
      <c r="PN275" s="227"/>
      <c r="PO275" s="227"/>
      <c r="PP275" s="227"/>
      <c r="PQ275" s="227"/>
      <c r="PR275" s="227"/>
      <c r="PS275" s="227"/>
      <c r="PT275" s="227"/>
      <c r="PU275" s="227"/>
      <c r="PV275" s="227"/>
      <c r="PW275" s="227"/>
      <c r="PX275" s="227"/>
      <c r="PY275" s="227"/>
      <c r="PZ275" s="227"/>
      <c r="QA275" s="227"/>
      <c r="QB275" s="227"/>
      <c r="QC275" s="227"/>
      <c r="QD275" s="227"/>
      <c r="QE275" s="227"/>
      <c r="QF275" s="227"/>
      <c r="QG275" s="227"/>
      <c r="QH275" s="227"/>
      <c r="QI275" s="227"/>
      <c r="QJ275" s="227"/>
      <c r="QK275" s="227"/>
      <c r="QL275" s="227"/>
      <c r="QM275" s="227"/>
      <c r="QN275" s="227"/>
      <c r="QO275" s="227"/>
      <c r="QP275" s="227"/>
      <c r="QQ275" s="227"/>
      <c r="QR275" s="227"/>
      <c r="QS275" s="227"/>
      <c r="QT275" s="227"/>
      <c r="QU275" s="227"/>
      <c r="QV275" s="227"/>
      <c r="QW275" s="227"/>
      <c r="QX275" s="227"/>
      <c r="QY275" s="227"/>
      <c r="QZ275" s="227"/>
      <c r="RA275" s="227"/>
      <c r="RB275" s="227"/>
      <c r="RC275" s="227"/>
      <c r="RD275" s="227"/>
      <c r="RE275" s="227"/>
      <c r="RF275" s="227"/>
      <c r="RG275" s="227"/>
      <c r="RH275" s="227"/>
      <c r="RI275" s="227"/>
      <c r="RJ275" s="227"/>
      <c r="RK275" s="227"/>
      <c r="RL275" s="227"/>
      <c r="RM275" s="227"/>
      <c r="RN275" s="227"/>
      <c r="RO275" s="227"/>
      <c r="RP275" s="227"/>
      <c r="RQ275" s="227"/>
      <c r="RR275" s="227"/>
      <c r="RS275" s="227"/>
      <c r="RT275" s="227"/>
      <c r="RU275" s="227"/>
      <c r="RV275" s="227"/>
      <c r="RW275" s="227"/>
      <c r="RX275" s="227"/>
      <c r="RY275" s="227"/>
      <c r="RZ275" s="227"/>
      <c r="SA275" s="227"/>
      <c r="SB275" s="227"/>
      <c r="SC275" s="227"/>
      <c r="SD275" s="227"/>
      <c r="SE275" s="227"/>
      <c r="SF275" s="227"/>
      <c r="SG275" s="227"/>
      <c r="SH275" s="227"/>
      <c r="SI275" s="227"/>
      <c r="SJ275" s="227"/>
      <c r="SK275" s="227"/>
      <c r="SL275" s="227"/>
      <c r="SM275" s="227"/>
      <c r="SN275" s="227"/>
      <c r="SO275" s="227"/>
      <c r="SP275" s="227"/>
      <c r="SQ275" s="227"/>
      <c r="SR275" s="227"/>
      <c r="SS275" s="227"/>
      <c r="ST275" s="227"/>
      <c r="SU275" s="227"/>
      <c r="SV275" s="227"/>
      <c r="SW275" s="227"/>
      <c r="SX275" s="227"/>
      <c r="SY275" s="227"/>
      <c r="SZ275" s="227"/>
      <c r="TA275" s="227"/>
      <c r="TB275" s="227"/>
      <c r="TC275" s="227"/>
      <c r="TD275" s="227"/>
      <c r="TE275" s="227"/>
      <c r="TF275" s="227"/>
      <c r="TG275" s="227"/>
      <c r="TH275" s="227"/>
      <c r="TI275" s="227"/>
      <c r="TJ275" s="227"/>
      <c r="TK275" s="227"/>
      <c r="TL275" s="227"/>
      <c r="TM275" s="227"/>
      <c r="TN275" s="227"/>
      <c r="TO275" s="227"/>
      <c r="TP275" s="227"/>
      <c r="TQ275" s="227"/>
      <c r="TR275" s="227"/>
      <c r="TS275" s="227"/>
      <c r="TT275" s="227"/>
      <c r="TU275" s="227"/>
      <c r="TV275" s="227"/>
      <c r="TW275" s="227"/>
      <c r="TX275" s="227"/>
      <c r="TY275" s="227"/>
      <c r="TZ275" s="227"/>
      <c r="UA275" s="227"/>
      <c r="UB275" s="227"/>
      <c r="UC275" s="227"/>
      <c r="UD275" s="227"/>
      <c r="UE275" s="227"/>
      <c r="UF275" s="227"/>
      <c r="UG275" s="227"/>
      <c r="UH275" s="227"/>
      <c r="UI275" s="227"/>
      <c r="UJ275" s="227"/>
      <c r="UK275" s="227"/>
      <c r="UL275" s="227"/>
      <c r="UM275" s="227"/>
      <c r="UN275" s="227"/>
      <c r="UO275" s="227"/>
      <c r="UP275" s="227"/>
      <c r="UQ275" s="227"/>
      <c r="UR275" s="227"/>
      <c r="US275" s="227"/>
      <c r="UT275" s="227"/>
      <c r="UU275" s="227"/>
      <c r="UV275" s="227"/>
      <c r="UW275" s="227"/>
      <c r="UX275" s="227"/>
      <c r="UY275" s="227"/>
      <c r="UZ275" s="227"/>
      <c r="VA275" s="227"/>
      <c r="VB275" s="227"/>
      <c r="VC275" s="227"/>
      <c r="VD275" s="227"/>
      <c r="VE275" s="227"/>
      <c r="VF275" s="227"/>
      <c r="VG275" s="227"/>
      <c r="VH275" s="227"/>
      <c r="VI275" s="227"/>
      <c r="VJ275" s="227"/>
      <c r="VK275" s="227"/>
      <c r="VL275" s="227"/>
      <c r="VM275" s="227"/>
      <c r="VN275" s="227"/>
      <c r="VO275" s="227"/>
      <c r="VP275" s="227"/>
      <c r="VQ275" s="227"/>
      <c r="VR275" s="227"/>
      <c r="VS275" s="227"/>
      <c r="VT275" s="227"/>
      <c r="VU275" s="227"/>
      <c r="VV275" s="227"/>
      <c r="VW275" s="227"/>
      <c r="VX275" s="227"/>
      <c r="VY275" s="227"/>
      <c r="VZ275" s="227"/>
      <c r="WA275" s="227"/>
      <c r="WB275" s="227"/>
      <c r="WC275" s="227"/>
      <c r="WD275" s="227"/>
      <c r="WE275" s="227"/>
      <c r="WF275" s="227"/>
      <c r="WG275" s="227"/>
      <c r="WH275" s="227"/>
      <c r="WI275" s="227"/>
      <c r="WJ275" s="227"/>
      <c r="WK275" s="227"/>
      <c r="WL275" s="227"/>
      <c r="WM275" s="227"/>
      <c r="WN275" s="227"/>
      <c r="WO275" s="227"/>
      <c r="WP275" s="227"/>
      <c r="WQ275" s="227"/>
      <c r="WR275" s="227"/>
      <c r="WS275" s="227"/>
      <c r="WT275" s="227"/>
      <c r="WU275" s="227"/>
      <c r="WV275" s="227"/>
      <c r="WW275" s="227"/>
      <c r="WX275" s="227"/>
      <c r="WY275" s="227"/>
      <c r="WZ275" s="227"/>
      <c r="XA275" s="227"/>
      <c r="XB275" s="227"/>
      <c r="XC275" s="227"/>
      <c r="XD275" s="227"/>
      <c r="XE275" s="227"/>
      <c r="XF275" s="227"/>
      <c r="XG275" s="227"/>
      <c r="XH275" s="227"/>
      <c r="XI275" s="227"/>
      <c r="XJ275" s="227"/>
      <c r="XK275" s="227"/>
      <c r="XL275" s="227"/>
      <c r="XM275" s="227"/>
      <c r="XN275" s="227"/>
      <c r="XO275" s="227"/>
      <c r="XP275" s="227"/>
      <c r="XQ275" s="227"/>
      <c r="XR275" s="227"/>
      <c r="XS275" s="227"/>
      <c r="XT275" s="227"/>
      <c r="XU275" s="227"/>
      <c r="XV275" s="227"/>
      <c r="XW275" s="227"/>
      <c r="XX275" s="227"/>
      <c r="XY275" s="227"/>
      <c r="XZ275" s="227"/>
      <c r="YA275" s="227"/>
      <c r="YB275" s="227"/>
      <c r="YC275" s="227"/>
      <c r="YD275" s="227"/>
      <c r="YE275" s="227"/>
      <c r="YF275" s="227"/>
      <c r="YG275" s="227"/>
      <c r="YH275" s="227"/>
      <c r="YI275" s="227"/>
      <c r="YJ275" s="227"/>
      <c r="YK275" s="227"/>
      <c r="YL275" s="227"/>
      <c r="YM275" s="227"/>
      <c r="YN275" s="227"/>
      <c r="YO275" s="227"/>
      <c r="YP275" s="227"/>
      <c r="YQ275" s="227"/>
      <c r="YR275" s="227"/>
      <c r="YS275" s="227"/>
      <c r="YT275" s="227"/>
      <c r="YU275" s="227"/>
      <c r="YV275" s="227"/>
      <c r="YW275" s="227"/>
      <c r="YX275" s="227"/>
      <c r="YY275" s="227"/>
      <c r="YZ275" s="227"/>
      <c r="ZA275" s="227"/>
      <c r="ZB275" s="227"/>
      <c r="ZC275" s="227"/>
      <c r="ZD275" s="227"/>
      <c r="ZE275" s="227"/>
      <c r="ZF275" s="227"/>
      <c r="ZG275" s="227"/>
      <c r="ZH275" s="227"/>
      <c r="ZI275" s="227"/>
      <c r="ZJ275" s="227"/>
      <c r="ZK275" s="227"/>
      <c r="ZL275" s="227"/>
      <c r="ZM275" s="227"/>
      <c r="ZN275" s="227"/>
      <c r="ZO275" s="227"/>
      <c r="ZP275" s="227"/>
      <c r="ZQ275" s="227"/>
      <c r="ZR275" s="227"/>
      <c r="ZS275" s="227"/>
      <c r="ZT275" s="227"/>
      <c r="ZU275" s="227"/>
      <c r="ZV275" s="227"/>
      <c r="ZW275" s="227"/>
      <c r="ZX275" s="227"/>
      <c r="ZY275" s="227"/>
      <c r="ZZ275" s="227"/>
      <c r="AAA275" s="227"/>
      <c r="AAB275" s="227"/>
      <c r="AAC275" s="227"/>
      <c r="AAD275" s="227"/>
      <c r="AAE275" s="227"/>
      <c r="AAF275" s="227"/>
      <c r="AAG275" s="227"/>
      <c r="AAH275" s="227"/>
      <c r="AAI275" s="227"/>
      <c r="AAJ275" s="227"/>
      <c r="AAK275" s="227"/>
      <c r="AAL275" s="227"/>
      <c r="AAM275" s="227"/>
      <c r="AAN275" s="227"/>
      <c r="AAO275" s="227"/>
      <c r="AAP275" s="227"/>
      <c r="AAQ275" s="227"/>
      <c r="AAR275" s="227"/>
      <c r="AAS275" s="227"/>
      <c r="AAT275" s="227"/>
      <c r="AAU275" s="227"/>
      <c r="AAV275" s="227"/>
      <c r="AAW275" s="227"/>
      <c r="AAX275" s="227"/>
      <c r="AAY275" s="227"/>
      <c r="AAZ275" s="227"/>
      <c r="ABA275" s="227"/>
      <c r="ABB275" s="227"/>
      <c r="ABC275" s="227"/>
      <c r="ABD275" s="227"/>
      <c r="ABE275" s="227"/>
      <c r="ABF275" s="227"/>
      <c r="ABG275" s="227"/>
      <c r="ABH275" s="227"/>
      <c r="ABI275" s="227"/>
      <c r="ABJ275" s="227"/>
      <c r="ABK275" s="227"/>
      <c r="ABL275" s="227"/>
      <c r="ABM275" s="227"/>
      <c r="ABN275" s="227"/>
      <c r="ABO275" s="227"/>
      <c r="ABP275" s="227"/>
      <c r="ABQ275" s="227"/>
      <c r="ABR275" s="227"/>
      <c r="ABS275" s="227"/>
      <c r="ABT275" s="227"/>
      <c r="ABU275" s="227"/>
      <c r="ABV275" s="227"/>
      <c r="ABW275" s="227"/>
      <c r="ABX275" s="227"/>
      <c r="ABY275" s="227"/>
      <c r="ABZ275" s="227"/>
      <c r="ACA275" s="227"/>
      <c r="ACB275" s="227"/>
      <c r="ACC275" s="227"/>
      <c r="ACD275" s="227"/>
      <c r="ACE275" s="227"/>
      <c r="ACF275" s="227"/>
      <c r="ACG275" s="227"/>
      <c r="ACH275" s="227"/>
      <c r="ACI275" s="227"/>
      <c r="ACJ275" s="227"/>
      <c r="ACK275" s="227"/>
      <c r="ACL275" s="227"/>
      <c r="ACM275" s="227"/>
      <c r="ACN275" s="227"/>
      <c r="ACO275" s="227"/>
      <c r="ACP275" s="227"/>
      <c r="ACQ275" s="227"/>
      <c r="ACR275" s="227"/>
      <c r="ACS275" s="227"/>
      <c r="ACT275" s="227"/>
      <c r="ACU275" s="227"/>
      <c r="ACV275" s="227"/>
      <c r="ACW275" s="227"/>
      <c r="ACX275" s="227"/>
      <c r="ACY275" s="227"/>
      <c r="ACZ275" s="227"/>
      <c r="ADA275" s="227"/>
      <c r="ADB275" s="227"/>
      <c r="ADC275" s="227"/>
      <c r="ADD275" s="227"/>
      <c r="ADE275" s="227"/>
      <c r="ADF275" s="227"/>
      <c r="ADG275" s="227"/>
      <c r="ADH275" s="227"/>
      <c r="ADI275" s="227"/>
      <c r="ADJ275" s="227"/>
      <c r="ADK275" s="227"/>
      <c r="ADL275" s="227"/>
      <c r="ADM275" s="227"/>
      <c r="ADN275" s="227"/>
      <c r="ADO275" s="227"/>
      <c r="ADP275" s="227"/>
      <c r="ADQ275" s="227"/>
      <c r="ADR275" s="227"/>
      <c r="ADS275" s="227"/>
      <c r="ADT275" s="227"/>
      <c r="ADU275" s="227"/>
      <c r="ADV275" s="227"/>
      <c r="ADW275" s="227"/>
      <c r="ADX275" s="227"/>
      <c r="ADY275" s="227"/>
      <c r="ADZ275" s="227"/>
      <c r="AEA275" s="227"/>
      <c r="AEB275" s="227"/>
      <c r="AEC275" s="227"/>
      <c r="AED275" s="227"/>
      <c r="AEE275" s="227"/>
      <c r="AEF275" s="227"/>
      <c r="AEG275" s="227"/>
      <c r="AEH275" s="227"/>
      <c r="AEI275" s="227"/>
      <c r="AEJ275" s="227"/>
      <c r="AEK275" s="227"/>
      <c r="AEL275" s="227"/>
      <c r="AEM275" s="227"/>
      <c r="AEN275" s="227"/>
      <c r="AEO275" s="227"/>
      <c r="AEP275" s="227"/>
      <c r="AEQ275" s="227"/>
      <c r="AER275" s="227"/>
      <c r="AES275" s="227"/>
      <c r="AET275" s="227"/>
      <c r="AEU275" s="227"/>
      <c r="AEV275" s="227"/>
      <c r="AEW275" s="227"/>
      <c r="AEX275" s="227"/>
      <c r="AEY275" s="227"/>
      <c r="AEZ275" s="227"/>
      <c r="AFA275" s="227"/>
      <c r="AFB275" s="227"/>
      <c r="AFC275" s="227"/>
      <c r="AFD275" s="227"/>
      <c r="AFE275" s="227"/>
      <c r="AFF275" s="227"/>
      <c r="AFG275" s="227"/>
      <c r="AFH275" s="227"/>
      <c r="AFI275" s="227"/>
      <c r="AFJ275" s="227"/>
      <c r="AFK275" s="227"/>
      <c r="AFL275" s="227"/>
      <c r="AFM275" s="227"/>
      <c r="AFN275" s="227"/>
      <c r="AFO275" s="227"/>
      <c r="AFP275" s="227"/>
      <c r="AFQ275" s="227"/>
      <c r="AFR275" s="227"/>
      <c r="AFS275" s="227"/>
      <c r="AFT275" s="227"/>
      <c r="AFU275" s="227"/>
      <c r="AFV275" s="227"/>
      <c r="AFW275" s="227"/>
      <c r="AFX275" s="227"/>
      <c r="AFY275" s="227"/>
      <c r="AFZ275" s="227"/>
      <c r="AGA275" s="227"/>
      <c r="AGB275" s="227"/>
      <c r="AGC275" s="227"/>
      <c r="AGD275" s="227"/>
      <c r="AGE275" s="227"/>
      <c r="AGF275" s="227"/>
      <c r="AGG275" s="227"/>
      <c r="AGH275" s="227"/>
      <c r="AGI275" s="227"/>
      <c r="AGJ275" s="227"/>
      <c r="AGK275" s="227"/>
      <c r="AGL275" s="227"/>
      <c r="AGM275" s="227"/>
      <c r="AGN275" s="227"/>
      <c r="AGO275" s="227"/>
      <c r="AGP275" s="227"/>
      <c r="AGQ275" s="227"/>
      <c r="AGR275" s="227"/>
      <c r="AGS275" s="227"/>
      <c r="AGT275" s="227"/>
      <c r="AGU275" s="227"/>
      <c r="AGV275" s="227"/>
      <c r="AGW275" s="227"/>
      <c r="AGX275" s="227"/>
      <c r="AGY275" s="227"/>
      <c r="AGZ275" s="227"/>
      <c r="AHA275" s="227"/>
      <c r="AHB275" s="227"/>
      <c r="AHC275" s="227"/>
      <c r="AHD275" s="227"/>
      <c r="AHE275" s="227"/>
      <c r="AHF275" s="227"/>
      <c r="AHG275" s="227"/>
      <c r="AHH275" s="227"/>
      <c r="AHI275" s="227"/>
      <c r="AHJ275" s="227"/>
      <c r="AHK275" s="227"/>
      <c r="AHL275" s="227"/>
      <c r="AHM275" s="227"/>
      <c r="AHN275" s="227"/>
      <c r="AHO275" s="227"/>
      <c r="AHP275" s="227"/>
      <c r="AHQ275" s="227"/>
      <c r="AHR275" s="227"/>
      <c r="AHS275" s="227"/>
      <c r="AHT275" s="227"/>
      <c r="AHU275" s="227"/>
      <c r="AHV275" s="227"/>
      <c r="AHW275" s="227"/>
      <c r="AHX275" s="227"/>
      <c r="AHY275" s="227"/>
      <c r="AHZ275" s="227"/>
      <c r="AIA275" s="227"/>
      <c r="AIB275" s="227"/>
      <c r="AIC275" s="227"/>
      <c r="AID275" s="227"/>
      <c r="AIE275" s="227"/>
      <c r="AIF275" s="227"/>
      <c r="AIG275" s="227"/>
      <c r="AIH275" s="227"/>
      <c r="AII275" s="227"/>
      <c r="AIJ275" s="227"/>
      <c r="AIK275" s="227"/>
      <c r="AIL275" s="227"/>
      <c r="AIM275" s="227"/>
      <c r="AIN275" s="227"/>
      <c r="AIO275" s="227"/>
      <c r="AIP275" s="227"/>
      <c r="AIQ275" s="227"/>
      <c r="AIR275" s="227"/>
      <c r="AIS275" s="227"/>
      <c r="AIT275" s="227"/>
      <c r="AIU275" s="227"/>
      <c r="AIV275" s="227"/>
      <c r="AIW275" s="227"/>
      <c r="AIX275" s="227"/>
      <c r="AIY275" s="227"/>
      <c r="AIZ275" s="227"/>
      <c r="AJA275" s="227"/>
      <c r="AJB275" s="227"/>
      <c r="AJC275" s="227"/>
      <c r="AJD275" s="227"/>
      <c r="AJE275" s="227"/>
      <c r="AJF275" s="227"/>
      <c r="AJG275" s="227"/>
      <c r="AJH275" s="227"/>
      <c r="AJI275" s="227"/>
      <c r="AJJ275" s="227"/>
      <c r="AJK275" s="227"/>
      <c r="AJL275" s="227"/>
      <c r="AJM275" s="227"/>
      <c r="AJN275" s="227"/>
      <c r="AJO275" s="227"/>
      <c r="AJP275" s="227"/>
      <c r="AJQ275" s="227"/>
      <c r="AJR275" s="227"/>
      <c r="AJS275" s="227"/>
      <c r="AJT275" s="227"/>
      <c r="AJU275" s="227"/>
      <c r="AJV275" s="227"/>
      <c r="AJW275" s="227"/>
      <c r="AJX275" s="227"/>
      <c r="AJY275" s="227"/>
      <c r="AJZ275" s="227"/>
      <c r="AKA275" s="227"/>
      <c r="AKB275" s="227"/>
      <c r="AKC275" s="227"/>
      <c r="AKD275" s="227"/>
      <c r="AKE275" s="227"/>
      <c r="AKF275" s="227"/>
      <c r="AKG275" s="227"/>
      <c r="AKH275" s="227"/>
      <c r="AKI275" s="227"/>
      <c r="AKJ275" s="227"/>
      <c r="AKK275" s="227"/>
      <c r="AKL275" s="227"/>
      <c r="AKM275" s="227"/>
      <c r="AKN275" s="227"/>
      <c r="AKO275" s="227"/>
      <c r="AKP275" s="227"/>
      <c r="AKQ275" s="227"/>
      <c r="AKR275" s="227"/>
      <c r="AKS275" s="227"/>
      <c r="AKT275" s="227"/>
      <c r="AKU275" s="227"/>
      <c r="AKV275" s="227"/>
      <c r="AKW275" s="227"/>
      <c r="AKX275" s="227"/>
      <c r="AKY275" s="227"/>
      <c r="AKZ275" s="227"/>
      <c r="ALA275" s="227"/>
      <c r="ALB275" s="227"/>
      <c r="ALC275" s="227"/>
      <c r="ALD275" s="227"/>
      <c r="ALE275" s="227"/>
      <c r="ALF275" s="227"/>
      <c r="ALG275" s="227"/>
      <c r="ALH275" s="227"/>
      <c r="ALI275" s="227"/>
      <c r="ALJ275" s="227"/>
      <c r="ALK275" s="227"/>
      <c r="ALL275" s="227"/>
      <c r="ALM275" s="227"/>
      <c r="ALN275" s="227"/>
      <c r="ALO275" s="227"/>
      <c r="ALP275" s="227"/>
      <c r="ALQ275" s="227"/>
      <c r="ALR275" s="227"/>
      <c r="ALS275" s="227"/>
      <c r="ALT275" s="227"/>
      <c r="ALU275" s="227"/>
      <c r="ALV275" s="227"/>
      <c r="ALW275" s="227"/>
      <c r="ALX275" s="227"/>
      <c r="ALY275" s="227"/>
      <c r="ALZ275" s="227"/>
      <c r="AMA275" s="227"/>
      <c r="AMB275" s="227"/>
      <c r="AMC275" s="227"/>
      <c r="AMD275" s="227"/>
      <c r="AME275" s="227"/>
      <c r="AMF275" s="227"/>
      <c r="AMG275" s="227"/>
      <c r="AMH275" s="227"/>
      <c r="AMI275" s="227"/>
      <c r="AMJ275" s="227"/>
      <c r="AMK275" s="227"/>
      <c r="AML275" s="227"/>
      <c r="AMM275" s="227"/>
      <c r="AMN275" s="227"/>
      <c r="AMO275" s="227"/>
      <c r="AMP275" s="227"/>
      <c r="AMQ275" s="227"/>
      <c r="AMR275" s="227"/>
      <c r="AMS275" s="227"/>
      <c r="AMT275" s="227"/>
      <c r="AMU275" s="227"/>
      <c r="AMV275" s="227"/>
      <c r="AMW275" s="227"/>
      <c r="AMX275" s="227"/>
      <c r="AMY275" s="227"/>
      <c r="AMZ275" s="227"/>
      <c r="ANA275" s="227"/>
      <c r="ANB275" s="227"/>
      <c r="ANC275" s="227"/>
      <c r="AND275" s="227"/>
      <c r="ANE275" s="227"/>
      <c r="ANF275" s="227"/>
      <c r="ANG275" s="227"/>
      <c r="ANH275" s="227"/>
      <c r="ANI275" s="227"/>
      <c r="ANJ275" s="227"/>
      <c r="ANK275" s="227"/>
      <c r="ANL275" s="227"/>
      <c r="ANM275" s="227"/>
      <c r="ANN275" s="227"/>
      <c r="ANO275" s="227"/>
      <c r="ANP275" s="227"/>
      <c r="ANQ275" s="227"/>
      <c r="ANR275" s="227"/>
      <c r="ANS275" s="227"/>
      <c r="ANT275" s="227"/>
      <c r="ANU275" s="227"/>
      <c r="ANV275" s="227"/>
      <c r="ANW275" s="227"/>
      <c r="ANX275" s="227"/>
      <c r="ANY275" s="227"/>
      <c r="ANZ275" s="227"/>
      <c r="AOA275" s="227"/>
      <c r="AOB275" s="227"/>
      <c r="AOC275" s="227"/>
      <c r="AOD275" s="227"/>
      <c r="AOE275" s="227"/>
      <c r="AOF275" s="227"/>
      <c r="AOG275" s="227"/>
      <c r="AOH275" s="227"/>
      <c r="AOI275" s="227"/>
      <c r="AOJ275" s="227"/>
      <c r="AOK275" s="227"/>
      <c r="AOL275" s="227"/>
      <c r="AOM275" s="227"/>
      <c r="AON275" s="227"/>
      <c r="AOO275" s="227"/>
      <c r="AOP275" s="227"/>
      <c r="AOQ275" s="227"/>
      <c r="AOR275" s="227"/>
      <c r="AOS275" s="227"/>
      <c r="AOT275" s="227"/>
      <c r="AOU275" s="227"/>
      <c r="AOV275" s="227"/>
      <c r="AOW275" s="227"/>
      <c r="AOX275" s="227"/>
      <c r="AOY275" s="227"/>
      <c r="AOZ275" s="227"/>
      <c r="APA275" s="227"/>
      <c r="APB275" s="227"/>
      <c r="APC275" s="227"/>
      <c r="APD275" s="227"/>
      <c r="APE275" s="227"/>
      <c r="APF275" s="227"/>
      <c r="APG275" s="227"/>
      <c r="APH275" s="227"/>
      <c r="API275" s="227"/>
      <c r="APJ275" s="227"/>
      <c r="APK275" s="227"/>
      <c r="APL275" s="227"/>
      <c r="APM275" s="227"/>
      <c r="APN275" s="227"/>
      <c r="APO275" s="227"/>
      <c r="APP275" s="227"/>
      <c r="APQ275" s="227"/>
      <c r="APR275" s="227"/>
      <c r="APS275" s="227"/>
      <c r="APT275" s="227"/>
      <c r="APU275" s="227"/>
      <c r="APV275" s="227"/>
      <c r="APW275" s="227"/>
      <c r="APX275" s="227"/>
      <c r="APY275" s="227"/>
      <c r="APZ275" s="227"/>
      <c r="AQA275" s="227"/>
      <c r="AQB275" s="227"/>
      <c r="AQC275" s="227"/>
      <c r="AQD275" s="227"/>
      <c r="AQE275" s="227"/>
      <c r="AQF275" s="227"/>
      <c r="AQG275" s="227"/>
      <c r="AQH275" s="227"/>
      <c r="AQI275" s="227"/>
      <c r="AQJ275" s="227"/>
      <c r="AQK275" s="227"/>
      <c r="AQL275" s="227"/>
      <c r="AQM275" s="227"/>
      <c r="AQN275" s="227"/>
      <c r="AQO275" s="227"/>
      <c r="AQP275" s="227"/>
      <c r="AQQ275" s="227"/>
      <c r="AQR275" s="227"/>
      <c r="AQS275" s="227"/>
      <c r="AQT275" s="227"/>
      <c r="AQU275" s="227"/>
      <c r="AQV275" s="227"/>
      <c r="AQW275" s="227"/>
      <c r="AQX275" s="227"/>
      <c r="AQY275" s="227"/>
      <c r="AQZ275" s="227"/>
      <c r="ARA275" s="227"/>
      <c r="ARB275" s="227"/>
      <c r="ARC275" s="227"/>
      <c r="ARD275" s="227"/>
      <c r="ARE275" s="227"/>
      <c r="ARF275" s="227"/>
      <c r="ARG275" s="227"/>
      <c r="ARH275" s="227"/>
      <c r="ARI275" s="227"/>
      <c r="ARJ275" s="227"/>
      <c r="ARK275" s="227"/>
      <c r="ARL275" s="227"/>
      <c r="ARM275" s="227"/>
      <c r="ARN275" s="227"/>
      <c r="ARO275" s="227"/>
      <c r="ARP275" s="227"/>
      <c r="ARQ275" s="227"/>
      <c r="ARR275" s="227"/>
      <c r="ARS275" s="227"/>
      <c r="ART275" s="227"/>
      <c r="ARU275" s="227"/>
      <c r="ARV275" s="227"/>
      <c r="ARW275" s="227"/>
      <c r="ARX275" s="227"/>
      <c r="ARY275" s="227"/>
      <c r="ARZ275" s="227"/>
      <c r="ASA275" s="227"/>
      <c r="ASB275" s="227"/>
      <c r="ASC275" s="227"/>
      <c r="ASD275" s="227"/>
      <c r="ASE275" s="227"/>
      <c r="ASF275" s="227"/>
      <c r="ASG275" s="227"/>
      <c r="ASH275" s="227"/>
      <c r="ASI275" s="227"/>
      <c r="ASJ275" s="227"/>
      <c r="ASK275" s="227"/>
      <c r="ASL275" s="227"/>
      <c r="ASM275" s="227"/>
      <c r="ASN275" s="227"/>
      <c r="ASO275" s="227"/>
      <c r="ASP275" s="227"/>
      <c r="ASQ275" s="227"/>
      <c r="ASR275" s="227"/>
      <c r="ASS275" s="227"/>
      <c r="AST275" s="227"/>
      <c r="ASU275" s="227"/>
      <c r="ASV275" s="227"/>
      <c r="ASW275" s="227"/>
      <c r="ASX275" s="227"/>
      <c r="ASY275" s="227"/>
      <c r="ASZ275" s="227"/>
      <c r="ATA275" s="227"/>
      <c r="ATB275" s="227"/>
      <c r="ATC275" s="227"/>
      <c r="ATD275" s="227"/>
      <c r="ATE275" s="227"/>
      <c r="ATF275" s="227"/>
      <c r="ATG275" s="227"/>
      <c r="ATH275" s="227"/>
      <c r="ATI275" s="227"/>
      <c r="ATJ275" s="227"/>
      <c r="ATK275" s="227"/>
      <c r="ATL275" s="227"/>
      <c r="ATM275" s="227"/>
      <c r="ATN275" s="227"/>
      <c r="ATO275" s="227"/>
      <c r="ATP275" s="227"/>
      <c r="ATQ275" s="227"/>
      <c r="ATR275" s="227"/>
      <c r="ATS275" s="227"/>
      <c r="ATT275" s="227"/>
      <c r="ATU275" s="227"/>
      <c r="ATV275" s="227"/>
      <c r="ATW275" s="227"/>
      <c r="ATX275" s="227"/>
      <c r="ATY275" s="227"/>
      <c r="ATZ275" s="227"/>
      <c r="AUA275" s="227"/>
      <c r="AUB275" s="227"/>
      <c r="AUC275" s="227"/>
      <c r="AUD275" s="227"/>
      <c r="AUE275" s="227"/>
      <c r="AUF275" s="227"/>
      <c r="AUG275" s="227"/>
      <c r="AUH275" s="227"/>
      <c r="AUI275" s="227"/>
      <c r="AUJ275" s="227"/>
      <c r="AUK275" s="227"/>
      <c r="AUL275" s="227"/>
      <c r="AUM275" s="227"/>
      <c r="AUN275" s="227"/>
      <c r="AUO275" s="227"/>
      <c r="AUP275" s="227"/>
      <c r="AUQ275" s="227"/>
      <c r="AUR275" s="227"/>
      <c r="AUS275" s="227"/>
      <c r="AUT275" s="227"/>
      <c r="AUU275" s="227"/>
      <c r="AUV275" s="227"/>
      <c r="AUW275" s="227"/>
      <c r="AUX275" s="227"/>
      <c r="AUY275" s="227"/>
      <c r="AUZ275" s="227"/>
      <c r="AVA275" s="227"/>
      <c r="AVB275" s="227"/>
      <c r="AVC275" s="227"/>
      <c r="AVD275" s="227"/>
      <c r="AVE275" s="227"/>
      <c r="AVF275" s="227"/>
      <c r="AVG275" s="227"/>
      <c r="AVH275" s="227"/>
      <c r="AVI275" s="227"/>
      <c r="AVJ275" s="227"/>
      <c r="AVK275" s="227"/>
      <c r="AVL275" s="227"/>
      <c r="AVM275" s="227"/>
      <c r="AVN275" s="227"/>
      <c r="AVO275" s="227"/>
      <c r="AVP275" s="227"/>
      <c r="AVQ275" s="227"/>
      <c r="AVR275" s="227"/>
      <c r="AVS275" s="227"/>
      <c r="AVT275" s="227"/>
      <c r="AVU275" s="227"/>
      <c r="AVV275" s="227"/>
      <c r="AVW275" s="227"/>
      <c r="AVX275" s="227"/>
      <c r="AVY275" s="227"/>
      <c r="AVZ275" s="227"/>
      <c r="AWA275" s="227"/>
      <c r="AWB275" s="227"/>
      <c r="AWC275" s="227"/>
      <c r="AWD275" s="227"/>
      <c r="AWE275" s="227"/>
      <c r="AWF275" s="227"/>
      <c r="AWG275" s="227"/>
      <c r="AWH275" s="227"/>
      <c r="AWI275" s="227"/>
      <c r="AWJ275" s="227"/>
      <c r="AWK275" s="227"/>
      <c r="AWL275" s="227"/>
      <c r="AWM275" s="227"/>
      <c r="AWN275" s="227"/>
      <c r="AWO275" s="227"/>
      <c r="AWP275" s="227"/>
      <c r="AWQ275" s="227"/>
      <c r="AWR275" s="227"/>
      <c r="AWS275" s="227"/>
      <c r="AWT275" s="227"/>
      <c r="AWU275" s="227"/>
      <c r="AWV275" s="227"/>
      <c r="AWW275" s="227"/>
      <c r="AWX275" s="227"/>
      <c r="AWY275" s="227"/>
      <c r="AWZ275" s="227"/>
      <c r="AXA275" s="227"/>
      <c r="AXB275" s="227"/>
      <c r="AXC275" s="227"/>
      <c r="AXD275" s="227"/>
      <c r="AXE275" s="227"/>
      <c r="AXF275" s="227"/>
      <c r="AXG275" s="227"/>
      <c r="AXH275" s="227"/>
      <c r="AXI275" s="227"/>
      <c r="AXJ275" s="227"/>
      <c r="AXK275" s="227"/>
      <c r="AXL275" s="227"/>
      <c r="AXM275" s="227"/>
      <c r="AXN275" s="227"/>
      <c r="AXO275" s="227"/>
      <c r="AXP275" s="227"/>
      <c r="AXQ275" s="227"/>
      <c r="AXR275" s="227"/>
      <c r="AXS275" s="227"/>
      <c r="AXT275" s="227"/>
      <c r="AXU275" s="227"/>
      <c r="AXV275" s="227"/>
      <c r="AXW275" s="227"/>
      <c r="AXX275" s="227"/>
      <c r="AXY275" s="227"/>
      <c r="AXZ275" s="227"/>
      <c r="AYA275" s="227"/>
      <c r="AYB275" s="227"/>
      <c r="AYC275" s="227"/>
      <c r="AYD275" s="227"/>
      <c r="AYE275" s="227"/>
      <c r="AYF275" s="227"/>
      <c r="AYG275" s="227"/>
      <c r="AYH275" s="227"/>
      <c r="AYI275" s="227"/>
      <c r="AYJ275" s="227"/>
      <c r="AYK275" s="227"/>
      <c r="AYL275" s="227"/>
      <c r="AYM275" s="227"/>
      <c r="AYN275" s="227"/>
      <c r="AYO275" s="227"/>
      <c r="AYP275" s="227"/>
      <c r="AYQ275" s="227"/>
      <c r="AYR275" s="227"/>
      <c r="AYS275" s="227"/>
      <c r="AYT275" s="227"/>
      <c r="AYU275" s="227"/>
      <c r="AYV275" s="227"/>
      <c r="AYW275" s="227"/>
      <c r="AYX275" s="227"/>
      <c r="AYY275" s="227"/>
      <c r="AYZ275" s="227"/>
      <c r="AZA275" s="227"/>
      <c r="AZB275" s="227"/>
      <c r="AZC275" s="227"/>
      <c r="AZD275" s="227"/>
      <c r="AZE275" s="227"/>
      <c r="AZF275" s="227"/>
      <c r="AZG275" s="227"/>
      <c r="AZH275" s="227"/>
      <c r="AZI275" s="227"/>
      <c r="AZJ275" s="227"/>
      <c r="AZK275" s="227"/>
      <c r="AZL275" s="227"/>
      <c r="AZM275" s="227"/>
      <c r="AZN275" s="227"/>
      <c r="AZO275" s="227"/>
      <c r="AZP275" s="227"/>
      <c r="AZQ275" s="227"/>
      <c r="AZR275" s="227"/>
      <c r="AZS275" s="227"/>
      <c r="AZT275" s="227"/>
      <c r="AZU275" s="227"/>
      <c r="AZV275" s="227"/>
      <c r="AZW275" s="227"/>
      <c r="AZX275" s="227"/>
      <c r="AZY275" s="227"/>
      <c r="AZZ275" s="227"/>
      <c r="BAA275" s="227"/>
      <c r="BAB275" s="227"/>
      <c r="BAC275" s="227"/>
      <c r="BAD275" s="227"/>
      <c r="BAE275" s="227"/>
      <c r="BAF275" s="227"/>
      <c r="BAG275" s="227"/>
      <c r="BAH275" s="227"/>
      <c r="BAI275" s="227"/>
      <c r="BAJ275" s="227"/>
      <c r="BAK275" s="227"/>
      <c r="BAL275" s="227"/>
      <c r="BAM275" s="227"/>
      <c r="BAN275" s="227"/>
      <c r="BAO275" s="227"/>
      <c r="BAP275" s="227"/>
      <c r="BAQ275" s="227"/>
      <c r="BAR275" s="227"/>
      <c r="BAS275" s="227"/>
      <c r="BAT275" s="227"/>
      <c r="BAU275" s="227"/>
      <c r="BAV275" s="227"/>
      <c r="BAW275" s="227"/>
      <c r="BAX275" s="227"/>
      <c r="BAY275" s="227"/>
      <c r="BAZ275" s="227"/>
      <c r="BBA275" s="227"/>
      <c r="BBB275" s="227"/>
      <c r="BBC275" s="227"/>
      <c r="BBD275" s="227"/>
      <c r="BBE275" s="227"/>
      <c r="BBF275" s="227"/>
      <c r="BBG275" s="227"/>
      <c r="BBH275" s="227"/>
      <c r="BBI275" s="227"/>
      <c r="BBJ275" s="227"/>
      <c r="BBK275" s="227"/>
      <c r="BBL275" s="227"/>
      <c r="BBM275" s="227"/>
      <c r="BBN275" s="227"/>
      <c r="BBO275" s="227"/>
      <c r="BBP275" s="227"/>
      <c r="BBQ275" s="227"/>
      <c r="BBR275" s="227"/>
      <c r="BBS275" s="227"/>
      <c r="BBT275" s="227"/>
      <c r="BBU275" s="227"/>
      <c r="BBV275" s="227"/>
      <c r="BBW275" s="227"/>
      <c r="BBX275" s="227"/>
      <c r="BBY275" s="227"/>
      <c r="BBZ275" s="227"/>
      <c r="BCA275" s="227"/>
      <c r="BCB275" s="227"/>
      <c r="BCC275" s="227"/>
      <c r="BCD275" s="227"/>
      <c r="BCE275" s="227"/>
      <c r="BCF275" s="227"/>
      <c r="BCG275" s="227"/>
      <c r="BCH275" s="227"/>
      <c r="BCI275" s="227"/>
      <c r="BCJ275" s="227"/>
      <c r="BCK275" s="227"/>
      <c r="BCL275" s="227"/>
      <c r="BCM275" s="227"/>
      <c r="BCN275" s="227"/>
      <c r="BCO275" s="227"/>
      <c r="BCP275" s="227"/>
      <c r="BCQ275" s="227"/>
      <c r="BCR275" s="227"/>
      <c r="BCS275" s="227"/>
      <c r="BCT275" s="227"/>
      <c r="BCU275" s="227"/>
      <c r="BCV275" s="227"/>
      <c r="BCW275" s="227"/>
      <c r="BCX275" s="227"/>
      <c r="BCY275" s="227"/>
      <c r="BCZ275" s="227"/>
      <c r="BDA275" s="227"/>
      <c r="BDB275" s="227"/>
      <c r="BDC275" s="227"/>
      <c r="BDD275" s="227"/>
      <c r="BDE275" s="227"/>
      <c r="BDF275" s="227"/>
      <c r="BDG275" s="227"/>
      <c r="BDH275" s="227"/>
      <c r="BDI275" s="227"/>
      <c r="BDJ275" s="227"/>
      <c r="BDK275" s="227"/>
      <c r="BDL275" s="227"/>
      <c r="BDM275" s="227"/>
      <c r="BDN275" s="227"/>
      <c r="BDO275" s="227"/>
      <c r="BDP275" s="227"/>
      <c r="BDQ275" s="227"/>
      <c r="BDR275" s="227"/>
      <c r="BDS275" s="227"/>
      <c r="BDT275" s="227"/>
      <c r="BDU275" s="227"/>
      <c r="BDV275" s="227"/>
      <c r="BDW275" s="227"/>
      <c r="BDX275" s="227"/>
      <c r="BDY275" s="227"/>
      <c r="BDZ275" s="227"/>
      <c r="BEA275" s="227"/>
      <c r="BEB275" s="227"/>
      <c r="BEC275" s="227"/>
      <c r="BED275" s="227"/>
      <c r="BEE275" s="227"/>
      <c r="BEF275" s="227"/>
      <c r="BEG275" s="227"/>
      <c r="BEH275" s="227"/>
      <c r="BEI275" s="227"/>
      <c r="BEJ275" s="227"/>
      <c r="BEK275" s="227"/>
      <c r="BEL275" s="227"/>
      <c r="BEM275" s="227"/>
      <c r="BEN275" s="227"/>
      <c r="BEO275" s="227"/>
      <c r="BEP275" s="227"/>
      <c r="BEQ275" s="227"/>
      <c r="BER275" s="227"/>
      <c r="BES275" s="227"/>
      <c r="BET275" s="227"/>
      <c r="BEU275" s="227"/>
      <c r="BEV275" s="227"/>
      <c r="BEW275" s="227"/>
      <c r="BEX275" s="227"/>
      <c r="BEY275" s="227"/>
      <c r="BEZ275" s="227"/>
      <c r="BFA275" s="227"/>
      <c r="BFB275" s="227"/>
      <c r="BFC275" s="227"/>
      <c r="BFD275" s="227"/>
      <c r="BFE275" s="227"/>
      <c r="BFF275" s="227"/>
      <c r="BFG275" s="227"/>
      <c r="BFH275" s="227"/>
      <c r="BFI275" s="227"/>
      <c r="BFJ275" s="227"/>
      <c r="BFK275" s="227"/>
      <c r="BFL275" s="227"/>
      <c r="BFM275" s="227"/>
      <c r="BFN275" s="227"/>
      <c r="BFO275" s="227"/>
      <c r="BFP275" s="227"/>
      <c r="BFQ275" s="227"/>
      <c r="BFR275" s="227"/>
      <c r="BFS275" s="227"/>
      <c r="BFT275" s="227"/>
      <c r="BFU275" s="227"/>
      <c r="BFV275" s="227"/>
      <c r="BFW275" s="227"/>
      <c r="BFX275" s="227"/>
      <c r="BFY275" s="227"/>
      <c r="BFZ275" s="227"/>
      <c r="BGA275" s="227"/>
      <c r="BGB275" s="227"/>
      <c r="BGC275" s="227"/>
      <c r="BGD275" s="227"/>
      <c r="BGE275" s="227"/>
      <c r="BGF275" s="227"/>
      <c r="BGG275" s="227"/>
      <c r="BGH275" s="227"/>
      <c r="BGI275" s="227"/>
      <c r="BGJ275" s="227"/>
      <c r="BGK275" s="227"/>
      <c r="BGL275" s="227"/>
      <c r="BGM275" s="227"/>
      <c r="BGN275" s="227"/>
      <c r="BGO275" s="227"/>
      <c r="BGP275" s="227"/>
      <c r="BGQ275" s="227"/>
      <c r="BGR275" s="227"/>
      <c r="BGS275" s="227"/>
      <c r="BGT275" s="227"/>
      <c r="BGU275" s="227"/>
      <c r="BGV275" s="227"/>
      <c r="BGW275" s="227"/>
      <c r="BGX275" s="227"/>
      <c r="BGY275" s="227"/>
      <c r="BGZ275" s="227"/>
      <c r="BHA275" s="227"/>
      <c r="BHB275" s="227"/>
      <c r="BHC275" s="227"/>
      <c r="BHD275" s="227"/>
      <c r="BHE275" s="227"/>
      <c r="BHF275" s="227"/>
      <c r="BHG275" s="227"/>
      <c r="BHH275" s="227"/>
      <c r="BHI275" s="227"/>
      <c r="BHJ275" s="227"/>
      <c r="BHK275" s="227"/>
      <c r="BHL275" s="227"/>
      <c r="BHM275" s="227"/>
      <c r="BHN275" s="227"/>
      <c r="BHO275" s="227"/>
      <c r="BHP275" s="227"/>
      <c r="BHQ275" s="227"/>
      <c r="BHR275" s="227"/>
      <c r="BHS275" s="227"/>
      <c r="BHT275" s="227"/>
      <c r="BHU275" s="227"/>
      <c r="BHV275" s="227"/>
      <c r="BHW275" s="227"/>
      <c r="BHX275" s="227"/>
      <c r="BHY275" s="227"/>
      <c r="BHZ275" s="227"/>
      <c r="BIA275" s="227"/>
      <c r="BIB275" s="227"/>
      <c r="BIC275" s="227"/>
      <c r="BID275" s="227"/>
      <c r="BIE275" s="227"/>
      <c r="BIF275" s="227"/>
      <c r="BIG275" s="227"/>
      <c r="BIH275" s="227"/>
      <c r="BII275" s="227"/>
      <c r="BIJ275" s="227"/>
      <c r="BIK275" s="227"/>
      <c r="BIL275" s="227"/>
      <c r="BIM275" s="227"/>
      <c r="BIN275" s="227"/>
      <c r="BIO275" s="227"/>
      <c r="BIP275" s="227"/>
      <c r="BIQ275" s="227"/>
      <c r="BIR275" s="227"/>
      <c r="BIS275" s="227"/>
      <c r="BIT275" s="227"/>
      <c r="BIU275" s="227"/>
      <c r="BIV275" s="227"/>
      <c r="BIW275" s="227"/>
      <c r="BIX275" s="227"/>
      <c r="BIY275" s="227"/>
      <c r="BIZ275" s="227"/>
      <c r="BJA275" s="227"/>
      <c r="BJB275" s="227"/>
      <c r="BJC275" s="227"/>
      <c r="BJD275" s="227"/>
      <c r="BJE275" s="227"/>
      <c r="BJF275" s="227"/>
      <c r="BJG275" s="227"/>
      <c r="BJH275" s="227"/>
      <c r="BJI275" s="227"/>
      <c r="BJJ275" s="227"/>
      <c r="BJK275" s="227"/>
      <c r="BJL275" s="227"/>
      <c r="BJM275" s="227"/>
      <c r="BJN275" s="227"/>
      <c r="BJO275" s="227"/>
      <c r="BJP275" s="227"/>
      <c r="BJQ275" s="227"/>
      <c r="BJR275" s="227"/>
      <c r="BJS275" s="227"/>
      <c r="BJT275" s="227"/>
      <c r="BJU275" s="227"/>
      <c r="BJV275" s="227"/>
      <c r="BJW275" s="227"/>
      <c r="BJX275" s="227"/>
      <c r="BJY275" s="227"/>
      <c r="BJZ275" s="227"/>
      <c r="BKA275" s="227"/>
      <c r="BKB275" s="227"/>
      <c r="BKC275" s="227"/>
      <c r="BKD275" s="227"/>
      <c r="BKE275" s="227"/>
      <c r="BKF275" s="227"/>
      <c r="BKG275" s="227"/>
      <c r="BKH275" s="227"/>
      <c r="BKI275" s="227"/>
      <c r="BKJ275" s="227"/>
      <c r="BKK275" s="227"/>
      <c r="BKL275" s="227"/>
      <c r="BKM275" s="227"/>
      <c r="BKN275" s="227"/>
      <c r="BKO275" s="227"/>
      <c r="BKP275" s="227"/>
      <c r="BKQ275" s="227"/>
      <c r="BKR275" s="227"/>
      <c r="BKS275" s="227"/>
      <c r="BKT275" s="227"/>
      <c r="BKU275" s="227"/>
      <c r="BKV275" s="227"/>
      <c r="BKW275" s="227"/>
      <c r="BKX275" s="227"/>
      <c r="BKY275" s="227"/>
      <c r="BKZ275" s="227"/>
      <c r="BLA275" s="227"/>
      <c r="BLB275" s="227"/>
      <c r="BLC275" s="227"/>
      <c r="BLD275" s="227"/>
      <c r="BLE275" s="227"/>
      <c r="BLF275" s="227"/>
      <c r="BLG275" s="227"/>
      <c r="BLH275" s="227"/>
      <c r="BLI275" s="227"/>
      <c r="BLJ275" s="227"/>
      <c r="BLK275" s="227"/>
      <c r="BLL275" s="227"/>
      <c r="BLM275" s="227"/>
      <c r="BLN275" s="227"/>
      <c r="BLO275" s="227"/>
      <c r="BLP275" s="227"/>
      <c r="BLQ275" s="227"/>
      <c r="BLR275" s="227"/>
      <c r="BLS275" s="227"/>
      <c r="BLT275" s="227"/>
      <c r="BLU275" s="227"/>
      <c r="BLV275" s="227"/>
      <c r="BLW275" s="227"/>
      <c r="BLX275" s="227"/>
      <c r="BLY275" s="227"/>
      <c r="BLZ275" s="227"/>
      <c r="BMA275" s="227"/>
      <c r="BMB275" s="227"/>
      <c r="BMC275" s="227"/>
      <c r="BMD275" s="227"/>
      <c r="BME275" s="227"/>
      <c r="BMF275" s="227"/>
      <c r="BMG275" s="227"/>
      <c r="BMH275" s="227"/>
      <c r="BMI275" s="227"/>
      <c r="BMJ275" s="227"/>
      <c r="BMK275" s="227"/>
      <c r="BML275" s="227"/>
      <c r="BMM275" s="227"/>
      <c r="BMN275" s="227"/>
      <c r="BMO275" s="227"/>
      <c r="BMP275" s="227"/>
      <c r="BMQ275" s="227"/>
      <c r="BMR275" s="227"/>
      <c r="BMS275" s="227"/>
      <c r="BMT275" s="227"/>
      <c r="BMU275" s="227"/>
      <c r="BMV275" s="227"/>
      <c r="BMW275" s="227"/>
      <c r="BMX275" s="227"/>
      <c r="BMY275" s="227"/>
      <c r="BMZ275" s="227"/>
      <c r="BNA275" s="227"/>
      <c r="BNB275" s="227"/>
      <c r="BNC275" s="227"/>
      <c r="BND275" s="227"/>
      <c r="BNE275" s="227"/>
      <c r="BNF275" s="227"/>
      <c r="BNG275" s="227"/>
      <c r="BNH275" s="227"/>
      <c r="BNI275" s="227"/>
      <c r="BNJ275" s="227"/>
      <c r="BNK275" s="227"/>
      <c r="BNL275" s="227"/>
      <c r="BNM275" s="227"/>
      <c r="BNN275" s="227"/>
      <c r="BNO275" s="227"/>
      <c r="BNP275" s="227"/>
      <c r="BNQ275" s="227"/>
      <c r="BNR275" s="227"/>
      <c r="BNS275" s="227"/>
      <c r="BNT275" s="227"/>
      <c r="BNU275" s="227"/>
      <c r="BNV275" s="227"/>
      <c r="BNW275" s="227"/>
      <c r="BNX275" s="227"/>
      <c r="BNY275" s="227"/>
      <c r="BNZ275" s="227"/>
      <c r="BOA275" s="227"/>
      <c r="BOB275" s="227"/>
      <c r="BOC275" s="227"/>
      <c r="BOD275" s="227"/>
      <c r="BOE275" s="227"/>
      <c r="BOF275" s="227"/>
      <c r="BOG275" s="227"/>
      <c r="BOH275" s="227"/>
      <c r="BOI275" s="227"/>
      <c r="BOJ275" s="227"/>
      <c r="BOK275" s="227"/>
      <c r="BOL275" s="227"/>
      <c r="BOM275" s="227"/>
      <c r="BON275" s="227"/>
      <c r="BOO275" s="227"/>
      <c r="BOP275" s="227"/>
      <c r="BOQ275" s="227"/>
      <c r="BOR275" s="227"/>
      <c r="BOS275" s="227"/>
      <c r="BOT275" s="227"/>
      <c r="BOU275" s="227"/>
      <c r="BOV275" s="227"/>
      <c r="BOW275" s="227"/>
      <c r="BOX275" s="227"/>
      <c r="BOY275" s="227"/>
      <c r="BOZ275" s="227"/>
      <c r="BPA275" s="227"/>
      <c r="BPB275" s="227"/>
      <c r="BPC275" s="227"/>
      <c r="BPD275" s="227"/>
      <c r="BPE275" s="227"/>
      <c r="BPF275" s="227"/>
      <c r="BPG275" s="227"/>
      <c r="BPH275" s="227"/>
      <c r="BPI275" s="227"/>
      <c r="BPJ275" s="227"/>
      <c r="BPK275" s="227"/>
      <c r="BPL275" s="227"/>
      <c r="BPM275" s="227"/>
      <c r="BPN275" s="227"/>
      <c r="BPO275" s="227"/>
      <c r="BPP275" s="227"/>
      <c r="BPQ275" s="227"/>
      <c r="BPR275" s="227"/>
      <c r="BPS275" s="227"/>
      <c r="BPT275" s="227"/>
      <c r="BPU275" s="227"/>
      <c r="BPV275" s="227"/>
      <c r="BPW275" s="227"/>
      <c r="BPX275" s="227"/>
      <c r="BPY275" s="227"/>
      <c r="BPZ275" s="227"/>
      <c r="BQA275" s="227"/>
      <c r="BQB275" s="227"/>
      <c r="BQC275" s="227"/>
      <c r="BQD275" s="227"/>
      <c r="BQE275" s="227"/>
      <c r="BQF275" s="227"/>
      <c r="BQG275" s="227"/>
      <c r="BQH275" s="227"/>
      <c r="BQI275" s="227"/>
      <c r="BQJ275" s="227"/>
      <c r="BQK275" s="227"/>
      <c r="BQL275" s="227"/>
      <c r="BQM275" s="227"/>
      <c r="BQN275" s="227"/>
      <c r="BQO275" s="227"/>
      <c r="BQP275" s="227"/>
      <c r="BQQ275" s="227"/>
      <c r="BQR275" s="227"/>
      <c r="BQS275" s="227"/>
      <c r="BQT275" s="227"/>
      <c r="BQU275" s="227"/>
      <c r="BQV275" s="227"/>
      <c r="BQW275" s="227"/>
      <c r="BQX275" s="227"/>
      <c r="BQY275" s="227"/>
      <c r="BQZ275" s="227"/>
      <c r="BRA275" s="227"/>
      <c r="BRB275" s="227"/>
      <c r="BRC275" s="227"/>
      <c r="BRD275" s="227"/>
      <c r="BRE275" s="227"/>
      <c r="BRF275" s="227"/>
      <c r="BRG275" s="227"/>
      <c r="BRH275" s="227"/>
      <c r="BRI275" s="227"/>
      <c r="BRJ275" s="227"/>
      <c r="BRK275" s="227"/>
      <c r="BRL275" s="227"/>
      <c r="BRM275" s="227"/>
      <c r="BRN275" s="227"/>
      <c r="BRO275" s="227"/>
      <c r="BRP275" s="227"/>
      <c r="BRQ275" s="227"/>
      <c r="BRR275" s="227"/>
      <c r="BRS275" s="227"/>
      <c r="BRT275" s="227"/>
      <c r="BRU275" s="227"/>
      <c r="BRV275" s="227"/>
      <c r="BRW275" s="227"/>
      <c r="BRX275" s="227"/>
      <c r="BRY275" s="227"/>
      <c r="BRZ275" s="227"/>
      <c r="BSA275" s="227"/>
      <c r="BSB275" s="227"/>
      <c r="BSC275" s="227"/>
      <c r="BSD275" s="227"/>
      <c r="BSE275" s="227"/>
      <c r="BSF275" s="227"/>
      <c r="BSG275" s="227"/>
      <c r="BSH275" s="227"/>
      <c r="BSI275" s="227"/>
      <c r="BSJ275" s="227"/>
      <c r="BSK275" s="227"/>
      <c r="BSL275" s="227"/>
      <c r="BSM275" s="227"/>
      <c r="BSN275" s="227"/>
      <c r="BSO275" s="227"/>
      <c r="BSP275" s="227"/>
      <c r="BSQ275" s="227"/>
      <c r="BSR275" s="227"/>
      <c r="BSS275" s="227"/>
      <c r="BST275" s="227"/>
      <c r="BSU275" s="227"/>
      <c r="BSV275" s="227"/>
      <c r="BSW275" s="227"/>
      <c r="BSX275" s="227"/>
      <c r="BSY275" s="227"/>
      <c r="BSZ275" s="227"/>
      <c r="BTA275" s="227"/>
      <c r="BTB275" s="227"/>
      <c r="BTC275" s="227"/>
      <c r="BTD275" s="227"/>
      <c r="BTE275" s="227"/>
      <c r="BTF275" s="227"/>
      <c r="BTG275" s="227"/>
      <c r="BTH275" s="227"/>
      <c r="BTI275" s="227"/>
      <c r="BTJ275" s="227"/>
      <c r="BTK275" s="227"/>
      <c r="BTL275" s="227"/>
      <c r="BTM275" s="227"/>
      <c r="BTN275" s="227"/>
      <c r="BTO275" s="227"/>
      <c r="BTP275" s="227"/>
      <c r="BTQ275" s="227"/>
      <c r="BTR275" s="227"/>
      <c r="BTS275" s="227"/>
      <c r="BTT275" s="227"/>
      <c r="BTU275" s="227"/>
      <c r="BTV275" s="227"/>
      <c r="BTW275" s="227"/>
      <c r="BTX275" s="227"/>
      <c r="BTY275" s="227"/>
      <c r="BTZ275" s="227"/>
      <c r="BUA275" s="227"/>
      <c r="BUB275" s="227"/>
      <c r="BUC275" s="227"/>
      <c r="BUD275" s="227"/>
      <c r="BUE275" s="227"/>
      <c r="BUF275" s="227"/>
      <c r="BUG275" s="227"/>
      <c r="BUH275" s="227"/>
      <c r="BUI275" s="227"/>
      <c r="BUJ275" s="227"/>
      <c r="BUK275" s="227"/>
      <c r="BUL275" s="227"/>
      <c r="BUM275" s="227"/>
      <c r="BUN275" s="227"/>
      <c r="BUO275" s="227"/>
      <c r="BUP275" s="227"/>
      <c r="BUQ275" s="227"/>
      <c r="BUR275" s="227"/>
      <c r="BUS275" s="227"/>
      <c r="BUT275" s="227"/>
      <c r="BUU275" s="227"/>
      <c r="BUV275" s="227"/>
      <c r="BUW275" s="227"/>
      <c r="BUX275" s="227"/>
      <c r="BUY275" s="227"/>
      <c r="BUZ275" s="227"/>
      <c r="BVA275" s="227"/>
      <c r="BVB275" s="227"/>
      <c r="BVC275" s="227"/>
      <c r="BVD275" s="227"/>
      <c r="BVE275" s="227"/>
      <c r="BVF275" s="227"/>
      <c r="BVG275" s="227"/>
      <c r="BVH275" s="227"/>
      <c r="BVI275" s="227"/>
      <c r="BVJ275" s="227"/>
      <c r="BVK275" s="227"/>
      <c r="BVL275" s="227"/>
      <c r="BVM275" s="227"/>
      <c r="BVN275" s="227"/>
      <c r="BVO275" s="227"/>
      <c r="BVP275" s="227"/>
      <c r="BVQ275" s="227"/>
      <c r="BVR275" s="227"/>
      <c r="BVS275" s="227"/>
      <c r="BVT275" s="227"/>
      <c r="BVU275" s="227"/>
      <c r="BVV275" s="227"/>
      <c r="BVW275" s="227"/>
      <c r="BVX275" s="227"/>
      <c r="BVY275" s="227"/>
      <c r="BVZ275" s="227"/>
      <c r="BWA275" s="227"/>
      <c r="BWB275" s="227"/>
      <c r="BWC275" s="227"/>
      <c r="BWD275" s="227"/>
      <c r="BWE275" s="227"/>
      <c r="BWF275" s="227"/>
      <c r="BWG275" s="227"/>
      <c r="BWH275" s="227"/>
      <c r="BWI275" s="227"/>
      <c r="BWJ275" s="227"/>
      <c r="BWK275" s="227"/>
      <c r="BWL275" s="227"/>
      <c r="BWM275" s="227"/>
      <c r="BWN275" s="227"/>
      <c r="BWO275" s="227"/>
      <c r="BWP275" s="227"/>
      <c r="BWQ275" s="227"/>
      <c r="BWR275" s="227"/>
      <c r="BWS275" s="227"/>
      <c r="BWT275" s="227"/>
      <c r="BWU275" s="227"/>
      <c r="BWV275" s="227"/>
      <c r="BWW275" s="227"/>
      <c r="BWX275" s="227"/>
      <c r="BWY275" s="227"/>
      <c r="BWZ275" s="227"/>
      <c r="BXA275" s="227"/>
      <c r="BXB275" s="227"/>
      <c r="BXC275" s="227"/>
      <c r="BXD275" s="227"/>
      <c r="BXE275" s="227"/>
      <c r="BXF275" s="227"/>
      <c r="BXG275" s="227"/>
      <c r="BXH275" s="227"/>
      <c r="BXI275" s="227"/>
      <c r="BXJ275" s="227"/>
      <c r="BXK275" s="227"/>
      <c r="BXL275" s="227"/>
      <c r="BXM275" s="227"/>
      <c r="BXN275" s="227"/>
      <c r="BXO275" s="227"/>
      <c r="BXP275" s="227"/>
      <c r="BXQ275" s="227"/>
      <c r="BXR275" s="227"/>
      <c r="BXS275" s="227"/>
      <c r="BXT275" s="227"/>
      <c r="BXU275" s="227"/>
      <c r="BXV275" s="227"/>
      <c r="BXW275" s="227"/>
      <c r="BXX275" s="227"/>
      <c r="BXY275" s="227"/>
      <c r="BXZ275" s="227"/>
      <c r="BYA275" s="227"/>
      <c r="BYB275" s="227"/>
      <c r="BYC275" s="227"/>
      <c r="BYD275" s="227"/>
      <c r="BYE275" s="227"/>
      <c r="BYF275" s="227"/>
      <c r="BYG275" s="227"/>
      <c r="BYH275" s="227"/>
      <c r="BYI275" s="227"/>
      <c r="BYJ275" s="227"/>
      <c r="BYK275" s="227"/>
      <c r="BYL275" s="227"/>
      <c r="BYM275" s="227"/>
      <c r="BYN275" s="227"/>
      <c r="BYO275" s="227"/>
      <c r="BYP275" s="227"/>
      <c r="BYQ275" s="227"/>
      <c r="BYR275" s="227"/>
      <c r="BYS275" s="227"/>
      <c r="BYT275" s="227"/>
      <c r="BYU275" s="227"/>
      <c r="BYV275" s="227"/>
      <c r="BYW275" s="227"/>
      <c r="BYX275" s="227"/>
      <c r="BYY275" s="227"/>
      <c r="BYZ275" s="227"/>
      <c r="BZA275" s="227"/>
      <c r="BZB275" s="227"/>
      <c r="BZC275" s="227"/>
      <c r="BZD275" s="227"/>
      <c r="BZE275" s="227"/>
      <c r="BZF275" s="227"/>
      <c r="BZG275" s="227"/>
      <c r="BZH275" s="227"/>
      <c r="BZI275" s="227"/>
      <c r="BZJ275" s="227"/>
      <c r="BZK275" s="227"/>
      <c r="BZL275" s="227"/>
      <c r="BZM275" s="227"/>
      <c r="BZN275" s="227"/>
      <c r="BZO275" s="227"/>
      <c r="BZP275" s="227"/>
      <c r="BZQ275" s="227"/>
      <c r="BZR275" s="227"/>
      <c r="BZS275" s="227"/>
      <c r="BZT275" s="227"/>
      <c r="BZU275" s="227"/>
      <c r="BZV275" s="227"/>
      <c r="BZW275" s="227"/>
      <c r="BZX275" s="227"/>
      <c r="BZY275" s="227"/>
      <c r="BZZ275" s="227"/>
      <c r="CAA275" s="227"/>
      <c r="CAB275" s="227"/>
      <c r="CAC275" s="227"/>
      <c r="CAD275" s="227"/>
      <c r="CAE275" s="227"/>
      <c r="CAF275" s="227"/>
      <c r="CAG275" s="227"/>
      <c r="CAH275" s="227"/>
      <c r="CAI275" s="227"/>
      <c r="CAJ275" s="227"/>
      <c r="CAK275" s="227"/>
      <c r="CAL275" s="227"/>
      <c r="CAM275" s="227"/>
      <c r="CAN275" s="227"/>
      <c r="CAO275" s="227"/>
      <c r="CAP275" s="227"/>
      <c r="CAQ275" s="227"/>
      <c r="CAR275" s="227"/>
      <c r="CAS275" s="227"/>
      <c r="CAT275" s="227"/>
      <c r="CAU275" s="227"/>
      <c r="CAV275" s="227"/>
      <c r="CAW275" s="227"/>
      <c r="CAX275" s="227"/>
      <c r="CAY275" s="227"/>
      <c r="CAZ275" s="227"/>
      <c r="CBA275" s="227"/>
      <c r="CBB275" s="227"/>
      <c r="CBC275" s="227"/>
      <c r="CBD275" s="227"/>
      <c r="CBE275" s="227"/>
      <c r="CBF275" s="227"/>
      <c r="CBG275" s="227"/>
      <c r="CBH275" s="227"/>
      <c r="CBI275" s="227"/>
      <c r="CBJ275" s="227"/>
      <c r="CBK275" s="227"/>
      <c r="CBL275" s="227"/>
      <c r="CBM275" s="227"/>
      <c r="CBN275" s="227"/>
      <c r="CBO275" s="227"/>
      <c r="CBP275" s="227"/>
      <c r="CBQ275" s="227"/>
      <c r="CBR275" s="227"/>
      <c r="CBS275" s="227"/>
      <c r="CBT275" s="227"/>
      <c r="CBU275" s="227"/>
      <c r="CBV275" s="227"/>
      <c r="CBW275" s="227"/>
      <c r="CBX275" s="227"/>
      <c r="CBY275" s="227"/>
      <c r="CBZ275" s="227"/>
      <c r="CCA275" s="227"/>
      <c r="CCB275" s="227"/>
      <c r="CCC275" s="227"/>
      <c r="CCD275" s="227"/>
      <c r="CCE275" s="227"/>
      <c r="CCF275" s="227"/>
      <c r="CCG275" s="227"/>
      <c r="CCH275" s="227"/>
      <c r="CCI275" s="227"/>
      <c r="CCJ275" s="227"/>
      <c r="CCK275" s="227"/>
      <c r="CCL275" s="227"/>
      <c r="CCM275" s="227"/>
      <c r="CCN275" s="227"/>
      <c r="CCO275" s="227"/>
      <c r="CCP275" s="227"/>
      <c r="CCQ275" s="227"/>
      <c r="CCR275" s="227"/>
      <c r="CCS275" s="227"/>
      <c r="CCT275" s="227"/>
      <c r="CCU275" s="227"/>
      <c r="CCV275" s="227"/>
      <c r="CCW275" s="227"/>
      <c r="CCX275" s="227"/>
      <c r="CCY275" s="227"/>
      <c r="CCZ275" s="227"/>
      <c r="CDA275" s="227"/>
      <c r="CDB275" s="227"/>
      <c r="CDC275" s="227"/>
      <c r="CDD275" s="227"/>
      <c r="CDE275" s="227"/>
      <c r="CDF275" s="227"/>
      <c r="CDG275" s="227"/>
      <c r="CDH275" s="227"/>
      <c r="CDI275" s="227"/>
      <c r="CDJ275" s="227"/>
      <c r="CDK275" s="227"/>
      <c r="CDL275" s="227"/>
      <c r="CDM275" s="227"/>
      <c r="CDN275" s="227"/>
      <c r="CDO275" s="227"/>
      <c r="CDP275" s="227"/>
      <c r="CDQ275" s="227"/>
      <c r="CDR275" s="227"/>
      <c r="CDS275" s="227"/>
      <c r="CDT275" s="227"/>
      <c r="CDU275" s="227"/>
      <c r="CDV275" s="227"/>
      <c r="CDW275" s="227"/>
      <c r="CDX275" s="227"/>
      <c r="CDY275" s="227"/>
      <c r="CDZ275" s="227"/>
      <c r="CEA275" s="227"/>
      <c r="CEB275" s="227"/>
      <c r="CEC275" s="227"/>
      <c r="CED275" s="227"/>
      <c r="CEE275" s="227"/>
      <c r="CEF275" s="227"/>
      <c r="CEG275" s="227"/>
      <c r="CEH275" s="227"/>
      <c r="CEI275" s="227"/>
      <c r="CEJ275" s="227"/>
      <c r="CEK275" s="227"/>
      <c r="CEL275" s="227"/>
      <c r="CEM275" s="227"/>
      <c r="CEN275" s="227"/>
      <c r="CEO275" s="227"/>
      <c r="CEP275" s="227"/>
      <c r="CEQ275" s="227"/>
      <c r="CER275" s="227"/>
      <c r="CES275" s="227"/>
      <c r="CET275" s="227"/>
      <c r="CEU275" s="227"/>
      <c r="CEV275" s="227"/>
      <c r="CEW275" s="227"/>
      <c r="CEX275" s="227"/>
      <c r="CEY275" s="227"/>
      <c r="CEZ275" s="227"/>
      <c r="CFA275" s="227"/>
      <c r="CFB275" s="227"/>
      <c r="CFC275" s="227"/>
      <c r="CFD275" s="227"/>
      <c r="CFE275" s="227"/>
      <c r="CFF275" s="227"/>
      <c r="CFG275" s="227"/>
      <c r="CFH275" s="227"/>
      <c r="CFI275" s="227"/>
      <c r="CFJ275" s="227"/>
      <c r="CFK275" s="227"/>
      <c r="CFL275" s="227"/>
      <c r="CFM275" s="227"/>
      <c r="CFN275" s="227"/>
      <c r="CFO275" s="227"/>
      <c r="CFP275" s="227"/>
      <c r="CFQ275" s="227"/>
      <c r="CFR275" s="227"/>
      <c r="CFS275" s="227"/>
      <c r="CFT275" s="227"/>
      <c r="CFU275" s="227"/>
      <c r="CFV275" s="227"/>
      <c r="CFW275" s="227"/>
      <c r="CFX275" s="227"/>
      <c r="CFY275" s="227"/>
      <c r="CFZ275" s="227"/>
      <c r="CGA275" s="227"/>
      <c r="CGB275" s="227"/>
      <c r="CGC275" s="227"/>
      <c r="CGD275" s="227"/>
      <c r="CGE275" s="227"/>
      <c r="CGF275" s="227"/>
      <c r="CGG275" s="227"/>
      <c r="CGH275" s="227"/>
      <c r="CGI275" s="227"/>
      <c r="CGJ275" s="227"/>
      <c r="CGK275" s="227"/>
      <c r="CGL275" s="227"/>
      <c r="CGM275" s="227"/>
      <c r="CGN275" s="227"/>
      <c r="CGO275" s="227"/>
      <c r="CGP275" s="227"/>
      <c r="CGQ275" s="227"/>
      <c r="CGR275" s="227"/>
      <c r="CGS275" s="227"/>
      <c r="CGT275" s="227"/>
      <c r="CGU275" s="227"/>
      <c r="CGV275" s="227"/>
      <c r="CGW275" s="227"/>
      <c r="CGX275" s="227"/>
      <c r="CGY275" s="227"/>
      <c r="CGZ275" s="227"/>
      <c r="CHA275" s="227"/>
      <c r="CHB275" s="227"/>
      <c r="CHC275" s="227"/>
      <c r="CHD275" s="227"/>
      <c r="CHE275" s="227"/>
      <c r="CHF275" s="227"/>
      <c r="CHG275" s="227"/>
      <c r="CHH275" s="227"/>
      <c r="CHI275" s="227"/>
      <c r="CHJ275" s="227"/>
      <c r="CHK275" s="227"/>
      <c r="CHL275" s="227"/>
      <c r="CHM275" s="227"/>
      <c r="CHN275" s="227"/>
      <c r="CHO275" s="227"/>
      <c r="CHP275" s="227"/>
      <c r="CHQ275" s="227"/>
      <c r="CHR275" s="227"/>
      <c r="CHS275" s="227"/>
      <c r="CHT275" s="227"/>
      <c r="CHU275" s="227"/>
      <c r="CHV275" s="227"/>
      <c r="CHW275" s="227"/>
      <c r="CHX275" s="227"/>
      <c r="CHY275" s="227"/>
      <c r="CHZ275" s="227"/>
      <c r="CIA275" s="227"/>
      <c r="CIB275" s="227"/>
      <c r="CIC275" s="227"/>
      <c r="CID275" s="227"/>
      <c r="CIE275" s="227"/>
      <c r="CIF275" s="227"/>
      <c r="CIG275" s="227"/>
      <c r="CIH275" s="227"/>
      <c r="CII275" s="227"/>
      <c r="CIJ275" s="227"/>
      <c r="CIK275" s="227"/>
      <c r="CIL275" s="227"/>
      <c r="CIM275" s="227"/>
      <c r="CIN275" s="227"/>
      <c r="CIO275" s="227"/>
      <c r="CIP275" s="227"/>
      <c r="CIQ275" s="227"/>
      <c r="CIR275" s="227"/>
      <c r="CIS275" s="227"/>
      <c r="CIT275" s="227"/>
      <c r="CIU275" s="227"/>
      <c r="CIV275" s="227"/>
      <c r="CIW275" s="227"/>
      <c r="CIX275" s="227"/>
      <c r="CIY275" s="227"/>
      <c r="CIZ275" s="227"/>
      <c r="CJA275" s="227"/>
      <c r="CJB275" s="227"/>
      <c r="CJC275" s="227"/>
      <c r="CJD275" s="227"/>
      <c r="CJE275" s="227"/>
      <c r="CJF275" s="227"/>
      <c r="CJG275" s="227"/>
      <c r="CJH275" s="227"/>
      <c r="CJI275" s="227"/>
      <c r="CJJ275" s="227"/>
      <c r="CJK275" s="227"/>
      <c r="CJL275" s="227"/>
      <c r="CJM275" s="227"/>
      <c r="CJN275" s="227"/>
      <c r="CJO275" s="227"/>
      <c r="CJP275" s="227"/>
      <c r="CJQ275" s="227"/>
      <c r="CJR275" s="227"/>
      <c r="CJS275" s="227"/>
      <c r="CJT275" s="227"/>
      <c r="CJU275" s="227"/>
      <c r="CJV275" s="227"/>
      <c r="CJW275" s="227"/>
      <c r="CJX275" s="227"/>
      <c r="CJY275" s="227"/>
      <c r="CJZ275" s="227"/>
      <c r="CKA275" s="227"/>
      <c r="CKB275" s="227"/>
      <c r="CKC275" s="227"/>
      <c r="CKD275" s="227"/>
      <c r="CKE275" s="227"/>
      <c r="CKF275" s="227"/>
      <c r="CKG275" s="227"/>
      <c r="CKH275" s="227"/>
      <c r="CKI275" s="227"/>
      <c r="CKJ275" s="227"/>
      <c r="CKK275" s="227"/>
      <c r="CKL275" s="227"/>
      <c r="CKM275" s="227"/>
      <c r="CKN275" s="227"/>
      <c r="CKO275" s="227"/>
      <c r="CKP275" s="227"/>
      <c r="CKQ275" s="227"/>
      <c r="CKR275" s="227"/>
      <c r="CKS275" s="227"/>
      <c r="CKT275" s="227"/>
      <c r="CKU275" s="227"/>
      <c r="CKV275" s="227"/>
      <c r="CKW275" s="227"/>
      <c r="CKX275" s="227"/>
      <c r="CKY275" s="227"/>
      <c r="CKZ275" s="227"/>
      <c r="CLA275" s="227"/>
      <c r="CLB275" s="227"/>
      <c r="CLC275" s="227"/>
      <c r="CLD275" s="227"/>
      <c r="CLE275" s="227"/>
      <c r="CLF275" s="227"/>
      <c r="CLG275" s="227"/>
      <c r="CLH275" s="227"/>
      <c r="CLI275" s="227"/>
      <c r="CLJ275" s="227"/>
      <c r="CLK275" s="227"/>
      <c r="CLL275" s="227"/>
      <c r="CLM275" s="227"/>
      <c r="CLN275" s="227"/>
      <c r="CLO275" s="227"/>
      <c r="CLP275" s="227"/>
      <c r="CLQ275" s="227"/>
      <c r="CLR275" s="227"/>
      <c r="CLS275" s="227"/>
      <c r="CLT275" s="227"/>
      <c r="CLU275" s="227"/>
      <c r="CLV275" s="227"/>
      <c r="CLW275" s="227"/>
      <c r="CLX275" s="227"/>
      <c r="CLY275" s="227"/>
      <c r="CLZ275" s="227"/>
      <c r="CMA275" s="227"/>
      <c r="CMB275" s="227"/>
      <c r="CMC275" s="227"/>
      <c r="CMD275" s="227"/>
      <c r="CME275" s="227"/>
      <c r="CMF275" s="227"/>
      <c r="CMG275" s="227"/>
      <c r="CMH275" s="227"/>
      <c r="CMI275" s="227"/>
      <c r="CMJ275" s="227"/>
      <c r="CMK275" s="227"/>
      <c r="CML275" s="227"/>
      <c r="CMM275" s="227"/>
      <c r="CMN275" s="227"/>
      <c r="CMO275" s="227"/>
      <c r="CMP275" s="227"/>
      <c r="CMQ275" s="227"/>
      <c r="CMR275" s="227"/>
      <c r="CMS275" s="227"/>
      <c r="CMT275" s="227"/>
      <c r="CMU275" s="227"/>
      <c r="CMV275" s="227"/>
      <c r="CMW275" s="227"/>
      <c r="CMX275" s="227"/>
      <c r="CMY275" s="227"/>
      <c r="CMZ275" s="227"/>
      <c r="CNA275" s="227"/>
      <c r="CNB275" s="227"/>
      <c r="CNC275" s="227"/>
      <c r="CND275" s="227"/>
      <c r="CNE275" s="227"/>
      <c r="CNF275" s="227"/>
      <c r="CNG275" s="227"/>
      <c r="CNH275" s="227"/>
      <c r="CNI275" s="227"/>
      <c r="CNJ275" s="227"/>
      <c r="CNK275" s="227"/>
      <c r="CNL275" s="227"/>
      <c r="CNM275" s="227"/>
      <c r="CNN275" s="227"/>
      <c r="CNO275" s="227"/>
      <c r="CNP275" s="227"/>
      <c r="CNQ275" s="227"/>
      <c r="CNR275" s="227"/>
      <c r="CNS275" s="227"/>
      <c r="CNT275" s="227"/>
      <c r="CNU275" s="227"/>
      <c r="CNV275" s="227"/>
      <c r="CNW275" s="227"/>
      <c r="CNX275" s="227"/>
      <c r="CNY275" s="227"/>
      <c r="CNZ275" s="227"/>
      <c r="COA275" s="227"/>
      <c r="COB275" s="227"/>
      <c r="COC275" s="227"/>
      <c r="COD275" s="227"/>
      <c r="COE275" s="227"/>
      <c r="COF275" s="227"/>
      <c r="COG275" s="227"/>
      <c r="COH275" s="227"/>
      <c r="COI275" s="227"/>
      <c r="COJ275" s="227"/>
      <c r="COK275" s="227"/>
      <c r="COL275" s="227"/>
      <c r="COM275" s="227"/>
      <c r="CON275" s="227"/>
      <c r="COO275" s="227"/>
      <c r="COP275" s="227"/>
      <c r="COQ275" s="227"/>
      <c r="COR275" s="227"/>
      <c r="COS275" s="227"/>
      <c r="COT275" s="227"/>
      <c r="COU275" s="227"/>
      <c r="COV275" s="227"/>
      <c r="COW275" s="227"/>
      <c r="COX275" s="227"/>
      <c r="COY275" s="227"/>
      <c r="COZ275" s="227"/>
      <c r="CPA275" s="227"/>
      <c r="CPB275" s="227"/>
      <c r="CPC275" s="227"/>
      <c r="CPD275" s="227"/>
      <c r="CPE275" s="227"/>
      <c r="CPF275" s="227"/>
      <c r="CPG275" s="227"/>
      <c r="CPH275" s="227"/>
      <c r="CPI275" s="227"/>
      <c r="CPJ275" s="227"/>
      <c r="CPK275" s="227"/>
      <c r="CPL275" s="227"/>
      <c r="CPM275" s="227"/>
      <c r="CPN275" s="227"/>
      <c r="CPO275" s="227"/>
      <c r="CPP275" s="227"/>
      <c r="CPQ275" s="227"/>
      <c r="CPR275" s="227"/>
      <c r="CPS275" s="227"/>
      <c r="CPT275" s="227"/>
      <c r="CPU275" s="227"/>
      <c r="CPV275" s="227"/>
      <c r="CPW275" s="227"/>
      <c r="CPX275" s="227"/>
      <c r="CPY275" s="227"/>
      <c r="CPZ275" s="227"/>
      <c r="CQA275" s="227"/>
      <c r="CQB275" s="227"/>
      <c r="CQC275" s="227"/>
      <c r="CQD275" s="227"/>
      <c r="CQE275" s="227"/>
      <c r="CQF275" s="227"/>
      <c r="CQG275" s="227"/>
      <c r="CQH275" s="227"/>
      <c r="CQI275" s="227"/>
      <c r="CQJ275" s="227"/>
      <c r="CQK275" s="227"/>
      <c r="CQL275" s="227"/>
      <c r="CQM275" s="227"/>
      <c r="CQN275" s="227"/>
      <c r="CQO275" s="227"/>
      <c r="CQP275" s="227"/>
      <c r="CQQ275" s="227"/>
      <c r="CQR275" s="227"/>
      <c r="CQS275" s="227"/>
      <c r="CQT275" s="227"/>
      <c r="CQU275" s="227"/>
      <c r="CQV275" s="227"/>
      <c r="CQW275" s="227"/>
      <c r="CQX275" s="227"/>
      <c r="CQY275" s="227"/>
      <c r="CQZ275" s="227"/>
      <c r="CRA275" s="227"/>
      <c r="CRB275" s="227"/>
      <c r="CRC275" s="227"/>
      <c r="CRD275" s="227"/>
      <c r="CRE275" s="227"/>
      <c r="CRF275" s="227"/>
      <c r="CRG275" s="227"/>
      <c r="CRH275" s="227"/>
      <c r="CRI275" s="227"/>
      <c r="CRJ275" s="227"/>
      <c r="CRK275" s="227"/>
      <c r="CRL275" s="227"/>
      <c r="CRM275" s="227"/>
      <c r="CRN275" s="227"/>
      <c r="CRO275" s="227"/>
      <c r="CRP275" s="227"/>
      <c r="CRQ275" s="227"/>
      <c r="CRR275" s="227"/>
      <c r="CRS275" s="227"/>
      <c r="CRT275" s="227"/>
      <c r="CRU275" s="227"/>
      <c r="CRV275" s="227"/>
      <c r="CRW275" s="227"/>
      <c r="CRX275" s="227"/>
      <c r="CRY275" s="227"/>
      <c r="CRZ275" s="227"/>
      <c r="CSA275" s="227"/>
      <c r="CSB275" s="227"/>
      <c r="CSC275" s="227"/>
      <c r="CSD275" s="227"/>
      <c r="CSE275" s="227"/>
      <c r="CSF275" s="227"/>
      <c r="CSG275" s="227"/>
      <c r="CSH275" s="227"/>
      <c r="CSI275" s="227"/>
      <c r="CSJ275" s="227"/>
      <c r="CSK275" s="227"/>
      <c r="CSL275" s="227"/>
      <c r="CSM275" s="227"/>
      <c r="CSN275" s="227"/>
      <c r="CSO275" s="227"/>
      <c r="CSP275" s="227"/>
      <c r="CSQ275" s="227"/>
      <c r="CSR275" s="227"/>
      <c r="CSS275" s="227"/>
      <c r="CST275" s="227"/>
      <c r="CSU275" s="227"/>
      <c r="CSV275" s="227"/>
      <c r="CSW275" s="227"/>
      <c r="CSX275" s="227"/>
      <c r="CSY275" s="227"/>
      <c r="CSZ275" s="227"/>
      <c r="CTA275" s="227"/>
      <c r="CTB275" s="227"/>
      <c r="CTC275" s="227"/>
      <c r="CTD275" s="227"/>
      <c r="CTE275" s="227"/>
      <c r="CTF275" s="227"/>
      <c r="CTG275" s="227"/>
      <c r="CTH275" s="227"/>
      <c r="CTI275" s="227"/>
      <c r="CTJ275" s="227"/>
      <c r="CTK275" s="227"/>
      <c r="CTL275" s="227"/>
      <c r="CTM275" s="227"/>
      <c r="CTN275" s="227"/>
      <c r="CTO275" s="227"/>
      <c r="CTP275" s="227"/>
      <c r="CTQ275" s="227"/>
      <c r="CTR275" s="227"/>
      <c r="CTS275" s="227"/>
      <c r="CTT275" s="227"/>
      <c r="CTU275" s="227"/>
      <c r="CTV275" s="227"/>
      <c r="CTW275" s="227"/>
      <c r="CTX275" s="227"/>
      <c r="CTY275" s="227"/>
      <c r="CTZ275" s="227"/>
      <c r="CUA275" s="227"/>
      <c r="CUB275" s="227"/>
      <c r="CUC275" s="227"/>
      <c r="CUD275" s="227"/>
      <c r="CUE275" s="227"/>
      <c r="CUF275" s="227"/>
      <c r="CUG275" s="227"/>
      <c r="CUH275" s="227"/>
      <c r="CUI275" s="227"/>
      <c r="CUJ275" s="227"/>
      <c r="CUK275" s="227"/>
      <c r="CUL275" s="227"/>
      <c r="CUM275" s="227"/>
      <c r="CUN275" s="227"/>
      <c r="CUO275" s="227"/>
      <c r="CUP275" s="227"/>
      <c r="CUQ275" s="227"/>
      <c r="CUR275" s="227"/>
      <c r="CUS275" s="227"/>
      <c r="CUT275" s="227"/>
      <c r="CUU275" s="227"/>
      <c r="CUV275" s="227"/>
      <c r="CUW275" s="227"/>
      <c r="CUX275" s="227"/>
      <c r="CUY275" s="227"/>
      <c r="CUZ275" s="227"/>
      <c r="CVA275" s="227"/>
      <c r="CVB275" s="227"/>
      <c r="CVC275" s="227"/>
      <c r="CVD275" s="227"/>
      <c r="CVE275" s="227"/>
      <c r="CVF275" s="227"/>
      <c r="CVG275" s="227"/>
      <c r="CVH275" s="227"/>
      <c r="CVI275" s="227"/>
      <c r="CVJ275" s="227"/>
      <c r="CVK275" s="227"/>
      <c r="CVL275" s="227"/>
      <c r="CVM275" s="227"/>
      <c r="CVN275" s="227"/>
      <c r="CVO275" s="227"/>
      <c r="CVP275" s="227"/>
      <c r="CVQ275" s="227"/>
      <c r="CVR275" s="227"/>
      <c r="CVS275" s="227"/>
      <c r="CVT275" s="227"/>
      <c r="CVU275" s="227"/>
      <c r="CVV275" s="227"/>
      <c r="CVW275" s="227"/>
      <c r="CVX275" s="227"/>
      <c r="CVY275" s="227"/>
      <c r="CVZ275" s="227"/>
      <c r="CWA275" s="227"/>
      <c r="CWB275" s="227"/>
      <c r="CWC275" s="227"/>
      <c r="CWD275" s="227"/>
      <c r="CWE275" s="227"/>
      <c r="CWF275" s="227"/>
      <c r="CWG275" s="227"/>
      <c r="CWH275" s="227"/>
      <c r="CWI275" s="227"/>
      <c r="CWJ275" s="227"/>
      <c r="CWK275" s="227"/>
      <c r="CWL275" s="227"/>
      <c r="CWM275" s="227"/>
      <c r="CWN275" s="227"/>
      <c r="CWO275" s="227"/>
      <c r="CWP275" s="227"/>
      <c r="CWQ275" s="227"/>
      <c r="CWR275" s="227"/>
      <c r="CWS275" s="227"/>
      <c r="CWT275" s="227"/>
      <c r="CWU275" s="227"/>
      <c r="CWV275" s="227"/>
      <c r="CWW275" s="227"/>
      <c r="CWX275" s="227"/>
      <c r="CWY275" s="227"/>
      <c r="CWZ275" s="227"/>
      <c r="CXA275" s="227"/>
      <c r="CXB275" s="227"/>
      <c r="CXC275" s="227"/>
      <c r="CXD275" s="227"/>
      <c r="CXE275" s="227"/>
      <c r="CXF275" s="227"/>
      <c r="CXG275" s="227"/>
      <c r="CXH275" s="227"/>
      <c r="CXI275" s="227"/>
      <c r="CXJ275" s="227"/>
      <c r="CXK275" s="227"/>
      <c r="CXL275" s="227"/>
      <c r="CXM275" s="227"/>
      <c r="CXN275" s="227"/>
      <c r="CXO275" s="227"/>
      <c r="CXP275" s="227"/>
      <c r="CXQ275" s="227"/>
      <c r="CXR275" s="227"/>
      <c r="CXS275" s="227"/>
      <c r="CXT275" s="227"/>
      <c r="CXU275" s="227"/>
      <c r="CXV275" s="227"/>
      <c r="CXW275" s="227"/>
      <c r="CXX275" s="227"/>
      <c r="CXY275" s="227"/>
      <c r="CXZ275" s="227"/>
      <c r="CYA275" s="227"/>
      <c r="CYB275" s="227"/>
      <c r="CYC275" s="227"/>
      <c r="CYD275" s="227"/>
      <c r="CYE275" s="227"/>
      <c r="CYF275" s="227"/>
      <c r="CYG275" s="227"/>
      <c r="CYH275" s="227"/>
      <c r="CYI275" s="227"/>
      <c r="CYJ275" s="227"/>
      <c r="CYK275" s="227"/>
      <c r="CYL275" s="227"/>
      <c r="CYM275" s="227"/>
      <c r="CYN275" s="227"/>
      <c r="CYO275" s="227"/>
      <c r="CYP275" s="227"/>
      <c r="CYQ275" s="227"/>
      <c r="CYR275" s="227"/>
      <c r="CYS275" s="227"/>
      <c r="CYT275" s="227"/>
      <c r="CYU275" s="227"/>
      <c r="CYV275" s="227"/>
      <c r="CYW275" s="227"/>
      <c r="CYX275" s="227"/>
      <c r="CYY275" s="227"/>
      <c r="CYZ275" s="227"/>
      <c r="CZA275" s="227"/>
      <c r="CZB275" s="227"/>
      <c r="CZC275" s="227"/>
      <c r="CZD275" s="227"/>
      <c r="CZE275" s="227"/>
      <c r="CZF275" s="227"/>
      <c r="CZG275" s="227"/>
      <c r="CZH275" s="227"/>
      <c r="CZI275" s="227"/>
      <c r="CZJ275" s="227"/>
      <c r="CZK275" s="227"/>
      <c r="CZL275" s="227"/>
      <c r="CZM275" s="227"/>
      <c r="CZN275" s="227"/>
      <c r="CZO275" s="227"/>
      <c r="CZP275" s="227"/>
      <c r="CZQ275" s="227"/>
      <c r="CZR275" s="227"/>
      <c r="CZS275" s="227"/>
      <c r="CZT275" s="227"/>
      <c r="CZU275" s="227"/>
      <c r="CZV275" s="227"/>
      <c r="CZW275" s="227"/>
      <c r="CZX275" s="227"/>
      <c r="CZY275" s="227"/>
      <c r="CZZ275" s="227"/>
      <c r="DAA275" s="227"/>
      <c r="DAB275" s="227"/>
      <c r="DAC275" s="227"/>
      <c r="DAD275" s="227"/>
      <c r="DAE275" s="227"/>
      <c r="DAF275" s="227"/>
      <c r="DAG275" s="227"/>
      <c r="DAH275" s="227"/>
      <c r="DAI275" s="227"/>
      <c r="DAJ275" s="227"/>
      <c r="DAK275" s="227"/>
      <c r="DAL275" s="227"/>
      <c r="DAM275" s="227"/>
      <c r="DAN275" s="227"/>
      <c r="DAO275" s="227"/>
      <c r="DAP275" s="227"/>
      <c r="DAQ275" s="227"/>
      <c r="DAR275" s="227"/>
      <c r="DAS275" s="227"/>
      <c r="DAT275" s="227"/>
      <c r="DAU275" s="227"/>
      <c r="DAV275" s="227"/>
      <c r="DAW275" s="227"/>
      <c r="DAX275" s="227"/>
      <c r="DAY275" s="227"/>
      <c r="DAZ275" s="227"/>
      <c r="DBA275" s="227"/>
      <c r="DBB275" s="227"/>
      <c r="DBC275" s="227"/>
      <c r="DBD275" s="227"/>
      <c r="DBE275" s="227"/>
      <c r="DBF275" s="227"/>
      <c r="DBG275" s="227"/>
      <c r="DBH275" s="227"/>
      <c r="DBI275" s="227"/>
      <c r="DBJ275" s="227"/>
      <c r="DBK275" s="227"/>
      <c r="DBL275" s="227"/>
      <c r="DBM275" s="227"/>
      <c r="DBN275" s="227"/>
      <c r="DBO275" s="227"/>
      <c r="DBP275" s="227"/>
      <c r="DBQ275" s="227"/>
      <c r="DBR275" s="227"/>
      <c r="DBS275" s="227"/>
      <c r="DBT275" s="227"/>
      <c r="DBU275" s="227"/>
      <c r="DBV275" s="227"/>
      <c r="DBW275" s="227"/>
      <c r="DBX275" s="227"/>
      <c r="DBY275" s="227"/>
      <c r="DBZ275" s="227"/>
      <c r="DCA275" s="227"/>
      <c r="DCB275" s="227"/>
      <c r="DCC275" s="227"/>
      <c r="DCD275" s="227"/>
      <c r="DCE275" s="227"/>
      <c r="DCF275" s="227"/>
      <c r="DCG275" s="227"/>
      <c r="DCH275" s="227"/>
      <c r="DCI275" s="227"/>
      <c r="DCJ275" s="227"/>
      <c r="DCK275" s="227"/>
      <c r="DCL275" s="227"/>
      <c r="DCM275" s="227"/>
      <c r="DCN275" s="227"/>
      <c r="DCO275" s="227"/>
      <c r="DCP275" s="227"/>
      <c r="DCQ275" s="227"/>
      <c r="DCR275" s="227"/>
      <c r="DCS275" s="227"/>
      <c r="DCT275" s="227"/>
      <c r="DCU275" s="227"/>
      <c r="DCV275" s="227"/>
      <c r="DCW275" s="227"/>
      <c r="DCX275" s="227"/>
      <c r="DCY275" s="227"/>
      <c r="DCZ275" s="227"/>
      <c r="DDA275" s="227"/>
      <c r="DDB275" s="227"/>
      <c r="DDC275" s="227"/>
      <c r="DDD275" s="227"/>
      <c r="DDE275" s="227"/>
      <c r="DDF275" s="227"/>
      <c r="DDG275" s="227"/>
      <c r="DDH275" s="227"/>
      <c r="DDI275" s="227"/>
      <c r="DDJ275" s="227"/>
      <c r="DDK275" s="227"/>
      <c r="DDL275" s="227"/>
      <c r="DDM275" s="227"/>
      <c r="DDN275" s="227"/>
      <c r="DDO275" s="227"/>
      <c r="DDP275" s="227"/>
      <c r="DDQ275" s="227"/>
      <c r="DDR275" s="227"/>
      <c r="DDS275" s="227"/>
      <c r="DDT275" s="227"/>
      <c r="DDU275" s="227"/>
      <c r="DDV275" s="227"/>
      <c r="DDW275" s="227"/>
      <c r="DDX275" s="227"/>
      <c r="DDY275" s="227"/>
      <c r="DDZ275" s="227"/>
      <c r="DEA275" s="227"/>
      <c r="DEB275" s="227"/>
      <c r="DEC275" s="227"/>
      <c r="DED275" s="227"/>
      <c r="DEE275" s="227"/>
      <c r="DEF275" s="227"/>
      <c r="DEG275" s="227"/>
      <c r="DEH275" s="227"/>
      <c r="DEI275" s="227"/>
      <c r="DEJ275" s="227"/>
      <c r="DEK275" s="227"/>
      <c r="DEL275" s="227"/>
      <c r="DEM275" s="227"/>
      <c r="DEN275" s="227"/>
      <c r="DEO275" s="227"/>
      <c r="DEP275" s="227"/>
      <c r="DEQ275" s="227"/>
      <c r="DER275" s="227"/>
      <c r="DES275" s="227"/>
      <c r="DET275" s="227"/>
      <c r="DEU275" s="227"/>
      <c r="DEV275" s="227"/>
      <c r="DEW275" s="227"/>
      <c r="DEX275" s="227"/>
      <c r="DEY275" s="227"/>
      <c r="DEZ275" s="227"/>
      <c r="DFA275" s="227"/>
      <c r="DFB275" s="227"/>
      <c r="DFC275" s="227"/>
      <c r="DFD275" s="227"/>
      <c r="DFE275" s="227"/>
      <c r="DFF275" s="227"/>
      <c r="DFG275" s="227"/>
      <c r="DFH275" s="227"/>
      <c r="DFI275" s="227"/>
      <c r="DFJ275" s="227"/>
      <c r="DFK275" s="227"/>
      <c r="DFL275" s="227"/>
      <c r="DFM275" s="227"/>
      <c r="DFN275" s="227"/>
      <c r="DFO275" s="227"/>
      <c r="DFP275" s="227"/>
      <c r="DFQ275" s="227"/>
      <c r="DFR275" s="227"/>
      <c r="DFS275" s="227"/>
      <c r="DFT275" s="227"/>
      <c r="DFU275" s="227"/>
      <c r="DFV275" s="227"/>
      <c r="DFW275" s="227"/>
      <c r="DFX275" s="227"/>
      <c r="DFY275" s="227"/>
      <c r="DFZ275" s="227"/>
      <c r="DGA275" s="227"/>
      <c r="DGB275" s="227"/>
      <c r="DGC275" s="227"/>
      <c r="DGD275" s="227"/>
      <c r="DGE275" s="227"/>
      <c r="DGF275" s="227"/>
      <c r="DGG275" s="227"/>
      <c r="DGH275" s="227"/>
      <c r="DGI275" s="227"/>
      <c r="DGJ275" s="227"/>
      <c r="DGK275" s="227"/>
      <c r="DGL275" s="227"/>
      <c r="DGM275" s="227"/>
      <c r="DGN275" s="227"/>
      <c r="DGO275" s="227"/>
      <c r="DGP275" s="227"/>
      <c r="DGQ275" s="227"/>
      <c r="DGR275" s="227"/>
      <c r="DGS275" s="227"/>
      <c r="DGT275" s="227"/>
      <c r="DGU275" s="227"/>
      <c r="DGV275" s="227"/>
      <c r="DGW275" s="227"/>
      <c r="DGX275" s="227"/>
      <c r="DGY275" s="227"/>
      <c r="DGZ275" s="227"/>
      <c r="DHA275" s="227"/>
      <c r="DHB275" s="227"/>
      <c r="DHC275" s="227"/>
      <c r="DHD275" s="227"/>
      <c r="DHE275" s="227"/>
      <c r="DHF275" s="227"/>
      <c r="DHG275" s="227"/>
      <c r="DHH275" s="227"/>
      <c r="DHI275" s="227"/>
      <c r="DHJ275" s="227"/>
      <c r="DHK275" s="227"/>
      <c r="DHL275" s="227"/>
      <c r="DHM275" s="227"/>
      <c r="DHN275" s="227"/>
      <c r="DHO275" s="227"/>
      <c r="DHP275" s="227"/>
      <c r="DHQ275" s="227"/>
      <c r="DHR275" s="227"/>
      <c r="DHS275" s="227"/>
      <c r="DHT275" s="227"/>
      <c r="DHU275" s="227"/>
      <c r="DHV275" s="227"/>
      <c r="DHW275" s="227"/>
      <c r="DHX275" s="227"/>
      <c r="DHY275" s="227"/>
      <c r="DHZ275" s="227"/>
      <c r="DIA275" s="227"/>
      <c r="DIB275" s="227"/>
      <c r="DIC275" s="227"/>
      <c r="DID275" s="227"/>
      <c r="DIE275" s="227"/>
      <c r="DIF275" s="227"/>
      <c r="DIG275" s="227"/>
      <c r="DIH275" s="227"/>
      <c r="DII275" s="227"/>
      <c r="DIJ275" s="227"/>
      <c r="DIK275" s="227"/>
      <c r="DIL275" s="227"/>
      <c r="DIM275" s="227"/>
      <c r="DIN275" s="227"/>
      <c r="DIO275" s="227"/>
      <c r="DIP275" s="227"/>
      <c r="DIQ275" s="227"/>
      <c r="DIR275" s="227"/>
      <c r="DIS275" s="227"/>
      <c r="DIT275" s="227"/>
      <c r="DIU275" s="227"/>
      <c r="DIV275" s="227"/>
      <c r="DIW275" s="227"/>
      <c r="DIX275" s="227"/>
      <c r="DIY275" s="227"/>
      <c r="DIZ275" s="227"/>
      <c r="DJA275" s="227"/>
      <c r="DJB275" s="227"/>
      <c r="DJC275" s="227"/>
      <c r="DJD275" s="227"/>
      <c r="DJE275" s="227"/>
      <c r="DJF275" s="227"/>
      <c r="DJG275" s="227"/>
      <c r="DJH275" s="227"/>
      <c r="DJI275" s="227"/>
      <c r="DJJ275" s="227"/>
      <c r="DJK275" s="227"/>
      <c r="DJL275" s="227"/>
      <c r="DJM275" s="227"/>
      <c r="DJN275" s="227"/>
      <c r="DJO275" s="227"/>
      <c r="DJP275" s="227"/>
      <c r="DJQ275" s="227"/>
      <c r="DJR275" s="227"/>
      <c r="DJS275" s="227"/>
      <c r="DJT275" s="227"/>
      <c r="DJU275" s="227"/>
      <c r="DJV275" s="227"/>
      <c r="DJW275" s="227"/>
      <c r="DJX275" s="227"/>
      <c r="DJY275" s="227"/>
      <c r="DJZ275" s="227"/>
      <c r="DKA275" s="227"/>
      <c r="DKB275" s="227"/>
      <c r="DKC275" s="227"/>
      <c r="DKD275" s="227"/>
      <c r="DKE275" s="227"/>
      <c r="DKF275" s="227"/>
      <c r="DKG275" s="227"/>
      <c r="DKH275" s="227"/>
      <c r="DKI275" s="227"/>
      <c r="DKJ275" s="227"/>
      <c r="DKK275" s="227"/>
      <c r="DKL275" s="227"/>
      <c r="DKM275" s="227"/>
      <c r="DKN275" s="227"/>
      <c r="DKO275" s="227"/>
      <c r="DKP275" s="227"/>
      <c r="DKQ275" s="227"/>
      <c r="DKR275" s="227"/>
      <c r="DKS275" s="227"/>
      <c r="DKT275" s="227"/>
      <c r="DKU275" s="227"/>
      <c r="DKV275" s="227"/>
      <c r="DKW275" s="227"/>
      <c r="DKX275" s="227"/>
      <c r="DKY275" s="227"/>
      <c r="DKZ275" s="227"/>
      <c r="DLA275" s="227"/>
      <c r="DLB275" s="227"/>
      <c r="DLC275" s="227"/>
      <c r="DLD275" s="227"/>
      <c r="DLE275" s="227"/>
      <c r="DLF275" s="227"/>
      <c r="DLG275" s="227"/>
      <c r="DLH275" s="227"/>
      <c r="DLI275" s="227"/>
      <c r="DLJ275" s="227"/>
      <c r="DLK275" s="227"/>
      <c r="DLL275" s="227"/>
      <c r="DLM275" s="227"/>
      <c r="DLN275" s="227"/>
      <c r="DLO275" s="227"/>
      <c r="DLP275" s="227"/>
      <c r="DLQ275" s="227"/>
      <c r="DLR275" s="227"/>
      <c r="DLS275" s="227"/>
      <c r="DLT275" s="227"/>
      <c r="DLU275" s="227"/>
      <c r="DLV275" s="227"/>
      <c r="DLW275" s="227"/>
      <c r="DLX275" s="227"/>
      <c r="DLY275" s="227"/>
      <c r="DLZ275" s="227"/>
      <c r="DMA275" s="227"/>
      <c r="DMB275" s="227"/>
      <c r="DMC275" s="227"/>
      <c r="DMD275" s="227"/>
      <c r="DME275" s="227"/>
      <c r="DMF275" s="227"/>
      <c r="DMG275" s="227"/>
      <c r="DMH275" s="227"/>
      <c r="DMI275" s="227"/>
      <c r="DMJ275" s="227"/>
      <c r="DMK275" s="227"/>
      <c r="DML275" s="227"/>
      <c r="DMM275" s="227"/>
      <c r="DMN275" s="227"/>
      <c r="DMO275" s="227"/>
      <c r="DMP275" s="227"/>
      <c r="DMQ275" s="227"/>
      <c r="DMR275" s="227"/>
      <c r="DMS275" s="227"/>
      <c r="DMT275" s="227"/>
      <c r="DMU275" s="227"/>
      <c r="DMV275" s="227"/>
      <c r="DMW275" s="227"/>
      <c r="DMX275" s="227"/>
      <c r="DMY275" s="227"/>
      <c r="DMZ275" s="227"/>
      <c r="DNA275" s="227"/>
      <c r="DNB275" s="227"/>
      <c r="DNC275" s="227"/>
      <c r="DND275" s="227"/>
      <c r="DNE275" s="227"/>
      <c r="DNF275" s="227"/>
      <c r="DNG275" s="227"/>
      <c r="DNH275" s="227"/>
      <c r="DNI275" s="227"/>
      <c r="DNJ275" s="227"/>
      <c r="DNK275" s="227"/>
      <c r="DNL275" s="227"/>
      <c r="DNM275" s="227"/>
      <c r="DNN275" s="227"/>
      <c r="DNO275" s="227"/>
      <c r="DNP275" s="227"/>
      <c r="DNQ275" s="227"/>
      <c r="DNR275" s="227"/>
      <c r="DNS275" s="227"/>
      <c r="DNT275" s="227"/>
      <c r="DNU275" s="227"/>
      <c r="DNV275" s="227"/>
      <c r="DNW275" s="227"/>
      <c r="DNX275" s="227"/>
      <c r="DNY275" s="227"/>
      <c r="DNZ275" s="227"/>
      <c r="DOA275" s="227"/>
      <c r="DOB275" s="227"/>
      <c r="DOC275" s="227"/>
      <c r="DOD275" s="227"/>
      <c r="DOE275" s="227"/>
      <c r="DOF275" s="227"/>
      <c r="DOG275" s="227"/>
      <c r="DOH275" s="227"/>
      <c r="DOI275" s="227"/>
      <c r="DOJ275" s="227"/>
      <c r="DOK275" s="227"/>
      <c r="DOL275" s="227"/>
      <c r="DOM275" s="227"/>
      <c r="DON275" s="227"/>
      <c r="DOO275" s="227"/>
      <c r="DOP275" s="227"/>
      <c r="DOQ275" s="227"/>
      <c r="DOR275" s="227"/>
      <c r="DOS275" s="227"/>
      <c r="DOT275" s="227"/>
      <c r="DOU275" s="227"/>
      <c r="DOV275" s="227"/>
      <c r="DOW275" s="227"/>
      <c r="DOX275" s="227"/>
      <c r="DOY275" s="227"/>
      <c r="DOZ275" s="227"/>
      <c r="DPA275" s="227"/>
      <c r="DPB275" s="227"/>
      <c r="DPC275" s="227"/>
      <c r="DPD275" s="227"/>
      <c r="DPE275" s="227"/>
      <c r="DPF275" s="227"/>
      <c r="DPG275" s="227"/>
      <c r="DPH275" s="227"/>
      <c r="DPI275" s="227"/>
      <c r="DPJ275" s="227"/>
      <c r="DPK275" s="227"/>
      <c r="DPL275" s="227"/>
      <c r="DPM275" s="227"/>
      <c r="DPN275" s="227"/>
      <c r="DPO275" s="227"/>
      <c r="DPP275" s="227"/>
      <c r="DPQ275" s="227"/>
      <c r="DPR275" s="227"/>
      <c r="DPS275" s="227"/>
      <c r="DPT275" s="227"/>
      <c r="DPU275" s="227"/>
      <c r="DPV275" s="227"/>
      <c r="DPW275" s="227"/>
      <c r="DPX275" s="227"/>
      <c r="DPY275" s="227"/>
      <c r="DPZ275" s="227"/>
      <c r="DQA275" s="227"/>
      <c r="DQB275" s="227"/>
      <c r="DQC275" s="227"/>
      <c r="DQD275" s="227"/>
      <c r="DQE275" s="227"/>
      <c r="DQF275" s="227"/>
      <c r="DQG275" s="227"/>
      <c r="DQH275" s="227"/>
      <c r="DQI275" s="227"/>
      <c r="DQJ275" s="227"/>
      <c r="DQK275" s="227"/>
      <c r="DQL275" s="227"/>
      <c r="DQM275" s="227"/>
      <c r="DQN275" s="227"/>
      <c r="DQO275" s="227"/>
      <c r="DQP275" s="227"/>
      <c r="DQQ275" s="227"/>
      <c r="DQR275" s="227"/>
      <c r="DQS275" s="227"/>
      <c r="DQT275" s="227"/>
      <c r="DQU275" s="227"/>
      <c r="DQV275" s="227"/>
      <c r="DQW275" s="227"/>
      <c r="DQX275" s="227"/>
      <c r="DQY275" s="227"/>
      <c r="DQZ275" s="227"/>
      <c r="DRA275" s="227"/>
      <c r="DRB275" s="227"/>
      <c r="DRC275" s="227"/>
      <c r="DRD275" s="227"/>
      <c r="DRE275" s="227"/>
      <c r="DRF275" s="227"/>
      <c r="DRG275" s="227"/>
      <c r="DRH275" s="227"/>
      <c r="DRI275" s="227"/>
      <c r="DRJ275" s="227"/>
      <c r="DRK275" s="227"/>
      <c r="DRL275" s="227"/>
      <c r="DRM275" s="227"/>
      <c r="DRN275" s="227"/>
      <c r="DRO275" s="227"/>
      <c r="DRP275" s="227"/>
      <c r="DRQ275" s="227"/>
      <c r="DRR275" s="227"/>
      <c r="DRS275" s="227"/>
      <c r="DRT275" s="227"/>
      <c r="DRU275" s="227"/>
      <c r="DRV275" s="227"/>
      <c r="DRW275" s="227"/>
      <c r="DRX275" s="227"/>
      <c r="DRY275" s="227"/>
      <c r="DRZ275" s="227"/>
      <c r="DSA275" s="227"/>
      <c r="DSB275" s="227"/>
      <c r="DSC275" s="227"/>
      <c r="DSD275" s="227"/>
      <c r="DSE275" s="227"/>
      <c r="DSF275" s="227"/>
      <c r="DSG275" s="227"/>
      <c r="DSH275" s="227"/>
      <c r="DSI275" s="227"/>
      <c r="DSJ275" s="227"/>
      <c r="DSK275" s="227"/>
      <c r="DSL275" s="227"/>
      <c r="DSM275" s="227"/>
      <c r="DSN275" s="227"/>
      <c r="DSO275" s="227"/>
      <c r="DSP275" s="227"/>
      <c r="DSQ275" s="227"/>
      <c r="DSR275" s="227"/>
      <c r="DSS275" s="227"/>
      <c r="DST275" s="227"/>
      <c r="DSU275" s="227"/>
      <c r="DSV275" s="227"/>
      <c r="DSW275" s="227"/>
      <c r="DSX275" s="227"/>
      <c r="DSY275" s="227"/>
      <c r="DSZ275" s="227"/>
      <c r="DTA275" s="227"/>
      <c r="DTB275" s="227"/>
      <c r="DTC275" s="227"/>
      <c r="DTD275" s="227"/>
      <c r="DTE275" s="227"/>
      <c r="DTF275" s="227"/>
      <c r="DTG275" s="227"/>
      <c r="DTH275" s="227"/>
      <c r="DTI275" s="227"/>
      <c r="DTJ275" s="227"/>
      <c r="DTK275" s="227"/>
      <c r="DTL275" s="227"/>
      <c r="DTM275" s="227"/>
      <c r="DTN275" s="227"/>
      <c r="DTO275" s="227"/>
      <c r="DTP275" s="227"/>
      <c r="DTQ275" s="227"/>
      <c r="DTR275" s="227"/>
      <c r="DTS275" s="227"/>
      <c r="DTT275" s="227"/>
      <c r="DTU275" s="227"/>
      <c r="DTV275" s="227"/>
      <c r="DTW275" s="227"/>
      <c r="DTX275" s="227"/>
      <c r="DTY275" s="227"/>
      <c r="DTZ275" s="227"/>
      <c r="DUA275" s="227"/>
      <c r="DUB275" s="227"/>
      <c r="DUC275" s="227"/>
      <c r="DUD275" s="227"/>
      <c r="DUE275" s="227"/>
      <c r="DUF275" s="227"/>
      <c r="DUG275" s="227"/>
      <c r="DUH275" s="227"/>
      <c r="DUI275" s="227"/>
      <c r="DUJ275" s="227"/>
      <c r="DUK275" s="227"/>
      <c r="DUL275" s="227"/>
      <c r="DUM275" s="227"/>
      <c r="DUN275" s="227"/>
      <c r="DUO275" s="227"/>
      <c r="DUP275" s="227"/>
      <c r="DUQ275" s="227"/>
      <c r="DUR275" s="227"/>
      <c r="DUS275" s="227"/>
      <c r="DUT275" s="227"/>
      <c r="DUU275" s="227"/>
      <c r="DUV275" s="227"/>
      <c r="DUW275" s="227"/>
      <c r="DUX275" s="227"/>
      <c r="DUY275" s="227"/>
      <c r="DUZ275" s="227"/>
      <c r="DVA275" s="227"/>
      <c r="DVB275" s="227"/>
      <c r="DVC275" s="227"/>
      <c r="DVD275" s="227"/>
      <c r="DVE275" s="227"/>
      <c r="DVF275" s="227"/>
      <c r="DVG275" s="227"/>
      <c r="DVH275" s="227"/>
      <c r="DVI275" s="227"/>
      <c r="DVJ275" s="227"/>
      <c r="DVK275" s="227"/>
      <c r="DVL275" s="227"/>
      <c r="DVM275" s="227"/>
      <c r="DVN275" s="227"/>
      <c r="DVO275" s="227"/>
      <c r="DVP275" s="227"/>
      <c r="DVQ275" s="227"/>
      <c r="DVR275" s="227"/>
      <c r="DVS275" s="227"/>
      <c r="DVT275" s="227"/>
      <c r="DVU275" s="227"/>
      <c r="DVV275" s="227"/>
      <c r="DVW275" s="227"/>
      <c r="DVX275" s="227"/>
      <c r="DVY275" s="227"/>
      <c r="DVZ275" s="227"/>
      <c r="DWA275" s="227"/>
      <c r="DWB275" s="227"/>
      <c r="DWC275" s="227"/>
      <c r="DWD275" s="227"/>
      <c r="DWE275" s="227"/>
      <c r="DWF275" s="227"/>
      <c r="DWG275" s="227"/>
      <c r="DWH275" s="227"/>
      <c r="DWI275" s="227"/>
      <c r="DWJ275" s="227"/>
      <c r="DWK275" s="227"/>
      <c r="DWL275" s="227"/>
      <c r="DWM275" s="227"/>
      <c r="DWN275" s="227"/>
      <c r="DWO275" s="227"/>
      <c r="DWP275" s="227"/>
      <c r="DWQ275" s="227"/>
      <c r="DWR275" s="227"/>
      <c r="DWS275" s="227"/>
      <c r="DWT275" s="227"/>
      <c r="DWU275" s="227"/>
      <c r="DWV275" s="227"/>
      <c r="DWW275" s="227"/>
      <c r="DWX275" s="227"/>
      <c r="DWY275" s="227"/>
      <c r="DWZ275" s="227"/>
      <c r="DXA275" s="227"/>
      <c r="DXB275" s="227"/>
      <c r="DXC275" s="227"/>
      <c r="DXD275" s="227"/>
      <c r="DXE275" s="227"/>
      <c r="DXF275" s="227"/>
      <c r="DXG275" s="227"/>
      <c r="DXH275" s="227"/>
      <c r="DXI275" s="227"/>
      <c r="DXJ275" s="227"/>
      <c r="DXK275" s="227"/>
      <c r="DXL275" s="227"/>
      <c r="DXM275" s="227"/>
      <c r="DXN275" s="227"/>
      <c r="DXO275" s="227"/>
      <c r="DXP275" s="227"/>
      <c r="DXQ275" s="227"/>
      <c r="DXR275" s="227"/>
      <c r="DXS275" s="227"/>
      <c r="DXT275" s="227"/>
      <c r="DXU275" s="227"/>
      <c r="DXV275" s="227"/>
      <c r="DXW275" s="227"/>
      <c r="DXX275" s="227"/>
      <c r="DXY275" s="227"/>
      <c r="DXZ275" s="227"/>
      <c r="DYA275" s="227"/>
      <c r="DYB275" s="227"/>
      <c r="DYC275" s="227"/>
      <c r="DYD275" s="227"/>
      <c r="DYE275" s="227"/>
      <c r="DYF275" s="227"/>
      <c r="DYG275" s="227"/>
      <c r="DYH275" s="227"/>
      <c r="DYI275" s="227"/>
      <c r="DYJ275" s="227"/>
      <c r="DYK275" s="227"/>
      <c r="DYL275" s="227"/>
      <c r="DYM275" s="227"/>
      <c r="DYN275" s="227"/>
      <c r="DYO275" s="227"/>
      <c r="DYP275" s="227"/>
      <c r="DYQ275" s="227"/>
      <c r="DYR275" s="227"/>
      <c r="DYS275" s="227"/>
      <c r="DYT275" s="227"/>
      <c r="DYU275" s="227"/>
      <c r="DYV275" s="227"/>
      <c r="DYW275" s="227"/>
      <c r="DYX275" s="227"/>
      <c r="DYY275" s="227"/>
      <c r="DYZ275" s="227"/>
      <c r="DZA275" s="227"/>
      <c r="DZB275" s="227"/>
      <c r="DZC275" s="227"/>
      <c r="DZD275" s="227"/>
      <c r="DZE275" s="227"/>
      <c r="DZF275" s="227"/>
      <c r="DZG275" s="227"/>
      <c r="DZH275" s="227"/>
      <c r="DZI275" s="227"/>
      <c r="DZJ275" s="227"/>
      <c r="DZK275" s="227"/>
      <c r="DZL275" s="227"/>
      <c r="DZM275" s="227"/>
      <c r="DZN275" s="227"/>
      <c r="DZO275" s="227"/>
      <c r="DZP275" s="227"/>
      <c r="DZQ275" s="227"/>
      <c r="DZR275" s="227"/>
      <c r="DZS275" s="227"/>
      <c r="DZT275" s="227"/>
      <c r="DZU275" s="227"/>
      <c r="DZV275" s="227"/>
      <c r="DZW275" s="227"/>
      <c r="DZX275" s="227"/>
      <c r="DZY275" s="227"/>
      <c r="DZZ275" s="227"/>
      <c r="EAA275" s="227"/>
      <c r="EAB275" s="227"/>
      <c r="EAC275" s="227"/>
      <c r="EAD275" s="227"/>
      <c r="EAE275" s="227"/>
      <c r="EAF275" s="227"/>
      <c r="EAG275" s="227"/>
      <c r="EAH275" s="227"/>
      <c r="EAI275" s="227"/>
      <c r="EAJ275" s="227"/>
      <c r="EAK275" s="227"/>
      <c r="EAL275" s="227"/>
      <c r="EAM275" s="227"/>
      <c r="EAN275" s="227"/>
      <c r="EAO275" s="227"/>
      <c r="EAP275" s="227"/>
      <c r="EAQ275" s="227"/>
      <c r="EAR275" s="227"/>
      <c r="EAS275" s="227"/>
      <c r="EAT275" s="227"/>
      <c r="EAU275" s="227"/>
      <c r="EAV275" s="227"/>
      <c r="EAW275" s="227"/>
      <c r="EAX275" s="227"/>
      <c r="EAY275" s="227"/>
      <c r="EAZ275" s="227"/>
      <c r="EBA275" s="227"/>
      <c r="EBB275" s="227"/>
      <c r="EBC275" s="227"/>
      <c r="EBD275" s="227"/>
      <c r="EBE275" s="227"/>
      <c r="EBF275" s="227"/>
      <c r="EBG275" s="227"/>
      <c r="EBH275" s="227"/>
      <c r="EBI275" s="227"/>
      <c r="EBJ275" s="227"/>
      <c r="EBK275" s="227"/>
      <c r="EBL275" s="227"/>
      <c r="EBM275" s="227"/>
      <c r="EBN275" s="227"/>
      <c r="EBO275" s="227"/>
      <c r="EBP275" s="227"/>
      <c r="EBQ275" s="227"/>
      <c r="EBR275" s="227"/>
      <c r="EBS275" s="227"/>
      <c r="EBT275" s="227"/>
      <c r="EBU275" s="227"/>
      <c r="EBV275" s="227"/>
      <c r="EBW275" s="227"/>
      <c r="EBX275" s="227"/>
      <c r="EBY275" s="227"/>
      <c r="EBZ275" s="227"/>
      <c r="ECA275" s="227"/>
      <c r="ECB275" s="227"/>
      <c r="ECC275" s="227"/>
      <c r="ECD275" s="227"/>
      <c r="ECE275" s="227"/>
      <c r="ECF275" s="227"/>
      <c r="ECG275" s="227"/>
      <c r="ECH275" s="227"/>
      <c r="ECI275" s="227"/>
      <c r="ECJ275" s="227"/>
      <c r="ECK275" s="227"/>
      <c r="ECL275" s="227"/>
      <c r="ECM275" s="227"/>
      <c r="ECN275" s="227"/>
      <c r="ECO275" s="227"/>
      <c r="ECP275" s="227"/>
      <c r="ECQ275" s="227"/>
      <c r="ECR275" s="227"/>
      <c r="ECS275" s="227"/>
      <c r="ECT275" s="227"/>
      <c r="ECU275" s="227"/>
      <c r="ECV275" s="227"/>
      <c r="ECW275" s="227"/>
      <c r="ECX275" s="227"/>
      <c r="ECY275" s="227"/>
      <c r="ECZ275" s="227"/>
      <c r="EDA275" s="227"/>
      <c r="EDB275" s="227"/>
      <c r="EDC275" s="227"/>
      <c r="EDD275" s="227"/>
      <c r="EDE275" s="227"/>
      <c r="EDF275" s="227"/>
      <c r="EDG275" s="227"/>
      <c r="EDH275" s="227"/>
      <c r="EDI275" s="227"/>
      <c r="EDJ275" s="227"/>
      <c r="EDK275" s="227"/>
      <c r="EDL275" s="227"/>
      <c r="EDM275" s="227"/>
      <c r="EDN275" s="227"/>
      <c r="EDO275" s="227"/>
      <c r="EDP275" s="227"/>
      <c r="EDQ275" s="227"/>
      <c r="EDR275" s="227"/>
      <c r="EDS275" s="227"/>
      <c r="EDT275" s="227"/>
      <c r="EDU275" s="227"/>
      <c r="EDV275" s="227"/>
      <c r="EDW275" s="227"/>
      <c r="EDX275" s="227"/>
      <c r="EDY275" s="227"/>
      <c r="EDZ275" s="227"/>
      <c r="EEA275" s="227"/>
      <c r="EEB275" s="227"/>
      <c r="EEC275" s="227"/>
      <c r="EED275" s="227"/>
      <c r="EEE275" s="227"/>
      <c r="EEF275" s="227"/>
      <c r="EEG275" s="227"/>
      <c r="EEH275" s="227"/>
      <c r="EEI275" s="227"/>
      <c r="EEJ275" s="227"/>
      <c r="EEK275" s="227"/>
      <c r="EEL275" s="227"/>
      <c r="EEM275" s="227"/>
      <c r="EEN275" s="227"/>
      <c r="EEO275" s="227"/>
      <c r="EEP275" s="227"/>
      <c r="EEQ275" s="227"/>
      <c r="EER275" s="227"/>
      <c r="EES275" s="227"/>
      <c r="EET275" s="227"/>
      <c r="EEU275" s="227"/>
      <c r="EEV275" s="227"/>
      <c r="EEW275" s="227"/>
      <c r="EEX275" s="227"/>
      <c r="EEY275" s="227"/>
      <c r="EEZ275" s="227"/>
      <c r="EFA275" s="227"/>
      <c r="EFB275" s="227"/>
      <c r="EFC275" s="227"/>
      <c r="EFD275" s="227"/>
      <c r="EFE275" s="227"/>
      <c r="EFF275" s="227"/>
      <c r="EFG275" s="227"/>
      <c r="EFH275" s="227"/>
      <c r="EFI275" s="227"/>
      <c r="EFJ275" s="227"/>
      <c r="EFK275" s="227"/>
      <c r="EFL275" s="227"/>
      <c r="EFM275" s="227"/>
      <c r="EFN275" s="227"/>
      <c r="EFO275" s="227"/>
      <c r="EFP275" s="227"/>
      <c r="EFQ275" s="227"/>
      <c r="EFR275" s="227"/>
      <c r="EFS275" s="227"/>
      <c r="EFT275" s="227"/>
      <c r="EFU275" s="227"/>
      <c r="EFV275" s="227"/>
      <c r="EFW275" s="227"/>
      <c r="EFX275" s="227"/>
      <c r="EFY275" s="227"/>
      <c r="EFZ275" s="227"/>
      <c r="EGA275" s="227"/>
      <c r="EGB275" s="227"/>
      <c r="EGC275" s="227"/>
      <c r="EGD275" s="227"/>
      <c r="EGE275" s="227"/>
      <c r="EGF275" s="227"/>
      <c r="EGG275" s="227"/>
      <c r="EGH275" s="227"/>
      <c r="EGI275" s="227"/>
      <c r="EGJ275" s="227"/>
      <c r="EGK275" s="227"/>
      <c r="EGL275" s="227"/>
      <c r="EGM275" s="227"/>
      <c r="EGN275" s="227"/>
      <c r="EGO275" s="227"/>
      <c r="EGP275" s="227"/>
      <c r="EGQ275" s="227"/>
      <c r="EGR275" s="227"/>
      <c r="EGS275" s="227"/>
      <c r="EGT275" s="227"/>
      <c r="EGU275" s="227"/>
      <c r="EGV275" s="227"/>
      <c r="EGW275" s="227"/>
      <c r="EGX275" s="227"/>
      <c r="EGY275" s="227"/>
      <c r="EGZ275" s="227"/>
      <c r="EHA275" s="227"/>
      <c r="EHB275" s="227"/>
      <c r="EHC275" s="227"/>
      <c r="EHD275" s="227"/>
      <c r="EHE275" s="227"/>
      <c r="EHF275" s="227"/>
      <c r="EHG275" s="227"/>
      <c r="EHH275" s="227"/>
      <c r="EHI275" s="227"/>
      <c r="EHJ275" s="227"/>
      <c r="EHK275" s="227"/>
      <c r="EHL275" s="227"/>
      <c r="EHM275" s="227"/>
      <c r="EHN275" s="227"/>
      <c r="EHO275" s="227"/>
      <c r="EHP275" s="227"/>
      <c r="EHQ275" s="227"/>
      <c r="EHR275" s="227"/>
      <c r="EHS275" s="227"/>
      <c r="EHT275" s="227"/>
      <c r="EHU275" s="227"/>
      <c r="EHV275" s="227"/>
      <c r="EHW275" s="227"/>
      <c r="EHX275" s="227"/>
      <c r="EHY275" s="227"/>
      <c r="EHZ275" s="227"/>
      <c r="EIA275" s="227"/>
      <c r="EIB275" s="227"/>
      <c r="EIC275" s="227"/>
      <c r="EID275" s="227"/>
      <c r="EIE275" s="227"/>
      <c r="EIF275" s="227"/>
      <c r="EIG275" s="227"/>
      <c r="EIH275" s="227"/>
      <c r="EII275" s="227"/>
      <c r="EIJ275" s="227"/>
      <c r="EIK275" s="227"/>
      <c r="EIL275" s="227"/>
      <c r="EIM275" s="227"/>
      <c r="EIN275" s="227"/>
      <c r="EIO275" s="227"/>
      <c r="EIP275" s="227"/>
      <c r="EIQ275" s="227"/>
      <c r="EIR275" s="227"/>
      <c r="EIS275" s="227"/>
      <c r="EIT275" s="227"/>
      <c r="EIU275" s="227"/>
      <c r="EIV275" s="227"/>
      <c r="EIW275" s="227"/>
      <c r="EIX275" s="227"/>
      <c r="EIY275" s="227"/>
      <c r="EIZ275" s="227"/>
      <c r="EJA275" s="227"/>
      <c r="EJB275" s="227"/>
      <c r="EJC275" s="227"/>
      <c r="EJD275" s="227"/>
      <c r="EJE275" s="227"/>
      <c r="EJF275" s="227"/>
      <c r="EJG275" s="227"/>
      <c r="EJH275" s="227"/>
      <c r="EJI275" s="227"/>
      <c r="EJJ275" s="227"/>
      <c r="EJK275" s="227"/>
      <c r="EJL275" s="227"/>
      <c r="EJM275" s="227"/>
      <c r="EJN275" s="227"/>
      <c r="EJO275" s="227"/>
      <c r="EJP275" s="227"/>
      <c r="EJQ275" s="227"/>
      <c r="EJR275" s="227"/>
      <c r="EJS275" s="227"/>
      <c r="EJT275" s="227"/>
      <c r="EJU275" s="227"/>
      <c r="EJV275" s="227"/>
      <c r="EJW275" s="227"/>
      <c r="EJX275" s="227"/>
      <c r="EJY275" s="227"/>
      <c r="EJZ275" s="227"/>
      <c r="EKA275" s="227"/>
      <c r="EKB275" s="227"/>
      <c r="EKC275" s="227"/>
      <c r="EKD275" s="227"/>
      <c r="EKE275" s="227"/>
      <c r="EKF275" s="227"/>
      <c r="EKG275" s="227"/>
      <c r="EKH275" s="227"/>
      <c r="EKI275" s="227"/>
      <c r="EKJ275" s="227"/>
      <c r="EKK275" s="227"/>
      <c r="EKL275" s="227"/>
      <c r="EKM275" s="227"/>
      <c r="EKN275" s="227"/>
      <c r="EKO275" s="227"/>
      <c r="EKP275" s="227"/>
      <c r="EKQ275" s="227"/>
      <c r="EKR275" s="227"/>
      <c r="EKS275" s="227"/>
      <c r="EKT275" s="227"/>
      <c r="EKU275" s="227"/>
      <c r="EKV275" s="227"/>
      <c r="EKW275" s="227"/>
      <c r="EKX275" s="227"/>
      <c r="EKY275" s="227"/>
      <c r="EKZ275" s="227"/>
      <c r="ELA275" s="227"/>
      <c r="ELB275" s="227"/>
      <c r="ELC275" s="227"/>
      <c r="ELD275" s="227"/>
      <c r="ELE275" s="227"/>
      <c r="ELF275" s="227"/>
      <c r="ELG275" s="227"/>
      <c r="ELH275" s="227"/>
      <c r="ELI275" s="227"/>
      <c r="ELJ275" s="227"/>
      <c r="ELK275" s="227"/>
      <c r="ELL275" s="227"/>
      <c r="ELM275" s="227"/>
      <c r="ELN275" s="227"/>
      <c r="ELO275" s="227"/>
      <c r="ELP275" s="227"/>
      <c r="ELQ275" s="227"/>
      <c r="ELR275" s="227"/>
      <c r="ELS275" s="227"/>
      <c r="ELT275" s="227"/>
      <c r="ELU275" s="227"/>
      <c r="ELV275" s="227"/>
      <c r="ELW275" s="227"/>
      <c r="ELX275" s="227"/>
      <c r="ELY275" s="227"/>
      <c r="ELZ275" s="227"/>
      <c r="EMA275" s="227"/>
      <c r="EMB275" s="227"/>
      <c r="EMC275" s="227"/>
      <c r="EMD275" s="227"/>
      <c r="EME275" s="227"/>
      <c r="EMF275" s="227"/>
      <c r="EMG275" s="227"/>
      <c r="EMH275" s="227"/>
      <c r="EMI275" s="227"/>
      <c r="EMJ275" s="227"/>
      <c r="EMK275" s="227"/>
      <c r="EML275" s="227"/>
      <c r="EMM275" s="227"/>
      <c r="EMN275" s="227"/>
      <c r="EMO275" s="227"/>
      <c r="EMP275" s="227"/>
      <c r="EMQ275" s="227"/>
      <c r="EMR275" s="227"/>
      <c r="EMS275" s="227"/>
      <c r="EMT275" s="227"/>
      <c r="EMU275" s="227"/>
      <c r="EMV275" s="227"/>
      <c r="EMW275" s="227"/>
      <c r="EMX275" s="227"/>
      <c r="EMY275" s="227"/>
      <c r="EMZ275" s="227"/>
      <c r="ENA275" s="227"/>
      <c r="ENB275" s="227"/>
      <c r="ENC275" s="227"/>
      <c r="END275" s="227"/>
      <c r="ENE275" s="227"/>
      <c r="ENF275" s="227"/>
      <c r="ENG275" s="227"/>
      <c r="ENH275" s="227"/>
      <c r="ENI275" s="227"/>
      <c r="ENJ275" s="227"/>
      <c r="ENK275" s="227"/>
      <c r="ENL275" s="227"/>
      <c r="ENM275" s="227"/>
      <c r="ENN275" s="227"/>
      <c r="ENO275" s="227"/>
      <c r="ENP275" s="227"/>
      <c r="ENQ275" s="227"/>
      <c r="ENR275" s="227"/>
      <c r="ENS275" s="227"/>
      <c r="ENT275" s="227"/>
      <c r="ENU275" s="227"/>
      <c r="ENV275" s="227"/>
      <c r="ENW275" s="227"/>
      <c r="ENX275" s="227"/>
      <c r="ENY275" s="227"/>
      <c r="ENZ275" s="227"/>
      <c r="EOA275" s="227"/>
      <c r="EOB275" s="227"/>
      <c r="EOC275" s="227"/>
      <c r="EOD275" s="227"/>
      <c r="EOE275" s="227"/>
      <c r="EOF275" s="227"/>
      <c r="EOG275" s="227"/>
      <c r="EOH275" s="227"/>
      <c r="EOI275" s="227"/>
      <c r="EOJ275" s="227"/>
      <c r="EOK275" s="227"/>
      <c r="EOL275" s="227"/>
      <c r="EOM275" s="227"/>
      <c r="EON275" s="227"/>
      <c r="EOO275" s="227"/>
      <c r="EOP275" s="227"/>
      <c r="EOQ275" s="227"/>
      <c r="EOR275" s="227"/>
      <c r="EOS275" s="227"/>
      <c r="EOT275" s="227"/>
      <c r="EOU275" s="227"/>
      <c r="EOV275" s="227"/>
      <c r="EOW275" s="227"/>
      <c r="EOX275" s="227"/>
      <c r="EOY275" s="227"/>
      <c r="EOZ275" s="227"/>
      <c r="EPA275" s="227"/>
      <c r="EPB275" s="227"/>
      <c r="EPC275" s="227"/>
      <c r="EPD275" s="227"/>
      <c r="EPE275" s="227"/>
      <c r="EPF275" s="227"/>
      <c r="EPG275" s="227"/>
      <c r="EPH275" s="227"/>
      <c r="EPI275" s="227"/>
      <c r="EPJ275" s="227"/>
      <c r="EPK275" s="227"/>
      <c r="EPL275" s="227"/>
      <c r="EPM275" s="227"/>
      <c r="EPN275" s="227"/>
      <c r="EPO275" s="227"/>
      <c r="EPP275" s="227"/>
      <c r="EPQ275" s="227"/>
      <c r="EPR275" s="227"/>
      <c r="EPS275" s="227"/>
      <c r="EPT275" s="227"/>
      <c r="EPU275" s="227"/>
      <c r="EPV275" s="227"/>
      <c r="EPW275" s="227"/>
      <c r="EPX275" s="227"/>
      <c r="EPY275" s="227"/>
      <c r="EPZ275" s="227"/>
      <c r="EQA275" s="227"/>
      <c r="EQB275" s="227"/>
      <c r="EQC275" s="227"/>
      <c r="EQD275" s="227"/>
      <c r="EQE275" s="227"/>
      <c r="EQF275" s="227"/>
      <c r="EQG275" s="227"/>
      <c r="EQH275" s="227"/>
      <c r="EQI275" s="227"/>
      <c r="EQJ275" s="227"/>
      <c r="EQK275" s="227"/>
      <c r="EQL275" s="227"/>
      <c r="EQM275" s="227"/>
      <c r="EQN275" s="227"/>
      <c r="EQO275" s="227"/>
      <c r="EQP275" s="227"/>
      <c r="EQQ275" s="227"/>
      <c r="EQR275" s="227"/>
      <c r="EQS275" s="227"/>
      <c r="EQT275" s="227"/>
      <c r="EQU275" s="227"/>
      <c r="EQV275" s="227"/>
      <c r="EQW275" s="227"/>
      <c r="EQX275" s="227"/>
      <c r="EQY275" s="227"/>
      <c r="EQZ275" s="227"/>
      <c r="ERA275" s="227"/>
      <c r="ERB275" s="227"/>
      <c r="ERC275" s="227"/>
      <c r="ERD275" s="227"/>
      <c r="ERE275" s="227"/>
      <c r="ERF275" s="227"/>
      <c r="ERG275" s="227"/>
      <c r="ERH275" s="227"/>
      <c r="ERI275" s="227"/>
      <c r="ERJ275" s="227"/>
      <c r="ERK275" s="227"/>
      <c r="ERL275" s="227"/>
      <c r="ERM275" s="227"/>
      <c r="ERN275" s="227"/>
      <c r="ERO275" s="227"/>
      <c r="ERP275" s="227"/>
      <c r="ERQ275" s="227"/>
      <c r="ERR275" s="227"/>
      <c r="ERS275" s="227"/>
      <c r="ERT275" s="227"/>
      <c r="ERU275" s="227"/>
      <c r="ERV275" s="227"/>
      <c r="ERW275" s="227"/>
      <c r="ERX275" s="227"/>
      <c r="ERY275" s="227"/>
      <c r="ERZ275" s="227"/>
      <c r="ESA275" s="227"/>
      <c r="ESB275" s="227"/>
      <c r="ESC275" s="227"/>
      <c r="ESD275" s="227"/>
      <c r="ESE275" s="227"/>
      <c r="ESF275" s="227"/>
      <c r="ESG275" s="227"/>
      <c r="ESH275" s="227"/>
      <c r="ESI275" s="227"/>
      <c r="ESJ275" s="227"/>
      <c r="ESK275" s="227"/>
      <c r="ESL275" s="227"/>
      <c r="ESM275" s="227"/>
      <c r="ESN275" s="227"/>
      <c r="ESO275" s="227"/>
      <c r="ESP275" s="227"/>
      <c r="ESQ275" s="227"/>
      <c r="ESR275" s="227"/>
      <c r="ESS275" s="227"/>
      <c r="EST275" s="227"/>
      <c r="ESU275" s="227"/>
      <c r="ESV275" s="227"/>
      <c r="ESW275" s="227"/>
      <c r="ESX275" s="227"/>
      <c r="ESY275" s="227"/>
      <c r="ESZ275" s="227"/>
      <c r="ETA275" s="227"/>
      <c r="ETB275" s="227"/>
      <c r="ETC275" s="227"/>
      <c r="ETD275" s="227"/>
      <c r="ETE275" s="227"/>
      <c r="ETF275" s="227"/>
      <c r="ETG275" s="227"/>
      <c r="ETH275" s="227"/>
      <c r="ETI275" s="227"/>
      <c r="ETJ275" s="227"/>
      <c r="ETK275" s="227"/>
      <c r="ETL275" s="227"/>
      <c r="ETM275" s="227"/>
      <c r="ETN275" s="227"/>
      <c r="ETO275" s="227"/>
      <c r="ETP275" s="227"/>
      <c r="ETQ275" s="227"/>
      <c r="ETR275" s="227"/>
      <c r="ETS275" s="227"/>
      <c r="ETT275" s="227"/>
      <c r="ETU275" s="227"/>
      <c r="ETV275" s="227"/>
      <c r="ETW275" s="227"/>
      <c r="ETX275" s="227"/>
      <c r="ETY275" s="227"/>
      <c r="ETZ275" s="227"/>
      <c r="EUA275" s="227"/>
      <c r="EUB275" s="227"/>
      <c r="EUC275" s="227"/>
      <c r="EUD275" s="227"/>
      <c r="EUE275" s="227"/>
      <c r="EUF275" s="227"/>
      <c r="EUG275" s="227"/>
      <c r="EUH275" s="227"/>
      <c r="EUI275" s="227"/>
      <c r="EUJ275" s="227"/>
      <c r="EUK275" s="227"/>
      <c r="EUL275" s="227"/>
      <c r="EUM275" s="227"/>
      <c r="EUN275" s="227"/>
      <c r="EUO275" s="227"/>
      <c r="EUP275" s="227"/>
      <c r="EUQ275" s="227"/>
      <c r="EUR275" s="227"/>
      <c r="EUS275" s="227"/>
      <c r="EUT275" s="227"/>
      <c r="EUU275" s="227"/>
      <c r="EUV275" s="227"/>
      <c r="EUW275" s="227"/>
      <c r="EUX275" s="227"/>
      <c r="EUY275" s="227"/>
      <c r="EUZ275" s="227"/>
      <c r="EVA275" s="227"/>
      <c r="EVB275" s="227"/>
      <c r="EVC275" s="227"/>
      <c r="EVD275" s="227"/>
      <c r="EVE275" s="227"/>
      <c r="EVF275" s="227"/>
      <c r="EVG275" s="227"/>
      <c r="EVH275" s="227"/>
      <c r="EVI275" s="227"/>
      <c r="EVJ275" s="227"/>
      <c r="EVK275" s="227"/>
      <c r="EVL275" s="227"/>
      <c r="EVM275" s="227"/>
      <c r="EVN275" s="227"/>
      <c r="EVO275" s="227"/>
      <c r="EVP275" s="227"/>
      <c r="EVQ275" s="227"/>
      <c r="EVR275" s="227"/>
      <c r="EVS275" s="227"/>
      <c r="EVT275" s="227"/>
      <c r="EVU275" s="227"/>
      <c r="EVV275" s="227"/>
      <c r="EVW275" s="227"/>
      <c r="EVX275" s="227"/>
      <c r="EVY275" s="227"/>
      <c r="EVZ275" s="227"/>
      <c r="EWA275" s="227"/>
      <c r="EWB275" s="227"/>
      <c r="EWC275" s="227"/>
      <c r="EWD275" s="227"/>
      <c r="EWE275" s="227"/>
      <c r="EWF275" s="227"/>
      <c r="EWG275" s="227"/>
      <c r="EWH275" s="227"/>
      <c r="EWI275" s="227"/>
      <c r="EWJ275" s="227"/>
      <c r="EWK275" s="227"/>
      <c r="EWL275" s="227"/>
      <c r="EWM275" s="227"/>
      <c r="EWN275" s="227"/>
      <c r="EWO275" s="227"/>
      <c r="EWP275" s="227"/>
      <c r="EWQ275" s="227"/>
      <c r="EWR275" s="227"/>
      <c r="EWS275" s="227"/>
      <c r="EWT275" s="227"/>
      <c r="EWU275" s="227"/>
      <c r="EWV275" s="227"/>
      <c r="EWW275" s="227"/>
      <c r="EWX275" s="227"/>
      <c r="EWY275" s="227"/>
      <c r="EWZ275" s="227"/>
      <c r="EXA275" s="227"/>
      <c r="EXB275" s="227"/>
      <c r="EXC275" s="227"/>
      <c r="EXD275" s="227"/>
      <c r="EXE275" s="227"/>
      <c r="EXF275" s="227"/>
      <c r="EXG275" s="227"/>
      <c r="EXH275" s="227"/>
      <c r="EXI275" s="227"/>
      <c r="EXJ275" s="227"/>
      <c r="EXK275" s="227"/>
      <c r="EXL275" s="227"/>
      <c r="EXM275" s="227"/>
      <c r="EXN275" s="227"/>
      <c r="EXO275" s="227"/>
      <c r="EXP275" s="227"/>
      <c r="EXQ275" s="227"/>
      <c r="EXR275" s="227"/>
      <c r="EXS275" s="227"/>
      <c r="EXT275" s="227"/>
      <c r="EXU275" s="227"/>
      <c r="EXV275" s="227"/>
      <c r="EXW275" s="227"/>
      <c r="EXX275" s="227"/>
      <c r="EXY275" s="227"/>
      <c r="EXZ275" s="227"/>
      <c r="EYA275" s="227"/>
      <c r="EYB275" s="227"/>
      <c r="EYC275" s="227"/>
      <c r="EYD275" s="227"/>
      <c r="EYE275" s="227"/>
      <c r="EYF275" s="227"/>
      <c r="EYG275" s="227"/>
      <c r="EYH275" s="227"/>
      <c r="EYI275" s="227"/>
      <c r="EYJ275" s="227"/>
      <c r="EYK275" s="227"/>
      <c r="EYL275" s="227"/>
      <c r="EYM275" s="227"/>
      <c r="EYN275" s="227"/>
      <c r="EYO275" s="227"/>
      <c r="EYP275" s="227"/>
      <c r="EYQ275" s="227"/>
      <c r="EYR275" s="227"/>
      <c r="EYS275" s="227"/>
      <c r="EYT275" s="227"/>
      <c r="EYU275" s="227"/>
      <c r="EYV275" s="227"/>
      <c r="EYW275" s="227"/>
      <c r="EYX275" s="227"/>
      <c r="EYY275" s="227"/>
      <c r="EYZ275" s="227"/>
      <c r="EZA275" s="227"/>
      <c r="EZB275" s="227"/>
      <c r="EZC275" s="227"/>
      <c r="EZD275" s="227"/>
      <c r="EZE275" s="227"/>
      <c r="EZF275" s="227"/>
      <c r="EZG275" s="227"/>
      <c r="EZH275" s="227"/>
      <c r="EZI275" s="227"/>
      <c r="EZJ275" s="227"/>
      <c r="EZK275" s="227"/>
      <c r="EZL275" s="227"/>
      <c r="EZM275" s="227"/>
      <c r="EZN275" s="227"/>
      <c r="EZO275" s="227"/>
      <c r="EZP275" s="227"/>
      <c r="EZQ275" s="227"/>
      <c r="EZR275" s="227"/>
      <c r="EZS275" s="227"/>
      <c r="EZT275" s="227"/>
      <c r="EZU275" s="227"/>
      <c r="EZV275" s="227"/>
      <c r="EZW275" s="227"/>
      <c r="EZX275" s="227"/>
      <c r="EZY275" s="227"/>
      <c r="EZZ275" s="227"/>
      <c r="FAA275" s="227"/>
      <c r="FAB275" s="227"/>
      <c r="FAC275" s="227"/>
      <c r="FAD275" s="227"/>
      <c r="FAE275" s="227"/>
      <c r="FAF275" s="227"/>
      <c r="FAG275" s="227"/>
      <c r="FAH275" s="227"/>
      <c r="FAI275" s="227"/>
      <c r="FAJ275" s="227"/>
      <c r="FAK275" s="227"/>
      <c r="FAL275" s="227"/>
      <c r="FAM275" s="227"/>
      <c r="FAN275" s="227"/>
      <c r="FAO275" s="227"/>
      <c r="FAP275" s="227"/>
      <c r="FAQ275" s="227"/>
      <c r="FAR275" s="227"/>
      <c r="FAS275" s="227"/>
      <c r="FAT275" s="227"/>
      <c r="FAU275" s="227"/>
      <c r="FAV275" s="227"/>
      <c r="FAW275" s="227"/>
      <c r="FAX275" s="227"/>
      <c r="FAY275" s="227"/>
      <c r="FAZ275" s="227"/>
      <c r="FBA275" s="227"/>
      <c r="FBB275" s="227"/>
      <c r="FBC275" s="227"/>
      <c r="FBD275" s="227"/>
      <c r="FBE275" s="227"/>
      <c r="FBF275" s="227"/>
      <c r="FBG275" s="227"/>
      <c r="FBH275" s="227"/>
      <c r="FBI275" s="227"/>
      <c r="FBJ275" s="227"/>
      <c r="FBK275" s="227"/>
      <c r="FBL275" s="227"/>
      <c r="FBM275" s="227"/>
      <c r="FBN275" s="227"/>
      <c r="FBO275" s="227"/>
      <c r="FBP275" s="227"/>
      <c r="FBQ275" s="227"/>
      <c r="FBR275" s="227"/>
      <c r="FBS275" s="227"/>
      <c r="FBT275" s="227"/>
      <c r="FBU275" s="227"/>
      <c r="FBV275" s="227"/>
      <c r="FBW275" s="227"/>
      <c r="FBX275" s="227"/>
      <c r="FBY275" s="227"/>
      <c r="FBZ275" s="227"/>
      <c r="FCA275" s="227"/>
      <c r="FCB275" s="227"/>
      <c r="FCC275" s="227"/>
      <c r="FCD275" s="227"/>
      <c r="FCE275" s="227"/>
      <c r="FCF275" s="227"/>
      <c r="FCG275" s="227"/>
      <c r="FCH275" s="227"/>
      <c r="FCI275" s="227"/>
      <c r="FCJ275" s="227"/>
      <c r="FCK275" s="227"/>
      <c r="FCL275" s="227"/>
      <c r="FCM275" s="227"/>
      <c r="FCN275" s="227"/>
      <c r="FCO275" s="227"/>
      <c r="FCP275" s="227"/>
      <c r="FCQ275" s="227"/>
      <c r="FCR275" s="227"/>
      <c r="FCS275" s="227"/>
      <c r="FCT275" s="227"/>
      <c r="FCU275" s="227"/>
      <c r="FCV275" s="227"/>
      <c r="FCW275" s="227"/>
      <c r="FCX275" s="227"/>
      <c r="FCY275" s="227"/>
      <c r="FCZ275" s="227"/>
      <c r="FDA275" s="227"/>
      <c r="FDB275" s="227"/>
      <c r="FDC275" s="227"/>
      <c r="FDD275" s="227"/>
      <c r="FDE275" s="227"/>
      <c r="FDF275" s="227"/>
      <c r="FDG275" s="227"/>
      <c r="FDH275" s="227"/>
      <c r="FDI275" s="227"/>
      <c r="FDJ275" s="227"/>
      <c r="FDK275" s="227"/>
      <c r="FDL275" s="227"/>
      <c r="FDM275" s="227"/>
      <c r="FDN275" s="227"/>
      <c r="FDO275" s="227"/>
      <c r="FDP275" s="227"/>
      <c r="FDQ275" s="227"/>
      <c r="FDR275" s="227"/>
      <c r="FDS275" s="227"/>
      <c r="FDT275" s="227"/>
      <c r="FDU275" s="227"/>
      <c r="FDV275" s="227"/>
      <c r="FDW275" s="227"/>
      <c r="FDX275" s="227"/>
      <c r="FDY275" s="227"/>
      <c r="FDZ275" s="227"/>
      <c r="FEA275" s="227"/>
      <c r="FEB275" s="227"/>
      <c r="FEC275" s="227"/>
      <c r="FED275" s="227"/>
      <c r="FEE275" s="227"/>
      <c r="FEF275" s="227"/>
      <c r="FEG275" s="227"/>
      <c r="FEH275" s="227"/>
      <c r="FEI275" s="227"/>
      <c r="FEJ275" s="227"/>
      <c r="FEK275" s="227"/>
      <c r="FEL275" s="227"/>
      <c r="FEM275" s="227"/>
      <c r="FEN275" s="227"/>
      <c r="FEO275" s="227"/>
      <c r="FEP275" s="227"/>
      <c r="FEQ275" s="227"/>
      <c r="FER275" s="227"/>
      <c r="FES275" s="227"/>
      <c r="FET275" s="227"/>
      <c r="FEU275" s="227"/>
      <c r="FEV275" s="227"/>
      <c r="FEW275" s="227"/>
      <c r="FEX275" s="227"/>
      <c r="FEY275" s="227"/>
      <c r="FEZ275" s="227"/>
      <c r="FFA275" s="227"/>
      <c r="FFB275" s="227"/>
      <c r="FFC275" s="227"/>
      <c r="FFD275" s="227"/>
      <c r="FFE275" s="227"/>
      <c r="FFF275" s="227"/>
      <c r="FFG275" s="227"/>
      <c r="FFH275" s="227"/>
      <c r="FFI275" s="227"/>
      <c r="FFJ275" s="227"/>
      <c r="FFK275" s="227"/>
      <c r="FFL275" s="227"/>
      <c r="FFM275" s="227"/>
      <c r="FFN275" s="227"/>
      <c r="FFO275" s="227"/>
      <c r="FFP275" s="227"/>
      <c r="FFQ275" s="227"/>
      <c r="FFR275" s="227"/>
      <c r="FFS275" s="227"/>
      <c r="FFT275" s="227"/>
      <c r="FFU275" s="227"/>
      <c r="FFV275" s="227"/>
      <c r="FFW275" s="227"/>
      <c r="FFX275" s="227"/>
      <c r="FFY275" s="227"/>
      <c r="FFZ275" s="227"/>
      <c r="FGA275" s="227"/>
      <c r="FGB275" s="227"/>
      <c r="FGC275" s="227"/>
      <c r="FGD275" s="227"/>
      <c r="FGE275" s="227"/>
      <c r="FGF275" s="227"/>
      <c r="FGG275" s="227"/>
      <c r="FGH275" s="227"/>
      <c r="FGI275" s="227"/>
      <c r="FGJ275" s="227"/>
      <c r="FGK275" s="227"/>
      <c r="FGL275" s="227"/>
      <c r="FGM275" s="227"/>
      <c r="FGN275" s="227"/>
      <c r="FGO275" s="227"/>
      <c r="FGP275" s="227"/>
      <c r="FGQ275" s="227"/>
      <c r="FGR275" s="227"/>
      <c r="FGS275" s="227"/>
      <c r="FGT275" s="227"/>
      <c r="FGU275" s="227"/>
      <c r="FGV275" s="227"/>
      <c r="FGW275" s="227"/>
      <c r="FGX275" s="227"/>
      <c r="FGY275" s="227"/>
      <c r="FGZ275" s="227"/>
      <c r="FHA275" s="227"/>
      <c r="FHB275" s="227"/>
      <c r="FHC275" s="227"/>
      <c r="FHD275" s="227"/>
      <c r="FHE275" s="227"/>
      <c r="FHF275" s="227"/>
      <c r="FHG275" s="227"/>
      <c r="FHH275" s="227"/>
      <c r="FHI275" s="227"/>
      <c r="FHJ275" s="227"/>
      <c r="FHK275" s="227"/>
      <c r="FHL275" s="227"/>
      <c r="FHM275" s="227"/>
      <c r="FHN275" s="227"/>
      <c r="FHO275" s="227"/>
      <c r="FHP275" s="227"/>
      <c r="FHQ275" s="227"/>
      <c r="FHR275" s="227"/>
      <c r="FHS275" s="227"/>
      <c r="FHT275" s="227"/>
      <c r="FHU275" s="227"/>
      <c r="FHV275" s="227"/>
      <c r="FHW275" s="227"/>
      <c r="FHX275" s="227"/>
      <c r="FHY275" s="227"/>
      <c r="FHZ275" s="227"/>
      <c r="FIA275" s="227"/>
      <c r="FIB275" s="227"/>
      <c r="FIC275" s="227"/>
      <c r="FID275" s="227"/>
      <c r="FIE275" s="227"/>
      <c r="FIF275" s="227"/>
      <c r="FIG275" s="227"/>
      <c r="FIH275" s="227"/>
      <c r="FII275" s="227"/>
      <c r="FIJ275" s="227"/>
      <c r="FIK275" s="227"/>
      <c r="FIL275" s="227"/>
      <c r="FIM275" s="227"/>
      <c r="FIN275" s="227"/>
      <c r="FIO275" s="227"/>
      <c r="FIP275" s="227"/>
      <c r="FIQ275" s="227"/>
      <c r="FIR275" s="227"/>
      <c r="FIS275" s="227"/>
      <c r="FIT275" s="227"/>
      <c r="FIU275" s="227"/>
      <c r="FIV275" s="227"/>
      <c r="FIW275" s="227"/>
      <c r="FIX275" s="227"/>
      <c r="FIY275" s="227"/>
      <c r="FIZ275" s="227"/>
      <c r="FJA275" s="227"/>
      <c r="FJB275" s="227"/>
      <c r="FJC275" s="227"/>
      <c r="FJD275" s="227"/>
      <c r="FJE275" s="227"/>
      <c r="FJF275" s="227"/>
      <c r="FJG275" s="227"/>
      <c r="FJH275" s="227"/>
      <c r="FJI275" s="227"/>
      <c r="FJJ275" s="227"/>
      <c r="FJK275" s="227"/>
      <c r="FJL275" s="227"/>
      <c r="FJM275" s="227"/>
      <c r="FJN275" s="227"/>
      <c r="FJO275" s="227"/>
      <c r="FJP275" s="227"/>
      <c r="FJQ275" s="227"/>
      <c r="FJR275" s="227"/>
      <c r="FJS275" s="227"/>
      <c r="FJT275" s="227"/>
      <c r="FJU275" s="227"/>
      <c r="FJV275" s="227"/>
      <c r="FJW275" s="227"/>
      <c r="FJX275" s="227"/>
      <c r="FJY275" s="227"/>
      <c r="FJZ275" s="227"/>
      <c r="FKA275" s="227"/>
      <c r="FKB275" s="227"/>
      <c r="FKC275" s="227"/>
      <c r="FKD275" s="227"/>
      <c r="FKE275" s="227"/>
      <c r="FKF275" s="227"/>
      <c r="FKG275" s="227"/>
      <c r="FKH275" s="227"/>
      <c r="FKI275" s="227"/>
      <c r="FKJ275" s="227"/>
      <c r="FKK275" s="227"/>
      <c r="FKL275" s="227"/>
      <c r="FKM275" s="227"/>
      <c r="FKN275" s="227"/>
      <c r="FKO275" s="227"/>
      <c r="FKP275" s="227"/>
      <c r="FKQ275" s="227"/>
      <c r="FKR275" s="227"/>
      <c r="FKS275" s="227"/>
      <c r="FKT275" s="227"/>
      <c r="FKU275" s="227"/>
      <c r="FKV275" s="227"/>
      <c r="FKW275" s="227"/>
      <c r="FKX275" s="227"/>
      <c r="FKY275" s="227"/>
      <c r="FKZ275" s="227"/>
      <c r="FLA275" s="227"/>
      <c r="FLB275" s="227"/>
      <c r="FLC275" s="227"/>
      <c r="FLD275" s="227"/>
      <c r="FLE275" s="227"/>
      <c r="FLF275" s="227"/>
      <c r="FLG275" s="227"/>
      <c r="FLH275" s="227"/>
      <c r="FLI275" s="227"/>
      <c r="FLJ275" s="227"/>
      <c r="FLK275" s="227"/>
      <c r="FLL275" s="227"/>
      <c r="FLM275" s="227"/>
      <c r="FLN275" s="227"/>
      <c r="FLO275" s="227"/>
      <c r="FLP275" s="227"/>
      <c r="FLQ275" s="227"/>
      <c r="FLR275" s="227"/>
      <c r="FLS275" s="227"/>
      <c r="FLT275" s="227"/>
      <c r="FLU275" s="227"/>
      <c r="FLV275" s="227"/>
      <c r="FLW275" s="227"/>
      <c r="FLX275" s="227"/>
      <c r="FLY275" s="227"/>
      <c r="FLZ275" s="227"/>
      <c r="FMA275" s="227"/>
      <c r="FMB275" s="227"/>
      <c r="FMC275" s="227"/>
      <c r="FMD275" s="227"/>
      <c r="FME275" s="227"/>
      <c r="FMF275" s="227"/>
      <c r="FMG275" s="227"/>
      <c r="FMH275" s="227"/>
      <c r="FMI275" s="227"/>
      <c r="FMJ275" s="227"/>
      <c r="FMK275" s="227"/>
      <c r="FML275" s="227"/>
      <c r="FMM275" s="227"/>
      <c r="FMN275" s="227"/>
      <c r="FMO275" s="227"/>
      <c r="FMP275" s="227"/>
      <c r="FMQ275" s="227"/>
      <c r="FMR275" s="227"/>
      <c r="FMS275" s="227"/>
      <c r="FMT275" s="227"/>
      <c r="FMU275" s="227"/>
      <c r="FMV275" s="227"/>
      <c r="FMW275" s="227"/>
      <c r="FMX275" s="227"/>
      <c r="FMY275" s="227"/>
      <c r="FMZ275" s="227"/>
      <c r="FNA275" s="227"/>
      <c r="FNB275" s="227"/>
      <c r="FNC275" s="227"/>
      <c r="FND275" s="227"/>
      <c r="FNE275" s="227"/>
      <c r="FNF275" s="227"/>
      <c r="FNG275" s="227"/>
      <c r="FNH275" s="227"/>
      <c r="FNI275" s="227"/>
      <c r="FNJ275" s="227"/>
      <c r="FNK275" s="227"/>
      <c r="FNL275" s="227"/>
      <c r="FNM275" s="227"/>
      <c r="FNN275" s="227"/>
      <c r="FNO275" s="227"/>
      <c r="FNP275" s="227"/>
      <c r="FNQ275" s="227"/>
      <c r="FNR275" s="227"/>
      <c r="FNS275" s="227"/>
      <c r="FNT275" s="227"/>
      <c r="FNU275" s="227"/>
      <c r="FNV275" s="227"/>
      <c r="FNW275" s="227"/>
      <c r="FNX275" s="227"/>
      <c r="FNY275" s="227"/>
      <c r="FNZ275" s="227"/>
      <c r="FOA275" s="227"/>
      <c r="FOB275" s="227"/>
      <c r="FOC275" s="227"/>
      <c r="FOD275" s="227"/>
      <c r="FOE275" s="227"/>
      <c r="FOF275" s="227"/>
      <c r="FOG275" s="227"/>
      <c r="FOH275" s="227"/>
      <c r="FOI275" s="227"/>
      <c r="FOJ275" s="227"/>
      <c r="FOK275" s="227"/>
      <c r="FOL275" s="227"/>
      <c r="FOM275" s="227"/>
      <c r="FON275" s="227"/>
      <c r="FOO275" s="227"/>
      <c r="FOP275" s="227"/>
      <c r="FOQ275" s="227"/>
      <c r="FOR275" s="227"/>
      <c r="FOS275" s="227"/>
      <c r="FOT275" s="227"/>
      <c r="FOU275" s="227"/>
      <c r="FOV275" s="227"/>
      <c r="FOW275" s="227"/>
      <c r="FOX275" s="227"/>
      <c r="FOY275" s="227"/>
      <c r="FOZ275" s="227"/>
      <c r="FPA275" s="227"/>
      <c r="FPB275" s="227"/>
      <c r="FPC275" s="227"/>
      <c r="FPD275" s="227"/>
      <c r="FPE275" s="227"/>
      <c r="FPF275" s="227"/>
      <c r="FPG275" s="227"/>
      <c r="FPH275" s="227"/>
      <c r="FPI275" s="227"/>
      <c r="FPJ275" s="227"/>
      <c r="FPK275" s="227"/>
      <c r="FPL275" s="227"/>
      <c r="FPM275" s="227"/>
      <c r="FPN275" s="227"/>
      <c r="FPO275" s="227"/>
      <c r="FPP275" s="227"/>
      <c r="FPQ275" s="227"/>
      <c r="FPR275" s="227"/>
      <c r="FPS275" s="227"/>
      <c r="FPT275" s="227"/>
      <c r="FPU275" s="227"/>
      <c r="FPV275" s="227"/>
      <c r="FPW275" s="227"/>
      <c r="FPX275" s="227"/>
      <c r="FPY275" s="227"/>
      <c r="FPZ275" s="227"/>
      <c r="FQA275" s="227"/>
      <c r="FQB275" s="227"/>
      <c r="FQC275" s="227"/>
      <c r="FQD275" s="227"/>
      <c r="FQE275" s="227"/>
      <c r="FQF275" s="227"/>
      <c r="FQG275" s="227"/>
      <c r="FQH275" s="227"/>
      <c r="FQI275" s="227"/>
      <c r="FQJ275" s="227"/>
      <c r="FQK275" s="227"/>
      <c r="FQL275" s="227"/>
      <c r="FQM275" s="227"/>
      <c r="FQN275" s="227"/>
      <c r="FQO275" s="227"/>
      <c r="FQP275" s="227"/>
      <c r="FQQ275" s="227"/>
      <c r="FQR275" s="227"/>
      <c r="FQS275" s="227"/>
      <c r="FQT275" s="227"/>
      <c r="FQU275" s="227"/>
      <c r="FQV275" s="227"/>
      <c r="FQW275" s="227"/>
      <c r="FQX275" s="227"/>
      <c r="FQY275" s="227"/>
      <c r="FQZ275" s="227"/>
      <c r="FRA275" s="227"/>
      <c r="FRB275" s="227"/>
      <c r="FRC275" s="227"/>
      <c r="FRD275" s="227"/>
      <c r="FRE275" s="227"/>
      <c r="FRF275" s="227"/>
      <c r="FRG275" s="227"/>
      <c r="FRH275" s="227"/>
      <c r="FRI275" s="227"/>
      <c r="FRJ275" s="227"/>
      <c r="FRK275" s="227"/>
      <c r="FRL275" s="227"/>
      <c r="FRM275" s="227"/>
      <c r="FRN275" s="227"/>
      <c r="FRO275" s="227"/>
      <c r="FRP275" s="227"/>
      <c r="FRQ275" s="227"/>
      <c r="FRR275" s="227"/>
      <c r="FRS275" s="227"/>
      <c r="FRT275" s="227"/>
      <c r="FRU275" s="227"/>
      <c r="FRV275" s="227"/>
      <c r="FRW275" s="227"/>
      <c r="FRX275" s="227"/>
      <c r="FRY275" s="227"/>
      <c r="FRZ275" s="227"/>
      <c r="FSA275" s="227"/>
      <c r="FSB275" s="227"/>
      <c r="FSC275" s="227"/>
      <c r="FSD275" s="227"/>
      <c r="FSE275" s="227"/>
      <c r="FSF275" s="227"/>
      <c r="FSG275" s="227"/>
      <c r="FSH275" s="227"/>
      <c r="FSI275" s="227"/>
      <c r="FSJ275" s="227"/>
      <c r="FSK275" s="227"/>
      <c r="FSL275" s="227"/>
      <c r="FSM275" s="227"/>
      <c r="FSN275" s="227"/>
      <c r="FSO275" s="227"/>
      <c r="FSP275" s="227"/>
      <c r="FSQ275" s="227"/>
      <c r="FSR275" s="227"/>
      <c r="FSS275" s="227"/>
      <c r="FST275" s="227"/>
      <c r="FSU275" s="227"/>
      <c r="FSV275" s="227"/>
      <c r="FSW275" s="227"/>
      <c r="FSX275" s="227"/>
      <c r="FSY275" s="227"/>
      <c r="FSZ275" s="227"/>
      <c r="FTA275" s="227"/>
      <c r="FTB275" s="227"/>
      <c r="FTC275" s="227"/>
      <c r="FTD275" s="227"/>
      <c r="FTE275" s="227"/>
      <c r="FTF275" s="227"/>
      <c r="FTG275" s="227"/>
      <c r="FTH275" s="227"/>
      <c r="FTI275" s="227"/>
      <c r="FTJ275" s="227"/>
      <c r="FTK275" s="227"/>
      <c r="FTL275" s="227"/>
      <c r="FTM275" s="227"/>
      <c r="FTN275" s="227"/>
      <c r="FTO275" s="227"/>
      <c r="FTP275" s="227"/>
      <c r="FTQ275" s="227"/>
      <c r="FTR275" s="227"/>
      <c r="FTS275" s="227"/>
      <c r="FTT275" s="227"/>
      <c r="FTU275" s="227"/>
      <c r="FTV275" s="227"/>
      <c r="FTW275" s="227"/>
      <c r="FTX275" s="227"/>
      <c r="FTY275" s="227"/>
      <c r="FTZ275" s="227"/>
      <c r="FUA275" s="227"/>
      <c r="FUB275" s="227"/>
      <c r="FUC275" s="227"/>
      <c r="FUD275" s="227"/>
      <c r="FUE275" s="227"/>
      <c r="FUF275" s="227"/>
      <c r="FUG275" s="227"/>
      <c r="FUH275" s="227"/>
      <c r="FUI275" s="227"/>
      <c r="FUJ275" s="227"/>
      <c r="FUK275" s="227"/>
      <c r="FUL275" s="227"/>
      <c r="FUM275" s="227"/>
      <c r="FUN275" s="227"/>
      <c r="FUO275" s="227"/>
      <c r="FUP275" s="227"/>
      <c r="FUQ275" s="227"/>
      <c r="FUR275" s="227"/>
      <c r="FUS275" s="227"/>
      <c r="FUT275" s="227"/>
      <c r="FUU275" s="227"/>
      <c r="FUV275" s="227"/>
      <c r="FUW275" s="227"/>
      <c r="FUX275" s="227"/>
      <c r="FUY275" s="227"/>
      <c r="FUZ275" s="227"/>
      <c r="FVA275" s="227"/>
      <c r="FVB275" s="227"/>
      <c r="FVC275" s="227"/>
      <c r="FVD275" s="227"/>
      <c r="FVE275" s="227"/>
      <c r="FVF275" s="227"/>
      <c r="FVG275" s="227"/>
      <c r="FVH275" s="227"/>
      <c r="FVI275" s="227"/>
      <c r="FVJ275" s="227"/>
      <c r="FVK275" s="227"/>
      <c r="FVL275" s="227"/>
      <c r="FVM275" s="227"/>
      <c r="FVN275" s="227"/>
      <c r="FVO275" s="227"/>
      <c r="FVP275" s="227"/>
      <c r="FVQ275" s="227"/>
      <c r="FVR275" s="227"/>
      <c r="FVS275" s="227"/>
      <c r="FVT275" s="227"/>
      <c r="FVU275" s="227"/>
      <c r="FVV275" s="227"/>
      <c r="FVW275" s="227"/>
      <c r="FVX275" s="227"/>
      <c r="FVY275" s="227"/>
      <c r="FVZ275" s="227"/>
      <c r="FWA275" s="227"/>
      <c r="FWB275" s="227"/>
      <c r="FWC275" s="227"/>
      <c r="FWD275" s="227"/>
      <c r="FWE275" s="227"/>
      <c r="FWF275" s="227"/>
      <c r="FWG275" s="227"/>
      <c r="FWH275" s="227"/>
      <c r="FWI275" s="227"/>
      <c r="FWJ275" s="227"/>
      <c r="FWK275" s="227"/>
      <c r="FWL275" s="227"/>
      <c r="FWM275" s="227"/>
      <c r="FWN275" s="227"/>
      <c r="FWO275" s="227"/>
      <c r="FWP275" s="227"/>
      <c r="FWQ275" s="227"/>
      <c r="FWR275" s="227"/>
      <c r="FWS275" s="227"/>
      <c r="FWT275" s="227"/>
      <c r="FWU275" s="227"/>
      <c r="FWV275" s="227"/>
      <c r="FWW275" s="227"/>
      <c r="FWX275" s="227"/>
      <c r="FWY275" s="227"/>
      <c r="FWZ275" s="227"/>
      <c r="FXA275" s="227"/>
      <c r="FXB275" s="227"/>
      <c r="FXC275" s="227"/>
      <c r="FXD275" s="227"/>
      <c r="FXE275" s="227"/>
      <c r="FXF275" s="227"/>
      <c r="FXG275" s="227"/>
      <c r="FXH275" s="227"/>
      <c r="FXI275" s="227"/>
      <c r="FXJ275" s="227"/>
      <c r="FXK275" s="227"/>
      <c r="FXL275" s="227"/>
      <c r="FXM275" s="227"/>
      <c r="FXN275" s="227"/>
      <c r="FXO275" s="227"/>
      <c r="FXP275" s="227"/>
      <c r="FXQ275" s="227"/>
      <c r="FXR275" s="227"/>
      <c r="FXS275" s="227"/>
      <c r="FXT275" s="227"/>
      <c r="FXU275" s="227"/>
      <c r="FXV275" s="227"/>
      <c r="FXW275" s="227"/>
      <c r="FXX275" s="227"/>
      <c r="FXY275" s="227"/>
      <c r="FXZ275" s="227"/>
      <c r="FYA275" s="227"/>
      <c r="FYB275" s="227"/>
      <c r="FYC275" s="227"/>
      <c r="FYD275" s="227"/>
      <c r="FYE275" s="227"/>
      <c r="FYF275" s="227"/>
      <c r="FYG275" s="227"/>
      <c r="FYH275" s="227"/>
      <c r="FYI275" s="227"/>
      <c r="FYJ275" s="227"/>
      <c r="FYK275" s="227"/>
      <c r="FYL275" s="227"/>
      <c r="FYM275" s="227"/>
      <c r="FYN275" s="227"/>
      <c r="FYO275" s="227"/>
      <c r="FYP275" s="227"/>
      <c r="FYQ275" s="227"/>
      <c r="FYR275" s="227"/>
      <c r="FYS275" s="227"/>
      <c r="FYT275" s="227"/>
      <c r="FYU275" s="227"/>
      <c r="FYV275" s="227"/>
      <c r="FYW275" s="227"/>
      <c r="FYX275" s="227"/>
      <c r="FYY275" s="227"/>
      <c r="FYZ275" s="227"/>
      <c r="FZA275" s="227"/>
      <c r="FZB275" s="227"/>
      <c r="FZC275" s="227"/>
      <c r="FZD275" s="227"/>
      <c r="FZE275" s="227"/>
      <c r="FZF275" s="227"/>
      <c r="FZG275" s="227"/>
      <c r="FZH275" s="227"/>
      <c r="FZI275" s="227"/>
      <c r="FZJ275" s="227"/>
      <c r="FZK275" s="227"/>
      <c r="FZL275" s="227"/>
      <c r="FZM275" s="227"/>
      <c r="FZN275" s="227"/>
      <c r="FZO275" s="227"/>
      <c r="FZP275" s="227"/>
      <c r="FZQ275" s="227"/>
      <c r="FZR275" s="227"/>
      <c r="FZS275" s="227"/>
      <c r="FZT275" s="227"/>
      <c r="FZU275" s="227"/>
      <c r="FZV275" s="227"/>
      <c r="FZW275" s="227"/>
      <c r="FZX275" s="227"/>
      <c r="FZY275" s="227"/>
      <c r="FZZ275" s="227"/>
      <c r="GAA275" s="227"/>
      <c r="GAB275" s="227"/>
      <c r="GAC275" s="227"/>
      <c r="GAD275" s="227"/>
      <c r="GAE275" s="227"/>
      <c r="GAF275" s="227"/>
      <c r="GAG275" s="227"/>
      <c r="GAH275" s="227"/>
      <c r="GAI275" s="227"/>
      <c r="GAJ275" s="227"/>
      <c r="GAK275" s="227"/>
      <c r="GAL275" s="227"/>
      <c r="GAM275" s="227"/>
      <c r="GAN275" s="227"/>
      <c r="GAO275" s="227"/>
      <c r="GAP275" s="227"/>
      <c r="GAQ275" s="227"/>
      <c r="GAR275" s="227"/>
      <c r="GAS275" s="227"/>
      <c r="GAT275" s="227"/>
      <c r="GAU275" s="227"/>
      <c r="GAV275" s="227"/>
      <c r="GAW275" s="227"/>
      <c r="GAX275" s="227"/>
      <c r="GAY275" s="227"/>
      <c r="GAZ275" s="227"/>
      <c r="GBA275" s="227"/>
      <c r="GBB275" s="227"/>
      <c r="GBC275" s="227"/>
      <c r="GBD275" s="227"/>
      <c r="GBE275" s="227"/>
      <c r="GBF275" s="227"/>
      <c r="GBG275" s="227"/>
      <c r="GBH275" s="227"/>
      <c r="GBI275" s="227"/>
      <c r="GBJ275" s="227"/>
      <c r="GBK275" s="227"/>
      <c r="GBL275" s="227"/>
      <c r="GBM275" s="227"/>
      <c r="GBN275" s="227"/>
      <c r="GBO275" s="227"/>
      <c r="GBP275" s="227"/>
      <c r="GBQ275" s="227"/>
      <c r="GBR275" s="227"/>
      <c r="GBS275" s="227"/>
      <c r="GBT275" s="227"/>
      <c r="GBU275" s="227"/>
      <c r="GBV275" s="227"/>
      <c r="GBW275" s="227"/>
      <c r="GBX275" s="227"/>
      <c r="GBY275" s="227"/>
      <c r="GBZ275" s="227"/>
      <c r="GCA275" s="227"/>
      <c r="GCB275" s="227"/>
      <c r="GCC275" s="227"/>
      <c r="GCD275" s="227"/>
      <c r="GCE275" s="227"/>
      <c r="GCF275" s="227"/>
      <c r="GCG275" s="227"/>
      <c r="GCH275" s="227"/>
      <c r="GCI275" s="227"/>
      <c r="GCJ275" s="227"/>
      <c r="GCK275" s="227"/>
      <c r="GCL275" s="227"/>
      <c r="GCM275" s="227"/>
      <c r="GCN275" s="227"/>
      <c r="GCO275" s="227"/>
      <c r="GCP275" s="227"/>
      <c r="GCQ275" s="227"/>
      <c r="GCR275" s="227"/>
      <c r="GCS275" s="227"/>
      <c r="GCT275" s="227"/>
      <c r="GCU275" s="227"/>
      <c r="GCV275" s="227"/>
      <c r="GCW275" s="227"/>
      <c r="GCX275" s="227"/>
      <c r="GCY275" s="227"/>
      <c r="GCZ275" s="227"/>
      <c r="GDA275" s="227"/>
      <c r="GDB275" s="227"/>
      <c r="GDC275" s="227"/>
      <c r="GDD275" s="227"/>
      <c r="GDE275" s="227"/>
      <c r="GDF275" s="227"/>
      <c r="GDG275" s="227"/>
      <c r="GDH275" s="227"/>
      <c r="GDI275" s="227"/>
      <c r="GDJ275" s="227"/>
      <c r="GDK275" s="227"/>
      <c r="GDL275" s="227"/>
      <c r="GDM275" s="227"/>
      <c r="GDN275" s="227"/>
      <c r="GDO275" s="227"/>
      <c r="GDP275" s="227"/>
      <c r="GDQ275" s="227"/>
      <c r="GDR275" s="227"/>
      <c r="GDS275" s="227"/>
      <c r="GDT275" s="227"/>
      <c r="GDU275" s="227"/>
      <c r="GDV275" s="227"/>
      <c r="GDW275" s="227"/>
      <c r="GDX275" s="227"/>
      <c r="GDY275" s="227"/>
      <c r="GDZ275" s="227"/>
      <c r="GEA275" s="227"/>
      <c r="GEB275" s="227"/>
      <c r="GEC275" s="227"/>
      <c r="GED275" s="227"/>
      <c r="GEE275" s="227"/>
      <c r="GEF275" s="227"/>
      <c r="GEG275" s="227"/>
      <c r="GEH275" s="227"/>
      <c r="GEI275" s="227"/>
      <c r="GEJ275" s="227"/>
      <c r="GEK275" s="227"/>
      <c r="GEL275" s="227"/>
      <c r="GEM275" s="227"/>
      <c r="GEN275" s="227"/>
      <c r="GEO275" s="227"/>
      <c r="GEP275" s="227"/>
      <c r="GEQ275" s="227"/>
      <c r="GER275" s="227"/>
      <c r="GES275" s="227"/>
      <c r="GET275" s="227"/>
      <c r="GEU275" s="227"/>
      <c r="GEV275" s="227"/>
      <c r="GEW275" s="227"/>
      <c r="GEX275" s="227"/>
      <c r="GEY275" s="227"/>
      <c r="GEZ275" s="227"/>
      <c r="GFA275" s="227"/>
      <c r="GFB275" s="227"/>
      <c r="GFC275" s="227"/>
      <c r="GFD275" s="227"/>
      <c r="GFE275" s="227"/>
      <c r="GFF275" s="227"/>
      <c r="GFG275" s="227"/>
      <c r="GFH275" s="227"/>
      <c r="GFI275" s="227"/>
      <c r="GFJ275" s="227"/>
      <c r="GFK275" s="227"/>
      <c r="GFL275" s="227"/>
      <c r="GFM275" s="227"/>
      <c r="GFN275" s="227"/>
      <c r="GFO275" s="227"/>
      <c r="GFP275" s="227"/>
      <c r="GFQ275" s="227"/>
      <c r="GFR275" s="227"/>
      <c r="GFS275" s="227"/>
      <c r="GFT275" s="227"/>
      <c r="GFU275" s="227"/>
      <c r="GFV275" s="227"/>
      <c r="GFW275" s="227"/>
      <c r="GFX275" s="227"/>
      <c r="GFY275" s="227"/>
      <c r="GFZ275" s="227"/>
      <c r="GGA275" s="227"/>
      <c r="GGB275" s="227"/>
      <c r="GGC275" s="227"/>
      <c r="GGD275" s="227"/>
      <c r="GGE275" s="227"/>
      <c r="GGF275" s="227"/>
      <c r="GGG275" s="227"/>
      <c r="GGH275" s="227"/>
      <c r="GGI275" s="227"/>
      <c r="GGJ275" s="227"/>
      <c r="GGK275" s="227"/>
      <c r="GGL275" s="227"/>
      <c r="GGM275" s="227"/>
      <c r="GGN275" s="227"/>
      <c r="GGO275" s="227"/>
      <c r="GGP275" s="227"/>
      <c r="GGQ275" s="227"/>
      <c r="GGR275" s="227"/>
      <c r="GGS275" s="227"/>
      <c r="GGT275" s="227"/>
      <c r="GGU275" s="227"/>
      <c r="GGV275" s="227"/>
      <c r="GGW275" s="227"/>
      <c r="GGX275" s="227"/>
      <c r="GGY275" s="227"/>
      <c r="GGZ275" s="227"/>
      <c r="GHA275" s="227"/>
      <c r="GHB275" s="227"/>
      <c r="GHC275" s="227"/>
      <c r="GHD275" s="227"/>
      <c r="GHE275" s="227"/>
      <c r="GHF275" s="227"/>
      <c r="GHG275" s="227"/>
      <c r="GHH275" s="227"/>
      <c r="GHI275" s="227"/>
      <c r="GHJ275" s="227"/>
      <c r="GHK275" s="227"/>
      <c r="GHL275" s="227"/>
      <c r="GHM275" s="227"/>
      <c r="GHN275" s="227"/>
      <c r="GHO275" s="227"/>
      <c r="GHP275" s="227"/>
      <c r="GHQ275" s="227"/>
      <c r="GHR275" s="227"/>
      <c r="GHS275" s="227"/>
      <c r="GHT275" s="227"/>
      <c r="GHU275" s="227"/>
      <c r="GHV275" s="227"/>
      <c r="GHW275" s="227"/>
      <c r="GHX275" s="227"/>
      <c r="GHY275" s="227"/>
      <c r="GHZ275" s="227"/>
      <c r="GIA275" s="227"/>
      <c r="GIB275" s="227"/>
      <c r="GIC275" s="227"/>
      <c r="GID275" s="227"/>
      <c r="GIE275" s="227"/>
      <c r="GIF275" s="227"/>
      <c r="GIG275" s="227"/>
      <c r="GIH275" s="227"/>
      <c r="GII275" s="227"/>
      <c r="GIJ275" s="227"/>
      <c r="GIK275" s="227"/>
      <c r="GIL275" s="227"/>
      <c r="GIM275" s="227"/>
      <c r="GIN275" s="227"/>
      <c r="GIO275" s="227"/>
      <c r="GIP275" s="227"/>
      <c r="GIQ275" s="227"/>
      <c r="GIR275" s="227"/>
      <c r="GIS275" s="227"/>
      <c r="GIT275" s="227"/>
      <c r="GIU275" s="227"/>
      <c r="GIV275" s="227"/>
      <c r="GIW275" s="227"/>
      <c r="GIX275" s="227"/>
      <c r="GIY275" s="227"/>
      <c r="GIZ275" s="227"/>
      <c r="GJA275" s="227"/>
      <c r="GJB275" s="227"/>
      <c r="GJC275" s="227"/>
      <c r="GJD275" s="227"/>
      <c r="GJE275" s="227"/>
      <c r="GJF275" s="227"/>
      <c r="GJG275" s="227"/>
      <c r="GJH275" s="227"/>
      <c r="GJI275" s="227"/>
      <c r="GJJ275" s="227"/>
      <c r="GJK275" s="227"/>
      <c r="GJL275" s="227"/>
      <c r="GJM275" s="227"/>
      <c r="GJN275" s="227"/>
      <c r="GJO275" s="227"/>
      <c r="GJP275" s="227"/>
      <c r="GJQ275" s="227"/>
      <c r="GJR275" s="227"/>
      <c r="GJS275" s="227"/>
      <c r="GJT275" s="227"/>
      <c r="GJU275" s="227"/>
      <c r="GJV275" s="227"/>
      <c r="GJW275" s="227"/>
      <c r="GJX275" s="227"/>
      <c r="GJY275" s="227"/>
      <c r="GJZ275" s="227"/>
      <c r="GKA275" s="227"/>
      <c r="GKB275" s="227"/>
      <c r="GKC275" s="227"/>
      <c r="GKD275" s="227"/>
      <c r="GKE275" s="227"/>
      <c r="GKF275" s="227"/>
      <c r="GKG275" s="227"/>
      <c r="GKH275" s="227"/>
      <c r="GKI275" s="227"/>
      <c r="GKJ275" s="227"/>
      <c r="GKK275" s="227"/>
      <c r="GKL275" s="227"/>
      <c r="GKM275" s="227"/>
      <c r="GKN275" s="227"/>
      <c r="GKO275" s="227"/>
      <c r="GKP275" s="227"/>
      <c r="GKQ275" s="227"/>
      <c r="GKR275" s="227"/>
      <c r="GKS275" s="227"/>
      <c r="GKT275" s="227"/>
      <c r="GKU275" s="227"/>
      <c r="GKV275" s="227"/>
      <c r="GKW275" s="227"/>
      <c r="GKX275" s="227"/>
      <c r="GKY275" s="227"/>
      <c r="GKZ275" s="227"/>
      <c r="GLA275" s="227"/>
      <c r="GLB275" s="227"/>
      <c r="GLC275" s="227"/>
      <c r="GLD275" s="227"/>
      <c r="GLE275" s="227"/>
      <c r="GLF275" s="227"/>
      <c r="GLG275" s="227"/>
      <c r="GLH275" s="227"/>
      <c r="GLI275" s="227"/>
      <c r="GLJ275" s="227"/>
      <c r="GLK275" s="227"/>
      <c r="GLL275" s="227"/>
      <c r="GLM275" s="227"/>
      <c r="GLN275" s="227"/>
      <c r="GLO275" s="227"/>
      <c r="GLP275" s="227"/>
      <c r="GLQ275" s="227"/>
      <c r="GLR275" s="227"/>
      <c r="GLS275" s="227"/>
      <c r="GLT275" s="227"/>
      <c r="GLU275" s="227"/>
      <c r="GLV275" s="227"/>
      <c r="GLW275" s="227"/>
      <c r="GLX275" s="227"/>
      <c r="GLY275" s="227"/>
      <c r="GLZ275" s="227"/>
      <c r="GMA275" s="227"/>
      <c r="GMB275" s="227"/>
      <c r="GMC275" s="227"/>
      <c r="GMD275" s="227"/>
      <c r="GME275" s="227"/>
      <c r="GMF275" s="227"/>
      <c r="GMG275" s="227"/>
      <c r="GMH275" s="227"/>
      <c r="GMI275" s="227"/>
      <c r="GMJ275" s="227"/>
      <c r="GMK275" s="227"/>
      <c r="GML275" s="227"/>
      <c r="GMM275" s="227"/>
      <c r="GMN275" s="227"/>
      <c r="GMO275" s="227"/>
      <c r="GMP275" s="227"/>
      <c r="GMQ275" s="227"/>
      <c r="GMR275" s="227"/>
      <c r="GMS275" s="227"/>
      <c r="GMT275" s="227"/>
      <c r="GMU275" s="227"/>
      <c r="GMV275" s="227"/>
      <c r="GMW275" s="227"/>
      <c r="GMX275" s="227"/>
      <c r="GMY275" s="227"/>
      <c r="GMZ275" s="227"/>
      <c r="GNA275" s="227"/>
      <c r="GNB275" s="227"/>
      <c r="GNC275" s="227"/>
      <c r="GND275" s="227"/>
      <c r="GNE275" s="227"/>
      <c r="GNF275" s="227"/>
      <c r="GNG275" s="227"/>
      <c r="GNH275" s="227"/>
      <c r="GNI275" s="227"/>
      <c r="GNJ275" s="227"/>
      <c r="GNK275" s="227"/>
      <c r="GNL275" s="227"/>
      <c r="GNM275" s="227"/>
      <c r="GNN275" s="227"/>
      <c r="GNO275" s="227"/>
      <c r="GNP275" s="227"/>
      <c r="GNQ275" s="227"/>
      <c r="GNR275" s="227"/>
      <c r="GNS275" s="227"/>
      <c r="GNT275" s="227"/>
      <c r="GNU275" s="227"/>
      <c r="GNV275" s="227"/>
      <c r="GNW275" s="227"/>
      <c r="GNX275" s="227"/>
      <c r="GNY275" s="227"/>
      <c r="GNZ275" s="227"/>
      <c r="GOA275" s="227"/>
      <c r="GOB275" s="227"/>
      <c r="GOC275" s="227"/>
      <c r="GOD275" s="227"/>
      <c r="GOE275" s="227"/>
      <c r="GOF275" s="227"/>
      <c r="GOG275" s="227"/>
      <c r="GOH275" s="227"/>
      <c r="GOI275" s="227"/>
      <c r="GOJ275" s="227"/>
      <c r="GOK275" s="227"/>
      <c r="GOL275" s="227"/>
      <c r="GOM275" s="227"/>
      <c r="GON275" s="227"/>
      <c r="GOO275" s="227"/>
      <c r="GOP275" s="227"/>
      <c r="GOQ275" s="227"/>
      <c r="GOR275" s="227"/>
      <c r="GOS275" s="227"/>
      <c r="GOT275" s="227"/>
      <c r="GOU275" s="227"/>
      <c r="GOV275" s="227"/>
      <c r="GOW275" s="227"/>
      <c r="GOX275" s="227"/>
      <c r="GOY275" s="227"/>
      <c r="GOZ275" s="227"/>
      <c r="GPA275" s="227"/>
      <c r="GPB275" s="227"/>
      <c r="GPC275" s="227"/>
      <c r="GPD275" s="227"/>
      <c r="GPE275" s="227"/>
      <c r="GPF275" s="227"/>
      <c r="GPG275" s="227"/>
      <c r="GPH275" s="227"/>
      <c r="GPI275" s="227"/>
      <c r="GPJ275" s="227"/>
      <c r="GPK275" s="227"/>
      <c r="GPL275" s="227"/>
      <c r="GPM275" s="227"/>
      <c r="GPN275" s="227"/>
      <c r="GPO275" s="227"/>
      <c r="GPP275" s="227"/>
      <c r="GPQ275" s="227"/>
      <c r="GPR275" s="227"/>
      <c r="GPS275" s="227"/>
      <c r="GPT275" s="227"/>
      <c r="GPU275" s="227"/>
      <c r="GPV275" s="227"/>
      <c r="GPW275" s="227"/>
      <c r="GPX275" s="227"/>
      <c r="GPY275" s="227"/>
      <c r="GPZ275" s="227"/>
      <c r="GQA275" s="227"/>
      <c r="GQB275" s="227"/>
      <c r="GQC275" s="227"/>
      <c r="GQD275" s="227"/>
      <c r="GQE275" s="227"/>
      <c r="GQF275" s="227"/>
      <c r="GQG275" s="227"/>
      <c r="GQH275" s="227"/>
      <c r="GQI275" s="227"/>
      <c r="GQJ275" s="227"/>
      <c r="GQK275" s="227"/>
      <c r="GQL275" s="227"/>
      <c r="GQM275" s="227"/>
      <c r="GQN275" s="227"/>
      <c r="GQO275" s="227"/>
      <c r="GQP275" s="227"/>
      <c r="GQQ275" s="227"/>
      <c r="GQR275" s="227"/>
      <c r="GQS275" s="227"/>
      <c r="GQT275" s="227"/>
      <c r="GQU275" s="227"/>
      <c r="GQV275" s="227"/>
      <c r="GQW275" s="227"/>
      <c r="GQX275" s="227"/>
      <c r="GQY275" s="227"/>
      <c r="GQZ275" s="227"/>
      <c r="GRA275" s="227"/>
      <c r="GRB275" s="227"/>
      <c r="GRC275" s="227"/>
      <c r="GRD275" s="227"/>
      <c r="GRE275" s="227"/>
      <c r="GRF275" s="227"/>
      <c r="GRG275" s="227"/>
      <c r="GRH275" s="227"/>
      <c r="GRI275" s="227"/>
      <c r="GRJ275" s="227"/>
      <c r="GRK275" s="227"/>
      <c r="GRL275" s="227"/>
      <c r="GRM275" s="227"/>
      <c r="GRN275" s="227"/>
      <c r="GRO275" s="227"/>
      <c r="GRP275" s="227"/>
      <c r="GRQ275" s="227"/>
      <c r="GRR275" s="227"/>
      <c r="GRS275" s="227"/>
      <c r="GRT275" s="227"/>
      <c r="GRU275" s="227"/>
      <c r="GRV275" s="227"/>
      <c r="GRW275" s="227"/>
      <c r="GRX275" s="227"/>
      <c r="GRY275" s="227"/>
      <c r="GRZ275" s="227"/>
      <c r="GSA275" s="227"/>
      <c r="GSB275" s="227"/>
      <c r="GSC275" s="227"/>
      <c r="GSD275" s="227"/>
      <c r="GSE275" s="227"/>
      <c r="GSF275" s="227"/>
      <c r="GSG275" s="227"/>
      <c r="GSH275" s="227"/>
      <c r="GSI275" s="227"/>
      <c r="GSJ275" s="227"/>
      <c r="GSK275" s="227"/>
      <c r="GSL275" s="227"/>
      <c r="GSM275" s="227"/>
      <c r="GSN275" s="227"/>
      <c r="GSO275" s="227"/>
      <c r="GSP275" s="227"/>
      <c r="GSQ275" s="227"/>
      <c r="GSR275" s="227"/>
      <c r="GSS275" s="227"/>
      <c r="GST275" s="227"/>
      <c r="GSU275" s="227"/>
      <c r="GSV275" s="227"/>
      <c r="GSW275" s="227"/>
      <c r="GSX275" s="227"/>
      <c r="GSY275" s="227"/>
      <c r="GSZ275" s="227"/>
      <c r="GTA275" s="227"/>
      <c r="GTB275" s="227"/>
      <c r="GTC275" s="227"/>
      <c r="GTD275" s="227"/>
      <c r="GTE275" s="227"/>
      <c r="GTF275" s="227"/>
      <c r="GTG275" s="227"/>
      <c r="GTH275" s="227"/>
      <c r="GTI275" s="227"/>
      <c r="GTJ275" s="227"/>
      <c r="GTK275" s="227"/>
      <c r="GTL275" s="227"/>
      <c r="GTM275" s="227"/>
      <c r="GTN275" s="227"/>
      <c r="GTO275" s="227"/>
      <c r="GTP275" s="227"/>
      <c r="GTQ275" s="227"/>
      <c r="GTR275" s="227"/>
      <c r="GTS275" s="227"/>
      <c r="GTT275" s="227"/>
      <c r="GTU275" s="227"/>
      <c r="GTV275" s="227"/>
      <c r="GTW275" s="227"/>
      <c r="GTX275" s="227"/>
      <c r="GTY275" s="227"/>
      <c r="GTZ275" s="227"/>
      <c r="GUA275" s="227"/>
      <c r="GUB275" s="227"/>
      <c r="GUC275" s="227"/>
      <c r="GUD275" s="227"/>
      <c r="GUE275" s="227"/>
      <c r="GUF275" s="227"/>
      <c r="GUG275" s="227"/>
      <c r="GUH275" s="227"/>
      <c r="GUI275" s="227"/>
      <c r="GUJ275" s="227"/>
      <c r="GUK275" s="227"/>
      <c r="GUL275" s="227"/>
      <c r="GUM275" s="227"/>
      <c r="GUN275" s="227"/>
      <c r="GUO275" s="227"/>
      <c r="GUP275" s="227"/>
      <c r="GUQ275" s="227"/>
      <c r="GUR275" s="227"/>
      <c r="GUS275" s="227"/>
      <c r="GUT275" s="227"/>
      <c r="GUU275" s="227"/>
      <c r="GUV275" s="227"/>
      <c r="GUW275" s="227"/>
      <c r="GUX275" s="227"/>
      <c r="GUY275" s="227"/>
      <c r="GUZ275" s="227"/>
      <c r="GVA275" s="227"/>
      <c r="GVB275" s="227"/>
      <c r="GVC275" s="227"/>
      <c r="GVD275" s="227"/>
      <c r="GVE275" s="227"/>
      <c r="GVF275" s="227"/>
      <c r="GVG275" s="227"/>
      <c r="GVH275" s="227"/>
      <c r="GVI275" s="227"/>
      <c r="GVJ275" s="227"/>
      <c r="GVK275" s="227"/>
      <c r="GVL275" s="227"/>
      <c r="GVM275" s="227"/>
      <c r="GVN275" s="227"/>
      <c r="GVO275" s="227"/>
      <c r="GVP275" s="227"/>
      <c r="GVQ275" s="227"/>
      <c r="GVR275" s="227"/>
      <c r="GVS275" s="227"/>
      <c r="GVT275" s="227"/>
      <c r="GVU275" s="227"/>
      <c r="GVV275" s="227"/>
      <c r="GVW275" s="227"/>
      <c r="GVX275" s="227"/>
      <c r="GVY275" s="227"/>
      <c r="GVZ275" s="227"/>
      <c r="GWA275" s="227"/>
      <c r="GWB275" s="227"/>
      <c r="GWC275" s="227"/>
      <c r="GWD275" s="227"/>
      <c r="GWE275" s="227"/>
      <c r="GWF275" s="227"/>
      <c r="GWG275" s="227"/>
      <c r="GWH275" s="227"/>
      <c r="GWI275" s="227"/>
      <c r="GWJ275" s="227"/>
      <c r="GWK275" s="227"/>
      <c r="GWL275" s="227"/>
      <c r="GWM275" s="227"/>
      <c r="GWN275" s="227"/>
      <c r="GWO275" s="227"/>
      <c r="GWP275" s="227"/>
      <c r="GWQ275" s="227"/>
      <c r="GWR275" s="227"/>
      <c r="GWS275" s="227"/>
      <c r="GWT275" s="227"/>
      <c r="GWU275" s="227"/>
      <c r="GWV275" s="227"/>
      <c r="GWW275" s="227"/>
      <c r="GWX275" s="227"/>
      <c r="GWY275" s="227"/>
      <c r="GWZ275" s="227"/>
      <c r="GXA275" s="227"/>
      <c r="GXB275" s="227"/>
      <c r="GXC275" s="227"/>
      <c r="GXD275" s="227"/>
      <c r="GXE275" s="227"/>
      <c r="GXF275" s="227"/>
      <c r="GXG275" s="227"/>
      <c r="GXH275" s="227"/>
      <c r="GXI275" s="227"/>
      <c r="GXJ275" s="227"/>
      <c r="GXK275" s="227"/>
      <c r="GXL275" s="227"/>
      <c r="GXM275" s="227"/>
      <c r="GXN275" s="227"/>
      <c r="GXO275" s="227"/>
      <c r="GXP275" s="227"/>
      <c r="GXQ275" s="227"/>
      <c r="GXR275" s="227"/>
      <c r="GXS275" s="227"/>
      <c r="GXT275" s="227"/>
      <c r="GXU275" s="227"/>
      <c r="GXV275" s="227"/>
      <c r="GXW275" s="227"/>
      <c r="GXX275" s="227"/>
      <c r="GXY275" s="227"/>
      <c r="GXZ275" s="227"/>
      <c r="GYA275" s="227"/>
      <c r="GYB275" s="227"/>
      <c r="GYC275" s="227"/>
      <c r="GYD275" s="227"/>
      <c r="GYE275" s="227"/>
      <c r="GYF275" s="227"/>
      <c r="GYG275" s="227"/>
      <c r="GYH275" s="227"/>
      <c r="GYI275" s="227"/>
      <c r="GYJ275" s="227"/>
      <c r="GYK275" s="227"/>
      <c r="GYL275" s="227"/>
      <c r="GYM275" s="227"/>
      <c r="GYN275" s="227"/>
      <c r="GYO275" s="227"/>
      <c r="GYP275" s="227"/>
      <c r="GYQ275" s="227"/>
      <c r="GYR275" s="227"/>
      <c r="GYS275" s="227"/>
      <c r="GYT275" s="227"/>
      <c r="GYU275" s="227"/>
      <c r="GYV275" s="227"/>
      <c r="GYW275" s="227"/>
      <c r="GYX275" s="227"/>
      <c r="GYY275" s="227"/>
      <c r="GYZ275" s="227"/>
      <c r="GZA275" s="227"/>
      <c r="GZB275" s="227"/>
      <c r="GZC275" s="227"/>
      <c r="GZD275" s="227"/>
      <c r="GZE275" s="227"/>
      <c r="GZF275" s="227"/>
      <c r="GZG275" s="227"/>
      <c r="GZH275" s="227"/>
      <c r="GZI275" s="227"/>
      <c r="GZJ275" s="227"/>
      <c r="GZK275" s="227"/>
      <c r="GZL275" s="227"/>
      <c r="GZM275" s="227"/>
      <c r="GZN275" s="227"/>
      <c r="GZO275" s="227"/>
      <c r="GZP275" s="227"/>
      <c r="GZQ275" s="227"/>
      <c r="GZR275" s="227"/>
      <c r="GZS275" s="227"/>
      <c r="GZT275" s="227"/>
      <c r="GZU275" s="227"/>
      <c r="GZV275" s="227"/>
      <c r="GZW275" s="227"/>
      <c r="GZX275" s="227"/>
      <c r="GZY275" s="227"/>
      <c r="GZZ275" s="227"/>
      <c r="HAA275" s="227"/>
      <c r="HAB275" s="227"/>
      <c r="HAC275" s="227"/>
      <c r="HAD275" s="227"/>
      <c r="HAE275" s="227"/>
      <c r="HAF275" s="227"/>
      <c r="HAG275" s="227"/>
      <c r="HAH275" s="227"/>
      <c r="HAI275" s="227"/>
      <c r="HAJ275" s="227"/>
      <c r="HAK275" s="227"/>
      <c r="HAL275" s="227"/>
      <c r="HAM275" s="227"/>
      <c r="HAN275" s="227"/>
      <c r="HAO275" s="227"/>
      <c r="HAP275" s="227"/>
      <c r="HAQ275" s="227"/>
      <c r="HAR275" s="227"/>
      <c r="HAS275" s="227"/>
      <c r="HAT275" s="227"/>
      <c r="HAU275" s="227"/>
      <c r="HAV275" s="227"/>
      <c r="HAW275" s="227"/>
      <c r="HAX275" s="227"/>
      <c r="HAY275" s="227"/>
      <c r="HAZ275" s="227"/>
      <c r="HBA275" s="227"/>
      <c r="HBB275" s="227"/>
      <c r="HBC275" s="227"/>
      <c r="HBD275" s="227"/>
      <c r="HBE275" s="227"/>
      <c r="HBF275" s="227"/>
      <c r="HBG275" s="227"/>
      <c r="HBH275" s="227"/>
      <c r="HBI275" s="227"/>
      <c r="HBJ275" s="227"/>
      <c r="HBK275" s="227"/>
      <c r="HBL275" s="227"/>
      <c r="HBM275" s="227"/>
      <c r="HBN275" s="227"/>
      <c r="HBO275" s="227"/>
      <c r="HBP275" s="227"/>
      <c r="HBQ275" s="227"/>
      <c r="HBR275" s="227"/>
      <c r="HBS275" s="227"/>
      <c r="HBT275" s="227"/>
      <c r="HBU275" s="227"/>
      <c r="HBV275" s="227"/>
      <c r="HBW275" s="227"/>
      <c r="HBX275" s="227"/>
      <c r="HBY275" s="227"/>
      <c r="HBZ275" s="227"/>
      <c r="HCA275" s="227"/>
      <c r="HCB275" s="227"/>
      <c r="HCC275" s="227"/>
      <c r="HCD275" s="227"/>
      <c r="HCE275" s="227"/>
      <c r="HCF275" s="227"/>
      <c r="HCG275" s="227"/>
      <c r="HCH275" s="227"/>
      <c r="HCI275" s="227"/>
      <c r="HCJ275" s="227"/>
      <c r="HCK275" s="227"/>
      <c r="HCL275" s="227"/>
      <c r="HCM275" s="227"/>
      <c r="HCN275" s="227"/>
      <c r="HCO275" s="227"/>
      <c r="HCP275" s="227"/>
      <c r="HCQ275" s="227"/>
      <c r="HCR275" s="227"/>
      <c r="HCS275" s="227"/>
      <c r="HCT275" s="227"/>
      <c r="HCU275" s="227"/>
      <c r="HCV275" s="227"/>
      <c r="HCW275" s="227"/>
      <c r="HCX275" s="227"/>
      <c r="HCY275" s="227"/>
      <c r="HCZ275" s="227"/>
      <c r="HDA275" s="227"/>
      <c r="HDB275" s="227"/>
      <c r="HDC275" s="227"/>
      <c r="HDD275" s="227"/>
      <c r="HDE275" s="227"/>
      <c r="HDF275" s="227"/>
      <c r="HDG275" s="227"/>
      <c r="HDH275" s="227"/>
      <c r="HDI275" s="227"/>
      <c r="HDJ275" s="227"/>
      <c r="HDK275" s="227"/>
      <c r="HDL275" s="227"/>
      <c r="HDM275" s="227"/>
      <c r="HDN275" s="227"/>
      <c r="HDO275" s="227"/>
      <c r="HDP275" s="227"/>
      <c r="HDQ275" s="227"/>
      <c r="HDR275" s="227"/>
      <c r="HDS275" s="227"/>
      <c r="HDT275" s="227"/>
      <c r="HDU275" s="227"/>
      <c r="HDV275" s="227"/>
      <c r="HDW275" s="227"/>
      <c r="HDX275" s="227"/>
      <c r="HDY275" s="227"/>
      <c r="HDZ275" s="227"/>
      <c r="HEA275" s="227"/>
      <c r="HEB275" s="227"/>
      <c r="HEC275" s="227"/>
      <c r="HED275" s="227"/>
      <c r="HEE275" s="227"/>
      <c r="HEF275" s="227"/>
      <c r="HEG275" s="227"/>
      <c r="HEH275" s="227"/>
      <c r="HEI275" s="227"/>
      <c r="HEJ275" s="227"/>
      <c r="HEK275" s="227"/>
      <c r="HEL275" s="227"/>
      <c r="HEM275" s="227"/>
      <c r="HEN275" s="227"/>
      <c r="HEO275" s="227"/>
      <c r="HEP275" s="227"/>
      <c r="HEQ275" s="227"/>
      <c r="HER275" s="227"/>
      <c r="HES275" s="227"/>
      <c r="HET275" s="227"/>
      <c r="HEU275" s="227"/>
      <c r="HEV275" s="227"/>
      <c r="HEW275" s="227"/>
      <c r="HEX275" s="227"/>
      <c r="HEY275" s="227"/>
      <c r="HEZ275" s="227"/>
      <c r="HFA275" s="227"/>
      <c r="HFB275" s="227"/>
      <c r="HFC275" s="227"/>
      <c r="HFD275" s="227"/>
      <c r="HFE275" s="227"/>
      <c r="HFF275" s="227"/>
      <c r="HFG275" s="227"/>
      <c r="HFH275" s="227"/>
      <c r="HFI275" s="227"/>
      <c r="HFJ275" s="227"/>
      <c r="HFK275" s="227"/>
      <c r="HFL275" s="227"/>
      <c r="HFM275" s="227"/>
      <c r="HFN275" s="227"/>
      <c r="HFO275" s="227"/>
      <c r="HFP275" s="227"/>
      <c r="HFQ275" s="227"/>
      <c r="HFR275" s="227"/>
      <c r="HFS275" s="227"/>
      <c r="HFT275" s="227"/>
      <c r="HFU275" s="227"/>
      <c r="HFV275" s="227"/>
      <c r="HFW275" s="227"/>
      <c r="HFX275" s="227"/>
      <c r="HFY275" s="227"/>
      <c r="HFZ275" s="227"/>
      <c r="HGA275" s="227"/>
      <c r="HGB275" s="227"/>
      <c r="HGC275" s="227"/>
      <c r="HGD275" s="227"/>
      <c r="HGE275" s="227"/>
      <c r="HGF275" s="227"/>
      <c r="HGG275" s="227"/>
      <c r="HGH275" s="227"/>
      <c r="HGI275" s="227"/>
      <c r="HGJ275" s="227"/>
      <c r="HGK275" s="227"/>
      <c r="HGL275" s="227"/>
      <c r="HGM275" s="227"/>
      <c r="HGN275" s="227"/>
      <c r="HGO275" s="227"/>
      <c r="HGP275" s="227"/>
      <c r="HGQ275" s="227"/>
      <c r="HGR275" s="227"/>
      <c r="HGS275" s="227"/>
      <c r="HGT275" s="227"/>
      <c r="HGU275" s="227"/>
      <c r="HGV275" s="227"/>
      <c r="HGW275" s="227"/>
      <c r="HGX275" s="227"/>
      <c r="HGY275" s="227"/>
      <c r="HGZ275" s="227"/>
      <c r="HHA275" s="227"/>
      <c r="HHB275" s="227"/>
      <c r="HHC275" s="227"/>
      <c r="HHD275" s="227"/>
      <c r="HHE275" s="227"/>
      <c r="HHF275" s="227"/>
      <c r="HHG275" s="227"/>
      <c r="HHH275" s="227"/>
      <c r="HHI275" s="227"/>
      <c r="HHJ275" s="227"/>
      <c r="HHK275" s="227"/>
      <c r="HHL275" s="227"/>
      <c r="HHM275" s="227"/>
      <c r="HHN275" s="227"/>
      <c r="HHO275" s="227"/>
      <c r="HHP275" s="227"/>
      <c r="HHQ275" s="227"/>
      <c r="HHR275" s="227"/>
      <c r="HHS275" s="227"/>
      <c r="HHT275" s="227"/>
      <c r="HHU275" s="227"/>
      <c r="HHV275" s="227"/>
      <c r="HHW275" s="227"/>
      <c r="HHX275" s="227"/>
      <c r="HHY275" s="227"/>
      <c r="HHZ275" s="227"/>
      <c r="HIA275" s="227"/>
      <c r="HIB275" s="227"/>
      <c r="HIC275" s="227"/>
      <c r="HID275" s="227"/>
      <c r="HIE275" s="227"/>
      <c r="HIF275" s="227"/>
      <c r="HIG275" s="227"/>
      <c r="HIH275" s="227"/>
      <c r="HII275" s="227"/>
      <c r="HIJ275" s="227"/>
      <c r="HIK275" s="227"/>
      <c r="HIL275" s="227"/>
      <c r="HIM275" s="227"/>
      <c r="HIN275" s="227"/>
      <c r="HIO275" s="227"/>
      <c r="HIP275" s="227"/>
      <c r="HIQ275" s="227"/>
      <c r="HIR275" s="227"/>
      <c r="HIS275" s="227"/>
      <c r="HIT275" s="227"/>
      <c r="HIU275" s="227"/>
      <c r="HIV275" s="227"/>
      <c r="HIW275" s="227"/>
      <c r="HIX275" s="227"/>
      <c r="HIY275" s="227"/>
      <c r="HIZ275" s="227"/>
      <c r="HJA275" s="227"/>
      <c r="HJB275" s="227"/>
      <c r="HJC275" s="227"/>
      <c r="HJD275" s="227"/>
      <c r="HJE275" s="227"/>
      <c r="HJF275" s="227"/>
      <c r="HJG275" s="227"/>
      <c r="HJH275" s="227"/>
      <c r="HJI275" s="227"/>
      <c r="HJJ275" s="227"/>
      <c r="HJK275" s="227"/>
      <c r="HJL275" s="227"/>
      <c r="HJM275" s="227"/>
      <c r="HJN275" s="227"/>
      <c r="HJO275" s="227"/>
      <c r="HJP275" s="227"/>
      <c r="HJQ275" s="227"/>
      <c r="HJR275" s="227"/>
      <c r="HJS275" s="227"/>
      <c r="HJT275" s="227"/>
      <c r="HJU275" s="227"/>
      <c r="HJV275" s="227"/>
      <c r="HJW275" s="227"/>
      <c r="HJX275" s="227"/>
      <c r="HJY275" s="227"/>
      <c r="HJZ275" s="227"/>
      <c r="HKA275" s="227"/>
      <c r="HKB275" s="227"/>
      <c r="HKC275" s="227"/>
      <c r="HKD275" s="227"/>
      <c r="HKE275" s="227"/>
      <c r="HKF275" s="227"/>
      <c r="HKG275" s="227"/>
      <c r="HKH275" s="227"/>
      <c r="HKI275" s="227"/>
      <c r="HKJ275" s="227"/>
      <c r="HKK275" s="227"/>
      <c r="HKL275" s="227"/>
      <c r="HKM275" s="227"/>
      <c r="HKN275" s="227"/>
      <c r="HKO275" s="227"/>
      <c r="HKP275" s="227"/>
      <c r="HKQ275" s="227"/>
      <c r="HKR275" s="227"/>
      <c r="HKS275" s="227"/>
      <c r="HKT275" s="227"/>
      <c r="HKU275" s="227"/>
      <c r="HKV275" s="227"/>
      <c r="HKW275" s="227"/>
      <c r="HKX275" s="227"/>
      <c r="HKY275" s="227"/>
      <c r="HKZ275" s="227"/>
      <c r="HLA275" s="227"/>
      <c r="HLB275" s="227"/>
      <c r="HLC275" s="227"/>
      <c r="HLD275" s="227"/>
      <c r="HLE275" s="227"/>
      <c r="HLF275" s="227"/>
      <c r="HLG275" s="227"/>
      <c r="HLH275" s="227"/>
      <c r="HLI275" s="227"/>
      <c r="HLJ275" s="227"/>
      <c r="HLK275" s="227"/>
      <c r="HLL275" s="227"/>
      <c r="HLM275" s="227"/>
      <c r="HLN275" s="227"/>
      <c r="HLO275" s="227"/>
      <c r="HLP275" s="227"/>
      <c r="HLQ275" s="227"/>
      <c r="HLR275" s="227"/>
      <c r="HLS275" s="227"/>
      <c r="HLT275" s="227"/>
      <c r="HLU275" s="227"/>
      <c r="HLV275" s="227"/>
      <c r="HLW275" s="227"/>
      <c r="HLX275" s="227"/>
      <c r="HLY275" s="227"/>
      <c r="HLZ275" s="227"/>
      <c r="HMA275" s="227"/>
      <c r="HMB275" s="227"/>
      <c r="HMC275" s="227"/>
      <c r="HMD275" s="227"/>
      <c r="HME275" s="227"/>
      <c r="HMF275" s="227"/>
      <c r="HMG275" s="227"/>
      <c r="HMH275" s="227"/>
      <c r="HMI275" s="227"/>
      <c r="HMJ275" s="227"/>
      <c r="HMK275" s="227"/>
      <c r="HML275" s="227"/>
      <c r="HMM275" s="227"/>
      <c r="HMN275" s="227"/>
      <c r="HMO275" s="227"/>
      <c r="HMP275" s="227"/>
      <c r="HMQ275" s="227"/>
      <c r="HMR275" s="227"/>
      <c r="HMS275" s="227"/>
      <c r="HMT275" s="227"/>
      <c r="HMU275" s="227"/>
      <c r="HMV275" s="227"/>
      <c r="HMW275" s="227"/>
      <c r="HMX275" s="227"/>
      <c r="HMY275" s="227"/>
      <c r="HMZ275" s="227"/>
      <c r="HNA275" s="227"/>
      <c r="HNB275" s="227"/>
      <c r="HNC275" s="227"/>
      <c r="HND275" s="227"/>
      <c r="HNE275" s="227"/>
      <c r="HNF275" s="227"/>
      <c r="HNG275" s="227"/>
      <c r="HNH275" s="227"/>
      <c r="HNI275" s="227"/>
      <c r="HNJ275" s="227"/>
      <c r="HNK275" s="227"/>
      <c r="HNL275" s="227"/>
      <c r="HNM275" s="227"/>
      <c r="HNN275" s="227"/>
      <c r="HNO275" s="227"/>
      <c r="HNP275" s="227"/>
      <c r="HNQ275" s="227"/>
      <c r="HNR275" s="227"/>
      <c r="HNS275" s="227"/>
      <c r="HNT275" s="227"/>
      <c r="HNU275" s="227"/>
      <c r="HNV275" s="227"/>
      <c r="HNW275" s="227"/>
      <c r="HNX275" s="227"/>
      <c r="HNY275" s="227"/>
      <c r="HNZ275" s="227"/>
      <c r="HOA275" s="227"/>
      <c r="HOB275" s="227"/>
      <c r="HOC275" s="227"/>
      <c r="HOD275" s="227"/>
      <c r="HOE275" s="227"/>
      <c r="HOF275" s="227"/>
      <c r="HOG275" s="227"/>
      <c r="HOH275" s="227"/>
      <c r="HOI275" s="227"/>
      <c r="HOJ275" s="227"/>
      <c r="HOK275" s="227"/>
      <c r="HOL275" s="227"/>
      <c r="HOM275" s="227"/>
      <c r="HON275" s="227"/>
      <c r="HOO275" s="227"/>
      <c r="HOP275" s="227"/>
      <c r="HOQ275" s="227"/>
      <c r="HOR275" s="227"/>
      <c r="HOS275" s="227"/>
      <c r="HOT275" s="227"/>
      <c r="HOU275" s="227"/>
      <c r="HOV275" s="227"/>
      <c r="HOW275" s="227"/>
      <c r="HOX275" s="227"/>
      <c r="HOY275" s="227"/>
      <c r="HOZ275" s="227"/>
      <c r="HPA275" s="227"/>
      <c r="HPB275" s="227"/>
      <c r="HPC275" s="227"/>
      <c r="HPD275" s="227"/>
      <c r="HPE275" s="227"/>
      <c r="HPF275" s="227"/>
      <c r="HPG275" s="227"/>
      <c r="HPH275" s="227"/>
      <c r="HPI275" s="227"/>
      <c r="HPJ275" s="227"/>
      <c r="HPK275" s="227"/>
      <c r="HPL275" s="227"/>
      <c r="HPM275" s="227"/>
      <c r="HPN275" s="227"/>
      <c r="HPO275" s="227"/>
      <c r="HPP275" s="227"/>
      <c r="HPQ275" s="227"/>
      <c r="HPR275" s="227"/>
      <c r="HPS275" s="227"/>
      <c r="HPT275" s="227"/>
      <c r="HPU275" s="227"/>
      <c r="HPV275" s="227"/>
      <c r="HPW275" s="227"/>
      <c r="HPX275" s="227"/>
      <c r="HPY275" s="227"/>
      <c r="HPZ275" s="227"/>
      <c r="HQA275" s="227"/>
      <c r="HQB275" s="227"/>
      <c r="HQC275" s="227"/>
      <c r="HQD275" s="227"/>
      <c r="HQE275" s="227"/>
      <c r="HQF275" s="227"/>
      <c r="HQG275" s="227"/>
      <c r="HQH275" s="227"/>
      <c r="HQI275" s="227"/>
      <c r="HQJ275" s="227"/>
      <c r="HQK275" s="227"/>
      <c r="HQL275" s="227"/>
      <c r="HQM275" s="227"/>
      <c r="HQN275" s="227"/>
      <c r="HQO275" s="227"/>
      <c r="HQP275" s="227"/>
      <c r="HQQ275" s="227"/>
      <c r="HQR275" s="227"/>
      <c r="HQS275" s="227"/>
      <c r="HQT275" s="227"/>
      <c r="HQU275" s="227"/>
      <c r="HQV275" s="227"/>
      <c r="HQW275" s="227"/>
      <c r="HQX275" s="227"/>
      <c r="HQY275" s="227"/>
      <c r="HQZ275" s="227"/>
      <c r="HRA275" s="227"/>
      <c r="HRB275" s="227"/>
      <c r="HRC275" s="227"/>
      <c r="HRD275" s="227"/>
      <c r="HRE275" s="227"/>
      <c r="HRF275" s="227"/>
      <c r="HRG275" s="227"/>
      <c r="HRH275" s="227"/>
      <c r="HRI275" s="227"/>
      <c r="HRJ275" s="227"/>
      <c r="HRK275" s="227"/>
      <c r="HRL275" s="227"/>
      <c r="HRM275" s="227"/>
      <c r="HRN275" s="227"/>
      <c r="HRO275" s="227"/>
      <c r="HRP275" s="227"/>
      <c r="HRQ275" s="227"/>
      <c r="HRR275" s="227"/>
      <c r="HRS275" s="227"/>
      <c r="HRT275" s="227"/>
      <c r="HRU275" s="227"/>
      <c r="HRV275" s="227"/>
      <c r="HRW275" s="227"/>
      <c r="HRX275" s="227"/>
      <c r="HRY275" s="227"/>
      <c r="HRZ275" s="227"/>
      <c r="HSA275" s="227"/>
      <c r="HSB275" s="227"/>
      <c r="HSC275" s="227"/>
      <c r="HSD275" s="227"/>
      <c r="HSE275" s="227"/>
      <c r="HSF275" s="227"/>
      <c r="HSG275" s="227"/>
      <c r="HSH275" s="227"/>
      <c r="HSI275" s="227"/>
      <c r="HSJ275" s="227"/>
      <c r="HSK275" s="227"/>
      <c r="HSL275" s="227"/>
      <c r="HSM275" s="227"/>
      <c r="HSN275" s="227"/>
      <c r="HSO275" s="227"/>
      <c r="HSP275" s="227"/>
      <c r="HSQ275" s="227"/>
      <c r="HSR275" s="227"/>
      <c r="HSS275" s="227"/>
      <c r="HST275" s="227"/>
      <c r="HSU275" s="227"/>
      <c r="HSV275" s="227"/>
      <c r="HSW275" s="227"/>
      <c r="HSX275" s="227"/>
      <c r="HSY275" s="227"/>
      <c r="HSZ275" s="227"/>
      <c r="HTA275" s="227"/>
      <c r="HTB275" s="227"/>
      <c r="HTC275" s="227"/>
      <c r="HTD275" s="227"/>
      <c r="HTE275" s="227"/>
      <c r="HTF275" s="227"/>
      <c r="HTG275" s="227"/>
      <c r="HTH275" s="227"/>
      <c r="HTI275" s="227"/>
      <c r="HTJ275" s="227"/>
      <c r="HTK275" s="227"/>
      <c r="HTL275" s="227"/>
      <c r="HTM275" s="227"/>
      <c r="HTN275" s="227"/>
      <c r="HTO275" s="227"/>
      <c r="HTP275" s="227"/>
      <c r="HTQ275" s="227"/>
      <c r="HTR275" s="227"/>
      <c r="HTS275" s="227"/>
      <c r="HTT275" s="227"/>
      <c r="HTU275" s="227"/>
      <c r="HTV275" s="227"/>
      <c r="HTW275" s="227"/>
      <c r="HTX275" s="227"/>
      <c r="HTY275" s="227"/>
      <c r="HTZ275" s="227"/>
      <c r="HUA275" s="227"/>
      <c r="HUB275" s="227"/>
      <c r="HUC275" s="227"/>
      <c r="HUD275" s="227"/>
      <c r="HUE275" s="227"/>
      <c r="HUF275" s="227"/>
      <c r="HUG275" s="227"/>
      <c r="HUH275" s="227"/>
      <c r="HUI275" s="227"/>
      <c r="HUJ275" s="227"/>
      <c r="HUK275" s="227"/>
      <c r="HUL275" s="227"/>
      <c r="HUM275" s="227"/>
      <c r="HUN275" s="227"/>
      <c r="HUO275" s="227"/>
      <c r="HUP275" s="227"/>
      <c r="HUQ275" s="227"/>
      <c r="HUR275" s="227"/>
      <c r="HUS275" s="227"/>
      <c r="HUT275" s="227"/>
      <c r="HUU275" s="227"/>
      <c r="HUV275" s="227"/>
      <c r="HUW275" s="227"/>
      <c r="HUX275" s="227"/>
      <c r="HUY275" s="227"/>
      <c r="HUZ275" s="227"/>
      <c r="HVA275" s="227"/>
      <c r="HVB275" s="227"/>
      <c r="HVC275" s="227"/>
      <c r="HVD275" s="227"/>
      <c r="HVE275" s="227"/>
      <c r="HVF275" s="227"/>
      <c r="HVG275" s="227"/>
      <c r="HVH275" s="227"/>
      <c r="HVI275" s="227"/>
      <c r="HVJ275" s="227"/>
      <c r="HVK275" s="227"/>
      <c r="HVL275" s="227"/>
      <c r="HVM275" s="227"/>
      <c r="HVN275" s="227"/>
      <c r="HVO275" s="227"/>
      <c r="HVP275" s="227"/>
      <c r="HVQ275" s="227"/>
      <c r="HVR275" s="227"/>
      <c r="HVS275" s="227"/>
      <c r="HVT275" s="227"/>
      <c r="HVU275" s="227"/>
      <c r="HVV275" s="227"/>
      <c r="HVW275" s="227"/>
      <c r="HVX275" s="227"/>
      <c r="HVY275" s="227"/>
      <c r="HVZ275" s="227"/>
      <c r="HWA275" s="227"/>
      <c r="HWB275" s="227"/>
      <c r="HWC275" s="227"/>
      <c r="HWD275" s="227"/>
      <c r="HWE275" s="227"/>
      <c r="HWF275" s="227"/>
      <c r="HWG275" s="227"/>
      <c r="HWH275" s="227"/>
      <c r="HWI275" s="227"/>
      <c r="HWJ275" s="227"/>
      <c r="HWK275" s="227"/>
      <c r="HWL275" s="227"/>
      <c r="HWM275" s="227"/>
      <c r="HWN275" s="227"/>
      <c r="HWO275" s="227"/>
      <c r="HWP275" s="227"/>
      <c r="HWQ275" s="227"/>
      <c r="HWR275" s="227"/>
      <c r="HWS275" s="227"/>
      <c r="HWT275" s="227"/>
      <c r="HWU275" s="227"/>
      <c r="HWV275" s="227"/>
      <c r="HWW275" s="227"/>
      <c r="HWX275" s="227"/>
      <c r="HWY275" s="227"/>
      <c r="HWZ275" s="227"/>
      <c r="HXA275" s="227"/>
      <c r="HXB275" s="227"/>
      <c r="HXC275" s="227"/>
      <c r="HXD275" s="227"/>
      <c r="HXE275" s="227"/>
      <c r="HXF275" s="227"/>
      <c r="HXG275" s="227"/>
      <c r="HXH275" s="227"/>
      <c r="HXI275" s="227"/>
      <c r="HXJ275" s="227"/>
      <c r="HXK275" s="227"/>
      <c r="HXL275" s="227"/>
      <c r="HXM275" s="227"/>
      <c r="HXN275" s="227"/>
      <c r="HXO275" s="227"/>
      <c r="HXP275" s="227"/>
      <c r="HXQ275" s="227"/>
      <c r="HXR275" s="227"/>
      <c r="HXS275" s="227"/>
      <c r="HXT275" s="227"/>
      <c r="HXU275" s="227"/>
      <c r="HXV275" s="227"/>
      <c r="HXW275" s="227"/>
      <c r="HXX275" s="227"/>
      <c r="HXY275" s="227"/>
      <c r="HXZ275" s="227"/>
      <c r="HYA275" s="227"/>
      <c r="HYB275" s="227"/>
      <c r="HYC275" s="227"/>
      <c r="HYD275" s="227"/>
      <c r="HYE275" s="227"/>
      <c r="HYF275" s="227"/>
      <c r="HYG275" s="227"/>
      <c r="HYH275" s="227"/>
      <c r="HYI275" s="227"/>
      <c r="HYJ275" s="227"/>
      <c r="HYK275" s="227"/>
      <c r="HYL275" s="227"/>
      <c r="HYM275" s="227"/>
      <c r="HYN275" s="227"/>
      <c r="HYO275" s="227"/>
      <c r="HYP275" s="227"/>
      <c r="HYQ275" s="227"/>
      <c r="HYR275" s="227"/>
      <c r="HYS275" s="227"/>
      <c r="HYT275" s="227"/>
      <c r="HYU275" s="227"/>
      <c r="HYV275" s="227"/>
      <c r="HYW275" s="227"/>
      <c r="HYX275" s="227"/>
      <c r="HYY275" s="227"/>
      <c r="HYZ275" s="227"/>
      <c r="HZA275" s="227"/>
      <c r="HZB275" s="227"/>
      <c r="HZC275" s="227"/>
      <c r="HZD275" s="227"/>
      <c r="HZE275" s="227"/>
      <c r="HZF275" s="227"/>
      <c r="HZG275" s="227"/>
      <c r="HZH275" s="227"/>
      <c r="HZI275" s="227"/>
      <c r="HZJ275" s="227"/>
      <c r="HZK275" s="227"/>
      <c r="HZL275" s="227"/>
      <c r="HZM275" s="227"/>
      <c r="HZN275" s="227"/>
      <c r="HZO275" s="227"/>
      <c r="HZP275" s="227"/>
      <c r="HZQ275" s="227"/>
      <c r="HZR275" s="227"/>
      <c r="HZS275" s="227"/>
      <c r="HZT275" s="227"/>
      <c r="HZU275" s="227"/>
      <c r="HZV275" s="227"/>
      <c r="HZW275" s="227"/>
      <c r="HZX275" s="227"/>
      <c r="HZY275" s="227"/>
      <c r="HZZ275" s="227"/>
      <c r="IAA275" s="227"/>
      <c r="IAB275" s="227"/>
      <c r="IAC275" s="227"/>
      <c r="IAD275" s="227"/>
      <c r="IAE275" s="227"/>
      <c r="IAF275" s="227"/>
      <c r="IAG275" s="227"/>
      <c r="IAH275" s="227"/>
      <c r="IAI275" s="227"/>
      <c r="IAJ275" s="227"/>
      <c r="IAK275" s="227"/>
      <c r="IAL275" s="227"/>
      <c r="IAM275" s="227"/>
      <c r="IAN275" s="227"/>
      <c r="IAO275" s="227"/>
      <c r="IAP275" s="227"/>
      <c r="IAQ275" s="227"/>
      <c r="IAR275" s="227"/>
      <c r="IAS275" s="227"/>
      <c r="IAT275" s="227"/>
      <c r="IAU275" s="227"/>
      <c r="IAV275" s="227"/>
      <c r="IAW275" s="227"/>
      <c r="IAX275" s="227"/>
      <c r="IAY275" s="227"/>
      <c r="IAZ275" s="227"/>
      <c r="IBA275" s="227"/>
      <c r="IBB275" s="227"/>
      <c r="IBC275" s="227"/>
      <c r="IBD275" s="227"/>
      <c r="IBE275" s="227"/>
      <c r="IBF275" s="227"/>
      <c r="IBG275" s="227"/>
      <c r="IBH275" s="227"/>
      <c r="IBI275" s="227"/>
      <c r="IBJ275" s="227"/>
      <c r="IBK275" s="227"/>
      <c r="IBL275" s="227"/>
      <c r="IBM275" s="227"/>
      <c r="IBN275" s="227"/>
      <c r="IBO275" s="227"/>
      <c r="IBP275" s="227"/>
      <c r="IBQ275" s="227"/>
      <c r="IBR275" s="227"/>
      <c r="IBS275" s="227"/>
      <c r="IBT275" s="227"/>
      <c r="IBU275" s="227"/>
      <c r="IBV275" s="227"/>
      <c r="IBW275" s="227"/>
      <c r="IBX275" s="227"/>
      <c r="IBY275" s="227"/>
      <c r="IBZ275" s="227"/>
      <c r="ICA275" s="227"/>
      <c r="ICB275" s="227"/>
      <c r="ICC275" s="227"/>
      <c r="ICD275" s="227"/>
      <c r="ICE275" s="227"/>
      <c r="ICF275" s="227"/>
      <c r="ICG275" s="227"/>
      <c r="ICH275" s="227"/>
      <c r="ICI275" s="227"/>
      <c r="ICJ275" s="227"/>
      <c r="ICK275" s="227"/>
      <c r="ICL275" s="227"/>
      <c r="ICM275" s="227"/>
      <c r="ICN275" s="227"/>
      <c r="ICO275" s="227"/>
      <c r="ICP275" s="227"/>
      <c r="ICQ275" s="227"/>
      <c r="ICR275" s="227"/>
      <c r="ICS275" s="227"/>
      <c r="ICT275" s="227"/>
      <c r="ICU275" s="227"/>
      <c r="ICV275" s="227"/>
      <c r="ICW275" s="227"/>
      <c r="ICX275" s="227"/>
      <c r="ICY275" s="227"/>
      <c r="ICZ275" s="227"/>
      <c r="IDA275" s="227"/>
      <c r="IDB275" s="227"/>
      <c r="IDC275" s="227"/>
      <c r="IDD275" s="227"/>
      <c r="IDE275" s="227"/>
      <c r="IDF275" s="227"/>
      <c r="IDG275" s="227"/>
      <c r="IDH275" s="227"/>
      <c r="IDI275" s="227"/>
      <c r="IDJ275" s="227"/>
      <c r="IDK275" s="227"/>
      <c r="IDL275" s="227"/>
      <c r="IDM275" s="227"/>
      <c r="IDN275" s="227"/>
      <c r="IDO275" s="227"/>
      <c r="IDP275" s="227"/>
      <c r="IDQ275" s="227"/>
      <c r="IDR275" s="227"/>
      <c r="IDS275" s="227"/>
      <c r="IDT275" s="227"/>
      <c r="IDU275" s="227"/>
      <c r="IDV275" s="227"/>
      <c r="IDW275" s="227"/>
      <c r="IDX275" s="227"/>
      <c r="IDY275" s="227"/>
      <c r="IDZ275" s="227"/>
      <c r="IEA275" s="227"/>
      <c r="IEB275" s="227"/>
      <c r="IEC275" s="227"/>
      <c r="IED275" s="227"/>
      <c r="IEE275" s="227"/>
      <c r="IEF275" s="227"/>
      <c r="IEG275" s="227"/>
      <c r="IEH275" s="227"/>
      <c r="IEI275" s="227"/>
      <c r="IEJ275" s="227"/>
      <c r="IEK275" s="227"/>
      <c r="IEL275" s="227"/>
      <c r="IEM275" s="227"/>
      <c r="IEN275" s="227"/>
      <c r="IEO275" s="227"/>
      <c r="IEP275" s="227"/>
      <c r="IEQ275" s="227"/>
      <c r="IER275" s="227"/>
      <c r="IES275" s="227"/>
      <c r="IET275" s="227"/>
      <c r="IEU275" s="227"/>
      <c r="IEV275" s="227"/>
      <c r="IEW275" s="227"/>
      <c r="IEX275" s="227"/>
      <c r="IEY275" s="227"/>
      <c r="IEZ275" s="227"/>
      <c r="IFA275" s="227"/>
      <c r="IFB275" s="227"/>
      <c r="IFC275" s="227"/>
      <c r="IFD275" s="227"/>
      <c r="IFE275" s="227"/>
      <c r="IFF275" s="227"/>
      <c r="IFG275" s="227"/>
      <c r="IFH275" s="227"/>
      <c r="IFI275" s="227"/>
      <c r="IFJ275" s="227"/>
      <c r="IFK275" s="227"/>
      <c r="IFL275" s="227"/>
      <c r="IFM275" s="227"/>
      <c r="IFN275" s="227"/>
      <c r="IFO275" s="227"/>
      <c r="IFP275" s="227"/>
      <c r="IFQ275" s="227"/>
      <c r="IFR275" s="227"/>
      <c r="IFS275" s="227"/>
      <c r="IFT275" s="227"/>
      <c r="IFU275" s="227"/>
      <c r="IFV275" s="227"/>
      <c r="IFW275" s="227"/>
      <c r="IFX275" s="227"/>
      <c r="IFY275" s="227"/>
      <c r="IFZ275" s="227"/>
      <c r="IGA275" s="227"/>
      <c r="IGB275" s="227"/>
      <c r="IGC275" s="227"/>
      <c r="IGD275" s="227"/>
      <c r="IGE275" s="227"/>
      <c r="IGF275" s="227"/>
      <c r="IGG275" s="227"/>
      <c r="IGH275" s="227"/>
      <c r="IGI275" s="227"/>
      <c r="IGJ275" s="227"/>
      <c r="IGK275" s="227"/>
      <c r="IGL275" s="227"/>
      <c r="IGM275" s="227"/>
      <c r="IGN275" s="227"/>
      <c r="IGO275" s="227"/>
      <c r="IGP275" s="227"/>
      <c r="IGQ275" s="227"/>
      <c r="IGR275" s="227"/>
      <c r="IGS275" s="227"/>
      <c r="IGT275" s="227"/>
      <c r="IGU275" s="227"/>
      <c r="IGV275" s="227"/>
      <c r="IGW275" s="227"/>
      <c r="IGX275" s="227"/>
      <c r="IGY275" s="227"/>
      <c r="IGZ275" s="227"/>
      <c r="IHA275" s="227"/>
      <c r="IHB275" s="227"/>
      <c r="IHC275" s="227"/>
      <c r="IHD275" s="227"/>
      <c r="IHE275" s="227"/>
      <c r="IHF275" s="227"/>
      <c r="IHG275" s="227"/>
      <c r="IHH275" s="227"/>
      <c r="IHI275" s="227"/>
      <c r="IHJ275" s="227"/>
      <c r="IHK275" s="227"/>
      <c r="IHL275" s="227"/>
      <c r="IHM275" s="227"/>
      <c r="IHN275" s="227"/>
      <c r="IHO275" s="227"/>
      <c r="IHP275" s="227"/>
      <c r="IHQ275" s="227"/>
      <c r="IHR275" s="227"/>
      <c r="IHS275" s="227"/>
      <c r="IHT275" s="227"/>
      <c r="IHU275" s="227"/>
      <c r="IHV275" s="227"/>
      <c r="IHW275" s="227"/>
      <c r="IHX275" s="227"/>
      <c r="IHY275" s="227"/>
      <c r="IHZ275" s="227"/>
      <c r="IIA275" s="227"/>
      <c r="IIB275" s="227"/>
      <c r="IIC275" s="227"/>
      <c r="IID275" s="227"/>
      <c r="IIE275" s="227"/>
      <c r="IIF275" s="227"/>
      <c r="IIG275" s="227"/>
      <c r="IIH275" s="227"/>
      <c r="III275" s="227"/>
      <c r="IIJ275" s="227"/>
      <c r="IIK275" s="227"/>
      <c r="IIL275" s="227"/>
      <c r="IIM275" s="227"/>
      <c r="IIN275" s="227"/>
      <c r="IIO275" s="227"/>
      <c r="IIP275" s="227"/>
      <c r="IIQ275" s="227"/>
      <c r="IIR275" s="227"/>
      <c r="IIS275" s="227"/>
      <c r="IIT275" s="227"/>
      <c r="IIU275" s="227"/>
      <c r="IIV275" s="227"/>
      <c r="IIW275" s="227"/>
      <c r="IIX275" s="227"/>
      <c r="IIY275" s="227"/>
      <c r="IIZ275" s="227"/>
      <c r="IJA275" s="227"/>
      <c r="IJB275" s="227"/>
      <c r="IJC275" s="227"/>
      <c r="IJD275" s="227"/>
      <c r="IJE275" s="227"/>
      <c r="IJF275" s="227"/>
      <c r="IJG275" s="227"/>
      <c r="IJH275" s="227"/>
      <c r="IJI275" s="227"/>
      <c r="IJJ275" s="227"/>
      <c r="IJK275" s="227"/>
      <c r="IJL275" s="227"/>
      <c r="IJM275" s="227"/>
      <c r="IJN275" s="227"/>
      <c r="IJO275" s="227"/>
      <c r="IJP275" s="227"/>
      <c r="IJQ275" s="227"/>
      <c r="IJR275" s="227"/>
      <c r="IJS275" s="227"/>
      <c r="IJT275" s="227"/>
      <c r="IJU275" s="227"/>
      <c r="IJV275" s="227"/>
      <c r="IJW275" s="227"/>
      <c r="IJX275" s="227"/>
      <c r="IJY275" s="227"/>
      <c r="IJZ275" s="227"/>
      <c r="IKA275" s="227"/>
      <c r="IKB275" s="227"/>
      <c r="IKC275" s="227"/>
      <c r="IKD275" s="227"/>
      <c r="IKE275" s="227"/>
      <c r="IKF275" s="227"/>
      <c r="IKG275" s="227"/>
      <c r="IKH275" s="227"/>
      <c r="IKI275" s="227"/>
      <c r="IKJ275" s="227"/>
      <c r="IKK275" s="227"/>
      <c r="IKL275" s="227"/>
      <c r="IKM275" s="227"/>
      <c r="IKN275" s="227"/>
      <c r="IKO275" s="227"/>
      <c r="IKP275" s="227"/>
      <c r="IKQ275" s="227"/>
      <c r="IKR275" s="227"/>
      <c r="IKS275" s="227"/>
      <c r="IKT275" s="227"/>
      <c r="IKU275" s="227"/>
      <c r="IKV275" s="227"/>
      <c r="IKW275" s="227"/>
      <c r="IKX275" s="227"/>
      <c r="IKY275" s="227"/>
      <c r="IKZ275" s="227"/>
      <c r="ILA275" s="227"/>
      <c r="ILB275" s="227"/>
      <c r="ILC275" s="227"/>
      <c r="ILD275" s="227"/>
      <c r="ILE275" s="227"/>
      <c r="ILF275" s="227"/>
      <c r="ILG275" s="227"/>
      <c r="ILH275" s="227"/>
      <c r="ILI275" s="227"/>
      <c r="ILJ275" s="227"/>
      <c r="ILK275" s="227"/>
      <c r="ILL275" s="227"/>
      <c r="ILM275" s="227"/>
      <c r="ILN275" s="227"/>
      <c r="ILO275" s="227"/>
      <c r="ILP275" s="227"/>
      <c r="ILQ275" s="227"/>
      <c r="ILR275" s="227"/>
      <c r="ILS275" s="227"/>
      <c r="ILT275" s="227"/>
      <c r="ILU275" s="227"/>
      <c r="ILV275" s="227"/>
      <c r="ILW275" s="227"/>
      <c r="ILX275" s="227"/>
      <c r="ILY275" s="227"/>
      <c r="ILZ275" s="227"/>
      <c r="IMA275" s="227"/>
      <c r="IMB275" s="227"/>
      <c r="IMC275" s="227"/>
      <c r="IMD275" s="227"/>
      <c r="IME275" s="227"/>
      <c r="IMF275" s="227"/>
      <c r="IMG275" s="227"/>
      <c r="IMH275" s="227"/>
      <c r="IMI275" s="227"/>
      <c r="IMJ275" s="227"/>
      <c r="IMK275" s="227"/>
      <c r="IML275" s="227"/>
      <c r="IMM275" s="227"/>
      <c r="IMN275" s="227"/>
      <c r="IMO275" s="227"/>
      <c r="IMP275" s="227"/>
      <c r="IMQ275" s="227"/>
      <c r="IMR275" s="227"/>
      <c r="IMS275" s="227"/>
      <c r="IMT275" s="227"/>
      <c r="IMU275" s="227"/>
      <c r="IMV275" s="227"/>
      <c r="IMW275" s="227"/>
      <c r="IMX275" s="227"/>
      <c r="IMY275" s="227"/>
      <c r="IMZ275" s="227"/>
      <c r="INA275" s="227"/>
      <c r="INB275" s="227"/>
      <c r="INC275" s="227"/>
      <c r="IND275" s="227"/>
      <c r="INE275" s="227"/>
      <c r="INF275" s="227"/>
      <c r="ING275" s="227"/>
      <c r="INH275" s="227"/>
      <c r="INI275" s="227"/>
      <c r="INJ275" s="227"/>
      <c r="INK275" s="227"/>
      <c r="INL275" s="227"/>
      <c r="INM275" s="227"/>
      <c r="INN275" s="227"/>
      <c r="INO275" s="227"/>
      <c r="INP275" s="227"/>
      <c r="INQ275" s="227"/>
      <c r="INR275" s="227"/>
      <c r="INS275" s="227"/>
      <c r="INT275" s="227"/>
      <c r="INU275" s="227"/>
      <c r="INV275" s="227"/>
      <c r="INW275" s="227"/>
      <c r="INX275" s="227"/>
      <c r="INY275" s="227"/>
      <c r="INZ275" s="227"/>
      <c r="IOA275" s="227"/>
      <c r="IOB275" s="227"/>
      <c r="IOC275" s="227"/>
      <c r="IOD275" s="227"/>
      <c r="IOE275" s="227"/>
      <c r="IOF275" s="227"/>
      <c r="IOG275" s="227"/>
      <c r="IOH275" s="227"/>
      <c r="IOI275" s="227"/>
      <c r="IOJ275" s="227"/>
      <c r="IOK275" s="227"/>
      <c r="IOL275" s="227"/>
      <c r="IOM275" s="227"/>
      <c r="ION275" s="227"/>
      <c r="IOO275" s="227"/>
      <c r="IOP275" s="227"/>
      <c r="IOQ275" s="227"/>
      <c r="IOR275" s="227"/>
      <c r="IOS275" s="227"/>
      <c r="IOT275" s="227"/>
      <c r="IOU275" s="227"/>
      <c r="IOV275" s="227"/>
      <c r="IOW275" s="227"/>
      <c r="IOX275" s="227"/>
      <c r="IOY275" s="227"/>
      <c r="IOZ275" s="227"/>
      <c r="IPA275" s="227"/>
      <c r="IPB275" s="227"/>
      <c r="IPC275" s="227"/>
      <c r="IPD275" s="227"/>
      <c r="IPE275" s="227"/>
      <c r="IPF275" s="227"/>
      <c r="IPG275" s="227"/>
      <c r="IPH275" s="227"/>
      <c r="IPI275" s="227"/>
      <c r="IPJ275" s="227"/>
      <c r="IPK275" s="227"/>
      <c r="IPL275" s="227"/>
      <c r="IPM275" s="227"/>
      <c r="IPN275" s="227"/>
      <c r="IPO275" s="227"/>
      <c r="IPP275" s="227"/>
      <c r="IPQ275" s="227"/>
      <c r="IPR275" s="227"/>
      <c r="IPS275" s="227"/>
      <c r="IPT275" s="227"/>
      <c r="IPU275" s="227"/>
      <c r="IPV275" s="227"/>
      <c r="IPW275" s="227"/>
      <c r="IPX275" s="227"/>
      <c r="IPY275" s="227"/>
      <c r="IPZ275" s="227"/>
      <c r="IQA275" s="227"/>
      <c r="IQB275" s="227"/>
      <c r="IQC275" s="227"/>
      <c r="IQD275" s="227"/>
      <c r="IQE275" s="227"/>
      <c r="IQF275" s="227"/>
      <c r="IQG275" s="227"/>
      <c r="IQH275" s="227"/>
      <c r="IQI275" s="227"/>
      <c r="IQJ275" s="227"/>
      <c r="IQK275" s="227"/>
      <c r="IQL275" s="227"/>
      <c r="IQM275" s="227"/>
      <c r="IQN275" s="227"/>
      <c r="IQO275" s="227"/>
      <c r="IQP275" s="227"/>
      <c r="IQQ275" s="227"/>
      <c r="IQR275" s="227"/>
      <c r="IQS275" s="227"/>
      <c r="IQT275" s="227"/>
      <c r="IQU275" s="227"/>
      <c r="IQV275" s="227"/>
      <c r="IQW275" s="227"/>
      <c r="IQX275" s="227"/>
      <c r="IQY275" s="227"/>
      <c r="IQZ275" s="227"/>
      <c r="IRA275" s="227"/>
      <c r="IRB275" s="227"/>
      <c r="IRC275" s="227"/>
      <c r="IRD275" s="227"/>
      <c r="IRE275" s="227"/>
      <c r="IRF275" s="227"/>
      <c r="IRG275" s="227"/>
      <c r="IRH275" s="227"/>
      <c r="IRI275" s="227"/>
      <c r="IRJ275" s="227"/>
      <c r="IRK275" s="227"/>
      <c r="IRL275" s="227"/>
      <c r="IRM275" s="227"/>
      <c r="IRN275" s="227"/>
      <c r="IRO275" s="227"/>
      <c r="IRP275" s="227"/>
      <c r="IRQ275" s="227"/>
      <c r="IRR275" s="227"/>
      <c r="IRS275" s="227"/>
      <c r="IRT275" s="227"/>
      <c r="IRU275" s="227"/>
      <c r="IRV275" s="227"/>
      <c r="IRW275" s="227"/>
      <c r="IRX275" s="227"/>
      <c r="IRY275" s="227"/>
      <c r="IRZ275" s="227"/>
      <c r="ISA275" s="227"/>
      <c r="ISB275" s="227"/>
      <c r="ISC275" s="227"/>
      <c r="ISD275" s="227"/>
      <c r="ISE275" s="227"/>
      <c r="ISF275" s="227"/>
      <c r="ISG275" s="227"/>
      <c r="ISH275" s="227"/>
      <c r="ISI275" s="227"/>
      <c r="ISJ275" s="227"/>
      <c r="ISK275" s="227"/>
      <c r="ISL275" s="227"/>
      <c r="ISM275" s="227"/>
      <c r="ISN275" s="227"/>
      <c r="ISO275" s="227"/>
      <c r="ISP275" s="227"/>
      <c r="ISQ275" s="227"/>
      <c r="ISR275" s="227"/>
      <c r="ISS275" s="227"/>
      <c r="IST275" s="227"/>
      <c r="ISU275" s="227"/>
      <c r="ISV275" s="227"/>
      <c r="ISW275" s="227"/>
      <c r="ISX275" s="227"/>
      <c r="ISY275" s="227"/>
      <c r="ISZ275" s="227"/>
      <c r="ITA275" s="227"/>
      <c r="ITB275" s="227"/>
      <c r="ITC275" s="227"/>
      <c r="ITD275" s="227"/>
      <c r="ITE275" s="227"/>
      <c r="ITF275" s="227"/>
      <c r="ITG275" s="227"/>
      <c r="ITH275" s="227"/>
      <c r="ITI275" s="227"/>
      <c r="ITJ275" s="227"/>
      <c r="ITK275" s="227"/>
      <c r="ITL275" s="227"/>
      <c r="ITM275" s="227"/>
      <c r="ITN275" s="227"/>
      <c r="ITO275" s="227"/>
      <c r="ITP275" s="227"/>
      <c r="ITQ275" s="227"/>
      <c r="ITR275" s="227"/>
      <c r="ITS275" s="227"/>
      <c r="ITT275" s="227"/>
      <c r="ITU275" s="227"/>
      <c r="ITV275" s="227"/>
      <c r="ITW275" s="227"/>
      <c r="ITX275" s="227"/>
      <c r="ITY275" s="227"/>
      <c r="ITZ275" s="227"/>
      <c r="IUA275" s="227"/>
      <c r="IUB275" s="227"/>
      <c r="IUC275" s="227"/>
      <c r="IUD275" s="227"/>
      <c r="IUE275" s="227"/>
      <c r="IUF275" s="227"/>
      <c r="IUG275" s="227"/>
      <c r="IUH275" s="227"/>
      <c r="IUI275" s="227"/>
      <c r="IUJ275" s="227"/>
      <c r="IUK275" s="227"/>
      <c r="IUL275" s="227"/>
      <c r="IUM275" s="227"/>
      <c r="IUN275" s="227"/>
      <c r="IUO275" s="227"/>
      <c r="IUP275" s="227"/>
      <c r="IUQ275" s="227"/>
      <c r="IUR275" s="227"/>
      <c r="IUS275" s="227"/>
      <c r="IUT275" s="227"/>
      <c r="IUU275" s="227"/>
      <c r="IUV275" s="227"/>
      <c r="IUW275" s="227"/>
      <c r="IUX275" s="227"/>
      <c r="IUY275" s="227"/>
      <c r="IUZ275" s="227"/>
      <c r="IVA275" s="227"/>
      <c r="IVB275" s="227"/>
      <c r="IVC275" s="227"/>
      <c r="IVD275" s="227"/>
      <c r="IVE275" s="227"/>
      <c r="IVF275" s="227"/>
      <c r="IVG275" s="227"/>
      <c r="IVH275" s="227"/>
      <c r="IVI275" s="227"/>
      <c r="IVJ275" s="227"/>
      <c r="IVK275" s="227"/>
      <c r="IVL275" s="227"/>
      <c r="IVM275" s="227"/>
      <c r="IVN275" s="227"/>
      <c r="IVO275" s="227"/>
      <c r="IVP275" s="227"/>
      <c r="IVQ275" s="227"/>
      <c r="IVR275" s="227"/>
      <c r="IVS275" s="227"/>
      <c r="IVT275" s="227"/>
      <c r="IVU275" s="227"/>
      <c r="IVV275" s="227"/>
      <c r="IVW275" s="227"/>
      <c r="IVX275" s="227"/>
      <c r="IVY275" s="227"/>
      <c r="IVZ275" s="227"/>
      <c r="IWA275" s="227"/>
      <c r="IWB275" s="227"/>
      <c r="IWC275" s="227"/>
      <c r="IWD275" s="227"/>
      <c r="IWE275" s="227"/>
      <c r="IWF275" s="227"/>
      <c r="IWG275" s="227"/>
      <c r="IWH275" s="227"/>
      <c r="IWI275" s="227"/>
      <c r="IWJ275" s="227"/>
      <c r="IWK275" s="227"/>
      <c r="IWL275" s="227"/>
      <c r="IWM275" s="227"/>
      <c r="IWN275" s="227"/>
      <c r="IWO275" s="227"/>
      <c r="IWP275" s="227"/>
      <c r="IWQ275" s="227"/>
      <c r="IWR275" s="227"/>
      <c r="IWS275" s="227"/>
      <c r="IWT275" s="227"/>
      <c r="IWU275" s="227"/>
      <c r="IWV275" s="227"/>
      <c r="IWW275" s="227"/>
      <c r="IWX275" s="227"/>
      <c r="IWY275" s="227"/>
      <c r="IWZ275" s="227"/>
      <c r="IXA275" s="227"/>
      <c r="IXB275" s="227"/>
      <c r="IXC275" s="227"/>
      <c r="IXD275" s="227"/>
      <c r="IXE275" s="227"/>
      <c r="IXF275" s="227"/>
      <c r="IXG275" s="227"/>
      <c r="IXH275" s="227"/>
      <c r="IXI275" s="227"/>
      <c r="IXJ275" s="227"/>
      <c r="IXK275" s="227"/>
      <c r="IXL275" s="227"/>
      <c r="IXM275" s="227"/>
      <c r="IXN275" s="227"/>
      <c r="IXO275" s="227"/>
      <c r="IXP275" s="227"/>
      <c r="IXQ275" s="227"/>
      <c r="IXR275" s="227"/>
      <c r="IXS275" s="227"/>
      <c r="IXT275" s="227"/>
      <c r="IXU275" s="227"/>
      <c r="IXV275" s="227"/>
      <c r="IXW275" s="227"/>
      <c r="IXX275" s="227"/>
      <c r="IXY275" s="227"/>
      <c r="IXZ275" s="227"/>
      <c r="IYA275" s="227"/>
      <c r="IYB275" s="227"/>
      <c r="IYC275" s="227"/>
      <c r="IYD275" s="227"/>
      <c r="IYE275" s="227"/>
      <c r="IYF275" s="227"/>
      <c r="IYG275" s="227"/>
      <c r="IYH275" s="227"/>
      <c r="IYI275" s="227"/>
      <c r="IYJ275" s="227"/>
      <c r="IYK275" s="227"/>
      <c r="IYL275" s="227"/>
      <c r="IYM275" s="227"/>
      <c r="IYN275" s="227"/>
      <c r="IYO275" s="227"/>
      <c r="IYP275" s="227"/>
      <c r="IYQ275" s="227"/>
      <c r="IYR275" s="227"/>
      <c r="IYS275" s="227"/>
      <c r="IYT275" s="227"/>
      <c r="IYU275" s="227"/>
      <c r="IYV275" s="227"/>
      <c r="IYW275" s="227"/>
      <c r="IYX275" s="227"/>
      <c r="IYY275" s="227"/>
      <c r="IYZ275" s="227"/>
      <c r="IZA275" s="227"/>
      <c r="IZB275" s="227"/>
      <c r="IZC275" s="227"/>
      <c r="IZD275" s="227"/>
      <c r="IZE275" s="227"/>
      <c r="IZF275" s="227"/>
      <c r="IZG275" s="227"/>
      <c r="IZH275" s="227"/>
      <c r="IZI275" s="227"/>
      <c r="IZJ275" s="227"/>
      <c r="IZK275" s="227"/>
      <c r="IZL275" s="227"/>
      <c r="IZM275" s="227"/>
      <c r="IZN275" s="227"/>
      <c r="IZO275" s="227"/>
      <c r="IZP275" s="227"/>
      <c r="IZQ275" s="227"/>
      <c r="IZR275" s="227"/>
      <c r="IZS275" s="227"/>
      <c r="IZT275" s="227"/>
      <c r="IZU275" s="227"/>
      <c r="IZV275" s="227"/>
      <c r="IZW275" s="227"/>
      <c r="IZX275" s="227"/>
      <c r="IZY275" s="227"/>
      <c r="IZZ275" s="227"/>
      <c r="JAA275" s="227"/>
      <c r="JAB275" s="227"/>
      <c r="JAC275" s="227"/>
      <c r="JAD275" s="227"/>
      <c r="JAE275" s="227"/>
      <c r="JAF275" s="227"/>
      <c r="JAG275" s="227"/>
      <c r="JAH275" s="227"/>
      <c r="JAI275" s="227"/>
      <c r="JAJ275" s="227"/>
      <c r="JAK275" s="227"/>
      <c r="JAL275" s="227"/>
      <c r="JAM275" s="227"/>
      <c r="JAN275" s="227"/>
      <c r="JAO275" s="227"/>
      <c r="JAP275" s="227"/>
      <c r="JAQ275" s="227"/>
      <c r="JAR275" s="227"/>
      <c r="JAS275" s="227"/>
      <c r="JAT275" s="227"/>
      <c r="JAU275" s="227"/>
      <c r="JAV275" s="227"/>
      <c r="JAW275" s="227"/>
      <c r="JAX275" s="227"/>
      <c r="JAY275" s="227"/>
      <c r="JAZ275" s="227"/>
      <c r="JBA275" s="227"/>
      <c r="JBB275" s="227"/>
      <c r="JBC275" s="227"/>
      <c r="JBD275" s="227"/>
      <c r="JBE275" s="227"/>
      <c r="JBF275" s="227"/>
      <c r="JBG275" s="227"/>
      <c r="JBH275" s="227"/>
      <c r="JBI275" s="227"/>
      <c r="JBJ275" s="227"/>
      <c r="JBK275" s="227"/>
      <c r="JBL275" s="227"/>
      <c r="JBM275" s="227"/>
      <c r="JBN275" s="227"/>
      <c r="JBO275" s="227"/>
      <c r="JBP275" s="227"/>
      <c r="JBQ275" s="227"/>
      <c r="JBR275" s="227"/>
      <c r="JBS275" s="227"/>
      <c r="JBT275" s="227"/>
      <c r="JBU275" s="227"/>
      <c r="JBV275" s="227"/>
      <c r="JBW275" s="227"/>
      <c r="JBX275" s="227"/>
      <c r="JBY275" s="227"/>
      <c r="JBZ275" s="227"/>
      <c r="JCA275" s="227"/>
      <c r="JCB275" s="227"/>
      <c r="JCC275" s="227"/>
      <c r="JCD275" s="227"/>
      <c r="JCE275" s="227"/>
      <c r="JCF275" s="227"/>
      <c r="JCG275" s="227"/>
      <c r="JCH275" s="227"/>
      <c r="JCI275" s="227"/>
      <c r="JCJ275" s="227"/>
      <c r="JCK275" s="227"/>
      <c r="JCL275" s="227"/>
      <c r="JCM275" s="227"/>
      <c r="JCN275" s="227"/>
      <c r="JCO275" s="227"/>
      <c r="JCP275" s="227"/>
      <c r="JCQ275" s="227"/>
      <c r="JCR275" s="227"/>
      <c r="JCS275" s="227"/>
      <c r="JCT275" s="227"/>
      <c r="JCU275" s="227"/>
      <c r="JCV275" s="227"/>
      <c r="JCW275" s="227"/>
      <c r="JCX275" s="227"/>
      <c r="JCY275" s="227"/>
      <c r="JCZ275" s="227"/>
      <c r="JDA275" s="227"/>
      <c r="JDB275" s="227"/>
      <c r="JDC275" s="227"/>
      <c r="JDD275" s="227"/>
      <c r="JDE275" s="227"/>
      <c r="JDF275" s="227"/>
      <c r="JDG275" s="227"/>
      <c r="JDH275" s="227"/>
      <c r="JDI275" s="227"/>
      <c r="JDJ275" s="227"/>
      <c r="JDK275" s="227"/>
      <c r="JDL275" s="227"/>
      <c r="JDM275" s="227"/>
      <c r="JDN275" s="227"/>
      <c r="JDO275" s="227"/>
      <c r="JDP275" s="227"/>
      <c r="JDQ275" s="227"/>
      <c r="JDR275" s="227"/>
      <c r="JDS275" s="227"/>
      <c r="JDT275" s="227"/>
      <c r="JDU275" s="227"/>
      <c r="JDV275" s="227"/>
      <c r="JDW275" s="227"/>
      <c r="JDX275" s="227"/>
      <c r="JDY275" s="227"/>
      <c r="JDZ275" s="227"/>
      <c r="JEA275" s="227"/>
      <c r="JEB275" s="227"/>
      <c r="JEC275" s="227"/>
      <c r="JED275" s="227"/>
      <c r="JEE275" s="227"/>
      <c r="JEF275" s="227"/>
      <c r="JEG275" s="227"/>
      <c r="JEH275" s="227"/>
      <c r="JEI275" s="227"/>
      <c r="JEJ275" s="227"/>
      <c r="JEK275" s="227"/>
      <c r="JEL275" s="227"/>
      <c r="JEM275" s="227"/>
      <c r="JEN275" s="227"/>
      <c r="JEO275" s="227"/>
      <c r="JEP275" s="227"/>
      <c r="JEQ275" s="227"/>
      <c r="JER275" s="227"/>
      <c r="JES275" s="227"/>
      <c r="JET275" s="227"/>
      <c r="JEU275" s="227"/>
      <c r="JEV275" s="227"/>
      <c r="JEW275" s="227"/>
      <c r="JEX275" s="227"/>
      <c r="JEY275" s="227"/>
      <c r="JEZ275" s="227"/>
      <c r="JFA275" s="227"/>
      <c r="JFB275" s="227"/>
      <c r="JFC275" s="227"/>
      <c r="JFD275" s="227"/>
      <c r="JFE275" s="227"/>
      <c r="JFF275" s="227"/>
      <c r="JFG275" s="227"/>
      <c r="JFH275" s="227"/>
      <c r="JFI275" s="227"/>
      <c r="JFJ275" s="227"/>
      <c r="JFK275" s="227"/>
      <c r="JFL275" s="227"/>
      <c r="JFM275" s="227"/>
      <c r="JFN275" s="227"/>
      <c r="JFO275" s="227"/>
      <c r="JFP275" s="227"/>
      <c r="JFQ275" s="227"/>
      <c r="JFR275" s="227"/>
      <c r="JFS275" s="227"/>
      <c r="JFT275" s="227"/>
      <c r="JFU275" s="227"/>
      <c r="JFV275" s="227"/>
      <c r="JFW275" s="227"/>
      <c r="JFX275" s="227"/>
      <c r="JFY275" s="227"/>
      <c r="JFZ275" s="227"/>
      <c r="JGA275" s="227"/>
      <c r="JGB275" s="227"/>
      <c r="JGC275" s="227"/>
      <c r="JGD275" s="227"/>
      <c r="JGE275" s="227"/>
      <c r="JGF275" s="227"/>
      <c r="JGG275" s="227"/>
      <c r="JGH275" s="227"/>
      <c r="JGI275" s="227"/>
      <c r="JGJ275" s="227"/>
      <c r="JGK275" s="227"/>
      <c r="JGL275" s="227"/>
      <c r="JGM275" s="227"/>
      <c r="JGN275" s="227"/>
      <c r="JGO275" s="227"/>
      <c r="JGP275" s="227"/>
      <c r="JGQ275" s="227"/>
      <c r="JGR275" s="227"/>
      <c r="JGS275" s="227"/>
      <c r="JGT275" s="227"/>
      <c r="JGU275" s="227"/>
      <c r="JGV275" s="227"/>
      <c r="JGW275" s="227"/>
      <c r="JGX275" s="227"/>
      <c r="JGY275" s="227"/>
      <c r="JGZ275" s="227"/>
      <c r="JHA275" s="227"/>
      <c r="JHB275" s="227"/>
      <c r="JHC275" s="227"/>
      <c r="JHD275" s="227"/>
      <c r="JHE275" s="227"/>
      <c r="JHF275" s="227"/>
      <c r="JHG275" s="227"/>
      <c r="JHH275" s="227"/>
      <c r="JHI275" s="227"/>
      <c r="JHJ275" s="227"/>
      <c r="JHK275" s="227"/>
      <c r="JHL275" s="227"/>
      <c r="JHM275" s="227"/>
      <c r="JHN275" s="227"/>
      <c r="JHO275" s="227"/>
      <c r="JHP275" s="227"/>
      <c r="JHQ275" s="227"/>
      <c r="JHR275" s="227"/>
      <c r="JHS275" s="227"/>
      <c r="JHT275" s="227"/>
      <c r="JHU275" s="227"/>
      <c r="JHV275" s="227"/>
      <c r="JHW275" s="227"/>
      <c r="JHX275" s="227"/>
      <c r="JHY275" s="227"/>
      <c r="JHZ275" s="227"/>
      <c r="JIA275" s="227"/>
      <c r="JIB275" s="227"/>
      <c r="JIC275" s="227"/>
      <c r="JID275" s="227"/>
      <c r="JIE275" s="227"/>
      <c r="JIF275" s="227"/>
      <c r="JIG275" s="227"/>
      <c r="JIH275" s="227"/>
      <c r="JII275" s="227"/>
      <c r="JIJ275" s="227"/>
      <c r="JIK275" s="227"/>
      <c r="JIL275" s="227"/>
      <c r="JIM275" s="227"/>
      <c r="JIN275" s="227"/>
      <c r="JIO275" s="227"/>
      <c r="JIP275" s="227"/>
      <c r="JIQ275" s="227"/>
      <c r="JIR275" s="227"/>
      <c r="JIS275" s="227"/>
      <c r="JIT275" s="227"/>
      <c r="JIU275" s="227"/>
      <c r="JIV275" s="227"/>
      <c r="JIW275" s="227"/>
      <c r="JIX275" s="227"/>
      <c r="JIY275" s="227"/>
      <c r="JIZ275" s="227"/>
      <c r="JJA275" s="227"/>
      <c r="JJB275" s="227"/>
      <c r="JJC275" s="227"/>
      <c r="JJD275" s="227"/>
      <c r="JJE275" s="227"/>
      <c r="JJF275" s="227"/>
      <c r="JJG275" s="227"/>
      <c r="JJH275" s="227"/>
      <c r="JJI275" s="227"/>
      <c r="JJJ275" s="227"/>
      <c r="JJK275" s="227"/>
      <c r="JJL275" s="227"/>
      <c r="JJM275" s="227"/>
      <c r="JJN275" s="227"/>
      <c r="JJO275" s="227"/>
      <c r="JJP275" s="227"/>
      <c r="JJQ275" s="227"/>
      <c r="JJR275" s="227"/>
      <c r="JJS275" s="227"/>
      <c r="JJT275" s="227"/>
      <c r="JJU275" s="227"/>
      <c r="JJV275" s="227"/>
      <c r="JJW275" s="227"/>
      <c r="JJX275" s="227"/>
      <c r="JJY275" s="227"/>
      <c r="JJZ275" s="227"/>
      <c r="JKA275" s="227"/>
      <c r="JKB275" s="227"/>
      <c r="JKC275" s="227"/>
      <c r="JKD275" s="227"/>
      <c r="JKE275" s="227"/>
      <c r="JKF275" s="227"/>
      <c r="JKG275" s="227"/>
      <c r="JKH275" s="227"/>
      <c r="JKI275" s="227"/>
      <c r="JKJ275" s="227"/>
      <c r="JKK275" s="227"/>
      <c r="JKL275" s="227"/>
      <c r="JKM275" s="227"/>
      <c r="JKN275" s="227"/>
      <c r="JKO275" s="227"/>
      <c r="JKP275" s="227"/>
      <c r="JKQ275" s="227"/>
      <c r="JKR275" s="227"/>
      <c r="JKS275" s="227"/>
      <c r="JKT275" s="227"/>
      <c r="JKU275" s="227"/>
      <c r="JKV275" s="227"/>
      <c r="JKW275" s="227"/>
      <c r="JKX275" s="227"/>
      <c r="JKY275" s="227"/>
      <c r="JKZ275" s="227"/>
      <c r="JLA275" s="227"/>
      <c r="JLB275" s="227"/>
      <c r="JLC275" s="227"/>
      <c r="JLD275" s="227"/>
      <c r="JLE275" s="227"/>
      <c r="JLF275" s="227"/>
      <c r="JLG275" s="227"/>
      <c r="JLH275" s="227"/>
      <c r="JLI275" s="227"/>
      <c r="JLJ275" s="227"/>
      <c r="JLK275" s="227"/>
      <c r="JLL275" s="227"/>
      <c r="JLM275" s="227"/>
      <c r="JLN275" s="227"/>
      <c r="JLO275" s="227"/>
      <c r="JLP275" s="227"/>
      <c r="JLQ275" s="227"/>
      <c r="JLR275" s="227"/>
      <c r="JLS275" s="227"/>
      <c r="JLT275" s="227"/>
      <c r="JLU275" s="227"/>
      <c r="JLV275" s="227"/>
      <c r="JLW275" s="227"/>
      <c r="JLX275" s="227"/>
      <c r="JLY275" s="227"/>
      <c r="JLZ275" s="227"/>
      <c r="JMA275" s="227"/>
      <c r="JMB275" s="227"/>
      <c r="JMC275" s="227"/>
      <c r="JMD275" s="227"/>
      <c r="JME275" s="227"/>
      <c r="JMF275" s="227"/>
      <c r="JMG275" s="227"/>
      <c r="JMH275" s="227"/>
      <c r="JMI275" s="227"/>
      <c r="JMJ275" s="227"/>
      <c r="JMK275" s="227"/>
      <c r="JML275" s="227"/>
      <c r="JMM275" s="227"/>
      <c r="JMN275" s="227"/>
      <c r="JMO275" s="227"/>
      <c r="JMP275" s="227"/>
      <c r="JMQ275" s="227"/>
      <c r="JMR275" s="227"/>
      <c r="JMS275" s="227"/>
      <c r="JMT275" s="227"/>
      <c r="JMU275" s="227"/>
      <c r="JMV275" s="227"/>
      <c r="JMW275" s="227"/>
      <c r="JMX275" s="227"/>
      <c r="JMY275" s="227"/>
      <c r="JMZ275" s="227"/>
      <c r="JNA275" s="227"/>
      <c r="JNB275" s="227"/>
      <c r="JNC275" s="227"/>
      <c r="JND275" s="227"/>
      <c r="JNE275" s="227"/>
      <c r="JNF275" s="227"/>
      <c r="JNG275" s="227"/>
      <c r="JNH275" s="227"/>
      <c r="JNI275" s="227"/>
      <c r="JNJ275" s="227"/>
      <c r="JNK275" s="227"/>
      <c r="JNL275" s="227"/>
      <c r="JNM275" s="227"/>
      <c r="JNN275" s="227"/>
      <c r="JNO275" s="227"/>
      <c r="JNP275" s="227"/>
      <c r="JNQ275" s="227"/>
      <c r="JNR275" s="227"/>
      <c r="JNS275" s="227"/>
      <c r="JNT275" s="227"/>
      <c r="JNU275" s="227"/>
      <c r="JNV275" s="227"/>
      <c r="JNW275" s="227"/>
      <c r="JNX275" s="227"/>
      <c r="JNY275" s="227"/>
      <c r="JNZ275" s="227"/>
      <c r="JOA275" s="227"/>
      <c r="JOB275" s="227"/>
      <c r="JOC275" s="227"/>
      <c r="JOD275" s="227"/>
      <c r="JOE275" s="227"/>
      <c r="JOF275" s="227"/>
      <c r="JOG275" s="227"/>
      <c r="JOH275" s="227"/>
      <c r="JOI275" s="227"/>
      <c r="JOJ275" s="227"/>
      <c r="JOK275" s="227"/>
      <c r="JOL275" s="227"/>
      <c r="JOM275" s="227"/>
      <c r="JON275" s="227"/>
      <c r="JOO275" s="227"/>
      <c r="JOP275" s="227"/>
      <c r="JOQ275" s="227"/>
      <c r="JOR275" s="227"/>
      <c r="JOS275" s="227"/>
      <c r="JOT275" s="227"/>
      <c r="JOU275" s="227"/>
      <c r="JOV275" s="227"/>
      <c r="JOW275" s="227"/>
      <c r="JOX275" s="227"/>
      <c r="JOY275" s="227"/>
      <c r="JOZ275" s="227"/>
      <c r="JPA275" s="227"/>
      <c r="JPB275" s="227"/>
      <c r="JPC275" s="227"/>
      <c r="JPD275" s="227"/>
      <c r="JPE275" s="227"/>
      <c r="JPF275" s="227"/>
      <c r="JPG275" s="227"/>
      <c r="JPH275" s="227"/>
      <c r="JPI275" s="227"/>
      <c r="JPJ275" s="227"/>
      <c r="JPK275" s="227"/>
      <c r="JPL275" s="227"/>
      <c r="JPM275" s="227"/>
      <c r="JPN275" s="227"/>
      <c r="JPO275" s="227"/>
      <c r="JPP275" s="227"/>
      <c r="JPQ275" s="227"/>
      <c r="JPR275" s="227"/>
      <c r="JPS275" s="227"/>
      <c r="JPT275" s="227"/>
      <c r="JPU275" s="227"/>
      <c r="JPV275" s="227"/>
      <c r="JPW275" s="227"/>
      <c r="JPX275" s="227"/>
      <c r="JPY275" s="227"/>
      <c r="JPZ275" s="227"/>
      <c r="JQA275" s="227"/>
      <c r="JQB275" s="227"/>
      <c r="JQC275" s="227"/>
      <c r="JQD275" s="227"/>
      <c r="JQE275" s="227"/>
      <c r="JQF275" s="227"/>
      <c r="JQG275" s="227"/>
      <c r="JQH275" s="227"/>
      <c r="JQI275" s="227"/>
      <c r="JQJ275" s="227"/>
      <c r="JQK275" s="227"/>
      <c r="JQL275" s="227"/>
      <c r="JQM275" s="227"/>
      <c r="JQN275" s="227"/>
      <c r="JQO275" s="227"/>
      <c r="JQP275" s="227"/>
      <c r="JQQ275" s="227"/>
      <c r="JQR275" s="227"/>
      <c r="JQS275" s="227"/>
      <c r="JQT275" s="227"/>
      <c r="JQU275" s="227"/>
      <c r="JQV275" s="227"/>
      <c r="JQW275" s="227"/>
      <c r="JQX275" s="227"/>
      <c r="JQY275" s="227"/>
      <c r="JQZ275" s="227"/>
      <c r="JRA275" s="227"/>
      <c r="JRB275" s="227"/>
      <c r="JRC275" s="227"/>
      <c r="JRD275" s="227"/>
      <c r="JRE275" s="227"/>
      <c r="JRF275" s="227"/>
      <c r="JRG275" s="227"/>
      <c r="JRH275" s="227"/>
      <c r="JRI275" s="227"/>
      <c r="JRJ275" s="227"/>
      <c r="JRK275" s="227"/>
      <c r="JRL275" s="227"/>
      <c r="JRM275" s="227"/>
      <c r="JRN275" s="227"/>
      <c r="JRO275" s="227"/>
      <c r="JRP275" s="227"/>
      <c r="JRQ275" s="227"/>
      <c r="JRR275" s="227"/>
      <c r="JRS275" s="227"/>
      <c r="JRT275" s="227"/>
      <c r="JRU275" s="227"/>
      <c r="JRV275" s="227"/>
      <c r="JRW275" s="227"/>
      <c r="JRX275" s="227"/>
      <c r="JRY275" s="227"/>
      <c r="JRZ275" s="227"/>
      <c r="JSA275" s="227"/>
      <c r="JSB275" s="227"/>
      <c r="JSC275" s="227"/>
      <c r="JSD275" s="227"/>
      <c r="JSE275" s="227"/>
      <c r="JSF275" s="227"/>
      <c r="JSG275" s="227"/>
      <c r="JSH275" s="227"/>
      <c r="JSI275" s="227"/>
      <c r="JSJ275" s="227"/>
      <c r="JSK275" s="227"/>
      <c r="JSL275" s="227"/>
      <c r="JSM275" s="227"/>
      <c r="JSN275" s="227"/>
      <c r="JSO275" s="227"/>
      <c r="JSP275" s="227"/>
      <c r="JSQ275" s="227"/>
      <c r="JSR275" s="227"/>
      <c r="JSS275" s="227"/>
      <c r="JST275" s="227"/>
      <c r="JSU275" s="227"/>
      <c r="JSV275" s="227"/>
      <c r="JSW275" s="227"/>
      <c r="JSX275" s="227"/>
      <c r="JSY275" s="227"/>
      <c r="JSZ275" s="227"/>
      <c r="JTA275" s="227"/>
      <c r="JTB275" s="227"/>
      <c r="JTC275" s="227"/>
      <c r="JTD275" s="227"/>
      <c r="JTE275" s="227"/>
      <c r="JTF275" s="227"/>
      <c r="JTG275" s="227"/>
      <c r="JTH275" s="227"/>
      <c r="JTI275" s="227"/>
      <c r="JTJ275" s="227"/>
      <c r="JTK275" s="227"/>
      <c r="JTL275" s="227"/>
      <c r="JTM275" s="227"/>
      <c r="JTN275" s="227"/>
      <c r="JTO275" s="227"/>
      <c r="JTP275" s="227"/>
      <c r="JTQ275" s="227"/>
      <c r="JTR275" s="227"/>
      <c r="JTS275" s="227"/>
      <c r="JTT275" s="227"/>
      <c r="JTU275" s="227"/>
      <c r="JTV275" s="227"/>
      <c r="JTW275" s="227"/>
      <c r="JTX275" s="227"/>
      <c r="JTY275" s="227"/>
      <c r="JTZ275" s="227"/>
      <c r="JUA275" s="227"/>
      <c r="JUB275" s="227"/>
      <c r="JUC275" s="227"/>
      <c r="JUD275" s="227"/>
      <c r="JUE275" s="227"/>
      <c r="JUF275" s="227"/>
      <c r="JUG275" s="227"/>
      <c r="JUH275" s="227"/>
      <c r="JUI275" s="227"/>
      <c r="JUJ275" s="227"/>
      <c r="JUK275" s="227"/>
      <c r="JUL275" s="227"/>
      <c r="JUM275" s="227"/>
      <c r="JUN275" s="227"/>
      <c r="JUO275" s="227"/>
      <c r="JUP275" s="227"/>
      <c r="JUQ275" s="227"/>
      <c r="JUR275" s="227"/>
      <c r="JUS275" s="227"/>
      <c r="JUT275" s="227"/>
      <c r="JUU275" s="227"/>
      <c r="JUV275" s="227"/>
      <c r="JUW275" s="227"/>
      <c r="JUX275" s="227"/>
      <c r="JUY275" s="227"/>
      <c r="JUZ275" s="227"/>
      <c r="JVA275" s="227"/>
      <c r="JVB275" s="227"/>
      <c r="JVC275" s="227"/>
      <c r="JVD275" s="227"/>
      <c r="JVE275" s="227"/>
      <c r="JVF275" s="227"/>
      <c r="JVG275" s="227"/>
      <c r="JVH275" s="227"/>
      <c r="JVI275" s="227"/>
      <c r="JVJ275" s="227"/>
      <c r="JVK275" s="227"/>
      <c r="JVL275" s="227"/>
      <c r="JVM275" s="227"/>
      <c r="JVN275" s="227"/>
      <c r="JVO275" s="227"/>
      <c r="JVP275" s="227"/>
      <c r="JVQ275" s="227"/>
      <c r="JVR275" s="227"/>
      <c r="JVS275" s="227"/>
      <c r="JVT275" s="227"/>
      <c r="JVU275" s="227"/>
      <c r="JVV275" s="227"/>
      <c r="JVW275" s="227"/>
      <c r="JVX275" s="227"/>
      <c r="JVY275" s="227"/>
      <c r="JVZ275" s="227"/>
      <c r="JWA275" s="227"/>
      <c r="JWB275" s="227"/>
      <c r="JWC275" s="227"/>
      <c r="JWD275" s="227"/>
      <c r="JWE275" s="227"/>
      <c r="JWF275" s="227"/>
      <c r="JWG275" s="227"/>
      <c r="JWH275" s="227"/>
      <c r="JWI275" s="227"/>
      <c r="JWJ275" s="227"/>
      <c r="JWK275" s="227"/>
      <c r="JWL275" s="227"/>
      <c r="JWM275" s="227"/>
      <c r="JWN275" s="227"/>
      <c r="JWO275" s="227"/>
      <c r="JWP275" s="227"/>
      <c r="JWQ275" s="227"/>
      <c r="JWR275" s="227"/>
      <c r="JWS275" s="227"/>
      <c r="JWT275" s="227"/>
      <c r="JWU275" s="227"/>
      <c r="JWV275" s="227"/>
      <c r="JWW275" s="227"/>
      <c r="JWX275" s="227"/>
      <c r="JWY275" s="227"/>
      <c r="JWZ275" s="227"/>
      <c r="JXA275" s="227"/>
      <c r="JXB275" s="227"/>
      <c r="JXC275" s="227"/>
      <c r="JXD275" s="227"/>
      <c r="JXE275" s="227"/>
      <c r="JXF275" s="227"/>
      <c r="JXG275" s="227"/>
      <c r="JXH275" s="227"/>
      <c r="JXI275" s="227"/>
      <c r="JXJ275" s="227"/>
      <c r="JXK275" s="227"/>
      <c r="JXL275" s="227"/>
      <c r="JXM275" s="227"/>
      <c r="JXN275" s="227"/>
      <c r="JXO275" s="227"/>
      <c r="JXP275" s="227"/>
      <c r="JXQ275" s="227"/>
      <c r="JXR275" s="227"/>
      <c r="JXS275" s="227"/>
      <c r="JXT275" s="227"/>
      <c r="JXU275" s="227"/>
      <c r="JXV275" s="227"/>
      <c r="JXW275" s="227"/>
      <c r="JXX275" s="227"/>
      <c r="JXY275" s="227"/>
      <c r="JXZ275" s="227"/>
      <c r="JYA275" s="227"/>
      <c r="JYB275" s="227"/>
      <c r="JYC275" s="227"/>
      <c r="JYD275" s="227"/>
      <c r="JYE275" s="227"/>
      <c r="JYF275" s="227"/>
      <c r="JYG275" s="227"/>
      <c r="JYH275" s="227"/>
      <c r="JYI275" s="227"/>
      <c r="JYJ275" s="227"/>
      <c r="JYK275" s="227"/>
      <c r="JYL275" s="227"/>
      <c r="JYM275" s="227"/>
      <c r="JYN275" s="227"/>
      <c r="JYO275" s="227"/>
      <c r="JYP275" s="227"/>
      <c r="JYQ275" s="227"/>
      <c r="JYR275" s="227"/>
      <c r="JYS275" s="227"/>
      <c r="JYT275" s="227"/>
      <c r="JYU275" s="227"/>
      <c r="JYV275" s="227"/>
      <c r="JYW275" s="227"/>
      <c r="JYX275" s="227"/>
      <c r="JYY275" s="227"/>
      <c r="JYZ275" s="227"/>
      <c r="JZA275" s="227"/>
      <c r="JZB275" s="227"/>
      <c r="JZC275" s="227"/>
      <c r="JZD275" s="227"/>
      <c r="JZE275" s="227"/>
      <c r="JZF275" s="227"/>
      <c r="JZG275" s="227"/>
      <c r="JZH275" s="227"/>
      <c r="JZI275" s="227"/>
      <c r="JZJ275" s="227"/>
      <c r="JZK275" s="227"/>
      <c r="JZL275" s="227"/>
      <c r="JZM275" s="227"/>
      <c r="JZN275" s="227"/>
      <c r="JZO275" s="227"/>
      <c r="JZP275" s="227"/>
      <c r="JZQ275" s="227"/>
      <c r="JZR275" s="227"/>
      <c r="JZS275" s="227"/>
      <c r="JZT275" s="227"/>
      <c r="JZU275" s="227"/>
      <c r="JZV275" s="227"/>
      <c r="JZW275" s="227"/>
      <c r="JZX275" s="227"/>
      <c r="JZY275" s="227"/>
      <c r="JZZ275" s="227"/>
      <c r="KAA275" s="227"/>
      <c r="KAB275" s="227"/>
      <c r="KAC275" s="227"/>
      <c r="KAD275" s="227"/>
      <c r="KAE275" s="227"/>
      <c r="KAF275" s="227"/>
      <c r="KAG275" s="227"/>
      <c r="KAH275" s="227"/>
      <c r="KAI275" s="227"/>
      <c r="KAJ275" s="227"/>
      <c r="KAK275" s="227"/>
      <c r="KAL275" s="227"/>
      <c r="KAM275" s="227"/>
      <c r="KAN275" s="227"/>
      <c r="KAO275" s="227"/>
      <c r="KAP275" s="227"/>
      <c r="KAQ275" s="227"/>
      <c r="KAR275" s="227"/>
      <c r="KAS275" s="227"/>
      <c r="KAT275" s="227"/>
      <c r="KAU275" s="227"/>
      <c r="KAV275" s="227"/>
      <c r="KAW275" s="227"/>
      <c r="KAX275" s="227"/>
      <c r="KAY275" s="227"/>
      <c r="KAZ275" s="227"/>
      <c r="KBA275" s="227"/>
      <c r="KBB275" s="227"/>
      <c r="KBC275" s="227"/>
      <c r="KBD275" s="227"/>
      <c r="KBE275" s="227"/>
      <c r="KBF275" s="227"/>
      <c r="KBG275" s="227"/>
      <c r="KBH275" s="227"/>
      <c r="KBI275" s="227"/>
      <c r="KBJ275" s="227"/>
      <c r="KBK275" s="227"/>
      <c r="KBL275" s="227"/>
      <c r="KBM275" s="227"/>
      <c r="KBN275" s="227"/>
      <c r="KBO275" s="227"/>
      <c r="KBP275" s="227"/>
      <c r="KBQ275" s="227"/>
      <c r="KBR275" s="227"/>
      <c r="KBS275" s="227"/>
      <c r="KBT275" s="227"/>
      <c r="KBU275" s="227"/>
      <c r="KBV275" s="227"/>
      <c r="KBW275" s="227"/>
      <c r="KBX275" s="227"/>
      <c r="KBY275" s="227"/>
      <c r="KBZ275" s="227"/>
      <c r="KCA275" s="227"/>
      <c r="KCB275" s="227"/>
      <c r="KCC275" s="227"/>
      <c r="KCD275" s="227"/>
      <c r="KCE275" s="227"/>
      <c r="KCF275" s="227"/>
      <c r="KCG275" s="227"/>
      <c r="KCH275" s="227"/>
      <c r="KCI275" s="227"/>
      <c r="KCJ275" s="227"/>
      <c r="KCK275" s="227"/>
      <c r="KCL275" s="227"/>
      <c r="KCM275" s="227"/>
      <c r="KCN275" s="227"/>
      <c r="KCO275" s="227"/>
      <c r="KCP275" s="227"/>
      <c r="KCQ275" s="227"/>
      <c r="KCR275" s="227"/>
      <c r="KCS275" s="227"/>
      <c r="KCT275" s="227"/>
      <c r="KCU275" s="227"/>
      <c r="KCV275" s="227"/>
      <c r="KCW275" s="227"/>
      <c r="KCX275" s="227"/>
      <c r="KCY275" s="227"/>
      <c r="KCZ275" s="227"/>
      <c r="KDA275" s="227"/>
      <c r="KDB275" s="227"/>
      <c r="KDC275" s="227"/>
      <c r="KDD275" s="227"/>
      <c r="KDE275" s="227"/>
      <c r="KDF275" s="227"/>
      <c r="KDG275" s="227"/>
      <c r="KDH275" s="227"/>
      <c r="KDI275" s="227"/>
      <c r="KDJ275" s="227"/>
      <c r="KDK275" s="227"/>
      <c r="KDL275" s="227"/>
      <c r="KDM275" s="227"/>
      <c r="KDN275" s="227"/>
      <c r="KDO275" s="227"/>
      <c r="KDP275" s="227"/>
      <c r="KDQ275" s="227"/>
      <c r="KDR275" s="227"/>
      <c r="KDS275" s="227"/>
      <c r="KDT275" s="227"/>
      <c r="KDU275" s="227"/>
      <c r="KDV275" s="227"/>
      <c r="KDW275" s="227"/>
      <c r="KDX275" s="227"/>
      <c r="KDY275" s="227"/>
      <c r="KDZ275" s="227"/>
      <c r="KEA275" s="227"/>
      <c r="KEB275" s="227"/>
      <c r="KEC275" s="227"/>
      <c r="KED275" s="227"/>
      <c r="KEE275" s="227"/>
      <c r="KEF275" s="227"/>
      <c r="KEG275" s="227"/>
      <c r="KEH275" s="227"/>
      <c r="KEI275" s="227"/>
      <c r="KEJ275" s="227"/>
      <c r="KEK275" s="227"/>
      <c r="KEL275" s="227"/>
      <c r="KEM275" s="227"/>
      <c r="KEN275" s="227"/>
      <c r="KEO275" s="227"/>
      <c r="KEP275" s="227"/>
      <c r="KEQ275" s="227"/>
      <c r="KER275" s="227"/>
      <c r="KES275" s="227"/>
      <c r="KET275" s="227"/>
      <c r="KEU275" s="227"/>
      <c r="KEV275" s="227"/>
      <c r="KEW275" s="227"/>
      <c r="KEX275" s="227"/>
      <c r="KEY275" s="227"/>
      <c r="KEZ275" s="227"/>
      <c r="KFA275" s="227"/>
      <c r="KFB275" s="227"/>
      <c r="KFC275" s="227"/>
      <c r="KFD275" s="227"/>
      <c r="KFE275" s="227"/>
      <c r="KFF275" s="227"/>
      <c r="KFG275" s="227"/>
      <c r="KFH275" s="227"/>
      <c r="KFI275" s="227"/>
      <c r="KFJ275" s="227"/>
      <c r="KFK275" s="227"/>
      <c r="KFL275" s="227"/>
      <c r="KFM275" s="227"/>
      <c r="KFN275" s="227"/>
      <c r="KFO275" s="227"/>
      <c r="KFP275" s="227"/>
      <c r="KFQ275" s="227"/>
      <c r="KFR275" s="227"/>
      <c r="KFS275" s="227"/>
      <c r="KFT275" s="227"/>
      <c r="KFU275" s="227"/>
      <c r="KFV275" s="227"/>
      <c r="KFW275" s="227"/>
      <c r="KFX275" s="227"/>
      <c r="KFY275" s="227"/>
      <c r="KFZ275" s="227"/>
      <c r="KGA275" s="227"/>
      <c r="KGB275" s="227"/>
      <c r="KGC275" s="227"/>
      <c r="KGD275" s="227"/>
      <c r="KGE275" s="227"/>
      <c r="KGF275" s="227"/>
      <c r="KGG275" s="227"/>
      <c r="KGH275" s="227"/>
      <c r="KGI275" s="227"/>
      <c r="KGJ275" s="227"/>
      <c r="KGK275" s="227"/>
      <c r="KGL275" s="227"/>
      <c r="KGM275" s="227"/>
      <c r="KGN275" s="227"/>
      <c r="KGO275" s="227"/>
      <c r="KGP275" s="227"/>
      <c r="KGQ275" s="227"/>
      <c r="KGR275" s="227"/>
      <c r="KGS275" s="227"/>
      <c r="KGT275" s="227"/>
      <c r="KGU275" s="227"/>
      <c r="KGV275" s="227"/>
      <c r="KGW275" s="227"/>
      <c r="KGX275" s="227"/>
      <c r="KGY275" s="227"/>
      <c r="KGZ275" s="227"/>
      <c r="KHA275" s="227"/>
      <c r="KHB275" s="227"/>
      <c r="KHC275" s="227"/>
      <c r="KHD275" s="227"/>
      <c r="KHE275" s="227"/>
      <c r="KHF275" s="227"/>
      <c r="KHG275" s="227"/>
      <c r="KHH275" s="227"/>
      <c r="KHI275" s="227"/>
      <c r="KHJ275" s="227"/>
      <c r="KHK275" s="227"/>
      <c r="KHL275" s="227"/>
      <c r="KHM275" s="227"/>
      <c r="KHN275" s="227"/>
      <c r="KHO275" s="227"/>
      <c r="KHP275" s="227"/>
      <c r="KHQ275" s="227"/>
      <c r="KHR275" s="227"/>
      <c r="KHS275" s="227"/>
      <c r="KHT275" s="227"/>
      <c r="KHU275" s="227"/>
      <c r="KHV275" s="227"/>
      <c r="KHW275" s="227"/>
      <c r="KHX275" s="227"/>
      <c r="KHY275" s="227"/>
      <c r="KHZ275" s="227"/>
      <c r="KIA275" s="227"/>
      <c r="KIB275" s="227"/>
      <c r="KIC275" s="227"/>
      <c r="KID275" s="227"/>
      <c r="KIE275" s="227"/>
      <c r="KIF275" s="227"/>
      <c r="KIG275" s="227"/>
      <c r="KIH275" s="227"/>
      <c r="KII275" s="227"/>
      <c r="KIJ275" s="227"/>
      <c r="KIK275" s="227"/>
      <c r="KIL275" s="227"/>
      <c r="KIM275" s="227"/>
      <c r="KIN275" s="227"/>
      <c r="KIO275" s="227"/>
      <c r="KIP275" s="227"/>
      <c r="KIQ275" s="227"/>
      <c r="KIR275" s="227"/>
      <c r="KIS275" s="227"/>
      <c r="KIT275" s="227"/>
      <c r="KIU275" s="227"/>
      <c r="KIV275" s="227"/>
      <c r="KIW275" s="227"/>
      <c r="KIX275" s="227"/>
      <c r="KIY275" s="227"/>
      <c r="KIZ275" s="227"/>
      <c r="KJA275" s="227"/>
      <c r="KJB275" s="227"/>
      <c r="KJC275" s="227"/>
      <c r="KJD275" s="227"/>
      <c r="KJE275" s="227"/>
      <c r="KJF275" s="227"/>
      <c r="KJG275" s="227"/>
      <c r="KJH275" s="227"/>
      <c r="KJI275" s="227"/>
      <c r="KJJ275" s="227"/>
      <c r="KJK275" s="227"/>
      <c r="KJL275" s="227"/>
      <c r="KJM275" s="227"/>
      <c r="KJN275" s="227"/>
      <c r="KJO275" s="227"/>
      <c r="KJP275" s="227"/>
      <c r="KJQ275" s="227"/>
      <c r="KJR275" s="227"/>
      <c r="KJS275" s="227"/>
      <c r="KJT275" s="227"/>
      <c r="KJU275" s="227"/>
      <c r="KJV275" s="227"/>
      <c r="KJW275" s="227"/>
      <c r="KJX275" s="227"/>
      <c r="KJY275" s="227"/>
      <c r="KJZ275" s="227"/>
      <c r="KKA275" s="227"/>
      <c r="KKB275" s="227"/>
      <c r="KKC275" s="227"/>
      <c r="KKD275" s="227"/>
      <c r="KKE275" s="227"/>
      <c r="KKF275" s="227"/>
      <c r="KKG275" s="227"/>
      <c r="KKH275" s="227"/>
      <c r="KKI275" s="227"/>
      <c r="KKJ275" s="227"/>
      <c r="KKK275" s="227"/>
      <c r="KKL275" s="227"/>
      <c r="KKM275" s="227"/>
      <c r="KKN275" s="227"/>
      <c r="KKO275" s="227"/>
      <c r="KKP275" s="227"/>
      <c r="KKQ275" s="227"/>
      <c r="KKR275" s="227"/>
      <c r="KKS275" s="227"/>
      <c r="KKT275" s="227"/>
      <c r="KKU275" s="227"/>
      <c r="KKV275" s="227"/>
      <c r="KKW275" s="227"/>
      <c r="KKX275" s="227"/>
      <c r="KKY275" s="227"/>
      <c r="KKZ275" s="227"/>
      <c r="KLA275" s="227"/>
      <c r="KLB275" s="227"/>
      <c r="KLC275" s="227"/>
      <c r="KLD275" s="227"/>
      <c r="KLE275" s="227"/>
      <c r="KLF275" s="227"/>
      <c r="KLG275" s="227"/>
      <c r="KLH275" s="227"/>
      <c r="KLI275" s="227"/>
      <c r="KLJ275" s="227"/>
      <c r="KLK275" s="227"/>
      <c r="KLL275" s="227"/>
      <c r="KLM275" s="227"/>
      <c r="KLN275" s="227"/>
      <c r="KLO275" s="227"/>
      <c r="KLP275" s="227"/>
      <c r="KLQ275" s="227"/>
      <c r="KLR275" s="227"/>
      <c r="KLS275" s="227"/>
      <c r="KLT275" s="227"/>
      <c r="KLU275" s="227"/>
      <c r="KLV275" s="227"/>
      <c r="KLW275" s="227"/>
      <c r="KLX275" s="227"/>
      <c r="KLY275" s="227"/>
      <c r="KLZ275" s="227"/>
      <c r="KMA275" s="227"/>
      <c r="KMB275" s="227"/>
      <c r="KMC275" s="227"/>
      <c r="KMD275" s="227"/>
      <c r="KME275" s="227"/>
      <c r="KMF275" s="227"/>
      <c r="KMG275" s="227"/>
      <c r="KMH275" s="227"/>
      <c r="KMI275" s="227"/>
      <c r="KMJ275" s="227"/>
      <c r="KMK275" s="227"/>
      <c r="KML275" s="227"/>
      <c r="KMM275" s="227"/>
      <c r="KMN275" s="227"/>
      <c r="KMO275" s="227"/>
      <c r="KMP275" s="227"/>
      <c r="KMQ275" s="227"/>
      <c r="KMR275" s="227"/>
      <c r="KMS275" s="227"/>
      <c r="KMT275" s="227"/>
      <c r="KMU275" s="227"/>
      <c r="KMV275" s="227"/>
      <c r="KMW275" s="227"/>
      <c r="KMX275" s="227"/>
      <c r="KMY275" s="227"/>
      <c r="KMZ275" s="227"/>
      <c r="KNA275" s="227"/>
      <c r="KNB275" s="227"/>
      <c r="KNC275" s="227"/>
      <c r="KND275" s="227"/>
      <c r="KNE275" s="227"/>
      <c r="KNF275" s="227"/>
      <c r="KNG275" s="227"/>
      <c r="KNH275" s="227"/>
      <c r="KNI275" s="227"/>
      <c r="KNJ275" s="227"/>
      <c r="KNK275" s="227"/>
      <c r="KNL275" s="227"/>
      <c r="KNM275" s="227"/>
      <c r="KNN275" s="227"/>
      <c r="KNO275" s="227"/>
      <c r="KNP275" s="227"/>
      <c r="KNQ275" s="227"/>
      <c r="KNR275" s="227"/>
      <c r="KNS275" s="227"/>
      <c r="KNT275" s="227"/>
      <c r="KNU275" s="227"/>
      <c r="KNV275" s="227"/>
      <c r="KNW275" s="227"/>
      <c r="KNX275" s="227"/>
      <c r="KNY275" s="227"/>
      <c r="KNZ275" s="227"/>
      <c r="KOA275" s="227"/>
      <c r="KOB275" s="227"/>
      <c r="KOC275" s="227"/>
      <c r="KOD275" s="227"/>
      <c r="KOE275" s="227"/>
      <c r="KOF275" s="227"/>
      <c r="KOG275" s="227"/>
      <c r="KOH275" s="227"/>
      <c r="KOI275" s="227"/>
      <c r="KOJ275" s="227"/>
      <c r="KOK275" s="227"/>
      <c r="KOL275" s="227"/>
      <c r="KOM275" s="227"/>
      <c r="KON275" s="227"/>
      <c r="KOO275" s="227"/>
      <c r="KOP275" s="227"/>
      <c r="KOQ275" s="227"/>
      <c r="KOR275" s="227"/>
      <c r="KOS275" s="227"/>
      <c r="KOT275" s="227"/>
      <c r="KOU275" s="227"/>
      <c r="KOV275" s="227"/>
      <c r="KOW275" s="227"/>
      <c r="KOX275" s="227"/>
      <c r="KOY275" s="227"/>
      <c r="KOZ275" s="227"/>
      <c r="KPA275" s="227"/>
      <c r="KPB275" s="227"/>
      <c r="KPC275" s="227"/>
      <c r="KPD275" s="227"/>
      <c r="KPE275" s="227"/>
      <c r="KPF275" s="227"/>
      <c r="KPG275" s="227"/>
      <c r="KPH275" s="227"/>
      <c r="KPI275" s="227"/>
      <c r="KPJ275" s="227"/>
      <c r="KPK275" s="227"/>
      <c r="KPL275" s="227"/>
      <c r="KPM275" s="227"/>
      <c r="KPN275" s="227"/>
      <c r="KPO275" s="227"/>
      <c r="KPP275" s="227"/>
      <c r="KPQ275" s="227"/>
      <c r="KPR275" s="227"/>
      <c r="KPS275" s="227"/>
      <c r="KPT275" s="227"/>
      <c r="KPU275" s="227"/>
      <c r="KPV275" s="227"/>
      <c r="KPW275" s="227"/>
      <c r="KPX275" s="227"/>
      <c r="KPY275" s="227"/>
      <c r="KPZ275" s="227"/>
      <c r="KQA275" s="227"/>
      <c r="KQB275" s="227"/>
      <c r="KQC275" s="227"/>
      <c r="KQD275" s="227"/>
      <c r="KQE275" s="227"/>
      <c r="KQF275" s="227"/>
      <c r="KQG275" s="227"/>
      <c r="KQH275" s="227"/>
      <c r="KQI275" s="227"/>
      <c r="KQJ275" s="227"/>
      <c r="KQK275" s="227"/>
      <c r="KQL275" s="227"/>
      <c r="KQM275" s="227"/>
      <c r="KQN275" s="227"/>
      <c r="KQO275" s="227"/>
      <c r="KQP275" s="227"/>
      <c r="KQQ275" s="227"/>
      <c r="KQR275" s="227"/>
      <c r="KQS275" s="227"/>
      <c r="KQT275" s="227"/>
      <c r="KQU275" s="227"/>
      <c r="KQV275" s="227"/>
      <c r="KQW275" s="227"/>
      <c r="KQX275" s="227"/>
      <c r="KQY275" s="227"/>
      <c r="KQZ275" s="227"/>
      <c r="KRA275" s="227"/>
      <c r="KRB275" s="227"/>
      <c r="KRC275" s="227"/>
      <c r="KRD275" s="227"/>
      <c r="KRE275" s="227"/>
      <c r="KRF275" s="227"/>
      <c r="KRG275" s="227"/>
      <c r="KRH275" s="227"/>
      <c r="KRI275" s="227"/>
      <c r="KRJ275" s="227"/>
      <c r="KRK275" s="227"/>
      <c r="KRL275" s="227"/>
      <c r="KRM275" s="227"/>
      <c r="KRN275" s="227"/>
      <c r="KRO275" s="227"/>
      <c r="KRP275" s="227"/>
      <c r="KRQ275" s="227"/>
      <c r="KRR275" s="227"/>
      <c r="KRS275" s="227"/>
      <c r="KRT275" s="227"/>
      <c r="KRU275" s="227"/>
      <c r="KRV275" s="227"/>
      <c r="KRW275" s="227"/>
      <c r="KRX275" s="227"/>
      <c r="KRY275" s="227"/>
      <c r="KRZ275" s="227"/>
      <c r="KSA275" s="227"/>
      <c r="KSB275" s="227"/>
      <c r="KSC275" s="227"/>
      <c r="KSD275" s="227"/>
      <c r="KSE275" s="227"/>
      <c r="KSF275" s="227"/>
      <c r="KSG275" s="227"/>
      <c r="KSH275" s="227"/>
      <c r="KSI275" s="227"/>
      <c r="KSJ275" s="227"/>
      <c r="KSK275" s="227"/>
      <c r="KSL275" s="227"/>
      <c r="KSM275" s="227"/>
      <c r="KSN275" s="227"/>
      <c r="KSO275" s="227"/>
      <c r="KSP275" s="227"/>
      <c r="KSQ275" s="227"/>
      <c r="KSR275" s="227"/>
      <c r="KSS275" s="227"/>
      <c r="KST275" s="227"/>
      <c r="KSU275" s="227"/>
      <c r="KSV275" s="227"/>
      <c r="KSW275" s="227"/>
      <c r="KSX275" s="227"/>
      <c r="KSY275" s="227"/>
      <c r="KSZ275" s="227"/>
      <c r="KTA275" s="227"/>
      <c r="KTB275" s="227"/>
      <c r="KTC275" s="227"/>
      <c r="KTD275" s="227"/>
      <c r="KTE275" s="227"/>
      <c r="KTF275" s="227"/>
      <c r="KTG275" s="227"/>
      <c r="KTH275" s="227"/>
      <c r="KTI275" s="227"/>
      <c r="KTJ275" s="227"/>
      <c r="KTK275" s="227"/>
      <c r="KTL275" s="227"/>
      <c r="KTM275" s="227"/>
      <c r="KTN275" s="227"/>
      <c r="KTO275" s="227"/>
      <c r="KTP275" s="227"/>
      <c r="KTQ275" s="227"/>
      <c r="KTR275" s="227"/>
      <c r="KTS275" s="227"/>
      <c r="KTT275" s="227"/>
      <c r="KTU275" s="227"/>
      <c r="KTV275" s="227"/>
      <c r="KTW275" s="227"/>
      <c r="KTX275" s="227"/>
      <c r="KTY275" s="227"/>
      <c r="KTZ275" s="227"/>
      <c r="KUA275" s="227"/>
      <c r="KUB275" s="227"/>
      <c r="KUC275" s="227"/>
      <c r="KUD275" s="227"/>
      <c r="KUE275" s="227"/>
      <c r="KUF275" s="227"/>
      <c r="KUG275" s="227"/>
      <c r="KUH275" s="227"/>
      <c r="KUI275" s="227"/>
      <c r="KUJ275" s="227"/>
      <c r="KUK275" s="227"/>
      <c r="KUL275" s="227"/>
      <c r="KUM275" s="227"/>
      <c r="KUN275" s="227"/>
      <c r="KUO275" s="227"/>
      <c r="KUP275" s="227"/>
      <c r="KUQ275" s="227"/>
      <c r="KUR275" s="227"/>
      <c r="KUS275" s="227"/>
      <c r="KUT275" s="227"/>
      <c r="KUU275" s="227"/>
      <c r="KUV275" s="227"/>
      <c r="KUW275" s="227"/>
      <c r="KUX275" s="227"/>
      <c r="KUY275" s="227"/>
      <c r="KUZ275" s="227"/>
      <c r="KVA275" s="227"/>
      <c r="KVB275" s="227"/>
      <c r="KVC275" s="227"/>
      <c r="KVD275" s="227"/>
      <c r="KVE275" s="227"/>
      <c r="KVF275" s="227"/>
      <c r="KVG275" s="227"/>
      <c r="KVH275" s="227"/>
      <c r="KVI275" s="227"/>
      <c r="KVJ275" s="227"/>
      <c r="KVK275" s="227"/>
      <c r="KVL275" s="227"/>
      <c r="KVM275" s="227"/>
      <c r="KVN275" s="227"/>
      <c r="KVO275" s="227"/>
      <c r="KVP275" s="227"/>
      <c r="KVQ275" s="227"/>
      <c r="KVR275" s="227"/>
      <c r="KVS275" s="227"/>
      <c r="KVT275" s="227"/>
      <c r="KVU275" s="227"/>
      <c r="KVV275" s="227"/>
      <c r="KVW275" s="227"/>
      <c r="KVX275" s="227"/>
      <c r="KVY275" s="227"/>
      <c r="KVZ275" s="227"/>
      <c r="KWA275" s="227"/>
      <c r="KWB275" s="227"/>
      <c r="KWC275" s="227"/>
      <c r="KWD275" s="227"/>
      <c r="KWE275" s="227"/>
      <c r="KWF275" s="227"/>
      <c r="KWG275" s="227"/>
      <c r="KWH275" s="227"/>
      <c r="KWI275" s="227"/>
      <c r="KWJ275" s="227"/>
      <c r="KWK275" s="227"/>
      <c r="KWL275" s="227"/>
      <c r="KWM275" s="227"/>
      <c r="KWN275" s="227"/>
      <c r="KWO275" s="227"/>
      <c r="KWP275" s="227"/>
      <c r="KWQ275" s="227"/>
      <c r="KWR275" s="227"/>
      <c r="KWS275" s="227"/>
      <c r="KWT275" s="227"/>
      <c r="KWU275" s="227"/>
      <c r="KWV275" s="227"/>
      <c r="KWW275" s="227"/>
      <c r="KWX275" s="227"/>
      <c r="KWY275" s="227"/>
      <c r="KWZ275" s="227"/>
      <c r="KXA275" s="227"/>
      <c r="KXB275" s="227"/>
      <c r="KXC275" s="227"/>
      <c r="KXD275" s="227"/>
      <c r="KXE275" s="227"/>
      <c r="KXF275" s="227"/>
      <c r="KXG275" s="227"/>
      <c r="KXH275" s="227"/>
      <c r="KXI275" s="227"/>
      <c r="KXJ275" s="227"/>
      <c r="KXK275" s="227"/>
      <c r="KXL275" s="227"/>
      <c r="KXM275" s="227"/>
      <c r="KXN275" s="227"/>
      <c r="KXO275" s="227"/>
      <c r="KXP275" s="227"/>
      <c r="KXQ275" s="227"/>
      <c r="KXR275" s="227"/>
      <c r="KXS275" s="227"/>
      <c r="KXT275" s="227"/>
      <c r="KXU275" s="227"/>
      <c r="KXV275" s="227"/>
      <c r="KXW275" s="227"/>
      <c r="KXX275" s="227"/>
      <c r="KXY275" s="227"/>
      <c r="KXZ275" s="227"/>
      <c r="KYA275" s="227"/>
      <c r="KYB275" s="227"/>
      <c r="KYC275" s="227"/>
      <c r="KYD275" s="227"/>
      <c r="KYE275" s="227"/>
      <c r="KYF275" s="227"/>
      <c r="KYG275" s="227"/>
      <c r="KYH275" s="227"/>
      <c r="KYI275" s="227"/>
      <c r="KYJ275" s="227"/>
      <c r="KYK275" s="227"/>
      <c r="KYL275" s="227"/>
      <c r="KYM275" s="227"/>
      <c r="KYN275" s="227"/>
      <c r="KYO275" s="227"/>
      <c r="KYP275" s="227"/>
      <c r="KYQ275" s="227"/>
      <c r="KYR275" s="227"/>
      <c r="KYS275" s="227"/>
      <c r="KYT275" s="227"/>
      <c r="KYU275" s="227"/>
      <c r="KYV275" s="227"/>
      <c r="KYW275" s="227"/>
      <c r="KYX275" s="227"/>
      <c r="KYY275" s="227"/>
      <c r="KYZ275" s="227"/>
      <c r="KZA275" s="227"/>
      <c r="KZB275" s="227"/>
      <c r="KZC275" s="227"/>
      <c r="KZD275" s="227"/>
      <c r="KZE275" s="227"/>
      <c r="KZF275" s="227"/>
      <c r="KZG275" s="227"/>
      <c r="KZH275" s="227"/>
      <c r="KZI275" s="227"/>
      <c r="KZJ275" s="227"/>
      <c r="KZK275" s="227"/>
      <c r="KZL275" s="227"/>
      <c r="KZM275" s="227"/>
      <c r="KZN275" s="227"/>
      <c r="KZO275" s="227"/>
      <c r="KZP275" s="227"/>
      <c r="KZQ275" s="227"/>
      <c r="KZR275" s="227"/>
      <c r="KZS275" s="227"/>
      <c r="KZT275" s="227"/>
      <c r="KZU275" s="227"/>
      <c r="KZV275" s="227"/>
      <c r="KZW275" s="227"/>
      <c r="KZX275" s="227"/>
      <c r="KZY275" s="227"/>
      <c r="KZZ275" s="227"/>
      <c r="LAA275" s="227"/>
      <c r="LAB275" s="227"/>
      <c r="LAC275" s="227"/>
      <c r="LAD275" s="227"/>
      <c r="LAE275" s="227"/>
      <c r="LAF275" s="227"/>
      <c r="LAG275" s="227"/>
      <c r="LAH275" s="227"/>
      <c r="LAI275" s="227"/>
      <c r="LAJ275" s="227"/>
      <c r="LAK275" s="227"/>
      <c r="LAL275" s="227"/>
      <c r="LAM275" s="227"/>
      <c r="LAN275" s="227"/>
      <c r="LAO275" s="227"/>
      <c r="LAP275" s="227"/>
      <c r="LAQ275" s="227"/>
      <c r="LAR275" s="227"/>
      <c r="LAS275" s="227"/>
      <c r="LAT275" s="227"/>
      <c r="LAU275" s="227"/>
      <c r="LAV275" s="227"/>
      <c r="LAW275" s="227"/>
      <c r="LAX275" s="227"/>
      <c r="LAY275" s="227"/>
      <c r="LAZ275" s="227"/>
      <c r="LBA275" s="227"/>
      <c r="LBB275" s="227"/>
      <c r="LBC275" s="227"/>
      <c r="LBD275" s="227"/>
      <c r="LBE275" s="227"/>
      <c r="LBF275" s="227"/>
      <c r="LBG275" s="227"/>
      <c r="LBH275" s="227"/>
      <c r="LBI275" s="227"/>
      <c r="LBJ275" s="227"/>
      <c r="LBK275" s="227"/>
      <c r="LBL275" s="227"/>
      <c r="LBM275" s="227"/>
      <c r="LBN275" s="227"/>
      <c r="LBO275" s="227"/>
      <c r="LBP275" s="227"/>
      <c r="LBQ275" s="227"/>
      <c r="LBR275" s="227"/>
      <c r="LBS275" s="227"/>
      <c r="LBT275" s="227"/>
      <c r="LBU275" s="227"/>
      <c r="LBV275" s="227"/>
      <c r="LBW275" s="227"/>
      <c r="LBX275" s="227"/>
      <c r="LBY275" s="227"/>
      <c r="LBZ275" s="227"/>
      <c r="LCA275" s="227"/>
      <c r="LCB275" s="227"/>
      <c r="LCC275" s="227"/>
      <c r="LCD275" s="227"/>
      <c r="LCE275" s="227"/>
      <c r="LCF275" s="227"/>
      <c r="LCG275" s="227"/>
      <c r="LCH275" s="227"/>
      <c r="LCI275" s="227"/>
      <c r="LCJ275" s="227"/>
      <c r="LCK275" s="227"/>
      <c r="LCL275" s="227"/>
      <c r="LCM275" s="227"/>
      <c r="LCN275" s="227"/>
      <c r="LCO275" s="227"/>
      <c r="LCP275" s="227"/>
      <c r="LCQ275" s="227"/>
      <c r="LCR275" s="227"/>
      <c r="LCS275" s="227"/>
      <c r="LCT275" s="227"/>
      <c r="LCU275" s="227"/>
      <c r="LCV275" s="227"/>
      <c r="LCW275" s="227"/>
      <c r="LCX275" s="227"/>
      <c r="LCY275" s="227"/>
      <c r="LCZ275" s="227"/>
      <c r="LDA275" s="227"/>
      <c r="LDB275" s="227"/>
      <c r="LDC275" s="227"/>
      <c r="LDD275" s="227"/>
      <c r="LDE275" s="227"/>
      <c r="LDF275" s="227"/>
      <c r="LDG275" s="227"/>
      <c r="LDH275" s="227"/>
      <c r="LDI275" s="227"/>
      <c r="LDJ275" s="227"/>
      <c r="LDK275" s="227"/>
      <c r="LDL275" s="227"/>
      <c r="LDM275" s="227"/>
      <c r="LDN275" s="227"/>
      <c r="LDO275" s="227"/>
      <c r="LDP275" s="227"/>
      <c r="LDQ275" s="227"/>
      <c r="LDR275" s="227"/>
      <c r="LDS275" s="227"/>
      <c r="LDT275" s="227"/>
      <c r="LDU275" s="227"/>
      <c r="LDV275" s="227"/>
      <c r="LDW275" s="227"/>
      <c r="LDX275" s="227"/>
      <c r="LDY275" s="227"/>
      <c r="LDZ275" s="227"/>
      <c r="LEA275" s="227"/>
      <c r="LEB275" s="227"/>
      <c r="LEC275" s="227"/>
      <c r="LED275" s="227"/>
      <c r="LEE275" s="227"/>
      <c r="LEF275" s="227"/>
      <c r="LEG275" s="227"/>
      <c r="LEH275" s="227"/>
      <c r="LEI275" s="227"/>
      <c r="LEJ275" s="227"/>
      <c r="LEK275" s="227"/>
      <c r="LEL275" s="227"/>
      <c r="LEM275" s="227"/>
      <c r="LEN275" s="227"/>
      <c r="LEO275" s="227"/>
      <c r="LEP275" s="227"/>
      <c r="LEQ275" s="227"/>
      <c r="LER275" s="227"/>
      <c r="LES275" s="227"/>
      <c r="LET275" s="227"/>
      <c r="LEU275" s="227"/>
      <c r="LEV275" s="227"/>
      <c r="LEW275" s="227"/>
      <c r="LEX275" s="227"/>
      <c r="LEY275" s="227"/>
      <c r="LEZ275" s="227"/>
      <c r="LFA275" s="227"/>
      <c r="LFB275" s="227"/>
      <c r="LFC275" s="227"/>
      <c r="LFD275" s="227"/>
      <c r="LFE275" s="227"/>
      <c r="LFF275" s="227"/>
      <c r="LFG275" s="227"/>
      <c r="LFH275" s="227"/>
      <c r="LFI275" s="227"/>
      <c r="LFJ275" s="227"/>
      <c r="LFK275" s="227"/>
      <c r="LFL275" s="227"/>
      <c r="LFM275" s="227"/>
      <c r="LFN275" s="227"/>
      <c r="LFO275" s="227"/>
      <c r="LFP275" s="227"/>
      <c r="LFQ275" s="227"/>
      <c r="LFR275" s="227"/>
      <c r="LFS275" s="227"/>
      <c r="LFT275" s="227"/>
      <c r="LFU275" s="227"/>
      <c r="LFV275" s="227"/>
      <c r="LFW275" s="227"/>
      <c r="LFX275" s="227"/>
      <c r="LFY275" s="227"/>
      <c r="LFZ275" s="227"/>
      <c r="LGA275" s="227"/>
      <c r="LGB275" s="227"/>
      <c r="LGC275" s="227"/>
      <c r="LGD275" s="227"/>
      <c r="LGE275" s="227"/>
      <c r="LGF275" s="227"/>
      <c r="LGG275" s="227"/>
      <c r="LGH275" s="227"/>
      <c r="LGI275" s="227"/>
      <c r="LGJ275" s="227"/>
      <c r="LGK275" s="227"/>
      <c r="LGL275" s="227"/>
      <c r="LGM275" s="227"/>
      <c r="LGN275" s="227"/>
      <c r="LGO275" s="227"/>
      <c r="LGP275" s="227"/>
      <c r="LGQ275" s="227"/>
      <c r="LGR275" s="227"/>
      <c r="LGS275" s="227"/>
      <c r="LGT275" s="227"/>
      <c r="LGU275" s="227"/>
      <c r="LGV275" s="227"/>
      <c r="LGW275" s="227"/>
      <c r="LGX275" s="227"/>
      <c r="LGY275" s="227"/>
      <c r="LGZ275" s="227"/>
      <c r="LHA275" s="227"/>
      <c r="LHB275" s="227"/>
      <c r="LHC275" s="227"/>
      <c r="LHD275" s="227"/>
      <c r="LHE275" s="227"/>
      <c r="LHF275" s="227"/>
      <c r="LHG275" s="227"/>
      <c r="LHH275" s="227"/>
      <c r="LHI275" s="227"/>
      <c r="LHJ275" s="227"/>
      <c r="LHK275" s="227"/>
      <c r="LHL275" s="227"/>
      <c r="LHM275" s="227"/>
      <c r="LHN275" s="227"/>
      <c r="LHO275" s="227"/>
      <c r="LHP275" s="227"/>
      <c r="LHQ275" s="227"/>
      <c r="LHR275" s="227"/>
      <c r="LHS275" s="227"/>
      <c r="LHT275" s="227"/>
      <c r="LHU275" s="227"/>
      <c r="LHV275" s="227"/>
      <c r="LHW275" s="227"/>
      <c r="LHX275" s="227"/>
      <c r="LHY275" s="227"/>
      <c r="LHZ275" s="227"/>
      <c r="LIA275" s="227"/>
      <c r="LIB275" s="227"/>
      <c r="LIC275" s="227"/>
      <c r="LID275" s="227"/>
      <c r="LIE275" s="227"/>
      <c r="LIF275" s="227"/>
      <c r="LIG275" s="227"/>
      <c r="LIH275" s="227"/>
      <c r="LII275" s="227"/>
      <c r="LIJ275" s="227"/>
      <c r="LIK275" s="227"/>
      <c r="LIL275" s="227"/>
      <c r="LIM275" s="227"/>
      <c r="LIN275" s="227"/>
      <c r="LIO275" s="227"/>
      <c r="LIP275" s="227"/>
      <c r="LIQ275" s="227"/>
      <c r="LIR275" s="227"/>
      <c r="LIS275" s="227"/>
      <c r="LIT275" s="227"/>
      <c r="LIU275" s="227"/>
      <c r="LIV275" s="227"/>
      <c r="LIW275" s="227"/>
      <c r="LIX275" s="227"/>
      <c r="LIY275" s="227"/>
      <c r="LIZ275" s="227"/>
      <c r="LJA275" s="227"/>
      <c r="LJB275" s="227"/>
      <c r="LJC275" s="227"/>
      <c r="LJD275" s="227"/>
      <c r="LJE275" s="227"/>
      <c r="LJF275" s="227"/>
      <c r="LJG275" s="227"/>
      <c r="LJH275" s="227"/>
      <c r="LJI275" s="227"/>
      <c r="LJJ275" s="227"/>
      <c r="LJK275" s="227"/>
      <c r="LJL275" s="227"/>
      <c r="LJM275" s="227"/>
      <c r="LJN275" s="227"/>
      <c r="LJO275" s="227"/>
      <c r="LJP275" s="227"/>
      <c r="LJQ275" s="227"/>
      <c r="LJR275" s="227"/>
      <c r="LJS275" s="227"/>
      <c r="LJT275" s="227"/>
      <c r="LJU275" s="227"/>
      <c r="LJV275" s="227"/>
      <c r="LJW275" s="227"/>
      <c r="LJX275" s="227"/>
      <c r="LJY275" s="227"/>
      <c r="LJZ275" s="227"/>
      <c r="LKA275" s="227"/>
      <c r="LKB275" s="227"/>
      <c r="LKC275" s="227"/>
      <c r="LKD275" s="227"/>
      <c r="LKE275" s="227"/>
      <c r="LKF275" s="227"/>
      <c r="LKG275" s="227"/>
      <c r="LKH275" s="227"/>
      <c r="LKI275" s="227"/>
      <c r="LKJ275" s="227"/>
      <c r="LKK275" s="227"/>
      <c r="LKL275" s="227"/>
      <c r="LKM275" s="227"/>
      <c r="LKN275" s="227"/>
      <c r="LKO275" s="227"/>
      <c r="LKP275" s="227"/>
      <c r="LKQ275" s="227"/>
      <c r="LKR275" s="227"/>
      <c r="LKS275" s="227"/>
      <c r="LKT275" s="227"/>
      <c r="LKU275" s="227"/>
      <c r="LKV275" s="227"/>
      <c r="LKW275" s="227"/>
      <c r="LKX275" s="227"/>
      <c r="LKY275" s="227"/>
      <c r="LKZ275" s="227"/>
      <c r="LLA275" s="227"/>
      <c r="LLB275" s="227"/>
      <c r="LLC275" s="227"/>
      <c r="LLD275" s="227"/>
      <c r="LLE275" s="227"/>
      <c r="LLF275" s="227"/>
      <c r="LLG275" s="227"/>
      <c r="LLH275" s="227"/>
      <c r="LLI275" s="227"/>
      <c r="LLJ275" s="227"/>
      <c r="LLK275" s="227"/>
      <c r="LLL275" s="227"/>
      <c r="LLM275" s="227"/>
      <c r="LLN275" s="227"/>
      <c r="LLO275" s="227"/>
      <c r="LLP275" s="227"/>
      <c r="LLQ275" s="227"/>
      <c r="LLR275" s="227"/>
      <c r="LLS275" s="227"/>
      <c r="LLT275" s="227"/>
      <c r="LLU275" s="227"/>
      <c r="LLV275" s="227"/>
      <c r="LLW275" s="227"/>
      <c r="LLX275" s="227"/>
      <c r="LLY275" s="227"/>
      <c r="LLZ275" s="227"/>
      <c r="LMA275" s="227"/>
      <c r="LMB275" s="227"/>
      <c r="LMC275" s="227"/>
      <c r="LMD275" s="227"/>
      <c r="LME275" s="227"/>
      <c r="LMF275" s="227"/>
      <c r="LMG275" s="227"/>
      <c r="LMH275" s="227"/>
      <c r="LMI275" s="227"/>
      <c r="LMJ275" s="227"/>
      <c r="LMK275" s="227"/>
      <c r="LML275" s="227"/>
      <c r="LMM275" s="227"/>
      <c r="LMN275" s="227"/>
      <c r="LMO275" s="227"/>
      <c r="LMP275" s="227"/>
      <c r="LMQ275" s="227"/>
      <c r="LMR275" s="227"/>
      <c r="LMS275" s="227"/>
      <c r="LMT275" s="227"/>
      <c r="LMU275" s="227"/>
      <c r="LMV275" s="227"/>
      <c r="LMW275" s="227"/>
      <c r="LMX275" s="227"/>
      <c r="LMY275" s="227"/>
      <c r="LMZ275" s="227"/>
      <c r="LNA275" s="227"/>
      <c r="LNB275" s="227"/>
      <c r="LNC275" s="227"/>
      <c r="LND275" s="227"/>
      <c r="LNE275" s="227"/>
      <c r="LNF275" s="227"/>
      <c r="LNG275" s="227"/>
      <c r="LNH275" s="227"/>
      <c r="LNI275" s="227"/>
      <c r="LNJ275" s="227"/>
      <c r="LNK275" s="227"/>
      <c r="LNL275" s="227"/>
      <c r="LNM275" s="227"/>
      <c r="LNN275" s="227"/>
      <c r="LNO275" s="227"/>
      <c r="LNP275" s="227"/>
      <c r="LNQ275" s="227"/>
      <c r="LNR275" s="227"/>
      <c r="LNS275" s="227"/>
      <c r="LNT275" s="227"/>
      <c r="LNU275" s="227"/>
      <c r="LNV275" s="227"/>
      <c r="LNW275" s="227"/>
      <c r="LNX275" s="227"/>
      <c r="LNY275" s="227"/>
      <c r="LNZ275" s="227"/>
      <c r="LOA275" s="227"/>
      <c r="LOB275" s="227"/>
      <c r="LOC275" s="227"/>
      <c r="LOD275" s="227"/>
      <c r="LOE275" s="227"/>
      <c r="LOF275" s="227"/>
      <c r="LOG275" s="227"/>
      <c r="LOH275" s="227"/>
      <c r="LOI275" s="227"/>
      <c r="LOJ275" s="227"/>
      <c r="LOK275" s="227"/>
      <c r="LOL275" s="227"/>
      <c r="LOM275" s="227"/>
      <c r="LON275" s="227"/>
      <c r="LOO275" s="227"/>
      <c r="LOP275" s="227"/>
      <c r="LOQ275" s="227"/>
      <c r="LOR275" s="227"/>
      <c r="LOS275" s="227"/>
      <c r="LOT275" s="227"/>
      <c r="LOU275" s="227"/>
      <c r="LOV275" s="227"/>
      <c r="LOW275" s="227"/>
      <c r="LOX275" s="227"/>
      <c r="LOY275" s="227"/>
      <c r="LOZ275" s="227"/>
      <c r="LPA275" s="227"/>
      <c r="LPB275" s="227"/>
      <c r="LPC275" s="227"/>
      <c r="LPD275" s="227"/>
      <c r="LPE275" s="227"/>
      <c r="LPF275" s="227"/>
      <c r="LPG275" s="227"/>
      <c r="LPH275" s="227"/>
      <c r="LPI275" s="227"/>
      <c r="LPJ275" s="227"/>
      <c r="LPK275" s="227"/>
      <c r="LPL275" s="227"/>
      <c r="LPM275" s="227"/>
      <c r="LPN275" s="227"/>
      <c r="LPO275" s="227"/>
      <c r="LPP275" s="227"/>
      <c r="LPQ275" s="227"/>
      <c r="LPR275" s="227"/>
      <c r="LPS275" s="227"/>
      <c r="LPT275" s="227"/>
      <c r="LPU275" s="227"/>
      <c r="LPV275" s="227"/>
      <c r="LPW275" s="227"/>
      <c r="LPX275" s="227"/>
      <c r="LPY275" s="227"/>
      <c r="LPZ275" s="227"/>
      <c r="LQA275" s="227"/>
      <c r="LQB275" s="227"/>
      <c r="LQC275" s="227"/>
      <c r="LQD275" s="227"/>
      <c r="LQE275" s="227"/>
      <c r="LQF275" s="227"/>
      <c r="LQG275" s="227"/>
      <c r="LQH275" s="227"/>
      <c r="LQI275" s="227"/>
      <c r="LQJ275" s="227"/>
      <c r="LQK275" s="227"/>
      <c r="LQL275" s="227"/>
      <c r="LQM275" s="227"/>
      <c r="LQN275" s="227"/>
      <c r="LQO275" s="227"/>
      <c r="LQP275" s="227"/>
      <c r="LQQ275" s="227"/>
      <c r="LQR275" s="227"/>
      <c r="LQS275" s="227"/>
      <c r="LQT275" s="227"/>
      <c r="LQU275" s="227"/>
      <c r="LQV275" s="227"/>
      <c r="LQW275" s="227"/>
      <c r="LQX275" s="227"/>
      <c r="LQY275" s="227"/>
      <c r="LQZ275" s="227"/>
      <c r="LRA275" s="227"/>
      <c r="LRB275" s="227"/>
      <c r="LRC275" s="227"/>
      <c r="LRD275" s="227"/>
      <c r="LRE275" s="227"/>
      <c r="LRF275" s="227"/>
      <c r="LRG275" s="227"/>
      <c r="LRH275" s="227"/>
      <c r="LRI275" s="227"/>
      <c r="LRJ275" s="227"/>
      <c r="LRK275" s="227"/>
      <c r="LRL275" s="227"/>
      <c r="LRM275" s="227"/>
      <c r="LRN275" s="227"/>
      <c r="LRO275" s="227"/>
      <c r="LRP275" s="227"/>
      <c r="LRQ275" s="227"/>
      <c r="LRR275" s="227"/>
      <c r="LRS275" s="227"/>
      <c r="LRT275" s="227"/>
      <c r="LRU275" s="227"/>
      <c r="LRV275" s="227"/>
      <c r="LRW275" s="227"/>
      <c r="LRX275" s="227"/>
      <c r="LRY275" s="227"/>
      <c r="LRZ275" s="227"/>
      <c r="LSA275" s="227"/>
      <c r="LSB275" s="227"/>
      <c r="LSC275" s="227"/>
      <c r="LSD275" s="227"/>
      <c r="LSE275" s="227"/>
      <c r="LSF275" s="227"/>
      <c r="LSG275" s="227"/>
      <c r="LSH275" s="227"/>
      <c r="LSI275" s="227"/>
      <c r="LSJ275" s="227"/>
      <c r="LSK275" s="227"/>
      <c r="LSL275" s="227"/>
      <c r="LSM275" s="227"/>
      <c r="LSN275" s="227"/>
      <c r="LSO275" s="227"/>
      <c r="LSP275" s="227"/>
      <c r="LSQ275" s="227"/>
      <c r="LSR275" s="227"/>
      <c r="LSS275" s="227"/>
      <c r="LST275" s="227"/>
      <c r="LSU275" s="227"/>
      <c r="LSV275" s="227"/>
      <c r="LSW275" s="227"/>
      <c r="LSX275" s="227"/>
      <c r="LSY275" s="227"/>
      <c r="LSZ275" s="227"/>
      <c r="LTA275" s="227"/>
      <c r="LTB275" s="227"/>
      <c r="LTC275" s="227"/>
      <c r="LTD275" s="227"/>
      <c r="LTE275" s="227"/>
      <c r="LTF275" s="227"/>
      <c r="LTG275" s="227"/>
      <c r="LTH275" s="227"/>
      <c r="LTI275" s="227"/>
      <c r="LTJ275" s="227"/>
      <c r="LTK275" s="227"/>
      <c r="LTL275" s="227"/>
      <c r="LTM275" s="227"/>
      <c r="LTN275" s="227"/>
      <c r="LTO275" s="227"/>
      <c r="LTP275" s="227"/>
      <c r="LTQ275" s="227"/>
      <c r="LTR275" s="227"/>
      <c r="LTS275" s="227"/>
      <c r="LTT275" s="227"/>
      <c r="LTU275" s="227"/>
      <c r="LTV275" s="227"/>
      <c r="LTW275" s="227"/>
      <c r="LTX275" s="227"/>
      <c r="LTY275" s="227"/>
      <c r="LTZ275" s="227"/>
      <c r="LUA275" s="227"/>
      <c r="LUB275" s="227"/>
      <c r="LUC275" s="227"/>
      <c r="LUD275" s="227"/>
      <c r="LUE275" s="227"/>
      <c r="LUF275" s="227"/>
      <c r="LUG275" s="227"/>
      <c r="LUH275" s="227"/>
      <c r="LUI275" s="227"/>
      <c r="LUJ275" s="227"/>
      <c r="LUK275" s="227"/>
      <c r="LUL275" s="227"/>
      <c r="LUM275" s="227"/>
      <c r="LUN275" s="227"/>
      <c r="LUO275" s="227"/>
      <c r="LUP275" s="227"/>
      <c r="LUQ275" s="227"/>
      <c r="LUR275" s="227"/>
      <c r="LUS275" s="227"/>
      <c r="LUT275" s="227"/>
      <c r="LUU275" s="227"/>
      <c r="LUV275" s="227"/>
      <c r="LUW275" s="227"/>
      <c r="LUX275" s="227"/>
      <c r="LUY275" s="227"/>
      <c r="LUZ275" s="227"/>
      <c r="LVA275" s="227"/>
      <c r="LVB275" s="227"/>
      <c r="LVC275" s="227"/>
      <c r="LVD275" s="227"/>
      <c r="LVE275" s="227"/>
      <c r="LVF275" s="227"/>
      <c r="LVG275" s="227"/>
      <c r="LVH275" s="227"/>
      <c r="LVI275" s="227"/>
      <c r="LVJ275" s="227"/>
      <c r="LVK275" s="227"/>
      <c r="LVL275" s="227"/>
      <c r="LVM275" s="227"/>
      <c r="LVN275" s="227"/>
      <c r="LVO275" s="227"/>
      <c r="LVP275" s="227"/>
      <c r="LVQ275" s="227"/>
      <c r="LVR275" s="227"/>
      <c r="LVS275" s="227"/>
      <c r="LVT275" s="227"/>
      <c r="LVU275" s="227"/>
      <c r="LVV275" s="227"/>
      <c r="LVW275" s="227"/>
      <c r="LVX275" s="227"/>
      <c r="LVY275" s="227"/>
      <c r="LVZ275" s="227"/>
      <c r="LWA275" s="227"/>
      <c r="LWB275" s="227"/>
      <c r="LWC275" s="227"/>
      <c r="LWD275" s="227"/>
      <c r="LWE275" s="227"/>
      <c r="LWF275" s="227"/>
      <c r="LWG275" s="227"/>
      <c r="LWH275" s="227"/>
      <c r="LWI275" s="227"/>
      <c r="LWJ275" s="227"/>
      <c r="LWK275" s="227"/>
      <c r="LWL275" s="227"/>
      <c r="LWM275" s="227"/>
      <c r="LWN275" s="227"/>
      <c r="LWO275" s="227"/>
      <c r="LWP275" s="227"/>
      <c r="LWQ275" s="227"/>
      <c r="LWR275" s="227"/>
      <c r="LWS275" s="227"/>
      <c r="LWT275" s="227"/>
      <c r="LWU275" s="227"/>
      <c r="LWV275" s="227"/>
      <c r="LWW275" s="227"/>
      <c r="LWX275" s="227"/>
      <c r="LWY275" s="227"/>
      <c r="LWZ275" s="227"/>
      <c r="LXA275" s="227"/>
      <c r="LXB275" s="227"/>
      <c r="LXC275" s="227"/>
      <c r="LXD275" s="227"/>
      <c r="LXE275" s="227"/>
      <c r="LXF275" s="227"/>
      <c r="LXG275" s="227"/>
      <c r="LXH275" s="227"/>
      <c r="LXI275" s="227"/>
      <c r="LXJ275" s="227"/>
      <c r="LXK275" s="227"/>
      <c r="LXL275" s="227"/>
      <c r="LXM275" s="227"/>
      <c r="LXN275" s="227"/>
      <c r="LXO275" s="227"/>
      <c r="LXP275" s="227"/>
      <c r="LXQ275" s="227"/>
      <c r="LXR275" s="227"/>
      <c r="LXS275" s="227"/>
      <c r="LXT275" s="227"/>
      <c r="LXU275" s="227"/>
      <c r="LXV275" s="227"/>
      <c r="LXW275" s="227"/>
      <c r="LXX275" s="227"/>
      <c r="LXY275" s="227"/>
      <c r="LXZ275" s="227"/>
      <c r="LYA275" s="227"/>
      <c r="LYB275" s="227"/>
      <c r="LYC275" s="227"/>
      <c r="LYD275" s="227"/>
      <c r="LYE275" s="227"/>
      <c r="LYF275" s="227"/>
      <c r="LYG275" s="227"/>
      <c r="LYH275" s="227"/>
      <c r="LYI275" s="227"/>
      <c r="LYJ275" s="227"/>
      <c r="LYK275" s="227"/>
      <c r="LYL275" s="227"/>
      <c r="LYM275" s="227"/>
      <c r="LYN275" s="227"/>
      <c r="LYO275" s="227"/>
      <c r="LYP275" s="227"/>
      <c r="LYQ275" s="227"/>
      <c r="LYR275" s="227"/>
      <c r="LYS275" s="227"/>
      <c r="LYT275" s="227"/>
      <c r="LYU275" s="227"/>
      <c r="LYV275" s="227"/>
      <c r="LYW275" s="227"/>
      <c r="LYX275" s="227"/>
      <c r="LYY275" s="227"/>
      <c r="LYZ275" s="227"/>
      <c r="LZA275" s="227"/>
      <c r="LZB275" s="227"/>
      <c r="LZC275" s="227"/>
      <c r="LZD275" s="227"/>
      <c r="LZE275" s="227"/>
      <c r="LZF275" s="227"/>
      <c r="LZG275" s="227"/>
      <c r="LZH275" s="227"/>
      <c r="LZI275" s="227"/>
      <c r="LZJ275" s="227"/>
      <c r="LZK275" s="227"/>
      <c r="LZL275" s="227"/>
      <c r="LZM275" s="227"/>
      <c r="LZN275" s="227"/>
      <c r="LZO275" s="227"/>
      <c r="LZP275" s="227"/>
      <c r="LZQ275" s="227"/>
      <c r="LZR275" s="227"/>
      <c r="LZS275" s="227"/>
      <c r="LZT275" s="227"/>
      <c r="LZU275" s="227"/>
      <c r="LZV275" s="227"/>
      <c r="LZW275" s="227"/>
      <c r="LZX275" s="227"/>
      <c r="LZY275" s="227"/>
      <c r="LZZ275" s="227"/>
      <c r="MAA275" s="227"/>
      <c r="MAB275" s="227"/>
      <c r="MAC275" s="227"/>
      <c r="MAD275" s="227"/>
      <c r="MAE275" s="227"/>
      <c r="MAF275" s="227"/>
      <c r="MAG275" s="227"/>
      <c r="MAH275" s="227"/>
      <c r="MAI275" s="227"/>
      <c r="MAJ275" s="227"/>
      <c r="MAK275" s="227"/>
      <c r="MAL275" s="227"/>
      <c r="MAM275" s="227"/>
      <c r="MAN275" s="227"/>
      <c r="MAO275" s="227"/>
      <c r="MAP275" s="227"/>
      <c r="MAQ275" s="227"/>
      <c r="MAR275" s="227"/>
      <c r="MAS275" s="227"/>
      <c r="MAT275" s="227"/>
      <c r="MAU275" s="227"/>
      <c r="MAV275" s="227"/>
      <c r="MAW275" s="227"/>
      <c r="MAX275" s="227"/>
      <c r="MAY275" s="227"/>
      <c r="MAZ275" s="227"/>
      <c r="MBA275" s="227"/>
      <c r="MBB275" s="227"/>
      <c r="MBC275" s="227"/>
      <c r="MBD275" s="227"/>
      <c r="MBE275" s="227"/>
      <c r="MBF275" s="227"/>
      <c r="MBG275" s="227"/>
      <c r="MBH275" s="227"/>
      <c r="MBI275" s="227"/>
      <c r="MBJ275" s="227"/>
      <c r="MBK275" s="227"/>
      <c r="MBL275" s="227"/>
      <c r="MBM275" s="227"/>
      <c r="MBN275" s="227"/>
      <c r="MBO275" s="227"/>
      <c r="MBP275" s="227"/>
      <c r="MBQ275" s="227"/>
      <c r="MBR275" s="227"/>
      <c r="MBS275" s="227"/>
      <c r="MBT275" s="227"/>
      <c r="MBU275" s="227"/>
      <c r="MBV275" s="227"/>
      <c r="MBW275" s="227"/>
      <c r="MBX275" s="227"/>
      <c r="MBY275" s="227"/>
      <c r="MBZ275" s="227"/>
      <c r="MCA275" s="227"/>
      <c r="MCB275" s="227"/>
      <c r="MCC275" s="227"/>
      <c r="MCD275" s="227"/>
      <c r="MCE275" s="227"/>
      <c r="MCF275" s="227"/>
      <c r="MCG275" s="227"/>
      <c r="MCH275" s="227"/>
      <c r="MCI275" s="227"/>
      <c r="MCJ275" s="227"/>
      <c r="MCK275" s="227"/>
      <c r="MCL275" s="227"/>
      <c r="MCM275" s="227"/>
      <c r="MCN275" s="227"/>
      <c r="MCO275" s="227"/>
      <c r="MCP275" s="227"/>
      <c r="MCQ275" s="227"/>
      <c r="MCR275" s="227"/>
      <c r="MCS275" s="227"/>
      <c r="MCT275" s="227"/>
      <c r="MCU275" s="227"/>
      <c r="MCV275" s="227"/>
      <c r="MCW275" s="227"/>
      <c r="MCX275" s="227"/>
      <c r="MCY275" s="227"/>
      <c r="MCZ275" s="227"/>
      <c r="MDA275" s="227"/>
      <c r="MDB275" s="227"/>
      <c r="MDC275" s="227"/>
      <c r="MDD275" s="227"/>
      <c r="MDE275" s="227"/>
      <c r="MDF275" s="227"/>
      <c r="MDG275" s="227"/>
      <c r="MDH275" s="227"/>
      <c r="MDI275" s="227"/>
      <c r="MDJ275" s="227"/>
      <c r="MDK275" s="227"/>
      <c r="MDL275" s="227"/>
      <c r="MDM275" s="227"/>
      <c r="MDN275" s="227"/>
      <c r="MDO275" s="227"/>
      <c r="MDP275" s="227"/>
      <c r="MDQ275" s="227"/>
      <c r="MDR275" s="227"/>
      <c r="MDS275" s="227"/>
      <c r="MDT275" s="227"/>
      <c r="MDU275" s="227"/>
      <c r="MDV275" s="227"/>
      <c r="MDW275" s="227"/>
      <c r="MDX275" s="227"/>
      <c r="MDY275" s="227"/>
      <c r="MDZ275" s="227"/>
      <c r="MEA275" s="227"/>
      <c r="MEB275" s="227"/>
      <c r="MEC275" s="227"/>
      <c r="MED275" s="227"/>
      <c r="MEE275" s="227"/>
      <c r="MEF275" s="227"/>
      <c r="MEG275" s="227"/>
      <c r="MEH275" s="227"/>
      <c r="MEI275" s="227"/>
      <c r="MEJ275" s="227"/>
      <c r="MEK275" s="227"/>
      <c r="MEL275" s="227"/>
      <c r="MEM275" s="227"/>
      <c r="MEN275" s="227"/>
      <c r="MEO275" s="227"/>
      <c r="MEP275" s="227"/>
      <c r="MEQ275" s="227"/>
      <c r="MER275" s="227"/>
      <c r="MES275" s="227"/>
      <c r="MET275" s="227"/>
      <c r="MEU275" s="227"/>
      <c r="MEV275" s="227"/>
      <c r="MEW275" s="227"/>
      <c r="MEX275" s="227"/>
      <c r="MEY275" s="227"/>
      <c r="MEZ275" s="227"/>
      <c r="MFA275" s="227"/>
      <c r="MFB275" s="227"/>
      <c r="MFC275" s="227"/>
      <c r="MFD275" s="227"/>
      <c r="MFE275" s="227"/>
      <c r="MFF275" s="227"/>
      <c r="MFG275" s="227"/>
      <c r="MFH275" s="227"/>
      <c r="MFI275" s="227"/>
      <c r="MFJ275" s="227"/>
      <c r="MFK275" s="227"/>
      <c r="MFL275" s="227"/>
      <c r="MFM275" s="227"/>
      <c r="MFN275" s="227"/>
      <c r="MFO275" s="227"/>
      <c r="MFP275" s="227"/>
      <c r="MFQ275" s="227"/>
      <c r="MFR275" s="227"/>
      <c r="MFS275" s="227"/>
      <c r="MFT275" s="227"/>
      <c r="MFU275" s="227"/>
      <c r="MFV275" s="227"/>
      <c r="MFW275" s="227"/>
      <c r="MFX275" s="227"/>
      <c r="MFY275" s="227"/>
      <c r="MFZ275" s="227"/>
      <c r="MGA275" s="227"/>
      <c r="MGB275" s="227"/>
      <c r="MGC275" s="227"/>
      <c r="MGD275" s="227"/>
      <c r="MGE275" s="227"/>
      <c r="MGF275" s="227"/>
      <c r="MGG275" s="227"/>
      <c r="MGH275" s="227"/>
      <c r="MGI275" s="227"/>
      <c r="MGJ275" s="227"/>
      <c r="MGK275" s="227"/>
      <c r="MGL275" s="227"/>
      <c r="MGM275" s="227"/>
      <c r="MGN275" s="227"/>
      <c r="MGO275" s="227"/>
      <c r="MGP275" s="227"/>
      <c r="MGQ275" s="227"/>
      <c r="MGR275" s="227"/>
      <c r="MGS275" s="227"/>
      <c r="MGT275" s="227"/>
      <c r="MGU275" s="227"/>
      <c r="MGV275" s="227"/>
      <c r="MGW275" s="227"/>
      <c r="MGX275" s="227"/>
      <c r="MGY275" s="227"/>
      <c r="MGZ275" s="227"/>
      <c r="MHA275" s="227"/>
      <c r="MHB275" s="227"/>
      <c r="MHC275" s="227"/>
      <c r="MHD275" s="227"/>
      <c r="MHE275" s="227"/>
      <c r="MHF275" s="227"/>
      <c r="MHG275" s="227"/>
      <c r="MHH275" s="227"/>
      <c r="MHI275" s="227"/>
      <c r="MHJ275" s="227"/>
      <c r="MHK275" s="227"/>
      <c r="MHL275" s="227"/>
      <c r="MHM275" s="227"/>
      <c r="MHN275" s="227"/>
      <c r="MHO275" s="227"/>
      <c r="MHP275" s="227"/>
      <c r="MHQ275" s="227"/>
      <c r="MHR275" s="227"/>
      <c r="MHS275" s="227"/>
      <c r="MHT275" s="227"/>
      <c r="MHU275" s="227"/>
      <c r="MHV275" s="227"/>
      <c r="MHW275" s="227"/>
      <c r="MHX275" s="227"/>
      <c r="MHY275" s="227"/>
      <c r="MHZ275" s="227"/>
      <c r="MIA275" s="227"/>
      <c r="MIB275" s="227"/>
      <c r="MIC275" s="227"/>
      <c r="MID275" s="227"/>
      <c r="MIE275" s="227"/>
      <c r="MIF275" s="227"/>
      <c r="MIG275" s="227"/>
      <c r="MIH275" s="227"/>
      <c r="MII275" s="227"/>
      <c r="MIJ275" s="227"/>
      <c r="MIK275" s="227"/>
      <c r="MIL275" s="227"/>
      <c r="MIM275" s="227"/>
      <c r="MIN275" s="227"/>
      <c r="MIO275" s="227"/>
      <c r="MIP275" s="227"/>
      <c r="MIQ275" s="227"/>
      <c r="MIR275" s="227"/>
      <c r="MIS275" s="227"/>
      <c r="MIT275" s="227"/>
      <c r="MIU275" s="227"/>
      <c r="MIV275" s="227"/>
      <c r="MIW275" s="227"/>
      <c r="MIX275" s="227"/>
      <c r="MIY275" s="227"/>
      <c r="MIZ275" s="227"/>
      <c r="MJA275" s="227"/>
      <c r="MJB275" s="227"/>
      <c r="MJC275" s="227"/>
      <c r="MJD275" s="227"/>
      <c r="MJE275" s="227"/>
      <c r="MJF275" s="227"/>
      <c r="MJG275" s="227"/>
      <c r="MJH275" s="227"/>
      <c r="MJI275" s="227"/>
      <c r="MJJ275" s="227"/>
      <c r="MJK275" s="227"/>
      <c r="MJL275" s="227"/>
      <c r="MJM275" s="227"/>
      <c r="MJN275" s="227"/>
      <c r="MJO275" s="227"/>
      <c r="MJP275" s="227"/>
      <c r="MJQ275" s="227"/>
      <c r="MJR275" s="227"/>
      <c r="MJS275" s="227"/>
      <c r="MJT275" s="227"/>
      <c r="MJU275" s="227"/>
      <c r="MJV275" s="227"/>
      <c r="MJW275" s="227"/>
      <c r="MJX275" s="227"/>
      <c r="MJY275" s="227"/>
      <c r="MJZ275" s="227"/>
      <c r="MKA275" s="227"/>
      <c r="MKB275" s="227"/>
      <c r="MKC275" s="227"/>
      <c r="MKD275" s="227"/>
      <c r="MKE275" s="227"/>
      <c r="MKF275" s="227"/>
      <c r="MKG275" s="227"/>
      <c r="MKH275" s="227"/>
      <c r="MKI275" s="227"/>
      <c r="MKJ275" s="227"/>
      <c r="MKK275" s="227"/>
      <c r="MKL275" s="227"/>
      <c r="MKM275" s="227"/>
      <c r="MKN275" s="227"/>
      <c r="MKO275" s="227"/>
      <c r="MKP275" s="227"/>
      <c r="MKQ275" s="227"/>
      <c r="MKR275" s="227"/>
      <c r="MKS275" s="227"/>
      <c r="MKT275" s="227"/>
      <c r="MKU275" s="227"/>
      <c r="MKV275" s="227"/>
      <c r="MKW275" s="227"/>
      <c r="MKX275" s="227"/>
      <c r="MKY275" s="227"/>
      <c r="MKZ275" s="227"/>
      <c r="MLA275" s="227"/>
      <c r="MLB275" s="227"/>
      <c r="MLC275" s="227"/>
      <c r="MLD275" s="227"/>
      <c r="MLE275" s="227"/>
      <c r="MLF275" s="227"/>
      <c r="MLG275" s="227"/>
      <c r="MLH275" s="227"/>
      <c r="MLI275" s="227"/>
      <c r="MLJ275" s="227"/>
      <c r="MLK275" s="227"/>
      <c r="MLL275" s="227"/>
      <c r="MLM275" s="227"/>
      <c r="MLN275" s="227"/>
      <c r="MLO275" s="227"/>
      <c r="MLP275" s="227"/>
      <c r="MLQ275" s="227"/>
      <c r="MLR275" s="227"/>
      <c r="MLS275" s="227"/>
      <c r="MLT275" s="227"/>
      <c r="MLU275" s="227"/>
      <c r="MLV275" s="227"/>
      <c r="MLW275" s="227"/>
      <c r="MLX275" s="227"/>
      <c r="MLY275" s="227"/>
      <c r="MLZ275" s="227"/>
      <c r="MMA275" s="227"/>
      <c r="MMB275" s="227"/>
      <c r="MMC275" s="227"/>
      <c r="MMD275" s="227"/>
      <c r="MME275" s="227"/>
      <c r="MMF275" s="227"/>
      <c r="MMG275" s="227"/>
      <c r="MMH275" s="227"/>
      <c r="MMI275" s="227"/>
      <c r="MMJ275" s="227"/>
      <c r="MMK275" s="227"/>
      <c r="MML275" s="227"/>
      <c r="MMM275" s="227"/>
      <c r="MMN275" s="227"/>
      <c r="MMO275" s="227"/>
      <c r="MMP275" s="227"/>
      <c r="MMQ275" s="227"/>
      <c r="MMR275" s="227"/>
      <c r="MMS275" s="227"/>
      <c r="MMT275" s="227"/>
      <c r="MMU275" s="227"/>
      <c r="MMV275" s="227"/>
      <c r="MMW275" s="227"/>
      <c r="MMX275" s="227"/>
      <c r="MMY275" s="227"/>
      <c r="MMZ275" s="227"/>
      <c r="MNA275" s="227"/>
      <c r="MNB275" s="227"/>
      <c r="MNC275" s="227"/>
      <c r="MND275" s="227"/>
      <c r="MNE275" s="227"/>
      <c r="MNF275" s="227"/>
      <c r="MNG275" s="227"/>
      <c r="MNH275" s="227"/>
      <c r="MNI275" s="227"/>
      <c r="MNJ275" s="227"/>
      <c r="MNK275" s="227"/>
      <c r="MNL275" s="227"/>
      <c r="MNM275" s="227"/>
      <c r="MNN275" s="227"/>
      <c r="MNO275" s="227"/>
      <c r="MNP275" s="227"/>
      <c r="MNQ275" s="227"/>
      <c r="MNR275" s="227"/>
      <c r="MNS275" s="227"/>
      <c r="MNT275" s="227"/>
      <c r="MNU275" s="227"/>
      <c r="MNV275" s="227"/>
      <c r="MNW275" s="227"/>
      <c r="MNX275" s="227"/>
      <c r="MNY275" s="227"/>
      <c r="MNZ275" s="227"/>
      <c r="MOA275" s="227"/>
      <c r="MOB275" s="227"/>
      <c r="MOC275" s="227"/>
      <c r="MOD275" s="227"/>
      <c r="MOE275" s="227"/>
      <c r="MOF275" s="227"/>
      <c r="MOG275" s="227"/>
      <c r="MOH275" s="227"/>
      <c r="MOI275" s="227"/>
      <c r="MOJ275" s="227"/>
      <c r="MOK275" s="227"/>
      <c r="MOL275" s="227"/>
      <c r="MOM275" s="227"/>
      <c r="MON275" s="227"/>
      <c r="MOO275" s="227"/>
      <c r="MOP275" s="227"/>
      <c r="MOQ275" s="227"/>
      <c r="MOR275" s="227"/>
      <c r="MOS275" s="227"/>
      <c r="MOT275" s="227"/>
      <c r="MOU275" s="227"/>
      <c r="MOV275" s="227"/>
      <c r="MOW275" s="227"/>
      <c r="MOX275" s="227"/>
      <c r="MOY275" s="227"/>
      <c r="MOZ275" s="227"/>
      <c r="MPA275" s="227"/>
      <c r="MPB275" s="227"/>
      <c r="MPC275" s="227"/>
      <c r="MPD275" s="227"/>
      <c r="MPE275" s="227"/>
      <c r="MPF275" s="227"/>
      <c r="MPG275" s="227"/>
      <c r="MPH275" s="227"/>
      <c r="MPI275" s="227"/>
      <c r="MPJ275" s="227"/>
      <c r="MPK275" s="227"/>
      <c r="MPL275" s="227"/>
      <c r="MPM275" s="227"/>
      <c r="MPN275" s="227"/>
      <c r="MPO275" s="227"/>
      <c r="MPP275" s="227"/>
      <c r="MPQ275" s="227"/>
      <c r="MPR275" s="227"/>
      <c r="MPS275" s="227"/>
      <c r="MPT275" s="227"/>
      <c r="MPU275" s="227"/>
      <c r="MPV275" s="227"/>
      <c r="MPW275" s="227"/>
      <c r="MPX275" s="227"/>
      <c r="MPY275" s="227"/>
      <c r="MPZ275" s="227"/>
      <c r="MQA275" s="227"/>
      <c r="MQB275" s="227"/>
      <c r="MQC275" s="227"/>
      <c r="MQD275" s="227"/>
      <c r="MQE275" s="227"/>
      <c r="MQF275" s="227"/>
      <c r="MQG275" s="227"/>
      <c r="MQH275" s="227"/>
      <c r="MQI275" s="227"/>
      <c r="MQJ275" s="227"/>
      <c r="MQK275" s="227"/>
      <c r="MQL275" s="227"/>
      <c r="MQM275" s="227"/>
      <c r="MQN275" s="227"/>
      <c r="MQO275" s="227"/>
      <c r="MQP275" s="227"/>
      <c r="MQQ275" s="227"/>
      <c r="MQR275" s="227"/>
      <c r="MQS275" s="227"/>
      <c r="MQT275" s="227"/>
      <c r="MQU275" s="227"/>
      <c r="MQV275" s="227"/>
      <c r="MQW275" s="227"/>
      <c r="MQX275" s="227"/>
      <c r="MQY275" s="227"/>
      <c r="MQZ275" s="227"/>
      <c r="MRA275" s="227"/>
      <c r="MRB275" s="227"/>
      <c r="MRC275" s="227"/>
      <c r="MRD275" s="227"/>
      <c r="MRE275" s="227"/>
      <c r="MRF275" s="227"/>
      <c r="MRG275" s="227"/>
      <c r="MRH275" s="227"/>
      <c r="MRI275" s="227"/>
      <c r="MRJ275" s="227"/>
      <c r="MRK275" s="227"/>
      <c r="MRL275" s="227"/>
      <c r="MRM275" s="227"/>
      <c r="MRN275" s="227"/>
      <c r="MRO275" s="227"/>
      <c r="MRP275" s="227"/>
      <c r="MRQ275" s="227"/>
      <c r="MRR275" s="227"/>
      <c r="MRS275" s="227"/>
      <c r="MRT275" s="227"/>
      <c r="MRU275" s="227"/>
      <c r="MRV275" s="227"/>
      <c r="MRW275" s="227"/>
      <c r="MRX275" s="227"/>
      <c r="MRY275" s="227"/>
      <c r="MRZ275" s="227"/>
      <c r="MSA275" s="227"/>
      <c r="MSB275" s="227"/>
      <c r="MSC275" s="227"/>
      <c r="MSD275" s="227"/>
      <c r="MSE275" s="227"/>
      <c r="MSF275" s="227"/>
      <c r="MSG275" s="227"/>
      <c r="MSH275" s="227"/>
      <c r="MSI275" s="227"/>
      <c r="MSJ275" s="227"/>
      <c r="MSK275" s="227"/>
      <c r="MSL275" s="227"/>
      <c r="MSM275" s="227"/>
      <c r="MSN275" s="227"/>
      <c r="MSO275" s="227"/>
      <c r="MSP275" s="227"/>
      <c r="MSQ275" s="227"/>
      <c r="MSR275" s="227"/>
      <c r="MSS275" s="227"/>
      <c r="MST275" s="227"/>
      <c r="MSU275" s="227"/>
      <c r="MSV275" s="227"/>
      <c r="MSW275" s="227"/>
      <c r="MSX275" s="227"/>
      <c r="MSY275" s="227"/>
      <c r="MSZ275" s="227"/>
      <c r="MTA275" s="227"/>
      <c r="MTB275" s="227"/>
      <c r="MTC275" s="227"/>
      <c r="MTD275" s="227"/>
      <c r="MTE275" s="227"/>
      <c r="MTF275" s="227"/>
      <c r="MTG275" s="227"/>
      <c r="MTH275" s="227"/>
      <c r="MTI275" s="227"/>
      <c r="MTJ275" s="227"/>
      <c r="MTK275" s="227"/>
      <c r="MTL275" s="227"/>
      <c r="MTM275" s="227"/>
      <c r="MTN275" s="227"/>
      <c r="MTO275" s="227"/>
      <c r="MTP275" s="227"/>
      <c r="MTQ275" s="227"/>
      <c r="MTR275" s="227"/>
      <c r="MTS275" s="227"/>
      <c r="MTT275" s="227"/>
      <c r="MTU275" s="227"/>
      <c r="MTV275" s="227"/>
      <c r="MTW275" s="227"/>
      <c r="MTX275" s="227"/>
      <c r="MTY275" s="227"/>
      <c r="MTZ275" s="227"/>
      <c r="MUA275" s="227"/>
      <c r="MUB275" s="227"/>
      <c r="MUC275" s="227"/>
      <c r="MUD275" s="227"/>
      <c r="MUE275" s="227"/>
      <c r="MUF275" s="227"/>
      <c r="MUG275" s="227"/>
      <c r="MUH275" s="227"/>
      <c r="MUI275" s="227"/>
      <c r="MUJ275" s="227"/>
      <c r="MUK275" s="227"/>
      <c r="MUL275" s="227"/>
      <c r="MUM275" s="227"/>
      <c r="MUN275" s="227"/>
      <c r="MUO275" s="227"/>
      <c r="MUP275" s="227"/>
      <c r="MUQ275" s="227"/>
      <c r="MUR275" s="227"/>
      <c r="MUS275" s="227"/>
      <c r="MUT275" s="227"/>
      <c r="MUU275" s="227"/>
      <c r="MUV275" s="227"/>
      <c r="MUW275" s="227"/>
      <c r="MUX275" s="227"/>
      <c r="MUY275" s="227"/>
      <c r="MUZ275" s="227"/>
      <c r="MVA275" s="227"/>
      <c r="MVB275" s="227"/>
      <c r="MVC275" s="227"/>
      <c r="MVD275" s="227"/>
      <c r="MVE275" s="227"/>
      <c r="MVF275" s="227"/>
      <c r="MVG275" s="227"/>
      <c r="MVH275" s="227"/>
      <c r="MVI275" s="227"/>
      <c r="MVJ275" s="227"/>
      <c r="MVK275" s="227"/>
      <c r="MVL275" s="227"/>
      <c r="MVM275" s="227"/>
      <c r="MVN275" s="227"/>
      <c r="MVO275" s="227"/>
      <c r="MVP275" s="227"/>
      <c r="MVQ275" s="227"/>
      <c r="MVR275" s="227"/>
      <c r="MVS275" s="227"/>
      <c r="MVT275" s="227"/>
      <c r="MVU275" s="227"/>
      <c r="MVV275" s="227"/>
      <c r="MVW275" s="227"/>
      <c r="MVX275" s="227"/>
      <c r="MVY275" s="227"/>
      <c r="MVZ275" s="227"/>
      <c r="MWA275" s="227"/>
      <c r="MWB275" s="227"/>
      <c r="MWC275" s="227"/>
      <c r="MWD275" s="227"/>
      <c r="MWE275" s="227"/>
      <c r="MWF275" s="227"/>
      <c r="MWG275" s="227"/>
      <c r="MWH275" s="227"/>
      <c r="MWI275" s="227"/>
      <c r="MWJ275" s="227"/>
      <c r="MWK275" s="227"/>
      <c r="MWL275" s="227"/>
      <c r="MWM275" s="227"/>
      <c r="MWN275" s="227"/>
      <c r="MWO275" s="227"/>
      <c r="MWP275" s="227"/>
      <c r="MWQ275" s="227"/>
      <c r="MWR275" s="227"/>
      <c r="MWS275" s="227"/>
      <c r="MWT275" s="227"/>
      <c r="MWU275" s="227"/>
      <c r="MWV275" s="227"/>
      <c r="MWW275" s="227"/>
      <c r="MWX275" s="227"/>
      <c r="MWY275" s="227"/>
      <c r="MWZ275" s="227"/>
      <c r="MXA275" s="227"/>
      <c r="MXB275" s="227"/>
      <c r="MXC275" s="227"/>
      <c r="MXD275" s="227"/>
      <c r="MXE275" s="227"/>
      <c r="MXF275" s="227"/>
      <c r="MXG275" s="227"/>
      <c r="MXH275" s="227"/>
      <c r="MXI275" s="227"/>
      <c r="MXJ275" s="227"/>
      <c r="MXK275" s="227"/>
      <c r="MXL275" s="227"/>
      <c r="MXM275" s="227"/>
      <c r="MXN275" s="227"/>
      <c r="MXO275" s="227"/>
      <c r="MXP275" s="227"/>
      <c r="MXQ275" s="227"/>
      <c r="MXR275" s="227"/>
      <c r="MXS275" s="227"/>
      <c r="MXT275" s="227"/>
      <c r="MXU275" s="227"/>
      <c r="MXV275" s="227"/>
      <c r="MXW275" s="227"/>
      <c r="MXX275" s="227"/>
      <c r="MXY275" s="227"/>
      <c r="MXZ275" s="227"/>
      <c r="MYA275" s="227"/>
      <c r="MYB275" s="227"/>
      <c r="MYC275" s="227"/>
      <c r="MYD275" s="227"/>
      <c r="MYE275" s="227"/>
      <c r="MYF275" s="227"/>
      <c r="MYG275" s="227"/>
      <c r="MYH275" s="227"/>
      <c r="MYI275" s="227"/>
      <c r="MYJ275" s="227"/>
      <c r="MYK275" s="227"/>
      <c r="MYL275" s="227"/>
      <c r="MYM275" s="227"/>
      <c r="MYN275" s="227"/>
      <c r="MYO275" s="227"/>
      <c r="MYP275" s="227"/>
      <c r="MYQ275" s="227"/>
      <c r="MYR275" s="227"/>
      <c r="MYS275" s="227"/>
      <c r="MYT275" s="227"/>
      <c r="MYU275" s="227"/>
      <c r="MYV275" s="227"/>
      <c r="MYW275" s="227"/>
      <c r="MYX275" s="227"/>
      <c r="MYY275" s="227"/>
      <c r="MYZ275" s="227"/>
      <c r="MZA275" s="227"/>
      <c r="MZB275" s="227"/>
      <c r="MZC275" s="227"/>
      <c r="MZD275" s="227"/>
      <c r="MZE275" s="227"/>
      <c r="MZF275" s="227"/>
      <c r="MZG275" s="227"/>
      <c r="MZH275" s="227"/>
      <c r="MZI275" s="227"/>
      <c r="MZJ275" s="227"/>
      <c r="MZK275" s="227"/>
      <c r="MZL275" s="227"/>
      <c r="MZM275" s="227"/>
      <c r="MZN275" s="227"/>
      <c r="MZO275" s="227"/>
      <c r="MZP275" s="227"/>
      <c r="MZQ275" s="227"/>
      <c r="MZR275" s="227"/>
      <c r="MZS275" s="227"/>
      <c r="MZT275" s="227"/>
      <c r="MZU275" s="227"/>
      <c r="MZV275" s="227"/>
      <c r="MZW275" s="227"/>
      <c r="MZX275" s="227"/>
      <c r="MZY275" s="227"/>
      <c r="MZZ275" s="227"/>
      <c r="NAA275" s="227"/>
      <c r="NAB275" s="227"/>
      <c r="NAC275" s="227"/>
      <c r="NAD275" s="227"/>
      <c r="NAE275" s="227"/>
      <c r="NAF275" s="227"/>
      <c r="NAG275" s="227"/>
      <c r="NAH275" s="227"/>
      <c r="NAI275" s="227"/>
      <c r="NAJ275" s="227"/>
      <c r="NAK275" s="227"/>
      <c r="NAL275" s="227"/>
      <c r="NAM275" s="227"/>
      <c r="NAN275" s="227"/>
      <c r="NAO275" s="227"/>
      <c r="NAP275" s="227"/>
      <c r="NAQ275" s="227"/>
      <c r="NAR275" s="227"/>
      <c r="NAS275" s="227"/>
      <c r="NAT275" s="227"/>
      <c r="NAU275" s="227"/>
      <c r="NAV275" s="227"/>
      <c r="NAW275" s="227"/>
      <c r="NAX275" s="227"/>
      <c r="NAY275" s="227"/>
      <c r="NAZ275" s="227"/>
      <c r="NBA275" s="227"/>
      <c r="NBB275" s="227"/>
      <c r="NBC275" s="227"/>
      <c r="NBD275" s="227"/>
      <c r="NBE275" s="227"/>
      <c r="NBF275" s="227"/>
      <c r="NBG275" s="227"/>
      <c r="NBH275" s="227"/>
      <c r="NBI275" s="227"/>
      <c r="NBJ275" s="227"/>
      <c r="NBK275" s="227"/>
      <c r="NBL275" s="227"/>
      <c r="NBM275" s="227"/>
      <c r="NBN275" s="227"/>
      <c r="NBO275" s="227"/>
      <c r="NBP275" s="227"/>
      <c r="NBQ275" s="227"/>
      <c r="NBR275" s="227"/>
      <c r="NBS275" s="227"/>
      <c r="NBT275" s="227"/>
      <c r="NBU275" s="227"/>
      <c r="NBV275" s="227"/>
      <c r="NBW275" s="227"/>
      <c r="NBX275" s="227"/>
      <c r="NBY275" s="227"/>
      <c r="NBZ275" s="227"/>
      <c r="NCA275" s="227"/>
      <c r="NCB275" s="227"/>
      <c r="NCC275" s="227"/>
      <c r="NCD275" s="227"/>
      <c r="NCE275" s="227"/>
      <c r="NCF275" s="227"/>
      <c r="NCG275" s="227"/>
      <c r="NCH275" s="227"/>
      <c r="NCI275" s="227"/>
      <c r="NCJ275" s="227"/>
      <c r="NCK275" s="227"/>
      <c r="NCL275" s="227"/>
      <c r="NCM275" s="227"/>
      <c r="NCN275" s="227"/>
      <c r="NCO275" s="227"/>
      <c r="NCP275" s="227"/>
      <c r="NCQ275" s="227"/>
      <c r="NCR275" s="227"/>
      <c r="NCS275" s="227"/>
      <c r="NCT275" s="227"/>
      <c r="NCU275" s="227"/>
      <c r="NCV275" s="227"/>
      <c r="NCW275" s="227"/>
      <c r="NCX275" s="227"/>
      <c r="NCY275" s="227"/>
      <c r="NCZ275" s="227"/>
      <c r="NDA275" s="227"/>
      <c r="NDB275" s="227"/>
      <c r="NDC275" s="227"/>
      <c r="NDD275" s="227"/>
      <c r="NDE275" s="227"/>
      <c r="NDF275" s="227"/>
      <c r="NDG275" s="227"/>
      <c r="NDH275" s="227"/>
      <c r="NDI275" s="227"/>
      <c r="NDJ275" s="227"/>
      <c r="NDK275" s="227"/>
      <c r="NDL275" s="227"/>
      <c r="NDM275" s="227"/>
      <c r="NDN275" s="227"/>
      <c r="NDO275" s="227"/>
      <c r="NDP275" s="227"/>
      <c r="NDQ275" s="227"/>
      <c r="NDR275" s="227"/>
      <c r="NDS275" s="227"/>
      <c r="NDT275" s="227"/>
      <c r="NDU275" s="227"/>
      <c r="NDV275" s="227"/>
      <c r="NDW275" s="227"/>
      <c r="NDX275" s="227"/>
      <c r="NDY275" s="227"/>
      <c r="NDZ275" s="227"/>
      <c r="NEA275" s="227"/>
      <c r="NEB275" s="227"/>
      <c r="NEC275" s="227"/>
      <c r="NED275" s="227"/>
      <c r="NEE275" s="227"/>
      <c r="NEF275" s="227"/>
      <c r="NEG275" s="227"/>
      <c r="NEH275" s="227"/>
      <c r="NEI275" s="227"/>
      <c r="NEJ275" s="227"/>
      <c r="NEK275" s="227"/>
      <c r="NEL275" s="227"/>
      <c r="NEM275" s="227"/>
      <c r="NEN275" s="227"/>
      <c r="NEO275" s="227"/>
      <c r="NEP275" s="227"/>
      <c r="NEQ275" s="227"/>
      <c r="NER275" s="227"/>
      <c r="NES275" s="227"/>
      <c r="NET275" s="227"/>
      <c r="NEU275" s="227"/>
      <c r="NEV275" s="227"/>
      <c r="NEW275" s="227"/>
      <c r="NEX275" s="227"/>
      <c r="NEY275" s="227"/>
      <c r="NEZ275" s="227"/>
      <c r="NFA275" s="227"/>
      <c r="NFB275" s="227"/>
      <c r="NFC275" s="227"/>
      <c r="NFD275" s="227"/>
      <c r="NFE275" s="227"/>
      <c r="NFF275" s="227"/>
      <c r="NFG275" s="227"/>
      <c r="NFH275" s="227"/>
      <c r="NFI275" s="227"/>
      <c r="NFJ275" s="227"/>
      <c r="NFK275" s="227"/>
      <c r="NFL275" s="227"/>
      <c r="NFM275" s="227"/>
      <c r="NFN275" s="227"/>
      <c r="NFO275" s="227"/>
      <c r="NFP275" s="227"/>
      <c r="NFQ275" s="227"/>
      <c r="NFR275" s="227"/>
      <c r="NFS275" s="227"/>
      <c r="NFT275" s="227"/>
      <c r="NFU275" s="227"/>
      <c r="NFV275" s="227"/>
      <c r="NFW275" s="227"/>
      <c r="NFX275" s="227"/>
      <c r="NFY275" s="227"/>
      <c r="NFZ275" s="227"/>
      <c r="NGA275" s="227"/>
      <c r="NGB275" s="227"/>
      <c r="NGC275" s="227"/>
      <c r="NGD275" s="227"/>
      <c r="NGE275" s="227"/>
      <c r="NGF275" s="227"/>
      <c r="NGG275" s="227"/>
      <c r="NGH275" s="227"/>
      <c r="NGI275" s="227"/>
      <c r="NGJ275" s="227"/>
      <c r="NGK275" s="227"/>
      <c r="NGL275" s="227"/>
      <c r="NGM275" s="227"/>
      <c r="NGN275" s="227"/>
      <c r="NGO275" s="227"/>
      <c r="NGP275" s="227"/>
      <c r="NGQ275" s="227"/>
      <c r="NGR275" s="227"/>
      <c r="NGS275" s="227"/>
      <c r="NGT275" s="227"/>
      <c r="NGU275" s="227"/>
      <c r="NGV275" s="227"/>
      <c r="NGW275" s="227"/>
      <c r="NGX275" s="227"/>
      <c r="NGY275" s="227"/>
      <c r="NGZ275" s="227"/>
      <c r="NHA275" s="227"/>
      <c r="NHB275" s="227"/>
      <c r="NHC275" s="227"/>
      <c r="NHD275" s="227"/>
      <c r="NHE275" s="227"/>
      <c r="NHF275" s="227"/>
      <c r="NHG275" s="227"/>
      <c r="NHH275" s="227"/>
      <c r="NHI275" s="227"/>
      <c r="NHJ275" s="227"/>
      <c r="NHK275" s="227"/>
      <c r="NHL275" s="227"/>
      <c r="NHM275" s="227"/>
      <c r="NHN275" s="227"/>
      <c r="NHO275" s="227"/>
      <c r="NHP275" s="227"/>
      <c r="NHQ275" s="227"/>
      <c r="NHR275" s="227"/>
      <c r="NHS275" s="227"/>
      <c r="NHT275" s="227"/>
      <c r="NHU275" s="227"/>
      <c r="NHV275" s="227"/>
      <c r="NHW275" s="227"/>
      <c r="NHX275" s="227"/>
      <c r="NHY275" s="227"/>
      <c r="NHZ275" s="227"/>
      <c r="NIA275" s="227"/>
      <c r="NIB275" s="227"/>
      <c r="NIC275" s="227"/>
      <c r="NID275" s="227"/>
      <c r="NIE275" s="227"/>
      <c r="NIF275" s="227"/>
      <c r="NIG275" s="227"/>
      <c r="NIH275" s="227"/>
      <c r="NII275" s="227"/>
      <c r="NIJ275" s="227"/>
      <c r="NIK275" s="227"/>
      <c r="NIL275" s="227"/>
      <c r="NIM275" s="227"/>
      <c r="NIN275" s="227"/>
      <c r="NIO275" s="227"/>
      <c r="NIP275" s="227"/>
      <c r="NIQ275" s="227"/>
      <c r="NIR275" s="227"/>
      <c r="NIS275" s="227"/>
      <c r="NIT275" s="227"/>
      <c r="NIU275" s="227"/>
      <c r="NIV275" s="227"/>
      <c r="NIW275" s="227"/>
      <c r="NIX275" s="227"/>
      <c r="NIY275" s="227"/>
      <c r="NIZ275" s="227"/>
      <c r="NJA275" s="227"/>
      <c r="NJB275" s="227"/>
      <c r="NJC275" s="227"/>
      <c r="NJD275" s="227"/>
      <c r="NJE275" s="227"/>
      <c r="NJF275" s="227"/>
      <c r="NJG275" s="227"/>
      <c r="NJH275" s="227"/>
      <c r="NJI275" s="227"/>
      <c r="NJJ275" s="227"/>
      <c r="NJK275" s="227"/>
      <c r="NJL275" s="227"/>
      <c r="NJM275" s="227"/>
      <c r="NJN275" s="227"/>
      <c r="NJO275" s="227"/>
      <c r="NJP275" s="227"/>
      <c r="NJQ275" s="227"/>
      <c r="NJR275" s="227"/>
      <c r="NJS275" s="227"/>
      <c r="NJT275" s="227"/>
      <c r="NJU275" s="227"/>
      <c r="NJV275" s="227"/>
      <c r="NJW275" s="227"/>
      <c r="NJX275" s="227"/>
      <c r="NJY275" s="227"/>
      <c r="NJZ275" s="227"/>
      <c r="NKA275" s="227"/>
      <c r="NKB275" s="227"/>
      <c r="NKC275" s="227"/>
      <c r="NKD275" s="227"/>
      <c r="NKE275" s="227"/>
      <c r="NKF275" s="227"/>
      <c r="NKG275" s="227"/>
      <c r="NKH275" s="227"/>
      <c r="NKI275" s="227"/>
      <c r="NKJ275" s="227"/>
      <c r="NKK275" s="227"/>
      <c r="NKL275" s="227"/>
      <c r="NKM275" s="227"/>
      <c r="NKN275" s="227"/>
      <c r="NKO275" s="227"/>
      <c r="NKP275" s="227"/>
      <c r="NKQ275" s="227"/>
      <c r="NKR275" s="227"/>
      <c r="NKS275" s="227"/>
      <c r="NKT275" s="227"/>
      <c r="NKU275" s="227"/>
      <c r="NKV275" s="227"/>
      <c r="NKW275" s="227"/>
      <c r="NKX275" s="227"/>
      <c r="NKY275" s="227"/>
      <c r="NKZ275" s="227"/>
      <c r="NLA275" s="227"/>
      <c r="NLB275" s="227"/>
      <c r="NLC275" s="227"/>
      <c r="NLD275" s="227"/>
      <c r="NLE275" s="227"/>
      <c r="NLF275" s="227"/>
      <c r="NLG275" s="227"/>
      <c r="NLH275" s="227"/>
      <c r="NLI275" s="227"/>
      <c r="NLJ275" s="227"/>
      <c r="NLK275" s="227"/>
      <c r="NLL275" s="227"/>
      <c r="NLM275" s="227"/>
      <c r="NLN275" s="227"/>
      <c r="NLO275" s="227"/>
      <c r="NLP275" s="227"/>
      <c r="NLQ275" s="227"/>
      <c r="NLR275" s="227"/>
      <c r="NLS275" s="227"/>
      <c r="NLT275" s="227"/>
      <c r="NLU275" s="227"/>
      <c r="NLV275" s="227"/>
      <c r="NLW275" s="227"/>
      <c r="NLX275" s="227"/>
      <c r="NLY275" s="227"/>
      <c r="NLZ275" s="227"/>
      <c r="NMA275" s="227"/>
      <c r="NMB275" s="227"/>
      <c r="NMC275" s="227"/>
      <c r="NMD275" s="227"/>
      <c r="NME275" s="227"/>
      <c r="NMF275" s="227"/>
      <c r="NMG275" s="227"/>
      <c r="NMH275" s="227"/>
      <c r="NMI275" s="227"/>
      <c r="NMJ275" s="227"/>
      <c r="NMK275" s="227"/>
      <c r="NML275" s="227"/>
      <c r="NMM275" s="227"/>
      <c r="NMN275" s="227"/>
      <c r="NMO275" s="227"/>
      <c r="NMP275" s="227"/>
      <c r="NMQ275" s="227"/>
      <c r="NMR275" s="227"/>
      <c r="NMS275" s="227"/>
      <c r="NMT275" s="227"/>
      <c r="NMU275" s="227"/>
      <c r="NMV275" s="227"/>
      <c r="NMW275" s="227"/>
      <c r="NMX275" s="227"/>
      <c r="NMY275" s="227"/>
      <c r="NMZ275" s="227"/>
      <c r="NNA275" s="227"/>
      <c r="NNB275" s="227"/>
      <c r="NNC275" s="227"/>
      <c r="NND275" s="227"/>
      <c r="NNE275" s="227"/>
      <c r="NNF275" s="227"/>
      <c r="NNG275" s="227"/>
      <c r="NNH275" s="227"/>
      <c r="NNI275" s="227"/>
      <c r="NNJ275" s="227"/>
      <c r="NNK275" s="227"/>
      <c r="NNL275" s="227"/>
      <c r="NNM275" s="227"/>
      <c r="NNN275" s="227"/>
      <c r="NNO275" s="227"/>
      <c r="NNP275" s="227"/>
      <c r="NNQ275" s="227"/>
      <c r="NNR275" s="227"/>
      <c r="NNS275" s="227"/>
      <c r="NNT275" s="227"/>
      <c r="NNU275" s="227"/>
      <c r="NNV275" s="227"/>
      <c r="NNW275" s="227"/>
      <c r="NNX275" s="227"/>
      <c r="NNY275" s="227"/>
      <c r="NNZ275" s="227"/>
      <c r="NOA275" s="227"/>
      <c r="NOB275" s="227"/>
      <c r="NOC275" s="227"/>
      <c r="NOD275" s="227"/>
      <c r="NOE275" s="227"/>
      <c r="NOF275" s="227"/>
      <c r="NOG275" s="227"/>
      <c r="NOH275" s="227"/>
      <c r="NOI275" s="227"/>
      <c r="NOJ275" s="227"/>
      <c r="NOK275" s="227"/>
      <c r="NOL275" s="227"/>
      <c r="NOM275" s="227"/>
      <c r="NON275" s="227"/>
      <c r="NOO275" s="227"/>
      <c r="NOP275" s="227"/>
      <c r="NOQ275" s="227"/>
      <c r="NOR275" s="227"/>
      <c r="NOS275" s="227"/>
      <c r="NOT275" s="227"/>
      <c r="NOU275" s="227"/>
      <c r="NOV275" s="227"/>
      <c r="NOW275" s="227"/>
      <c r="NOX275" s="227"/>
      <c r="NOY275" s="227"/>
      <c r="NOZ275" s="227"/>
      <c r="NPA275" s="227"/>
      <c r="NPB275" s="227"/>
      <c r="NPC275" s="227"/>
      <c r="NPD275" s="227"/>
      <c r="NPE275" s="227"/>
      <c r="NPF275" s="227"/>
      <c r="NPG275" s="227"/>
      <c r="NPH275" s="227"/>
      <c r="NPI275" s="227"/>
      <c r="NPJ275" s="227"/>
      <c r="NPK275" s="227"/>
      <c r="NPL275" s="227"/>
      <c r="NPM275" s="227"/>
      <c r="NPN275" s="227"/>
      <c r="NPO275" s="227"/>
      <c r="NPP275" s="227"/>
      <c r="NPQ275" s="227"/>
      <c r="NPR275" s="227"/>
      <c r="NPS275" s="227"/>
      <c r="NPT275" s="227"/>
      <c r="NPU275" s="227"/>
      <c r="NPV275" s="227"/>
      <c r="NPW275" s="227"/>
      <c r="NPX275" s="227"/>
      <c r="NPY275" s="227"/>
      <c r="NPZ275" s="227"/>
      <c r="NQA275" s="227"/>
      <c r="NQB275" s="227"/>
      <c r="NQC275" s="227"/>
      <c r="NQD275" s="227"/>
      <c r="NQE275" s="227"/>
      <c r="NQF275" s="227"/>
      <c r="NQG275" s="227"/>
      <c r="NQH275" s="227"/>
      <c r="NQI275" s="227"/>
      <c r="NQJ275" s="227"/>
      <c r="NQK275" s="227"/>
      <c r="NQL275" s="227"/>
      <c r="NQM275" s="227"/>
      <c r="NQN275" s="227"/>
      <c r="NQO275" s="227"/>
      <c r="NQP275" s="227"/>
      <c r="NQQ275" s="227"/>
      <c r="NQR275" s="227"/>
      <c r="NQS275" s="227"/>
      <c r="NQT275" s="227"/>
      <c r="NQU275" s="227"/>
      <c r="NQV275" s="227"/>
      <c r="NQW275" s="227"/>
      <c r="NQX275" s="227"/>
      <c r="NQY275" s="227"/>
      <c r="NQZ275" s="227"/>
      <c r="NRA275" s="227"/>
      <c r="NRB275" s="227"/>
      <c r="NRC275" s="227"/>
      <c r="NRD275" s="227"/>
      <c r="NRE275" s="227"/>
      <c r="NRF275" s="227"/>
      <c r="NRG275" s="227"/>
      <c r="NRH275" s="227"/>
      <c r="NRI275" s="227"/>
      <c r="NRJ275" s="227"/>
      <c r="NRK275" s="227"/>
      <c r="NRL275" s="227"/>
      <c r="NRM275" s="227"/>
      <c r="NRN275" s="227"/>
      <c r="NRO275" s="227"/>
      <c r="NRP275" s="227"/>
      <c r="NRQ275" s="227"/>
      <c r="NRR275" s="227"/>
      <c r="NRS275" s="227"/>
      <c r="NRT275" s="227"/>
      <c r="NRU275" s="227"/>
      <c r="NRV275" s="227"/>
      <c r="NRW275" s="227"/>
      <c r="NRX275" s="227"/>
      <c r="NRY275" s="227"/>
      <c r="NRZ275" s="227"/>
      <c r="NSA275" s="227"/>
      <c r="NSB275" s="227"/>
      <c r="NSC275" s="227"/>
      <c r="NSD275" s="227"/>
      <c r="NSE275" s="227"/>
      <c r="NSF275" s="227"/>
      <c r="NSG275" s="227"/>
      <c r="NSH275" s="227"/>
      <c r="NSI275" s="227"/>
      <c r="NSJ275" s="227"/>
      <c r="NSK275" s="227"/>
      <c r="NSL275" s="227"/>
      <c r="NSM275" s="227"/>
      <c r="NSN275" s="227"/>
      <c r="NSO275" s="227"/>
      <c r="NSP275" s="227"/>
      <c r="NSQ275" s="227"/>
      <c r="NSR275" s="227"/>
      <c r="NSS275" s="227"/>
      <c r="NST275" s="227"/>
      <c r="NSU275" s="227"/>
      <c r="NSV275" s="227"/>
      <c r="NSW275" s="227"/>
      <c r="NSX275" s="227"/>
      <c r="NSY275" s="227"/>
      <c r="NSZ275" s="227"/>
      <c r="NTA275" s="227"/>
      <c r="NTB275" s="227"/>
      <c r="NTC275" s="227"/>
      <c r="NTD275" s="227"/>
      <c r="NTE275" s="227"/>
      <c r="NTF275" s="227"/>
      <c r="NTG275" s="227"/>
      <c r="NTH275" s="227"/>
      <c r="NTI275" s="227"/>
      <c r="NTJ275" s="227"/>
      <c r="NTK275" s="227"/>
      <c r="NTL275" s="227"/>
      <c r="NTM275" s="227"/>
      <c r="NTN275" s="227"/>
      <c r="NTO275" s="227"/>
      <c r="NTP275" s="227"/>
      <c r="NTQ275" s="227"/>
      <c r="NTR275" s="227"/>
      <c r="NTS275" s="227"/>
      <c r="NTT275" s="227"/>
      <c r="NTU275" s="227"/>
      <c r="NTV275" s="227"/>
      <c r="NTW275" s="227"/>
      <c r="NTX275" s="227"/>
      <c r="NTY275" s="227"/>
      <c r="NTZ275" s="227"/>
      <c r="NUA275" s="227"/>
      <c r="NUB275" s="227"/>
      <c r="NUC275" s="227"/>
      <c r="NUD275" s="227"/>
      <c r="NUE275" s="227"/>
      <c r="NUF275" s="227"/>
      <c r="NUG275" s="227"/>
      <c r="NUH275" s="227"/>
      <c r="NUI275" s="227"/>
      <c r="NUJ275" s="227"/>
      <c r="NUK275" s="227"/>
      <c r="NUL275" s="227"/>
      <c r="NUM275" s="227"/>
      <c r="NUN275" s="227"/>
      <c r="NUO275" s="227"/>
      <c r="NUP275" s="227"/>
      <c r="NUQ275" s="227"/>
      <c r="NUR275" s="227"/>
      <c r="NUS275" s="227"/>
      <c r="NUT275" s="227"/>
      <c r="NUU275" s="227"/>
      <c r="NUV275" s="227"/>
      <c r="NUW275" s="227"/>
      <c r="NUX275" s="227"/>
      <c r="NUY275" s="227"/>
      <c r="NUZ275" s="227"/>
      <c r="NVA275" s="227"/>
      <c r="NVB275" s="227"/>
      <c r="NVC275" s="227"/>
      <c r="NVD275" s="227"/>
      <c r="NVE275" s="227"/>
      <c r="NVF275" s="227"/>
      <c r="NVG275" s="227"/>
      <c r="NVH275" s="227"/>
      <c r="NVI275" s="227"/>
      <c r="NVJ275" s="227"/>
      <c r="NVK275" s="227"/>
      <c r="NVL275" s="227"/>
      <c r="NVM275" s="227"/>
      <c r="NVN275" s="227"/>
      <c r="NVO275" s="227"/>
      <c r="NVP275" s="227"/>
      <c r="NVQ275" s="227"/>
      <c r="NVR275" s="227"/>
      <c r="NVS275" s="227"/>
      <c r="NVT275" s="227"/>
      <c r="NVU275" s="227"/>
      <c r="NVV275" s="227"/>
      <c r="NVW275" s="227"/>
      <c r="NVX275" s="227"/>
      <c r="NVY275" s="227"/>
      <c r="NVZ275" s="227"/>
      <c r="NWA275" s="227"/>
      <c r="NWB275" s="227"/>
      <c r="NWC275" s="227"/>
      <c r="NWD275" s="227"/>
      <c r="NWE275" s="227"/>
      <c r="NWF275" s="227"/>
      <c r="NWG275" s="227"/>
      <c r="NWH275" s="227"/>
      <c r="NWI275" s="227"/>
      <c r="NWJ275" s="227"/>
      <c r="NWK275" s="227"/>
      <c r="NWL275" s="227"/>
      <c r="NWM275" s="227"/>
      <c r="NWN275" s="227"/>
      <c r="NWO275" s="227"/>
      <c r="NWP275" s="227"/>
      <c r="NWQ275" s="227"/>
      <c r="NWR275" s="227"/>
      <c r="NWS275" s="227"/>
      <c r="NWT275" s="227"/>
      <c r="NWU275" s="227"/>
      <c r="NWV275" s="227"/>
      <c r="NWW275" s="227"/>
      <c r="NWX275" s="227"/>
      <c r="NWY275" s="227"/>
      <c r="NWZ275" s="227"/>
      <c r="NXA275" s="227"/>
      <c r="NXB275" s="227"/>
      <c r="NXC275" s="227"/>
      <c r="NXD275" s="227"/>
      <c r="NXE275" s="227"/>
      <c r="NXF275" s="227"/>
      <c r="NXG275" s="227"/>
      <c r="NXH275" s="227"/>
      <c r="NXI275" s="227"/>
      <c r="NXJ275" s="227"/>
      <c r="NXK275" s="227"/>
      <c r="NXL275" s="227"/>
      <c r="NXM275" s="227"/>
      <c r="NXN275" s="227"/>
      <c r="NXO275" s="227"/>
      <c r="NXP275" s="227"/>
      <c r="NXQ275" s="227"/>
      <c r="NXR275" s="227"/>
      <c r="NXS275" s="227"/>
      <c r="NXT275" s="227"/>
      <c r="NXU275" s="227"/>
      <c r="NXV275" s="227"/>
      <c r="NXW275" s="227"/>
      <c r="NXX275" s="227"/>
      <c r="NXY275" s="227"/>
      <c r="NXZ275" s="227"/>
      <c r="NYA275" s="227"/>
      <c r="NYB275" s="227"/>
      <c r="NYC275" s="227"/>
      <c r="NYD275" s="227"/>
      <c r="NYE275" s="227"/>
      <c r="NYF275" s="227"/>
      <c r="NYG275" s="227"/>
      <c r="NYH275" s="227"/>
      <c r="NYI275" s="227"/>
      <c r="NYJ275" s="227"/>
      <c r="NYK275" s="227"/>
      <c r="NYL275" s="227"/>
      <c r="NYM275" s="227"/>
      <c r="NYN275" s="227"/>
      <c r="NYO275" s="227"/>
      <c r="NYP275" s="227"/>
      <c r="NYQ275" s="227"/>
      <c r="NYR275" s="227"/>
      <c r="NYS275" s="227"/>
      <c r="NYT275" s="227"/>
      <c r="NYU275" s="227"/>
      <c r="NYV275" s="227"/>
      <c r="NYW275" s="227"/>
      <c r="NYX275" s="227"/>
      <c r="NYY275" s="227"/>
      <c r="NYZ275" s="227"/>
      <c r="NZA275" s="227"/>
      <c r="NZB275" s="227"/>
      <c r="NZC275" s="227"/>
      <c r="NZD275" s="227"/>
      <c r="NZE275" s="227"/>
      <c r="NZF275" s="227"/>
      <c r="NZG275" s="227"/>
      <c r="NZH275" s="227"/>
      <c r="NZI275" s="227"/>
      <c r="NZJ275" s="227"/>
      <c r="NZK275" s="227"/>
      <c r="NZL275" s="227"/>
      <c r="NZM275" s="227"/>
      <c r="NZN275" s="227"/>
      <c r="NZO275" s="227"/>
      <c r="NZP275" s="227"/>
      <c r="NZQ275" s="227"/>
      <c r="NZR275" s="227"/>
      <c r="NZS275" s="227"/>
      <c r="NZT275" s="227"/>
      <c r="NZU275" s="227"/>
      <c r="NZV275" s="227"/>
      <c r="NZW275" s="227"/>
      <c r="NZX275" s="227"/>
      <c r="NZY275" s="227"/>
      <c r="NZZ275" s="227"/>
      <c r="OAA275" s="227"/>
      <c r="OAB275" s="227"/>
      <c r="OAC275" s="227"/>
      <c r="OAD275" s="227"/>
      <c r="OAE275" s="227"/>
      <c r="OAF275" s="227"/>
      <c r="OAG275" s="227"/>
      <c r="OAH275" s="227"/>
      <c r="OAI275" s="227"/>
      <c r="OAJ275" s="227"/>
      <c r="OAK275" s="227"/>
      <c r="OAL275" s="227"/>
      <c r="OAM275" s="227"/>
      <c r="OAN275" s="227"/>
      <c r="OAO275" s="227"/>
      <c r="OAP275" s="227"/>
      <c r="OAQ275" s="227"/>
      <c r="OAR275" s="227"/>
      <c r="OAS275" s="227"/>
      <c r="OAT275" s="227"/>
      <c r="OAU275" s="227"/>
      <c r="OAV275" s="227"/>
      <c r="OAW275" s="227"/>
      <c r="OAX275" s="227"/>
      <c r="OAY275" s="227"/>
      <c r="OAZ275" s="227"/>
      <c r="OBA275" s="227"/>
      <c r="OBB275" s="227"/>
      <c r="OBC275" s="227"/>
      <c r="OBD275" s="227"/>
      <c r="OBE275" s="227"/>
      <c r="OBF275" s="227"/>
      <c r="OBG275" s="227"/>
      <c r="OBH275" s="227"/>
      <c r="OBI275" s="227"/>
      <c r="OBJ275" s="227"/>
      <c r="OBK275" s="227"/>
      <c r="OBL275" s="227"/>
      <c r="OBM275" s="227"/>
      <c r="OBN275" s="227"/>
      <c r="OBO275" s="227"/>
      <c r="OBP275" s="227"/>
      <c r="OBQ275" s="227"/>
      <c r="OBR275" s="227"/>
      <c r="OBS275" s="227"/>
      <c r="OBT275" s="227"/>
      <c r="OBU275" s="227"/>
      <c r="OBV275" s="227"/>
      <c r="OBW275" s="227"/>
      <c r="OBX275" s="227"/>
      <c r="OBY275" s="227"/>
      <c r="OBZ275" s="227"/>
      <c r="OCA275" s="227"/>
      <c r="OCB275" s="227"/>
      <c r="OCC275" s="227"/>
      <c r="OCD275" s="227"/>
      <c r="OCE275" s="227"/>
      <c r="OCF275" s="227"/>
      <c r="OCG275" s="227"/>
      <c r="OCH275" s="227"/>
      <c r="OCI275" s="227"/>
      <c r="OCJ275" s="227"/>
      <c r="OCK275" s="227"/>
      <c r="OCL275" s="227"/>
      <c r="OCM275" s="227"/>
      <c r="OCN275" s="227"/>
      <c r="OCO275" s="227"/>
      <c r="OCP275" s="227"/>
      <c r="OCQ275" s="227"/>
      <c r="OCR275" s="227"/>
      <c r="OCS275" s="227"/>
      <c r="OCT275" s="227"/>
      <c r="OCU275" s="227"/>
      <c r="OCV275" s="227"/>
      <c r="OCW275" s="227"/>
      <c r="OCX275" s="227"/>
      <c r="OCY275" s="227"/>
      <c r="OCZ275" s="227"/>
      <c r="ODA275" s="227"/>
      <c r="ODB275" s="227"/>
      <c r="ODC275" s="227"/>
      <c r="ODD275" s="227"/>
      <c r="ODE275" s="227"/>
      <c r="ODF275" s="227"/>
      <c r="ODG275" s="227"/>
      <c r="ODH275" s="227"/>
      <c r="ODI275" s="227"/>
      <c r="ODJ275" s="227"/>
      <c r="ODK275" s="227"/>
      <c r="ODL275" s="227"/>
      <c r="ODM275" s="227"/>
      <c r="ODN275" s="227"/>
      <c r="ODO275" s="227"/>
      <c r="ODP275" s="227"/>
      <c r="ODQ275" s="227"/>
      <c r="ODR275" s="227"/>
      <c r="ODS275" s="227"/>
      <c r="ODT275" s="227"/>
      <c r="ODU275" s="227"/>
      <c r="ODV275" s="227"/>
      <c r="ODW275" s="227"/>
      <c r="ODX275" s="227"/>
      <c r="ODY275" s="227"/>
      <c r="ODZ275" s="227"/>
      <c r="OEA275" s="227"/>
      <c r="OEB275" s="227"/>
      <c r="OEC275" s="227"/>
      <c r="OED275" s="227"/>
      <c r="OEE275" s="227"/>
      <c r="OEF275" s="227"/>
      <c r="OEG275" s="227"/>
      <c r="OEH275" s="227"/>
      <c r="OEI275" s="227"/>
      <c r="OEJ275" s="227"/>
      <c r="OEK275" s="227"/>
      <c r="OEL275" s="227"/>
      <c r="OEM275" s="227"/>
      <c r="OEN275" s="227"/>
      <c r="OEO275" s="227"/>
      <c r="OEP275" s="227"/>
      <c r="OEQ275" s="227"/>
      <c r="OER275" s="227"/>
      <c r="OES275" s="227"/>
      <c r="OET275" s="227"/>
      <c r="OEU275" s="227"/>
      <c r="OEV275" s="227"/>
      <c r="OEW275" s="227"/>
      <c r="OEX275" s="227"/>
      <c r="OEY275" s="227"/>
      <c r="OEZ275" s="227"/>
      <c r="OFA275" s="227"/>
      <c r="OFB275" s="227"/>
      <c r="OFC275" s="227"/>
      <c r="OFD275" s="227"/>
      <c r="OFE275" s="227"/>
      <c r="OFF275" s="227"/>
      <c r="OFG275" s="227"/>
      <c r="OFH275" s="227"/>
      <c r="OFI275" s="227"/>
      <c r="OFJ275" s="227"/>
      <c r="OFK275" s="227"/>
      <c r="OFL275" s="227"/>
      <c r="OFM275" s="227"/>
      <c r="OFN275" s="227"/>
      <c r="OFO275" s="227"/>
      <c r="OFP275" s="227"/>
      <c r="OFQ275" s="227"/>
      <c r="OFR275" s="227"/>
      <c r="OFS275" s="227"/>
      <c r="OFT275" s="227"/>
      <c r="OFU275" s="227"/>
      <c r="OFV275" s="227"/>
      <c r="OFW275" s="227"/>
      <c r="OFX275" s="227"/>
      <c r="OFY275" s="227"/>
      <c r="OFZ275" s="227"/>
      <c r="OGA275" s="227"/>
      <c r="OGB275" s="227"/>
      <c r="OGC275" s="227"/>
      <c r="OGD275" s="227"/>
      <c r="OGE275" s="227"/>
      <c r="OGF275" s="227"/>
      <c r="OGG275" s="227"/>
      <c r="OGH275" s="227"/>
      <c r="OGI275" s="227"/>
      <c r="OGJ275" s="227"/>
      <c r="OGK275" s="227"/>
      <c r="OGL275" s="227"/>
      <c r="OGM275" s="227"/>
      <c r="OGN275" s="227"/>
      <c r="OGO275" s="227"/>
      <c r="OGP275" s="227"/>
      <c r="OGQ275" s="227"/>
      <c r="OGR275" s="227"/>
      <c r="OGS275" s="227"/>
      <c r="OGT275" s="227"/>
      <c r="OGU275" s="227"/>
      <c r="OGV275" s="227"/>
      <c r="OGW275" s="227"/>
      <c r="OGX275" s="227"/>
      <c r="OGY275" s="227"/>
      <c r="OGZ275" s="227"/>
      <c r="OHA275" s="227"/>
      <c r="OHB275" s="227"/>
      <c r="OHC275" s="227"/>
      <c r="OHD275" s="227"/>
      <c r="OHE275" s="227"/>
      <c r="OHF275" s="227"/>
      <c r="OHG275" s="227"/>
      <c r="OHH275" s="227"/>
      <c r="OHI275" s="227"/>
      <c r="OHJ275" s="227"/>
      <c r="OHK275" s="227"/>
      <c r="OHL275" s="227"/>
      <c r="OHM275" s="227"/>
      <c r="OHN275" s="227"/>
      <c r="OHO275" s="227"/>
      <c r="OHP275" s="227"/>
      <c r="OHQ275" s="227"/>
      <c r="OHR275" s="227"/>
      <c r="OHS275" s="227"/>
      <c r="OHT275" s="227"/>
      <c r="OHU275" s="227"/>
      <c r="OHV275" s="227"/>
      <c r="OHW275" s="227"/>
      <c r="OHX275" s="227"/>
      <c r="OHY275" s="227"/>
      <c r="OHZ275" s="227"/>
      <c r="OIA275" s="227"/>
      <c r="OIB275" s="227"/>
      <c r="OIC275" s="227"/>
      <c r="OID275" s="227"/>
      <c r="OIE275" s="227"/>
      <c r="OIF275" s="227"/>
      <c r="OIG275" s="227"/>
      <c r="OIH275" s="227"/>
      <c r="OII275" s="227"/>
      <c r="OIJ275" s="227"/>
      <c r="OIK275" s="227"/>
      <c r="OIL275" s="227"/>
      <c r="OIM275" s="227"/>
      <c r="OIN275" s="227"/>
      <c r="OIO275" s="227"/>
      <c r="OIP275" s="227"/>
      <c r="OIQ275" s="227"/>
      <c r="OIR275" s="227"/>
      <c r="OIS275" s="227"/>
      <c r="OIT275" s="227"/>
      <c r="OIU275" s="227"/>
      <c r="OIV275" s="227"/>
      <c r="OIW275" s="227"/>
      <c r="OIX275" s="227"/>
      <c r="OIY275" s="227"/>
      <c r="OIZ275" s="227"/>
      <c r="OJA275" s="227"/>
      <c r="OJB275" s="227"/>
      <c r="OJC275" s="227"/>
      <c r="OJD275" s="227"/>
      <c r="OJE275" s="227"/>
      <c r="OJF275" s="227"/>
      <c r="OJG275" s="227"/>
      <c r="OJH275" s="227"/>
      <c r="OJI275" s="227"/>
      <c r="OJJ275" s="227"/>
      <c r="OJK275" s="227"/>
      <c r="OJL275" s="227"/>
      <c r="OJM275" s="227"/>
      <c r="OJN275" s="227"/>
      <c r="OJO275" s="227"/>
      <c r="OJP275" s="227"/>
      <c r="OJQ275" s="227"/>
      <c r="OJR275" s="227"/>
      <c r="OJS275" s="227"/>
      <c r="OJT275" s="227"/>
      <c r="OJU275" s="227"/>
      <c r="OJV275" s="227"/>
      <c r="OJW275" s="227"/>
      <c r="OJX275" s="227"/>
      <c r="OJY275" s="227"/>
      <c r="OJZ275" s="227"/>
      <c r="OKA275" s="227"/>
      <c r="OKB275" s="227"/>
      <c r="OKC275" s="227"/>
      <c r="OKD275" s="227"/>
      <c r="OKE275" s="227"/>
      <c r="OKF275" s="227"/>
      <c r="OKG275" s="227"/>
      <c r="OKH275" s="227"/>
      <c r="OKI275" s="227"/>
      <c r="OKJ275" s="227"/>
      <c r="OKK275" s="227"/>
      <c r="OKL275" s="227"/>
      <c r="OKM275" s="227"/>
      <c r="OKN275" s="227"/>
      <c r="OKO275" s="227"/>
      <c r="OKP275" s="227"/>
      <c r="OKQ275" s="227"/>
      <c r="OKR275" s="227"/>
      <c r="OKS275" s="227"/>
      <c r="OKT275" s="227"/>
      <c r="OKU275" s="227"/>
      <c r="OKV275" s="227"/>
      <c r="OKW275" s="227"/>
      <c r="OKX275" s="227"/>
      <c r="OKY275" s="227"/>
      <c r="OKZ275" s="227"/>
      <c r="OLA275" s="227"/>
      <c r="OLB275" s="227"/>
      <c r="OLC275" s="227"/>
      <c r="OLD275" s="227"/>
      <c r="OLE275" s="227"/>
      <c r="OLF275" s="227"/>
      <c r="OLG275" s="227"/>
      <c r="OLH275" s="227"/>
      <c r="OLI275" s="227"/>
      <c r="OLJ275" s="227"/>
      <c r="OLK275" s="227"/>
      <c r="OLL275" s="227"/>
      <c r="OLM275" s="227"/>
      <c r="OLN275" s="227"/>
      <c r="OLO275" s="227"/>
      <c r="OLP275" s="227"/>
      <c r="OLQ275" s="227"/>
      <c r="OLR275" s="227"/>
      <c r="OLS275" s="227"/>
      <c r="OLT275" s="227"/>
      <c r="OLU275" s="227"/>
      <c r="OLV275" s="227"/>
      <c r="OLW275" s="227"/>
      <c r="OLX275" s="227"/>
      <c r="OLY275" s="227"/>
      <c r="OLZ275" s="227"/>
      <c r="OMA275" s="227"/>
      <c r="OMB275" s="227"/>
      <c r="OMC275" s="227"/>
      <c r="OMD275" s="227"/>
      <c r="OME275" s="227"/>
      <c r="OMF275" s="227"/>
      <c r="OMG275" s="227"/>
      <c r="OMH275" s="227"/>
      <c r="OMI275" s="227"/>
      <c r="OMJ275" s="227"/>
      <c r="OMK275" s="227"/>
      <c r="OML275" s="227"/>
      <c r="OMM275" s="227"/>
      <c r="OMN275" s="227"/>
      <c r="OMO275" s="227"/>
      <c r="OMP275" s="227"/>
      <c r="OMQ275" s="227"/>
      <c r="OMR275" s="227"/>
      <c r="OMS275" s="227"/>
      <c r="OMT275" s="227"/>
      <c r="OMU275" s="227"/>
      <c r="OMV275" s="227"/>
      <c r="OMW275" s="227"/>
      <c r="OMX275" s="227"/>
      <c r="OMY275" s="227"/>
      <c r="OMZ275" s="227"/>
      <c r="ONA275" s="227"/>
      <c r="ONB275" s="227"/>
      <c r="ONC275" s="227"/>
      <c r="OND275" s="227"/>
      <c r="ONE275" s="227"/>
      <c r="ONF275" s="227"/>
      <c r="ONG275" s="227"/>
      <c r="ONH275" s="227"/>
      <c r="ONI275" s="227"/>
      <c r="ONJ275" s="227"/>
      <c r="ONK275" s="227"/>
      <c r="ONL275" s="227"/>
      <c r="ONM275" s="227"/>
      <c r="ONN275" s="227"/>
      <c r="ONO275" s="227"/>
      <c r="ONP275" s="227"/>
      <c r="ONQ275" s="227"/>
      <c r="ONR275" s="227"/>
      <c r="ONS275" s="227"/>
      <c r="ONT275" s="227"/>
      <c r="ONU275" s="227"/>
      <c r="ONV275" s="227"/>
      <c r="ONW275" s="227"/>
      <c r="ONX275" s="227"/>
      <c r="ONY275" s="227"/>
      <c r="ONZ275" s="227"/>
      <c r="OOA275" s="227"/>
      <c r="OOB275" s="227"/>
      <c r="OOC275" s="227"/>
      <c r="OOD275" s="227"/>
      <c r="OOE275" s="227"/>
      <c r="OOF275" s="227"/>
      <c r="OOG275" s="227"/>
      <c r="OOH275" s="227"/>
      <c r="OOI275" s="227"/>
      <c r="OOJ275" s="227"/>
      <c r="OOK275" s="227"/>
      <c r="OOL275" s="227"/>
      <c r="OOM275" s="227"/>
      <c r="OON275" s="227"/>
      <c r="OOO275" s="227"/>
      <c r="OOP275" s="227"/>
      <c r="OOQ275" s="227"/>
      <c r="OOR275" s="227"/>
      <c r="OOS275" s="227"/>
      <c r="OOT275" s="227"/>
      <c r="OOU275" s="227"/>
      <c r="OOV275" s="227"/>
      <c r="OOW275" s="227"/>
      <c r="OOX275" s="227"/>
      <c r="OOY275" s="227"/>
      <c r="OOZ275" s="227"/>
      <c r="OPA275" s="227"/>
      <c r="OPB275" s="227"/>
      <c r="OPC275" s="227"/>
      <c r="OPD275" s="227"/>
      <c r="OPE275" s="227"/>
      <c r="OPF275" s="227"/>
      <c r="OPG275" s="227"/>
      <c r="OPH275" s="227"/>
      <c r="OPI275" s="227"/>
      <c r="OPJ275" s="227"/>
      <c r="OPK275" s="227"/>
      <c r="OPL275" s="227"/>
      <c r="OPM275" s="227"/>
      <c r="OPN275" s="227"/>
      <c r="OPO275" s="227"/>
      <c r="OPP275" s="227"/>
      <c r="OPQ275" s="227"/>
      <c r="OPR275" s="227"/>
      <c r="OPS275" s="227"/>
      <c r="OPT275" s="227"/>
      <c r="OPU275" s="227"/>
      <c r="OPV275" s="227"/>
      <c r="OPW275" s="227"/>
      <c r="OPX275" s="227"/>
      <c r="OPY275" s="227"/>
      <c r="OPZ275" s="227"/>
      <c r="OQA275" s="227"/>
      <c r="OQB275" s="227"/>
      <c r="OQC275" s="227"/>
      <c r="OQD275" s="227"/>
      <c r="OQE275" s="227"/>
      <c r="OQF275" s="227"/>
      <c r="OQG275" s="227"/>
      <c r="OQH275" s="227"/>
      <c r="OQI275" s="227"/>
      <c r="OQJ275" s="227"/>
      <c r="OQK275" s="227"/>
      <c r="OQL275" s="227"/>
      <c r="OQM275" s="227"/>
      <c r="OQN275" s="227"/>
      <c r="OQO275" s="227"/>
      <c r="OQP275" s="227"/>
      <c r="OQQ275" s="227"/>
      <c r="OQR275" s="227"/>
      <c r="OQS275" s="227"/>
      <c r="OQT275" s="227"/>
      <c r="OQU275" s="227"/>
      <c r="OQV275" s="227"/>
      <c r="OQW275" s="227"/>
      <c r="OQX275" s="227"/>
      <c r="OQY275" s="227"/>
      <c r="OQZ275" s="227"/>
      <c r="ORA275" s="227"/>
      <c r="ORB275" s="227"/>
      <c r="ORC275" s="227"/>
      <c r="ORD275" s="227"/>
      <c r="ORE275" s="227"/>
      <c r="ORF275" s="227"/>
      <c r="ORG275" s="227"/>
      <c r="ORH275" s="227"/>
      <c r="ORI275" s="227"/>
      <c r="ORJ275" s="227"/>
      <c r="ORK275" s="227"/>
      <c r="ORL275" s="227"/>
      <c r="ORM275" s="227"/>
      <c r="ORN275" s="227"/>
      <c r="ORO275" s="227"/>
      <c r="ORP275" s="227"/>
      <c r="ORQ275" s="227"/>
      <c r="ORR275" s="227"/>
      <c r="ORS275" s="227"/>
      <c r="ORT275" s="227"/>
      <c r="ORU275" s="227"/>
      <c r="ORV275" s="227"/>
      <c r="ORW275" s="227"/>
      <c r="ORX275" s="227"/>
      <c r="ORY275" s="227"/>
      <c r="ORZ275" s="227"/>
      <c r="OSA275" s="227"/>
      <c r="OSB275" s="227"/>
      <c r="OSC275" s="227"/>
      <c r="OSD275" s="227"/>
      <c r="OSE275" s="227"/>
      <c r="OSF275" s="227"/>
      <c r="OSG275" s="227"/>
      <c r="OSH275" s="227"/>
      <c r="OSI275" s="227"/>
      <c r="OSJ275" s="227"/>
      <c r="OSK275" s="227"/>
      <c r="OSL275" s="227"/>
      <c r="OSM275" s="227"/>
      <c r="OSN275" s="227"/>
      <c r="OSO275" s="227"/>
      <c r="OSP275" s="227"/>
      <c r="OSQ275" s="227"/>
      <c r="OSR275" s="227"/>
      <c r="OSS275" s="227"/>
      <c r="OST275" s="227"/>
      <c r="OSU275" s="227"/>
      <c r="OSV275" s="227"/>
      <c r="OSW275" s="227"/>
      <c r="OSX275" s="227"/>
      <c r="OSY275" s="227"/>
      <c r="OSZ275" s="227"/>
      <c r="OTA275" s="227"/>
      <c r="OTB275" s="227"/>
      <c r="OTC275" s="227"/>
      <c r="OTD275" s="227"/>
      <c r="OTE275" s="227"/>
      <c r="OTF275" s="227"/>
      <c r="OTG275" s="227"/>
      <c r="OTH275" s="227"/>
      <c r="OTI275" s="227"/>
      <c r="OTJ275" s="227"/>
      <c r="OTK275" s="227"/>
      <c r="OTL275" s="227"/>
      <c r="OTM275" s="227"/>
      <c r="OTN275" s="227"/>
      <c r="OTO275" s="227"/>
      <c r="OTP275" s="227"/>
      <c r="OTQ275" s="227"/>
      <c r="OTR275" s="227"/>
      <c r="OTS275" s="227"/>
      <c r="OTT275" s="227"/>
      <c r="OTU275" s="227"/>
      <c r="OTV275" s="227"/>
      <c r="OTW275" s="227"/>
      <c r="OTX275" s="227"/>
      <c r="OTY275" s="227"/>
      <c r="OTZ275" s="227"/>
      <c r="OUA275" s="227"/>
      <c r="OUB275" s="227"/>
      <c r="OUC275" s="227"/>
      <c r="OUD275" s="227"/>
      <c r="OUE275" s="227"/>
      <c r="OUF275" s="227"/>
      <c r="OUG275" s="227"/>
      <c r="OUH275" s="227"/>
      <c r="OUI275" s="227"/>
      <c r="OUJ275" s="227"/>
      <c r="OUK275" s="227"/>
      <c r="OUL275" s="227"/>
      <c r="OUM275" s="227"/>
      <c r="OUN275" s="227"/>
      <c r="OUO275" s="227"/>
      <c r="OUP275" s="227"/>
      <c r="OUQ275" s="227"/>
      <c r="OUR275" s="227"/>
      <c r="OUS275" s="227"/>
      <c r="OUT275" s="227"/>
      <c r="OUU275" s="227"/>
      <c r="OUV275" s="227"/>
      <c r="OUW275" s="227"/>
      <c r="OUX275" s="227"/>
      <c r="OUY275" s="227"/>
      <c r="OUZ275" s="227"/>
      <c r="OVA275" s="227"/>
      <c r="OVB275" s="227"/>
      <c r="OVC275" s="227"/>
      <c r="OVD275" s="227"/>
      <c r="OVE275" s="227"/>
      <c r="OVF275" s="227"/>
      <c r="OVG275" s="227"/>
      <c r="OVH275" s="227"/>
      <c r="OVI275" s="227"/>
      <c r="OVJ275" s="227"/>
      <c r="OVK275" s="227"/>
      <c r="OVL275" s="227"/>
      <c r="OVM275" s="227"/>
      <c r="OVN275" s="227"/>
      <c r="OVO275" s="227"/>
      <c r="OVP275" s="227"/>
      <c r="OVQ275" s="227"/>
      <c r="OVR275" s="227"/>
      <c r="OVS275" s="227"/>
      <c r="OVT275" s="227"/>
      <c r="OVU275" s="227"/>
      <c r="OVV275" s="227"/>
      <c r="OVW275" s="227"/>
      <c r="OVX275" s="227"/>
      <c r="OVY275" s="227"/>
      <c r="OVZ275" s="227"/>
      <c r="OWA275" s="227"/>
      <c r="OWB275" s="227"/>
      <c r="OWC275" s="227"/>
      <c r="OWD275" s="227"/>
      <c r="OWE275" s="227"/>
      <c r="OWF275" s="227"/>
      <c r="OWG275" s="227"/>
      <c r="OWH275" s="227"/>
      <c r="OWI275" s="227"/>
      <c r="OWJ275" s="227"/>
      <c r="OWK275" s="227"/>
      <c r="OWL275" s="227"/>
      <c r="OWM275" s="227"/>
      <c r="OWN275" s="227"/>
      <c r="OWO275" s="227"/>
      <c r="OWP275" s="227"/>
      <c r="OWQ275" s="227"/>
      <c r="OWR275" s="227"/>
      <c r="OWS275" s="227"/>
      <c r="OWT275" s="227"/>
      <c r="OWU275" s="227"/>
      <c r="OWV275" s="227"/>
      <c r="OWW275" s="227"/>
      <c r="OWX275" s="227"/>
      <c r="OWY275" s="227"/>
      <c r="OWZ275" s="227"/>
      <c r="OXA275" s="227"/>
      <c r="OXB275" s="227"/>
      <c r="OXC275" s="227"/>
      <c r="OXD275" s="227"/>
      <c r="OXE275" s="227"/>
      <c r="OXF275" s="227"/>
      <c r="OXG275" s="227"/>
      <c r="OXH275" s="227"/>
      <c r="OXI275" s="227"/>
      <c r="OXJ275" s="227"/>
      <c r="OXK275" s="227"/>
      <c r="OXL275" s="227"/>
      <c r="OXM275" s="227"/>
      <c r="OXN275" s="227"/>
      <c r="OXO275" s="227"/>
      <c r="OXP275" s="227"/>
      <c r="OXQ275" s="227"/>
      <c r="OXR275" s="227"/>
      <c r="OXS275" s="227"/>
      <c r="OXT275" s="227"/>
      <c r="OXU275" s="227"/>
      <c r="OXV275" s="227"/>
      <c r="OXW275" s="227"/>
      <c r="OXX275" s="227"/>
      <c r="OXY275" s="227"/>
      <c r="OXZ275" s="227"/>
      <c r="OYA275" s="227"/>
      <c r="OYB275" s="227"/>
      <c r="OYC275" s="227"/>
      <c r="OYD275" s="227"/>
      <c r="OYE275" s="227"/>
      <c r="OYF275" s="227"/>
      <c r="OYG275" s="227"/>
      <c r="OYH275" s="227"/>
      <c r="OYI275" s="227"/>
      <c r="OYJ275" s="227"/>
      <c r="OYK275" s="227"/>
      <c r="OYL275" s="227"/>
      <c r="OYM275" s="227"/>
      <c r="OYN275" s="227"/>
      <c r="OYO275" s="227"/>
      <c r="OYP275" s="227"/>
      <c r="OYQ275" s="227"/>
      <c r="OYR275" s="227"/>
      <c r="OYS275" s="227"/>
      <c r="OYT275" s="227"/>
      <c r="OYU275" s="227"/>
      <c r="OYV275" s="227"/>
      <c r="OYW275" s="227"/>
      <c r="OYX275" s="227"/>
      <c r="OYY275" s="227"/>
      <c r="OYZ275" s="227"/>
      <c r="OZA275" s="227"/>
      <c r="OZB275" s="227"/>
      <c r="OZC275" s="227"/>
      <c r="OZD275" s="227"/>
      <c r="OZE275" s="227"/>
      <c r="OZF275" s="227"/>
      <c r="OZG275" s="227"/>
      <c r="OZH275" s="227"/>
      <c r="OZI275" s="227"/>
      <c r="OZJ275" s="227"/>
      <c r="OZK275" s="227"/>
      <c r="OZL275" s="227"/>
      <c r="OZM275" s="227"/>
      <c r="OZN275" s="227"/>
      <c r="OZO275" s="227"/>
      <c r="OZP275" s="227"/>
      <c r="OZQ275" s="227"/>
      <c r="OZR275" s="227"/>
      <c r="OZS275" s="227"/>
      <c r="OZT275" s="227"/>
      <c r="OZU275" s="227"/>
      <c r="OZV275" s="227"/>
      <c r="OZW275" s="227"/>
      <c r="OZX275" s="227"/>
      <c r="OZY275" s="227"/>
      <c r="OZZ275" s="227"/>
      <c r="PAA275" s="227"/>
      <c r="PAB275" s="227"/>
      <c r="PAC275" s="227"/>
      <c r="PAD275" s="227"/>
      <c r="PAE275" s="227"/>
      <c r="PAF275" s="227"/>
      <c r="PAG275" s="227"/>
      <c r="PAH275" s="227"/>
      <c r="PAI275" s="227"/>
      <c r="PAJ275" s="227"/>
      <c r="PAK275" s="227"/>
      <c r="PAL275" s="227"/>
      <c r="PAM275" s="227"/>
      <c r="PAN275" s="227"/>
      <c r="PAO275" s="227"/>
      <c r="PAP275" s="227"/>
      <c r="PAQ275" s="227"/>
      <c r="PAR275" s="227"/>
      <c r="PAS275" s="227"/>
      <c r="PAT275" s="227"/>
      <c r="PAU275" s="227"/>
      <c r="PAV275" s="227"/>
      <c r="PAW275" s="227"/>
      <c r="PAX275" s="227"/>
      <c r="PAY275" s="227"/>
      <c r="PAZ275" s="227"/>
      <c r="PBA275" s="227"/>
      <c r="PBB275" s="227"/>
      <c r="PBC275" s="227"/>
      <c r="PBD275" s="227"/>
      <c r="PBE275" s="227"/>
      <c r="PBF275" s="227"/>
      <c r="PBG275" s="227"/>
      <c r="PBH275" s="227"/>
      <c r="PBI275" s="227"/>
      <c r="PBJ275" s="227"/>
      <c r="PBK275" s="227"/>
      <c r="PBL275" s="227"/>
      <c r="PBM275" s="227"/>
      <c r="PBN275" s="227"/>
      <c r="PBO275" s="227"/>
      <c r="PBP275" s="227"/>
      <c r="PBQ275" s="227"/>
      <c r="PBR275" s="227"/>
      <c r="PBS275" s="227"/>
      <c r="PBT275" s="227"/>
      <c r="PBU275" s="227"/>
      <c r="PBV275" s="227"/>
      <c r="PBW275" s="227"/>
      <c r="PBX275" s="227"/>
      <c r="PBY275" s="227"/>
      <c r="PBZ275" s="227"/>
      <c r="PCA275" s="227"/>
      <c r="PCB275" s="227"/>
      <c r="PCC275" s="227"/>
      <c r="PCD275" s="227"/>
      <c r="PCE275" s="227"/>
      <c r="PCF275" s="227"/>
      <c r="PCG275" s="227"/>
      <c r="PCH275" s="227"/>
      <c r="PCI275" s="227"/>
      <c r="PCJ275" s="227"/>
      <c r="PCK275" s="227"/>
      <c r="PCL275" s="227"/>
      <c r="PCM275" s="227"/>
      <c r="PCN275" s="227"/>
      <c r="PCO275" s="227"/>
      <c r="PCP275" s="227"/>
      <c r="PCQ275" s="227"/>
      <c r="PCR275" s="227"/>
      <c r="PCS275" s="227"/>
      <c r="PCT275" s="227"/>
      <c r="PCU275" s="227"/>
      <c r="PCV275" s="227"/>
      <c r="PCW275" s="227"/>
      <c r="PCX275" s="227"/>
      <c r="PCY275" s="227"/>
      <c r="PCZ275" s="227"/>
      <c r="PDA275" s="227"/>
      <c r="PDB275" s="227"/>
      <c r="PDC275" s="227"/>
      <c r="PDD275" s="227"/>
      <c r="PDE275" s="227"/>
      <c r="PDF275" s="227"/>
      <c r="PDG275" s="227"/>
      <c r="PDH275" s="227"/>
      <c r="PDI275" s="227"/>
      <c r="PDJ275" s="227"/>
      <c r="PDK275" s="227"/>
      <c r="PDL275" s="227"/>
      <c r="PDM275" s="227"/>
      <c r="PDN275" s="227"/>
      <c r="PDO275" s="227"/>
      <c r="PDP275" s="227"/>
      <c r="PDQ275" s="227"/>
      <c r="PDR275" s="227"/>
      <c r="PDS275" s="227"/>
      <c r="PDT275" s="227"/>
      <c r="PDU275" s="227"/>
      <c r="PDV275" s="227"/>
      <c r="PDW275" s="227"/>
      <c r="PDX275" s="227"/>
      <c r="PDY275" s="227"/>
      <c r="PDZ275" s="227"/>
      <c r="PEA275" s="227"/>
      <c r="PEB275" s="227"/>
      <c r="PEC275" s="227"/>
      <c r="PED275" s="227"/>
      <c r="PEE275" s="227"/>
      <c r="PEF275" s="227"/>
      <c r="PEG275" s="227"/>
      <c r="PEH275" s="227"/>
      <c r="PEI275" s="227"/>
      <c r="PEJ275" s="227"/>
      <c r="PEK275" s="227"/>
      <c r="PEL275" s="227"/>
      <c r="PEM275" s="227"/>
      <c r="PEN275" s="227"/>
      <c r="PEO275" s="227"/>
      <c r="PEP275" s="227"/>
      <c r="PEQ275" s="227"/>
      <c r="PER275" s="227"/>
      <c r="PES275" s="227"/>
      <c r="PET275" s="227"/>
      <c r="PEU275" s="227"/>
      <c r="PEV275" s="227"/>
      <c r="PEW275" s="227"/>
      <c r="PEX275" s="227"/>
      <c r="PEY275" s="227"/>
      <c r="PEZ275" s="227"/>
      <c r="PFA275" s="227"/>
      <c r="PFB275" s="227"/>
      <c r="PFC275" s="227"/>
      <c r="PFD275" s="227"/>
      <c r="PFE275" s="227"/>
      <c r="PFF275" s="227"/>
      <c r="PFG275" s="227"/>
      <c r="PFH275" s="227"/>
      <c r="PFI275" s="227"/>
      <c r="PFJ275" s="227"/>
      <c r="PFK275" s="227"/>
      <c r="PFL275" s="227"/>
      <c r="PFM275" s="227"/>
      <c r="PFN275" s="227"/>
      <c r="PFO275" s="227"/>
      <c r="PFP275" s="227"/>
      <c r="PFQ275" s="227"/>
      <c r="PFR275" s="227"/>
      <c r="PFS275" s="227"/>
      <c r="PFT275" s="227"/>
      <c r="PFU275" s="227"/>
      <c r="PFV275" s="227"/>
      <c r="PFW275" s="227"/>
      <c r="PFX275" s="227"/>
      <c r="PFY275" s="227"/>
      <c r="PFZ275" s="227"/>
      <c r="PGA275" s="227"/>
      <c r="PGB275" s="227"/>
      <c r="PGC275" s="227"/>
      <c r="PGD275" s="227"/>
      <c r="PGE275" s="227"/>
      <c r="PGF275" s="227"/>
      <c r="PGG275" s="227"/>
      <c r="PGH275" s="227"/>
      <c r="PGI275" s="227"/>
      <c r="PGJ275" s="227"/>
      <c r="PGK275" s="227"/>
      <c r="PGL275" s="227"/>
      <c r="PGM275" s="227"/>
      <c r="PGN275" s="227"/>
      <c r="PGO275" s="227"/>
      <c r="PGP275" s="227"/>
      <c r="PGQ275" s="227"/>
      <c r="PGR275" s="227"/>
      <c r="PGS275" s="227"/>
      <c r="PGT275" s="227"/>
      <c r="PGU275" s="227"/>
      <c r="PGV275" s="227"/>
      <c r="PGW275" s="227"/>
      <c r="PGX275" s="227"/>
      <c r="PGY275" s="227"/>
      <c r="PGZ275" s="227"/>
      <c r="PHA275" s="227"/>
      <c r="PHB275" s="227"/>
      <c r="PHC275" s="227"/>
      <c r="PHD275" s="227"/>
      <c r="PHE275" s="227"/>
      <c r="PHF275" s="227"/>
      <c r="PHG275" s="227"/>
      <c r="PHH275" s="227"/>
      <c r="PHI275" s="227"/>
      <c r="PHJ275" s="227"/>
      <c r="PHK275" s="227"/>
      <c r="PHL275" s="227"/>
      <c r="PHM275" s="227"/>
      <c r="PHN275" s="227"/>
      <c r="PHO275" s="227"/>
      <c r="PHP275" s="227"/>
      <c r="PHQ275" s="227"/>
      <c r="PHR275" s="227"/>
      <c r="PHS275" s="227"/>
      <c r="PHT275" s="227"/>
      <c r="PHU275" s="227"/>
      <c r="PHV275" s="227"/>
      <c r="PHW275" s="227"/>
      <c r="PHX275" s="227"/>
      <c r="PHY275" s="227"/>
      <c r="PHZ275" s="227"/>
      <c r="PIA275" s="227"/>
      <c r="PIB275" s="227"/>
      <c r="PIC275" s="227"/>
      <c r="PID275" s="227"/>
      <c r="PIE275" s="227"/>
      <c r="PIF275" s="227"/>
      <c r="PIG275" s="227"/>
      <c r="PIH275" s="227"/>
      <c r="PII275" s="227"/>
      <c r="PIJ275" s="227"/>
      <c r="PIK275" s="227"/>
      <c r="PIL275" s="227"/>
      <c r="PIM275" s="227"/>
      <c r="PIN275" s="227"/>
      <c r="PIO275" s="227"/>
      <c r="PIP275" s="227"/>
      <c r="PIQ275" s="227"/>
      <c r="PIR275" s="227"/>
      <c r="PIS275" s="227"/>
      <c r="PIT275" s="227"/>
      <c r="PIU275" s="227"/>
      <c r="PIV275" s="227"/>
      <c r="PIW275" s="227"/>
      <c r="PIX275" s="227"/>
      <c r="PIY275" s="227"/>
      <c r="PIZ275" s="227"/>
      <c r="PJA275" s="227"/>
      <c r="PJB275" s="227"/>
      <c r="PJC275" s="227"/>
      <c r="PJD275" s="227"/>
      <c r="PJE275" s="227"/>
      <c r="PJF275" s="227"/>
      <c r="PJG275" s="227"/>
      <c r="PJH275" s="227"/>
      <c r="PJI275" s="227"/>
      <c r="PJJ275" s="227"/>
      <c r="PJK275" s="227"/>
      <c r="PJL275" s="227"/>
      <c r="PJM275" s="227"/>
      <c r="PJN275" s="227"/>
      <c r="PJO275" s="227"/>
      <c r="PJP275" s="227"/>
      <c r="PJQ275" s="227"/>
      <c r="PJR275" s="227"/>
      <c r="PJS275" s="227"/>
      <c r="PJT275" s="227"/>
      <c r="PJU275" s="227"/>
      <c r="PJV275" s="227"/>
      <c r="PJW275" s="227"/>
      <c r="PJX275" s="227"/>
      <c r="PJY275" s="227"/>
      <c r="PJZ275" s="227"/>
      <c r="PKA275" s="227"/>
      <c r="PKB275" s="227"/>
      <c r="PKC275" s="227"/>
      <c r="PKD275" s="227"/>
      <c r="PKE275" s="227"/>
      <c r="PKF275" s="227"/>
      <c r="PKG275" s="227"/>
      <c r="PKH275" s="227"/>
      <c r="PKI275" s="227"/>
      <c r="PKJ275" s="227"/>
      <c r="PKK275" s="227"/>
      <c r="PKL275" s="227"/>
      <c r="PKM275" s="227"/>
      <c r="PKN275" s="227"/>
      <c r="PKO275" s="227"/>
      <c r="PKP275" s="227"/>
      <c r="PKQ275" s="227"/>
      <c r="PKR275" s="227"/>
      <c r="PKS275" s="227"/>
      <c r="PKT275" s="227"/>
      <c r="PKU275" s="227"/>
      <c r="PKV275" s="227"/>
      <c r="PKW275" s="227"/>
      <c r="PKX275" s="227"/>
      <c r="PKY275" s="227"/>
      <c r="PKZ275" s="227"/>
      <c r="PLA275" s="227"/>
      <c r="PLB275" s="227"/>
      <c r="PLC275" s="227"/>
      <c r="PLD275" s="227"/>
      <c r="PLE275" s="227"/>
      <c r="PLF275" s="227"/>
      <c r="PLG275" s="227"/>
      <c r="PLH275" s="227"/>
      <c r="PLI275" s="227"/>
      <c r="PLJ275" s="227"/>
      <c r="PLK275" s="227"/>
      <c r="PLL275" s="227"/>
      <c r="PLM275" s="227"/>
      <c r="PLN275" s="227"/>
      <c r="PLO275" s="227"/>
      <c r="PLP275" s="227"/>
      <c r="PLQ275" s="227"/>
      <c r="PLR275" s="227"/>
      <c r="PLS275" s="227"/>
      <c r="PLT275" s="227"/>
      <c r="PLU275" s="227"/>
      <c r="PLV275" s="227"/>
      <c r="PLW275" s="227"/>
      <c r="PLX275" s="227"/>
      <c r="PLY275" s="227"/>
      <c r="PLZ275" s="227"/>
      <c r="PMA275" s="227"/>
      <c r="PMB275" s="227"/>
      <c r="PMC275" s="227"/>
      <c r="PMD275" s="227"/>
      <c r="PME275" s="227"/>
      <c r="PMF275" s="227"/>
      <c r="PMG275" s="227"/>
      <c r="PMH275" s="227"/>
      <c r="PMI275" s="227"/>
      <c r="PMJ275" s="227"/>
      <c r="PMK275" s="227"/>
      <c r="PML275" s="227"/>
      <c r="PMM275" s="227"/>
      <c r="PMN275" s="227"/>
      <c r="PMO275" s="227"/>
      <c r="PMP275" s="227"/>
      <c r="PMQ275" s="227"/>
      <c r="PMR275" s="227"/>
      <c r="PMS275" s="227"/>
      <c r="PMT275" s="227"/>
      <c r="PMU275" s="227"/>
      <c r="PMV275" s="227"/>
      <c r="PMW275" s="227"/>
      <c r="PMX275" s="227"/>
      <c r="PMY275" s="227"/>
      <c r="PMZ275" s="227"/>
      <c r="PNA275" s="227"/>
      <c r="PNB275" s="227"/>
      <c r="PNC275" s="227"/>
      <c r="PND275" s="227"/>
      <c r="PNE275" s="227"/>
      <c r="PNF275" s="227"/>
      <c r="PNG275" s="227"/>
      <c r="PNH275" s="227"/>
      <c r="PNI275" s="227"/>
      <c r="PNJ275" s="227"/>
      <c r="PNK275" s="227"/>
      <c r="PNL275" s="227"/>
      <c r="PNM275" s="227"/>
      <c r="PNN275" s="227"/>
      <c r="PNO275" s="227"/>
      <c r="PNP275" s="227"/>
      <c r="PNQ275" s="227"/>
      <c r="PNR275" s="227"/>
      <c r="PNS275" s="227"/>
      <c r="PNT275" s="227"/>
      <c r="PNU275" s="227"/>
      <c r="PNV275" s="227"/>
      <c r="PNW275" s="227"/>
      <c r="PNX275" s="227"/>
      <c r="PNY275" s="227"/>
      <c r="PNZ275" s="227"/>
      <c r="POA275" s="227"/>
      <c r="POB275" s="227"/>
      <c r="POC275" s="227"/>
      <c r="POD275" s="227"/>
      <c r="POE275" s="227"/>
      <c r="POF275" s="227"/>
      <c r="POG275" s="227"/>
      <c r="POH275" s="227"/>
      <c r="POI275" s="227"/>
      <c r="POJ275" s="227"/>
      <c r="POK275" s="227"/>
      <c r="POL275" s="227"/>
      <c r="POM275" s="227"/>
      <c r="PON275" s="227"/>
      <c r="POO275" s="227"/>
      <c r="POP275" s="227"/>
      <c r="POQ275" s="227"/>
      <c r="POR275" s="227"/>
      <c r="POS275" s="227"/>
      <c r="POT275" s="227"/>
      <c r="POU275" s="227"/>
      <c r="POV275" s="227"/>
      <c r="POW275" s="227"/>
      <c r="POX275" s="227"/>
      <c r="POY275" s="227"/>
      <c r="POZ275" s="227"/>
      <c r="PPA275" s="227"/>
      <c r="PPB275" s="227"/>
      <c r="PPC275" s="227"/>
      <c r="PPD275" s="227"/>
      <c r="PPE275" s="227"/>
      <c r="PPF275" s="227"/>
      <c r="PPG275" s="227"/>
      <c r="PPH275" s="227"/>
      <c r="PPI275" s="227"/>
      <c r="PPJ275" s="227"/>
      <c r="PPK275" s="227"/>
      <c r="PPL275" s="227"/>
      <c r="PPM275" s="227"/>
      <c r="PPN275" s="227"/>
      <c r="PPO275" s="227"/>
      <c r="PPP275" s="227"/>
      <c r="PPQ275" s="227"/>
      <c r="PPR275" s="227"/>
      <c r="PPS275" s="227"/>
      <c r="PPT275" s="227"/>
      <c r="PPU275" s="227"/>
      <c r="PPV275" s="227"/>
      <c r="PPW275" s="227"/>
      <c r="PPX275" s="227"/>
      <c r="PPY275" s="227"/>
      <c r="PPZ275" s="227"/>
      <c r="PQA275" s="227"/>
      <c r="PQB275" s="227"/>
      <c r="PQC275" s="227"/>
      <c r="PQD275" s="227"/>
      <c r="PQE275" s="227"/>
      <c r="PQF275" s="227"/>
      <c r="PQG275" s="227"/>
      <c r="PQH275" s="227"/>
      <c r="PQI275" s="227"/>
      <c r="PQJ275" s="227"/>
      <c r="PQK275" s="227"/>
      <c r="PQL275" s="227"/>
      <c r="PQM275" s="227"/>
      <c r="PQN275" s="227"/>
      <c r="PQO275" s="227"/>
      <c r="PQP275" s="227"/>
      <c r="PQQ275" s="227"/>
      <c r="PQR275" s="227"/>
      <c r="PQS275" s="227"/>
      <c r="PQT275" s="227"/>
      <c r="PQU275" s="227"/>
      <c r="PQV275" s="227"/>
      <c r="PQW275" s="227"/>
      <c r="PQX275" s="227"/>
      <c r="PQY275" s="227"/>
      <c r="PQZ275" s="227"/>
      <c r="PRA275" s="227"/>
      <c r="PRB275" s="227"/>
      <c r="PRC275" s="227"/>
      <c r="PRD275" s="227"/>
      <c r="PRE275" s="227"/>
      <c r="PRF275" s="227"/>
      <c r="PRG275" s="227"/>
      <c r="PRH275" s="227"/>
      <c r="PRI275" s="227"/>
      <c r="PRJ275" s="227"/>
      <c r="PRK275" s="227"/>
      <c r="PRL275" s="227"/>
      <c r="PRM275" s="227"/>
      <c r="PRN275" s="227"/>
      <c r="PRO275" s="227"/>
      <c r="PRP275" s="227"/>
      <c r="PRQ275" s="227"/>
      <c r="PRR275" s="227"/>
      <c r="PRS275" s="227"/>
      <c r="PRT275" s="227"/>
      <c r="PRU275" s="227"/>
      <c r="PRV275" s="227"/>
      <c r="PRW275" s="227"/>
      <c r="PRX275" s="227"/>
      <c r="PRY275" s="227"/>
      <c r="PRZ275" s="227"/>
      <c r="PSA275" s="227"/>
      <c r="PSB275" s="227"/>
      <c r="PSC275" s="227"/>
      <c r="PSD275" s="227"/>
      <c r="PSE275" s="227"/>
      <c r="PSF275" s="227"/>
      <c r="PSG275" s="227"/>
      <c r="PSH275" s="227"/>
      <c r="PSI275" s="227"/>
      <c r="PSJ275" s="227"/>
      <c r="PSK275" s="227"/>
      <c r="PSL275" s="227"/>
      <c r="PSM275" s="227"/>
      <c r="PSN275" s="227"/>
      <c r="PSO275" s="227"/>
      <c r="PSP275" s="227"/>
      <c r="PSQ275" s="227"/>
      <c r="PSR275" s="227"/>
      <c r="PSS275" s="227"/>
      <c r="PST275" s="227"/>
      <c r="PSU275" s="227"/>
      <c r="PSV275" s="227"/>
      <c r="PSW275" s="227"/>
      <c r="PSX275" s="227"/>
      <c r="PSY275" s="227"/>
      <c r="PSZ275" s="227"/>
      <c r="PTA275" s="227"/>
      <c r="PTB275" s="227"/>
      <c r="PTC275" s="227"/>
      <c r="PTD275" s="227"/>
      <c r="PTE275" s="227"/>
      <c r="PTF275" s="227"/>
      <c r="PTG275" s="227"/>
      <c r="PTH275" s="227"/>
      <c r="PTI275" s="227"/>
      <c r="PTJ275" s="227"/>
      <c r="PTK275" s="227"/>
      <c r="PTL275" s="227"/>
      <c r="PTM275" s="227"/>
      <c r="PTN275" s="227"/>
      <c r="PTO275" s="227"/>
      <c r="PTP275" s="227"/>
      <c r="PTQ275" s="227"/>
      <c r="PTR275" s="227"/>
      <c r="PTS275" s="227"/>
      <c r="PTT275" s="227"/>
      <c r="PTU275" s="227"/>
      <c r="PTV275" s="227"/>
      <c r="PTW275" s="227"/>
      <c r="PTX275" s="227"/>
      <c r="PTY275" s="227"/>
      <c r="PTZ275" s="227"/>
      <c r="PUA275" s="227"/>
      <c r="PUB275" s="227"/>
      <c r="PUC275" s="227"/>
      <c r="PUD275" s="227"/>
      <c r="PUE275" s="227"/>
      <c r="PUF275" s="227"/>
      <c r="PUG275" s="227"/>
      <c r="PUH275" s="227"/>
      <c r="PUI275" s="227"/>
      <c r="PUJ275" s="227"/>
      <c r="PUK275" s="227"/>
      <c r="PUL275" s="227"/>
      <c r="PUM275" s="227"/>
      <c r="PUN275" s="227"/>
      <c r="PUO275" s="227"/>
      <c r="PUP275" s="227"/>
      <c r="PUQ275" s="227"/>
      <c r="PUR275" s="227"/>
      <c r="PUS275" s="227"/>
      <c r="PUT275" s="227"/>
      <c r="PUU275" s="227"/>
      <c r="PUV275" s="227"/>
      <c r="PUW275" s="227"/>
      <c r="PUX275" s="227"/>
      <c r="PUY275" s="227"/>
      <c r="PUZ275" s="227"/>
      <c r="PVA275" s="227"/>
      <c r="PVB275" s="227"/>
      <c r="PVC275" s="227"/>
      <c r="PVD275" s="227"/>
      <c r="PVE275" s="227"/>
      <c r="PVF275" s="227"/>
      <c r="PVG275" s="227"/>
      <c r="PVH275" s="227"/>
      <c r="PVI275" s="227"/>
      <c r="PVJ275" s="227"/>
      <c r="PVK275" s="227"/>
      <c r="PVL275" s="227"/>
      <c r="PVM275" s="227"/>
      <c r="PVN275" s="227"/>
      <c r="PVO275" s="227"/>
      <c r="PVP275" s="227"/>
      <c r="PVQ275" s="227"/>
      <c r="PVR275" s="227"/>
      <c r="PVS275" s="227"/>
      <c r="PVT275" s="227"/>
      <c r="PVU275" s="227"/>
      <c r="PVV275" s="227"/>
      <c r="PVW275" s="227"/>
      <c r="PVX275" s="227"/>
      <c r="PVY275" s="227"/>
      <c r="PVZ275" s="227"/>
      <c r="PWA275" s="227"/>
      <c r="PWB275" s="227"/>
      <c r="PWC275" s="227"/>
      <c r="PWD275" s="227"/>
      <c r="PWE275" s="227"/>
      <c r="PWF275" s="227"/>
      <c r="PWG275" s="227"/>
      <c r="PWH275" s="227"/>
      <c r="PWI275" s="227"/>
      <c r="PWJ275" s="227"/>
      <c r="PWK275" s="227"/>
      <c r="PWL275" s="227"/>
      <c r="PWM275" s="227"/>
      <c r="PWN275" s="227"/>
      <c r="PWO275" s="227"/>
      <c r="PWP275" s="227"/>
      <c r="PWQ275" s="227"/>
      <c r="PWR275" s="227"/>
      <c r="PWS275" s="227"/>
      <c r="PWT275" s="227"/>
      <c r="PWU275" s="227"/>
      <c r="PWV275" s="227"/>
      <c r="PWW275" s="227"/>
      <c r="PWX275" s="227"/>
      <c r="PWY275" s="227"/>
      <c r="PWZ275" s="227"/>
      <c r="PXA275" s="227"/>
      <c r="PXB275" s="227"/>
      <c r="PXC275" s="227"/>
      <c r="PXD275" s="227"/>
      <c r="PXE275" s="227"/>
      <c r="PXF275" s="227"/>
      <c r="PXG275" s="227"/>
      <c r="PXH275" s="227"/>
      <c r="PXI275" s="227"/>
      <c r="PXJ275" s="227"/>
      <c r="PXK275" s="227"/>
      <c r="PXL275" s="227"/>
      <c r="PXM275" s="227"/>
      <c r="PXN275" s="227"/>
      <c r="PXO275" s="227"/>
      <c r="PXP275" s="227"/>
      <c r="PXQ275" s="227"/>
      <c r="PXR275" s="227"/>
      <c r="PXS275" s="227"/>
      <c r="PXT275" s="227"/>
      <c r="PXU275" s="227"/>
      <c r="PXV275" s="227"/>
      <c r="PXW275" s="227"/>
      <c r="PXX275" s="227"/>
      <c r="PXY275" s="227"/>
      <c r="PXZ275" s="227"/>
      <c r="PYA275" s="227"/>
      <c r="PYB275" s="227"/>
      <c r="PYC275" s="227"/>
      <c r="PYD275" s="227"/>
      <c r="PYE275" s="227"/>
      <c r="PYF275" s="227"/>
      <c r="PYG275" s="227"/>
      <c r="PYH275" s="227"/>
      <c r="PYI275" s="227"/>
      <c r="PYJ275" s="227"/>
      <c r="PYK275" s="227"/>
      <c r="PYL275" s="227"/>
      <c r="PYM275" s="227"/>
      <c r="PYN275" s="227"/>
      <c r="PYO275" s="227"/>
      <c r="PYP275" s="227"/>
      <c r="PYQ275" s="227"/>
      <c r="PYR275" s="227"/>
      <c r="PYS275" s="227"/>
      <c r="PYT275" s="227"/>
      <c r="PYU275" s="227"/>
      <c r="PYV275" s="227"/>
      <c r="PYW275" s="227"/>
      <c r="PYX275" s="227"/>
      <c r="PYY275" s="227"/>
      <c r="PYZ275" s="227"/>
      <c r="PZA275" s="227"/>
      <c r="PZB275" s="227"/>
      <c r="PZC275" s="227"/>
      <c r="PZD275" s="227"/>
      <c r="PZE275" s="227"/>
      <c r="PZF275" s="227"/>
      <c r="PZG275" s="227"/>
      <c r="PZH275" s="227"/>
      <c r="PZI275" s="227"/>
      <c r="PZJ275" s="227"/>
      <c r="PZK275" s="227"/>
      <c r="PZL275" s="227"/>
      <c r="PZM275" s="227"/>
      <c r="PZN275" s="227"/>
      <c r="PZO275" s="227"/>
      <c r="PZP275" s="227"/>
      <c r="PZQ275" s="227"/>
      <c r="PZR275" s="227"/>
      <c r="PZS275" s="227"/>
      <c r="PZT275" s="227"/>
      <c r="PZU275" s="227"/>
      <c r="PZV275" s="227"/>
      <c r="PZW275" s="227"/>
      <c r="PZX275" s="227"/>
      <c r="PZY275" s="227"/>
      <c r="PZZ275" s="227"/>
      <c r="QAA275" s="227"/>
      <c r="QAB275" s="227"/>
      <c r="QAC275" s="227"/>
      <c r="QAD275" s="227"/>
      <c r="QAE275" s="227"/>
      <c r="QAF275" s="227"/>
      <c r="QAG275" s="227"/>
      <c r="QAH275" s="227"/>
      <c r="QAI275" s="227"/>
      <c r="QAJ275" s="227"/>
      <c r="QAK275" s="227"/>
      <c r="QAL275" s="227"/>
      <c r="QAM275" s="227"/>
      <c r="QAN275" s="227"/>
      <c r="QAO275" s="227"/>
      <c r="QAP275" s="227"/>
      <c r="QAQ275" s="227"/>
      <c r="QAR275" s="227"/>
      <c r="QAS275" s="227"/>
      <c r="QAT275" s="227"/>
      <c r="QAU275" s="227"/>
      <c r="QAV275" s="227"/>
      <c r="QAW275" s="227"/>
      <c r="QAX275" s="227"/>
      <c r="QAY275" s="227"/>
      <c r="QAZ275" s="227"/>
      <c r="QBA275" s="227"/>
      <c r="QBB275" s="227"/>
      <c r="QBC275" s="227"/>
      <c r="QBD275" s="227"/>
      <c r="QBE275" s="227"/>
      <c r="QBF275" s="227"/>
      <c r="QBG275" s="227"/>
      <c r="QBH275" s="227"/>
      <c r="QBI275" s="227"/>
      <c r="QBJ275" s="227"/>
      <c r="QBK275" s="227"/>
      <c r="QBL275" s="227"/>
      <c r="QBM275" s="227"/>
      <c r="QBN275" s="227"/>
      <c r="QBO275" s="227"/>
      <c r="QBP275" s="227"/>
      <c r="QBQ275" s="227"/>
      <c r="QBR275" s="227"/>
      <c r="QBS275" s="227"/>
      <c r="QBT275" s="227"/>
      <c r="QBU275" s="227"/>
      <c r="QBV275" s="227"/>
      <c r="QBW275" s="227"/>
      <c r="QBX275" s="227"/>
      <c r="QBY275" s="227"/>
      <c r="QBZ275" s="227"/>
      <c r="QCA275" s="227"/>
      <c r="QCB275" s="227"/>
      <c r="QCC275" s="227"/>
      <c r="QCD275" s="227"/>
      <c r="QCE275" s="227"/>
      <c r="QCF275" s="227"/>
      <c r="QCG275" s="227"/>
      <c r="QCH275" s="227"/>
      <c r="QCI275" s="227"/>
      <c r="QCJ275" s="227"/>
      <c r="QCK275" s="227"/>
      <c r="QCL275" s="227"/>
      <c r="QCM275" s="227"/>
      <c r="QCN275" s="227"/>
      <c r="QCO275" s="227"/>
      <c r="QCP275" s="227"/>
      <c r="QCQ275" s="227"/>
      <c r="QCR275" s="227"/>
      <c r="QCS275" s="227"/>
      <c r="QCT275" s="227"/>
      <c r="QCU275" s="227"/>
      <c r="QCV275" s="227"/>
      <c r="QCW275" s="227"/>
      <c r="QCX275" s="227"/>
      <c r="QCY275" s="227"/>
      <c r="QCZ275" s="227"/>
      <c r="QDA275" s="227"/>
      <c r="QDB275" s="227"/>
      <c r="QDC275" s="227"/>
      <c r="QDD275" s="227"/>
      <c r="QDE275" s="227"/>
      <c r="QDF275" s="227"/>
      <c r="QDG275" s="227"/>
      <c r="QDH275" s="227"/>
      <c r="QDI275" s="227"/>
      <c r="QDJ275" s="227"/>
      <c r="QDK275" s="227"/>
      <c r="QDL275" s="227"/>
      <c r="QDM275" s="227"/>
      <c r="QDN275" s="227"/>
      <c r="QDO275" s="227"/>
      <c r="QDP275" s="227"/>
      <c r="QDQ275" s="227"/>
      <c r="QDR275" s="227"/>
      <c r="QDS275" s="227"/>
      <c r="QDT275" s="227"/>
      <c r="QDU275" s="227"/>
      <c r="QDV275" s="227"/>
      <c r="QDW275" s="227"/>
      <c r="QDX275" s="227"/>
      <c r="QDY275" s="227"/>
      <c r="QDZ275" s="227"/>
      <c r="QEA275" s="227"/>
      <c r="QEB275" s="227"/>
      <c r="QEC275" s="227"/>
      <c r="QED275" s="227"/>
      <c r="QEE275" s="227"/>
      <c r="QEF275" s="227"/>
      <c r="QEG275" s="227"/>
      <c r="QEH275" s="227"/>
      <c r="QEI275" s="227"/>
      <c r="QEJ275" s="227"/>
      <c r="QEK275" s="227"/>
      <c r="QEL275" s="227"/>
      <c r="QEM275" s="227"/>
      <c r="QEN275" s="227"/>
      <c r="QEO275" s="227"/>
      <c r="QEP275" s="227"/>
      <c r="QEQ275" s="227"/>
      <c r="QER275" s="227"/>
      <c r="QES275" s="227"/>
      <c r="QET275" s="227"/>
      <c r="QEU275" s="227"/>
      <c r="QEV275" s="227"/>
      <c r="QEW275" s="227"/>
      <c r="QEX275" s="227"/>
      <c r="QEY275" s="227"/>
      <c r="QEZ275" s="227"/>
      <c r="QFA275" s="227"/>
      <c r="QFB275" s="227"/>
      <c r="QFC275" s="227"/>
      <c r="QFD275" s="227"/>
      <c r="QFE275" s="227"/>
      <c r="QFF275" s="227"/>
      <c r="QFG275" s="227"/>
      <c r="QFH275" s="227"/>
      <c r="QFI275" s="227"/>
      <c r="QFJ275" s="227"/>
      <c r="QFK275" s="227"/>
      <c r="QFL275" s="227"/>
      <c r="QFM275" s="227"/>
      <c r="QFN275" s="227"/>
      <c r="QFO275" s="227"/>
      <c r="QFP275" s="227"/>
      <c r="QFQ275" s="227"/>
      <c r="QFR275" s="227"/>
      <c r="QFS275" s="227"/>
      <c r="QFT275" s="227"/>
      <c r="QFU275" s="227"/>
      <c r="QFV275" s="227"/>
      <c r="QFW275" s="227"/>
      <c r="QFX275" s="227"/>
      <c r="QFY275" s="227"/>
      <c r="QFZ275" s="227"/>
      <c r="QGA275" s="227"/>
      <c r="QGB275" s="227"/>
      <c r="QGC275" s="227"/>
      <c r="QGD275" s="227"/>
      <c r="QGE275" s="227"/>
      <c r="QGF275" s="227"/>
      <c r="QGG275" s="227"/>
      <c r="QGH275" s="227"/>
      <c r="QGI275" s="227"/>
      <c r="QGJ275" s="227"/>
      <c r="QGK275" s="227"/>
      <c r="QGL275" s="227"/>
      <c r="QGM275" s="227"/>
      <c r="QGN275" s="227"/>
      <c r="QGO275" s="227"/>
      <c r="QGP275" s="227"/>
      <c r="QGQ275" s="227"/>
      <c r="QGR275" s="227"/>
      <c r="QGS275" s="227"/>
      <c r="QGT275" s="227"/>
      <c r="QGU275" s="227"/>
      <c r="QGV275" s="227"/>
      <c r="QGW275" s="227"/>
      <c r="QGX275" s="227"/>
      <c r="QGY275" s="227"/>
      <c r="QGZ275" s="227"/>
      <c r="QHA275" s="227"/>
      <c r="QHB275" s="227"/>
      <c r="QHC275" s="227"/>
      <c r="QHD275" s="227"/>
      <c r="QHE275" s="227"/>
      <c r="QHF275" s="227"/>
      <c r="QHG275" s="227"/>
      <c r="QHH275" s="227"/>
      <c r="QHI275" s="227"/>
      <c r="QHJ275" s="227"/>
      <c r="QHK275" s="227"/>
      <c r="QHL275" s="227"/>
      <c r="QHM275" s="227"/>
      <c r="QHN275" s="227"/>
      <c r="QHO275" s="227"/>
      <c r="QHP275" s="227"/>
      <c r="QHQ275" s="227"/>
      <c r="QHR275" s="227"/>
      <c r="QHS275" s="227"/>
      <c r="QHT275" s="227"/>
      <c r="QHU275" s="227"/>
      <c r="QHV275" s="227"/>
      <c r="QHW275" s="227"/>
      <c r="QHX275" s="227"/>
      <c r="QHY275" s="227"/>
      <c r="QHZ275" s="227"/>
      <c r="QIA275" s="227"/>
      <c r="QIB275" s="227"/>
      <c r="QIC275" s="227"/>
      <c r="QID275" s="227"/>
      <c r="QIE275" s="227"/>
      <c r="QIF275" s="227"/>
      <c r="QIG275" s="227"/>
      <c r="QIH275" s="227"/>
      <c r="QII275" s="227"/>
      <c r="QIJ275" s="227"/>
      <c r="QIK275" s="227"/>
      <c r="QIL275" s="227"/>
      <c r="QIM275" s="227"/>
      <c r="QIN275" s="227"/>
      <c r="QIO275" s="227"/>
      <c r="QIP275" s="227"/>
      <c r="QIQ275" s="227"/>
      <c r="QIR275" s="227"/>
      <c r="QIS275" s="227"/>
      <c r="QIT275" s="227"/>
      <c r="QIU275" s="227"/>
      <c r="QIV275" s="227"/>
      <c r="QIW275" s="227"/>
      <c r="QIX275" s="227"/>
      <c r="QIY275" s="227"/>
      <c r="QIZ275" s="227"/>
      <c r="QJA275" s="227"/>
      <c r="QJB275" s="227"/>
      <c r="QJC275" s="227"/>
      <c r="QJD275" s="227"/>
      <c r="QJE275" s="227"/>
      <c r="QJF275" s="227"/>
      <c r="QJG275" s="227"/>
      <c r="QJH275" s="227"/>
      <c r="QJI275" s="227"/>
      <c r="QJJ275" s="227"/>
      <c r="QJK275" s="227"/>
      <c r="QJL275" s="227"/>
      <c r="QJM275" s="227"/>
      <c r="QJN275" s="227"/>
      <c r="QJO275" s="227"/>
      <c r="QJP275" s="227"/>
      <c r="QJQ275" s="227"/>
      <c r="QJR275" s="227"/>
      <c r="QJS275" s="227"/>
      <c r="QJT275" s="227"/>
      <c r="QJU275" s="227"/>
      <c r="QJV275" s="227"/>
      <c r="QJW275" s="227"/>
      <c r="QJX275" s="227"/>
      <c r="QJY275" s="227"/>
      <c r="QJZ275" s="227"/>
      <c r="QKA275" s="227"/>
      <c r="QKB275" s="227"/>
      <c r="QKC275" s="227"/>
      <c r="QKD275" s="227"/>
      <c r="QKE275" s="227"/>
      <c r="QKF275" s="227"/>
      <c r="QKG275" s="227"/>
      <c r="QKH275" s="227"/>
      <c r="QKI275" s="227"/>
      <c r="QKJ275" s="227"/>
      <c r="QKK275" s="227"/>
      <c r="QKL275" s="227"/>
      <c r="QKM275" s="227"/>
      <c r="QKN275" s="227"/>
      <c r="QKO275" s="227"/>
      <c r="QKP275" s="227"/>
      <c r="QKQ275" s="227"/>
      <c r="QKR275" s="227"/>
      <c r="QKS275" s="227"/>
      <c r="QKT275" s="227"/>
      <c r="QKU275" s="227"/>
      <c r="QKV275" s="227"/>
      <c r="QKW275" s="227"/>
      <c r="QKX275" s="227"/>
      <c r="QKY275" s="227"/>
      <c r="QKZ275" s="227"/>
      <c r="QLA275" s="227"/>
      <c r="QLB275" s="227"/>
      <c r="QLC275" s="227"/>
      <c r="QLD275" s="227"/>
      <c r="QLE275" s="227"/>
      <c r="QLF275" s="227"/>
      <c r="QLG275" s="227"/>
      <c r="QLH275" s="227"/>
      <c r="QLI275" s="227"/>
      <c r="QLJ275" s="227"/>
      <c r="QLK275" s="227"/>
      <c r="QLL275" s="227"/>
      <c r="QLM275" s="227"/>
      <c r="QLN275" s="227"/>
      <c r="QLO275" s="227"/>
      <c r="QLP275" s="227"/>
      <c r="QLQ275" s="227"/>
      <c r="QLR275" s="227"/>
      <c r="QLS275" s="227"/>
      <c r="QLT275" s="227"/>
      <c r="QLU275" s="227"/>
      <c r="QLV275" s="227"/>
      <c r="QLW275" s="227"/>
      <c r="QLX275" s="227"/>
      <c r="QLY275" s="227"/>
      <c r="QLZ275" s="227"/>
      <c r="QMA275" s="227"/>
      <c r="QMB275" s="227"/>
      <c r="QMC275" s="227"/>
      <c r="QMD275" s="227"/>
      <c r="QME275" s="227"/>
      <c r="QMF275" s="227"/>
      <c r="QMG275" s="227"/>
      <c r="QMH275" s="227"/>
      <c r="QMI275" s="227"/>
      <c r="QMJ275" s="227"/>
      <c r="QMK275" s="227"/>
      <c r="QML275" s="227"/>
      <c r="QMM275" s="227"/>
      <c r="QMN275" s="227"/>
      <c r="QMO275" s="227"/>
      <c r="QMP275" s="227"/>
      <c r="QMQ275" s="227"/>
      <c r="QMR275" s="227"/>
      <c r="QMS275" s="227"/>
      <c r="QMT275" s="227"/>
      <c r="QMU275" s="227"/>
      <c r="QMV275" s="227"/>
      <c r="QMW275" s="227"/>
      <c r="QMX275" s="227"/>
      <c r="QMY275" s="227"/>
      <c r="QMZ275" s="227"/>
      <c r="QNA275" s="227"/>
      <c r="QNB275" s="227"/>
      <c r="QNC275" s="227"/>
      <c r="QND275" s="227"/>
      <c r="QNE275" s="227"/>
      <c r="QNF275" s="227"/>
      <c r="QNG275" s="227"/>
      <c r="QNH275" s="227"/>
      <c r="QNI275" s="227"/>
      <c r="QNJ275" s="227"/>
      <c r="QNK275" s="227"/>
      <c r="QNL275" s="227"/>
      <c r="QNM275" s="227"/>
      <c r="QNN275" s="227"/>
      <c r="QNO275" s="227"/>
      <c r="QNP275" s="227"/>
      <c r="QNQ275" s="227"/>
      <c r="QNR275" s="227"/>
      <c r="QNS275" s="227"/>
      <c r="QNT275" s="227"/>
      <c r="QNU275" s="227"/>
      <c r="QNV275" s="227"/>
      <c r="QNW275" s="227"/>
      <c r="QNX275" s="227"/>
      <c r="QNY275" s="227"/>
      <c r="QNZ275" s="227"/>
      <c r="QOA275" s="227"/>
      <c r="QOB275" s="227"/>
      <c r="QOC275" s="227"/>
      <c r="QOD275" s="227"/>
      <c r="QOE275" s="227"/>
      <c r="QOF275" s="227"/>
      <c r="QOG275" s="227"/>
      <c r="QOH275" s="227"/>
      <c r="QOI275" s="227"/>
      <c r="QOJ275" s="227"/>
      <c r="QOK275" s="227"/>
      <c r="QOL275" s="227"/>
      <c r="QOM275" s="227"/>
      <c r="QON275" s="227"/>
      <c r="QOO275" s="227"/>
      <c r="QOP275" s="227"/>
      <c r="QOQ275" s="227"/>
      <c r="QOR275" s="227"/>
      <c r="QOS275" s="227"/>
      <c r="QOT275" s="227"/>
      <c r="QOU275" s="227"/>
      <c r="QOV275" s="227"/>
      <c r="QOW275" s="227"/>
      <c r="QOX275" s="227"/>
      <c r="QOY275" s="227"/>
      <c r="QOZ275" s="227"/>
      <c r="QPA275" s="227"/>
      <c r="QPB275" s="227"/>
      <c r="QPC275" s="227"/>
      <c r="QPD275" s="227"/>
      <c r="QPE275" s="227"/>
      <c r="QPF275" s="227"/>
      <c r="QPG275" s="227"/>
      <c r="QPH275" s="227"/>
      <c r="QPI275" s="227"/>
      <c r="QPJ275" s="227"/>
      <c r="QPK275" s="227"/>
      <c r="QPL275" s="227"/>
      <c r="QPM275" s="227"/>
      <c r="QPN275" s="227"/>
      <c r="QPO275" s="227"/>
      <c r="QPP275" s="227"/>
      <c r="QPQ275" s="227"/>
      <c r="QPR275" s="227"/>
      <c r="QPS275" s="227"/>
      <c r="QPT275" s="227"/>
      <c r="QPU275" s="227"/>
      <c r="QPV275" s="227"/>
      <c r="QPW275" s="227"/>
      <c r="QPX275" s="227"/>
      <c r="QPY275" s="227"/>
      <c r="QPZ275" s="227"/>
      <c r="QQA275" s="227"/>
      <c r="QQB275" s="227"/>
      <c r="QQC275" s="227"/>
      <c r="QQD275" s="227"/>
      <c r="QQE275" s="227"/>
      <c r="QQF275" s="227"/>
      <c r="QQG275" s="227"/>
      <c r="QQH275" s="227"/>
      <c r="QQI275" s="227"/>
      <c r="QQJ275" s="227"/>
      <c r="QQK275" s="227"/>
      <c r="QQL275" s="227"/>
      <c r="QQM275" s="227"/>
      <c r="QQN275" s="227"/>
      <c r="QQO275" s="227"/>
      <c r="QQP275" s="227"/>
      <c r="QQQ275" s="227"/>
      <c r="QQR275" s="227"/>
      <c r="QQS275" s="227"/>
      <c r="QQT275" s="227"/>
      <c r="QQU275" s="227"/>
      <c r="QQV275" s="227"/>
      <c r="QQW275" s="227"/>
      <c r="QQX275" s="227"/>
      <c r="QQY275" s="227"/>
      <c r="QQZ275" s="227"/>
      <c r="QRA275" s="227"/>
      <c r="QRB275" s="227"/>
      <c r="QRC275" s="227"/>
      <c r="QRD275" s="227"/>
      <c r="QRE275" s="227"/>
      <c r="QRF275" s="227"/>
      <c r="QRG275" s="227"/>
      <c r="QRH275" s="227"/>
      <c r="QRI275" s="227"/>
      <c r="QRJ275" s="227"/>
      <c r="QRK275" s="227"/>
      <c r="QRL275" s="227"/>
      <c r="QRM275" s="227"/>
      <c r="QRN275" s="227"/>
      <c r="QRO275" s="227"/>
      <c r="QRP275" s="227"/>
      <c r="QRQ275" s="227"/>
      <c r="QRR275" s="227"/>
      <c r="QRS275" s="227"/>
      <c r="QRT275" s="227"/>
      <c r="QRU275" s="227"/>
      <c r="QRV275" s="227"/>
      <c r="QRW275" s="227"/>
      <c r="QRX275" s="227"/>
      <c r="QRY275" s="227"/>
      <c r="QRZ275" s="227"/>
      <c r="QSA275" s="227"/>
      <c r="QSB275" s="227"/>
      <c r="QSC275" s="227"/>
      <c r="QSD275" s="227"/>
      <c r="QSE275" s="227"/>
      <c r="QSF275" s="227"/>
      <c r="QSG275" s="227"/>
      <c r="QSH275" s="227"/>
      <c r="QSI275" s="227"/>
      <c r="QSJ275" s="227"/>
      <c r="QSK275" s="227"/>
      <c r="QSL275" s="227"/>
      <c r="QSM275" s="227"/>
      <c r="QSN275" s="227"/>
      <c r="QSO275" s="227"/>
      <c r="QSP275" s="227"/>
      <c r="QSQ275" s="227"/>
      <c r="QSR275" s="227"/>
      <c r="QSS275" s="227"/>
      <c r="QST275" s="227"/>
      <c r="QSU275" s="227"/>
      <c r="QSV275" s="227"/>
      <c r="QSW275" s="227"/>
      <c r="QSX275" s="227"/>
      <c r="QSY275" s="227"/>
      <c r="QSZ275" s="227"/>
      <c r="QTA275" s="227"/>
      <c r="QTB275" s="227"/>
      <c r="QTC275" s="227"/>
      <c r="QTD275" s="227"/>
      <c r="QTE275" s="227"/>
      <c r="QTF275" s="227"/>
      <c r="QTG275" s="227"/>
      <c r="QTH275" s="227"/>
      <c r="QTI275" s="227"/>
      <c r="QTJ275" s="227"/>
      <c r="QTK275" s="227"/>
      <c r="QTL275" s="227"/>
      <c r="QTM275" s="227"/>
      <c r="QTN275" s="227"/>
      <c r="QTO275" s="227"/>
      <c r="QTP275" s="227"/>
      <c r="QTQ275" s="227"/>
      <c r="QTR275" s="227"/>
      <c r="QTS275" s="227"/>
      <c r="QTT275" s="227"/>
      <c r="QTU275" s="227"/>
      <c r="QTV275" s="227"/>
      <c r="QTW275" s="227"/>
      <c r="QTX275" s="227"/>
      <c r="QTY275" s="227"/>
      <c r="QTZ275" s="227"/>
      <c r="QUA275" s="227"/>
      <c r="QUB275" s="227"/>
      <c r="QUC275" s="227"/>
      <c r="QUD275" s="227"/>
      <c r="QUE275" s="227"/>
      <c r="QUF275" s="227"/>
      <c r="QUG275" s="227"/>
      <c r="QUH275" s="227"/>
      <c r="QUI275" s="227"/>
      <c r="QUJ275" s="227"/>
      <c r="QUK275" s="227"/>
      <c r="QUL275" s="227"/>
      <c r="QUM275" s="227"/>
      <c r="QUN275" s="227"/>
      <c r="QUO275" s="227"/>
      <c r="QUP275" s="227"/>
      <c r="QUQ275" s="227"/>
      <c r="QUR275" s="227"/>
      <c r="QUS275" s="227"/>
      <c r="QUT275" s="227"/>
      <c r="QUU275" s="227"/>
      <c r="QUV275" s="227"/>
      <c r="QUW275" s="227"/>
      <c r="QUX275" s="227"/>
      <c r="QUY275" s="227"/>
      <c r="QUZ275" s="227"/>
      <c r="QVA275" s="227"/>
      <c r="QVB275" s="227"/>
      <c r="QVC275" s="227"/>
      <c r="QVD275" s="227"/>
      <c r="QVE275" s="227"/>
      <c r="QVF275" s="227"/>
      <c r="QVG275" s="227"/>
      <c r="QVH275" s="227"/>
      <c r="QVI275" s="227"/>
      <c r="QVJ275" s="227"/>
      <c r="QVK275" s="227"/>
      <c r="QVL275" s="227"/>
      <c r="QVM275" s="227"/>
      <c r="QVN275" s="227"/>
      <c r="QVO275" s="227"/>
      <c r="QVP275" s="227"/>
      <c r="QVQ275" s="227"/>
      <c r="QVR275" s="227"/>
      <c r="QVS275" s="227"/>
      <c r="QVT275" s="227"/>
      <c r="QVU275" s="227"/>
      <c r="QVV275" s="227"/>
      <c r="QVW275" s="227"/>
      <c r="QVX275" s="227"/>
      <c r="QVY275" s="227"/>
      <c r="QVZ275" s="227"/>
      <c r="QWA275" s="227"/>
      <c r="QWB275" s="227"/>
      <c r="QWC275" s="227"/>
      <c r="QWD275" s="227"/>
      <c r="QWE275" s="227"/>
      <c r="QWF275" s="227"/>
      <c r="QWG275" s="227"/>
      <c r="QWH275" s="227"/>
      <c r="QWI275" s="227"/>
      <c r="QWJ275" s="227"/>
      <c r="QWK275" s="227"/>
      <c r="QWL275" s="227"/>
      <c r="QWM275" s="227"/>
      <c r="QWN275" s="227"/>
      <c r="QWO275" s="227"/>
      <c r="QWP275" s="227"/>
      <c r="QWQ275" s="227"/>
      <c r="QWR275" s="227"/>
      <c r="QWS275" s="227"/>
      <c r="QWT275" s="227"/>
      <c r="QWU275" s="227"/>
      <c r="QWV275" s="227"/>
      <c r="QWW275" s="227"/>
      <c r="QWX275" s="227"/>
      <c r="QWY275" s="227"/>
      <c r="QWZ275" s="227"/>
      <c r="QXA275" s="227"/>
      <c r="QXB275" s="227"/>
      <c r="QXC275" s="227"/>
      <c r="QXD275" s="227"/>
      <c r="QXE275" s="227"/>
      <c r="QXF275" s="227"/>
      <c r="QXG275" s="227"/>
      <c r="QXH275" s="227"/>
      <c r="QXI275" s="227"/>
      <c r="QXJ275" s="227"/>
      <c r="QXK275" s="227"/>
      <c r="QXL275" s="227"/>
      <c r="QXM275" s="227"/>
      <c r="QXN275" s="227"/>
      <c r="QXO275" s="227"/>
      <c r="QXP275" s="227"/>
      <c r="QXQ275" s="227"/>
      <c r="QXR275" s="227"/>
      <c r="QXS275" s="227"/>
      <c r="QXT275" s="227"/>
      <c r="QXU275" s="227"/>
      <c r="QXV275" s="227"/>
      <c r="QXW275" s="227"/>
      <c r="QXX275" s="227"/>
      <c r="QXY275" s="227"/>
      <c r="QXZ275" s="227"/>
      <c r="QYA275" s="227"/>
      <c r="QYB275" s="227"/>
      <c r="QYC275" s="227"/>
      <c r="QYD275" s="227"/>
      <c r="QYE275" s="227"/>
      <c r="QYF275" s="227"/>
      <c r="QYG275" s="227"/>
      <c r="QYH275" s="227"/>
      <c r="QYI275" s="227"/>
      <c r="QYJ275" s="227"/>
      <c r="QYK275" s="227"/>
      <c r="QYL275" s="227"/>
      <c r="QYM275" s="227"/>
      <c r="QYN275" s="227"/>
      <c r="QYO275" s="227"/>
      <c r="QYP275" s="227"/>
      <c r="QYQ275" s="227"/>
      <c r="QYR275" s="227"/>
      <c r="QYS275" s="227"/>
      <c r="QYT275" s="227"/>
      <c r="QYU275" s="227"/>
      <c r="QYV275" s="227"/>
      <c r="QYW275" s="227"/>
      <c r="QYX275" s="227"/>
      <c r="QYY275" s="227"/>
      <c r="QYZ275" s="227"/>
      <c r="QZA275" s="227"/>
      <c r="QZB275" s="227"/>
      <c r="QZC275" s="227"/>
      <c r="QZD275" s="227"/>
      <c r="QZE275" s="227"/>
      <c r="QZF275" s="227"/>
      <c r="QZG275" s="227"/>
      <c r="QZH275" s="227"/>
      <c r="QZI275" s="227"/>
      <c r="QZJ275" s="227"/>
      <c r="QZK275" s="227"/>
      <c r="QZL275" s="227"/>
      <c r="QZM275" s="227"/>
      <c r="QZN275" s="227"/>
      <c r="QZO275" s="227"/>
      <c r="QZP275" s="227"/>
      <c r="QZQ275" s="227"/>
      <c r="QZR275" s="227"/>
      <c r="QZS275" s="227"/>
      <c r="QZT275" s="227"/>
      <c r="QZU275" s="227"/>
      <c r="QZV275" s="227"/>
      <c r="QZW275" s="227"/>
      <c r="QZX275" s="227"/>
      <c r="QZY275" s="227"/>
      <c r="QZZ275" s="227"/>
      <c r="RAA275" s="227"/>
      <c r="RAB275" s="227"/>
      <c r="RAC275" s="227"/>
      <c r="RAD275" s="227"/>
      <c r="RAE275" s="227"/>
      <c r="RAF275" s="227"/>
      <c r="RAG275" s="227"/>
      <c r="RAH275" s="227"/>
      <c r="RAI275" s="227"/>
      <c r="RAJ275" s="227"/>
      <c r="RAK275" s="227"/>
      <c r="RAL275" s="227"/>
      <c r="RAM275" s="227"/>
      <c r="RAN275" s="227"/>
      <c r="RAO275" s="227"/>
      <c r="RAP275" s="227"/>
      <c r="RAQ275" s="227"/>
      <c r="RAR275" s="227"/>
      <c r="RAS275" s="227"/>
      <c r="RAT275" s="227"/>
      <c r="RAU275" s="227"/>
      <c r="RAV275" s="227"/>
      <c r="RAW275" s="227"/>
      <c r="RAX275" s="227"/>
      <c r="RAY275" s="227"/>
      <c r="RAZ275" s="227"/>
      <c r="RBA275" s="227"/>
      <c r="RBB275" s="227"/>
      <c r="RBC275" s="227"/>
      <c r="RBD275" s="227"/>
      <c r="RBE275" s="227"/>
      <c r="RBF275" s="227"/>
      <c r="RBG275" s="227"/>
      <c r="RBH275" s="227"/>
      <c r="RBI275" s="227"/>
      <c r="RBJ275" s="227"/>
      <c r="RBK275" s="227"/>
      <c r="RBL275" s="227"/>
      <c r="RBM275" s="227"/>
      <c r="RBN275" s="227"/>
      <c r="RBO275" s="227"/>
      <c r="RBP275" s="227"/>
      <c r="RBQ275" s="227"/>
      <c r="RBR275" s="227"/>
      <c r="RBS275" s="227"/>
      <c r="RBT275" s="227"/>
      <c r="RBU275" s="227"/>
      <c r="RBV275" s="227"/>
      <c r="RBW275" s="227"/>
      <c r="RBX275" s="227"/>
      <c r="RBY275" s="227"/>
      <c r="RBZ275" s="227"/>
      <c r="RCA275" s="227"/>
      <c r="RCB275" s="227"/>
      <c r="RCC275" s="227"/>
      <c r="RCD275" s="227"/>
      <c r="RCE275" s="227"/>
      <c r="RCF275" s="227"/>
      <c r="RCG275" s="227"/>
      <c r="RCH275" s="227"/>
      <c r="RCI275" s="227"/>
      <c r="RCJ275" s="227"/>
      <c r="RCK275" s="227"/>
      <c r="RCL275" s="227"/>
      <c r="RCM275" s="227"/>
      <c r="RCN275" s="227"/>
      <c r="RCO275" s="227"/>
      <c r="RCP275" s="227"/>
      <c r="RCQ275" s="227"/>
      <c r="RCR275" s="227"/>
      <c r="RCS275" s="227"/>
      <c r="RCT275" s="227"/>
      <c r="RCU275" s="227"/>
      <c r="RCV275" s="227"/>
      <c r="RCW275" s="227"/>
      <c r="RCX275" s="227"/>
      <c r="RCY275" s="227"/>
      <c r="RCZ275" s="227"/>
      <c r="RDA275" s="227"/>
      <c r="RDB275" s="227"/>
      <c r="RDC275" s="227"/>
      <c r="RDD275" s="227"/>
      <c r="RDE275" s="227"/>
      <c r="RDF275" s="227"/>
      <c r="RDG275" s="227"/>
      <c r="RDH275" s="227"/>
      <c r="RDI275" s="227"/>
      <c r="RDJ275" s="227"/>
      <c r="RDK275" s="227"/>
      <c r="RDL275" s="227"/>
      <c r="RDM275" s="227"/>
      <c r="RDN275" s="227"/>
      <c r="RDO275" s="227"/>
      <c r="RDP275" s="227"/>
      <c r="RDQ275" s="227"/>
      <c r="RDR275" s="227"/>
      <c r="RDS275" s="227"/>
      <c r="RDT275" s="227"/>
      <c r="RDU275" s="227"/>
      <c r="RDV275" s="227"/>
      <c r="RDW275" s="227"/>
      <c r="RDX275" s="227"/>
      <c r="RDY275" s="227"/>
      <c r="RDZ275" s="227"/>
      <c r="REA275" s="227"/>
      <c r="REB275" s="227"/>
      <c r="REC275" s="227"/>
      <c r="RED275" s="227"/>
      <c r="REE275" s="227"/>
      <c r="REF275" s="227"/>
      <c r="REG275" s="227"/>
      <c r="REH275" s="227"/>
      <c r="REI275" s="227"/>
      <c r="REJ275" s="227"/>
      <c r="REK275" s="227"/>
      <c r="REL275" s="227"/>
      <c r="REM275" s="227"/>
      <c r="REN275" s="227"/>
      <c r="REO275" s="227"/>
      <c r="REP275" s="227"/>
      <c r="REQ275" s="227"/>
      <c r="RER275" s="227"/>
      <c r="RES275" s="227"/>
      <c r="RET275" s="227"/>
      <c r="REU275" s="227"/>
      <c r="REV275" s="227"/>
      <c r="REW275" s="227"/>
      <c r="REX275" s="227"/>
      <c r="REY275" s="227"/>
      <c r="REZ275" s="227"/>
      <c r="RFA275" s="227"/>
      <c r="RFB275" s="227"/>
      <c r="RFC275" s="227"/>
      <c r="RFD275" s="227"/>
      <c r="RFE275" s="227"/>
      <c r="RFF275" s="227"/>
      <c r="RFG275" s="227"/>
      <c r="RFH275" s="227"/>
      <c r="RFI275" s="227"/>
      <c r="RFJ275" s="227"/>
      <c r="RFK275" s="227"/>
      <c r="RFL275" s="227"/>
      <c r="RFM275" s="227"/>
      <c r="RFN275" s="227"/>
      <c r="RFO275" s="227"/>
      <c r="RFP275" s="227"/>
      <c r="RFQ275" s="227"/>
      <c r="RFR275" s="227"/>
      <c r="RFS275" s="227"/>
      <c r="RFT275" s="227"/>
      <c r="RFU275" s="227"/>
      <c r="RFV275" s="227"/>
      <c r="RFW275" s="227"/>
      <c r="RFX275" s="227"/>
      <c r="RFY275" s="227"/>
      <c r="RFZ275" s="227"/>
      <c r="RGA275" s="227"/>
      <c r="RGB275" s="227"/>
      <c r="RGC275" s="227"/>
      <c r="RGD275" s="227"/>
      <c r="RGE275" s="227"/>
      <c r="RGF275" s="227"/>
      <c r="RGG275" s="227"/>
      <c r="RGH275" s="227"/>
      <c r="RGI275" s="227"/>
      <c r="RGJ275" s="227"/>
      <c r="RGK275" s="227"/>
      <c r="RGL275" s="227"/>
      <c r="RGM275" s="227"/>
      <c r="RGN275" s="227"/>
      <c r="RGO275" s="227"/>
      <c r="RGP275" s="227"/>
      <c r="RGQ275" s="227"/>
      <c r="RGR275" s="227"/>
      <c r="RGS275" s="227"/>
      <c r="RGT275" s="227"/>
      <c r="RGU275" s="227"/>
      <c r="RGV275" s="227"/>
      <c r="RGW275" s="227"/>
      <c r="RGX275" s="227"/>
      <c r="RGY275" s="227"/>
      <c r="RGZ275" s="227"/>
      <c r="RHA275" s="227"/>
      <c r="RHB275" s="227"/>
      <c r="RHC275" s="227"/>
      <c r="RHD275" s="227"/>
      <c r="RHE275" s="227"/>
      <c r="RHF275" s="227"/>
      <c r="RHG275" s="227"/>
      <c r="RHH275" s="227"/>
      <c r="RHI275" s="227"/>
      <c r="RHJ275" s="227"/>
      <c r="RHK275" s="227"/>
      <c r="RHL275" s="227"/>
      <c r="RHM275" s="227"/>
      <c r="RHN275" s="227"/>
      <c r="RHO275" s="227"/>
      <c r="RHP275" s="227"/>
      <c r="RHQ275" s="227"/>
      <c r="RHR275" s="227"/>
      <c r="RHS275" s="227"/>
      <c r="RHT275" s="227"/>
      <c r="RHU275" s="227"/>
      <c r="RHV275" s="227"/>
      <c r="RHW275" s="227"/>
      <c r="RHX275" s="227"/>
      <c r="RHY275" s="227"/>
      <c r="RHZ275" s="227"/>
      <c r="RIA275" s="227"/>
      <c r="RIB275" s="227"/>
      <c r="RIC275" s="227"/>
      <c r="RID275" s="227"/>
      <c r="RIE275" s="227"/>
      <c r="RIF275" s="227"/>
      <c r="RIG275" s="227"/>
      <c r="RIH275" s="227"/>
      <c r="RII275" s="227"/>
      <c r="RIJ275" s="227"/>
      <c r="RIK275" s="227"/>
      <c r="RIL275" s="227"/>
      <c r="RIM275" s="227"/>
      <c r="RIN275" s="227"/>
      <c r="RIO275" s="227"/>
      <c r="RIP275" s="227"/>
      <c r="RIQ275" s="227"/>
      <c r="RIR275" s="227"/>
      <c r="RIS275" s="227"/>
      <c r="RIT275" s="227"/>
      <c r="RIU275" s="227"/>
      <c r="RIV275" s="227"/>
      <c r="RIW275" s="227"/>
      <c r="RIX275" s="227"/>
      <c r="RIY275" s="227"/>
      <c r="RIZ275" s="227"/>
      <c r="RJA275" s="227"/>
      <c r="RJB275" s="227"/>
      <c r="RJC275" s="227"/>
      <c r="RJD275" s="227"/>
      <c r="RJE275" s="227"/>
      <c r="RJF275" s="227"/>
      <c r="RJG275" s="227"/>
      <c r="RJH275" s="227"/>
      <c r="RJI275" s="227"/>
      <c r="RJJ275" s="227"/>
      <c r="RJK275" s="227"/>
      <c r="RJL275" s="227"/>
      <c r="RJM275" s="227"/>
      <c r="RJN275" s="227"/>
      <c r="RJO275" s="227"/>
      <c r="RJP275" s="227"/>
      <c r="RJQ275" s="227"/>
      <c r="RJR275" s="227"/>
      <c r="RJS275" s="227"/>
      <c r="RJT275" s="227"/>
      <c r="RJU275" s="227"/>
      <c r="RJV275" s="227"/>
      <c r="RJW275" s="227"/>
      <c r="RJX275" s="227"/>
      <c r="RJY275" s="227"/>
      <c r="RJZ275" s="227"/>
      <c r="RKA275" s="227"/>
      <c r="RKB275" s="227"/>
      <c r="RKC275" s="227"/>
      <c r="RKD275" s="227"/>
      <c r="RKE275" s="227"/>
      <c r="RKF275" s="227"/>
      <c r="RKG275" s="227"/>
      <c r="RKH275" s="227"/>
      <c r="RKI275" s="227"/>
      <c r="RKJ275" s="227"/>
      <c r="RKK275" s="227"/>
      <c r="RKL275" s="227"/>
      <c r="RKM275" s="227"/>
      <c r="RKN275" s="227"/>
      <c r="RKO275" s="227"/>
      <c r="RKP275" s="227"/>
      <c r="RKQ275" s="227"/>
      <c r="RKR275" s="227"/>
      <c r="RKS275" s="227"/>
      <c r="RKT275" s="227"/>
      <c r="RKU275" s="227"/>
      <c r="RKV275" s="227"/>
      <c r="RKW275" s="227"/>
      <c r="RKX275" s="227"/>
      <c r="RKY275" s="227"/>
      <c r="RKZ275" s="227"/>
      <c r="RLA275" s="227"/>
      <c r="RLB275" s="227"/>
      <c r="RLC275" s="227"/>
      <c r="RLD275" s="227"/>
      <c r="RLE275" s="227"/>
      <c r="RLF275" s="227"/>
      <c r="RLG275" s="227"/>
      <c r="RLH275" s="227"/>
      <c r="RLI275" s="227"/>
      <c r="RLJ275" s="227"/>
      <c r="RLK275" s="227"/>
      <c r="RLL275" s="227"/>
      <c r="RLM275" s="227"/>
      <c r="RLN275" s="227"/>
      <c r="RLO275" s="227"/>
      <c r="RLP275" s="227"/>
      <c r="RLQ275" s="227"/>
      <c r="RLR275" s="227"/>
      <c r="RLS275" s="227"/>
      <c r="RLT275" s="227"/>
      <c r="RLU275" s="227"/>
      <c r="RLV275" s="227"/>
      <c r="RLW275" s="227"/>
      <c r="RLX275" s="227"/>
      <c r="RLY275" s="227"/>
      <c r="RLZ275" s="227"/>
      <c r="RMA275" s="227"/>
      <c r="RMB275" s="227"/>
      <c r="RMC275" s="227"/>
      <c r="RMD275" s="227"/>
      <c r="RME275" s="227"/>
      <c r="RMF275" s="227"/>
      <c r="RMG275" s="227"/>
      <c r="RMH275" s="227"/>
      <c r="RMI275" s="227"/>
      <c r="RMJ275" s="227"/>
      <c r="RMK275" s="227"/>
      <c r="RML275" s="227"/>
      <c r="RMM275" s="227"/>
      <c r="RMN275" s="227"/>
      <c r="RMO275" s="227"/>
      <c r="RMP275" s="227"/>
      <c r="RMQ275" s="227"/>
      <c r="RMR275" s="227"/>
      <c r="RMS275" s="227"/>
      <c r="RMT275" s="227"/>
      <c r="RMU275" s="227"/>
      <c r="RMV275" s="227"/>
      <c r="RMW275" s="227"/>
      <c r="RMX275" s="227"/>
      <c r="RMY275" s="227"/>
      <c r="RMZ275" s="227"/>
      <c r="RNA275" s="227"/>
      <c r="RNB275" s="227"/>
      <c r="RNC275" s="227"/>
      <c r="RND275" s="227"/>
      <c r="RNE275" s="227"/>
      <c r="RNF275" s="227"/>
      <c r="RNG275" s="227"/>
      <c r="RNH275" s="227"/>
      <c r="RNI275" s="227"/>
      <c r="RNJ275" s="227"/>
      <c r="RNK275" s="227"/>
      <c r="RNL275" s="227"/>
      <c r="RNM275" s="227"/>
      <c r="RNN275" s="227"/>
      <c r="RNO275" s="227"/>
      <c r="RNP275" s="227"/>
      <c r="RNQ275" s="227"/>
      <c r="RNR275" s="227"/>
      <c r="RNS275" s="227"/>
      <c r="RNT275" s="227"/>
      <c r="RNU275" s="227"/>
      <c r="RNV275" s="227"/>
      <c r="RNW275" s="227"/>
      <c r="RNX275" s="227"/>
      <c r="RNY275" s="227"/>
      <c r="RNZ275" s="227"/>
      <c r="ROA275" s="227"/>
      <c r="ROB275" s="227"/>
      <c r="ROC275" s="227"/>
      <c r="ROD275" s="227"/>
      <c r="ROE275" s="227"/>
      <c r="ROF275" s="227"/>
      <c r="ROG275" s="227"/>
      <c r="ROH275" s="227"/>
      <c r="ROI275" s="227"/>
      <c r="ROJ275" s="227"/>
      <c r="ROK275" s="227"/>
      <c r="ROL275" s="227"/>
      <c r="ROM275" s="227"/>
      <c r="RON275" s="227"/>
      <c r="ROO275" s="227"/>
      <c r="ROP275" s="227"/>
      <c r="ROQ275" s="227"/>
      <c r="ROR275" s="227"/>
      <c r="ROS275" s="227"/>
      <c r="ROT275" s="227"/>
      <c r="ROU275" s="227"/>
      <c r="ROV275" s="227"/>
      <c r="ROW275" s="227"/>
      <c r="ROX275" s="227"/>
      <c r="ROY275" s="227"/>
      <c r="ROZ275" s="227"/>
      <c r="RPA275" s="227"/>
      <c r="RPB275" s="227"/>
      <c r="RPC275" s="227"/>
      <c r="RPD275" s="227"/>
      <c r="RPE275" s="227"/>
      <c r="RPF275" s="227"/>
      <c r="RPG275" s="227"/>
      <c r="RPH275" s="227"/>
      <c r="RPI275" s="227"/>
      <c r="RPJ275" s="227"/>
      <c r="RPK275" s="227"/>
      <c r="RPL275" s="227"/>
      <c r="RPM275" s="227"/>
      <c r="RPN275" s="227"/>
      <c r="RPO275" s="227"/>
      <c r="RPP275" s="227"/>
      <c r="RPQ275" s="227"/>
      <c r="RPR275" s="227"/>
      <c r="RPS275" s="227"/>
      <c r="RPT275" s="227"/>
      <c r="RPU275" s="227"/>
      <c r="RPV275" s="227"/>
      <c r="RPW275" s="227"/>
      <c r="RPX275" s="227"/>
      <c r="RPY275" s="227"/>
      <c r="RPZ275" s="227"/>
      <c r="RQA275" s="227"/>
      <c r="RQB275" s="227"/>
      <c r="RQC275" s="227"/>
      <c r="RQD275" s="227"/>
      <c r="RQE275" s="227"/>
      <c r="RQF275" s="227"/>
      <c r="RQG275" s="227"/>
      <c r="RQH275" s="227"/>
      <c r="RQI275" s="227"/>
      <c r="RQJ275" s="227"/>
      <c r="RQK275" s="227"/>
      <c r="RQL275" s="227"/>
      <c r="RQM275" s="227"/>
      <c r="RQN275" s="227"/>
      <c r="RQO275" s="227"/>
      <c r="RQP275" s="227"/>
      <c r="RQQ275" s="227"/>
      <c r="RQR275" s="227"/>
      <c r="RQS275" s="227"/>
      <c r="RQT275" s="227"/>
      <c r="RQU275" s="227"/>
      <c r="RQV275" s="227"/>
      <c r="RQW275" s="227"/>
      <c r="RQX275" s="227"/>
      <c r="RQY275" s="227"/>
      <c r="RQZ275" s="227"/>
      <c r="RRA275" s="227"/>
      <c r="RRB275" s="227"/>
      <c r="RRC275" s="227"/>
      <c r="RRD275" s="227"/>
      <c r="RRE275" s="227"/>
      <c r="RRF275" s="227"/>
      <c r="RRG275" s="227"/>
      <c r="RRH275" s="227"/>
      <c r="RRI275" s="227"/>
      <c r="RRJ275" s="227"/>
      <c r="RRK275" s="227"/>
      <c r="RRL275" s="227"/>
      <c r="RRM275" s="227"/>
      <c r="RRN275" s="227"/>
      <c r="RRO275" s="227"/>
      <c r="RRP275" s="227"/>
      <c r="RRQ275" s="227"/>
      <c r="RRR275" s="227"/>
      <c r="RRS275" s="227"/>
      <c r="RRT275" s="227"/>
      <c r="RRU275" s="227"/>
      <c r="RRV275" s="227"/>
      <c r="RRW275" s="227"/>
      <c r="RRX275" s="227"/>
      <c r="RRY275" s="227"/>
      <c r="RRZ275" s="227"/>
      <c r="RSA275" s="227"/>
      <c r="RSB275" s="227"/>
      <c r="RSC275" s="227"/>
      <c r="RSD275" s="227"/>
      <c r="RSE275" s="227"/>
      <c r="RSF275" s="227"/>
      <c r="RSG275" s="227"/>
      <c r="RSH275" s="227"/>
      <c r="RSI275" s="227"/>
      <c r="RSJ275" s="227"/>
      <c r="RSK275" s="227"/>
      <c r="RSL275" s="227"/>
      <c r="RSM275" s="227"/>
      <c r="RSN275" s="227"/>
      <c r="RSO275" s="227"/>
      <c r="RSP275" s="227"/>
      <c r="RSQ275" s="227"/>
      <c r="RSR275" s="227"/>
      <c r="RSS275" s="227"/>
      <c r="RST275" s="227"/>
      <c r="RSU275" s="227"/>
      <c r="RSV275" s="227"/>
      <c r="RSW275" s="227"/>
      <c r="RSX275" s="227"/>
      <c r="RSY275" s="227"/>
      <c r="RSZ275" s="227"/>
      <c r="RTA275" s="227"/>
      <c r="RTB275" s="227"/>
      <c r="RTC275" s="227"/>
      <c r="RTD275" s="227"/>
      <c r="RTE275" s="227"/>
      <c r="RTF275" s="227"/>
      <c r="RTG275" s="227"/>
      <c r="RTH275" s="227"/>
      <c r="RTI275" s="227"/>
      <c r="RTJ275" s="227"/>
      <c r="RTK275" s="227"/>
      <c r="RTL275" s="227"/>
      <c r="RTM275" s="227"/>
      <c r="RTN275" s="227"/>
      <c r="RTO275" s="227"/>
      <c r="RTP275" s="227"/>
      <c r="RTQ275" s="227"/>
      <c r="RTR275" s="227"/>
      <c r="RTS275" s="227"/>
      <c r="RTT275" s="227"/>
      <c r="RTU275" s="227"/>
      <c r="RTV275" s="227"/>
      <c r="RTW275" s="227"/>
      <c r="RTX275" s="227"/>
      <c r="RTY275" s="227"/>
      <c r="RTZ275" s="227"/>
      <c r="RUA275" s="227"/>
      <c r="RUB275" s="227"/>
      <c r="RUC275" s="227"/>
      <c r="RUD275" s="227"/>
      <c r="RUE275" s="227"/>
      <c r="RUF275" s="227"/>
      <c r="RUG275" s="227"/>
      <c r="RUH275" s="227"/>
      <c r="RUI275" s="227"/>
      <c r="RUJ275" s="227"/>
      <c r="RUK275" s="227"/>
      <c r="RUL275" s="227"/>
      <c r="RUM275" s="227"/>
      <c r="RUN275" s="227"/>
      <c r="RUO275" s="227"/>
      <c r="RUP275" s="227"/>
      <c r="RUQ275" s="227"/>
      <c r="RUR275" s="227"/>
      <c r="RUS275" s="227"/>
      <c r="RUT275" s="227"/>
      <c r="RUU275" s="227"/>
      <c r="RUV275" s="227"/>
      <c r="RUW275" s="227"/>
      <c r="RUX275" s="227"/>
      <c r="RUY275" s="227"/>
      <c r="RUZ275" s="227"/>
      <c r="RVA275" s="227"/>
      <c r="RVB275" s="227"/>
      <c r="RVC275" s="227"/>
      <c r="RVD275" s="227"/>
      <c r="RVE275" s="227"/>
      <c r="RVF275" s="227"/>
      <c r="RVG275" s="227"/>
      <c r="RVH275" s="227"/>
      <c r="RVI275" s="227"/>
      <c r="RVJ275" s="227"/>
      <c r="RVK275" s="227"/>
      <c r="RVL275" s="227"/>
      <c r="RVM275" s="227"/>
      <c r="RVN275" s="227"/>
      <c r="RVO275" s="227"/>
      <c r="RVP275" s="227"/>
      <c r="RVQ275" s="227"/>
      <c r="RVR275" s="227"/>
      <c r="RVS275" s="227"/>
      <c r="RVT275" s="227"/>
      <c r="RVU275" s="227"/>
      <c r="RVV275" s="227"/>
      <c r="RVW275" s="227"/>
      <c r="RVX275" s="227"/>
      <c r="RVY275" s="227"/>
      <c r="RVZ275" s="227"/>
      <c r="RWA275" s="227"/>
      <c r="RWB275" s="227"/>
      <c r="RWC275" s="227"/>
      <c r="RWD275" s="227"/>
      <c r="RWE275" s="227"/>
      <c r="RWF275" s="227"/>
      <c r="RWG275" s="227"/>
      <c r="RWH275" s="227"/>
      <c r="RWI275" s="227"/>
      <c r="RWJ275" s="227"/>
      <c r="RWK275" s="227"/>
      <c r="RWL275" s="227"/>
      <c r="RWM275" s="227"/>
      <c r="RWN275" s="227"/>
      <c r="RWO275" s="227"/>
      <c r="RWP275" s="227"/>
      <c r="RWQ275" s="227"/>
      <c r="RWR275" s="227"/>
      <c r="RWS275" s="227"/>
      <c r="RWT275" s="227"/>
      <c r="RWU275" s="227"/>
      <c r="RWV275" s="227"/>
      <c r="RWW275" s="227"/>
      <c r="RWX275" s="227"/>
      <c r="RWY275" s="227"/>
      <c r="RWZ275" s="227"/>
      <c r="RXA275" s="227"/>
      <c r="RXB275" s="227"/>
      <c r="RXC275" s="227"/>
      <c r="RXD275" s="227"/>
      <c r="RXE275" s="227"/>
      <c r="RXF275" s="227"/>
      <c r="RXG275" s="227"/>
      <c r="RXH275" s="227"/>
      <c r="RXI275" s="227"/>
      <c r="RXJ275" s="227"/>
      <c r="RXK275" s="227"/>
      <c r="RXL275" s="227"/>
      <c r="RXM275" s="227"/>
      <c r="RXN275" s="227"/>
      <c r="RXO275" s="227"/>
      <c r="RXP275" s="227"/>
      <c r="RXQ275" s="227"/>
      <c r="RXR275" s="227"/>
      <c r="RXS275" s="227"/>
      <c r="RXT275" s="227"/>
      <c r="RXU275" s="227"/>
      <c r="RXV275" s="227"/>
      <c r="RXW275" s="227"/>
      <c r="RXX275" s="227"/>
      <c r="RXY275" s="227"/>
      <c r="RXZ275" s="227"/>
      <c r="RYA275" s="227"/>
      <c r="RYB275" s="227"/>
      <c r="RYC275" s="227"/>
      <c r="RYD275" s="227"/>
      <c r="RYE275" s="227"/>
      <c r="RYF275" s="227"/>
      <c r="RYG275" s="227"/>
      <c r="RYH275" s="227"/>
      <c r="RYI275" s="227"/>
      <c r="RYJ275" s="227"/>
      <c r="RYK275" s="227"/>
      <c r="RYL275" s="227"/>
      <c r="RYM275" s="227"/>
      <c r="RYN275" s="227"/>
      <c r="RYO275" s="227"/>
      <c r="RYP275" s="227"/>
      <c r="RYQ275" s="227"/>
      <c r="RYR275" s="227"/>
      <c r="RYS275" s="227"/>
      <c r="RYT275" s="227"/>
      <c r="RYU275" s="227"/>
      <c r="RYV275" s="227"/>
      <c r="RYW275" s="227"/>
      <c r="RYX275" s="227"/>
      <c r="RYY275" s="227"/>
      <c r="RYZ275" s="227"/>
      <c r="RZA275" s="227"/>
      <c r="RZB275" s="227"/>
      <c r="RZC275" s="227"/>
      <c r="RZD275" s="227"/>
      <c r="RZE275" s="227"/>
      <c r="RZF275" s="227"/>
      <c r="RZG275" s="227"/>
      <c r="RZH275" s="227"/>
      <c r="RZI275" s="227"/>
      <c r="RZJ275" s="227"/>
      <c r="RZK275" s="227"/>
      <c r="RZL275" s="227"/>
      <c r="RZM275" s="227"/>
      <c r="RZN275" s="227"/>
      <c r="RZO275" s="227"/>
      <c r="RZP275" s="227"/>
      <c r="RZQ275" s="227"/>
      <c r="RZR275" s="227"/>
      <c r="RZS275" s="227"/>
      <c r="RZT275" s="227"/>
      <c r="RZU275" s="227"/>
      <c r="RZV275" s="227"/>
      <c r="RZW275" s="227"/>
      <c r="RZX275" s="227"/>
      <c r="RZY275" s="227"/>
      <c r="RZZ275" s="227"/>
      <c r="SAA275" s="227"/>
      <c r="SAB275" s="227"/>
      <c r="SAC275" s="227"/>
      <c r="SAD275" s="227"/>
      <c r="SAE275" s="227"/>
      <c r="SAF275" s="227"/>
      <c r="SAG275" s="227"/>
      <c r="SAH275" s="227"/>
      <c r="SAI275" s="227"/>
      <c r="SAJ275" s="227"/>
      <c r="SAK275" s="227"/>
      <c r="SAL275" s="227"/>
      <c r="SAM275" s="227"/>
      <c r="SAN275" s="227"/>
      <c r="SAO275" s="227"/>
      <c r="SAP275" s="227"/>
      <c r="SAQ275" s="227"/>
      <c r="SAR275" s="227"/>
      <c r="SAS275" s="227"/>
      <c r="SAT275" s="227"/>
      <c r="SAU275" s="227"/>
      <c r="SAV275" s="227"/>
      <c r="SAW275" s="227"/>
      <c r="SAX275" s="227"/>
      <c r="SAY275" s="227"/>
      <c r="SAZ275" s="227"/>
      <c r="SBA275" s="227"/>
      <c r="SBB275" s="227"/>
      <c r="SBC275" s="227"/>
      <c r="SBD275" s="227"/>
      <c r="SBE275" s="227"/>
      <c r="SBF275" s="227"/>
      <c r="SBG275" s="227"/>
      <c r="SBH275" s="227"/>
      <c r="SBI275" s="227"/>
      <c r="SBJ275" s="227"/>
      <c r="SBK275" s="227"/>
      <c r="SBL275" s="227"/>
      <c r="SBM275" s="227"/>
      <c r="SBN275" s="227"/>
      <c r="SBO275" s="227"/>
      <c r="SBP275" s="227"/>
      <c r="SBQ275" s="227"/>
      <c r="SBR275" s="227"/>
      <c r="SBS275" s="227"/>
      <c r="SBT275" s="227"/>
      <c r="SBU275" s="227"/>
      <c r="SBV275" s="227"/>
      <c r="SBW275" s="227"/>
      <c r="SBX275" s="227"/>
      <c r="SBY275" s="227"/>
      <c r="SBZ275" s="227"/>
      <c r="SCA275" s="227"/>
      <c r="SCB275" s="227"/>
      <c r="SCC275" s="227"/>
      <c r="SCD275" s="227"/>
      <c r="SCE275" s="227"/>
      <c r="SCF275" s="227"/>
      <c r="SCG275" s="227"/>
      <c r="SCH275" s="227"/>
      <c r="SCI275" s="227"/>
      <c r="SCJ275" s="227"/>
      <c r="SCK275" s="227"/>
      <c r="SCL275" s="227"/>
      <c r="SCM275" s="227"/>
      <c r="SCN275" s="227"/>
      <c r="SCO275" s="227"/>
      <c r="SCP275" s="227"/>
      <c r="SCQ275" s="227"/>
      <c r="SCR275" s="227"/>
      <c r="SCS275" s="227"/>
      <c r="SCT275" s="227"/>
      <c r="SCU275" s="227"/>
      <c r="SCV275" s="227"/>
      <c r="SCW275" s="227"/>
      <c r="SCX275" s="227"/>
      <c r="SCY275" s="227"/>
      <c r="SCZ275" s="227"/>
      <c r="SDA275" s="227"/>
      <c r="SDB275" s="227"/>
      <c r="SDC275" s="227"/>
      <c r="SDD275" s="227"/>
      <c r="SDE275" s="227"/>
      <c r="SDF275" s="227"/>
      <c r="SDG275" s="227"/>
      <c r="SDH275" s="227"/>
      <c r="SDI275" s="227"/>
      <c r="SDJ275" s="227"/>
      <c r="SDK275" s="227"/>
      <c r="SDL275" s="227"/>
      <c r="SDM275" s="227"/>
      <c r="SDN275" s="227"/>
      <c r="SDO275" s="227"/>
      <c r="SDP275" s="227"/>
      <c r="SDQ275" s="227"/>
      <c r="SDR275" s="227"/>
      <c r="SDS275" s="227"/>
      <c r="SDT275" s="227"/>
      <c r="SDU275" s="227"/>
      <c r="SDV275" s="227"/>
      <c r="SDW275" s="227"/>
      <c r="SDX275" s="227"/>
      <c r="SDY275" s="227"/>
      <c r="SDZ275" s="227"/>
      <c r="SEA275" s="227"/>
      <c r="SEB275" s="227"/>
      <c r="SEC275" s="227"/>
      <c r="SED275" s="227"/>
      <c r="SEE275" s="227"/>
      <c r="SEF275" s="227"/>
      <c r="SEG275" s="227"/>
      <c r="SEH275" s="227"/>
      <c r="SEI275" s="227"/>
      <c r="SEJ275" s="227"/>
      <c r="SEK275" s="227"/>
      <c r="SEL275" s="227"/>
      <c r="SEM275" s="227"/>
      <c r="SEN275" s="227"/>
      <c r="SEO275" s="227"/>
      <c r="SEP275" s="227"/>
      <c r="SEQ275" s="227"/>
      <c r="SER275" s="227"/>
      <c r="SES275" s="227"/>
      <c r="SET275" s="227"/>
      <c r="SEU275" s="227"/>
      <c r="SEV275" s="227"/>
      <c r="SEW275" s="227"/>
      <c r="SEX275" s="227"/>
      <c r="SEY275" s="227"/>
      <c r="SEZ275" s="227"/>
      <c r="SFA275" s="227"/>
      <c r="SFB275" s="227"/>
      <c r="SFC275" s="227"/>
      <c r="SFD275" s="227"/>
      <c r="SFE275" s="227"/>
      <c r="SFF275" s="227"/>
      <c r="SFG275" s="227"/>
      <c r="SFH275" s="227"/>
      <c r="SFI275" s="227"/>
      <c r="SFJ275" s="227"/>
      <c r="SFK275" s="227"/>
      <c r="SFL275" s="227"/>
      <c r="SFM275" s="227"/>
      <c r="SFN275" s="227"/>
      <c r="SFO275" s="227"/>
      <c r="SFP275" s="227"/>
      <c r="SFQ275" s="227"/>
      <c r="SFR275" s="227"/>
      <c r="SFS275" s="227"/>
      <c r="SFT275" s="227"/>
      <c r="SFU275" s="227"/>
      <c r="SFV275" s="227"/>
      <c r="SFW275" s="227"/>
      <c r="SFX275" s="227"/>
      <c r="SFY275" s="227"/>
      <c r="SFZ275" s="227"/>
      <c r="SGA275" s="227"/>
      <c r="SGB275" s="227"/>
      <c r="SGC275" s="227"/>
      <c r="SGD275" s="227"/>
      <c r="SGE275" s="227"/>
      <c r="SGF275" s="227"/>
      <c r="SGG275" s="227"/>
      <c r="SGH275" s="227"/>
      <c r="SGI275" s="227"/>
      <c r="SGJ275" s="227"/>
      <c r="SGK275" s="227"/>
      <c r="SGL275" s="227"/>
      <c r="SGM275" s="227"/>
      <c r="SGN275" s="227"/>
      <c r="SGO275" s="227"/>
      <c r="SGP275" s="227"/>
      <c r="SGQ275" s="227"/>
      <c r="SGR275" s="227"/>
      <c r="SGS275" s="227"/>
      <c r="SGT275" s="227"/>
      <c r="SGU275" s="227"/>
      <c r="SGV275" s="227"/>
      <c r="SGW275" s="227"/>
      <c r="SGX275" s="227"/>
      <c r="SGY275" s="227"/>
      <c r="SGZ275" s="227"/>
      <c r="SHA275" s="227"/>
      <c r="SHB275" s="227"/>
      <c r="SHC275" s="227"/>
      <c r="SHD275" s="227"/>
      <c r="SHE275" s="227"/>
      <c r="SHF275" s="227"/>
      <c r="SHG275" s="227"/>
      <c r="SHH275" s="227"/>
      <c r="SHI275" s="227"/>
      <c r="SHJ275" s="227"/>
      <c r="SHK275" s="227"/>
      <c r="SHL275" s="227"/>
      <c r="SHM275" s="227"/>
      <c r="SHN275" s="227"/>
      <c r="SHO275" s="227"/>
      <c r="SHP275" s="227"/>
      <c r="SHQ275" s="227"/>
      <c r="SHR275" s="227"/>
      <c r="SHS275" s="227"/>
      <c r="SHT275" s="227"/>
      <c r="SHU275" s="227"/>
      <c r="SHV275" s="227"/>
      <c r="SHW275" s="227"/>
      <c r="SHX275" s="227"/>
      <c r="SHY275" s="227"/>
      <c r="SHZ275" s="227"/>
      <c r="SIA275" s="227"/>
      <c r="SIB275" s="227"/>
      <c r="SIC275" s="227"/>
      <c r="SID275" s="227"/>
      <c r="SIE275" s="227"/>
      <c r="SIF275" s="227"/>
      <c r="SIG275" s="227"/>
      <c r="SIH275" s="227"/>
      <c r="SII275" s="227"/>
      <c r="SIJ275" s="227"/>
      <c r="SIK275" s="227"/>
      <c r="SIL275" s="227"/>
      <c r="SIM275" s="227"/>
      <c r="SIN275" s="227"/>
      <c r="SIO275" s="227"/>
      <c r="SIP275" s="227"/>
      <c r="SIQ275" s="227"/>
      <c r="SIR275" s="227"/>
      <c r="SIS275" s="227"/>
      <c r="SIT275" s="227"/>
      <c r="SIU275" s="227"/>
      <c r="SIV275" s="227"/>
      <c r="SIW275" s="227"/>
      <c r="SIX275" s="227"/>
      <c r="SIY275" s="227"/>
      <c r="SIZ275" s="227"/>
      <c r="SJA275" s="227"/>
      <c r="SJB275" s="227"/>
      <c r="SJC275" s="227"/>
      <c r="SJD275" s="227"/>
      <c r="SJE275" s="227"/>
      <c r="SJF275" s="227"/>
      <c r="SJG275" s="227"/>
      <c r="SJH275" s="227"/>
      <c r="SJI275" s="227"/>
      <c r="SJJ275" s="227"/>
      <c r="SJK275" s="227"/>
      <c r="SJL275" s="227"/>
      <c r="SJM275" s="227"/>
      <c r="SJN275" s="227"/>
      <c r="SJO275" s="227"/>
      <c r="SJP275" s="227"/>
      <c r="SJQ275" s="227"/>
      <c r="SJR275" s="227"/>
      <c r="SJS275" s="227"/>
      <c r="SJT275" s="227"/>
      <c r="SJU275" s="227"/>
      <c r="SJV275" s="227"/>
      <c r="SJW275" s="227"/>
      <c r="SJX275" s="227"/>
      <c r="SJY275" s="227"/>
      <c r="SJZ275" s="227"/>
      <c r="SKA275" s="227"/>
      <c r="SKB275" s="227"/>
      <c r="SKC275" s="227"/>
      <c r="SKD275" s="227"/>
      <c r="SKE275" s="227"/>
      <c r="SKF275" s="227"/>
      <c r="SKG275" s="227"/>
      <c r="SKH275" s="227"/>
      <c r="SKI275" s="227"/>
      <c r="SKJ275" s="227"/>
      <c r="SKK275" s="227"/>
      <c r="SKL275" s="227"/>
      <c r="SKM275" s="227"/>
      <c r="SKN275" s="227"/>
      <c r="SKO275" s="227"/>
      <c r="SKP275" s="227"/>
      <c r="SKQ275" s="227"/>
      <c r="SKR275" s="227"/>
      <c r="SKS275" s="227"/>
      <c r="SKT275" s="227"/>
      <c r="SKU275" s="227"/>
      <c r="SKV275" s="227"/>
      <c r="SKW275" s="227"/>
      <c r="SKX275" s="227"/>
      <c r="SKY275" s="227"/>
      <c r="SKZ275" s="227"/>
      <c r="SLA275" s="227"/>
      <c r="SLB275" s="227"/>
      <c r="SLC275" s="227"/>
      <c r="SLD275" s="227"/>
      <c r="SLE275" s="227"/>
      <c r="SLF275" s="227"/>
      <c r="SLG275" s="227"/>
      <c r="SLH275" s="227"/>
      <c r="SLI275" s="227"/>
      <c r="SLJ275" s="227"/>
      <c r="SLK275" s="227"/>
      <c r="SLL275" s="227"/>
      <c r="SLM275" s="227"/>
      <c r="SLN275" s="227"/>
      <c r="SLO275" s="227"/>
      <c r="SLP275" s="227"/>
      <c r="SLQ275" s="227"/>
      <c r="SLR275" s="227"/>
      <c r="SLS275" s="227"/>
      <c r="SLT275" s="227"/>
      <c r="SLU275" s="227"/>
      <c r="SLV275" s="227"/>
      <c r="SLW275" s="227"/>
      <c r="SLX275" s="227"/>
      <c r="SLY275" s="227"/>
      <c r="SLZ275" s="227"/>
      <c r="SMA275" s="227"/>
      <c r="SMB275" s="227"/>
      <c r="SMC275" s="227"/>
      <c r="SMD275" s="227"/>
      <c r="SME275" s="227"/>
      <c r="SMF275" s="227"/>
      <c r="SMG275" s="227"/>
      <c r="SMH275" s="227"/>
      <c r="SMI275" s="227"/>
      <c r="SMJ275" s="227"/>
      <c r="SMK275" s="227"/>
      <c r="SML275" s="227"/>
      <c r="SMM275" s="227"/>
      <c r="SMN275" s="227"/>
      <c r="SMO275" s="227"/>
      <c r="SMP275" s="227"/>
      <c r="SMQ275" s="227"/>
      <c r="SMR275" s="227"/>
      <c r="SMS275" s="227"/>
      <c r="SMT275" s="227"/>
      <c r="SMU275" s="227"/>
      <c r="SMV275" s="227"/>
      <c r="SMW275" s="227"/>
      <c r="SMX275" s="227"/>
      <c r="SMY275" s="227"/>
      <c r="SMZ275" s="227"/>
      <c r="SNA275" s="227"/>
      <c r="SNB275" s="227"/>
      <c r="SNC275" s="227"/>
      <c r="SND275" s="227"/>
      <c r="SNE275" s="227"/>
      <c r="SNF275" s="227"/>
      <c r="SNG275" s="227"/>
      <c r="SNH275" s="227"/>
      <c r="SNI275" s="227"/>
      <c r="SNJ275" s="227"/>
      <c r="SNK275" s="227"/>
      <c r="SNL275" s="227"/>
      <c r="SNM275" s="227"/>
      <c r="SNN275" s="227"/>
      <c r="SNO275" s="227"/>
      <c r="SNP275" s="227"/>
      <c r="SNQ275" s="227"/>
      <c r="SNR275" s="227"/>
      <c r="SNS275" s="227"/>
      <c r="SNT275" s="227"/>
      <c r="SNU275" s="227"/>
      <c r="SNV275" s="227"/>
      <c r="SNW275" s="227"/>
      <c r="SNX275" s="227"/>
      <c r="SNY275" s="227"/>
      <c r="SNZ275" s="227"/>
      <c r="SOA275" s="227"/>
      <c r="SOB275" s="227"/>
      <c r="SOC275" s="227"/>
      <c r="SOD275" s="227"/>
      <c r="SOE275" s="227"/>
      <c r="SOF275" s="227"/>
      <c r="SOG275" s="227"/>
      <c r="SOH275" s="227"/>
      <c r="SOI275" s="227"/>
      <c r="SOJ275" s="227"/>
      <c r="SOK275" s="227"/>
      <c r="SOL275" s="227"/>
      <c r="SOM275" s="227"/>
      <c r="SON275" s="227"/>
      <c r="SOO275" s="227"/>
      <c r="SOP275" s="227"/>
      <c r="SOQ275" s="227"/>
      <c r="SOR275" s="227"/>
      <c r="SOS275" s="227"/>
      <c r="SOT275" s="227"/>
      <c r="SOU275" s="227"/>
      <c r="SOV275" s="227"/>
      <c r="SOW275" s="227"/>
      <c r="SOX275" s="227"/>
      <c r="SOY275" s="227"/>
      <c r="SOZ275" s="227"/>
      <c r="SPA275" s="227"/>
      <c r="SPB275" s="227"/>
      <c r="SPC275" s="227"/>
      <c r="SPD275" s="227"/>
      <c r="SPE275" s="227"/>
      <c r="SPF275" s="227"/>
      <c r="SPG275" s="227"/>
      <c r="SPH275" s="227"/>
      <c r="SPI275" s="227"/>
      <c r="SPJ275" s="227"/>
      <c r="SPK275" s="227"/>
      <c r="SPL275" s="227"/>
      <c r="SPM275" s="227"/>
      <c r="SPN275" s="227"/>
      <c r="SPO275" s="227"/>
      <c r="SPP275" s="227"/>
      <c r="SPQ275" s="227"/>
      <c r="SPR275" s="227"/>
      <c r="SPS275" s="227"/>
      <c r="SPT275" s="227"/>
      <c r="SPU275" s="227"/>
      <c r="SPV275" s="227"/>
      <c r="SPW275" s="227"/>
      <c r="SPX275" s="227"/>
      <c r="SPY275" s="227"/>
      <c r="SPZ275" s="227"/>
      <c r="SQA275" s="227"/>
      <c r="SQB275" s="227"/>
      <c r="SQC275" s="227"/>
      <c r="SQD275" s="227"/>
      <c r="SQE275" s="227"/>
      <c r="SQF275" s="227"/>
      <c r="SQG275" s="227"/>
      <c r="SQH275" s="227"/>
      <c r="SQI275" s="227"/>
      <c r="SQJ275" s="227"/>
      <c r="SQK275" s="227"/>
      <c r="SQL275" s="227"/>
      <c r="SQM275" s="227"/>
      <c r="SQN275" s="227"/>
      <c r="SQO275" s="227"/>
      <c r="SQP275" s="227"/>
      <c r="SQQ275" s="227"/>
      <c r="SQR275" s="227"/>
      <c r="SQS275" s="227"/>
      <c r="SQT275" s="227"/>
      <c r="SQU275" s="227"/>
      <c r="SQV275" s="227"/>
      <c r="SQW275" s="227"/>
      <c r="SQX275" s="227"/>
      <c r="SQY275" s="227"/>
      <c r="SQZ275" s="227"/>
      <c r="SRA275" s="227"/>
      <c r="SRB275" s="227"/>
      <c r="SRC275" s="227"/>
      <c r="SRD275" s="227"/>
      <c r="SRE275" s="227"/>
      <c r="SRF275" s="227"/>
      <c r="SRG275" s="227"/>
      <c r="SRH275" s="227"/>
      <c r="SRI275" s="227"/>
      <c r="SRJ275" s="227"/>
      <c r="SRK275" s="227"/>
      <c r="SRL275" s="227"/>
      <c r="SRM275" s="227"/>
      <c r="SRN275" s="227"/>
      <c r="SRO275" s="227"/>
      <c r="SRP275" s="227"/>
      <c r="SRQ275" s="227"/>
      <c r="SRR275" s="227"/>
      <c r="SRS275" s="227"/>
      <c r="SRT275" s="227"/>
      <c r="SRU275" s="227"/>
      <c r="SRV275" s="227"/>
      <c r="SRW275" s="227"/>
      <c r="SRX275" s="227"/>
      <c r="SRY275" s="227"/>
      <c r="SRZ275" s="227"/>
      <c r="SSA275" s="227"/>
      <c r="SSB275" s="227"/>
      <c r="SSC275" s="227"/>
      <c r="SSD275" s="227"/>
      <c r="SSE275" s="227"/>
      <c r="SSF275" s="227"/>
      <c r="SSG275" s="227"/>
      <c r="SSH275" s="227"/>
      <c r="SSI275" s="227"/>
      <c r="SSJ275" s="227"/>
      <c r="SSK275" s="227"/>
      <c r="SSL275" s="227"/>
      <c r="SSM275" s="227"/>
      <c r="SSN275" s="227"/>
      <c r="SSO275" s="227"/>
      <c r="SSP275" s="227"/>
      <c r="SSQ275" s="227"/>
      <c r="SSR275" s="227"/>
      <c r="SSS275" s="227"/>
      <c r="SST275" s="227"/>
      <c r="SSU275" s="227"/>
      <c r="SSV275" s="227"/>
      <c r="SSW275" s="227"/>
      <c r="SSX275" s="227"/>
      <c r="SSY275" s="227"/>
      <c r="SSZ275" s="227"/>
      <c r="STA275" s="227"/>
      <c r="STB275" s="227"/>
      <c r="STC275" s="227"/>
      <c r="STD275" s="227"/>
      <c r="STE275" s="227"/>
      <c r="STF275" s="227"/>
      <c r="STG275" s="227"/>
      <c r="STH275" s="227"/>
      <c r="STI275" s="227"/>
      <c r="STJ275" s="227"/>
      <c r="STK275" s="227"/>
      <c r="STL275" s="227"/>
      <c r="STM275" s="227"/>
      <c r="STN275" s="227"/>
      <c r="STO275" s="227"/>
      <c r="STP275" s="227"/>
      <c r="STQ275" s="227"/>
      <c r="STR275" s="227"/>
      <c r="STS275" s="227"/>
      <c r="STT275" s="227"/>
      <c r="STU275" s="227"/>
      <c r="STV275" s="227"/>
      <c r="STW275" s="227"/>
      <c r="STX275" s="227"/>
      <c r="STY275" s="227"/>
      <c r="STZ275" s="227"/>
      <c r="SUA275" s="227"/>
      <c r="SUB275" s="227"/>
      <c r="SUC275" s="227"/>
      <c r="SUD275" s="227"/>
      <c r="SUE275" s="227"/>
      <c r="SUF275" s="227"/>
      <c r="SUG275" s="227"/>
      <c r="SUH275" s="227"/>
      <c r="SUI275" s="227"/>
      <c r="SUJ275" s="227"/>
      <c r="SUK275" s="227"/>
      <c r="SUL275" s="227"/>
      <c r="SUM275" s="227"/>
      <c r="SUN275" s="227"/>
      <c r="SUO275" s="227"/>
      <c r="SUP275" s="227"/>
      <c r="SUQ275" s="227"/>
      <c r="SUR275" s="227"/>
      <c r="SUS275" s="227"/>
      <c r="SUT275" s="227"/>
      <c r="SUU275" s="227"/>
      <c r="SUV275" s="227"/>
      <c r="SUW275" s="227"/>
      <c r="SUX275" s="227"/>
      <c r="SUY275" s="227"/>
      <c r="SUZ275" s="227"/>
      <c r="SVA275" s="227"/>
      <c r="SVB275" s="227"/>
      <c r="SVC275" s="227"/>
      <c r="SVD275" s="227"/>
      <c r="SVE275" s="227"/>
      <c r="SVF275" s="227"/>
      <c r="SVG275" s="227"/>
      <c r="SVH275" s="227"/>
      <c r="SVI275" s="227"/>
      <c r="SVJ275" s="227"/>
      <c r="SVK275" s="227"/>
      <c r="SVL275" s="227"/>
      <c r="SVM275" s="227"/>
      <c r="SVN275" s="227"/>
      <c r="SVO275" s="227"/>
      <c r="SVP275" s="227"/>
      <c r="SVQ275" s="227"/>
      <c r="SVR275" s="227"/>
      <c r="SVS275" s="227"/>
      <c r="SVT275" s="227"/>
      <c r="SVU275" s="227"/>
      <c r="SVV275" s="227"/>
      <c r="SVW275" s="227"/>
      <c r="SVX275" s="227"/>
      <c r="SVY275" s="227"/>
      <c r="SVZ275" s="227"/>
      <c r="SWA275" s="227"/>
      <c r="SWB275" s="227"/>
      <c r="SWC275" s="227"/>
      <c r="SWD275" s="227"/>
      <c r="SWE275" s="227"/>
      <c r="SWF275" s="227"/>
      <c r="SWG275" s="227"/>
      <c r="SWH275" s="227"/>
      <c r="SWI275" s="227"/>
      <c r="SWJ275" s="227"/>
      <c r="SWK275" s="227"/>
      <c r="SWL275" s="227"/>
      <c r="SWM275" s="227"/>
      <c r="SWN275" s="227"/>
      <c r="SWO275" s="227"/>
      <c r="SWP275" s="227"/>
      <c r="SWQ275" s="227"/>
      <c r="SWR275" s="227"/>
      <c r="SWS275" s="227"/>
      <c r="SWT275" s="227"/>
      <c r="SWU275" s="227"/>
      <c r="SWV275" s="227"/>
      <c r="SWW275" s="227"/>
      <c r="SWX275" s="227"/>
      <c r="SWY275" s="227"/>
      <c r="SWZ275" s="227"/>
      <c r="SXA275" s="227"/>
      <c r="SXB275" s="227"/>
      <c r="SXC275" s="227"/>
      <c r="SXD275" s="227"/>
      <c r="SXE275" s="227"/>
      <c r="SXF275" s="227"/>
      <c r="SXG275" s="227"/>
      <c r="SXH275" s="227"/>
      <c r="SXI275" s="227"/>
      <c r="SXJ275" s="227"/>
      <c r="SXK275" s="227"/>
      <c r="SXL275" s="227"/>
      <c r="SXM275" s="227"/>
      <c r="SXN275" s="227"/>
      <c r="SXO275" s="227"/>
      <c r="SXP275" s="227"/>
      <c r="SXQ275" s="227"/>
      <c r="SXR275" s="227"/>
      <c r="SXS275" s="227"/>
      <c r="SXT275" s="227"/>
      <c r="SXU275" s="227"/>
      <c r="SXV275" s="227"/>
      <c r="SXW275" s="227"/>
      <c r="SXX275" s="227"/>
      <c r="SXY275" s="227"/>
      <c r="SXZ275" s="227"/>
      <c r="SYA275" s="227"/>
      <c r="SYB275" s="227"/>
      <c r="SYC275" s="227"/>
      <c r="SYD275" s="227"/>
      <c r="SYE275" s="227"/>
      <c r="SYF275" s="227"/>
      <c r="SYG275" s="227"/>
      <c r="SYH275" s="227"/>
      <c r="SYI275" s="227"/>
      <c r="SYJ275" s="227"/>
      <c r="SYK275" s="227"/>
      <c r="SYL275" s="227"/>
      <c r="SYM275" s="227"/>
      <c r="SYN275" s="227"/>
      <c r="SYO275" s="227"/>
      <c r="SYP275" s="227"/>
      <c r="SYQ275" s="227"/>
      <c r="SYR275" s="227"/>
      <c r="SYS275" s="227"/>
      <c r="SYT275" s="227"/>
      <c r="SYU275" s="227"/>
      <c r="SYV275" s="227"/>
      <c r="SYW275" s="227"/>
      <c r="SYX275" s="227"/>
      <c r="SYY275" s="227"/>
      <c r="SYZ275" s="227"/>
      <c r="SZA275" s="227"/>
      <c r="SZB275" s="227"/>
      <c r="SZC275" s="227"/>
      <c r="SZD275" s="227"/>
      <c r="SZE275" s="227"/>
      <c r="SZF275" s="227"/>
      <c r="SZG275" s="227"/>
      <c r="SZH275" s="227"/>
      <c r="SZI275" s="227"/>
      <c r="SZJ275" s="227"/>
      <c r="SZK275" s="227"/>
      <c r="SZL275" s="227"/>
      <c r="SZM275" s="227"/>
      <c r="SZN275" s="227"/>
      <c r="SZO275" s="227"/>
      <c r="SZP275" s="227"/>
      <c r="SZQ275" s="227"/>
      <c r="SZR275" s="227"/>
      <c r="SZS275" s="227"/>
      <c r="SZT275" s="227"/>
      <c r="SZU275" s="227"/>
      <c r="SZV275" s="227"/>
      <c r="SZW275" s="227"/>
      <c r="SZX275" s="227"/>
      <c r="SZY275" s="227"/>
      <c r="SZZ275" s="227"/>
      <c r="TAA275" s="227"/>
      <c r="TAB275" s="227"/>
      <c r="TAC275" s="227"/>
      <c r="TAD275" s="227"/>
      <c r="TAE275" s="227"/>
      <c r="TAF275" s="227"/>
      <c r="TAG275" s="227"/>
      <c r="TAH275" s="227"/>
      <c r="TAI275" s="227"/>
      <c r="TAJ275" s="227"/>
      <c r="TAK275" s="227"/>
      <c r="TAL275" s="227"/>
      <c r="TAM275" s="227"/>
      <c r="TAN275" s="227"/>
      <c r="TAO275" s="227"/>
      <c r="TAP275" s="227"/>
      <c r="TAQ275" s="227"/>
      <c r="TAR275" s="227"/>
      <c r="TAS275" s="227"/>
      <c r="TAT275" s="227"/>
      <c r="TAU275" s="227"/>
      <c r="TAV275" s="227"/>
      <c r="TAW275" s="227"/>
      <c r="TAX275" s="227"/>
      <c r="TAY275" s="227"/>
      <c r="TAZ275" s="227"/>
      <c r="TBA275" s="227"/>
      <c r="TBB275" s="227"/>
      <c r="TBC275" s="227"/>
      <c r="TBD275" s="227"/>
      <c r="TBE275" s="227"/>
      <c r="TBF275" s="227"/>
      <c r="TBG275" s="227"/>
      <c r="TBH275" s="227"/>
      <c r="TBI275" s="227"/>
      <c r="TBJ275" s="227"/>
      <c r="TBK275" s="227"/>
      <c r="TBL275" s="227"/>
      <c r="TBM275" s="227"/>
      <c r="TBN275" s="227"/>
      <c r="TBO275" s="227"/>
      <c r="TBP275" s="227"/>
      <c r="TBQ275" s="227"/>
      <c r="TBR275" s="227"/>
      <c r="TBS275" s="227"/>
      <c r="TBT275" s="227"/>
      <c r="TBU275" s="227"/>
      <c r="TBV275" s="227"/>
      <c r="TBW275" s="227"/>
      <c r="TBX275" s="227"/>
      <c r="TBY275" s="227"/>
      <c r="TBZ275" s="227"/>
      <c r="TCA275" s="227"/>
      <c r="TCB275" s="227"/>
      <c r="TCC275" s="227"/>
      <c r="TCD275" s="227"/>
      <c r="TCE275" s="227"/>
      <c r="TCF275" s="227"/>
      <c r="TCG275" s="227"/>
      <c r="TCH275" s="227"/>
      <c r="TCI275" s="227"/>
      <c r="TCJ275" s="227"/>
      <c r="TCK275" s="227"/>
      <c r="TCL275" s="227"/>
      <c r="TCM275" s="227"/>
      <c r="TCN275" s="227"/>
      <c r="TCO275" s="227"/>
      <c r="TCP275" s="227"/>
      <c r="TCQ275" s="227"/>
      <c r="TCR275" s="227"/>
      <c r="TCS275" s="227"/>
      <c r="TCT275" s="227"/>
      <c r="TCU275" s="227"/>
      <c r="TCV275" s="227"/>
      <c r="TCW275" s="227"/>
      <c r="TCX275" s="227"/>
      <c r="TCY275" s="227"/>
      <c r="TCZ275" s="227"/>
      <c r="TDA275" s="227"/>
      <c r="TDB275" s="227"/>
      <c r="TDC275" s="227"/>
      <c r="TDD275" s="227"/>
      <c r="TDE275" s="227"/>
      <c r="TDF275" s="227"/>
      <c r="TDG275" s="227"/>
      <c r="TDH275" s="227"/>
      <c r="TDI275" s="227"/>
      <c r="TDJ275" s="227"/>
      <c r="TDK275" s="227"/>
      <c r="TDL275" s="227"/>
      <c r="TDM275" s="227"/>
      <c r="TDN275" s="227"/>
      <c r="TDO275" s="227"/>
      <c r="TDP275" s="227"/>
      <c r="TDQ275" s="227"/>
      <c r="TDR275" s="227"/>
      <c r="TDS275" s="227"/>
      <c r="TDT275" s="227"/>
      <c r="TDU275" s="227"/>
      <c r="TDV275" s="227"/>
      <c r="TDW275" s="227"/>
      <c r="TDX275" s="227"/>
      <c r="TDY275" s="227"/>
      <c r="TDZ275" s="227"/>
      <c r="TEA275" s="227"/>
      <c r="TEB275" s="227"/>
      <c r="TEC275" s="227"/>
      <c r="TED275" s="227"/>
      <c r="TEE275" s="227"/>
      <c r="TEF275" s="227"/>
      <c r="TEG275" s="227"/>
      <c r="TEH275" s="227"/>
      <c r="TEI275" s="227"/>
      <c r="TEJ275" s="227"/>
      <c r="TEK275" s="227"/>
      <c r="TEL275" s="227"/>
      <c r="TEM275" s="227"/>
      <c r="TEN275" s="227"/>
      <c r="TEO275" s="227"/>
      <c r="TEP275" s="227"/>
      <c r="TEQ275" s="227"/>
      <c r="TER275" s="227"/>
      <c r="TES275" s="227"/>
      <c r="TET275" s="227"/>
      <c r="TEU275" s="227"/>
      <c r="TEV275" s="227"/>
      <c r="TEW275" s="227"/>
      <c r="TEX275" s="227"/>
      <c r="TEY275" s="227"/>
      <c r="TEZ275" s="227"/>
      <c r="TFA275" s="227"/>
      <c r="TFB275" s="227"/>
      <c r="TFC275" s="227"/>
      <c r="TFD275" s="227"/>
      <c r="TFE275" s="227"/>
      <c r="TFF275" s="227"/>
      <c r="TFG275" s="227"/>
      <c r="TFH275" s="227"/>
      <c r="TFI275" s="227"/>
      <c r="TFJ275" s="227"/>
      <c r="TFK275" s="227"/>
      <c r="TFL275" s="227"/>
      <c r="TFM275" s="227"/>
      <c r="TFN275" s="227"/>
      <c r="TFO275" s="227"/>
      <c r="TFP275" s="227"/>
      <c r="TFQ275" s="227"/>
      <c r="TFR275" s="227"/>
      <c r="TFS275" s="227"/>
      <c r="TFT275" s="227"/>
      <c r="TFU275" s="227"/>
      <c r="TFV275" s="227"/>
      <c r="TFW275" s="227"/>
      <c r="TFX275" s="227"/>
      <c r="TFY275" s="227"/>
      <c r="TFZ275" s="227"/>
      <c r="TGA275" s="227"/>
      <c r="TGB275" s="227"/>
      <c r="TGC275" s="227"/>
      <c r="TGD275" s="227"/>
      <c r="TGE275" s="227"/>
      <c r="TGF275" s="227"/>
      <c r="TGG275" s="227"/>
      <c r="TGH275" s="227"/>
      <c r="TGI275" s="227"/>
      <c r="TGJ275" s="227"/>
      <c r="TGK275" s="227"/>
      <c r="TGL275" s="227"/>
      <c r="TGM275" s="227"/>
      <c r="TGN275" s="227"/>
      <c r="TGO275" s="227"/>
      <c r="TGP275" s="227"/>
      <c r="TGQ275" s="227"/>
      <c r="TGR275" s="227"/>
      <c r="TGS275" s="227"/>
      <c r="TGT275" s="227"/>
      <c r="TGU275" s="227"/>
      <c r="TGV275" s="227"/>
      <c r="TGW275" s="227"/>
      <c r="TGX275" s="227"/>
      <c r="TGY275" s="227"/>
      <c r="TGZ275" s="227"/>
      <c r="THA275" s="227"/>
      <c r="THB275" s="227"/>
      <c r="THC275" s="227"/>
      <c r="THD275" s="227"/>
      <c r="THE275" s="227"/>
      <c r="THF275" s="227"/>
      <c r="THG275" s="227"/>
      <c r="THH275" s="227"/>
      <c r="THI275" s="227"/>
      <c r="THJ275" s="227"/>
      <c r="THK275" s="227"/>
      <c r="THL275" s="227"/>
      <c r="THM275" s="227"/>
      <c r="THN275" s="227"/>
      <c r="THO275" s="227"/>
      <c r="THP275" s="227"/>
      <c r="THQ275" s="227"/>
      <c r="THR275" s="227"/>
      <c r="THS275" s="227"/>
      <c r="THT275" s="227"/>
      <c r="THU275" s="227"/>
      <c r="THV275" s="227"/>
      <c r="THW275" s="227"/>
      <c r="THX275" s="227"/>
      <c r="THY275" s="227"/>
      <c r="THZ275" s="227"/>
      <c r="TIA275" s="227"/>
      <c r="TIB275" s="227"/>
      <c r="TIC275" s="227"/>
      <c r="TID275" s="227"/>
      <c r="TIE275" s="227"/>
      <c r="TIF275" s="227"/>
      <c r="TIG275" s="227"/>
      <c r="TIH275" s="227"/>
      <c r="TII275" s="227"/>
      <c r="TIJ275" s="227"/>
      <c r="TIK275" s="227"/>
      <c r="TIL275" s="227"/>
      <c r="TIM275" s="227"/>
      <c r="TIN275" s="227"/>
      <c r="TIO275" s="227"/>
      <c r="TIP275" s="227"/>
      <c r="TIQ275" s="227"/>
      <c r="TIR275" s="227"/>
      <c r="TIS275" s="227"/>
      <c r="TIT275" s="227"/>
      <c r="TIU275" s="227"/>
      <c r="TIV275" s="227"/>
      <c r="TIW275" s="227"/>
      <c r="TIX275" s="227"/>
      <c r="TIY275" s="227"/>
      <c r="TIZ275" s="227"/>
      <c r="TJA275" s="227"/>
      <c r="TJB275" s="227"/>
      <c r="TJC275" s="227"/>
      <c r="TJD275" s="227"/>
      <c r="TJE275" s="227"/>
      <c r="TJF275" s="227"/>
      <c r="TJG275" s="227"/>
      <c r="TJH275" s="227"/>
      <c r="TJI275" s="227"/>
      <c r="TJJ275" s="227"/>
      <c r="TJK275" s="227"/>
      <c r="TJL275" s="227"/>
      <c r="TJM275" s="227"/>
      <c r="TJN275" s="227"/>
      <c r="TJO275" s="227"/>
      <c r="TJP275" s="227"/>
      <c r="TJQ275" s="227"/>
      <c r="TJR275" s="227"/>
      <c r="TJS275" s="227"/>
      <c r="TJT275" s="227"/>
      <c r="TJU275" s="227"/>
      <c r="TJV275" s="227"/>
      <c r="TJW275" s="227"/>
      <c r="TJX275" s="227"/>
      <c r="TJY275" s="227"/>
      <c r="TJZ275" s="227"/>
      <c r="TKA275" s="227"/>
      <c r="TKB275" s="227"/>
      <c r="TKC275" s="227"/>
      <c r="TKD275" s="227"/>
      <c r="TKE275" s="227"/>
      <c r="TKF275" s="227"/>
      <c r="TKG275" s="227"/>
      <c r="TKH275" s="227"/>
      <c r="TKI275" s="227"/>
      <c r="TKJ275" s="227"/>
      <c r="TKK275" s="227"/>
      <c r="TKL275" s="227"/>
      <c r="TKM275" s="227"/>
      <c r="TKN275" s="227"/>
      <c r="TKO275" s="227"/>
      <c r="TKP275" s="227"/>
      <c r="TKQ275" s="227"/>
      <c r="TKR275" s="227"/>
      <c r="TKS275" s="227"/>
      <c r="TKT275" s="227"/>
      <c r="TKU275" s="227"/>
      <c r="TKV275" s="227"/>
      <c r="TKW275" s="227"/>
      <c r="TKX275" s="227"/>
      <c r="TKY275" s="227"/>
      <c r="TKZ275" s="227"/>
      <c r="TLA275" s="227"/>
      <c r="TLB275" s="227"/>
      <c r="TLC275" s="227"/>
      <c r="TLD275" s="227"/>
      <c r="TLE275" s="227"/>
      <c r="TLF275" s="227"/>
      <c r="TLG275" s="227"/>
      <c r="TLH275" s="227"/>
      <c r="TLI275" s="227"/>
      <c r="TLJ275" s="227"/>
      <c r="TLK275" s="227"/>
      <c r="TLL275" s="227"/>
      <c r="TLM275" s="227"/>
      <c r="TLN275" s="227"/>
      <c r="TLO275" s="227"/>
      <c r="TLP275" s="227"/>
      <c r="TLQ275" s="227"/>
      <c r="TLR275" s="227"/>
      <c r="TLS275" s="227"/>
      <c r="TLT275" s="227"/>
      <c r="TLU275" s="227"/>
      <c r="TLV275" s="227"/>
      <c r="TLW275" s="227"/>
      <c r="TLX275" s="227"/>
      <c r="TLY275" s="227"/>
      <c r="TLZ275" s="227"/>
      <c r="TMA275" s="227"/>
      <c r="TMB275" s="227"/>
      <c r="TMC275" s="227"/>
      <c r="TMD275" s="227"/>
      <c r="TME275" s="227"/>
      <c r="TMF275" s="227"/>
      <c r="TMG275" s="227"/>
      <c r="TMH275" s="227"/>
      <c r="TMI275" s="227"/>
      <c r="TMJ275" s="227"/>
      <c r="TMK275" s="227"/>
      <c r="TML275" s="227"/>
      <c r="TMM275" s="227"/>
      <c r="TMN275" s="227"/>
      <c r="TMO275" s="227"/>
      <c r="TMP275" s="227"/>
      <c r="TMQ275" s="227"/>
      <c r="TMR275" s="227"/>
      <c r="TMS275" s="227"/>
      <c r="TMT275" s="227"/>
      <c r="TMU275" s="227"/>
      <c r="TMV275" s="227"/>
      <c r="TMW275" s="227"/>
      <c r="TMX275" s="227"/>
      <c r="TMY275" s="227"/>
      <c r="TMZ275" s="227"/>
      <c r="TNA275" s="227"/>
      <c r="TNB275" s="227"/>
      <c r="TNC275" s="227"/>
      <c r="TND275" s="227"/>
      <c r="TNE275" s="227"/>
      <c r="TNF275" s="227"/>
      <c r="TNG275" s="227"/>
      <c r="TNH275" s="227"/>
      <c r="TNI275" s="227"/>
      <c r="TNJ275" s="227"/>
      <c r="TNK275" s="227"/>
      <c r="TNL275" s="227"/>
      <c r="TNM275" s="227"/>
      <c r="TNN275" s="227"/>
      <c r="TNO275" s="227"/>
      <c r="TNP275" s="227"/>
      <c r="TNQ275" s="227"/>
      <c r="TNR275" s="227"/>
      <c r="TNS275" s="227"/>
      <c r="TNT275" s="227"/>
      <c r="TNU275" s="227"/>
      <c r="TNV275" s="227"/>
      <c r="TNW275" s="227"/>
      <c r="TNX275" s="227"/>
      <c r="TNY275" s="227"/>
      <c r="TNZ275" s="227"/>
      <c r="TOA275" s="227"/>
      <c r="TOB275" s="227"/>
      <c r="TOC275" s="227"/>
      <c r="TOD275" s="227"/>
      <c r="TOE275" s="227"/>
      <c r="TOF275" s="227"/>
      <c r="TOG275" s="227"/>
      <c r="TOH275" s="227"/>
      <c r="TOI275" s="227"/>
      <c r="TOJ275" s="227"/>
      <c r="TOK275" s="227"/>
      <c r="TOL275" s="227"/>
      <c r="TOM275" s="227"/>
      <c r="TON275" s="227"/>
      <c r="TOO275" s="227"/>
      <c r="TOP275" s="227"/>
      <c r="TOQ275" s="227"/>
      <c r="TOR275" s="227"/>
      <c r="TOS275" s="227"/>
      <c r="TOT275" s="227"/>
      <c r="TOU275" s="227"/>
      <c r="TOV275" s="227"/>
      <c r="TOW275" s="227"/>
      <c r="TOX275" s="227"/>
      <c r="TOY275" s="227"/>
      <c r="TOZ275" s="227"/>
      <c r="TPA275" s="227"/>
      <c r="TPB275" s="227"/>
      <c r="TPC275" s="227"/>
      <c r="TPD275" s="227"/>
      <c r="TPE275" s="227"/>
      <c r="TPF275" s="227"/>
      <c r="TPG275" s="227"/>
      <c r="TPH275" s="227"/>
      <c r="TPI275" s="227"/>
      <c r="TPJ275" s="227"/>
      <c r="TPK275" s="227"/>
      <c r="TPL275" s="227"/>
      <c r="TPM275" s="227"/>
      <c r="TPN275" s="227"/>
      <c r="TPO275" s="227"/>
      <c r="TPP275" s="227"/>
      <c r="TPQ275" s="227"/>
      <c r="TPR275" s="227"/>
      <c r="TPS275" s="227"/>
      <c r="TPT275" s="227"/>
      <c r="TPU275" s="227"/>
      <c r="TPV275" s="227"/>
      <c r="TPW275" s="227"/>
      <c r="TPX275" s="227"/>
      <c r="TPY275" s="227"/>
      <c r="TPZ275" s="227"/>
      <c r="TQA275" s="227"/>
      <c r="TQB275" s="227"/>
      <c r="TQC275" s="227"/>
      <c r="TQD275" s="227"/>
      <c r="TQE275" s="227"/>
      <c r="TQF275" s="227"/>
      <c r="TQG275" s="227"/>
      <c r="TQH275" s="227"/>
      <c r="TQI275" s="227"/>
      <c r="TQJ275" s="227"/>
      <c r="TQK275" s="227"/>
      <c r="TQL275" s="227"/>
      <c r="TQM275" s="227"/>
      <c r="TQN275" s="227"/>
      <c r="TQO275" s="227"/>
      <c r="TQP275" s="227"/>
      <c r="TQQ275" s="227"/>
      <c r="TQR275" s="227"/>
      <c r="TQS275" s="227"/>
      <c r="TQT275" s="227"/>
      <c r="TQU275" s="227"/>
      <c r="TQV275" s="227"/>
      <c r="TQW275" s="227"/>
      <c r="TQX275" s="227"/>
      <c r="TQY275" s="227"/>
      <c r="TQZ275" s="227"/>
      <c r="TRA275" s="227"/>
      <c r="TRB275" s="227"/>
      <c r="TRC275" s="227"/>
      <c r="TRD275" s="227"/>
      <c r="TRE275" s="227"/>
      <c r="TRF275" s="227"/>
      <c r="TRG275" s="227"/>
      <c r="TRH275" s="227"/>
      <c r="TRI275" s="227"/>
      <c r="TRJ275" s="227"/>
      <c r="TRK275" s="227"/>
      <c r="TRL275" s="227"/>
      <c r="TRM275" s="227"/>
      <c r="TRN275" s="227"/>
      <c r="TRO275" s="227"/>
      <c r="TRP275" s="227"/>
      <c r="TRQ275" s="227"/>
      <c r="TRR275" s="227"/>
      <c r="TRS275" s="227"/>
      <c r="TRT275" s="227"/>
      <c r="TRU275" s="227"/>
      <c r="TRV275" s="227"/>
      <c r="TRW275" s="227"/>
      <c r="TRX275" s="227"/>
      <c r="TRY275" s="227"/>
      <c r="TRZ275" s="227"/>
      <c r="TSA275" s="227"/>
      <c r="TSB275" s="227"/>
      <c r="TSC275" s="227"/>
      <c r="TSD275" s="227"/>
      <c r="TSE275" s="227"/>
      <c r="TSF275" s="227"/>
      <c r="TSG275" s="227"/>
      <c r="TSH275" s="227"/>
      <c r="TSI275" s="227"/>
      <c r="TSJ275" s="227"/>
      <c r="TSK275" s="227"/>
      <c r="TSL275" s="227"/>
      <c r="TSM275" s="227"/>
      <c r="TSN275" s="227"/>
      <c r="TSO275" s="227"/>
      <c r="TSP275" s="227"/>
      <c r="TSQ275" s="227"/>
      <c r="TSR275" s="227"/>
      <c r="TSS275" s="227"/>
      <c r="TST275" s="227"/>
      <c r="TSU275" s="227"/>
      <c r="TSV275" s="227"/>
      <c r="TSW275" s="227"/>
      <c r="TSX275" s="227"/>
      <c r="TSY275" s="227"/>
      <c r="TSZ275" s="227"/>
      <c r="TTA275" s="227"/>
      <c r="TTB275" s="227"/>
      <c r="TTC275" s="227"/>
      <c r="TTD275" s="227"/>
      <c r="TTE275" s="227"/>
      <c r="TTF275" s="227"/>
      <c r="TTG275" s="227"/>
      <c r="TTH275" s="227"/>
      <c r="TTI275" s="227"/>
      <c r="TTJ275" s="227"/>
      <c r="TTK275" s="227"/>
      <c r="TTL275" s="227"/>
      <c r="TTM275" s="227"/>
      <c r="TTN275" s="227"/>
      <c r="TTO275" s="227"/>
      <c r="TTP275" s="227"/>
      <c r="TTQ275" s="227"/>
      <c r="TTR275" s="227"/>
      <c r="TTS275" s="227"/>
      <c r="TTT275" s="227"/>
      <c r="TTU275" s="227"/>
      <c r="TTV275" s="227"/>
      <c r="TTW275" s="227"/>
      <c r="TTX275" s="227"/>
      <c r="TTY275" s="227"/>
      <c r="TTZ275" s="227"/>
      <c r="TUA275" s="227"/>
      <c r="TUB275" s="227"/>
      <c r="TUC275" s="227"/>
      <c r="TUD275" s="227"/>
      <c r="TUE275" s="227"/>
      <c r="TUF275" s="227"/>
      <c r="TUG275" s="227"/>
      <c r="TUH275" s="227"/>
      <c r="TUI275" s="227"/>
      <c r="TUJ275" s="227"/>
      <c r="TUK275" s="227"/>
      <c r="TUL275" s="227"/>
      <c r="TUM275" s="227"/>
      <c r="TUN275" s="227"/>
      <c r="TUO275" s="227"/>
      <c r="TUP275" s="227"/>
      <c r="TUQ275" s="227"/>
      <c r="TUR275" s="227"/>
      <c r="TUS275" s="227"/>
      <c r="TUT275" s="227"/>
      <c r="TUU275" s="227"/>
      <c r="TUV275" s="227"/>
      <c r="TUW275" s="227"/>
      <c r="TUX275" s="227"/>
      <c r="TUY275" s="227"/>
      <c r="TUZ275" s="227"/>
      <c r="TVA275" s="227"/>
      <c r="TVB275" s="227"/>
      <c r="TVC275" s="227"/>
      <c r="TVD275" s="227"/>
      <c r="TVE275" s="227"/>
      <c r="TVF275" s="227"/>
      <c r="TVG275" s="227"/>
      <c r="TVH275" s="227"/>
      <c r="TVI275" s="227"/>
      <c r="TVJ275" s="227"/>
      <c r="TVK275" s="227"/>
      <c r="TVL275" s="227"/>
      <c r="TVM275" s="227"/>
      <c r="TVN275" s="227"/>
      <c r="TVO275" s="227"/>
      <c r="TVP275" s="227"/>
      <c r="TVQ275" s="227"/>
      <c r="TVR275" s="227"/>
      <c r="TVS275" s="227"/>
      <c r="TVT275" s="227"/>
      <c r="TVU275" s="227"/>
      <c r="TVV275" s="227"/>
      <c r="TVW275" s="227"/>
      <c r="TVX275" s="227"/>
      <c r="TVY275" s="227"/>
      <c r="TVZ275" s="227"/>
      <c r="TWA275" s="227"/>
      <c r="TWB275" s="227"/>
      <c r="TWC275" s="227"/>
      <c r="TWD275" s="227"/>
      <c r="TWE275" s="227"/>
      <c r="TWF275" s="227"/>
      <c r="TWG275" s="227"/>
      <c r="TWH275" s="227"/>
      <c r="TWI275" s="227"/>
      <c r="TWJ275" s="227"/>
      <c r="TWK275" s="227"/>
      <c r="TWL275" s="227"/>
      <c r="TWM275" s="227"/>
      <c r="TWN275" s="227"/>
      <c r="TWO275" s="227"/>
      <c r="TWP275" s="227"/>
      <c r="TWQ275" s="227"/>
      <c r="TWR275" s="227"/>
      <c r="TWS275" s="227"/>
      <c r="TWT275" s="227"/>
      <c r="TWU275" s="227"/>
      <c r="TWV275" s="227"/>
      <c r="TWW275" s="227"/>
      <c r="TWX275" s="227"/>
      <c r="TWY275" s="227"/>
      <c r="TWZ275" s="227"/>
      <c r="TXA275" s="227"/>
      <c r="TXB275" s="227"/>
      <c r="TXC275" s="227"/>
      <c r="TXD275" s="227"/>
      <c r="TXE275" s="227"/>
      <c r="TXF275" s="227"/>
      <c r="TXG275" s="227"/>
      <c r="TXH275" s="227"/>
      <c r="TXI275" s="227"/>
      <c r="TXJ275" s="227"/>
      <c r="TXK275" s="227"/>
      <c r="TXL275" s="227"/>
      <c r="TXM275" s="227"/>
      <c r="TXN275" s="227"/>
      <c r="TXO275" s="227"/>
      <c r="TXP275" s="227"/>
      <c r="TXQ275" s="227"/>
      <c r="TXR275" s="227"/>
      <c r="TXS275" s="227"/>
      <c r="TXT275" s="227"/>
      <c r="TXU275" s="227"/>
      <c r="TXV275" s="227"/>
      <c r="TXW275" s="227"/>
      <c r="TXX275" s="227"/>
      <c r="TXY275" s="227"/>
      <c r="TXZ275" s="227"/>
      <c r="TYA275" s="227"/>
      <c r="TYB275" s="227"/>
      <c r="TYC275" s="227"/>
      <c r="TYD275" s="227"/>
      <c r="TYE275" s="227"/>
      <c r="TYF275" s="227"/>
      <c r="TYG275" s="227"/>
      <c r="TYH275" s="227"/>
      <c r="TYI275" s="227"/>
      <c r="TYJ275" s="227"/>
      <c r="TYK275" s="227"/>
      <c r="TYL275" s="227"/>
      <c r="TYM275" s="227"/>
      <c r="TYN275" s="227"/>
      <c r="TYO275" s="227"/>
      <c r="TYP275" s="227"/>
      <c r="TYQ275" s="227"/>
      <c r="TYR275" s="227"/>
      <c r="TYS275" s="227"/>
      <c r="TYT275" s="227"/>
      <c r="TYU275" s="227"/>
      <c r="TYV275" s="227"/>
      <c r="TYW275" s="227"/>
      <c r="TYX275" s="227"/>
      <c r="TYY275" s="227"/>
      <c r="TYZ275" s="227"/>
      <c r="TZA275" s="227"/>
      <c r="TZB275" s="227"/>
      <c r="TZC275" s="227"/>
      <c r="TZD275" s="227"/>
      <c r="TZE275" s="227"/>
      <c r="TZF275" s="227"/>
      <c r="TZG275" s="227"/>
      <c r="TZH275" s="227"/>
      <c r="TZI275" s="227"/>
      <c r="TZJ275" s="227"/>
      <c r="TZK275" s="227"/>
      <c r="TZL275" s="227"/>
      <c r="TZM275" s="227"/>
      <c r="TZN275" s="227"/>
      <c r="TZO275" s="227"/>
      <c r="TZP275" s="227"/>
      <c r="TZQ275" s="227"/>
      <c r="TZR275" s="227"/>
      <c r="TZS275" s="227"/>
      <c r="TZT275" s="227"/>
      <c r="TZU275" s="227"/>
      <c r="TZV275" s="227"/>
      <c r="TZW275" s="227"/>
      <c r="TZX275" s="227"/>
      <c r="TZY275" s="227"/>
      <c r="TZZ275" s="227"/>
      <c r="UAA275" s="227"/>
      <c r="UAB275" s="227"/>
      <c r="UAC275" s="227"/>
      <c r="UAD275" s="227"/>
      <c r="UAE275" s="227"/>
      <c r="UAF275" s="227"/>
      <c r="UAG275" s="227"/>
      <c r="UAH275" s="227"/>
      <c r="UAI275" s="227"/>
      <c r="UAJ275" s="227"/>
      <c r="UAK275" s="227"/>
      <c r="UAL275" s="227"/>
      <c r="UAM275" s="227"/>
      <c r="UAN275" s="227"/>
      <c r="UAO275" s="227"/>
      <c r="UAP275" s="227"/>
      <c r="UAQ275" s="227"/>
      <c r="UAR275" s="227"/>
      <c r="UAS275" s="227"/>
      <c r="UAT275" s="227"/>
      <c r="UAU275" s="227"/>
      <c r="UAV275" s="227"/>
      <c r="UAW275" s="227"/>
      <c r="UAX275" s="227"/>
      <c r="UAY275" s="227"/>
      <c r="UAZ275" s="227"/>
      <c r="UBA275" s="227"/>
      <c r="UBB275" s="227"/>
      <c r="UBC275" s="227"/>
      <c r="UBD275" s="227"/>
      <c r="UBE275" s="227"/>
      <c r="UBF275" s="227"/>
      <c r="UBG275" s="227"/>
      <c r="UBH275" s="227"/>
      <c r="UBI275" s="227"/>
      <c r="UBJ275" s="227"/>
      <c r="UBK275" s="227"/>
      <c r="UBL275" s="227"/>
      <c r="UBM275" s="227"/>
      <c r="UBN275" s="227"/>
      <c r="UBO275" s="227"/>
      <c r="UBP275" s="227"/>
      <c r="UBQ275" s="227"/>
      <c r="UBR275" s="227"/>
      <c r="UBS275" s="227"/>
      <c r="UBT275" s="227"/>
      <c r="UBU275" s="227"/>
      <c r="UBV275" s="227"/>
      <c r="UBW275" s="227"/>
      <c r="UBX275" s="227"/>
      <c r="UBY275" s="227"/>
      <c r="UBZ275" s="227"/>
      <c r="UCA275" s="227"/>
      <c r="UCB275" s="227"/>
      <c r="UCC275" s="227"/>
      <c r="UCD275" s="227"/>
      <c r="UCE275" s="227"/>
      <c r="UCF275" s="227"/>
      <c r="UCG275" s="227"/>
      <c r="UCH275" s="227"/>
      <c r="UCI275" s="227"/>
      <c r="UCJ275" s="227"/>
      <c r="UCK275" s="227"/>
      <c r="UCL275" s="227"/>
      <c r="UCM275" s="227"/>
      <c r="UCN275" s="227"/>
      <c r="UCO275" s="227"/>
      <c r="UCP275" s="227"/>
      <c r="UCQ275" s="227"/>
      <c r="UCR275" s="227"/>
      <c r="UCS275" s="227"/>
      <c r="UCT275" s="227"/>
      <c r="UCU275" s="227"/>
      <c r="UCV275" s="227"/>
      <c r="UCW275" s="227"/>
      <c r="UCX275" s="227"/>
      <c r="UCY275" s="227"/>
      <c r="UCZ275" s="227"/>
      <c r="UDA275" s="227"/>
      <c r="UDB275" s="227"/>
      <c r="UDC275" s="227"/>
      <c r="UDD275" s="227"/>
      <c r="UDE275" s="227"/>
      <c r="UDF275" s="227"/>
      <c r="UDG275" s="227"/>
      <c r="UDH275" s="227"/>
      <c r="UDI275" s="227"/>
      <c r="UDJ275" s="227"/>
      <c r="UDK275" s="227"/>
      <c r="UDL275" s="227"/>
      <c r="UDM275" s="227"/>
      <c r="UDN275" s="227"/>
      <c r="UDO275" s="227"/>
      <c r="UDP275" s="227"/>
      <c r="UDQ275" s="227"/>
      <c r="UDR275" s="227"/>
      <c r="UDS275" s="227"/>
      <c r="UDT275" s="227"/>
      <c r="UDU275" s="227"/>
      <c r="UDV275" s="227"/>
      <c r="UDW275" s="227"/>
      <c r="UDX275" s="227"/>
      <c r="UDY275" s="227"/>
      <c r="UDZ275" s="227"/>
      <c r="UEA275" s="227"/>
      <c r="UEB275" s="227"/>
      <c r="UEC275" s="227"/>
      <c r="UED275" s="227"/>
      <c r="UEE275" s="227"/>
      <c r="UEF275" s="227"/>
      <c r="UEG275" s="227"/>
      <c r="UEH275" s="227"/>
      <c r="UEI275" s="227"/>
      <c r="UEJ275" s="227"/>
      <c r="UEK275" s="227"/>
      <c r="UEL275" s="227"/>
      <c r="UEM275" s="227"/>
      <c r="UEN275" s="227"/>
      <c r="UEO275" s="227"/>
      <c r="UEP275" s="227"/>
      <c r="UEQ275" s="227"/>
      <c r="UER275" s="227"/>
      <c r="UES275" s="227"/>
      <c r="UET275" s="227"/>
      <c r="UEU275" s="227"/>
      <c r="UEV275" s="227"/>
      <c r="UEW275" s="227"/>
      <c r="UEX275" s="227"/>
      <c r="UEY275" s="227"/>
      <c r="UEZ275" s="227"/>
      <c r="UFA275" s="227"/>
      <c r="UFB275" s="227"/>
      <c r="UFC275" s="227"/>
      <c r="UFD275" s="227"/>
      <c r="UFE275" s="227"/>
      <c r="UFF275" s="227"/>
      <c r="UFG275" s="227"/>
      <c r="UFH275" s="227"/>
      <c r="UFI275" s="227"/>
      <c r="UFJ275" s="227"/>
      <c r="UFK275" s="227"/>
      <c r="UFL275" s="227"/>
      <c r="UFM275" s="227"/>
      <c r="UFN275" s="227"/>
      <c r="UFO275" s="227"/>
      <c r="UFP275" s="227"/>
      <c r="UFQ275" s="227"/>
      <c r="UFR275" s="227"/>
      <c r="UFS275" s="227"/>
      <c r="UFT275" s="227"/>
      <c r="UFU275" s="227"/>
      <c r="UFV275" s="227"/>
      <c r="UFW275" s="227"/>
      <c r="UFX275" s="227"/>
      <c r="UFY275" s="227"/>
      <c r="UFZ275" s="227"/>
      <c r="UGA275" s="227"/>
      <c r="UGB275" s="227"/>
      <c r="UGC275" s="227"/>
      <c r="UGD275" s="227"/>
      <c r="UGE275" s="227"/>
      <c r="UGF275" s="227"/>
      <c r="UGG275" s="227"/>
      <c r="UGH275" s="227"/>
      <c r="UGI275" s="227"/>
      <c r="UGJ275" s="227"/>
      <c r="UGK275" s="227"/>
      <c r="UGL275" s="227"/>
      <c r="UGM275" s="227"/>
      <c r="UGN275" s="227"/>
      <c r="UGO275" s="227"/>
      <c r="UGP275" s="227"/>
      <c r="UGQ275" s="227"/>
      <c r="UGR275" s="227"/>
      <c r="UGS275" s="227"/>
      <c r="UGT275" s="227"/>
      <c r="UGU275" s="227"/>
      <c r="UGV275" s="227"/>
      <c r="UGW275" s="227"/>
      <c r="UGX275" s="227"/>
      <c r="UGY275" s="227"/>
      <c r="UGZ275" s="227"/>
      <c r="UHA275" s="227"/>
      <c r="UHB275" s="227"/>
      <c r="UHC275" s="227"/>
      <c r="UHD275" s="227"/>
      <c r="UHE275" s="227"/>
      <c r="UHF275" s="227"/>
      <c r="UHG275" s="227"/>
      <c r="UHH275" s="227"/>
      <c r="UHI275" s="227"/>
      <c r="UHJ275" s="227"/>
      <c r="UHK275" s="227"/>
      <c r="UHL275" s="227"/>
      <c r="UHM275" s="227"/>
      <c r="UHN275" s="227"/>
      <c r="UHO275" s="227"/>
      <c r="UHP275" s="227"/>
      <c r="UHQ275" s="227"/>
      <c r="UHR275" s="227"/>
      <c r="UHS275" s="227"/>
      <c r="UHT275" s="227"/>
      <c r="UHU275" s="227"/>
      <c r="UHV275" s="227"/>
      <c r="UHW275" s="227"/>
      <c r="UHX275" s="227"/>
      <c r="UHY275" s="227"/>
      <c r="UHZ275" s="227"/>
      <c r="UIA275" s="227"/>
      <c r="UIB275" s="227"/>
      <c r="UIC275" s="227"/>
      <c r="UID275" s="227"/>
      <c r="UIE275" s="227"/>
      <c r="UIF275" s="227"/>
      <c r="UIG275" s="227"/>
      <c r="UIH275" s="227"/>
      <c r="UII275" s="227"/>
      <c r="UIJ275" s="227"/>
      <c r="UIK275" s="227"/>
      <c r="UIL275" s="227"/>
      <c r="UIM275" s="227"/>
      <c r="UIN275" s="227"/>
      <c r="UIO275" s="227"/>
      <c r="UIP275" s="227"/>
      <c r="UIQ275" s="227"/>
      <c r="UIR275" s="227"/>
      <c r="UIS275" s="227"/>
      <c r="UIT275" s="227"/>
      <c r="UIU275" s="227"/>
      <c r="UIV275" s="227"/>
      <c r="UIW275" s="227"/>
      <c r="UIX275" s="227"/>
      <c r="UIY275" s="227"/>
      <c r="UIZ275" s="227"/>
      <c r="UJA275" s="227"/>
      <c r="UJB275" s="227"/>
      <c r="UJC275" s="227"/>
      <c r="UJD275" s="227"/>
      <c r="UJE275" s="227"/>
      <c r="UJF275" s="227"/>
      <c r="UJG275" s="227"/>
      <c r="UJH275" s="227"/>
      <c r="UJI275" s="227"/>
      <c r="UJJ275" s="227"/>
      <c r="UJK275" s="227"/>
      <c r="UJL275" s="227"/>
      <c r="UJM275" s="227"/>
      <c r="UJN275" s="227"/>
      <c r="UJO275" s="227"/>
      <c r="UJP275" s="227"/>
      <c r="UJQ275" s="227"/>
      <c r="UJR275" s="227"/>
      <c r="UJS275" s="227"/>
      <c r="UJT275" s="227"/>
      <c r="UJU275" s="227"/>
      <c r="UJV275" s="227"/>
      <c r="UJW275" s="227"/>
      <c r="UJX275" s="227"/>
      <c r="UJY275" s="227"/>
      <c r="UJZ275" s="227"/>
      <c r="UKA275" s="227"/>
      <c r="UKB275" s="227"/>
      <c r="UKC275" s="227"/>
      <c r="UKD275" s="227"/>
      <c r="UKE275" s="227"/>
      <c r="UKF275" s="227"/>
      <c r="UKG275" s="227"/>
      <c r="UKH275" s="227"/>
      <c r="UKI275" s="227"/>
      <c r="UKJ275" s="227"/>
      <c r="UKK275" s="227"/>
      <c r="UKL275" s="227"/>
      <c r="UKM275" s="227"/>
      <c r="UKN275" s="227"/>
      <c r="UKO275" s="227"/>
      <c r="UKP275" s="227"/>
      <c r="UKQ275" s="227"/>
      <c r="UKR275" s="227"/>
      <c r="UKS275" s="227"/>
      <c r="UKT275" s="227"/>
      <c r="UKU275" s="227"/>
      <c r="UKV275" s="227"/>
      <c r="UKW275" s="227"/>
      <c r="UKX275" s="227"/>
      <c r="UKY275" s="227"/>
      <c r="UKZ275" s="227"/>
      <c r="ULA275" s="227"/>
      <c r="ULB275" s="227"/>
      <c r="ULC275" s="227"/>
      <c r="ULD275" s="227"/>
      <c r="ULE275" s="227"/>
      <c r="ULF275" s="227"/>
      <c r="ULG275" s="227"/>
      <c r="ULH275" s="227"/>
      <c r="ULI275" s="227"/>
      <c r="ULJ275" s="227"/>
      <c r="ULK275" s="227"/>
      <c r="ULL275" s="227"/>
      <c r="ULM275" s="227"/>
      <c r="ULN275" s="227"/>
      <c r="ULO275" s="227"/>
      <c r="ULP275" s="227"/>
      <c r="ULQ275" s="227"/>
      <c r="ULR275" s="227"/>
      <c r="ULS275" s="227"/>
      <c r="ULT275" s="227"/>
      <c r="ULU275" s="227"/>
      <c r="ULV275" s="227"/>
      <c r="ULW275" s="227"/>
      <c r="ULX275" s="227"/>
      <c r="ULY275" s="227"/>
      <c r="ULZ275" s="227"/>
      <c r="UMA275" s="227"/>
      <c r="UMB275" s="227"/>
      <c r="UMC275" s="227"/>
      <c r="UMD275" s="227"/>
      <c r="UME275" s="227"/>
      <c r="UMF275" s="227"/>
      <c r="UMG275" s="227"/>
      <c r="UMH275" s="227"/>
      <c r="UMI275" s="227"/>
      <c r="UMJ275" s="227"/>
      <c r="UMK275" s="227"/>
      <c r="UML275" s="227"/>
      <c r="UMM275" s="227"/>
      <c r="UMN275" s="227"/>
      <c r="UMO275" s="227"/>
      <c r="UMP275" s="227"/>
      <c r="UMQ275" s="227"/>
      <c r="UMR275" s="227"/>
      <c r="UMS275" s="227"/>
      <c r="UMT275" s="227"/>
      <c r="UMU275" s="227"/>
      <c r="UMV275" s="227"/>
      <c r="UMW275" s="227"/>
      <c r="UMX275" s="227"/>
      <c r="UMY275" s="227"/>
      <c r="UMZ275" s="227"/>
      <c r="UNA275" s="227"/>
      <c r="UNB275" s="227"/>
      <c r="UNC275" s="227"/>
      <c r="UND275" s="227"/>
      <c r="UNE275" s="227"/>
      <c r="UNF275" s="227"/>
      <c r="UNG275" s="227"/>
      <c r="UNH275" s="227"/>
      <c r="UNI275" s="227"/>
      <c r="UNJ275" s="227"/>
      <c r="UNK275" s="227"/>
      <c r="UNL275" s="227"/>
      <c r="UNM275" s="227"/>
      <c r="UNN275" s="227"/>
      <c r="UNO275" s="227"/>
      <c r="UNP275" s="227"/>
      <c r="UNQ275" s="227"/>
      <c r="UNR275" s="227"/>
      <c r="UNS275" s="227"/>
      <c r="UNT275" s="227"/>
      <c r="UNU275" s="227"/>
      <c r="UNV275" s="227"/>
      <c r="UNW275" s="227"/>
      <c r="UNX275" s="227"/>
      <c r="UNY275" s="227"/>
      <c r="UNZ275" s="227"/>
      <c r="UOA275" s="227"/>
      <c r="UOB275" s="227"/>
      <c r="UOC275" s="227"/>
      <c r="UOD275" s="227"/>
      <c r="UOE275" s="227"/>
      <c r="UOF275" s="227"/>
      <c r="UOG275" s="227"/>
      <c r="UOH275" s="227"/>
      <c r="UOI275" s="227"/>
      <c r="UOJ275" s="227"/>
      <c r="UOK275" s="227"/>
      <c r="UOL275" s="227"/>
      <c r="UOM275" s="227"/>
      <c r="UON275" s="227"/>
      <c r="UOO275" s="227"/>
      <c r="UOP275" s="227"/>
      <c r="UOQ275" s="227"/>
      <c r="UOR275" s="227"/>
      <c r="UOS275" s="227"/>
      <c r="UOT275" s="227"/>
      <c r="UOU275" s="227"/>
      <c r="UOV275" s="227"/>
      <c r="UOW275" s="227"/>
      <c r="UOX275" s="227"/>
      <c r="UOY275" s="227"/>
      <c r="UOZ275" s="227"/>
      <c r="UPA275" s="227"/>
      <c r="UPB275" s="227"/>
      <c r="UPC275" s="227"/>
      <c r="UPD275" s="227"/>
      <c r="UPE275" s="227"/>
      <c r="UPF275" s="227"/>
      <c r="UPG275" s="227"/>
      <c r="UPH275" s="227"/>
      <c r="UPI275" s="227"/>
      <c r="UPJ275" s="227"/>
      <c r="UPK275" s="227"/>
      <c r="UPL275" s="227"/>
      <c r="UPM275" s="227"/>
      <c r="UPN275" s="227"/>
      <c r="UPO275" s="227"/>
      <c r="UPP275" s="227"/>
      <c r="UPQ275" s="227"/>
      <c r="UPR275" s="227"/>
      <c r="UPS275" s="227"/>
      <c r="UPT275" s="227"/>
      <c r="UPU275" s="227"/>
      <c r="UPV275" s="227"/>
      <c r="UPW275" s="227"/>
      <c r="UPX275" s="227"/>
      <c r="UPY275" s="227"/>
      <c r="UPZ275" s="227"/>
      <c r="UQA275" s="227"/>
      <c r="UQB275" s="227"/>
      <c r="UQC275" s="227"/>
      <c r="UQD275" s="227"/>
      <c r="UQE275" s="227"/>
      <c r="UQF275" s="227"/>
      <c r="UQG275" s="227"/>
      <c r="UQH275" s="227"/>
      <c r="UQI275" s="227"/>
      <c r="UQJ275" s="227"/>
      <c r="UQK275" s="227"/>
      <c r="UQL275" s="227"/>
      <c r="UQM275" s="227"/>
      <c r="UQN275" s="227"/>
      <c r="UQO275" s="227"/>
      <c r="UQP275" s="227"/>
      <c r="UQQ275" s="227"/>
      <c r="UQR275" s="227"/>
      <c r="UQS275" s="227"/>
      <c r="UQT275" s="227"/>
      <c r="UQU275" s="227"/>
      <c r="UQV275" s="227"/>
      <c r="UQW275" s="227"/>
      <c r="UQX275" s="227"/>
      <c r="UQY275" s="227"/>
      <c r="UQZ275" s="227"/>
      <c r="URA275" s="227"/>
      <c r="URB275" s="227"/>
      <c r="URC275" s="227"/>
      <c r="URD275" s="227"/>
      <c r="URE275" s="227"/>
      <c r="URF275" s="227"/>
      <c r="URG275" s="227"/>
      <c r="URH275" s="227"/>
      <c r="URI275" s="227"/>
      <c r="URJ275" s="227"/>
      <c r="URK275" s="227"/>
      <c r="URL275" s="227"/>
      <c r="URM275" s="227"/>
      <c r="URN275" s="227"/>
      <c r="URO275" s="227"/>
      <c r="URP275" s="227"/>
      <c r="URQ275" s="227"/>
      <c r="URR275" s="227"/>
      <c r="URS275" s="227"/>
      <c r="URT275" s="227"/>
      <c r="URU275" s="227"/>
      <c r="URV275" s="227"/>
      <c r="URW275" s="227"/>
      <c r="URX275" s="227"/>
      <c r="URY275" s="227"/>
      <c r="URZ275" s="227"/>
      <c r="USA275" s="227"/>
      <c r="USB275" s="227"/>
      <c r="USC275" s="227"/>
      <c r="USD275" s="227"/>
      <c r="USE275" s="227"/>
      <c r="USF275" s="227"/>
      <c r="USG275" s="227"/>
      <c r="USH275" s="227"/>
      <c r="USI275" s="227"/>
      <c r="USJ275" s="227"/>
      <c r="USK275" s="227"/>
      <c r="USL275" s="227"/>
      <c r="USM275" s="227"/>
      <c r="USN275" s="227"/>
      <c r="USO275" s="227"/>
      <c r="USP275" s="227"/>
      <c r="USQ275" s="227"/>
      <c r="USR275" s="227"/>
      <c r="USS275" s="227"/>
      <c r="UST275" s="227"/>
      <c r="USU275" s="227"/>
      <c r="USV275" s="227"/>
      <c r="USW275" s="227"/>
      <c r="USX275" s="227"/>
      <c r="USY275" s="227"/>
      <c r="USZ275" s="227"/>
      <c r="UTA275" s="227"/>
      <c r="UTB275" s="227"/>
      <c r="UTC275" s="227"/>
      <c r="UTD275" s="227"/>
      <c r="UTE275" s="227"/>
      <c r="UTF275" s="227"/>
      <c r="UTG275" s="227"/>
      <c r="UTH275" s="227"/>
      <c r="UTI275" s="227"/>
      <c r="UTJ275" s="227"/>
      <c r="UTK275" s="227"/>
      <c r="UTL275" s="227"/>
      <c r="UTM275" s="227"/>
      <c r="UTN275" s="227"/>
      <c r="UTO275" s="227"/>
      <c r="UTP275" s="227"/>
      <c r="UTQ275" s="227"/>
      <c r="UTR275" s="227"/>
      <c r="UTS275" s="227"/>
      <c r="UTT275" s="227"/>
      <c r="UTU275" s="227"/>
      <c r="UTV275" s="227"/>
      <c r="UTW275" s="227"/>
      <c r="UTX275" s="227"/>
      <c r="UTY275" s="227"/>
      <c r="UTZ275" s="227"/>
      <c r="UUA275" s="227"/>
      <c r="UUB275" s="227"/>
      <c r="UUC275" s="227"/>
      <c r="UUD275" s="227"/>
      <c r="UUE275" s="227"/>
      <c r="UUF275" s="227"/>
      <c r="UUG275" s="227"/>
      <c r="UUH275" s="227"/>
      <c r="UUI275" s="227"/>
      <c r="UUJ275" s="227"/>
      <c r="UUK275" s="227"/>
      <c r="UUL275" s="227"/>
      <c r="UUM275" s="227"/>
      <c r="UUN275" s="227"/>
      <c r="UUO275" s="227"/>
      <c r="UUP275" s="227"/>
      <c r="UUQ275" s="227"/>
      <c r="UUR275" s="227"/>
      <c r="UUS275" s="227"/>
      <c r="UUT275" s="227"/>
      <c r="UUU275" s="227"/>
      <c r="UUV275" s="227"/>
      <c r="UUW275" s="227"/>
      <c r="UUX275" s="227"/>
      <c r="UUY275" s="227"/>
      <c r="UUZ275" s="227"/>
      <c r="UVA275" s="227"/>
      <c r="UVB275" s="227"/>
      <c r="UVC275" s="227"/>
      <c r="UVD275" s="227"/>
      <c r="UVE275" s="227"/>
      <c r="UVF275" s="227"/>
      <c r="UVG275" s="227"/>
      <c r="UVH275" s="227"/>
      <c r="UVI275" s="227"/>
      <c r="UVJ275" s="227"/>
      <c r="UVK275" s="227"/>
      <c r="UVL275" s="227"/>
      <c r="UVM275" s="227"/>
      <c r="UVN275" s="227"/>
      <c r="UVO275" s="227"/>
      <c r="UVP275" s="227"/>
      <c r="UVQ275" s="227"/>
      <c r="UVR275" s="227"/>
      <c r="UVS275" s="227"/>
      <c r="UVT275" s="227"/>
      <c r="UVU275" s="227"/>
      <c r="UVV275" s="227"/>
      <c r="UVW275" s="227"/>
      <c r="UVX275" s="227"/>
      <c r="UVY275" s="227"/>
      <c r="UVZ275" s="227"/>
      <c r="UWA275" s="227"/>
      <c r="UWB275" s="227"/>
      <c r="UWC275" s="227"/>
      <c r="UWD275" s="227"/>
      <c r="UWE275" s="227"/>
      <c r="UWF275" s="227"/>
      <c r="UWG275" s="227"/>
      <c r="UWH275" s="227"/>
      <c r="UWI275" s="227"/>
      <c r="UWJ275" s="227"/>
      <c r="UWK275" s="227"/>
      <c r="UWL275" s="227"/>
      <c r="UWM275" s="227"/>
      <c r="UWN275" s="227"/>
      <c r="UWO275" s="227"/>
      <c r="UWP275" s="227"/>
      <c r="UWQ275" s="227"/>
      <c r="UWR275" s="227"/>
      <c r="UWS275" s="227"/>
      <c r="UWT275" s="227"/>
      <c r="UWU275" s="227"/>
      <c r="UWV275" s="227"/>
      <c r="UWW275" s="227"/>
      <c r="UWX275" s="227"/>
      <c r="UWY275" s="227"/>
      <c r="UWZ275" s="227"/>
      <c r="UXA275" s="227"/>
      <c r="UXB275" s="227"/>
      <c r="UXC275" s="227"/>
      <c r="UXD275" s="227"/>
      <c r="UXE275" s="227"/>
      <c r="UXF275" s="227"/>
      <c r="UXG275" s="227"/>
      <c r="UXH275" s="227"/>
      <c r="UXI275" s="227"/>
      <c r="UXJ275" s="227"/>
      <c r="UXK275" s="227"/>
      <c r="UXL275" s="227"/>
      <c r="UXM275" s="227"/>
      <c r="UXN275" s="227"/>
      <c r="UXO275" s="227"/>
      <c r="UXP275" s="227"/>
      <c r="UXQ275" s="227"/>
      <c r="UXR275" s="227"/>
      <c r="UXS275" s="227"/>
      <c r="UXT275" s="227"/>
      <c r="UXU275" s="227"/>
      <c r="UXV275" s="227"/>
      <c r="UXW275" s="227"/>
      <c r="UXX275" s="227"/>
      <c r="UXY275" s="227"/>
      <c r="UXZ275" s="227"/>
      <c r="UYA275" s="227"/>
      <c r="UYB275" s="227"/>
      <c r="UYC275" s="227"/>
      <c r="UYD275" s="227"/>
      <c r="UYE275" s="227"/>
      <c r="UYF275" s="227"/>
      <c r="UYG275" s="227"/>
      <c r="UYH275" s="227"/>
      <c r="UYI275" s="227"/>
      <c r="UYJ275" s="227"/>
      <c r="UYK275" s="227"/>
      <c r="UYL275" s="227"/>
      <c r="UYM275" s="227"/>
      <c r="UYN275" s="227"/>
      <c r="UYO275" s="227"/>
      <c r="UYP275" s="227"/>
      <c r="UYQ275" s="227"/>
      <c r="UYR275" s="227"/>
      <c r="UYS275" s="227"/>
      <c r="UYT275" s="227"/>
      <c r="UYU275" s="227"/>
      <c r="UYV275" s="227"/>
      <c r="UYW275" s="227"/>
      <c r="UYX275" s="227"/>
      <c r="UYY275" s="227"/>
      <c r="UYZ275" s="227"/>
      <c r="UZA275" s="227"/>
      <c r="UZB275" s="227"/>
      <c r="UZC275" s="227"/>
      <c r="UZD275" s="227"/>
      <c r="UZE275" s="227"/>
      <c r="UZF275" s="227"/>
      <c r="UZG275" s="227"/>
      <c r="UZH275" s="227"/>
      <c r="UZI275" s="227"/>
      <c r="UZJ275" s="227"/>
      <c r="UZK275" s="227"/>
      <c r="UZL275" s="227"/>
      <c r="UZM275" s="227"/>
      <c r="UZN275" s="227"/>
      <c r="UZO275" s="227"/>
      <c r="UZP275" s="227"/>
      <c r="UZQ275" s="227"/>
      <c r="UZR275" s="227"/>
      <c r="UZS275" s="227"/>
      <c r="UZT275" s="227"/>
      <c r="UZU275" s="227"/>
      <c r="UZV275" s="227"/>
      <c r="UZW275" s="227"/>
      <c r="UZX275" s="227"/>
      <c r="UZY275" s="227"/>
      <c r="UZZ275" s="227"/>
      <c r="VAA275" s="227"/>
      <c r="VAB275" s="227"/>
      <c r="VAC275" s="227"/>
      <c r="VAD275" s="227"/>
      <c r="VAE275" s="227"/>
      <c r="VAF275" s="227"/>
      <c r="VAG275" s="227"/>
      <c r="VAH275" s="227"/>
      <c r="VAI275" s="227"/>
      <c r="VAJ275" s="227"/>
      <c r="VAK275" s="227"/>
      <c r="VAL275" s="227"/>
      <c r="VAM275" s="227"/>
      <c r="VAN275" s="227"/>
      <c r="VAO275" s="227"/>
      <c r="VAP275" s="227"/>
      <c r="VAQ275" s="227"/>
      <c r="VAR275" s="227"/>
      <c r="VAS275" s="227"/>
      <c r="VAT275" s="227"/>
      <c r="VAU275" s="227"/>
      <c r="VAV275" s="227"/>
      <c r="VAW275" s="227"/>
      <c r="VAX275" s="227"/>
      <c r="VAY275" s="227"/>
      <c r="VAZ275" s="227"/>
      <c r="VBA275" s="227"/>
      <c r="VBB275" s="227"/>
      <c r="VBC275" s="227"/>
      <c r="VBD275" s="227"/>
      <c r="VBE275" s="227"/>
      <c r="VBF275" s="227"/>
      <c r="VBG275" s="227"/>
      <c r="VBH275" s="227"/>
      <c r="VBI275" s="227"/>
      <c r="VBJ275" s="227"/>
      <c r="VBK275" s="227"/>
      <c r="VBL275" s="227"/>
      <c r="VBM275" s="227"/>
      <c r="VBN275" s="227"/>
      <c r="VBO275" s="227"/>
      <c r="VBP275" s="227"/>
      <c r="VBQ275" s="227"/>
      <c r="VBR275" s="227"/>
      <c r="VBS275" s="227"/>
      <c r="VBT275" s="227"/>
      <c r="VBU275" s="227"/>
      <c r="VBV275" s="227"/>
      <c r="VBW275" s="227"/>
      <c r="VBX275" s="227"/>
      <c r="VBY275" s="227"/>
      <c r="VBZ275" s="227"/>
      <c r="VCA275" s="227"/>
      <c r="VCB275" s="227"/>
      <c r="VCC275" s="227"/>
      <c r="VCD275" s="227"/>
      <c r="VCE275" s="227"/>
      <c r="VCF275" s="227"/>
      <c r="VCG275" s="227"/>
      <c r="VCH275" s="227"/>
      <c r="VCI275" s="227"/>
      <c r="VCJ275" s="227"/>
      <c r="VCK275" s="227"/>
      <c r="VCL275" s="227"/>
      <c r="VCM275" s="227"/>
      <c r="VCN275" s="227"/>
      <c r="VCO275" s="227"/>
      <c r="VCP275" s="227"/>
      <c r="VCQ275" s="227"/>
      <c r="VCR275" s="227"/>
      <c r="VCS275" s="227"/>
      <c r="VCT275" s="227"/>
      <c r="VCU275" s="227"/>
      <c r="VCV275" s="227"/>
      <c r="VCW275" s="227"/>
      <c r="VCX275" s="227"/>
      <c r="VCY275" s="227"/>
      <c r="VCZ275" s="227"/>
      <c r="VDA275" s="227"/>
      <c r="VDB275" s="227"/>
      <c r="VDC275" s="227"/>
      <c r="VDD275" s="227"/>
      <c r="VDE275" s="227"/>
      <c r="VDF275" s="227"/>
      <c r="VDG275" s="227"/>
      <c r="VDH275" s="227"/>
      <c r="VDI275" s="227"/>
      <c r="VDJ275" s="227"/>
      <c r="VDK275" s="227"/>
      <c r="VDL275" s="227"/>
      <c r="VDM275" s="227"/>
      <c r="VDN275" s="227"/>
      <c r="VDO275" s="227"/>
      <c r="VDP275" s="227"/>
      <c r="VDQ275" s="227"/>
      <c r="VDR275" s="227"/>
      <c r="VDS275" s="227"/>
      <c r="VDT275" s="227"/>
      <c r="VDU275" s="227"/>
      <c r="VDV275" s="227"/>
      <c r="VDW275" s="227"/>
      <c r="VDX275" s="227"/>
      <c r="VDY275" s="227"/>
      <c r="VDZ275" s="227"/>
      <c r="VEA275" s="227"/>
      <c r="VEB275" s="227"/>
      <c r="VEC275" s="227"/>
      <c r="VED275" s="227"/>
      <c r="VEE275" s="227"/>
      <c r="VEF275" s="227"/>
      <c r="VEG275" s="227"/>
      <c r="VEH275" s="227"/>
      <c r="VEI275" s="227"/>
      <c r="VEJ275" s="227"/>
      <c r="VEK275" s="227"/>
      <c r="VEL275" s="227"/>
      <c r="VEM275" s="227"/>
      <c r="VEN275" s="227"/>
      <c r="VEO275" s="227"/>
      <c r="VEP275" s="227"/>
      <c r="VEQ275" s="227"/>
      <c r="VER275" s="227"/>
      <c r="VES275" s="227"/>
      <c r="VET275" s="227"/>
      <c r="VEU275" s="227"/>
      <c r="VEV275" s="227"/>
      <c r="VEW275" s="227"/>
      <c r="VEX275" s="227"/>
      <c r="VEY275" s="227"/>
      <c r="VEZ275" s="227"/>
      <c r="VFA275" s="227"/>
      <c r="VFB275" s="227"/>
      <c r="VFC275" s="227"/>
      <c r="VFD275" s="227"/>
      <c r="VFE275" s="227"/>
      <c r="VFF275" s="227"/>
      <c r="VFG275" s="227"/>
      <c r="VFH275" s="227"/>
      <c r="VFI275" s="227"/>
      <c r="VFJ275" s="227"/>
      <c r="VFK275" s="227"/>
      <c r="VFL275" s="227"/>
      <c r="VFM275" s="227"/>
      <c r="VFN275" s="227"/>
      <c r="VFO275" s="227"/>
      <c r="VFP275" s="227"/>
      <c r="VFQ275" s="227"/>
      <c r="VFR275" s="227"/>
      <c r="VFS275" s="227"/>
      <c r="VFT275" s="227"/>
      <c r="VFU275" s="227"/>
      <c r="VFV275" s="227"/>
      <c r="VFW275" s="227"/>
      <c r="VFX275" s="227"/>
      <c r="VFY275" s="227"/>
      <c r="VFZ275" s="227"/>
      <c r="VGA275" s="227"/>
      <c r="VGB275" s="227"/>
      <c r="VGC275" s="227"/>
      <c r="VGD275" s="227"/>
      <c r="VGE275" s="227"/>
      <c r="VGF275" s="227"/>
      <c r="VGG275" s="227"/>
      <c r="VGH275" s="227"/>
      <c r="VGI275" s="227"/>
      <c r="VGJ275" s="227"/>
      <c r="VGK275" s="227"/>
      <c r="VGL275" s="227"/>
      <c r="VGM275" s="227"/>
      <c r="VGN275" s="227"/>
      <c r="VGO275" s="227"/>
      <c r="VGP275" s="227"/>
      <c r="VGQ275" s="227"/>
      <c r="VGR275" s="227"/>
      <c r="VGS275" s="227"/>
      <c r="VGT275" s="227"/>
      <c r="VGU275" s="227"/>
      <c r="VGV275" s="227"/>
      <c r="VGW275" s="227"/>
      <c r="VGX275" s="227"/>
      <c r="VGY275" s="227"/>
      <c r="VGZ275" s="227"/>
      <c r="VHA275" s="227"/>
      <c r="VHB275" s="227"/>
      <c r="VHC275" s="227"/>
      <c r="VHD275" s="227"/>
      <c r="VHE275" s="227"/>
      <c r="VHF275" s="227"/>
      <c r="VHG275" s="227"/>
      <c r="VHH275" s="227"/>
      <c r="VHI275" s="227"/>
      <c r="VHJ275" s="227"/>
      <c r="VHK275" s="227"/>
      <c r="VHL275" s="227"/>
      <c r="VHM275" s="227"/>
      <c r="VHN275" s="227"/>
      <c r="VHO275" s="227"/>
      <c r="VHP275" s="227"/>
      <c r="VHQ275" s="227"/>
      <c r="VHR275" s="227"/>
      <c r="VHS275" s="227"/>
      <c r="VHT275" s="227"/>
      <c r="VHU275" s="227"/>
      <c r="VHV275" s="227"/>
      <c r="VHW275" s="227"/>
      <c r="VHX275" s="227"/>
      <c r="VHY275" s="227"/>
      <c r="VHZ275" s="227"/>
      <c r="VIA275" s="227"/>
      <c r="VIB275" s="227"/>
      <c r="VIC275" s="227"/>
      <c r="VID275" s="227"/>
      <c r="VIE275" s="227"/>
      <c r="VIF275" s="227"/>
      <c r="VIG275" s="227"/>
      <c r="VIH275" s="227"/>
      <c r="VII275" s="227"/>
      <c r="VIJ275" s="227"/>
      <c r="VIK275" s="227"/>
      <c r="VIL275" s="227"/>
      <c r="VIM275" s="227"/>
      <c r="VIN275" s="227"/>
      <c r="VIO275" s="227"/>
      <c r="VIP275" s="227"/>
      <c r="VIQ275" s="227"/>
      <c r="VIR275" s="227"/>
      <c r="VIS275" s="227"/>
      <c r="VIT275" s="227"/>
      <c r="VIU275" s="227"/>
      <c r="VIV275" s="227"/>
      <c r="VIW275" s="227"/>
      <c r="VIX275" s="227"/>
      <c r="VIY275" s="227"/>
      <c r="VIZ275" s="227"/>
      <c r="VJA275" s="227"/>
      <c r="VJB275" s="227"/>
      <c r="VJC275" s="227"/>
      <c r="VJD275" s="227"/>
      <c r="VJE275" s="227"/>
      <c r="VJF275" s="227"/>
      <c r="VJG275" s="227"/>
      <c r="VJH275" s="227"/>
      <c r="VJI275" s="227"/>
      <c r="VJJ275" s="227"/>
      <c r="VJK275" s="227"/>
      <c r="VJL275" s="227"/>
      <c r="VJM275" s="227"/>
      <c r="VJN275" s="227"/>
      <c r="VJO275" s="227"/>
      <c r="VJP275" s="227"/>
      <c r="VJQ275" s="227"/>
      <c r="VJR275" s="227"/>
      <c r="VJS275" s="227"/>
      <c r="VJT275" s="227"/>
      <c r="VJU275" s="227"/>
      <c r="VJV275" s="227"/>
      <c r="VJW275" s="227"/>
      <c r="VJX275" s="227"/>
      <c r="VJY275" s="227"/>
      <c r="VJZ275" s="227"/>
      <c r="VKA275" s="227"/>
      <c r="VKB275" s="227"/>
      <c r="VKC275" s="227"/>
      <c r="VKD275" s="227"/>
      <c r="VKE275" s="227"/>
      <c r="VKF275" s="227"/>
      <c r="VKG275" s="227"/>
      <c r="VKH275" s="227"/>
      <c r="VKI275" s="227"/>
      <c r="VKJ275" s="227"/>
      <c r="VKK275" s="227"/>
      <c r="VKL275" s="227"/>
      <c r="VKM275" s="227"/>
      <c r="VKN275" s="227"/>
      <c r="VKO275" s="227"/>
      <c r="VKP275" s="227"/>
      <c r="VKQ275" s="227"/>
      <c r="VKR275" s="227"/>
      <c r="VKS275" s="227"/>
      <c r="VKT275" s="227"/>
      <c r="VKU275" s="227"/>
      <c r="VKV275" s="227"/>
      <c r="VKW275" s="227"/>
      <c r="VKX275" s="227"/>
      <c r="VKY275" s="227"/>
      <c r="VKZ275" s="227"/>
      <c r="VLA275" s="227"/>
      <c r="VLB275" s="227"/>
      <c r="VLC275" s="227"/>
      <c r="VLD275" s="227"/>
      <c r="VLE275" s="227"/>
      <c r="VLF275" s="227"/>
      <c r="VLG275" s="227"/>
      <c r="VLH275" s="227"/>
      <c r="VLI275" s="227"/>
      <c r="VLJ275" s="227"/>
      <c r="VLK275" s="227"/>
      <c r="VLL275" s="227"/>
      <c r="VLM275" s="227"/>
      <c r="VLN275" s="227"/>
      <c r="VLO275" s="227"/>
      <c r="VLP275" s="227"/>
      <c r="VLQ275" s="227"/>
      <c r="VLR275" s="227"/>
      <c r="VLS275" s="227"/>
      <c r="VLT275" s="227"/>
      <c r="VLU275" s="227"/>
      <c r="VLV275" s="227"/>
      <c r="VLW275" s="227"/>
      <c r="VLX275" s="227"/>
      <c r="VLY275" s="227"/>
      <c r="VLZ275" s="227"/>
      <c r="VMA275" s="227"/>
      <c r="VMB275" s="227"/>
      <c r="VMC275" s="227"/>
      <c r="VMD275" s="227"/>
      <c r="VME275" s="227"/>
      <c r="VMF275" s="227"/>
      <c r="VMG275" s="227"/>
      <c r="VMH275" s="227"/>
      <c r="VMI275" s="227"/>
      <c r="VMJ275" s="227"/>
      <c r="VMK275" s="227"/>
      <c r="VML275" s="227"/>
      <c r="VMM275" s="227"/>
      <c r="VMN275" s="227"/>
      <c r="VMO275" s="227"/>
      <c r="VMP275" s="227"/>
      <c r="VMQ275" s="227"/>
      <c r="VMR275" s="227"/>
      <c r="VMS275" s="227"/>
      <c r="VMT275" s="227"/>
      <c r="VMU275" s="227"/>
      <c r="VMV275" s="227"/>
      <c r="VMW275" s="227"/>
      <c r="VMX275" s="227"/>
      <c r="VMY275" s="227"/>
      <c r="VMZ275" s="227"/>
      <c r="VNA275" s="227"/>
      <c r="VNB275" s="227"/>
      <c r="VNC275" s="227"/>
      <c r="VND275" s="227"/>
      <c r="VNE275" s="227"/>
      <c r="VNF275" s="227"/>
      <c r="VNG275" s="227"/>
      <c r="VNH275" s="227"/>
      <c r="VNI275" s="227"/>
      <c r="VNJ275" s="227"/>
      <c r="VNK275" s="227"/>
      <c r="VNL275" s="227"/>
      <c r="VNM275" s="227"/>
      <c r="VNN275" s="227"/>
      <c r="VNO275" s="227"/>
      <c r="VNP275" s="227"/>
      <c r="VNQ275" s="227"/>
      <c r="VNR275" s="227"/>
      <c r="VNS275" s="227"/>
      <c r="VNT275" s="227"/>
      <c r="VNU275" s="227"/>
      <c r="VNV275" s="227"/>
      <c r="VNW275" s="227"/>
      <c r="VNX275" s="227"/>
      <c r="VNY275" s="227"/>
      <c r="VNZ275" s="227"/>
      <c r="VOA275" s="227"/>
      <c r="VOB275" s="227"/>
      <c r="VOC275" s="227"/>
      <c r="VOD275" s="227"/>
      <c r="VOE275" s="227"/>
      <c r="VOF275" s="227"/>
      <c r="VOG275" s="227"/>
      <c r="VOH275" s="227"/>
      <c r="VOI275" s="227"/>
      <c r="VOJ275" s="227"/>
      <c r="VOK275" s="227"/>
      <c r="VOL275" s="227"/>
      <c r="VOM275" s="227"/>
      <c r="VON275" s="227"/>
      <c r="VOO275" s="227"/>
      <c r="VOP275" s="227"/>
      <c r="VOQ275" s="227"/>
      <c r="VOR275" s="227"/>
      <c r="VOS275" s="227"/>
      <c r="VOT275" s="227"/>
      <c r="VOU275" s="227"/>
      <c r="VOV275" s="227"/>
      <c r="VOW275" s="227"/>
      <c r="VOX275" s="227"/>
      <c r="VOY275" s="227"/>
      <c r="VOZ275" s="227"/>
      <c r="VPA275" s="227"/>
      <c r="VPB275" s="227"/>
      <c r="VPC275" s="227"/>
      <c r="VPD275" s="227"/>
      <c r="VPE275" s="227"/>
      <c r="VPF275" s="227"/>
      <c r="VPG275" s="227"/>
      <c r="VPH275" s="227"/>
      <c r="VPI275" s="227"/>
      <c r="VPJ275" s="227"/>
      <c r="VPK275" s="227"/>
      <c r="VPL275" s="227"/>
      <c r="VPM275" s="227"/>
      <c r="VPN275" s="227"/>
      <c r="VPO275" s="227"/>
      <c r="VPP275" s="227"/>
      <c r="VPQ275" s="227"/>
      <c r="VPR275" s="227"/>
      <c r="VPS275" s="227"/>
      <c r="VPT275" s="227"/>
      <c r="VPU275" s="227"/>
      <c r="VPV275" s="227"/>
      <c r="VPW275" s="227"/>
      <c r="VPX275" s="227"/>
      <c r="VPY275" s="227"/>
      <c r="VPZ275" s="227"/>
      <c r="VQA275" s="227"/>
      <c r="VQB275" s="227"/>
      <c r="VQC275" s="227"/>
      <c r="VQD275" s="227"/>
      <c r="VQE275" s="227"/>
      <c r="VQF275" s="227"/>
      <c r="VQG275" s="227"/>
      <c r="VQH275" s="227"/>
      <c r="VQI275" s="227"/>
      <c r="VQJ275" s="227"/>
      <c r="VQK275" s="227"/>
      <c r="VQL275" s="227"/>
      <c r="VQM275" s="227"/>
      <c r="VQN275" s="227"/>
      <c r="VQO275" s="227"/>
      <c r="VQP275" s="227"/>
      <c r="VQQ275" s="227"/>
      <c r="VQR275" s="227"/>
      <c r="VQS275" s="227"/>
      <c r="VQT275" s="227"/>
      <c r="VQU275" s="227"/>
      <c r="VQV275" s="227"/>
      <c r="VQW275" s="227"/>
      <c r="VQX275" s="227"/>
      <c r="VQY275" s="227"/>
      <c r="VQZ275" s="227"/>
      <c r="VRA275" s="227"/>
      <c r="VRB275" s="227"/>
      <c r="VRC275" s="227"/>
      <c r="VRD275" s="227"/>
      <c r="VRE275" s="227"/>
      <c r="VRF275" s="227"/>
      <c r="VRG275" s="227"/>
      <c r="VRH275" s="227"/>
      <c r="VRI275" s="227"/>
      <c r="VRJ275" s="227"/>
      <c r="VRK275" s="227"/>
      <c r="VRL275" s="227"/>
      <c r="VRM275" s="227"/>
      <c r="VRN275" s="227"/>
      <c r="VRO275" s="227"/>
      <c r="VRP275" s="227"/>
      <c r="VRQ275" s="227"/>
      <c r="VRR275" s="227"/>
      <c r="VRS275" s="227"/>
      <c r="VRT275" s="227"/>
      <c r="VRU275" s="227"/>
      <c r="VRV275" s="227"/>
      <c r="VRW275" s="227"/>
      <c r="VRX275" s="227"/>
      <c r="VRY275" s="227"/>
      <c r="VRZ275" s="227"/>
      <c r="VSA275" s="227"/>
      <c r="VSB275" s="227"/>
      <c r="VSC275" s="227"/>
      <c r="VSD275" s="227"/>
      <c r="VSE275" s="227"/>
      <c r="VSF275" s="227"/>
      <c r="VSG275" s="227"/>
      <c r="VSH275" s="227"/>
      <c r="VSI275" s="227"/>
      <c r="VSJ275" s="227"/>
      <c r="VSK275" s="227"/>
      <c r="VSL275" s="227"/>
      <c r="VSM275" s="227"/>
      <c r="VSN275" s="227"/>
      <c r="VSO275" s="227"/>
      <c r="VSP275" s="227"/>
      <c r="VSQ275" s="227"/>
      <c r="VSR275" s="227"/>
      <c r="VSS275" s="227"/>
      <c r="VST275" s="227"/>
      <c r="VSU275" s="227"/>
      <c r="VSV275" s="227"/>
      <c r="VSW275" s="227"/>
      <c r="VSX275" s="227"/>
      <c r="VSY275" s="227"/>
      <c r="VSZ275" s="227"/>
      <c r="VTA275" s="227"/>
      <c r="VTB275" s="227"/>
      <c r="VTC275" s="227"/>
      <c r="VTD275" s="227"/>
      <c r="VTE275" s="227"/>
      <c r="VTF275" s="227"/>
      <c r="VTG275" s="227"/>
      <c r="VTH275" s="227"/>
      <c r="VTI275" s="227"/>
      <c r="VTJ275" s="227"/>
      <c r="VTK275" s="227"/>
      <c r="VTL275" s="227"/>
      <c r="VTM275" s="227"/>
      <c r="VTN275" s="227"/>
      <c r="VTO275" s="227"/>
      <c r="VTP275" s="227"/>
      <c r="VTQ275" s="227"/>
      <c r="VTR275" s="227"/>
      <c r="VTS275" s="227"/>
      <c r="VTT275" s="227"/>
      <c r="VTU275" s="227"/>
      <c r="VTV275" s="227"/>
      <c r="VTW275" s="227"/>
      <c r="VTX275" s="227"/>
      <c r="VTY275" s="227"/>
      <c r="VTZ275" s="227"/>
      <c r="VUA275" s="227"/>
      <c r="VUB275" s="227"/>
      <c r="VUC275" s="227"/>
      <c r="VUD275" s="227"/>
      <c r="VUE275" s="227"/>
      <c r="VUF275" s="227"/>
      <c r="VUG275" s="227"/>
      <c r="VUH275" s="227"/>
      <c r="VUI275" s="227"/>
      <c r="VUJ275" s="227"/>
      <c r="VUK275" s="227"/>
      <c r="VUL275" s="227"/>
      <c r="VUM275" s="227"/>
      <c r="VUN275" s="227"/>
      <c r="VUO275" s="227"/>
      <c r="VUP275" s="227"/>
      <c r="VUQ275" s="227"/>
      <c r="VUR275" s="227"/>
      <c r="VUS275" s="227"/>
      <c r="VUT275" s="227"/>
      <c r="VUU275" s="227"/>
      <c r="VUV275" s="227"/>
      <c r="VUW275" s="227"/>
      <c r="VUX275" s="227"/>
      <c r="VUY275" s="227"/>
      <c r="VUZ275" s="227"/>
      <c r="VVA275" s="227"/>
      <c r="VVB275" s="227"/>
      <c r="VVC275" s="227"/>
      <c r="VVD275" s="227"/>
      <c r="VVE275" s="227"/>
      <c r="VVF275" s="227"/>
      <c r="VVG275" s="227"/>
      <c r="VVH275" s="227"/>
      <c r="VVI275" s="227"/>
      <c r="VVJ275" s="227"/>
      <c r="VVK275" s="227"/>
      <c r="VVL275" s="227"/>
      <c r="VVM275" s="227"/>
      <c r="VVN275" s="227"/>
      <c r="VVO275" s="227"/>
      <c r="VVP275" s="227"/>
      <c r="VVQ275" s="227"/>
      <c r="VVR275" s="227"/>
      <c r="VVS275" s="227"/>
      <c r="VVT275" s="227"/>
      <c r="VVU275" s="227"/>
      <c r="VVV275" s="227"/>
      <c r="VVW275" s="227"/>
      <c r="VVX275" s="227"/>
      <c r="VVY275" s="227"/>
      <c r="VVZ275" s="227"/>
      <c r="VWA275" s="227"/>
      <c r="VWB275" s="227"/>
      <c r="VWC275" s="227"/>
      <c r="VWD275" s="227"/>
      <c r="VWE275" s="227"/>
      <c r="VWF275" s="227"/>
      <c r="VWG275" s="227"/>
      <c r="VWH275" s="227"/>
      <c r="VWI275" s="227"/>
      <c r="VWJ275" s="227"/>
      <c r="VWK275" s="227"/>
      <c r="VWL275" s="227"/>
      <c r="VWM275" s="227"/>
      <c r="VWN275" s="227"/>
      <c r="VWO275" s="227"/>
      <c r="VWP275" s="227"/>
      <c r="VWQ275" s="227"/>
      <c r="VWR275" s="227"/>
      <c r="VWS275" s="227"/>
      <c r="VWT275" s="227"/>
      <c r="VWU275" s="227"/>
      <c r="VWV275" s="227"/>
      <c r="VWW275" s="227"/>
      <c r="VWX275" s="227"/>
      <c r="VWY275" s="227"/>
      <c r="VWZ275" s="227"/>
      <c r="VXA275" s="227"/>
      <c r="VXB275" s="227"/>
      <c r="VXC275" s="227"/>
      <c r="VXD275" s="227"/>
      <c r="VXE275" s="227"/>
      <c r="VXF275" s="227"/>
      <c r="VXG275" s="227"/>
      <c r="VXH275" s="227"/>
      <c r="VXI275" s="227"/>
      <c r="VXJ275" s="227"/>
      <c r="VXK275" s="227"/>
      <c r="VXL275" s="227"/>
      <c r="VXM275" s="227"/>
      <c r="VXN275" s="227"/>
      <c r="VXO275" s="227"/>
      <c r="VXP275" s="227"/>
      <c r="VXQ275" s="227"/>
      <c r="VXR275" s="227"/>
      <c r="VXS275" s="227"/>
      <c r="VXT275" s="227"/>
      <c r="VXU275" s="227"/>
      <c r="VXV275" s="227"/>
      <c r="VXW275" s="227"/>
      <c r="VXX275" s="227"/>
      <c r="VXY275" s="227"/>
      <c r="VXZ275" s="227"/>
      <c r="VYA275" s="227"/>
      <c r="VYB275" s="227"/>
      <c r="VYC275" s="227"/>
      <c r="VYD275" s="227"/>
      <c r="VYE275" s="227"/>
      <c r="VYF275" s="227"/>
      <c r="VYG275" s="227"/>
      <c r="VYH275" s="227"/>
      <c r="VYI275" s="227"/>
      <c r="VYJ275" s="227"/>
      <c r="VYK275" s="227"/>
      <c r="VYL275" s="227"/>
      <c r="VYM275" s="227"/>
      <c r="VYN275" s="227"/>
      <c r="VYO275" s="227"/>
      <c r="VYP275" s="227"/>
      <c r="VYQ275" s="227"/>
      <c r="VYR275" s="227"/>
      <c r="VYS275" s="227"/>
      <c r="VYT275" s="227"/>
      <c r="VYU275" s="227"/>
      <c r="VYV275" s="227"/>
      <c r="VYW275" s="227"/>
      <c r="VYX275" s="227"/>
      <c r="VYY275" s="227"/>
      <c r="VYZ275" s="227"/>
      <c r="VZA275" s="227"/>
      <c r="VZB275" s="227"/>
      <c r="VZC275" s="227"/>
      <c r="VZD275" s="227"/>
      <c r="VZE275" s="227"/>
      <c r="VZF275" s="227"/>
      <c r="VZG275" s="227"/>
      <c r="VZH275" s="227"/>
      <c r="VZI275" s="227"/>
      <c r="VZJ275" s="227"/>
      <c r="VZK275" s="227"/>
      <c r="VZL275" s="227"/>
      <c r="VZM275" s="227"/>
      <c r="VZN275" s="227"/>
      <c r="VZO275" s="227"/>
      <c r="VZP275" s="227"/>
      <c r="VZQ275" s="227"/>
      <c r="VZR275" s="227"/>
      <c r="VZS275" s="227"/>
      <c r="VZT275" s="227"/>
      <c r="VZU275" s="227"/>
      <c r="VZV275" s="227"/>
      <c r="VZW275" s="227"/>
      <c r="VZX275" s="227"/>
      <c r="VZY275" s="227"/>
      <c r="VZZ275" s="227"/>
      <c r="WAA275" s="227"/>
      <c r="WAB275" s="227"/>
      <c r="WAC275" s="227"/>
      <c r="WAD275" s="227"/>
      <c r="WAE275" s="227"/>
      <c r="WAF275" s="227"/>
      <c r="WAG275" s="227"/>
      <c r="WAH275" s="227"/>
      <c r="WAI275" s="227"/>
      <c r="WAJ275" s="227"/>
      <c r="WAK275" s="227"/>
      <c r="WAL275" s="227"/>
      <c r="WAM275" s="227"/>
      <c r="WAN275" s="227"/>
      <c r="WAO275" s="227"/>
      <c r="WAP275" s="227"/>
      <c r="WAQ275" s="227"/>
      <c r="WAR275" s="227"/>
      <c r="WAS275" s="227"/>
      <c r="WAT275" s="227"/>
      <c r="WAU275" s="227"/>
      <c r="WAV275" s="227"/>
      <c r="WAW275" s="227"/>
      <c r="WAX275" s="227"/>
      <c r="WAY275" s="227"/>
      <c r="WAZ275" s="227"/>
      <c r="WBA275" s="227"/>
      <c r="WBB275" s="227"/>
      <c r="WBC275" s="227"/>
      <c r="WBD275" s="227"/>
      <c r="WBE275" s="227"/>
      <c r="WBF275" s="227"/>
      <c r="WBG275" s="227"/>
      <c r="WBH275" s="227"/>
      <c r="WBI275" s="227"/>
      <c r="WBJ275" s="227"/>
      <c r="WBK275" s="227"/>
      <c r="WBL275" s="227"/>
      <c r="WBM275" s="227"/>
      <c r="WBN275" s="227"/>
      <c r="WBO275" s="227"/>
      <c r="WBP275" s="227"/>
      <c r="WBQ275" s="227"/>
      <c r="WBR275" s="227"/>
      <c r="WBS275" s="227"/>
      <c r="WBT275" s="227"/>
      <c r="WBU275" s="227"/>
      <c r="WBV275" s="227"/>
      <c r="WBW275" s="227"/>
      <c r="WBX275" s="227"/>
      <c r="WBY275" s="227"/>
      <c r="WBZ275" s="227"/>
      <c r="WCA275" s="227"/>
      <c r="WCB275" s="227"/>
      <c r="WCC275" s="227"/>
      <c r="WCD275" s="227"/>
      <c r="WCE275" s="227"/>
      <c r="WCF275" s="227"/>
      <c r="WCG275" s="227"/>
      <c r="WCH275" s="227"/>
      <c r="WCI275" s="227"/>
      <c r="WCJ275" s="227"/>
      <c r="WCK275" s="227"/>
      <c r="WCL275" s="227"/>
      <c r="WCM275" s="227"/>
      <c r="WCN275" s="227"/>
      <c r="WCO275" s="227"/>
      <c r="WCP275" s="227"/>
      <c r="WCQ275" s="227"/>
      <c r="WCR275" s="227"/>
      <c r="WCS275" s="227"/>
      <c r="WCT275" s="227"/>
      <c r="WCU275" s="227"/>
      <c r="WCV275" s="227"/>
      <c r="WCW275" s="227"/>
      <c r="WCX275" s="227"/>
      <c r="WCY275" s="227"/>
      <c r="WCZ275" s="227"/>
      <c r="WDA275" s="227"/>
      <c r="WDB275" s="227"/>
      <c r="WDC275" s="227"/>
      <c r="WDD275" s="227"/>
      <c r="WDE275" s="227"/>
      <c r="WDF275" s="227"/>
      <c r="WDG275" s="227"/>
      <c r="WDH275" s="227"/>
      <c r="WDI275" s="227"/>
      <c r="WDJ275" s="227"/>
      <c r="WDK275" s="227"/>
      <c r="WDL275" s="227"/>
      <c r="WDM275" s="227"/>
      <c r="WDN275" s="227"/>
      <c r="WDO275" s="227"/>
      <c r="WDP275" s="227"/>
      <c r="WDQ275" s="227"/>
      <c r="WDR275" s="227"/>
      <c r="WDS275" s="227"/>
      <c r="WDT275" s="227"/>
      <c r="WDU275" s="227"/>
      <c r="WDV275" s="227"/>
      <c r="WDW275" s="227"/>
      <c r="WDX275" s="227"/>
      <c r="WDY275" s="227"/>
      <c r="WDZ275" s="227"/>
      <c r="WEA275" s="227"/>
      <c r="WEB275" s="227"/>
      <c r="WEC275" s="227"/>
      <c r="WED275" s="227"/>
      <c r="WEE275" s="227"/>
      <c r="WEF275" s="227"/>
      <c r="WEG275" s="227"/>
      <c r="WEH275" s="227"/>
      <c r="WEI275" s="227"/>
      <c r="WEJ275" s="227"/>
      <c r="WEK275" s="227"/>
      <c r="WEL275" s="227"/>
      <c r="WEM275" s="227"/>
      <c r="WEN275" s="227"/>
      <c r="WEO275" s="227"/>
      <c r="WEP275" s="227"/>
      <c r="WEQ275" s="227"/>
      <c r="WER275" s="227"/>
      <c r="WES275" s="227"/>
      <c r="WET275" s="227"/>
      <c r="WEU275" s="227"/>
      <c r="WEV275" s="227"/>
      <c r="WEW275" s="227"/>
      <c r="WEX275" s="227"/>
      <c r="WEY275" s="227"/>
      <c r="WEZ275" s="227"/>
      <c r="WFA275" s="227"/>
      <c r="WFB275" s="227"/>
      <c r="WFC275" s="227"/>
      <c r="WFD275" s="227"/>
      <c r="WFE275" s="227"/>
      <c r="WFF275" s="227"/>
      <c r="WFG275" s="227"/>
      <c r="WFH275" s="227"/>
      <c r="WFI275" s="227"/>
      <c r="WFJ275" s="227"/>
      <c r="WFK275" s="227"/>
      <c r="WFL275" s="227"/>
      <c r="WFM275" s="227"/>
      <c r="WFN275" s="227"/>
      <c r="WFO275" s="227"/>
      <c r="WFP275" s="227"/>
      <c r="WFQ275" s="227"/>
      <c r="WFR275" s="227"/>
      <c r="WFS275" s="227"/>
      <c r="WFT275" s="227"/>
      <c r="WFU275" s="227"/>
      <c r="WFV275" s="227"/>
      <c r="WFW275" s="227"/>
      <c r="WFX275" s="227"/>
      <c r="WFY275" s="227"/>
      <c r="WFZ275" s="227"/>
      <c r="WGA275" s="227"/>
      <c r="WGB275" s="227"/>
      <c r="WGC275" s="227"/>
      <c r="WGD275" s="227"/>
      <c r="WGE275" s="227"/>
      <c r="WGF275" s="227"/>
      <c r="WGG275" s="227"/>
      <c r="WGH275" s="227"/>
      <c r="WGI275" s="227"/>
      <c r="WGJ275" s="227"/>
      <c r="WGK275" s="227"/>
      <c r="WGL275" s="227"/>
      <c r="WGM275" s="227"/>
      <c r="WGN275" s="227"/>
      <c r="WGO275" s="227"/>
      <c r="WGP275" s="227"/>
      <c r="WGQ275" s="227"/>
      <c r="WGR275" s="227"/>
      <c r="WGS275" s="227"/>
      <c r="WGT275" s="227"/>
      <c r="WGU275" s="227"/>
      <c r="WGV275" s="227"/>
      <c r="WGW275" s="227"/>
      <c r="WGX275" s="227"/>
      <c r="WGY275" s="227"/>
      <c r="WGZ275" s="227"/>
      <c r="WHA275" s="227"/>
      <c r="WHB275" s="227"/>
      <c r="WHC275" s="227"/>
      <c r="WHD275" s="227"/>
      <c r="WHE275" s="227"/>
      <c r="WHF275" s="227"/>
      <c r="WHG275" s="227"/>
      <c r="WHH275" s="227"/>
      <c r="WHI275" s="227"/>
      <c r="WHJ275" s="227"/>
      <c r="WHK275" s="227"/>
      <c r="WHL275" s="227"/>
      <c r="WHM275" s="227"/>
      <c r="WHN275" s="227"/>
      <c r="WHO275" s="227"/>
      <c r="WHP275" s="227"/>
      <c r="WHQ275" s="227"/>
      <c r="WHR275" s="227"/>
      <c r="WHS275" s="227"/>
      <c r="WHT275" s="227"/>
      <c r="WHU275" s="227"/>
      <c r="WHV275" s="227"/>
      <c r="WHW275" s="227"/>
      <c r="WHX275" s="227"/>
      <c r="WHY275" s="227"/>
      <c r="WHZ275" s="227"/>
      <c r="WIA275" s="227"/>
      <c r="WIB275" s="227"/>
      <c r="WIC275" s="227"/>
      <c r="WID275" s="227"/>
      <c r="WIE275" s="227"/>
      <c r="WIF275" s="227"/>
      <c r="WIG275" s="227"/>
      <c r="WIH275" s="227"/>
      <c r="WII275" s="227"/>
      <c r="WIJ275" s="227"/>
      <c r="WIK275" s="227"/>
      <c r="WIL275" s="227"/>
      <c r="WIM275" s="227"/>
      <c r="WIN275" s="227"/>
      <c r="WIO275" s="227"/>
      <c r="WIP275" s="227"/>
      <c r="WIQ275" s="227"/>
      <c r="WIR275" s="227"/>
      <c r="WIS275" s="227"/>
      <c r="WIT275" s="227"/>
      <c r="WIU275" s="227"/>
      <c r="WIV275" s="227"/>
      <c r="WIW275" s="227"/>
      <c r="WIX275" s="227"/>
      <c r="WIY275" s="227"/>
      <c r="WIZ275" s="227"/>
      <c r="WJA275" s="227"/>
      <c r="WJB275" s="227"/>
      <c r="WJC275" s="227"/>
      <c r="WJD275" s="227"/>
      <c r="WJE275" s="227"/>
      <c r="WJF275" s="227"/>
      <c r="WJG275" s="227"/>
      <c r="WJH275" s="227"/>
      <c r="WJI275" s="227"/>
      <c r="WJJ275" s="227"/>
      <c r="WJK275" s="227"/>
      <c r="WJL275" s="227"/>
      <c r="WJM275" s="227"/>
      <c r="WJN275" s="227"/>
      <c r="WJO275" s="227"/>
      <c r="WJP275" s="227"/>
      <c r="WJQ275" s="227"/>
      <c r="WJR275" s="227"/>
      <c r="WJS275" s="227"/>
      <c r="WJT275" s="227"/>
      <c r="WJU275" s="227"/>
      <c r="WJV275" s="227"/>
      <c r="WJW275" s="227"/>
      <c r="WJX275" s="227"/>
      <c r="WJY275" s="227"/>
      <c r="WJZ275" s="227"/>
      <c r="WKA275" s="227"/>
      <c r="WKB275" s="227"/>
      <c r="WKC275" s="227"/>
      <c r="WKD275" s="227"/>
      <c r="WKE275" s="227"/>
      <c r="WKF275" s="227"/>
      <c r="WKG275" s="227"/>
      <c r="WKH275" s="227"/>
      <c r="WKI275" s="227"/>
      <c r="WKJ275" s="227"/>
      <c r="WKK275" s="227"/>
      <c r="WKL275" s="227"/>
      <c r="WKM275" s="227"/>
      <c r="WKN275" s="227"/>
      <c r="WKO275" s="227"/>
      <c r="WKP275" s="227"/>
      <c r="WKQ275" s="227"/>
      <c r="WKR275" s="227"/>
      <c r="WKS275" s="227"/>
      <c r="WKT275" s="227"/>
      <c r="WKU275" s="227"/>
      <c r="WKV275" s="227"/>
      <c r="WKW275" s="227"/>
      <c r="WKX275" s="227"/>
      <c r="WKY275" s="227"/>
      <c r="WKZ275" s="227"/>
      <c r="WLA275" s="227"/>
      <c r="WLB275" s="227"/>
      <c r="WLC275" s="227"/>
      <c r="WLD275" s="227"/>
      <c r="WLE275" s="227"/>
      <c r="WLF275" s="227"/>
      <c r="WLG275" s="227"/>
      <c r="WLH275" s="227"/>
      <c r="WLI275" s="227"/>
      <c r="WLJ275" s="227"/>
      <c r="WLK275" s="227"/>
      <c r="WLL275" s="227"/>
      <c r="WLM275" s="227"/>
      <c r="WLN275" s="227"/>
      <c r="WLO275" s="227"/>
      <c r="WLP275" s="227"/>
      <c r="WLQ275" s="227"/>
      <c r="WLR275" s="227"/>
      <c r="WLS275" s="227"/>
      <c r="WLT275" s="227"/>
      <c r="WLU275" s="227"/>
      <c r="WLV275" s="227"/>
      <c r="WLW275" s="227"/>
      <c r="WLX275" s="227"/>
      <c r="WLY275" s="227"/>
      <c r="WLZ275" s="227"/>
      <c r="WMA275" s="227"/>
      <c r="WMB275" s="227"/>
      <c r="WMC275" s="227"/>
      <c r="WMD275" s="227"/>
      <c r="WME275" s="227"/>
      <c r="WMF275" s="227"/>
      <c r="WMG275" s="227"/>
      <c r="WMH275" s="227"/>
      <c r="WMI275" s="227"/>
      <c r="WMJ275" s="227"/>
      <c r="WMK275" s="227"/>
      <c r="WML275" s="227"/>
      <c r="WMM275" s="227"/>
      <c r="WMN275" s="227"/>
      <c r="WMO275" s="227"/>
      <c r="WMP275" s="227"/>
      <c r="WMQ275" s="227"/>
      <c r="WMR275" s="227"/>
      <c r="WMS275" s="227"/>
      <c r="WMT275" s="227"/>
      <c r="WMU275" s="227"/>
      <c r="WMV275" s="227"/>
      <c r="WMW275" s="227"/>
      <c r="WMX275" s="227"/>
      <c r="WMY275" s="227"/>
      <c r="WMZ275" s="227"/>
      <c r="WNA275" s="227"/>
      <c r="WNB275" s="227"/>
      <c r="WNC275" s="227"/>
      <c r="WND275" s="227"/>
      <c r="WNE275" s="227"/>
      <c r="WNF275" s="227"/>
      <c r="WNG275" s="227"/>
      <c r="WNH275" s="227"/>
      <c r="WNI275" s="227"/>
      <c r="WNJ275" s="227"/>
      <c r="WNK275" s="227"/>
      <c r="WNL275" s="227"/>
      <c r="WNM275" s="227"/>
      <c r="WNN275" s="227"/>
      <c r="WNO275" s="227"/>
      <c r="WNP275" s="227"/>
      <c r="WNQ275" s="227"/>
      <c r="WNR275" s="227"/>
      <c r="WNS275" s="227"/>
      <c r="WNT275" s="227"/>
      <c r="WNU275" s="227"/>
      <c r="WNV275" s="227"/>
      <c r="WNW275" s="227"/>
      <c r="WNX275" s="227"/>
      <c r="WNY275" s="227"/>
      <c r="WNZ275" s="227"/>
      <c r="WOA275" s="227"/>
      <c r="WOB275" s="227"/>
      <c r="WOC275" s="227"/>
      <c r="WOD275" s="227"/>
      <c r="WOE275" s="227"/>
      <c r="WOF275" s="227"/>
      <c r="WOG275" s="227"/>
      <c r="WOH275" s="227"/>
      <c r="WOI275" s="227"/>
      <c r="WOJ275" s="227"/>
      <c r="WOK275" s="227"/>
      <c r="WOL275" s="227"/>
      <c r="WOM275" s="227"/>
      <c r="WON275" s="227"/>
      <c r="WOO275" s="227"/>
      <c r="WOP275" s="227"/>
      <c r="WOQ275" s="227"/>
      <c r="WOR275" s="227"/>
      <c r="WOS275" s="227"/>
      <c r="WOT275" s="227"/>
      <c r="WOU275" s="227"/>
      <c r="WOV275" s="227"/>
      <c r="WOW275" s="227"/>
      <c r="WOX275" s="227"/>
      <c r="WOY275" s="227"/>
      <c r="WOZ275" s="227"/>
      <c r="WPA275" s="227"/>
      <c r="WPB275" s="227"/>
      <c r="WPC275" s="227"/>
      <c r="WPD275" s="227"/>
      <c r="WPE275" s="227"/>
      <c r="WPF275" s="227"/>
      <c r="WPG275" s="227"/>
      <c r="WPH275" s="227"/>
      <c r="WPI275" s="227"/>
      <c r="WPJ275" s="227"/>
      <c r="WPK275" s="227"/>
      <c r="WPL275" s="227"/>
      <c r="WPM275" s="227"/>
      <c r="WPN275" s="227"/>
      <c r="WPO275" s="227"/>
      <c r="WPP275" s="227"/>
      <c r="WPQ275" s="227"/>
      <c r="WPR275" s="227"/>
      <c r="WPS275" s="227"/>
      <c r="WPT275" s="227"/>
      <c r="WPU275" s="227"/>
      <c r="WPV275" s="227"/>
      <c r="WPW275" s="227"/>
      <c r="WPX275" s="227"/>
      <c r="WPY275" s="227"/>
      <c r="WPZ275" s="227"/>
      <c r="WQA275" s="227"/>
      <c r="WQB275" s="227"/>
      <c r="WQC275" s="227"/>
      <c r="WQD275" s="227"/>
      <c r="WQE275" s="227"/>
      <c r="WQF275" s="227"/>
      <c r="WQG275" s="227"/>
      <c r="WQH275" s="227"/>
      <c r="WQI275" s="227"/>
      <c r="WQJ275" s="227"/>
      <c r="WQK275" s="227"/>
      <c r="WQL275" s="227"/>
      <c r="WQM275" s="227"/>
      <c r="WQN275" s="227"/>
      <c r="WQO275" s="227"/>
      <c r="WQP275" s="227"/>
      <c r="WQQ275" s="227"/>
      <c r="WQR275" s="227"/>
      <c r="WQS275" s="227"/>
      <c r="WQT275" s="227"/>
      <c r="WQU275" s="227"/>
      <c r="WQV275" s="227"/>
      <c r="WQW275" s="227"/>
      <c r="WQX275" s="227"/>
      <c r="WQY275" s="227"/>
      <c r="WQZ275" s="227"/>
      <c r="WRA275" s="227"/>
      <c r="WRB275" s="227"/>
      <c r="WRC275" s="227"/>
      <c r="WRD275" s="227"/>
      <c r="WRE275" s="227"/>
      <c r="WRF275" s="227"/>
      <c r="WRG275" s="227"/>
      <c r="WRH275" s="227"/>
      <c r="WRI275" s="227"/>
      <c r="WRJ275" s="227"/>
      <c r="WRK275" s="227"/>
      <c r="WRL275" s="227"/>
      <c r="WRM275" s="227"/>
      <c r="WRN275" s="227"/>
      <c r="WRO275" s="227"/>
      <c r="WRP275" s="227"/>
      <c r="WRQ275" s="227"/>
      <c r="WRR275" s="227"/>
      <c r="WRS275" s="227"/>
      <c r="WRT275" s="227"/>
      <c r="WRU275" s="227"/>
      <c r="WRV275" s="227"/>
      <c r="WRW275" s="227"/>
      <c r="WRX275" s="227"/>
      <c r="WRY275" s="227"/>
      <c r="WRZ275" s="227"/>
      <c r="WSA275" s="227"/>
      <c r="WSB275" s="227"/>
      <c r="WSC275" s="227"/>
      <c r="WSD275" s="227"/>
      <c r="WSE275" s="227"/>
      <c r="WSF275" s="227"/>
      <c r="WSG275" s="227"/>
      <c r="WSH275" s="227"/>
      <c r="WSI275" s="227"/>
      <c r="WSJ275" s="227"/>
      <c r="WSK275" s="227"/>
      <c r="WSL275" s="227"/>
      <c r="WSM275" s="227"/>
      <c r="WSN275" s="227"/>
      <c r="WSO275" s="227"/>
      <c r="WSP275" s="227"/>
      <c r="WSQ275" s="227"/>
      <c r="WSR275" s="227"/>
      <c r="WSS275" s="227"/>
      <c r="WST275" s="227"/>
      <c r="WSU275" s="227"/>
      <c r="WSV275" s="227"/>
      <c r="WSW275" s="227"/>
      <c r="WSX275" s="227"/>
      <c r="WSY275" s="227"/>
      <c r="WSZ275" s="227"/>
      <c r="WTA275" s="227"/>
      <c r="WTB275" s="227"/>
      <c r="WTC275" s="227"/>
      <c r="WTD275" s="227"/>
      <c r="WTE275" s="227"/>
      <c r="WTF275" s="227"/>
      <c r="WTG275" s="227"/>
      <c r="WTH275" s="227"/>
      <c r="WTI275" s="227"/>
      <c r="WTJ275" s="227"/>
      <c r="WTK275" s="227"/>
      <c r="WTL275" s="227"/>
      <c r="WTM275" s="227"/>
      <c r="WTN275" s="227"/>
      <c r="WTO275" s="227"/>
      <c r="WTP275" s="227"/>
      <c r="WTQ275" s="227"/>
      <c r="WTR275" s="227"/>
      <c r="WTS275" s="227"/>
      <c r="WTT275" s="227"/>
      <c r="WTU275" s="227"/>
      <c r="WTV275" s="227"/>
      <c r="WTW275" s="227"/>
      <c r="WTX275" s="227"/>
      <c r="WTY275" s="227"/>
      <c r="WTZ275" s="227"/>
      <c r="WUA275" s="227"/>
      <c r="WUB275" s="227"/>
      <c r="WUC275" s="227"/>
      <c r="WUD275" s="227"/>
      <c r="WUE275" s="227"/>
      <c r="WUF275" s="227"/>
      <c r="WUG275" s="227"/>
      <c r="WUH275" s="227"/>
      <c r="WUI275" s="227"/>
      <c r="WUJ275" s="227"/>
      <c r="WUK275" s="227"/>
      <c r="WUL275" s="227"/>
      <c r="WUM275" s="227"/>
      <c r="WUN275" s="227"/>
      <c r="WUO275" s="227"/>
      <c r="WUP275" s="227"/>
      <c r="WUQ275" s="227"/>
      <c r="WUR275" s="227"/>
      <c r="WUS275" s="227"/>
      <c r="WUT275" s="227"/>
      <c r="WUU275" s="227"/>
      <c r="WUV275" s="227"/>
      <c r="WUW275" s="227"/>
      <c r="WUX275" s="227"/>
      <c r="WUY275" s="227"/>
      <c r="WUZ275" s="227"/>
      <c r="WVA275" s="227"/>
      <c r="WVB275" s="227"/>
      <c r="WVC275" s="227"/>
      <c r="WVD275" s="227"/>
      <c r="WVE275" s="227"/>
      <c r="WVF275" s="227"/>
      <c r="WVG275" s="227"/>
      <c r="WVH275" s="227"/>
      <c r="WVI275" s="227"/>
      <c r="WVJ275" s="227"/>
      <c r="WVK275" s="227"/>
      <c r="WVL275" s="227"/>
      <c r="WVM275" s="227"/>
      <c r="WVN275" s="227"/>
      <c r="WVO275" s="227"/>
      <c r="WVP275" s="227"/>
      <c r="WVQ275" s="227"/>
      <c r="WVR275" s="227"/>
      <c r="WVS275" s="227"/>
      <c r="WVT275" s="227"/>
      <c r="WVU275" s="227"/>
      <c r="WVV275" s="227"/>
      <c r="WVW275" s="227"/>
      <c r="WVX275" s="227"/>
      <c r="WVY275" s="227"/>
      <c r="WVZ275" s="227"/>
      <c r="WWA275" s="227"/>
      <c r="WWB275" s="227"/>
      <c r="WWC275" s="227"/>
      <c r="WWD275" s="227"/>
      <c r="WWE275" s="227"/>
      <c r="WWF275" s="227"/>
      <c r="WWG275" s="227"/>
      <c r="WWH275" s="227"/>
      <c r="WWI275" s="227"/>
      <c r="WWJ275" s="227"/>
      <c r="WWK275" s="227"/>
      <c r="WWL275" s="227"/>
      <c r="WWM275" s="227"/>
      <c r="WWN275" s="227"/>
      <c r="WWO275" s="227"/>
      <c r="WWP275" s="227"/>
      <c r="WWQ275" s="227"/>
      <c r="WWR275" s="227"/>
      <c r="WWS275" s="227"/>
      <c r="WWT275" s="227"/>
      <c r="WWU275" s="227"/>
      <c r="WWV275" s="227"/>
      <c r="WWW275" s="227"/>
      <c r="WWX275" s="227"/>
      <c r="WWY275" s="227"/>
      <c r="WWZ275" s="227"/>
      <c r="WXA275" s="227"/>
      <c r="WXB275" s="227"/>
      <c r="WXC275" s="227"/>
      <c r="WXD275" s="227"/>
      <c r="WXE275" s="227"/>
      <c r="WXF275" s="227"/>
      <c r="WXG275" s="227"/>
      <c r="WXH275" s="227"/>
      <c r="WXI275" s="227"/>
      <c r="WXJ275" s="227"/>
      <c r="WXK275" s="227"/>
      <c r="WXL275" s="227"/>
      <c r="WXM275" s="227"/>
      <c r="WXN275" s="227"/>
      <c r="WXO275" s="227"/>
      <c r="WXP275" s="227"/>
      <c r="WXQ275" s="227"/>
      <c r="WXR275" s="227"/>
      <c r="WXS275" s="227"/>
      <c r="WXT275" s="227"/>
      <c r="WXU275" s="227"/>
      <c r="WXV275" s="227"/>
      <c r="WXW275" s="227"/>
      <c r="WXX275" s="227"/>
      <c r="WXY275" s="227"/>
      <c r="WXZ275" s="227"/>
      <c r="WYA275" s="227"/>
      <c r="WYB275" s="227"/>
      <c r="WYC275" s="227"/>
      <c r="WYD275" s="227"/>
      <c r="WYE275" s="227"/>
      <c r="WYF275" s="227"/>
      <c r="WYG275" s="227"/>
      <c r="WYH275" s="227"/>
      <c r="WYI275" s="227"/>
      <c r="WYJ275" s="227"/>
      <c r="WYK275" s="227"/>
      <c r="WYL275" s="227"/>
      <c r="WYM275" s="227"/>
      <c r="WYN275" s="227"/>
      <c r="WYO275" s="227"/>
      <c r="WYP275" s="227"/>
      <c r="WYQ275" s="227"/>
      <c r="WYR275" s="227"/>
      <c r="WYS275" s="227"/>
      <c r="WYT275" s="227"/>
      <c r="WYU275" s="227"/>
      <c r="WYV275" s="227"/>
      <c r="WYW275" s="227"/>
      <c r="WYX275" s="227"/>
      <c r="WYY275" s="227"/>
      <c r="WYZ275" s="227"/>
      <c r="WZA275" s="227"/>
      <c r="WZB275" s="227"/>
      <c r="WZC275" s="227"/>
      <c r="WZD275" s="227"/>
      <c r="WZE275" s="227"/>
      <c r="WZF275" s="227"/>
      <c r="WZG275" s="227"/>
      <c r="WZH275" s="227"/>
      <c r="WZI275" s="227"/>
      <c r="WZJ275" s="227"/>
      <c r="WZK275" s="227"/>
      <c r="WZL275" s="227"/>
      <c r="WZM275" s="227"/>
      <c r="WZN275" s="227"/>
      <c r="WZO275" s="227"/>
      <c r="WZP275" s="227"/>
      <c r="WZQ275" s="227"/>
      <c r="WZR275" s="227"/>
      <c r="WZS275" s="227"/>
      <c r="WZT275" s="227"/>
      <c r="WZU275" s="227"/>
      <c r="WZV275" s="227"/>
      <c r="WZW275" s="227"/>
      <c r="WZX275" s="227"/>
      <c r="WZY275" s="227"/>
      <c r="WZZ275" s="227"/>
      <c r="XAA275" s="227"/>
      <c r="XAB275" s="227"/>
      <c r="XAC275" s="227"/>
      <c r="XAD275" s="227"/>
      <c r="XAE275" s="227"/>
      <c r="XAF275" s="227"/>
      <c r="XAG275" s="227"/>
      <c r="XAH275" s="227"/>
      <c r="XAI275" s="227"/>
      <c r="XAJ275" s="227"/>
      <c r="XAK275" s="227"/>
      <c r="XAL275" s="227"/>
      <c r="XAM275" s="227"/>
      <c r="XAN275" s="227"/>
      <c r="XAO275" s="227"/>
      <c r="XAP275" s="227"/>
      <c r="XAQ275" s="227"/>
      <c r="XAR275" s="227"/>
      <c r="XAS275" s="227"/>
      <c r="XAT275" s="227"/>
      <c r="XAU275" s="227"/>
      <c r="XAV275" s="227"/>
      <c r="XAW275" s="227"/>
      <c r="XAX275" s="227"/>
      <c r="XAY275" s="227"/>
      <c r="XAZ275" s="227"/>
      <c r="XBA275" s="227"/>
      <c r="XBB275" s="227"/>
      <c r="XBC275" s="227"/>
      <c r="XBD275" s="227"/>
      <c r="XBE275" s="227"/>
      <c r="XBF275" s="227"/>
      <c r="XBG275" s="227"/>
      <c r="XBH275" s="227"/>
      <c r="XBI275" s="227"/>
      <c r="XBJ275" s="227"/>
      <c r="XBK275" s="227"/>
      <c r="XBL275" s="227"/>
      <c r="XBM275" s="227"/>
      <c r="XBN275" s="227"/>
      <c r="XBO275" s="227"/>
      <c r="XBP275" s="227"/>
      <c r="XBQ275" s="227"/>
      <c r="XBR275" s="227"/>
      <c r="XBS275" s="227"/>
      <c r="XBT275" s="227"/>
      <c r="XBU275" s="227"/>
      <c r="XBV275" s="227"/>
      <c r="XBW275" s="227"/>
      <c r="XBX275" s="227"/>
      <c r="XBY275" s="227"/>
      <c r="XBZ275" s="227"/>
      <c r="XCA275" s="227"/>
      <c r="XCB275" s="227"/>
      <c r="XCC275" s="227"/>
      <c r="XCD275" s="227"/>
      <c r="XCE275" s="227"/>
      <c r="XCF275" s="227"/>
      <c r="XCG275" s="227"/>
      <c r="XCH275" s="227"/>
      <c r="XCI275" s="227"/>
      <c r="XCJ275" s="227"/>
      <c r="XCK275" s="227"/>
      <c r="XCL275" s="227"/>
      <c r="XCM275" s="227"/>
      <c r="XCN275" s="227"/>
      <c r="XCO275" s="227"/>
      <c r="XCP275" s="227"/>
      <c r="XCQ275" s="227"/>
      <c r="XCR275" s="227"/>
      <c r="XCS275" s="227"/>
      <c r="XCT275" s="227"/>
      <c r="XCU275" s="227"/>
      <c r="XCV275" s="227"/>
      <c r="XCW275" s="227"/>
      <c r="XCX275" s="227"/>
      <c r="XCY275" s="227"/>
      <c r="XCZ275" s="227"/>
      <c r="XDA275" s="227"/>
      <c r="XDB275" s="227"/>
      <c r="XDC275" s="227"/>
      <c r="XDD275" s="227"/>
      <c r="XDE275" s="227"/>
      <c r="XDF275" s="227"/>
      <c r="XDG275" s="227"/>
      <c r="XDH275" s="227"/>
      <c r="XDI275" s="227"/>
      <c r="XDJ275" s="227"/>
      <c r="XDK275" s="227"/>
      <c r="XDL275" s="227"/>
      <c r="XDM275" s="227"/>
      <c r="XDN275" s="227"/>
      <c r="XDO275" s="227"/>
      <c r="XDP275" s="227"/>
      <c r="XDQ275" s="227"/>
      <c r="XDR275" s="227"/>
      <c r="XDS275" s="227"/>
      <c r="XDT275" s="227"/>
      <c r="XDU275" s="227"/>
      <c r="XDV275" s="227"/>
      <c r="XDW275" s="227"/>
      <c r="XDX275" s="227"/>
      <c r="XDY275" s="227"/>
      <c r="XDZ275" s="227"/>
      <c r="XEA275" s="227"/>
      <c r="XEB275" s="227"/>
      <c r="XEC275" s="227"/>
      <c r="XED275" s="227"/>
      <c r="XEE275" s="227"/>
      <c r="XEF275" s="227"/>
      <c r="XEG275" s="227"/>
      <c r="XEH275" s="227"/>
      <c r="XEI275" s="227"/>
      <c r="XEJ275" s="227"/>
      <c r="XEK275" s="227"/>
      <c r="XEL275" s="227"/>
      <c r="XEM275" s="227"/>
      <c r="XEN275" s="227"/>
      <c r="XEO275" s="227"/>
    </row>
    <row r="276" spans="1:16369" s="1199" customFormat="1">
      <c r="A276" s="3368">
        <f t="shared" si="4"/>
        <v>2013.03</v>
      </c>
      <c r="B276" s="3369">
        <v>631530</v>
      </c>
      <c r="C276" s="3370"/>
      <c r="D276" s="3371"/>
      <c r="E276" s="3370"/>
      <c r="F276" s="3372">
        <v>1468</v>
      </c>
      <c r="G276" s="3373">
        <v>7573</v>
      </c>
      <c r="H276" s="3374">
        <v>8149</v>
      </c>
      <c r="I276" s="3373">
        <v>10570</v>
      </c>
      <c r="J276" s="3374">
        <v>23598</v>
      </c>
      <c r="K276" s="3373">
        <v>3669</v>
      </c>
      <c r="L276" s="3374">
        <v>4479</v>
      </c>
      <c r="M276" s="3373">
        <v>6021</v>
      </c>
      <c r="N276" s="3375">
        <v>2561</v>
      </c>
      <c r="O276" s="3376">
        <f t="shared" si="5"/>
        <v>68088</v>
      </c>
      <c r="P276" s="3380">
        <v>47696</v>
      </c>
      <c r="Q276" s="3375">
        <v>424</v>
      </c>
      <c r="R276" s="3381">
        <v>198145</v>
      </c>
      <c r="S276" s="227"/>
      <c r="T276" s="227"/>
      <c r="U276" s="227"/>
      <c r="V276" s="227"/>
      <c r="W276" s="227"/>
      <c r="X276" s="227"/>
      <c r="Y276" s="227"/>
      <c r="Z276" s="227"/>
      <c r="AA276" s="227"/>
      <c r="AB276" s="227"/>
      <c r="AC276" s="227"/>
      <c r="AD276" s="227"/>
      <c r="AE276" s="227"/>
      <c r="AF276" s="227"/>
      <c r="AG276" s="227"/>
      <c r="AH276" s="227"/>
      <c r="AI276" s="227"/>
      <c r="AJ276" s="227"/>
      <c r="AK276" s="227"/>
      <c r="AL276" s="227"/>
      <c r="AM276" s="227"/>
      <c r="AN276" s="227"/>
      <c r="AO276" s="227"/>
      <c r="AP276" s="227"/>
      <c r="AQ276" s="227"/>
      <c r="AR276" s="227"/>
      <c r="AS276" s="227"/>
      <c r="AT276" s="227"/>
      <c r="AU276" s="227"/>
      <c r="AV276" s="227"/>
      <c r="AW276" s="227"/>
      <c r="AX276" s="227"/>
      <c r="AY276" s="227"/>
      <c r="AZ276" s="227"/>
      <c r="BA276" s="227"/>
      <c r="BB276" s="227"/>
      <c r="BC276" s="227"/>
      <c r="BD276" s="227"/>
      <c r="BE276" s="227"/>
      <c r="BF276" s="227"/>
      <c r="BG276" s="227"/>
      <c r="BH276" s="227"/>
      <c r="BI276" s="227"/>
      <c r="BJ276" s="227"/>
      <c r="BK276" s="227"/>
      <c r="BL276" s="227"/>
      <c r="BM276" s="227"/>
      <c r="BN276" s="227"/>
      <c r="BO276" s="227"/>
      <c r="BP276" s="227"/>
      <c r="BQ276" s="227"/>
      <c r="BR276" s="227"/>
      <c r="BS276" s="227"/>
      <c r="BT276" s="227"/>
      <c r="BU276" s="227"/>
      <c r="BV276" s="227"/>
      <c r="BW276" s="227"/>
      <c r="BX276" s="227"/>
      <c r="BY276" s="227"/>
      <c r="BZ276" s="227"/>
      <c r="CA276" s="227"/>
      <c r="CB276" s="227"/>
      <c r="CC276" s="227"/>
      <c r="CD276" s="227"/>
      <c r="CE276" s="227"/>
      <c r="CF276" s="227"/>
      <c r="CG276" s="227"/>
      <c r="CH276" s="227"/>
      <c r="CI276" s="227"/>
      <c r="CJ276" s="227"/>
      <c r="CK276" s="227"/>
      <c r="CL276" s="227"/>
      <c r="CM276" s="227"/>
      <c r="CN276" s="227"/>
      <c r="CO276" s="227"/>
      <c r="CP276" s="227"/>
      <c r="CQ276" s="227"/>
      <c r="CR276" s="227"/>
      <c r="CS276" s="227"/>
      <c r="CT276" s="227"/>
      <c r="CU276" s="227"/>
      <c r="CV276" s="227"/>
      <c r="CW276" s="227"/>
      <c r="CX276" s="227"/>
      <c r="CY276" s="227"/>
      <c r="CZ276" s="227"/>
      <c r="DA276" s="227"/>
      <c r="DB276" s="227"/>
      <c r="DC276" s="227"/>
      <c r="DD276" s="227"/>
      <c r="DE276" s="227"/>
      <c r="DF276" s="227"/>
      <c r="DG276" s="227"/>
      <c r="DH276" s="227"/>
      <c r="DI276" s="227"/>
      <c r="DJ276" s="227"/>
      <c r="DK276" s="227"/>
      <c r="DL276" s="227"/>
      <c r="DM276" s="227"/>
      <c r="DN276" s="227"/>
      <c r="DO276" s="227"/>
      <c r="DP276" s="227"/>
      <c r="DQ276" s="227"/>
      <c r="DR276" s="227"/>
      <c r="DS276" s="227"/>
      <c r="DT276" s="227"/>
      <c r="DU276" s="227"/>
      <c r="DV276" s="227"/>
      <c r="DW276" s="227"/>
      <c r="DX276" s="227"/>
      <c r="DY276" s="227"/>
      <c r="DZ276" s="227"/>
      <c r="EA276" s="227"/>
      <c r="EB276" s="227"/>
      <c r="EC276" s="227"/>
      <c r="ED276" s="227"/>
      <c r="EE276" s="227"/>
      <c r="EF276" s="227"/>
      <c r="EG276" s="227"/>
      <c r="EH276" s="227"/>
      <c r="EI276" s="227"/>
      <c r="EJ276" s="227"/>
      <c r="EK276" s="227"/>
      <c r="EL276" s="227"/>
      <c r="EM276" s="227"/>
      <c r="EN276" s="227"/>
      <c r="EO276" s="227"/>
      <c r="EP276" s="227"/>
      <c r="EQ276" s="227"/>
      <c r="ER276" s="227"/>
      <c r="ES276" s="227"/>
      <c r="ET276" s="227"/>
      <c r="EU276" s="227"/>
      <c r="EV276" s="227"/>
      <c r="EW276" s="227"/>
      <c r="EX276" s="227"/>
      <c r="EY276" s="227"/>
      <c r="EZ276" s="227"/>
      <c r="FA276" s="227"/>
      <c r="FB276" s="227"/>
      <c r="FC276" s="227"/>
      <c r="FD276" s="227"/>
      <c r="FE276" s="227"/>
      <c r="FF276" s="227"/>
      <c r="FG276" s="227"/>
      <c r="FH276" s="227"/>
      <c r="FI276" s="227"/>
      <c r="FJ276" s="227"/>
      <c r="FK276" s="227"/>
      <c r="FL276" s="227"/>
      <c r="FM276" s="227"/>
      <c r="FN276" s="227"/>
      <c r="FO276" s="227"/>
      <c r="FP276" s="227"/>
      <c r="FQ276" s="227"/>
      <c r="FR276" s="227"/>
      <c r="FS276" s="227"/>
      <c r="FT276" s="227"/>
      <c r="FU276" s="227"/>
      <c r="FV276" s="227"/>
      <c r="FW276" s="227"/>
      <c r="FX276" s="227"/>
      <c r="FY276" s="227"/>
      <c r="FZ276" s="227"/>
      <c r="GA276" s="227"/>
      <c r="GB276" s="227"/>
      <c r="GC276" s="227"/>
      <c r="GD276" s="227"/>
      <c r="GE276" s="227"/>
      <c r="GF276" s="227"/>
      <c r="GG276" s="227"/>
      <c r="GH276" s="227"/>
      <c r="GI276" s="227"/>
      <c r="GJ276" s="227"/>
      <c r="GK276" s="227"/>
      <c r="GL276" s="227"/>
      <c r="GM276" s="227"/>
      <c r="GN276" s="227"/>
      <c r="GO276" s="227"/>
      <c r="GP276" s="227"/>
      <c r="GQ276" s="227"/>
      <c r="GR276" s="227"/>
      <c r="GS276" s="227"/>
      <c r="GT276" s="227"/>
      <c r="GU276" s="227"/>
      <c r="GV276" s="227"/>
      <c r="GW276" s="227"/>
      <c r="GX276" s="227"/>
      <c r="GY276" s="227"/>
      <c r="GZ276" s="227"/>
      <c r="HA276" s="227"/>
      <c r="HB276" s="227"/>
      <c r="HC276" s="227"/>
      <c r="HD276" s="227"/>
      <c r="HE276" s="227"/>
      <c r="HF276" s="227"/>
      <c r="HG276" s="227"/>
      <c r="HH276" s="227"/>
      <c r="HI276" s="227"/>
      <c r="HJ276" s="227"/>
      <c r="HK276" s="227"/>
      <c r="HL276" s="227"/>
      <c r="HM276" s="227"/>
      <c r="HN276" s="227"/>
      <c r="HO276" s="227"/>
      <c r="HP276" s="227"/>
      <c r="HQ276" s="227"/>
      <c r="HR276" s="227"/>
      <c r="HS276" s="227"/>
      <c r="HT276" s="227"/>
      <c r="HU276" s="227"/>
      <c r="HV276" s="227"/>
      <c r="HW276" s="227"/>
      <c r="HX276" s="227"/>
      <c r="HY276" s="227"/>
      <c r="HZ276" s="227"/>
      <c r="IA276" s="227"/>
      <c r="IB276" s="227"/>
      <c r="IC276" s="227"/>
      <c r="ID276" s="227"/>
      <c r="IE276" s="227"/>
      <c r="IF276" s="227"/>
      <c r="IG276" s="227"/>
      <c r="IH276" s="227"/>
      <c r="II276" s="227"/>
      <c r="IJ276" s="227"/>
      <c r="IK276" s="227"/>
      <c r="IL276" s="227"/>
      <c r="IM276" s="227"/>
      <c r="IN276" s="227"/>
      <c r="IO276" s="227"/>
      <c r="IP276" s="227"/>
      <c r="IQ276" s="227"/>
      <c r="IR276" s="227"/>
      <c r="IS276" s="227"/>
      <c r="IT276" s="227"/>
      <c r="IU276" s="227"/>
      <c r="IV276" s="227"/>
      <c r="IW276" s="227"/>
      <c r="IX276" s="227"/>
      <c r="IY276" s="227"/>
      <c r="IZ276" s="227"/>
      <c r="JA276" s="227"/>
      <c r="JB276" s="227"/>
      <c r="JC276" s="227"/>
      <c r="JD276" s="227"/>
      <c r="JE276" s="227"/>
      <c r="JF276" s="227"/>
      <c r="JG276" s="227"/>
      <c r="JH276" s="227"/>
      <c r="JI276" s="227"/>
      <c r="JJ276" s="227"/>
      <c r="JK276" s="227"/>
      <c r="JL276" s="227"/>
      <c r="JM276" s="227"/>
      <c r="JN276" s="227"/>
      <c r="JO276" s="227"/>
      <c r="JP276" s="227"/>
      <c r="JQ276" s="227"/>
      <c r="JR276" s="227"/>
      <c r="JS276" s="227"/>
      <c r="JT276" s="227"/>
      <c r="JU276" s="227"/>
      <c r="JV276" s="227"/>
      <c r="JW276" s="227"/>
      <c r="JX276" s="227"/>
      <c r="JY276" s="227"/>
      <c r="JZ276" s="227"/>
      <c r="KA276" s="227"/>
      <c r="KB276" s="227"/>
      <c r="KC276" s="227"/>
      <c r="KD276" s="227"/>
      <c r="KE276" s="227"/>
      <c r="KF276" s="227"/>
      <c r="KG276" s="227"/>
      <c r="KH276" s="227"/>
      <c r="KI276" s="227"/>
      <c r="KJ276" s="227"/>
      <c r="KK276" s="227"/>
      <c r="KL276" s="227"/>
      <c r="KM276" s="227"/>
      <c r="KN276" s="227"/>
      <c r="KO276" s="227"/>
      <c r="KP276" s="227"/>
      <c r="KQ276" s="227"/>
      <c r="KR276" s="227"/>
      <c r="KS276" s="227"/>
      <c r="KT276" s="227"/>
      <c r="KU276" s="227"/>
      <c r="KV276" s="227"/>
      <c r="KW276" s="227"/>
      <c r="KX276" s="227"/>
      <c r="KY276" s="227"/>
      <c r="KZ276" s="227"/>
      <c r="LA276" s="227"/>
      <c r="LB276" s="227"/>
      <c r="LC276" s="227"/>
      <c r="LD276" s="227"/>
      <c r="LE276" s="227"/>
      <c r="LF276" s="227"/>
      <c r="LG276" s="227"/>
      <c r="LH276" s="227"/>
      <c r="LI276" s="227"/>
      <c r="LJ276" s="227"/>
      <c r="LK276" s="227"/>
      <c r="LL276" s="227"/>
      <c r="LM276" s="227"/>
      <c r="LN276" s="227"/>
      <c r="LO276" s="227"/>
      <c r="LP276" s="227"/>
      <c r="LQ276" s="227"/>
      <c r="LR276" s="227"/>
      <c r="LS276" s="227"/>
      <c r="LT276" s="227"/>
      <c r="LU276" s="227"/>
      <c r="LV276" s="227"/>
      <c r="LW276" s="227"/>
      <c r="LX276" s="227"/>
      <c r="LY276" s="227"/>
      <c r="LZ276" s="227"/>
      <c r="MA276" s="227"/>
      <c r="MB276" s="227"/>
      <c r="MC276" s="227"/>
      <c r="MD276" s="227"/>
      <c r="ME276" s="227"/>
      <c r="MF276" s="227"/>
      <c r="MG276" s="227"/>
      <c r="MH276" s="227"/>
      <c r="MI276" s="227"/>
      <c r="MJ276" s="227"/>
      <c r="MK276" s="227"/>
      <c r="ML276" s="227"/>
      <c r="MM276" s="227"/>
      <c r="MN276" s="227"/>
      <c r="MO276" s="227"/>
      <c r="MP276" s="227"/>
      <c r="MQ276" s="227"/>
      <c r="MR276" s="227"/>
      <c r="MS276" s="227"/>
      <c r="MT276" s="227"/>
      <c r="MU276" s="227"/>
      <c r="MV276" s="227"/>
      <c r="MW276" s="227"/>
      <c r="MX276" s="227"/>
      <c r="MY276" s="227"/>
      <c r="MZ276" s="227"/>
      <c r="NA276" s="227"/>
      <c r="NB276" s="227"/>
      <c r="NC276" s="227"/>
      <c r="ND276" s="227"/>
      <c r="NE276" s="227"/>
      <c r="NF276" s="227"/>
      <c r="NG276" s="227"/>
      <c r="NH276" s="227"/>
      <c r="NI276" s="227"/>
      <c r="NJ276" s="227"/>
      <c r="NK276" s="227"/>
      <c r="NL276" s="227"/>
      <c r="NM276" s="227"/>
      <c r="NN276" s="227"/>
      <c r="NO276" s="227"/>
      <c r="NP276" s="227"/>
      <c r="NQ276" s="227"/>
      <c r="NR276" s="227"/>
      <c r="NS276" s="227"/>
      <c r="NT276" s="227"/>
      <c r="NU276" s="227"/>
      <c r="NV276" s="227"/>
      <c r="NW276" s="227"/>
      <c r="NX276" s="227"/>
      <c r="NY276" s="227"/>
      <c r="NZ276" s="227"/>
      <c r="OA276" s="227"/>
      <c r="OB276" s="227"/>
      <c r="OC276" s="227"/>
      <c r="OD276" s="227"/>
      <c r="OE276" s="227"/>
      <c r="OF276" s="227"/>
      <c r="OG276" s="227"/>
      <c r="OH276" s="227"/>
      <c r="OI276" s="227"/>
      <c r="OJ276" s="227"/>
      <c r="OK276" s="227"/>
      <c r="OL276" s="227"/>
      <c r="OM276" s="227"/>
      <c r="ON276" s="227"/>
      <c r="OO276" s="227"/>
      <c r="OP276" s="227"/>
      <c r="OQ276" s="227"/>
      <c r="OR276" s="227"/>
      <c r="OS276" s="227"/>
      <c r="OT276" s="227"/>
      <c r="OU276" s="227"/>
      <c r="OV276" s="227"/>
      <c r="OW276" s="227"/>
      <c r="OX276" s="227"/>
      <c r="OY276" s="227"/>
      <c r="OZ276" s="227"/>
      <c r="PA276" s="227"/>
      <c r="PB276" s="227"/>
      <c r="PC276" s="227"/>
      <c r="PD276" s="227"/>
      <c r="PE276" s="227"/>
      <c r="PF276" s="227"/>
      <c r="PG276" s="227"/>
      <c r="PH276" s="227"/>
      <c r="PI276" s="227"/>
      <c r="PJ276" s="227"/>
      <c r="PK276" s="227"/>
      <c r="PL276" s="227"/>
      <c r="PM276" s="227"/>
      <c r="PN276" s="227"/>
      <c r="PO276" s="227"/>
      <c r="PP276" s="227"/>
      <c r="PQ276" s="227"/>
      <c r="PR276" s="227"/>
      <c r="PS276" s="227"/>
      <c r="PT276" s="227"/>
      <c r="PU276" s="227"/>
      <c r="PV276" s="227"/>
      <c r="PW276" s="227"/>
      <c r="PX276" s="227"/>
      <c r="PY276" s="227"/>
      <c r="PZ276" s="227"/>
      <c r="QA276" s="227"/>
      <c r="QB276" s="227"/>
      <c r="QC276" s="227"/>
      <c r="QD276" s="227"/>
      <c r="QE276" s="227"/>
      <c r="QF276" s="227"/>
      <c r="QG276" s="227"/>
      <c r="QH276" s="227"/>
      <c r="QI276" s="227"/>
      <c r="QJ276" s="227"/>
      <c r="QK276" s="227"/>
      <c r="QL276" s="227"/>
      <c r="QM276" s="227"/>
      <c r="QN276" s="227"/>
      <c r="QO276" s="227"/>
      <c r="QP276" s="227"/>
      <c r="QQ276" s="227"/>
      <c r="QR276" s="227"/>
      <c r="QS276" s="227"/>
      <c r="QT276" s="227"/>
      <c r="QU276" s="227"/>
      <c r="QV276" s="227"/>
      <c r="QW276" s="227"/>
      <c r="QX276" s="227"/>
      <c r="QY276" s="227"/>
      <c r="QZ276" s="227"/>
      <c r="RA276" s="227"/>
      <c r="RB276" s="227"/>
      <c r="RC276" s="227"/>
      <c r="RD276" s="227"/>
      <c r="RE276" s="227"/>
      <c r="RF276" s="227"/>
      <c r="RG276" s="227"/>
      <c r="RH276" s="227"/>
      <c r="RI276" s="227"/>
      <c r="RJ276" s="227"/>
      <c r="RK276" s="227"/>
      <c r="RL276" s="227"/>
      <c r="RM276" s="227"/>
      <c r="RN276" s="227"/>
      <c r="RO276" s="227"/>
      <c r="RP276" s="227"/>
      <c r="RQ276" s="227"/>
      <c r="RR276" s="227"/>
      <c r="RS276" s="227"/>
      <c r="RT276" s="227"/>
      <c r="RU276" s="227"/>
      <c r="RV276" s="227"/>
      <c r="RW276" s="227"/>
      <c r="RX276" s="227"/>
      <c r="RY276" s="227"/>
      <c r="RZ276" s="227"/>
      <c r="SA276" s="227"/>
      <c r="SB276" s="227"/>
      <c r="SC276" s="227"/>
      <c r="SD276" s="227"/>
      <c r="SE276" s="227"/>
      <c r="SF276" s="227"/>
      <c r="SG276" s="227"/>
      <c r="SH276" s="227"/>
      <c r="SI276" s="227"/>
      <c r="SJ276" s="227"/>
      <c r="SK276" s="227"/>
      <c r="SL276" s="227"/>
      <c r="SM276" s="227"/>
      <c r="SN276" s="227"/>
      <c r="SO276" s="227"/>
      <c r="SP276" s="227"/>
      <c r="SQ276" s="227"/>
      <c r="SR276" s="227"/>
      <c r="SS276" s="227"/>
      <c r="ST276" s="227"/>
      <c r="SU276" s="227"/>
      <c r="SV276" s="227"/>
      <c r="SW276" s="227"/>
      <c r="SX276" s="227"/>
      <c r="SY276" s="227"/>
      <c r="SZ276" s="227"/>
      <c r="TA276" s="227"/>
      <c r="TB276" s="227"/>
      <c r="TC276" s="227"/>
      <c r="TD276" s="227"/>
      <c r="TE276" s="227"/>
      <c r="TF276" s="227"/>
      <c r="TG276" s="227"/>
      <c r="TH276" s="227"/>
      <c r="TI276" s="227"/>
      <c r="TJ276" s="227"/>
      <c r="TK276" s="227"/>
      <c r="TL276" s="227"/>
      <c r="TM276" s="227"/>
      <c r="TN276" s="227"/>
      <c r="TO276" s="227"/>
      <c r="TP276" s="227"/>
      <c r="TQ276" s="227"/>
      <c r="TR276" s="227"/>
      <c r="TS276" s="227"/>
      <c r="TT276" s="227"/>
      <c r="TU276" s="227"/>
      <c r="TV276" s="227"/>
      <c r="TW276" s="227"/>
      <c r="TX276" s="227"/>
      <c r="TY276" s="227"/>
      <c r="TZ276" s="227"/>
      <c r="UA276" s="227"/>
      <c r="UB276" s="227"/>
      <c r="UC276" s="227"/>
      <c r="UD276" s="227"/>
      <c r="UE276" s="227"/>
      <c r="UF276" s="227"/>
      <c r="UG276" s="227"/>
      <c r="UH276" s="227"/>
      <c r="UI276" s="227"/>
      <c r="UJ276" s="227"/>
      <c r="UK276" s="227"/>
      <c r="UL276" s="227"/>
      <c r="UM276" s="227"/>
      <c r="UN276" s="227"/>
      <c r="UO276" s="227"/>
      <c r="UP276" s="227"/>
      <c r="UQ276" s="227"/>
      <c r="UR276" s="227"/>
      <c r="US276" s="227"/>
      <c r="UT276" s="227"/>
      <c r="UU276" s="227"/>
      <c r="UV276" s="227"/>
      <c r="UW276" s="227"/>
      <c r="UX276" s="227"/>
      <c r="UY276" s="227"/>
      <c r="UZ276" s="227"/>
      <c r="VA276" s="227"/>
      <c r="VB276" s="227"/>
      <c r="VC276" s="227"/>
      <c r="VD276" s="227"/>
      <c r="VE276" s="227"/>
      <c r="VF276" s="227"/>
      <c r="VG276" s="227"/>
      <c r="VH276" s="227"/>
      <c r="VI276" s="227"/>
      <c r="VJ276" s="227"/>
      <c r="VK276" s="227"/>
      <c r="VL276" s="227"/>
      <c r="VM276" s="227"/>
      <c r="VN276" s="227"/>
      <c r="VO276" s="227"/>
      <c r="VP276" s="227"/>
      <c r="VQ276" s="227"/>
      <c r="VR276" s="227"/>
      <c r="VS276" s="227"/>
      <c r="VT276" s="227"/>
      <c r="VU276" s="227"/>
      <c r="VV276" s="227"/>
      <c r="VW276" s="227"/>
      <c r="VX276" s="227"/>
      <c r="VY276" s="227"/>
      <c r="VZ276" s="227"/>
      <c r="WA276" s="227"/>
      <c r="WB276" s="227"/>
      <c r="WC276" s="227"/>
      <c r="WD276" s="227"/>
      <c r="WE276" s="227"/>
      <c r="WF276" s="227"/>
      <c r="WG276" s="227"/>
      <c r="WH276" s="227"/>
      <c r="WI276" s="227"/>
      <c r="WJ276" s="227"/>
      <c r="WK276" s="227"/>
      <c r="WL276" s="227"/>
      <c r="WM276" s="227"/>
      <c r="WN276" s="227"/>
      <c r="WO276" s="227"/>
      <c r="WP276" s="227"/>
      <c r="WQ276" s="227"/>
      <c r="WR276" s="227"/>
      <c r="WS276" s="227"/>
      <c r="WT276" s="227"/>
      <c r="WU276" s="227"/>
      <c r="WV276" s="227"/>
      <c r="WW276" s="227"/>
      <c r="WX276" s="227"/>
      <c r="WY276" s="227"/>
      <c r="WZ276" s="227"/>
      <c r="XA276" s="227"/>
      <c r="XB276" s="227"/>
      <c r="XC276" s="227"/>
      <c r="XD276" s="227"/>
      <c r="XE276" s="227"/>
      <c r="XF276" s="227"/>
      <c r="XG276" s="227"/>
      <c r="XH276" s="227"/>
      <c r="XI276" s="227"/>
      <c r="XJ276" s="227"/>
      <c r="XK276" s="227"/>
      <c r="XL276" s="227"/>
      <c r="XM276" s="227"/>
      <c r="XN276" s="227"/>
      <c r="XO276" s="227"/>
      <c r="XP276" s="227"/>
      <c r="XQ276" s="227"/>
      <c r="XR276" s="227"/>
      <c r="XS276" s="227"/>
      <c r="XT276" s="227"/>
      <c r="XU276" s="227"/>
      <c r="XV276" s="227"/>
      <c r="XW276" s="227"/>
      <c r="XX276" s="227"/>
      <c r="XY276" s="227"/>
      <c r="XZ276" s="227"/>
      <c r="YA276" s="227"/>
      <c r="YB276" s="227"/>
      <c r="YC276" s="227"/>
      <c r="YD276" s="227"/>
      <c r="YE276" s="227"/>
      <c r="YF276" s="227"/>
      <c r="YG276" s="227"/>
      <c r="YH276" s="227"/>
      <c r="YI276" s="227"/>
      <c r="YJ276" s="227"/>
      <c r="YK276" s="227"/>
      <c r="YL276" s="227"/>
      <c r="YM276" s="227"/>
      <c r="YN276" s="227"/>
      <c r="YO276" s="227"/>
      <c r="YP276" s="227"/>
      <c r="YQ276" s="227"/>
      <c r="YR276" s="227"/>
      <c r="YS276" s="227"/>
      <c r="YT276" s="227"/>
      <c r="YU276" s="227"/>
      <c r="YV276" s="227"/>
      <c r="YW276" s="227"/>
      <c r="YX276" s="227"/>
      <c r="YY276" s="227"/>
      <c r="YZ276" s="227"/>
      <c r="ZA276" s="227"/>
      <c r="ZB276" s="227"/>
      <c r="ZC276" s="227"/>
      <c r="ZD276" s="227"/>
      <c r="ZE276" s="227"/>
      <c r="ZF276" s="227"/>
      <c r="ZG276" s="227"/>
      <c r="ZH276" s="227"/>
      <c r="ZI276" s="227"/>
      <c r="ZJ276" s="227"/>
      <c r="ZK276" s="227"/>
      <c r="ZL276" s="227"/>
      <c r="ZM276" s="227"/>
      <c r="ZN276" s="227"/>
      <c r="ZO276" s="227"/>
      <c r="ZP276" s="227"/>
      <c r="ZQ276" s="227"/>
      <c r="ZR276" s="227"/>
      <c r="ZS276" s="227"/>
      <c r="ZT276" s="227"/>
      <c r="ZU276" s="227"/>
      <c r="ZV276" s="227"/>
      <c r="ZW276" s="227"/>
      <c r="ZX276" s="227"/>
      <c r="ZY276" s="227"/>
      <c r="ZZ276" s="227"/>
      <c r="AAA276" s="227"/>
      <c r="AAB276" s="227"/>
      <c r="AAC276" s="227"/>
      <c r="AAD276" s="227"/>
      <c r="AAE276" s="227"/>
      <c r="AAF276" s="227"/>
      <c r="AAG276" s="227"/>
      <c r="AAH276" s="227"/>
      <c r="AAI276" s="227"/>
      <c r="AAJ276" s="227"/>
      <c r="AAK276" s="227"/>
      <c r="AAL276" s="227"/>
      <c r="AAM276" s="227"/>
      <c r="AAN276" s="227"/>
      <c r="AAO276" s="227"/>
      <c r="AAP276" s="227"/>
      <c r="AAQ276" s="227"/>
      <c r="AAR276" s="227"/>
      <c r="AAS276" s="227"/>
      <c r="AAT276" s="227"/>
      <c r="AAU276" s="227"/>
      <c r="AAV276" s="227"/>
      <c r="AAW276" s="227"/>
      <c r="AAX276" s="227"/>
      <c r="AAY276" s="227"/>
      <c r="AAZ276" s="227"/>
      <c r="ABA276" s="227"/>
      <c r="ABB276" s="227"/>
      <c r="ABC276" s="227"/>
      <c r="ABD276" s="227"/>
      <c r="ABE276" s="227"/>
      <c r="ABF276" s="227"/>
      <c r="ABG276" s="227"/>
      <c r="ABH276" s="227"/>
      <c r="ABI276" s="227"/>
      <c r="ABJ276" s="227"/>
      <c r="ABK276" s="227"/>
      <c r="ABL276" s="227"/>
      <c r="ABM276" s="227"/>
      <c r="ABN276" s="227"/>
      <c r="ABO276" s="227"/>
      <c r="ABP276" s="227"/>
      <c r="ABQ276" s="227"/>
      <c r="ABR276" s="227"/>
      <c r="ABS276" s="227"/>
      <c r="ABT276" s="227"/>
      <c r="ABU276" s="227"/>
      <c r="ABV276" s="227"/>
      <c r="ABW276" s="227"/>
      <c r="ABX276" s="227"/>
      <c r="ABY276" s="227"/>
      <c r="ABZ276" s="227"/>
      <c r="ACA276" s="227"/>
      <c r="ACB276" s="227"/>
      <c r="ACC276" s="227"/>
      <c r="ACD276" s="227"/>
      <c r="ACE276" s="227"/>
      <c r="ACF276" s="227"/>
      <c r="ACG276" s="227"/>
      <c r="ACH276" s="227"/>
      <c r="ACI276" s="227"/>
      <c r="ACJ276" s="227"/>
      <c r="ACK276" s="227"/>
      <c r="ACL276" s="227"/>
      <c r="ACM276" s="227"/>
      <c r="ACN276" s="227"/>
      <c r="ACO276" s="227"/>
      <c r="ACP276" s="227"/>
      <c r="ACQ276" s="227"/>
      <c r="ACR276" s="227"/>
      <c r="ACS276" s="227"/>
      <c r="ACT276" s="227"/>
      <c r="ACU276" s="227"/>
      <c r="ACV276" s="227"/>
      <c r="ACW276" s="227"/>
      <c r="ACX276" s="227"/>
      <c r="ACY276" s="227"/>
      <c r="ACZ276" s="227"/>
      <c r="ADA276" s="227"/>
      <c r="ADB276" s="227"/>
      <c r="ADC276" s="227"/>
      <c r="ADD276" s="227"/>
      <c r="ADE276" s="227"/>
      <c r="ADF276" s="227"/>
      <c r="ADG276" s="227"/>
      <c r="ADH276" s="227"/>
      <c r="ADI276" s="227"/>
      <c r="ADJ276" s="227"/>
      <c r="ADK276" s="227"/>
      <c r="ADL276" s="227"/>
      <c r="ADM276" s="227"/>
      <c r="ADN276" s="227"/>
      <c r="ADO276" s="227"/>
      <c r="ADP276" s="227"/>
      <c r="ADQ276" s="227"/>
      <c r="ADR276" s="227"/>
      <c r="ADS276" s="227"/>
      <c r="ADT276" s="227"/>
      <c r="ADU276" s="227"/>
      <c r="ADV276" s="227"/>
      <c r="ADW276" s="227"/>
      <c r="ADX276" s="227"/>
      <c r="ADY276" s="227"/>
      <c r="ADZ276" s="227"/>
      <c r="AEA276" s="227"/>
      <c r="AEB276" s="227"/>
      <c r="AEC276" s="227"/>
      <c r="AED276" s="227"/>
      <c r="AEE276" s="227"/>
      <c r="AEF276" s="227"/>
      <c r="AEG276" s="227"/>
      <c r="AEH276" s="227"/>
      <c r="AEI276" s="227"/>
      <c r="AEJ276" s="227"/>
      <c r="AEK276" s="227"/>
      <c r="AEL276" s="227"/>
      <c r="AEM276" s="227"/>
      <c r="AEN276" s="227"/>
      <c r="AEO276" s="227"/>
      <c r="AEP276" s="227"/>
      <c r="AEQ276" s="227"/>
      <c r="AER276" s="227"/>
      <c r="AES276" s="227"/>
      <c r="AET276" s="227"/>
      <c r="AEU276" s="227"/>
      <c r="AEV276" s="227"/>
      <c r="AEW276" s="227"/>
      <c r="AEX276" s="227"/>
      <c r="AEY276" s="227"/>
      <c r="AEZ276" s="227"/>
      <c r="AFA276" s="227"/>
      <c r="AFB276" s="227"/>
      <c r="AFC276" s="227"/>
      <c r="AFD276" s="227"/>
      <c r="AFE276" s="227"/>
      <c r="AFF276" s="227"/>
      <c r="AFG276" s="227"/>
      <c r="AFH276" s="227"/>
      <c r="AFI276" s="227"/>
      <c r="AFJ276" s="227"/>
      <c r="AFK276" s="227"/>
      <c r="AFL276" s="227"/>
      <c r="AFM276" s="227"/>
      <c r="AFN276" s="227"/>
      <c r="AFO276" s="227"/>
      <c r="AFP276" s="227"/>
      <c r="AFQ276" s="227"/>
      <c r="AFR276" s="227"/>
      <c r="AFS276" s="227"/>
      <c r="AFT276" s="227"/>
      <c r="AFU276" s="227"/>
      <c r="AFV276" s="227"/>
      <c r="AFW276" s="227"/>
      <c r="AFX276" s="227"/>
      <c r="AFY276" s="227"/>
      <c r="AFZ276" s="227"/>
      <c r="AGA276" s="227"/>
      <c r="AGB276" s="227"/>
      <c r="AGC276" s="227"/>
      <c r="AGD276" s="227"/>
      <c r="AGE276" s="227"/>
      <c r="AGF276" s="227"/>
      <c r="AGG276" s="227"/>
      <c r="AGH276" s="227"/>
      <c r="AGI276" s="227"/>
      <c r="AGJ276" s="227"/>
      <c r="AGK276" s="227"/>
      <c r="AGL276" s="227"/>
      <c r="AGM276" s="227"/>
      <c r="AGN276" s="227"/>
      <c r="AGO276" s="227"/>
      <c r="AGP276" s="227"/>
      <c r="AGQ276" s="227"/>
      <c r="AGR276" s="227"/>
      <c r="AGS276" s="227"/>
      <c r="AGT276" s="227"/>
      <c r="AGU276" s="227"/>
      <c r="AGV276" s="227"/>
      <c r="AGW276" s="227"/>
      <c r="AGX276" s="227"/>
      <c r="AGY276" s="227"/>
      <c r="AGZ276" s="227"/>
      <c r="AHA276" s="227"/>
      <c r="AHB276" s="227"/>
      <c r="AHC276" s="227"/>
      <c r="AHD276" s="227"/>
      <c r="AHE276" s="227"/>
      <c r="AHF276" s="227"/>
      <c r="AHG276" s="227"/>
      <c r="AHH276" s="227"/>
      <c r="AHI276" s="227"/>
      <c r="AHJ276" s="227"/>
      <c r="AHK276" s="227"/>
      <c r="AHL276" s="227"/>
      <c r="AHM276" s="227"/>
      <c r="AHN276" s="227"/>
      <c r="AHO276" s="227"/>
      <c r="AHP276" s="227"/>
      <c r="AHQ276" s="227"/>
      <c r="AHR276" s="227"/>
      <c r="AHS276" s="227"/>
      <c r="AHT276" s="227"/>
      <c r="AHU276" s="227"/>
      <c r="AHV276" s="227"/>
      <c r="AHW276" s="227"/>
      <c r="AHX276" s="227"/>
      <c r="AHY276" s="227"/>
      <c r="AHZ276" s="227"/>
      <c r="AIA276" s="227"/>
      <c r="AIB276" s="227"/>
      <c r="AIC276" s="227"/>
      <c r="AID276" s="227"/>
      <c r="AIE276" s="227"/>
      <c r="AIF276" s="227"/>
      <c r="AIG276" s="227"/>
      <c r="AIH276" s="227"/>
      <c r="AII276" s="227"/>
      <c r="AIJ276" s="227"/>
      <c r="AIK276" s="227"/>
      <c r="AIL276" s="227"/>
      <c r="AIM276" s="227"/>
      <c r="AIN276" s="227"/>
      <c r="AIO276" s="227"/>
      <c r="AIP276" s="227"/>
      <c r="AIQ276" s="227"/>
      <c r="AIR276" s="227"/>
      <c r="AIS276" s="227"/>
      <c r="AIT276" s="227"/>
      <c r="AIU276" s="227"/>
      <c r="AIV276" s="227"/>
      <c r="AIW276" s="227"/>
      <c r="AIX276" s="227"/>
      <c r="AIY276" s="227"/>
      <c r="AIZ276" s="227"/>
      <c r="AJA276" s="227"/>
      <c r="AJB276" s="227"/>
      <c r="AJC276" s="227"/>
      <c r="AJD276" s="227"/>
      <c r="AJE276" s="227"/>
      <c r="AJF276" s="227"/>
      <c r="AJG276" s="227"/>
      <c r="AJH276" s="227"/>
      <c r="AJI276" s="227"/>
      <c r="AJJ276" s="227"/>
      <c r="AJK276" s="227"/>
      <c r="AJL276" s="227"/>
      <c r="AJM276" s="227"/>
      <c r="AJN276" s="227"/>
      <c r="AJO276" s="227"/>
      <c r="AJP276" s="227"/>
      <c r="AJQ276" s="227"/>
      <c r="AJR276" s="227"/>
      <c r="AJS276" s="227"/>
      <c r="AJT276" s="227"/>
      <c r="AJU276" s="227"/>
      <c r="AJV276" s="227"/>
      <c r="AJW276" s="227"/>
      <c r="AJX276" s="227"/>
      <c r="AJY276" s="227"/>
      <c r="AJZ276" s="227"/>
      <c r="AKA276" s="227"/>
      <c r="AKB276" s="227"/>
      <c r="AKC276" s="227"/>
      <c r="AKD276" s="227"/>
      <c r="AKE276" s="227"/>
      <c r="AKF276" s="227"/>
      <c r="AKG276" s="227"/>
      <c r="AKH276" s="227"/>
      <c r="AKI276" s="227"/>
      <c r="AKJ276" s="227"/>
      <c r="AKK276" s="227"/>
      <c r="AKL276" s="227"/>
      <c r="AKM276" s="227"/>
      <c r="AKN276" s="227"/>
      <c r="AKO276" s="227"/>
      <c r="AKP276" s="227"/>
      <c r="AKQ276" s="227"/>
      <c r="AKR276" s="227"/>
      <c r="AKS276" s="227"/>
      <c r="AKT276" s="227"/>
      <c r="AKU276" s="227"/>
      <c r="AKV276" s="227"/>
      <c r="AKW276" s="227"/>
      <c r="AKX276" s="227"/>
      <c r="AKY276" s="227"/>
      <c r="AKZ276" s="227"/>
      <c r="ALA276" s="227"/>
      <c r="ALB276" s="227"/>
      <c r="ALC276" s="227"/>
      <c r="ALD276" s="227"/>
      <c r="ALE276" s="227"/>
      <c r="ALF276" s="227"/>
      <c r="ALG276" s="227"/>
      <c r="ALH276" s="227"/>
      <c r="ALI276" s="227"/>
      <c r="ALJ276" s="227"/>
      <c r="ALK276" s="227"/>
      <c r="ALL276" s="227"/>
      <c r="ALM276" s="227"/>
      <c r="ALN276" s="227"/>
      <c r="ALO276" s="227"/>
      <c r="ALP276" s="227"/>
      <c r="ALQ276" s="227"/>
      <c r="ALR276" s="227"/>
      <c r="ALS276" s="227"/>
      <c r="ALT276" s="227"/>
      <c r="ALU276" s="227"/>
      <c r="ALV276" s="227"/>
      <c r="ALW276" s="227"/>
      <c r="ALX276" s="227"/>
      <c r="ALY276" s="227"/>
      <c r="ALZ276" s="227"/>
      <c r="AMA276" s="227"/>
      <c r="AMB276" s="227"/>
      <c r="AMC276" s="227"/>
      <c r="AMD276" s="227"/>
      <c r="AME276" s="227"/>
      <c r="AMF276" s="227"/>
      <c r="AMG276" s="227"/>
      <c r="AMH276" s="227"/>
      <c r="AMI276" s="227"/>
      <c r="AMJ276" s="227"/>
      <c r="AMK276" s="227"/>
      <c r="AML276" s="227"/>
      <c r="AMM276" s="227"/>
      <c r="AMN276" s="227"/>
      <c r="AMO276" s="227"/>
      <c r="AMP276" s="227"/>
      <c r="AMQ276" s="227"/>
      <c r="AMR276" s="227"/>
      <c r="AMS276" s="227"/>
      <c r="AMT276" s="227"/>
      <c r="AMU276" s="227"/>
      <c r="AMV276" s="227"/>
      <c r="AMW276" s="227"/>
      <c r="AMX276" s="227"/>
      <c r="AMY276" s="227"/>
      <c r="AMZ276" s="227"/>
      <c r="ANA276" s="227"/>
      <c r="ANB276" s="227"/>
      <c r="ANC276" s="227"/>
      <c r="AND276" s="227"/>
      <c r="ANE276" s="227"/>
      <c r="ANF276" s="227"/>
      <c r="ANG276" s="227"/>
      <c r="ANH276" s="227"/>
      <c r="ANI276" s="227"/>
      <c r="ANJ276" s="227"/>
      <c r="ANK276" s="227"/>
      <c r="ANL276" s="227"/>
      <c r="ANM276" s="227"/>
      <c r="ANN276" s="227"/>
      <c r="ANO276" s="227"/>
      <c r="ANP276" s="227"/>
      <c r="ANQ276" s="227"/>
      <c r="ANR276" s="227"/>
      <c r="ANS276" s="227"/>
      <c r="ANT276" s="227"/>
      <c r="ANU276" s="227"/>
      <c r="ANV276" s="227"/>
      <c r="ANW276" s="227"/>
      <c r="ANX276" s="227"/>
      <c r="ANY276" s="227"/>
      <c r="ANZ276" s="227"/>
      <c r="AOA276" s="227"/>
      <c r="AOB276" s="227"/>
      <c r="AOC276" s="227"/>
      <c r="AOD276" s="227"/>
      <c r="AOE276" s="227"/>
      <c r="AOF276" s="227"/>
      <c r="AOG276" s="227"/>
      <c r="AOH276" s="227"/>
      <c r="AOI276" s="227"/>
      <c r="AOJ276" s="227"/>
      <c r="AOK276" s="227"/>
      <c r="AOL276" s="227"/>
      <c r="AOM276" s="227"/>
      <c r="AON276" s="227"/>
      <c r="AOO276" s="227"/>
      <c r="AOP276" s="227"/>
      <c r="AOQ276" s="227"/>
      <c r="AOR276" s="227"/>
      <c r="AOS276" s="227"/>
      <c r="AOT276" s="227"/>
      <c r="AOU276" s="227"/>
      <c r="AOV276" s="227"/>
      <c r="AOW276" s="227"/>
      <c r="AOX276" s="227"/>
      <c r="AOY276" s="227"/>
      <c r="AOZ276" s="227"/>
      <c r="APA276" s="227"/>
      <c r="APB276" s="227"/>
      <c r="APC276" s="227"/>
      <c r="APD276" s="227"/>
      <c r="APE276" s="227"/>
      <c r="APF276" s="227"/>
      <c r="APG276" s="227"/>
      <c r="APH276" s="227"/>
      <c r="API276" s="227"/>
      <c r="APJ276" s="227"/>
      <c r="APK276" s="227"/>
      <c r="APL276" s="227"/>
      <c r="APM276" s="227"/>
      <c r="APN276" s="227"/>
      <c r="APO276" s="227"/>
      <c r="APP276" s="227"/>
      <c r="APQ276" s="227"/>
      <c r="APR276" s="227"/>
      <c r="APS276" s="227"/>
      <c r="APT276" s="227"/>
      <c r="APU276" s="227"/>
      <c r="APV276" s="227"/>
      <c r="APW276" s="227"/>
      <c r="APX276" s="227"/>
      <c r="APY276" s="227"/>
      <c r="APZ276" s="227"/>
      <c r="AQA276" s="227"/>
      <c r="AQB276" s="227"/>
      <c r="AQC276" s="227"/>
      <c r="AQD276" s="227"/>
      <c r="AQE276" s="227"/>
      <c r="AQF276" s="227"/>
      <c r="AQG276" s="227"/>
      <c r="AQH276" s="227"/>
      <c r="AQI276" s="227"/>
      <c r="AQJ276" s="227"/>
      <c r="AQK276" s="227"/>
      <c r="AQL276" s="227"/>
      <c r="AQM276" s="227"/>
      <c r="AQN276" s="227"/>
      <c r="AQO276" s="227"/>
      <c r="AQP276" s="227"/>
      <c r="AQQ276" s="227"/>
      <c r="AQR276" s="227"/>
      <c r="AQS276" s="227"/>
      <c r="AQT276" s="227"/>
      <c r="AQU276" s="227"/>
      <c r="AQV276" s="227"/>
      <c r="AQW276" s="227"/>
      <c r="AQX276" s="227"/>
      <c r="AQY276" s="227"/>
      <c r="AQZ276" s="227"/>
      <c r="ARA276" s="227"/>
      <c r="ARB276" s="227"/>
      <c r="ARC276" s="227"/>
      <c r="ARD276" s="227"/>
      <c r="ARE276" s="227"/>
      <c r="ARF276" s="227"/>
      <c r="ARG276" s="227"/>
      <c r="ARH276" s="227"/>
      <c r="ARI276" s="227"/>
      <c r="ARJ276" s="227"/>
      <c r="ARK276" s="227"/>
      <c r="ARL276" s="227"/>
      <c r="ARM276" s="227"/>
      <c r="ARN276" s="227"/>
      <c r="ARO276" s="227"/>
      <c r="ARP276" s="227"/>
      <c r="ARQ276" s="227"/>
      <c r="ARR276" s="227"/>
      <c r="ARS276" s="227"/>
      <c r="ART276" s="227"/>
      <c r="ARU276" s="227"/>
      <c r="ARV276" s="227"/>
      <c r="ARW276" s="227"/>
      <c r="ARX276" s="227"/>
      <c r="ARY276" s="227"/>
      <c r="ARZ276" s="227"/>
      <c r="ASA276" s="227"/>
      <c r="ASB276" s="227"/>
      <c r="ASC276" s="227"/>
      <c r="ASD276" s="227"/>
      <c r="ASE276" s="227"/>
      <c r="ASF276" s="227"/>
      <c r="ASG276" s="227"/>
      <c r="ASH276" s="227"/>
      <c r="ASI276" s="227"/>
      <c r="ASJ276" s="227"/>
      <c r="ASK276" s="227"/>
      <c r="ASL276" s="227"/>
      <c r="ASM276" s="227"/>
      <c r="ASN276" s="227"/>
      <c r="ASO276" s="227"/>
      <c r="ASP276" s="227"/>
      <c r="ASQ276" s="227"/>
      <c r="ASR276" s="227"/>
      <c r="ASS276" s="227"/>
      <c r="AST276" s="227"/>
      <c r="ASU276" s="227"/>
      <c r="ASV276" s="227"/>
      <c r="ASW276" s="227"/>
      <c r="ASX276" s="227"/>
      <c r="ASY276" s="227"/>
      <c r="ASZ276" s="227"/>
      <c r="ATA276" s="227"/>
      <c r="ATB276" s="227"/>
      <c r="ATC276" s="227"/>
      <c r="ATD276" s="227"/>
      <c r="ATE276" s="227"/>
      <c r="ATF276" s="227"/>
      <c r="ATG276" s="227"/>
      <c r="ATH276" s="227"/>
      <c r="ATI276" s="227"/>
      <c r="ATJ276" s="227"/>
      <c r="ATK276" s="227"/>
      <c r="ATL276" s="227"/>
      <c r="ATM276" s="227"/>
      <c r="ATN276" s="227"/>
      <c r="ATO276" s="227"/>
      <c r="ATP276" s="227"/>
      <c r="ATQ276" s="227"/>
      <c r="ATR276" s="227"/>
      <c r="ATS276" s="227"/>
      <c r="ATT276" s="227"/>
      <c r="ATU276" s="227"/>
      <c r="ATV276" s="227"/>
      <c r="ATW276" s="227"/>
      <c r="ATX276" s="227"/>
      <c r="ATY276" s="227"/>
      <c r="ATZ276" s="227"/>
      <c r="AUA276" s="227"/>
      <c r="AUB276" s="227"/>
      <c r="AUC276" s="227"/>
      <c r="AUD276" s="227"/>
      <c r="AUE276" s="227"/>
      <c r="AUF276" s="227"/>
      <c r="AUG276" s="227"/>
      <c r="AUH276" s="227"/>
      <c r="AUI276" s="227"/>
      <c r="AUJ276" s="227"/>
      <c r="AUK276" s="227"/>
      <c r="AUL276" s="227"/>
      <c r="AUM276" s="227"/>
      <c r="AUN276" s="227"/>
      <c r="AUO276" s="227"/>
      <c r="AUP276" s="227"/>
      <c r="AUQ276" s="227"/>
      <c r="AUR276" s="227"/>
      <c r="AUS276" s="227"/>
      <c r="AUT276" s="227"/>
      <c r="AUU276" s="227"/>
      <c r="AUV276" s="227"/>
      <c r="AUW276" s="227"/>
      <c r="AUX276" s="227"/>
      <c r="AUY276" s="227"/>
      <c r="AUZ276" s="227"/>
      <c r="AVA276" s="227"/>
      <c r="AVB276" s="227"/>
      <c r="AVC276" s="227"/>
      <c r="AVD276" s="227"/>
      <c r="AVE276" s="227"/>
      <c r="AVF276" s="227"/>
      <c r="AVG276" s="227"/>
      <c r="AVH276" s="227"/>
      <c r="AVI276" s="227"/>
      <c r="AVJ276" s="227"/>
      <c r="AVK276" s="227"/>
      <c r="AVL276" s="227"/>
      <c r="AVM276" s="227"/>
      <c r="AVN276" s="227"/>
      <c r="AVO276" s="227"/>
      <c r="AVP276" s="227"/>
      <c r="AVQ276" s="227"/>
      <c r="AVR276" s="227"/>
      <c r="AVS276" s="227"/>
      <c r="AVT276" s="227"/>
      <c r="AVU276" s="227"/>
      <c r="AVV276" s="227"/>
      <c r="AVW276" s="227"/>
      <c r="AVX276" s="227"/>
      <c r="AVY276" s="227"/>
      <c r="AVZ276" s="227"/>
      <c r="AWA276" s="227"/>
      <c r="AWB276" s="227"/>
      <c r="AWC276" s="227"/>
      <c r="AWD276" s="227"/>
      <c r="AWE276" s="227"/>
      <c r="AWF276" s="227"/>
      <c r="AWG276" s="227"/>
      <c r="AWH276" s="227"/>
      <c r="AWI276" s="227"/>
      <c r="AWJ276" s="227"/>
      <c r="AWK276" s="227"/>
      <c r="AWL276" s="227"/>
      <c r="AWM276" s="227"/>
      <c r="AWN276" s="227"/>
      <c r="AWO276" s="227"/>
      <c r="AWP276" s="227"/>
      <c r="AWQ276" s="227"/>
      <c r="AWR276" s="227"/>
      <c r="AWS276" s="227"/>
      <c r="AWT276" s="227"/>
      <c r="AWU276" s="227"/>
      <c r="AWV276" s="227"/>
      <c r="AWW276" s="227"/>
      <c r="AWX276" s="227"/>
      <c r="AWY276" s="227"/>
      <c r="AWZ276" s="227"/>
      <c r="AXA276" s="227"/>
      <c r="AXB276" s="227"/>
      <c r="AXC276" s="227"/>
      <c r="AXD276" s="227"/>
      <c r="AXE276" s="227"/>
      <c r="AXF276" s="227"/>
      <c r="AXG276" s="227"/>
      <c r="AXH276" s="227"/>
      <c r="AXI276" s="227"/>
      <c r="AXJ276" s="227"/>
      <c r="AXK276" s="227"/>
      <c r="AXL276" s="227"/>
      <c r="AXM276" s="227"/>
      <c r="AXN276" s="227"/>
      <c r="AXO276" s="227"/>
      <c r="AXP276" s="227"/>
      <c r="AXQ276" s="227"/>
      <c r="AXR276" s="227"/>
      <c r="AXS276" s="227"/>
      <c r="AXT276" s="227"/>
      <c r="AXU276" s="227"/>
      <c r="AXV276" s="227"/>
      <c r="AXW276" s="227"/>
      <c r="AXX276" s="227"/>
      <c r="AXY276" s="227"/>
      <c r="AXZ276" s="227"/>
      <c r="AYA276" s="227"/>
      <c r="AYB276" s="227"/>
      <c r="AYC276" s="227"/>
      <c r="AYD276" s="227"/>
      <c r="AYE276" s="227"/>
      <c r="AYF276" s="227"/>
      <c r="AYG276" s="227"/>
      <c r="AYH276" s="227"/>
      <c r="AYI276" s="227"/>
      <c r="AYJ276" s="227"/>
      <c r="AYK276" s="227"/>
      <c r="AYL276" s="227"/>
      <c r="AYM276" s="227"/>
      <c r="AYN276" s="227"/>
      <c r="AYO276" s="227"/>
      <c r="AYP276" s="227"/>
      <c r="AYQ276" s="227"/>
      <c r="AYR276" s="227"/>
      <c r="AYS276" s="227"/>
      <c r="AYT276" s="227"/>
      <c r="AYU276" s="227"/>
      <c r="AYV276" s="227"/>
      <c r="AYW276" s="227"/>
      <c r="AYX276" s="227"/>
      <c r="AYY276" s="227"/>
      <c r="AYZ276" s="227"/>
      <c r="AZA276" s="227"/>
      <c r="AZB276" s="227"/>
      <c r="AZC276" s="227"/>
      <c r="AZD276" s="227"/>
      <c r="AZE276" s="227"/>
      <c r="AZF276" s="227"/>
      <c r="AZG276" s="227"/>
      <c r="AZH276" s="227"/>
      <c r="AZI276" s="227"/>
      <c r="AZJ276" s="227"/>
      <c r="AZK276" s="227"/>
      <c r="AZL276" s="227"/>
      <c r="AZM276" s="227"/>
      <c r="AZN276" s="227"/>
      <c r="AZO276" s="227"/>
      <c r="AZP276" s="227"/>
      <c r="AZQ276" s="227"/>
      <c r="AZR276" s="227"/>
      <c r="AZS276" s="227"/>
      <c r="AZT276" s="227"/>
      <c r="AZU276" s="227"/>
      <c r="AZV276" s="227"/>
      <c r="AZW276" s="227"/>
      <c r="AZX276" s="227"/>
      <c r="AZY276" s="227"/>
      <c r="AZZ276" s="227"/>
      <c r="BAA276" s="227"/>
      <c r="BAB276" s="227"/>
      <c r="BAC276" s="227"/>
      <c r="BAD276" s="227"/>
      <c r="BAE276" s="227"/>
      <c r="BAF276" s="227"/>
      <c r="BAG276" s="227"/>
      <c r="BAH276" s="227"/>
      <c r="BAI276" s="227"/>
      <c r="BAJ276" s="227"/>
      <c r="BAK276" s="227"/>
      <c r="BAL276" s="227"/>
      <c r="BAM276" s="227"/>
      <c r="BAN276" s="227"/>
      <c r="BAO276" s="227"/>
      <c r="BAP276" s="227"/>
      <c r="BAQ276" s="227"/>
      <c r="BAR276" s="227"/>
      <c r="BAS276" s="227"/>
      <c r="BAT276" s="227"/>
      <c r="BAU276" s="227"/>
      <c r="BAV276" s="227"/>
      <c r="BAW276" s="227"/>
      <c r="BAX276" s="227"/>
      <c r="BAY276" s="227"/>
      <c r="BAZ276" s="227"/>
      <c r="BBA276" s="227"/>
      <c r="BBB276" s="227"/>
      <c r="BBC276" s="227"/>
      <c r="BBD276" s="227"/>
      <c r="BBE276" s="227"/>
      <c r="BBF276" s="227"/>
      <c r="BBG276" s="227"/>
      <c r="BBH276" s="227"/>
      <c r="BBI276" s="227"/>
      <c r="BBJ276" s="227"/>
      <c r="BBK276" s="227"/>
      <c r="BBL276" s="227"/>
      <c r="BBM276" s="227"/>
      <c r="BBN276" s="227"/>
      <c r="BBO276" s="227"/>
      <c r="BBP276" s="227"/>
      <c r="BBQ276" s="227"/>
      <c r="BBR276" s="227"/>
      <c r="BBS276" s="227"/>
      <c r="BBT276" s="227"/>
      <c r="BBU276" s="227"/>
      <c r="BBV276" s="227"/>
      <c r="BBW276" s="227"/>
      <c r="BBX276" s="227"/>
      <c r="BBY276" s="227"/>
      <c r="BBZ276" s="227"/>
      <c r="BCA276" s="227"/>
      <c r="BCB276" s="227"/>
      <c r="BCC276" s="227"/>
      <c r="BCD276" s="227"/>
      <c r="BCE276" s="227"/>
      <c r="BCF276" s="227"/>
      <c r="BCG276" s="227"/>
      <c r="BCH276" s="227"/>
      <c r="BCI276" s="227"/>
      <c r="BCJ276" s="227"/>
      <c r="BCK276" s="227"/>
      <c r="BCL276" s="227"/>
      <c r="BCM276" s="227"/>
      <c r="BCN276" s="227"/>
      <c r="BCO276" s="227"/>
      <c r="BCP276" s="227"/>
      <c r="BCQ276" s="227"/>
      <c r="BCR276" s="227"/>
      <c r="BCS276" s="227"/>
      <c r="BCT276" s="227"/>
      <c r="BCU276" s="227"/>
      <c r="BCV276" s="227"/>
      <c r="BCW276" s="227"/>
      <c r="BCX276" s="227"/>
      <c r="BCY276" s="227"/>
      <c r="BCZ276" s="227"/>
      <c r="BDA276" s="227"/>
      <c r="BDB276" s="227"/>
      <c r="BDC276" s="227"/>
      <c r="BDD276" s="227"/>
      <c r="BDE276" s="227"/>
      <c r="BDF276" s="227"/>
      <c r="BDG276" s="227"/>
      <c r="BDH276" s="227"/>
      <c r="BDI276" s="227"/>
      <c r="BDJ276" s="227"/>
      <c r="BDK276" s="227"/>
      <c r="BDL276" s="227"/>
      <c r="BDM276" s="227"/>
      <c r="BDN276" s="227"/>
      <c r="BDO276" s="227"/>
      <c r="BDP276" s="227"/>
      <c r="BDQ276" s="227"/>
      <c r="BDR276" s="227"/>
      <c r="BDS276" s="227"/>
      <c r="BDT276" s="227"/>
      <c r="BDU276" s="227"/>
      <c r="BDV276" s="227"/>
      <c r="BDW276" s="227"/>
      <c r="BDX276" s="227"/>
      <c r="BDY276" s="227"/>
      <c r="BDZ276" s="227"/>
      <c r="BEA276" s="227"/>
      <c r="BEB276" s="227"/>
      <c r="BEC276" s="227"/>
      <c r="BED276" s="227"/>
      <c r="BEE276" s="227"/>
      <c r="BEF276" s="227"/>
      <c r="BEG276" s="227"/>
      <c r="BEH276" s="227"/>
      <c r="BEI276" s="227"/>
      <c r="BEJ276" s="227"/>
      <c r="BEK276" s="227"/>
      <c r="BEL276" s="227"/>
      <c r="BEM276" s="227"/>
      <c r="BEN276" s="227"/>
      <c r="BEO276" s="227"/>
      <c r="BEP276" s="227"/>
      <c r="BEQ276" s="227"/>
      <c r="BER276" s="227"/>
      <c r="BES276" s="227"/>
      <c r="BET276" s="227"/>
      <c r="BEU276" s="227"/>
      <c r="BEV276" s="227"/>
      <c r="BEW276" s="227"/>
      <c r="BEX276" s="227"/>
      <c r="BEY276" s="227"/>
      <c r="BEZ276" s="227"/>
      <c r="BFA276" s="227"/>
      <c r="BFB276" s="227"/>
      <c r="BFC276" s="227"/>
      <c r="BFD276" s="227"/>
      <c r="BFE276" s="227"/>
      <c r="BFF276" s="227"/>
      <c r="BFG276" s="227"/>
      <c r="BFH276" s="227"/>
      <c r="BFI276" s="227"/>
      <c r="BFJ276" s="227"/>
      <c r="BFK276" s="227"/>
      <c r="BFL276" s="227"/>
      <c r="BFM276" s="227"/>
      <c r="BFN276" s="227"/>
      <c r="BFO276" s="227"/>
      <c r="BFP276" s="227"/>
      <c r="BFQ276" s="227"/>
      <c r="BFR276" s="227"/>
      <c r="BFS276" s="227"/>
      <c r="BFT276" s="227"/>
      <c r="BFU276" s="227"/>
      <c r="BFV276" s="227"/>
      <c r="BFW276" s="227"/>
      <c r="BFX276" s="227"/>
      <c r="BFY276" s="227"/>
      <c r="BFZ276" s="227"/>
      <c r="BGA276" s="227"/>
      <c r="BGB276" s="227"/>
      <c r="BGC276" s="227"/>
      <c r="BGD276" s="227"/>
      <c r="BGE276" s="227"/>
      <c r="BGF276" s="227"/>
      <c r="BGG276" s="227"/>
      <c r="BGH276" s="227"/>
      <c r="BGI276" s="227"/>
      <c r="BGJ276" s="227"/>
      <c r="BGK276" s="227"/>
      <c r="BGL276" s="227"/>
      <c r="BGM276" s="227"/>
      <c r="BGN276" s="227"/>
      <c r="BGO276" s="227"/>
      <c r="BGP276" s="227"/>
      <c r="BGQ276" s="227"/>
      <c r="BGR276" s="227"/>
      <c r="BGS276" s="227"/>
      <c r="BGT276" s="227"/>
      <c r="BGU276" s="227"/>
      <c r="BGV276" s="227"/>
      <c r="BGW276" s="227"/>
      <c r="BGX276" s="227"/>
      <c r="BGY276" s="227"/>
      <c r="BGZ276" s="227"/>
      <c r="BHA276" s="227"/>
      <c r="BHB276" s="227"/>
      <c r="BHC276" s="227"/>
      <c r="BHD276" s="227"/>
      <c r="BHE276" s="227"/>
      <c r="BHF276" s="227"/>
      <c r="BHG276" s="227"/>
      <c r="BHH276" s="227"/>
      <c r="BHI276" s="227"/>
      <c r="BHJ276" s="227"/>
      <c r="BHK276" s="227"/>
      <c r="BHL276" s="227"/>
      <c r="BHM276" s="227"/>
      <c r="BHN276" s="227"/>
      <c r="BHO276" s="227"/>
      <c r="BHP276" s="227"/>
      <c r="BHQ276" s="227"/>
      <c r="BHR276" s="227"/>
      <c r="BHS276" s="227"/>
      <c r="BHT276" s="227"/>
      <c r="BHU276" s="227"/>
      <c r="BHV276" s="227"/>
      <c r="BHW276" s="227"/>
      <c r="BHX276" s="227"/>
      <c r="BHY276" s="227"/>
      <c r="BHZ276" s="227"/>
      <c r="BIA276" s="227"/>
      <c r="BIB276" s="227"/>
      <c r="BIC276" s="227"/>
      <c r="BID276" s="227"/>
      <c r="BIE276" s="227"/>
      <c r="BIF276" s="227"/>
      <c r="BIG276" s="227"/>
      <c r="BIH276" s="227"/>
      <c r="BII276" s="227"/>
      <c r="BIJ276" s="227"/>
      <c r="BIK276" s="227"/>
      <c r="BIL276" s="227"/>
      <c r="BIM276" s="227"/>
      <c r="BIN276" s="227"/>
      <c r="BIO276" s="227"/>
      <c r="BIP276" s="227"/>
      <c r="BIQ276" s="227"/>
      <c r="BIR276" s="227"/>
      <c r="BIS276" s="227"/>
      <c r="BIT276" s="227"/>
      <c r="BIU276" s="227"/>
      <c r="BIV276" s="227"/>
      <c r="BIW276" s="227"/>
      <c r="BIX276" s="227"/>
      <c r="BIY276" s="227"/>
      <c r="BIZ276" s="227"/>
      <c r="BJA276" s="227"/>
      <c r="BJB276" s="227"/>
      <c r="BJC276" s="227"/>
      <c r="BJD276" s="227"/>
      <c r="BJE276" s="227"/>
      <c r="BJF276" s="227"/>
      <c r="BJG276" s="227"/>
      <c r="BJH276" s="227"/>
      <c r="BJI276" s="227"/>
      <c r="BJJ276" s="227"/>
      <c r="BJK276" s="227"/>
      <c r="BJL276" s="227"/>
      <c r="BJM276" s="227"/>
      <c r="BJN276" s="227"/>
      <c r="BJO276" s="227"/>
      <c r="BJP276" s="227"/>
      <c r="BJQ276" s="227"/>
      <c r="BJR276" s="227"/>
      <c r="BJS276" s="227"/>
      <c r="BJT276" s="227"/>
      <c r="BJU276" s="227"/>
      <c r="BJV276" s="227"/>
      <c r="BJW276" s="227"/>
      <c r="BJX276" s="227"/>
      <c r="BJY276" s="227"/>
      <c r="BJZ276" s="227"/>
      <c r="BKA276" s="227"/>
      <c r="BKB276" s="227"/>
      <c r="BKC276" s="227"/>
      <c r="BKD276" s="227"/>
      <c r="BKE276" s="227"/>
      <c r="BKF276" s="227"/>
      <c r="BKG276" s="227"/>
      <c r="BKH276" s="227"/>
      <c r="BKI276" s="227"/>
      <c r="BKJ276" s="227"/>
      <c r="BKK276" s="227"/>
      <c r="BKL276" s="227"/>
      <c r="BKM276" s="227"/>
      <c r="BKN276" s="227"/>
      <c r="BKO276" s="227"/>
      <c r="BKP276" s="227"/>
      <c r="BKQ276" s="227"/>
      <c r="BKR276" s="227"/>
      <c r="BKS276" s="227"/>
      <c r="BKT276" s="227"/>
      <c r="BKU276" s="227"/>
      <c r="BKV276" s="227"/>
      <c r="BKW276" s="227"/>
      <c r="BKX276" s="227"/>
      <c r="BKY276" s="227"/>
      <c r="BKZ276" s="227"/>
      <c r="BLA276" s="227"/>
      <c r="BLB276" s="227"/>
      <c r="BLC276" s="227"/>
      <c r="BLD276" s="227"/>
      <c r="BLE276" s="227"/>
      <c r="BLF276" s="227"/>
      <c r="BLG276" s="227"/>
      <c r="BLH276" s="227"/>
      <c r="BLI276" s="227"/>
      <c r="BLJ276" s="227"/>
      <c r="BLK276" s="227"/>
      <c r="BLL276" s="227"/>
      <c r="BLM276" s="227"/>
      <c r="BLN276" s="227"/>
      <c r="BLO276" s="227"/>
      <c r="BLP276" s="227"/>
      <c r="BLQ276" s="227"/>
      <c r="BLR276" s="227"/>
      <c r="BLS276" s="227"/>
      <c r="BLT276" s="227"/>
      <c r="BLU276" s="227"/>
      <c r="BLV276" s="227"/>
      <c r="BLW276" s="227"/>
      <c r="BLX276" s="227"/>
      <c r="BLY276" s="227"/>
      <c r="BLZ276" s="227"/>
      <c r="BMA276" s="227"/>
      <c r="BMB276" s="227"/>
      <c r="BMC276" s="227"/>
      <c r="BMD276" s="227"/>
      <c r="BME276" s="227"/>
      <c r="BMF276" s="227"/>
      <c r="BMG276" s="227"/>
      <c r="BMH276" s="227"/>
      <c r="BMI276" s="227"/>
      <c r="BMJ276" s="227"/>
      <c r="BMK276" s="227"/>
      <c r="BML276" s="227"/>
      <c r="BMM276" s="227"/>
      <c r="BMN276" s="227"/>
      <c r="BMO276" s="227"/>
      <c r="BMP276" s="227"/>
      <c r="BMQ276" s="227"/>
      <c r="BMR276" s="227"/>
      <c r="BMS276" s="227"/>
      <c r="BMT276" s="227"/>
      <c r="BMU276" s="227"/>
      <c r="BMV276" s="227"/>
      <c r="BMW276" s="227"/>
      <c r="BMX276" s="227"/>
      <c r="BMY276" s="227"/>
      <c r="BMZ276" s="227"/>
      <c r="BNA276" s="227"/>
      <c r="BNB276" s="227"/>
      <c r="BNC276" s="227"/>
      <c r="BND276" s="227"/>
      <c r="BNE276" s="227"/>
      <c r="BNF276" s="227"/>
      <c r="BNG276" s="227"/>
      <c r="BNH276" s="227"/>
      <c r="BNI276" s="227"/>
      <c r="BNJ276" s="227"/>
      <c r="BNK276" s="227"/>
      <c r="BNL276" s="227"/>
      <c r="BNM276" s="227"/>
      <c r="BNN276" s="227"/>
      <c r="BNO276" s="227"/>
      <c r="BNP276" s="227"/>
      <c r="BNQ276" s="227"/>
      <c r="BNR276" s="227"/>
      <c r="BNS276" s="227"/>
      <c r="BNT276" s="227"/>
      <c r="BNU276" s="227"/>
      <c r="BNV276" s="227"/>
      <c r="BNW276" s="227"/>
      <c r="BNX276" s="227"/>
      <c r="BNY276" s="227"/>
      <c r="BNZ276" s="227"/>
      <c r="BOA276" s="227"/>
      <c r="BOB276" s="227"/>
      <c r="BOC276" s="227"/>
      <c r="BOD276" s="227"/>
      <c r="BOE276" s="227"/>
      <c r="BOF276" s="227"/>
      <c r="BOG276" s="227"/>
      <c r="BOH276" s="227"/>
      <c r="BOI276" s="227"/>
      <c r="BOJ276" s="227"/>
      <c r="BOK276" s="227"/>
      <c r="BOL276" s="227"/>
      <c r="BOM276" s="227"/>
      <c r="BON276" s="227"/>
      <c r="BOO276" s="227"/>
      <c r="BOP276" s="227"/>
      <c r="BOQ276" s="227"/>
      <c r="BOR276" s="227"/>
      <c r="BOS276" s="227"/>
      <c r="BOT276" s="227"/>
      <c r="BOU276" s="227"/>
      <c r="BOV276" s="227"/>
      <c r="BOW276" s="227"/>
      <c r="BOX276" s="227"/>
      <c r="BOY276" s="227"/>
      <c r="BOZ276" s="227"/>
      <c r="BPA276" s="227"/>
      <c r="BPB276" s="227"/>
      <c r="BPC276" s="227"/>
      <c r="BPD276" s="227"/>
      <c r="BPE276" s="227"/>
      <c r="BPF276" s="227"/>
      <c r="BPG276" s="227"/>
      <c r="BPH276" s="227"/>
      <c r="BPI276" s="227"/>
      <c r="BPJ276" s="227"/>
      <c r="BPK276" s="227"/>
      <c r="BPL276" s="227"/>
      <c r="BPM276" s="227"/>
      <c r="BPN276" s="227"/>
      <c r="BPO276" s="227"/>
      <c r="BPP276" s="227"/>
      <c r="BPQ276" s="227"/>
      <c r="BPR276" s="227"/>
      <c r="BPS276" s="227"/>
      <c r="BPT276" s="227"/>
      <c r="BPU276" s="227"/>
      <c r="BPV276" s="227"/>
      <c r="BPW276" s="227"/>
      <c r="BPX276" s="227"/>
      <c r="BPY276" s="227"/>
      <c r="BPZ276" s="227"/>
      <c r="BQA276" s="227"/>
      <c r="BQB276" s="227"/>
      <c r="BQC276" s="227"/>
      <c r="BQD276" s="227"/>
      <c r="BQE276" s="227"/>
      <c r="BQF276" s="227"/>
      <c r="BQG276" s="227"/>
      <c r="BQH276" s="227"/>
      <c r="BQI276" s="227"/>
      <c r="BQJ276" s="227"/>
      <c r="BQK276" s="227"/>
      <c r="BQL276" s="227"/>
      <c r="BQM276" s="227"/>
      <c r="BQN276" s="227"/>
      <c r="BQO276" s="227"/>
      <c r="BQP276" s="227"/>
      <c r="BQQ276" s="227"/>
      <c r="BQR276" s="227"/>
      <c r="BQS276" s="227"/>
      <c r="BQT276" s="227"/>
      <c r="BQU276" s="227"/>
      <c r="BQV276" s="227"/>
      <c r="BQW276" s="227"/>
      <c r="BQX276" s="227"/>
      <c r="BQY276" s="227"/>
      <c r="BQZ276" s="227"/>
      <c r="BRA276" s="227"/>
      <c r="BRB276" s="227"/>
      <c r="BRC276" s="227"/>
      <c r="BRD276" s="227"/>
      <c r="BRE276" s="227"/>
      <c r="BRF276" s="227"/>
      <c r="BRG276" s="227"/>
      <c r="BRH276" s="227"/>
      <c r="BRI276" s="227"/>
      <c r="BRJ276" s="227"/>
      <c r="BRK276" s="227"/>
      <c r="BRL276" s="227"/>
      <c r="BRM276" s="227"/>
      <c r="BRN276" s="227"/>
      <c r="BRO276" s="227"/>
      <c r="BRP276" s="227"/>
      <c r="BRQ276" s="227"/>
      <c r="BRR276" s="227"/>
      <c r="BRS276" s="227"/>
      <c r="BRT276" s="227"/>
      <c r="BRU276" s="227"/>
      <c r="BRV276" s="227"/>
      <c r="BRW276" s="227"/>
      <c r="BRX276" s="227"/>
      <c r="BRY276" s="227"/>
      <c r="BRZ276" s="227"/>
      <c r="BSA276" s="227"/>
      <c r="BSB276" s="227"/>
      <c r="BSC276" s="227"/>
      <c r="BSD276" s="227"/>
      <c r="BSE276" s="227"/>
      <c r="BSF276" s="227"/>
      <c r="BSG276" s="227"/>
      <c r="BSH276" s="227"/>
      <c r="BSI276" s="227"/>
      <c r="BSJ276" s="227"/>
      <c r="BSK276" s="227"/>
      <c r="BSL276" s="227"/>
      <c r="BSM276" s="227"/>
      <c r="BSN276" s="227"/>
      <c r="BSO276" s="227"/>
      <c r="BSP276" s="227"/>
      <c r="BSQ276" s="227"/>
      <c r="BSR276" s="227"/>
      <c r="BSS276" s="227"/>
      <c r="BST276" s="227"/>
      <c r="BSU276" s="227"/>
      <c r="BSV276" s="227"/>
      <c r="BSW276" s="227"/>
      <c r="BSX276" s="227"/>
      <c r="BSY276" s="227"/>
      <c r="BSZ276" s="227"/>
      <c r="BTA276" s="227"/>
      <c r="BTB276" s="227"/>
      <c r="BTC276" s="227"/>
      <c r="BTD276" s="227"/>
      <c r="BTE276" s="227"/>
      <c r="BTF276" s="227"/>
      <c r="BTG276" s="227"/>
      <c r="BTH276" s="227"/>
      <c r="BTI276" s="227"/>
      <c r="BTJ276" s="227"/>
      <c r="BTK276" s="227"/>
      <c r="BTL276" s="227"/>
      <c r="BTM276" s="227"/>
      <c r="BTN276" s="227"/>
      <c r="BTO276" s="227"/>
      <c r="BTP276" s="227"/>
      <c r="BTQ276" s="227"/>
      <c r="BTR276" s="227"/>
      <c r="BTS276" s="227"/>
      <c r="BTT276" s="227"/>
      <c r="BTU276" s="227"/>
      <c r="BTV276" s="227"/>
      <c r="BTW276" s="227"/>
      <c r="BTX276" s="227"/>
      <c r="BTY276" s="227"/>
      <c r="BTZ276" s="227"/>
      <c r="BUA276" s="227"/>
      <c r="BUB276" s="227"/>
      <c r="BUC276" s="227"/>
      <c r="BUD276" s="227"/>
      <c r="BUE276" s="227"/>
      <c r="BUF276" s="227"/>
      <c r="BUG276" s="227"/>
      <c r="BUH276" s="227"/>
      <c r="BUI276" s="227"/>
      <c r="BUJ276" s="227"/>
      <c r="BUK276" s="227"/>
      <c r="BUL276" s="227"/>
      <c r="BUM276" s="227"/>
      <c r="BUN276" s="227"/>
      <c r="BUO276" s="227"/>
      <c r="BUP276" s="227"/>
      <c r="BUQ276" s="227"/>
      <c r="BUR276" s="227"/>
      <c r="BUS276" s="227"/>
      <c r="BUT276" s="227"/>
      <c r="BUU276" s="227"/>
      <c r="BUV276" s="227"/>
      <c r="BUW276" s="227"/>
      <c r="BUX276" s="227"/>
      <c r="BUY276" s="227"/>
      <c r="BUZ276" s="227"/>
      <c r="BVA276" s="227"/>
      <c r="BVB276" s="227"/>
      <c r="BVC276" s="227"/>
      <c r="BVD276" s="227"/>
      <c r="BVE276" s="227"/>
      <c r="BVF276" s="227"/>
      <c r="BVG276" s="227"/>
      <c r="BVH276" s="227"/>
      <c r="BVI276" s="227"/>
      <c r="BVJ276" s="227"/>
      <c r="BVK276" s="227"/>
      <c r="BVL276" s="227"/>
      <c r="BVM276" s="227"/>
      <c r="BVN276" s="227"/>
      <c r="BVO276" s="227"/>
      <c r="BVP276" s="227"/>
      <c r="BVQ276" s="227"/>
      <c r="BVR276" s="227"/>
      <c r="BVS276" s="227"/>
      <c r="BVT276" s="227"/>
      <c r="BVU276" s="227"/>
      <c r="BVV276" s="227"/>
      <c r="BVW276" s="227"/>
      <c r="BVX276" s="227"/>
      <c r="BVY276" s="227"/>
      <c r="BVZ276" s="227"/>
      <c r="BWA276" s="227"/>
      <c r="BWB276" s="227"/>
      <c r="BWC276" s="227"/>
      <c r="BWD276" s="227"/>
      <c r="BWE276" s="227"/>
      <c r="BWF276" s="227"/>
      <c r="BWG276" s="227"/>
      <c r="BWH276" s="227"/>
      <c r="BWI276" s="227"/>
      <c r="BWJ276" s="227"/>
      <c r="BWK276" s="227"/>
      <c r="BWL276" s="227"/>
      <c r="BWM276" s="227"/>
      <c r="BWN276" s="227"/>
      <c r="BWO276" s="227"/>
      <c r="BWP276" s="227"/>
      <c r="BWQ276" s="227"/>
      <c r="BWR276" s="227"/>
      <c r="BWS276" s="227"/>
      <c r="BWT276" s="227"/>
      <c r="BWU276" s="227"/>
      <c r="BWV276" s="227"/>
      <c r="BWW276" s="227"/>
      <c r="BWX276" s="227"/>
      <c r="BWY276" s="227"/>
      <c r="BWZ276" s="227"/>
      <c r="BXA276" s="227"/>
      <c r="BXB276" s="227"/>
      <c r="BXC276" s="227"/>
      <c r="BXD276" s="227"/>
      <c r="BXE276" s="227"/>
      <c r="BXF276" s="227"/>
      <c r="BXG276" s="227"/>
      <c r="BXH276" s="227"/>
      <c r="BXI276" s="227"/>
      <c r="BXJ276" s="227"/>
      <c r="BXK276" s="227"/>
      <c r="BXL276" s="227"/>
      <c r="BXM276" s="227"/>
      <c r="BXN276" s="227"/>
      <c r="BXO276" s="227"/>
      <c r="BXP276" s="227"/>
      <c r="BXQ276" s="227"/>
      <c r="BXR276" s="227"/>
      <c r="BXS276" s="227"/>
      <c r="BXT276" s="227"/>
      <c r="BXU276" s="227"/>
      <c r="BXV276" s="227"/>
      <c r="BXW276" s="227"/>
      <c r="BXX276" s="227"/>
      <c r="BXY276" s="227"/>
      <c r="BXZ276" s="227"/>
      <c r="BYA276" s="227"/>
      <c r="BYB276" s="227"/>
      <c r="BYC276" s="227"/>
      <c r="BYD276" s="227"/>
      <c r="BYE276" s="227"/>
      <c r="BYF276" s="227"/>
      <c r="BYG276" s="227"/>
      <c r="BYH276" s="227"/>
      <c r="BYI276" s="227"/>
      <c r="BYJ276" s="227"/>
      <c r="BYK276" s="227"/>
      <c r="BYL276" s="227"/>
      <c r="BYM276" s="227"/>
      <c r="BYN276" s="227"/>
      <c r="BYO276" s="227"/>
      <c r="BYP276" s="227"/>
      <c r="BYQ276" s="227"/>
      <c r="BYR276" s="227"/>
      <c r="BYS276" s="227"/>
      <c r="BYT276" s="227"/>
      <c r="BYU276" s="227"/>
      <c r="BYV276" s="227"/>
      <c r="BYW276" s="227"/>
      <c r="BYX276" s="227"/>
      <c r="BYY276" s="227"/>
      <c r="BYZ276" s="227"/>
      <c r="BZA276" s="227"/>
      <c r="BZB276" s="227"/>
      <c r="BZC276" s="227"/>
      <c r="BZD276" s="227"/>
      <c r="BZE276" s="227"/>
      <c r="BZF276" s="227"/>
      <c r="BZG276" s="227"/>
      <c r="BZH276" s="227"/>
      <c r="BZI276" s="227"/>
      <c r="BZJ276" s="227"/>
      <c r="BZK276" s="227"/>
      <c r="BZL276" s="227"/>
      <c r="BZM276" s="227"/>
      <c r="BZN276" s="227"/>
      <c r="BZO276" s="227"/>
      <c r="BZP276" s="227"/>
      <c r="BZQ276" s="227"/>
      <c r="BZR276" s="227"/>
      <c r="BZS276" s="227"/>
      <c r="BZT276" s="227"/>
      <c r="BZU276" s="227"/>
      <c r="BZV276" s="227"/>
      <c r="BZW276" s="227"/>
      <c r="BZX276" s="227"/>
      <c r="BZY276" s="227"/>
      <c r="BZZ276" s="227"/>
      <c r="CAA276" s="227"/>
      <c r="CAB276" s="227"/>
      <c r="CAC276" s="227"/>
      <c r="CAD276" s="227"/>
      <c r="CAE276" s="227"/>
      <c r="CAF276" s="227"/>
      <c r="CAG276" s="227"/>
      <c r="CAH276" s="227"/>
      <c r="CAI276" s="227"/>
      <c r="CAJ276" s="227"/>
      <c r="CAK276" s="227"/>
      <c r="CAL276" s="227"/>
      <c r="CAM276" s="227"/>
      <c r="CAN276" s="227"/>
      <c r="CAO276" s="227"/>
      <c r="CAP276" s="227"/>
      <c r="CAQ276" s="227"/>
      <c r="CAR276" s="227"/>
      <c r="CAS276" s="227"/>
      <c r="CAT276" s="227"/>
      <c r="CAU276" s="227"/>
      <c r="CAV276" s="227"/>
      <c r="CAW276" s="227"/>
      <c r="CAX276" s="227"/>
      <c r="CAY276" s="227"/>
      <c r="CAZ276" s="227"/>
      <c r="CBA276" s="227"/>
      <c r="CBB276" s="227"/>
      <c r="CBC276" s="227"/>
      <c r="CBD276" s="227"/>
      <c r="CBE276" s="227"/>
      <c r="CBF276" s="227"/>
      <c r="CBG276" s="227"/>
      <c r="CBH276" s="227"/>
      <c r="CBI276" s="227"/>
      <c r="CBJ276" s="227"/>
      <c r="CBK276" s="227"/>
      <c r="CBL276" s="227"/>
      <c r="CBM276" s="227"/>
      <c r="CBN276" s="227"/>
      <c r="CBO276" s="227"/>
      <c r="CBP276" s="227"/>
      <c r="CBQ276" s="227"/>
      <c r="CBR276" s="227"/>
      <c r="CBS276" s="227"/>
      <c r="CBT276" s="227"/>
      <c r="CBU276" s="227"/>
      <c r="CBV276" s="227"/>
      <c r="CBW276" s="227"/>
      <c r="CBX276" s="227"/>
      <c r="CBY276" s="227"/>
      <c r="CBZ276" s="227"/>
      <c r="CCA276" s="227"/>
      <c r="CCB276" s="227"/>
      <c r="CCC276" s="227"/>
      <c r="CCD276" s="227"/>
      <c r="CCE276" s="227"/>
      <c r="CCF276" s="227"/>
      <c r="CCG276" s="227"/>
      <c r="CCH276" s="227"/>
      <c r="CCI276" s="227"/>
      <c r="CCJ276" s="227"/>
      <c r="CCK276" s="227"/>
      <c r="CCL276" s="227"/>
      <c r="CCM276" s="227"/>
      <c r="CCN276" s="227"/>
      <c r="CCO276" s="227"/>
      <c r="CCP276" s="227"/>
      <c r="CCQ276" s="227"/>
      <c r="CCR276" s="227"/>
      <c r="CCS276" s="227"/>
      <c r="CCT276" s="227"/>
      <c r="CCU276" s="227"/>
      <c r="CCV276" s="227"/>
      <c r="CCW276" s="227"/>
      <c r="CCX276" s="227"/>
      <c r="CCY276" s="227"/>
      <c r="CCZ276" s="227"/>
      <c r="CDA276" s="227"/>
      <c r="CDB276" s="227"/>
      <c r="CDC276" s="227"/>
      <c r="CDD276" s="227"/>
      <c r="CDE276" s="227"/>
      <c r="CDF276" s="227"/>
      <c r="CDG276" s="227"/>
      <c r="CDH276" s="227"/>
      <c r="CDI276" s="227"/>
      <c r="CDJ276" s="227"/>
      <c r="CDK276" s="227"/>
      <c r="CDL276" s="227"/>
      <c r="CDM276" s="227"/>
      <c r="CDN276" s="227"/>
      <c r="CDO276" s="227"/>
      <c r="CDP276" s="227"/>
      <c r="CDQ276" s="227"/>
      <c r="CDR276" s="227"/>
      <c r="CDS276" s="227"/>
      <c r="CDT276" s="227"/>
      <c r="CDU276" s="227"/>
      <c r="CDV276" s="227"/>
      <c r="CDW276" s="227"/>
      <c r="CDX276" s="227"/>
      <c r="CDY276" s="227"/>
      <c r="CDZ276" s="227"/>
      <c r="CEA276" s="227"/>
      <c r="CEB276" s="227"/>
      <c r="CEC276" s="227"/>
      <c r="CED276" s="227"/>
      <c r="CEE276" s="227"/>
      <c r="CEF276" s="227"/>
      <c r="CEG276" s="227"/>
      <c r="CEH276" s="227"/>
      <c r="CEI276" s="227"/>
      <c r="CEJ276" s="227"/>
      <c r="CEK276" s="227"/>
      <c r="CEL276" s="227"/>
      <c r="CEM276" s="227"/>
      <c r="CEN276" s="227"/>
      <c r="CEO276" s="227"/>
      <c r="CEP276" s="227"/>
      <c r="CEQ276" s="227"/>
      <c r="CER276" s="227"/>
      <c r="CES276" s="227"/>
      <c r="CET276" s="227"/>
      <c r="CEU276" s="227"/>
      <c r="CEV276" s="227"/>
      <c r="CEW276" s="227"/>
      <c r="CEX276" s="227"/>
      <c r="CEY276" s="227"/>
      <c r="CEZ276" s="227"/>
      <c r="CFA276" s="227"/>
      <c r="CFB276" s="227"/>
      <c r="CFC276" s="227"/>
      <c r="CFD276" s="227"/>
      <c r="CFE276" s="227"/>
      <c r="CFF276" s="227"/>
      <c r="CFG276" s="227"/>
      <c r="CFH276" s="227"/>
      <c r="CFI276" s="227"/>
      <c r="CFJ276" s="227"/>
      <c r="CFK276" s="227"/>
      <c r="CFL276" s="227"/>
      <c r="CFM276" s="227"/>
      <c r="CFN276" s="227"/>
      <c r="CFO276" s="227"/>
      <c r="CFP276" s="227"/>
      <c r="CFQ276" s="227"/>
      <c r="CFR276" s="227"/>
      <c r="CFS276" s="227"/>
      <c r="CFT276" s="227"/>
      <c r="CFU276" s="227"/>
      <c r="CFV276" s="227"/>
      <c r="CFW276" s="227"/>
      <c r="CFX276" s="227"/>
      <c r="CFY276" s="227"/>
      <c r="CFZ276" s="227"/>
      <c r="CGA276" s="227"/>
      <c r="CGB276" s="227"/>
      <c r="CGC276" s="227"/>
      <c r="CGD276" s="227"/>
      <c r="CGE276" s="227"/>
      <c r="CGF276" s="227"/>
      <c r="CGG276" s="227"/>
      <c r="CGH276" s="227"/>
      <c r="CGI276" s="227"/>
      <c r="CGJ276" s="227"/>
      <c r="CGK276" s="227"/>
      <c r="CGL276" s="227"/>
      <c r="CGM276" s="227"/>
      <c r="CGN276" s="227"/>
      <c r="CGO276" s="227"/>
      <c r="CGP276" s="227"/>
      <c r="CGQ276" s="227"/>
      <c r="CGR276" s="227"/>
      <c r="CGS276" s="227"/>
      <c r="CGT276" s="227"/>
      <c r="CGU276" s="227"/>
      <c r="CGV276" s="227"/>
      <c r="CGW276" s="227"/>
      <c r="CGX276" s="227"/>
      <c r="CGY276" s="227"/>
      <c r="CGZ276" s="227"/>
      <c r="CHA276" s="227"/>
      <c r="CHB276" s="227"/>
      <c r="CHC276" s="227"/>
      <c r="CHD276" s="227"/>
      <c r="CHE276" s="227"/>
      <c r="CHF276" s="227"/>
      <c r="CHG276" s="227"/>
      <c r="CHH276" s="227"/>
      <c r="CHI276" s="227"/>
      <c r="CHJ276" s="227"/>
      <c r="CHK276" s="227"/>
      <c r="CHL276" s="227"/>
      <c r="CHM276" s="227"/>
      <c r="CHN276" s="227"/>
      <c r="CHO276" s="227"/>
      <c r="CHP276" s="227"/>
      <c r="CHQ276" s="227"/>
      <c r="CHR276" s="227"/>
      <c r="CHS276" s="227"/>
      <c r="CHT276" s="227"/>
      <c r="CHU276" s="227"/>
      <c r="CHV276" s="227"/>
      <c r="CHW276" s="227"/>
      <c r="CHX276" s="227"/>
      <c r="CHY276" s="227"/>
      <c r="CHZ276" s="227"/>
      <c r="CIA276" s="227"/>
      <c r="CIB276" s="227"/>
      <c r="CIC276" s="227"/>
      <c r="CID276" s="227"/>
      <c r="CIE276" s="227"/>
      <c r="CIF276" s="227"/>
      <c r="CIG276" s="227"/>
      <c r="CIH276" s="227"/>
      <c r="CII276" s="227"/>
      <c r="CIJ276" s="227"/>
      <c r="CIK276" s="227"/>
      <c r="CIL276" s="227"/>
      <c r="CIM276" s="227"/>
      <c r="CIN276" s="227"/>
      <c r="CIO276" s="227"/>
      <c r="CIP276" s="227"/>
      <c r="CIQ276" s="227"/>
      <c r="CIR276" s="227"/>
      <c r="CIS276" s="227"/>
      <c r="CIT276" s="227"/>
      <c r="CIU276" s="227"/>
      <c r="CIV276" s="227"/>
      <c r="CIW276" s="227"/>
      <c r="CIX276" s="227"/>
      <c r="CIY276" s="227"/>
      <c r="CIZ276" s="227"/>
      <c r="CJA276" s="227"/>
      <c r="CJB276" s="227"/>
      <c r="CJC276" s="227"/>
      <c r="CJD276" s="227"/>
      <c r="CJE276" s="227"/>
      <c r="CJF276" s="227"/>
      <c r="CJG276" s="227"/>
      <c r="CJH276" s="227"/>
      <c r="CJI276" s="227"/>
      <c r="CJJ276" s="227"/>
      <c r="CJK276" s="227"/>
      <c r="CJL276" s="227"/>
      <c r="CJM276" s="227"/>
      <c r="CJN276" s="227"/>
      <c r="CJO276" s="227"/>
      <c r="CJP276" s="227"/>
      <c r="CJQ276" s="227"/>
      <c r="CJR276" s="227"/>
      <c r="CJS276" s="227"/>
      <c r="CJT276" s="227"/>
      <c r="CJU276" s="227"/>
      <c r="CJV276" s="227"/>
      <c r="CJW276" s="227"/>
      <c r="CJX276" s="227"/>
      <c r="CJY276" s="227"/>
      <c r="CJZ276" s="227"/>
      <c r="CKA276" s="227"/>
      <c r="CKB276" s="227"/>
      <c r="CKC276" s="227"/>
      <c r="CKD276" s="227"/>
      <c r="CKE276" s="227"/>
      <c r="CKF276" s="227"/>
      <c r="CKG276" s="227"/>
      <c r="CKH276" s="227"/>
      <c r="CKI276" s="227"/>
      <c r="CKJ276" s="227"/>
      <c r="CKK276" s="227"/>
      <c r="CKL276" s="227"/>
      <c r="CKM276" s="227"/>
      <c r="CKN276" s="227"/>
      <c r="CKO276" s="227"/>
      <c r="CKP276" s="227"/>
      <c r="CKQ276" s="227"/>
      <c r="CKR276" s="227"/>
      <c r="CKS276" s="227"/>
      <c r="CKT276" s="227"/>
      <c r="CKU276" s="227"/>
      <c r="CKV276" s="227"/>
      <c r="CKW276" s="227"/>
      <c r="CKX276" s="227"/>
      <c r="CKY276" s="227"/>
      <c r="CKZ276" s="227"/>
      <c r="CLA276" s="227"/>
      <c r="CLB276" s="227"/>
      <c r="CLC276" s="227"/>
      <c r="CLD276" s="227"/>
      <c r="CLE276" s="227"/>
      <c r="CLF276" s="227"/>
      <c r="CLG276" s="227"/>
      <c r="CLH276" s="227"/>
      <c r="CLI276" s="227"/>
      <c r="CLJ276" s="227"/>
      <c r="CLK276" s="227"/>
      <c r="CLL276" s="227"/>
      <c r="CLM276" s="227"/>
      <c r="CLN276" s="227"/>
      <c r="CLO276" s="227"/>
      <c r="CLP276" s="227"/>
      <c r="CLQ276" s="227"/>
      <c r="CLR276" s="227"/>
      <c r="CLS276" s="227"/>
      <c r="CLT276" s="227"/>
      <c r="CLU276" s="227"/>
      <c r="CLV276" s="227"/>
      <c r="CLW276" s="227"/>
      <c r="CLX276" s="227"/>
      <c r="CLY276" s="227"/>
      <c r="CLZ276" s="227"/>
      <c r="CMA276" s="227"/>
      <c r="CMB276" s="227"/>
      <c r="CMC276" s="227"/>
      <c r="CMD276" s="227"/>
      <c r="CME276" s="227"/>
      <c r="CMF276" s="227"/>
      <c r="CMG276" s="227"/>
      <c r="CMH276" s="227"/>
      <c r="CMI276" s="227"/>
      <c r="CMJ276" s="227"/>
      <c r="CMK276" s="227"/>
      <c r="CML276" s="227"/>
      <c r="CMM276" s="227"/>
      <c r="CMN276" s="227"/>
      <c r="CMO276" s="227"/>
      <c r="CMP276" s="227"/>
      <c r="CMQ276" s="227"/>
      <c r="CMR276" s="227"/>
      <c r="CMS276" s="227"/>
      <c r="CMT276" s="227"/>
      <c r="CMU276" s="227"/>
      <c r="CMV276" s="227"/>
      <c r="CMW276" s="227"/>
      <c r="CMX276" s="227"/>
      <c r="CMY276" s="227"/>
      <c r="CMZ276" s="227"/>
      <c r="CNA276" s="227"/>
      <c r="CNB276" s="227"/>
      <c r="CNC276" s="227"/>
      <c r="CND276" s="227"/>
      <c r="CNE276" s="227"/>
      <c r="CNF276" s="227"/>
      <c r="CNG276" s="227"/>
      <c r="CNH276" s="227"/>
      <c r="CNI276" s="227"/>
      <c r="CNJ276" s="227"/>
      <c r="CNK276" s="227"/>
      <c r="CNL276" s="227"/>
      <c r="CNM276" s="227"/>
      <c r="CNN276" s="227"/>
      <c r="CNO276" s="227"/>
      <c r="CNP276" s="227"/>
      <c r="CNQ276" s="227"/>
      <c r="CNR276" s="227"/>
      <c r="CNS276" s="227"/>
      <c r="CNT276" s="227"/>
      <c r="CNU276" s="227"/>
      <c r="CNV276" s="227"/>
      <c r="CNW276" s="227"/>
      <c r="CNX276" s="227"/>
      <c r="CNY276" s="227"/>
      <c r="CNZ276" s="227"/>
      <c r="COA276" s="227"/>
      <c r="COB276" s="227"/>
      <c r="COC276" s="227"/>
      <c r="COD276" s="227"/>
      <c r="COE276" s="227"/>
      <c r="COF276" s="227"/>
      <c r="COG276" s="227"/>
      <c r="COH276" s="227"/>
      <c r="COI276" s="227"/>
      <c r="COJ276" s="227"/>
      <c r="COK276" s="227"/>
      <c r="COL276" s="227"/>
      <c r="COM276" s="227"/>
      <c r="CON276" s="227"/>
      <c r="COO276" s="227"/>
      <c r="COP276" s="227"/>
      <c r="COQ276" s="227"/>
      <c r="COR276" s="227"/>
      <c r="COS276" s="227"/>
      <c r="COT276" s="227"/>
      <c r="COU276" s="227"/>
      <c r="COV276" s="227"/>
      <c r="COW276" s="227"/>
      <c r="COX276" s="227"/>
      <c r="COY276" s="227"/>
      <c r="COZ276" s="227"/>
      <c r="CPA276" s="227"/>
      <c r="CPB276" s="227"/>
      <c r="CPC276" s="227"/>
      <c r="CPD276" s="227"/>
      <c r="CPE276" s="227"/>
      <c r="CPF276" s="227"/>
      <c r="CPG276" s="227"/>
      <c r="CPH276" s="227"/>
      <c r="CPI276" s="227"/>
      <c r="CPJ276" s="227"/>
      <c r="CPK276" s="227"/>
      <c r="CPL276" s="227"/>
      <c r="CPM276" s="227"/>
      <c r="CPN276" s="227"/>
      <c r="CPO276" s="227"/>
      <c r="CPP276" s="227"/>
      <c r="CPQ276" s="227"/>
      <c r="CPR276" s="227"/>
      <c r="CPS276" s="227"/>
      <c r="CPT276" s="227"/>
      <c r="CPU276" s="227"/>
      <c r="CPV276" s="227"/>
      <c r="CPW276" s="227"/>
      <c r="CPX276" s="227"/>
      <c r="CPY276" s="227"/>
      <c r="CPZ276" s="227"/>
      <c r="CQA276" s="227"/>
      <c r="CQB276" s="227"/>
      <c r="CQC276" s="227"/>
      <c r="CQD276" s="227"/>
      <c r="CQE276" s="227"/>
      <c r="CQF276" s="227"/>
      <c r="CQG276" s="227"/>
      <c r="CQH276" s="227"/>
      <c r="CQI276" s="227"/>
      <c r="CQJ276" s="227"/>
      <c r="CQK276" s="227"/>
      <c r="CQL276" s="227"/>
      <c r="CQM276" s="227"/>
      <c r="CQN276" s="227"/>
      <c r="CQO276" s="227"/>
      <c r="CQP276" s="227"/>
      <c r="CQQ276" s="227"/>
      <c r="CQR276" s="227"/>
      <c r="CQS276" s="227"/>
      <c r="CQT276" s="227"/>
      <c r="CQU276" s="227"/>
      <c r="CQV276" s="227"/>
      <c r="CQW276" s="227"/>
      <c r="CQX276" s="227"/>
      <c r="CQY276" s="227"/>
      <c r="CQZ276" s="227"/>
      <c r="CRA276" s="227"/>
      <c r="CRB276" s="227"/>
      <c r="CRC276" s="227"/>
      <c r="CRD276" s="227"/>
      <c r="CRE276" s="227"/>
      <c r="CRF276" s="227"/>
      <c r="CRG276" s="227"/>
      <c r="CRH276" s="227"/>
      <c r="CRI276" s="227"/>
      <c r="CRJ276" s="227"/>
      <c r="CRK276" s="227"/>
      <c r="CRL276" s="227"/>
      <c r="CRM276" s="227"/>
      <c r="CRN276" s="227"/>
      <c r="CRO276" s="227"/>
      <c r="CRP276" s="227"/>
      <c r="CRQ276" s="227"/>
      <c r="CRR276" s="227"/>
      <c r="CRS276" s="227"/>
      <c r="CRT276" s="227"/>
      <c r="CRU276" s="227"/>
      <c r="CRV276" s="227"/>
      <c r="CRW276" s="227"/>
      <c r="CRX276" s="227"/>
      <c r="CRY276" s="227"/>
      <c r="CRZ276" s="227"/>
      <c r="CSA276" s="227"/>
      <c r="CSB276" s="227"/>
      <c r="CSC276" s="227"/>
      <c r="CSD276" s="227"/>
      <c r="CSE276" s="227"/>
      <c r="CSF276" s="227"/>
      <c r="CSG276" s="227"/>
      <c r="CSH276" s="227"/>
      <c r="CSI276" s="227"/>
      <c r="CSJ276" s="227"/>
      <c r="CSK276" s="227"/>
      <c r="CSL276" s="227"/>
      <c r="CSM276" s="227"/>
      <c r="CSN276" s="227"/>
      <c r="CSO276" s="227"/>
      <c r="CSP276" s="227"/>
      <c r="CSQ276" s="227"/>
      <c r="CSR276" s="227"/>
      <c r="CSS276" s="227"/>
      <c r="CST276" s="227"/>
      <c r="CSU276" s="227"/>
      <c r="CSV276" s="227"/>
      <c r="CSW276" s="227"/>
      <c r="CSX276" s="227"/>
      <c r="CSY276" s="227"/>
      <c r="CSZ276" s="227"/>
      <c r="CTA276" s="227"/>
      <c r="CTB276" s="227"/>
      <c r="CTC276" s="227"/>
      <c r="CTD276" s="227"/>
      <c r="CTE276" s="227"/>
      <c r="CTF276" s="227"/>
      <c r="CTG276" s="227"/>
      <c r="CTH276" s="227"/>
      <c r="CTI276" s="227"/>
      <c r="CTJ276" s="227"/>
      <c r="CTK276" s="227"/>
      <c r="CTL276" s="227"/>
      <c r="CTM276" s="227"/>
      <c r="CTN276" s="227"/>
      <c r="CTO276" s="227"/>
      <c r="CTP276" s="227"/>
      <c r="CTQ276" s="227"/>
      <c r="CTR276" s="227"/>
      <c r="CTS276" s="227"/>
      <c r="CTT276" s="227"/>
      <c r="CTU276" s="227"/>
      <c r="CTV276" s="227"/>
      <c r="CTW276" s="227"/>
      <c r="CTX276" s="227"/>
      <c r="CTY276" s="227"/>
      <c r="CTZ276" s="227"/>
      <c r="CUA276" s="227"/>
      <c r="CUB276" s="227"/>
      <c r="CUC276" s="227"/>
      <c r="CUD276" s="227"/>
      <c r="CUE276" s="227"/>
      <c r="CUF276" s="227"/>
      <c r="CUG276" s="227"/>
      <c r="CUH276" s="227"/>
      <c r="CUI276" s="227"/>
      <c r="CUJ276" s="227"/>
      <c r="CUK276" s="227"/>
      <c r="CUL276" s="227"/>
      <c r="CUM276" s="227"/>
      <c r="CUN276" s="227"/>
      <c r="CUO276" s="227"/>
      <c r="CUP276" s="227"/>
      <c r="CUQ276" s="227"/>
      <c r="CUR276" s="227"/>
      <c r="CUS276" s="227"/>
      <c r="CUT276" s="227"/>
      <c r="CUU276" s="227"/>
      <c r="CUV276" s="227"/>
      <c r="CUW276" s="227"/>
      <c r="CUX276" s="227"/>
      <c r="CUY276" s="227"/>
      <c r="CUZ276" s="227"/>
      <c r="CVA276" s="227"/>
      <c r="CVB276" s="227"/>
      <c r="CVC276" s="227"/>
      <c r="CVD276" s="227"/>
      <c r="CVE276" s="227"/>
      <c r="CVF276" s="227"/>
      <c r="CVG276" s="227"/>
      <c r="CVH276" s="227"/>
      <c r="CVI276" s="227"/>
      <c r="CVJ276" s="227"/>
      <c r="CVK276" s="227"/>
      <c r="CVL276" s="227"/>
      <c r="CVM276" s="227"/>
      <c r="CVN276" s="227"/>
      <c r="CVO276" s="227"/>
      <c r="CVP276" s="227"/>
      <c r="CVQ276" s="227"/>
      <c r="CVR276" s="227"/>
      <c r="CVS276" s="227"/>
      <c r="CVT276" s="227"/>
      <c r="CVU276" s="227"/>
      <c r="CVV276" s="227"/>
      <c r="CVW276" s="227"/>
      <c r="CVX276" s="227"/>
      <c r="CVY276" s="227"/>
      <c r="CVZ276" s="227"/>
      <c r="CWA276" s="227"/>
      <c r="CWB276" s="227"/>
      <c r="CWC276" s="227"/>
      <c r="CWD276" s="227"/>
      <c r="CWE276" s="227"/>
      <c r="CWF276" s="227"/>
      <c r="CWG276" s="227"/>
      <c r="CWH276" s="227"/>
      <c r="CWI276" s="227"/>
      <c r="CWJ276" s="227"/>
      <c r="CWK276" s="227"/>
      <c r="CWL276" s="227"/>
      <c r="CWM276" s="227"/>
      <c r="CWN276" s="227"/>
      <c r="CWO276" s="227"/>
      <c r="CWP276" s="227"/>
      <c r="CWQ276" s="227"/>
      <c r="CWR276" s="227"/>
      <c r="CWS276" s="227"/>
      <c r="CWT276" s="227"/>
      <c r="CWU276" s="227"/>
      <c r="CWV276" s="227"/>
      <c r="CWW276" s="227"/>
      <c r="CWX276" s="227"/>
      <c r="CWY276" s="227"/>
      <c r="CWZ276" s="227"/>
      <c r="CXA276" s="227"/>
      <c r="CXB276" s="227"/>
      <c r="CXC276" s="227"/>
      <c r="CXD276" s="227"/>
      <c r="CXE276" s="227"/>
      <c r="CXF276" s="227"/>
      <c r="CXG276" s="227"/>
      <c r="CXH276" s="227"/>
      <c r="CXI276" s="227"/>
      <c r="CXJ276" s="227"/>
      <c r="CXK276" s="227"/>
      <c r="CXL276" s="227"/>
      <c r="CXM276" s="227"/>
      <c r="CXN276" s="227"/>
      <c r="CXO276" s="227"/>
      <c r="CXP276" s="227"/>
      <c r="CXQ276" s="227"/>
      <c r="CXR276" s="227"/>
      <c r="CXS276" s="227"/>
      <c r="CXT276" s="227"/>
      <c r="CXU276" s="227"/>
      <c r="CXV276" s="227"/>
      <c r="CXW276" s="227"/>
      <c r="CXX276" s="227"/>
      <c r="CXY276" s="227"/>
      <c r="CXZ276" s="227"/>
      <c r="CYA276" s="227"/>
      <c r="CYB276" s="227"/>
      <c r="CYC276" s="227"/>
      <c r="CYD276" s="227"/>
      <c r="CYE276" s="227"/>
      <c r="CYF276" s="227"/>
      <c r="CYG276" s="227"/>
      <c r="CYH276" s="227"/>
      <c r="CYI276" s="227"/>
      <c r="CYJ276" s="227"/>
      <c r="CYK276" s="227"/>
      <c r="CYL276" s="227"/>
      <c r="CYM276" s="227"/>
      <c r="CYN276" s="227"/>
      <c r="CYO276" s="227"/>
      <c r="CYP276" s="227"/>
      <c r="CYQ276" s="227"/>
      <c r="CYR276" s="227"/>
      <c r="CYS276" s="227"/>
      <c r="CYT276" s="227"/>
      <c r="CYU276" s="227"/>
      <c r="CYV276" s="227"/>
      <c r="CYW276" s="227"/>
      <c r="CYX276" s="227"/>
      <c r="CYY276" s="227"/>
      <c r="CYZ276" s="227"/>
      <c r="CZA276" s="227"/>
      <c r="CZB276" s="227"/>
      <c r="CZC276" s="227"/>
      <c r="CZD276" s="227"/>
      <c r="CZE276" s="227"/>
      <c r="CZF276" s="227"/>
      <c r="CZG276" s="227"/>
      <c r="CZH276" s="227"/>
      <c r="CZI276" s="227"/>
      <c r="CZJ276" s="227"/>
      <c r="CZK276" s="227"/>
      <c r="CZL276" s="227"/>
      <c r="CZM276" s="227"/>
      <c r="CZN276" s="227"/>
      <c r="CZO276" s="227"/>
      <c r="CZP276" s="227"/>
      <c r="CZQ276" s="227"/>
      <c r="CZR276" s="227"/>
      <c r="CZS276" s="227"/>
      <c r="CZT276" s="227"/>
      <c r="CZU276" s="227"/>
      <c r="CZV276" s="227"/>
      <c r="CZW276" s="227"/>
      <c r="CZX276" s="227"/>
      <c r="CZY276" s="227"/>
      <c r="CZZ276" s="227"/>
      <c r="DAA276" s="227"/>
      <c r="DAB276" s="227"/>
      <c r="DAC276" s="227"/>
      <c r="DAD276" s="227"/>
      <c r="DAE276" s="227"/>
      <c r="DAF276" s="227"/>
      <c r="DAG276" s="227"/>
      <c r="DAH276" s="227"/>
      <c r="DAI276" s="227"/>
      <c r="DAJ276" s="227"/>
      <c r="DAK276" s="227"/>
      <c r="DAL276" s="227"/>
      <c r="DAM276" s="227"/>
      <c r="DAN276" s="227"/>
      <c r="DAO276" s="227"/>
      <c r="DAP276" s="227"/>
      <c r="DAQ276" s="227"/>
      <c r="DAR276" s="227"/>
      <c r="DAS276" s="227"/>
      <c r="DAT276" s="227"/>
      <c r="DAU276" s="227"/>
      <c r="DAV276" s="227"/>
      <c r="DAW276" s="227"/>
      <c r="DAX276" s="227"/>
      <c r="DAY276" s="227"/>
      <c r="DAZ276" s="227"/>
      <c r="DBA276" s="227"/>
      <c r="DBB276" s="227"/>
      <c r="DBC276" s="227"/>
      <c r="DBD276" s="227"/>
      <c r="DBE276" s="227"/>
      <c r="DBF276" s="227"/>
      <c r="DBG276" s="227"/>
      <c r="DBH276" s="227"/>
      <c r="DBI276" s="227"/>
      <c r="DBJ276" s="227"/>
      <c r="DBK276" s="227"/>
      <c r="DBL276" s="227"/>
      <c r="DBM276" s="227"/>
      <c r="DBN276" s="227"/>
      <c r="DBO276" s="227"/>
      <c r="DBP276" s="227"/>
      <c r="DBQ276" s="227"/>
      <c r="DBR276" s="227"/>
      <c r="DBS276" s="227"/>
      <c r="DBT276" s="227"/>
      <c r="DBU276" s="227"/>
      <c r="DBV276" s="227"/>
      <c r="DBW276" s="227"/>
      <c r="DBX276" s="227"/>
      <c r="DBY276" s="227"/>
      <c r="DBZ276" s="227"/>
      <c r="DCA276" s="227"/>
      <c r="DCB276" s="227"/>
      <c r="DCC276" s="227"/>
      <c r="DCD276" s="227"/>
      <c r="DCE276" s="227"/>
      <c r="DCF276" s="227"/>
      <c r="DCG276" s="227"/>
      <c r="DCH276" s="227"/>
      <c r="DCI276" s="227"/>
      <c r="DCJ276" s="227"/>
      <c r="DCK276" s="227"/>
      <c r="DCL276" s="227"/>
      <c r="DCM276" s="227"/>
      <c r="DCN276" s="227"/>
      <c r="DCO276" s="227"/>
      <c r="DCP276" s="227"/>
      <c r="DCQ276" s="227"/>
      <c r="DCR276" s="227"/>
      <c r="DCS276" s="227"/>
      <c r="DCT276" s="227"/>
      <c r="DCU276" s="227"/>
      <c r="DCV276" s="227"/>
      <c r="DCW276" s="227"/>
      <c r="DCX276" s="227"/>
      <c r="DCY276" s="227"/>
      <c r="DCZ276" s="227"/>
      <c r="DDA276" s="227"/>
      <c r="DDB276" s="227"/>
      <c r="DDC276" s="227"/>
      <c r="DDD276" s="227"/>
      <c r="DDE276" s="227"/>
      <c r="DDF276" s="227"/>
      <c r="DDG276" s="227"/>
      <c r="DDH276" s="227"/>
      <c r="DDI276" s="227"/>
      <c r="DDJ276" s="227"/>
      <c r="DDK276" s="227"/>
      <c r="DDL276" s="227"/>
      <c r="DDM276" s="227"/>
      <c r="DDN276" s="227"/>
      <c r="DDO276" s="227"/>
      <c r="DDP276" s="227"/>
      <c r="DDQ276" s="227"/>
      <c r="DDR276" s="227"/>
      <c r="DDS276" s="227"/>
      <c r="DDT276" s="227"/>
      <c r="DDU276" s="227"/>
      <c r="DDV276" s="227"/>
      <c r="DDW276" s="227"/>
      <c r="DDX276" s="227"/>
      <c r="DDY276" s="227"/>
      <c r="DDZ276" s="227"/>
      <c r="DEA276" s="227"/>
      <c r="DEB276" s="227"/>
      <c r="DEC276" s="227"/>
      <c r="DED276" s="227"/>
      <c r="DEE276" s="227"/>
      <c r="DEF276" s="227"/>
      <c r="DEG276" s="227"/>
      <c r="DEH276" s="227"/>
      <c r="DEI276" s="227"/>
      <c r="DEJ276" s="227"/>
      <c r="DEK276" s="227"/>
      <c r="DEL276" s="227"/>
      <c r="DEM276" s="227"/>
      <c r="DEN276" s="227"/>
      <c r="DEO276" s="227"/>
      <c r="DEP276" s="227"/>
      <c r="DEQ276" s="227"/>
      <c r="DER276" s="227"/>
      <c r="DES276" s="227"/>
      <c r="DET276" s="227"/>
      <c r="DEU276" s="227"/>
      <c r="DEV276" s="227"/>
      <c r="DEW276" s="227"/>
      <c r="DEX276" s="227"/>
      <c r="DEY276" s="227"/>
      <c r="DEZ276" s="227"/>
      <c r="DFA276" s="227"/>
      <c r="DFB276" s="227"/>
      <c r="DFC276" s="227"/>
      <c r="DFD276" s="227"/>
      <c r="DFE276" s="227"/>
      <c r="DFF276" s="227"/>
      <c r="DFG276" s="227"/>
      <c r="DFH276" s="227"/>
      <c r="DFI276" s="227"/>
      <c r="DFJ276" s="227"/>
      <c r="DFK276" s="227"/>
      <c r="DFL276" s="227"/>
      <c r="DFM276" s="227"/>
      <c r="DFN276" s="227"/>
      <c r="DFO276" s="227"/>
      <c r="DFP276" s="227"/>
      <c r="DFQ276" s="227"/>
      <c r="DFR276" s="227"/>
      <c r="DFS276" s="227"/>
      <c r="DFT276" s="227"/>
      <c r="DFU276" s="227"/>
      <c r="DFV276" s="227"/>
      <c r="DFW276" s="227"/>
      <c r="DFX276" s="227"/>
      <c r="DFY276" s="227"/>
      <c r="DFZ276" s="227"/>
      <c r="DGA276" s="227"/>
      <c r="DGB276" s="227"/>
      <c r="DGC276" s="227"/>
      <c r="DGD276" s="227"/>
      <c r="DGE276" s="227"/>
      <c r="DGF276" s="227"/>
      <c r="DGG276" s="227"/>
      <c r="DGH276" s="227"/>
      <c r="DGI276" s="227"/>
      <c r="DGJ276" s="227"/>
      <c r="DGK276" s="227"/>
      <c r="DGL276" s="227"/>
      <c r="DGM276" s="227"/>
      <c r="DGN276" s="227"/>
      <c r="DGO276" s="227"/>
      <c r="DGP276" s="227"/>
      <c r="DGQ276" s="227"/>
      <c r="DGR276" s="227"/>
      <c r="DGS276" s="227"/>
      <c r="DGT276" s="227"/>
      <c r="DGU276" s="227"/>
      <c r="DGV276" s="227"/>
      <c r="DGW276" s="227"/>
      <c r="DGX276" s="227"/>
      <c r="DGY276" s="227"/>
      <c r="DGZ276" s="227"/>
      <c r="DHA276" s="227"/>
      <c r="DHB276" s="227"/>
      <c r="DHC276" s="227"/>
      <c r="DHD276" s="227"/>
      <c r="DHE276" s="227"/>
      <c r="DHF276" s="227"/>
      <c r="DHG276" s="227"/>
      <c r="DHH276" s="227"/>
      <c r="DHI276" s="227"/>
      <c r="DHJ276" s="227"/>
      <c r="DHK276" s="227"/>
      <c r="DHL276" s="227"/>
      <c r="DHM276" s="227"/>
      <c r="DHN276" s="227"/>
      <c r="DHO276" s="227"/>
      <c r="DHP276" s="227"/>
      <c r="DHQ276" s="227"/>
      <c r="DHR276" s="227"/>
      <c r="DHS276" s="227"/>
      <c r="DHT276" s="227"/>
      <c r="DHU276" s="227"/>
      <c r="DHV276" s="227"/>
      <c r="DHW276" s="227"/>
      <c r="DHX276" s="227"/>
      <c r="DHY276" s="227"/>
      <c r="DHZ276" s="227"/>
      <c r="DIA276" s="227"/>
      <c r="DIB276" s="227"/>
      <c r="DIC276" s="227"/>
      <c r="DID276" s="227"/>
      <c r="DIE276" s="227"/>
      <c r="DIF276" s="227"/>
      <c r="DIG276" s="227"/>
      <c r="DIH276" s="227"/>
      <c r="DII276" s="227"/>
      <c r="DIJ276" s="227"/>
      <c r="DIK276" s="227"/>
      <c r="DIL276" s="227"/>
      <c r="DIM276" s="227"/>
      <c r="DIN276" s="227"/>
      <c r="DIO276" s="227"/>
      <c r="DIP276" s="227"/>
      <c r="DIQ276" s="227"/>
      <c r="DIR276" s="227"/>
      <c r="DIS276" s="227"/>
      <c r="DIT276" s="227"/>
      <c r="DIU276" s="227"/>
      <c r="DIV276" s="227"/>
      <c r="DIW276" s="227"/>
      <c r="DIX276" s="227"/>
      <c r="DIY276" s="227"/>
      <c r="DIZ276" s="227"/>
      <c r="DJA276" s="227"/>
      <c r="DJB276" s="227"/>
      <c r="DJC276" s="227"/>
      <c r="DJD276" s="227"/>
      <c r="DJE276" s="227"/>
      <c r="DJF276" s="227"/>
      <c r="DJG276" s="227"/>
      <c r="DJH276" s="227"/>
      <c r="DJI276" s="227"/>
      <c r="DJJ276" s="227"/>
      <c r="DJK276" s="227"/>
      <c r="DJL276" s="227"/>
      <c r="DJM276" s="227"/>
      <c r="DJN276" s="227"/>
      <c r="DJO276" s="227"/>
      <c r="DJP276" s="227"/>
      <c r="DJQ276" s="227"/>
      <c r="DJR276" s="227"/>
      <c r="DJS276" s="227"/>
      <c r="DJT276" s="227"/>
      <c r="DJU276" s="227"/>
      <c r="DJV276" s="227"/>
      <c r="DJW276" s="227"/>
      <c r="DJX276" s="227"/>
      <c r="DJY276" s="227"/>
      <c r="DJZ276" s="227"/>
      <c r="DKA276" s="227"/>
      <c r="DKB276" s="227"/>
      <c r="DKC276" s="227"/>
      <c r="DKD276" s="227"/>
      <c r="DKE276" s="227"/>
      <c r="DKF276" s="227"/>
      <c r="DKG276" s="227"/>
      <c r="DKH276" s="227"/>
      <c r="DKI276" s="227"/>
      <c r="DKJ276" s="227"/>
      <c r="DKK276" s="227"/>
      <c r="DKL276" s="227"/>
      <c r="DKM276" s="227"/>
      <c r="DKN276" s="227"/>
      <c r="DKO276" s="227"/>
      <c r="DKP276" s="227"/>
      <c r="DKQ276" s="227"/>
      <c r="DKR276" s="227"/>
      <c r="DKS276" s="227"/>
      <c r="DKT276" s="227"/>
      <c r="DKU276" s="227"/>
      <c r="DKV276" s="227"/>
      <c r="DKW276" s="227"/>
      <c r="DKX276" s="227"/>
      <c r="DKY276" s="227"/>
      <c r="DKZ276" s="227"/>
      <c r="DLA276" s="227"/>
      <c r="DLB276" s="227"/>
      <c r="DLC276" s="227"/>
      <c r="DLD276" s="227"/>
      <c r="DLE276" s="227"/>
      <c r="DLF276" s="227"/>
      <c r="DLG276" s="227"/>
      <c r="DLH276" s="227"/>
      <c r="DLI276" s="227"/>
      <c r="DLJ276" s="227"/>
      <c r="DLK276" s="227"/>
      <c r="DLL276" s="227"/>
      <c r="DLM276" s="227"/>
      <c r="DLN276" s="227"/>
      <c r="DLO276" s="227"/>
      <c r="DLP276" s="227"/>
      <c r="DLQ276" s="227"/>
      <c r="DLR276" s="227"/>
      <c r="DLS276" s="227"/>
      <c r="DLT276" s="227"/>
      <c r="DLU276" s="227"/>
      <c r="DLV276" s="227"/>
      <c r="DLW276" s="227"/>
      <c r="DLX276" s="227"/>
      <c r="DLY276" s="227"/>
      <c r="DLZ276" s="227"/>
      <c r="DMA276" s="227"/>
      <c r="DMB276" s="227"/>
      <c r="DMC276" s="227"/>
      <c r="DMD276" s="227"/>
      <c r="DME276" s="227"/>
      <c r="DMF276" s="227"/>
      <c r="DMG276" s="227"/>
      <c r="DMH276" s="227"/>
      <c r="DMI276" s="227"/>
      <c r="DMJ276" s="227"/>
      <c r="DMK276" s="227"/>
      <c r="DML276" s="227"/>
      <c r="DMM276" s="227"/>
      <c r="DMN276" s="227"/>
      <c r="DMO276" s="227"/>
      <c r="DMP276" s="227"/>
      <c r="DMQ276" s="227"/>
      <c r="DMR276" s="227"/>
      <c r="DMS276" s="227"/>
      <c r="DMT276" s="227"/>
      <c r="DMU276" s="227"/>
      <c r="DMV276" s="227"/>
      <c r="DMW276" s="227"/>
      <c r="DMX276" s="227"/>
      <c r="DMY276" s="227"/>
      <c r="DMZ276" s="227"/>
      <c r="DNA276" s="227"/>
      <c r="DNB276" s="227"/>
      <c r="DNC276" s="227"/>
      <c r="DND276" s="227"/>
      <c r="DNE276" s="227"/>
      <c r="DNF276" s="227"/>
      <c r="DNG276" s="227"/>
      <c r="DNH276" s="227"/>
      <c r="DNI276" s="227"/>
      <c r="DNJ276" s="227"/>
      <c r="DNK276" s="227"/>
      <c r="DNL276" s="227"/>
      <c r="DNM276" s="227"/>
      <c r="DNN276" s="227"/>
      <c r="DNO276" s="227"/>
      <c r="DNP276" s="227"/>
      <c r="DNQ276" s="227"/>
      <c r="DNR276" s="227"/>
      <c r="DNS276" s="227"/>
      <c r="DNT276" s="227"/>
      <c r="DNU276" s="227"/>
      <c r="DNV276" s="227"/>
      <c r="DNW276" s="227"/>
      <c r="DNX276" s="227"/>
      <c r="DNY276" s="227"/>
      <c r="DNZ276" s="227"/>
      <c r="DOA276" s="227"/>
      <c r="DOB276" s="227"/>
      <c r="DOC276" s="227"/>
      <c r="DOD276" s="227"/>
      <c r="DOE276" s="227"/>
      <c r="DOF276" s="227"/>
      <c r="DOG276" s="227"/>
      <c r="DOH276" s="227"/>
      <c r="DOI276" s="227"/>
      <c r="DOJ276" s="227"/>
      <c r="DOK276" s="227"/>
      <c r="DOL276" s="227"/>
      <c r="DOM276" s="227"/>
      <c r="DON276" s="227"/>
      <c r="DOO276" s="227"/>
      <c r="DOP276" s="227"/>
      <c r="DOQ276" s="227"/>
      <c r="DOR276" s="227"/>
      <c r="DOS276" s="227"/>
      <c r="DOT276" s="227"/>
      <c r="DOU276" s="227"/>
      <c r="DOV276" s="227"/>
      <c r="DOW276" s="227"/>
      <c r="DOX276" s="227"/>
      <c r="DOY276" s="227"/>
      <c r="DOZ276" s="227"/>
      <c r="DPA276" s="227"/>
      <c r="DPB276" s="227"/>
      <c r="DPC276" s="227"/>
      <c r="DPD276" s="227"/>
      <c r="DPE276" s="227"/>
      <c r="DPF276" s="227"/>
      <c r="DPG276" s="227"/>
      <c r="DPH276" s="227"/>
      <c r="DPI276" s="227"/>
      <c r="DPJ276" s="227"/>
      <c r="DPK276" s="227"/>
      <c r="DPL276" s="227"/>
      <c r="DPM276" s="227"/>
      <c r="DPN276" s="227"/>
      <c r="DPO276" s="227"/>
      <c r="DPP276" s="227"/>
      <c r="DPQ276" s="227"/>
      <c r="DPR276" s="227"/>
      <c r="DPS276" s="227"/>
      <c r="DPT276" s="227"/>
      <c r="DPU276" s="227"/>
      <c r="DPV276" s="227"/>
      <c r="DPW276" s="227"/>
      <c r="DPX276" s="227"/>
      <c r="DPY276" s="227"/>
      <c r="DPZ276" s="227"/>
      <c r="DQA276" s="227"/>
      <c r="DQB276" s="227"/>
      <c r="DQC276" s="227"/>
      <c r="DQD276" s="227"/>
      <c r="DQE276" s="227"/>
      <c r="DQF276" s="227"/>
      <c r="DQG276" s="227"/>
      <c r="DQH276" s="227"/>
      <c r="DQI276" s="227"/>
      <c r="DQJ276" s="227"/>
      <c r="DQK276" s="227"/>
      <c r="DQL276" s="227"/>
      <c r="DQM276" s="227"/>
      <c r="DQN276" s="227"/>
      <c r="DQO276" s="227"/>
      <c r="DQP276" s="227"/>
      <c r="DQQ276" s="227"/>
      <c r="DQR276" s="227"/>
      <c r="DQS276" s="227"/>
      <c r="DQT276" s="227"/>
      <c r="DQU276" s="227"/>
      <c r="DQV276" s="227"/>
      <c r="DQW276" s="227"/>
      <c r="DQX276" s="227"/>
      <c r="DQY276" s="227"/>
      <c r="DQZ276" s="227"/>
      <c r="DRA276" s="227"/>
      <c r="DRB276" s="227"/>
      <c r="DRC276" s="227"/>
      <c r="DRD276" s="227"/>
      <c r="DRE276" s="227"/>
      <c r="DRF276" s="227"/>
      <c r="DRG276" s="227"/>
      <c r="DRH276" s="227"/>
      <c r="DRI276" s="227"/>
      <c r="DRJ276" s="227"/>
      <c r="DRK276" s="227"/>
      <c r="DRL276" s="227"/>
      <c r="DRM276" s="227"/>
      <c r="DRN276" s="227"/>
      <c r="DRO276" s="227"/>
      <c r="DRP276" s="227"/>
      <c r="DRQ276" s="227"/>
      <c r="DRR276" s="227"/>
      <c r="DRS276" s="227"/>
      <c r="DRT276" s="227"/>
      <c r="DRU276" s="227"/>
      <c r="DRV276" s="227"/>
      <c r="DRW276" s="227"/>
      <c r="DRX276" s="227"/>
      <c r="DRY276" s="227"/>
      <c r="DRZ276" s="227"/>
      <c r="DSA276" s="227"/>
      <c r="DSB276" s="227"/>
      <c r="DSC276" s="227"/>
      <c r="DSD276" s="227"/>
      <c r="DSE276" s="227"/>
      <c r="DSF276" s="227"/>
      <c r="DSG276" s="227"/>
      <c r="DSH276" s="227"/>
      <c r="DSI276" s="227"/>
      <c r="DSJ276" s="227"/>
      <c r="DSK276" s="227"/>
      <c r="DSL276" s="227"/>
      <c r="DSM276" s="227"/>
      <c r="DSN276" s="227"/>
      <c r="DSO276" s="227"/>
      <c r="DSP276" s="227"/>
      <c r="DSQ276" s="227"/>
      <c r="DSR276" s="227"/>
      <c r="DSS276" s="227"/>
      <c r="DST276" s="227"/>
      <c r="DSU276" s="227"/>
      <c r="DSV276" s="227"/>
      <c r="DSW276" s="227"/>
      <c r="DSX276" s="227"/>
      <c r="DSY276" s="227"/>
      <c r="DSZ276" s="227"/>
      <c r="DTA276" s="227"/>
      <c r="DTB276" s="227"/>
      <c r="DTC276" s="227"/>
      <c r="DTD276" s="227"/>
      <c r="DTE276" s="227"/>
      <c r="DTF276" s="227"/>
      <c r="DTG276" s="227"/>
      <c r="DTH276" s="227"/>
      <c r="DTI276" s="227"/>
      <c r="DTJ276" s="227"/>
      <c r="DTK276" s="227"/>
      <c r="DTL276" s="227"/>
      <c r="DTM276" s="227"/>
      <c r="DTN276" s="227"/>
      <c r="DTO276" s="227"/>
      <c r="DTP276" s="227"/>
      <c r="DTQ276" s="227"/>
      <c r="DTR276" s="227"/>
      <c r="DTS276" s="227"/>
      <c r="DTT276" s="227"/>
      <c r="DTU276" s="227"/>
      <c r="DTV276" s="227"/>
      <c r="DTW276" s="227"/>
      <c r="DTX276" s="227"/>
      <c r="DTY276" s="227"/>
      <c r="DTZ276" s="227"/>
      <c r="DUA276" s="227"/>
      <c r="DUB276" s="227"/>
      <c r="DUC276" s="227"/>
      <c r="DUD276" s="227"/>
      <c r="DUE276" s="227"/>
      <c r="DUF276" s="227"/>
      <c r="DUG276" s="227"/>
      <c r="DUH276" s="227"/>
      <c r="DUI276" s="227"/>
      <c r="DUJ276" s="227"/>
      <c r="DUK276" s="227"/>
      <c r="DUL276" s="227"/>
      <c r="DUM276" s="227"/>
      <c r="DUN276" s="227"/>
      <c r="DUO276" s="227"/>
      <c r="DUP276" s="227"/>
      <c r="DUQ276" s="227"/>
      <c r="DUR276" s="227"/>
      <c r="DUS276" s="227"/>
      <c r="DUT276" s="227"/>
      <c r="DUU276" s="227"/>
      <c r="DUV276" s="227"/>
      <c r="DUW276" s="227"/>
      <c r="DUX276" s="227"/>
      <c r="DUY276" s="227"/>
      <c r="DUZ276" s="227"/>
      <c r="DVA276" s="227"/>
      <c r="DVB276" s="227"/>
      <c r="DVC276" s="227"/>
      <c r="DVD276" s="227"/>
      <c r="DVE276" s="227"/>
      <c r="DVF276" s="227"/>
      <c r="DVG276" s="227"/>
      <c r="DVH276" s="227"/>
      <c r="DVI276" s="227"/>
      <c r="DVJ276" s="227"/>
      <c r="DVK276" s="227"/>
      <c r="DVL276" s="227"/>
      <c r="DVM276" s="227"/>
      <c r="DVN276" s="227"/>
      <c r="DVO276" s="227"/>
      <c r="DVP276" s="227"/>
      <c r="DVQ276" s="227"/>
      <c r="DVR276" s="227"/>
      <c r="DVS276" s="227"/>
      <c r="DVT276" s="227"/>
      <c r="DVU276" s="227"/>
      <c r="DVV276" s="227"/>
      <c r="DVW276" s="227"/>
      <c r="DVX276" s="227"/>
      <c r="DVY276" s="227"/>
      <c r="DVZ276" s="227"/>
      <c r="DWA276" s="227"/>
      <c r="DWB276" s="227"/>
      <c r="DWC276" s="227"/>
      <c r="DWD276" s="227"/>
      <c r="DWE276" s="227"/>
      <c r="DWF276" s="227"/>
      <c r="DWG276" s="227"/>
      <c r="DWH276" s="227"/>
      <c r="DWI276" s="227"/>
      <c r="DWJ276" s="227"/>
      <c r="DWK276" s="227"/>
      <c r="DWL276" s="227"/>
      <c r="DWM276" s="227"/>
      <c r="DWN276" s="227"/>
      <c r="DWO276" s="227"/>
      <c r="DWP276" s="227"/>
      <c r="DWQ276" s="227"/>
      <c r="DWR276" s="227"/>
      <c r="DWS276" s="227"/>
      <c r="DWT276" s="227"/>
      <c r="DWU276" s="227"/>
      <c r="DWV276" s="227"/>
      <c r="DWW276" s="227"/>
      <c r="DWX276" s="227"/>
      <c r="DWY276" s="227"/>
      <c r="DWZ276" s="227"/>
      <c r="DXA276" s="227"/>
      <c r="DXB276" s="227"/>
      <c r="DXC276" s="227"/>
      <c r="DXD276" s="227"/>
      <c r="DXE276" s="227"/>
      <c r="DXF276" s="227"/>
      <c r="DXG276" s="227"/>
      <c r="DXH276" s="227"/>
      <c r="DXI276" s="227"/>
      <c r="DXJ276" s="227"/>
      <c r="DXK276" s="227"/>
      <c r="DXL276" s="227"/>
      <c r="DXM276" s="227"/>
      <c r="DXN276" s="227"/>
      <c r="DXO276" s="227"/>
      <c r="DXP276" s="227"/>
      <c r="DXQ276" s="227"/>
      <c r="DXR276" s="227"/>
      <c r="DXS276" s="227"/>
      <c r="DXT276" s="227"/>
      <c r="DXU276" s="227"/>
      <c r="DXV276" s="227"/>
      <c r="DXW276" s="227"/>
      <c r="DXX276" s="227"/>
      <c r="DXY276" s="227"/>
      <c r="DXZ276" s="227"/>
      <c r="DYA276" s="227"/>
      <c r="DYB276" s="227"/>
      <c r="DYC276" s="227"/>
      <c r="DYD276" s="227"/>
      <c r="DYE276" s="227"/>
      <c r="DYF276" s="227"/>
      <c r="DYG276" s="227"/>
      <c r="DYH276" s="227"/>
      <c r="DYI276" s="227"/>
      <c r="DYJ276" s="227"/>
      <c r="DYK276" s="227"/>
      <c r="DYL276" s="227"/>
      <c r="DYM276" s="227"/>
      <c r="DYN276" s="227"/>
      <c r="DYO276" s="227"/>
      <c r="DYP276" s="227"/>
      <c r="DYQ276" s="227"/>
      <c r="DYR276" s="227"/>
      <c r="DYS276" s="227"/>
      <c r="DYT276" s="227"/>
      <c r="DYU276" s="227"/>
      <c r="DYV276" s="227"/>
      <c r="DYW276" s="227"/>
      <c r="DYX276" s="227"/>
      <c r="DYY276" s="227"/>
      <c r="DYZ276" s="227"/>
      <c r="DZA276" s="227"/>
      <c r="DZB276" s="227"/>
      <c r="DZC276" s="227"/>
      <c r="DZD276" s="227"/>
      <c r="DZE276" s="227"/>
      <c r="DZF276" s="227"/>
      <c r="DZG276" s="227"/>
      <c r="DZH276" s="227"/>
      <c r="DZI276" s="227"/>
      <c r="DZJ276" s="227"/>
      <c r="DZK276" s="227"/>
      <c r="DZL276" s="227"/>
      <c r="DZM276" s="227"/>
      <c r="DZN276" s="227"/>
      <c r="DZO276" s="227"/>
      <c r="DZP276" s="227"/>
      <c r="DZQ276" s="227"/>
      <c r="DZR276" s="227"/>
      <c r="DZS276" s="227"/>
      <c r="DZT276" s="227"/>
      <c r="DZU276" s="227"/>
      <c r="DZV276" s="227"/>
      <c r="DZW276" s="227"/>
      <c r="DZX276" s="227"/>
      <c r="DZY276" s="227"/>
      <c r="DZZ276" s="227"/>
      <c r="EAA276" s="227"/>
      <c r="EAB276" s="227"/>
      <c r="EAC276" s="227"/>
      <c r="EAD276" s="227"/>
      <c r="EAE276" s="227"/>
      <c r="EAF276" s="227"/>
      <c r="EAG276" s="227"/>
      <c r="EAH276" s="227"/>
      <c r="EAI276" s="227"/>
      <c r="EAJ276" s="227"/>
      <c r="EAK276" s="227"/>
      <c r="EAL276" s="227"/>
      <c r="EAM276" s="227"/>
      <c r="EAN276" s="227"/>
      <c r="EAO276" s="227"/>
      <c r="EAP276" s="227"/>
      <c r="EAQ276" s="227"/>
      <c r="EAR276" s="227"/>
      <c r="EAS276" s="227"/>
      <c r="EAT276" s="227"/>
      <c r="EAU276" s="227"/>
      <c r="EAV276" s="227"/>
      <c r="EAW276" s="227"/>
      <c r="EAX276" s="227"/>
      <c r="EAY276" s="227"/>
      <c r="EAZ276" s="227"/>
      <c r="EBA276" s="227"/>
      <c r="EBB276" s="227"/>
      <c r="EBC276" s="227"/>
      <c r="EBD276" s="227"/>
      <c r="EBE276" s="227"/>
      <c r="EBF276" s="227"/>
      <c r="EBG276" s="227"/>
      <c r="EBH276" s="227"/>
      <c r="EBI276" s="227"/>
      <c r="EBJ276" s="227"/>
      <c r="EBK276" s="227"/>
      <c r="EBL276" s="227"/>
      <c r="EBM276" s="227"/>
      <c r="EBN276" s="227"/>
      <c r="EBO276" s="227"/>
      <c r="EBP276" s="227"/>
      <c r="EBQ276" s="227"/>
      <c r="EBR276" s="227"/>
      <c r="EBS276" s="227"/>
      <c r="EBT276" s="227"/>
      <c r="EBU276" s="227"/>
      <c r="EBV276" s="227"/>
      <c r="EBW276" s="227"/>
      <c r="EBX276" s="227"/>
      <c r="EBY276" s="227"/>
      <c r="EBZ276" s="227"/>
      <c r="ECA276" s="227"/>
      <c r="ECB276" s="227"/>
      <c r="ECC276" s="227"/>
      <c r="ECD276" s="227"/>
      <c r="ECE276" s="227"/>
      <c r="ECF276" s="227"/>
      <c r="ECG276" s="227"/>
      <c r="ECH276" s="227"/>
      <c r="ECI276" s="227"/>
      <c r="ECJ276" s="227"/>
      <c r="ECK276" s="227"/>
      <c r="ECL276" s="227"/>
      <c r="ECM276" s="227"/>
      <c r="ECN276" s="227"/>
      <c r="ECO276" s="227"/>
      <c r="ECP276" s="227"/>
      <c r="ECQ276" s="227"/>
      <c r="ECR276" s="227"/>
      <c r="ECS276" s="227"/>
      <c r="ECT276" s="227"/>
      <c r="ECU276" s="227"/>
      <c r="ECV276" s="227"/>
      <c r="ECW276" s="227"/>
      <c r="ECX276" s="227"/>
      <c r="ECY276" s="227"/>
      <c r="ECZ276" s="227"/>
      <c r="EDA276" s="227"/>
      <c r="EDB276" s="227"/>
      <c r="EDC276" s="227"/>
      <c r="EDD276" s="227"/>
      <c r="EDE276" s="227"/>
      <c r="EDF276" s="227"/>
      <c r="EDG276" s="227"/>
      <c r="EDH276" s="227"/>
      <c r="EDI276" s="227"/>
      <c r="EDJ276" s="227"/>
      <c r="EDK276" s="227"/>
      <c r="EDL276" s="227"/>
      <c r="EDM276" s="227"/>
      <c r="EDN276" s="227"/>
      <c r="EDO276" s="227"/>
      <c r="EDP276" s="227"/>
      <c r="EDQ276" s="227"/>
      <c r="EDR276" s="227"/>
      <c r="EDS276" s="227"/>
      <c r="EDT276" s="227"/>
      <c r="EDU276" s="227"/>
      <c r="EDV276" s="227"/>
      <c r="EDW276" s="227"/>
      <c r="EDX276" s="227"/>
      <c r="EDY276" s="227"/>
      <c r="EDZ276" s="227"/>
      <c r="EEA276" s="227"/>
      <c r="EEB276" s="227"/>
      <c r="EEC276" s="227"/>
      <c r="EED276" s="227"/>
      <c r="EEE276" s="227"/>
      <c r="EEF276" s="227"/>
      <c r="EEG276" s="227"/>
      <c r="EEH276" s="227"/>
      <c r="EEI276" s="227"/>
      <c r="EEJ276" s="227"/>
      <c r="EEK276" s="227"/>
      <c r="EEL276" s="227"/>
      <c r="EEM276" s="227"/>
      <c r="EEN276" s="227"/>
      <c r="EEO276" s="227"/>
      <c r="EEP276" s="227"/>
      <c r="EEQ276" s="227"/>
      <c r="EER276" s="227"/>
      <c r="EES276" s="227"/>
      <c r="EET276" s="227"/>
      <c r="EEU276" s="227"/>
      <c r="EEV276" s="227"/>
      <c r="EEW276" s="227"/>
      <c r="EEX276" s="227"/>
      <c r="EEY276" s="227"/>
      <c r="EEZ276" s="227"/>
      <c r="EFA276" s="227"/>
      <c r="EFB276" s="227"/>
      <c r="EFC276" s="227"/>
      <c r="EFD276" s="227"/>
      <c r="EFE276" s="227"/>
      <c r="EFF276" s="227"/>
      <c r="EFG276" s="227"/>
      <c r="EFH276" s="227"/>
      <c r="EFI276" s="227"/>
      <c r="EFJ276" s="227"/>
      <c r="EFK276" s="227"/>
      <c r="EFL276" s="227"/>
      <c r="EFM276" s="227"/>
      <c r="EFN276" s="227"/>
      <c r="EFO276" s="227"/>
      <c r="EFP276" s="227"/>
      <c r="EFQ276" s="227"/>
      <c r="EFR276" s="227"/>
      <c r="EFS276" s="227"/>
      <c r="EFT276" s="227"/>
      <c r="EFU276" s="227"/>
      <c r="EFV276" s="227"/>
      <c r="EFW276" s="227"/>
      <c r="EFX276" s="227"/>
      <c r="EFY276" s="227"/>
      <c r="EFZ276" s="227"/>
      <c r="EGA276" s="227"/>
      <c r="EGB276" s="227"/>
      <c r="EGC276" s="227"/>
      <c r="EGD276" s="227"/>
      <c r="EGE276" s="227"/>
      <c r="EGF276" s="227"/>
      <c r="EGG276" s="227"/>
      <c r="EGH276" s="227"/>
      <c r="EGI276" s="227"/>
      <c r="EGJ276" s="227"/>
      <c r="EGK276" s="227"/>
      <c r="EGL276" s="227"/>
      <c r="EGM276" s="227"/>
      <c r="EGN276" s="227"/>
      <c r="EGO276" s="227"/>
      <c r="EGP276" s="227"/>
      <c r="EGQ276" s="227"/>
      <c r="EGR276" s="227"/>
      <c r="EGS276" s="227"/>
      <c r="EGT276" s="227"/>
      <c r="EGU276" s="227"/>
      <c r="EGV276" s="227"/>
      <c r="EGW276" s="227"/>
      <c r="EGX276" s="227"/>
      <c r="EGY276" s="227"/>
      <c r="EGZ276" s="227"/>
      <c r="EHA276" s="227"/>
      <c r="EHB276" s="227"/>
      <c r="EHC276" s="227"/>
      <c r="EHD276" s="227"/>
      <c r="EHE276" s="227"/>
      <c r="EHF276" s="227"/>
      <c r="EHG276" s="227"/>
      <c r="EHH276" s="227"/>
      <c r="EHI276" s="227"/>
      <c r="EHJ276" s="227"/>
      <c r="EHK276" s="227"/>
      <c r="EHL276" s="227"/>
      <c r="EHM276" s="227"/>
      <c r="EHN276" s="227"/>
      <c r="EHO276" s="227"/>
      <c r="EHP276" s="227"/>
      <c r="EHQ276" s="227"/>
      <c r="EHR276" s="227"/>
      <c r="EHS276" s="227"/>
      <c r="EHT276" s="227"/>
      <c r="EHU276" s="227"/>
      <c r="EHV276" s="227"/>
      <c r="EHW276" s="227"/>
      <c r="EHX276" s="227"/>
      <c r="EHY276" s="227"/>
      <c r="EHZ276" s="227"/>
      <c r="EIA276" s="227"/>
      <c r="EIB276" s="227"/>
      <c r="EIC276" s="227"/>
      <c r="EID276" s="227"/>
      <c r="EIE276" s="227"/>
      <c r="EIF276" s="227"/>
      <c r="EIG276" s="227"/>
      <c r="EIH276" s="227"/>
      <c r="EII276" s="227"/>
      <c r="EIJ276" s="227"/>
      <c r="EIK276" s="227"/>
      <c r="EIL276" s="227"/>
      <c r="EIM276" s="227"/>
      <c r="EIN276" s="227"/>
      <c r="EIO276" s="227"/>
      <c r="EIP276" s="227"/>
      <c r="EIQ276" s="227"/>
      <c r="EIR276" s="227"/>
      <c r="EIS276" s="227"/>
      <c r="EIT276" s="227"/>
      <c r="EIU276" s="227"/>
      <c r="EIV276" s="227"/>
      <c r="EIW276" s="227"/>
      <c r="EIX276" s="227"/>
      <c r="EIY276" s="227"/>
      <c r="EIZ276" s="227"/>
      <c r="EJA276" s="227"/>
      <c r="EJB276" s="227"/>
      <c r="EJC276" s="227"/>
      <c r="EJD276" s="227"/>
      <c r="EJE276" s="227"/>
      <c r="EJF276" s="227"/>
      <c r="EJG276" s="227"/>
      <c r="EJH276" s="227"/>
      <c r="EJI276" s="227"/>
      <c r="EJJ276" s="227"/>
      <c r="EJK276" s="227"/>
      <c r="EJL276" s="227"/>
      <c r="EJM276" s="227"/>
      <c r="EJN276" s="227"/>
      <c r="EJO276" s="227"/>
      <c r="EJP276" s="227"/>
      <c r="EJQ276" s="227"/>
      <c r="EJR276" s="227"/>
      <c r="EJS276" s="227"/>
      <c r="EJT276" s="227"/>
      <c r="EJU276" s="227"/>
      <c r="EJV276" s="227"/>
      <c r="EJW276" s="227"/>
      <c r="EJX276" s="227"/>
      <c r="EJY276" s="227"/>
      <c r="EJZ276" s="227"/>
      <c r="EKA276" s="227"/>
      <c r="EKB276" s="227"/>
      <c r="EKC276" s="227"/>
      <c r="EKD276" s="227"/>
      <c r="EKE276" s="227"/>
      <c r="EKF276" s="227"/>
      <c r="EKG276" s="227"/>
      <c r="EKH276" s="227"/>
      <c r="EKI276" s="227"/>
      <c r="EKJ276" s="227"/>
      <c r="EKK276" s="227"/>
      <c r="EKL276" s="227"/>
      <c r="EKM276" s="227"/>
      <c r="EKN276" s="227"/>
      <c r="EKO276" s="227"/>
      <c r="EKP276" s="227"/>
      <c r="EKQ276" s="227"/>
      <c r="EKR276" s="227"/>
      <c r="EKS276" s="227"/>
      <c r="EKT276" s="227"/>
      <c r="EKU276" s="227"/>
      <c r="EKV276" s="227"/>
      <c r="EKW276" s="227"/>
      <c r="EKX276" s="227"/>
      <c r="EKY276" s="227"/>
      <c r="EKZ276" s="227"/>
      <c r="ELA276" s="227"/>
      <c r="ELB276" s="227"/>
      <c r="ELC276" s="227"/>
      <c r="ELD276" s="227"/>
      <c r="ELE276" s="227"/>
      <c r="ELF276" s="227"/>
      <c r="ELG276" s="227"/>
      <c r="ELH276" s="227"/>
      <c r="ELI276" s="227"/>
      <c r="ELJ276" s="227"/>
      <c r="ELK276" s="227"/>
      <c r="ELL276" s="227"/>
      <c r="ELM276" s="227"/>
      <c r="ELN276" s="227"/>
      <c r="ELO276" s="227"/>
      <c r="ELP276" s="227"/>
      <c r="ELQ276" s="227"/>
      <c r="ELR276" s="227"/>
      <c r="ELS276" s="227"/>
      <c r="ELT276" s="227"/>
      <c r="ELU276" s="227"/>
      <c r="ELV276" s="227"/>
      <c r="ELW276" s="227"/>
      <c r="ELX276" s="227"/>
      <c r="ELY276" s="227"/>
      <c r="ELZ276" s="227"/>
      <c r="EMA276" s="227"/>
      <c r="EMB276" s="227"/>
      <c r="EMC276" s="227"/>
      <c r="EMD276" s="227"/>
      <c r="EME276" s="227"/>
      <c r="EMF276" s="227"/>
      <c r="EMG276" s="227"/>
      <c r="EMH276" s="227"/>
      <c r="EMI276" s="227"/>
      <c r="EMJ276" s="227"/>
      <c r="EMK276" s="227"/>
      <c r="EML276" s="227"/>
      <c r="EMM276" s="227"/>
      <c r="EMN276" s="227"/>
      <c r="EMO276" s="227"/>
      <c r="EMP276" s="227"/>
      <c r="EMQ276" s="227"/>
      <c r="EMR276" s="227"/>
      <c r="EMS276" s="227"/>
      <c r="EMT276" s="227"/>
      <c r="EMU276" s="227"/>
      <c r="EMV276" s="227"/>
      <c r="EMW276" s="227"/>
      <c r="EMX276" s="227"/>
      <c r="EMY276" s="227"/>
      <c r="EMZ276" s="227"/>
      <c r="ENA276" s="227"/>
      <c r="ENB276" s="227"/>
      <c r="ENC276" s="227"/>
      <c r="END276" s="227"/>
      <c r="ENE276" s="227"/>
      <c r="ENF276" s="227"/>
      <c r="ENG276" s="227"/>
      <c r="ENH276" s="227"/>
      <c r="ENI276" s="227"/>
      <c r="ENJ276" s="227"/>
      <c r="ENK276" s="227"/>
      <c r="ENL276" s="227"/>
      <c r="ENM276" s="227"/>
      <c r="ENN276" s="227"/>
      <c r="ENO276" s="227"/>
      <c r="ENP276" s="227"/>
      <c r="ENQ276" s="227"/>
      <c r="ENR276" s="227"/>
      <c r="ENS276" s="227"/>
      <c r="ENT276" s="227"/>
      <c r="ENU276" s="227"/>
      <c r="ENV276" s="227"/>
      <c r="ENW276" s="227"/>
      <c r="ENX276" s="227"/>
      <c r="ENY276" s="227"/>
      <c r="ENZ276" s="227"/>
      <c r="EOA276" s="227"/>
      <c r="EOB276" s="227"/>
      <c r="EOC276" s="227"/>
      <c r="EOD276" s="227"/>
      <c r="EOE276" s="227"/>
      <c r="EOF276" s="227"/>
      <c r="EOG276" s="227"/>
      <c r="EOH276" s="227"/>
      <c r="EOI276" s="227"/>
      <c r="EOJ276" s="227"/>
      <c r="EOK276" s="227"/>
      <c r="EOL276" s="227"/>
      <c r="EOM276" s="227"/>
      <c r="EON276" s="227"/>
      <c r="EOO276" s="227"/>
      <c r="EOP276" s="227"/>
      <c r="EOQ276" s="227"/>
      <c r="EOR276" s="227"/>
      <c r="EOS276" s="227"/>
      <c r="EOT276" s="227"/>
      <c r="EOU276" s="227"/>
      <c r="EOV276" s="227"/>
      <c r="EOW276" s="227"/>
      <c r="EOX276" s="227"/>
      <c r="EOY276" s="227"/>
      <c r="EOZ276" s="227"/>
      <c r="EPA276" s="227"/>
      <c r="EPB276" s="227"/>
      <c r="EPC276" s="227"/>
      <c r="EPD276" s="227"/>
      <c r="EPE276" s="227"/>
      <c r="EPF276" s="227"/>
      <c r="EPG276" s="227"/>
      <c r="EPH276" s="227"/>
      <c r="EPI276" s="227"/>
      <c r="EPJ276" s="227"/>
      <c r="EPK276" s="227"/>
      <c r="EPL276" s="227"/>
      <c r="EPM276" s="227"/>
      <c r="EPN276" s="227"/>
      <c r="EPO276" s="227"/>
      <c r="EPP276" s="227"/>
      <c r="EPQ276" s="227"/>
      <c r="EPR276" s="227"/>
      <c r="EPS276" s="227"/>
      <c r="EPT276" s="227"/>
      <c r="EPU276" s="227"/>
      <c r="EPV276" s="227"/>
      <c r="EPW276" s="227"/>
      <c r="EPX276" s="227"/>
      <c r="EPY276" s="227"/>
      <c r="EPZ276" s="227"/>
      <c r="EQA276" s="227"/>
      <c r="EQB276" s="227"/>
      <c r="EQC276" s="227"/>
      <c r="EQD276" s="227"/>
      <c r="EQE276" s="227"/>
      <c r="EQF276" s="227"/>
      <c r="EQG276" s="227"/>
      <c r="EQH276" s="227"/>
      <c r="EQI276" s="227"/>
      <c r="EQJ276" s="227"/>
      <c r="EQK276" s="227"/>
      <c r="EQL276" s="227"/>
      <c r="EQM276" s="227"/>
      <c r="EQN276" s="227"/>
      <c r="EQO276" s="227"/>
      <c r="EQP276" s="227"/>
      <c r="EQQ276" s="227"/>
      <c r="EQR276" s="227"/>
      <c r="EQS276" s="227"/>
      <c r="EQT276" s="227"/>
      <c r="EQU276" s="227"/>
      <c r="EQV276" s="227"/>
      <c r="EQW276" s="227"/>
      <c r="EQX276" s="227"/>
      <c r="EQY276" s="227"/>
      <c r="EQZ276" s="227"/>
      <c r="ERA276" s="227"/>
      <c r="ERB276" s="227"/>
      <c r="ERC276" s="227"/>
      <c r="ERD276" s="227"/>
      <c r="ERE276" s="227"/>
      <c r="ERF276" s="227"/>
      <c r="ERG276" s="227"/>
      <c r="ERH276" s="227"/>
      <c r="ERI276" s="227"/>
      <c r="ERJ276" s="227"/>
      <c r="ERK276" s="227"/>
      <c r="ERL276" s="227"/>
      <c r="ERM276" s="227"/>
      <c r="ERN276" s="227"/>
      <c r="ERO276" s="227"/>
      <c r="ERP276" s="227"/>
      <c r="ERQ276" s="227"/>
      <c r="ERR276" s="227"/>
      <c r="ERS276" s="227"/>
      <c r="ERT276" s="227"/>
      <c r="ERU276" s="227"/>
      <c r="ERV276" s="227"/>
      <c r="ERW276" s="227"/>
      <c r="ERX276" s="227"/>
      <c r="ERY276" s="227"/>
      <c r="ERZ276" s="227"/>
      <c r="ESA276" s="227"/>
      <c r="ESB276" s="227"/>
      <c r="ESC276" s="227"/>
      <c r="ESD276" s="227"/>
      <c r="ESE276" s="227"/>
      <c r="ESF276" s="227"/>
      <c r="ESG276" s="227"/>
      <c r="ESH276" s="227"/>
      <c r="ESI276" s="227"/>
      <c r="ESJ276" s="227"/>
      <c r="ESK276" s="227"/>
      <c r="ESL276" s="227"/>
      <c r="ESM276" s="227"/>
      <c r="ESN276" s="227"/>
      <c r="ESO276" s="227"/>
      <c r="ESP276" s="227"/>
      <c r="ESQ276" s="227"/>
      <c r="ESR276" s="227"/>
      <c r="ESS276" s="227"/>
      <c r="EST276" s="227"/>
      <c r="ESU276" s="227"/>
      <c r="ESV276" s="227"/>
      <c r="ESW276" s="227"/>
      <c r="ESX276" s="227"/>
      <c r="ESY276" s="227"/>
      <c r="ESZ276" s="227"/>
      <c r="ETA276" s="227"/>
      <c r="ETB276" s="227"/>
      <c r="ETC276" s="227"/>
      <c r="ETD276" s="227"/>
      <c r="ETE276" s="227"/>
      <c r="ETF276" s="227"/>
      <c r="ETG276" s="227"/>
      <c r="ETH276" s="227"/>
      <c r="ETI276" s="227"/>
      <c r="ETJ276" s="227"/>
      <c r="ETK276" s="227"/>
      <c r="ETL276" s="227"/>
      <c r="ETM276" s="227"/>
      <c r="ETN276" s="227"/>
      <c r="ETO276" s="227"/>
      <c r="ETP276" s="227"/>
      <c r="ETQ276" s="227"/>
      <c r="ETR276" s="227"/>
      <c r="ETS276" s="227"/>
      <c r="ETT276" s="227"/>
      <c r="ETU276" s="227"/>
      <c r="ETV276" s="227"/>
      <c r="ETW276" s="227"/>
      <c r="ETX276" s="227"/>
      <c r="ETY276" s="227"/>
      <c r="ETZ276" s="227"/>
      <c r="EUA276" s="227"/>
      <c r="EUB276" s="227"/>
      <c r="EUC276" s="227"/>
      <c r="EUD276" s="227"/>
      <c r="EUE276" s="227"/>
      <c r="EUF276" s="227"/>
      <c r="EUG276" s="227"/>
      <c r="EUH276" s="227"/>
      <c r="EUI276" s="227"/>
      <c r="EUJ276" s="227"/>
      <c r="EUK276" s="227"/>
      <c r="EUL276" s="227"/>
      <c r="EUM276" s="227"/>
      <c r="EUN276" s="227"/>
      <c r="EUO276" s="227"/>
      <c r="EUP276" s="227"/>
      <c r="EUQ276" s="227"/>
      <c r="EUR276" s="227"/>
      <c r="EUS276" s="227"/>
      <c r="EUT276" s="227"/>
      <c r="EUU276" s="227"/>
      <c r="EUV276" s="227"/>
      <c r="EUW276" s="227"/>
      <c r="EUX276" s="227"/>
      <c r="EUY276" s="227"/>
      <c r="EUZ276" s="227"/>
      <c r="EVA276" s="227"/>
      <c r="EVB276" s="227"/>
      <c r="EVC276" s="227"/>
      <c r="EVD276" s="227"/>
      <c r="EVE276" s="227"/>
      <c r="EVF276" s="227"/>
      <c r="EVG276" s="227"/>
      <c r="EVH276" s="227"/>
      <c r="EVI276" s="227"/>
      <c r="EVJ276" s="227"/>
      <c r="EVK276" s="227"/>
      <c r="EVL276" s="227"/>
      <c r="EVM276" s="227"/>
      <c r="EVN276" s="227"/>
      <c r="EVO276" s="227"/>
      <c r="EVP276" s="227"/>
      <c r="EVQ276" s="227"/>
      <c r="EVR276" s="227"/>
      <c r="EVS276" s="227"/>
      <c r="EVT276" s="227"/>
      <c r="EVU276" s="227"/>
      <c r="EVV276" s="227"/>
      <c r="EVW276" s="227"/>
      <c r="EVX276" s="227"/>
      <c r="EVY276" s="227"/>
      <c r="EVZ276" s="227"/>
      <c r="EWA276" s="227"/>
      <c r="EWB276" s="227"/>
      <c r="EWC276" s="227"/>
      <c r="EWD276" s="227"/>
      <c r="EWE276" s="227"/>
      <c r="EWF276" s="227"/>
      <c r="EWG276" s="227"/>
      <c r="EWH276" s="227"/>
      <c r="EWI276" s="227"/>
      <c r="EWJ276" s="227"/>
      <c r="EWK276" s="227"/>
      <c r="EWL276" s="227"/>
      <c r="EWM276" s="227"/>
      <c r="EWN276" s="227"/>
      <c r="EWO276" s="227"/>
      <c r="EWP276" s="227"/>
      <c r="EWQ276" s="227"/>
      <c r="EWR276" s="227"/>
      <c r="EWS276" s="227"/>
      <c r="EWT276" s="227"/>
      <c r="EWU276" s="227"/>
      <c r="EWV276" s="227"/>
      <c r="EWW276" s="227"/>
      <c r="EWX276" s="227"/>
      <c r="EWY276" s="227"/>
      <c r="EWZ276" s="227"/>
      <c r="EXA276" s="227"/>
      <c r="EXB276" s="227"/>
      <c r="EXC276" s="227"/>
      <c r="EXD276" s="227"/>
      <c r="EXE276" s="227"/>
      <c r="EXF276" s="227"/>
      <c r="EXG276" s="227"/>
      <c r="EXH276" s="227"/>
      <c r="EXI276" s="227"/>
      <c r="EXJ276" s="227"/>
      <c r="EXK276" s="227"/>
      <c r="EXL276" s="227"/>
      <c r="EXM276" s="227"/>
      <c r="EXN276" s="227"/>
      <c r="EXO276" s="227"/>
      <c r="EXP276" s="227"/>
      <c r="EXQ276" s="227"/>
      <c r="EXR276" s="227"/>
      <c r="EXS276" s="227"/>
      <c r="EXT276" s="227"/>
      <c r="EXU276" s="227"/>
      <c r="EXV276" s="227"/>
      <c r="EXW276" s="227"/>
      <c r="EXX276" s="227"/>
      <c r="EXY276" s="227"/>
      <c r="EXZ276" s="227"/>
      <c r="EYA276" s="227"/>
      <c r="EYB276" s="227"/>
      <c r="EYC276" s="227"/>
      <c r="EYD276" s="227"/>
      <c r="EYE276" s="227"/>
      <c r="EYF276" s="227"/>
      <c r="EYG276" s="227"/>
      <c r="EYH276" s="227"/>
      <c r="EYI276" s="227"/>
      <c r="EYJ276" s="227"/>
      <c r="EYK276" s="227"/>
      <c r="EYL276" s="227"/>
      <c r="EYM276" s="227"/>
      <c r="EYN276" s="227"/>
      <c r="EYO276" s="227"/>
      <c r="EYP276" s="227"/>
      <c r="EYQ276" s="227"/>
      <c r="EYR276" s="227"/>
      <c r="EYS276" s="227"/>
      <c r="EYT276" s="227"/>
      <c r="EYU276" s="227"/>
      <c r="EYV276" s="227"/>
      <c r="EYW276" s="227"/>
      <c r="EYX276" s="227"/>
      <c r="EYY276" s="227"/>
      <c r="EYZ276" s="227"/>
      <c r="EZA276" s="227"/>
      <c r="EZB276" s="227"/>
      <c r="EZC276" s="227"/>
      <c r="EZD276" s="227"/>
      <c r="EZE276" s="227"/>
      <c r="EZF276" s="227"/>
      <c r="EZG276" s="227"/>
      <c r="EZH276" s="227"/>
      <c r="EZI276" s="227"/>
      <c r="EZJ276" s="227"/>
      <c r="EZK276" s="227"/>
      <c r="EZL276" s="227"/>
      <c r="EZM276" s="227"/>
      <c r="EZN276" s="227"/>
      <c r="EZO276" s="227"/>
      <c r="EZP276" s="227"/>
      <c r="EZQ276" s="227"/>
      <c r="EZR276" s="227"/>
      <c r="EZS276" s="227"/>
      <c r="EZT276" s="227"/>
      <c r="EZU276" s="227"/>
      <c r="EZV276" s="227"/>
      <c r="EZW276" s="227"/>
      <c r="EZX276" s="227"/>
      <c r="EZY276" s="227"/>
      <c r="EZZ276" s="227"/>
      <c r="FAA276" s="227"/>
      <c r="FAB276" s="227"/>
      <c r="FAC276" s="227"/>
      <c r="FAD276" s="227"/>
      <c r="FAE276" s="227"/>
      <c r="FAF276" s="227"/>
      <c r="FAG276" s="227"/>
      <c r="FAH276" s="227"/>
      <c r="FAI276" s="227"/>
      <c r="FAJ276" s="227"/>
      <c r="FAK276" s="227"/>
      <c r="FAL276" s="227"/>
      <c r="FAM276" s="227"/>
      <c r="FAN276" s="227"/>
      <c r="FAO276" s="227"/>
      <c r="FAP276" s="227"/>
      <c r="FAQ276" s="227"/>
      <c r="FAR276" s="227"/>
      <c r="FAS276" s="227"/>
      <c r="FAT276" s="227"/>
      <c r="FAU276" s="227"/>
      <c r="FAV276" s="227"/>
      <c r="FAW276" s="227"/>
      <c r="FAX276" s="227"/>
      <c r="FAY276" s="227"/>
      <c r="FAZ276" s="227"/>
      <c r="FBA276" s="227"/>
      <c r="FBB276" s="227"/>
      <c r="FBC276" s="227"/>
      <c r="FBD276" s="227"/>
      <c r="FBE276" s="227"/>
      <c r="FBF276" s="227"/>
      <c r="FBG276" s="227"/>
      <c r="FBH276" s="227"/>
      <c r="FBI276" s="227"/>
      <c r="FBJ276" s="227"/>
      <c r="FBK276" s="227"/>
      <c r="FBL276" s="227"/>
      <c r="FBM276" s="227"/>
      <c r="FBN276" s="227"/>
      <c r="FBO276" s="227"/>
      <c r="FBP276" s="227"/>
      <c r="FBQ276" s="227"/>
      <c r="FBR276" s="227"/>
      <c r="FBS276" s="227"/>
      <c r="FBT276" s="227"/>
      <c r="FBU276" s="227"/>
      <c r="FBV276" s="227"/>
      <c r="FBW276" s="227"/>
      <c r="FBX276" s="227"/>
      <c r="FBY276" s="227"/>
      <c r="FBZ276" s="227"/>
      <c r="FCA276" s="227"/>
      <c r="FCB276" s="227"/>
      <c r="FCC276" s="227"/>
      <c r="FCD276" s="227"/>
      <c r="FCE276" s="227"/>
      <c r="FCF276" s="227"/>
      <c r="FCG276" s="227"/>
      <c r="FCH276" s="227"/>
      <c r="FCI276" s="227"/>
      <c r="FCJ276" s="227"/>
      <c r="FCK276" s="227"/>
      <c r="FCL276" s="227"/>
      <c r="FCM276" s="227"/>
      <c r="FCN276" s="227"/>
      <c r="FCO276" s="227"/>
      <c r="FCP276" s="227"/>
      <c r="FCQ276" s="227"/>
      <c r="FCR276" s="227"/>
      <c r="FCS276" s="227"/>
      <c r="FCT276" s="227"/>
      <c r="FCU276" s="227"/>
      <c r="FCV276" s="227"/>
      <c r="FCW276" s="227"/>
      <c r="FCX276" s="227"/>
      <c r="FCY276" s="227"/>
      <c r="FCZ276" s="227"/>
      <c r="FDA276" s="227"/>
      <c r="FDB276" s="227"/>
      <c r="FDC276" s="227"/>
      <c r="FDD276" s="227"/>
      <c r="FDE276" s="227"/>
      <c r="FDF276" s="227"/>
      <c r="FDG276" s="227"/>
      <c r="FDH276" s="227"/>
      <c r="FDI276" s="227"/>
      <c r="FDJ276" s="227"/>
      <c r="FDK276" s="227"/>
      <c r="FDL276" s="227"/>
      <c r="FDM276" s="227"/>
      <c r="FDN276" s="227"/>
      <c r="FDO276" s="227"/>
      <c r="FDP276" s="227"/>
      <c r="FDQ276" s="227"/>
      <c r="FDR276" s="227"/>
      <c r="FDS276" s="227"/>
      <c r="FDT276" s="227"/>
      <c r="FDU276" s="227"/>
      <c r="FDV276" s="227"/>
      <c r="FDW276" s="227"/>
      <c r="FDX276" s="227"/>
      <c r="FDY276" s="227"/>
      <c r="FDZ276" s="227"/>
      <c r="FEA276" s="227"/>
      <c r="FEB276" s="227"/>
      <c r="FEC276" s="227"/>
      <c r="FED276" s="227"/>
      <c r="FEE276" s="227"/>
      <c r="FEF276" s="227"/>
      <c r="FEG276" s="227"/>
      <c r="FEH276" s="227"/>
      <c r="FEI276" s="227"/>
      <c r="FEJ276" s="227"/>
      <c r="FEK276" s="227"/>
      <c r="FEL276" s="227"/>
      <c r="FEM276" s="227"/>
      <c r="FEN276" s="227"/>
      <c r="FEO276" s="227"/>
      <c r="FEP276" s="227"/>
      <c r="FEQ276" s="227"/>
      <c r="FER276" s="227"/>
      <c r="FES276" s="227"/>
      <c r="FET276" s="227"/>
      <c r="FEU276" s="227"/>
      <c r="FEV276" s="227"/>
      <c r="FEW276" s="227"/>
      <c r="FEX276" s="227"/>
      <c r="FEY276" s="227"/>
      <c r="FEZ276" s="227"/>
      <c r="FFA276" s="227"/>
      <c r="FFB276" s="227"/>
      <c r="FFC276" s="227"/>
      <c r="FFD276" s="227"/>
      <c r="FFE276" s="227"/>
      <c r="FFF276" s="227"/>
      <c r="FFG276" s="227"/>
      <c r="FFH276" s="227"/>
      <c r="FFI276" s="227"/>
      <c r="FFJ276" s="227"/>
      <c r="FFK276" s="227"/>
      <c r="FFL276" s="227"/>
      <c r="FFM276" s="227"/>
      <c r="FFN276" s="227"/>
      <c r="FFO276" s="227"/>
      <c r="FFP276" s="227"/>
      <c r="FFQ276" s="227"/>
      <c r="FFR276" s="227"/>
      <c r="FFS276" s="227"/>
      <c r="FFT276" s="227"/>
      <c r="FFU276" s="227"/>
      <c r="FFV276" s="227"/>
      <c r="FFW276" s="227"/>
      <c r="FFX276" s="227"/>
      <c r="FFY276" s="227"/>
      <c r="FFZ276" s="227"/>
      <c r="FGA276" s="227"/>
      <c r="FGB276" s="227"/>
      <c r="FGC276" s="227"/>
      <c r="FGD276" s="227"/>
      <c r="FGE276" s="227"/>
      <c r="FGF276" s="227"/>
      <c r="FGG276" s="227"/>
      <c r="FGH276" s="227"/>
      <c r="FGI276" s="227"/>
      <c r="FGJ276" s="227"/>
      <c r="FGK276" s="227"/>
      <c r="FGL276" s="227"/>
      <c r="FGM276" s="227"/>
      <c r="FGN276" s="227"/>
      <c r="FGO276" s="227"/>
      <c r="FGP276" s="227"/>
      <c r="FGQ276" s="227"/>
      <c r="FGR276" s="227"/>
      <c r="FGS276" s="227"/>
      <c r="FGT276" s="227"/>
      <c r="FGU276" s="227"/>
      <c r="FGV276" s="227"/>
      <c r="FGW276" s="227"/>
      <c r="FGX276" s="227"/>
      <c r="FGY276" s="227"/>
      <c r="FGZ276" s="227"/>
      <c r="FHA276" s="227"/>
      <c r="FHB276" s="227"/>
      <c r="FHC276" s="227"/>
      <c r="FHD276" s="227"/>
      <c r="FHE276" s="227"/>
      <c r="FHF276" s="227"/>
      <c r="FHG276" s="227"/>
      <c r="FHH276" s="227"/>
      <c r="FHI276" s="227"/>
      <c r="FHJ276" s="227"/>
      <c r="FHK276" s="227"/>
      <c r="FHL276" s="227"/>
      <c r="FHM276" s="227"/>
      <c r="FHN276" s="227"/>
      <c r="FHO276" s="227"/>
      <c r="FHP276" s="227"/>
      <c r="FHQ276" s="227"/>
      <c r="FHR276" s="227"/>
      <c r="FHS276" s="227"/>
      <c r="FHT276" s="227"/>
      <c r="FHU276" s="227"/>
      <c r="FHV276" s="227"/>
      <c r="FHW276" s="227"/>
      <c r="FHX276" s="227"/>
      <c r="FHY276" s="227"/>
      <c r="FHZ276" s="227"/>
      <c r="FIA276" s="227"/>
      <c r="FIB276" s="227"/>
      <c r="FIC276" s="227"/>
      <c r="FID276" s="227"/>
      <c r="FIE276" s="227"/>
      <c r="FIF276" s="227"/>
      <c r="FIG276" s="227"/>
      <c r="FIH276" s="227"/>
      <c r="FII276" s="227"/>
      <c r="FIJ276" s="227"/>
      <c r="FIK276" s="227"/>
      <c r="FIL276" s="227"/>
      <c r="FIM276" s="227"/>
      <c r="FIN276" s="227"/>
      <c r="FIO276" s="227"/>
      <c r="FIP276" s="227"/>
      <c r="FIQ276" s="227"/>
      <c r="FIR276" s="227"/>
      <c r="FIS276" s="227"/>
      <c r="FIT276" s="227"/>
      <c r="FIU276" s="227"/>
      <c r="FIV276" s="227"/>
      <c r="FIW276" s="227"/>
      <c r="FIX276" s="227"/>
      <c r="FIY276" s="227"/>
      <c r="FIZ276" s="227"/>
      <c r="FJA276" s="227"/>
      <c r="FJB276" s="227"/>
      <c r="FJC276" s="227"/>
      <c r="FJD276" s="227"/>
      <c r="FJE276" s="227"/>
      <c r="FJF276" s="227"/>
      <c r="FJG276" s="227"/>
      <c r="FJH276" s="227"/>
      <c r="FJI276" s="227"/>
      <c r="FJJ276" s="227"/>
      <c r="FJK276" s="227"/>
      <c r="FJL276" s="227"/>
      <c r="FJM276" s="227"/>
      <c r="FJN276" s="227"/>
      <c r="FJO276" s="227"/>
      <c r="FJP276" s="227"/>
      <c r="FJQ276" s="227"/>
      <c r="FJR276" s="227"/>
      <c r="FJS276" s="227"/>
      <c r="FJT276" s="227"/>
      <c r="FJU276" s="227"/>
      <c r="FJV276" s="227"/>
      <c r="FJW276" s="227"/>
      <c r="FJX276" s="227"/>
      <c r="FJY276" s="227"/>
      <c r="FJZ276" s="227"/>
      <c r="FKA276" s="227"/>
      <c r="FKB276" s="227"/>
      <c r="FKC276" s="227"/>
      <c r="FKD276" s="227"/>
      <c r="FKE276" s="227"/>
      <c r="FKF276" s="227"/>
      <c r="FKG276" s="227"/>
      <c r="FKH276" s="227"/>
      <c r="FKI276" s="227"/>
      <c r="FKJ276" s="227"/>
      <c r="FKK276" s="227"/>
      <c r="FKL276" s="227"/>
      <c r="FKM276" s="227"/>
      <c r="FKN276" s="227"/>
      <c r="FKO276" s="227"/>
      <c r="FKP276" s="227"/>
      <c r="FKQ276" s="227"/>
      <c r="FKR276" s="227"/>
      <c r="FKS276" s="227"/>
      <c r="FKT276" s="227"/>
      <c r="FKU276" s="227"/>
      <c r="FKV276" s="227"/>
      <c r="FKW276" s="227"/>
      <c r="FKX276" s="227"/>
      <c r="FKY276" s="227"/>
      <c r="FKZ276" s="227"/>
      <c r="FLA276" s="227"/>
      <c r="FLB276" s="227"/>
      <c r="FLC276" s="227"/>
      <c r="FLD276" s="227"/>
      <c r="FLE276" s="227"/>
      <c r="FLF276" s="227"/>
      <c r="FLG276" s="227"/>
      <c r="FLH276" s="227"/>
      <c r="FLI276" s="227"/>
      <c r="FLJ276" s="227"/>
      <c r="FLK276" s="227"/>
      <c r="FLL276" s="227"/>
      <c r="FLM276" s="227"/>
      <c r="FLN276" s="227"/>
      <c r="FLO276" s="227"/>
      <c r="FLP276" s="227"/>
      <c r="FLQ276" s="227"/>
      <c r="FLR276" s="227"/>
      <c r="FLS276" s="227"/>
      <c r="FLT276" s="227"/>
      <c r="FLU276" s="227"/>
      <c r="FLV276" s="227"/>
      <c r="FLW276" s="227"/>
      <c r="FLX276" s="227"/>
      <c r="FLY276" s="227"/>
      <c r="FLZ276" s="227"/>
      <c r="FMA276" s="227"/>
      <c r="FMB276" s="227"/>
      <c r="FMC276" s="227"/>
      <c r="FMD276" s="227"/>
      <c r="FME276" s="227"/>
      <c r="FMF276" s="227"/>
      <c r="FMG276" s="227"/>
      <c r="FMH276" s="227"/>
      <c r="FMI276" s="227"/>
      <c r="FMJ276" s="227"/>
      <c r="FMK276" s="227"/>
      <c r="FML276" s="227"/>
      <c r="FMM276" s="227"/>
      <c r="FMN276" s="227"/>
      <c r="FMO276" s="227"/>
      <c r="FMP276" s="227"/>
      <c r="FMQ276" s="227"/>
      <c r="FMR276" s="227"/>
      <c r="FMS276" s="227"/>
      <c r="FMT276" s="227"/>
      <c r="FMU276" s="227"/>
      <c r="FMV276" s="227"/>
      <c r="FMW276" s="227"/>
      <c r="FMX276" s="227"/>
      <c r="FMY276" s="227"/>
      <c r="FMZ276" s="227"/>
      <c r="FNA276" s="227"/>
      <c r="FNB276" s="227"/>
      <c r="FNC276" s="227"/>
      <c r="FND276" s="227"/>
      <c r="FNE276" s="227"/>
      <c r="FNF276" s="227"/>
      <c r="FNG276" s="227"/>
      <c r="FNH276" s="227"/>
      <c r="FNI276" s="227"/>
      <c r="FNJ276" s="227"/>
      <c r="FNK276" s="227"/>
      <c r="FNL276" s="227"/>
      <c r="FNM276" s="227"/>
      <c r="FNN276" s="227"/>
      <c r="FNO276" s="227"/>
      <c r="FNP276" s="227"/>
      <c r="FNQ276" s="227"/>
      <c r="FNR276" s="227"/>
      <c r="FNS276" s="227"/>
      <c r="FNT276" s="227"/>
      <c r="FNU276" s="227"/>
      <c r="FNV276" s="227"/>
      <c r="FNW276" s="227"/>
      <c r="FNX276" s="227"/>
      <c r="FNY276" s="227"/>
      <c r="FNZ276" s="227"/>
      <c r="FOA276" s="227"/>
      <c r="FOB276" s="227"/>
      <c r="FOC276" s="227"/>
      <c r="FOD276" s="227"/>
      <c r="FOE276" s="227"/>
      <c r="FOF276" s="227"/>
      <c r="FOG276" s="227"/>
      <c r="FOH276" s="227"/>
      <c r="FOI276" s="227"/>
      <c r="FOJ276" s="227"/>
      <c r="FOK276" s="227"/>
      <c r="FOL276" s="227"/>
      <c r="FOM276" s="227"/>
      <c r="FON276" s="227"/>
      <c r="FOO276" s="227"/>
      <c r="FOP276" s="227"/>
      <c r="FOQ276" s="227"/>
      <c r="FOR276" s="227"/>
      <c r="FOS276" s="227"/>
      <c r="FOT276" s="227"/>
      <c r="FOU276" s="227"/>
      <c r="FOV276" s="227"/>
      <c r="FOW276" s="227"/>
      <c r="FOX276" s="227"/>
      <c r="FOY276" s="227"/>
      <c r="FOZ276" s="227"/>
      <c r="FPA276" s="227"/>
      <c r="FPB276" s="227"/>
      <c r="FPC276" s="227"/>
      <c r="FPD276" s="227"/>
      <c r="FPE276" s="227"/>
      <c r="FPF276" s="227"/>
      <c r="FPG276" s="227"/>
      <c r="FPH276" s="227"/>
      <c r="FPI276" s="227"/>
      <c r="FPJ276" s="227"/>
      <c r="FPK276" s="227"/>
      <c r="FPL276" s="227"/>
      <c r="FPM276" s="227"/>
      <c r="FPN276" s="227"/>
      <c r="FPO276" s="227"/>
      <c r="FPP276" s="227"/>
      <c r="FPQ276" s="227"/>
      <c r="FPR276" s="227"/>
      <c r="FPS276" s="227"/>
      <c r="FPT276" s="227"/>
      <c r="FPU276" s="227"/>
      <c r="FPV276" s="227"/>
      <c r="FPW276" s="227"/>
      <c r="FPX276" s="227"/>
      <c r="FPY276" s="227"/>
      <c r="FPZ276" s="227"/>
      <c r="FQA276" s="227"/>
      <c r="FQB276" s="227"/>
      <c r="FQC276" s="227"/>
      <c r="FQD276" s="227"/>
      <c r="FQE276" s="227"/>
      <c r="FQF276" s="227"/>
      <c r="FQG276" s="227"/>
      <c r="FQH276" s="227"/>
      <c r="FQI276" s="227"/>
      <c r="FQJ276" s="227"/>
      <c r="FQK276" s="227"/>
      <c r="FQL276" s="227"/>
      <c r="FQM276" s="227"/>
      <c r="FQN276" s="227"/>
      <c r="FQO276" s="227"/>
      <c r="FQP276" s="227"/>
      <c r="FQQ276" s="227"/>
      <c r="FQR276" s="227"/>
      <c r="FQS276" s="227"/>
      <c r="FQT276" s="227"/>
      <c r="FQU276" s="227"/>
      <c r="FQV276" s="227"/>
      <c r="FQW276" s="227"/>
      <c r="FQX276" s="227"/>
      <c r="FQY276" s="227"/>
      <c r="FQZ276" s="227"/>
      <c r="FRA276" s="227"/>
      <c r="FRB276" s="227"/>
      <c r="FRC276" s="227"/>
      <c r="FRD276" s="227"/>
      <c r="FRE276" s="227"/>
      <c r="FRF276" s="227"/>
      <c r="FRG276" s="227"/>
      <c r="FRH276" s="227"/>
      <c r="FRI276" s="227"/>
      <c r="FRJ276" s="227"/>
      <c r="FRK276" s="227"/>
      <c r="FRL276" s="227"/>
      <c r="FRM276" s="227"/>
      <c r="FRN276" s="227"/>
      <c r="FRO276" s="227"/>
      <c r="FRP276" s="227"/>
      <c r="FRQ276" s="227"/>
      <c r="FRR276" s="227"/>
      <c r="FRS276" s="227"/>
      <c r="FRT276" s="227"/>
      <c r="FRU276" s="227"/>
      <c r="FRV276" s="227"/>
      <c r="FRW276" s="227"/>
      <c r="FRX276" s="227"/>
      <c r="FRY276" s="227"/>
      <c r="FRZ276" s="227"/>
      <c r="FSA276" s="227"/>
      <c r="FSB276" s="227"/>
      <c r="FSC276" s="227"/>
      <c r="FSD276" s="227"/>
      <c r="FSE276" s="227"/>
      <c r="FSF276" s="227"/>
      <c r="FSG276" s="227"/>
      <c r="FSH276" s="227"/>
      <c r="FSI276" s="227"/>
      <c r="FSJ276" s="227"/>
      <c r="FSK276" s="227"/>
      <c r="FSL276" s="227"/>
      <c r="FSM276" s="227"/>
      <c r="FSN276" s="227"/>
      <c r="FSO276" s="227"/>
      <c r="FSP276" s="227"/>
      <c r="FSQ276" s="227"/>
      <c r="FSR276" s="227"/>
      <c r="FSS276" s="227"/>
      <c r="FST276" s="227"/>
      <c r="FSU276" s="227"/>
      <c r="FSV276" s="227"/>
      <c r="FSW276" s="227"/>
      <c r="FSX276" s="227"/>
      <c r="FSY276" s="227"/>
      <c r="FSZ276" s="227"/>
      <c r="FTA276" s="227"/>
      <c r="FTB276" s="227"/>
      <c r="FTC276" s="227"/>
      <c r="FTD276" s="227"/>
      <c r="FTE276" s="227"/>
      <c r="FTF276" s="227"/>
      <c r="FTG276" s="227"/>
      <c r="FTH276" s="227"/>
      <c r="FTI276" s="227"/>
      <c r="FTJ276" s="227"/>
      <c r="FTK276" s="227"/>
      <c r="FTL276" s="227"/>
      <c r="FTM276" s="227"/>
      <c r="FTN276" s="227"/>
      <c r="FTO276" s="227"/>
      <c r="FTP276" s="227"/>
      <c r="FTQ276" s="227"/>
      <c r="FTR276" s="227"/>
      <c r="FTS276" s="227"/>
      <c r="FTT276" s="227"/>
      <c r="FTU276" s="227"/>
      <c r="FTV276" s="227"/>
      <c r="FTW276" s="227"/>
      <c r="FTX276" s="227"/>
      <c r="FTY276" s="227"/>
      <c r="FTZ276" s="227"/>
      <c r="FUA276" s="227"/>
      <c r="FUB276" s="227"/>
      <c r="FUC276" s="227"/>
      <c r="FUD276" s="227"/>
      <c r="FUE276" s="227"/>
      <c r="FUF276" s="227"/>
      <c r="FUG276" s="227"/>
      <c r="FUH276" s="227"/>
      <c r="FUI276" s="227"/>
      <c r="FUJ276" s="227"/>
      <c r="FUK276" s="227"/>
      <c r="FUL276" s="227"/>
      <c r="FUM276" s="227"/>
      <c r="FUN276" s="227"/>
      <c r="FUO276" s="227"/>
      <c r="FUP276" s="227"/>
      <c r="FUQ276" s="227"/>
      <c r="FUR276" s="227"/>
      <c r="FUS276" s="227"/>
      <c r="FUT276" s="227"/>
      <c r="FUU276" s="227"/>
      <c r="FUV276" s="227"/>
      <c r="FUW276" s="227"/>
      <c r="FUX276" s="227"/>
      <c r="FUY276" s="227"/>
      <c r="FUZ276" s="227"/>
      <c r="FVA276" s="227"/>
      <c r="FVB276" s="227"/>
      <c r="FVC276" s="227"/>
      <c r="FVD276" s="227"/>
      <c r="FVE276" s="227"/>
      <c r="FVF276" s="227"/>
      <c r="FVG276" s="227"/>
      <c r="FVH276" s="227"/>
      <c r="FVI276" s="227"/>
      <c r="FVJ276" s="227"/>
      <c r="FVK276" s="227"/>
      <c r="FVL276" s="227"/>
      <c r="FVM276" s="227"/>
      <c r="FVN276" s="227"/>
      <c r="FVO276" s="227"/>
      <c r="FVP276" s="227"/>
      <c r="FVQ276" s="227"/>
      <c r="FVR276" s="227"/>
      <c r="FVS276" s="227"/>
      <c r="FVT276" s="227"/>
      <c r="FVU276" s="227"/>
      <c r="FVV276" s="227"/>
      <c r="FVW276" s="227"/>
      <c r="FVX276" s="227"/>
      <c r="FVY276" s="227"/>
      <c r="FVZ276" s="227"/>
      <c r="FWA276" s="227"/>
      <c r="FWB276" s="227"/>
      <c r="FWC276" s="227"/>
      <c r="FWD276" s="227"/>
      <c r="FWE276" s="227"/>
      <c r="FWF276" s="227"/>
      <c r="FWG276" s="227"/>
      <c r="FWH276" s="227"/>
      <c r="FWI276" s="227"/>
      <c r="FWJ276" s="227"/>
      <c r="FWK276" s="227"/>
      <c r="FWL276" s="227"/>
      <c r="FWM276" s="227"/>
      <c r="FWN276" s="227"/>
      <c r="FWO276" s="227"/>
      <c r="FWP276" s="227"/>
      <c r="FWQ276" s="227"/>
      <c r="FWR276" s="227"/>
      <c r="FWS276" s="227"/>
      <c r="FWT276" s="227"/>
      <c r="FWU276" s="227"/>
      <c r="FWV276" s="227"/>
      <c r="FWW276" s="227"/>
      <c r="FWX276" s="227"/>
      <c r="FWY276" s="227"/>
      <c r="FWZ276" s="227"/>
      <c r="FXA276" s="227"/>
      <c r="FXB276" s="227"/>
      <c r="FXC276" s="227"/>
      <c r="FXD276" s="227"/>
      <c r="FXE276" s="227"/>
      <c r="FXF276" s="227"/>
      <c r="FXG276" s="227"/>
      <c r="FXH276" s="227"/>
      <c r="FXI276" s="227"/>
      <c r="FXJ276" s="227"/>
      <c r="FXK276" s="227"/>
      <c r="FXL276" s="227"/>
      <c r="FXM276" s="227"/>
      <c r="FXN276" s="227"/>
      <c r="FXO276" s="227"/>
      <c r="FXP276" s="227"/>
      <c r="FXQ276" s="227"/>
      <c r="FXR276" s="227"/>
      <c r="FXS276" s="227"/>
      <c r="FXT276" s="227"/>
      <c r="FXU276" s="227"/>
      <c r="FXV276" s="227"/>
      <c r="FXW276" s="227"/>
      <c r="FXX276" s="227"/>
      <c r="FXY276" s="227"/>
      <c r="FXZ276" s="227"/>
      <c r="FYA276" s="227"/>
      <c r="FYB276" s="227"/>
      <c r="FYC276" s="227"/>
      <c r="FYD276" s="227"/>
      <c r="FYE276" s="227"/>
      <c r="FYF276" s="227"/>
      <c r="FYG276" s="227"/>
      <c r="FYH276" s="227"/>
      <c r="FYI276" s="227"/>
      <c r="FYJ276" s="227"/>
      <c r="FYK276" s="227"/>
      <c r="FYL276" s="227"/>
      <c r="FYM276" s="227"/>
      <c r="FYN276" s="227"/>
      <c r="FYO276" s="227"/>
      <c r="FYP276" s="227"/>
      <c r="FYQ276" s="227"/>
      <c r="FYR276" s="227"/>
      <c r="FYS276" s="227"/>
      <c r="FYT276" s="227"/>
      <c r="FYU276" s="227"/>
      <c r="FYV276" s="227"/>
      <c r="FYW276" s="227"/>
      <c r="FYX276" s="227"/>
      <c r="FYY276" s="227"/>
      <c r="FYZ276" s="227"/>
      <c r="FZA276" s="227"/>
      <c r="FZB276" s="227"/>
      <c r="FZC276" s="227"/>
      <c r="FZD276" s="227"/>
      <c r="FZE276" s="227"/>
      <c r="FZF276" s="227"/>
      <c r="FZG276" s="227"/>
      <c r="FZH276" s="227"/>
      <c r="FZI276" s="227"/>
      <c r="FZJ276" s="227"/>
      <c r="FZK276" s="227"/>
      <c r="FZL276" s="227"/>
      <c r="FZM276" s="227"/>
      <c r="FZN276" s="227"/>
      <c r="FZO276" s="227"/>
      <c r="FZP276" s="227"/>
      <c r="FZQ276" s="227"/>
      <c r="FZR276" s="227"/>
      <c r="FZS276" s="227"/>
      <c r="FZT276" s="227"/>
      <c r="FZU276" s="227"/>
      <c r="FZV276" s="227"/>
      <c r="FZW276" s="227"/>
      <c r="FZX276" s="227"/>
      <c r="FZY276" s="227"/>
      <c r="FZZ276" s="227"/>
      <c r="GAA276" s="227"/>
      <c r="GAB276" s="227"/>
      <c r="GAC276" s="227"/>
      <c r="GAD276" s="227"/>
      <c r="GAE276" s="227"/>
      <c r="GAF276" s="227"/>
      <c r="GAG276" s="227"/>
      <c r="GAH276" s="227"/>
      <c r="GAI276" s="227"/>
      <c r="GAJ276" s="227"/>
      <c r="GAK276" s="227"/>
      <c r="GAL276" s="227"/>
      <c r="GAM276" s="227"/>
      <c r="GAN276" s="227"/>
      <c r="GAO276" s="227"/>
      <c r="GAP276" s="227"/>
      <c r="GAQ276" s="227"/>
      <c r="GAR276" s="227"/>
      <c r="GAS276" s="227"/>
      <c r="GAT276" s="227"/>
      <c r="GAU276" s="227"/>
      <c r="GAV276" s="227"/>
      <c r="GAW276" s="227"/>
      <c r="GAX276" s="227"/>
      <c r="GAY276" s="227"/>
      <c r="GAZ276" s="227"/>
      <c r="GBA276" s="227"/>
      <c r="GBB276" s="227"/>
      <c r="GBC276" s="227"/>
      <c r="GBD276" s="227"/>
      <c r="GBE276" s="227"/>
      <c r="GBF276" s="227"/>
      <c r="GBG276" s="227"/>
      <c r="GBH276" s="227"/>
      <c r="GBI276" s="227"/>
      <c r="GBJ276" s="227"/>
      <c r="GBK276" s="227"/>
      <c r="GBL276" s="227"/>
      <c r="GBM276" s="227"/>
      <c r="GBN276" s="227"/>
      <c r="GBO276" s="227"/>
      <c r="GBP276" s="227"/>
      <c r="GBQ276" s="227"/>
      <c r="GBR276" s="227"/>
      <c r="GBS276" s="227"/>
      <c r="GBT276" s="227"/>
      <c r="GBU276" s="227"/>
      <c r="GBV276" s="227"/>
      <c r="GBW276" s="227"/>
      <c r="GBX276" s="227"/>
      <c r="GBY276" s="227"/>
      <c r="GBZ276" s="227"/>
      <c r="GCA276" s="227"/>
      <c r="GCB276" s="227"/>
      <c r="GCC276" s="227"/>
      <c r="GCD276" s="227"/>
      <c r="GCE276" s="227"/>
      <c r="GCF276" s="227"/>
      <c r="GCG276" s="227"/>
      <c r="GCH276" s="227"/>
      <c r="GCI276" s="227"/>
      <c r="GCJ276" s="227"/>
      <c r="GCK276" s="227"/>
      <c r="GCL276" s="227"/>
      <c r="GCM276" s="227"/>
      <c r="GCN276" s="227"/>
      <c r="GCO276" s="227"/>
      <c r="GCP276" s="227"/>
      <c r="GCQ276" s="227"/>
      <c r="GCR276" s="227"/>
      <c r="GCS276" s="227"/>
      <c r="GCT276" s="227"/>
      <c r="GCU276" s="227"/>
      <c r="GCV276" s="227"/>
      <c r="GCW276" s="227"/>
      <c r="GCX276" s="227"/>
      <c r="GCY276" s="227"/>
      <c r="GCZ276" s="227"/>
      <c r="GDA276" s="227"/>
      <c r="GDB276" s="227"/>
      <c r="GDC276" s="227"/>
      <c r="GDD276" s="227"/>
      <c r="GDE276" s="227"/>
      <c r="GDF276" s="227"/>
      <c r="GDG276" s="227"/>
      <c r="GDH276" s="227"/>
      <c r="GDI276" s="227"/>
      <c r="GDJ276" s="227"/>
      <c r="GDK276" s="227"/>
      <c r="GDL276" s="227"/>
      <c r="GDM276" s="227"/>
      <c r="GDN276" s="227"/>
      <c r="GDO276" s="227"/>
      <c r="GDP276" s="227"/>
      <c r="GDQ276" s="227"/>
      <c r="GDR276" s="227"/>
      <c r="GDS276" s="227"/>
      <c r="GDT276" s="227"/>
      <c r="GDU276" s="227"/>
      <c r="GDV276" s="227"/>
      <c r="GDW276" s="227"/>
      <c r="GDX276" s="227"/>
      <c r="GDY276" s="227"/>
      <c r="GDZ276" s="227"/>
      <c r="GEA276" s="227"/>
      <c r="GEB276" s="227"/>
      <c r="GEC276" s="227"/>
      <c r="GED276" s="227"/>
      <c r="GEE276" s="227"/>
      <c r="GEF276" s="227"/>
      <c r="GEG276" s="227"/>
      <c r="GEH276" s="227"/>
      <c r="GEI276" s="227"/>
      <c r="GEJ276" s="227"/>
      <c r="GEK276" s="227"/>
      <c r="GEL276" s="227"/>
      <c r="GEM276" s="227"/>
      <c r="GEN276" s="227"/>
      <c r="GEO276" s="227"/>
      <c r="GEP276" s="227"/>
      <c r="GEQ276" s="227"/>
      <c r="GER276" s="227"/>
      <c r="GES276" s="227"/>
      <c r="GET276" s="227"/>
      <c r="GEU276" s="227"/>
      <c r="GEV276" s="227"/>
      <c r="GEW276" s="227"/>
      <c r="GEX276" s="227"/>
      <c r="GEY276" s="227"/>
      <c r="GEZ276" s="227"/>
      <c r="GFA276" s="227"/>
      <c r="GFB276" s="227"/>
      <c r="GFC276" s="227"/>
      <c r="GFD276" s="227"/>
      <c r="GFE276" s="227"/>
      <c r="GFF276" s="227"/>
      <c r="GFG276" s="227"/>
      <c r="GFH276" s="227"/>
      <c r="GFI276" s="227"/>
      <c r="GFJ276" s="227"/>
      <c r="GFK276" s="227"/>
      <c r="GFL276" s="227"/>
      <c r="GFM276" s="227"/>
      <c r="GFN276" s="227"/>
      <c r="GFO276" s="227"/>
      <c r="GFP276" s="227"/>
      <c r="GFQ276" s="227"/>
      <c r="GFR276" s="227"/>
      <c r="GFS276" s="227"/>
      <c r="GFT276" s="227"/>
      <c r="GFU276" s="227"/>
      <c r="GFV276" s="227"/>
      <c r="GFW276" s="227"/>
      <c r="GFX276" s="227"/>
      <c r="GFY276" s="227"/>
      <c r="GFZ276" s="227"/>
      <c r="GGA276" s="227"/>
      <c r="GGB276" s="227"/>
      <c r="GGC276" s="227"/>
      <c r="GGD276" s="227"/>
      <c r="GGE276" s="227"/>
      <c r="GGF276" s="227"/>
      <c r="GGG276" s="227"/>
      <c r="GGH276" s="227"/>
      <c r="GGI276" s="227"/>
      <c r="GGJ276" s="227"/>
      <c r="GGK276" s="227"/>
      <c r="GGL276" s="227"/>
      <c r="GGM276" s="227"/>
      <c r="GGN276" s="227"/>
      <c r="GGO276" s="227"/>
      <c r="GGP276" s="227"/>
      <c r="GGQ276" s="227"/>
      <c r="GGR276" s="227"/>
      <c r="GGS276" s="227"/>
      <c r="GGT276" s="227"/>
      <c r="GGU276" s="227"/>
      <c r="GGV276" s="227"/>
      <c r="GGW276" s="227"/>
      <c r="GGX276" s="227"/>
      <c r="GGY276" s="227"/>
      <c r="GGZ276" s="227"/>
      <c r="GHA276" s="227"/>
      <c r="GHB276" s="227"/>
      <c r="GHC276" s="227"/>
      <c r="GHD276" s="227"/>
      <c r="GHE276" s="227"/>
      <c r="GHF276" s="227"/>
      <c r="GHG276" s="227"/>
      <c r="GHH276" s="227"/>
      <c r="GHI276" s="227"/>
      <c r="GHJ276" s="227"/>
      <c r="GHK276" s="227"/>
      <c r="GHL276" s="227"/>
      <c r="GHM276" s="227"/>
      <c r="GHN276" s="227"/>
      <c r="GHO276" s="227"/>
      <c r="GHP276" s="227"/>
      <c r="GHQ276" s="227"/>
      <c r="GHR276" s="227"/>
      <c r="GHS276" s="227"/>
      <c r="GHT276" s="227"/>
      <c r="GHU276" s="227"/>
      <c r="GHV276" s="227"/>
      <c r="GHW276" s="227"/>
      <c r="GHX276" s="227"/>
      <c r="GHY276" s="227"/>
      <c r="GHZ276" s="227"/>
      <c r="GIA276" s="227"/>
      <c r="GIB276" s="227"/>
      <c r="GIC276" s="227"/>
      <c r="GID276" s="227"/>
      <c r="GIE276" s="227"/>
      <c r="GIF276" s="227"/>
      <c r="GIG276" s="227"/>
      <c r="GIH276" s="227"/>
      <c r="GII276" s="227"/>
      <c r="GIJ276" s="227"/>
      <c r="GIK276" s="227"/>
      <c r="GIL276" s="227"/>
      <c r="GIM276" s="227"/>
      <c r="GIN276" s="227"/>
      <c r="GIO276" s="227"/>
      <c r="GIP276" s="227"/>
      <c r="GIQ276" s="227"/>
      <c r="GIR276" s="227"/>
      <c r="GIS276" s="227"/>
      <c r="GIT276" s="227"/>
      <c r="GIU276" s="227"/>
      <c r="GIV276" s="227"/>
      <c r="GIW276" s="227"/>
      <c r="GIX276" s="227"/>
      <c r="GIY276" s="227"/>
      <c r="GIZ276" s="227"/>
      <c r="GJA276" s="227"/>
      <c r="GJB276" s="227"/>
      <c r="GJC276" s="227"/>
      <c r="GJD276" s="227"/>
      <c r="GJE276" s="227"/>
      <c r="GJF276" s="227"/>
      <c r="GJG276" s="227"/>
      <c r="GJH276" s="227"/>
      <c r="GJI276" s="227"/>
      <c r="GJJ276" s="227"/>
      <c r="GJK276" s="227"/>
      <c r="GJL276" s="227"/>
      <c r="GJM276" s="227"/>
      <c r="GJN276" s="227"/>
      <c r="GJO276" s="227"/>
      <c r="GJP276" s="227"/>
      <c r="GJQ276" s="227"/>
      <c r="GJR276" s="227"/>
      <c r="GJS276" s="227"/>
      <c r="GJT276" s="227"/>
      <c r="GJU276" s="227"/>
      <c r="GJV276" s="227"/>
      <c r="GJW276" s="227"/>
      <c r="GJX276" s="227"/>
      <c r="GJY276" s="227"/>
      <c r="GJZ276" s="227"/>
      <c r="GKA276" s="227"/>
      <c r="GKB276" s="227"/>
      <c r="GKC276" s="227"/>
      <c r="GKD276" s="227"/>
      <c r="GKE276" s="227"/>
      <c r="GKF276" s="227"/>
      <c r="GKG276" s="227"/>
      <c r="GKH276" s="227"/>
      <c r="GKI276" s="227"/>
      <c r="GKJ276" s="227"/>
      <c r="GKK276" s="227"/>
      <c r="GKL276" s="227"/>
      <c r="GKM276" s="227"/>
      <c r="GKN276" s="227"/>
      <c r="GKO276" s="227"/>
      <c r="GKP276" s="227"/>
      <c r="GKQ276" s="227"/>
      <c r="GKR276" s="227"/>
      <c r="GKS276" s="227"/>
      <c r="GKT276" s="227"/>
      <c r="GKU276" s="227"/>
      <c r="GKV276" s="227"/>
      <c r="GKW276" s="227"/>
      <c r="GKX276" s="227"/>
      <c r="GKY276" s="227"/>
      <c r="GKZ276" s="227"/>
      <c r="GLA276" s="227"/>
      <c r="GLB276" s="227"/>
      <c r="GLC276" s="227"/>
      <c r="GLD276" s="227"/>
      <c r="GLE276" s="227"/>
      <c r="GLF276" s="227"/>
      <c r="GLG276" s="227"/>
      <c r="GLH276" s="227"/>
      <c r="GLI276" s="227"/>
      <c r="GLJ276" s="227"/>
      <c r="GLK276" s="227"/>
      <c r="GLL276" s="227"/>
      <c r="GLM276" s="227"/>
      <c r="GLN276" s="227"/>
      <c r="GLO276" s="227"/>
      <c r="GLP276" s="227"/>
      <c r="GLQ276" s="227"/>
      <c r="GLR276" s="227"/>
      <c r="GLS276" s="227"/>
      <c r="GLT276" s="227"/>
      <c r="GLU276" s="227"/>
      <c r="GLV276" s="227"/>
      <c r="GLW276" s="227"/>
      <c r="GLX276" s="227"/>
      <c r="GLY276" s="227"/>
      <c r="GLZ276" s="227"/>
      <c r="GMA276" s="227"/>
      <c r="GMB276" s="227"/>
      <c r="GMC276" s="227"/>
      <c r="GMD276" s="227"/>
      <c r="GME276" s="227"/>
      <c r="GMF276" s="227"/>
      <c r="GMG276" s="227"/>
      <c r="GMH276" s="227"/>
      <c r="GMI276" s="227"/>
      <c r="GMJ276" s="227"/>
      <c r="GMK276" s="227"/>
      <c r="GML276" s="227"/>
      <c r="GMM276" s="227"/>
      <c r="GMN276" s="227"/>
      <c r="GMO276" s="227"/>
      <c r="GMP276" s="227"/>
      <c r="GMQ276" s="227"/>
      <c r="GMR276" s="227"/>
      <c r="GMS276" s="227"/>
      <c r="GMT276" s="227"/>
      <c r="GMU276" s="227"/>
      <c r="GMV276" s="227"/>
      <c r="GMW276" s="227"/>
      <c r="GMX276" s="227"/>
      <c r="GMY276" s="227"/>
      <c r="GMZ276" s="227"/>
      <c r="GNA276" s="227"/>
      <c r="GNB276" s="227"/>
      <c r="GNC276" s="227"/>
      <c r="GND276" s="227"/>
      <c r="GNE276" s="227"/>
      <c r="GNF276" s="227"/>
      <c r="GNG276" s="227"/>
      <c r="GNH276" s="227"/>
      <c r="GNI276" s="227"/>
      <c r="GNJ276" s="227"/>
      <c r="GNK276" s="227"/>
      <c r="GNL276" s="227"/>
      <c r="GNM276" s="227"/>
      <c r="GNN276" s="227"/>
      <c r="GNO276" s="227"/>
      <c r="GNP276" s="227"/>
      <c r="GNQ276" s="227"/>
      <c r="GNR276" s="227"/>
      <c r="GNS276" s="227"/>
      <c r="GNT276" s="227"/>
      <c r="GNU276" s="227"/>
      <c r="GNV276" s="227"/>
      <c r="GNW276" s="227"/>
      <c r="GNX276" s="227"/>
      <c r="GNY276" s="227"/>
      <c r="GNZ276" s="227"/>
      <c r="GOA276" s="227"/>
      <c r="GOB276" s="227"/>
      <c r="GOC276" s="227"/>
      <c r="GOD276" s="227"/>
      <c r="GOE276" s="227"/>
      <c r="GOF276" s="227"/>
      <c r="GOG276" s="227"/>
      <c r="GOH276" s="227"/>
      <c r="GOI276" s="227"/>
      <c r="GOJ276" s="227"/>
      <c r="GOK276" s="227"/>
      <c r="GOL276" s="227"/>
      <c r="GOM276" s="227"/>
      <c r="GON276" s="227"/>
      <c r="GOO276" s="227"/>
      <c r="GOP276" s="227"/>
      <c r="GOQ276" s="227"/>
      <c r="GOR276" s="227"/>
      <c r="GOS276" s="227"/>
      <c r="GOT276" s="227"/>
      <c r="GOU276" s="227"/>
      <c r="GOV276" s="227"/>
      <c r="GOW276" s="227"/>
      <c r="GOX276" s="227"/>
      <c r="GOY276" s="227"/>
      <c r="GOZ276" s="227"/>
      <c r="GPA276" s="227"/>
      <c r="GPB276" s="227"/>
      <c r="GPC276" s="227"/>
      <c r="GPD276" s="227"/>
      <c r="GPE276" s="227"/>
      <c r="GPF276" s="227"/>
      <c r="GPG276" s="227"/>
      <c r="GPH276" s="227"/>
      <c r="GPI276" s="227"/>
      <c r="GPJ276" s="227"/>
      <c r="GPK276" s="227"/>
      <c r="GPL276" s="227"/>
      <c r="GPM276" s="227"/>
      <c r="GPN276" s="227"/>
      <c r="GPO276" s="227"/>
      <c r="GPP276" s="227"/>
      <c r="GPQ276" s="227"/>
      <c r="GPR276" s="227"/>
      <c r="GPS276" s="227"/>
      <c r="GPT276" s="227"/>
      <c r="GPU276" s="227"/>
      <c r="GPV276" s="227"/>
      <c r="GPW276" s="227"/>
      <c r="GPX276" s="227"/>
      <c r="GPY276" s="227"/>
      <c r="GPZ276" s="227"/>
      <c r="GQA276" s="227"/>
      <c r="GQB276" s="227"/>
      <c r="GQC276" s="227"/>
      <c r="GQD276" s="227"/>
      <c r="GQE276" s="227"/>
      <c r="GQF276" s="227"/>
      <c r="GQG276" s="227"/>
      <c r="GQH276" s="227"/>
      <c r="GQI276" s="227"/>
      <c r="GQJ276" s="227"/>
      <c r="GQK276" s="227"/>
      <c r="GQL276" s="227"/>
      <c r="GQM276" s="227"/>
      <c r="GQN276" s="227"/>
      <c r="GQO276" s="227"/>
      <c r="GQP276" s="227"/>
      <c r="GQQ276" s="227"/>
      <c r="GQR276" s="227"/>
      <c r="GQS276" s="227"/>
      <c r="GQT276" s="227"/>
      <c r="GQU276" s="227"/>
      <c r="GQV276" s="227"/>
      <c r="GQW276" s="227"/>
      <c r="GQX276" s="227"/>
      <c r="GQY276" s="227"/>
      <c r="GQZ276" s="227"/>
      <c r="GRA276" s="227"/>
      <c r="GRB276" s="227"/>
      <c r="GRC276" s="227"/>
      <c r="GRD276" s="227"/>
      <c r="GRE276" s="227"/>
      <c r="GRF276" s="227"/>
      <c r="GRG276" s="227"/>
      <c r="GRH276" s="227"/>
      <c r="GRI276" s="227"/>
      <c r="GRJ276" s="227"/>
      <c r="GRK276" s="227"/>
      <c r="GRL276" s="227"/>
      <c r="GRM276" s="227"/>
      <c r="GRN276" s="227"/>
      <c r="GRO276" s="227"/>
      <c r="GRP276" s="227"/>
      <c r="GRQ276" s="227"/>
      <c r="GRR276" s="227"/>
      <c r="GRS276" s="227"/>
      <c r="GRT276" s="227"/>
      <c r="GRU276" s="227"/>
      <c r="GRV276" s="227"/>
      <c r="GRW276" s="227"/>
      <c r="GRX276" s="227"/>
      <c r="GRY276" s="227"/>
      <c r="GRZ276" s="227"/>
      <c r="GSA276" s="227"/>
      <c r="GSB276" s="227"/>
      <c r="GSC276" s="227"/>
      <c r="GSD276" s="227"/>
      <c r="GSE276" s="227"/>
      <c r="GSF276" s="227"/>
      <c r="GSG276" s="227"/>
      <c r="GSH276" s="227"/>
      <c r="GSI276" s="227"/>
      <c r="GSJ276" s="227"/>
      <c r="GSK276" s="227"/>
      <c r="GSL276" s="227"/>
      <c r="GSM276" s="227"/>
      <c r="GSN276" s="227"/>
      <c r="GSO276" s="227"/>
      <c r="GSP276" s="227"/>
      <c r="GSQ276" s="227"/>
      <c r="GSR276" s="227"/>
      <c r="GSS276" s="227"/>
      <c r="GST276" s="227"/>
      <c r="GSU276" s="227"/>
      <c r="GSV276" s="227"/>
      <c r="GSW276" s="227"/>
      <c r="GSX276" s="227"/>
      <c r="GSY276" s="227"/>
      <c r="GSZ276" s="227"/>
      <c r="GTA276" s="227"/>
      <c r="GTB276" s="227"/>
      <c r="GTC276" s="227"/>
      <c r="GTD276" s="227"/>
      <c r="GTE276" s="227"/>
      <c r="GTF276" s="227"/>
      <c r="GTG276" s="227"/>
      <c r="GTH276" s="227"/>
      <c r="GTI276" s="227"/>
      <c r="GTJ276" s="227"/>
      <c r="GTK276" s="227"/>
      <c r="GTL276" s="227"/>
      <c r="GTM276" s="227"/>
      <c r="GTN276" s="227"/>
      <c r="GTO276" s="227"/>
      <c r="GTP276" s="227"/>
      <c r="GTQ276" s="227"/>
      <c r="GTR276" s="227"/>
      <c r="GTS276" s="227"/>
      <c r="GTT276" s="227"/>
      <c r="GTU276" s="227"/>
      <c r="GTV276" s="227"/>
      <c r="GTW276" s="227"/>
      <c r="GTX276" s="227"/>
      <c r="GTY276" s="227"/>
      <c r="GTZ276" s="227"/>
      <c r="GUA276" s="227"/>
      <c r="GUB276" s="227"/>
      <c r="GUC276" s="227"/>
      <c r="GUD276" s="227"/>
      <c r="GUE276" s="227"/>
      <c r="GUF276" s="227"/>
      <c r="GUG276" s="227"/>
      <c r="GUH276" s="227"/>
      <c r="GUI276" s="227"/>
      <c r="GUJ276" s="227"/>
      <c r="GUK276" s="227"/>
      <c r="GUL276" s="227"/>
      <c r="GUM276" s="227"/>
      <c r="GUN276" s="227"/>
      <c r="GUO276" s="227"/>
      <c r="GUP276" s="227"/>
      <c r="GUQ276" s="227"/>
      <c r="GUR276" s="227"/>
      <c r="GUS276" s="227"/>
      <c r="GUT276" s="227"/>
      <c r="GUU276" s="227"/>
      <c r="GUV276" s="227"/>
      <c r="GUW276" s="227"/>
      <c r="GUX276" s="227"/>
      <c r="GUY276" s="227"/>
      <c r="GUZ276" s="227"/>
      <c r="GVA276" s="227"/>
      <c r="GVB276" s="227"/>
      <c r="GVC276" s="227"/>
      <c r="GVD276" s="227"/>
      <c r="GVE276" s="227"/>
      <c r="GVF276" s="227"/>
      <c r="GVG276" s="227"/>
      <c r="GVH276" s="227"/>
      <c r="GVI276" s="227"/>
      <c r="GVJ276" s="227"/>
      <c r="GVK276" s="227"/>
      <c r="GVL276" s="227"/>
      <c r="GVM276" s="227"/>
      <c r="GVN276" s="227"/>
      <c r="GVO276" s="227"/>
      <c r="GVP276" s="227"/>
      <c r="GVQ276" s="227"/>
      <c r="GVR276" s="227"/>
      <c r="GVS276" s="227"/>
      <c r="GVT276" s="227"/>
      <c r="GVU276" s="227"/>
      <c r="GVV276" s="227"/>
      <c r="GVW276" s="227"/>
      <c r="GVX276" s="227"/>
      <c r="GVY276" s="227"/>
      <c r="GVZ276" s="227"/>
      <c r="GWA276" s="227"/>
      <c r="GWB276" s="227"/>
      <c r="GWC276" s="227"/>
      <c r="GWD276" s="227"/>
      <c r="GWE276" s="227"/>
      <c r="GWF276" s="227"/>
      <c r="GWG276" s="227"/>
      <c r="GWH276" s="227"/>
      <c r="GWI276" s="227"/>
      <c r="GWJ276" s="227"/>
      <c r="GWK276" s="227"/>
      <c r="GWL276" s="227"/>
      <c r="GWM276" s="227"/>
      <c r="GWN276" s="227"/>
      <c r="GWO276" s="227"/>
      <c r="GWP276" s="227"/>
      <c r="GWQ276" s="227"/>
      <c r="GWR276" s="227"/>
      <c r="GWS276" s="227"/>
      <c r="GWT276" s="227"/>
      <c r="GWU276" s="227"/>
      <c r="GWV276" s="227"/>
      <c r="GWW276" s="227"/>
      <c r="GWX276" s="227"/>
      <c r="GWY276" s="227"/>
      <c r="GWZ276" s="227"/>
      <c r="GXA276" s="227"/>
      <c r="GXB276" s="227"/>
      <c r="GXC276" s="227"/>
      <c r="GXD276" s="227"/>
      <c r="GXE276" s="227"/>
      <c r="GXF276" s="227"/>
      <c r="GXG276" s="227"/>
      <c r="GXH276" s="227"/>
      <c r="GXI276" s="227"/>
      <c r="GXJ276" s="227"/>
      <c r="GXK276" s="227"/>
      <c r="GXL276" s="227"/>
      <c r="GXM276" s="227"/>
      <c r="GXN276" s="227"/>
      <c r="GXO276" s="227"/>
      <c r="GXP276" s="227"/>
      <c r="GXQ276" s="227"/>
      <c r="GXR276" s="227"/>
      <c r="GXS276" s="227"/>
      <c r="GXT276" s="227"/>
      <c r="GXU276" s="227"/>
      <c r="GXV276" s="227"/>
      <c r="GXW276" s="227"/>
      <c r="GXX276" s="227"/>
      <c r="GXY276" s="227"/>
      <c r="GXZ276" s="227"/>
      <c r="GYA276" s="227"/>
      <c r="GYB276" s="227"/>
      <c r="GYC276" s="227"/>
      <c r="GYD276" s="227"/>
      <c r="GYE276" s="227"/>
      <c r="GYF276" s="227"/>
      <c r="GYG276" s="227"/>
      <c r="GYH276" s="227"/>
      <c r="GYI276" s="227"/>
      <c r="GYJ276" s="227"/>
      <c r="GYK276" s="227"/>
      <c r="GYL276" s="227"/>
      <c r="GYM276" s="227"/>
      <c r="GYN276" s="227"/>
      <c r="GYO276" s="227"/>
      <c r="GYP276" s="227"/>
      <c r="GYQ276" s="227"/>
      <c r="GYR276" s="227"/>
      <c r="GYS276" s="227"/>
      <c r="GYT276" s="227"/>
      <c r="GYU276" s="227"/>
      <c r="GYV276" s="227"/>
      <c r="GYW276" s="227"/>
      <c r="GYX276" s="227"/>
      <c r="GYY276" s="227"/>
      <c r="GYZ276" s="227"/>
      <c r="GZA276" s="227"/>
      <c r="GZB276" s="227"/>
      <c r="GZC276" s="227"/>
      <c r="GZD276" s="227"/>
      <c r="GZE276" s="227"/>
      <c r="GZF276" s="227"/>
      <c r="GZG276" s="227"/>
      <c r="GZH276" s="227"/>
      <c r="GZI276" s="227"/>
      <c r="GZJ276" s="227"/>
      <c r="GZK276" s="227"/>
      <c r="GZL276" s="227"/>
      <c r="GZM276" s="227"/>
      <c r="GZN276" s="227"/>
      <c r="GZO276" s="227"/>
      <c r="GZP276" s="227"/>
      <c r="GZQ276" s="227"/>
      <c r="GZR276" s="227"/>
      <c r="GZS276" s="227"/>
      <c r="GZT276" s="227"/>
      <c r="GZU276" s="227"/>
      <c r="GZV276" s="227"/>
      <c r="GZW276" s="227"/>
      <c r="GZX276" s="227"/>
      <c r="GZY276" s="227"/>
      <c r="GZZ276" s="227"/>
      <c r="HAA276" s="227"/>
      <c r="HAB276" s="227"/>
      <c r="HAC276" s="227"/>
      <c r="HAD276" s="227"/>
      <c r="HAE276" s="227"/>
      <c r="HAF276" s="227"/>
      <c r="HAG276" s="227"/>
      <c r="HAH276" s="227"/>
      <c r="HAI276" s="227"/>
      <c r="HAJ276" s="227"/>
      <c r="HAK276" s="227"/>
      <c r="HAL276" s="227"/>
      <c r="HAM276" s="227"/>
      <c r="HAN276" s="227"/>
      <c r="HAO276" s="227"/>
      <c r="HAP276" s="227"/>
      <c r="HAQ276" s="227"/>
      <c r="HAR276" s="227"/>
      <c r="HAS276" s="227"/>
      <c r="HAT276" s="227"/>
      <c r="HAU276" s="227"/>
      <c r="HAV276" s="227"/>
      <c r="HAW276" s="227"/>
      <c r="HAX276" s="227"/>
      <c r="HAY276" s="227"/>
      <c r="HAZ276" s="227"/>
      <c r="HBA276" s="227"/>
      <c r="HBB276" s="227"/>
      <c r="HBC276" s="227"/>
      <c r="HBD276" s="227"/>
      <c r="HBE276" s="227"/>
      <c r="HBF276" s="227"/>
      <c r="HBG276" s="227"/>
      <c r="HBH276" s="227"/>
      <c r="HBI276" s="227"/>
      <c r="HBJ276" s="227"/>
      <c r="HBK276" s="227"/>
      <c r="HBL276" s="227"/>
      <c r="HBM276" s="227"/>
      <c r="HBN276" s="227"/>
      <c r="HBO276" s="227"/>
      <c r="HBP276" s="227"/>
      <c r="HBQ276" s="227"/>
      <c r="HBR276" s="227"/>
      <c r="HBS276" s="227"/>
      <c r="HBT276" s="227"/>
      <c r="HBU276" s="227"/>
      <c r="HBV276" s="227"/>
      <c r="HBW276" s="227"/>
      <c r="HBX276" s="227"/>
      <c r="HBY276" s="227"/>
      <c r="HBZ276" s="227"/>
      <c r="HCA276" s="227"/>
      <c r="HCB276" s="227"/>
      <c r="HCC276" s="227"/>
      <c r="HCD276" s="227"/>
      <c r="HCE276" s="227"/>
      <c r="HCF276" s="227"/>
      <c r="HCG276" s="227"/>
      <c r="HCH276" s="227"/>
      <c r="HCI276" s="227"/>
      <c r="HCJ276" s="227"/>
      <c r="HCK276" s="227"/>
      <c r="HCL276" s="227"/>
      <c r="HCM276" s="227"/>
      <c r="HCN276" s="227"/>
      <c r="HCO276" s="227"/>
      <c r="HCP276" s="227"/>
      <c r="HCQ276" s="227"/>
      <c r="HCR276" s="227"/>
      <c r="HCS276" s="227"/>
      <c r="HCT276" s="227"/>
      <c r="HCU276" s="227"/>
      <c r="HCV276" s="227"/>
      <c r="HCW276" s="227"/>
      <c r="HCX276" s="227"/>
      <c r="HCY276" s="227"/>
      <c r="HCZ276" s="227"/>
      <c r="HDA276" s="227"/>
      <c r="HDB276" s="227"/>
      <c r="HDC276" s="227"/>
      <c r="HDD276" s="227"/>
      <c r="HDE276" s="227"/>
      <c r="HDF276" s="227"/>
      <c r="HDG276" s="227"/>
      <c r="HDH276" s="227"/>
      <c r="HDI276" s="227"/>
      <c r="HDJ276" s="227"/>
      <c r="HDK276" s="227"/>
      <c r="HDL276" s="227"/>
      <c r="HDM276" s="227"/>
      <c r="HDN276" s="227"/>
      <c r="HDO276" s="227"/>
      <c r="HDP276" s="227"/>
      <c r="HDQ276" s="227"/>
      <c r="HDR276" s="227"/>
      <c r="HDS276" s="227"/>
      <c r="HDT276" s="227"/>
      <c r="HDU276" s="227"/>
      <c r="HDV276" s="227"/>
      <c r="HDW276" s="227"/>
      <c r="HDX276" s="227"/>
      <c r="HDY276" s="227"/>
      <c r="HDZ276" s="227"/>
      <c r="HEA276" s="227"/>
      <c r="HEB276" s="227"/>
      <c r="HEC276" s="227"/>
      <c r="HED276" s="227"/>
      <c r="HEE276" s="227"/>
      <c r="HEF276" s="227"/>
      <c r="HEG276" s="227"/>
      <c r="HEH276" s="227"/>
      <c r="HEI276" s="227"/>
      <c r="HEJ276" s="227"/>
      <c r="HEK276" s="227"/>
      <c r="HEL276" s="227"/>
      <c r="HEM276" s="227"/>
      <c r="HEN276" s="227"/>
      <c r="HEO276" s="227"/>
      <c r="HEP276" s="227"/>
      <c r="HEQ276" s="227"/>
      <c r="HER276" s="227"/>
      <c r="HES276" s="227"/>
      <c r="HET276" s="227"/>
      <c r="HEU276" s="227"/>
      <c r="HEV276" s="227"/>
      <c r="HEW276" s="227"/>
      <c r="HEX276" s="227"/>
      <c r="HEY276" s="227"/>
      <c r="HEZ276" s="227"/>
      <c r="HFA276" s="227"/>
      <c r="HFB276" s="227"/>
      <c r="HFC276" s="227"/>
      <c r="HFD276" s="227"/>
      <c r="HFE276" s="227"/>
      <c r="HFF276" s="227"/>
      <c r="HFG276" s="227"/>
      <c r="HFH276" s="227"/>
      <c r="HFI276" s="227"/>
      <c r="HFJ276" s="227"/>
      <c r="HFK276" s="227"/>
      <c r="HFL276" s="227"/>
      <c r="HFM276" s="227"/>
      <c r="HFN276" s="227"/>
      <c r="HFO276" s="227"/>
      <c r="HFP276" s="227"/>
      <c r="HFQ276" s="227"/>
      <c r="HFR276" s="227"/>
      <c r="HFS276" s="227"/>
      <c r="HFT276" s="227"/>
      <c r="HFU276" s="227"/>
      <c r="HFV276" s="227"/>
      <c r="HFW276" s="227"/>
      <c r="HFX276" s="227"/>
      <c r="HFY276" s="227"/>
      <c r="HFZ276" s="227"/>
      <c r="HGA276" s="227"/>
      <c r="HGB276" s="227"/>
      <c r="HGC276" s="227"/>
      <c r="HGD276" s="227"/>
      <c r="HGE276" s="227"/>
      <c r="HGF276" s="227"/>
      <c r="HGG276" s="227"/>
      <c r="HGH276" s="227"/>
      <c r="HGI276" s="227"/>
      <c r="HGJ276" s="227"/>
      <c r="HGK276" s="227"/>
      <c r="HGL276" s="227"/>
      <c r="HGM276" s="227"/>
      <c r="HGN276" s="227"/>
      <c r="HGO276" s="227"/>
      <c r="HGP276" s="227"/>
      <c r="HGQ276" s="227"/>
      <c r="HGR276" s="227"/>
      <c r="HGS276" s="227"/>
      <c r="HGT276" s="227"/>
      <c r="HGU276" s="227"/>
      <c r="HGV276" s="227"/>
      <c r="HGW276" s="227"/>
      <c r="HGX276" s="227"/>
      <c r="HGY276" s="227"/>
      <c r="HGZ276" s="227"/>
      <c r="HHA276" s="227"/>
      <c r="HHB276" s="227"/>
      <c r="HHC276" s="227"/>
      <c r="HHD276" s="227"/>
      <c r="HHE276" s="227"/>
      <c r="HHF276" s="227"/>
      <c r="HHG276" s="227"/>
      <c r="HHH276" s="227"/>
      <c r="HHI276" s="227"/>
      <c r="HHJ276" s="227"/>
      <c r="HHK276" s="227"/>
      <c r="HHL276" s="227"/>
      <c r="HHM276" s="227"/>
      <c r="HHN276" s="227"/>
      <c r="HHO276" s="227"/>
      <c r="HHP276" s="227"/>
      <c r="HHQ276" s="227"/>
      <c r="HHR276" s="227"/>
      <c r="HHS276" s="227"/>
      <c r="HHT276" s="227"/>
      <c r="HHU276" s="227"/>
      <c r="HHV276" s="227"/>
      <c r="HHW276" s="227"/>
      <c r="HHX276" s="227"/>
      <c r="HHY276" s="227"/>
      <c r="HHZ276" s="227"/>
      <c r="HIA276" s="227"/>
      <c r="HIB276" s="227"/>
      <c r="HIC276" s="227"/>
      <c r="HID276" s="227"/>
      <c r="HIE276" s="227"/>
      <c r="HIF276" s="227"/>
      <c r="HIG276" s="227"/>
      <c r="HIH276" s="227"/>
      <c r="HII276" s="227"/>
      <c r="HIJ276" s="227"/>
      <c r="HIK276" s="227"/>
      <c r="HIL276" s="227"/>
      <c r="HIM276" s="227"/>
      <c r="HIN276" s="227"/>
      <c r="HIO276" s="227"/>
      <c r="HIP276" s="227"/>
      <c r="HIQ276" s="227"/>
      <c r="HIR276" s="227"/>
      <c r="HIS276" s="227"/>
      <c r="HIT276" s="227"/>
      <c r="HIU276" s="227"/>
      <c r="HIV276" s="227"/>
      <c r="HIW276" s="227"/>
      <c r="HIX276" s="227"/>
      <c r="HIY276" s="227"/>
      <c r="HIZ276" s="227"/>
      <c r="HJA276" s="227"/>
      <c r="HJB276" s="227"/>
      <c r="HJC276" s="227"/>
      <c r="HJD276" s="227"/>
      <c r="HJE276" s="227"/>
      <c r="HJF276" s="227"/>
      <c r="HJG276" s="227"/>
      <c r="HJH276" s="227"/>
      <c r="HJI276" s="227"/>
      <c r="HJJ276" s="227"/>
      <c r="HJK276" s="227"/>
      <c r="HJL276" s="227"/>
      <c r="HJM276" s="227"/>
      <c r="HJN276" s="227"/>
      <c r="HJO276" s="227"/>
      <c r="HJP276" s="227"/>
      <c r="HJQ276" s="227"/>
      <c r="HJR276" s="227"/>
      <c r="HJS276" s="227"/>
      <c r="HJT276" s="227"/>
      <c r="HJU276" s="227"/>
      <c r="HJV276" s="227"/>
      <c r="HJW276" s="227"/>
      <c r="HJX276" s="227"/>
      <c r="HJY276" s="227"/>
      <c r="HJZ276" s="227"/>
      <c r="HKA276" s="227"/>
      <c r="HKB276" s="227"/>
      <c r="HKC276" s="227"/>
      <c r="HKD276" s="227"/>
      <c r="HKE276" s="227"/>
      <c r="HKF276" s="227"/>
      <c r="HKG276" s="227"/>
      <c r="HKH276" s="227"/>
      <c r="HKI276" s="227"/>
      <c r="HKJ276" s="227"/>
      <c r="HKK276" s="227"/>
      <c r="HKL276" s="227"/>
      <c r="HKM276" s="227"/>
      <c r="HKN276" s="227"/>
      <c r="HKO276" s="227"/>
      <c r="HKP276" s="227"/>
      <c r="HKQ276" s="227"/>
      <c r="HKR276" s="227"/>
      <c r="HKS276" s="227"/>
      <c r="HKT276" s="227"/>
      <c r="HKU276" s="227"/>
      <c r="HKV276" s="227"/>
      <c r="HKW276" s="227"/>
      <c r="HKX276" s="227"/>
      <c r="HKY276" s="227"/>
      <c r="HKZ276" s="227"/>
      <c r="HLA276" s="227"/>
      <c r="HLB276" s="227"/>
      <c r="HLC276" s="227"/>
      <c r="HLD276" s="227"/>
      <c r="HLE276" s="227"/>
      <c r="HLF276" s="227"/>
      <c r="HLG276" s="227"/>
      <c r="HLH276" s="227"/>
      <c r="HLI276" s="227"/>
      <c r="HLJ276" s="227"/>
      <c r="HLK276" s="227"/>
      <c r="HLL276" s="227"/>
      <c r="HLM276" s="227"/>
      <c r="HLN276" s="227"/>
      <c r="HLO276" s="227"/>
      <c r="HLP276" s="227"/>
      <c r="HLQ276" s="227"/>
      <c r="HLR276" s="227"/>
      <c r="HLS276" s="227"/>
      <c r="HLT276" s="227"/>
      <c r="HLU276" s="227"/>
      <c r="HLV276" s="227"/>
      <c r="HLW276" s="227"/>
      <c r="HLX276" s="227"/>
      <c r="HLY276" s="227"/>
      <c r="HLZ276" s="227"/>
      <c r="HMA276" s="227"/>
      <c r="HMB276" s="227"/>
      <c r="HMC276" s="227"/>
      <c r="HMD276" s="227"/>
      <c r="HME276" s="227"/>
      <c r="HMF276" s="227"/>
      <c r="HMG276" s="227"/>
      <c r="HMH276" s="227"/>
      <c r="HMI276" s="227"/>
      <c r="HMJ276" s="227"/>
      <c r="HMK276" s="227"/>
      <c r="HML276" s="227"/>
      <c r="HMM276" s="227"/>
      <c r="HMN276" s="227"/>
      <c r="HMO276" s="227"/>
      <c r="HMP276" s="227"/>
      <c r="HMQ276" s="227"/>
      <c r="HMR276" s="227"/>
      <c r="HMS276" s="227"/>
      <c r="HMT276" s="227"/>
      <c r="HMU276" s="227"/>
      <c r="HMV276" s="227"/>
      <c r="HMW276" s="227"/>
      <c r="HMX276" s="227"/>
      <c r="HMY276" s="227"/>
      <c r="HMZ276" s="227"/>
      <c r="HNA276" s="227"/>
      <c r="HNB276" s="227"/>
      <c r="HNC276" s="227"/>
      <c r="HND276" s="227"/>
      <c r="HNE276" s="227"/>
      <c r="HNF276" s="227"/>
      <c r="HNG276" s="227"/>
      <c r="HNH276" s="227"/>
      <c r="HNI276" s="227"/>
      <c r="HNJ276" s="227"/>
      <c r="HNK276" s="227"/>
      <c r="HNL276" s="227"/>
      <c r="HNM276" s="227"/>
      <c r="HNN276" s="227"/>
      <c r="HNO276" s="227"/>
      <c r="HNP276" s="227"/>
      <c r="HNQ276" s="227"/>
      <c r="HNR276" s="227"/>
      <c r="HNS276" s="227"/>
      <c r="HNT276" s="227"/>
      <c r="HNU276" s="227"/>
      <c r="HNV276" s="227"/>
      <c r="HNW276" s="227"/>
      <c r="HNX276" s="227"/>
      <c r="HNY276" s="227"/>
      <c r="HNZ276" s="227"/>
      <c r="HOA276" s="227"/>
      <c r="HOB276" s="227"/>
      <c r="HOC276" s="227"/>
      <c r="HOD276" s="227"/>
      <c r="HOE276" s="227"/>
      <c r="HOF276" s="227"/>
      <c r="HOG276" s="227"/>
      <c r="HOH276" s="227"/>
      <c r="HOI276" s="227"/>
      <c r="HOJ276" s="227"/>
      <c r="HOK276" s="227"/>
      <c r="HOL276" s="227"/>
      <c r="HOM276" s="227"/>
      <c r="HON276" s="227"/>
      <c r="HOO276" s="227"/>
      <c r="HOP276" s="227"/>
      <c r="HOQ276" s="227"/>
      <c r="HOR276" s="227"/>
      <c r="HOS276" s="227"/>
      <c r="HOT276" s="227"/>
      <c r="HOU276" s="227"/>
      <c r="HOV276" s="227"/>
      <c r="HOW276" s="227"/>
      <c r="HOX276" s="227"/>
      <c r="HOY276" s="227"/>
      <c r="HOZ276" s="227"/>
      <c r="HPA276" s="227"/>
      <c r="HPB276" s="227"/>
      <c r="HPC276" s="227"/>
      <c r="HPD276" s="227"/>
      <c r="HPE276" s="227"/>
      <c r="HPF276" s="227"/>
      <c r="HPG276" s="227"/>
      <c r="HPH276" s="227"/>
      <c r="HPI276" s="227"/>
      <c r="HPJ276" s="227"/>
      <c r="HPK276" s="227"/>
      <c r="HPL276" s="227"/>
      <c r="HPM276" s="227"/>
      <c r="HPN276" s="227"/>
      <c r="HPO276" s="227"/>
      <c r="HPP276" s="227"/>
      <c r="HPQ276" s="227"/>
      <c r="HPR276" s="227"/>
      <c r="HPS276" s="227"/>
      <c r="HPT276" s="227"/>
      <c r="HPU276" s="227"/>
      <c r="HPV276" s="227"/>
      <c r="HPW276" s="227"/>
      <c r="HPX276" s="227"/>
      <c r="HPY276" s="227"/>
      <c r="HPZ276" s="227"/>
      <c r="HQA276" s="227"/>
      <c r="HQB276" s="227"/>
      <c r="HQC276" s="227"/>
      <c r="HQD276" s="227"/>
      <c r="HQE276" s="227"/>
      <c r="HQF276" s="227"/>
      <c r="HQG276" s="227"/>
      <c r="HQH276" s="227"/>
      <c r="HQI276" s="227"/>
      <c r="HQJ276" s="227"/>
      <c r="HQK276" s="227"/>
      <c r="HQL276" s="227"/>
      <c r="HQM276" s="227"/>
      <c r="HQN276" s="227"/>
      <c r="HQO276" s="227"/>
      <c r="HQP276" s="227"/>
      <c r="HQQ276" s="227"/>
      <c r="HQR276" s="227"/>
      <c r="HQS276" s="227"/>
      <c r="HQT276" s="227"/>
      <c r="HQU276" s="227"/>
      <c r="HQV276" s="227"/>
      <c r="HQW276" s="227"/>
      <c r="HQX276" s="227"/>
      <c r="HQY276" s="227"/>
      <c r="HQZ276" s="227"/>
      <c r="HRA276" s="227"/>
      <c r="HRB276" s="227"/>
      <c r="HRC276" s="227"/>
      <c r="HRD276" s="227"/>
      <c r="HRE276" s="227"/>
      <c r="HRF276" s="227"/>
      <c r="HRG276" s="227"/>
      <c r="HRH276" s="227"/>
      <c r="HRI276" s="227"/>
      <c r="HRJ276" s="227"/>
      <c r="HRK276" s="227"/>
      <c r="HRL276" s="227"/>
      <c r="HRM276" s="227"/>
      <c r="HRN276" s="227"/>
      <c r="HRO276" s="227"/>
      <c r="HRP276" s="227"/>
      <c r="HRQ276" s="227"/>
      <c r="HRR276" s="227"/>
      <c r="HRS276" s="227"/>
      <c r="HRT276" s="227"/>
      <c r="HRU276" s="227"/>
      <c r="HRV276" s="227"/>
      <c r="HRW276" s="227"/>
      <c r="HRX276" s="227"/>
      <c r="HRY276" s="227"/>
      <c r="HRZ276" s="227"/>
      <c r="HSA276" s="227"/>
      <c r="HSB276" s="227"/>
      <c r="HSC276" s="227"/>
      <c r="HSD276" s="227"/>
      <c r="HSE276" s="227"/>
      <c r="HSF276" s="227"/>
      <c r="HSG276" s="227"/>
      <c r="HSH276" s="227"/>
      <c r="HSI276" s="227"/>
      <c r="HSJ276" s="227"/>
      <c r="HSK276" s="227"/>
      <c r="HSL276" s="227"/>
      <c r="HSM276" s="227"/>
      <c r="HSN276" s="227"/>
      <c r="HSO276" s="227"/>
      <c r="HSP276" s="227"/>
      <c r="HSQ276" s="227"/>
      <c r="HSR276" s="227"/>
      <c r="HSS276" s="227"/>
      <c r="HST276" s="227"/>
      <c r="HSU276" s="227"/>
      <c r="HSV276" s="227"/>
      <c r="HSW276" s="227"/>
      <c r="HSX276" s="227"/>
      <c r="HSY276" s="227"/>
      <c r="HSZ276" s="227"/>
      <c r="HTA276" s="227"/>
      <c r="HTB276" s="227"/>
      <c r="HTC276" s="227"/>
      <c r="HTD276" s="227"/>
      <c r="HTE276" s="227"/>
      <c r="HTF276" s="227"/>
      <c r="HTG276" s="227"/>
      <c r="HTH276" s="227"/>
      <c r="HTI276" s="227"/>
      <c r="HTJ276" s="227"/>
      <c r="HTK276" s="227"/>
      <c r="HTL276" s="227"/>
      <c r="HTM276" s="227"/>
      <c r="HTN276" s="227"/>
      <c r="HTO276" s="227"/>
      <c r="HTP276" s="227"/>
      <c r="HTQ276" s="227"/>
      <c r="HTR276" s="227"/>
      <c r="HTS276" s="227"/>
      <c r="HTT276" s="227"/>
      <c r="HTU276" s="227"/>
      <c r="HTV276" s="227"/>
      <c r="HTW276" s="227"/>
      <c r="HTX276" s="227"/>
      <c r="HTY276" s="227"/>
      <c r="HTZ276" s="227"/>
      <c r="HUA276" s="227"/>
      <c r="HUB276" s="227"/>
      <c r="HUC276" s="227"/>
      <c r="HUD276" s="227"/>
      <c r="HUE276" s="227"/>
      <c r="HUF276" s="227"/>
      <c r="HUG276" s="227"/>
      <c r="HUH276" s="227"/>
      <c r="HUI276" s="227"/>
      <c r="HUJ276" s="227"/>
      <c r="HUK276" s="227"/>
      <c r="HUL276" s="227"/>
      <c r="HUM276" s="227"/>
      <c r="HUN276" s="227"/>
      <c r="HUO276" s="227"/>
      <c r="HUP276" s="227"/>
      <c r="HUQ276" s="227"/>
      <c r="HUR276" s="227"/>
      <c r="HUS276" s="227"/>
      <c r="HUT276" s="227"/>
      <c r="HUU276" s="227"/>
      <c r="HUV276" s="227"/>
      <c r="HUW276" s="227"/>
      <c r="HUX276" s="227"/>
      <c r="HUY276" s="227"/>
      <c r="HUZ276" s="227"/>
      <c r="HVA276" s="227"/>
      <c r="HVB276" s="227"/>
      <c r="HVC276" s="227"/>
      <c r="HVD276" s="227"/>
      <c r="HVE276" s="227"/>
      <c r="HVF276" s="227"/>
      <c r="HVG276" s="227"/>
      <c r="HVH276" s="227"/>
      <c r="HVI276" s="227"/>
      <c r="HVJ276" s="227"/>
      <c r="HVK276" s="227"/>
      <c r="HVL276" s="227"/>
      <c r="HVM276" s="227"/>
      <c r="HVN276" s="227"/>
      <c r="HVO276" s="227"/>
      <c r="HVP276" s="227"/>
      <c r="HVQ276" s="227"/>
      <c r="HVR276" s="227"/>
      <c r="HVS276" s="227"/>
      <c r="HVT276" s="227"/>
      <c r="HVU276" s="227"/>
      <c r="HVV276" s="227"/>
      <c r="HVW276" s="227"/>
      <c r="HVX276" s="227"/>
      <c r="HVY276" s="227"/>
      <c r="HVZ276" s="227"/>
      <c r="HWA276" s="227"/>
      <c r="HWB276" s="227"/>
      <c r="HWC276" s="227"/>
      <c r="HWD276" s="227"/>
      <c r="HWE276" s="227"/>
      <c r="HWF276" s="227"/>
      <c r="HWG276" s="227"/>
      <c r="HWH276" s="227"/>
      <c r="HWI276" s="227"/>
      <c r="HWJ276" s="227"/>
      <c r="HWK276" s="227"/>
      <c r="HWL276" s="227"/>
      <c r="HWM276" s="227"/>
      <c r="HWN276" s="227"/>
      <c r="HWO276" s="227"/>
      <c r="HWP276" s="227"/>
      <c r="HWQ276" s="227"/>
      <c r="HWR276" s="227"/>
      <c r="HWS276" s="227"/>
      <c r="HWT276" s="227"/>
      <c r="HWU276" s="227"/>
      <c r="HWV276" s="227"/>
      <c r="HWW276" s="227"/>
      <c r="HWX276" s="227"/>
      <c r="HWY276" s="227"/>
      <c r="HWZ276" s="227"/>
      <c r="HXA276" s="227"/>
      <c r="HXB276" s="227"/>
      <c r="HXC276" s="227"/>
      <c r="HXD276" s="227"/>
      <c r="HXE276" s="227"/>
      <c r="HXF276" s="227"/>
      <c r="HXG276" s="227"/>
      <c r="HXH276" s="227"/>
      <c r="HXI276" s="227"/>
      <c r="HXJ276" s="227"/>
      <c r="HXK276" s="227"/>
      <c r="HXL276" s="227"/>
      <c r="HXM276" s="227"/>
      <c r="HXN276" s="227"/>
      <c r="HXO276" s="227"/>
      <c r="HXP276" s="227"/>
      <c r="HXQ276" s="227"/>
      <c r="HXR276" s="227"/>
      <c r="HXS276" s="227"/>
      <c r="HXT276" s="227"/>
      <c r="HXU276" s="227"/>
      <c r="HXV276" s="227"/>
      <c r="HXW276" s="227"/>
      <c r="HXX276" s="227"/>
      <c r="HXY276" s="227"/>
      <c r="HXZ276" s="227"/>
      <c r="HYA276" s="227"/>
      <c r="HYB276" s="227"/>
      <c r="HYC276" s="227"/>
      <c r="HYD276" s="227"/>
      <c r="HYE276" s="227"/>
      <c r="HYF276" s="227"/>
      <c r="HYG276" s="227"/>
      <c r="HYH276" s="227"/>
      <c r="HYI276" s="227"/>
      <c r="HYJ276" s="227"/>
      <c r="HYK276" s="227"/>
      <c r="HYL276" s="227"/>
      <c r="HYM276" s="227"/>
      <c r="HYN276" s="227"/>
      <c r="HYO276" s="227"/>
      <c r="HYP276" s="227"/>
      <c r="HYQ276" s="227"/>
      <c r="HYR276" s="227"/>
      <c r="HYS276" s="227"/>
      <c r="HYT276" s="227"/>
      <c r="HYU276" s="227"/>
      <c r="HYV276" s="227"/>
      <c r="HYW276" s="227"/>
      <c r="HYX276" s="227"/>
      <c r="HYY276" s="227"/>
      <c r="HYZ276" s="227"/>
      <c r="HZA276" s="227"/>
      <c r="HZB276" s="227"/>
      <c r="HZC276" s="227"/>
      <c r="HZD276" s="227"/>
      <c r="HZE276" s="227"/>
      <c r="HZF276" s="227"/>
      <c r="HZG276" s="227"/>
      <c r="HZH276" s="227"/>
      <c r="HZI276" s="227"/>
      <c r="HZJ276" s="227"/>
      <c r="HZK276" s="227"/>
      <c r="HZL276" s="227"/>
      <c r="HZM276" s="227"/>
      <c r="HZN276" s="227"/>
      <c r="HZO276" s="227"/>
      <c r="HZP276" s="227"/>
      <c r="HZQ276" s="227"/>
      <c r="HZR276" s="227"/>
      <c r="HZS276" s="227"/>
      <c r="HZT276" s="227"/>
      <c r="HZU276" s="227"/>
      <c r="HZV276" s="227"/>
      <c r="HZW276" s="227"/>
      <c r="HZX276" s="227"/>
      <c r="HZY276" s="227"/>
      <c r="HZZ276" s="227"/>
      <c r="IAA276" s="227"/>
      <c r="IAB276" s="227"/>
      <c r="IAC276" s="227"/>
      <c r="IAD276" s="227"/>
      <c r="IAE276" s="227"/>
      <c r="IAF276" s="227"/>
      <c r="IAG276" s="227"/>
      <c r="IAH276" s="227"/>
      <c r="IAI276" s="227"/>
      <c r="IAJ276" s="227"/>
      <c r="IAK276" s="227"/>
      <c r="IAL276" s="227"/>
      <c r="IAM276" s="227"/>
      <c r="IAN276" s="227"/>
      <c r="IAO276" s="227"/>
      <c r="IAP276" s="227"/>
      <c r="IAQ276" s="227"/>
      <c r="IAR276" s="227"/>
      <c r="IAS276" s="227"/>
      <c r="IAT276" s="227"/>
      <c r="IAU276" s="227"/>
      <c r="IAV276" s="227"/>
      <c r="IAW276" s="227"/>
      <c r="IAX276" s="227"/>
      <c r="IAY276" s="227"/>
      <c r="IAZ276" s="227"/>
      <c r="IBA276" s="227"/>
      <c r="IBB276" s="227"/>
      <c r="IBC276" s="227"/>
      <c r="IBD276" s="227"/>
      <c r="IBE276" s="227"/>
      <c r="IBF276" s="227"/>
      <c r="IBG276" s="227"/>
      <c r="IBH276" s="227"/>
      <c r="IBI276" s="227"/>
      <c r="IBJ276" s="227"/>
      <c r="IBK276" s="227"/>
      <c r="IBL276" s="227"/>
      <c r="IBM276" s="227"/>
      <c r="IBN276" s="227"/>
      <c r="IBO276" s="227"/>
      <c r="IBP276" s="227"/>
      <c r="IBQ276" s="227"/>
      <c r="IBR276" s="227"/>
      <c r="IBS276" s="227"/>
      <c r="IBT276" s="227"/>
      <c r="IBU276" s="227"/>
      <c r="IBV276" s="227"/>
      <c r="IBW276" s="227"/>
      <c r="IBX276" s="227"/>
      <c r="IBY276" s="227"/>
      <c r="IBZ276" s="227"/>
      <c r="ICA276" s="227"/>
      <c r="ICB276" s="227"/>
      <c r="ICC276" s="227"/>
      <c r="ICD276" s="227"/>
      <c r="ICE276" s="227"/>
      <c r="ICF276" s="227"/>
      <c r="ICG276" s="227"/>
      <c r="ICH276" s="227"/>
      <c r="ICI276" s="227"/>
      <c r="ICJ276" s="227"/>
      <c r="ICK276" s="227"/>
      <c r="ICL276" s="227"/>
      <c r="ICM276" s="227"/>
      <c r="ICN276" s="227"/>
      <c r="ICO276" s="227"/>
      <c r="ICP276" s="227"/>
      <c r="ICQ276" s="227"/>
      <c r="ICR276" s="227"/>
      <c r="ICS276" s="227"/>
      <c r="ICT276" s="227"/>
      <c r="ICU276" s="227"/>
      <c r="ICV276" s="227"/>
      <c r="ICW276" s="227"/>
      <c r="ICX276" s="227"/>
      <c r="ICY276" s="227"/>
      <c r="ICZ276" s="227"/>
      <c r="IDA276" s="227"/>
      <c r="IDB276" s="227"/>
      <c r="IDC276" s="227"/>
      <c r="IDD276" s="227"/>
      <c r="IDE276" s="227"/>
      <c r="IDF276" s="227"/>
      <c r="IDG276" s="227"/>
      <c r="IDH276" s="227"/>
      <c r="IDI276" s="227"/>
      <c r="IDJ276" s="227"/>
      <c r="IDK276" s="227"/>
      <c r="IDL276" s="227"/>
      <c r="IDM276" s="227"/>
      <c r="IDN276" s="227"/>
      <c r="IDO276" s="227"/>
      <c r="IDP276" s="227"/>
      <c r="IDQ276" s="227"/>
      <c r="IDR276" s="227"/>
      <c r="IDS276" s="227"/>
      <c r="IDT276" s="227"/>
      <c r="IDU276" s="227"/>
      <c r="IDV276" s="227"/>
      <c r="IDW276" s="227"/>
      <c r="IDX276" s="227"/>
      <c r="IDY276" s="227"/>
      <c r="IDZ276" s="227"/>
      <c r="IEA276" s="227"/>
      <c r="IEB276" s="227"/>
      <c r="IEC276" s="227"/>
      <c r="IED276" s="227"/>
      <c r="IEE276" s="227"/>
      <c r="IEF276" s="227"/>
      <c r="IEG276" s="227"/>
      <c r="IEH276" s="227"/>
      <c r="IEI276" s="227"/>
      <c r="IEJ276" s="227"/>
      <c r="IEK276" s="227"/>
      <c r="IEL276" s="227"/>
      <c r="IEM276" s="227"/>
      <c r="IEN276" s="227"/>
      <c r="IEO276" s="227"/>
      <c r="IEP276" s="227"/>
      <c r="IEQ276" s="227"/>
      <c r="IER276" s="227"/>
      <c r="IES276" s="227"/>
      <c r="IET276" s="227"/>
      <c r="IEU276" s="227"/>
      <c r="IEV276" s="227"/>
      <c r="IEW276" s="227"/>
      <c r="IEX276" s="227"/>
      <c r="IEY276" s="227"/>
      <c r="IEZ276" s="227"/>
      <c r="IFA276" s="227"/>
      <c r="IFB276" s="227"/>
      <c r="IFC276" s="227"/>
      <c r="IFD276" s="227"/>
      <c r="IFE276" s="227"/>
      <c r="IFF276" s="227"/>
      <c r="IFG276" s="227"/>
      <c r="IFH276" s="227"/>
      <c r="IFI276" s="227"/>
      <c r="IFJ276" s="227"/>
      <c r="IFK276" s="227"/>
      <c r="IFL276" s="227"/>
      <c r="IFM276" s="227"/>
      <c r="IFN276" s="227"/>
      <c r="IFO276" s="227"/>
      <c r="IFP276" s="227"/>
      <c r="IFQ276" s="227"/>
      <c r="IFR276" s="227"/>
      <c r="IFS276" s="227"/>
      <c r="IFT276" s="227"/>
      <c r="IFU276" s="227"/>
      <c r="IFV276" s="227"/>
      <c r="IFW276" s="227"/>
      <c r="IFX276" s="227"/>
      <c r="IFY276" s="227"/>
      <c r="IFZ276" s="227"/>
      <c r="IGA276" s="227"/>
      <c r="IGB276" s="227"/>
      <c r="IGC276" s="227"/>
      <c r="IGD276" s="227"/>
      <c r="IGE276" s="227"/>
      <c r="IGF276" s="227"/>
      <c r="IGG276" s="227"/>
      <c r="IGH276" s="227"/>
      <c r="IGI276" s="227"/>
      <c r="IGJ276" s="227"/>
      <c r="IGK276" s="227"/>
      <c r="IGL276" s="227"/>
      <c r="IGM276" s="227"/>
      <c r="IGN276" s="227"/>
      <c r="IGO276" s="227"/>
      <c r="IGP276" s="227"/>
      <c r="IGQ276" s="227"/>
      <c r="IGR276" s="227"/>
      <c r="IGS276" s="227"/>
      <c r="IGT276" s="227"/>
      <c r="IGU276" s="227"/>
      <c r="IGV276" s="227"/>
      <c r="IGW276" s="227"/>
      <c r="IGX276" s="227"/>
      <c r="IGY276" s="227"/>
      <c r="IGZ276" s="227"/>
      <c r="IHA276" s="227"/>
      <c r="IHB276" s="227"/>
      <c r="IHC276" s="227"/>
      <c r="IHD276" s="227"/>
      <c r="IHE276" s="227"/>
      <c r="IHF276" s="227"/>
      <c r="IHG276" s="227"/>
      <c r="IHH276" s="227"/>
      <c r="IHI276" s="227"/>
      <c r="IHJ276" s="227"/>
      <c r="IHK276" s="227"/>
      <c r="IHL276" s="227"/>
      <c r="IHM276" s="227"/>
      <c r="IHN276" s="227"/>
      <c r="IHO276" s="227"/>
      <c r="IHP276" s="227"/>
      <c r="IHQ276" s="227"/>
      <c r="IHR276" s="227"/>
      <c r="IHS276" s="227"/>
      <c r="IHT276" s="227"/>
      <c r="IHU276" s="227"/>
      <c r="IHV276" s="227"/>
      <c r="IHW276" s="227"/>
      <c r="IHX276" s="227"/>
      <c r="IHY276" s="227"/>
      <c r="IHZ276" s="227"/>
      <c r="IIA276" s="227"/>
      <c r="IIB276" s="227"/>
      <c r="IIC276" s="227"/>
      <c r="IID276" s="227"/>
      <c r="IIE276" s="227"/>
      <c r="IIF276" s="227"/>
      <c r="IIG276" s="227"/>
      <c r="IIH276" s="227"/>
      <c r="III276" s="227"/>
      <c r="IIJ276" s="227"/>
      <c r="IIK276" s="227"/>
      <c r="IIL276" s="227"/>
      <c r="IIM276" s="227"/>
      <c r="IIN276" s="227"/>
      <c r="IIO276" s="227"/>
      <c r="IIP276" s="227"/>
      <c r="IIQ276" s="227"/>
      <c r="IIR276" s="227"/>
      <c r="IIS276" s="227"/>
      <c r="IIT276" s="227"/>
      <c r="IIU276" s="227"/>
      <c r="IIV276" s="227"/>
      <c r="IIW276" s="227"/>
      <c r="IIX276" s="227"/>
      <c r="IIY276" s="227"/>
      <c r="IIZ276" s="227"/>
      <c r="IJA276" s="227"/>
      <c r="IJB276" s="227"/>
      <c r="IJC276" s="227"/>
      <c r="IJD276" s="227"/>
      <c r="IJE276" s="227"/>
      <c r="IJF276" s="227"/>
      <c r="IJG276" s="227"/>
      <c r="IJH276" s="227"/>
      <c r="IJI276" s="227"/>
      <c r="IJJ276" s="227"/>
      <c r="IJK276" s="227"/>
      <c r="IJL276" s="227"/>
      <c r="IJM276" s="227"/>
      <c r="IJN276" s="227"/>
      <c r="IJO276" s="227"/>
      <c r="IJP276" s="227"/>
      <c r="IJQ276" s="227"/>
      <c r="IJR276" s="227"/>
      <c r="IJS276" s="227"/>
      <c r="IJT276" s="227"/>
      <c r="IJU276" s="227"/>
      <c r="IJV276" s="227"/>
      <c r="IJW276" s="227"/>
      <c r="IJX276" s="227"/>
      <c r="IJY276" s="227"/>
      <c r="IJZ276" s="227"/>
      <c r="IKA276" s="227"/>
      <c r="IKB276" s="227"/>
      <c r="IKC276" s="227"/>
      <c r="IKD276" s="227"/>
      <c r="IKE276" s="227"/>
      <c r="IKF276" s="227"/>
      <c r="IKG276" s="227"/>
      <c r="IKH276" s="227"/>
      <c r="IKI276" s="227"/>
      <c r="IKJ276" s="227"/>
      <c r="IKK276" s="227"/>
      <c r="IKL276" s="227"/>
      <c r="IKM276" s="227"/>
      <c r="IKN276" s="227"/>
      <c r="IKO276" s="227"/>
      <c r="IKP276" s="227"/>
      <c r="IKQ276" s="227"/>
      <c r="IKR276" s="227"/>
      <c r="IKS276" s="227"/>
      <c r="IKT276" s="227"/>
      <c r="IKU276" s="227"/>
      <c r="IKV276" s="227"/>
      <c r="IKW276" s="227"/>
      <c r="IKX276" s="227"/>
      <c r="IKY276" s="227"/>
      <c r="IKZ276" s="227"/>
      <c r="ILA276" s="227"/>
      <c r="ILB276" s="227"/>
      <c r="ILC276" s="227"/>
      <c r="ILD276" s="227"/>
      <c r="ILE276" s="227"/>
      <c r="ILF276" s="227"/>
      <c r="ILG276" s="227"/>
      <c r="ILH276" s="227"/>
      <c r="ILI276" s="227"/>
      <c r="ILJ276" s="227"/>
      <c r="ILK276" s="227"/>
      <c r="ILL276" s="227"/>
      <c r="ILM276" s="227"/>
      <c r="ILN276" s="227"/>
      <c r="ILO276" s="227"/>
      <c r="ILP276" s="227"/>
      <c r="ILQ276" s="227"/>
      <c r="ILR276" s="227"/>
      <c r="ILS276" s="227"/>
      <c r="ILT276" s="227"/>
      <c r="ILU276" s="227"/>
      <c r="ILV276" s="227"/>
      <c r="ILW276" s="227"/>
      <c r="ILX276" s="227"/>
      <c r="ILY276" s="227"/>
      <c r="ILZ276" s="227"/>
      <c r="IMA276" s="227"/>
      <c r="IMB276" s="227"/>
      <c r="IMC276" s="227"/>
      <c r="IMD276" s="227"/>
      <c r="IME276" s="227"/>
      <c r="IMF276" s="227"/>
      <c r="IMG276" s="227"/>
      <c r="IMH276" s="227"/>
      <c r="IMI276" s="227"/>
      <c r="IMJ276" s="227"/>
      <c r="IMK276" s="227"/>
      <c r="IML276" s="227"/>
      <c r="IMM276" s="227"/>
      <c r="IMN276" s="227"/>
      <c r="IMO276" s="227"/>
      <c r="IMP276" s="227"/>
      <c r="IMQ276" s="227"/>
      <c r="IMR276" s="227"/>
      <c r="IMS276" s="227"/>
      <c r="IMT276" s="227"/>
      <c r="IMU276" s="227"/>
      <c r="IMV276" s="227"/>
      <c r="IMW276" s="227"/>
      <c r="IMX276" s="227"/>
      <c r="IMY276" s="227"/>
      <c r="IMZ276" s="227"/>
      <c r="INA276" s="227"/>
      <c r="INB276" s="227"/>
      <c r="INC276" s="227"/>
      <c r="IND276" s="227"/>
      <c r="INE276" s="227"/>
      <c r="INF276" s="227"/>
      <c r="ING276" s="227"/>
      <c r="INH276" s="227"/>
      <c r="INI276" s="227"/>
      <c r="INJ276" s="227"/>
      <c r="INK276" s="227"/>
      <c r="INL276" s="227"/>
      <c r="INM276" s="227"/>
      <c r="INN276" s="227"/>
      <c r="INO276" s="227"/>
      <c r="INP276" s="227"/>
      <c r="INQ276" s="227"/>
      <c r="INR276" s="227"/>
      <c r="INS276" s="227"/>
      <c r="INT276" s="227"/>
      <c r="INU276" s="227"/>
      <c r="INV276" s="227"/>
      <c r="INW276" s="227"/>
      <c r="INX276" s="227"/>
      <c r="INY276" s="227"/>
      <c r="INZ276" s="227"/>
      <c r="IOA276" s="227"/>
      <c r="IOB276" s="227"/>
      <c r="IOC276" s="227"/>
      <c r="IOD276" s="227"/>
      <c r="IOE276" s="227"/>
      <c r="IOF276" s="227"/>
      <c r="IOG276" s="227"/>
      <c r="IOH276" s="227"/>
      <c r="IOI276" s="227"/>
      <c r="IOJ276" s="227"/>
      <c r="IOK276" s="227"/>
      <c r="IOL276" s="227"/>
      <c r="IOM276" s="227"/>
      <c r="ION276" s="227"/>
      <c r="IOO276" s="227"/>
      <c r="IOP276" s="227"/>
      <c r="IOQ276" s="227"/>
      <c r="IOR276" s="227"/>
      <c r="IOS276" s="227"/>
      <c r="IOT276" s="227"/>
      <c r="IOU276" s="227"/>
      <c r="IOV276" s="227"/>
      <c r="IOW276" s="227"/>
      <c r="IOX276" s="227"/>
      <c r="IOY276" s="227"/>
      <c r="IOZ276" s="227"/>
      <c r="IPA276" s="227"/>
      <c r="IPB276" s="227"/>
      <c r="IPC276" s="227"/>
      <c r="IPD276" s="227"/>
      <c r="IPE276" s="227"/>
      <c r="IPF276" s="227"/>
      <c r="IPG276" s="227"/>
      <c r="IPH276" s="227"/>
      <c r="IPI276" s="227"/>
      <c r="IPJ276" s="227"/>
      <c r="IPK276" s="227"/>
      <c r="IPL276" s="227"/>
      <c r="IPM276" s="227"/>
      <c r="IPN276" s="227"/>
      <c r="IPO276" s="227"/>
      <c r="IPP276" s="227"/>
      <c r="IPQ276" s="227"/>
      <c r="IPR276" s="227"/>
      <c r="IPS276" s="227"/>
      <c r="IPT276" s="227"/>
      <c r="IPU276" s="227"/>
      <c r="IPV276" s="227"/>
      <c r="IPW276" s="227"/>
      <c r="IPX276" s="227"/>
      <c r="IPY276" s="227"/>
      <c r="IPZ276" s="227"/>
      <c r="IQA276" s="227"/>
      <c r="IQB276" s="227"/>
      <c r="IQC276" s="227"/>
      <c r="IQD276" s="227"/>
      <c r="IQE276" s="227"/>
      <c r="IQF276" s="227"/>
      <c r="IQG276" s="227"/>
      <c r="IQH276" s="227"/>
      <c r="IQI276" s="227"/>
      <c r="IQJ276" s="227"/>
      <c r="IQK276" s="227"/>
      <c r="IQL276" s="227"/>
      <c r="IQM276" s="227"/>
      <c r="IQN276" s="227"/>
      <c r="IQO276" s="227"/>
      <c r="IQP276" s="227"/>
      <c r="IQQ276" s="227"/>
      <c r="IQR276" s="227"/>
      <c r="IQS276" s="227"/>
      <c r="IQT276" s="227"/>
      <c r="IQU276" s="227"/>
      <c r="IQV276" s="227"/>
      <c r="IQW276" s="227"/>
      <c r="IQX276" s="227"/>
      <c r="IQY276" s="227"/>
      <c r="IQZ276" s="227"/>
      <c r="IRA276" s="227"/>
      <c r="IRB276" s="227"/>
      <c r="IRC276" s="227"/>
      <c r="IRD276" s="227"/>
      <c r="IRE276" s="227"/>
      <c r="IRF276" s="227"/>
      <c r="IRG276" s="227"/>
      <c r="IRH276" s="227"/>
      <c r="IRI276" s="227"/>
      <c r="IRJ276" s="227"/>
      <c r="IRK276" s="227"/>
      <c r="IRL276" s="227"/>
      <c r="IRM276" s="227"/>
      <c r="IRN276" s="227"/>
      <c r="IRO276" s="227"/>
      <c r="IRP276" s="227"/>
      <c r="IRQ276" s="227"/>
      <c r="IRR276" s="227"/>
      <c r="IRS276" s="227"/>
      <c r="IRT276" s="227"/>
      <c r="IRU276" s="227"/>
      <c r="IRV276" s="227"/>
      <c r="IRW276" s="227"/>
      <c r="IRX276" s="227"/>
      <c r="IRY276" s="227"/>
      <c r="IRZ276" s="227"/>
      <c r="ISA276" s="227"/>
      <c r="ISB276" s="227"/>
      <c r="ISC276" s="227"/>
      <c r="ISD276" s="227"/>
      <c r="ISE276" s="227"/>
      <c r="ISF276" s="227"/>
      <c r="ISG276" s="227"/>
      <c r="ISH276" s="227"/>
      <c r="ISI276" s="227"/>
      <c r="ISJ276" s="227"/>
      <c r="ISK276" s="227"/>
      <c r="ISL276" s="227"/>
      <c r="ISM276" s="227"/>
      <c r="ISN276" s="227"/>
      <c r="ISO276" s="227"/>
      <c r="ISP276" s="227"/>
      <c r="ISQ276" s="227"/>
      <c r="ISR276" s="227"/>
      <c r="ISS276" s="227"/>
      <c r="IST276" s="227"/>
      <c r="ISU276" s="227"/>
      <c r="ISV276" s="227"/>
      <c r="ISW276" s="227"/>
      <c r="ISX276" s="227"/>
      <c r="ISY276" s="227"/>
      <c r="ISZ276" s="227"/>
      <c r="ITA276" s="227"/>
      <c r="ITB276" s="227"/>
      <c r="ITC276" s="227"/>
      <c r="ITD276" s="227"/>
      <c r="ITE276" s="227"/>
      <c r="ITF276" s="227"/>
      <c r="ITG276" s="227"/>
      <c r="ITH276" s="227"/>
      <c r="ITI276" s="227"/>
      <c r="ITJ276" s="227"/>
      <c r="ITK276" s="227"/>
      <c r="ITL276" s="227"/>
      <c r="ITM276" s="227"/>
      <c r="ITN276" s="227"/>
      <c r="ITO276" s="227"/>
      <c r="ITP276" s="227"/>
      <c r="ITQ276" s="227"/>
      <c r="ITR276" s="227"/>
      <c r="ITS276" s="227"/>
      <c r="ITT276" s="227"/>
      <c r="ITU276" s="227"/>
      <c r="ITV276" s="227"/>
      <c r="ITW276" s="227"/>
      <c r="ITX276" s="227"/>
      <c r="ITY276" s="227"/>
      <c r="ITZ276" s="227"/>
      <c r="IUA276" s="227"/>
      <c r="IUB276" s="227"/>
      <c r="IUC276" s="227"/>
      <c r="IUD276" s="227"/>
      <c r="IUE276" s="227"/>
      <c r="IUF276" s="227"/>
      <c r="IUG276" s="227"/>
      <c r="IUH276" s="227"/>
      <c r="IUI276" s="227"/>
      <c r="IUJ276" s="227"/>
      <c r="IUK276" s="227"/>
      <c r="IUL276" s="227"/>
      <c r="IUM276" s="227"/>
      <c r="IUN276" s="227"/>
      <c r="IUO276" s="227"/>
      <c r="IUP276" s="227"/>
      <c r="IUQ276" s="227"/>
      <c r="IUR276" s="227"/>
      <c r="IUS276" s="227"/>
      <c r="IUT276" s="227"/>
      <c r="IUU276" s="227"/>
      <c r="IUV276" s="227"/>
      <c r="IUW276" s="227"/>
      <c r="IUX276" s="227"/>
      <c r="IUY276" s="227"/>
      <c r="IUZ276" s="227"/>
      <c r="IVA276" s="227"/>
      <c r="IVB276" s="227"/>
      <c r="IVC276" s="227"/>
      <c r="IVD276" s="227"/>
      <c r="IVE276" s="227"/>
      <c r="IVF276" s="227"/>
      <c r="IVG276" s="227"/>
      <c r="IVH276" s="227"/>
      <c r="IVI276" s="227"/>
      <c r="IVJ276" s="227"/>
      <c r="IVK276" s="227"/>
      <c r="IVL276" s="227"/>
      <c r="IVM276" s="227"/>
      <c r="IVN276" s="227"/>
      <c r="IVO276" s="227"/>
      <c r="IVP276" s="227"/>
      <c r="IVQ276" s="227"/>
      <c r="IVR276" s="227"/>
      <c r="IVS276" s="227"/>
      <c r="IVT276" s="227"/>
      <c r="IVU276" s="227"/>
      <c r="IVV276" s="227"/>
      <c r="IVW276" s="227"/>
      <c r="IVX276" s="227"/>
      <c r="IVY276" s="227"/>
      <c r="IVZ276" s="227"/>
      <c r="IWA276" s="227"/>
      <c r="IWB276" s="227"/>
      <c r="IWC276" s="227"/>
      <c r="IWD276" s="227"/>
      <c r="IWE276" s="227"/>
      <c r="IWF276" s="227"/>
      <c r="IWG276" s="227"/>
      <c r="IWH276" s="227"/>
      <c r="IWI276" s="227"/>
      <c r="IWJ276" s="227"/>
      <c r="IWK276" s="227"/>
      <c r="IWL276" s="227"/>
      <c r="IWM276" s="227"/>
      <c r="IWN276" s="227"/>
      <c r="IWO276" s="227"/>
      <c r="IWP276" s="227"/>
      <c r="IWQ276" s="227"/>
      <c r="IWR276" s="227"/>
      <c r="IWS276" s="227"/>
      <c r="IWT276" s="227"/>
      <c r="IWU276" s="227"/>
      <c r="IWV276" s="227"/>
      <c r="IWW276" s="227"/>
      <c r="IWX276" s="227"/>
      <c r="IWY276" s="227"/>
      <c r="IWZ276" s="227"/>
      <c r="IXA276" s="227"/>
      <c r="IXB276" s="227"/>
      <c r="IXC276" s="227"/>
      <c r="IXD276" s="227"/>
      <c r="IXE276" s="227"/>
      <c r="IXF276" s="227"/>
      <c r="IXG276" s="227"/>
      <c r="IXH276" s="227"/>
      <c r="IXI276" s="227"/>
      <c r="IXJ276" s="227"/>
      <c r="IXK276" s="227"/>
      <c r="IXL276" s="227"/>
      <c r="IXM276" s="227"/>
      <c r="IXN276" s="227"/>
      <c r="IXO276" s="227"/>
      <c r="IXP276" s="227"/>
      <c r="IXQ276" s="227"/>
      <c r="IXR276" s="227"/>
      <c r="IXS276" s="227"/>
      <c r="IXT276" s="227"/>
      <c r="IXU276" s="227"/>
      <c r="IXV276" s="227"/>
      <c r="IXW276" s="227"/>
      <c r="IXX276" s="227"/>
      <c r="IXY276" s="227"/>
      <c r="IXZ276" s="227"/>
      <c r="IYA276" s="227"/>
      <c r="IYB276" s="227"/>
      <c r="IYC276" s="227"/>
      <c r="IYD276" s="227"/>
      <c r="IYE276" s="227"/>
      <c r="IYF276" s="227"/>
      <c r="IYG276" s="227"/>
      <c r="IYH276" s="227"/>
      <c r="IYI276" s="227"/>
      <c r="IYJ276" s="227"/>
      <c r="IYK276" s="227"/>
      <c r="IYL276" s="227"/>
      <c r="IYM276" s="227"/>
      <c r="IYN276" s="227"/>
      <c r="IYO276" s="227"/>
      <c r="IYP276" s="227"/>
      <c r="IYQ276" s="227"/>
      <c r="IYR276" s="227"/>
      <c r="IYS276" s="227"/>
      <c r="IYT276" s="227"/>
      <c r="IYU276" s="227"/>
      <c r="IYV276" s="227"/>
      <c r="IYW276" s="227"/>
      <c r="IYX276" s="227"/>
      <c r="IYY276" s="227"/>
      <c r="IYZ276" s="227"/>
      <c r="IZA276" s="227"/>
      <c r="IZB276" s="227"/>
      <c r="IZC276" s="227"/>
      <c r="IZD276" s="227"/>
      <c r="IZE276" s="227"/>
      <c r="IZF276" s="227"/>
      <c r="IZG276" s="227"/>
      <c r="IZH276" s="227"/>
      <c r="IZI276" s="227"/>
      <c r="IZJ276" s="227"/>
      <c r="IZK276" s="227"/>
      <c r="IZL276" s="227"/>
      <c r="IZM276" s="227"/>
      <c r="IZN276" s="227"/>
      <c r="IZO276" s="227"/>
      <c r="IZP276" s="227"/>
      <c r="IZQ276" s="227"/>
      <c r="IZR276" s="227"/>
      <c r="IZS276" s="227"/>
      <c r="IZT276" s="227"/>
      <c r="IZU276" s="227"/>
      <c r="IZV276" s="227"/>
      <c r="IZW276" s="227"/>
      <c r="IZX276" s="227"/>
      <c r="IZY276" s="227"/>
      <c r="IZZ276" s="227"/>
      <c r="JAA276" s="227"/>
      <c r="JAB276" s="227"/>
      <c r="JAC276" s="227"/>
      <c r="JAD276" s="227"/>
      <c r="JAE276" s="227"/>
      <c r="JAF276" s="227"/>
      <c r="JAG276" s="227"/>
      <c r="JAH276" s="227"/>
      <c r="JAI276" s="227"/>
      <c r="JAJ276" s="227"/>
      <c r="JAK276" s="227"/>
      <c r="JAL276" s="227"/>
      <c r="JAM276" s="227"/>
      <c r="JAN276" s="227"/>
      <c r="JAO276" s="227"/>
      <c r="JAP276" s="227"/>
      <c r="JAQ276" s="227"/>
      <c r="JAR276" s="227"/>
      <c r="JAS276" s="227"/>
      <c r="JAT276" s="227"/>
      <c r="JAU276" s="227"/>
      <c r="JAV276" s="227"/>
      <c r="JAW276" s="227"/>
      <c r="JAX276" s="227"/>
      <c r="JAY276" s="227"/>
      <c r="JAZ276" s="227"/>
      <c r="JBA276" s="227"/>
      <c r="JBB276" s="227"/>
      <c r="JBC276" s="227"/>
      <c r="JBD276" s="227"/>
      <c r="JBE276" s="227"/>
      <c r="JBF276" s="227"/>
      <c r="JBG276" s="227"/>
      <c r="JBH276" s="227"/>
      <c r="JBI276" s="227"/>
      <c r="JBJ276" s="227"/>
      <c r="JBK276" s="227"/>
      <c r="JBL276" s="227"/>
      <c r="JBM276" s="227"/>
      <c r="JBN276" s="227"/>
      <c r="JBO276" s="227"/>
      <c r="JBP276" s="227"/>
      <c r="JBQ276" s="227"/>
      <c r="JBR276" s="227"/>
      <c r="JBS276" s="227"/>
      <c r="JBT276" s="227"/>
      <c r="JBU276" s="227"/>
      <c r="JBV276" s="227"/>
      <c r="JBW276" s="227"/>
      <c r="JBX276" s="227"/>
      <c r="JBY276" s="227"/>
      <c r="JBZ276" s="227"/>
      <c r="JCA276" s="227"/>
      <c r="JCB276" s="227"/>
      <c r="JCC276" s="227"/>
      <c r="JCD276" s="227"/>
      <c r="JCE276" s="227"/>
      <c r="JCF276" s="227"/>
      <c r="JCG276" s="227"/>
      <c r="JCH276" s="227"/>
      <c r="JCI276" s="227"/>
      <c r="JCJ276" s="227"/>
      <c r="JCK276" s="227"/>
      <c r="JCL276" s="227"/>
      <c r="JCM276" s="227"/>
      <c r="JCN276" s="227"/>
      <c r="JCO276" s="227"/>
      <c r="JCP276" s="227"/>
      <c r="JCQ276" s="227"/>
      <c r="JCR276" s="227"/>
      <c r="JCS276" s="227"/>
      <c r="JCT276" s="227"/>
      <c r="JCU276" s="227"/>
      <c r="JCV276" s="227"/>
      <c r="JCW276" s="227"/>
      <c r="JCX276" s="227"/>
      <c r="JCY276" s="227"/>
      <c r="JCZ276" s="227"/>
      <c r="JDA276" s="227"/>
      <c r="JDB276" s="227"/>
      <c r="JDC276" s="227"/>
      <c r="JDD276" s="227"/>
      <c r="JDE276" s="227"/>
      <c r="JDF276" s="227"/>
      <c r="JDG276" s="227"/>
      <c r="JDH276" s="227"/>
      <c r="JDI276" s="227"/>
      <c r="JDJ276" s="227"/>
      <c r="JDK276" s="227"/>
      <c r="JDL276" s="227"/>
      <c r="JDM276" s="227"/>
      <c r="JDN276" s="227"/>
      <c r="JDO276" s="227"/>
      <c r="JDP276" s="227"/>
      <c r="JDQ276" s="227"/>
      <c r="JDR276" s="227"/>
      <c r="JDS276" s="227"/>
      <c r="JDT276" s="227"/>
      <c r="JDU276" s="227"/>
      <c r="JDV276" s="227"/>
      <c r="JDW276" s="227"/>
      <c r="JDX276" s="227"/>
      <c r="JDY276" s="227"/>
      <c r="JDZ276" s="227"/>
      <c r="JEA276" s="227"/>
      <c r="JEB276" s="227"/>
      <c r="JEC276" s="227"/>
      <c r="JED276" s="227"/>
      <c r="JEE276" s="227"/>
      <c r="JEF276" s="227"/>
      <c r="JEG276" s="227"/>
      <c r="JEH276" s="227"/>
      <c r="JEI276" s="227"/>
      <c r="JEJ276" s="227"/>
      <c r="JEK276" s="227"/>
      <c r="JEL276" s="227"/>
      <c r="JEM276" s="227"/>
      <c r="JEN276" s="227"/>
      <c r="JEO276" s="227"/>
      <c r="JEP276" s="227"/>
      <c r="JEQ276" s="227"/>
      <c r="JER276" s="227"/>
      <c r="JES276" s="227"/>
      <c r="JET276" s="227"/>
      <c r="JEU276" s="227"/>
      <c r="JEV276" s="227"/>
      <c r="JEW276" s="227"/>
      <c r="JEX276" s="227"/>
      <c r="JEY276" s="227"/>
      <c r="JEZ276" s="227"/>
      <c r="JFA276" s="227"/>
      <c r="JFB276" s="227"/>
      <c r="JFC276" s="227"/>
      <c r="JFD276" s="227"/>
      <c r="JFE276" s="227"/>
      <c r="JFF276" s="227"/>
      <c r="JFG276" s="227"/>
      <c r="JFH276" s="227"/>
      <c r="JFI276" s="227"/>
      <c r="JFJ276" s="227"/>
      <c r="JFK276" s="227"/>
      <c r="JFL276" s="227"/>
      <c r="JFM276" s="227"/>
      <c r="JFN276" s="227"/>
      <c r="JFO276" s="227"/>
      <c r="JFP276" s="227"/>
      <c r="JFQ276" s="227"/>
      <c r="JFR276" s="227"/>
      <c r="JFS276" s="227"/>
      <c r="JFT276" s="227"/>
      <c r="JFU276" s="227"/>
      <c r="JFV276" s="227"/>
      <c r="JFW276" s="227"/>
      <c r="JFX276" s="227"/>
      <c r="JFY276" s="227"/>
      <c r="JFZ276" s="227"/>
      <c r="JGA276" s="227"/>
      <c r="JGB276" s="227"/>
      <c r="JGC276" s="227"/>
      <c r="JGD276" s="227"/>
      <c r="JGE276" s="227"/>
      <c r="JGF276" s="227"/>
      <c r="JGG276" s="227"/>
      <c r="JGH276" s="227"/>
      <c r="JGI276" s="227"/>
      <c r="JGJ276" s="227"/>
      <c r="JGK276" s="227"/>
      <c r="JGL276" s="227"/>
      <c r="JGM276" s="227"/>
      <c r="JGN276" s="227"/>
      <c r="JGO276" s="227"/>
      <c r="JGP276" s="227"/>
      <c r="JGQ276" s="227"/>
      <c r="JGR276" s="227"/>
      <c r="JGS276" s="227"/>
      <c r="JGT276" s="227"/>
      <c r="JGU276" s="227"/>
      <c r="JGV276" s="227"/>
      <c r="JGW276" s="227"/>
      <c r="JGX276" s="227"/>
      <c r="JGY276" s="227"/>
      <c r="JGZ276" s="227"/>
      <c r="JHA276" s="227"/>
      <c r="JHB276" s="227"/>
      <c r="JHC276" s="227"/>
      <c r="JHD276" s="227"/>
      <c r="JHE276" s="227"/>
      <c r="JHF276" s="227"/>
      <c r="JHG276" s="227"/>
      <c r="JHH276" s="227"/>
      <c r="JHI276" s="227"/>
      <c r="JHJ276" s="227"/>
      <c r="JHK276" s="227"/>
      <c r="JHL276" s="227"/>
      <c r="JHM276" s="227"/>
      <c r="JHN276" s="227"/>
      <c r="JHO276" s="227"/>
      <c r="JHP276" s="227"/>
      <c r="JHQ276" s="227"/>
      <c r="JHR276" s="227"/>
      <c r="JHS276" s="227"/>
      <c r="JHT276" s="227"/>
      <c r="JHU276" s="227"/>
      <c r="JHV276" s="227"/>
      <c r="JHW276" s="227"/>
      <c r="JHX276" s="227"/>
      <c r="JHY276" s="227"/>
      <c r="JHZ276" s="227"/>
      <c r="JIA276" s="227"/>
      <c r="JIB276" s="227"/>
      <c r="JIC276" s="227"/>
      <c r="JID276" s="227"/>
      <c r="JIE276" s="227"/>
      <c r="JIF276" s="227"/>
      <c r="JIG276" s="227"/>
      <c r="JIH276" s="227"/>
      <c r="JII276" s="227"/>
      <c r="JIJ276" s="227"/>
      <c r="JIK276" s="227"/>
      <c r="JIL276" s="227"/>
      <c r="JIM276" s="227"/>
      <c r="JIN276" s="227"/>
      <c r="JIO276" s="227"/>
      <c r="JIP276" s="227"/>
      <c r="JIQ276" s="227"/>
      <c r="JIR276" s="227"/>
      <c r="JIS276" s="227"/>
      <c r="JIT276" s="227"/>
      <c r="JIU276" s="227"/>
      <c r="JIV276" s="227"/>
      <c r="JIW276" s="227"/>
      <c r="JIX276" s="227"/>
      <c r="JIY276" s="227"/>
      <c r="JIZ276" s="227"/>
      <c r="JJA276" s="227"/>
      <c r="JJB276" s="227"/>
      <c r="JJC276" s="227"/>
      <c r="JJD276" s="227"/>
      <c r="JJE276" s="227"/>
      <c r="JJF276" s="227"/>
      <c r="JJG276" s="227"/>
      <c r="JJH276" s="227"/>
      <c r="JJI276" s="227"/>
      <c r="JJJ276" s="227"/>
      <c r="JJK276" s="227"/>
      <c r="JJL276" s="227"/>
      <c r="JJM276" s="227"/>
      <c r="JJN276" s="227"/>
      <c r="JJO276" s="227"/>
      <c r="JJP276" s="227"/>
      <c r="JJQ276" s="227"/>
      <c r="JJR276" s="227"/>
      <c r="JJS276" s="227"/>
      <c r="JJT276" s="227"/>
      <c r="JJU276" s="227"/>
      <c r="JJV276" s="227"/>
      <c r="JJW276" s="227"/>
      <c r="JJX276" s="227"/>
      <c r="JJY276" s="227"/>
      <c r="JJZ276" s="227"/>
      <c r="JKA276" s="227"/>
      <c r="JKB276" s="227"/>
      <c r="JKC276" s="227"/>
      <c r="JKD276" s="227"/>
      <c r="JKE276" s="227"/>
      <c r="JKF276" s="227"/>
      <c r="JKG276" s="227"/>
      <c r="JKH276" s="227"/>
      <c r="JKI276" s="227"/>
      <c r="JKJ276" s="227"/>
      <c r="JKK276" s="227"/>
      <c r="JKL276" s="227"/>
      <c r="JKM276" s="227"/>
      <c r="JKN276" s="227"/>
      <c r="JKO276" s="227"/>
      <c r="JKP276" s="227"/>
      <c r="JKQ276" s="227"/>
      <c r="JKR276" s="227"/>
      <c r="JKS276" s="227"/>
      <c r="JKT276" s="227"/>
      <c r="JKU276" s="227"/>
      <c r="JKV276" s="227"/>
      <c r="JKW276" s="227"/>
      <c r="JKX276" s="227"/>
      <c r="JKY276" s="227"/>
      <c r="JKZ276" s="227"/>
      <c r="JLA276" s="227"/>
      <c r="JLB276" s="227"/>
      <c r="JLC276" s="227"/>
      <c r="JLD276" s="227"/>
      <c r="JLE276" s="227"/>
      <c r="JLF276" s="227"/>
      <c r="JLG276" s="227"/>
      <c r="JLH276" s="227"/>
      <c r="JLI276" s="227"/>
      <c r="JLJ276" s="227"/>
      <c r="JLK276" s="227"/>
      <c r="JLL276" s="227"/>
      <c r="JLM276" s="227"/>
      <c r="JLN276" s="227"/>
      <c r="JLO276" s="227"/>
      <c r="JLP276" s="227"/>
      <c r="JLQ276" s="227"/>
      <c r="JLR276" s="227"/>
      <c r="JLS276" s="227"/>
      <c r="JLT276" s="227"/>
      <c r="JLU276" s="227"/>
      <c r="JLV276" s="227"/>
      <c r="JLW276" s="227"/>
      <c r="JLX276" s="227"/>
      <c r="JLY276" s="227"/>
      <c r="JLZ276" s="227"/>
      <c r="JMA276" s="227"/>
      <c r="JMB276" s="227"/>
      <c r="JMC276" s="227"/>
      <c r="JMD276" s="227"/>
      <c r="JME276" s="227"/>
      <c r="JMF276" s="227"/>
      <c r="JMG276" s="227"/>
      <c r="JMH276" s="227"/>
      <c r="JMI276" s="227"/>
      <c r="JMJ276" s="227"/>
      <c r="JMK276" s="227"/>
      <c r="JML276" s="227"/>
      <c r="JMM276" s="227"/>
      <c r="JMN276" s="227"/>
      <c r="JMO276" s="227"/>
      <c r="JMP276" s="227"/>
      <c r="JMQ276" s="227"/>
      <c r="JMR276" s="227"/>
      <c r="JMS276" s="227"/>
      <c r="JMT276" s="227"/>
      <c r="JMU276" s="227"/>
      <c r="JMV276" s="227"/>
      <c r="JMW276" s="227"/>
      <c r="JMX276" s="227"/>
      <c r="JMY276" s="227"/>
      <c r="JMZ276" s="227"/>
      <c r="JNA276" s="227"/>
      <c r="JNB276" s="227"/>
      <c r="JNC276" s="227"/>
      <c r="JND276" s="227"/>
      <c r="JNE276" s="227"/>
      <c r="JNF276" s="227"/>
      <c r="JNG276" s="227"/>
      <c r="JNH276" s="227"/>
      <c r="JNI276" s="227"/>
      <c r="JNJ276" s="227"/>
      <c r="JNK276" s="227"/>
      <c r="JNL276" s="227"/>
      <c r="JNM276" s="227"/>
      <c r="JNN276" s="227"/>
      <c r="JNO276" s="227"/>
      <c r="JNP276" s="227"/>
      <c r="JNQ276" s="227"/>
      <c r="JNR276" s="227"/>
      <c r="JNS276" s="227"/>
      <c r="JNT276" s="227"/>
      <c r="JNU276" s="227"/>
      <c r="JNV276" s="227"/>
      <c r="JNW276" s="227"/>
      <c r="JNX276" s="227"/>
      <c r="JNY276" s="227"/>
      <c r="JNZ276" s="227"/>
      <c r="JOA276" s="227"/>
      <c r="JOB276" s="227"/>
      <c r="JOC276" s="227"/>
      <c r="JOD276" s="227"/>
      <c r="JOE276" s="227"/>
      <c r="JOF276" s="227"/>
      <c r="JOG276" s="227"/>
      <c r="JOH276" s="227"/>
      <c r="JOI276" s="227"/>
      <c r="JOJ276" s="227"/>
      <c r="JOK276" s="227"/>
      <c r="JOL276" s="227"/>
      <c r="JOM276" s="227"/>
      <c r="JON276" s="227"/>
      <c r="JOO276" s="227"/>
      <c r="JOP276" s="227"/>
      <c r="JOQ276" s="227"/>
      <c r="JOR276" s="227"/>
      <c r="JOS276" s="227"/>
      <c r="JOT276" s="227"/>
      <c r="JOU276" s="227"/>
      <c r="JOV276" s="227"/>
      <c r="JOW276" s="227"/>
      <c r="JOX276" s="227"/>
      <c r="JOY276" s="227"/>
      <c r="JOZ276" s="227"/>
      <c r="JPA276" s="227"/>
      <c r="JPB276" s="227"/>
      <c r="JPC276" s="227"/>
      <c r="JPD276" s="227"/>
      <c r="JPE276" s="227"/>
      <c r="JPF276" s="227"/>
      <c r="JPG276" s="227"/>
      <c r="JPH276" s="227"/>
      <c r="JPI276" s="227"/>
      <c r="JPJ276" s="227"/>
      <c r="JPK276" s="227"/>
      <c r="JPL276" s="227"/>
      <c r="JPM276" s="227"/>
      <c r="JPN276" s="227"/>
      <c r="JPO276" s="227"/>
      <c r="JPP276" s="227"/>
      <c r="JPQ276" s="227"/>
      <c r="JPR276" s="227"/>
      <c r="JPS276" s="227"/>
      <c r="JPT276" s="227"/>
      <c r="JPU276" s="227"/>
      <c r="JPV276" s="227"/>
      <c r="JPW276" s="227"/>
      <c r="JPX276" s="227"/>
      <c r="JPY276" s="227"/>
      <c r="JPZ276" s="227"/>
      <c r="JQA276" s="227"/>
      <c r="JQB276" s="227"/>
      <c r="JQC276" s="227"/>
      <c r="JQD276" s="227"/>
      <c r="JQE276" s="227"/>
      <c r="JQF276" s="227"/>
      <c r="JQG276" s="227"/>
      <c r="JQH276" s="227"/>
      <c r="JQI276" s="227"/>
      <c r="JQJ276" s="227"/>
      <c r="JQK276" s="227"/>
      <c r="JQL276" s="227"/>
      <c r="JQM276" s="227"/>
      <c r="JQN276" s="227"/>
      <c r="JQO276" s="227"/>
      <c r="JQP276" s="227"/>
      <c r="JQQ276" s="227"/>
      <c r="JQR276" s="227"/>
      <c r="JQS276" s="227"/>
      <c r="JQT276" s="227"/>
      <c r="JQU276" s="227"/>
      <c r="JQV276" s="227"/>
      <c r="JQW276" s="227"/>
      <c r="JQX276" s="227"/>
      <c r="JQY276" s="227"/>
      <c r="JQZ276" s="227"/>
      <c r="JRA276" s="227"/>
      <c r="JRB276" s="227"/>
      <c r="JRC276" s="227"/>
      <c r="JRD276" s="227"/>
      <c r="JRE276" s="227"/>
      <c r="JRF276" s="227"/>
      <c r="JRG276" s="227"/>
      <c r="JRH276" s="227"/>
      <c r="JRI276" s="227"/>
      <c r="JRJ276" s="227"/>
      <c r="JRK276" s="227"/>
      <c r="JRL276" s="227"/>
      <c r="JRM276" s="227"/>
      <c r="JRN276" s="227"/>
      <c r="JRO276" s="227"/>
      <c r="JRP276" s="227"/>
      <c r="JRQ276" s="227"/>
      <c r="JRR276" s="227"/>
      <c r="JRS276" s="227"/>
      <c r="JRT276" s="227"/>
      <c r="JRU276" s="227"/>
      <c r="JRV276" s="227"/>
      <c r="JRW276" s="227"/>
      <c r="JRX276" s="227"/>
      <c r="JRY276" s="227"/>
      <c r="JRZ276" s="227"/>
      <c r="JSA276" s="227"/>
      <c r="JSB276" s="227"/>
      <c r="JSC276" s="227"/>
      <c r="JSD276" s="227"/>
      <c r="JSE276" s="227"/>
      <c r="JSF276" s="227"/>
      <c r="JSG276" s="227"/>
      <c r="JSH276" s="227"/>
      <c r="JSI276" s="227"/>
      <c r="JSJ276" s="227"/>
      <c r="JSK276" s="227"/>
      <c r="JSL276" s="227"/>
      <c r="JSM276" s="227"/>
      <c r="JSN276" s="227"/>
      <c r="JSO276" s="227"/>
      <c r="JSP276" s="227"/>
      <c r="JSQ276" s="227"/>
      <c r="JSR276" s="227"/>
      <c r="JSS276" s="227"/>
      <c r="JST276" s="227"/>
      <c r="JSU276" s="227"/>
      <c r="JSV276" s="227"/>
      <c r="JSW276" s="227"/>
      <c r="JSX276" s="227"/>
      <c r="JSY276" s="227"/>
      <c r="JSZ276" s="227"/>
      <c r="JTA276" s="227"/>
      <c r="JTB276" s="227"/>
      <c r="JTC276" s="227"/>
      <c r="JTD276" s="227"/>
      <c r="JTE276" s="227"/>
      <c r="JTF276" s="227"/>
      <c r="JTG276" s="227"/>
      <c r="JTH276" s="227"/>
      <c r="JTI276" s="227"/>
      <c r="JTJ276" s="227"/>
      <c r="JTK276" s="227"/>
      <c r="JTL276" s="227"/>
      <c r="JTM276" s="227"/>
      <c r="JTN276" s="227"/>
      <c r="JTO276" s="227"/>
      <c r="JTP276" s="227"/>
      <c r="JTQ276" s="227"/>
      <c r="JTR276" s="227"/>
      <c r="JTS276" s="227"/>
      <c r="JTT276" s="227"/>
      <c r="JTU276" s="227"/>
      <c r="JTV276" s="227"/>
      <c r="JTW276" s="227"/>
      <c r="JTX276" s="227"/>
      <c r="JTY276" s="227"/>
      <c r="JTZ276" s="227"/>
      <c r="JUA276" s="227"/>
      <c r="JUB276" s="227"/>
      <c r="JUC276" s="227"/>
      <c r="JUD276" s="227"/>
      <c r="JUE276" s="227"/>
      <c r="JUF276" s="227"/>
      <c r="JUG276" s="227"/>
      <c r="JUH276" s="227"/>
      <c r="JUI276" s="227"/>
      <c r="JUJ276" s="227"/>
      <c r="JUK276" s="227"/>
      <c r="JUL276" s="227"/>
      <c r="JUM276" s="227"/>
      <c r="JUN276" s="227"/>
      <c r="JUO276" s="227"/>
      <c r="JUP276" s="227"/>
      <c r="JUQ276" s="227"/>
      <c r="JUR276" s="227"/>
      <c r="JUS276" s="227"/>
      <c r="JUT276" s="227"/>
      <c r="JUU276" s="227"/>
      <c r="JUV276" s="227"/>
      <c r="JUW276" s="227"/>
      <c r="JUX276" s="227"/>
      <c r="JUY276" s="227"/>
      <c r="JUZ276" s="227"/>
      <c r="JVA276" s="227"/>
      <c r="JVB276" s="227"/>
      <c r="JVC276" s="227"/>
      <c r="JVD276" s="227"/>
      <c r="JVE276" s="227"/>
      <c r="JVF276" s="227"/>
      <c r="JVG276" s="227"/>
      <c r="JVH276" s="227"/>
      <c r="JVI276" s="227"/>
      <c r="JVJ276" s="227"/>
      <c r="JVK276" s="227"/>
      <c r="JVL276" s="227"/>
      <c r="JVM276" s="227"/>
      <c r="JVN276" s="227"/>
      <c r="JVO276" s="227"/>
      <c r="JVP276" s="227"/>
      <c r="JVQ276" s="227"/>
      <c r="JVR276" s="227"/>
      <c r="JVS276" s="227"/>
      <c r="JVT276" s="227"/>
      <c r="JVU276" s="227"/>
      <c r="JVV276" s="227"/>
      <c r="JVW276" s="227"/>
      <c r="JVX276" s="227"/>
      <c r="JVY276" s="227"/>
      <c r="JVZ276" s="227"/>
      <c r="JWA276" s="227"/>
      <c r="JWB276" s="227"/>
      <c r="JWC276" s="227"/>
      <c r="JWD276" s="227"/>
      <c r="JWE276" s="227"/>
      <c r="JWF276" s="227"/>
      <c r="JWG276" s="227"/>
      <c r="JWH276" s="227"/>
      <c r="JWI276" s="227"/>
      <c r="JWJ276" s="227"/>
      <c r="JWK276" s="227"/>
      <c r="JWL276" s="227"/>
      <c r="JWM276" s="227"/>
      <c r="JWN276" s="227"/>
      <c r="JWO276" s="227"/>
      <c r="JWP276" s="227"/>
      <c r="JWQ276" s="227"/>
      <c r="JWR276" s="227"/>
      <c r="JWS276" s="227"/>
      <c r="JWT276" s="227"/>
      <c r="JWU276" s="227"/>
      <c r="JWV276" s="227"/>
      <c r="JWW276" s="227"/>
      <c r="JWX276" s="227"/>
      <c r="JWY276" s="227"/>
      <c r="JWZ276" s="227"/>
      <c r="JXA276" s="227"/>
      <c r="JXB276" s="227"/>
      <c r="JXC276" s="227"/>
      <c r="JXD276" s="227"/>
      <c r="JXE276" s="227"/>
      <c r="JXF276" s="227"/>
      <c r="JXG276" s="227"/>
      <c r="JXH276" s="227"/>
      <c r="JXI276" s="227"/>
      <c r="JXJ276" s="227"/>
      <c r="JXK276" s="227"/>
      <c r="JXL276" s="227"/>
      <c r="JXM276" s="227"/>
      <c r="JXN276" s="227"/>
      <c r="JXO276" s="227"/>
      <c r="JXP276" s="227"/>
      <c r="JXQ276" s="227"/>
      <c r="JXR276" s="227"/>
      <c r="JXS276" s="227"/>
      <c r="JXT276" s="227"/>
      <c r="JXU276" s="227"/>
      <c r="JXV276" s="227"/>
      <c r="JXW276" s="227"/>
      <c r="JXX276" s="227"/>
      <c r="JXY276" s="227"/>
      <c r="JXZ276" s="227"/>
      <c r="JYA276" s="227"/>
      <c r="JYB276" s="227"/>
      <c r="JYC276" s="227"/>
      <c r="JYD276" s="227"/>
      <c r="JYE276" s="227"/>
      <c r="JYF276" s="227"/>
      <c r="JYG276" s="227"/>
      <c r="JYH276" s="227"/>
      <c r="JYI276" s="227"/>
      <c r="JYJ276" s="227"/>
      <c r="JYK276" s="227"/>
      <c r="JYL276" s="227"/>
      <c r="JYM276" s="227"/>
      <c r="JYN276" s="227"/>
      <c r="JYO276" s="227"/>
      <c r="JYP276" s="227"/>
      <c r="JYQ276" s="227"/>
      <c r="JYR276" s="227"/>
      <c r="JYS276" s="227"/>
      <c r="JYT276" s="227"/>
      <c r="JYU276" s="227"/>
      <c r="JYV276" s="227"/>
      <c r="JYW276" s="227"/>
      <c r="JYX276" s="227"/>
      <c r="JYY276" s="227"/>
      <c r="JYZ276" s="227"/>
      <c r="JZA276" s="227"/>
      <c r="JZB276" s="227"/>
      <c r="JZC276" s="227"/>
      <c r="JZD276" s="227"/>
      <c r="JZE276" s="227"/>
      <c r="JZF276" s="227"/>
      <c r="JZG276" s="227"/>
      <c r="JZH276" s="227"/>
      <c r="JZI276" s="227"/>
      <c r="JZJ276" s="227"/>
      <c r="JZK276" s="227"/>
      <c r="JZL276" s="227"/>
      <c r="JZM276" s="227"/>
      <c r="JZN276" s="227"/>
      <c r="JZO276" s="227"/>
      <c r="JZP276" s="227"/>
      <c r="JZQ276" s="227"/>
      <c r="JZR276" s="227"/>
      <c r="JZS276" s="227"/>
      <c r="JZT276" s="227"/>
      <c r="JZU276" s="227"/>
      <c r="JZV276" s="227"/>
      <c r="JZW276" s="227"/>
      <c r="JZX276" s="227"/>
      <c r="JZY276" s="227"/>
      <c r="JZZ276" s="227"/>
      <c r="KAA276" s="227"/>
      <c r="KAB276" s="227"/>
      <c r="KAC276" s="227"/>
      <c r="KAD276" s="227"/>
      <c r="KAE276" s="227"/>
      <c r="KAF276" s="227"/>
      <c r="KAG276" s="227"/>
      <c r="KAH276" s="227"/>
      <c r="KAI276" s="227"/>
      <c r="KAJ276" s="227"/>
      <c r="KAK276" s="227"/>
      <c r="KAL276" s="227"/>
      <c r="KAM276" s="227"/>
      <c r="KAN276" s="227"/>
      <c r="KAO276" s="227"/>
      <c r="KAP276" s="227"/>
      <c r="KAQ276" s="227"/>
      <c r="KAR276" s="227"/>
      <c r="KAS276" s="227"/>
      <c r="KAT276" s="227"/>
      <c r="KAU276" s="227"/>
      <c r="KAV276" s="227"/>
      <c r="KAW276" s="227"/>
      <c r="KAX276" s="227"/>
      <c r="KAY276" s="227"/>
      <c r="KAZ276" s="227"/>
      <c r="KBA276" s="227"/>
      <c r="KBB276" s="227"/>
      <c r="KBC276" s="227"/>
      <c r="KBD276" s="227"/>
      <c r="KBE276" s="227"/>
      <c r="KBF276" s="227"/>
      <c r="KBG276" s="227"/>
      <c r="KBH276" s="227"/>
      <c r="KBI276" s="227"/>
      <c r="KBJ276" s="227"/>
      <c r="KBK276" s="227"/>
      <c r="KBL276" s="227"/>
      <c r="KBM276" s="227"/>
      <c r="KBN276" s="227"/>
      <c r="KBO276" s="227"/>
      <c r="KBP276" s="227"/>
      <c r="KBQ276" s="227"/>
      <c r="KBR276" s="227"/>
      <c r="KBS276" s="227"/>
      <c r="KBT276" s="227"/>
      <c r="KBU276" s="227"/>
      <c r="KBV276" s="227"/>
      <c r="KBW276" s="227"/>
      <c r="KBX276" s="227"/>
      <c r="KBY276" s="227"/>
      <c r="KBZ276" s="227"/>
      <c r="KCA276" s="227"/>
      <c r="KCB276" s="227"/>
      <c r="KCC276" s="227"/>
      <c r="KCD276" s="227"/>
      <c r="KCE276" s="227"/>
      <c r="KCF276" s="227"/>
      <c r="KCG276" s="227"/>
      <c r="KCH276" s="227"/>
      <c r="KCI276" s="227"/>
      <c r="KCJ276" s="227"/>
      <c r="KCK276" s="227"/>
      <c r="KCL276" s="227"/>
      <c r="KCM276" s="227"/>
      <c r="KCN276" s="227"/>
      <c r="KCO276" s="227"/>
      <c r="KCP276" s="227"/>
      <c r="KCQ276" s="227"/>
      <c r="KCR276" s="227"/>
      <c r="KCS276" s="227"/>
      <c r="KCT276" s="227"/>
      <c r="KCU276" s="227"/>
      <c r="KCV276" s="227"/>
      <c r="KCW276" s="227"/>
      <c r="KCX276" s="227"/>
      <c r="KCY276" s="227"/>
      <c r="KCZ276" s="227"/>
      <c r="KDA276" s="227"/>
      <c r="KDB276" s="227"/>
      <c r="KDC276" s="227"/>
      <c r="KDD276" s="227"/>
      <c r="KDE276" s="227"/>
      <c r="KDF276" s="227"/>
      <c r="KDG276" s="227"/>
      <c r="KDH276" s="227"/>
      <c r="KDI276" s="227"/>
      <c r="KDJ276" s="227"/>
      <c r="KDK276" s="227"/>
      <c r="KDL276" s="227"/>
      <c r="KDM276" s="227"/>
      <c r="KDN276" s="227"/>
      <c r="KDO276" s="227"/>
      <c r="KDP276" s="227"/>
      <c r="KDQ276" s="227"/>
      <c r="KDR276" s="227"/>
      <c r="KDS276" s="227"/>
      <c r="KDT276" s="227"/>
      <c r="KDU276" s="227"/>
      <c r="KDV276" s="227"/>
      <c r="KDW276" s="227"/>
      <c r="KDX276" s="227"/>
      <c r="KDY276" s="227"/>
      <c r="KDZ276" s="227"/>
      <c r="KEA276" s="227"/>
      <c r="KEB276" s="227"/>
      <c r="KEC276" s="227"/>
      <c r="KED276" s="227"/>
      <c r="KEE276" s="227"/>
      <c r="KEF276" s="227"/>
      <c r="KEG276" s="227"/>
      <c r="KEH276" s="227"/>
      <c r="KEI276" s="227"/>
      <c r="KEJ276" s="227"/>
      <c r="KEK276" s="227"/>
      <c r="KEL276" s="227"/>
      <c r="KEM276" s="227"/>
      <c r="KEN276" s="227"/>
      <c r="KEO276" s="227"/>
      <c r="KEP276" s="227"/>
      <c r="KEQ276" s="227"/>
      <c r="KER276" s="227"/>
      <c r="KES276" s="227"/>
      <c r="KET276" s="227"/>
      <c r="KEU276" s="227"/>
      <c r="KEV276" s="227"/>
      <c r="KEW276" s="227"/>
      <c r="KEX276" s="227"/>
      <c r="KEY276" s="227"/>
      <c r="KEZ276" s="227"/>
      <c r="KFA276" s="227"/>
      <c r="KFB276" s="227"/>
      <c r="KFC276" s="227"/>
      <c r="KFD276" s="227"/>
      <c r="KFE276" s="227"/>
      <c r="KFF276" s="227"/>
      <c r="KFG276" s="227"/>
      <c r="KFH276" s="227"/>
      <c r="KFI276" s="227"/>
      <c r="KFJ276" s="227"/>
      <c r="KFK276" s="227"/>
      <c r="KFL276" s="227"/>
      <c r="KFM276" s="227"/>
      <c r="KFN276" s="227"/>
      <c r="KFO276" s="227"/>
      <c r="KFP276" s="227"/>
      <c r="KFQ276" s="227"/>
      <c r="KFR276" s="227"/>
      <c r="KFS276" s="227"/>
      <c r="KFT276" s="227"/>
      <c r="KFU276" s="227"/>
      <c r="KFV276" s="227"/>
      <c r="KFW276" s="227"/>
      <c r="KFX276" s="227"/>
      <c r="KFY276" s="227"/>
      <c r="KFZ276" s="227"/>
      <c r="KGA276" s="227"/>
      <c r="KGB276" s="227"/>
      <c r="KGC276" s="227"/>
      <c r="KGD276" s="227"/>
      <c r="KGE276" s="227"/>
      <c r="KGF276" s="227"/>
      <c r="KGG276" s="227"/>
      <c r="KGH276" s="227"/>
      <c r="KGI276" s="227"/>
      <c r="KGJ276" s="227"/>
      <c r="KGK276" s="227"/>
      <c r="KGL276" s="227"/>
      <c r="KGM276" s="227"/>
      <c r="KGN276" s="227"/>
      <c r="KGO276" s="227"/>
      <c r="KGP276" s="227"/>
      <c r="KGQ276" s="227"/>
      <c r="KGR276" s="227"/>
      <c r="KGS276" s="227"/>
      <c r="KGT276" s="227"/>
      <c r="KGU276" s="227"/>
      <c r="KGV276" s="227"/>
      <c r="KGW276" s="227"/>
      <c r="KGX276" s="227"/>
      <c r="KGY276" s="227"/>
      <c r="KGZ276" s="227"/>
      <c r="KHA276" s="227"/>
      <c r="KHB276" s="227"/>
      <c r="KHC276" s="227"/>
      <c r="KHD276" s="227"/>
      <c r="KHE276" s="227"/>
      <c r="KHF276" s="227"/>
      <c r="KHG276" s="227"/>
      <c r="KHH276" s="227"/>
      <c r="KHI276" s="227"/>
      <c r="KHJ276" s="227"/>
      <c r="KHK276" s="227"/>
      <c r="KHL276" s="227"/>
      <c r="KHM276" s="227"/>
      <c r="KHN276" s="227"/>
      <c r="KHO276" s="227"/>
      <c r="KHP276" s="227"/>
      <c r="KHQ276" s="227"/>
      <c r="KHR276" s="227"/>
      <c r="KHS276" s="227"/>
      <c r="KHT276" s="227"/>
      <c r="KHU276" s="227"/>
      <c r="KHV276" s="227"/>
      <c r="KHW276" s="227"/>
      <c r="KHX276" s="227"/>
      <c r="KHY276" s="227"/>
      <c r="KHZ276" s="227"/>
      <c r="KIA276" s="227"/>
      <c r="KIB276" s="227"/>
      <c r="KIC276" s="227"/>
      <c r="KID276" s="227"/>
      <c r="KIE276" s="227"/>
      <c r="KIF276" s="227"/>
      <c r="KIG276" s="227"/>
      <c r="KIH276" s="227"/>
      <c r="KII276" s="227"/>
      <c r="KIJ276" s="227"/>
      <c r="KIK276" s="227"/>
      <c r="KIL276" s="227"/>
      <c r="KIM276" s="227"/>
      <c r="KIN276" s="227"/>
      <c r="KIO276" s="227"/>
      <c r="KIP276" s="227"/>
      <c r="KIQ276" s="227"/>
      <c r="KIR276" s="227"/>
      <c r="KIS276" s="227"/>
      <c r="KIT276" s="227"/>
      <c r="KIU276" s="227"/>
      <c r="KIV276" s="227"/>
      <c r="KIW276" s="227"/>
      <c r="KIX276" s="227"/>
      <c r="KIY276" s="227"/>
      <c r="KIZ276" s="227"/>
      <c r="KJA276" s="227"/>
      <c r="KJB276" s="227"/>
      <c r="KJC276" s="227"/>
      <c r="KJD276" s="227"/>
      <c r="KJE276" s="227"/>
      <c r="KJF276" s="227"/>
      <c r="KJG276" s="227"/>
      <c r="KJH276" s="227"/>
      <c r="KJI276" s="227"/>
      <c r="KJJ276" s="227"/>
      <c r="KJK276" s="227"/>
      <c r="KJL276" s="227"/>
      <c r="KJM276" s="227"/>
      <c r="KJN276" s="227"/>
      <c r="KJO276" s="227"/>
      <c r="KJP276" s="227"/>
      <c r="KJQ276" s="227"/>
      <c r="KJR276" s="227"/>
      <c r="KJS276" s="227"/>
      <c r="KJT276" s="227"/>
      <c r="KJU276" s="227"/>
      <c r="KJV276" s="227"/>
      <c r="KJW276" s="227"/>
      <c r="KJX276" s="227"/>
      <c r="KJY276" s="227"/>
      <c r="KJZ276" s="227"/>
      <c r="KKA276" s="227"/>
      <c r="KKB276" s="227"/>
      <c r="KKC276" s="227"/>
      <c r="KKD276" s="227"/>
      <c r="KKE276" s="227"/>
      <c r="KKF276" s="227"/>
      <c r="KKG276" s="227"/>
      <c r="KKH276" s="227"/>
      <c r="KKI276" s="227"/>
      <c r="KKJ276" s="227"/>
      <c r="KKK276" s="227"/>
      <c r="KKL276" s="227"/>
      <c r="KKM276" s="227"/>
      <c r="KKN276" s="227"/>
      <c r="KKO276" s="227"/>
      <c r="KKP276" s="227"/>
      <c r="KKQ276" s="227"/>
      <c r="KKR276" s="227"/>
      <c r="KKS276" s="227"/>
      <c r="KKT276" s="227"/>
      <c r="KKU276" s="227"/>
      <c r="KKV276" s="227"/>
      <c r="KKW276" s="227"/>
      <c r="KKX276" s="227"/>
      <c r="KKY276" s="227"/>
      <c r="KKZ276" s="227"/>
      <c r="KLA276" s="227"/>
      <c r="KLB276" s="227"/>
      <c r="KLC276" s="227"/>
      <c r="KLD276" s="227"/>
      <c r="KLE276" s="227"/>
      <c r="KLF276" s="227"/>
      <c r="KLG276" s="227"/>
      <c r="KLH276" s="227"/>
      <c r="KLI276" s="227"/>
      <c r="KLJ276" s="227"/>
      <c r="KLK276" s="227"/>
      <c r="KLL276" s="227"/>
      <c r="KLM276" s="227"/>
      <c r="KLN276" s="227"/>
      <c r="KLO276" s="227"/>
      <c r="KLP276" s="227"/>
      <c r="KLQ276" s="227"/>
      <c r="KLR276" s="227"/>
      <c r="KLS276" s="227"/>
      <c r="KLT276" s="227"/>
      <c r="KLU276" s="227"/>
      <c r="KLV276" s="227"/>
      <c r="KLW276" s="227"/>
      <c r="KLX276" s="227"/>
      <c r="KLY276" s="227"/>
      <c r="KLZ276" s="227"/>
      <c r="KMA276" s="227"/>
      <c r="KMB276" s="227"/>
      <c r="KMC276" s="227"/>
      <c r="KMD276" s="227"/>
      <c r="KME276" s="227"/>
      <c r="KMF276" s="227"/>
      <c r="KMG276" s="227"/>
      <c r="KMH276" s="227"/>
      <c r="KMI276" s="227"/>
      <c r="KMJ276" s="227"/>
      <c r="KMK276" s="227"/>
      <c r="KML276" s="227"/>
      <c r="KMM276" s="227"/>
      <c r="KMN276" s="227"/>
      <c r="KMO276" s="227"/>
      <c r="KMP276" s="227"/>
      <c r="KMQ276" s="227"/>
      <c r="KMR276" s="227"/>
      <c r="KMS276" s="227"/>
      <c r="KMT276" s="227"/>
      <c r="KMU276" s="227"/>
      <c r="KMV276" s="227"/>
      <c r="KMW276" s="227"/>
      <c r="KMX276" s="227"/>
      <c r="KMY276" s="227"/>
      <c r="KMZ276" s="227"/>
      <c r="KNA276" s="227"/>
      <c r="KNB276" s="227"/>
      <c r="KNC276" s="227"/>
      <c r="KND276" s="227"/>
      <c r="KNE276" s="227"/>
      <c r="KNF276" s="227"/>
      <c r="KNG276" s="227"/>
      <c r="KNH276" s="227"/>
      <c r="KNI276" s="227"/>
      <c r="KNJ276" s="227"/>
      <c r="KNK276" s="227"/>
      <c r="KNL276" s="227"/>
      <c r="KNM276" s="227"/>
      <c r="KNN276" s="227"/>
      <c r="KNO276" s="227"/>
      <c r="KNP276" s="227"/>
      <c r="KNQ276" s="227"/>
      <c r="KNR276" s="227"/>
      <c r="KNS276" s="227"/>
      <c r="KNT276" s="227"/>
      <c r="KNU276" s="227"/>
      <c r="KNV276" s="227"/>
      <c r="KNW276" s="227"/>
      <c r="KNX276" s="227"/>
      <c r="KNY276" s="227"/>
      <c r="KNZ276" s="227"/>
      <c r="KOA276" s="227"/>
      <c r="KOB276" s="227"/>
      <c r="KOC276" s="227"/>
      <c r="KOD276" s="227"/>
      <c r="KOE276" s="227"/>
      <c r="KOF276" s="227"/>
      <c r="KOG276" s="227"/>
      <c r="KOH276" s="227"/>
      <c r="KOI276" s="227"/>
      <c r="KOJ276" s="227"/>
      <c r="KOK276" s="227"/>
      <c r="KOL276" s="227"/>
      <c r="KOM276" s="227"/>
      <c r="KON276" s="227"/>
      <c r="KOO276" s="227"/>
      <c r="KOP276" s="227"/>
      <c r="KOQ276" s="227"/>
      <c r="KOR276" s="227"/>
      <c r="KOS276" s="227"/>
      <c r="KOT276" s="227"/>
      <c r="KOU276" s="227"/>
      <c r="KOV276" s="227"/>
      <c r="KOW276" s="227"/>
      <c r="KOX276" s="227"/>
      <c r="KOY276" s="227"/>
      <c r="KOZ276" s="227"/>
      <c r="KPA276" s="227"/>
      <c r="KPB276" s="227"/>
      <c r="KPC276" s="227"/>
      <c r="KPD276" s="227"/>
      <c r="KPE276" s="227"/>
      <c r="KPF276" s="227"/>
      <c r="KPG276" s="227"/>
      <c r="KPH276" s="227"/>
      <c r="KPI276" s="227"/>
      <c r="KPJ276" s="227"/>
      <c r="KPK276" s="227"/>
      <c r="KPL276" s="227"/>
      <c r="KPM276" s="227"/>
      <c r="KPN276" s="227"/>
      <c r="KPO276" s="227"/>
      <c r="KPP276" s="227"/>
      <c r="KPQ276" s="227"/>
      <c r="KPR276" s="227"/>
      <c r="KPS276" s="227"/>
      <c r="KPT276" s="227"/>
      <c r="KPU276" s="227"/>
      <c r="KPV276" s="227"/>
      <c r="KPW276" s="227"/>
      <c r="KPX276" s="227"/>
      <c r="KPY276" s="227"/>
      <c r="KPZ276" s="227"/>
      <c r="KQA276" s="227"/>
      <c r="KQB276" s="227"/>
      <c r="KQC276" s="227"/>
      <c r="KQD276" s="227"/>
      <c r="KQE276" s="227"/>
      <c r="KQF276" s="227"/>
      <c r="KQG276" s="227"/>
      <c r="KQH276" s="227"/>
      <c r="KQI276" s="227"/>
      <c r="KQJ276" s="227"/>
      <c r="KQK276" s="227"/>
      <c r="KQL276" s="227"/>
      <c r="KQM276" s="227"/>
      <c r="KQN276" s="227"/>
      <c r="KQO276" s="227"/>
      <c r="KQP276" s="227"/>
      <c r="KQQ276" s="227"/>
      <c r="KQR276" s="227"/>
      <c r="KQS276" s="227"/>
      <c r="KQT276" s="227"/>
      <c r="KQU276" s="227"/>
      <c r="KQV276" s="227"/>
      <c r="KQW276" s="227"/>
      <c r="KQX276" s="227"/>
      <c r="KQY276" s="227"/>
      <c r="KQZ276" s="227"/>
      <c r="KRA276" s="227"/>
      <c r="KRB276" s="227"/>
      <c r="KRC276" s="227"/>
      <c r="KRD276" s="227"/>
      <c r="KRE276" s="227"/>
      <c r="KRF276" s="227"/>
      <c r="KRG276" s="227"/>
      <c r="KRH276" s="227"/>
      <c r="KRI276" s="227"/>
      <c r="KRJ276" s="227"/>
      <c r="KRK276" s="227"/>
      <c r="KRL276" s="227"/>
      <c r="KRM276" s="227"/>
      <c r="KRN276" s="227"/>
      <c r="KRO276" s="227"/>
      <c r="KRP276" s="227"/>
      <c r="KRQ276" s="227"/>
      <c r="KRR276" s="227"/>
      <c r="KRS276" s="227"/>
      <c r="KRT276" s="227"/>
      <c r="KRU276" s="227"/>
      <c r="KRV276" s="227"/>
      <c r="KRW276" s="227"/>
      <c r="KRX276" s="227"/>
      <c r="KRY276" s="227"/>
      <c r="KRZ276" s="227"/>
      <c r="KSA276" s="227"/>
      <c r="KSB276" s="227"/>
      <c r="KSC276" s="227"/>
      <c r="KSD276" s="227"/>
      <c r="KSE276" s="227"/>
      <c r="KSF276" s="227"/>
      <c r="KSG276" s="227"/>
      <c r="KSH276" s="227"/>
      <c r="KSI276" s="227"/>
      <c r="KSJ276" s="227"/>
      <c r="KSK276" s="227"/>
      <c r="KSL276" s="227"/>
      <c r="KSM276" s="227"/>
      <c r="KSN276" s="227"/>
      <c r="KSO276" s="227"/>
      <c r="KSP276" s="227"/>
      <c r="KSQ276" s="227"/>
      <c r="KSR276" s="227"/>
      <c r="KSS276" s="227"/>
      <c r="KST276" s="227"/>
      <c r="KSU276" s="227"/>
      <c r="KSV276" s="227"/>
      <c r="KSW276" s="227"/>
      <c r="KSX276" s="227"/>
      <c r="KSY276" s="227"/>
      <c r="KSZ276" s="227"/>
      <c r="KTA276" s="227"/>
      <c r="KTB276" s="227"/>
      <c r="KTC276" s="227"/>
      <c r="KTD276" s="227"/>
      <c r="KTE276" s="227"/>
      <c r="KTF276" s="227"/>
      <c r="KTG276" s="227"/>
      <c r="KTH276" s="227"/>
      <c r="KTI276" s="227"/>
      <c r="KTJ276" s="227"/>
      <c r="KTK276" s="227"/>
      <c r="KTL276" s="227"/>
      <c r="KTM276" s="227"/>
      <c r="KTN276" s="227"/>
      <c r="KTO276" s="227"/>
      <c r="KTP276" s="227"/>
      <c r="KTQ276" s="227"/>
      <c r="KTR276" s="227"/>
      <c r="KTS276" s="227"/>
      <c r="KTT276" s="227"/>
      <c r="KTU276" s="227"/>
      <c r="KTV276" s="227"/>
      <c r="KTW276" s="227"/>
      <c r="KTX276" s="227"/>
      <c r="KTY276" s="227"/>
      <c r="KTZ276" s="227"/>
      <c r="KUA276" s="227"/>
      <c r="KUB276" s="227"/>
      <c r="KUC276" s="227"/>
      <c r="KUD276" s="227"/>
      <c r="KUE276" s="227"/>
      <c r="KUF276" s="227"/>
      <c r="KUG276" s="227"/>
      <c r="KUH276" s="227"/>
      <c r="KUI276" s="227"/>
      <c r="KUJ276" s="227"/>
      <c r="KUK276" s="227"/>
      <c r="KUL276" s="227"/>
      <c r="KUM276" s="227"/>
      <c r="KUN276" s="227"/>
      <c r="KUO276" s="227"/>
      <c r="KUP276" s="227"/>
      <c r="KUQ276" s="227"/>
      <c r="KUR276" s="227"/>
      <c r="KUS276" s="227"/>
      <c r="KUT276" s="227"/>
      <c r="KUU276" s="227"/>
      <c r="KUV276" s="227"/>
      <c r="KUW276" s="227"/>
      <c r="KUX276" s="227"/>
      <c r="KUY276" s="227"/>
      <c r="KUZ276" s="227"/>
      <c r="KVA276" s="227"/>
      <c r="KVB276" s="227"/>
      <c r="KVC276" s="227"/>
      <c r="KVD276" s="227"/>
      <c r="KVE276" s="227"/>
      <c r="KVF276" s="227"/>
      <c r="KVG276" s="227"/>
      <c r="KVH276" s="227"/>
      <c r="KVI276" s="227"/>
      <c r="KVJ276" s="227"/>
      <c r="KVK276" s="227"/>
      <c r="KVL276" s="227"/>
      <c r="KVM276" s="227"/>
      <c r="KVN276" s="227"/>
      <c r="KVO276" s="227"/>
      <c r="KVP276" s="227"/>
      <c r="KVQ276" s="227"/>
      <c r="KVR276" s="227"/>
      <c r="KVS276" s="227"/>
      <c r="KVT276" s="227"/>
      <c r="KVU276" s="227"/>
      <c r="KVV276" s="227"/>
      <c r="KVW276" s="227"/>
      <c r="KVX276" s="227"/>
      <c r="KVY276" s="227"/>
      <c r="KVZ276" s="227"/>
      <c r="KWA276" s="227"/>
      <c r="KWB276" s="227"/>
      <c r="KWC276" s="227"/>
      <c r="KWD276" s="227"/>
      <c r="KWE276" s="227"/>
      <c r="KWF276" s="227"/>
      <c r="KWG276" s="227"/>
      <c r="KWH276" s="227"/>
      <c r="KWI276" s="227"/>
      <c r="KWJ276" s="227"/>
      <c r="KWK276" s="227"/>
      <c r="KWL276" s="227"/>
      <c r="KWM276" s="227"/>
      <c r="KWN276" s="227"/>
      <c r="KWO276" s="227"/>
      <c r="KWP276" s="227"/>
      <c r="KWQ276" s="227"/>
      <c r="KWR276" s="227"/>
      <c r="KWS276" s="227"/>
      <c r="KWT276" s="227"/>
      <c r="KWU276" s="227"/>
      <c r="KWV276" s="227"/>
      <c r="KWW276" s="227"/>
      <c r="KWX276" s="227"/>
      <c r="KWY276" s="227"/>
      <c r="KWZ276" s="227"/>
      <c r="KXA276" s="227"/>
      <c r="KXB276" s="227"/>
      <c r="KXC276" s="227"/>
      <c r="KXD276" s="227"/>
      <c r="KXE276" s="227"/>
      <c r="KXF276" s="227"/>
      <c r="KXG276" s="227"/>
      <c r="KXH276" s="227"/>
      <c r="KXI276" s="227"/>
      <c r="KXJ276" s="227"/>
      <c r="KXK276" s="227"/>
      <c r="KXL276" s="227"/>
      <c r="KXM276" s="227"/>
      <c r="KXN276" s="227"/>
      <c r="KXO276" s="227"/>
      <c r="KXP276" s="227"/>
      <c r="KXQ276" s="227"/>
      <c r="KXR276" s="227"/>
      <c r="KXS276" s="227"/>
      <c r="KXT276" s="227"/>
      <c r="KXU276" s="227"/>
      <c r="KXV276" s="227"/>
      <c r="KXW276" s="227"/>
      <c r="KXX276" s="227"/>
      <c r="KXY276" s="227"/>
      <c r="KXZ276" s="227"/>
      <c r="KYA276" s="227"/>
      <c r="KYB276" s="227"/>
      <c r="KYC276" s="227"/>
      <c r="KYD276" s="227"/>
      <c r="KYE276" s="227"/>
      <c r="KYF276" s="227"/>
      <c r="KYG276" s="227"/>
      <c r="KYH276" s="227"/>
      <c r="KYI276" s="227"/>
      <c r="KYJ276" s="227"/>
      <c r="KYK276" s="227"/>
      <c r="KYL276" s="227"/>
      <c r="KYM276" s="227"/>
      <c r="KYN276" s="227"/>
      <c r="KYO276" s="227"/>
      <c r="KYP276" s="227"/>
      <c r="KYQ276" s="227"/>
      <c r="KYR276" s="227"/>
      <c r="KYS276" s="227"/>
      <c r="KYT276" s="227"/>
      <c r="KYU276" s="227"/>
      <c r="KYV276" s="227"/>
      <c r="KYW276" s="227"/>
      <c r="KYX276" s="227"/>
      <c r="KYY276" s="227"/>
      <c r="KYZ276" s="227"/>
      <c r="KZA276" s="227"/>
      <c r="KZB276" s="227"/>
      <c r="KZC276" s="227"/>
      <c r="KZD276" s="227"/>
      <c r="KZE276" s="227"/>
      <c r="KZF276" s="227"/>
      <c r="KZG276" s="227"/>
      <c r="KZH276" s="227"/>
      <c r="KZI276" s="227"/>
      <c r="KZJ276" s="227"/>
      <c r="KZK276" s="227"/>
      <c r="KZL276" s="227"/>
      <c r="KZM276" s="227"/>
      <c r="KZN276" s="227"/>
      <c r="KZO276" s="227"/>
      <c r="KZP276" s="227"/>
      <c r="KZQ276" s="227"/>
      <c r="KZR276" s="227"/>
      <c r="KZS276" s="227"/>
      <c r="KZT276" s="227"/>
      <c r="KZU276" s="227"/>
      <c r="KZV276" s="227"/>
      <c r="KZW276" s="227"/>
      <c r="KZX276" s="227"/>
      <c r="KZY276" s="227"/>
      <c r="KZZ276" s="227"/>
      <c r="LAA276" s="227"/>
      <c r="LAB276" s="227"/>
      <c r="LAC276" s="227"/>
      <c r="LAD276" s="227"/>
      <c r="LAE276" s="227"/>
      <c r="LAF276" s="227"/>
      <c r="LAG276" s="227"/>
      <c r="LAH276" s="227"/>
      <c r="LAI276" s="227"/>
      <c r="LAJ276" s="227"/>
      <c r="LAK276" s="227"/>
      <c r="LAL276" s="227"/>
      <c r="LAM276" s="227"/>
      <c r="LAN276" s="227"/>
      <c r="LAO276" s="227"/>
      <c r="LAP276" s="227"/>
      <c r="LAQ276" s="227"/>
      <c r="LAR276" s="227"/>
      <c r="LAS276" s="227"/>
      <c r="LAT276" s="227"/>
      <c r="LAU276" s="227"/>
      <c r="LAV276" s="227"/>
      <c r="LAW276" s="227"/>
      <c r="LAX276" s="227"/>
      <c r="LAY276" s="227"/>
      <c r="LAZ276" s="227"/>
      <c r="LBA276" s="227"/>
      <c r="LBB276" s="227"/>
      <c r="LBC276" s="227"/>
      <c r="LBD276" s="227"/>
      <c r="LBE276" s="227"/>
      <c r="LBF276" s="227"/>
      <c r="LBG276" s="227"/>
      <c r="LBH276" s="227"/>
      <c r="LBI276" s="227"/>
      <c r="LBJ276" s="227"/>
      <c r="LBK276" s="227"/>
      <c r="LBL276" s="227"/>
      <c r="LBM276" s="227"/>
      <c r="LBN276" s="227"/>
      <c r="LBO276" s="227"/>
      <c r="LBP276" s="227"/>
      <c r="LBQ276" s="227"/>
      <c r="LBR276" s="227"/>
      <c r="LBS276" s="227"/>
      <c r="LBT276" s="227"/>
      <c r="LBU276" s="227"/>
      <c r="LBV276" s="227"/>
      <c r="LBW276" s="227"/>
      <c r="LBX276" s="227"/>
      <c r="LBY276" s="227"/>
      <c r="LBZ276" s="227"/>
      <c r="LCA276" s="227"/>
      <c r="LCB276" s="227"/>
      <c r="LCC276" s="227"/>
      <c r="LCD276" s="227"/>
      <c r="LCE276" s="227"/>
      <c r="LCF276" s="227"/>
      <c r="LCG276" s="227"/>
      <c r="LCH276" s="227"/>
      <c r="LCI276" s="227"/>
      <c r="LCJ276" s="227"/>
      <c r="LCK276" s="227"/>
      <c r="LCL276" s="227"/>
      <c r="LCM276" s="227"/>
      <c r="LCN276" s="227"/>
      <c r="LCO276" s="227"/>
      <c r="LCP276" s="227"/>
      <c r="LCQ276" s="227"/>
      <c r="LCR276" s="227"/>
      <c r="LCS276" s="227"/>
      <c r="LCT276" s="227"/>
      <c r="LCU276" s="227"/>
      <c r="LCV276" s="227"/>
      <c r="LCW276" s="227"/>
      <c r="LCX276" s="227"/>
      <c r="LCY276" s="227"/>
      <c r="LCZ276" s="227"/>
      <c r="LDA276" s="227"/>
      <c r="LDB276" s="227"/>
      <c r="LDC276" s="227"/>
      <c r="LDD276" s="227"/>
      <c r="LDE276" s="227"/>
      <c r="LDF276" s="227"/>
      <c r="LDG276" s="227"/>
      <c r="LDH276" s="227"/>
      <c r="LDI276" s="227"/>
      <c r="LDJ276" s="227"/>
      <c r="LDK276" s="227"/>
      <c r="LDL276" s="227"/>
      <c r="LDM276" s="227"/>
      <c r="LDN276" s="227"/>
      <c r="LDO276" s="227"/>
      <c r="LDP276" s="227"/>
      <c r="LDQ276" s="227"/>
      <c r="LDR276" s="227"/>
      <c r="LDS276" s="227"/>
      <c r="LDT276" s="227"/>
      <c r="LDU276" s="227"/>
      <c r="LDV276" s="227"/>
      <c r="LDW276" s="227"/>
      <c r="LDX276" s="227"/>
      <c r="LDY276" s="227"/>
      <c r="LDZ276" s="227"/>
      <c r="LEA276" s="227"/>
      <c r="LEB276" s="227"/>
      <c r="LEC276" s="227"/>
      <c r="LED276" s="227"/>
      <c r="LEE276" s="227"/>
      <c r="LEF276" s="227"/>
      <c r="LEG276" s="227"/>
      <c r="LEH276" s="227"/>
      <c r="LEI276" s="227"/>
      <c r="LEJ276" s="227"/>
      <c r="LEK276" s="227"/>
      <c r="LEL276" s="227"/>
      <c r="LEM276" s="227"/>
      <c r="LEN276" s="227"/>
      <c r="LEO276" s="227"/>
      <c r="LEP276" s="227"/>
      <c r="LEQ276" s="227"/>
      <c r="LER276" s="227"/>
      <c r="LES276" s="227"/>
      <c r="LET276" s="227"/>
      <c r="LEU276" s="227"/>
      <c r="LEV276" s="227"/>
      <c r="LEW276" s="227"/>
      <c r="LEX276" s="227"/>
      <c r="LEY276" s="227"/>
      <c r="LEZ276" s="227"/>
      <c r="LFA276" s="227"/>
      <c r="LFB276" s="227"/>
      <c r="LFC276" s="227"/>
      <c r="LFD276" s="227"/>
      <c r="LFE276" s="227"/>
      <c r="LFF276" s="227"/>
      <c r="LFG276" s="227"/>
      <c r="LFH276" s="227"/>
      <c r="LFI276" s="227"/>
      <c r="LFJ276" s="227"/>
      <c r="LFK276" s="227"/>
      <c r="LFL276" s="227"/>
      <c r="LFM276" s="227"/>
      <c r="LFN276" s="227"/>
      <c r="LFO276" s="227"/>
      <c r="LFP276" s="227"/>
      <c r="LFQ276" s="227"/>
      <c r="LFR276" s="227"/>
      <c r="LFS276" s="227"/>
      <c r="LFT276" s="227"/>
      <c r="LFU276" s="227"/>
      <c r="LFV276" s="227"/>
      <c r="LFW276" s="227"/>
      <c r="LFX276" s="227"/>
      <c r="LFY276" s="227"/>
      <c r="LFZ276" s="227"/>
      <c r="LGA276" s="227"/>
      <c r="LGB276" s="227"/>
      <c r="LGC276" s="227"/>
      <c r="LGD276" s="227"/>
      <c r="LGE276" s="227"/>
      <c r="LGF276" s="227"/>
      <c r="LGG276" s="227"/>
      <c r="LGH276" s="227"/>
      <c r="LGI276" s="227"/>
      <c r="LGJ276" s="227"/>
      <c r="LGK276" s="227"/>
      <c r="LGL276" s="227"/>
      <c r="LGM276" s="227"/>
      <c r="LGN276" s="227"/>
      <c r="LGO276" s="227"/>
      <c r="LGP276" s="227"/>
      <c r="LGQ276" s="227"/>
      <c r="LGR276" s="227"/>
      <c r="LGS276" s="227"/>
      <c r="LGT276" s="227"/>
      <c r="LGU276" s="227"/>
      <c r="LGV276" s="227"/>
      <c r="LGW276" s="227"/>
      <c r="LGX276" s="227"/>
      <c r="LGY276" s="227"/>
      <c r="LGZ276" s="227"/>
      <c r="LHA276" s="227"/>
      <c r="LHB276" s="227"/>
      <c r="LHC276" s="227"/>
      <c r="LHD276" s="227"/>
      <c r="LHE276" s="227"/>
      <c r="LHF276" s="227"/>
      <c r="LHG276" s="227"/>
      <c r="LHH276" s="227"/>
      <c r="LHI276" s="227"/>
      <c r="LHJ276" s="227"/>
      <c r="LHK276" s="227"/>
      <c r="LHL276" s="227"/>
      <c r="LHM276" s="227"/>
      <c r="LHN276" s="227"/>
      <c r="LHO276" s="227"/>
      <c r="LHP276" s="227"/>
      <c r="LHQ276" s="227"/>
      <c r="LHR276" s="227"/>
      <c r="LHS276" s="227"/>
      <c r="LHT276" s="227"/>
      <c r="LHU276" s="227"/>
      <c r="LHV276" s="227"/>
      <c r="LHW276" s="227"/>
      <c r="LHX276" s="227"/>
      <c r="LHY276" s="227"/>
      <c r="LHZ276" s="227"/>
      <c r="LIA276" s="227"/>
      <c r="LIB276" s="227"/>
      <c r="LIC276" s="227"/>
      <c r="LID276" s="227"/>
      <c r="LIE276" s="227"/>
      <c r="LIF276" s="227"/>
      <c r="LIG276" s="227"/>
      <c r="LIH276" s="227"/>
      <c r="LII276" s="227"/>
      <c r="LIJ276" s="227"/>
      <c r="LIK276" s="227"/>
      <c r="LIL276" s="227"/>
      <c r="LIM276" s="227"/>
      <c r="LIN276" s="227"/>
      <c r="LIO276" s="227"/>
      <c r="LIP276" s="227"/>
      <c r="LIQ276" s="227"/>
      <c r="LIR276" s="227"/>
      <c r="LIS276" s="227"/>
      <c r="LIT276" s="227"/>
      <c r="LIU276" s="227"/>
      <c r="LIV276" s="227"/>
      <c r="LIW276" s="227"/>
      <c r="LIX276" s="227"/>
      <c r="LIY276" s="227"/>
      <c r="LIZ276" s="227"/>
      <c r="LJA276" s="227"/>
      <c r="LJB276" s="227"/>
      <c r="LJC276" s="227"/>
      <c r="LJD276" s="227"/>
      <c r="LJE276" s="227"/>
      <c r="LJF276" s="227"/>
      <c r="LJG276" s="227"/>
      <c r="LJH276" s="227"/>
      <c r="LJI276" s="227"/>
      <c r="LJJ276" s="227"/>
      <c r="LJK276" s="227"/>
      <c r="LJL276" s="227"/>
      <c r="LJM276" s="227"/>
      <c r="LJN276" s="227"/>
      <c r="LJO276" s="227"/>
      <c r="LJP276" s="227"/>
      <c r="LJQ276" s="227"/>
      <c r="LJR276" s="227"/>
      <c r="LJS276" s="227"/>
      <c r="LJT276" s="227"/>
      <c r="LJU276" s="227"/>
      <c r="LJV276" s="227"/>
      <c r="LJW276" s="227"/>
      <c r="LJX276" s="227"/>
      <c r="LJY276" s="227"/>
      <c r="LJZ276" s="227"/>
      <c r="LKA276" s="227"/>
      <c r="LKB276" s="227"/>
      <c r="LKC276" s="227"/>
      <c r="LKD276" s="227"/>
      <c r="LKE276" s="227"/>
      <c r="LKF276" s="227"/>
      <c r="LKG276" s="227"/>
      <c r="LKH276" s="227"/>
      <c r="LKI276" s="227"/>
      <c r="LKJ276" s="227"/>
      <c r="LKK276" s="227"/>
      <c r="LKL276" s="227"/>
      <c r="LKM276" s="227"/>
      <c r="LKN276" s="227"/>
      <c r="LKO276" s="227"/>
      <c r="LKP276" s="227"/>
      <c r="LKQ276" s="227"/>
      <c r="LKR276" s="227"/>
      <c r="LKS276" s="227"/>
      <c r="LKT276" s="227"/>
      <c r="LKU276" s="227"/>
      <c r="LKV276" s="227"/>
      <c r="LKW276" s="227"/>
      <c r="LKX276" s="227"/>
      <c r="LKY276" s="227"/>
      <c r="LKZ276" s="227"/>
      <c r="LLA276" s="227"/>
      <c r="LLB276" s="227"/>
      <c r="LLC276" s="227"/>
      <c r="LLD276" s="227"/>
      <c r="LLE276" s="227"/>
      <c r="LLF276" s="227"/>
      <c r="LLG276" s="227"/>
      <c r="LLH276" s="227"/>
      <c r="LLI276" s="227"/>
      <c r="LLJ276" s="227"/>
      <c r="LLK276" s="227"/>
      <c r="LLL276" s="227"/>
      <c r="LLM276" s="227"/>
      <c r="LLN276" s="227"/>
      <c r="LLO276" s="227"/>
      <c r="LLP276" s="227"/>
      <c r="LLQ276" s="227"/>
      <c r="LLR276" s="227"/>
      <c r="LLS276" s="227"/>
      <c r="LLT276" s="227"/>
      <c r="LLU276" s="227"/>
      <c r="LLV276" s="227"/>
      <c r="LLW276" s="227"/>
      <c r="LLX276" s="227"/>
      <c r="LLY276" s="227"/>
      <c r="LLZ276" s="227"/>
      <c r="LMA276" s="227"/>
      <c r="LMB276" s="227"/>
      <c r="LMC276" s="227"/>
      <c r="LMD276" s="227"/>
      <c r="LME276" s="227"/>
      <c r="LMF276" s="227"/>
      <c r="LMG276" s="227"/>
      <c r="LMH276" s="227"/>
      <c r="LMI276" s="227"/>
      <c r="LMJ276" s="227"/>
      <c r="LMK276" s="227"/>
      <c r="LML276" s="227"/>
      <c r="LMM276" s="227"/>
      <c r="LMN276" s="227"/>
      <c r="LMO276" s="227"/>
      <c r="LMP276" s="227"/>
      <c r="LMQ276" s="227"/>
      <c r="LMR276" s="227"/>
      <c r="LMS276" s="227"/>
      <c r="LMT276" s="227"/>
      <c r="LMU276" s="227"/>
      <c r="LMV276" s="227"/>
      <c r="LMW276" s="227"/>
      <c r="LMX276" s="227"/>
      <c r="LMY276" s="227"/>
      <c r="LMZ276" s="227"/>
      <c r="LNA276" s="227"/>
      <c r="LNB276" s="227"/>
      <c r="LNC276" s="227"/>
      <c r="LND276" s="227"/>
      <c r="LNE276" s="227"/>
      <c r="LNF276" s="227"/>
      <c r="LNG276" s="227"/>
      <c r="LNH276" s="227"/>
      <c r="LNI276" s="227"/>
      <c r="LNJ276" s="227"/>
      <c r="LNK276" s="227"/>
      <c r="LNL276" s="227"/>
      <c r="LNM276" s="227"/>
      <c r="LNN276" s="227"/>
      <c r="LNO276" s="227"/>
      <c r="LNP276" s="227"/>
      <c r="LNQ276" s="227"/>
      <c r="LNR276" s="227"/>
      <c r="LNS276" s="227"/>
      <c r="LNT276" s="227"/>
      <c r="LNU276" s="227"/>
      <c r="LNV276" s="227"/>
      <c r="LNW276" s="227"/>
      <c r="LNX276" s="227"/>
      <c r="LNY276" s="227"/>
      <c r="LNZ276" s="227"/>
      <c r="LOA276" s="227"/>
      <c r="LOB276" s="227"/>
      <c r="LOC276" s="227"/>
      <c r="LOD276" s="227"/>
      <c r="LOE276" s="227"/>
      <c r="LOF276" s="227"/>
      <c r="LOG276" s="227"/>
      <c r="LOH276" s="227"/>
      <c r="LOI276" s="227"/>
      <c r="LOJ276" s="227"/>
      <c r="LOK276" s="227"/>
      <c r="LOL276" s="227"/>
      <c r="LOM276" s="227"/>
      <c r="LON276" s="227"/>
      <c r="LOO276" s="227"/>
      <c r="LOP276" s="227"/>
      <c r="LOQ276" s="227"/>
      <c r="LOR276" s="227"/>
      <c r="LOS276" s="227"/>
      <c r="LOT276" s="227"/>
      <c r="LOU276" s="227"/>
      <c r="LOV276" s="227"/>
      <c r="LOW276" s="227"/>
      <c r="LOX276" s="227"/>
      <c r="LOY276" s="227"/>
      <c r="LOZ276" s="227"/>
      <c r="LPA276" s="227"/>
      <c r="LPB276" s="227"/>
      <c r="LPC276" s="227"/>
      <c r="LPD276" s="227"/>
      <c r="LPE276" s="227"/>
      <c r="LPF276" s="227"/>
      <c r="LPG276" s="227"/>
      <c r="LPH276" s="227"/>
      <c r="LPI276" s="227"/>
      <c r="LPJ276" s="227"/>
      <c r="LPK276" s="227"/>
      <c r="LPL276" s="227"/>
      <c r="LPM276" s="227"/>
      <c r="LPN276" s="227"/>
      <c r="LPO276" s="227"/>
      <c r="LPP276" s="227"/>
      <c r="LPQ276" s="227"/>
      <c r="LPR276" s="227"/>
      <c r="LPS276" s="227"/>
      <c r="LPT276" s="227"/>
      <c r="LPU276" s="227"/>
      <c r="LPV276" s="227"/>
      <c r="LPW276" s="227"/>
      <c r="LPX276" s="227"/>
      <c r="LPY276" s="227"/>
      <c r="LPZ276" s="227"/>
      <c r="LQA276" s="227"/>
      <c r="LQB276" s="227"/>
      <c r="LQC276" s="227"/>
      <c r="LQD276" s="227"/>
      <c r="LQE276" s="227"/>
      <c r="LQF276" s="227"/>
      <c r="LQG276" s="227"/>
      <c r="LQH276" s="227"/>
      <c r="LQI276" s="227"/>
      <c r="LQJ276" s="227"/>
      <c r="LQK276" s="227"/>
      <c r="LQL276" s="227"/>
      <c r="LQM276" s="227"/>
      <c r="LQN276" s="227"/>
      <c r="LQO276" s="227"/>
      <c r="LQP276" s="227"/>
      <c r="LQQ276" s="227"/>
      <c r="LQR276" s="227"/>
      <c r="LQS276" s="227"/>
      <c r="LQT276" s="227"/>
      <c r="LQU276" s="227"/>
      <c r="LQV276" s="227"/>
      <c r="LQW276" s="227"/>
      <c r="LQX276" s="227"/>
      <c r="LQY276" s="227"/>
      <c r="LQZ276" s="227"/>
      <c r="LRA276" s="227"/>
      <c r="LRB276" s="227"/>
      <c r="LRC276" s="227"/>
      <c r="LRD276" s="227"/>
      <c r="LRE276" s="227"/>
      <c r="LRF276" s="227"/>
      <c r="LRG276" s="227"/>
      <c r="LRH276" s="227"/>
      <c r="LRI276" s="227"/>
      <c r="LRJ276" s="227"/>
      <c r="LRK276" s="227"/>
      <c r="LRL276" s="227"/>
      <c r="LRM276" s="227"/>
      <c r="LRN276" s="227"/>
      <c r="LRO276" s="227"/>
      <c r="LRP276" s="227"/>
      <c r="LRQ276" s="227"/>
      <c r="LRR276" s="227"/>
      <c r="LRS276" s="227"/>
      <c r="LRT276" s="227"/>
      <c r="LRU276" s="227"/>
      <c r="LRV276" s="227"/>
      <c r="LRW276" s="227"/>
      <c r="LRX276" s="227"/>
      <c r="LRY276" s="227"/>
      <c r="LRZ276" s="227"/>
      <c r="LSA276" s="227"/>
      <c r="LSB276" s="227"/>
      <c r="LSC276" s="227"/>
      <c r="LSD276" s="227"/>
      <c r="LSE276" s="227"/>
      <c r="LSF276" s="227"/>
      <c r="LSG276" s="227"/>
      <c r="LSH276" s="227"/>
      <c r="LSI276" s="227"/>
      <c r="LSJ276" s="227"/>
      <c r="LSK276" s="227"/>
      <c r="LSL276" s="227"/>
      <c r="LSM276" s="227"/>
      <c r="LSN276" s="227"/>
      <c r="LSO276" s="227"/>
      <c r="LSP276" s="227"/>
      <c r="LSQ276" s="227"/>
      <c r="LSR276" s="227"/>
      <c r="LSS276" s="227"/>
      <c r="LST276" s="227"/>
      <c r="LSU276" s="227"/>
      <c r="LSV276" s="227"/>
      <c r="LSW276" s="227"/>
      <c r="LSX276" s="227"/>
      <c r="LSY276" s="227"/>
      <c r="LSZ276" s="227"/>
      <c r="LTA276" s="227"/>
      <c r="LTB276" s="227"/>
      <c r="LTC276" s="227"/>
      <c r="LTD276" s="227"/>
      <c r="LTE276" s="227"/>
      <c r="LTF276" s="227"/>
      <c r="LTG276" s="227"/>
      <c r="LTH276" s="227"/>
      <c r="LTI276" s="227"/>
      <c r="LTJ276" s="227"/>
      <c r="LTK276" s="227"/>
      <c r="LTL276" s="227"/>
      <c r="LTM276" s="227"/>
      <c r="LTN276" s="227"/>
      <c r="LTO276" s="227"/>
      <c r="LTP276" s="227"/>
      <c r="LTQ276" s="227"/>
      <c r="LTR276" s="227"/>
      <c r="LTS276" s="227"/>
      <c r="LTT276" s="227"/>
      <c r="LTU276" s="227"/>
      <c r="LTV276" s="227"/>
      <c r="LTW276" s="227"/>
      <c r="LTX276" s="227"/>
      <c r="LTY276" s="227"/>
      <c r="LTZ276" s="227"/>
      <c r="LUA276" s="227"/>
      <c r="LUB276" s="227"/>
      <c r="LUC276" s="227"/>
      <c r="LUD276" s="227"/>
      <c r="LUE276" s="227"/>
      <c r="LUF276" s="227"/>
      <c r="LUG276" s="227"/>
      <c r="LUH276" s="227"/>
      <c r="LUI276" s="227"/>
      <c r="LUJ276" s="227"/>
      <c r="LUK276" s="227"/>
      <c r="LUL276" s="227"/>
      <c r="LUM276" s="227"/>
      <c r="LUN276" s="227"/>
      <c r="LUO276" s="227"/>
      <c r="LUP276" s="227"/>
      <c r="LUQ276" s="227"/>
      <c r="LUR276" s="227"/>
      <c r="LUS276" s="227"/>
      <c r="LUT276" s="227"/>
      <c r="LUU276" s="227"/>
      <c r="LUV276" s="227"/>
      <c r="LUW276" s="227"/>
      <c r="LUX276" s="227"/>
      <c r="LUY276" s="227"/>
      <c r="LUZ276" s="227"/>
      <c r="LVA276" s="227"/>
      <c r="LVB276" s="227"/>
      <c r="LVC276" s="227"/>
      <c r="LVD276" s="227"/>
      <c r="LVE276" s="227"/>
      <c r="LVF276" s="227"/>
      <c r="LVG276" s="227"/>
      <c r="LVH276" s="227"/>
      <c r="LVI276" s="227"/>
      <c r="LVJ276" s="227"/>
      <c r="LVK276" s="227"/>
      <c r="LVL276" s="227"/>
      <c r="LVM276" s="227"/>
      <c r="LVN276" s="227"/>
      <c r="LVO276" s="227"/>
      <c r="LVP276" s="227"/>
      <c r="LVQ276" s="227"/>
      <c r="LVR276" s="227"/>
      <c r="LVS276" s="227"/>
      <c r="LVT276" s="227"/>
      <c r="LVU276" s="227"/>
      <c r="LVV276" s="227"/>
      <c r="LVW276" s="227"/>
      <c r="LVX276" s="227"/>
      <c r="LVY276" s="227"/>
      <c r="LVZ276" s="227"/>
      <c r="LWA276" s="227"/>
      <c r="LWB276" s="227"/>
      <c r="LWC276" s="227"/>
      <c r="LWD276" s="227"/>
      <c r="LWE276" s="227"/>
      <c r="LWF276" s="227"/>
      <c r="LWG276" s="227"/>
      <c r="LWH276" s="227"/>
      <c r="LWI276" s="227"/>
      <c r="LWJ276" s="227"/>
      <c r="LWK276" s="227"/>
      <c r="LWL276" s="227"/>
      <c r="LWM276" s="227"/>
      <c r="LWN276" s="227"/>
      <c r="LWO276" s="227"/>
      <c r="LWP276" s="227"/>
      <c r="LWQ276" s="227"/>
      <c r="LWR276" s="227"/>
      <c r="LWS276" s="227"/>
      <c r="LWT276" s="227"/>
      <c r="LWU276" s="227"/>
      <c r="LWV276" s="227"/>
      <c r="LWW276" s="227"/>
      <c r="LWX276" s="227"/>
      <c r="LWY276" s="227"/>
      <c r="LWZ276" s="227"/>
      <c r="LXA276" s="227"/>
      <c r="LXB276" s="227"/>
      <c r="LXC276" s="227"/>
      <c r="LXD276" s="227"/>
      <c r="LXE276" s="227"/>
      <c r="LXF276" s="227"/>
      <c r="LXG276" s="227"/>
      <c r="LXH276" s="227"/>
      <c r="LXI276" s="227"/>
      <c r="LXJ276" s="227"/>
      <c r="LXK276" s="227"/>
      <c r="LXL276" s="227"/>
      <c r="LXM276" s="227"/>
      <c r="LXN276" s="227"/>
      <c r="LXO276" s="227"/>
      <c r="LXP276" s="227"/>
      <c r="LXQ276" s="227"/>
      <c r="LXR276" s="227"/>
      <c r="LXS276" s="227"/>
      <c r="LXT276" s="227"/>
      <c r="LXU276" s="227"/>
      <c r="LXV276" s="227"/>
      <c r="LXW276" s="227"/>
      <c r="LXX276" s="227"/>
      <c r="LXY276" s="227"/>
      <c r="LXZ276" s="227"/>
      <c r="LYA276" s="227"/>
      <c r="LYB276" s="227"/>
      <c r="LYC276" s="227"/>
      <c r="LYD276" s="227"/>
      <c r="LYE276" s="227"/>
      <c r="LYF276" s="227"/>
      <c r="LYG276" s="227"/>
      <c r="LYH276" s="227"/>
      <c r="LYI276" s="227"/>
      <c r="LYJ276" s="227"/>
      <c r="LYK276" s="227"/>
      <c r="LYL276" s="227"/>
      <c r="LYM276" s="227"/>
      <c r="LYN276" s="227"/>
      <c r="LYO276" s="227"/>
      <c r="LYP276" s="227"/>
      <c r="LYQ276" s="227"/>
      <c r="LYR276" s="227"/>
      <c r="LYS276" s="227"/>
      <c r="LYT276" s="227"/>
      <c r="LYU276" s="227"/>
      <c r="LYV276" s="227"/>
      <c r="LYW276" s="227"/>
      <c r="LYX276" s="227"/>
      <c r="LYY276" s="227"/>
      <c r="LYZ276" s="227"/>
      <c r="LZA276" s="227"/>
      <c r="LZB276" s="227"/>
      <c r="LZC276" s="227"/>
      <c r="LZD276" s="227"/>
      <c r="LZE276" s="227"/>
      <c r="LZF276" s="227"/>
      <c r="LZG276" s="227"/>
      <c r="LZH276" s="227"/>
      <c r="LZI276" s="227"/>
      <c r="LZJ276" s="227"/>
      <c r="LZK276" s="227"/>
      <c r="LZL276" s="227"/>
      <c r="LZM276" s="227"/>
      <c r="LZN276" s="227"/>
      <c r="LZO276" s="227"/>
      <c r="LZP276" s="227"/>
      <c r="LZQ276" s="227"/>
      <c r="LZR276" s="227"/>
      <c r="LZS276" s="227"/>
      <c r="LZT276" s="227"/>
      <c r="LZU276" s="227"/>
      <c r="LZV276" s="227"/>
      <c r="LZW276" s="227"/>
      <c r="LZX276" s="227"/>
      <c r="LZY276" s="227"/>
      <c r="LZZ276" s="227"/>
      <c r="MAA276" s="227"/>
      <c r="MAB276" s="227"/>
      <c r="MAC276" s="227"/>
      <c r="MAD276" s="227"/>
      <c r="MAE276" s="227"/>
      <c r="MAF276" s="227"/>
      <c r="MAG276" s="227"/>
      <c r="MAH276" s="227"/>
      <c r="MAI276" s="227"/>
      <c r="MAJ276" s="227"/>
      <c r="MAK276" s="227"/>
      <c r="MAL276" s="227"/>
      <c r="MAM276" s="227"/>
      <c r="MAN276" s="227"/>
      <c r="MAO276" s="227"/>
      <c r="MAP276" s="227"/>
      <c r="MAQ276" s="227"/>
      <c r="MAR276" s="227"/>
      <c r="MAS276" s="227"/>
      <c r="MAT276" s="227"/>
      <c r="MAU276" s="227"/>
      <c r="MAV276" s="227"/>
      <c r="MAW276" s="227"/>
      <c r="MAX276" s="227"/>
      <c r="MAY276" s="227"/>
      <c r="MAZ276" s="227"/>
      <c r="MBA276" s="227"/>
      <c r="MBB276" s="227"/>
      <c r="MBC276" s="227"/>
      <c r="MBD276" s="227"/>
      <c r="MBE276" s="227"/>
      <c r="MBF276" s="227"/>
      <c r="MBG276" s="227"/>
      <c r="MBH276" s="227"/>
      <c r="MBI276" s="227"/>
      <c r="MBJ276" s="227"/>
      <c r="MBK276" s="227"/>
      <c r="MBL276" s="227"/>
      <c r="MBM276" s="227"/>
      <c r="MBN276" s="227"/>
      <c r="MBO276" s="227"/>
      <c r="MBP276" s="227"/>
      <c r="MBQ276" s="227"/>
      <c r="MBR276" s="227"/>
      <c r="MBS276" s="227"/>
      <c r="MBT276" s="227"/>
      <c r="MBU276" s="227"/>
      <c r="MBV276" s="227"/>
      <c r="MBW276" s="227"/>
      <c r="MBX276" s="227"/>
      <c r="MBY276" s="227"/>
      <c r="MBZ276" s="227"/>
      <c r="MCA276" s="227"/>
      <c r="MCB276" s="227"/>
      <c r="MCC276" s="227"/>
      <c r="MCD276" s="227"/>
      <c r="MCE276" s="227"/>
      <c r="MCF276" s="227"/>
      <c r="MCG276" s="227"/>
      <c r="MCH276" s="227"/>
      <c r="MCI276" s="227"/>
      <c r="MCJ276" s="227"/>
      <c r="MCK276" s="227"/>
      <c r="MCL276" s="227"/>
      <c r="MCM276" s="227"/>
      <c r="MCN276" s="227"/>
      <c r="MCO276" s="227"/>
      <c r="MCP276" s="227"/>
      <c r="MCQ276" s="227"/>
      <c r="MCR276" s="227"/>
      <c r="MCS276" s="227"/>
      <c r="MCT276" s="227"/>
      <c r="MCU276" s="227"/>
      <c r="MCV276" s="227"/>
      <c r="MCW276" s="227"/>
      <c r="MCX276" s="227"/>
      <c r="MCY276" s="227"/>
      <c r="MCZ276" s="227"/>
      <c r="MDA276" s="227"/>
      <c r="MDB276" s="227"/>
      <c r="MDC276" s="227"/>
      <c r="MDD276" s="227"/>
      <c r="MDE276" s="227"/>
      <c r="MDF276" s="227"/>
      <c r="MDG276" s="227"/>
      <c r="MDH276" s="227"/>
      <c r="MDI276" s="227"/>
      <c r="MDJ276" s="227"/>
      <c r="MDK276" s="227"/>
      <c r="MDL276" s="227"/>
      <c r="MDM276" s="227"/>
      <c r="MDN276" s="227"/>
      <c r="MDO276" s="227"/>
      <c r="MDP276" s="227"/>
      <c r="MDQ276" s="227"/>
      <c r="MDR276" s="227"/>
      <c r="MDS276" s="227"/>
      <c r="MDT276" s="227"/>
      <c r="MDU276" s="227"/>
      <c r="MDV276" s="227"/>
      <c r="MDW276" s="227"/>
      <c r="MDX276" s="227"/>
      <c r="MDY276" s="227"/>
      <c r="MDZ276" s="227"/>
      <c r="MEA276" s="227"/>
      <c r="MEB276" s="227"/>
      <c r="MEC276" s="227"/>
      <c r="MED276" s="227"/>
      <c r="MEE276" s="227"/>
      <c r="MEF276" s="227"/>
      <c r="MEG276" s="227"/>
      <c r="MEH276" s="227"/>
      <c r="MEI276" s="227"/>
      <c r="MEJ276" s="227"/>
      <c r="MEK276" s="227"/>
      <c r="MEL276" s="227"/>
      <c r="MEM276" s="227"/>
      <c r="MEN276" s="227"/>
      <c r="MEO276" s="227"/>
      <c r="MEP276" s="227"/>
      <c r="MEQ276" s="227"/>
      <c r="MER276" s="227"/>
      <c r="MES276" s="227"/>
      <c r="MET276" s="227"/>
      <c r="MEU276" s="227"/>
      <c r="MEV276" s="227"/>
      <c r="MEW276" s="227"/>
      <c r="MEX276" s="227"/>
      <c r="MEY276" s="227"/>
      <c r="MEZ276" s="227"/>
      <c r="MFA276" s="227"/>
      <c r="MFB276" s="227"/>
      <c r="MFC276" s="227"/>
      <c r="MFD276" s="227"/>
      <c r="MFE276" s="227"/>
      <c r="MFF276" s="227"/>
      <c r="MFG276" s="227"/>
      <c r="MFH276" s="227"/>
      <c r="MFI276" s="227"/>
      <c r="MFJ276" s="227"/>
      <c r="MFK276" s="227"/>
      <c r="MFL276" s="227"/>
      <c r="MFM276" s="227"/>
      <c r="MFN276" s="227"/>
      <c r="MFO276" s="227"/>
      <c r="MFP276" s="227"/>
      <c r="MFQ276" s="227"/>
      <c r="MFR276" s="227"/>
      <c r="MFS276" s="227"/>
      <c r="MFT276" s="227"/>
      <c r="MFU276" s="227"/>
      <c r="MFV276" s="227"/>
      <c r="MFW276" s="227"/>
      <c r="MFX276" s="227"/>
      <c r="MFY276" s="227"/>
      <c r="MFZ276" s="227"/>
      <c r="MGA276" s="227"/>
      <c r="MGB276" s="227"/>
      <c r="MGC276" s="227"/>
      <c r="MGD276" s="227"/>
      <c r="MGE276" s="227"/>
      <c r="MGF276" s="227"/>
      <c r="MGG276" s="227"/>
      <c r="MGH276" s="227"/>
      <c r="MGI276" s="227"/>
      <c r="MGJ276" s="227"/>
      <c r="MGK276" s="227"/>
      <c r="MGL276" s="227"/>
      <c r="MGM276" s="227"/>
      <c r="MGN276" s="227"/>
      <c r="MGO276" s="227"/>
      <c r="MGP276" s="227"/>
      <c r="MGQ276" s="227"/>
      <c r="MGR276" s="227"/>
      <c r="MGS276" s="227"/>
      <c r="MGT276" s="227"/>
      <c r="MGU276" s="227"/>
      <c r="MGV276" s="227"/>
      <c r="MGW276" s="227"/>
      <c r="MGX276" s="227"/>
      <c r="MGY276" s="227"/>
      <c r="MGZ276" s="227"/>
      <c r="MHA276" s="227"/>
      <c r="MHB276" s="227"/>
      <c r="MHC276" s="227"/>
      <c r="MHD276" s="227"/>
      <c r="MHE276" s="227"/>
      <c r="MHF276" s="227"/>
      <c r="MHG276" s="227"/>
      <c r="MHH276" s="227"/>
      <c r="MHI276" s="227"/>
      <c r="MHJ276" s="227"/>
      <c r="MHK276" s="227"/>
      <c r="MHL276" s="227"/>
      <c r="MHM276" s="227"/>
      <c r="MHN276" s="227"/>
      <c r="MHO276" s="227"/>
      <c r="MHP276" s="227"/>
      <c r="MHQ276" s="227"/>
      <c r="MHR276" s="227"/>
      <c r="MHS276" s="227"/>
      <c r="MHT276" s="227"/>
      <c r="MHU276" s="227"/>
      <c r="MHV276" s="227"/>
      <c r="MHW276" s="227"/>
      <c r="MHX276" s="227"/>
      <c r="MHY276" s="227"/>
      <c r="MHZ276" s="227"/>
      <c r="MIA276" s="227"/>
      <c r="MIB276" s="227"/>
      <c r="MIC276" s="227"/>
      <c r="MID276" s="227"/>
      <c r="MIE276" s="227"/>
      <c r="MIF276" s="227"/>
      <c r="MIG276" s="227"/>
      <c r="MIH276" s="227"/>
      <c r="MII276" s="227"/>
      <c r="MIJ276" s="227"/>
      <c r="MIK276" s="227"/>
      <c r="MIL276" s="227"/>
      <c r="MIM276" s="227"/>
      <c r="MIN276" s="227"/>
      <c r="MIO276" s="227"/>
      <c r="MIP276" s="227"/>
      <c r="MIQ276" s="227"/>
      <c r="MIR276" s="227"/>
      <c r="MIS276" s="227"/>
      <c r="MIT276" s="227"/>
      <c r="MIU276" s="227"/>
      <c r="MIV276" s="227"/>
      <c r="MIW276" s="227"/>
      <c r="MIX276" s="227"/>
      <c r="MIY276" s="227"/>
      <c r="MIZ276" s="227"/>
      <c r="MJA276" s="227"/>
      <c r="MJB276" s="227"/>
      <c r="MJC276" s="227"/>
      <c r="MJD276" s="227"/>
      <c r="MJE276" s="227"/>
      <c r="MJF276" s="227"/>
      <c r="MJG276" s="227"/>
      <c r="MJH276" s="227"/>
      <c r="MJI276" s="227"/>
      <c r="MJJ276" s="227"/>
      <c r="MJK276" s="227"/>
      <c r="MJL276" s="227"/>
      <c r="MJM276" s="227"/>
      <c r="MJN276" s="227"/>
      <c r="MJO276" s="227"/>
      <c r="MJP276" s="227"/>
      <c r="MJQ276" s="227"/>
      <c r="MJR276" s="227"/>
      <c r="MJS276" s="227"/>
      <c r="MJT276" s="227"/>
      <c r="MJU276" s="227"/>
      <c r="MJV276" s="227"/>
      <c r="MJW276" s="227"/>
      <c r="MJX276" s="227"/>
      <c r="MJY276" s="227"/>
      <c r="MJZ276" s="227"/>
      <c r="MKA276" s="227"/>
      <c r="MKB276" s="227"/>
      <c r="MKC276" s="227"/>
      <c r="MKD276" s="227"/>
      <c r="MKE276" s="227"/>
      <c r="MKF276" s="227"/>
      <c r="MKG276" s="227"/>
      <c r="MKH276" s="227"/>
      <c r="MKI276" s="227"/>
      <c r="MKJ276" s="227"/>
      <c r="MKK276" s="227"/>
      <c r="MKL276" s="227"/>
      <c r="MKM276" s="227"/>
      <c r="MKN276" s="227"/>
      <c r="MKO276" s="227"/>
      <c r="MKP276" s="227"/>
      <c r="MKQ276" s="227"/>
      <c r="MKR276" s="227"/>
      <c r="MKS276" s="227"/>
      <c r="MKT276" s="227"/>
      <c r="MKU276" s="227"/>
      <c r="MKV276" s="227"/>
      <c r="MKW276" s="227"/>
      <c r="MKX276" s="227"/>
      <c r="MKY276" s="227"/>
      <c r="MKZ276" s="227"/>
      <c r="MLA276" s="227"/>
      <c r="MLB276" s="227"/>
      <c r="MLC276" s="227"/>
      <c r="MLD276" s="227"/>
      <c r="MLE276" s="227"/>
      <c r="MLF276" s="227"/>
      <c r="MLG276" s="227"/>
      <c r="MLH276" s="227"/>
      <c r="MLI276" s="227"/>
      <c r="MLJ276" s="227"/>
      <c r="MLK276" s="227"/>
      <c r="MLL276" s="227"/>
      <c r="MLM276" s="227"/>
      <c r="MLN276" s="227"/>
      <c r="MLO276" s="227"/>
      <c r="MLP276" s="227"/>
      <c r="MLQ276" s="227"/>
      <c r="MLR276" s="227"/>
      <c r="MLS276" s="227"/>
      <c r="MLT276" s="227"/>
      <c r="MLU276" s="227"/>
      <c r="MLV276" s="227"/>
      <c r="MLW276" s="227"/>
      <c r="MLX276" s="227"/>
      <c r="MLY276" s="227"/>
      <c r="MLZ276" s="227"/>
      <c r="MMA276" s="227"/>
      <c r="MMB276" s="227"/>
      <c r="MMC276" s="227"/>
      <c r="MMD276" s="227"/>
      <c r="MME276" s="227"/>
      <c r="MMF276" s="227"/>
      <c r="MMG276" s="227"/>
      <c r="MMH276" s="227"/>
      <c r="MMI276" s="227"/>
      <c r="MMJ276" s="227"/>
      <c r="MMK276" s="227"/>
      <c r="MML276" s="227"/>
      <c r="MMM276" s="227"/>
      <c r="MMN276" s="227"/>
      <c r="MMO276" s="227"/>
      <c r="MMP276" s="227"/>
      <c r="MMQ276" s="227"/>
      <c r="MMR276" s="227"/>
      <c r="MMS276" s="227"/>
      <c r="MMT276" s="227"/>
      <c r="MMU276" s="227"/>
      <c r="MMV276" s="227"/>
      <c r="MMW276" s="227"/>
      <c r="MMX276" s="227"/>
      <c r="MMY276" s="227"/>
      <c r="MMZ276" s="227"/>
      <c r="MNA276" s="227"/>
      <c r="MNB276" s="227"/>
      <c r="MNC276" s="227"/>
      <c r="MND276" s="227"/>
      <c r="MNE276" s="227"/>
      <c r="MNF276" s="227"/>
      <c r="MNG276" s="227"/>
      <c r="MNH276" s="227"/>
      <c r="MNI276" s="227"/>
      <c r="MNJ276" s="227"/>
      <c r="MNK276" s="227"/>
      <c r="MNL276" s="227"/>
      <c r="MNM276" s="227"/>
      <c r="MNN276" s="227"/>
      <c r="MNO276" s="227"/>
      <c r="MNP276" s="227"/>
      <c r="MNQ276" s="227"/>
      <c r="MNR276" s="227"/>
      <c r="MNS276" s="227"/>
      <c r="MNT276" s="227"/>
      <c r="MNU276" s="227"/>
      <c r="MNV276" s="227"/>
      <c r="MNW276" s="227"/>
      <c r="MNX276" s="227"/>
      <c r="MNY276" s="227"/>
      <c r="MNZ276" s="227"/>
      <c r="MOA276" s="227"/>
      <c r="MOB276" s="227"/>
      <c r="MOC276" s="227"/>
      <c r="MOD276" s="227"/>
      <c r="MOE276" s="227"/>
      <c r="MOF276" s="227"/>
      <c r="MOG276" s="227"/>
      <c r="MOH276" s="227"/>
      <c r="MOI276" s="227"/>
      <c r="MOJ276" s="227"/>
      <c r="MOK276" s="227"/>
      <c r="MOL276" s="227"/>
      <c r="MOM276" s="227"/>
      <c r="MON276" s="227"/>
      <c r="MOO276" s="227"/>
      <c r="MOP276" s="227"/>
      <c r="MOQ276" s="227"/>
      <c r="MOR276" s="227"/>
      <c r="MOS276" s="227"/>
      <c r="MOT276" s="227"/>
      <c r="MOU276" s="227"/>
      <c r="MOV276" s="227"/>
      <c r="MOW276" s="227"/>
      <c r="MOX276" s="227"/>
      <c r="MOY276" s="227"/>
      <c r="MOZ276" s="227"/>
      <c r="MPA276" s="227"/>
      <c r="MPB276" s="227"/>
      <c r="MPC276" s="227"/>
      <c r="MPD276" s="227"/>
      <c r="MPE276" s="227"/>
      <c r="MPF276" s="227"/>
      <c r="MPG276" s="227"/>
      <c r="MPH276" s="227"/>
      <c r="MPI276" s="227"/>
      <c r="MPJ276" s="227"/>
      <c r="MPK276" s="227"/>
      <c r="MPL276" s="227"/>
      <c r="MPM276" s="227"/>
      <c r="MPN276" s="227"/>
      <c r="MPO276" s="227"/>
      <c r="MPP276" s="227"/>
      <c r="MPQ276" s="227"/>
      <c r="MPR276" s="227"/>
      <c r="MPS276" s="227"/>
      <c r="MPT276" s="227"/>
      <c r="MPU276" s="227"/>
      <c r="MPV276" s="227"/>
      <c r="MPW276" s="227"/>
      <c r="MPX276" s="227"/>
      <c r="MPY276" s="227"/>
      <c r="MPZ276" s="227"/>
      <c r="MQA276" s="227"/>
      <c r="MQB276" s="227"/>
      <c r="MQC276" s="227"/>
      <c r="MQD276" s="227"/>
      <c r="MQE276" s="227"/>
      <c r="MQF276" s="227"/>
      <c r="MQG276" s="227"/>
      <c r="MQH276" s="227"/>
      <c r="MQI276" s="227"/>
      <c r="MQJ276" s="227"/>
      <c r="MQK276" s="227"/>
      <c r="MQL276" s="227"/>
      <c r="MQM276" s="227"/>
      <c r="MQN276" s="227"/>
      <c r="MQO276" s="227"/>
      <c r="MQP276" s="227"/>
      <c r="MQQ276" s="227"/>
      <c r="MQR276" s="227"/>
      <c r="MQS276" s="227"/>
      <c r="MQT276" s="227"/>
      <c r="MQU276" s="227"/>
      <c r="MQV276" s="227"/>
      <c r="MQW276" s="227"/>
      <c r="MQX276" s="227"/>
      <c r="MQY276" s="227"/>
      <c r="MQZ276" s="227"/>
      <c r="MRA276" s="227"/>
      <c r="MRB276" s="227"/>
      <c r="MRC276" s="227"/>
      <c r="MRD276" s="227"/>
      <c r="MRE276" s="227"/>
      <c r="MRF276" s="227"/>
      <c r="MRG276" s="227"/>
      <c r="MRH276" s="227"/>
      <c r="MRI276" s="227"/>
      <c r="MRJ276" s="227"/>
      <c r="MRK276" s="227"/>
      <c r="MRL276" s="227"/>
      <c r="MRM276" s="227"/>
      <c r="MRN276" s="227"/>
      <c r="MRO276" s="227"/>
      <c r="MRP276" s="227"/>
      <c r="MRQ276" s="227"/>
      <c r="MRR276" s="227"/>
      <c r="MRS276" s="227"/>
      <c r="MRT276" s="227"/>
      <c r="MRU276" s="227"/>
      <c r="MRV276" s="227"/>
      <c r="MRW276" s="227"/>
      <c r="MRX276" s="227"/>
      <c r="MRY276" s="227"/>
      <c r="MRZ276" s="227"/>
      <c r="MSA276" s="227"/>
      <c r="MSB276" s="227"/>
      <c r="MSC276" s="227"/>
      <c r="MSD276" s="227"/>
      <c r="MSE276" s="227"/>
      <c r="MSF276" s="227"/>
      <c r="MSG276" s="227"/>
      <c r="MSH276" s="227"/>
      <c r="MSI276" s="227"/>
      <c r="MSJ276" s="227"/>
      <c r="MSK276" s="227"/>
      <c r="MSL276" s="227"/>
      <c r="MSM276" s="227"/>
      <c r="MSN276" s="227"/>
      <c r="MSO276" s="227"/>
      <c r="MSP276" s="227"/>
      <c r="MSQ276" s="227"/>
      <c r="MSR276" s="227"/>
      <c r="MSS276" s="227"/>
      <c r="MST276" s="227"/>
      <c r="MSU276" s="227"/>
      <c r="MSV276" s="227"/>
      <c r="MSW276" s="227"/>
      <c r="MSX276" s="227"/>
      <c r="MSY276" s="227"/>
      <c r="MSZ276" s="227"/>
      <c r="MTA276" s="227"/>
      <c r="MTB276" s="227"/>
      <c r="MTC276" s="227"/>
      <c r="MTD276" s="227"/>
      <c r="MTE276" s="227"/>
      <c r="MTF276" s="227"/>
      <c r="MTG276" s="227"/>
      <c r="MTH276" s="227"/>
      <c r="MTI276" s="227"/>
      <c r="MTJ276" s="227"/>
      <c r="MTK276" s="227"/>
      <c r="MTL276" s="227"/>
      <c r="MTM276" s="227"/>
      <c r="MTN276" s="227"/>
      <c r="MTO276" s="227"/>
      <c r="MTP276" s="227"/>
      <c r="MTQ276" s="227"/>
      <c r="MTR276" s="227"/>
      <c r="MTS276" s="227"/>
      <c r="MTT276" s="227"/>
      <c r="MTU276" s="227"/>
      <c r="MTV276" s="227"/>
      <c r="MTW276" s="227"/>
      <c r="MTX276" s="227"/>
      <c r="MTY276" s="227"/>
      <c r="MTZ276" s="227"/>
      <c r="MUA276" s="227"/>
      <c r="MUB276" s="227"/>
      <c r="MUC276" s="227"/>
      <c r="MUD276" s="227"/>
      <c r="MUE276" s="227"/>
      <c r="MUF276" s="227"/>
      <c r="MUG276" s="227"/>
      <c r="MUH276" s="227"/>
      <c r="MUI276" s="227"/>
      <c r="MUJ276" s="227"/>
      <c r="MUK276" s="227"/>
      <c r="MUL276" s="227"/>
      <c r="MUM276" s="227"/>
      <c r="MUN276" s="227"/>
      <c r="MUO276" s="227"/>
      <c r="MUP276" s="227"/>
      <c r="MUQ276" s="227"/>
      <c r="MUR276" s="227"/>
      <c r="MUS276" s="227"/>
      <c r="MUT276" s="227"/>
      <c r="MUU276" s="227"/>
      <c r="MUV276" s="227"/>
      <c r="MUW276" s="227"/>
      <c r="MUX276" s="227"/>
      <c r="MUY276" s="227"/>
      <c r="MUZ276" s="227"/>
      <c r="MVA276" s="227"/>
      <c r="MVB276" s="227"/>
      <c r="MVC276" s="227"/>
      <c r="MVD276" s="227"/>
      <c r="MVE276" s="227"/>
      <c r="MVF276" s="227"/>
      <c r="MVG276" s="227"/>
      <c r="MVH276" s="227"/>
      <c r="MVI276" s="227"/>
      <c r="MVJ276" s="227"/>
      <c r="MVK276" s="227"/>
      <c r="MVL276" s="227"/>
      <c r="MVM276" s="227"/>
      <c r="MVN276" s="227"/>
      <c r="MVO276" s="227"/>
      <c r="MVP276" s="227"/>
      <c r="MVQ276" s="227"/>
      <c r="MVR276" s="227"/>
      <c r="MVS276" s="227"/>
      <c r="MVT276" s="227"/>
      <c r="MVU276" s="227"/>
      <c r="MVV276" s="227"/>
      <c r="MVW276" s="227"/>
      <c r="MVX276" s="227"/>
      <c r="MVY276" s="227"/>
      <c r="MVZ276" s="227"/>
      <c r="MWA276" s="227"/>
      <c r="MWB276" s="227"/>
      <c r="MWC276" s="227"/>
      <c r="MWD276" s="227"/>
      <c r="MWE276" s="227"/>
      <c r="MWF276" s="227"/>
      <c r="MWG276" s="227"/>
      <c r="MWH276" s="227"/>
      <c r="MWI276" s="227"/>
      <c r="MWJ276" s="227"/>
      <c r="MWK276" s="227"/>
      <c r="MWL276" s="227"/>
      <c r="MWM276" s="227"/>
      <c r="MWN276" s="227"/>
      <c r="MWO276" s="227"/>
      <c r="MWP276" s="227"/>
      <c r="MWQ276" s="227"/>
      <c r="MWR276" s="227"/>
      <c r="MWS276" s="227"/>
      <c r="MWT276" s="227"/>
      <c r="MWU276" s="227"/>
      <c r="MWV276" s="227"/>
      <c r="MWW276" s="227"/>
      <c r="MWX276" s="227"/>
      <c r="MWY276" s="227"/>
      <c r="MWZ276" s="227"/>
      <c r="MXA276" s="227"/>
      <c r="MXB276" s="227"/>
      <c r="MXC276" s="227"/>
      <c r="MXD276" s="227"/>
      <c r="MXE276" s="227"/>
      <c r="MXF276" s="227"/>
      <c r="MXG276" s="227"/>
      <c r="MXH276" s="227"/>
      <c r="MXI276" s="227"/>
      <c r="MXJ276" s="227"/>
      <c r="MXK276" s="227"/>
      <c r="MXL276" s="227"/>
      <c r="MXM276" s="227"/>
      <c r="MXN276" s="227"/>
      <c r="MXO276" s="227"/>
      <c r="MXP276" s="227"/>
      <c r="MXQ276" s="227"/>
      <c r="MXR276" s="227"/>
      <c r="MXS276" s="227"/>
      <c r="MXT276" s="227"/>
      <c r="MXU276" s="227"/>
      <c r="MXV276" s="227"/>
      <c r="MXW276" s="227"/>
      <c r="MXX276" s="227"/>
      <c r="MXY276" s="227"/>
      <c r="MXZ276" s="227"/>
      <c r="MYA276" s="227"/>
      <c r="MYB276" s="227"/>
      <c r="MYC276" s="227"/>
      <c r="MYD276" s="227"/>
      <c r="MYE276" s="227"/>
      <c r="MYF276" s="227"/>
      <c r="MYG276" s="227"/>
      <c r="MYH276" s="227"/>
      <c r="MYI276" s="227"/>
      <c r="MYJ276" s="227"/>
      <c r="MYK276" s="227"/>
      <c r="MYL276" s="227"/>
      <c r="MYM276" s="227"/>
      <c r="MYN276" s="227"/>
      <c r="MYO276" s="227"/>
      <c r="MYP276" s="227"/>
      <c r="MYQ276" s="227"/>
      <c r="MYR276" s="227"/>
      <c r="MYS276" s="227"/>
      <c r="MYT276" s="227"/>
      <c r="MYU276" s="227"/>
      <c r="MYV276" s="227"/>
      <c r="MYW276" s="227"/>
      <c r="MYX276" s="227"/>
      <c r="MYY276" s="227"/>
      <c r="MYZ276" s="227"/>
      <c r="MZA276" s="227"/>
      <c r="MZB276" s="227"/>
      <c r="MZC276" s="227"/>
      <c r="MZD276" s="227"/>
      <c r="MZE276" s="227"/>
      <c r="MZF276" s="227"/>
      <c r="MZG276" s="227"/>
      <c r="MZH276" s="227"/>
      <c r="MZI276" s="227"/>
      <c r="MZJ276" s="227"/>
      <c r="MZK276" s="227"/>
      <c r="MZL276" s="227"/>
      <c r="MZM276" s="227"/>
      <c r="MZN276" s="227"/>
      <c r="MZO276" s="227"/>
      <c r="MZP276" s="227"/>
      <c r="MZQ276" s="227"/>
      <c r="MZR276" s="227"/>
      <c r="MZS276" s="227"/>
      <c r="MZT276" s="227"/>
      <c r="MZU276" s="227"/>
      <c r="MZV276" s="227"/>
      <c r="MZW276" s="227"/>
      <c r="MZX276" s="227"/>
      <c r="MZY276" s="227"/>
      <c r="MZZ276" s="227"/>
      <c r="NAA276" s="227"/>
      <c r="NAB276" s="227"/>
      <c r="NAC276" s="227"/>
      <c r="NAD276" s="227"/>
      <c r="NAE276" s="227"/>
      <c r="NAF276" s="227"/>
      <c r="NAG276" s="227"/>
      <c r="NAH276" s="227"/>
      <c r="NAI276" s="227"/>
      <c r="NAJ276" s="227"/>
      <c r="NAK276" s="227"/>
      <c r="NAL276" s="227"/>
      <c r="NAM276" s="227"/>
      <c r="NAN276" s="227"/>
      <c r="NAO276" s="227"/>
      <c r="NAP276" s="227"/>
      <c r="NAQ276" s="227"/>
      <c r="NAR276" s="227"/>
      <c r="NAS276" s="227"/>
      <c r="NAT276" s="227"/>
      <c r="NAU276" s="227"/>
      <c r="NAV276" s="227"/>
      <c r="NAW276" s="227"/>
      <c r="NAX276" s="227"/>
      <c r="NAY276" s="227"/>
      <c r="NAZ276" s="227"/>
      <c r="NBA276" s="227"/>
      <c r="NBB276" s="227"/>
      <c r="NBC276" s="227"/>
      <c r="NBD276" s="227"/>
      <c r="NBE276" s="227"/>
      <c r="NBF276" s="227"/>
      <c r="NBG276" s="227"/>
      <c r="NBH276" s="227"/>
      <c r="NBI276" s="227"/>
      <c r="NBJ276" s="227"/>
      <c r="NBK276" s="227"/>
      <c r="NBL276" s="227"/>
      <c r="NBM276" s="227"/>
      <c r="NBN276" s="227"/>
      <c r="NBO276" s="227"/>
      <c r="NBP276" s="227"/>
      <c r="NBQ276" s="227"/>
      <c r="NBR276" s="227"/>
      <c r="NBS276" s="227"/>
      <c r="NBT276" s="227"/>
      <c r="NBU276" s="227"/>
      <c r="NBV276" s="227"/>
      <c r="NBW276" s="227"/>
      <c r="NBX276" s="227"/>
      <c r="NBY276" s="227"/>
      <c r="NBZ276" s="227"/>
      <c r="NCA276" s="227"/>
      <c r="NCB276" s="227"/>
      <c r="NCC276" s="227"/>
      <c r="NCD276" s="227"/>
      <c r="NCE276" s="227"/>
      <c r="NCF276" s="227"/>
      <c r="NCG276" s="227"/>
      <c r="NCH276" s="227"/>
      <c r="NCI276" s="227"/>
      <c r="NCJ276" s="227"/>
      <c r="NCK276" s="227"/>
      <c r="NCL276" s="227"/>
      <c r="NCM276" s="227"/>
      <c r="NCN276" s="227"/>
      <c r="NCO276" s="227"/>
      <c r="NCP276" s="227"/>
      <c r="NCQ276" s="227"/>
      <c r="NCR276" s="227"/>
      <c r="NCS276" s="227"/>
      <c r="NCT276" s="227"/>
      <c r="NCU276" s="227"/>
      <c r="NCV276" s="227"/>
      <c r="NCW276" s="227"/>
      <c r="NCX276" s="227"/>
      <c r="NCY276" s="227"/>
      <c r="NCZ276" s="227"/>
      <c r="NDA276" s="227"/>
      <c r="NDB276" s="227"/>
      <c r="NDC276" s="227"/>
      <c r="NDD276" s="227"/>
      <c r="NDE276" s="227"/>
      <c r="NDF276" s="227"/>
      <c r="NDG276" s="227"/>
      <c r="NDH276" s="227"/>
      <c r="NDI276" s="227"/>
      <c r="NDJ276" s="227"/>
      <c r="NDK276" s="227"/>
      <c r="NDL276" s="227"/>
      <c r="NDM276" s="227"/>
      <c r="NDN276" s="227"/>
      <c r="NDO276" s="227"/>
      <c r="NDP276" s="227"/>
      <c r="NDQ276" s="227"/>
      <c r="NDR276" s="227"/>
      <c r="NDS276" s="227"/>
      <c r="NDT276" s="227"/>
      <c r="NDU276" s="227"/>
      <c r="NDV276" s="227"/>
      <c r="NDW276" s="227"/>
      <c r="NDX276" s="227"/>
      <c r="NDY276" s="227"/>
      <c r="NDZ276" s="227"/>
      <c r="NEA276" s="227"/>
      <c r="NEB276" s="227"/>
      <c r="NEC276" s="227"/>
      <c r="NED276" s="227"/>
      <c r="NEE276" s="227"/>
      <c r="NEF276" s="227"/>
      <c r="NEG276" s="227"/>
      <c r="NEH276" s="227"/>
      <c r="NEI276" s="227"/>
      <c r="NEJ276" s="227"/>
      <c r="NEK276" s="227"/>
      <c r="NEL276" s="227"/>
      <c r="NEM276" s="227"/>
      <c r="NEN276" s="227"/>
      <c r="NEO276" s="227"/>
      <c r="NEP276" s="227"/>
      <c r="NEQ276" s="227"/>
      <c r="NER276" s="227"/>
      <c r="NES276" s="227"/>
      <c r="NET276" s="227"/>
      <c r="NEU276" s="227"/>
      <c r="NEV276" s="227"/>
      <c r="NEW276" s="227"/>
      <c r="NEX276" s="227"/>
      <c r="NEY276" s="227"/>
      <c r="NEZ276" s="227"/>
      <c r="NFA276" s="227"/>
      <c r="NFB276" s="227"/>
      <c r="NFC276" s="227"/>
      <c r="NFD276" s="227"/>
      <c r="NFE276" s="227"/>
      <c r="NFF276" s="227"/>
      <c r="NFG276" s="227"/>
      <c r="NFH276" s="227"/>
      <c r="NFI276" s="227"/>
      <c r="NFJ276" s="227"/>
      <c r="NFK276" s="227"/>
      <c r="NFL276" s="227"/>
      <c r="NFM276" s="227"/>
      <c r="NFN276" s="227"/>
      <c r="NFO276" s="227"/>
      <c r="NFP276" s="227"/>
      <c r="NFQ276" s="227"/>
      <c r="NFR276" s="227"/>
      <c r="NFS276" s="227"/>
      <c r="NFT276" s="227"/>
      <c r="NFU276" s="227"/>
      <c r="NFV276" s="227"/>
      <c r="NFW276" s="227"/>
      <c r="NFX276" s="227"/>
      <c r="NFY276" s="227"/>
      <c r="NFZ276" s="227"/>
      <c r="NGA276" s="227"/>
      <c r="NGB276" s="227"/>
      <c r="NGC276" s="227"/>
      <c r="NGD276" s="227"/>
      <c r="NGE276" s="227"/>
      <c r="NGF276" s="227"/>
      <c r="NGG276" s="227"/>
      <c r="NGH276" s="227"/>
      <c r="NGI276" s="227"/>
      <c r="NGJ276" s="227"/>
      <c r="NGK276" s="227"/>
      <c r="NGL276" s="227"/>
      <c r="NGM276" s="227"/>
      <c r="NGN276" s="227"/>
      <c r="NGO276" s="227"/>
      <c r="NGP276" s="227"/>
      <c r="NGQ276" s="227"/>
      <c r="NGR276" s="227"/>
      <c r="NGS276" s="227"/>
      <c r="NGT276" s="227"/>
      <c r="NGU276" s="227"/>
      <c r="NGV276" s="227"/>
      <c r="NGW276" s="227"/>
      <c r="NGX276" s="227"/>
      <c r="NGY276" s="227"/>
      <c r="NGZ276" s="227"/>
      <c r="NHA276" s="227"/>
      <c r="NHB276" s="227"/>
      <c r="NHC276" s="227"/>
      <c r="NHD276" s="227"/>
      <c r="NHE276" s="227"/>
      <c r="NHF276" s="227"/>
      <c r="NHG276" s="227"/>
      <c r="NHH276" s="227"/>
      <c r="NHI276" s="227"/>
      <c r="NHJ276" s="227"/>
      <c r="NHK276" s="227"/>
      <c r="NHL276" s="227"/>
      <c r="NHM276" s="227"/>
      <c r="NHN276" s="227"/>
      <c r="NHO276" s="227"/>
      <c r="NHP276" s="227"/>
      <c r="NHQ276" s="227"/>
      <c r="NHR276" s="227"/>
      <c r="NHS276" s="227"/>
      <c r="NHT276" s="227"/>
      <c r="NHU276" s="227"/>
      <c r="NHV276" s="227"/>
      <c r="NHW276" s="227"/>
      <c r="NHX276" s="227"/>
      <c r="NHY276" s="227"/>
      <c r="NHZ276" s="227"/>
      <c r="NIA276" s="227"/>
      <c r="NIB276" s="227"/>
      <c r="NIC276" s="227"/>
      <c r="NID276" s="227"/>
      <c r="NIE276" s="227"/>
      <c r="NIF276" s="227"/>
      <c r="NIG276" s="227"/>
      <c r="NIH276" s="227"/>
      <c r="NII276" s="227"/>
      <c r="NIJ276" s="227"/>
      <c r="NIK276" s="227"/>
      <c r="NIL276" s="227"/>
      <c r="NIM276" s="227"/>
      <c r="NIN276" s="227"/>
      <c r="NIO276" s="227"/>
      <c r="NIP276" s="227"/>
      <c r="NIQ276" s="227"/>
      <c r="NIR276" s="227"/>
      <c r="NIS276" s="227"/>
      <c r="NIT276" s="227"/>
      <c r="NIU276" s="227"/>
      <c r="NIV276" s="227"/>
      <c r="NIW276" s="227"/>
      <c r="NIX276" s="227"/>
      <c r="NIY276" s="227"/>
      <c r="NIZ276" s="227"/>
      <c r="NJA276" s="227"/>
      <c r="NJB276" s="227"/>
      <c r="NJC276" s="227"/>
      <c r="NJD276" s="227"/>
      <c r="NJE276" s="227"/>
      <c r="NJF276" s="227"/>
      <c r="NJG276" s="227"/>
      <c r="NJH276" s="227"/>
      <c r="NJI276" s="227"/>
      <c r="NJJ276" s="227"/>
      <c r="NJK276" s="227"/>
      <c r="NJL276" s="227"/>
      <c r="NJM276" s="227"/>
      <c r="NJN276" s="227"/>
      <c r="NJO276" s="227"/>
      <c r="NJP276" s="227"/>
      <c r="NJQ276" s="227"/>
      <c r="NJR276" s="227"/>
      <c r="NJS276" s="227"/>
      <c r="NJT276" s="227"/>
      <c r="NJU276" s="227"/>
      <c r="NJV276" s="227"/>
      <c r="NJW276" s="227"/>
      <c r="NJX276" s="227"/>
      <c r="NJY276" s="227"/>
      <c r="NJZ276" s="227"/>
      <c r="NKA276" s="227"/>
      <c r="NKB276" s="227"/>
      <c r="NKC276" s="227"/>
      <c r="NKD276" s="227"/>
      <c r="NKE276" s="227"/>
      <c r="NKF276" s="227"/>
      <c r="NKG276" s="227"/>
      <c r="NKH276" s="227"/>
      <c r="NKI276" s="227"/>
      <c r="NKJ276" s="227"/>
      <c r="NKK276" s="227"/>
      <c r="NKL276" s="227"/>
      <c r="NKM276" s="227"/>
      <c r="NKN276" s="227"/>
      <c r="NKO276" s="227"/>
      <c r="NKP276" s="227"/>
      <c r="NKQ276" s="227"/>
      <c r="NKR276" s="227"/>
      <c r="NKS276" s="227"/>
      <c r="NKT276" s="227"/>
      <c r="NKU276" s="227"/>
      <c r="NKV276" s="227"/>
      <c r="NKW276" s="227"/>
      <c r="NKX276" s="227"/>
      <c r="NKY276" s="227"/>
      <c r="NKZ276" s="227"/>
      <c r="NLA276" s="227"/>
      <c r="NLB276" s="227"/>
      <c r="NLC276" s="227"/>
      <c r="NLD276" s="227"/>
      <c r="NLE276" s="227"/>
      <c r="NLF276" s="227"/>
      <c r="NLG276" s="227"/>
      <c r="NLH276" s="227"/>
      <c r="NLI276" s="227"/>
      <c r="NLJ276" s="227"/>
      <c r="NLK276" s="227"/>
      <c r="NLL276" s="227"/>
      <c r="NLM276" s="227"/>
      <c r="NLN276" s="227"/>
      <c r="NLO276" s="227"/>
      <c r="NLP276" s="227"/>
      <c r="NLQ276" s="227"/>
      <c r="NLR276" s="227"/>
      <c r="NLS276" s="227"/>
      <c r="NLT276" s="227"/>
      <c r="NLU276" s="227"/>
      <c r="NLV276" s="227"/>
      <c r="NLW276" s="227"/>
      <c r="NLX276" s="227"/>
      <c r="NLY276" s="227"/>
      <c r="NLZ276" s="227"/>
      <c r="NMA276" s="227"/>
      <c r="NMB276" s="227"/>
      <c r="NMC276" s="227"/>
      <c r="NMD276" s="227"/>
      <c r="NME276" s="227"/>
      <c r="NMF276" s="227"/>
      <c r="NMG276" s="227"/>
      <c r="NMH276" s="227"/>
      <c r="NMI276" s="227"/>
      <c r="NMJ276" s="227"/>
      <c r="NMK276" s="227"/>
      <c r="NML276" s="227"/>
      <c r="NMM276" s="227"/>
      <c r="NMN276" s="227"/>
      <c r="NMO276" s="227"/>
      <c r="NMP276" s="227"/>
      <c r="NMQ276" s="227"/>
      <c r="NMR276" s="227"/>
      <c r="NMS276" s="227"/>
      <c r="NMT276" s="227"/>
      <c r="NMU276" s="227"/>
      <c r="NMV276" s="227"/>
      <c r="NMW276" s="227"/>
      <c r="NMX276" s="227"/>
      <c r="NMY276" s="227"/>
      <c r="NMZ276" s="227"/>
      <c r="NNA276" s="227"/>
      <c r="NNB276" s="227"/>
      <c r="NNC276" s="227"/>
      <c r="NND276" s="227"/>
      <c r="NNE276" s="227"/>
      <c r="NNF276" s="227"/>
      <c r="NNG276" s="227"/>
      <c r="NNH276" s="227"/>
      <c r="NNI276" s="227"/>
      <c r="NNJ276" s="227"/>
      <c r="NNK276" s="227"/>
      <c r="NNL276" s="227"/>
      <c r="NNM276" s="227"/>
      <c r="NNN276" s="227"/>
      <c r="NNO276" s="227"/>
      <c r="NNP276" s="227"/>
      <c r="NNQ276" s="227"/>
      <c r="NNR276" s="227"/>
      <c r="NNS276" s="227"/>
      <c r="NNT276" s="227"/>
      <c r="NNU276" s="227"/>
      <c r="NNV276" s="227"/>
      <c r="NNW276" s="227"/>
      <c r="NNX276" s="227"/>
      <c r="NNY276" s="227"/>
      <c r="NNZ276" s="227"/>
      <c r="NOA276" s="227"/>
      <c r="NOB276" s="227"/>
      <c r="NOC276" s="227"/>
      <c r="NOD276" s="227"/>
      <c r="NOE276" s="227"/>
      <c r="NOF276" s="227"/>
      <c r="NOG276" s="227"/>
      <c r="NOH276" s="227"/>
      <c r="NOI276" s="227"/>
      <c r="NOJ276" s="227"/>
      <c r="NOK276" s="227"/>
      <c r="NOL276" s="227"/>
      <c r="NOM276" s="227"/>
      <c r="NON276" s="227"/>
      <c r="NOO276" s="227"/>
      <c r="NOP276" s="227"/>
      <c r="NOQ276" s="227"/>
      <c r="NOR276" s="227"/>
      <c r="NOS276" s="227"/>
      <c r="NOT276" s="227"/>
      <c r="NOU276" s="227"/>
      <c r="NOV276" s="227"/>
      <c r="NOW276" s="227"/>
      <c r="NOX276" s="227"/>
      <c r="NOY276" s="227"/>
      <c r="NOZ276" s="227"/>
      <c r="NPA276" s="227"/>
      <c r="NPB276" s="227"/>
      <c r="NPC276" s="227"/>
      <c r="NPD276" s="227"/>
      <c r="NPE276" s="227"/>
      <c r="NPF276" s="227"/>
      <c r="NPG276" s="227"/>
      <c r="NPH276" s="227"/>
      <c r="NPI276" s="227"/>
      <c r="NPJ276" s="227"/>
      <c r="NPK276" s="227"/>
      <c r="NPL276" s="227"/>
      <c r="NPM276" s="227"/>
      <c r="NPN276" s="227"/>
      <c r="NPO276" s="227"/>
      <c r="NPP276" s="227"/>
      <c r="NPQ276" s="227"/>
      <c r="NPR276" s="227"/>
      <c r="NPS276" s="227"/>
      <c r="NPT276" s="227"/>
      <c r="NPU276" s="227"/>
      <c r="NPV276" s="227"/>
      <c r="NPW276" s="227"/>
      <c r="NPX276" s="227"/>
      <c r="NPY276" s="227"/>
      <c r="NPZ276" s="227"/>
      <c r="NQA276" s="227"/>
      <c r="NQB276" s="227"/>
      <c r="NQC276" s="227"/>
      <c r="NQD276" s="227"/>
      <c r="NQE276" s="227"/>
      <c r="NQF276" s="227"/>
      <c r="NQG276" s="227"/>
      <c r="NQH276" s="227"/>
      <c r="NQI276" s="227"/>
      <c r="NQJ276" s="227"/>
      <c r="NQK276" s="227"/>
      <c r="NQL276" s="227"/>
      <c r="NQM276" s="227"/>
      <c r="NQN276" s="227"/>
      <c r="NQO276" s="227"/>
      <c r="NQP276" s="227"/>
      <c r="NQQ276" s="227"/>
      <c r="NQR276" s="227"/>
      <c r="NQS276" s="227"/>
      <c r="NQT276" s="227"/>
      <c r="NQU276" s="227"/>
      <c r="NQV276" s="227"/>
      <c r="NQW276" s="227"/>
      <c r="NQX276" s="227"/>
      <c r="NQY276" s="227"/>
      <c r="NQZ276" s="227"/>
      <c r="NRA276" s="227"/>
      <c r="NRB276" s="227"/>
      <c r="NRC276" s="227"/>
      <c r="NRD276" s="227"/>
      <c r="NRE276" s="227"/>
      <c r="NRF276" s="227"/>
      <c r="NRG276" s="227"/>
      <c r="NRH276" s="227"/>
      <c r="NRI276" s="227"/>
      <c r="NRJ276" s="227"/>
      <c r="NRK276" s="227"/>
      <c r="NRL276" s="227"/>
      <c r="NRM276" s="227"/>
      <c r="NRN276" s="227"/>
      <c r="NRO276" s="227"/>
      <c r="NRP276" s="227"/>
      <c r="NRQ276" s="227"/>
      <c r="NRR276" s="227"/>
      <c r="NRS276" s="227"/>
      <c r="NRT276" s="227"/>
      <c r="NRU276" s="227"/>
      <c r="NRV276" s="227"/>
      <c r="NRW276" s="227"/>
      <c r="NRX276" s="227"/>
      <c r="NRY276" s="227"/>
      <c r="NRZ276" s="227"/>
      <c r="NSA276" s="227"/>
      <c r="NSB276" s="227"/>
      <c r="NSC276" s="227"/>
      <c r="NSD276" s="227"/>
      <c r="NSE276" s="227"/>
      <c r="NSF276" s="227"/>
      <c r="NSG276" s="227"/>
      <c r="NSH276" s="227"/>
      <c r="NSI276" s="227"/>
      <c r="NSJ276" s="227"/>
      <c r="NSK276" s="227"/>
      <c r="NSL276" s="227"/>
      <c r="NSM276" s="227"/>
      <c r="NSN276" s="227"/>
      <c r="NSO276" s="227"/>
      <c r="NSP276" s="227"/>
      <c r="NSQ276" s="227"/>
      <c r="NSR276" s="227"/>
      <c r="NSS276" s="227"/>
      <c r="NST276" s="227"/>
      <c r="NSU276" s="227"/>
      <c r="NSV276" s="227"/>
      <c r="NSW276" s="227"/>
      <c r="NSX276" s="227"/>
      <c r="NSY276" s="227"/>
      <c r="NSZ276" s="227"/>
      <c r="NTA276" s="227"/>
      <c r="NTB276" s="227"/>
      <c r="NTC276" s="227"/>
      <c r="NTD276" s="227"/>
      <c r="NTE276" s="227"/>
      <c r="NTF276" s="227"/>
      <c r="NTG276" s="227"/>
      <c r="NTH276" s="227"/>
      <c r="NTI276" s="227"/>
      <c r="NTJ276" s="227"/>
      <c r="NTK276" s="227"/>
      <c r="NTL276" s="227"/>
      <c r="NTM276" s="227"/>
      <c r="NTN276" s="227"/>
      <c r="NTO276" s="227"/>
      <c r="NTP276" s="227"/>
      <c r="NTQ276" s="227"/>
      <c r="NTR276" s="227"/>
      <c r="NTS276" s="227"/>
      <c r="NTT276" s="227"/>
      <c r="NTU276" s="227"/>
      <c r="NTV276" s="227"/>
      <c r="NTW276" s="227"/>
      <c r="NTX276" s="227"/>
      <c r="NTY276" s="227"/>
      <c r="NTZ276" s="227"/>
      <c r="NUA276" s="227"/>
      <c r="NUB276" s="227"/>
      <c r="NUC276" s="227"/>
      <c r="NUD276" s="227"/>
      <c r="NUE276" s="227"/>
      <c r="NUF276" s="227"/>
      <c r="NUG276" s="227"/>
      <c r="NUH276" s="227"/>
      <c r="NUI276" s="227"/>
      <c r="NUJ276" s="227"/>
      <c r="NUK276" s="227"/>
      <c r="NUL276" s="227"/>
      <c r="NUM276" s="227"/>
      <c r="NUN276" s="227"/>
      <c r="NUO276" s="227"/>
      <c r="NUP276" s="227"/>
      <c r="NUQ276" s="227"/>
      <c r="NUR276" s="227"/>
      <c r="NUS276" s="227"/>
      <c r="NUT276" s="227"/>
      <c r="NUU276" s="227"/>
      <c r="NUV276" s="227"/>
      <c r="NUW276" s="227"/>
      <c r="NUX276" s="227"/>
      <c r="NUY276" s="227"/>
      <c r="NUZ276" s="227"/>
      <c r="NVA276" s="227"/>
      <c r="NVB276" s="227"/>
      <c r="NVC276" s="227"/>
      <c r="NVD276" s="227"/>
      <c r="NVE276" s="227"/>
      <c r="NVF276" s="227"/>
      <c r="NVG276" s="227"/>
      <c r="NVH276" s="227"/>
      <c r="NVI276" s="227"/>
      <c r="NVJ276" s="227"/>
      <c r="NVK276" s="227"/>
      <c r="NVL276" s="227"/>
      <c r="NVM276" s="227"/>
      <c r="NVN276" s="227"/>
      <c r="NVO276" s="227"/>
      <c r="NVP276" s="227"/>
      <c r="NVQ276" s="227"/>
      <c r="NVR276" s="227"/>
      <c r="NVS276" s="227"/>
      <c r="NVT276" s="227"/>
      <c r="NVU276" s="227"/>
      <c r="NVV276" s="227"/>
      <c r="NVW276" s="227"/>
      <c r="NVX276" s="227"/>
      <c r="NVY276" s="227"/>
      <c r="NVZ276" s="227"/>
      <c r="NWA276" s="227"/>
      <c r="NWB276" s="227"/>
      <c r="NWC276" s="227"/>
      <c r="NWD276" s="227"/>
      <c r="NWE276" s="227"/>
      <c r="NWF276" s="227"/>
      <c r="NWG276" s="227"/>
      <c r="NWH276" s="227"/>
      <c r="NWI276" s="227"/>
      <c r="NWJ276" s="227"/>
      <c r="NWK276" s="227"/>
      <c r="NWL276" s="227"/>
      <c r="NWM276" s="227"/>
      <c r="NWN276" s="227"/>
      <c r="NWO276" s="227"/>
      <c r="NWP276" s="227"/>
      <c r="NWQ276" s="227"/>
      <c r="NWR276" s="227"/>
      <c r="NWS276" s="227"/>
      <c r="NWT276" s="227"/>
      <c r="NWU276" s="227"/>
      <c r="NWV276" s="227"/>
      <c r="NWW276" s="227"/>
      <c r="NWX276" s="227"/>
      <c r="NWY276" s="227"/>
      <c r="NWZ276" s="227"/>
      <c r="NXA276" s="227"/>
      <c r="NXB276" s="227"/>
      <c r="NXC276" s="227"/>
      <c r="NXD276" s="227"/>
      <c r="NXE276" s="227"/>
      <c r="NXF276" s="227"/>
      <c r="NXG276" s="227"/>
      <c r="NXH276" s="227"/>
      <c r="NXI276" s="227"/>
      <c r="NXJ276" s="227"/>
      <c r="NXK276" s="227"/>
      <c r="NXL276" s="227"/>
      <c r="NXM276" s="227"/>
      <c r="NXN276" s="227"/>
      <c r="NXO276" s="227"/>
      <c r="NXP276" s="227"/>
      <c r="NXQ276" s="227"/>
      <c r="NXR276" s="227"/>
      <c r="NXS276" s="227"/>
      <c r="NXT276" s="227"/>
      <c r="NXU276" s="227"/>
      <c r="NXV276" s="227"/>
      <c r="NXW276" s="227"/>
      <c r="NXX276" s="227"/>
      <c r="NXY276" s="227"/>
      <c r="NXZ276" s="227"/>
      <c r="NYA276" s="227"/>
      <c r="NYB276" s="227"/>
      <c r="NYC276" s="227"/>
      <c r="NYD276" s="227"/>
      <c r="NYE276" s="227"/>
      <c r="NYF276" s="227"/>
      <c r="NYG276" s="227"/>
      <c r="NYH276" s="227"/>
      <c r="NYI276" s="227"/>
      <c r="NYJ276" s="227"/>
      <c r="NYK276" s="227"/>
      <c r="NYL276" s="227"/>
      <c r="NYM276" s="227"/>
      <c r="NYN276" s="227"/>
      <c r="NYO276" s="227"/>
      <c r="NYP276" s="227"/>
      <c r="NYQ276" s="227"/>
      <c r="NYR276" s="227"/>
      <c r="NYS276" s="227"/>
      <c r="NYT276" s="227"/>
      <c r="NYU276" s="227"/>
      <c r="NYV276" s="227"/>
      <c r="NYW276" s="227"/>
      <c r="NYX276" s="227"/>
      <c r="NYY276" s="227"/>
      <c r="NYZ276" s="227"/>
      <c r="NZA276" s="227"/>
      <c r="NZB276" s="227"/>
      <c r="NZC276" s="227"/>
      <c r="NZD276" s="227"/>
      <c r="NZE276" s="227"/>
      <c r="NZF276" s="227"/>
      <c r="NZG276" s="227"/>
      <c r="NZH276" s="227"/>
      <c r="NZI276" s="227"/>
      <c r="NZJ276" s="227"/>
      <c r="NZK276" s="227"/>
      <c r="NZL276" s="227"/>
      <c r="NZM276" s="227"/>
      <c r="NZN276" s="227"/>
      <c r="NZO276" s="227"/>
      <c r="NZP276" s="227"/>
      <c r="NZQ276" s="227"/>
      <c r="NZR276" s="227"/>
      <c r="NZS276" s="227"/>
      <c r="NZT276" s="227"/>
      <c r="NZU276" s="227"/>
      <c r="NZV276" s="227"/>
      <c r="NZW276" s="227"/>
      <c r="NZX276" s="227"/>
      <c r="NZY276" s="227"/>
      <c r="NZZ276" s="227"/>
      <c r="OAA276" s="227"/>
      <c r="OAB276" s="227"/>
      <c r="OAC276" s="227"/>
      <c r="OAD276" s="227"/>
      <c r="OAE276" s="227"/>
      <c r="OAF276" s="227"/>
      <c r="OAG276" s="227"/>
      <c r="OAH276" s="227"/>
      <c r="OAI276" s="227"/>
      <c r="OAJ276" s="227"/>
      <c r="OAK276" s="227"/>
      <c r="OAL276" s="227"/>
      <c r="OAM276" s="227"/>
      <c r="OAN276" s="227"/>
      <c r="OAO276" s="227"/>
      <c r="OAP276" s="227"/>
      <c r="OAQ276" s="227"/>
      <c r="OAR276" s="227"/>
      <c r="OAS276" s="227"/>
      <c r="OAT276" s="227"/>
      <c r="OAU276" s="227"/>
      <c r="OAV276" s="227"/>
      <c r="OAW276" s="227"/>
      <c r="OAX276" s="227"/>
      <c r="OAY276" s="227"/>
      <c r="OAZ276" s="227"/>
      <c r="OBA276" s="227"/>
      <c r="OBB276" s="227"/>
      <c r="OBC276" s="227"/>
      <c r="OBD276" s="227"/>
      <c r="OBE276" s="227"/>
      <c r="OBF276" s="227"/>
      <c r="OBG276" s="227"/>
      <c r="OBH276" s="227"/>
      <c r="OBI276" s="227"/>
      <c r="OBJ276" s="227"/>
      <c r="OBK276" s="227"/>
      <c r="OBL276" s="227"/>
      <c r="OBM276" s="227"/>
      <c r="OBN276" s="227"/>
      <c r="OBO276" s="227"/>
      <c r="OBP276" s="227"/>
      <c r="OBQ276" s="227"/>
      <c r="OBR276" s="227"/>
      <c r="OBS276" s="227"/>
      <c r="OBT276" s="227"/>
      <c r="OBU276" s="227"/>
      <c r="OBV276" s="227"/>
      <c r="OBW276" s="227"/>
      <c r="OBX276" s="227"/>
      <c r="OBY276" s="227"/>
      <c r="OBZ276" s="227"/>
      <c r="OCA276" s="227"/>
      <c r="OCB276" s="227"/>
      <c r="OCC276" s="227"/>
      <c r="OCD276" s="227"/>
      <c r="OCE276" s="227"/>
      <c r="OCF276" s="227"/>
      <c r="OCG276" s="227"/>
      <c r="OCH276" s="227"/>
      <c r="OCI276" s="227"/>
      <c r="OCJ276" s="227"/>
      <c r="OCK276" s="227"/>
      <c r="OCL276" s="227"/>
      <c r="OCM276" s="227"/>
      <c r="OCN276" s="227"/>
      <c r="OCO276" s="227"/>
      <c r="OCP276" s="227"/>
      <c r="OCQ276" s="227"/>
      <c r="OCR276" s="227"/>
      <c r="OCS276" s="227"/>
      <c r="OCT276" s="227"/>
      <c r="OCU276" s="227"/>
      <c r="OCV276" s="227"/>
      <c r="OCW276" s="227"/>
      <c r="OCX276" s="227"/>
      <c r="OCY276" s="227"/>
      <c r="OCZ276" s="227"/>
      <c r="ODA276" s="227"/>
      <c r="ODB276" s="227"/>
      <c r="ODC276" s="227"/>
      <c r="ODD276" s="227"/>
      <c r="ODE276" s="227"/>
      <c r="ODF276" s="227"/>
      <c r="ODG276" s="227"/>
      <c r="ODH276" s="227"/>
      <c r="ODI276" s="227"/>
      <c r="ODJ276" s="227"/>
      <c r="ODK276" s="227"/>
      <c r="ODL276" s="227"/>
      <c r="ODM276" s="227"/>
      <c r="ODN276" s="227"/>
      <c r="ODO276" s="227"/>
      <c r="ODP276" s="227"/>
      <c r="ODQ276" s="227"/>
      <c r="ODR276" s="227"/>
      <c r="ODS276" s="227"/>
      <c r="ODT276" s="227"/>
      <c r="ODU276" s="227"/>
      <c r="ODV276" s="227"/>
      <c r="ODW276" s="227"/>
      <c r="ODX276" s="227"/>
      <c r="ODY276" s="227"/>
      <c r="ODZ276" s="227"/>
      <c r="OEA276" s="227"/>
      <c r="OEB276" s="227"/>
      <c r="OEC276" s="227"/>
      <c r="OED276" s="227"/>
      <c r="OEE276" s="227"/>
      <c r="OEF276" s="227"/>
      <c r="OEG276" s="227"/>
      <c r="OEH276" s="227"/>
      <c r="OEI276" s="227"/>
      <c r="OEJ276" s="227"/>
      <c r="OEK276" s="227"/>
      <c r="OEL276" s="227"/>
      <c r="OEM276" s="227"/>
      <c r="OEN276" s="227"/>
      <c r="OEO276" s="227"/>
      <c r="OEP276" s="227"/>
      <c r="OEQ276" s="227"/>
      <c r="OER276" s="227"/>
      <c r="OES276" s="227"/>
      <c r="OET276" s="227"/>
      <c r="OEU276" s="227"/>
      <c r="OEV276" s="227"/>
      <c r="OEW276" s="227"/>
      <c r="OEX276" s="227"/>
      <c r="OEY276" s="227"/>
      <c r="OEZ276" s="227"/>
      <c r="OFA276" s="227"/>
      <c r="OFB276" s="227"/>
      <c r="OFC276" s="227"/>
      <c r="OFD276" s="227"/>
      <c r="OFE276" s="227"/>
      <c r="OFF276" s="227"/>
      <c r="OFG276" s="227"/>
      <c r="OFH276" s="227"/>
      <c r="OFI276" s="227"/>
      <c r="OFJ276" s="227"/>
      <c r="OFK276" s="227"/>
      <c r="OFL276" s="227"/>
      <c r="OFM276" s="227"/>
      <c r="OFN276" s="227"/>
      <c r="OFO276" s="227"/>
      <c r="OFP276" s="227"/>
      <c r="OFQ276" s="227"/>
      <c r="OFR276" s="227"/>
      <c r="OFS276" s="227"/>
      <c r="OFT276" s="227"/>
      <c r="OFU276" s="227"/>
      <c r="OFV276" s="227"/>
      <c r="OFW276" s="227"/>
      <c r="OFX276" s="227"/>
      <c r="OFY276" s="227"/>
      <c r="OFZ276" s="227"/>
      <c r="OGA276" s="227"/>
      <c r="OGB276" s="227"/>
      <c r="OGC276" s="227"/>
      <c r="OGD276" s="227"/>
      <c r="OGE276" s="227"/>
      <c r="OGF276" s="227"/>
      <c r="OGG276" s="227"/>
      <c r="OGH276" s="227"/>
      <c r="OGI276" s="227"/>
      <c r="OGJ276" s="227"/>
      <c r="OGK276" s="227"/>
      <c r="OGL276" s="227"/>
      <c r="OGM276" s="227"/>
      <c r="OGN276" s="227"/>
      <c r="OGO276" s="227"/>
      <c r="OGP276" s="227"/>
      <c r="OGQ276" s="227"/>
      <c r="OGR276" s="227"/>
      <c r="OGS276" s="227"/>
      <c r="OGT276" s="227"/>
      <c r="OGU276" s="227"/>
      <c r="OGV276" s="227"/>
      <c r="OGW276" s="227"/>
      <c r="OGX276" s="227"/>
      <c r="OGY276" s="227"/>
      <c r="OGZ276" s="227"/>
      <c r="OHA276" s="227"/>
      <c r="OHB276" s="227"/>
      <c r="OHC276" s="227"/>
      <c r="OHD276" s="227"/>
      <c r="OHE276" s="227"/>
      <c r="OHF276" s="227"/>
      <c r="OHG276" s="227"/>
      <c r="OHH276" s="227"/>
      <c r="OHI276" s="227"/>
      <c r="OHJ276" s="227"/>
      <c r="OHK276" s="227"/>
      <c r="OHL276" s="227"/>
      <c r="OHM276" s="227"/>
      <c r="OHN276" s="227"/>
      <c r="OHO276" s="227"/>
      <c r="OHP276" s="227"/>
      <c r="OHQ276" s="227"/>
      <c r="OHR276" s="227"/>
      <c r="OHS276" s="227"/>
      <c r="OHT276" s="227"/>
      <c r="OHU276" s="227"/>
      <c r="OHV276" s="227"/>
      <c r="OHW276" s="227"/>
      <c r="OHX276" s="227"/>
      <c r="OHY276" s="227"/>
      <c r="OHZ276" s="227"/>
      <c r="OIA276" s="227"/>
      <c r="OIB276" s="227"/>
      <c r="OIC276" s="227"/>
      <c r="OID276" s="227"/>
      <c r="OIE276" s="227"/>
      <c r="OIF276" s="227"/>
      <c r="OIG276" s="227"/>
      <c r="OIH276" s="227"/>
      <c r="OII276" s="227"/>
      <c r="OIJ276" s="227"/>
      <c r="OIK276" s="227"/>
      <c r="OIL276" s="227"/>
      <c r="OIM276" s="227"/>
      <c r="OIN276" s="227"/>
      <c r="OIO276" s="227"/>
      <c r="OIP276" s="227"/>
      <c r="OIQ276" s="227"/>
      <c r="OIR276" s="227"/>
      <c r="OIS276" s="227"/>
      <c r="OIT276" s="227"/>
      <c r="OIU276" s="227"/>
      <c r="OIV276" s="227"/>
      <c r="OIW276" s="227"/>
      <c r="OIX276" s="227"/>
      <c r="OIY276" s="227"/>
      <c r="OIZ276" s="227"/>
      <c r="OJA276" s="227"/>
      <c r="OJB276" s="227"/>
      <c r="OJC276" s="227"/>
      <c r="OJD276" s="227"/>
      <c r="OJE276" s="227"/>
      <c r="OJF276" s="227"/>
      <c r="OJG276" s="227"/>
      <c r="OJH276" s="227"/>
      <c r="OJI276" s="227"/>
      <c r="OJJ276" s="227"/>
      <c r="OJK276" s="227"/>
      <c r="OJL276" s="227"/>
      <c r="OJM276" s="227"/>
      <c r="OJN276" s="227"/>
      <c r="OJO276" s="227"/>
      <c r="OJP276" s="227"/>
      <c r="OJQ276" s="227"/>
      <c r="OJR276" s="227"/>
      <c r="OJS276" s="227"/>
      <c r="OJT276" s="227"/>
      <c r="OJU276" s="227"/>
      <c r="OJV276" s="227"/>
      <c r="OJW276" s="227"/>
      <c r="OJX276" s="227"/>
      <c r="OJY276" s="227"/>
      <c r="OJZ276" s="227"/>
      <c r="OKA276" s="227"/>
      <c r="OKB276" s="227"/>
      <c r="OKC276" s="227"/>
      <c r="OKD276" s="227"/>
      <c r="OKE276" s="227"/>
      <c r="OKF276" s="227"/>
      <c r="OKG276" s="227"/>
      <c r="OKH276" s="227"/>
      <c r="OKI276" s="227"/>
      <c r="OKJ276" s="227"/>
      <c r="OKK276" s="227"/>
      <c r="OKL276" s="227"/>
      <c r="OKM276" s="227"/>
      <c r="OKN276" s="227"/>
      <c r="OKO276" s="227"/>
      <c r="OKP276" s="227"/>
      <c r="OKQ276" s="227"/>
      <c r="OKR276" s="227"/>
      <c r="OKS276" s="227"/>
      <c r="OKT276" s="227"/>
      <c r="OKU276" s="227"/>
      <c r="OKV276" s="227"/>
      <c r="OKW276" s="227"/>
      <c r="OKX276" s="227"/>
      <c r="OKY276" s="227"/>
      <c r="OKZ276" s="227"/>
      <c r="OLA276" s="227"/>
      <c r="OLB276" s="227"/>
      <c r="OLC276" s="227"/>
      <c r="OLD276" s="227"/>
      <c r="OLE276" s="227"/>
      <c r="OLF276" s="227"/>
      <c r="OLG276" s="227"/>
      <c r="OLH276" s="227"/>
      <c r="OLI276" s="227"/>
      <c r="OLJ276" s="227"/>
      <c r="OLK276" s="227"/>
      <c r="OLL276" s="227"/>
      <c r="OLM276" s="227"/>
      <c r="OLN276" s="227"/>
      <c r="OLO276" s="227"/>
      <c r="OLP276" s="227"/>
      <c r="OLQ276" s="227"/>
      <c r="OLR276" s="227"/>
      <c r="OLS276" s="227"/>
      <c r="OLT276" s="227"/>
      <c r="OLU276" s="227"/>
      <c r="OLV276" s="227"/>
      <c r="OLW276" s="227"/>
      <c r="OLX276" s="227"/>
      <c r="OLY276" s="227"/>
      <c r="OLZ276" s="227"/>
      <c r="OMA276" s="227"/>
      <c r="OMB276" s="227"/>
      <c r="OMC276" s="227"/>
      <c r="OMD276" s="227"/>
      <c r="OME276" s="227"/>
      <c r="OMF276" s="227"/>
      <c r="OMG276" s="227"/>
      <c r="OMH276" s="227"/>
      <c r="OMI276" s="227"/>
      <c r="OMJ276" s="227"/>
      <c r="OMK276" s="227"/>
      <c r="OML276" s="227"/>
      <c r="OMM276" s="227"/>
      <c r="OMN276" s="227"/>
      <c r="OMO276" s="227"/>
      <c r="OMP276" s="227"/>
      <c r="OMQ276" s="227"/>
      <c r="OMR276" s="227"/>
      <c r="OMS276" s="227"/>
      <c r="OMT276" s="227"/>
      <c r="OMU276" s="227"/>
      <c r="OMV276" s="227"/>
      <c r="OMW276" s="227"/>
      <c r="OMX276" s="227"/>
      <c r="OMY276" s="227"/>
      <c r="OMZ276" s="227"/>
      <c r="ONA276" s="227"/>
      <c r="ONB276" s="227"/>
      <c r="ONC276" s="227"/>
      <c r="OND276" s="227"/>
      <c r="ONE276" s="227"/>
      <c r="ONF276" s="227"/>
      <c r="ONG276" s="227"/>
      <c r="ONH276" s="227"/>
      <c r="ONI276" s="227"/>
      <c r="ONJ276" s="227"/>
      <c r="ONK276" s="227"/>
      <c r="ONL276" s="227"/>
      <c r="ONM276" s="227"/>
      <c r="ONN276" s="227"/>
      <c r="ONO276" s="227"/>
      <c r="ONP276" s="227"/>
      <c r="ONQ276" s="227"/>
      <c r="ONR276" s="227"/>
      <c r="ONS276" s="227"/>
      <c r="ONT276" s="227"/>
      <c r="ONU276" s="227"/>
      <c r="ONV276" s="227"/>
      <c r="ONW276" s="227"/>
      <c r="ONX276" s="227"/>
      <c r="ONY276" s="227"/>
      <c r="ONZ276" s="227"/>
      <c r="OOA276" s="227"/>
      <c r="OOB276" s="227"/>
      <c r="OOC276" s="227"/>
      <c r="OOD276" s="227"/>
      <c r="OOE276" s="227"/>
      <c r="OOF276" s="227"/>
      <c r="OOG276" s="227"/>
      <c r="OOH276" s="227"/>
      <c r="OOI276" s="227"/>
      <c r="OOJ276" s="227"/>
      <c r="OOK276" s="227"/>
      <c r="OOL276" s="227"/>
      <c r="OOM276" s="227"/>
      <c r="OON276" s="227"/>
      <c r="OOO276" s="227"/>
      <c r="OOP276" s="227"/>
      <c r="OOQ276" s="227"/>
      <c r="OOR276" s="227"/>
      <c r="OOS276" s="227"/>
      <c r="OOT276" s="227"/>
      <c r="OOU276" s="227"/>
      <c r="OOV276" s="227"/>
      <c r="OOW276" s="227"/>
      <c r="OOX276" s="227"/>
      <c r="OOY276" s="227"/>
      <c r="OOZ276" s="227"/>
      <c r="OPA276" s="227"/>
      <c r="OPB276" s="227"/>
      <c r="OPC276" s="227"/>
      <c r="OPD276" s="227"/>
      <c r="OPE276" s="227"/>
      <c r="OPF276" s="227"/>
      <c r="OPG276" s="227"/>
      <c r="OPH276" s="227"/>
      <c r="OPI276" s="227"/>
      <c r="OPJ276" s="227"/>
      <c r="OPK276" s="227"/>
      <c r="OPL276" s="227"/>
      <c r="OPM276" s="227"/>
      <c r="OPN276" s="227"/>
      <c r="OPO276" s="227"/>
      <c r="OPP276" s="227"/>
      <c r="OPQ276" s="227"/>
      <c r="OPR276" s="227"/>
      <c r="OPS276" s="227"/>
      <c r="OPT276" s="227"/>
      <c r="OPU276" s="227"/>
      <c r="OPV276" s="227"/>
      <c r="OPW276" s="227"/>
      <c r="OPX276" s="227"/>
      <c r="OPY276" s="227"/>
      <c r="OPZ276" s="227"/>
      <c r="OQA276" s="227"/>
      <c r="OQB276" s="227"/>
      <c r="OQC276" s="227"/>
      <c r="OQD276" s="227"/>
      <c r="OQE276" s="227"/>
      <c r="OQF276" s="227"/>
      <c r="OQG276" s="227"/>
      <c r="OQH276" s="227"/>
      <c r="OQI276" s="227"/>
      <c r="OQJ276" s="227"/>
      <c r="OQK276" s="227"/>
      <c r="OQL276" s="227"/>
      <c r="OQM276" s="227"/>
      <c r="OQN276" s="227"/>
      <c r="OQO276" s="227"/>
      <c r="OQP276" s="227"/>
      <c r="OQQ276" s="227"/>
      <c r="OQR276" s="227"/>
      <c r="OQS276" s="227"/>
      <c r="OQT276" s="227"/>
      <c r="OQU276" s="227"/>
      <c r="OQV276" s="227"/>
      <c r="OQW276" s="227"/>
      <c r="OQX276" s="227"/>
      <c r="OQY276" s="227"/>
      <c r="OQZ276" s="227"/>
      <c r="ORA276" s="227"/>
      <c r="ORB276" s="227"/>
      <c r="ORC276" s="227"/>
      <c r="ORD276" s="227"/>
      <c r="ORE276" s="227"/>
      <c r="ORF276" s="227"/>
      <c r="ORG276" s="227"/>
      <c r="ORH276" s="227"/>
      <c r="ORI276" s="227"/>
      <c r="ORJ276" s="227"/>
      <c r="ORK276" s="227"/>
      <c r="ORL276" s="227"/>
      <c r="ORM276" s="227"/>
      <c r="ORN276" s="227"/>
      <c r="ORO276" s="227"/>
      <c r="ORP276" s="227"/>
      <c r="ORQ276" s="227"/>
      <c r="ORR276" s="227"/>
      <c r="ORS276" s="227"/>
      <c r="ORT276" s="227"/>
      <c r="ORU276" s="227"/>
      <c r="ORV276" s="227"/>
      <c r="ORW276" s="227"/>
      <c r="ORX276" s="227"/>
      <c r="ORY276" s="227"/>
      <c r="ORZ276" s="227"/>
      <c r="OSA276" s="227"/>
      <c r="OSB276" s="227"/>
      <c r="OSC276" s="227"/>
      <c r="OSD276" s="227"/>
      <c r="OSE276" s="227"/>
      <c r="OSF276" s="227"/>
      <c r="OSG276" s="227"/>
      <c r="OSH276" s="227"/>
      <c r="OSI276" s="227"/>
      <c r="OSJ276" s="227"/>
      <c r="OSK276" s="227"/>
      <c r="OSL276" s="227"/>
      <c r="OSM276" s="227"/>
      <c r="OSN276" s="227"/>
      <c r="OSO276" s="227"/>
      <c r="OSP276" s="227"/>
      <c r="OSQ276" s="227"/>
      <c r="OSR276" s="227"/>
      <c r="OSS276" s="227"/>
      <c r="OST276" s="227"/>
      <c r="OSU276" s="227"/>
      <c r="OSV276" s="227"/>
      <c r="OSW276" s="227"/>
      <c r="OSX276" s="227"/>
      <c r="OSY276" s="227"/>
      <c r="OSZ276" s="227"/>
      <c r="OTA276" s="227"/>
      <c r="OTB276" s="227"/>
      <c r="OTC276" s="227"/>
      <c r="OTD276" s="227"/>
      <c r="OTE276" s="227"/>
      <c r="OTF276" s="227"/>
      <c r="OTG276" s="227"/>
      <c r="OTH276" s="227"/>
      <c r="OTI276" s="227"/>
      <c r="OTJ276" s="227"/>
      <c r="OTK276" s="227"/>
      <c r="OTL276" s="227"/>
      <c r="OTM276" s="227"/>
      <c r="OTN276" s="227"/>
      <c r="OTO276" s="227"/>
      <c r="OTP276" s="227"/>
      <c r="OTQ276" s="227"/>
      <c r="OTR276" s="227"/>
      <c r="OTS276" s="227"/>
      <c r="OTT276" s="227"/>
      <c r="OTU276" s="227"/>
      <c r="OTV276" s="227"/>
      <c r="OTW276" s="227"/>
      <c r="OTX276" s="227"/>
      <c r="OTY276" s="227"/>
      <c r="OTZ276" s="227"/>
      <c r="OUA276" s="227"/>
      <c r="OUB276" s="227"/>
      <c r="OUC276" s="227"/>
      <c r="OUD276" s="227"/>
      <c r="OUE276" s="227"/>
      <c r="OUF276" s="227"/>
      <c r="OUG276" s="227"/>
      <c r="OUH276" s="227"/>
      <c r="OUI276" s="227"/>
      <c r="OUJ276" s="227"/>
      <c r="OUK276" s="227"/>
      <c r="OUL276" s="227"/>
      <c r="OUM276" s="227"/>
      <c r="OUN276" s="227"/>
      <c r="OUO276" s="227"/>
      <c r="OUP276" s="227"/>
      <c r="OUQ276" s="227"/>
      <c r="OUR276" s="227"/>
      <c r="OUS276" s="227"/>
      <c r="OUT276" s="227"/>
      <c r="OUU276" s="227"/>
      <c r="OUV276" s="227"/>
      <c r="OUW276" s="227"/>
      <c r="OUX276" s="227"/>
      <c r="OUY276" s="227"/>
      <c r="OUZ276" s="227"/>
      <c r="OVA276" s="227"/>
      <c r="OVB276" s="227"/>
      <c r="OVC276" s="227"/>
      <c r="OVD276" s="227"/>
      <c r="OVE276" s="227"/>
      <c r="OVF276" s="227"/>
      <c r="OVG276" s="227"/>
      <c r="OVH276" s="227"/>
      <c r="OVI276" s="227"/>
      <c r="OVJ276" s="227"/>
      <c r="OVK276" s="227"/>
      <c r="OVL276" s="227"/>
      <c r="OVM276" s="227"/>
      <c r="OVN276" s="227"/>
      <c r="OVO276" s="227"/>
      <c r="OVP276" s="227"/>
      <c r="OVQ276" s="227"/>
      <c r="OVR276" s="227"/>
      <c r="OVS276" s="227"/>
      <c r="OVT276" s="227"/>
      <c r="OVU276" s="227"/>
      <c r="OVV276" s="227"/>
      <c r="OVW276" s="227"/>
      <c r="OVX276" s="227"/>
      <c r="OVY276" s="227"/>
      <c r="OVZ276" s="227"/>
      <c r="OWA276" s="227"/>
      <c r="OWB276" s="227"/>
      <c r="OWC276" s="227"/>
      <c r="OWD276" s="227"/>
      <c r="OWE276" s="227"/>
      <c r="OWF276" s="227"/>
      <c r="OWG276" s="227"/>
      <c r="OWH276" s="227"/>
      <c r="OWI276" s="227"/>
      <c r="OWJ276" s="227"/>
      <c r="OWK276" s="227"/>
      <c r="OWL276" s="227"/>
      <c r="OWM276" s="227"/>
      <c r="OWN276" s="227"/>
      <c r="OWO276" s="227"/>
      <c r="OWP276" s="227"/>
      <c r="OWQ276" s="227"/>
      <c r="OWR276" s="227"/>
      <c r="OWS276" s="227"/>
      <c r="OWT276" s="227"/>
      <c r="OWU276" s="227"/>
      <c r="OWV276" s="227"/>
      <c r="OWW276" s="227"/>
      <c r="OWX276" s="227"/>
      <c r="OWY276" s="227"/>
      <c r="OWZ276" s="227"/>
      <c r="OXA276" s="227"/>
      <c r="OXB276" s="227"/>
      <c r="OXC276" s="227"/>
      <c r="OXD276" s="227"/>
      <c r="OXE276" s="227"/>
      <c r="OXF276" s="227"/>
      <c r="OXG276" s="227"/>
      <c r="OXH276" s="227"/>
      <c r="OXI276" s="227"/>
      <c r="OXJ276" s="227"/>
      <c r="OXK276" s="227"/>
      <c r="OXL276" s="227"/>
      <c r="OXM276" s="227"/>
      <c r="OXN276" s="227"/>
      <c r="OXO276" s="227"/>
      <c r="OXP276" s="227"/>
      <c r="OXQ276" s="227"/>
      <c r="OXR276" s="227"/>
      <c r="OXS276" s="227"/>
      <c r="OXT276" s="227"/>
      <c r="OXU276" s="227"/>
      <c r="OXV276" s="227"/>
      <c r="OXW276" s="227"/>
      <c r="OXX276" s="227"/>
      <c r="OXY276" s="227"/>
      <c r="OXZ276" s="227"/>
      <c r="OYA276" s="227"/>
      <c r="OYB276" s="227"/>
      <c r="OYC276" s="227"/>
      <c r="OYD276" s="227"/>
      <c r="OYE276" s="227"/>
      <c r="OYF276" s="227"/>
      <c r="OYG276" s="227"/>
      <c r="OYH276" s="227"/>
      <c r="OYI276" s="227"/>
      <c r="OYJ276" s="227"/>
      <c r="OYK276" s="227"/>
      <c r="OYL276" s="227"/>
      <c r="OYM276" s="227"/>
      <c r="OYN276" s="227"/>
      <c r="OYO276" s="227"/>
      <c r="OYP276" s="227"/>
      <c r="OYQ276" s="227"/>
      <c r="OYR276" s="227"/>
      <c r="OYS276" s="227"/>
      <c r="OYT276" s="227"/>
      <c r="OYU276" s="227"/>
      <c r="OYV276" s="227"/>
      <c r="OYW276" s="227"/>
      <c r="OYX276" s="227"/>
      <c r="OYY276" s="227"/>
      <c r="OYZ276" s="227"/>
      <c r="OZA276" s="227"/>
      <c r="OZB276" s="227"/>
      <c r="OZC276" s="227"/>
      <c r="OZD276" s="227"/>
      <c r="OZE276" s="227"/>
      <c r="OZF276" s="227"/>
      <c r="OZG276" s="227"/>
      <c r="OZH276" s="227"/>
      <c r="OZI276" s="227"/>
      <c r="OZJ276" s="227"/>
      <c r="OZK276" s="227"/>
      <c r="OZL276" s="227"/>
      <c r="OZM276" s="227"/>
      <c r="OZN276" s="227"/>
      <c r="OZO276" s="227"/>
      <c r="OZP276" s="227"/>
      <c r="OZQ276" s="227"/>
      <c r="OZR276" s="227"/>
      <c r="OZS276" s="227"/>
      <c r="OZT276" s="227"/>
      <c r="OZU276" s="227"/>
      <c r="OZV276" s="227"/>
      <c r="OZW276" s="227"/>
      <c r="OZX276" s="227"/>
      <c r="OZY276" s="227"/>
      <c r="OZZ276" s="227"/>
      <c r="PAA276" s="227"/>
      <c r="PAB276" s="227"/>
      <c r="PAC276" s="227"/>
      <c r="PAD276" s="227"/>
      <c r="PAE276" s="227"/>
      <c r="PAF276" s="227"/>
      <c r="PAG276" s="227"/>
      <c r="PAH276" s="227"/>
      <c r="PAI276" s="227"/>
      <c r="PAJ276" s="227"/>
      <c r="PAK276" s="227"/>
      <c r="PAL276" s="227"/>
      <c r="PAM276" s="227"/>
      <c r="PAN276" s="227"/>
      <c r="PAO276" s="227"/>
      <c r="PAP276" s="227"/>
      <c r="PAQ276" s="227"/>
      <c r="PAR276" s="227"/>
      <c r="PAS276" s="227"/>
      <c r="PAT276" s="227"/>
      <c r="PAU276" s="227"/>
      <c r="PAV276" s="227"/>
      <c r="PAW276" s="227"/>
      <c r="PAX276" s="227"/>
      <c r="PAY276" s="227"/>
      <c r="PAZ276" s="227"/>
      <c r="PBA276" s="227"/>
      <c r="PBB276" s="227"/>
      <c r="PBC276" s="227"/>
      <c r="PBD276" s="227"/>
      <c r="PBE276" s="227"/>
      <c r="PBF276" s="227"/>
      <c r="PBG276" s="227"/>
      <c r="PBH276" s="227"/>
      <c r="PBI276" s="227"/>
      <c r="PBJ276" s="227"/>
      <c r="PBK276" s="227"/>
      <c r="PBL276" s="227"/>
      <c r="PBM276" s="227"/>
      <c r="PBN276" s="227"/>
      <c r="PBO276" s="227"/>
      <c r="PBP276" s="227"/>
      <c r="PBQ276" s="227"/>
      <c r="PBR276" s="227"/>
      <c r="PBS276" s="227"/>
      <c r="PBT276" s="227"/>
      <c r="PBU276" s="227"/>
      <c r="PBV276" s="227"/>
      <c r="PBW276" s="227"/>
      <c r="PBX276" s="227"/>
      <c r="PBY276" s="227"/>
      <c r="PBZ276" s="227"/>
      <c r="PCA276" s="227"/>
      <c r="PCB276" s="227"/>
      <c r="PCC276" s="227"/>
      <c r="PCD276" s="227"/>
      <c r="PCE276" s="227"/>
      <c r="PCF276" s="227"/>
      <c r="PCG276" s="227"/>
      <c r="PCH276" s="227"/>
      <c r="PCI276" s="227"/>
      <c r="PCJ276" s="227"/>
      <c r="PCK276" s="227"/>
      <c r="PCL276" s="227"/>
      <c r="PCM276" s="227"/>
      <c r="PCN276" s="227"/>
      <c r="PCO276" s="227"/>
      <c r="PCP276" s="227"/>
      <c r="PCQ276" s="227"/>
      <c r="PCR276" s="227"/>
      <c r="PCS276" s="227"/>
      <c r="PCT276" s="227"/>
      <c r="PCU276" s="227"/>
      <c r="PCV276" s="227"/>
      <c r="PCW276" s="227"/>
      <c r="PCX276" s="227"/>
      <c r="PCY276" s="227"/>
      <c r="PCZ276" s="227"/>
      <c r="PDA276" s="227"/>
      <c r="PDB276" s="227"/>
      <c r="PDC276" s="227"/>
      <c r="PDD276" s="227"/>
      <c r="PDE276" s="227"/>
      <c r="PDF276" s="227"/>
      <c r="PDG276" s="227"/>
      <c r="PDH276" s="227"/>
      <c r="PDI276" s="227"/>
      <c r="PDJ276" s="227"/>
      <c r="PDK276" s="227"/>
      <c r="PDL276" s="227"/>
      <c r="PDM276" s="227"/>
      <c r="PDN276" s="227"/>
      <c r="PDO276" s="227"/>
      <c r="PDP276" s="227"/>
      <c r="PDQ276" s="227"/>
      <c r="PDR276" s="227"/>
      <c r="PDS276" s="227"/>
      <c r="PDT276" s="227"/>
      <c r="PDU276" s="227"/>
      <c r="PDV276" s="227"/>
      <c r="PDW276" s="227"/>
      <c r="PDX276" s="227"/>
      <c r="PDY276" s="227"/>
      <c r="PDZ276" s="227"/>
      <c r="PEA276" s="227"/>
      <c r="PEB276" s="227"/>
      <c r="PEC276" s="227"/>
      <c r="PED276" s="227"/>
      <c r="PEE276" s="227"/>
      <c r="PEF276" s="227"/>
      <c r="PEG276" s="227"/>
      <c r="PEH276" s="227"/>
      <c r="PEI276" s="227"/>
      <c r="PEJ276" s="227"/>
      <c r="PEK276" s="227"/>
      <c r="PEL276" s="227"/>
      <c r="PEM276" s="227"/>
      <c r="PEN276" s="227"/>
      <c r="PEO276" s="227"/>
      <c r="PEP276" s="227"/>
      <c r="PEQ276" s="227"/>
      <c r="PER276" s="227"/>
      <c r="PES276" s="227"/>
      <c r="PET276" s="227"/>
      <c r="PEU276" s="227"/>
      <c r="PEV276" s="227"/>
      <c r="PEW276" s="227"/>
      <c r="PEX276" s="227"/>
      <c r="PEY276" s="227"/>
      <c r="PEZ276" s="227"/>
      <c r="PFA276" s="227"/>
      <c r="PFB276" s="227"/>
      <c r="PFC276" s="227"/>
      <c r="PFD276" s="227"/>
      <c r="PFE276" s="227"/>
      <c r="PFF276" s="227"/>
      <c r="PFG276" s="227"/>
      <c r="PFH276" s="227"/>
      <c r="PFI276" s="227"/>
      <c r="PFJ276" s="227"/>
      <c r="PFK276" s="227"/>
      <c r="PFL276" s="227"/>
      <c r="PFM276" s="227"/>
      <c r="PFN276" s="227"/>
      <c r="PFO276" s="227"/>
      <c r="PFP276" s="227"/>
      <c r="PFQ276" s="227"/>
      <c r="PFR276" s="227"/>
      <c r="PFS276" s="227"/>
      <c r="PFT276" s="227"/>
      <c r="PFU276" s="227"/>
      <c r="PFV276" s="227"/>
      <c r="PFW276" s="227"/>
      <c r="PFX276" s="227"/>
      <c r="PFY276" s="227"/>
      <c r="PFZ276" s="227"/>
      <c r="PGA276" s="227"/>
      <c r="PGB276" s="227"/>
      <c r="PGC276" s="227"/>
      <c r="PGD276" s="227"/>
      <c r="PGE276" s="227"/>
      <c r="PGF276" s="227"/>
      <c r="PGG276" s="227"/>
      <c r="PGH276" s="227"/>
      <c r="PGI276" s="227"/>
      <c r="PGJ276" s="227"/>
      <c r="PGK276" s="227"/>
      <c r="PGL276" s="227"/>
      <c r="PGM276" s="227"/>
      <c r="PGN276" s="227"/>
      <c r="PGO276" s="227"/>
      <c r="PGP276" s="227"/>
      <c r="PGQ276" s="227"/>
      <c r="PGR276" s="227"/>
      <c r="PGS276" s="227"/>
      <c r="PGT276" s="227"/>
      <c r="PGU276" s="227"/>
      <c r="PGV276" s="227"/>
      <c r="PGW276" s="227"/>
      <c r="PGX276" s="227"/>
      <c r="PGY276" s="227"/>
      <c r="PGZ276" s="227"/>
      <c r="PHA276" s="227"/>
      <c r="PHB276" s="227"/>
      <c r="PHC276" s="227"/>
      <c r="PHD276" s="227"/>
      <c r="PHE276" s="227"/>
      <c r="PHF276" s="227"/>
      <c r="PHG276" s="227"/>
      <c r="PHH276" s="227"/>
      <c r="PHI276" s="227"/>
      <c r="PHJ276" s="227"/>
      <c r="PHK276" s="227"/>
      <c r="PHL276" s="227"/>
      <c r="PHM276" s="227"/>
      <c r="PHN276" s="227"/>
      <c r="PHO276" s="227"/>
      <c r="PHP276" s="227"/>
      <c r="PHQ276" s="227"/>
      <c r="PHR276" s="227"/>
      <c r="PHS276" s="227"/>
      <c r="PHT276" s="227"/>
      <c r="PHU276" s="227"/>
      <c r="PHV276" s="227"/>
      <c r="PHW276" s="227"/>
      <c r="PHX276" s="227"/>
      <c r="PHY276" s="227"/>
      <c r="PHZ276" s="227"/>
      <c r="PIA276" s="227"/>
      <c r="PIB276" s="227"/>
      <c r="PIC276" s="227"/>
      <c r="PID276" s="227"/>
      <c r="PIE276" s="227"/>
      <c r="PIF276" s="227"/>
      <c r="PIG276" s="227"/>
      <c r="PIH276" s="227"/>
      <c r="PII276" s="227"/>
      <c r="PIJ276" s="227"/>
      <c r="PIK276" s="227"/>
      <c r="PIL276" s="227"/>
      <c r="PIM276" s="227"/>
      <c r="PIN276" s="227"/>
      <c r="PIO276" s="227"/>
      <c r="PIP276" s="227"/>
      <c r="PIQ276" s="227"/>
      <c r="PIR276" s="227"/>
      <c r="PIS276" s="227"/>
      <c r="PIT276" s="227"/>
      <c r="PIU276" s="227"/>
      <c r="PIV276" s="227"/>
      <c r="PIW276" s="227"/>
      <c r="PIX276" s="227"/>
      <c r="PIY276" s="227"/>
      <c r="PIZ276" s="227"/>
      <c r="PJA276" s="227"/>
      <c r="PJB276" s="227"/>
      <c r="PJC276" s="227"/>
      <c r="PJD276" s="227"/>
      <c r="PJE276" s="227"/>
      <c r="PJF276" s="227"/>
      <c r="PJG276" s="227"/>
      <c r="PJH276" s="227"/>
      <c r="PJI276" s="227"/>
      <c r="PJJ276" s="227"/>
      <c r="PJK276" s="227"/>
      <c r="PJL276" s="227"/>
      <c r="PJM276" s="227"/>
      <c r="PJN276" s="227"/>
      <c r="PJO276" s="227"/>
      <c r="PJP276" s="227"/>
      <c r="PJQ276" s="227"/>
      <c r="PJR276" s="227"/>
      <c r="PJS276" s="227"/>
      <c r="PJT276" s="227"/>
      <c r="PJU276" s="227"/>
      <c r="PJV276" s="227"/>
      <c r="PJW276" s="227"/>
      <c r="PJX276" s="227"/>
      <c r="PJY276" s="227"/>
      <c r="PJZ276" s="227"/>
      <c r="PKA276" s="227"/>
      <c r="PKB276" s="227"/>
      <c r="PKC276" s="227"/>
      <c r="PKD276" s="227"/>
      <c r="PKE276" s="227"/>
      <c r="PKF276" s="227"/>
      <c r="PKG276" s="227"/>
      <c r="PKH276" s="227"/>
      <c r="PKI276" s="227"/>
      <c r="PKJ276" s="227"/>
      <c r="PKK276" s="227"/>
      <c r="PKL276" s="227"/>
      <c r="PKM276" s="227"/>
      <c r="PKN276" s="227"/>
      <c r="PKO276" s="227"/>
      <c r="PKP276" s="227"/>
      <c r="PKQ276" s="227"/>
      <c r="PKR276" s="227"/>
      <c r="PKS276" s="227"/>
      <c r="PKT276" s="227"/>
      <c r="PKU276" s="227"/>
      <c r="PKV276" s="227"/>
      <c r="PKW276" s="227"/>
      <c r="PKX276" s="227"/>
      <c r="PKY276" s="227"/>
      <c r="PKZ276" s="227"/>
      <c r="PLA276" s="227"/>
      <c r="PLB276" s="227"/>
      <c r="PLC276" s="227"/>
      <c r="PLD276" s="227"/>
      <c r="PLE276" s="227"/>
      <c r="PLF276" s="227"/>
      <c r="PLG276" s="227"/>
      <c r="PLH276" s="227"/>
      <c r="PLI276" s="227"/>
      <c r="PLJ276" s="227"/>
      <c r="PLK276" s="227"/>
      <c r="PLL276" s="227"/>
      <c r="PLM276" s="227"/>
      <c r="PLN276" s="227"/>
      <c r="PLO276" s="227"/>
      <c r="PLP276" s="227"/>
      <c r="PLQ276" s="227"/>
      <c r="PLR276" s="227"/>
      <c r="PLS276" s="227"/>
      <c r="PLT276" s="227"/>
      <c r="PLU276" s="227"/>
      <c r="PLV276" s="227"/>
      <c r="PLW276" s="227"/>
      <c r="PLX276" s="227"/>
      <c r="PLY276" s="227"/>
      <c r="PLZ276" s="227"/>
      <c r="PMA276" s="227"/>
      <c r="PMB276" s="227"/>
      <c r="PMC276" s="227"/>
      <c r="PMD276" s="227"/>
      <c r="PME276" s="227"/>
      <c r="PMF276" s="227"/>
      <c r="PMG276" s="227"/>
      <c r="PMH276" s="227"/>
      <c r="PMI276" s="227"/>
      <c r="PMJ276" s="227"/>
      <c r="PMK276" s="227"/>
      <c r="PML276" s="227"/>
      <c r="PMM276" s="227"/>
      <c r="PMN276" s="227"/>
      <c r="PMO276" s="227"/>
      <c r="PMP276" s="227"/>
      <c r="PMQ276" s="227"/>
      <c r="PMR276" s="227"/>
      <c r="PMS276" s="227"/>
      <c r="PMT276" s="227"/>
      <c r="PMU276" s="227"/>
      <c r="PMV276" s="227"/>
      <c r="PMW276" s="227"/>
      <c r="PMX276" s="227"/>
      <c r="PMY276" s="227"/>
      <c r="PMZ276" s="227"/>
      <c r="PNA276" s="227"/>
      <c r="PNB276" s="227"/>
      <c r="PNC276" s="227"/>
      <c r="PND276" s="227"/>
      <c r="PNE276" s="227"/>
      <c r="PNF276" s="227"/>
      <c r="PNG276" s="227"/>
      <c r="PNH276" s="227"/>
      <c r="PNI276" s="227"/>
      <c r="PNJ276" s="227"/>
      <c r="PNK276" s="227"/>
      <c r="PNL276" s="227"/>
      <c r="PNM276" s="227"/>
      <c r="PNN276" s="227"/>
      <c r="PNO276" s="227"/>
      <c r="PNP276" s="227"/>
      <c r="PNQ276" s="227"/>
      <c r="PNR276" s="227"/>
      <c r="PNS276" s="227"/>
      <c r="PNT276" s="227"/>
      <c r="PNU276" s="227"/>
      <c r="PNV276" s="227"/>
      <c r="PNW276" s="227"/>
      <c r="PNX276" s="227"/>
      <c r="PNY276" s="227"/>
      <c r="PNZ276" s="227"/>
      <c r="POA276" s="227"/>
      <c r="POB276" s="227"/>
      <c r="POC276" s="227"/>
      <c r="POD276" s="227"/>
      <c r="POE276" s="227"/>
      <c r="POF276" s="227"/>
      <c r="POG276" s="227"/>
      <c r="POH276" s="227"/>
      <c r="POI276" s="227"/>
      <c r="POJ276" s="227"/>
      <c r="POK276" s="227"/>
      <c r="POL276" s="227"/>
      <c r="POM276" s="227"/>
      <c r="PON276" s="227"/>
      <c r="POO276" s="227"/>
      <c r="POP276" s="227"/>
      <c r="POQ276" s="227"/>
      <c r="POR276" s="227"/>
      <c r="POS276" s="227"/>
      <c r="POT276" s="227"/>
      <c r="POU276" s="227"/>
      <c r="POV276" s="227"/>
      <c r="POW276" s="227"/>
      <c r="POX276" s="227"/>
      <c r="POY276" s="227"/>
      <c r="POZ276" s="227"/>
      <c r="PPA276" s="227"/>
      <c r="PPB276" s="227"/>
      <c r="PPC276" s="227"/>
      <c r="PPD276" s="227"/>
      <c r="PPE276" s="227"/>
      <c r="PPF276" s="227"/>
      <c r="PPG276" s="227"/>
      <c r="PPH276" s="227"/>
      <c r="PPI276" s="227"/>
      <c r="PPJ276" s="227"/>
      <c r="PPK276" s="227"/>
      <c r="PPL276" s="227"/>
      <c r="PPM276" s="227"/>
      <c r="PPN276" s="227"/>
      <c r="PPO276" s="227"/>
      <c r="PPP276" s="227"/>
      <c r="PPQ276" s="227"/>
      <c r="PPR276" s="227"/>
      <c r="PPS276" s="227"/>
      <c r="PPT276" s="227"/>
      <c r="PPU276" s="227"/>
      <c r="PPV276" s="227"/>
      <c r="PPW276" s="227"/>
      <c r="PPX276" s="227"/>
      <c r="PPY276" s="227"/>
      <c r="PPZ276" s="227"/>
      <c r="PQA276" s="227"/>
      <c r="PQB276" s="227"/>
      <c r="PQC276" s="227"/>
      <c r="PQD276" s="227"/>
      <c r="PQE276" s="227"/>
      <c r="PQF276" s="227"/>
      <c r="PQG276" s="227"/>
      <c r="PQH276" s="227"/>
      <c r="PQI276" s="227"/>
      <c r="PQJ276" s="227"/>
      <c r="PQK276" s="227"/>
      <c r="PQL276" s="227"/>
      <c r="PQM276" s="227"/>
      <c r="PQN276" s="227"/>
      <c r="PQO276" s="227"/>
      <c r="PQP276" s="227"/>
      <c r="PQQ276" s="227"/>
      <c r="PQR276" s="227"/>
      <c r="PQS276" s="227"/>
      <c r="PQT276" s="227"/>
      <c r="PQU276" s="227"/>
      <c r="PQV276" s="227"/>
      <c r="PQW276" s="227"/>
      <c r="PQX276" s="227"/>
      <c r="PQY276" s="227"/>
      <c r="PQZ276" s="227"/>
      <c r="PRA276" s="227"/>
      <c r="PRB276" s="227"/>
      <c r="PRC276" s="227"/>
      <c r="PRD276" s="227"/>
      <c r="PRE276" s="227"/>
      <c r="PRF276" s="227"/>
      <c r="PRG276" s="227"/>
      <c r="PRH276" s="227"/>
      <c r="PRI276" s="227"/>
      <c r="PRJ276" s="227"/>
      <c r="PRK276" s="227"/>
      <c r="PRL276" s="227"/>
      <c r="PRM276" s="227"/>
      <c r="PRN276" s="227"/>
      <c r="PRO276" s="227"/>
      <c r="PRP276" s="227"/>
      <c r="PRQ276" s="227"/>
      <c r="PRR276" s="227"/>
      <c r="PRS276" s="227"/>
      <c r="PRT276" s="227"/>
      <c r="PRU276" s="227"/>
      <c r="PRV276" s="227"/>
      <c r="PRW276" s="227"/>
      <c r="PRX276" s="227"/>
      <c r="PRY276" s="227"/>
      <c r="PRZ276" s="227"/>
      <c r="PSA276" s="227"/>
      <c r="PSB276" s="227"/>
      <c r="PSC276" s="227"/>
      <c r="PSD276" s="227"/>
      <c r="PSE276" s="227"/>
      <c r="PSF276" s="227"/>
      <c r="PSG276" s="227"/>
      <c r="PSH276" s="227"/>
      <c r="PSI276" s="227"/>
      <c r="PSJ276" s="227"/>
      <c r="PSK276" s="227"/>
      <c r="PSL276" s="227"/>
      <c r="PSM276" s="227"/>
      <c r="PSN276" s="227"/>
      <c r="PSO276" s="227"/>
      <c r="PSP276" s="227"/>
      <c r="PSQ276" s="227"/>
      <c r="PSR276" s="227"/>
      <c r="PSS276" s="227"/>
      <c r="PST276" s="227"/>
      <c r="PSU276" s="227"/>
      <c r="PSV276" s="227"/>
      <c r="PSW276" s="227"/>
      <c r="PSX276" s="227"/>
      <c r="PSY276" s="227"/>
      <c r="PSZ276" s="227"/>
      <c r="PTA276" s="227"/>
      <c r="PTB276" s="227"/>
      <c r="PTC276" s="227"/>
      <c r="PTD276" s="227"/>
      <c r="PTE276" s="227"/>
      <c r="PTF276" s="227"/>
      <c r="PTG276" s="227"/>
      <c r="PTH276" s="227"/>
      <c r="PTI276" s="227"/>
      <c r="PTJ276" s="227"/>
      <c r="PTK276" s="227"/>
      <c r="PTL276" s="227"/>
      <c r="PTM276" s="227"/>
      <c r="PTN276" s="227"/>
      <c r="PTO276" s="227"/>
      <c r="PTP276" s="227"/>
      <c r="PTQ276" s="227"/>
      <c r="PTR276" s="227"/>
      <c r="PTS276" s="227"/>
      <c r="PTT276" s="227"/>
      <c r="PTU276" s="227"/>
      <c r="PTV276" s="227"/>
      <c r="PTW276" s="227"/>
      <c r="PTX276" s="227"/>
      <c r="PTY276" s="227"/>
      <c r="PTZ276" s="227"/>
      <c r="PUA276" s="227"/>
      <c r="PUB276" s="227"/>
      <c r="PUC276" s="227"/>
      <c r="PUD276" s="227"/>
      <c r="PUE276" s="227"/>
      <c r="PUF276" s="227"/>
      <c r="PUG276" s="227"/>
      <c r="PUH276" s="227"/>
      <c r="PUI276" s="227"/>
      <c r="PUJ276" s="227"/>
      <c r="PUK276" s="227"/>
      <c r="PUL276" s="227"/>
      <c r="PUM276" s="227"/>
      <c r="PUN276" s="227"/>
      <c r="PUO276" s="227"/>
      <c r="PUP276" s="227"/>
      <c r="PUQ276" s="227"/>
      <c r="PUR276" s="227"/>
      <c r="PUS276" s="227"/>
      <c r="PUT276" s="227"/>
      <c r="PUU276" s="227"/>
      <c r="PUV276" s="227"/>
      <c r="PUW276" s="227"/>
      <c r="PUX276" s="227"/>
      <c r="PUY276" s="227"/>
      <c r="PUZ276" s="227"/>
      <c r="PVA276" s="227"/>
      <c r="PVB276" s="227"/>
      <c r="PVC276" s="227"/>
      <c r="PVD276" s="227"/>
      <c r="PVE276" s="227"/>
      <c r="PVF276" s="227"/>
      <c r="PVG276" s="227"/>
      <c r="PVH276" s="227"/>
      <c r="PVI276" s="227"/>
      <c r="PVJ276" s="227"/>
      <c r="PVK276" s="227"/>
      <c r="PVL276" s="227"/>
      <c r="PVM276" s="227"/>
      <c r="PVN276" s="227"/>
      <c r="PVO276" s="227"/>
      <c r="PVP276" s="227"/>
      <c r="PVQ276" s="227"/>
      <c r="PVR276" s="227"/>
      <c r="PVS276" s="227"/>
      <c r="PVT276" s="227"/>
      <c r="PVU276" s="227"/>
      <c r="PVV276" s="227"/>
      <c r="PVW276" s="227"/>
      <c r="PVX276" s="227"/>
      <c r="PVY276" s="227"/>
      <c r="PVZ276" s="227"/>
      <c r="PWA276" s="227"/>
      <c r="PWB276" s="227"/>
      <c r="PWC276" s="227"/>
      <c r="PWD276" s="227"/>
      <c r="PWE276" s="227"/>
      <c r="PWF276" s="227"/>
      <c r="PWG276" s="227"/>
      <c r="PWH276" s="227"/>
      <c r="PWI276" s="227"/>
      <c r="PWJ276" s="227"/>
      <c r="PWK276" s="227"/>
      <c r="PWL276" s="227"/>
      <c r="PWM276" s="227"/>
      <c r="PWN276" s="227"/>
      <c r="PWO276" s="227"/>
      <c r="PWP276" s="227"/>
      <c r="PWQ276" s="227"/>
      <c r="PWR276" s="227"/>
      <c r="PWS276" s="227"/>
      <c r="PWT276" s="227"/>
      <c r="PWU276" s="227"/>
      <c r="PWV276" s="227"/>
      <c r="PWW276" s="227"/>
      <c r="PWX276" s="227"/>
      <c r="PWY276" s="227"/>
      <c r="PWZ276" s="227"/>
      <c r="PXA276" s="227"/>
      <c r="PXB276" s="227"/>
      <c r="PXC276" s="227"/>
      <c r="PXD276" s="227"/>
      <c r="PXE276" s="227"/>
      <c r="PXF276" s="227"/>
      <c r="PXG276" s="227"/>
      <c r="PXH276" s="227"/>
      <c r="PXI276" s="227"/>
      <c r="PXJ276" s="227"/>
      <c r="PXK276" s="227"/>
      <c r="PXL276" s="227"/>
      <c r="PXM276" s="227"/>
      <c r="PXN276" s="227"/>
      <c r="PXO276" s="227"/>
      <c r="PXP276" s="227"/>
      <c r="PXQ276" s="227"/>
      <c r="PXR276" s="227"/>
      <c r="PXS276" s="227"/>
      <c r="PXT276" s="227"/>
      <c r="PXU276" s="227"/>
      <c r="PXV276" s="227"/>
      <c r="PXW276" s="227"/>
      <c r="PXX276" s="227"/>
      <c r="PXY276" s="227"/>
      <c r="PXZ276" s="227"/>
      <c r="PYA276" s="227"/>
      <c r="PYB276" s="227"/>
      <c r="PYC276" s="227"/>
      <c r="PYD276" s="227"/>
      <c r="PYE276" s="227"/>
      <c r="PYF276" s="227"/>
      <c r="PYG276" s="227"/>
      <c r="PYH276" s="227"/>
      <c r="PYI276" s="227"/>
      <c r="PYJ276" s="227"/>
      <c r="PYK276" s="227"/>
      <c r="PYL276" s="227"/>
      <c r="PYM276" s="227"/>
      <c r="PYN276" s="227"/>
      <c r="PYO276" s="227"/>
      <c r="PYP276" s="227"/>
      <c r="PYQ276" s="227"/>
      <c r="PYR276" s="227"/>
      <c r="PYS276" s="227"/>
      <c r="PYT276" s="227"/>
      <c r="PYU276" s="227"/>
      <c r="PYV276" s="227"/>
      <c r="PYW276" s="227"/>
      <c r="PYX276" s="227"/>
      <c r="PYY276" s="227"/>
      <c r="PYZ276" s="227"/>
      <c r="PZA276" s="227"/>
      <c r="PZB276" s="227"/>
      <c r="PZC276" s="227"/>
      <c r="PZD276" s="227"/>
      <c r="PZE276" s="227"/>
      <c r="PZF276" s="227"/>
      <c r="PZG276" s="227"/>
      <c r="PZH276" s="227"/>
      <c r="PZI276" s="227"/>
      <c r="PZJ276" s="227"/>
      <c r="PZK276" s="227"/>
      <c r="PZL276" s="227"/>
      <c r="PZM276" s="227"/>
      <c r="PZN276" s="227"/>
      <c r="PZO276" s="227"/>
      <c r="PZP276" s="227"/>
      <c r="PZQ276" s="227"/>
      <c r="PZR276" s="227"/>
      <c r="PZS276" s="227"/>
      <c r="PZT276" s="227"/>
      <c r="PZU276" s="227"/>
      <c r="PZV276" s="227"/>
      <c r="PZW276" s="227"/>
      <c r="PZX276" s="227"/>
      <c r="PZY276" s="227"/>
      <c r="PZZ276" s="227"/>
      <c r="QAA276" s="227"/>
      <c r="QAB276" s="227"/>
      <c r="QAC276" s="227"/>
      <c r="QAD276" s="227"/>
      <c r="QAE276" s="227"/>
      <c r="QAF276" s="227"/>
      <c r="QAG276" s="227"/>
      <c r="QAH276" s="227"/>
      <c r="QAI276" s="227"/>
      <c r="QAJ276" s="227"/>
      <c r="QAK276" s="227"/>
      <c r="QAL276" s="227"/>
      <c r="QAM276" s="227"/>
      <c r="QAN276" s="227"/>
      <c r="QAO276" s="227"/>
      <c r="QAP276" s="227"/>
      <c r="QAQ276" s="227"/>
      <c r="QAR276" s="227"/>
      <c r="QAS276" s="227"/>
      <c r="QAT276" s="227"/>
      <c r="QAU276" s="227"/>
      <c r="QAV276" s="227"/>
      <c r="QAW276" s="227"/>
      <c r="QAX276" s="227"/>
      <c r="QAY276" s="227"/>
      <c r="QAZ276" s="227"/>
      <c r="QBA276" s="227"/>
      <c r="QBB276" s="227"/>
      <c r="QBC276" s="227"/>
      <c r="QBD276" s="227"/>
      <c r="QBE276" s="227"/>
      <c r="QBF276" s="227"/>
      <c r="QBG276" s="227"/>
      <c r="QBH276" s="227"/>
      <c r="QBI276" s="227"/>
      <c r="QBJ276" s="227"/>
      <c r="QBK276" s="227"/>
      <c r="QBL276" s="227"/>
      <c r="QBM276" s="227"/>
      <c r="QBN276" s="227"/>
      <c r="QBO276" s="227"/>
      <c r="QBP276" s="227"/>
      <c r="QBQ276" s="227"/>
      <c r="QBR276" s="227"/>
      <c r="QBS276" s="227"/>
      <c r="QBT276" s="227"/>
      <c r="QBU276" s="227"/>
      <c r="QBV276" s="227"/>
      <c r="QBW276" s="227"/>
      <c r="QBX276" s="227"/>
      <c r="QBY276" s="227"/>
      <c r="QBZ276" s="227"/>
      <c r="QCA276" s="227"/>
      <c r="QCB276" s="227"/>
      <c r="QCC276" s="227"/>
      <c r="QCD276" s="227"/>
      <c r="QCE276" s="227"/>
      <c r="QCF276" s="227"/>
      <c r="QCG276" s="227"/>
      <c r="QCH276" s="227"/>
      <c r="QCI276" s="227"/>
      <c r="QCJ276" s="227"/>
      <c r="QCK276" s="227"/>
      <c r="QCL276" s="227"/>
      <c r="QCM276" s="227"/>
      <c r="QCN276" s="227"/>
      <c r="QCO276" s="227"/>
      <c r="QCP276" s="227"/>
      <c r="QCQ276" s="227"/>
      <c r="QCR276" s="227"/>
      <c r="QCS276" s="227"/>
      <c r="QCT276" s="227"/>
      <c r="QCU276" s="227"/>
      <c r="QCV276" s="227"/>
      <c r="QCW276" s="227"/>
      <c r="QCX276" s="227"/>
      <c r="QCY276" s="227"/>
      <c r="QCZ276" s="227"/>
      <c r="QDA276" s="227"/>
      <c r="QDB276" s="227"/>
      <c r="QDC276" s="227"/>
      <c r="QDD276" s="227"/>
      <c r="QDE276" s="227"/>
      <c r="QDF276" s="227"/>
      <c r="QDG276" s="227"/>
      <c r="QDH276" s="227"/>
      <c r="QDI276" s="227"/>
      <c r="QDJ276" s="227"/>
      <c r="QDK276" s="227"/>
      <c r="QDL276" s="227"/>
      <c r="QDM276" s="227"/>
      <c r="QDN276" s="227"/>
      <c r="QDO276" s="227"/>
      <c r="QDP276" s="227"/>
      <c r="QDQ276" s="227"/>
      <c r="QDR276" s="227"/>
      <c r="QDS276" s="227"/>
      <c r="QDT276" s="227"/>
      <c r="QDU276" s="227"/>
      <c r="QDV276" s="227"/>
      <c r="QDW276" s="227"/>
      <c r="QDX276" s="227"/>
      <c r="QDY276" s="227"/>
      <c r="QDZ276" s="227"/>
      <c r="QEA276" s="227"/>
      <c r="QEB276" s="227"/>
      <c r="QEC276" s="227"/>
      <c r="QED276" s="227"/>
      <c r="QEE276" s="227"/>
      <c r="QEF276" s="227"/>
      <c r="QEG276" s="227"/>
      <c r="QEH276" s="227"/>
      <c r="QEI276" s="227"/>
      <c r="QEJ276" s="227"/>
      <c r="QEK276" s="227"/>
      <c r="QEL276" s="227"/>
      <c r="QEM276" s="227"/>
      <c r="QEN276" s="227"/>
      <c r="QEO276" s="227"/>
      <c r="QEP276" s="227"/>
      <c r="QEQ276" s="227"/>
      <c r="QER276" s="227"/>
      <c r="QES276" s="227"/>
      <c r="QET276" s="227"/>
      <c r="QEU276" s="227"/>
      <c r="QEV276" s="227"/>
      <c r="QEW276" s="227"/>
      <c r="QEX276" s="227"/>
      <c r="QEY276" s="227"/>
      <c r="QEZ276" s="227"/>
      <c r="QFA276" s="227"/>
      <c r="QFB276" s="227"/>
      <c r="QFC276" s="227"/>
      <c r="QFD276" s="227"/>
      <c r="QFE276" s="227"/>
      <c r="QFF276" s="227"/>
      <c r="QFG276" s="227"/>
      <c r="QFH276" s="227"/>
      <c r="QFI276" s="227"/>
      <c r="QFJ276" s="227"/>
      <c r="QFK276" s="227"/>
      <c r="QFL276" s="227"/>
      <c r="QFM276" s="227"/>
      <c r="QFN276" s="227"/>
      <c r="QFO276" s="227"/>
      <c r="QFP276" s="227"/>
      <c r="QFQ276" s="227"/>
      <c r="QFR276" s="227"/>
      <c r="QFS276" s="227"/>
      <c r="QFT276" s="227"/>
      <c r="QFU276" s="227"/>
      <c r="QFV276" s="227"/>
      <c r="QFW276" s="227"/>
      <c r="QFX276" s="227"/>
      <c r="QFY276" s="227"/>
      <c r="QFZ276" s="227"/>
      <c r="QGA276" s="227"/>
      <c r="QGB276" s="227"/>
      <c r="QGC276" s="227"/>
      <c r="QGD276" s="227"/>
      <c r="QGE276" s="227"/>
      <c r="QGF276" s="227"/>
      <c r="QGG276" s="227"/>
      <c r="QGH276" s="227"/>
      <c r="QGI276" s="227"/>
      <c r="QGJ276" s="227"/>
      <c r="QGK276" s="227"/>
      <c r="QGL276" s="227"/>
      <c r="QGM276" s="227"/>
      <c r="QGN276" s="227"/>
      <c r="QGO276" s="227"/>
      <c r="QGP276" s="227"/>
      <c r="QGQ276" s="227"/>
      <c r="QGR276" s="227"/>
      <c r="QGS276" s="227"/>
      <c r="QGT276" s="227"/>
      <c r="QGU276" s="227"/>
      <c r="QGV276" s="227"/>
      <c r="QGW276" s="227"/>
      <c r="QGX276" s="227"/>
      <c r="QGY276" s="227"/>
      <c r="QGZ276" s="227"/>
      <c r="QHA276" s="227"/>
      <c r="QHB276" s="227"/>
      <c r="QHC276" s="227"/>
      <c r="QHD276" s="227"/>
      <c r="QHE276" s="227"/>
      <c r="QHF276" s="227"/>
      <c r="QHG276" s="227"/>
      <c r="QHH276" s="227"/>
      <c r="QHI276" s="227"/>
      <c r="QHJ276" s="227"/>
      <c r="QHK276" s="227"/>
      <c r="QHL276" s="227"/>
      <c r="QHM276" s="227"/>
      <c r="QHN276" s="227"/>
      <c r="QHO276" s="227"/>
      <c r="QHP276" s="227"/>
      <c r="QHQ276" s="227"/>
      <c r="QHR276" s="227"/>
      <c r="QHS276" s="227"/>
      <c r="QHT276" s="227"/>
      <c r="QHU276" s="227"/>
      <c r="QHV276" s="227"/>
      <c r="QHW276" s="227"/>
      <c r="QHX276" s="227"/>
      <c r="QHY276" s="227"/>
      <c r="QHZ276" s="227"/>
      <c r="QIA276" s="227"/>
      <c r="QIB276" s="227"/>
      <c r="QIC276" s="227"/>
      <c r="QID276" s="227"/>
      <c r="QIE276" s="227"/>
      <c r="QIF276" s="227"/>
      <c r="QIG276" s="227"/>
      <c r="QIH276" s="227"/>
      <c r="QII276" s="227"/>
      <c r="QIJ276" s="227"/>
      <c r="QIK276" s="227"/>
      <c r="QIL276" s="227"/>
      <c r="QIM276" s="227"/>
      <c r="QIN276" s="227"/>
      <c r="QIO276" s="227"/>
      <c r="QIP276" s="227"/>
      <c r="QIQ276" s="227"/>
      <c r="QIR276" s="227"/>
      <c r="QIS276" s="227"/>
      <c r="QIT276" s="227"/>
      <c r="QIU276" s="227"/>
      <c r="QIV276" s="227"/>
      <c r="QIW276" s="227"/>
      <c r="QIX276" s="227"/>
      <c r="QIY276" s="227"/>
      <c r="QIZ276" s="227"/>
      <c r="QJA276" s="227"/>
      <c r="QJB276" s="227"/>
      <c r="QJC276" s="227"/>
      <c r="QJD276" s="227"/>
      <c r="QJE276" s="227"/>
      <c r="QJF276" s="227"/>
      <c r="QJG276" s="227"/>
      <c r="QJH276" s="227"/>
      <c r="QJI276" s="227"/>
      <c r="QJJ276" s="227"/>
      <c r="QJK276" s="227"/>
      <c r="QJL276" s="227"/>
      <c r="QJM276" s="227"/>
      <c r="QJN276" s="227"/>
      <c r="QJO276" s="227"/>
      <c r="QJP276" s="227"/>
      <c r="QJQ276" s="227"/>
      <c r="QJR276" s="227"/>
      <c r="QJS276" s="227"/>
      <c r="QJT276" s="227"/>
      <c r="QJU276" s="227"/>
      <c r="QJV276" s="227"/>
      <c r="QJW276" s="227"/>
      <c r="QJX276" s="227"/>
      <c r="QJY276" s="227"/>
      <c r="QJZ276" s="227"/>
      <c r="QKA276" s="227"/>
      <c r="QKB276" s="227"/>
      <c r="QKC276" s="227"/>
      <c r="QKD276" s="227"/>
      <c r="QKE276" s="227"/>
      <c r="QKF276" s="227"/>
      <c r="QKG276" s="227"/>
      <c r="QKH276" s="227"/>
      <c r="QKI276" s="227"/>
      <c r="QKJ276" s="227"/>
      <c r="QKK276" s="227"/>
      <c r="QKL276" s="227"/>
      <c r="QKM276" s="227"/>
      <c r="QKN276" s="227"/>
      <c r="QKO276" s="227"/>
      <c r="QKP276" s="227"/>
      <c r="QKQ276" s="227"/>
      <c r="QKR276" s="227"/>
      <c r="QKS276" s="227"/>
      <c r="QKT276" s="227"/>
      <c r="QKU276" s="227"/>
      <c r="QKV276" s="227"/>
      <c r="QKW276" s="227"/>
      <c r="QKX276" s="227"/>
      <c r="QKY276" s="227"/>
      <c r="QKZ276" s="227"/>
      <c r="QLA276" s="227"/>
      <c r="QLB276" s="227"/>
      <c r="QLC276" s="227"/>
      <c r="QLD276" s="227"/>
      <c r="QLE276" s="227"/>
      <c r="QLF276" s="227"/>
      <c r="QLG276" s="227"/>
      <c r="QLH276" s="227"/>
      <c r="QLI276" s="227"/>
      <c r="QLJ276" s="227"/>
      <c r="QLK276" s="227"/>
      <c r="QLL276" s="227"/>
      <c r="QLM276" s="227"/>
      <c r="QLN276" s="227"/>
      <c r="QLO276" s="227"/>
      <c r="QLP276" s="227"/>
      <c r="QLQ276" s="227"/>
      <c r="QLR276" s="227"/>
      <c r="QLS276" s="227"/>
      <c r="QLT276" s="227"/>
      <c r="QLU276" s="227"/>
      <c r="QLV276" s="227"/>
      <c r="QLW276" s="227"/>
      <c r="QLX276" s="227"/>
      <c r="QLY276" s="227"/>
      <c r="QLZ276" s="227"/>
      <c r="QMA276" s="227"/>
      <c r="QMB276" s="227"/>
      <c r="QMC276" s="227"/>
      <c r="QMD276" s="227"/>
      <c r="QME276" s="227"/>
      <c r="QMF276" s="227"/>
      <c r="QMG276" s="227"/>
      <c r="QMH276" s="227"/>
      <c r="QMI276" s="227"/>
      <c r="QMJ276" s="227"/>
      <c r="QMK276" s="227"/>
      <c r="QML276" s="227"/>
      <c r="QMM276" s="227"/>
      <c r="QMN276" s="227"/>
      <c r="QMO276" s="227"/>
      <c r="QMP276" s="227"/>
      <c r="QMQ276" s="227"/>
      <c r="QMR276" s="227"/>
      <c r="QMS276" s="227"/>
      <c r="QMT276" s="227"/>
      <c r="QMU276" s="227"/>
      <c r="QMV276" s="227"/>
      <c r="QMW276" s="227"/>
      <c r="QMX276" s="227"/>
      <c r="QMY276" s="227"/>
      <c r="QMZ276" s="227"/>
      <c r="QNA276" s="227"/>
      <c r="QNB276" s="227"/>
      <c r="QNC276" s="227"/>
      <c r="QND276" s="227"/>
      <c r="QNE276" s="227"/>
      <c r="QNF276" s="227"/>
      <c r="QNG276" s="227"/>
      <c r="QNH276" s="227"/>
      <c r="QNI276" s="227"/>
      <c r="QNJ276" s="227"/>
      <c r="QNK276" s="227"/>
      <c r="QNL276" s="227"/>
      <c r="QNM276" s="227"/>
      <c r="QNN276" s="227"/>
      <c r="QNO276" s="227"/>
      <c r="QNP276" s="227"/>
      <c r="QNQ276" s="227"/>
      <c r="QNR276" s="227"/>
      <c r="QNS276" s="227"/>
      <c r="QNT276" s="227"/>
      <c r="QNU276" s="227"/>
      <c r="QNV276" s="227"/>
      <c r="QNW276" s="227"/>
      <c r="QNX276" s="227"/>
      <c r="QNY276" s="227"/>
      <c r="QNZ276" s="227"/>
      <c r="QOA276" s="227"/>
      <c r="QOB276" s="227"/>
      <c r="QOC276" s="227"/>
      <c r="QOD276" s="227"/>
      <c r="QOE276" s="227"/>
      <c r="QOF276" s="227"/>
      <c r="QOG276" s="227"/>
      <c r="QOH276" s="227"/>
      <c r="QOI276" s="227"/>
      <c r="QOJ276" s="227"/>
      <c r="QOK276" s="227"/>
      <c r="QOL276" s="227"/>
      <c r="QOM276" s="227"/>
      <c r="QON276" s="227"/>
      <c r="QOO276" s="227"/>
      <c r="QOP276" s="227"/>
      <c r="QOQ276" s="227"/>
      <c r="QOR276" s="227"/>
      <c r="QOS276" s="227"/>
      <c r="QOT276" s="227"/>
      <c r="QOU276" s="227"/>
      <c r="QOV276" s="227"/>
      <c r="QOW276" s="227"/>
      <c r="QOX276" s="227"/>
      <c r="QOY276" s="227"/>
      <c r="QOZ276" s="227"/>
      <c r="QPA276" s="227"/>
      <c r="QPB276" s="227"/>
      <c r="QPC276" s="227"/>
      <c r="QPD276" s="227"/>
      <c r="QPE276" s="227"/>
      <c r="QPF276" s="227"/>
      <c r="QPG276" s="227"/>
      <c r="QPH276" s="227"/>
      <c r="QPI276" s="227"/>
      <c r="QPJ276" s="227"/>
      <c r="QPK276" s="227"/>
      <c r="QPL276" s="227"/>
      <c r="QPM276" s="227"/>
      <c r="QPN276" s="227"/>
      <c r="QPO276" s="227"/>
      <c r="QPP276" s="227"/>
      <c r="QPQ276" s="227"/>
      <c r="QPR276" s="227"/>
      <c r="QPS276" s="227"/>
      <c r="QPT276" s="227"/>
      <c r="QPU276" s="227"/>
      <c r="QPV276" s="227"/>
      <c r="QPW276" s="227"/>
      <c r="QPX276" s="227"/>
      <c r="QPY276" s="227"/>
      <c r="QPZ276" s="227"/>
      <c r="QQA276" s="227"/>
      <c r="QQB276" s="227"/>
      <c r="QQC276" s="227"/>
      <c r="QQD276" s="227"/>
      <c r="QQE276" s="227"/>
      <c r="QQF276" s="227"/>
      <c r="QQG276" s="227"/>
      <c r="QQH276" s="227"/>
      <c r="QQI276" s="227"/>
      <c r="QQJ276" s="227"/>
      <c r="QQK276" s="227"/>
      <c r="QQL276" s="227"/>
      <c r="QQM276" s="227"/>
      <c r="QQN276" s="227"/>
      <c r="QQO276" s="227"/>
      <c r="QQP276" s="227"/>
      <c r="QQQ276" s="227"/>
      <c r="QQR276" s="227"/>
      <c r="QQS276" s="227"/>
      <c r="QQT276" s="227"/>
      <c r="QQU276" s="227"/>
      <c r="QQV276" s="227"/>
      <c r="QQW276" s="227"/>
      <c r="QQX276" s="227"/>
      <c r="QQY276" s="227"/>
      <c r="QQZ276" s="227"/>
      <c r="QRA276" s="227"/>
      <c r="QRB276" s="227"/>
      <c r="QRC276" s="227"/>
      <c r="QRD276" s="227"/>
      <c r="QRE276" s="227"/>
      <c r="QRF276" s="227"/>
      <c r="QRG276" s="227"/>
      <c r="QRH276" s="227"/>
      <c r="QRI276" s="227"/>
      <c r="QRJ276" s="227"/>
      <c r="QRK276" s="227"/>
      <c r="QRL276" s="227"/>
      <c r="QRM276" s="227"/>
      <c r="QRN276" s="227"/>
      <c r="QRO276" s="227"/>
      <c r="QRP276" s="227"/>
      <c r="QRQ276" s="227"/>
      <c r="QRR276" s="227"/>
      <c r="QRS276" s="227"/>
      <c r="QRT276" s="227"/>
      <c r="QRU276" s="227"/>
      <c r="QRV276" s="227"/>
      <c r="QRW276" s="227"/>
      <c r="QRX276" s="227"/>
      <c r="QRY276" s="227"/>
      <c r="QRZ276" s="227"/>
      <c r="QSA276" s="227"/>
      <c r="QSB276" s="227"/>
      <c r="QSC276" s="227"/>
      <c r="QSD276" s="227"/>
      <c r="QSE276" s="227"/>
      <c r="QSF276" s="227"/>
      <c r="QSG276" s="227"/>
      <c r="QSH276" s="227"/>
      <c r="QSI276" s="227"/>
      <c r="QSJ276" s="227"/>
      <c r="QSK276" s="227"/>
      <c r="QSL276" s="227"/>
      <c r="QSM276" s="227"/>
      <c r="QSN276" s="227"/>
      <c r="QSO276" s="227"/>
      <c r="QSP276" s="227"/>
      <c r="QSQ276" s="227"/>
      <c r="QSR276" s="227"/>
      <c r="QSS276" s="227"/>
      <c r="QST276" s="227"/>
      <c r="QSU276" s="227"/>
      <c r="QSV276" s="227"/>
      <c r="QSW276" s="227"/>
      <c r="QSX276" s="227"/>
      <c r="QSY276" s="227"/>
      <c r="QSZ276" s="227"/>
      <c r="QTA276" s="227"/>
      <c r="QTB276" s="227"/>
      <c r="QTC276" s="227"/>
      <c r="QTD276" s="227"/>
      <c r="QTE276" s="227"/>
      <c r="QTF276" s="227"/>
      <c r="QTG276" s="227"/>
      <c r="QTH276" s="227"/>
      <c r="QTI276" s="227"/>
      <c r="QTJ276" s="227"/>
      <c r="QTK276" s="227"/>
      <c r="QTL276" s="227"/>
      <c r="QTM276" s="227"/>
      <c r="QTN276" s="227"/>
      <c r="QTO276" s="227"/>
      <c r="QTP276" s="227"/>
      <c r="QTQ276" s="227"/>
      <c r="QTR276" s="227"/>
      <c r="QTS276" s="227"/>
      <c r="QTT276" s="227"/>
      <c r="QTU276" s="227"/>
      <c r="QTV276" s="227"/>
      <c r="QTW276" s="227"/>
      <c r="QTX276" s="227"/>
      <c r="QTY276" s="227"/>
      <c r="QTZ276" s="227"/>
      <c r="QUA276" s="227"/>
      <c r="QUB276" s="227"/>
      <c r="QUC276" s="227"/>
      <c r="QUD276" s="227"/>
      <c r="QUE276" s="227"/>
      <c r="QUF276" s="227"/>
      <c r="QUG276" s="227"/>
      <c r="QUH276" s="227"/>
      <c r="QUI276" s="227"/>
      <c r="QUJ276" s="227"/>
      <c r="QUK276" s="227"/>
      <c r="QUL276" s="227"/>
      <c r="QUM276" s="227"/>
      <c r="QUN276" s="227"/>
      <c r="QUO276" s="227"/>
      <c r="QUP276" s="227"/>
      <c r="QUQ276" s="227"/>
      <c r="QUR276" s="227"/>
      <c r="QUS276" s="227"/>
      <c r="QUT276" s="227"/>
      <c r="QUU276" s="227"/>
      <c r="QUV276" s="227"/>
      <c r="QUW276" s="227"/>
      <c r="QUX276" s="227"/>
      <c r="QUY276" s="227"/>
      <c r="QUZ276" s="227"/>
      <c r="QVA276" s="227"/>
      <c r="QVB276" s="227"/>
      <c r="QVC276" s="227"/>
      <c r="QVD276" s="227"/>
      <c r="QVE276" s="227"/>
      <c r="QVF276" s="227"/>
      <c r="QVG276" s="227"/>
      <c r="QVH276" s="227"/>
      <c r="QVI276" s="227"/>
      <c r="QVJ276" s="227"/>
      <c r="QVK276" s="227"/>
      <c r="QVL276" s="227"/>
      <c r="QVM276" s="227"/>
      <c r="QVN276" s="227"/>
      <c r="QVO276" s="227"/>
      <c r="QVP276" s="227"/>
      <c r="QVQ276" s="227"/>
      <c r="QVR276" s="227"/>
      <c r="QVS276" s="227"/>
      <c r="QVT276" s="227"/>
      <c r="QVU276" s="227"/>
      <c r="QVV276" s="227"/>
      <c r="QVW276" s="227"/>
      <c r="QVX276" s="227"/>
      <c r="QVY276" s="227"/>
      <c r="QVZ276" s="227"/>
      <c r="QWA276" s="227"/>
      <c r="QWB276" s="227"/>
      <c r="QWC276" s="227"/>
      <c r="QWD276" s="227"/>
      <c r="QWE276" s="227"/>
      <c r="QWF276" s="227"/>
      <c r="QWG276" s="227"/>
      <c r="QWH276" s="227"/>
      <c r="QWI276" s="227"/>
      <c r="QWJ276" s="227"/>
      <c r="QWK276" s="227"/>
      <c r="QWL276" s="227"/>
      <c r="QWM276" s="227"/>
      <c r="QWN276" s="227"/>
      <c r="QWO276" s="227"/>
      <c r="QWP276" s="227"/>
      <c r="QWQ276" s="227"/>
      <c r="QWR276" s="227"/>
      <c r="QWS276" s="227"/>
      <c r="QWT276" s="227"/>
      <c r="QWU276" s="227"/>
      <c r="QWV276" s="227"/>
      <c r="QWW276" s="227"/>
      <c r="QWX276" s="227"/>
      <c r="QWY276" s="227"/>
      <c r="QWZ276" s="227"/>
      <c r="QXA276" s="227"/>
      <c r="QXB276" s="227"/>
      <c r="QXC276" s="227"/>
      <c r="QXD276" s="227"/>
      <c r="QXE276" s="227"/>
      <c r="QXF276" s="227"/>
      <c r="QXG276" s="227"/>
      <c r="QXH276" s="227"/>
      <c r="QXI276" s="227"/>
      <c r="QXJ276" s="227"/>
      <c r="QXK276" s="227"/>
      <c r="QXL276" s="227"/>
      <c r="QXM276" s="227"/>
      <c r="QXN276" s="227"/>
      <c r="QXO276" s="227"/>
      <c r="QXP276" s="227"/>
      <c r="QXQ276" s="227"/>
      <c r="QXR276" s="227"/>
      <c r="QXS276" s="227"/>
      <c r="QXT276" s="227"/>
      <c r="QXU276" s="227"/>
      <c r="QXV276" s="227"/>
      <c r="QXW276" s="227"/>
      <c r="QXX276" s="227"/>
      <c r="QXY276" s="227"/>
      <c r="QXZ276" s="227"/>
      <c r="QYA276" s="227"/>
      <c r="QYB276" s="227"/>
      <c r="QYC276" s="227"/>
      <c r="QYD276" s="227"/>
      <c r="QYE276" s="227"/>
      <c r="QYF276" s="227"/>
      <c r="QYG276" s="227"/>
      <c r="QYH276" s="227"/>
      <c r="QYI276" s="227"/>
      <c r="QYJ276" s="227"/>
      <c r="QYK276" s="227"/>
      <c r="QYL276" s="227"/>
      <c r="QYM276" s="227"/>
      <c r="QYN276" s="227"/>
      <c r="QYO276" s="227"/>
      <c r="QYP276" s="227"/>
      <c r="QYQ276" s="227"/>
      <c r="QYR276" s="227"/>
      <c r="QYS276" s="227"/>
      <c r="QYT276" s="227"/>
      <c r="QYU276" s="227"/>
      <c r="QYV276" s="227"/>
      <c r="QYW276" s="227"/>
      <c r="QYX276" s="227"/>
      <c r="QYY276" s="227"/>
      <c r="QYZ276" s="227"/>
      <c r="QZA276" s="227"/>
      <c r="QZB276" s="227"/>
      <c r="QZC276" s="227"/>
      <c r="QZD276" s="227"/>
      <c r="QZE276" s="227"/>
      <c r="QZF276" s="227"/>
      <c r="QZG276" s="227"/>
      <c r="QZH276" s="227"/>
      <c r="QZI276" s="227"/>
      <c r="QZJ276" s="227"/>
      <c r="QZK276" s="227"/>
      <c r="QZL276" s="227"/>
      <c r="QZM276" s="227"/>
      <c r="QZN276" s="227"/>
      <c r="QZO276" s="227"/>
      <c r="QZP276" s="227"/>
      <c r="QZQ276" s="227"/>
      <c r="QZR276" s="227"/>
      <c r="QZS276" s="227"/>
      <c r="QZT276" s="227"/>
      <c r="QZU276" s="227"/>
      <c r="QZV276" s="227"/>
      <c r="QZW276" s="227"/>
      <c r="QZX276" s="227"/>
      <c r="QZY276" s="227"/>
      <c r="QZZ276" s="227"/>
      <c r="RAA276" s="227"/>
      <c r="RAB276" s="227"/>
      <c r="RAC276" s="227"/>
      <c r="RAD276" s="227"/>
      <c r="RAE276" s="227"/>
      <c r="RAF276" s="227"/>
      <c r="RAG276" s="227"/>
      <c r="RAH276" s="227"/>
      <c r="RAI276" s="227"/>
      <c r="RAJ276" s="227"/>
      <c r="RAK276" s="227"/>
      <c r="RAL276" s="227"/>
      <c r="RAM276" s="227"/>
      <c r="RAN276" s="227"/>
      <c r="RAO276" s="227"/>
      <c r="RAP276" s="227"/>
      <c r="RAQ276" s="227"/>
      <c r="RAR276" s="227"/>
      <c r="RAS276" s="227"/>
      <c r="RAT276" s="227"/>
      <c r="RAU276" s="227"/>
      <c r="RAV276" s="227"/>
      <c r="RAW276" s="227"/>
      <c r="RAX276" s="227"/>
      <c r="RAY276" s="227"/>
      <c r="RAZ276" s="227"/>
      <c r="RBA276" s="227"/>
      <c r="RBB276" s="227"/>
      <c r="RBC276" s="227"/>
      <c r="RBD276" s="227"/>
      <c r="RBE276" s="227"/>
      <c r="RBF276" s="227"/>
      <c r="RBG276" s="227"/>
      <c r="RBH276" s="227"/>
      <c r="RBI276" s="227"/>
      <c r="RBJ276" s="227"/>
      <c r="RBK276" s="227"/>
      <c r="RBL276" s="227"/>
      <c r="RBM276" s="227"/>
      <c r="RBN276" s="227"/>
      <c r="RBO276" s="227"/>
      <c r="RBP276" s="227"/>
      <c r="RBQ276" s="227"/>
      <c r="RBR276" s="227"/>
      <c r="RBS276" s="227"/>
      <c r="RBT276" s="227"/>
      <c r="RBU276" s="227"/>
      <c r="RBV276" s="227"/>
      <c r="RBW276" s="227"/>
      <c r="RBX276" s="227"/>
      <c r="RBY276" s="227"/>
      <c r="RBZ276" s="227"/>
      <c r="RCA276" s="227"/>
      <c r="RCB276" s="227"/>
      <c r="RCC276" s="227"/>
      <c r="RCD276" s="227"/>
      <c r="RCE276" s="227"/>
      <c r="RCF276" s="227"/>
      <c r="RCG276" s="227"/>
      <c r="RCH276" s="227"/>
      <c r="RCI276" s="227"/>
      <c r="RCJ276" s="227"/>
      <c r="RCK276" s="227"/>
      <c r="RCL276" s="227"/>
      <c r="RCM276" s="227"/>
      <c r="RCN276" s="227"/>
      <c r="RCO276" s="227"/>
      <c r="RCP276" s="227"/>
      <c r="RCQ276" s="227"/>
      <c r="RCR276" s="227"/>
      <c r="RCS276" s="227"/>
      <c r="RCT276" s="227"/>
      <c r="RCU276" s="227"/>
      <c r="RCV276" s="227"/>
      <c r="RCW276" s="227"/>
      <c r="RCX276" s="227"/>
      <c r="RCY276" s="227"/>
      <c r="RCZ276" s="227"/>
      <c r="RDA276" s="227"/>
      <c r="RDB276" s="227"/>
      <c r="RDC276" s="227"/>
      <c r="RDD276" s="227"/>
      <c r="RDE276" s="227"/>
      <c r="RDF276" s="227"/>
      <c r="RDG276" s="227"/>
      <c r="RDH276" s="227"/>
      <c r="RDI276" s="227"/>
      <c r="RDJ276" s="227"/>
      <c r="RDK276" s="227"/>
      <c r="RDL276" s="227"/>
      <c r="RDM276" s="227"/>
      <c r="RDN276" s="227"/>
      <c r="RDO276" s="227"/>
      <c r="RDP276" s="227"/>
      <c r="RDQ276" s="227"/>
      <c r="RDR276" s="227"/>
      <c r="RDS276" s="227"/>
      <c r="RDT276" s="227"/>
      <c r="RDU276" s="227"/>
      <c r="RDV276" s="227"/>
      <c r="RDW276" s="227"/>
      <c r="RDX276" s="227"/>
      <c r="RDY276" s="227"/>
      <c r="RDZ276" s="227"/>
      <c r="REA276" s="227"/>
      <c r="REB276" s="227"/>
      <c r="REC276" s="227"/>
      <c r="RED276" s="227"/>
      <c r="REE276" s="227"/>
      <c r="REF276" s="227"/>
      <c r="REG276" s="227"/>
      <c r="REH276" s="227"/>
      <c r="REI276" s="227"/>
      <c r="REJ276" s="227"/>
      <c r="REK276" s="227"/>
      <c r="REL276" s="227"/>
      <c r="REM276" s="227"/>
      <c r="REN276" s="227"/>
      <c r="REO276" s="227"/>
      <c r="REP276" s="227"/>
      <c r="REQ276" s="227"/>
      <c r="RER276" s="227"/>
      <c r="RES276" s="227"/>
      <c r="RET276" s="227"/>
      <c r="REU276" s="227"/>
      <c r="REV276" s="227"/>
      <c r="REW276" s="227"/>
      <c r="REX276" s="227"/>
      <c r="REY276" s="227"/>
      <c r="REZ276" s="227"/>
      <c r="RFA276" s="227"/>
      <c r="RFB276" s="227"/>
      <c r="RFC276" s="227"/>
      <c r="RFD276" s="227"/>
      <c r="RFE276" s="227"/>
      <c r="RFF276" s="227"/>
      <c r="RFG276" s="227"/>
      <c r="RFH276" s="227"/>
      <c r="RFI276" s="227"/>
      <c r="RFJ276" s="227"/>
      <c r="RFK276" s="227"/>
      <c r="RFL276" s="227"/>
      <c r="RFM276" s="227"/>
      <c r="RFN276" s="227"/>
      <c r="RFO276" s="227"/>
      <c r="RFP276" s="227"/>
      <c r="RFQ276" s="227"/>
      <c r="RFR276" s="227"/>
      <c r="RFS276" s="227"/>
      <c r="RFT276" s="227"/>
      <c r="RFU276" s="227"/>
      <c r="RFV276" s="227"/>
      <c r="RFW276" s="227"/>
      <c r="RFX276" s="227"/>
      <c r="RFY276" s="227"/>
      <c r="RFZ276" s="227"/>
      <c r="RGA276" s="227"/>
      <c r="RGB276" s="227"/>
      <c r="RGC276" s="227"/>
      <c r="RGD276" s="227"/>
      <c r="RGE276" s="227"/>
      <c r="RGF276" s="227"/>
      <c r="RGG276" s="227"/>
      <c r="RGH276" s="227"/>
      <c r="RGI276" s="227"/>
      <c r="RGJ276" s="227"/>
      <c r="RGK276" s="227"/>
      <c r="RGL276" s="227"/>
      <c r="RGM276" s="227"/>
      <c r="RGN276" s="227"/>
      <c r="RGO276" s="227"/>
      <c r="RGP276" s="227"/>
      <c r="RGQ276" s="227"/>
      <c r="RGR276" s="227"/>
      <c r="RGS276" s="227"/>
      <c r="RGT276" s="227"/>
      <c r="RGU276" s="227"/>
      <c r="RGV276" s="227"/>
      <c r="RGW276" s="227"/>
      <c r="RGX276" s="227"/>
      <c r="RGY276" s="227"/>
      <c r="RGZ276" s="227"/>
      <c r="RHA276" s="227"/>
      <c r="RHB276" s="227"/>
      <c r="RHC276" s="227"/>
      <c r="RHD276" s="227"/>
      <c r="RHE276" s="227"/>
      <c r="RHF276" s="227"/>
      <c r="RHG276" s="227"/>
      <c r="RHH276" s="227"/>
      <c r="RHI276" s="227"/>
      <c r="RHJ276" s="227"/>
      <c r="RHK276" s="227"/>
      <c r="RHL276" s="227"/>
      <c r="RHM276" s="227"/>
      <c r="RHN276" s="227"/>
      <c r="RHO276" s="227"/>
      <c r="RHP276" s="227"/>
      <c r="RHQ276" s="227"/>
      <c r="RHR276" s="227"/>
      <c r="RHS276" s="227"/>
      <c r="RHT276" s="227"/>
      <c r="RHU276" s="227"/>
      <c r="RHV276" s="227"/>
      <c r="RHW276" s="227"/>
      <c r="RHX276" s="227"/>
      <c r="RHY276" s="227"/>
      <c r="RHZ276" s="227"/>
      <c r="RIA276" s="227"/>
      <c r="RIB276" s="227"/>
      <c r="RIC276" s="227"/>
      <c r="RID276" s="227"/>
      <c r="RIE276" s="227"/>
      <c r="RIF276" s="227"/>
      <c r="RIG276" s="227"/>
      <c r="RIH276" s="227"/>
      <c r="RII276" s="227"/>
      <c r="RIJ276" s="227"/>
      <c r="RIK276" s="227"/>
      <c r="RIL276" s="227"/>
      <c r="RIM276" s="227"/>
      <c r="RIN276" s="227"/>
      <c r="RIO276" s="227"/>
      <c r="RIP276" s="227"/>
      <c r="RIQ276" s="227"/>
      <c r="RIR276" s="227"/>
      <c r="RIS276" s="227"/>
      <c r="RIT276" s="227"/>
      <c r="RIU276" s="227"/>
      <c r="RIV276" s="227"/>
      <c r="RIW276" s="227"/>
      <c r="RIX276" s="227"/>
      <c r="RIY276" s="227"/>
      <c r="RIZ276" s="227"/>
      <c r="RJA276" s="227"/>
      <c r="RJB276" s="227"/>
      <c r="RJC276" s="227"/>
      <c r="RJD276" s="227"/>
      <c r="RJE276" s="227"/>
      <c r="RJF276" s="227"/>
      <c r="RJG276" s="227"/>
      <c r="RJH276" s="227"/>
      <c r="RJI276" s="227"/>
      <c r="RJJ276" s="227"/>
      <c r="RJK276" s="227"/>
      <c r="RJL276" s="227"/>
      <c r="RJM276" s="227"/>
      <c r="RJN276" s="227"/>
      <c r="RJO276" s="227"/>
      <c r="RJP276" s="227"/>
      <c r="RJQ276" s="227"/>
      <c r="RJR276" s="227"/>
      <c r="RJS276" s="227"/>
      <c r="RJT276" s="227"/>
      <c r="RJU276" s="227"/>
      <c r="RJV276" s="227"/>
      <c r="RJW276" s="227"/>
      <c r="RJX276" s="227"/>
      <c r="RJY276" s="227"/>
      <c r="RJZ276" s="227"/>
      <c r="RKA276" s="227"/>
      <c r="RKB276" s="227"/>
      <c r="RKC276" s="227"/>
      <c r="RKD276" s="227"/>
      <c r="RKE276" s="227"/>
      <c r="RKF276" s="227"/>
      <c r="RKG276" s="227"/>
      <c r="RKH276" s="227"/>
      <c r="RKI276" s="227"/>
      <c r="RKJ276" s="227"/>
      <c r="RKK276" s="227"/>
      <c r="RKL276" s="227"/>
      <c r="RKM276" s="227"/>
      <c r="RKN276" s="227"/>
      <c r="RKO276" s="227"/>
      <c r="RKP276" s="227"/>
      <c r="RKQ276" s="227"/>
      <c r="RKR276" s="227"/>
      <c r="RKS276" s="227"/>
      <c r="RKT276" s="227"/>
      <c r="RKU276" s="227"/>
      <c r="RKV276" s="227"/>
      <c r="RKW276" s="227"/>
      <c r="RKX276" s="227"/>
      <c r="RKY276" s="227"/>
      <c r="RKZ276" s="227"/>
      <c r="RLA276" s="227"/>
      <c r="RLB276" s="227"/>
      <c r="RLC276" s="227"/>
      <c r="RLD276" s="227"/>
      <c r="RLE276" s="227"/>
      <c r="RLF276" s="227"/>
      <c r="RLG276" s="227"/>
      <c r="RLH276" s="227"/>
      <c r="RLI276" s="227"/>
      <c r="RLJ276" s="227"/>
      <c r="RLK276" s="227"/>
      <c r="RLL276" s="227"/>
      <c r="RLM276" s="227"/>
      <c r="RLN276" s="227"/>
      <c r="RLO276" s="227"/>
      <c r="RLP276" s="227"/>
      <c r="RLQ276" s="227"/>
      <c r="RLR276" s="227"/>
      <c r="RLS276" s="227"/>
      <c r="RLT276" s="227"/>
      <c r="RLU276" s="227"/>
      <c r="RLV276" s="227"/>
      <c r="RLW276" s="227"/>
      <c r="RLX276" s="227"/>
      <c r="RLY276" s="227"/>
      <c r="RLZ276" s="227"/>
      <c r="RMA276" s="227"/>
      <c r="RMB276" s="227"/>
      <c r="RMC276" s="227"/>
      <c r="RMD276" s="227"/>
      <c r="RME276" s="227"/>
      <c r="RMF276" s="227"/>
      <c r="RMG276" s="227"/>
      <c r="RMH276" s="227"/>
      <c r="RMI276" s="227"/>
      <c r="RMJ276" s="227"/>
      <c r="RMK276" s="227"/>
      <c r="RML276" s="227"/>
      <c r="RMM276" s="227"/>
      <c r="RMN276" s="227"/>
      <c r="RMO276" s="227"/>
      <c r="RMP276" s="227"/>
      <c r="RMQ276" s="227"/>
      <c r="RMR276" s="227"/>
      <c r="RMS276" s="227"/>
      <c r="RMT276" s="227"/>
      <c r="RMU276" s="227"/>
      <c r="RMV276" s="227"/>
      <c r="RMW276" s="227"/>
      <c r="RMX276" s="227"/>
      <c r="RMY276" s="227"/>
      <c r="RMZ276" s="227"/>
      <c r="RNA276" s="227"/>
      <c r="RNB276" s="227"/>
      <c r="RNC276" s="227"/>
      <c r="RND276" s="227"/>
      <c r="RNE276" s="227"/>
      <c r="RNF276" s="227"/>
      <c r="RNG276" s="227"/>
      <c r="RNH276" s="227"/>
      <c r="RNI276" s="227"/>
      <c r="RNJ276" s="227"/>
      <c r="RNK276" s="227"/>
      <c r="RNL276" s="227"/>
      <c r="RNM276" s="227"/>
      <c r="RNN276" s="227"/>
      <c r="RNO276" s="227"/>
      <c r="RNP276" s="227"/>
      <c r="RNQ276" s="227"/>
      <c r="RNR276" s="227"/>
      <c r="RNS276" s="227"/>
      <c r="RNT276" s="227"/>
      <c r="RNU276" s="227"/>
      <c r="RNV276" s="227"/>
      <c r="RNW276" s="227"/>
      <c r="RNX276" s="227"/>
      <c r="RNY276" s="227"/>
      <c r="RNZ276" s="227"/>
      <c r="ROA276" s="227"/>
      <c r="ROB276" s="227"/>
      <c r="ROC276" s="227"/>
      <c r="ROD276" s="227"/>
      <c r="ROE276" s="227"/>
      <c r="ROF276" s="227"/>
      <c r="ROG276" s="227"/>
      <c r="ROH276" s="227"/>
      <c r="ROI276" s="227"/>
      <c r="ROJ276" s="227"/>
      <c r="ROK276" s="227"/>
      <c r="ROL276" s="227"/>
      <c r="ROM276" s="227"/>
      <c r="RON276" s="227"/>
      <c r="ROO276" s="227"/>
      <c r="ROP276" s="227"/>
      <c r="ROQ276" s="227"/>
      <c r="ROR276" s="227"/>
      <c r="ROS276" s="227"/>
      <c r="ROT276" s="227"/>
      <c r="ROU276" s="227"/>
      <c r="ROV276" s="227"/>
      <c r="ROW276" s="227"/>
      <c r="ROX276" s="227"/>
      <c r="ROY276" s="227"/>
      <c r="ROZ276" s="227"/>
      <c r="RPA276" s="227"/>
      <c r="RPB276" s="227"/>
      <c r="RPC276" s="227"/>
      <c r="RPD276" s="227"/>
      <c r="RPE276" s="227"/>
      <c r="RPF276" s="227"/>
      <c r="RPG276" s="227"/>
      <c r="RPH276" s="227"/>
      <c r="RPI276" s="227"/>
      <c r="RPJ276" s="227"/>
      <c r="RPK276" s="227"/>
      <c r="RPL276" s="227"/>
      <c r="RPM276" s="227"/>
      <c r="RPN276" s="227"/>
      <c r="RPO276" s="227"/>
      <c r="RPP276" s="227"/>
      <c r="RPQ276" s="227"/>
      <c r="RPR276" s="227"/>
      <c r="RPS276" s="227"/>
      <c r="RPT276" s="227"/>
      <c r="RPU276" s="227"/>
      <c r="RPV276" s="227"/>
      <c r="RPW276" s="227"/>
      <c r="RPX276" s="227"/>
      <c r="RPY276" s="227"/>
      <c r="RPZ276" s="227"/>
      <c r="RQA276" s="227"/>
      <c r="RQB276" s="227"/>
      <c r="RQC276" s="227"/>
      <c r="RQD276" s="227"/>
      <c r="RQE276" s="227"/>
      <c r="RQF276" s="227"/>
      <c r="RQG276" s="227"/>
      <c r="RQH276" s="227"/>
      <c r="RQI276" s="227"/>
      <c r="RQJ276" s="227"/>
      <c r="RQK276" s="227"/>
      <c r="RQL276" s="227"/>
      <c r="RQM276" s="227"/>
      <c r="RQN276" s="227"/>
      <c r="RQO276" s="227"/>
      <c r="RQP276" s="227"/>
      <c r="RQQ276" s="227"/>
      <c r="RQR276" s="227"/>
      <c r="RQS276" s="227"/>
      <c r="RQT276" s="227"/>
      <c r="RQU276" s="227"/>
      <c r="RQV276" s="227"/>
      <c r="RQW276" s="227"/>
      <c r="RQX276" s="227"/>
      <c r="RQY276" s="227"/>
      <c r="RQZ276" s="227"/>
      <c r="RRA276" s="227"/>
      <c r="RRB276" s="227"/>
      <c r="RRC276" s="227"/>
      <c r="RRD276" s="227"/>
      <c r="RRE276" s="227"/>
      <c r="RRF276" s="227"/>
      <c r="RRG276" s="227"/>
      <c r="RRH276" s="227"/>
      <c r="RRI276" s="227"/>
      <c r="RRJ276" s="227"/>
      <c r="RRK276" s="227"/>
      <c r="RRL276" s="227"/>
      <c r="RRM276" s="227"/>
      <c r="RRN276" s="227"/>
      <c r="RRO276" s="227"/>
      <c r="RRP276" s="227"/>
      <c r="RRQ276" s="227"/>
      <c r="RRR276" s="227"/>
      <c r="RRS276" s="227"/>
      <c r="RRT276" s="227"/>
      <c r="RRU276" s="227"/>
      <c r="RRV276" s="227"/>
      <c r="RRW276" s="227"/>
      <c r="RRX276" s="227"/>
      <c r="RRY276" s="227"/>
      <c r="RRZ276" s="227"/>
      <c r="RSA276" s="227"/>
      <c r="RSB276" s="227"/>
      <c r="RSC276" s="227"/>
      <c r="RSD276" s="227"/>
      <c r="RSE276" s="227"/>
      <c r="RSF276" s="227"/>
      <c r="RSG276" s="227"/>
      <c r="RSH276" s="227"/>
      <c r="RSI276" s="227"/>
      <c r="RSJ276" s="227"/>
      <c r="RSK276" s="227"/>
      <c r="RSL276" s="227"/>
      <c r="RSM276" s="227"/>
      <c r="RSN276" s="227"/>
      <c r="RSO276" s="227"/>
      <c r="RSP276" s="227"/>
      <c r="RSQ276" s="227"/>
      <c r="RSR276" s="227"/>
      <c r="RSS276" s="227"/>
      <c r="RST276" s="227"/>
      <c r="RSU276" s="227"/>
      <c r="RSV276" s="227"/>
      <c r="RSW276" s="227"/>
      <c r="RSX276" s="227"/>
      <c r="RSY276" s="227"/>
      <c r="RSZ276" s="227"/>
      <c r="RTA276" s="227"/>
      <c r="RTB276" s="227"/>
      <c r="RTC276" s="227"/>
      <c r="RTD276" s="227"/>
      <c r="RTE276" s="227"/>
      <c r="RTF276" s="227"/>
      <c r="RTG276" s="227"/>
      <c r="RTH276" s="227"/>
      <c r="RTI276" s="227"/>
      <c r="RTJ276" s="227"/>
      <c r="RTK276" s="227"/>
      <c r="RTL276" s="227"/>
      <c r="RTM276" s="227"/>
      <c r="RTN276" s="227"/>
      <c r="RTO276" s="227"/>
      <c r="RTP276" s="227"/>
      <c r="RTQ276" s="227"/>
      <c r="RTR276" s="227"/>
      <c r="RTS276" s="227"/>
      <c r="RTT276" s="227"/>
      <c r="RTU276" s="227"/>
      <c r="RTV276" s="227"/>
      <c r="RTW276" s="227"/>
      <c r="RTX276" s="227"/>
      <c r="RTY276" s="227"/>
      <c r="RTZ276" s="227"/>
      <c r="RUA276" s="227"/>
      <c r="RUB276" s="227"/>
      <c r="RUC276" s="227"/>
      <c r="RUD276" s="227"/>
      <c r="RUE276" s="227"/>
      <c r="RUF276" s="227"/>
      <c r="RUG276" s="227"/>
      <c r="RUH276" s="227"/>
      <c r="RUI276" s="227"/>
      <c r="RUJ276" s="227"/>
      <c r="RUK276" s="227"/>
      <c r="RUL276" s="227"/>
      <c r="RUM276" s="227"/>
      <c r="RUN276" s="227"/>
      <c r="RUO276" s="227"/>
      <c r="RUP276" s="227"/>
      <c r="RUQ276" s="227"/>
      <c r="RUR276" s="227"/>
      <c r="RUS276" s="227"/>
      <c r="RUT276" s="227"/>
      <c r="RUU276" s="227"/>
      <c r="RUV276" s="227"/>
      <c r="RUW276" s="227"/>
      <c r="RUX276" s="227"/>
      <c r="RUY276" s="227"/>
      <c r="RUZ276" s="227"/>
      <c r="RVA276" s="227"/>
      <c r="RVB276" s="227"/>
      <c r="RVC276" s="227"/>
      <c r="RVD276" s="227"/>
      <c r="RVE276" s="227"/>
      <c r="RVF276" s="227"/>
      <c r="RVG276" s="227"/>
      <c r="RVH276" s="227"/>
      <c r="RVI276" s="227"/>
      <c r="RVJ276" s="227"/>
      <c r="RVK276" s="227"/>
      <c r="RVL276" s="227"/>
      <c r="RVM276" s="227"/>
      <c r="RVN276" s="227"/>
      <c r="RVO276" s="227"/>
      <c r="RVP276" s="227"/>
      <c r="RVQ276" s="227"/>
      <c r="RVR276" s="227"/>
      <c r="RVS276" s="227"/>
      <c r="RVT276" s="227"/>
      <c r="RVU276" s="227"/>
      <c r="RVV276" s="227"/>
      <c r="RVW276" s="227"/>
      <c r="RVX276" s="227"/>
      <c r="RVY276" s="227"/>
      <c r="RVZ276" s="227"/>
      <c r="RWA276" s="227"/>
      <c r="RWB276" s="227"/>
      <c r="RWC276" s="227"/>
      <c r="RWD276" s="227"/>
      <c r="RWE276" s="227"/>
      <c r="RWF276" s="227"/>
      <c r="RWG276" s="227"/>
      <c r="RWH276" s="227"/>
      <c r="RWI276" s="227"/>
      <c r="RWJ276" s="227"/>
      <c r="RWK276" s="227"/>
      <c r="RWL276" s="227"/>
      <c r="RWM276" s="227"/>
      <c r="RWN276" s="227"/>
      <c r="RWO276" s="227"/>
      <c r="RWP276" s="227"/>
      <c r="RWQ276" s="227"/>
      <c r="RWR276" s="227"/>
      <c r="RWS276" s="227"/>
      <c r="RWT276" s="227"/>
      <c r="RWU276" s="227"/>
      <c r="RWV276" s="227"/>
      <c r="RWW276" s="227"/>
      <c r="RWX276" s="227"/>
      <c r="RWY276" s="227"/>
      <c r="RWZ276" s="227"/>
      <c r="RXA276" s="227"/>
      <c r="RXB276" s="227"/>
      <c r="RXC276" s="227"/>
      <c r="RXD276" s="227"/>
      <c r="RXE276" s="227"/>
      <c r="RXF276" s="227"/>
      <c r="RXG276" s="227"/>
      <c r="RXH276" s="227"/>
      <c r="RXI276" s="227"/>
      <c r="RXJ276" s="227"/>
      <c r="RXK276" s="227"/>
      <c r="RXL276" s="227"/>
      <c r="RXM276" s="227"/>
      <c r="RXN276" s="227"/>
      <c r="RXO276" s="227"/>
      <c r="RXP276" s="227"/>
      <c r="RXQ276" s="227"/>
      <c r="RXR276" s="227"/>
      <c r="RXS276" s="227"/>
      <c r="RXT276" s="227"/>
      <c r="RXU276" s="227"/>
      <c r="RXV276" s="227"/>
      <c r="RXW276" s="227"/>
      <c r="RXX276" s="227"/>
      <c r="RXY276" s="227"/>
      <c r="RXZ276" s="227"/>
      <c r="RYA276" s="227"/>
      <c r="RYB276" s="227"/>
      <c r="RYC276" s="227"/>
      <c r="RYD276" s="227"/>
      <c r="RYE276" s="227"/>
      <c r="RYF276" s="227"/>
      <c r="RYG276" s="227"/>
      <c r="RYH276" s="227"/>
      <c r="RYI276" s="227"/>
      <c r="RYJ276" s="227"/>
      <c r="RYK276" s="227"/>
      <c r="RYL276" s="227"/>
      <c r="RYM276" s="227"/>
      <c r="RYN276" s="227"/>
      <c r="RYO276" s="227"/>
      <c r="RYP276" s="227"/>
      <c r="RYQ276" s="227"/>
      <c r="RYR276" s="227"/>
      <c r="RYS276" s="227"/>
      <c r="RYT276" s="227"/>
      <c r="RYU276" s="227"/>
      <c r="RYV276" s="227"/>
      <c r="RYW276" s="227"/>
      <c r="RYX276" s="227"/>
      <c r="RYY276" s="227"/>
      <c r="RYZ276" s="227"/>
      <c r="RZA276" s="227"/>
      <c r="RZB276" s="227"/>
      <c r="RZC276" s="227"/>
      <c r="RZD276" s="227"/>
      <c r="RZE276" s="227"/>
      <c r="RZF276" s="227"/>
      <c r="RZG276" s="227"/>
      <c r="RZH276" s="227"/>
      <c r="RZI276" s="227"/>
      <c r="RZJ276" s="227"/>
      <c r="RZK276" s="227"/>
      <c r="RZL276" s="227"/>
      <c r="RZM276" s="227"/>
      <c r="RZN276" s="227"/>
      <c r="RZO276" s="227"/>
      <c r="RZP276" s="227"/>
      <c r="RZQ276" s="227"/>
      <c r="RZR276" s="227"/>
      <c r="RZS276" s="227"/>
      <c r="RZT276" s="227"/>
      <c r="RZU276" s="227"/>
      <c r="RZV276" s="227"/>
      <c r="RZW276" s="227"/>
      <c r="RZX276" s="227"/>
      <c r="RZY276" s="227"/>
      <c r="RZZ276" s="227"/>
      <c r="SAA276" s="227"/>
      <c r="SAB276" s="227"/>
      <c r="SAC276" s="227"/>
      <c r="SAD276" s="227"/>
      <c r="SAE276" s="227"/>
      <c r="SAF276" s="227"/>
      <c r="SAG276" s="227"/>
      <c r="SAH276" s="227"/>
      <c r="SAI276" s="227"/>
      <c r="SAJ276" s="227"/>
      <c r="SAK276" s="227"/>
      <c r="SAL276" s="227"/>
      <c r="SAM276" s="227"/>
      <c r="SAN276" s="227"/>
      <c r="SAO276" s="227"/>
      <c r="SAP276" s="227"/>
      <c r="SAQ276" s="227"/>
      <c r="SAR276" s="227"/>
      <c r="SAS276" s="227"/>
      <c r="SAT276" s="227"/>
      <c r="SAU276" s="227"/>
      <c r="SAV276" s="227"/>
      <c r="SAW276" s="227"/>
      <c r="SAX276" s="227"/>
      <c r="SAY276" s="227"/>
      <c r="SAZ276" s="227"/>
      <c r="SBA276" s="227"/>
      <c r="SBB276" s="227"/>
      <c r="SBC276" s="227"/>
      <c r="SBD276" s="227"/>
      <c r="SBE276" s="227"/>
      <c r="SBF276" s="227"/>
      <c r="SBG276" s="227"/>
      <c r="SBH276" s="227"/>
      <c r="SBI276" s="227"/>
      <c r="SBJ276" s="227"/>
      <c r="SBK276" s="227"/>
      <c r="SBL276" s="227"/>
      <c r="SBM276" s="227"/>
      <c r="SBN276" s="227"/>
      <c r="SBO276" s="227"/>
      <c r="SBP276" s="227"/>
      <c r="SBQ276" s="227"/>
      <c r="SBR276" s="227"/>
      <c r="SBS276" s="227"/>
      <c r="SBT276" s="227"/>
      <c r="SBU276" s="227"/>
      <c r="SBV276" s="227"/>
      <c r="SBW276" s="227"/>
      <c r="SBX276" s="227"/>
      <c r="SBY276" s="227"/>
      <c r="SBZ276" s="227"/>
      <c r="SCA276" s="227"/>
      <c r="SCB276" s="227"/>
      <c r="SCC276" s="227"/>
      <c r="SCD276" s="227"/>
      <c r="SCE276" s="227"/>
      <c r="SCF276" s="227"/>
      <c r="SCG276" s="227"/>
      <c r="SCH276" s="227"/>
      <c r="SCI276" s="227"/>
      <c r="SCJ276" s="227"/>
      <c r="SCK276" s="227"/>
      <c r="SCL276" s="227"/>
      <c r="SCM276" s="227"/>
      <c r="SCN276" s="227"/>
      <c r="SCO276" s="227"/>
      <c r="SCP276" s="227"/>
      <c r="SCQ276" s="227"/>
      <c r="SCR276" s="227"/>
      <c r="SCS276" s="227"/>
      <c r="SCT276" s="227"/>
      <c r="SCU276" s="227"/>
      <c r="SCV276" s="227"/>
      <c r="SCW276" s="227"/>
      <c r="SCX276" s="227"/>
      <c r="SCY276" s="227"/>
      <c r="SCZ276" s="227"/>
      <c r="SDA276" s="227"/>
      <c r="SDB276" s="227"/>
      <c r="SDC276" s="227"/>
      <c r="SDD276" s="227"/>
      <c r="SDE276" s="227"/>
      <c r="SDF276" s="227"/>
      <c r="SDG276" s="227"/>
      <c r="SDH276" s="227"/>
      <c r="SDI276" s="227"/>
      <c r="SDJ276" s="227"/>
      <c r="SDK276" s="227"/>
      <c r="SDL276" s="227"/>
      <c r="SDM276" s="227"/>
      <c r="SDN276" s="227"/>
      <c r="SDO276" s="227"/>
      <c r="SDP276" s="227"/>
      <c r="SDQ276" s="227"/>
      <c r="SDR276" s="227"/>
      <c r="SDS276" s="227"/>
      <c r="SDT276" s="227"/>
      <c r="SDU276" s="227"/>
      <c r="SDV276" s="227"/>
      <c r="SDW276" s="227"/>
      <c r="SDX276" s="227"/>
      <c r="SDY276" s="227"/>
      <c r="SDZ276" s="227"/>
      <c r="SEA276" s="227"/>
      <c r="SEB276" s="227"/>
      <c r="SEC276" s="227"/>
      <c r="SED276" s="227"/>
      <c r="SEE276" s="227"/>
      <c r="SEF276" s="227"/>
      <c r="SEG276" s="227"/>
      <c r="SEH276" s="227"/>
      <c r="SEI276" s="227"/>
      <c r="SEJ276" s="227"/>
      <c r="SEK276" s="227"/>
      <c r="SEL276" s="227"/>
      <c r="SEM276" s="227"/>
      <c r="SEN276" s="227"/>
      <c r="SEO276" s="227"/>
      <c r="SEP276" s="227"/>
      <c r="SEQ276" s="227"/>
      <c r="SER276" s="227"/>
      <c r="SES276" s="227"/>
      <c r="SET276" s="227"/>
      <c r="SEU276" s="227"/>
      <c r="SEV276" s="227"/>
      <c r="SEW276" s="227"/>
      <c r="SEX276" s="227"/>
      <c r="SEY276" s="227"/>
      <c r="SEZ276" s="227"/>
      <c r="SFA276" s="227"/>
      <c r="SFB276" s="227"/>
      <c r="SFC276" s="227"/>
      <c r="SFD276" s="227"/>
      <c r="SFE276" s="227"/>
      <c r="SFF276" s="227"/>
      <c r="SFG276" s="227"/>
      <c r="SFH276" s="227"/>
      <c r="SFI276" s="227"/>
      <c r="SFJ276" s="227"/>
      <c r="SFK276" s="227"/>
      <c r="SFL276" s="227"/>
      <c r="SFM276" s="227"/>
      <c r="SFN276" s="227"/>
      <c r="SFO276" s="227"/>
      <c r="SFP276" s="227"/>
      <c r="SFQ276" s="227"/>
      <c r="SFR276" s="227"/>
      <c r="SFS276" s="227"/>
      <c r="SFT276" s="227"/>
      <c r="SFU276" s="227"/>
      <c r="SFV276" s="227"/>
      <c r="SFW276" s="227"/>
      <c r="SFX276" s="227"/>
      <c r="SFY276" s="227"/>
      <c r="SFZ276" s="227"/>
      <c r="SGA276" s="227"/>
      <c r="SGB276" s="227"/>
      <c r="SGC276" s="227"/>
      <c r="SGD276" s="227"/>
      <c r="SGE276" s="227"/>
      <c r="SGF276" s="227"/>
      <c r="SGG276" s="227"/>
      <c r="SGH276" s="227"/>
      <c r="SGI276" s="227"/>
      <c r="SGJ276" s="227"/>
      <c r="SGK276" s="227"/>
      <c r="SGL276" s="227"/>
      <c r="SGM276" s="227"/>
      <c r="SGN276" s="227"/>
      <c r="SGO276" s="227"/>
      <c r="SGP276" s="227"/>
      <c r="SGQ276" s="227"/>
      <c r="SGR276" s="227"/>
      <c r="SGS276" s="227"/>
      <c r="SGT276" s="227"/>
      <c r="SGU276" s="227"/>
      <c r="SGV276" s="227"/>
      <c r="SGW276" s="227"/>
      <c r="SGX276" s="227"/>
      <c r="SGY276" s="227"/>
      <c r="SGZ276" s="227"/>
      <c r="SHA276" s="227"/>
      <c r="SHB276" s="227"/>
      <c r="SHC276" s="227"/>
      <c r="SHD276" s="227"/>
      <c r="SHE276" s="227"/>
      <c r="SHF276" s="227"/>
      <c r="SHG276" s="227"/>
      <c r="SHH276" s="227"/>
      <c r="SHI276" s="227"/>
      <c r="SHJ276" s="227"/>
      <c r="SHK276" s="227"/>
      <c r="SHL276" s="227"/>
      <c r="SHM276" s="227"/>
      <c r="SHN276" s="227"/>
      <c r="SHO276" s="227"/>
      <c r="SHP276" s="227"/>
      <c r="SHQ276" s="227"/>
      <c r="SHR276" s="227"/>
      <c r="SHS276" s="227"/>
      <c r="SHT276" s="227"/>
      <c r="SHU276" s="227"/>
      <c r="SHV276" s="227"/>
      <c r="SHW276" s="227"/>
      <c r="SHX276" s="227"/>
      <c r="SHY276" s="227"/>
      <c r="SHZ276" s="227"/>
      <c r="SIA276" s="227"/>
      <c r="SIB276" s="227"/>
      <c r="SIC276" s="227"/>
      <c r="SID276" s="227"/>
      <c r="SIE276" s="227"/>
      <c r="SIF276" s="227"/>
      <c r="SIG276" s="227"/>
      <c r="SIH276" s="227"/>
      <c r="SII276" s="227"/>
      <c r="SIJ276" s="227"/>
      <c r="SIK276" s="227"/>
      <c r="SIL276" s="227"/>
      <c r="SIM276" s="227"/>
      <c r="SIN276" s="227"/>
      <c r="SIO276" s="227"/>
      <c r="SIP276" s="227"/>
      <c r="SIQ276" s="227"/>
      <c r="SIR276" s="227"/>
      <c r="SIS276" s="227"/>
      <c r="SIT276" s="227"/>
      <c r="SIU276" s="227"/>
      <c r="SIV276" s="227"/>
      <c r="SIW276" s="227"/>
      <c r="SIX276" s="227"/>
      <c r="SIY276" s="227"/>
      <c r="SIZ276" s="227"/>
      <c r="SJA276" s="227"/>
      <c r="SJB276" s="227"/>
      <c r="SJC276" s="227"/>
      <c r="SJD276" s="227"/>
      <c r="SJE276" s="227"/>
      <c r="SJF276" s="227"/>
      <c r="SJG276" s="227"/>
      <c r="SJH276" s="227"/>
      <c r="SJI276" s="227"/>
      <c r="SJJ276" s="227"/>
      <c r="SJK276" s="227"/>
      <c r="SJL276" s="227"/>
      <c r="SJM276" s="227"/>
      <c r="SJN276" s="227"/>
      <c r="SJO276" s="227"/>
      <c r="SJP276" s="227"/>
      <c r="SJQ276" s="227"/>
      <c r="SJR276" s="227"/>
      <c r="SJS276" s="227"/>
      <c r="SJT276" s="227"/>
      <c r="SJU276" s="227"/>
      <c r="SJV276" s="227"/>
      <c r="SJW276" s="227"/>
      <c r="SJX276" s="227"/>
      <c r="SJY276" s="227"/>
      <c r="SJZ276" s="227"/>
      <c r="SKA276" s="227"/>
      <c r="SKB276" s="227"/>
      <c r="SKC276" s="227"/>
      <c r="SKD276" s="227"/>
      <c r="SKE276" s="227"/>
      <c r="SKF276" s="227"/>
      <c r="SKG276" s="227"/>
      <c r="SKH276" s="227"/>
      <c r="SKI276" s="227"/>
      <c r="SKJ276" s="227"/>
      <c r="SKK276" s="227"/>
      <c r="SKL276" s="227"/>
      <c r="SKM276" s="227"/>
      <c r="SKN276" s="227"/>
      <c r="SKO276" s="227"/>
      <c r="SKP276" s="227"/>
      <c r="SKQ276" s="227"/>
      <c r="SKR276" s="227"/>
      <c r="SKS276" s="227"/>
      <c r="SKT276" s="227"/>
      <c r="SKU276" s="227"/>
      <c r="SKV276" s="227"/>
      <c r="SKW276" s="227"/>
      <c r="SKX276" s="227"/>
      <c r="SKY276" s="227"/>
      <c r="SKZ276" s="227"/>
      <c r="SLA276" s="227"/>
      <c r="SLB276" s="227"/>
      <c r="SLC276" s="227"/>
      <c r="SLD276" s="227"/>
      <c r="SLE276" s="227"/>
      <c r="SLF276" s="227"/>
      <c r="SLG276" s="227"/>
      <c r="SLH276" s="227"/>
      <c r="SLI276" s="227"/>
      <c r="SLJ276" s="227"/>
      <c r="SLK276" s="227"/>
      <c r="SLL276" s="227"/>
      <c r="SLM276" s="227"/>
      <c r="SLN276" s="227"/>
      <c r="SLO276" s="227"/>
      <c r="SLP276" s="227"/>
      <c r="SLQ276" s="227"/>
      <c r="SLR276" s="227"/>
      <c r="SLS276" s="227"/>
      <c r="SLT276" s="227"/>
      <c r="SLU276" s="227"/>
      <c r="SLV276" s="227"/>
      <c r="SLW276" s="227"/>
      <c r="SLX276" s="227"/>
      <c r="SLY276" s="227"/>
      <c r="SLZ276" s="227"/>
      <c r="SMA276" s="227"/>
      <c r="SMB276" s="227"/>
      <c r="SMC276" s="227"/>
      <c r="SMD276" s="227"/>
      <c r="SME276" s="227"/>
      <c r="SMF276" s="227"/>
      <c r="SMG276" s="227"/>
      <c r="SMH276" s="227"/>
      <c r="SMI276" s="227"/>
      <c r="SMJ276" s="227"/>
      <c r="SMK276" s="227"/>
      <c r="SML276" s="227"/>
      <c r="SMM276" s="227"/>
      <c r="SMN276" s="227"/>
      <c r="SMO276" s="227"/>
      <c r="SMP276" s="227"/>
      <c r="SMQ276" s="227"/>
      <c r="SMR276" s="227"/>
      <c r="SMS276" s="227"/>
      <c r="SMT276" s="227"/>
      <c r="SMU276" s="227"/>
      <c r="SMV276" s="227"/>
      <c r="SMW276" s="227"/>
      <c r="SMX276" s="227"/>
      <c r="SMY276" s="227"/>
      <c r="SMZ276" s="227"/>
      <c r="SNA276" s="227"/>
      <c r="SNB276" s="227"/>
      <c r="SNC276" s="227"/>
      <c r="SND276" s="227"/>
      <c r="SNE276" s="227"/>
      <c r="SNF276" s="227"/>
      <c r="SNG276" s="227"/>
      <c r="SNH276" s="227"/>
      <c r="SNI276" s="227"/>
      <c r="SNJ276" s="227"/>
      <c r="SNK276" s="227"/>
      <c r="SNL276" s="227"/>
      <c r="SNM276" s="227"/>
      <c r="SNN276" s="227"/>
      <c r="SNO276" s="227"/>
      <c r="SNP276" s="227"/>
      <c r="SNQ276" s="227"/>
      <c r="SNR276" s="227"/>
      <c r="SNS276" s="227"/>
      <c r="SNT276" s="227"/>
      <c r="SNU276" s="227"/>
      <c r="SNV276" s="227"/>
      <c r="SNW276" s="227"/>
      <c r="SNX276" s="227"/>
      <c r="SNY276" s="227"/>
      <c r="SNZ276" s="227"/>
      <c r="SOA276" s="227"/>
      <c r="SOB276" s="227"/>
      <c r="SOC276" s="227"/>
      <c r="SOD276" s="227"/>
      <c r="SOE276" s="227"/>
      <c r="SOF276" s="227"/>
      <c r="SOG276" s="227"/>
      <c r="SOH276" s="227"/>
      <c r="SOI276" s="227"/>
      <c r="SOJ276" s="227"/>
      <c r="SOK276" s="227"/>
      <c r="SOL276" s="227"/>
      <c r="SOM276" s="227"/>
      <c r="SON276" s="227"/>
      <c r="SOO276" s="227"/>
      <c r="SOP276" s="227"/>
      <c r="SOQ276" s="227"/>
      <c r="SOR276" s="227"/>
      <c r="SOS276" s="227"/>
      <c r="SOT276" s="227"/>
      <c r="SOU276" s="227"/>
      <c r="SOV276" s="227"/>
      <c r="SOW276" s="227"/>
      <c r="SOX276" s="227"/>
      <c r="SOY276" s="227"/>
      <c r="SOZ276" s="227"/>
      <c r="SPA276" s="227"/>
      <c r="SPB276" s="227"/>
      <c r="SPC276" s="227"/>
      <c r="SPD276" s="227"/>
      <c r="SPE276" s="227"/>
      <c r="SPF276" s="227"/>
      <c r="SPG276" s="227"/>
      <c r="SPH276" s="227"/>
      <c r="SPI276" s="227"/>
      <c r="SPJ276" s="227"/>
      <c r="SPK276" s="227"/>
      <c r="SPL276" s="227"/>
      <c r="SPM276" s="227"/>
      <c r="SPN276" s="227"/>
      <c r="SPO276" s="227"/>
      <c r="SPP276" s="227"/>
      <c r="SPQ276" s="227"/>
      <c r="SPR276" s="227"/>
      <c r="SPS276" s="227"/>
      <c r="SPT276" s="227"/>
      <c r="SPU276" s="227"/>
      <c r="SPV276" s="227"/>
      <c r="SPW276" s="227"/>
      <c r="SPX276" s="227"/>
      <c r="SPY276" s="227"/>
      <c r="SPZ276" s="227"/>
      <c r="SQA276" s="227"/>
      <c r="SQB276" s="227"/>
      <c r="SQC276" s="227"/>
      <c r="SQD276" s="227"/>
      <c r="SQE276" s="227"/>
      <c r="SQF276" s="227"/>
      <c r="SQG276" s="227"/>
      <c r="SQH276" s="227"/>
      <c r="SQI276" s="227"/>
      <c r="SQJ276" s="227"/>
      <c r="SQK276" s="227"/>
      <c r="SQL276" s="227"/>
      <c r="SQM276" s="227"/>
      <c r="SQN276" s="227"/>
      <c r="SQO276" s="227"/>
      <c r="SQP276" s="227"/>
      <c r="SQQ276" s="227"/>
      <c r="SQR276" s="227"/>
      <c r="SQS276" s="227"/>
      <c r="SQT276" s="227"/>
      <c r="SQU276" s="227"/>
      <c r="SQV276" s="227"/>
      <c r="SQW276" s="227"/>
      <c r="SQX276" s="227"/>
      <c r="SQY276" s="227"/>
      <c r="SQZ276" s="227"/>
      <c r="SRA276" s="227"/>
      <c r="SRB276" s="227"/>
      <c r="SRC276" s="227"/>
      <c r="SRD276" s="227"/>
      <c r="SRE276" s="227"/>
      <c r="SRF276" s="227"/>
      <c r="SRG276" s="227"/>
      <c r="SRH276" s="227"/>
      <c r="SRI276" s="227"/>
      <c r="SRJ276" s="227"/>
      <c r="SRK276" s="227"/>
      <c r="SRL276" s="227"/>
      <c r="SRM276" s="227"/>
      <c r="SRN276" s="227"/>
      <c r="SRO276" s="227"/>
      <c r="SRP276" s="227"/>
      <c r="SRQ276" s="227"/>
      <c r="SRR276" s="227"/>
      <c r="SRS276" s="227"/>
      <c r="SRT276" s="227"/>
      <c r="SRU276" s="227"/>
      <c r="SRV276" s="227"/>
      <c r="SRW276" s="227"/>
      <c r="SRX276" s="227"/>
      <c r="SRY276" s="227"/>
      <c r="SRZ276" s="227"/>
      <c r="SSA276" s="227"/>
      <c r="SSB276" s="227"/>
      <c r="SSC276" s="227"/>
      <c r="SSD276" s="227"/>
      <c r="SSE276" s="227"/>
      <c r="SSF276" s="227"/>
      <c r="SSG276" s="227"/>
      <c r="SSH276" s="227"/>
      <c r="SSI276" s="227"/>
      <c r="SSJ276" s="227"/>
      <c r="SSK276" s="227"/>
      <c r="SSL276" s="227"/>
      <c r="SSM276" s="227"/>
      <c r="SSN276" s="227"/>
      <c r="SSO276" s="227"/>
      <c r="SSP276" s="227"/>
      <c r="SSQ276" s="227"/>
      <c r="SSR276" s="227"/>
      <c r="SSS276" s="227"/>
      <c r="SST276" s="227"/>
      <c r="SSU276" s="227"/>
      <c r="SSV276" s="227"/>
      <c r="SSW276" s="227"/>
      <c r="SSX276" s="227"/>
      <c r="SSY276" s="227"/>
      <c r="SSZ276" s="227"/>
      <c r="STA276" s="227"/>
      <c r="STB276" s="227"/>
      <c r="STC276" s="227"/>
      <c r="STD276" s="227"/>
      <c r="STE276" s="227"/>
      <c r="STF276" s="227"/>
      <c r="STG276" s="227"/>
      <c r="STH276" s="227"/>
      <c r="STI276" s="227"/>
      <c r="STJ276" s="227"/>
      <c r="STK276" s="227"/>
      <c r="STL276" s="227"/>
      <c r="STM276" s="227"/>
      <c r="STN276" s="227"/>
      <c r="STO276" s="227"/>
      <c r="STP276" s="227"/>
      <c r="STQ276" s="227"/>
      <c r="STR276" s="227"/>
      <c r="STS276" s="227"/>
      <c r="STT276" s="227"/>
      <c r="STU276" s="227"/>
      <c r="STV276" s="227"/>
      <c r="STW276" s="227"/>
      <c r="STX276" s="227"/>
      <c r="STY276" s="227"/>
      <c r="STZ276" s="227"/>
      <c r="SUA276" s="227"/>
      <c r="SUB276" s="227"/>
      <c r="SUC276" s="227"/>
      <c r="SUD276" s="227"/>
      <c r="SUE276" s="227"/>
      <c r="SUF276" s="227"/>
      <c r="SUG276" s="227"/>
      <c r="SUH276" s="227"/>
      <c r="SUI276" s="227"/>
      <c r="SUJ276" s="227"/>
      <c r="SUK276" s="227"/>
      <c r="SUL276" s="227"/>
      <c r="SUM276" s="227"/>
      <c r="SUN276" s="227"/>
      <c r="SUO276" s="227"/>
      <c r="SUP276" s="227"/>
      <c r="SUQ276" s="227"/>
      <c r="SUR276" s="227"/>
      <c r="SUS276" s="227"/>
      <c r="SUT276" s="227"/>
      <c r="SUU276" s="227"/>
      <c r="SUV276" s="227"/>
      <c r="SUW276" s="227"/>
      <c r="SUX276" s="227"/>
      <c r="SUY276" s="227"/>
      <c r="SUZ276" s="227"/>
      <c r="SVA276" s="227"/>
      <c r="SVB276" s="227"/>
      <c r="SVC276" s="227"/>
      <c r="SVD276" s="227"/>
      <c r="SVE276" s="227"/>
      <c r="SVF276" s="227"/>
      <c r="SVG276" s="227"/>
      <c r="SVH276" s="227"/>
      <c r="SVI276" s="227"/>
      <c r="SVJ276" s="227"/>
      <c r="SVK276" s="227"/>
      <c r="SVL276" s="227"/>
      <c r="SVM276" s="227"/>
      <c r="SVN276" s="227"/>
      <c r="SVO276" s="227"/>
      <c r="SVP276" s="227"/>
      <c r="SVQ276" s="227"/>
      <c r="SVR276" s="227"/>
      <c r="SVS276" s="227"/>
      <c r="SVT276" s="227"/>
      <c r="SVU276" s="227"/>
      <c r="SVV276" s="227"/>
      <c r="SVW276" s="227"/>
      <c r="SVX276" s="227"/>
      <c r="SVY276" s="227"/>
      <c r="SVZ276" s="227"/>
      <c r="SWA276" s="227"/>
      <c r="SWB276" s="227"/>
      <c r="SWC276" s="227"/>
      <c r="SWD276" s="227"/>
      <c r="SWE276" s="227"/>
      <c r="SWF276" s="227"/>
      <c r="SWG276" s="227"/>
      <c r="SWH276" s="227"/>
      <c r="SWI276" s="227"/>
      <c r="SWJ276" s="227"/>
      <c r="SWK276" s="227"/>
      <c r="SWL276" s="227"/>
      <c r="SWM276" s="227"/>
      <c r="SWN276" s="227"/>
      <c r="SWO276" s="227"/>
      <c r="SWP276" s="227"/>
      <c r="SWQ276" s="227"/>
      <c r="SWR276" s="227"/>
      <c r="SWS276" s="227"/>
      <c r="SWT276" s="227"/>
      <c r="SWU276" s="227"/>
      <c r="SWV276" s="227"/>
      <c r="SWW276" s="227"/>
      <c r="SWX276" s="227"/>
      <c r="SWY276" s="227"/>
      <c r="SWZ276" s="227"/>
      <c r="SXA276" s="227"/>
      <c r="SXB276" s="227"/>
      <c r="SXC276" s="227"/>
      <c r="SXD276" s="227"/>
      <c r="SXE276" s="227"/>
      <c r="SXF276" s="227"/>
      <c r="SXG276" s="227"/>
      <c r="SXH276" s="227"/>
      <c r="SXI276" s="227"/>
      <c r="SXJ276" s="227"/>
      <c r="SXK276" s="227"/>
      <c r="SXL276" s="227"/>
      <c r="SXM276" s="227"/>
      <c r="SXN276" s="227"/>
      <c r="SXO276" s="227"/>
      <c r="SXP276" s="227"/>
      <c r="SXQ276" s="227"/>
      <c r="SXR276" s="227"/>
      <c r="SXS276" s="227"/>
      <c r="SXT276" s="227"/>
      <c r="SXU276" s="227"/>
      <c r="SXV276" s="227"/>
      <c r="SXW276" s="227"/>
      <c r="SXX276" s="227"/>
      <c r="SXY276" s="227"/>
      <c r="SXZ276" s="227"/>
      <c r="SYA276" s="227"/>
      <c r="SYB276" s="227"/>
      <c r="SYC276" s="227"/>
      <c r="SYD276" s="227"/>
      <c r="SYE276" s="227"/>
      <c r="SYF276" s="227"/>
      <c r="SYG276" s="227"/>
      <c r="SYH276" s="227"/>
      <c r="SYI276" s="227"/>
      <c r="SYJ276" s="227"/>
      <c r="SYK276" s="227"/>
      <c r="SYL276" s="227"/>
      <c r="SYM276" s="227"/>
      <c r="SYN276" s="227"/>
      <c r="SYO276" s="227"/>
      <c r="SYP276" s="227"/>
      <c r="SYQ276" s="227"/>
      <c r="SYR276" s="227"/>
      <c r="SYS276" s="227"/>
      <c r="SYT276" s="227"/>
      <c r="SYU276" s="227"/>
      <c r="SYV276" s="227"/>
      <c r="SYW276" s="227"/>
      <c r="SYX276" s="227"/>
      <c r="SYY276" s="227"/>
      <c r="SYZ276" s="227"/>
      <c r="SZA276" s="227"/>
      <c r="SZB276" s="227"/>
      <c r="SZC276" s="227"/>
      <c r="SZD276" s="227"/>
      <c r="SZE276" s="227"/>
      <c r="SZF276" s="227"/>
      <c r="SZG276" s="227"/>
      <c r="SZH276" s="227"/>
      <c r="SZI276" s="227"/>
      <c r="SZJ276" s="227"/>
      <c r="SZK276" s="227"/>
      <c r="SZL276" s="227"/>
      <c r="SZM276" s="227"/>
      <c r="SZN276" s="227"/>
      <c r="SZO276" s="227"/>
      <c r="SZP276" s="227"/>
      <c r="SZQ276" s="227"/>
      <c r="SZR276" s="227"/>
      <c r="SZS276" s="227"/>
      <c r="SZT276" s="227"/>
      <c r="SZU276" s="227"/>
      <c r="SZV276" s="227"/>
      <c r="SZW276" s="227"/>
      <c r="SZX276" s="227"/>
      <c r="SZY276" s="227"/>
      <c r="SZZ276" s="227"/>
      <c r="TAA276" s="227"/>
      <c r="TAB276" s="227"/>
      <c r="TAC276" s="227"/>
      <c r="TAD276" s="227"/>
      <c r="TAE276" s="227"/>
      <c r="TAF276" s="227"/>
      <c r="TAG276" s="227"/>
      <c r="TAH276" s="227"/>
      <c r="TAI276" s="227"/>
      <c r="TAJ276" s="227"/>
      <c r="TAK276" s="227"/>
      <c r="TAL276" s="227"/>
      <c r="TAM276" s="227"/>
      <c r="TAN276" s="227"/>
      <c r="TAO276" s="227"/>
      <c r="TAP276" s="227"/>
      <c r="TAQ276" s="227"/>
      <c r="TAR276" s="227"/>
      <c r="TAS276" s="227"/>
      <c r="TAT276" s="227"/>
      <c r="TAU276" s="227"/>
      <c r="TAV276" s="227"/>
      <c r="TAW276" s="227"/>
      <c r="TAX276" s="227"/>
      <c r="TAY276" s="227"/>
      <c r="TAZ276" s="227"/>
      <c r="TBA276" s="227"/>
      <c r="TBB276" s="227"/>
      <c r="TBC276" s="227"/>
      <c r="TBD276" s="227"/>
      <c r="TBE276" s="227"/>
      <c r="TBF276" s="227"/>
      <c r="TBG276" s="227"/>
      <c r="TBH276" s="227"/>
      <c r="TBI276" s="227"/>
      <c r="TBJ276" s="227"/>
      <c r="TBK276" s="227"/>
      <c r="TBL276" s="227"/>
      <c r="TBM276" s="227"/>
      <c r="TBN276" s="227"/>
      <c r="TBO276" s="227"/>
      <c r="TBP276" s="227"/>
      <c r="TBQ276" s="227"/>
      <c r="TBR276" s="227"/>
      <c r="TBS276" s="227"/>
      <c r="TBT276" s="227"/>
      <c r="TBU276" s="227"/>
      <c r="TBV276" s="227"/>
      <c r="TBW276" s="227"/>
      <c r="TBX276" s="227"/>
      <c r="TBY276" s="227"/>
      <c r="TBZ276" s="227"/>
      <c r="TCA276" s="227"/>
      <c r="TCB276" s="227"/>
      <c r="TCC276" s="227"/>
      <c r="TCD276" s="227"/>
      <c r="TCE276" s="227"/>
      <c r="TCF276" s="227"/>
      <c r="TCG276" s="227"/>
      <c r="TCH276" s="227"/>
      <c r="TCI276" s="227"/>
      <c r="TCJ276" s="227"/>
      <c r="TCK276" s="227"/>
      <c r="TCL276" s="227"/>
      <c r="TCM276" s="227"/>
      <c r="TCN276" s="227"/>
      <c r="TCO276" s="227"/>
      <c r="TCP276" s="227"/>
      <c r="TCQ276" s="227"/>
      <c r="TCR276" s="227"/>
      <c r="TCS276" s="227"/>
      <c r="TCT276" s="227"/>
      <c r="TCU276" s="227"/>
      <c r="TCV276" s="227"/>
      <c r="TCW276" s="227"/>
      <c r="TCX276" s="227"/>
      <c r="TCY276" s="227"/>
      <c r="TCZ276" s="227"/>
      <c r="TDA276" s="227"/>
      <c r="TDB276" s="227"/>
      <c r="TDC276" s="227"/>
      <c r="TDD276" s="227"/>
      <c r="TDE276" s="227"/>
      <c r="TDF276" s="227"/>
      <c r="TDG276" s="227"/>
      <c r="TDH276" s="227"/>
      <c r="TDI276" s="227"/>
      <c r="TDJ276" s="227"/>
      <c r="TDK276" s="227"/>
      <c r="TDL276" s="227"/>
      <c r="TDM276" s="227"/>
      <c r="TDN276" s="227"/>
      <c r="TDO276" s="227"/>
      <c r="TDP276" s="227"/>
      <c r="TDQ276" s="227"/>
      <c r="TDR276" s="227"/>
      <c r="TDS276" s="227"/>
      <c r="TDT276" s="227"/>
      <c r="TDU276" s="227"/>
      <c r="TDV276" s="227"/>
      <c r="TDW276" s="227"/>
      <c r="TDX276" s="227"/>
      <c r="TDY276" s="227"/>
      <c r="TDZ276" s="227"/>
      <c r="TEA276" s="227"/>
      <c r="TEB276" s="227"/>
      <c r="TEC276" s="227"/>
      <c r="TED276" s="227"/>
      <c r="TEE276" s="227"/>
      <c r="TEF276" s="227"/>
      <c r="TEG276" s="227"/>
      <c r="TEH276" s="227"/>
      <c r="TEI276" s="227"/>
      <c r="TEJ276" s="227"/>
      <c r="TEK276" s="227"/>
      <c r="TEL276" s="227"/>
      <c r="TEM276" s="227"/>
      <c r="TEN276" s="227"/>
      <c r="TEO276" s="227"/>
      <c r="TEP276" s="227"/>
      <c r="TEQ276" s="227"/>
      <c r="TER276" s="227"/>
      <c r="TES276" s="227"/>
      <c r="TET276" s="227"/>
      <c r="TEU276" s="227"/>
      <c r="TEV276" s="227"/>
      <c r="TEW276" s="227"/>
      <c r="TEX276" s="227"/>
      <c r="TEY276" s="227"/>
      <c r="TEZ276" s="227"/>
      <c r="TFA276" s="227"/>
      <c r="TFB276" s="227"/>
      <c r="TFC276" s="227"/>
      <c r="TFD276" s="227"/>
      <c r="TFE276" s="227"/>
      <c r="TFF276" s="227"/>
      <c r="TFG276" s="227"/>
      <c r="TFH276" s="227"/>
      <c r="TFI276" s="227"/>
      <c r="TFJ276" s="227"/>
      <c r="TFK276" s="227"/>
      <c r="TFL276" s="227"/>
      <c r="TFM276" s="227"/>
      <c r="TFN276" s="227"/>
      <c r="TFO276" s="227"/>
      <c r="TFP276" s="227"/>
      <c r="TFQ276" s="227"/>
      <c r="TFR276" s="227"/>
      <c r="TFS276" s="227"/>
      <c r="TFT276" s="227"/>
      <c r="TFU276" s="227"/>
      <c r="TFV276" s="227"/>
      <c r="TFW276" s="227"/>
      <c r="TFX276" s="227"/>
      <c r="TFY276" s="227"/>
      <c r="TFZ276" s="227"/>
      <c r="TGA276" s="227"/>
      <c r="TGB276" s="227"/>
      <c r="TGC276" s="227"/>
      <c r="TGD276" s="227"/>
      <c r="TGE276" s="227"/>
      <c r="TGF276" s="227"/>
      <c r="TGG276" s="227"/>
      <c r="TGH276" s="227"/>
      <c r="TGI276" s="227"/>
      <c r="TGJ276" s="227"/>
      <c r="TGK276" s="227"/>
      <c r="TGL276" s="227"/>
      <c r="TGM276" s="227"/>
      <c r="TGN276" s="227"/>
      <c r="TGO276" s="227"/>
      <c r="TGP276" s="227"/>
      <c r="TGQ276" s="227"/>
      <c r="TGR276" s="227"/>
      <c r="TGS276" s="227"/>
      <c r="TGT276" s="227"/>
      <c r="TGU276" s="227"/>
      <c r="TGV276" s="227"/>
      <c r="TGW276" s="227"/>
      <c r="TGX276" s="227"/>
      <c r="TGY276" s="227"/>
      <c r="TGZ276" s="227"/>
      <c r="THA276" s="227"/>
      <c r="THB276" s="227"/>
      <c r="THC276" s="227"/>
      <c r="THD276" s="227"/>
      <c r="THE276" s="227"/>
      <c r="THF276" s="227"/>
      <c r="THG276" s="227"/>
      <c r="THH276" s="227"/>
      <c r="THI276" s="227"/>
      <c r="THJ276" s="227"/>
      <c r="THK276" s="227"/>
      <c r="THL276" s="227"/>
      <c r="THM276" s="227"/>
      <c r="THN276" s="227"/>
      <c r="THO276" s="227"/>
      <c r="THP276" s="227"/>
      <c r="THQ276" s="227"/>
      <c r="THR276" s="227"/>
      <c r="THS276" s="227"/>
      <c r="THT276" s="227"/>
      <c r="THU276" s="227"/>
      <c r="THV276" s="227"/>
      <c r="THW276" s="227"/>
      <c r="THX276" s="227"/>
      <c r="THY276" s="227"/>
      <c r="THZ276" s="227"/>
      <c r="TIA276" s="227"/>
      <c r="TIB276" s="227"/>
      <c r="TIC276" s="227"/>
      <c r="TID276" s="227"/>
      <c r="TIE276" s="227"/>
      <c r="TIF276" s="227"/>
      <c r="TIG276" s="227"/>
      <c r="TIH276" s="227"/>
      <c r="TII276" s="227"/>
      <c r="TIJ276" s="227"/>
      <c r="TIK276" s="227"/>
      <c r="TIL276" s="227"/>
      <c r="TIM276" s="227"/>
      <c r="TIN276" s="227"/>
      <c r="TIO276" s="227"/>
      <c r="TIP276" s="227"/>
      <c r="TIQ276" s="227"/>
      <c r="TIR276" s="227"/>
      <c r="TIS276" s="227"/>
      <c r="TIT276" s="227"/>
      <c r="TIU276" s="227"/>
      <c r="TIV276" s="227"/>
      <c r="TIW276" s="227"/>
      <c r="TIX276" s="227"/>
      <c r="TIY276" s="227"/>
      <c r="TIZ276" s="227"/>
      <c r="TJA276" s="227"/>
      <c r="TJB276" s="227"/>
      <c r="TJC276" s="227"/>
      <c r="TJD276" s="227"/>
      <c r="TJE276" s="227"/>
      <c r="TJF276" s="227"/>
      <c r="TJG276" s="227"/>
      <c r="TJH276" s="227"/>
      <c r="TJI276" s="227"/>
      <c r="TJJ276" s="227"/>
      <c r="TJK276" s="227"/>
      <c r="TJL276" s="227"/>
      <c r="TJM276" s="227"/>
      <c r="TJN276" s="227"/>
      <c r="TJO276" s="227"/>
      <c r="TJP276" s="227"/>
      <c r="TJQ276" s="227"/>
      <c r="TJR276" s="227"/>
      <c r="TJS276" s="227"/>
      <c r="TJT276" s="227"/>
      <c r="TJU276" s="227"/>
      <c r="TJV276" s="227"/>
      <c r="TJW276" s="227"/>
      <c r="TJX276" s="227"/>
      <c r="TJY276" s="227"/>
      <c r="TJZ276" s="227"/>
      <c r="TKA276" s="227"/>
      <c r="TKB276" s="227"/>
      <c r="TKC276" s="227"/>
      <c r="TKD276" s="227"/>
      <c r="TKE276" s="227"/>
      <c r="TKF276" s="227"/>
      <c r="TKG276" s="227"/>
      <c r="TKH276" s="227"/>
      <c r="TKI276" s="227"/>
      <c r="TKJ276" s="227"/>
      <c r="TKK276" s="227"/>
      <c r="TKL276" s="227"/>
      <c r="TKM276" s="227"/>
      <c r="TKN276" s="227"/>
      <c r="TKO276" s="227"/>
      <c r="TKP276" s="227"/>
      <c r="TKQ276" s="227"/>
      <c r="TKR276" s="227"/>
      <c r="TKS276" s="227"/>
      <c r="TKT276" s="227"/>
      <c r="TKU276" s="227"/>
      <c r="TKV276" s="227"/>
      <c r="TKW276" s="227"/>
      <c r="TKX276" s="227"/>
      <c r="TKY276" s="227"/>
      <c r="TKZ276" s="227"/>
      <c r="TLA276" s="227"/>
      <c r="TLB276" s="227"/>
      <c r="TLC276" s="227"/>
      <c r="TLD276" s="227"/>
      <c r="TLE276" s="227"/>
      <c r="TLF276" s="227"/>
      <c r="TLG276" s="227"/>
      <c r="TLH276" s="227"/>
      <c r="TLI276" s="227"/>
      <c r="TLJ276" s="227"/>
      <c r="TLK276" s="227"/>
      <c r="TLL276" s="227"/>
      <c r="TLM276" s="227"/>
      <c r="TLN276" s="227"/>
      <c r="TLO276" s="227"/>
      <c r="TLP276" s="227"/>
      <c r="TLQ276" s="227"/>
      <c r="TLR276" s="227"/>
      <c r="TLS276" s="227"/>
      <c r="TLT276" s="227"/>
      <c r="TLU276" s="227"/>
      <c r="TLV276" s="227"/>
      <c r="TLW276" s="227"/>
      <c r="TLX276" s="227"/>
      <c r="TLY276" s="227"/>
      <c r="TLZ276" s="227"/>
      <c r="TMA276" s="227"/>
      <c r="TMB276" s="227"/>
      <c r="TMC276" s="227"/>
      <c r="TMD276" s="227"/>
      <c r="TME276" s="227"/>
      <c r="TMF276" s="227"/>
      <c r="TMG276" s="227"/>
      <c r="TMH276" s="227"/>
      <c r="TMI276" s="227"/>
      <c r="TMJ276" s="227"/>
      <c r="TMK276" s="227"/>
      <c r="TML276" s="227"/>
      <c r="TMM276" s="227"/>
      <c r="TMN276" s="227"/>
      <c r="TMO276" s="227"/>
      <c r="TMP276" s="227"/>
      <c r="TMQ276" s="227"/>
      <c r="TMR276" s="227"/>
      <c r="TMS276" s="227"/>
      <c r="TMT276" s="227"/>
      <c r="TMU276" s="227"/>
      <c r="TMV276" s="227"/>
      <c r="TMW276" s="227"/>
      <c r="TMX276" s="227"/>
      <c r="TMY276" s="227"/>
      <c r="TMZ276" s="227"/>
      <c r="TNA276" s="227"/>
      <c r="TNB276" s="227"/>
      <c r="TNC276" s="227"/>
      <c r="TND276" s="227"/>
      <c r="TNE276" s="227"/>
      <c r="TNF276" s="227"/>
      <c r="TNG276" s="227"/>
      <c r="TNH276" s="227"/>
      <c r="TNI276" s="227"/>
      <c r="TNJ276" s="227"/>
      <c r="TNK276" s="227"/>
      <c r="TNL276" s="227"/>
      <c r="TNM276" s="227"/>
      <c r="TNN276" s="227"/>
      <c r="TNO276" s="227"/>
      <c r="TNP276" s="227"/>
      <c r="TNQ276" s="227"/>
      <c r="TNR276" s="227"/>
      <c r="TNS276" s="227"/>
      <c r="TNT276" s="227"/>
      <c r="TNU276" s="227"/>
      <c r="TNV276" s="227"/>
      <c r="TNW276" s="227"/>
      <c r="TNX276" s="227"/>
      <c r="TNY276" s="227"/>
      <c r="TNZ276" s="227"/>
      <c r="TOA276" s="227"/>
      <c r="TOB276" s="227"/>
      <c r="TOC276" s="227"/>
      <c r="TOD276" s="227"/>
      <c r="TOE276" s="227"/>
      <c r="TOF276" s="227"/>
      <c r="TOG276" s="227"/>
      <c r="TOH276" s="227"/>
      <c r="TOI276" s="227"/>
      <c r="TOJ276" s="227"/>
      <c r="TOK276" s="227"/>
      <c r="TOL276" s="227"/>
      <c r="TOM276" s="227"/>
      <c r="TON276" s="227"/>
      <c r="TOO276" s="227"/>
      <c r="TOP276" s="227"/>
      <c r="TOQ276" s="227"/>
      <c r="TOR276" s="227"/>
      <c r="TOS276" s="227"/>
      <c r="TOT276" s="227"/>
      <c r="TOU276" s="227"/>
      <c r="TOV276" s="227"/>
      <c r="TOW276" s="227"/>
      <c r="TOX276" s="227"/>
      <c r="TOY276" s="227"/>
      <c r="TOZ276" s="227"/>
      <c r="TPA276" s="227"/>
      <c r="TPB276" s="227"/>
      <c r="TPC276" s="227"/>
      <c r="TPD276" s="227"/>
      <c r="TPE276" s="227"/>
      <c r="TPF276" s="227"/>
      <c r="TPG276" s="227"/>
      <c r="TPH276" s="227"/>
      <c r="TPI276" s="227"/>
      <c r="TPJ276" s="227"/>
      <c r="TPK276" s="227"/>
      <c r="TPL276" s="227"/>
      <c r="TPM276" s="227"/>
      <c r="TPN276" s="227"/>
      <c r="TPO276" s="227"/>
      <c r="TPP276" s="227"/>
      <c r="TPQ276" s="227"/>
      <c r="TPR276" s="227"/>
      <c r="TPS276" s="227"/>
      <c r="TPT276" s="227"/>
      <c r="TPU276" s="227"/>
      <c r="TPV276" s="227"/>
      <c r="TPW276" s="227"/>
      <c r="TPX276" s="227"/>
      <c r="TPY276" s="227"/>
      <c r="TPZ276" s="227"/>
      <c r="TQA276" s="227"/>
      <c r="TQB276" s="227"/>
      <c r="TQC276" s="227"/>
      <c r="TQD276" s="227"/>
      <c r="TQE276" s="227"/>
      <c r="TQF276" s="227"/>
      <c r="TQG276" s="227"/>
      <c r="TQH276" s="227"/>
      <c r="TQI276" s="227"/>
      <c r="TQJ276" s="227"/>
      <c r="TQK276" s="227"/>
      <c r="TQL276" s="227"/>
      <c r="TQM276" s="227"/>
      <c r="TQN276" s="227"/>
      <c r="TQO276" s="227"/>
      <c r="TQP276" s="227"/>
      <c r="TQQ276" s="227"/>
      <c r="TQR276" s="227"/>
      <c r="TQS276" s="227"/>
      <c r="TQT276" s="227"/>
      <c r="TQU276" s="227"/>
      <c r="TQV276" s="227"/>
      <c r="TQW276" s="227"/>
      <c r="TQX276" s="227"/>
      <c r="TQY276" s="227"/>
      <c r="TQZ276" s="227"/>
      <c r="TRA276" s="227"/>
      <c r="TRB276" s="227"/>
      <c r="TRC276" s="227"/>
      <c r="TRD276" s="227"/>
      <c r="TRE276" s="227"/>
      <c r="TRF276" s="227"/>
      <c r="TRG276" s="227"/>
      <c r="TRH276" s="227"/>
      <c r="TRI276" s="227"/>
      <c r="TRJ276" s="227"/>
      <c r="TRK276" s="227"/>
      <c r="TRL276" s="227"/>
      <c r="TRM276" s="227"/>
      <c r="TRN276" s="227"/>
      <c r="TRO276" s="227"/>
      <c r="TRP276" s="227"/>
      <c r="TRQ276" s="227"/>
      <c r="TRR276" s="227"/>
      <c r="TRS276" s="227"/>
      <c r="TRT276" s="227"/>
      <c r="TRU276" s="227"/>
      <c r="TRV276" s="227"/>
      <c r="TRW276" s="227"/>
      <c r="TRX276" s="227"/>
      <c r="TRY276" s="227"/>
      <c r="TRZ276" s="227"/>
      <c r="TSA276" s="227"/>
      <c r="TSB276" s="227"/>
      <c r="TSC276" s="227"/>
      <c r="TSD276" s="227"/>
      <c r="TSE276" s="227"/>
      <c r="TSF276" s="227"/>
      <c r="TSG276" s="227"/>
      <c r="TSH276" s="227"/>
      <c r="TSI276" s="227"/>
      <c r="TSJ276" s="227"/>
      <c r="TSK276" s="227"/>
      <c r="TSL276" s="227"/>
      <c r="TSM276" s="227"/>
      <c r="TSN276" s="227"/>
      <c r="TSO276" s="227"/>
      <c r="TSP276" s="227"/>
      <c r="TSQ276" s="227"/>
      <c r="TSR276" s="227"/>
      <c r="TSS276" s="227"/>
      <c r="TST276" s="227"/>
      <c r="TSU276" s="227"/>
      <c r="TSV276" s="227"/>
      <c r="TSW276" s="227"/>
      <c r="TSX276" s="227"/>
      <c r="TSY276" s="227"/>
      <c r="TSZ276" s="227"/>
      <c r="TTA276" s="227"/>
      <c r="TTB276" s="227"/>
      <c r="TTC276" s="227"/>
      <c r="TTD276" s="227"/>
      <c r="TTE276" s="227"/>
      <c r="TTF276" s="227"/>
      <c r="TTG276" s="227"/>
      <c r="TTH276" s="227"/>
      <c r="TTI276" s="227"/>
      <c r="TTJ276" s="227"/>
      <c r="TTK276" s="227"/>
      <c r="TTL276" s="227"/>
      <c r="TTM276" s="227"/>
      <c r="TTN276" s="227"/>
      <c r="TTO276" s="227"/>
      <c r="TTP276" s="227"/>
      <c r="TTQ276" s="227"/>
      <c r="TTR276" s="227"/>
      <c r="TTS276" s="227"/>
      <c r="TTT276" s="227"/>
      <c r="TTU276" s="227"/>
      <c r="TTV276" s="227"/>
      <c r="TTW276" s="227"/>
      <c r="TTX276" s="227"/>
      <c r="TTY276" s="227"/>
      <c r="TTZ276" s="227"/>
      <c r="TUA276" s="227"/>
      <c r="TUB276" s="227"/>
      <c r="TUC276" s="227"/>
      <c r="TUD276" s="227"/>
      <c r="TUE276" s="227"/>
      <c r="TUF276" s="227"/>
      <c r="TUG276" s="227"/>
      <c r="TUH276" s="227"/>
      <c r="TUI276" s="227"/>
      <c r="TUJ276" s="227"/>
      <c r="TUK276" s="227"/>
      <c r="TUL276" s="227"/>
      <c r="TUM276" s="227"/>
      <c r="TUN276" s="227"/>
      <c r="TUO276" s="227"/>
      <c r="TUP276" s="227"/>
      <c r="TUQ276" s="227"/>
      <c r="TUR276" s="227"/>
      <c r="TUS276" s="227"/>
      <c r="TUT276" s="227"/>
      <c r="TUU276" s="227"/>
      <c r="TUV276" s="227"/>
      <c r="TUW276" s="227"/>
      <c r="TUX276" s="227"/>
      <c r="TUY276" s="227"/>
      <c r="TUZ276" s="227"/>
      <c r="TVA276" s="227"/>
      <c r="TVB276" s="227"/>
      <c r="TVC276" s="227"/>
      <c r="TVD276" s="227"/>
      <c r="TVE276" s="227"/>
      <c r="TVF276" s="227"/>
      <c r="TVG276" s="227"/>
      <c r="TVH276" s="227"/>
      <c r="TVI276" s="227"/>
      <c r="TVJ276" s="227"/>
      <c r="TVK276" s="227"/>
      <c r="TVL276" s="227"/>
      <c r="TVM276" s="227"/>
      <c r="TVN276" s="227"/>
      <c r="TVO276" s="227"/>
      <c r="TVP276" s="227"/>
      <c r="TVQ276" s="227"/>
      <c r="TVR276" s="227"/>
      <c r="TVS276" s="227"/>
      <c r="TVT276" s="227"/>
      <c r="TVU276" s="227"/>
      <c r="TVV276" s="227"/>
      <c r="TVW276" s="227"/>
      <c r="TVX276" s="227"/>
      <c r="TVY276" s="227"/>
      <c r="TVZ276" s="227"/>
      <c r="TWA276" s="227"/>
      <c r="TWB276" s="227"/>
      <c r="TWC276" s="227"/>
      <c r="TWD276" s="227"/>
      <c r="TWE276" s="227"/>
      <c r="TWF276" s="227"/>
      <c r="TWG276" s="227"/>
      <c r="TWH276" s="227"/>
      <c r="TWI276" s="227"/>
      <c r="TWJ276" s="227"/>
      <c r="TWK276" s="227"/>
      <c r="TWL276" s="227"/>
      <c r="TWM276" s="227"/>
      <c r="TWN276" s="227"/>
      <c r="TWO276" s="227"/>
      <c r="TWP276" s="227"/>
      <c r="TWQ276" s="227"/>
      <c r="TWR276" s="227"/>
      <c r="TWS276" s="227"/>
      <c r="TWT276" s="227"/>
      <c r="TWU276" s="227"/>
      <c r="TWV276" s="227"/>
      <c r="TWW276" s="227"/>
      <c r="TWX276" s="227"/>
      <c r="TWY276" s="227"/>
      <c r="TWZ276" s="227"/>
      <c r="TXA276" s="227"/>
      <c r="TXB276" s="227"/>
      <c r="TXC276" s="227"/>
      <c r="TXD276" s="227"/>
      <c r="TXE276" s="227"/>
      <c r="TXF276" s="227"/>
      <c r="TXG276" s="227"/>
      <c r="TXH276" s="227"/>
      <c r="TXI276" s="227"/>
      <c r="TXJ276" s="227"/>
      <c r="TXK276" s="227"/>
      <c r="TXL276" s="227"/>
      <c r="TXM276" s="227"/>
      <c r="TXN276" s="227"/>
      <c r="TXO276" s="227"/>
      <c r="TXP276" s="227"/>
      <c r="TXQ276" s="227"/>
      <c r="TXR276" s="227"/>
      <c r="TXS276" s="227"/>
      <c r="TXT276" s="227"/>
      <c r="TXU276" s="227"/>
      <c r="TXV276" s="227"/>
      <c r="TXW276" s="227"/>
      <c r="TXX276" s="227"/>
      <c r="TXY276" s="227"/>
      <c r="TXZ276" s="227"/>
      <c r="TYA276" s="227"/>
      <c r="TYB276" s="227"/>
      <c r="TYC276" s="227"/>
      <c r="TYD276" s="227"/>
      <c r="TYE276" s="227"/>
      <c r="TYF276" s="227"/>
      <c r="TYG276" s="227"/>
      <c r="TYH276" s="227"/>
      <c r="TYI276" s="227"/>
      <c r="TYJ276" s="227"/>
      <c r="TYK276" s="227"/>
      <c r="TYL276" s="227"/>
      <c r="TYM276" s="227"/>
      <c r="TYN276" s="227"/>
      <c r="TYO276" s="227"/>
      <c r="TYP276" s="227"/>
      <c r="TYQ276" s="227"/>
      <c r="TYR276" s="227"/>
      <c r="TYS276" s="227"/>
      <c r="TYT276" s="227"/>
      <c r="TYU276" s="227"/>
      <c r="TYV276" s="227"/>
      <c r="TYW276" s="227"/>
      <c r="TYX276" s="227"/>
      <c r="TYY276" s="227"/>
      <c r="TYZ276" s="227"/>
      <c r="TZA276" s="227"/>
      <c r="TZB276" s="227"/>
      <c r="TZC276" s="227"/>
      <c r="TZD276" s="227"/>
      <c r="TZE276" s="227"/>
      <c r="TZF276" s="227"/>
      <c r="TZG276" s="227"/>
      <c r="TZH276" s="227"/>
      <c r="TZI276" s="227"/>
      <c r="TZJ276" s="227"/>
      <c r="TZK276" s="227"/>
      <c r="TZL276" s="227"/>
      <c r="TZM276" s="227"/>
      <c r="TZN276" s="227"/>
      <c r="TZO276" s="227"/>
      <c r="TZP276" s="227"/>
      <c r="TZQ276" s="227"/>
      <c r="TZR276" s="227"/>
      <c r="TZS276" s="227"/>
      <c r="TZT276" s="227"/>
      <c r="TZU276" s="227"/>
      <c r="TZV276" s="227"/>
      <c r="TZW276" s="227"/>
      <c r="TZX276" s="227"/>
      <c r="TZY276" s="227"/>
      <c r="TZZ276" s="227"/>
      <c r="UAA276" s="227"/>
      <c r="UAB276" s="227"/>
      <c r="UAC276" s="227"/>
      <c r="UAD276" s="227"/>
      <c r="UAE276" s="227"/>
      <c r="UAF276" s="227"/>
      <c r="UAG276" s="227"/>
      <c r="UAH276" s="227"/>
      <c r="UAI276" s="227"/>
      <c r="UAJ276" s="227"/>
      <c r="UAK276" s="227"/>
      <c r="UAL276" s="227"/>
      <c r="UAM276" s="227"/>
      <c r="UAN276" s="227"/>
      <c r="UAO276" s="227"/>
      <c r="UAP276" s="227"/>
      <c r="UAQ276" s="227"/>
      <c r="UAR276" s="227"/>
      <c r="UAS276" s="227"/>
      <c r="UAT276" s="227"/>
      <c r="UAU276" s="227"/>
      <c r="UAV276" s="227"/>
      <c r="UAW276" s="227"/>
      <c r="UAX276" s="227"/>
      <c r="UAY276" s="227"/>
      <c r="UAZ276" s="227"/>
      <c r="UBA276" s="227"/>
      <c r="UBB276" s="227"/>
      <c r="UBC276" s="227"/>
      <c r="UBD276" s="227"/>
      <c r="UBE276" s="227"/>
      <c r="UBF276" s="227"/>
      <c r="UBG276" s="227"/>
      <c r="UBH276" s="227"/>
      <c r="UBI276" s="227"/>
      <c r="UBJ276" s="227"/>
      <c r="UBK276" s="227"/>
      <c r="UBL276" s="227"/>
      <c r="UBM276" s="227"/>
      <c r="UBN276" s="227"/>
      <c r="UBO276" s="227"/>
      <c r="UBP276" s="227"/>
      <c r="UBQ276" s="227"/>
      <c r="UBR276" s="227"/>
      <c r="UBS276" s="227"/>
      <c r="UBT276" s="227"/>
      <c r="UBU276" s="227"/>
      <c r="UBV276" s="227"/>
      <c r="UBW276" s="227"/>
      <c r="UBX276" s="227"/>
      <c r="UBY276" s="227"/>
      <c r="UBZ276" s="227"/>
      <c r="UCA276" s="227"/>
      <c r="UCB276" s="227"/>
      <c r="UCC276" s="227"/>
      <c r="UCD276" s="227"/>
      <c r="UCE276" s="227"/>
      <c r="UCF276" s="227"/>
      <c r="UCG276" s="227"/>
      <c r="UCH276" s="227"/>
      <c r="UCI276" s="227"/>
      <c r="UCJ276" s="227"/>
      <c r="UCK276" s="227"/>
      <c r="UCL276" s="227"/>
      <c r="UCM276" s="227"/>
      <c r="UCN276" s="227"/>
      <c r="UCO276" s="227"/>
      <c r="UCP276" s="227"/>
      <c r="UCQ276" s="227"/>
      <c r="UCR276" s="227"/>
      <c r="UCS276" s="227"/>
      <c r="UCT276" s="227"/>
      <c r="UCU276" s="227"/>
      <c r="UCV276" s="227"/>
      <c r="UCW276" s="227"/>
      <c r="UCX276" s="227"/>
      <c r="UCY276" s="227"/>
      <c r="UCZ276" s="227"/>
      <c r="UDA276" s="227"/>
      <c r="UDB276" s="227"/>
      <c r="UDC276" s="227"/>
      <c r="UDD276" s="227"/>
      <c r="UDE276" s="227"/>
      <c r="UDF276" s="227"/>
      <c r="UDG276" s="227"/>
      <c r="UDH276" s="227"/>
      <c r="UDI276" s="227"/>
      <c r="UDJ276" s="227"/>
      <c r="UDK276" s="227"/>
      <c r="UDL276" s="227"/>
      <c r="UDM276" s="227"/>
      <c r="UDN276" s="227"/>
      <c r="UDO276" s="227"/>
      <c r="UDP276" s="227"/>
      <c r="UDQ276" s="227"/>
      <c r="UDR276" s="227"/>
      <c r="UDS276" s="227"/>
      <c r="UDT276" s="227"/>
      <c r="UDU276" s="227"/>
      <c r="UDV276" s="227"/>
      <c r="UDW276" s="227"/>
      <c r="UDX276" s="227"/>
      <c r="UDY276" s="227"/>
      <c r="UDZ276" s="227"/>
      <c r="UEA276" s="227"/>
      <c r="UEB276" s="227"/>
      <c r="UEC276" s="227"/>
      <c r="UED276" s="227"/>
      <c r="UEE276" s="227"/>
      <c r="UEF276" s="227"/>
      <c r="UEG276" s="227"/>
      <c r="UEH276" s="227"/>
      <c r="UEI276" s="227"/>
      <c r="UEJ276" s="227"/>
      <c r="UEK276" s="227"/>
      <c r="UEL276" s="227"/>
      <c r="UEM276" s="227"/>
      <c r="UEN276" s="227"/>
      <c r="UEO276" s="227"/>
      <c r="UEP276" s="227"/>
      <c r="UEQ276" s="227"/>
      <c r="UER276" s="227"/>
      <c r="UES276" s="227"/>
      <c r="UET276" s="227"/>
      <c r="UEU276" s="227"/>
      <c r="UEV276" s="227"/>
      <c r="UEW276" s="227"/>
      <c r="UEX276" s="227"/>
      <c r="UEY276" s="227"/>
      <c r="UEZ276" s="227"/>
      <c r="UFA276" s="227"/>
      <c r="UFB276" s="227"/>
      <c r="UFC276" s="227"/>
      <c r="UFD276" s="227"/>
      <c r="UFE276" s="227"/>
      <c r="UFF276" s="227"/>
      <c r="UFG276" s="227"/>
      <c r="UFH276" s="227"/>
      <c r="UFI276" s="227"/>
      <c r="UFJ276" s="227"/>
      <c r="UFK276" s="227"/>
      <c r="UFL276" s="227"/>
      <c r="UFM276" s="227"/>
      <c r="UFN276" s="227"/>
      <c r="UFO276" s="227"/>
      <c r="UFP276" s="227"/>
      <c r="UFQ276" s="227"/>
      <c r="UFR276" s="227"/>
      <c r="UFS276" s="227"/>
      <c r="UFT276" s="227"/>
      <c r="UFU276" s="227"/>
      <c r="UFV276" s="227"/>
      <c r="UFW276" s="227"/>
      <c r="UFX276" s="227"/>
      <c r="UFY276" s="227"/>
      <c r="UFZ276" s="227"/>
      <c r="UGA276" s="227"/>
      <c r="UGB276" s="227"/>
      <c r="UGC276" s="227"/>
      <c r="UGD276" s="227"/>
      <c r="UGE276" s="227"/>
      <c r="UGF276" s="227"/>
      <c r="UGG276" s="227"/>
      <c r="UGH276" s="227"/>
      <c r="UGI276" s="227"/>
      <c r="UGJ276" s="227"/>
      <c r="UGK276" s="227"/>
      <c r="UGL276" s="227"/>
      <c r="UGM276" s="227"/>
      <c r="UGN276" s="227"/>
      <c r="UGO276" s="227"/>
      <c r="UGP276" s="227"/>
      <c r="UGQ276" s="227"/>
      <c r="UGR276" s="227"/>
      <c r="UGS276" s="227"/>
      <c r="UGT276" s="227"/>
      <c r="UGU276" s="227"/>
      <c r="UGV276" s="227"/>
      <c r="UGW276" s="227"/>
      <c r="UGX276" s="227"/>
      <c r="UGY276" s="227"/>
      <c r="UGZ276" s="227"/>
      <c r="UHA276" s="227"/>
      <c r="UHB276" s="227"/>
      <c r="UHC276" s="227"/>
      <c r="UHD276" s="227"/>
      <c r="UHE276" s="227"/>
      <c r="UHF276" s="227"/>
      <c r="UHG276" s="227"/>
      <c r="UHH276" s="227"/>
      <c r="UHI276" s="227"/>
      <c r="UHJ276" s="227"/>
      <c r="UHK276" s="227"/>
      <c r="UHL276" s="227"/>
      <c r="UHM276" s="227"/>
      <c r="UHN276" s="227"/>
      <c r="UHO276" s="227"/>
      <c r="UHP276" s="227"/>
      <c r="UHQ276" s="227"/>
      <c r="UHR276" s="227"/>
      <c r="UHS276" s="227"/>
      <c r="UHT276" s="227"/>
      <c r="UHU276" s="227"/>
      <c r="UHV276" s="227"/>
      <c r="UHW276" s="227"/>
      <c r="UHX276" s="227"/>
      <c r="UHY276" s="227"/>
      <c r="UHZ276" s="227"/>
      <c r="UIA276" s="227"/>
      <c r="UIB276" s="227"/>
      <c r="UIC276" s="227"/>
      <c r="UID276" s="227"/>
      <c r="UIE276" s="227"/>
      <c r="UIF276" s="227"/>
      <c r="UIG276" s="227"/>
      <c r="UIH276" s="227"/>
      <c r="UII276" s="227"/>
      <c r="UIJ276" s="227"/>
      <c r="UIK276" s="227"/>
      <c r="UIL276" s="227"/>
      <c r="UIM276" s="227"/>
      <c r="UIN276" s="227"/>
      <c r="UIO276" s="227"/>
      <c r="UIP276" s="227"/>
      <c r="UIQ276" s="227"/>
      <c r="UIR276" s="227"/>
      <c r="UIS276" s="227"/>
      <c r="UIT276" s="227"/>
      <c r="UIU276" s="227"/>
      <c r="UIV276" s="227"/>
      <c r="UIW276" s="227"/>
      <c r="UIX276" s="227"/>
      <c r="UIY276" s="227"/>
      <c r="UIZ276" s="227"/>
      <c r="UJA276" s="227"/>
      <c r="UJB276" s="227"/>
      <c r="UJC276" s="227"/>
      <c r="UJD276" s="227"/>
      <c r="UJE276" s="227"/>
      <c r="UJF276" s="227"/>
      <c r="UJG276" s="227"/>
      <c r="UJH276" s="227"/>
      <c r="UJI276" s="227"/>
      <c r="UJJ276" s="227"/>
      <c r="UJK276" s="227"/>
      <c r="UJL276" s="227"/>
      <c r="UJM276" s="227"/>
      <c r="UJN276" s="227"/>
      <c r="UJO276" s="227"/>
      <c r="UJP276" s="227"/>
      <c r="UJQ276" s="227"/>
      <c r="UJR276" s="227"/>
      <c r="UJS276" s="227"/>
      <c r="UJT276" s="227"/>
      <c r="UJU276" s="227"/>
      <c r="UJV276" s="227"/>
      <c r="UJW276" s="227"/>
      <c r="UJX276" s="227"/>
      <c r="UJY276" s="227"/>
      <c r="UJZ276" s="227"/>
      <c r="UKA276" s="227"/>
      <c r="UKB276" s="227"/>
      <c r="UKC276" s="227"/>
      <c r="UKD276" s="227"/>
      <c r="UKE276" s="227"/>
      <c r="UKF276" s="227"/>
      <c r="UKG276" s="227"/>
      <c r="UKH276" s="227"/>
      <c r="UKI276" s="227"/>
      <c r="UKJ276" s="227"/>
      <c r="UKK276" s="227"/>
      <c r="UKL276" s="227"/>
      <c r="UKM276" s="227"/>
      <c r="UKN276" s="227"/>
      <c r="UKO276" s="227"/>
      <c r="UKP276" s="227"/>
      <c r="UKQ276" s="227"/>
      <c r="UKR276" s="227"/>
      <c r="UKS276" s="227"/>
      <c r="UKT276" s="227"/>
      <c r="UKU276" s="227"/>
      <c r="UKV276" s="227"/>
      <c r="UKW276" s="227"/>
      <c r="UKX276" s="227"/>
      <c r="UKY276" s="227"/>
      <c r="UKZ276" s="227"/>
      <c r="ULA276" s="227"/>
      <c r="ULB276" s="227"/>
      <c r="ULC276" s="227"/>
      <c r="ULD276" s="227"/>
      <c r="ULE276" s="227"/>
      <c r="ULF276" s="227"/>
      <c r="ULG276" s="227"/>
      <c r="ULH276" s="227"/>
      <c r="ULI276" s="227"/>
      <c r="ULJ276" s="227"/>
      <c r="ULK276" s="227"/>
      <c r="ULL276" s="227"/>
      <c r="ULM276" s="227"/>
      <c r="ULN276" s="227"/>
      <c r="ULO276" s="227"/>
      <c r="ULP276" s="227"/>
      <c r="ULQ276" s="227"/>
      <c r="ULR276" s="227"/>
      <c r="ULS276" s="227"/>
      <c r="ULT276" s="227"/>
      <c r="ULU276" s="227"/>
      <c r="ULV276" s="227"/>
      <c r="ULW276" s="227"/>
      <c r="ULX276" s="227"/>
      <c r="ULY276" s="227"/>
      <c r="ULZ276" s="227"/>
      <c r="UMA276" s="227"/>
      <c r="UMB276" s="227"/>
      <c r="UMC276" s="227"/>
      <c r="UMD276" s="227"/>
      <c r="UME276" s="227"/>
      <c r="UMF276" s="227"/>
      <c r="UMG276" s="227"/>
      <c r="UMH276" s="227"/>
      <c r="UMI276" s="227"/>
      <c r="UMJ276" s="227"/>
      <c r="UMK276" s="227"/>
      <c r="UML276" s="227"/>
      <c r="UMM276" s="227"/>
      <c r="UMN276" s="227"/>
      <c r="UMO276" s="227"/>
      <c r="UMP276" s="227"/>
      <c r="UMQ276" s="227"/>
      <c r="UMR276" s="227"/>
      <c r="UMS276" s="227"/>
      <c r="UMT276" s="227"/>
      <c r="UMU276" s="227"/>
      <c r="UMV276" s="227"/>
      <c r="UMW276" s="227"/>
      <c r="UMX276" s="227"/>
      <c r="UMY276" s="227"/>
      <c r="UMZ276" s="227"/>
      <c r="UNA276" s="227"/>
      <c r="UNB276" s="227"/>
      <c r="UNC276" s="227"/>
      <c r="UND276" s="227"/>
      <c r="UNE276" s="227"/>
      <c r="UNF276" s="227"/>
      <c r="UNG276" s="227"/>
      <c r="UNH276" s="227"/>
      <c r="UNI276" s="227"/>
      <c r="UNJ276" s="227"/>
      <c r="UNK276" s="227"/>
      <c r="UNL276" s="227"/>
      <c r="UNM276" s="227"/>
      <c r="UNN276" s="227"/>
      <c r="UNO276" s="227"/>
      <c r="UNP276" s="227"/>
      <c r="UNQ276" s="227"/>
      <c r="UNR276" s="227"/>
      <c r="UNS276" s="227"/>
      <c r="UNT276" s="227"/>
      <c r="UNU276" s="227"/>
      <c r="UNV276" s="227"/>
      <c r="UNW276" s="227"/>
      <c r="UNX276" s="227"/>
      <c r="UNY276" s="227"/>
      <c r="UNZ276" s="227"/>
      <c r="UOA276" s="227"/>
      <c r="UOB276" s="227"/>
      <c r="UOC276" s="227"/>
      <c r="UOD276" s="227"/>
      <c r="UOE276" s="227"/>
      <c r="UOF276" s="227"/>
      <c r="UOG276" s="227"/>
      <c r="UOH276" s="227"/>
      <c r="UOI276" s="227"/>
      <c r="UOJ276" s="227"/>
      <c r="UOK276" s="227"/>
      <c r="UOL276" s="227"/>
      <c r="UOM276" s="227"/>
      <c r="UON276" s="227"/>
      <c r="UOO276" s="227"/>
      <c r="UOP276" s="227"/>
      <c r="UOQ276" s="227"/>
      <c r="UOR276" s="227"/>
      <c r="UOS276" s="227"/>
      <c r="UOT276" s="227"/>
      <c r="UOU276" s="227"/>
      <c r="UOV276" s="227"/>
      <c r="UOW276" s="227"/>
      <c r="UOX276" s="227"/>
      <c r="UOY276" s="227"/>
      <c r="UOZ276" s="227"/>
      <c r="UPA276" s="227"/>
      <c r="UPB276" s="227"/>
      <c r="UPC276" s="227"/>
      <c r="UPD276" s="227"/>
      <c r="UPE276" s="227"/>
      <c r="UPF276" s="227"/>
      <c r="UPG276" s="227"/>
      <c r="UPH276" s="227"/>
      <c r="UPI276" s="227"/>
      <c r="UPJ276" s="227"/>
      <c r="UPK276" s="227"/>
      <c r="UPL276" s="227"/>
      <c r="UPM276" s="227"/>
      <c r="UPN276" s="227"/>
      <c r="UPO276" s="227"/>
      <c r="UPP276" s="227"/>
      <c r="UPQ276" s="227"/>
      <c r="UPR276" s="227"/>
      <c r="UPS276" s="227"/>
      <c r="UPT276" s="227"/>
      <c r="UPU276" s="227"/>
      <c r="UPV276" s="227"/>
      <c r="UPW276" s="227"/>
      <c r="UPX276" s="227"/>
      <c r="UPY276" s="227"/>
      <c r="UPZ276" s="227"/>
      <c r="UQA276" s="227"/>
      <c r="UQB276" s="227"/>
      <c r="UQC276" s="227"/>
      <c r="UQD276" s="227"/>
      <c r="UQE276" s="227"/>
      <c r="UQF276" s="227"/>
      <c r="UQG276" s="227"/>
      <c r="UQH276" s="227"/>
      <c r="UQI276" s="227"/>
      <c r="UQJ276" s="227"/>
      <c r="UQK276" s="227"/>
      <c r="UQL276" s="227"/>
      <c r="UQM276" s="227"/>
      <c r="UQN276" s="227"/>
      <c r="UQO276" s="227"/>
      <c r="UQP276" s="227"/>
      <c r="UQQ276" s="227"/>
      <c r="UQR276" s="227"/>
      <c r="UQS276" s="227"/>
      <c r="UQT276" s="227"/>
      <c r="UQU276" s="227"/>
      <c r="UQV276" s="227"/>
      <c r="UQW276" s="227"/>
      <c r="UQX276" s="227"/>
      <c r="UQY276" s="227"/>
      <c r="UQZ276" s="227"/>
      <c r="URA276" s="227"/>
      <c r="URB276" s="227"/>
      <c r="URC276" s="227"/>
      <c r="URD276" s="227"/>
      <c r="URE276" s="227"/>
      <c r="URF276" s="227"/>
      <c r="URG276" s="227"/>
      <c r="URH276" s="227"/>
      <c r="URI276" s="227"/>
      <c r="URJ276" s="227"/>
      <c r="URK276" s="227"/>
      <c r="URL276" s="227"/>
      <c r="URM276" s="227"/>
      <c r="URN276" s="227"/>
      <c r="URO276" s="227"/>
      <c r="URP276" s="227"/>
      <c r="URQ276" s="227"/>
      <c r="URR276" s="227"/>
      <c r="URS276" s="227"/>
      <c r="URT276" s="227"/>
      <c r="URU276" s="227"/>
      <c r="URV276" s="227"/>
      <c r="URW276" s="227"/>
      <c r="URX276" s="227"/>
      <c r="URY276" s="227"/>
      <c r="URZ276" s="227"/>
      <c r="USA276" s="227"/>
      <c r="USB276" s="227"/>
      <c r="USC276" s="227"/>
      <c r="USD276" s="227"/>
      <c r="USE276" s="227"/>
      <c r="USF276" s="227"/>
      <c r="USG276" s="227"/>
      <c r="USH276" s="227"/>
      <c r="USI276" s="227"/>
      <c r="USJ276" s="227"/>
      <c r="USK276" s="227"/>
      <c r="USL276" s="227"/>
      <c r="USM276" s="227"/>
      <c r="USN276" s="227"/>
      <c r="USO276" s="227"/>
      <c r="USP276" s="227"/>
      <c r="USQ276" s="227"/>
      <c r="USR276" s="227"/>
      <c r="USS276" s="227"/>
      <c r="UST276" s="227"/>
      <c r="USU276" s="227"/>
      <c r="USV276" s="227"/>
      <c r="USW276" s="227"/>
      <c r="USX276" s="227"/>
      <c r="USY276" s="227"/>
      <c r="USZ276" s="227"/>
      <c r="UTA276" s="227"/>
      <c r="UTB276" s="227"/>
      <c r="UTC276" s="227"/>
      <c r="UTD276" s="227"/>
      <c r="UTE276" s="227"/>
      <c r="UTF276" s="227"/>
      <c r="UTG276" s="227"/>
      <c r="UTH276" s="227"/>
      <c r="UTI276" s="227"/>
      <c r="UTJ276" s="227"/>
      <c r="UTK276" s="227"/>
      <c r="UTL276" s="227"/>
      <c r="UTM276" s="227"/>
      <c r="UTN276" s="227"/>
      <c r="UTO276" s="227"/>
      <c r="UTP276" s="227"/>
      <c r="UTQ276" s="227"/>
      <c r="UTR276" s="227"/>
      <c r="UTS276" s="227"/>
      <c r="UTT276" s="227"/>
      <c r="UTU276" s="227"/>
      <c r="UTV276" s="227"/>
      <c r="UTW276" s="227"/>
      <c r="UTX276" s="227"/>
      <c r="UTY276" s="227"/>
      <c r="UTZ276" s="227"/>
      <c r="UUA276" s="227"/>
      <c r="UUB276" s="227"/>
      <c r="UUC276" s="227"/>
      <c r="UUD276" s="227"/>
      <c r="UUE276" s="227"/>
      <c r="UUF276" s="227"/>
      <c r="UUG276" s="227"/>
      <c r="UUH276" s="227"/>
      <c r="UUI276" s="227"/>
      <c r="UUJ276" s="227"/>
      <c r="UUK276" s="227"/>
      <c r="UUL276" s="227"/>
      <c r="UUM276" s="227"/>
      <c r="UUN276" s="227"/>
      <c r="UUO276" s="227"/>
      <c r="UUP276" s="227"/>
      <c r="UUQ276" s="227"/>
      <c r="UUR276" s="227"/>
      <c r="UUS276" s="227"/>
      <c r="UUT276" s="227"/>
      <c r="UUU276" s="227"/>
      <c r="UUV276" s="227"/>
      <c r="UUW276" s="227"/>
      <c r="UUX276" s="227"/>
      <c r="UUY276" s="227"/>
      <c r="UUZ276" s="227"/>
      <c r="UVA276" s="227"/>
      <c r="UVB276" s="227"/>
      <c r="UVC276" s="227"/>
      <c r="UVD276" s="227"/>
      <c r="UVE276" s="227"/>
      <c r="UVF276" s="227"/>
      <c r="UVG276" s="227"/>
      <c r="UVH276" s="227"/>
      <c r="UVI276" s="227"/>
      <c r="UVJ276" s="227"/>
      <c r="UVK276" s="227"/>
      <c r="UVL276" s="227"/>
      <c r="UVM276" s="227"/>
      <c r="UVN276" s="227"/>
      <c r="UVO276" s="227"/>
      <c r="UVP276" s="227"/>
      <c r="UVQ276" s="227"/>
      <c r="UVR276" s="227"/>
      <c r="UVS276" s="227"/>
      <c r="UVT276" s="227"/>
      <c r="UVU276" s="227"/>
      <c r="UVV276" s="227"/>
      <c r="UVW276" s="227"/>
      <c r="UVX276" s="227"/>
      <c r="UVY276" s="227"/>
      <c r="UVZ276" s="227"/>
      <c r="UWA276" s="227"/>
      <c r="UWB276" s="227"/>
      <c r="UWC276" s="227"/>
      <c r="UWD276" s="227"/>
      <c r="UWE276" s="227"/>
      <c r="UWF276" s="227"/>
      <c r="UWG276" s="227"/>
      <c r="UWH276" s="227"/>
      <c r="UWI276" s="227"/>
      <c r="UWJ276" s="227"/>
      <c r="UWK276" s="227"/>
      <c r="UWL276" s="227"/>
      <c r="UWM276" s="227"/>
      <c r="UWN276" s="227"/>
      <c r="UWO276" s="227"/>
      <c r="UWP276" s="227"/>
      <c r="UWQ276" s="227"/>
      <c r="UWR276" s="227"/>
      <c r="UWS276" s="227"/>
      <c r="UWT276" s="227"/>
      <c r="UWU276" s="227"/>
      <c r="UWV276" s="227"/>
      <c r="UWW276" s="227"/>
      <c r="UWX276" s="227"/>
      <c r="UWY276" s="227"/>
      <c r="UWZ276" s="227"/>
      <c r="UXA276" s="227"/>
      <c r="UXB276" s="227"/>
      <c r="UXC276" s="227"/>
      <c r="UXD276" s="227"/>
      <c r="UXE276" s="227"/>
      <c r="UXF276" s="227"/>
      <c r="UXG276" s="227"/>
      <c r="UXH276" s="227"/>
      <c r="UXI276" s="227"/>
      <c r="UXJ276" s="227"/>
      <c r="UXK276" s="227"/>
      <c r="UXL276" s="227"/>
      <c r="UXM276" s="227"/>
      <c r="UXN276" s="227"/>
      <c r="UXO276" s="227"/>
      <c r="UXP276" s="227"/>
      <c r="UXQ276" s="227"/>
      <c r="UXR276" s="227"/>
      <c r="UXS276" s="227"/>
      <c r="UXT276" s="227"/>
      <c r="UXU276" s="227"/>
      <c r="UXV276" s="227"/>
      <c r="UXW276" s="227"/>
      <c r="UXX276" s="227"/>
      <c r="UXY276" s="227"/>
      <c r="UXZ276" s="227"/>
      <c r="UYA276" s="227"/>
      <c r="UYB276" s="227"/>
      <c r="UYC276" s="227"/>
      <c r="UYD276" s="227"/>
      <c r="UYE276" s="227"/>
      <c r="UYF276" s="227"/>
      <c r="UYG276" s="227"/>
      <c r="UYH276" s="227"/>
      <c r="UYI276" s="227"/>
      <c r="UYJ276" s="227"/>
      <c r="UYK276" s="227"/>
      <c r="UYL276" s="227"/>
      <c r="UYM276" s="227"/>
      <c r="UYN276" s="227"/>
      <c r="UYO276" s="227"/>
      <c r="UYP276" s="227"/>
      <c r="UYQ276" s="227"/>
      <c r="UYR276" s="227"/>
      <c r="UYS276" s="227"/>
      <c r="UYT276" s="227"/>
      <c r="UYU276" s="227"/>
      <c r="UYV276" s="227"/>
      <c r="UYW276" s="227"/>
      <c r="UYX276" s="227"/>
      <c r="UYY276" s="227"/>
      <c r="UYZ276" s="227"/>
      <c r="UZA276" s="227"/>
      <c r="UZB276" s="227"/>
      <c r="UZC276" s="227"/>
      <c r="UZD276" s="227"/>
      <c r="UZE276" s="227"/>
      <c r="UZF276" s="227"/>
      <c r="UZG276" s="227"/>
      <c r="UZH276" s="227"/>
      <c r="UZI276" s="227"/>
      <c r="UZJ276" s="227"/>
      <c r="UZK276" s="227"/>
      <c r="UZL276" s="227"/>
      <c r="UZM276" s="227"/>
      <c r="UZN276" s="227"/>
      <c r="UZO276" s="227"/>
      <c r="UZP276" s="227"/>
      <c r="UZQ276" s="227"/>
      <c r="UZR276" s="227"/>
      <c r="UZS276" s="227"/>
      <c r="UZT276" s="227"/>
      <c r="UZU276" s="227"/>
      <c r="UZV276" s="227"/>
      <c r="UZW276" s="227"/>
      <c r="UZX276" s="227"/>
      <c r="UZY276" s="227"/>
      <c r="UZZ276" s="227"/>
      <c r="VAA276" s="227"/>
      <c r="VAB276" s="227"/>
      <c r="VAC276" s="227"/>
      <c r="VAD276" s="227"/>
      <c r="VAE276" s="227"/>
      <c r="VAF276" s="227"/>
      <c r="VAG276" s="227"/>
      <c r="VAH276" s="227"/>
      <c r="VAI276" s="227"/>
      <c r="VAJ276" s="227"/>
      <c r="VAK276" s="227"/>
      <c r="VAL276" s="227"/>
      <c r="VAM276" s="227"/>
      <c r="VAN276" s="227"/>
      <c r="VAO276" s="227"/>
      <c r="VAP276" s="227"/>
      <c r="VAQ276" s="227"/>
      <c r="VAR276" s="227"/>
      <c r="VAS276" s="227"/>
      <c r="VAT276" s="227"/>
      <c r="VAU276" s="227"/>
      <c r="VAV276" s="227"/>
      <c r="VAW276" s="227"/>
      <c r="VAX276" s="227"/>
      <c r="VAY276" s="227"/>
      <c r="VAZ276" s="227"/>
      <c r="VBA276" s="227"/>
      <c r="VBB276" s="227"/>
      <c r="VBC276" s="227"/>
      <c r="VBD276" s="227"/>
      <c r="VBE276" s="227"/>
      <c r="VBF276" s="227"/>
      <c r="VBG276" s="227"/>
      <c r="VBH276" s="227"/>
      <c r="VBI276" s="227"/>
      <c r="VBJ276" s="227"/>
      <c r="VBK276" s="227"/>
      <c r="VBL276" s="227"/>
      <c r="VBM276" s="227"/>
      <c r="VBN276" s="227"/>
      <c r="VBO276" s="227"/>
      <c r="VBP276" s="227"/>
      <c r="VBQ276" s="227"/>
      <c r="VBR276" s="227"/>
      <c r="VBS276" s="227"/>
      <c r="VBT276" s="227"/>
      <c r="VBU276" s="227"/>
      <c r="VBV276" s="227"/>
      <c r="VBW276" s="227"/>
      <c r="VBX276" s="227"/>
      <c r="VBY276" s="227"/>
      <c r="VBZ276" s="227"/>
      <c r="VCA276" s="227"/>
      <c r="VCB276" s="227"/>
      <c r="VCC276" s="227"/>
      <c r="VCD276" s="227"/>
      <c r="VCE276" s="227"/>
      <c r="VCF276" s="227"/>
      <c r="VCG276" s="227"/>
      <c r="VCH276" s="227"/>
      <c r="VCI276" s="227"/>
      <c r="VCJ276" s="227"/>
      <c r="VCK276" s="227"/>
      <c r="VCL276" s="227"/>
      <c r="VCM276" s="227"/>
      <c r="VCN276" s="227"/>
      <c r="VCO276" s="227"/>
      <c r="VCP276" s="227"/>
      <c r="VCQ276" s="227"/>
      <c r="VCR276" s="227"/>
      <c r="VCS276" s="227"/>
      <c r="VCT276" s="227"/>
      <c r="VCU276" s="227"/>
      <c r="VCV276" s="227"/>
      <c r="VCW276" s="227"/>
      <c r="VCX276" s="227"/>
      <c r="VCY276" s="227"/>
      <c r="VCZ276" s="227"/>
      <c r="VDA276" s="227"/>
      <c r="VDB276" s="227"/>
      <c r="VDC276" s="227"/>
      <c r="VDD276" s="227"/>
      <c r="VDE276" s="227"/>
      <c r="VDF276" s="227"/>
      <c r="VDG276" s="227"/>
      <c r="VDH276" s="227"/>
      <c r="VDI276" s="227"/>
      <c r="VDJ276" s="227"/>
      <c r="VDK276" s="227"/>
      <c r="VDL276" s="227"/>
      <c r="VDM276" s="227"/>
      <c r="VDN276" s="227"/>
      <c r="VDO276" s="227"/>
      <c r="VDP276" s="227"/>
      <c r="VDQ276" s="227"/>
      <c r="VDR276" s="227"/>
      <c r="VDS276" s="227"/>
      <c r="VDT276" s="227"/>
      <c r="VDU276" s="227"/>
      <c r="VDV276" s="227"/>
      <c r="VDW276" s="227"/>
      <c r="VDX276" s="227"/>
      <c r="VDY276" s="227"/>
      <c r="VDZ276" s="227"/>
      <c r="VEA276" s="227"/>
      <c r="VEB276" s="227"/>
      <c r="VEC276" s="227"/>
      <c r="VED276" s="227"/>
      <c r="VEE276" s="227"/>
      <c r="VEF276" s="227"/>
      <c r="VEG276" s="227"/>
      <c r="VEH276" s="227"/>
      <c r="VEI276" s="227"/>
      <c r="VEJ276" s="227"/>
      <c r="VEK276" s="227"/>
      <c r="VEL276" s="227"/>
      <c r="VEM276" s="227"/>
      <c r="VEN276" s="227"/>
      <c r="VEO276" s="227"/>
      <c r="VEP276" s="227"/>
      <c r="VEQ276" s="227"/>
      <c r="VER276" s="227"/>
      <c r="VES276" s="227"/>
      <c r="VET276" s="227"/>
      <c r="VEU276" s="227"/>
      <c r="VEV276" s="227"/>
      <c r="VEW276" s="227"/>
      <c r="VEX276" s="227"/>
      <c r="VEY276" s="227"/>
      <c r="VEZ276" s="227"/>
      <c r="VFA276" s="227"/>
      <c r="VFB276" s="227"/>
      <c r="VFC276" s="227"/>
      <c r="VFD276" s="227"/>
      <c r="VFE276" s="227"/>
      <c r="VFF276" s="227"/>
      <c r="VFG276" s="227"/>
      <c r="VFH276" s="227"/>
      <c r="VFI276" s="227"/>
      <c r="VFJ276" s="227"/>
      <c r="VFK276" s="227"/>
      <c r="VFL276" s="227"/>
      <c r="VFM276" s="227"/>
      <c r="VFN276" s="227"/>
      <c r="VFO276" s="227"/>
      <c r="VFP276" s="227"/>
      <c r="VFQ276" s="227"/>
      <c r="VFR276" s="227"/>
      <c r="VFS276" s="227"/>
      <c r="VFT276" s="227"/>
      <c r="VFU276" s="227"/>
      <c r="VFV276" s="227"/>
      <c r="VFW276" s="227"/>
      <c r="VFX276" s="227"/>
      <c r="VFY276" s="227"/>
      <c r="VFZ276" s="227"/>
      <c r="VGA276" s="227"/>
      <c r="VGB276" s="227"/>
      <c r="VGC276" s="227"/>
      <c r="VGD276" s="227"/>
      <c r="VGE276" s="227"/>
      <c r="VGF276" s="227"/>
      <c r="VGG276" s="227"/>
      <c r="VGH276" s="227"/>
      <c r="VGI276" s="227"/>
      <c r="VGJ276" s="227"/>
      <c r="VGK276" s="227"/>
      <c r="VGL276" s="227"/>
      <c r="VGM276" s="227"/>
      <c r="VGN276" s="227"/>
      <c r="VGO276" s="227"/>
      <c r="VGP276" s="227"/>
      <c r="VGQ276" s="227"/>
      <c r="VGR276" s="227"/>
      <c r="VGS276" s="227"/>
      <c r="VGT276" s="227"/>
      <c r="VGU276" s="227"/>
      <c r="VGV276" s="227"/>
      <c r="VGW276" s="227"/>
      <c r="VGX276" s="227"/>
      <c r="VGY276" s="227"/>
      <c r="VGZ276" s="227"/>
      <c r="VHA276" s="227"/>
      <c r="VHB276" s="227"/>
      <c r="VHC276" s="227"/>
      <c r="VHD276" s="227"/>
      <c r="VHE276" s="227"/>
      <c r="VHF276" s="227"/>
      <c r="VHG276" s="227"/>
      <c r="VHH276" s="227"/>
      <c r="VHI276" s="227"/>
      <c r="VHJ276" s="227"/>
      <c r="VHK276" s="227"/>
      <c r="VHL276" s="227"/>
      <c r="VHM276" s="227"/>
      <c r="VHN276" s="227"/>
      <c r="VHO276" s="227"/>
      <c r="VHP276" s="227"/>
      <c r="VHQ276" s="227"/>
      <c r="VHR276" s="227"/>
      <c r="VHS276" s="227"/>
      <c r="VHT276" s="227"/>
      <c r="VHU276" s="227"/>
      <c r="VHV276" s="227"/>
      <c r="VHW276" s="227"/>
      <c r="VHX276" s="227"/>
      <c r="VHY276" s="227"/>
      <c r="VHZ276" s="227"/>
      <c r="VIA276" s="227"/>
      <c r="VIB276" s="227"/>
      <c r="VIC276" s="227"/>
      <c r="VID276" s="227"/>
      <c r="VIE276" s="227"/>
      <c r="VIF276" s="227"/>
      <c r="VIG276" s="227"/>
      <c r="VIH276" s="227"/>
      <c r="VII276" s="227"/>
      <c r="VIJ276" s="227"/>
      <c r="VIK276" s="227"/>
      <c r="VIL276" s="227"/>
      <c r="VIM276" s="227"/>
      <c r="VIN276" s="227"/>
      <c r="VIO276" s="227"/>
      <c r="VIP276" s="227"/>
      <c r="VIQ276" s="227"/>
      <c r="VIR276" s="227"/>
      <c r="VIS276" s="227"/>
      <c r="VIT276" s="227"/>
      <c r="VIU276" s="227"/>
      <c r="VIV276" s="227"/>
      <c r="VIW276" s="227"/>
      <c r="VIX276" s="227"/>
      <c r="VIY276" s="227"/>
      <c r="VIZ276" s="227"/>
      <c r="VJA276" s="227"/>
      <c r="VJB276" s="227"/>
      <c r="VJC276" s="227"/>
      <c r="VJD276" s="227"/>
      <c r="VJE276" s="227"/>
      <c r="VJF276" s="227"/>
      <c r="VJG276" s="227"/>
      <c r="VJH276" s="227"/>
      <c r="VJI276" s="227"/>
      <c r="VJJ276" s="227"/>
      <c r="VJK276" s="227"/>
      <c r="VJL276" s="227"/>
      <c r="VJM276" s="227"/>
      <c r="VJN276" s="227"/>
      <c r="VJO276" s="227"/>
      <c r="VJP276" s="227"/>
      <c r="VJQ276" s="227"/>
      <c r="VJR276" s="227"/>
      <c r="VJS276" s="227"/>
      <c r="VJT276" s="227"/>
      <c r="VJU276" s="227"/>
      <c r="VJV276" s="227"/>
      <c r="VJW276" s="227"/>
      <c r="VJX276" s="227"/>
      <c r="VJY276" s="227"/>
      <c r="VJZ276" s="227"/>
      <c r="VKA276" s="227"/>
      <c r="VKB276" s="227"/>
      <c r="VKC276" s="227"/>
      <c r="VKD276" s="227"/>
      <c r="VKE276" s="227"/>
      <c r="VKF276" s="227"/>
      <c r="VKG276" s="227"/>
      <c r="VKH276" s="227"/>
      <c r="VKI276" s="227"/>
      <c r="VKJ276" s="227"/>
      <c r="VKK276" s="227"/>
      <c r="VKL276" s="227"/>
      <c r="VKM276" s="227"/>
      <c r="VKN276" s="227"/>
      <c r="VKO276" s="227"/>
      <c r="VKP276" s="227"/>
      <c r="VKQ276" s="227"/>
      <c r="VKR276" s="227"/>
      <c r="VKS276" s="227"/>
      <c r="VKT276" s="227"/>
      <c r="VKU276" s="227"/>
      <c r="VKV276" s="227"/>
      <c r="VKW276" s="227"/>
      <c r="VKX276" s="227"/>
      <c r="VKY276" s="227"/>
      <c r="VKZ276" s="227"/>
      <c r="VLA276" s="227"/>
      <c r="VLB276" s="227"/>
      <c r="VLC276" s="227"/>
      <c r="VLD276" s="227"/>
      <c r="VLE276" s="227"/>
      <c r="VLF276" s="227"/>
      <c r="VLG276" s="227"/>
      <c r="VLH276" s="227"/>
      <c r="VLI276" s="227"/>
      <c r="VLJ276" s="227"/>
      <c r="VLK276" s="227"/>
      <c r="VLL276" s="227"/>
      <c r="VLM276" s="227"/>
      <c r="VLN276" s="227"/>
      <c r="VLO276" s="227"/>
      <c r="VLP276" s="227"/>
      <c r="VLQ276" s="227"/>
      <c r="VLR276" s="227"/>
      <c r="VLS276" s="227"/>
      <c r="VLT276" s="227"/>
      <c r="VLU276" s="227"/>
      <c r="VLV276" s="227"/>
      <c r="VLW276" s="227"/>
      <c r="VLX276" s="227"/>
      <c r="VLY276" s="227"/>
      <c r="VLZ276" s="227"/>
      <c r="VMA276" s="227"/>
      <c r="VMB276" s="227"/>
      <c r="VMC276" s="227"/>
      <c r="VMD276" s="227"/>
      <c r="VME276" s="227"/>
      <c r="VMF276" s="227"/>
      <c r="VMG276" s="227"/>
      <c r="VMH276" s="227"/>
      <c r="VMI276" s="227"/>
      <c r="VMJ276" s="227"/>
      <c r="VMK276" s="227"/>
      <c r="VML276" s="227"/>
      <c r="VMM276" s="227"/>
      <c r="VMN276" s="227"/>
      <c r="VMO276" s="227"/>
      <c r="VMP276" s="227"/>
      <c r="VMQ276" s="227"/>
      <c r="VMR276" s="227"/>
      <c r="VMS276" s="227"/>
      <c r="VMT276" s="227"/>
      <c r="VMU276" s="227"/>
      <c r="VMV276" s="227"/>
      <c r="VMW276" s="227"/>
      <c r="VMX276" s="227"/>
      <c r="VMY276" s="227"/>
      <c r="VMZ276" s="227"/>
      <c r="VNA276" s="227"/>
      <c r="VNB276" s="227"/>
      <c r="VNC276" s="227"/>
      <c r="VND276" s="227"/>
      <c r="VNE276" s="227"/>
      <c r="VNF276" s="227"/>
      <c r="VNG276" s="227"/>
      <c r="VNH276" s="227"/>
      <c r="VNI276" s="227"/>
      <c r="VNJ276" s="227"/>
      <c r="VNK276" s="227"/>
      <c r="VNL276" s="227"/>
      <c r="VNM276" s="227"/>
      <c r="VNN276" s="227"/>
      <c r="VNO276" s="227"/>
      <c r="VNP276" s="227"/>
      <c r="VNQ276" s="227"/>
      <c r="VNR276" s="227"/>
      <c r="VNS276" s="227"/>
      <c r="VNT276" s="227"/>
      <c r="VNU276" s="227"/>
      <c r="VNV276" s="227"/>
      <c r="VNW276" s="227"/>
      <c r="VNX276" s="227"/>
      <c r="VNY276" s="227"/>
      <c r="VNZ276" s="227"/>
      <c r="VOA276" s="227"/>
      <c r="VOB276" s="227"/>
      <c r="VOC276" s="227"/>
      <c r="VOD276" s="227"/>
      <c r="VOE276" s="227"/>
      <c r="VOF276" s="227"/>
      <c r="VOG276" s="227"/>
      <c r="VOH276" s="227"/>
      <c r="VOI276" s="227"/>
      <c r="VOJ276" s="227"/>
      <c r="VOK276" s="227"/>
      <c r="VOL276" s="227"/>
      <c r="VOM276" s="227"/>
      <c r="VON276" s="227"/>
      <c r="VOO276" s="227"/>
      <c r="VOP276" s="227"/>
      <c r="VOQ276" s="227"/>
      <c r="VOR276" s="227"/>
      <c r="VOS276" s="227"/>
      <c r="VOT276" s="227"/>
      <c r="VOU276" s="227"/>
      <c r="VOV276" s="227"/>
      <c r="VOW276" s="227"/>
      <c r="VOX276" s="227"/>
      <c r="VOY276" s="227"/>
      <c r="VOZ276" s="227"/>
      <c r="VPA276" s="227"/>
      <c r="VPB276" s="227"/>
      <c r="VPC276" s="227"/>
      <c r="VPD276" s="227"/>
      <c r="VPE276" s="227"/>
      <c r="VPF276" s="227"/>
      <c r="VPG276" s="227"/>
      <c r="VPH276" s="227"/>
      <c r="VPI276" s="227"/>
      <c r="VPJ276" s="227"/>
      <c r="VPK276" s="227"/>
      <c r="VPL276" s="227"/>
      <c r="VPM276" s="227"/>
      <c r="VPN276" s="227"/>
      <c r="VPO276" s="227"/>
      <c r="VPP276" s="227"/>
      <c r="VPQ276" s="227"/>
      <c r="VPR276" s="227"/>
      <c r="VPS276" s="227"/>
      <c r="VPT276" s="227"/>
      <c r="VPU276" s="227"/>
      <c r="VPV276" s="227"/>
      <c r="VPW276" s="227"/>
      <c r="VPX276" s="227"/>
      <c r="VPY276" s="227"/>
      <c r="VPZ276" s="227"/>
      <c r="VQA276" s="227"/>
      <c r="VQB276" s="227"/>
      <c r="VQC276" s="227"/>
      <c r="VQD276" s="227"/>
      <c r="VQE276" s="227"/>
      <c r="VQF276" s="227"/>
      <c r="VQG276" s="227"/>
      <c r="VQH276" s="227"/>
      <c r="VQI276" s="227"/>
      <c r="VQJ276" s="227"/>
      <c r="VQK276" s="227"/>
      <c r="VQL276" s="227"/>
      <c r="VQM276" s="227"/>
      <c r="VQN276" s="227"/>
      <c r="VQO276" s="227"/>
      <c r="VQP276" s="227"/>
      <c r="VQQ276" s="227"/>
      <c r="VQR276" s="227"/>
      <c r="VQS276" s="227"/>
      <c r="VQT276" s="227"/>
      <c r="VQU276" s="227"/>
      <c r="VQV276" s="227"/>
      <c r="VQW276" s="227"/>
      <c r="VQX276" s="227"/>
      <c r="VQY276" s="227"/>
      <c r="VQZ276" s="227"/>
      <c r="VRA276" s="227"/>
      <c r="VRB276" s="227"/>
      <c r="VRC276" s="227"/>
      <c r="VRD276" s="227"/>
      <c r="VRE276" s="227"/>
      <c r="VRF276" s="227"/>
      <c r="VRG276" s="227"/>
      <c r="VRH276" s="227"/>
      <c r="VRI276" s="227"/>
      <c r="VRJ276" s="227"/>
      <c r="VRK276" s="227"/>
      <c r="VRL276" s="227"/>
      <c r="VRM276" s="227"/>
      <c r="VRN276" s="227"/>
      <c r="VRO276" s="227"/>
      <c r="VRP276" s="227"/>
      <c r="VRQ276" s="227"/>
      <c r="VRR276" s="227"/>
      <c r="VRS276" s="227"/>
      <c r="VRT276" s="227"/>
      <c r="VRU276" s="227"/>
      <c r="VRV276" s="227"/>
      <c r="VRW276" s="227"/>
      <c r="VRX276" s="227"/>
      <c r="VRY276" s="227"/>
      <c r="VRZ276" s="227"/>
      <c r="VSA276" s="227"/>
      <c r="VSB276" s="227"/>
      <c r="VSC276" s="227"/>
      <c r="VSD276" s="227"/>
      <c r="VSE276" s="227"/>
      <c r="VSF276" s="227"/>
      <c r="VSG276" s="227"/>
      <c r="VSH276" s="227"/>
      <c r="VSI276" s="227"/>
      <c r="VSJ276" s="227"/>
      <c r="VSK276" s="227"/>
      <c r="VSL276" s="227"/>
      <c r="VSM276" s="227"/>
      <c r="VSN276" s="227"/>
      <c r="VSO276" s="227"/>
      <c r="VSP276" s="227"/>
      <c r="VSQ276" s="227"/>
      <c r="VSR276" s="227"/>
      <c r="VSS276" s="227"/>
      <c r="VST276" s="227"/>
      <c r="VSU276" s="227"/>
      <c r="VSV276" s="227"/>
      <c r="VSW276" s="227"/>
      <c r="VSX276" s="227"/>
      <c r="VSY276" s="227"/>
      <c r="VSZ276" s="227"/>
      <c r="VTA276" s="227"/>
      <c r="VTB276" s="227"/>
      <c r="VTC276" s="227"/>
      <c r="VTD276" s="227"/>
      <c r="VTE276" s="227"/>
      <c r="VTF276" s="227"/>
      <c r="VTG276" s="227"/>
      <c r="VTH276" s="227"/>
      <c r="VTI276" s="227"/>
      <c r="VTJ276" s="227"/>
      <c r="VTK276" s="227"/>
      <c r="VTL276" s="227"/>
      <c r="VTM276" s="227"/>
      <c r="VTN276" s="227"/>
      <c r="VTO276" s="227"/>
      <c r="VTP276" s="227"/>
      <c r="VTQ276" s="227"/>
      <c r="VTR276" s="227"/>
      <c r="VTS276" s="227"/>
      <c r="VTT276" s="227"/>
      <c r="VTU276" s="227"/>
      <c r="VTV276" s="227"/>
      <c r="VTW276" s="227"/>
      <c r="VTX276" s="227"/>
      <c r="VTY276" s="227"/>
      <c r="VTZ276" s="227"/>
      <c r="VUA276" s="227"/>
      <c r="VUB276" s="227"/>
      <c r="VUC276" s="227"/>
      <c r="VUD276" s="227"/>
      <c r="VUE276" s="227"/>
      <c r="VUF276" s="227"/>
      <c r="VUG276" s="227"/>
      <c r="VUH276" s="227"/>
      <c r="VUI276" s="227"/>
      <c r="VUJ276" s="227"/>
      <c r="VUK276" s="227"/>
      <c r="VUL276" s="227"/>
      <c r="VUM276" s="227"/>
      <c r="VUN276" s="227"/>
      <c r="VUO276" s="227"/>
      <c r="VUP276" s="227"/>
      <c r="VUQ276" s="227"/>
      <c r="VUR276" s="227"/>
      <c r="VUS276" s="227"/>
      <c r="VUT276" s="227"/>
      <c r="VUU276" s="227"/>
      <c r="VUV276" s="227"/>
      <c r="VUW276" s="227"/>
      <c r="VUX276" s="227"/>
      <c r="VUY276" s="227"/>
      <c r="VUZ276" s="227"/>
      <c r="VVA276" s="227"/>
      <c r="VVB276" s="227"/>
      <c r="VVC276" s="227"/>
      <c r="VVD276" s="227"/>
      <c r="VVE276" s="227"/>
      <c r="VVF276" s="227"/>
      <c r="VVG276" s="227"/>
      <c r="VVH276" s="227"/>
      <c r="VVI276" s="227"/>
      <c r="VVJ276" s="227"/>
      <c r="VVK276" s="227"/>
      <c r="VVL276" s="227"/>
      <c r="VVM276" s="227"/>
      <c r="VVN276" s="227"/>
      <c r="VVO276" s="227"/>
      <c r="VVP276" s="227"/>
      <c r="VVQ276" s="227"/>
      <c r="VVR276" s="227"/>
      <c r="VVS276" s="227"/>
      <c r="VVT276" s="227"/>
      <c r="VVU276" s="227"/>
      <c r="VVV276" s="227"/>
      <c r="VVW276" s="227"/>
      <c r="VVX276" s="227"/>
      <c r="VVY276" s="227"/>
      <c r="VVZ276" s="227"/>
      <c r="VWA276" s="227"/>
      <c r="VWB276" s="227"/>
      <c r="VWC276" s="227"/>
      <c r="VWD276" s="227"/>
      <c r="VWE276" s="227"/>
      <c r="VWF276" s="227"/>
      <c r="VWG276" s="227"/>
      <c r="VWH276" s="227"/>
      <c r="VWI276" s="227"/>
      <c r="VWJ276" s="227"/>
      <c r="VWK276" s="227"/>
      <c r="VWL276" s="227"/>
      <c r="VWM276" s="227"/>
      <c r="VWN276" s="227"/>
      <c r="VWO276" s="227"/>
      <c r="VWP276" s="227"/>
      <c r="VWQ276" s="227"/>
      <c r="VWR276" s="227"/>
      <c r="VWS276" s="227"/>
      <c r="VWT276" s="227"/>
      <c r="VWU276" s="227"/>
      <c r="VWV276" s="227"/>
      <c r="VWW276" s="227"/>
      <c r="VWX276" s="227"/>
      <c r="VWY276" s="227"/>
      <c r="VWZ276" s="227"/>
      <c r="VXA276" s="227"/>
      <c r="VXB276" s="227"/>
      <c r="VXC276" s="227"/>
      <c r="VXD276" s="227"/>
      <c r="VXE276" s="227"/>
      <c r="VXF276" s="227"/>
      <c r="VXG276" s="227"/>
      <c r="VXH276" s="227"/>
      <c r="VXI276" s="227"/>
      <c r="VXJ276" s="227"/>
      <c r="VXK276" s="227"/>
      <c r="VXL276" s="227"/>
      <c r="VXM276" s="227"/>
      <c r="VXN276" s="227"/>
      <c r="VXO276" s="227"/>
      <c r="VXP276" s="227"/>
      <c r="VXQ276" s="227"/>
      <c r="VXR276" s="227"/>
      <c r="VXS276" s="227"/>
      <c r="VXT276" s="227"/>
      <c r="VXU276" s="227"/>
      <c r="VXV276" s="227"/>
      <c r="VXW276" s="227"/>
      <c r="VXX276" s="227"/>
      <c r="VXY276" s="227"/>
      <c r="VXZ276" s="227"/>
      <c r="VYA276" s="227"/>
      <c r="VYB276" s="227"/>
      <c r="VYC276" s="227"/>
      <c r="VYD276" s="227"/>
      <c r="VYE276" s="227"/>
      <c r="VYF276" s="227"/>
      <c r="VYG276" s="227"/>
      <c r="VYH276" s="227"/>
      <c r="VYI276" s="227"/>
      <c r="VYJ276" s="227"/>
      <c r="VYK276" s="227"/>
      <c r="VYL276" s="227"/>
      <c r="VYM276" s="227"/>
      <c r="VYN276" s="227"/>
      <c r="VYO276" s="227"/>
      <c r="VYP276" s="227"/>
      <c r="VYQ276" s="227"/>
      <c r="VYR276" s="227"/>
      <c r="VYS276" s="227"/>
      <c r="VYT276" s="227"/>
      <c r="VYU276" s="227"/>
      <c r="VYV276" s="227"/>
      <c r="VYW276" s="227"/>
      <c r="VYX276" s="227"/>
      <c r="VYY276" s="227"/>
      <c r="VYZ276" s="227"/>
      <c r="VZA276" s="227"/>
      <c r="VZB276" s="227"/>
      <c r="VZC276" s="227"/>
      <c r="VZD276" s="227"/>
      <c r="VZE276" s="227"/>
      <c r="VZF276" s="227"/>
      <c r="VZG276" s="227"/>
      <c r="VZH276" s="227"/>
      <c r="VZI276" s="227"/>
      <c r="VZJ276" s="227"/>
      <c r="VZK276" s="227"/>
      <c r="VZL276" s="227"/>
      <c r="VZM276" s="227"/>
      <c r="VZN276" s="227"/>
      <c r="VZO276" s="227"/>
      <c r="VZP276" s="227"/>
      <c r="VZQ276" s="227"/>
      <c r="VZR276" s="227"/>
      <c r="VZS276" s="227"/>
      <c r="VZT276" s="227"/>
      <c r="VZU276" s="227"/>
      <c r="VZV276" s="227"/>
      <c r="VZW276" s="227"/>
      <c r="VZX276" s="227"/>
      <c r="VZY276" s="227"/>
      <c r="VZZ276" s="227"/>
      <c r="WAA276" s="227"/>
      <c r="WAB276" s="227"/>
      <c r="WAC276" s="227"/>
      <c r="WAD276" s="227"/>
      <c r="WAE276" s="227"/>
      <c r="WAF276" s="227"/>
      <c r="WAG276" s="227"/>
      <c r="WAH276" s="227"/>
      <c r="WAI276" s="227"/>
      <c r="WAJ276" s="227"/>
      <c r="WAK276" s="227"/>
      <c r="WAL276" s="227"/>
      <c r="WAM276" s="227"/>
      <c r="WAN276" s="227"/>
      <c r="WAO276" s="227"/>
      <c r="WAP276" s="227"/>
      <c r="WAQ276" s="227"/>
      <c r="WAR276" s="227"/>
      <c r="WAS276" s="227"/>
      <c r="WAT276" s="227"/>
      <c r="WAU276" s="227"/>
      <c r="WAV276" s="227"/>
      <c r="WAW276" s="227"/>
      <c r="WAX276" s="227"/>
      <c r="WAY276" s="227"/>
      <c r="WAZ276" s="227"/>
      <c r="WBA276" s="227"/>
      <c r="WBB276" s="227"/>
      <c r="WBC276" s="227"/>
      <c r="WBD276" s="227"/>
      <c r="WBE276" s="227"/>
      <c r="WBF276" s="227"/>
      <c r="WBG276" s="227"/>
      <c r="WBH276" s="227"/>
      <c r="WBI276" s="227"/>
      <c r="WBJ276" s="227"/>
      <c r="WBK276" s="227"/>
      <c r="WBL276" s="227"/>
      <c r="WBM276" s="227"/>
      <c r="WBN276" s="227"/>
      <c r="WBO276" s="227"/>
      <c r="WBP276" s="227"/>
      <c r="WBQ276" s="227"/>
      <c r="WBR276" s="227"/>
      <c r="WBS276" s="227"/>
      <c r="WBT276" s="227"/>
      <c r="WBU276" s="227"/>
      <c r="WBV276" s="227"/>
      <c r="WBW276" s="227"/>
      <c r="WBX276" s="227"/>
      <c r="WBY276" s="227"/>
      <c r="WBZ276" s="227"/>
      <c r="WCA276" s="227"/>
      <c r="WCB276" s="227"/>
      <c r="WCC276" s="227"/>
      <c r="WCD276" s="227"/>
      <c r="WCE276" s="227"/>
      <c r="WCF276" s="227"/>
      <c r="WCG276" s="227"/>
      <c r="WCH276" s="227"/>
      <c r="WCI276" s="227"/>
      <c r="WCJ276" s="227"/>
      <c r="WCK276" s="227"/>
      <c r="WCL276" s="227"/>
      <c r="WCM276" s="227"/>
      <c r="WCN276" s="227"/>
      <c r="WCO276" s="227"/>
      <c r="WCP276" s="227"/>
      <c r="WCQ276" s="227"/>
      <c r="WCR276" s="227"/>
      <c r="WCS276" s="227"/>
      <c r="WCT276" s="227"/>
      <c r="WCU276" s="227"/>
      <c r="WCV276" s="227"/>
      <c r="WCW276" s="227"/>
      <c r="WCX276" s="227"/>
      <c r="WCY276" s="227"/>
      <c r="WCZ276" s="227"/>
      <c r="WDA276" s="227"/>
      <c r="WDB276" s="227"/>
      <c r="WDC276" s="227"/>
      <c r="WDD276" s="227"/>
      <c r="WDE276" s="227"/>
      <c r="WDF276" s="227"/>
      <c r="WDG276" s="227"/>
      <c r="WDH276" s="227"/>
      <c r="WDI276" s="227"/>
      <c r="WDJ276" s="227"/>
      <c r="WDK276" s="227"/>
      <c r="WDL276" s="227"/>
      <c r="WDM276" s="227"/>
      <c r="WDN276" s="227"/>
      <c r="WDO276" s="227"/>
      <c r="WDP276" s="227"/>
      <c r="WDQ276" s="227"/>
      <c r="WDR276" s="227"/>
      <c r="WDS276" s="227"/>
      <c r="WDT276" s="227"/>
      <c r="WDU276" s="227"/>
      <c r="WDV276" s="227"/>
      <c r="WDW276" s="227"/>
      <c r="WDX276" s="227"/>
      <c r="WDY276" s="227"/>
      <c r="WDZ276" s="227"/>
      <c r="WEA276" s="227"/>
      <c r="WEB276" s="227"/>
      <c r="WEC276" s="227"/>
      <c r="WED276" s="227"/>
      <c r="WEE276" s="227"/>
      <c r="WEF276" s="227"/>
      <c r="WEG276" s="227"/>
      <c r="WEH276" s="227"/>
      <c r="WEI276" s="227"/>
      <c r="WEJ276" s="227"/>
      <c r="WEK276" s="227"/>
      <c r="WEL276" s="227"/>
      <c r="WEM276" s="227"/>
      <c r="WEN276" s="227"/>
      <c r="WEO276" s="227"/>
      <c r="WEP276" s="227"/>
      <c r="WEQ276" s="227"/>
      <c r="WER276" s="227"/>
      <c r="WES276" s="227"/>
      <c r="WET276" s="227"/>
      <c r="WEU276" s="227"/>
      <c r="WEV276" s="227"/>
      <c r="WEW276" s="227"/>
      <c r="WEX276" s="227"/>
      <c r="WEY276" s="227"/>
      <c r="WEZ276" s="227"/>
      <c r="WFA276" s="227"/>
      <c r="WFB276" s="227"/>
      <c r="WFC276" s="227"/>
      <c r="WFD276" s="227"/>
      <c r="WFE276" s="227"/>
      <c r="WFF276" s="227"/>
      <c r="WFG276" s="227"/>
      <c r="WFH276" s="227"/>
      <c r="WFI276" s="227"/>
      <c r="WFJ276" s="227"/>
      <c r="WFK276" s="227"/>
      <c r="WFL276" s="227"/>
      <c r="WFM276" s="227"/>
      <c r="WFN276" s="227"/>
      <c r="WFO276" s="227"/>
      <c r="WFP276" s="227"/>
      <c r="WFQ276" s="227"/>
      <c r="WFR276" s="227"/>
      <c r="WFS276" s="227"/>
      <c r="WFT276" s="227"/>
      <c r="WFU276" s="227"/>
      <c r="WFV276" s="227"/>
      <c r="WFW276" s="227"/>
      <c r="WFX276" s="227"/>
      <c r="WFY276" s="227"/>
      <c r="WFZ276" s="227"/>
      <c r="WGA276" s="227"/>
      <c r="WGB276" s="227"/>
      <c r="WGC276" s="227"/>
      <c r="WGD276" s="227"/>
      <c r="WGE276" s="227"/>
      <c r="WGF276" s="227"/>
      <c r="WGG276" s="227"/>
      <c r="WGH276" s="227"/>
      <c r="WGI276" s="227"/>
      <c r="WGJ276" s="227"/>
      <c r="WGK276" s="227"/>
      <c r="WGL276" s="227"/>
      <c r="WGM276" s="227"/>
      <c r="WGN276" s="227"/>
      <c r="WGO276" s="227"/>
      <c r="WGP276" s="227"/>
      <c r="WGQ276" s="227"/>
      <c r="WGR276" s="227"/>
      <c r="WGS276" s="227"/>
      <c r="WGT276" s="227"/>
      <c r="WGU276" s="227"/>
      <c r="WGV276" s="227"/>
      <c r="WGW276" s="227"/>
      <c r="WGX276" s="227"/>
      <c r="WGY276" s="227"/>
      <c r="WGZ276" s="227"/>
      <c r="WHA276" s="227"/>
      <c r="WHB276" s="227"/>
      <c r="WHC276" s="227"/>
      <c r="WHD276" s="227"/>
      <c r="WHE276" s="227"/>
      <c r="WHF276" s="227"/>
      <c r="WHG276" s="227"/>
      <c r="WHH276" s="227"/>
      <c r="WHI276" s="227"/>
      <c r="WHJ276" s="227"/>
      <c r="WHK276" s="227"/>
      <c r="WHL276" s="227"/>
      <c r="WHM276" s="227"/>
      <c r="WHN276" s="227"/>
      <c r="WHO276" s="227"/>
      <c r="WHP276" s="227"/>
      <c r="WHQ276" s="227"/>
      <c r="WHR276" s="227"/>
      <c r="WHS276" s="227"/>
      <c r="WHT276" s="227"/>
      <c r="WHU276" s="227"/>
      <c r="WHV276" s="227"/>
      <c r="WHW276" s="227"/>
      <c r="WHX276" s="227"/>
      <c r="WHY276" s="227"/>
      <c r="WHZ276" s="227"/>
      <c r="WIA276" s="227"/>
      <c r="WIB276" s="227"/>
      <c r="WIC276" s="227"/>
      <c r="WID276" s="227"/>
      <c r="WIE276" s="227"/>
      <c r="WIF276" s="227"/>
      <c r="WIG276" s="227"/>
      <c r="WIH276" s="227"/>
      <c r="WII276" s="227"/>
      <c r="WIJ276" s="227"/>
      <c r="WIK276" s="227"/>
      <c r="WIL276" s="227"/>
      <c r="WIM276" s="227"/>
      <c r="WIN276" s="227"/>
      <c r="WIO276" s="227"/>
      <c r="WIP276" s="227"/>
      <c r="WIQ276" s="227"/>
      <c r="WIR276" s="227"/>
      <c r="WIS276" s="227"/>
      <c r="WIT276" s="227"/>
      <c r="WIU276" s="227"/>
      <c r="WIV276" s="227"/>
      <c r="WIW276" s="227"/>
      <c r="WIX276" s="227"/>
      <c r="WIY276" s="227"/>
      <c r="WIZ276" s="227"/>
      <c r="WJA276" s="227"/>
      <c r="WJB276" s="227"/>
      <c r="WJC276" s="227"/>
      <c r="WJD276" s="227"/>
      <c r="WJE276" s="227"/>
      <c r="WJF276" s="227"/>
      <c r="WJG276" s="227"/>
      <c r="WJH276" s="227"/>
      <c r="WJI276" s="227"/>
      <c r="WJJ276" s="227"/>
      <c r="WJK276" s="227"/>
      <c r="WJL276" s="227"/>
      <c r="WJM276" s="227"/>
      <c r="WJN276" s="227"/>
      <c r="WJO276" s="227"/>
      <c r="WJP276" s="227"/>
      <c r="WJQ276" s="227"/>
      <c r="WJR276" s="227"/>
      <c r="WJS276" s="227"/>
      <c r="WJT276" s="227"/>
      <c r="WJU276" s="227"/>
      <c r="WJV276" s="227"/>
      <c r="WJW276" s="227"/>
      <c r="WJX276" s="227"/>
      <c r="WJY276" s="227"/>
      <c r="WJZ276" s="227"/>
      <c r="WKA276" s="227"/>
      <c r="WKB276" s="227"/>
      <c r="WKC276" s="227"/>
      <c r="WKD276" s="227"/>
      <c r="WKE276" s="227"/>
      <c r="WKF276" s="227"/>
      <c r="WKG276" s="227"/>
      <c r="WKH276" s="227"/>
      <c r="WKI276" s="227"/>
      <c r="WKJ276" s="227"/>
      <c r="WKK276" s="227"/>
      <c r="WKL276" s="227"/>
      <c r="WKM276" s="227"/>
      <c r="WKN276" s="227"/>
      <c r="WKO276" s="227"/>
      <c r="WKP276" s="227"/>
      <c r="WKQ276" s="227"/>
      <c r="WKR276" s="227"/>
      <c r="WKS276" s="227"/>
      <c r="WKT276" s="227"/>
      <c r="WKU276" s="227"/>
      <c r="WKV276" s="227"/>
      <c r="WKW276" s="227"/>
      <c r="WKX276" s="227"/>
      <c r="WKY276" s="227"/>
      <c r="WKZ276" s="227"/>
      <c r="WLA276" s="227"/>
      <c r="WLB276" s="227"/>
      <c r="WLC276" s="227"/>
      <c r="WLD276" s="227"/>
      <c r="WLE276" s="227"/>
      <c r="WLF276" s="227"/>
      <c r="WLG276" s="227"/>
      <c r="WLH276" s="227"/>
      <c r="WLI276" s="227"/>
      <c r="WLJ276" s="227"/>
      <c r="WLK276" s="227"/>
      <c r="WLL276" s="227"/>
      <c r="WLM276" s="227"/>
      <c r="WLN276" s="227"/>
      <c r="WLO276" s="227"/>
      <c r="WLP276" s="227"/>
      <c r="WLQ276" s="227"/>
      <c r="WLR276" s="227"/>
      <c r="WLS276" s="227"/>
      <c r="WLT276" s="227"/>
      <c r="WLU276" s="227"/>
      <c r="WLV276" s="227"/>
      <c r="WLW276" s="227"/>
      <c r="WLX276" s="227"/>
      <c r="WLY276" s="227"/>
      <c r="WLZ276" s="227"/>
      <c r="WMA276" s="227"/>
      <c r="WMB276" s="227"/>
      <c r="WMC276" s="227"/>
      <c r="WMD276" s="227"/>
      <c r="WME276" s="227"/>
      <c r="WMF276" s="227"/>
      <c r="WMG276" s="227"/>
      <c r="WMH276" s="227"/>
      <c r="WMI276" s="227"/>
      <c r="WMJ276" s="227"/>
      <c r="WMK276" s="227"/>
      <c r="WML276" s="227"/>
      <c r="WMM276" s="227"/>
      <c r="WMN276" s="227"/>
      <c r="WMO276" s="227"/>
      <c r="WMP276" s="227"/>
      <c r="WMQ276" s="227"/>
      <c r="WMR276" s="227"/>
      <c r="WMS276" s="227"/>
      <c r="WMT276" s="227"/>
      <c r="WMU276" s="227"/>
      <c r="WMV276" s="227"/>
      <c r="WMW276" s="227"/>
      <c r="WMX276" s="227"/>
      <c r="WMY276" s="227"/>
      <c r="WMZ276" s="227"/>
      <c r="WNA276" s="227"/>
      <c r="WNB276" s="227"/>
      <c r="WNC276" s="227"/>
      <c r="WND276" s="227"/>
      <c r="WNE276" s="227"/>
      <c r="WNF276" s="227"/>
      <c r="WNG276" s="227"/>
      <c r="WNH276" s="227"/>
      <c r="WNI276" s="227"/>
      <c r="WNJ276" s="227"/>
      <c r="WNK276" s="227"/>
      <c r="WNL276" s="227"/>
      <c r="WNM276" s="227"/>
      <c r="WNN276" s="227"/>
      <c r="WNO276" s="227"/>
      <c r="WNP276" s="227"/>
      <c r="WNQ276" s="227"/>
      <c r="WNR276" s="227"/>
      <c r="WNS276" s="227"/>
      <c r="WNT276" s="227"/>
      <c r="WNU276" s="227"/>
      <c r="WNV276" s="227"/>
      <c r="WNW276" s="227"/>
      <c r="WNX276" s="227"/>
      <c r="WNY276" s="227"/>
      <c r="WNZ276" s="227"/>
      <c r="WOA276" s="227"/>
      <c r="WOB276" s="227"/>
      <c r="WOC276" s="227"/>
      <c r="WOD276" s="227"/>
      <c r="WOE276" s="227"/>
      <c r="WOF276" s="227"/>
      <c r="WOG276" s="227"/>
      <c r="WOH276" s="227"/>
      <c r="WOI276" s="227"/>
      <c r="WOJ276" s="227"/>
      <c r="WOK276" s="227"/>
      <c r="WOL276" s="227"/>
      <c r="WOM276" s="227"/>
      <c r="WON276" s="227"/>
      <c r="WOO276" s="227"/>
      <c r="WOP276" s="227"/>
      <c r="WOQ276" s="227"/>
      <c r="WOR276" s="227"/>
      <c r="WOS276" s="227"/>
      <c r="WOT276" s="227"/>
      <c r="WOU276" s="227"/>
      <c r="WOV276" s="227"/>
      <c r="WOW276" s="227"/>
      <c r="WOX276" s="227"/>
      <c r="WOY276" s="227"/>
      <c r="WOZ276" s="227"/>
      <c r="WPA276" s="227"/>
      <c r="WPB276" s="227"/>
      <c r="WPC276" s="227"/>
      <c r="WPD276" s="227"/>
      <c r="WPE276" s="227"/>
      <c r="WPF276" s="227"/>
      <c r="WPG276" s="227"/>
      <c r="WPH276" s="227"/>
      <c r="WPI276" s="227"/>
      <c r="WPJ276" s="227"/>
      <c r="WPK276" s="227"/>
      <c r="WPL276" s="227"/>
      <c r="WPM276" s="227"/>
      <c r="WPN276" s="227"/>
      <c r="WPO276" s="227"/>
      <c r="WPP276" s="227"/>
      <c r="WPQ276" s="227"/>
      <c r="WPR276" s="227"/>
      <c r="WPS276" s="227"/>
      <c r="WPT276" s="227"/>
      <c r="WPU276" s="227"/>
      <c r="WPV276" s="227"/>
      <c r="WPW276" s="227"/>
      <c r="WPX276" s="227"/>
      <c r="WPY276" s="227"/>
      <c r="WPZ276" s="227"/>
      <c r="WQA276" s="227"/>
      <c r="WQB276" s="227"/>
      <c r="WQC276" s="227"/>
      <c r="WQD276" s="227"/>
      <c r="WQE276" s="227"/>
      <c r="WQF276" s="227"/>
      <c r="WQG276" s="227"/>
      <c r="WQH276" s="227"/>
      <c r="WQI276" s="227"/>
      <c r="WQJ276" s="227"/>
      <c r="WQK276" s="227"/>
      <c r="WQL276" s="227"/>
      <c r="WQM276" s="227"/>
      <c r="WQN276" s="227"/>
      <c r="WQO276" s="227"/>
      <c r="WQP276" s="227"/>
      <c r="WQQ276" s="227"/>
      <c r="WQR276" s="227"/>
      <c r="WQS276" s="227"/>
      <c r="WQT276" s="227"/>
      <c r="WQU276" s="227"/>
      <c r="WQV276" s="227"/>
      <c r="WQW276" s="227"/>
      <c r="WQX276" s="227"/>
      <c r="WQY276" s="227"/>
      <c r="WQZ276" s="227"/>
      <c r="WRA276" s="227"/>
      <c r="WRB276" s="227"/>
      <c r="WRC276" s="227"/>
      <c r="WRD276" s="227"/>
      <c r="WRE276" s="227"/>
      <c r="WRF276" s="227"/>
      <c r="WRG276" s="227"/>
      <c r="WRH276" s="227"/>
      <c r="WRI276" s="227"/>
      <c r="WRJ276" s="227"/>
      <c r="WRK276" s="227"/>
      <c r="WRL276" s="227"/>
      <c r="WRM276" s="227"/>
      <c r="WRN276" s="227"/>
      <c r="WRO276" s="227"/>
      <c r="WRP276" s="227"/>
      <c r="WRQ276" s="227"/>
      <c r="WRR276" s="227"/>
      <c r="WRS276" s="227"/>
      <c r="WRT276" s="227"/>
      <c r="WRU276" s="227"/>
      <c r="WRV276" s="227"/>
      <c r="WRW276" s="227"/>
      <c r="WRX276" s="227"/>
      <c r="WRY276" s="227"/>
      <c r="WRZ276" s="227"/>
      <c r="WSA276" s="227"/>
      <c r="WSB276" s="227"/>
      <c r="WSC276" s="227"/>
      <c r="WSD276" s="227"/>
      <c r="WSE276" s="227"/>
      <c r="WSF276" s="227"/>
      <c r="WSG276" s="227"/>
      <c r="WSH276" s="227"/>
      <c r="WSI276" s="227"/>
      <c r="WSJ276" s="227"/>
      <c r="WSK276" s="227"/>
      <c r="WSL276" s="227"/>
      <c r="WSM276" s="227"/>
      <c r="WSN276" s="227"/>
      <c r="WSO276" s="227"/>
      <c r="WSP276" s="227"/>
      <c r="WSQ276" s="227"/>
      <c r="WSR276" s="227"/>
      <c r="WSS276" s="227"/>
      <c r="WST276" s="227"/>
      <c r="WSU276" s="227"/>
      <c r="WSV276" s="227"/>
      <c r="WSW276" s="227"/>
      <c r="WSX276" s="227"/>
      <c r="WSY276" s="227"/>
      <c r="WSZ276" s="227"/>
      <c r="WTA276" s="227"/>
      <c r="WTB276" s="227"/>
      <c r="WTC276" s="227"/>
      <c r="WTD276" s="227"/>
      <c r="WTE276" s="227"/>
      <c r="WTF276" s="227"/>
      <c r="WTG276" s="227"/>
      <c r="WTH276" s="227"/>
      <c r="WTI276" s="227"/>
      <c r="WTJ276" s="227"/>
      <c r="WTK276" s="227"/>
      <c r="WTL276" s="227"/>
      <c r="WTM276" s="227"/>
      <c r="WTN276" s="227"/>
      <c r="WTO276" s="227"/>
      <c r="WTP276" s="227"/>
      <c r="WTQ276" s="227"/>
      <c r="WTR276" s="227"/>
      <c r="WTS276" s="227"/>
      <c r="WTT276" s="227"/>
      <c r="WTU276" s="227"/>
      <c r="WTV276" s="227"/>
      <c r="WTW276" s="227"/>
      <c r="WTX276" s="227"/>
      <c r="WTY276" s="227"/>
      <c r="WTZ276" s="227"/>
      <c r="WUA276" s="227"/>
      <c r="WUB276" s="227"/>
      <c r="WUC276" s="227"/>
      <c r="WUD276" s="227"/>
      <c r="WUE276" s="227"/>
      <c r="WUF276" s="227"/>
      <c r="WUG276" s="227"/>
      <c r="WUH276" s="227"/>
      <c r="WUI276" s="227"/>
      <c r="WUJ276" s="227"/>
      <c r="WUK276" s="227"/>
      <c r="WUL276" s="227"/>
      <c r="WUM276" s="227"/>
      <c r="WUN276" s="227"/>
      <c r="WUO276" s="227"/>
      <c r="WUP276" s="227"/>
      <c r="WUQ276" s="227"/>
      <c r="WUR276" s="227"/>
      <c r="WUS276" s="227"/>
      <c r="WUT276" s="227"/>
      <c r="WUU276" s="227"/>
      <c r="WUV276" s="227"/>
      <c r="WUW276" s="227"/>
      <c r="WUX276" s="227"/>
      <c r="WUY276" s="227"/>
      <c r="WUZ276" s="227"/>
      <c r="WVA276" s="227"/>
      <c r="WVB276" s="227"/>
      <c r="WVC276" s="227"/>
      <c r="WVD276" s="227"/>
      <c r="WVE276" s="227"/>
      <c r="WVF276" s="227"/>
      <c r="WVG276" s="227"/>
      <c r="WVH276" s="227"/>
      <c r="WVI276" s="227"/>
      <c r="WVJ276" s="227"/>
      <c r="WVK276" s="227"/>
      <c r="WVL276" s="227"/>
      <c r="WVM276" s="227"/>
      <c r="WVN276" s="227"/>
      <c r="WVO276" s="227"/>
      <c r="WVP276" s="227"/>
      <c r="WVQ276" s="227"/>
      <c r="WVR276" s="227"/>
      <c r="WVS276" s="227"/>
      <c r="WVT276" s="227"/>
      <c r="WVU276" s="227"/>
      <c r="WVV276" s="227"/>
      <c r="WVW276" s="227"/>
      <c r="WVX276" s="227"/>
      <c r="WVY276" s="227"/>
      <c r="WVZ276" s="227"/>
      <c r="WWA276" s="227"/>
      <c r="WWB276" s="227"/>
      <c r="WWC276" s="227"/>
      <c r="WWD276" s="227"/>
      <c r="WWE276" s="227"/>
      <c r="WWF276" s="227"/>
      <c r="WWG276" s="227"/>
      <c r="WWH276" s="227"/>
      <c r="WWI276" s="227"/>
      <c r="WWJ276" s="227"/>
      <c r="WWK276" s="227"/>
      <c r="WWL276" s="227"/>
      <c r="WWM276" s="227"/>
      <c r="WWN276" s="227"/>
      <c r="WWO276" s="227"/>
      <c r="WWP276" s="227"/>
      <c r="WWQ276" s="227"/>
      <c r="WWR276" s="227"/>
      <c r="WWS276" s="227"/>
      <c r="WWT276" s="227"/>
      <c r="WWU276" s="227"/>
      <c r="WWV276" s="227"/>
      <c r="WWW276" s="227"/>
      <c r="WWX276" s="227"/>
      <c r="WWY276" s="227"/>
      <c r="WWZ276" s="227"/>
      <c r="WXA276" s="227"/>
      <c r="WXB276" s="227"/>
      <c r="WXC276" s="227"/>
      <c r="WXD276" s="227"/>
      <c r="WXE276" s="227"/>
      <c r="WXF276" s="227"/>
      <c r="WXG276" s="227"/>
      <c r="WXH276" s="227"/>
      <c r="WXI276" s="227"/>
      <c r="WXJ276" s="227"/>
      <c r="WXK276" s="227"/>
      <c r="WXL276" s="227"/>
      <c r="WXM276" s="227"/>
      <c r="WXN276" s="227"/>
      <c r="WXO276" s="227"/>
      <c r="WXP276" s="227"/>
      <c r="WXQ276" s="227"/>
      <c r="WXR276" s="227"/>
      <c r="WXS276" s="227"/>
      <c r="WXT276" s="227"/>
      <c r="WXU276" s="227"/>
      <c r="WXV276" s="227"/>
      <c r="WXW276" s="227"/>
      <c r="WXX276" s="227"/>
      <c r="WXY276" s="227"/>
      <c r="WXZ276" s="227"/>
      <c r="WYA276" s="227"/>
      <c r="WYB276" s="227"/>
      <c r="WYC276" s="227"/>
      <c r="WYD276" s="227"/>
      <c r="WYE276" s="227"/>
      <c r="WYF276" s="227"/>
      <c r="WYG276" s="227"/>
      <c r="WYH276" s="227"/>
      <c r="WYI276" s="227"/>
      <c r="WYJ276" s="227"/>
      <c r="WYK276" s="227"/>
      <c r="WYL276" s="227"/>
      <c r="WYM276" s="227"/>
      <c r="WYN276" s="227"/>
      <c r="WYO276" s="227"/>
      <c r="WYP276" s="227"/>
      <c r="WYQ276" s="227"/>
      <c r="WYR276" s="227"/>
      <c r="WYS276" s="227"/>
      <c r="WYT276" s="227"/>
      <c r="WYU276" s="227"/>
      <c r="WYV276" s="227"/>
      <c r="WYW276" s="227"/>
      <c r="WYX276" s="227"/>
      <c r="WYY276" s="227"/>
      <c r="WYZ276" s="227"/>
      <c r="WZA276" s="227"/>
      <c r="WZB276" s="227"/>
      <c r="WZC276" s="227"/>
      <c r="WZD276" s="227"/>
      <c r="WZE276" s="227"/>
      <c r="WZF276" s="227"/>
      <c r="WZG276" s="227"/>
      <c r="WZH276" s="227"/>
      <c r="WZI276" s="227"/>
      <c r="WZJ276" s="227"/>
      <c r="WZK276" s="227"/>
      <c r="WZL276" s="227"/>
      <c r="WZM276" s="227"/>
      <c r="WZN276" s="227"/>
      <c r="WZO276" s="227"/>
      <c r="WZP276" s="227"/>
      <c r="WZQ276" s="227"/>
      <c r="WZR276" s="227"/>
      <c r="WZS276" s="227"/>
      <c r="WZT276" s="227"/>
      <c r="WZU276" s="227"/>
      <c r="WZV276" s="227"/>
      <c r="WZW276" s="227"/>
      <c r="WZX276" s="227"/>
      <c r="WZY276" s="227"/>
      <c r="WZZ276" s="227"/>
      <c r="XAA276" s="227"/>
      <c r="XAB276" s="227"/>
      <c r="XAC276" s="227"/>
      <c r="XAD276" s="227"/>
      <c r="XAE276" s="227"/>
      <c r="XAF276" s="227"/>
      <c r="XAG276" s="227"/>
      <c r="XAH276" s="227"/>
      <c r="XAI276" s="227"/>
      <c r="XAJ276" s="227"/>
      <c r="XAK276" s="227"/>
      <c r="XAL276" s="227"/>
      <c r="XAM276" s="227"/>
      <c r="XAN276" s="227"/>
      <c r="XAO276" s="227"/>
      <c r="XAP276" s="227"/>
      <c r="XAQ276" s="227"/>
      <c r="XAR276" s="227"/>
      <c r="XAS276" s="227"/>
      <c r="XAT276" s="227"/>
      <c r="XAU276" s="227"/>
      <c r="XAV276" s="227"/>
      <c r="XAW276" s="227"/>
      <c r="XAX276" s="227"/>
      <c r="XAY276" s="227"/>
      <c r="XAZ276" s="227"/>
      <c r="XBA276" s="227"/>
      <c r="XBB276" s="227"/>
      <c r="XBC276" s="227"/>
      <c r="XBD276" s="227"/>
      <c r="XBE276" s="227"/>
      <c r="XBF276" s="227"/>
      <c r="XBG276" s="227"/>
      <c r="XBH276" s="227"/>
      <c r="XBI276" s="227"/>
      <c r="XBJ276" s="227"/>
      <c r="XBK276" s="227"/>
      <c r="XBL276" s="227"/>
      <c r="XBM276" s="227"/>
      <c r="XBN276" s="227"/>
      <c r="XBO276" s="227"/>
      <c r="XBP276" s="227"/>
      <c r="XBQ276" s="227"/>
      <c r="XBR276" s="227"/>
      <c r="XBS276" s="227"/>
      <c r="XBT276" s="227"/>
      <c r="XBU276" s="227"/>
      <c r="XBV276" s="227"/>
      <c r="XBW276" s="227"/>
      <c r="XBX276" s="227"/>
      <c r="XBY276" s="227"/>
      <c r="XBZ276" s="227"/>
      <c r="XCA276" s="227"/>
      <c r="XCB276" s="227"/>
      <c r="XCC276" s="227"/>
      <c r="XCD276" s="227"/>
      <c r="XCE276" s="227"/>
      <c r="XCF276" s="227"/>
      <c r="XCG276" s="227"/>
      <c r="XCH276" s="227"/>
      <c r="XCI276" s="227"/>
      <c r="XCJ276" s="227"/>
      <c r="XCK276" s="227"/>
      <c r="XCL276" s="227"/>
      <c r="XCM276" s="227"/>
      <c r="XCN276" s="227"/>
      <c r="XCO276" s="227"/>
      <c r="XCP276" s="227"/>
      <c r="XCQ276" s="227"/>
      <c r="XCR276" s="227"/>
      <c r="XCS276" s="227"/>
      <c r="XCT276" s="227"/>
      <c r="XCU276" s="227"/>
      <c r="XCV276" s="227"/>
      <c r="XCW276" s="227"/>
      <c r="XCX276" s="227"/>
      <c r="XCY276" s="227"/>
      <c r="XCZ276" s="227"/>
      <c r="XDA276" s="227"/>
      <c r="XDB276" s="227"/>
      <c r="XDC276" s="227"/>
      <c r="XDD276" s="227"/>
      <c r="XDE276" s="227"/>
      <c r="XDF276" s="227"/>
      <c r="XDG276" s="227"/>
      <c r="XDH276" s="227"/>
      <c r="XDI276" s="227"/>
      <c r="XDJ276" s="227"/>
      <c r="XDK276" s="227"/>
      <c r="XDL276" s="227"/>
      <c r="XDM276" s="227"/>
      <c r="XDN276" s="227"/>
      <c r="XDO276" s="227"/>
      <c r="XDP276" s="227"/>
      <c r="XDQ276" s="227"/>
      <c r="XDR276" s="227"/>
      <c r="XDS276" s="227"/>
      <c r="XDT276" s="227"/>
      <c r="XDU276" s="227"/>
      <c r="XDV276" s="227"/>
      <c r="XDW276" s="227"/>
      <c r="XDX276" s="227"/>
      <c r="XDY276" s="227"/>
      <c r="XDZ276" s="227"/>
      <c r="XEA276" s="227"/>
      <c r="XEB276" s="227"/>
      <c r="XEC276" s="227"/>
      <c r="XED276" s="227"/>
      <c r="XEE276" s="227"/>
      <c r="XEF276" s="227"/>
      <c r="XEG276" s="227"/>
      <c r="XEH276" s="227"/>
      <c r="XEI276" s="227"/>
      <c r="XEJ276" s="227"/>
      <c r="XEK276" s="227"/>
      <c r="XEL276" s="227"/>
      <c r="XEM276" s="227"/>
      <c r="XEN276" s="227"/>
      <c r="XEO276" s="227"/>
    </row>
    <row r="277" spans="1:16369">
      <c r="A277" s="3368">
        <f t="shared" si="4"/>
        <v>2013.04</v>
      </c>
      <c r="B277" s="3369">
        <v>659211</v>
      </c>
      <c r="C277" s="3370"/>
      <c r="D277" s="3371"/>
      <c r="E277" s="3370"/>
      <c r="F277" s="3372">
        <v>4005</v>
      </c>
      <c r="G277" s="3373">
        <v>10318</v>
      </c>
      <c r="H277" s="3374">
        <v>12196</v>
      </c>
      <c r="I277" s="3373">
        <v>12196</v>
      </c>
      <c r="J277" s="3374">
        <v>7205</v>
      </c>
      <c r="K277" s="3373">
        <v>11766</v>
      </c>
      <c r="L277" s="3374">
        <v>5875</v>
      </c>
      <c r="M277" s="3373">
        <v>6825</v>
      </c>
      <c r="N277" s="3375">
        <v>1602</v>
      </c>
      <c r="O277" s="3376">
        <f t="shared" si="5"/>
        <v>71988</v>
      </c>
      <c r="P277" s="3380">
        <v>67164</v>
      </c>
      <c r="Q277" s="3375">
        <v>804</v>
      </c>
      <c r="R277" s="3381">
        <v>179981</v>
      </c>
    </row>
    <row r="278" spans="1:16369">
      <c r="A278" s="3368">
        <f t="shared" ref="A278:A341" si="6">A266+1</f>
        <v>2013.05</v>
      </c>
      <c r="B278" s="3369">
        <v>723533</v>
      </c>
      <c r="C278" s="3370"/>
      <c r="D278" s="3371"/>
      <c r="E278" s="3370"/>
      <c r="F278" s="3372">
        <v>6053</v>
      </c>
      <c r="G278" s="3373">
        <v>11466</v>
      </c>
      <c r="H278" s="3374">
        <v>9395</v>
      </c>
      <c r="I278" s="3373">
        <v>14012</v>
      </c>
      <c r="J278" s="3374">
        <v>10518</v>
      </c>
      <c r="K278" s="3373">
        <v>2877</v>
      </c>
      <c r="L278" s="3374">
        <v>5098</v>
      </c>
      <c r="M278" s="3373">
        <v>10025</v>
      </c>
      <c r="N278" s="3375">
        <v>1619</v>
      </c>
      <c r="O278" s="3376">
        <f t="shared" si="5"/>
        <v>71063</v>
      </c>
      <c r="P278" s="3380">
        <v>77410</v>
      </c>
      <c r="Q278" s="3375">
        <v>1463</v>
      </c>
      <c r="R278" s="3381">
        <v>236160</v>
      </c>
    </row>
    <row r="279" spans="1:16369">
      <c r="A279" s="3368">
        <f t="shared" si="6"/>
        <v>2013.06</v>
      </c>
      <c r="B279" s="3369">
        <v>611867</v>
      </c>
      <c r="C279" s="3370"/>
      <c r="D279" s="3371"/>
      <c r="E279" s="3370"/>
      <c r="F279" s="3372">
        <v>4202</v>
      </c>
      <c r="G279" s="3373">
        <v>10419</v>
      </c>
      <c r="H279" s="3374">
        <v>6107</v>
      </c>
      <c r="I279" s="3373">
        <v>18594</v>
      </c>
      <c r="J279" s="3374">
        <v>7507</v>
      </c>
      <c r="K279" s="3373">
        <v>3346</v>
      </c>
      <c r="L279" s="3374">
        <v>3610</v>
      </c>
      <c r="M279" s="3373">
        <v>5178</v>
      </c>
      <c r="N279" s="3375">
        <v>5102</v>
      </c>
      <c r="O279" s="3376">
        <f t="shared" si="5"/>
        <v>64065</v>
      </c>
      <c r="P279" s="3380">
        <v>64232</v>
      </c>
      <c r="Q279" s="3375">
        <v>1226</v>
      </c>
      <c r="R279" s="3381">
        <v>168132</v>
      </c>
    </row>
    <row r="280" spans="1:16369">
      <c r="A280" s="3368">
        <f t="shared" si="6"/>
        <v>2013.07</v>
      </c>
      <c r="B280" s="3369">
        <v>690411</v>
      </c>
      <c r="C280" s="3370"/>
      <c r="D280" s="3371"/>
      <c r="E280" s="3370"/>
      <c r="F280" s="3372">
        <v>2103</v>
      </c>
      <c r="G280" s="3373">
        <v>16133</v>
      </c>
      <c r="H280" s="3374">
        <v>7228</v>
      </c>
      <c r="I280" s="3373">
        <v>19447</v>
      </c>
      <c r="J280" s="3374">
        <v>7243</v>
      </c>
      <c r="K280" s="3373">
        <v>2562</v>
      </c>
      <c r="L280" s="3374">
        <v>5588</v>
      </c>
      <c r="M280" s="3373">
        <v>7587</v>
      </c>
      <c r="N280" s="3375">
        <v>3892</v>
      </c>
      <c r="O280" s="3376">
        <f t="shared" si="5"/>
        <v>71783</v>
      </c>
      <c r="P280" s="3380">
        <v>95109</v>
      </c>
      <c r="Q280" s="3375">
        <v>984</v>
      </c>
      <c r="R280" s="3381">
        <v>211493</v>
      </c>
    </row>
    <row r="281" spans="1:16369">
      <c r="A281" s="3368">
        <f t="shared" si="6"/>
        <v>2013.08</v>
      </c>
      <c r="B281" s="3369">
        <v>682262</v>
      </c>
      <c r="C281" s="3370"/>
      <c r="D281" s="3371"/>
      <c r="E281" s="3370"/>
      <c r="F281" s="3372">
        <v>1186</v>
      </c>
      <c r="G281" s="3373">
        <v>24028</v>
      </c>
      <c r="H281" s="3374">
        <v>6020</v>
      </c>
      <c r="I281" s="3373">
        <v>15059</v>
      </c>
      <c r="J281" s="3374">
        <v>7401</v>
      </c>
      <c r="K281" s="3373">
        <v>4162</v>
      </c>
      <c r="L281" s="3374">
        <v>4176</v>
      </c>
      <c r="M281" s="3373">
        <v>7134</v>
      </c>
      <c r="N281" s="3375">
        <v>4681</v>
      </c>
      <c r="O281" s="3376">
        <f t="shared" si="5"/>
        <v>73847</v>
      </c>
      <c r="P281" s="3380">
        <v>58581</v>
      </c>
      <c r="Q281" s="3375">
        <v>1083</v>
      </c>
      <c r="R281" s="3381">
        <v>174413</v>
      </c>
    </row>
    <row r="282" spans="1:16369">
      <c r="A282" s="3368">
        <f t="shared" si="6"/>
        <v>2013.09</v>
      </c>
      <c r="B282" s="3369">
        <v>633669</v>
      </c>
      <c r="C282" s="3370"/>
      <c r="D282" s="3371"/>
      <c r="E282" s="3370"/>
      <c r="F282" s="3372">
        <v>2633</v>
      </c>
      <c r="G282" s="3373">
        <v>16751</v>
      </c>
      <c r="H282" s="3374">
        <v>7132</v>
      </c>
      <c r="I282" s="3373">
        <v>14129</v>
      </c>
      <c r="J282" s="3374">
        <v>4739</v>
      </c>
      <c r="K282" s="3373">
        <v>3370</v>
      </c>
      <c r="L282" s="3374">
        <v>4034</v>
      </c>
      <c r="M282" s="3373">
        <v>24035</v>
      </c>
      <c r="N282" s="3375">
        <v>2355</v>
      </c>
      <c r="O282" s="3376">
        <f t="shared" si="5"/>
        <v>79178</v>
      </c>
      <c r="P282" s="3380">
        <v>47769</v>
      </c>
      <c r="Q282" s="3375">
        <v>378</v>
      </c>
      <c r="R282" s="3381">
        <v>170252</v>
      </c>
    </row>
    <row r="283" spans="1:16369">
      <c r="A283" s="3368">
        <f t="shared" si="6"/>
        <v>2013.1</v>
      </c>
      <c r="B283" s="3369">
        <v>758061</v>
      </c>
      <c r="C283" s="3370"/>
      <c r="D283" s="3371"/>
      <c r="E283" s="3370"/>
      <c r="F283" s="3372">
        <v>2571</v>
      </c>
      <c r="G283" s="3373">
        <v>8809</v>
      </c>
      <c r="H283" s="3374">
        <v>6787</v>
      </c>
      <c r="I283" s="3373">
        <v>18115</v>
      </c>
      <c r="J283" s="3374">
        <v>5859</v>
      </c>
      <c r="K283" s="3373">
        <v>1581</v>
      </c>
      <c r="L283" s="3374">
        <v>11051</v>
      </c>
      <c r="M283" s="3373">
        <v>17779</v>
      </c>
      <c r="N283" s="3375">
        <v>2535</v>
      </c>
      <c r="O283" s="3376">
        <f t="shared" si="5"/>
        <v>75087</v>
      </c>
      <c r="P283" s="3380">
        <v>56268</v>
      </c>
      <c r="Q283" s="3375">
        <v>9382</v>
      </c>
      <c r="R283" s="3381">
        <v>188387</v>
      </c>
    </row>
    <row r="284" spans="1:16369">
      <c r="A284" s="3368">
        <f t="shared" si="6"/>
        <v>2013.11</v>
      </c>
      <c r="B284" s="3369">
        <v>736174</v>
      </c>
      <c r="C284" s="3370"/>
      <c r="D284" s="3371"/>
      <c r="E284" s="3370"/>
      <c r="F284" s="3372">
        <v>4781</v>
      </c>
      <c r="G284" s="3373">
        <v>11052</v>
      </c>
      <c r="H284" s="3374">
        <v>14179</v>
      </c>
      <c r="I284" s="3373">
        <v>7338</v>
      </c>
      <c r="J284" s="3374">
        <v>10672</v>
      </c>
      <c r="K284" s="3373">
        <v>1797</v>
      </c>
      <c r="L284" s="3374">
        <v>3034</v>
      </c>
      <c r="M284" s="3373">
        <v>8460</v>
      </c>
      <c r="N284" s="3375">
        <v>3759</v>
      </c>
      <c r="O284" s="3376">
        <f t="shared" si="5"/>
        <v>65072</v>
      </c>
      <c r="P284" s="3380">
        <v>85514</v>
      </c>
      <c r="Q284" s="3375">
        <v>202</v>
      </c>
      <c r="R284" s="3381">
        <v>181598</v>
      </c>
    </row>
    <row r="285" spans="1:16369">
      <c r="A285" s="3368">
        <f t="shared" si="6"/>
        <v>2013.12</v>
      </c>
      <c r="B285" s="3369">
        <v>711977</v>
      </c>
      <c r="C285" s="3370"/>
      <c r="D285" s="3371"/>
      <c r="E285" s="3370"/>
      <c r="F285" s="3372">
        <v>3220</v>
      </c>
      <c r="G285" s="3373">
        <v>13522</v>
      </c>
      <c r="H285" s="3374">
        <v>8762</v>
      </c>
      <c r="I285" s="3373">
        <v>12848</v>
      </c>
      <c r="J285" s="3374">
        <v>7144</v>
      </c>
      <c r="K285" s="3373">
        <v>4389</v>
      </c>
      <c r="L285" s="3374">
        <v>6907</v>
      </c>
      <c r="M285" s="3373">
        <v>6870</v>
      </c>
      <c r="N285" s="3375">
        <v>2839</v>
      </c>
      <c r="O285" s="3376">
        <f t="shared" si="5"/>
        <v>66501</v>
      </c>
      <c r="P285" s="3380">
        <v>58576</v>
      </c>
      <c r="Q285" s="3375">
        <v>830</v>
      </c>
      <c r="R285" s="3381">
        <v>169577</v>
      </c>
    </row>
    <row r="286" spans="1:16369">
      <c r="A286" s="3368">
        <f t="shared" si="6"/>
        <v>2014.01</v>
      </c>
      <c r="B286" s="3369">
        <v>575339</v>
      </c>
      <c r="C286" s="3370"/>
      <c r="D286" s="3371"/>
      <c r="E286" s="3370"/>
      <c r="F286" s="3372">
        <v>1392</v>
      </c>
      <c r="G286" s="3373">
        <v>9499</v>
      </c>
      <c r="H286" s="3374">
        <v>7486</v>
      </c>
      <c r="I286" s="3373">
        <v>12611</v>
      </c>
      <c r="J286" s="3374">
        <v>5864</v>
      </c>
      <c r="K286" s="3373">
        <v>1376</v>
      </c>
      <c r="L286" s="3374">
        <v>3803</v>
      </c>
      <c r="M286" s="3373">
        <v>4202</v>
      </c>
      <c r="N286" s="3375">
        <v>1657</v>
      </c>
      <c r="O286" s="3376">
        <f t="shared" si="5"/>
        <v>47890</v>
      </c>
      <c r="P286" s="3380">
        <v>52133</v>
      </c>
      <c r="Q286" s="3375">
        <v>1184</v>
      </c>
      <c r="R286" s="3381">
        <v>131562</v>
      </c>
    </row>
    <row r="287" spans="1:16369">
      <c r="A287" s="3368">
        <f t="shared" si="6"/>
        <v>2014.02</v>
      </c>
      <c r="B287" s="3369">
        <v>500332</v>
      </c>
      <c r="C287" s="3370"/>
      <c r="D287" s="3371"/>
      <c r="E287" s="3370"/>
      <c r="F287" s="3372">
        <v>1598</v>
      </c>
      <c r="G287" s="3373">
        <v>7654</v>
      </c>
      <c r="H287" s="3374">
        <v>4575</v>
      </c>
      <c r="I287" s="3373">
        <v>6272</v>
      </c>
      <c r="J287" s="3374">
        <v>5452</v>
      </c>
      <c r="K287" s="3373">
        <v>2958</v>
      </c>
      <c r="L287" s="3374">
        <v>3850</v>
      </c>
      <c r="M287" s="3373">
        <v>5044</v>
      </c>
      <c r="N287" s="3375">
        <v>828</v>
      </c>
      <c r="O287" s="3376">
        <f t="shared" si="5"/>
        <v>38231</v>
      </c>
      <c r="P287" s="3380">
        <v>50739</v>
      </c>
      <c r="Q287" s="3375">
        <v>249</v>
      </c>
      <c r="R287" s="3381">
        <v>135388</v>
      </c>
    </row>
    <row r="288" spans="1:16369">
      <c r="A288" s="3368">
        <f t="shared" si="6"/>
        <v>2014.03</v>
      </c>
      <c r="B288" s="3369">
        <v>648959</v>
      </c>
      <c r="C288" s="3370"/>
      <c r="D288" s="3371"/>
      <c r="E288" s="3370"/>
      <c r="F288" s="3372">
        <v>2148</v>
      </c>
      <c r="G288" s="3373">
        <v>10538</v>
      </c>
      <c r="H288" s="3374">
        <v>6770</v>
      </c>
      <c r="I288" s="3373">
        <v>17226</v>
      </c>
      <c r="J288" s="3374">
        <v>7425</v>
      </c>
      <c r="K288" s="3373">
        <v>1818</v>
      </c>
      <c r="L288" s="3374">
        <v>6288</v>
      </c>
      <c r="M288" s="3373">
        <v>9858</v>
      </c>
      <c r="N288" s="3375">
        <v>3845</v>
      </c>
      <c r="O288" s="3376">
        <f t="shared" si="5"/>
        <v>65916</v>
      </c>
      <c r="P288" s="3380">
        <v>50866</v>
      </c>
      <c r="Q288" s="3375">
        <v>988</v>
      </c>
      <c r="R288" s="3381">
        <v>164243</v>
      </c>
    </row>
    <row r="289" spans="1:18">
      <c r="A289" s="3368">
        <f t="shared" si="6"/>
        <v>2014.04</v>
      </c>
      <c r="B289" s="3369">
        <v>639812</v>
      </c>
      <c r="C289" s="3370"/>
      <c r="D289" s="3371"/>
      <c r="E289" s="3370"/>
      <c r="F289" s="3372">
        <v>3284</v>
      </c>
      <c r="G289" s="3373">
        <v>14103</v>
      </c>
      <c r="H289" s="3374">
        <v>7827</v>
      </c>
      <c r="I289" s="3373">
        <v>11264</v>
      </c>
      <c r="J289" s="3374">
        <v>6080</v>
      </c>
      <c r="K289" s="3373">
        <v>3131</v>
      </c>
      <c r="L289" s="3374">
        <v>6130</v>
      </c>
      <c r="M289" s="3373">
        <v>6320</v>
      </c>
      <c r="N289" s="3375">
        <v>2219</v>
      </c>
      <c r="O289" s="3376">
        <f t="shared" si="5"/>
        <v>60358</v>
      </c>
      <c r="P289" s="3380">
        <v>59910</v>
      </c>
      <c r="Q289" s="3375">
        <v>2974</v>
      </c>
      <c r="R289" s="3381">
        <v>169864</v>
      </c>
    </row>
    <row r="290" spans="1:18">
      <c r="A290" s="3368">
        <f t="shared" si="6"/>
        <v>2014.05</v>
      </c>
      <c r="B290" s="3369">
        <v>759726</v>
      </c>
      <c r="C290" s="3370"/>
      <c r="D290" s="3371"/>
      <c r="E290" s="3370"/>
      <c r="F290" s="3372">
        <v>2246</v>
      </c>
      <c r="G290" s="3373">
        <v>15998</v>
      </c>
      <c r="H290" s="3374">
        <v>13328</v>
      </c>
      <c r="I290" s="3373">
        <v>9816</v>
      </c>
      <c r="J290" s="3374">
        <v>10043</v>
      </c>
      <c r="K290" s="3373">
        <v>5758</v>
      </c>
      <c r="L290" s="3374">
        <v>4547</v>
      </c>
      <c r="M290" s="3373">
        <v>11851</v>
      </c>
      <c r="N290" s="3375">
        <v>1653</v>
      </c>
      <c r="O290" s="3376">
        <f t="shared" si="5"/>
        <v>75240</v>
      </c>
      <c r="P290" s="3380">
        <v>58053</v>
      </c>
      <c r="Q290" s="3375">
        <v>2465</v>
      </c>
      <c r="R290" s="3381">
        <v>191431</v>
      </c>
    </row>
    <row r="291" spans="1:18">
      <c r="A291" s="3368">
        <f t="shared" si="6"/>
        <v>2014.06</v>
      </c>
      <c r="B291" s="3369">
        <v>698100</v>
      </c>
      <c r="C291" s="3370"/>
      <c r="D291" s="3371"/>
      <c r="E291" s="3370"/>
      <c r="F291" s="3372">
        <v>3666</v>
      </c>
      <c r="G291" s="3373">
        <v>17666</v>
      </c>
      <c r="H291" s="3374">
        <v>9140</v>
      </c>
      <c r="I291" s="3373">
        <v>8859</v>
      </c>
      <c r="J291" s="3374">
        <v>7708</v>
      </c>
      <c r="K291" s="3373">
        <v>3022</v>
      </c>
      <c r="L291" s="3374">
        <v>3118</v>
      </c>
      <c r="M291" s="3373">
        <v>6991</v>
      </c>
      <c r="N291" s="3375">
        <v>2151</v>
      </c>
      <c r="O291" s="3376">
        <f t="shared" si="5"/>
        <v>62321</v>
      </c>
      <c r="P291" s="3380">
        <v>41620</v>
      </c>
      <c r="Q291" s="3375">
        <v>489</v>
      </c>
      <c r="R291" s="3381">
        <v>144590</v>
      </c>
    </row>
    <row r="292" spans="1:18">
      <c r="A292" s="3368">
        <f t="shared" si="6"/>
        <v>2014.07</v>
      </c>
      <c r="B292" s="3369">
        <v>742250</v>
      </c>
      <c r="C292" s="3370"/>
      <c r="D292" s="3371"/>
      <c r="E292" s="3370"/>
      <c r="F292" s="3372">
        <v>3775</v>
      </c>
      <c r="G292" s="3373">
        <v>13691</v>
      </c>
      <c r="H292" s="3374">
        <v>5163</v>
      </c>
      <c r="I292" s="3373">
        <v>19269</v>
      </c>
      <c r="J292" s="3374">
        <v>7218</v>
      </c>
      <c r="K292" s="3373">
        <v>9316</v>
      </c>
      <c r="L292" s="3374">
        <v>15571</v>
      </c>
      <c r="M292" s="3373">
        <v>16258</v>
      </c>
      <c r="N292" s="3375">
        <v>4005</v>
      </c>
      <c r="O292" s="3376">
        <f t="shared" si="5"/>
        <v>94266</v>
      </c>
      <c r="P292" s="3380">
        <v>52148</v>
      </c>
      <c r="Q292" s="3375">
        <v>5898</v>
      </c>
      <c r="R292" s="3381">
        <v>201408</v>
      </c>
    </row>
    <row r="293" spans="1:18">
      <c r="A293" s="3368">
        <f t="shared" si="6"/>
        <v>2014.08</v>
      </c>
      <c r="B293" s="3369">
        <v>622859</v>
      </c>
      <c r="C293" s="3370"/>
      <c r="D293" s="3371"/>
      <c r="E293" s="3370"/>
      <c r="F293" s="3372">
        <v>773</v>
      </c>
      <c r="G293" s="3373">
        <v>11162</v>
      </c>
      <c r="H293" s="3374">
        <v>4864</v>
      </c>
      <c r="I293" s="3373">
        <v>12600</v>
      </c>
      <c r="J293" s="3374">
        <v>10116</v>
      </c>
      <c r="K293" s="3373">
        <v>5480</v>
      </c>
      <c r="L293" s="3374">
        <v>3961</v>
      </c>
      <c r="M293" s="3373">
        <v>9262</v>
      </c>
      <c r="N293" s="3375">
        <v>2144</v>
      </c>
      <c r="O293" s="3376">
        <f t="shared" si="5"/>
        <v>60362</v>
      </c>
      <c r="P293" s="3380">
        <v>36381</v>
      </c>
      <c r="Q293" s="3375">
        <v>468</v>
      </c>
      <c r="R293" s="3381">
        <v>140873</v>
      </c>
    </row>
    <row r="294" spans="1:18">
      <c r="A294" s="3368">
        <f t="shared" si="6"/>
        <v>2014.09</v>
      </c>
      <c r="B294" s="3369">
        <v>830391</v>
      </c>
      <c r="C294" s="3370"/>
      <c r="D294" s="3371"/>
      <c r="E294" s="3370"/>
      <c r="F294" s="3372">
        <v>2832</v>
      </c>
      <c r="G294" s="3373">
        <v>21652</v>
      </c>
      <c r="H294" s="3374">
        <v>8232</v>
      </c>
      <c r="I294" s="3373">
        <v>12374</v>
      </c>
      <c r="J294" s="3374">
        <v>6501</v>
      </c>
      <c r="K294" s="3373">
        <v>4436</v>
      </c>
      <c r="L294" s="3374">
        <v>4369</v>
      </c>
      <c r="M294" s="3373">
        <v>6427</v>
      </c>
      <c r="N294" s="3375">
        <v>5436</v>
      </c>
      <c r="O294" s="3376">
        <f t="shared" si="5"/>
        <v>72259</v>
      </c>
      <c r="P294" s="3380">
        <v>53041</v>
      </c>
      <c r="Q294" s="3375">
        <v>1390</v>
      </c>
      <c r="R294" s="3381">
        <v>162092</v>
      </c>
    </row>
    <row r="295" spans="1:18">
      <c r="A295" s="3368">
        <f t="shared" si="6"/>
        <v>2014.1</v>
      </c>
      <c r="B295" s="3369">
        <v>710762</v>
      </c>
      <c r="C295" s="3370"/>
      <c r="D295" s="3371"/>
      <c r="E295" s="3370"/>
      <c r="F295" s="3372">
        <v>3839</v>
      </c>
      <c r="G295" s="3373">
        <v>34999</v>
      </c>
      <c r="H295" s="3374">
        <v>9742</v>
      </c>
      <c r="I295" s="3373">
        <v>13966</v>
      </c>
      <c r="J295" s="3374">
        <v>9113</v>
      </c>
      <c r="K295" s="3373">
        <v>6607</v>
      </c>
      <c r="L295" s="3374">
        <v>5868</v>
      </c>
      <c r="M295" s="3373">
        <v>10808</v>
      </c>
      <c r="N295" s="3375">
        <v>3808</v>
      </c>
      <c r="O295" s="3376">
        <f t="shared" si="5"/>
        <v>98750</v>
      </c>
      <c r="P295" s="3380">
        <v>56022</v>
      </c>
      <c r="Q295" s="3375">
        <v>863</v>
      </c>
      <c r="R295" s="3381">
        <v>200378</v>
      </c>
    </row>
    <row r="296" spans="1:18">
      <c r="A296" s="3368">
        <f t="shared" si="6"/>
        <v>2014.11</v>
      </c>
      <c r="B296" s="3369">
        <v>675855</v>
      </c>
      <c r="C296" s="3370"/>
      <c r="D296" s="3371"/>
      <c r="E296" s="3370"/>
      <c r="F296" s="3372">
        <v>1616</v>
      </c>
      <c r="G296" s="3373">
        <v>8136</v>
      </c>
      <c r="H296" s="3374">
        <v>7597</v>
      </c>
      <c r="I296" s="3373">
        <v>8814</v>
      </c>
      <c r="J296" s="3374">
        <v>6368</v>
      </c>
      <c r="K296" s="3373">
        <v>6220</v>
      </c>
      <c r="L296" s="3374">
        <v>2493</v>
      </c>
      <c r="M296" s="3373">
        <v>9042</v>
      </c>
      <c r="N296" s="3375">
        <v>4439</v>
      </c>
      <c r="O296" s="3376">
        <f t="shared" si="5"/>
        <v>54725</v>
      </c>
      <c r="P296" s="3380">
        <v>63019</v>
      </c>
      <c r="Q296" s="3375">
        <v>881</v>
      </c>
      <c r="R296" s="3381">
        <v>150052</v>
      </c>
    </row>
    <row r="297" spans="1:18">
      <c r="A297" s="3368">
        <f t="shared" si="6"/>
        <v>2014.12</v>
      </c>
      <c r="B297" s="3369">
        <v>633966</v>
      </c>
      <c r="C297" s="3370"/>
      <c r="D297" s="3371"/>
      <c r="E297" s="3370"/>
      <c r="F297" s="3372">
        <v>2526</v>
      </c>
      <c r="G297" s="3373">
        <v>25409</v>
      </c>
      <c r="H297" s="3374">
        <v>4039</v>
      </c>
      <c r="I297" s="3373">
        <v>11760</v>
      </c>
      <c r="J297" s="3374">
        <v>6155</v>
      </c>
      <c r="K297" s="3373">
        <v>8539</v>
      </c>
      <c r="L297" s="3374">
        <v>3020</v>
      </c>
      <c r="M297" s="3373">
        <v>4637</v>
      </c>
      <c r="N297" s="3375">
        <v>4691</v>
      </c>
      <c r="O297" s="3376">
        <f t="shared" si="5"/>
        <v>70776</v>
      </c>
      <c r="P297" s="3380">
        <v>52996</v>
      </c>
      <c r="Q297" s="3375">
        <v>2213</v>
      </c>
      <c r="R297" s="3381">
        <v>165738</v>
      </c>
    </row>
    <row r="298" spans="1:18">
      <c r="A298" s="3368">
        <f t="shared" si="6"/>
        <v>2015.01</v>
      </c>
      <c r="B298" s="3369">
        <v>557686</v>
      </c>
      <c r="C298" s="3370"/>
      <c r="D298" s="3371"/>
      <c r="E298" s="3370"/>
      <c r="F298" s="3372">
        <v>10484</v>
      </c>
      <c r="G298" s="3373">
        <v>9213</v>
      </c>
      <c r="H298" s="3374">
        <v>1693</v>
      </c>
      <c r="I298" s="3373">
        <v>12353</v>
      </c>
      <c r="J298" s="3374">
        <v>8145</v>
      </c>
      <c r="K298" s="3373">
        <v>6529</v>
      </c>
      <c r="L298" s="3374">
        <v>4891</v>
      </c>
      <c r="M298" s="3373">
        <v>12076</v>
      </c>
      <c r="N298" s="3375">
        <v>3069</v>
      </c>
      <c r="O298" s="3376">
        <f t="shared" si="5"/>
        <v>68453</v>
      </c>
      <c r="P298" s="3380">
        <v>39087</v>
      </c>
      <c r="Q298" s="3375">
        <v>1270</v>
      </c>
      <c r="R298" s="3381">
        <v>148733</v>
      </c>
    </row>
    <row r="299" spans="1:18">
      <c r="A299" s="3368">
        <f t="shared" si="6"/>
        <v>2015.02</v>
      </c>
      <c r="B299" s="3369">
        <v>424985</v>
      </c>
      <c r="C299" s="3370"/>
      <c r="D299" s="3371"/>
      <c r="E299" s="3370"/>
      <c r="F299" s="3372">
        <v>3292</v>
      </c>
      <c r="G299" s="3373">
        <v>20808</v>
      </c>
      <c r="H299" s="3374">
        <v>6832</v>
      </c>
      <c r="I299" s="3373">
        <v>3380</v>
      </c>
      <c r="J299" s="3374">
        <v>4711</v>
      </c>
      <c r="K299" s="3373">
        <v>4375</v>
      </c>
      <c r="L299" s="3374">
        <v>3457</v>
      </c>
      <c r="M299" s="3373">
        <v>4418</v>
      </c>
      <c r="N299" s="3375">
        <v>2420</v>
      </c>
      <c r="O299" s="3376">
        <f t="shared" si="5"/>
        <v>53693</v>
      </c>
      <c r="P299" s="3380">
        <v>59845</v>
      </c>
      <c r="Q299" s="3375">
        <v>1784</v>
      </c>
      <c r="R299" s="3381">
        <v>151610</v>
      </c>
    </row>
    <row r="300" spans="1:18">
      <c r="A300" s="3368">
        <f t="shared" si="6"/>
        <v>2015.03</v>
      </c>
      <c r="B300" s="3369">
        <v>635100</v>
      </c>
      <c r="C300" s="3370"/>
      <c r="D300" s="3371"/>
      <c r="E300" s="3370"/>
      <c r="F300" s="3372">
        <v>1834</v>
      </c>
      <c r="G300" s="3373">
        <v>35009</v>
      </c>
      <c r="H300" s="3374">
        <v>4542</v>
      </c>
      <c r="I300" s="3373">
        <v>9182</v>
      </c>
      <c r="J300" s="3374">
        <v>4604</v>
      </c>
      <c r="K300" s="3373">
        <v>5604</v>
      </c>
      <c r="L300" s="3374">
        <v>14295</v>
      </c>
      <c r="M300" s="3373">
        <v>6824</v>
      </c>
      <c r="N300" s="3375">
        <v>1785</v>
      </c>
      <c r="O300" s="3376">
        <f t="shared" si="5"/>
        <v>83679</v>
      </c>
      <c r="P300" s="3380">
        <v>31077</v>
      </c>
      <c r="Q300" s="3375">
        <v>579</v>
      </c>
      <c r="R300" s="3381">
        <v>146369</v>
      </c>
    </row>
    <row r="301" spans="1:18">
      <c r="A301" s="3368">
        <f t="shared" si="6"/>
        <v>2015.04</v>
      </c>
      <c r="B301" s="3369">
        <v>573534</v>
      </c>
      <c r="C301" s="3370"/>
      <c r="D301" s="3371"/>
      <c r="E301" s="3370"/>
      <c r="F301" s="3372">
        <v>692</v>
      </c>
      <c r="G301" s="3373">
        <v>9019</v>
      </c>
      <c r="H301" s="3374">
        <v>8454</v>
      </c>
      <c r="I301" s="3373">
        <v>4931</v>
      </c>
      <c r="J301" s="3374">
        <v>5654</v>
      </c>
      <c r="K301" s="3373">
        <v>5489</v>
      </c>
      <c r="L301" s="3374">
        <v>3980</v>
      </c>
      <c r="M301" s="3373">
        <v>5660</v>
      </c>
      <c r="N301" s="3375">
        <v>4017</v>
      </c>
      <c r="O301" s="3376">
        <f t="shared" si="5"/>
        <v>47896</v>
      </c>
      <c r="P301" s="3380">
        <v>50730</v>
      </c>
      <c r="Q301" s="3375">
        <v>982</v>
      </c>
      <c r="R301" s="3381">
        <v>144377</v>
      </c>
    </row>
    <row r="302" spans="1:18">
      <c r="A302" s="3368">
        <f t="shared" si="6"/>
        <v>2015.05</v>
      </c>
      <c r="B302" s="3369">
        <v>569571</v>
      </c>
      <c r="C302" s="3370"/>
      <c r="D302" s="3371"/>
      <c r="E302" s="3370"/>
      <c r="F302" s="3372">
        <v>3289</v>
      </c>
      <c r="G302" s="3373">
        <v>13040</v>
      </c>
      <c r="H302" s="3374">
        <v>7346</v>
      </c>
      <c r="I302" s="3373">
        <v>12920</v>
      </c>
      <c r="J302" s="3374">
        <v>4114</v>
      </c>
      <c r="K302" s="3373">
        <v>7923</v>
      </c>
      <c r="L302" s="3374">
        <v>4527</v>
      </c>
      <c r="M302" s="3373">
        <v>6517</v>
      </c>
      <c r="N302" s="3375">
        <v>1380</v>
      </c>
      <c r="O302" s="3376">
        <f t="shared" si="5"/>
        <v>61056</v>
      </c>
      <c r="P302" s="3380">
        <v>142445</v>
      </c>
      <c r="Q302" s="3375">
        <v>1426</v>
      </c>
      <c r="R302" s="3381">
        <v>235468</v>
      </c>
    </row>
    <row r="303" spans="1:18">
      <c r="A303" s="3368">
        <f t="shared" si="6"/>
        <v>2015.06</v>
      </c>
      <c r="B303" s="3369">
        <v>570899</v>
      </c>
      <c r="C303" s="3370"/>
      <c r="D303" s="3371"/>
      <c r="E303" s="3370"/>
      <c r="F303" s="3372">
        <v>1465</v>
      </c>
      <c r="G303" s="3373">
        <v>10989</v>
      </c>
      <c r="H303" s="3374">
        <v>12635</v>
      </c>
      <c r="I303" s="3373">
        <v>15257</v>
      </c>
      <c r="J303" s="3374">
        <v>6264</v>
      </c>
      <c r="K303" s="3373">
        <v>7948</v>
      </c>
      <c r="L303" s="3374">
        <v>7290</v>
      </c>
      <c r="M303" s="3373">
        <v>4354</v>
      </c>
      <c r="N303" s="3375">
        <v>4244</v>
      </c>
      <c r="O303" s="3376">
        <f t="shared" si="5"/>
        <v>70446</v>
      </c>
      <c r="P303" s="3380">
        <v>52072</v>
      </c>
      <c r="Q303" s="3375">
        <v>1137</v>
      </c>
      <c r="R303" s="3381">
        <v>167592</v>
      </c>
    </row>
    <row r="304" spans="1:18">
      <c r="A304" s="3368">
        <f t="shared" si="6"/>
        <v>2015.07</v>
      </c>
      <c r="B304" s="3369">
        <v>712303</v>
      </c>
      <c r="C304" s="3370"/>
      <c r="D304" s="3371"/>
      <c r="E304" s="3370"/>
      <c r="F304" s="3372">
        <v>1676</v>
      </c>
      <c r="G304" s="3373">
        <v>14576</v>
      </c>
      <c r="H304" s="3374">
        <v>6652</v>
      </c>
      <c r="I304" s="3373">
        <v>11598</v>
      </c>
      <c r="J304" s="3374">
        <v>19504</v>
      </c>
      <c r="K304" s="3373">
        <v>9472</v>
      </c>
      <c r="L304" s="3374">
        <v>4963</v>
      </c>
      <c r="M304" s="3373">
        <v>7042</v>
      </c>
      <c r="N304" s="3375">
        <v>1811</v>
      </c>
      <c r="O304" s="3376">
        <f t="shared" si="5"/>
        <v>77294</v>
      </c>
      <c r="P304" s="3380">
        <v>46625</v>
      </c>
      <c r="Q304" s="3375">
        <v>801</v>
      </c>
      <c r="R304" s="3381">
        <v>180213</v>
      </c>
    </row>
    <row r="305" spans="1:18">
      <c r="A305" s="3368">
        <f t="shared" si="6"/>
        <v>2015.08</v>
      </c>
      <c r="B305" s="3369">
        <v>606585</v>
      </c>
      <c r="C305" s="3370"/>
      <c r="D305" s="3371"/>
      <c r="E305" s="3370"/>
      <c r="F305" s="3372">
        <v>3016</v>
      </c>
      <c r="G305" s="3373">
        <v>22353</v>
      </c>
      <c r="H305" s="3374">
        <v>5170</v>
      </c>
      <c r="I305" s="3373">
        <v>13165</v>
      </c>
      <c r="J305" s="3374">
        <v>9089</v>
      </c>
      <c r="K305" s="3373">
        <v>4605</v>
      </c>
      <c r="L305" s="3374">
        <v>3893</v>
      </c>
      <c r="M305" s="3373">
        <v>11873</v>
      </c>
      <c r="N305" s="3375">
        <v>2969</v>
      </c>
      <c r="O305" s="3376">
        <f t="shared" si="5"/>
        <v>76133</v>
      </c>
      <c r="P305" s="3380">
        <v>37806</v>
      </c>
      <c r="Q305" s="3375">
        <v>1781</v>
      </c>
      <c r="R305" s="3381">
        <v>166706</v>
      </c>
    </row>
    <row r="306" spans="1:18">
      <c r="A306" s="3368">
        <f t="shared" si="6"/>
        <v>2015.09</v>
      </c>
      <c r="B306" s="3369">
        <v>715250</v>
      </c>
      <c r="C306" s="3370"/>
      <c r="D306" s="3371"/>
      <c r="E306" s="3370"/>
      <c r="F306" s="3372">
        <v>5474</v>
      </c>
      <c r="G306" s="3373">
        <v>21086</v>
      </c>
      <c r="H306" s="3374">
        <v>7976</v>
      </c>
      <c r="I306" s="3373">
        <v>15365</v>
      </c>
      <c r="J306" s="3374">
        <v>8228</v>
      </c>
      <c r="K306" s="3373">
        <v>6366</v>
      </c>
      <c r="L306" s="3374">
        <v>4628</v>
      </c>
      <c r="M306" s="3373">
        <v>4255</v>
      </c>
      <c r="N306" s="3375">
        <v>2338</v>
      </c>
      <c r="O306" s="3376">
        <f t="shared" si="5"/>
        <v>75716</v>
      </c>
      <c r="P306" s="3380">
        <v>56648</v>
      </c>
      <c r="Q306" s="3375">
        <v>514</v>
      </c>
      <c r="R306" s="3381">
        <v>165325</v>
      </c>
    </row>
    <row r="307" spans="1:18">
      <c r="A307" s="3368">
        <f t="shared" si="6"/>
        <v>2015.1</v>
      </c>
      <c r="B307" s="3369">
        <v>691207</v>
      </c>
      <c r="C307" s="3370"/>
      <c r="D307" s="3371"/>
      <c r="E307" s="3370"/>
      <c r="F307" s="3372">
        <v>2252</v>
      </c>
      <c r="G307" s="3373">
        <v>39521</v>
      </c>
      <c r="H307" s="3374">
        <v>5864</v>
      </c>
      <c r="I307" s="3373">
        <v>10360</v>
      </c>
      <c r="J307" s="3374">
        <v>5796</v>
      </c>
      <c r="K307" s="3373">
        <v>9595</v>
      </c>
      <c r="L307" s="3374">
        <v>4780</v>
      </c>
      <c r="M307" s="3373">
        <v>4295</v>
      </c>
      <c r="N307" s="3375">
        <v>9667</v>
      </c>
      <c r="O307" s="3376">
        <f t="shared" si="5"/>
        <v>92130</v>
      </c>
      <c r="P307" s="3380">
        <v>59524</v>
      </c>
      <c r="Q307" s="3375">
        <v>4458</v>
      </c>
      <c r="R307" s="3381">
        <v>201002</v>
      </c>
    </row>
    <row r="308" spans="1:18">
      <c r="A308" s="3368">
        <f t="shared" si="6"/>
        <v>2015.11</v>
      </c>
      <c r="B308" s="3369">
        <v>656371</v>
      </c>
      <c r="C308" s="3370"/>
      <c r="D308" s="3371"/>
      <c r="E308" s="3370"/>
      <c r="F308" s="3372">
        <v>1516</v>
      </c>
      <c r="G308" s="3373">
        <v>18350</v>
      </c>
      <c r="H308" s="3374">
        <v>3219</v>
      </c>
      <c r="I308" s="3373">
        <v>18365</v>
      </c>
      <c r="J308" s="3374">
        <v>9302</v>
      </c>
      <c r="K308" s="3373">
        <v>5398</v>
      </c>
      <c r="L308" s="3374">
        <v>3921</v>
      </c>
      <c r="M308" s="3373">
        <v>2483</v>
      </c>
      <c r="N308" s="3375">
        <v>1460</v>
      </c>
      <c r="O308" s="3376">
        <f t="shared" si="5"/>
        <v>64014</v>
      </c>
      <c r="P308" s="3380">
        <v>46774</v>
      </c>
      <c r="Q308" s="3375">
        <v>716</v>
      </c>
      <c r="R308" s="3381">
        <v>144715</v>
      </c>
    </row>
    <row r="309" spans="1:18">
      <c r="A309" s="3368">
        <f t="shared" si="6"/>
        <v>2015.12</v>
      </c>
      <c r="B309" s="3369">
        <v>537079</v>
      </c>
      <c r="C309" s="3370"/>
      <c r="D309" s="3371"/>
      <c r="E309" s="3370"/>
      <c r="F309" s="3372">
        <v>1636</v>
      </c>
      <c r="G309" s="3373">
        <v>13382</v>
      </c>
      <c r="H309" s="3374">
        <v>7618</v>
      </c>
      <c r="I309" s="3373">
        <v>4252</v>
      </c>
      <c r="J309" s="3374">
        <v>6388</v>
      </c>
      <c r="K309" s="3373">
        <v>4197</v>
      </c>
      <c r="L309" s="3374">
        <v>2796</v>
      </c>
      <c r="M309" s="3373">
        <v>4130</v>
      </c>
      <c r="N309" s="3375">
        <v>1298</v>
      </c>
      <c r="O309" s="3376">
        <f t="shared" si="5"/>
        <v>45697</v>
      </c>
      <c r="P309" s="3380">
        <v>46654</v>
      </c>
      <c r="Q309" s="3375">
        <v>1536</v>
      </c>
      <c r="R309" s="3381">
        <v>131797</v>
      </c>
    </row>
    <row r="310" spans="1:18">
      <c r="A310" s="3368">
        <f t="shared" si="6"/>
        <v>2016.01</v>
      </c>
      <c r="B310" s="3369">
        <v>523028</v>
      </c>
      <c r="C310" s="3385">
        <v>602223.80994375388</v>
      </c>
      <c r="D310" s="3386"/>
      <c r="E310" s="3387"/>
      <c r="F310" s="3372">
        <v>1925</v>
      </c>
      <c r="G310" s="3373">
        <v>10462</v>
      </c>
      <c r="H310" s="3374">
        <v>0</v>
      </c>
      <c r="I310" s="3373">
        <v>5264</v>
      </c>
      <c r="J310" s="3374">
        <v>6046</v>
      </c>
      <c r="K310" s="3373">
        <v>5453</v>
      </c>
      <c r="L310" s="3374">
        <v>2429</v>
      </c>
      <c r="M310" s="3373">
        <v>2115</v>
      </c>
      <c r="N310" s="3375">
        <v>803</v>
      </c>
      <c r="O310" s="3376">
        <f t="shared" si="5"/>
        <v>34497</v>
      </c>
      <c r="P310" s="3380">
        <v>85463</v>
      </c>
      <c r="Q310" s="3375">
        <v>0</v>
      </c>
      <c r="R310" s="3381">
        <v>145070</v>
      </c>
    </row>
    <row r="311" spans="1:18">
      <c r="A311" s="3368">
        <f t="shared" si="6"/>
        <v>2016.02</v>
      </c>
      <c r="B311" s="3369">
        <v>505458</v>
      </c>
      <c r="C311" s="3388">
        <v>595119.93187973055</v>
      </c>
      <c r="D311" s="3371"/>
      <c r="E311" s="3370"/>
      <c r="F311" s="3372">
        <v>3129</v>
      </c>
      <c r="G311" s="3373">
        <v>29286</v>
      </c>
      <c r="H311" s="3374">
        <v>8761</v>
      </c>
      <c r="I311" s="3373">
        <v>4991</v>
      </c>
      <c r="J311" s="3374">
        <v>4646</v>
      </c>
      <c r="K311" s="3373">
        <v>3551</v>
      </c>
      <c r="L311" s="3374">
        <v>1818</v>
      </c>
      <c r="M311" s="3373">
        <v>3810</v>
      </c>
      <c r="N311" s="3375">
        <v>1153</v>
      </c>
      <c r="O311" s="3376">
        <f t="shared" si="5"/>
        <v>61145</v>
      </c>
      <c r="P311" s="3380">
        <v>32310</v>
      </c>
      <c r="Q311" s="3375">
        <v>396</v>
      </c>
      <c r="R311" s="3381">
        <v>113210</v>
      </c>
    </row>
    <row r="312" spans="1:18">
      <c r="A312" s="3368">
        <f t="shared" si="6"/>
        <v>2016.03</v>
      </c>
      <c r="B312" s="3369">
        <v>562223</v>
      </c>
      <c r="C312" s="3388">
        <v>649998.92163738632</v>
      </c>
      <c r="D312" s="3371"/>
      <c r="E312" s="3370"/>
      <c r="F312" s="3372">
        <v>1385</v>
      </c>
      <c r="G312" s="3373">
        <v>18080</v>
      </c>
      <c r="H312" s="3374">
        <v>8844</v>
      </c>
      <c r="I312" s="3373">
        <v>10464</v>
      </c>
      <c r="J312" s="3374">
        <v>3413</v>
      </c>
      <c r="K312" s="3373">
        <v>9318</v>
      </c>
      <c r="L312" s="3374">
        <v>4104</v>
      </c>
      <c r="M312" s="3373">
        <v>2353</v>
      </c>
      <c r="N312" s="3375">
        <v>3041</v>
      </c>
      <c r="O312" s="3376">
        <f t="shared" si="5"/>
        <v>61002</v>
      </c>
      <c r="P312" s="3380">
        <v>57336</v>
      </c>
      <c r="Q312" s="3375">
        <v>484</v>
      </c>
      <c r="R312" s="3381">
        <v>213115</v>
      </c>
    </row>
    <row r="313" spans="1:18">
      <c r="A313" s="3368">
        <f t="shared" si="6"/>
        <v>2016.04</v>
      </c>
      <c r="B313" s="3369">
        <v>593770</v>
      </c>
      <c r="C313" s="3388">
        <v>669579.6991875564</v>
      </c>
      <c r="D313" s="3371"/>
      <c r="E313" s="3370"/>
      <c r="F313" s="3372">
        <v>1901</v>
      </c>
      <c r="G313" s="3373">
        <v>7288</v>
      </c>
      <c r="H313" s="3374">
        <v>15661</v>
      </c>
      <c r="I313" s="3373">
        <v>10785</v>
      </c>
      <c r="J313" s="3374">
        <v>6046</v>
      </c>
      <c r="K313" s="3373">
        <v>6026</v>
      </c>
      <c r="L313" s="3374">
        <v>7420</v>
      </c>
      <c r="M313" s="3373">
        <v>5660</v>
      </c>
      <c r="N313" s="3375">
        <v>3798</v>
      </c>
      <c r="O313" s="3376">
        <f t="shared" si="5"/>
        <v>64585</v>
      </c>
      <c r="P313" s="3380">
        <v>27351</v>
      </c>
      <c r="Q313" s="3375">
        <v>4452</v>
      </c>
      <c r="R313" s="3381">
        <v>135498</v>
      </c>
    </row>
    <row r="314" spans="1:18">
      <c r="A314" s="3368">
        <f t="shared" si="6"/>
        <v>2016.05</v>
      </c>
      <c r="B314" s="3369">
        <v>626842</v>
      </c>
      <c r="C314" s="3388">
        <v>721921.42469272972</v>
      </c>
      <c r="D314" s="3371"/>
      <c r="E314" s="3370"/>
      <c r="F314" s="3372">
        <v>4562</v>
      </c>
      <c r="G314" s="3373">
        <v>15643</v>
      </c>
      <c r="H314" s="3374">
        <v>11899</v>
      </c>
      <c r="I314" s="3373">
        <v>10181</v>
      </c>
      <c r="J314" s="3374">
        <v>8202</v>
      </c>
      <c r="K314" s="3373">
        <v>7306</v>
      </c>
      <c r="L314" s="3374">
        <v>5995</v>
      </c>
      <c r="M314" s="3373">
        <v>2230</v>
      </c>
      <c r="N314" s="3375">
        <v>1177</v>
      </c>
      <c r="O314" s="3376">
        <f t="shared" si="5"/>
        <v>67195</v>
      </c>
      <c r="P314" s="3380">
        <v>45014</v>
      </c>
      <c r="Q314" s="3375">
        <v>556</v>
      </c>
      <c r="R314" s="3381">
        <v>150144</v>
      </c>
    </row>
    <row r="315" spans="1:18">
      <c r="A315" s="3368">
        <f t="shared" si="6"/>
        <v>2016.06</v>
      </c>
      <c r="B315" s="3369">
        <v>604387</v>
      </c>
      <c r="C315" s="3388">
        <v>697648.63933060202</v>
      </c>
      <c r="D315" s="3371"/>
      <c r="E315" s="3370"/>
      <c r="F315" s="3372">
        <v>1647</v>
      </c>
      <c r="G315" s="3373">
        <v>20866</v>
      </c>
      <c r="H315" s="3374">
        <v>11469</v>
      </c>
      <c r="I315" s="3373">
        <v>13623</v>
      </c>
      <c r="J315" s="3374">
        <v>9241</v>
      </c>
      <c r="K315" s="3373">
        <v>4727</v>
      </c>
      <c r="L315" s="3374">
        <v>6083</v>
      </c>
      <c r="M315" s="3373">
        <v>5640</v>
      </c>
      <c r="N315" s="3375">
        <v>4053</v>
      </c>
      <c r="O315" s="3376">
        <f t="shared" si="5"/>
        <v>77349</v>
      </c>
      <c r="P315" s="3380">
        <v>84108</v>
      </c>
      <c r="Q315" s="3375">
        <v>1628</v>
      </c>
      <c r="R315" s="3381">
        <v>209170</v>
      </c>
    </row>
    <row r="316" spans="1:18">
      <c r="A316" s="3368">
        <f t="shared" si="6"/>
        <v>2016.07</v>
      </c>
      <c r="B316" s="3369">
        <v>520073</v>
      </c>
      <c r="C316" s="3388">
        <v>598065.7826539824</v>
      </c>
      <c r="D316" s="3371"/>
      <c r="E316" s="3370"/>
      <c r="F316" s="3372">
        <v>1048</v>
      </c>
      <c r="G316" s="3373">
        <v>11994</v>
      </c>
      <c r="H316" s="3374">
        <v>8009</v>
      </c>
      <c r="I316" s="3373">
        <v>5023</v>
      </c>
      <c r="J316" s="3374">
        <v>5130</v>
      </c>
      <c r="K316" s="3373">
        <v>6344</v>
      </c>
      <c r="L316" s="3374">
        <v>3178</v>
      </c>
      <c r="M316" s="3373">
        <v>2619</v>
      </c>
      <c r="N316" s="3375">
        <v>2504</v>
      </c>
      <c r="O316" s="3376">
        <f t="shared" si="5"/>
        <v>45849</v>
      </c>
      <c r="P316" s="3380">
        <v>41717</v>
      </c>
      <c r="Q316" s="3375">
        <v>1905</v>
      </c>
      <c r="R316" s="3381">
        <v>126981</v>
      </c>
    </row>
    <row r="317" spans="1:18">
      <c r="A317" s="3368">
        <f t="shared" si="6"/>
        <v>2016.08</v>
      </c>
      <c r="B317" s="3369">
        <v>617452</v>
      </c>
      <c r="C317" s="3388">
        <v>701478.7137698771</v>
      </c>
      <c r="D317" s="3371"/>
      <c r="E317" s="3370"/>
      <c r="F317" s="3372">
        <v>3067</v>
      </c>
      <c r="G317" s="3373">
        <v>5381</v>
      </c>
      <c r="H317" s="3374">
        <v>7197</v>
      </c>
      <c r="I317" s="3373">
        <v>6912</v>
      </c>
      <c r="J317" s="3374">
        <v>2924</v>
      </c>
      <c r="K317" s="3373">
        <v>6967</v>
      </c>
      <c r="L317" s="3374">
        <v>3320</v>
      </c>
      <c r="M317" s="3373">
        <v>4771</v>
      </c>
      <c r="N317" s="3375">
        <v>1669</v>
      </c>
      <c r="O317" s="3376">
        <f t="shared" si="5"/>
        <v>42208</v>
      </c>
      <c r="P317" s="3380">
        <v>73696</v>
      </c>
      <c r="Q317" s="3375">
        <v>4424</v>
      </c>
      <c r="R317" s="3381">
        <v>167156</v>
      </c>
    </row>
    <row r="318" spans="1:18">
      <c r="A318" s="3368">
        <f t="shared" si="6"/>
        <v>2016.09</v>
      </c>
      <c r="B318" s="3369">
        <v>546611</v>
      </c>
      <c r="C318" s="3388">
        <v>611463.87264773273</v>
      </c>
      <c r="D318" s="3371"/>
      <c r="E318" s="3370"/>
      <c r="F318" s="3372">
        <v>3302</v>
      </c>
      <c r="G318" s="3373">
        <v>7090</v>
      </c>
      <c r="H318" s="3374">
        <v>9863</v>
      </c>
      <c r="I318" s="3373">
        <v>7803</v>
      </c>
      <c r="J318" s="3374">
        <v>6747</v>
      </c>
      <c r="K318" s="3373">
        <v>7632</v>
      </c>
      <c r="L318" s="3374">
        <v>2090</v>
      </c>
      <c r="M318" s="3373">
        <v>2620</v>
      </c>
      <c r="N318" s="3375">
        <v>2781</v>
      </c>
      <c r="O318" s="3376">
        <f t="shared" si="5"/>
        <v>49928</v>
      </c>
      <c r="P318" s="3380">
        <v>32767</v>
      </c>
      <c r="Q318" s="3375">
        <v>3428</v>
      </c>
      <c r="R318" s="3381">
        <v>125343</v>
      </c>
    </row>
    <row r="319" spans="1:18">
      <c r="A319" s="3368">
        <f t="shared" si="6"/>
        <v>2016.1</v>
      </c>
      <c r="B319" s="3369">
        <v>637897</v>
      </c>
      <c r="C319" s="3388">
        <v>694960.76446080138</v>
      </c>
      <c r="D319" s="3371"/>
      <c r="E319" s="3370"/>
      <c r="F319" s="3372">
        <v>3190</v>
      </c>
      <c r="G319" s="3373">
        <v>11352</v>
      </c>
      <c r="H319" s="3374">
        <v>9201</v>
      </c>
      <c r="I319" s="3373">
        <v>6864</v>
      </c>
      <c r="J319" s="3374">
        <v>4284</v>
      </c>
      <c r="K319" s="3373">
        <v>5328</v>
      </c>
      <c r="L319" s="3374">
        <v>5747</v>
      </c>
      <c r="M319" s="3373">
        <v>3200</v>
      </c>
      <c r="N319" s="3375">
        <v>3938</v>
      </c>
      <c r="O319" s="3376">
        <f t="shared" si="5"/>
        <v>53104</v>
      </c>
      <c r="P319" s="3380">
        <v>30080</v>
      </c>
      <c r="Q319" s="3375">
        <v>4993</v>
      </c>
      <c r="R319" s="3381">
        <v>128517</v>
      </c>
    </row>
    <row r="320" spans="1:18">
      <c r="A320" s="3368">
        <f t="shared" si="6"/>
        <v>2016.11</v>
      </c>
      <c r="B320" s="3369">
        <v>549738</v>
      </c>
      <c r="C320" s="3388">
        <v>635725.77598777856</v>
      </c>
      <c r="D320" s="3371"/>
      <c r="E320" s="3370"/>
      <c r="F320" s="3372">
        <v>2102</v>
      </c>
      <c r="G320" s="3373">
        <v>13143</v>
      </c>
      <c r="H320" s="3374">
        <v>4694</v>
      </c>
      <c r="I320" s="3373">
        <v>7110</v>
      </c>
      <c r="J320" s="3374">
        <v>5492</v>
      </c>
      <c r="K320" s="3373">
        <v>3979</v>
      </c>
      <c r="L320" s="3374">
        <v>1702</v>
      </c>
      <c r="M320" s="3373">
        <v>3521</v>
      </c>
      <c r="N320" s="3375">
        <v>1237</v>
      </c>
      <c r="O320" s="3376">
        <f t="shared" si="5"/>
        <v>42980</v>
      </c>
      <c r="P320" s="3380">
        <v>67734</v>
      </c>
      <c r="Q320" s="3375">
        <v>452</v>
      </c>
      <c r="R320" s="3381">
        <v>147469</v>
      </c>
    </row>
    <row r="321" spans="1:18">
      <c r="A321" s="3368">
        <f t="shared" si="6"/>
        <v>2016.12</v>
      </c>
      <c r="B321" s="3369">
        <v>614505</v>
      </c>
      <c r="C321" s="3388">
        <v>707605</v>
      </c>
      <c r="D321" s="3371"/>
      <c r="E321" s="3370"/>
      <c r="F321" s="3372">
        <v>1662</v>
      </c>
      <c r="G321" s="3373">
        <v>15074</v>
      </c>
      <c r="H321" s="3374">
        <v>8224</v>
      </c>
      <c r="I321" s="3373">
        <v>10673</v>
      </c>
      <c r="J321" s="3374">
        <v>8649</v>
      </c>
      <c r="K321" s="3373">
        <v>4747</v>
      </c>
      <c r="L321" s="3374">
        <v>3712</v>
      </c>
      <c r="M321" s="3373">
        <v>2699</v>
      </c>
      <c r="N321" s="3375">
        <v>2100</v>
      </c>
      <c r="O321" s="3376">
        <f t="shared" si="5"/>
        <v>57540</v>
      </c>
      <c r="P321" s="3380">
        <v>70679</v>
      </c>
      <c r="Q321" s="3375">
        <v>12106</v>
      </c>
      <c r="R321" s="3381">
        <v>193647</v>
      </c>
    </row>
    <row r="322" spans="1:18">
      <c r="A322" s="3368">
        <f t="shared" si="6"/>
        <v>2017.01</v>
      </c>
      <c r="B322" s="3369">
        <v>590799</v>
      </c>
      <c r="C322" s="3388">
        <v>668332</v>
      </c>
      <c r="D322" s="3371"/>
      <c r="E322" s="3370"/>
      <c r="F322" s="3372">
        <v>2157</v>
      </c>
      <c r="G322" s="3373">
        <v>31091</v>
      </c>
      <c r="H322" s="3374">
        <v>0</v>
      </c>
      <c r="I322" s="3373">
        <v>7899</v>
      </c>
      <c r="J322" s="3374">
        <v>1207</v>
      </c>
      <c r="K322" s="3373">
        <v>4052</v>
      </c>
      <c r="L322" s="3374">
        <v>3603</v>
      </c>
      <c r="M322" s="3373">
        <v>2903</v>
      </c>
      <c r="N322" s="3375">
        <v>2400</v>
      </c>
      <c r="O322" s="3376">
        <f t="shared" si="5"/>
        <v>55312</v>
      </c>
      <c r="P322" s="3380">
        <v>56510</v>
      </c>
      <c r="Q322" s="3375">
        <v>6521</v>
      </c>
      <c r="R322" s="3381">
        <v>165361</v>
      </c>
    </row>
    <row r="323" spans="1:18">
      <c r="A323" s="3368">
        <f t="shared" si="6"/>
        <v>2017.02</v>
      </c>
      <c r="B323" s="3369">
        <v>409336</v>
      </c>
      <c r="C323" s="3388">
        <v>503078</v>
      </c>
      <c r="D323" s="3371"/>
      <c r="E323" s="3370"/>
      <c r="F323" s="3372">
        <v>854</v>
      </c>
      <c r="G323" s="3373">
        <v>3875</v>
      </c>
      <c r="H323" s="3374">
        <v>5643</v>
      </c>
      <c r="I323" s="3373">
        <v>9901</v>
      </c>
      <c r="J323" s="3374">
        <v>3535</v>
      </c>
      <c r="K323" s="3373">
        <v>3228</v>
      </c>
      <c r="L323" s="3374">
        <v>2729</v>
      </c>
      <c r="M323" s="3373">
        <v>3468</v>
      </c>
      <c r="N323" s="3375">
        <v>13046</v>
      </c>
      <c r="O323" s="3376">
        <f t="shared" si="5"/>
        <v>46279</v>
      </c>
      <c r="P323" s="3380">
        <v>29836</v>
      </c>
      <c r="Q323" s="3375">
        <v>2402</v>
      </c>
      <c r="R323" s="3381">
        <v>124194</v>
      </c>
    </row>
    <row r="324" spans="1:18">
      <c r="A324" s="3368">
        <f t="shared" si="6"/>
        <v>2017.03</v>
      </c>
      <c r="B324" s="3369">
        <v>550349</v>
      </c>
      <c r="C324" s="3388">
        <v>631494</v>
      </c>
      <c r="D324" s="3371"/>
      <c r="E324" s="3370"/>
      <c r="F324" s="3372">
        <v>1565</v>
      </c>
      <c r="G324" s="3373">
        <v>16602</v>
      </c>
      <c r="H324" s="3374">
        <v>5086</v>
      </c>
      <c r="I324" s="3373">
        <v>5029</v>
      </c>
      <c r="J324" s="3374">
        <v>5471</v>
      </c>
      <c r="K324" s="3373">
        <v>8114</v>
      </c>
      <c r="L324" s="3374">
        <v>671</v>
      </c>
      <c r="M324" s="3373">
        <v>1624</v>
      </c>
      <c r="N324" s="3375">
        <v>2949</v>
      </c>
      <c r="O324" s="3376">
        <f t="shared" si="5"/>
        <v>47111</v>
      </c>
      <c r="P324" s="3380">
        <v>41925</v>
      </c>
      <c r="Q324" s="3375">
        <v>13173</v>
      </c>
      <c r="R324" s="3381">
        <v>222618</v>
      </c>
    </row>
    <row r="325" spans="1:18">
      <c r="A325" s="3368">
        <f t="shared" si="6"/>
        <v>2017.04</v>
      </c>
      <c r="B325" s="3369">
        <v>655231</v>
      </c>
      <c r="C325" s="3388">
        <v>742920.67</v>
      </c>
      <c r="D325" s="3371"/>
      <c r="E325" s="3370"/>
      <c r="F325" s="3372">
        <v>1850</v>
      </c>
      <c r="G325" s="3373">
        <v>31791</v>
      </c>
      <c r="H325" s="3374">
        <v>3735</v>
      </c>
      <c r="I325" s="3373">
        <v>4587</v>
      </c>
      <c r="J325" s="3374">
        <v>3850</v>
      </c>
      <c r="K325" s="3373">
        <v>16978</v>
      </c>
      <c r="L325" s="3374">
        <v>1558</v>
      </c>
      <c r="M325" s="3373">
        <v>4604</v>
      </c>
      <c r="N325" s="3375">
        <v>2015</v>
      </c>
      <c r="O325" s="3376">
        <f t="shared" si="5"/>
        <v>70968</v>
      </c>
      <c r="P325" s="3380">
        <v>23785</v>
      </c>
      <c r="Q325" s="3375">
        <v>720</v>
      </c>
      <c r="R325" s="3381">
        <v>172570</v>
      </c>
    </row>
    <row r="326" spans="1:18">
      <c r="A326" s="3368">
        <f t="shared" si="6"/>
        <v>2017.05</v>
      </c>
      <c r="B326" s="3369">
        <v>809104</v>
      </c>
      <c r="C326" s="3388">
        <v>923002</v>
      </c>
      <c r="D326" s="3371"/>
      <c r="E326" s="3370"/>
      <c r="F326" s="3372">
        <v>4205</v>
      </c>
      <c r="G326" s="3373">
        <v>15677</v>
      </c>
      <c r="H326" s="3374">
        <v>5164</v>
      </c>
      <c r="I326" s="3373">
        <v>11269</v>
      </c>
      <c r="J326" s="3374">
        <v>4219</v>
      </c>
      <c r="K326" s="3373">
        <v>6534</v>
      </c>
      <c r="L326" s="3374">
        <v>1848</v>
      </c>
      <c r="M326" s="3373">
        <v>5299</v>
      </c>
      <c r="N326" s="3375">
        <v>1151</v>
      </c>
      <c r="O326" s="3376">
        <f t="shared" si="5"/>
        <v>55366</v>
      </c>
      <c r="P326" s="3380">
        <v>53136</v>
      </c>
      <c r="Q326" s="3375">
        <v>680</v>
      </c>
      <c r="R326" s="3381">
        <v>170245</v>
      </c>
    </row>
    <row r="327" spans="1:18">
      <c r="A327" s="3368">
        <f t="shared" si="6"/>
        <v>2017.06</v>
      </c>
      <c r="B327" s="3369">
        <v>614234</v>
      </c>
      <c r="C327" s="3388">
        <v>744776</v>
      </c>
      <c r="D327" s="3371"/>
      <c r="E327" s="3370"/>
      <c r="F327" s="3372">
        <v>3396</v>
      </c>
      <c r="G327" s="3373">
        <v>12328</v>
      </c>
      <c r="H327" s="3374">
        <v>4898</v>
      </c>
      <c r="I327" s="3373">
        <v>8405</v>
      </c>
      <c r="J327" s="3374">
        <v>4798</v>
      </c>
      <c r="K327" s="3373">
        <v>9872</v>
      </c>
      <c r="L327" s="3374">
        <v>4405</v>
      </c>
      <c r="M327" s="3373">
        <v>1586</v>
      </c>
      <c r="N327" s="3375">
        <v>2894</v>
      </c>
      <c r="O327" s="3376">
        <f t="shared" si="5"/>
        <v>52582</v>
      </c>
      <c r="P327" s="3380">
        <v>48962</v>
      </c>
      <c r="Q327" s="3375">
        <v>1315</v>
      </c>
      <c r="R327" s="3381">
        <v>162832</v>
      </c>
    </row>
    <row r="328" spans="1:18">
      <c r="A328" s="3368">
        <f t="shared" si="6"/>
        <v>2017.07</v>
      </c>
      <c r="B328" s="3369">
        <v>672648</v>
      </c>
      <c r="C328" s="3388">
        <v>812534.0166666666</v>
      </c>
      <c r="D328" s="3371"/>
      <c r="E328" s="3370"/>
      <c r="F328" s="3372">
        <v>1293</v>
      </c>
      <c r="G328" s="3373">
        <v>15159</v>
      </c>
      <c r="H328" s="3374">
        <v>5005</v>
      </c>
      <c r="I328" s="3373">
        <v>5420</v>
      </c>
      <c r="J328" s="3374">
        <v>6728</v>
      </c>
      <c r="K328" s="3373">
        <v>6235</v>
      </c>
      <c r="L328" s="3374">
        <v>934</v>
      </c>
      <c r="M328" s="3373">
        <v>1191</v>
      </c>
      <c r="N328" s="3375">
        <v>1194</v>
      </c>
      <c r="O328" s="3376">
        <f t="shared" si="5"/>
        <v>43159</v>
      </c>
      <c r="P328" s="3380">
        <v>68192</v>
      </c>
      <c r="Q328" s="3375">
        <v>1898</v>
      </c>
      <c r="R328" s="3381">
        <v>197038</v>
      </c>
    </row>
    <row r="329" spans="1:18">
      <c r="A329" s="3368">
        <f t="shared" si="6"/>
        <v>2017.08</v>
      </c>
      <c r="B329" s="3369">
        <v>752429</v>
      </c>
      <c r="C329" s="3388">
        <v>842784.55</v>
      </c>
      <c r="D329" s="3371"/>
      <c r="E329" s="3370"/>
      <c r="F329" s="3372">
        <v>2953</v>
      </c>
      <c r="G329" s="3373">
        <v>7458</v>
      </c>
      <c r="H329" s="3374">
        <v>6902</v>
      </c>
      <c r="I329" s="3373">
        <v>11444</v>
      </c>
      <c r="J329" s="3374">
        <v>9688</v>
      </c>
      <c r="K329" s="3373">
        <v>6595</v>
      </c>
      <c r="L329" s="3374">
        <v>1401</v>
      </c>
      <c r="M329" s="3373">
        <v>2873</v>
      </c>
      <c r="N329" s="3375">
        <v>3757</v>
      </c>
      <c r="O329" s="3376">
        <f t="shared" si="5"/>
        <v>53071</v>
      </c>
      <c r="P329" s="3380">
        <v>60977</v>
      </c>
      <c r="Q329" s="3375">
        <v>4441</v>
      </c>
      <c r="R329" s="3381">
        <v>186336</v>
      </c>
    </row>
    <row r="330" spans="1:18">
      <c r="A330" s="3368">
        <f t="shared" si="6"/>
        <v>2017.09</v>
      </c>
      <c r="B330" s="3369">
        <v>601104</v>
      </c>
      <c r="C330" s="3388">
        <v>697827</v>
      </c>
      <c r="D330" s="3371"/>
      <c r="E330" s="3370"/>
      <c r="F330" s="3372">
        <v>2958</v>
      </c>
      <c r="G330" s="3373">
        <v>16594</v>
      </c>
      <c r="H330" s="3374">
        <v>8848</v>
      </c>
      <c r="I330" s="3373">
        <v>13725</v>
      </c>
      <c r="J330" s="3374">
        <v>3658</v>
      </c>
      <c r="K330" s="3373">
        <v>4607</v>
      </c>
      <c r="L330" s="3374">
        <v>3247</v>
      </c>
      <c r="M330" s="3373">
        <v>2069</v>
      </c>
      <c r="N330" s="3375">
        <v>1617</v>
      </c>
      <c r="O330" s="3376">
        <f t="shared" si="5"/>
        <v>57323</v>
      </c>
      <c r="P330" s="3380">
        <v>70781</v>
      </c>
      <c r="Q330" s="3375">
        <v>419</v>
      </c>
      <c r="R330" s="3381">
        <v>204215</v>
      </c>
    </row>
    <row r="331" spans="1:18">
      <c r="A331" s="3368">
        <f t="shared" si="6"/>
        <v>2017.1</v>
      </c>
      <c r="B331" s="3369">
        <v>673808</v>
      </c>
      <c r="C331" s="3388">
        <v>776999.8833333333</v>
      </c>
      <c r="D331" s="3371"/>
      <c r="E331" s="3370"/>
      <c r="F331" s="3372">
        <v>1814</v>
      </c>
      <c r="G331" s="3373">
        <v>13532</v>
      </c>
      <c r="H331" s="3374">
        <v>5118</v>
      </c>
      <c r="I331" s="3373">
        <v>10930</v>
      </c>
      <c r="J331" s="3374">
        <v>6181</v>
      </c>
      <c r="K331" s="3373">
        <v>4698</v>
      </c>
      <c r="L331" s="3374">
        <v>1781</v>
      </c>
      <c r="M331" s="3373">
        <v>1953</v>
      </c>
      <c r="N331" s="3375">
        <v>4851</v>
      </c>
      <c r="O331" s="3376">
        <f t="shared" ref="O331:O394" si="7">_xlfn.AGGREGATE(9,6,F331:N331)</f>
        <v>50858</v>
      </c>
      <c r="P331" s="3380">
        <v>59239</v>
      </c>
      <c r="Q331" s="3375">
        <v>1364</v>
      </c>
      <c r="R331" s="3381">
        <v>156854</v>
      </c>
    </row>
    <row r="332" spans="1:18">
      <c r="A332" s="3368">
        <f t="shared" si="6"/>
        <v>2017.11</v>
      </c>
      <c r="B332" s="3369">
        <v>610857</v>
      </c>
      <c r="C332" s="3388">
        <v>706975.69</v>
      </c>
      <c r="D332" s="3371"/>
      <c r="E332" s="3370"/>
      <c r="F332" s="3372">
        <v>5875</v>
      </c>
      <c r="G332" s="3373">
        <v>9650</v>
      </c>
      <c r="H332" s="3374">
        <v>3367</v>
      </c>
      <c r="I332" s="3373">
        <v>4202</v>
      </c>
      <c r="J332" s="3374">
        <v>6807</v>
      </c>
      <c r="K332" s="3373">
        <v>9935</v>
      </c>
      <c r="L332" s="3374">
        <v>1697</v>
      </c>
      <c r="M332" s="3373">
        <v>4096</v>
      </c>
      <c r="N332" s="3375">
        <v>2973</v>
      </c>
      <c r="O332" s="3376">
        <f t="shared" si="7"/>
        <v>48602</v>
      </c>
      <c r="P332" s="3380">
        <v>74702</v>
      </c>
      <c r="Q332" s="3375">
        <v>316</v>
      </c>
      <c r="R332" s="3381">
        <v>184547</v>
      </c>
    </row>
    <row r="333" spans="1:18">
      <c r="A333" s="3368">
        <f t="shared" si="6"/>
        <v>2017.12</v>
      </c>
      <c r="B333" s="3369">
        <v>631016</v>
      </c>
      <c r="C333" s="3388">
        <v>709852</v>
      </c>
      <c r="D333" s="3371"/>
      <c r="E333" s="3370"/>
      <c r="F333" s="3372">
        <v>1081</v>
      </c>
      <c r="G333" s="3373">
        <v>10297</v>
      </c>
      <c r="H333" s="3374">
        <v>7705</v>
      </c>
      <c r="I333" s="3373">
        <v>7201</v>
      </c>
      <c r="J333" s="3374">
        <v>5061</v>
      </c>
      <c r="K333" s="3373">
        <v>2740</v>
      </c>
      <c r="L333" s="3374">
        <v>4274</v>
      </c>
      <c r="M333" s="3373">
        <v>2756</v>
      </c>
      <c r="N333" s="3375">
        <v>2793</v>
      </c>
      <c r="O333" s="3376">
        <f t="shared" si="7"/>
        <v>43908</v>
      </c>
      <c r="P333" s="3380">
        <v>49861</v>
      </c>
      <c r="Q333" s="3375">
        <v>539</v>
      </c>
      <c r="R333" s="3381">
        <v>151292</v>
      </c>
    </row>
    <row r="334" spans="1:18">
      <c r="A334" s="3368">
        <f t="shared" si="6"/>
        <v>2018.01</v>
      </c>
      <c r="B334" s="3369">
        <v>499443</v>
      </c>
      <c r="C334" s="3388">
        <v>573034</v>
      </c>
      <c r="D334" s="3371"/>
      <c r="E334" s="3370"/>
      <c r="F334" s="3372">
        <v>1613</v>
      </c>
      <c r="G334" s="3373">
        <v>6374</v>
      </c>
      <c r="H334" s="3374">
        <v>0</v>
      </c>
      <c r="I334" s="3373">
        <v>12934</v>
      </c>
      <c r="J334" s="3374">
        <v>2954</v>
      </c>
      <c r="K334" s="3373">
        <v>5130</v>
      </c>
      <c r="L334" s="3374">
        <v>3257</v>
      </c>
      <c r="M334" s="3373">
        <v>4888</v>
      </c>
      <c r="N334" s="3375">
        <v>3497</v>
      </c>
      <c r="O334" s="3376">
        <f t="shared" si="7"/>
        <v>40647</v>
      </c>
      <c r="P334" s="3380">
        <v>74424</v>
      </c>
      <c r="Q334" s="3375">
        <v>693</v>
      </c>
      <c r="R334" s="3381">
        <v>162799</v>
      </c>
    </row>
    <row r="335" spans="1:18">
      <c r="A335" s="3368">
        <f t="shared" si="6"/>
        <v>2018.02</v>
      </c>
      <c r="B335" s="3369">
        <v>460775</v>
      </c>
      <c r="C335" s="3388">
        <v>514589</v>
      </c>
      <c r="D335" s="3371"/>
      <c r="E335" s="3370"/>
      <c r="F335" s="3372">
        <v>1526</v>
      </c>
      <c r="G335" s="3373">
        <v>11872</v>
      </c>
      <c r="H335" s="3374">
        <v>6162</v>
      </c>
      <c r="I335" s="3373">
        <v>3806</v>
      </c>
      <c r="J335" s="3374">
        <v>4439</v>
      </c>
      <c r="K335" s="3373">
        <v>4665</v>
      </c>
      <c r="L335" s="3374">
        <v>3129</v>
      </c>
      <c r="M335" s="3373">
        <v>5990</v>
      </c>
      <c r="N335" s="3375">
        <v>2976</v>
      </c>
      <c r="O335" s="3376">
        <f t="shared" si="7"/>
        <v>44565</v>
      </c>
      <c r="P335" s="3380">
        <v>105563</v>
      </c>
      <c r="Q335" s="3375">
        <v>1994</v>
      </c>
      <c r="R335" s="3381">
        <v>201706</v>
      </c>
    </row>
    <row r="336" spans="1:18">
      <c r="A336" s="3368">
        <f t="shared" si="6"/>
        <v>2018.03</v>
      </c>
      <c r="B336" s="3369">
        <v>689600</v>
      </c>
      <c r="C336" s="3388">
        <v>798641</v>
      </c>
      <c r="D336" s="3371"/>
      <c r="E336" s="3370"/>
      <c r="F336" s="3372">
        <v>772</v>
      </c>
      <c r="G336" s="3373">
        <v>11100</v>
      </c>
      <c r="H336" s="3374">
        <v>8785</v>
      </c>
      <c r="I336" s="3373">
        <v>8014</v>
      </c>
      <c r="J336" s="3374">
        <v>3084</v>
      </c>
      <c r="K336" s="3373">
        <v>6563</v>
      </c>
      <c r="L336" s="3374">
        <v>3075</v>
      </c>
      <c r="M336" s="3373">
        <v>1834</v>
      </c>
      <c r="N336" s="3375">
        <v>1426</v>
      </c>
      <c r="O336" s="3376">
        <f t="shared" si="7"/>
        <v>44653</v>
      </c>
      <c r="P336" s="3380">
        <v>32027</v>
      </c>
      <c r="Q336" s="3375">
        <v>1998</v>
      </c>
      <c r="R336" s="3381">
        <v>181407</v>
      </c>
    </row>
    <row r="337" spans="1:18">
      <c r="A337" s="3368">
        <f t="shared" si="6"/>
        <v>2018.04</v>
      </c>
      <c r="B337" s="3369">
        <v>526810</v>
      </c>
      <c r="C337" s="3388">
        <v>632767</v>
      </c>
      <c r="D337" s="3371"/>
      <c r="E337" s="3370"/>
      <c r="F337" s="3372">
        <v>1461</v>
      </c>
      <c r="G337" s="3373">
        <v>5914</v>
      </c>
      <c r="H337" s="3374">
        <v>6486</v>
      </c>
      <c r="I337" s="3373">
        <v>6538</v>
      </c>
      <c r="J337" s="3374">
        <v>11291</v>
      </c>
      <c r="K337" s="3373">
        <v>4694</v>
      </c>
      <c r="L337" s="3374">
        <v>2933</v>
      </c>
      <c r="M337" s="3373">
        <v>3453</v>
      </c>
      <c r="N337" s="3375">
        <v>1961</v>
      </c>
      <c r="O337" s="3376">
        <f t="shared" si="7"/>
        <v>44731</v>
      </c>
      <c r="P337" s="3380">
        <v>53909</v>
      </c>
      <c r="Q337" s="3375">
        <v>14896</v>
      </c>
      <c r="R337" s="3381">
        <v>158041</v>
      </c>
    </row>
    <row r="338" spans="1:18">
      <c r="A338" s="3368">
        <f t="shared" si="6"/>
        <v>2018.05</v>
      </c>
      <c r="B338" s="3369">
        <v>626181</v>
      </c>
      <c r="C338" s="3388">
        <v>733828</v>
      </c>
      <c r="D338" s="3371"/>
      <c r="E338" s="3370"/>
      <c r="F338" s="3372">
        <v>824</v>
      </c>
      <c r="G338" s="3373">
        <v>13692</v>
      </c>
      <c r="H338" s="3374">
        <v>9293</v>
      </c>
      <c r="I338" s="3373">
        <v>11328</v>
      </c>
      <c r="J338" s="3374">
        <v>4968</v>
      </c>
      <c r="K338" s="3373">
        <v>3732</v>
      </c>
      <c r="L338" s="3374">
        <v>2308</v>
      </c>
      <c r="M338" s="3373">
        <v>2778</v>
      </c>
      <c r="N338" s="3375">
        <v>1212</v>
      </c>
      <c r="O338" s="3376">
        <f t="shared" si="7"/>
        <v>50135</v>
      </c>
      <c r="P338" s="3380">
        <v>74387</v>
      </c>
      <c r="Q338" s="3375">
        <v>17356</v>
      </c>
      <c r="R338" s="3381">
        <v>190207</v>
      </c>
    </row>
    <row r="339" spans="1:18">
      <c r="A339" s="3368">
        <f t="shared" si="6"/>
        <v>2018.06</v>
      </c>
      <c r="B339" s="3389" t="s">
        <v>356</v>
      </c>
      <c r="C339" s="3388">
        <v>637513</v>
      </c>
      <c r="D339" s="3371"/>
      <c r="E339" s="3370"/>
      <c r="F339" s="3372">
        <v>4640</v>
      </c>
      <c r="G339" s="3373">
        <v>16029</v>
      </c>
      <c r="H339" s="3374">
        <v>8451</v>
      </c>
      <c r="I339" s="3373">
        <v>9818</v>
      </c>
      <c r="J339" s="3374">
        <v>5219</v>
      </c>
      <c r="K339" s="3373">
        <v>7559</v>
      </c>
      <c r="L339" s="3374">
        <v>1692</v>
      </c>
      <c r="M339" s="3373">
        <v>1890</v>
      </c>
      <c r="N339" s="3375">
        <v>803</v>
      </c>
      <c r="O339" s="3376">
        <f t="shared" si="7"/>
        <v>56101</v>
      </c>
      <c r="P339" s="3380">
        <v>72505</v>
      </c>
      <c r="Q339" s="3375">
        <v>4133</v>
      </c>
      <c r="R339" s="3381">
        <v>173199</v>
      </c>
    </row>
    <row r="340" spans="1:18">
      <c r="A340" s="3368">
        <f t="shared" si="6"/>
        <v>2018.07</v>
      </c>
      <c r="B340" s="3390"/>
      <c r="C340" s="3388">
        <v>708198</v>
      </c>
      <c r="D340" s="3371"/>
      <c r="E340" s="3370"/>
      <c r="F340" s="3372">
        <v>1733</v>
      </c>
      <c r="G340" s="3373">
        <v>19303</v>
      </c>
      <c r="H340" s="3374">
        <v>6904</v>
      </c>
      <c r="I340" s="3373">
        <v>7031</v>
      </c>
      <c r="J340" s="3374">
        <v>2703</v>
      </c>
      <c r="K340" s="3373">
        <v>6702</v>
      </c>
      <c r="L340" s="3374">
        <v>1433</v>
      </c>
      <c r="M340" s="3373">
        <v>2797</v>
      </c>
      <c r="N340" s="3375">
        <v>3754</v>
      </c>
      <c r="O340" s="3376">
        <f t="shared" si="7"/>
        <v>52360</v>
      </c>
      <c r="P340" s="3380">
        <v>54672</v>
      </c>
      <c r="Q340" s="3375">
        <v>8436</v>
      </c>
      <c r="R340" s="3381">
        <v>162015</v>
      </c>
    </row>
    <row r="341" spans="1:18">
      <c r="A341" s="3368">
        <f t="shared" si="6"/>
        <v>2018.08</v>
      </c>
      <c r="B341" s="3390"/>
      <c r="C341" s="3388">
        <v>750110</v>
      </c>
      <c r="D341" s="3371"/>
      <c r="E341" s="3370"/>
      <c r="F341" s="3372">
        <v>2348</v>
      </c>
      <c r="G341" s="3373">
        <v>11608</v>
      </c>
      <c r="H341" s="3374">
        <v>3724</v>
      </c>
      <c r="I341" s="3373">
        <v>5606</v>
      </c>
      <c r="J341" s="3374">
        <v>5323</v>
      </c>
      <c r="K341" s="3373">
        <v>5554</v>
      </c>
      <c r="L341" s="3374">
        <v>835</v>
      </c>
      <c r="M341" s="3373">
        <v>3847</v>
      </c>
      <c r="N341" s="3375">
        <v>3238</v>
      </c>
      <c r="O341" s="3376">
        <f t="shared" si="7"/>
        <v>42083</v>
      </c>
      <c r="P341" s="3380">
        <v>57077</v>
      </c>
      <c r="Q341" s="3375">
        <v>1458</v>
      </c>
      <c r="R341" s="3381">
        <v>159531</v>
      </c>
    </row>
    <row r="342" spans="1:18">
      <c r="A342" s="3368">
        <f t="shared" ref="A342:A405" si="8">A330+1</f>
        <v>2018.09</v>
      </c>
      <c r="B342" s="3390"/>
      <c r="C342" s="3388">
        <v>754995</v>
      </c>
      <c r="D342" s="3371"/>
      <c r="E342" s="3370"/>
      <c r="F342" s="3372">
        <v>4611</v>
      </c>
      <c r="G342" s="3373">
        <v>6711</v>
      </c>
      <c r="H342" s="3374">
        <v>6008</v>
      </c>
      <c r="I342" s="3373">
        <v>7834</v>
      </c>
      <c r="J342" s="3374">
        <v>6388</v>
      </c>
      <c r="K342" s="3373">
        <v>3806</v>
      </c>
      <c r="L342" s="3374">
        <v>2683</v>
      </c>
      <c r="M342" s="3373">
        <v>2682</v>
      </c>
      <c r="N342" s="3375">
        <v>4834</v>
      </c>
      <c r="O342" s="3376">
        <f t="shared" si="7"/>
        <v>45557</v>
      </c>
      <c r="P342" s="3380">
        <v>66403</v>
      </c>
      <c r="Q342" s="3375">
        <v>2391</v>
      </c>
      <c r="R342" s="3381">
        <v>159501</v>
      </c>
    </row>
    <row r="343" spans="1:18">
      <c r="A343" s="3368">
        <f t="shared" si="8"/>
        <v>2018.1</v>
      </c>
      <c r="B343" s="3390"/>
      <c r="C343" s="3388">
        <v>721943</v>
      </c>
      <c r="D343" s="3371"/>
      <c r="E343" s="3370"/>
      <c r="F343" s="3372">
        <v>3975</v>
      </c>
      <c r="G343" s="3373">
        <v>9010</v>
      </c>
      <c r="H343" s="3374">
        <v>7789</v>
      </c>
      <c r="I343" s="3373">
        <v>8900</v>
      </c>
      <c r="J343" s="3374">
        <v>5274</v>
      </c>
      <c r="K343" s="3373">
        <v>9448</v>
      </c>
      <c r="L343" s="3374">
        <v>4207</v>
      </c>
      <c r="M343" s="3373">
        <v>2927</v>
      </c>
      <c r="N343" s="3375">
        <v>4461</v>
      </c>
      <c r="O343" s="3376">
        <f t="shared" si="7"/>
        <v>55991</v>
      </c>
      <c r="P343" s="3380">
        <v>51090</v>
      </c>
      <c r="Q343" s="3375">
        <v>2172</v>
      </c>
      <c r="R343" s="3381">
        <v>154404</v>
      </c>
    </row>
    <row r="344" spans="1:18">
      <c r="A344" s="3368">
        <f t="shared" si="8"/>
        <v>2018.11</v>
      </c>
      <c r="B344" s="3390"/>
      <c r="C344" s="3388">
        <v>625563</v>
      </c>
      <c r="D344" s="3371"/>
      <c r="E344" s="3370"/>
      <c r="F344" s="3372">
        <v>1429</v>
      </c>
      <c r="G344" s="3373">
        <v>6214</v>
      </c>
      <c r="H344" s="3374">
        <v>8183</v>
      </c>
      <c r="I344" s="3373">
        <v>6825</v>
      </c>
      <c r="J344" s="3374">
        <v>4445</v>
      </c>
      <c r="K344" s="3373">
        <v>3831</v>
      </c>
      <c r="L344" s="3374">
        <v>1501</v>
      </c>
      <c r="M344" s="3373">
        <v>4412</v>
      </c>
      <c r="N344" s="3375">
        <v>6947</v>
      </c>
      <c r="O344" s="3376">
        <f t="shared" si="7"/>
        <v>43787</v>
      </c>
      <c r="P344" s="3380">
        <v>70727</v>
      </c>
      <c r="Q344" s="3375">
        <v>1099</v>
      </c>
      <c r="R344" s="3381">
        <v>151088</v>
      </c>
    </row>
    <row r="345" spans="1:18">
      <c r="A345" s="3368">
        <f t="shared" si="8"/>
        <v>2018.12</v>
      </c>
      <c r="B345" s="3390"/>
      <c r="C345" s="3388">
        <v>604294</v>
      </c>
      <c r="D345" s="3371"/>
      <c r="E345" s="3370"/>
      <c r="F345" s="3372">
        <v>1460</v>
      </c>
      <c r="G345" s="3373">
        <v>15803</v>
      </c>
      <c r="H345" s="3374">
        <v>8391</v>
      </c>
      <c r="I345" s="3373">
        <v>5968</v>
      </c>
      <c r="J345" s="3374">
        <v>3584</v>
      </c>
      <c r="K345" s="3373">
        <v>3161</v>
      </c>
      <c r="L345" s="3374">
        <v>1551</v>
      </c>
      <c r="M345" s="3373">
        <v>4876</v>
      </c>
      <c r="N345" s="3375">
        <v>10392</v>
      </c>
      <c r="O345" s="3376">
        <f t="shared" si="7"/>
        <v>55186</v>
      </c>
      <c r="P345" s="3380">
        <v>58436</v>
      </c>
      <c r="Q345" s="3375">
        <v>206</v>
      </c>
      <c r="R345" s="3381">
        <v>195927</v>
      </c>
    </row>
    <row r="346" spans="1:18">
      <c r="A346" s="3368">
        <f t="shared" si="8"/>
        <v>2019.01</v>
      </c>
      <c r="B346" s="3390"/>
      <c r="C346" s="3388">
        <v>585890</v>
      </c>
      <c r="D346" s="3371"/>
      <c r="E346" s="3370"/>
      <c r="F346" s="3372">
        <v>2681</v>
      </c>
      <c r="G346" s="3373">
        <v>11606</v>
      </c>
      <c r="H346" s="3374">
        <v>1923</v>
      </c>
      <c r="I346" s="3373">
        <v>4945</v>
      </c>
      <c r="J346" s="3374">
        <v>3154</v>
      </c>
      <c r="K346" s="3373">
        <v>5668</v>
      </c>
      <c r="L346" s="3374">
        <v>622</v>
      </c>
      <c r="M346" s="3373">
        <v>3148</v>
      </c>
      <c r="N346" s="3375">
        <v>3848</v>
      </c>
      <c r="O346" s="3376">
        <f t="shared" si="7"/>
        <v>37595</v>
      </c>
      <c r="P346" s="3380">
        <v>65560</v>
      </c>
      <c r="Q346" s="3375">
        <v>1112</v>
      </c>
      <c r="R346" s="3381">
        <v>137500</v>
      </c>
    </row>
    <row r="347" spans="1:18">
      <c r="A347" s="3368">
        <f t="shared" si="8"/>
        <v>2019.02</v>
      </c>
      <c r="B347" s="3390"/>
      <c r="C347" s="3388">
        <v>685867</v>
      </c>
      <c r="D347" s="3371"/>
      <c r="E347" s="3370"/>
      <c r="F347" s="3372">
        <v>787</v>
      </c>
      <c r="G347" s="3373">
        <v>7560</v>
      </c>
      <c r="H347" s="3374">
        <v>5829</v>
      </c>
      <c r="I347" s="3373">
        <v>4632</v>
      </c>
      <c r="J347" s="3374">
        <v>3362</v>
      </c>
      <c r="K347" s="3373">
        <v>3600</v>
      </c>
      <c r="L347" s="3374">
        <v>2898</v>
      </c>
      <c r="M347" s="3373">
        <v>2943</v>
      </c>
      <c r="N347" s="3375">
        <v>2327</v>
      </c>
      <c r="O347" s="3376">
        <f t="shared" si="7"/>
        <v>33938</v>
      </c>
      <c r="P347" s="3380">
        <v>71815</v>
      </c>
      <c r="Q347" s="3375">
        <v>2096</v>
      </c>
      <c r="R347" s="3381">
        <v>147884</v>
      </c>
    </row>
    <row r="348" spans="1:18">
      <c r="A348" s="3368">
        <f t="shared" si="8"/>
        <v>2019.03</v>
      </c>
      <c r="B348" s="3390"/>
      <c r="C348" s="3388">
        <v>539533</v>
      </c>
      <c r="D348" s="3371"/>
      <c r="E348" s="3370"/>
      <c r="F348" s="3372">
        <v>659</v>
      </c>
      <c r="G348" s="3373">
        <v>7997</v>
      </c>
      <c r="H348" s="3374">
        <v>5412</v>
      </c>
      <c r="I348" s="3373">
        <v>7654</v>
      </c>
      <c r="J348" s="3374">
        <v>4357</v>
      </c>
      <c r="K348" s="3373">
        <v>4161</v>
      </c>
      <c r="L348" s="3374">
        <v>2364</v>
      </c>
      <c r="M348" s="3373">
        <v>3154</v>
      </c>
      <c r="N348" s="3375">
        <v>2908</v>
      </c>
      <c r="O348" s="3376">
        <f t="shared" si="7"/>
        <v>38666</v>
      </c>
      <c r="P348" s="3380">
        <v>77804</v>
      </c>
      <c r="Q348" s="3375">
        <v>804</v>
      </c>
      <c r="R348" s="3381">
        <v>165367</v>
      </c>
    </row>
    <row r="349" spans="1:18">
      <c r="A349" s="3368">
        <f t="shared" si="8"/>
        <v>2019.04</v>
      </c>
      <c r="B349" s="3390"/>
      <c r="C349" s="3388">
        <v>731295</v>
      </c>
      <c r="D349" s="3371"/>
      <c r="E349" s="3370"/>
      <c r="F349" s="3372">
        <v>6443</v>
      </c>
      <c r="G349" s="3373">
        <v>8640</v>
      </c>
      <c r="H349" s="3374">
        <v>4705</v>
      </c>
      <c r="I349" s="3373">
        <v>6048</v>
      </c>
      <c r="J349" s="3374">
        <v>4405</v>
      </c>
      <c r="K349" s="3373">
        <v>16131</v>
      </c>
      <c r="L349" s="3374">
        <v>1381</v>
      </c>
      <c r="M349" s="3373">
        <v>3767</v>
      </c>
      <c r="N349" s="3375">
        <v>5503</v>
      </c>
      <c r="O349" s="3376">
        <f t="shared" si="7"/>
        <v>57023</v>
      </c>
      <c r="P349" s="3380">
        <v>58582</v>
      </c>
      <c r="Q349" s="3375">
        <v>2828</v>
      </c>
      <c r="R349" s="3381">
        <v>162335</v>
      </c>
    </row>
    <row r="350" spans="1:18">
      <c r="A350" s="3368">
        <f t="shared" si="8"/>
        <v>2019.05</v>
      </c>
      <c r="B350" s="3390"/>
      <c r="C350" s="3388">
        <v>899183</v>
      </c>
      <c r="D350" s="3371"/>
      <c r="E350" s="3370"/>
      <c r="F350" s="3372">
        <v>4239</v>
      </c>
      <c r="G350" s="3373">
        <v>8713</v>
      </c>
      <c r="H350" s="3374">
        <v>7454</v>
      </c>
      <c r="I350" s="3373">
        <v>5262</v>
      </c>
      <c r="J350" s="3374">
        <v>6238</v>
      </c>
      <c r="K350" s="3373">
        <v>4179</v>
      </c>
      <c r="L350" s="3374">
        <v>828</v>
      </c>
      <c r="M350" s="3373">
        <v>2826</v>
      </c>
      <c r="N350" s="3375">
        <v>3226</v>
      </c>
      <c r="O350" s="3376">
        <f t="shared" si="7"/>
        <v>42965</v>
      </c>
      <c r="P350" s="3380">
        <v>53868</v>
      </c>
      <c r="Q350" s="3375">
        <v>4078</v>
      </c>
      <c r="R350" s="3381">
        <v>141117</v>
      </c>
    </row>
    <row r="351" spans="1:18">
      <c r="A351" s="3368">
        <f t="shared" si="8"/>
        <v>2019.06</v>
      </c>
      <c r="B351" s="3390"/>
      <c r="C351" s="3388">
        <v>798834</v>
      </c>
      <c r="D351" s="3371"/>
      <c r="E351" s="3370"/>
      <c r="F351" s="3372">
        <v>1610</v>
      </c>
      <c r="G351" s="3373">
        <v>7989</v>
      </c>
      <c r="H351" s="3374">
        <v>11496</v>
      </c>
      <c r="I351" s="3373">
        <v>6269</v>
      </c>
      <c r="J351" s="3374">
        <v>2681</v>
      </c>
      <c r="K351" s="3373">
        <v>3231</v>
      </c>
      <c r="L351" s="3374">
        <v>1723</v>
      </c>
      <c r="M351" s="3373">
        <v>1560</v>
      </c>
      <c r="N351" s="3375">
        <v>3884</v>
      </c>
      <c r="O351" s="3376">
        <f t="shared" si="7"/>
        <v>40443</v>
      </c>
      <c r="P351" s="3380">
        <v>76792</v>
      </c>
      <c r="Q351" s="3375">
        <v>1757</v>
      </c>
      <c r="R351" s="3381">
        <v>177058</v>
      </c>
    </row>
    <row r="352" spans="1:18">
      <c r="A352" s="3368">
        <f t="shared" si="8"/>
        <v>2019.07</v>
      </c>
      <c r="B352" s="3390"/>
      <c r="C352" s="3388">
        <v>846330</v>
      </c>
      <c r="D352" s="3371"/>
      <c r="E352" s="3370"/>
      <c r="F352" s="3372">
        <v>1493</v>
      </c>
      <c r="G352" s="3373">
        <v>60303</v>
      </c>
      <c r="H352" s="3374">
        <v>5760</v>
      </c>
      <c r="I352" s="3373">
        <v>3797</v>
      </c>
      <c r="J352" s="3374">
        <v>3473</v>
      </c>
      <c r="K352" s="3373">
        <v>3200</v>
      </c>
      <c r="L352" s="3374">
        <v>1829</v>
      </c>
      <c r="M352" s="3373">
        <v>1769</v>
      </c>
      <c r="N352" s="3375">
        <v>2324</v>
      </c>
      <c r="O352" s="3376">
        <f t="shared" si="7"/>
        <v>83948</v>
      </c>
      <c r="P352" s="3380">
        <v>52798</v>
      </c>
      <c r="Q352" s="3375">
        <v>1079</v>
      </c>
      <c r="R352" s="3381">
        <v>176840</v>
      </c>
    </row>
    <row r="353" spans="1:18">
      <c r="A353" s="3368">
        <f t="shared" si="8"/>
        <v>2019.08</v>
      </c>
      <c r="B353" s="3390"/>
      <c r="C353" s="3388">
        <v>768609</v>
      </c>
      <c r="D353" s="3371"/>
      <c r="E353" s="3370"/>
      <c r="F353" s="3372">
        <v>1772</v>
      </c>
      <c r="G353" s="3373">
        <v>16081</v>
      </c>
      <c r="H353" s="3374">
        <v>7036</v>
      </c>
      <c r="I353" s="3373">
        <v>9274</v>
      </c>
      <c r="J353" s="3374">
        <v>3936</v>
      </c>
      <c r="K353" s="3373">
        <v>3574</v>
      </c>
      <c r="L353" s="3374">
        <v>702</v>
      </c>
      <c r="M353" s="3373">
        <v>5667</v>
      </c>
      <c r="N353" s="3375">
        <v>4562</v>
      </c>
      <c r="O353" s="3376">
        <f t="shared" si="7"/>
        <v>52604</v>
      </c>
      <c r="P353" s="3380">
        <v>68500</v>
      </c>
      <c r="Q353" s="3375">
        <v>2593</v>
      </c>
      <c r="R353" s="3381">
        <v>172897</v>
      </c>
    </row>
    <row r="354" spans="1:18">
      <c r="A354" s="3368">
        <f t="shared" si="8"/>
        <v>2019.09</v>
      </c>
      <c r="B354" s="3390"/>
      <c r="C354" s="3388">
        <v>623911</v>
      </c>
      <c r="D354" s="3371"/>
      <c r="E354" s="3370"/>
      <c r="F354" s="3372">
        <v>1895</v>
      </c>
      <c r="G354" s="3373">
        <v>20636</v>
      </c>
      <c r="H354" s="3374">
        <v>3243</v>
      </c>
      <c r="I354" s="3373">
        <v>8476</v>
      </c>
      <c r="J354" s="3374">
        <v>5387</v>
      </c>
      <c r="K354" s="3373">
        <v>5571</v>
      </c>
      <c r="L354" s="3374">
        <v>1207</v>
      </c>
      <c r="M354" s="3373">
        <v>1759</v>
      </c>
      <c r="N354" s="3375">
        <v>9621</v>
      </c>
      <c r="O354" s="3376">
        <f t="shared" si="7"/>
        <v>57795</v>
      </c>
      <c r="P354" s="3380">
        <v>39451</v>
      </c>
      <c r="Q354" s="3375">
        <v>7196</v>
      </c>
      <c r="R354" s="3381">
        <v>147548</v>
      </c>
    </row>
    <row r="355" spans="1:18">
      <c r="A355" s="3368">
        <f t="shared" si="8"/>
        <v>2019.1</v>
      </c>
      <c r="B355" s="3390"/>
      <c r="C355" s="3388">
        <v>772131</v>
      </c>
      <c r="D355" s="3371"/>
      <c r="E355" s="3370"/>
      <c r="F355" s="3372">
        <v>2678</v>
      </c>
      <c r="G355" s="3373">
        <v>17091</v>
      </c>
      <c r="H355" s="3391">
        <v>14083</v>
      </c>
      <c r="I355" s="3373">
        <v>6469</v>
      </c>
      <c r="J355" s="3374">
        <v>6905</v>
      </c>
      <c r="K355" s="3373">
        <v>3600</v>
      </c>
      <c r="L355" s="3374">
        <v>2067</v>
      </c>
      <c r="M355" s="3373">
        <v>4710</v>
      </c>
      <c r="N355" s="3375">
        <v>2590</v>
      </c>
      <c r="O355" s="3376">
        <f t="shared" si="7"/>
        <v>60193</v>
      </c>
      <c r="P355" s="3380">
        <v>36567</v>
      </c>
      <c r="Q355" s="3375">
        <v>3587</v>
      </c>
      <c r="R355" s="3381">
        <v>130463</v>
      </c>
    </row>
    <row r="356" spans="1:18">
      <c r="A356" s="3368">
        <f t="shared" si="8"/>
        <v>2019.11</v>
      </c>
      <c r="B356" s="3390"/>
      <c r="C356" s="3388">
        <v>792843</v>
      </c>
      <c r="D356" s="3371"/>
      <c r="E356" s="3370"/>
      <c r="F356" s="3372">
        <v>3407</v>
      </c>
      <c r="G356" s="3373">
        <v>9928</v>
      </c>
      <c r="H356" s="3374">
        <v>6081</v>
      </c>
      <c r="I356" s="3373">
        <v>7621</v>
      </c>
      <c r="J356" s="3374">
        <v>1935</v>
      </c>
      <c r="K356" s="3373">
        <v>4238</v>
      </c>
      <c r="L356" s="3374">
        <v>2064</v>
      </c>
      <c r="M356" s="3373">
        <v>3394</v>
      </c>
      <c r="N356" s="3375">
        <v>2699</v>
      </c>
      <c r="O356" s="3376">
        <f t="shared" si="7"/>
        <v>41367</v>
      </c>
      <c r="P356" s="3380">
        <v>64024</v>
      </c>
      <c r="Q356" s="3375">
        <v>817</v>
      </c>
      <c r="R356" s="3381">
        <v>155540</v>
      </c>
    </row>
    <row r="357" spans="1:18">
      <c r="A357" s="3368">
        <f t="shared" si="8"/>
        <v>2019.12</v>
      </c>
      <c r="B357" s="3390"/>
      <c r="C357" s="3388">
        <v>910350</v>
      </c>
      <c r="D357" s="3371"/>
      <c r="E357" s="3370"/>
      <c r="F357" s="3372">
        <v>3188</v>
      </c>
      <c r="G357" s="3373">
        <v>15165</v>
      </c>
      <c r="H357" s="3374">
        <v>16402</v>
      </c>
      <c r="I357" s="3373">
        <v>6597</v>
      </c>
      <c r="J357" s="3374">
        <v>10515</v>
      </c>
      <c r="K357" s="3373">
        <v>3981</v>
      </c>
      <c r="L357" s="3374">
        <v>1155</v>
      </c>
      <c r="M357" s="3373">
        <v>2155</v>
      </c>
      <c r="N357" s="3375">
        <v>2506</v>
      </c>
      <c r="O357" s="3376">
        <f t="shared" si="7"/>
        <v>61664</v>
      </c>
      <c r="P357" s="3380">
        <v>44128</v>
      </c>
      <c r="Q357" s="3375">
        <v>516</v>
      </c>
      <c r="R357" s="3381">
        <v>141833</v>
      </c>
    </row>
    <row r="358" spans="1:18">
      <c r="A358" s="3368">
        <f t="shared" si="8"/>
        <v>2020.01</v>
      </c>
      <c r="B358" s="3390"/>
      <c r="C358" s="3388">
        <v>656283</v>
      </c>
      <c r="D358" s="3371"/>
      <c r="E358" s="3370"/>
      <c r="F358" s="3372">
        <v>1974</v>
      </c>
      <c r="G358" s="3373">
        <v>23348</v>
      </c>
      <c r="H358" s="3374">
        <v>759</v>
      </c>
      <c r="I358" s="3373">
        <v>2812</v>
      </c>
      <c r="J358" s="3374">
        <v>0</v>
      </c>
      <c r="K358" s="3373">
        <v>4289</v>
      </c>
      <c r="L358" s="3374">
        <v>969</v>
      </c>
      <c r="M358" s="3373">
        <v>6033</v>
      </c>
      <c r="N358" s="3375">
        <v>1574</v>
      </c>
      <c r="O358" s="3376">
        <f t="shared" si="7"/>
        <v>41758</v>
      </c>
      <c r="P358" s="3380">
        <v>35048</v>
      </c>
      <c r="Q358" s="3375">
        <v>1322</v>
      </c>
      <c r="R358" s="3381">
        <v>116669</v>
      </c>
    </row>
    <row r="359" spans="1:18">
      <c r="A359" s="3368">
        <f t="shared" si="8"/>
        <v>2020.02</v>
      </c>
      <c r="B359" s="3390"/>
      <c r="C359" s="3388">
        <v>557055</v>
      </c>
      <c r="D359" s="3371"/>
      <c r="E359" s="3370"/>
      <c r="F359" s="3372">
        <v>3873</v>
      </c>
      <c r="G359" s="3373">
        <v>5750</v>
      </c>
      <c r="H359" s="3374">
        <v>3037</v>
      </c>
      <c r="I359" s="3373">
        <v>3275</v>
      </c>
      <c r="J359" s="3374">
        <v>15274</v>
      </c>
      <c r="K359" s="3373">
        <v>4275</v>
      </c>
      <c r="L359" s="3374">
        <v>647</v>
      </c>
      <c r="M359" s="3373">
        <v>977</v>
      </c>
      <c r="N359" s="3375">
        <v>1967</v>
      </c>
      <c r="O359" s="3376">
        <f t="shared" si="7"/>
        <v>39075</v>
      </c>
      <c r="P359" s="3380">
        <v>31641</v>
      </c>
      <c r="Q359" s="3375">
        <v>9331</v>
      </c>
      <c r="R359" s="3381">
        <v>108482</v>
      </c>
    </row>
    <row r="360" spans="1:18">
      <c r="A360" s="3368">
        <f t="shared" si="8"/>
        <v>2020.03</v>
      </c>
      <c r="B360" s="3390"/>
      <c r="C360" s="3388">
        <v>472081</v>
      </c>
      <c r="D360" s="3371"/>
      <c r="E360" s="3370"/>
      <c r="F360" s="3372">
        <v>383</v>
      </c>
      <c r="G360" s="3373">
        <v>8187</v>
      </c>
      <c r="H360" s="3374">
        <v>4403</v>
      </c>
      <c r="I360" s="3373">
        <v>8613</v>
      </c>
      <c r="J360" s="3374">
        <v>3436</v>
      </c>
      <c r="K360" s="3373">
        <v>2466</v>
      </c>
      <c r="L360" s="3374">
        <v>1579</v>
      </c>
      <c r="M360" s="3373">
        <v>796</v>
      </c>
      <c r="N360" s="3375">
        <v>1407</v>
      </c>
      <c r="O360" s="3376">
        <f t="shared" si="7"/>
        <v>31270</v>
      </c>
      <c r="P360" s="3380">
        <v>19405</v>
      </c>
      <c r="Q360" s="3375">
        <v>599</v>
      </c>
      <c r="R360" s="3381">
        <v>70196</v>
      </c>
    </row>
    <row r="361" spans="1:18">
      <c r="A361" s="3368">
        <f t="shared" si="8"/>
        <v>2020.04</v>
      </c>
      <c r="B361" s="3390"/>
      <c r="C361" s="3388">
        <v>74557</v>
      </c>
      <c r="D361" s="3371"/>
      <c r="E361" s="3370"/>
      <c r="F361" s="3372">
        <v>0</v>
      </c>
      <c r="G361" s="3373">
        <v>256</v>
      </c>
      <c r="H361" s="3374">
        <v>2006</v>
      </c>
      <c r="I361" s="3373">
        <v>0</v>
      </c>
      <c r="J361" s="3374">
        <v>0</v>
      </c>
      <c r="K361" s="3373">
        <v>0</v>
      </c>
      <c r="L361" s="3374">
        <v>928</v>
      </c>
      <c r="M361" s="3373">
        <v>0</v>
      </c>
      <c r="N361" s="3375">
        <v>0</v>
      </c>
      <c r="O361" s="3376">
        <f t="shared" si="7"/>
        <v>3190</v>
      </c>
      <c r="P361" s="3380">
        <v>0</v>
      </c>
      <c r="Q361" s="3375">
        <v>0</v>
      </c>
      <c r="R361" s="3381">
        <v>12585</v>
      </c>
    </row>
    <row r="362" spans="1:18">
      <c r="A362" s="3368">
        <f t="shared" si="8"/>
        <v>2020.05</v>
      </c>
      <c r="B362" s="3390"/>
      <c r="C362" s="3388">
        <v>250568</v>
      </c>
      <c r="D362" s="3371"/>
      <c r="E362" s="3370"/>
      <c r="F362" s="3372">
        <v>1789</v>
      </c>
      <c r="G362" s="3373">
        <v>85</v>
      </c>
      <c r="H362" s="3374">
        <v>5161</v>
      </c>
      <c r="I362" s="3373">
        <v>11683</v>
      </c>
      <c r="J362" s="3374">
        <v>2751</v>
      </c>
      <c r="K362" s="3373">
        <v>538</v>
      </c>
      <c r="L362" s="3374">
        <v>4891</v>
      </c>
      <c r="M362" s="3373">
        <v>435</v>
      </c>
      <c r="N362" s="3375">
        <v>1679</v>
      </c>
      <c r="O362" s="3376">
        <f t="shared" si="7"/>
        <v>29012</v>
      </c>
      <c r="P362" s="3380">
        <v>31078</v>
      </c>
      <c r="Q362" s="3375">
        <v>291</v>
      </c>
      <c r="R362" s="3381">
        <v>82176</v>
      </c>
    </row>
    <row r="363" spans="1:18">
      <c r="A363" s="3368">
        <f t="shared" si="8"/>
        <v>2020.06</v>
      </c>
      <c r="B363" s="3390"/>
      <c r="C363" s="3388">
        <v>423864</v>
      </c>
      <c r="D363" s="3371"/>
      <c r="E363" s="3370"/>
      <c r="F363" s="3372">
        <v>1922</v>
      </c>
      <c r="G363" s="3373">
        <v>360</v>
      </c>
      <c r="H363" s="3374">
        <v>6927</v>
      </c>
      <c r="I363" s="3373">
        <v>7302</v>
      </c>
      <c r="J363" s="3374">
        <v>2374</v>
      </c>
      <c r="K363" s="3373">
        <v>1758</v>
      </c>
      <c r="L363" s="3374">
        <v>2467</v>
      </c>
      <c r="M363" s="3373">
        <v>981</v>
      </c>
      <c r="N363" s="3375">
        <v>3980</v>
      </c>
      <c r="O363" s="3376">
        <f t="shared" si="7"/>
        <v>28071</v>
      </c>
      <c r="P363" s="3380">
        <v>21548</v>
      </c>
      <c r="Q363" s="3375">
        <v>403</v>
      </c>
      <c r="R363" s="3381">
        <v>90948</v>
      </c>
    </row>
    <row r="364" spans="1:18">
      <c r="A364" s="3368">
        <f t="shared" si="8"/>
        <v>2020.07</v>
      </c>
      <c r="B364" s="3390"/>
      <c r="C364" s="3388">
        <v>418453</v>
      </c>
      <c r="D364" s="3371"/>
      <c r="E364" s="3370"/>
      <c r="F364" s="3372">
        <v>244</v>
      </c>
      <c r="G364" s="3373">
        <v>601</v>
      </c>
      <c r="H364" s="3374">
        <v>5980</v>
      </c>
      <c r="I364" s="3373">
        <v>7473</v>
      </c>
      <c r="J364" s="3374">
        <v>3212</v>
      </c>
      <c r="K364" s="3373">
        <v>5617</v>
      </c>
      <c r="L364" s="3374">
        <v>2894</v>
      </c>
      <c r="M364" s="3373">
        <v>5468</v>
      </c>
      <c r="N364" s="3375">
        <v>8388</v>
      </c>
      <c r="O364" s="3376">
        <f t="shared" si="7"/>
        <v>39877</v>
      </c>
      <c r="P364" s="3380">
        <v>39157</v>
      </c>
      <c r="Q364" s="3375">
        <v>342</v>
      </c>
      <c r="R364" s="3381">
        <v>115216</v>
      </c>
    </row>
    <row r="365" spans="1:18">
      <c r="A365" s="3368">
        <f t="shared" si="8"/>
        <v>2020.08</v>
      </c>
      <c r="B365" s="3390"/>
      <c r="C365" s="3388">
        <v>565776</v>
      </c>
      <c r="D365" s="3371"/>
      <c r="E365" s="3370"/>
      <c r="F365" s="3372">
        <v>232</v>
      </c>
      <c r="G365" s="3373">
        <v>1433</v>
      </c>
      <c r="H365" s="3374">
        <v>6065</v>
      </c>
      <c r="I365" s="3373">
        <v>8696</v>
      </c>
      <c r="J365" s="3374">
        <v>8212</v>
      </c>
      <c r="K365" s="3373">
        <v>4401</v>
      </c>
      <c r="L365" s="3374">
        <v>2223</v>
      </c>
      <c r="M365" s="3373">
        <v>1019</v>
      </c>
      <c r="N365" s="3375">
        <v>2397</v>
      </c>
      <c r="O365" s="3376">
        <f t="shared" si="7"/>
        <v>34678</v>
      </c>
      <c r="P365" s="3380">
        <v>26357</v>
      </c>
      <c r="Q365" s="3375">
        <v>2553</v>
      </c>
      <c r="R365" s="3381">
        <v>102731</v>
      </c>
    </row>
    <row r="366" spans="1:18">
      <c r="A366" s="3368">
        <f t="shared" si="8"/>
        <v>2020.09</v>
      </c>
      <c r="B366" s="3390"/>
      <c r="C366" s="3388">
        <v>432109</v>
      </c>
      <c r="D366" s="3371"/>
      <c r="E366" s="3370"/>
      <c r="F366" s="3372">
        <v>800</v>
      </c>
      <c r="G366" s="3373">
        <v>2646</v>
      </c>
      <c r="H366" s="3374">
        <v>3056</v>
      </c>
      <c r="I366" s="3373">
        <v>10369</v>
      </c>
      <c r="J366" s="3374">
        <v>3934</v>
      </c>
      <c r="K366" s="3373">
        <v>5032</v>
      </c>
      <c r="L366" s="3374">
        <v>1452</v>
      </c>
      <c r="M366" s="3373">
        <v>2200</v>
      </c>
      <c r="N366" s="3375">
        <v>2937</v>
      </c>
      <c r="O366" s="3376">
        <f t="shared" si="7"/>
        <v>32426</v>
      </c>
      <c r="P366" s="3380">
        <v>18922</v>
      </c>
      <c r="Q366" s="3375">
        <v>0</v>
      </c>
      <c r="R366" s="3381">
        <v>97709</v>
      </c>
    </row>
    <row r="367" spans="1:18">
      <c r="A367" s="3368">
        <f t="shared" si="8"/>
        <v>2020.1</v>
      </c>
      <c r="B367" s="3390"/>
      <c r="C367" s="3388">
        <v>528512</v>
      </c>
      <c r="D367" s="3371"/>
      <c r="E367" s="3370"/>
      <c r="F367" s="3372">
        <v>377</v>
      </c>
      <c r="G367" s="3373">
        <v>2289</v>
      </c>
      <c r="H367" s="3374">
        <v>16478</v>
      </c>
      <c r="I367" s="3373">
        <v>12274</v>
      </c>
      <c r="J367" s="3374">
        <v>7298</v>
      </c>
      <c r="K367" s="3373">
        <v>2950</v>
      </c>
      <c r="L367" s="3374">
        <v>1746</v>
      </c>
      <c r="M367" s="3373">
        <v>4989</v>
      </c>
      <c r="N367" s="3375">
        <v>2288</v>
      </c>
      <c r="O367" s="3376">
        <f t="shared" si="7"/>
        <v>50689</v>
      </c>
      <c r="P367" s="3380">
        <v>28951</v>
      </c>
      <c r="Q367" s="3375">
        <v>595</v>
      </c>
      <c r="R367" s="3381">
        <v>145100</v>
      </c>
    </row>
    <row r="368" spans="1:18">
      <c r="A368" s="3368">
        <f t="shared" si="8"/>
        <v>2020.11</v>
      </c>
      <c r="B368" s="3390"/>
      <c r="C368" s="3388">
        <v>571702</v>
      </c>
      <c r="D368" s="3371"/>
      <c r="E368" s="3370"/>
      <c r="F368" s="3372">
        <v>1575</v>
      </c>
      <c r="G368" s="3373">
        <v>4895</v>
      </c>
      <c r="H368" s="3374">
        <v>7391</v>
      </c>
      <c r="I368" s="3373">
        <v>15956</v>
      </c>
      <c r="J368" s="3374">
        <v>9592</v>
      </c>
      <c r="K368" s="3373">
        <v>3517</v>
      </c>
      <c r="L368" s="3374">
        <v>3709</v>
      </c>
      <c r="M368" s="3373">
        <v>1901</v>
      </c>
      <c r="N368" s="3375">
        <v>2798</v>
      </c>
      <c r="O368" s="3376">
        <f t="shared" si="7"/>
        <v>51334</v>
      </c>
      <c r="P368" s="3380">
        <v>28894</v>
      </c>
      <c r="Q368" s="3375">
        <v>1784</v>
      </c>
      <c r="R368" s="3381">
        <v>146632</v>
      </c>
    </row>
    <row r="369" spans="1:18">
      <c r="A369" s="3368">
        <f t="shared" si="8"/>
        <v>2020.12</v>
      </c>
      <c r="B369" s="3390"/>
      <c r="C369" s="3388">
        <v>685586</v>
      </c>
      <c r="D369" s="3371"/>
      <c r="E369" s="3370"/>
      <c r="F369" s="3372">
        <v>1315</v>
      </c>
      <c r="G369" s="3373">
        <v>8260</v>
      </c>
      <c r="H369" s="3374">
        <v>7460</v>
      </c>
      <c r="I369" s="3373">
        <v>11254</v>
      </c>
      <c r="J369" s="3374">
        <v>4274</v>
      </c>
      <c r="K369" s="3373">
        <v>4016</v>
      </c>
      <c r="L369" s="3374">
        <v>1572</v>
      </c>
      <c r="M369" s="3373">
        <v>2947</v>
      </c>
      <c r="N369" s="3375">
        <v>3102</v>
      </c>
      <c r="O369" s="3376">
        <f t="shared" si="7"/>
        <v>44200</v>
      </c>
      <c r="P369" s="3380">
        <v>24261</v>
      </c>
      <c r="Q369" s="3375">
        <v>2840</v>
      </c>
      <c r="R369" s="3381">
        <v>130831</v>
      </c>
    </row>
    <row r="370" spans="1:18">
      <c r="A370" s="3368">
        <f t="shared" si="8"/>
        <v>2021.01</v>
      </c>
      <c r="B370" s="3390"/>
      <c r="C370" s="3388">
        <v>814680</v>
      </c>
      <c r="D370" s="3392">
        <v>1154822</v>
      </c>
      <c r="E370" s="3392">
        <v>1284416</v>
      </c>
      <c r="F370" s="3372">
        <v>983</v>
      </c>
      <c r="G370" s="3373">
        <v>3589</v>
      </c>
      <c r="H370" s="3374">
        <v>4159</v>
      </c>
      <c r="I370" s="3373">
        <v>15434</v>
      </c>
      <c r="J370" s="3374">
        <v>0</v>
      </c>
      <c r="K370" s="3373">
        <v>34680</v>
      </c>
      <c r="L370" s="3374">
        <v>1316</v>
      </c>
      <c r="M370" s="3373">
        <v>3677</v>
      </c>
      <c r="N370" s="3375">
        <v>2923</v>
      </c>
      <c r="O370" s="3376">
        <f t="shared" si="7"/>
        <v>66761</v>
      </c>
      <c r="P370" s="3380">
        <v>38764</v>
      </c>
      <c r="Q370" s="3375">
        <v>1765</v>
      </c>
      <c r="R370" s="3381">
        <v>124937</v>
      </c>
    </row>
    <row r="371" spans="1:18">
      <c r="A371" s="3368">
        <f t="shared" si="8"/>
        <v>2021.02</v>
      </c>
      <c r="B371" s="3390"/>
      <c r="C371" s="3388">
        <v>666632</v>
      </c>
      <c r="D371" s="3393">
        <v>1052141</v>
      </c>
      <c r="E371" s="3394">
        <v>1204342</v>
      </c>
      <c r="F371" s="3372">
        <v>3156</v>
      </c>
      <c r="G371" s="3373">
        <v>4405</v>
      </c>
      <c r="H371" s="3374">
        <v>4992</v>
      </c>
      <c r="I371" s="3373">
        <v>7584</v>
      </c>
      <c r="J371" s="3374">
        <v>6558</v>
      </c>
      <c r="K371" s="3373">
        <v>2546</v>
      </c>
      <c r="L371" s="3374">
        <v>2087</v>
      </c>
      <c r="M371" s="3373">
        <v>2334</v>
      </c>
      <c r="N371" s="3375">
        <v>1771</v>
      </c>
      <c r="O371" s="3376">
        <f t="shared" si="7"/>
        <v>35433</v>
      </c>
      <c r="P371" s="3380">
        <v>30572</v>
      </c>
      <c r="Q371" s="3375">
        <v>2522</v>
      </c>
      <c r="R371" s="3381">
        <v>107334</v>
      </c>
    </row>
    <row r="372" spans="1:18">
      <c r="A372" s="3368">
        <f t="shared" si="8"/>
        <v>2021.03</v>
      </c>
      <c r="B372" s="3390"/>
      <c r="C372" s="3388">
        <v>770373</v>
      </c>
      <c r="D372" s="3393">
        <v>1256144</v>
      </c>
      <c r="E372" s="3394">
        <v>1467174</v>
      </c>
      <c r="F372" s="3372">
        <v>0</v>
      </c>
      <c r="G372" s="3373">
        <v>7151</v>
      </c>
      <c r="H372" s="3374">
        <v>4992</v>
      </c>
      <c r="I372" s="3395">
        <v>10969</v>
      </c>
      <c r="J372" s="3396">
        <v>5009</v>
      </c>
      <c r="K372" s="3395">
        <v>5145</v>
      </c>
      <c r="L372" s="3374">
        <v>4557</v>
      </c>
      <c r="M372" s="3395">
        <v>3532</v>
      </c>
      <c r="N372" s="3375">
        <v>4005</v>
      </c>
      <c r="O372" s="3376">
        <f t="shared" si="7"/>
        <v>45360</v>
      </c>
      <c r="P372" s="3380">
        <v>36876</v>
      </c>
      <c r="Q372" s="3375">
        <v>1876</v>
      </c>
      <c r="R372" s="3381">
        <v>130274</v>
      </c>
    </row>
    <row r="373" spans="1:18">
      <c r="A373" s="3368">
        <f t="shared" si="8"/>
        <v>2021.04</v>
      </c>
      <c r="B373" s="3390"/>
      <c r="C373" s="3388">
        <v>819230</v>
      </c>
      <c r="D373" s="3393">
        <v>1399502</v>
      </c>
      <c r="E373" s="3394">
        <v>1626005</v>
      </c>
      <c r="F373" s="3372">
        <v>1294</v>
      </c>
      <c r="G373" s="3373">
        <v>1827</v>
      </c>
      <c r="H373" s="3374">
        <v>8811</v>
      </c>
      <c r="I373" s="3395">
        <v>7442</v>
      </c>
      <c r="J373" s="3396">
        <v>6282</v>
      </c>
      <c r="K373" s="3395">
        <v>3899</v>
      </c>
      <c r="L373" s="3374">
        <v>2269</v>
      </c>
      <c r="M373" s="3395">
        <v>3025</v>
      </c>
      <c r="N373" s="3375">
        <v>3494</v>
      </c>
      <c r="O373" s="3376">
        <f t="shared" si="7"/>
        <v>38343</v>
      </c>
      <c r="P373" s="3380">
        <v>62676</v>
      </c>
      <c r="Q373" s="3375">
        <v>1613</v>
      </c>
      <c r="R373" s="3381">
        <v>148013</v>
      </c>
    </row>
    <row r="374" spans="1:18">
      <c r="A374" s="3368">
        <f t="shared" si="8"/>
        <v>2021.05</v>
      </c>
      <c r="B374" s="3390"/>
      <c r="C374" s="3388">
        <v>744546</v>
      </c>
      <c r="D374" s="3393">
        <v>1126635</v>
      </c>
      <c r="E374" s="3394">
        <v>1281317</v>
      </c>
      <c r="F374" s="3372">
        <v>1830</v>
      </c>
      <c r="G374" s="3373">
        <v>12950</v>
      </c>
      <c r="H374" s="3374">
        <v>4342</v>
      </c>
      <c r="I374" s="3395">
        <v>9654</v>
      </c>
      <c r="J374" s="3396">
        <v>4931</v>
      </c>
      <c r="K374" s="3395">
        <v>5340</v>
      </c>
      <c r="L374" s="3374">
        <v>1185</v>
      </c>
      <c r="M374" s="3373">
        <v>6297</v>
      </c>
      <c r="N374" s="3375">
        <v>2778</v>
      </c>
      <c r="O374" s="3376">
        <f t="shared" si="7"/>
        <v>49307</v>
      </c>
      <c r="P374" s="3380">
        <v>55925</v>
      </c>
      <c r="Q374" s="3375">
        <v>833</v>
      </c>
      <c r="R374" s="3381">
        <v>152032</v>
      </c>
    </row>
    <row r="375" spans="1:18">
      <c r="A375" s="3368">
        <f t="shared" si="8"/>
        <v>2021.06</v>
      </c>
      <c r="B375" s="3390"/>
      <c r="C375" s="3388">
        <v>705085</v>
      </c>
      <c r="D375" s="3393">
        <v>1177177</v>
      </c>
      <c r="E375" s="3394">
        <v>1383340</v>
      </c>
      <c r="F375" s="3372">
        <v>550</v>
      </c>
      <c r="G375" s="3373">
        <v>7673</v>
      </c>
      <c r="H375" s="3374">
        <v>10208</v>
      </c>
      <c r="I375" s="3373">
        <v>14942</v>
      </c>
      <c r="J375" s="3374">
        <v>5243</v>
      </c>
      <c r="K375" s="3373">
        <v>5525</v>
      </c>
      <c r="L375" s="3374">
        <v>3023</v>
      </c>
      <c r="M375" s="3373">
        <v>9449</v>
      </c>
      <c r="N375" s="3375">
        <v>10177</v>
      </c>
      <c r="O375" s="3376">
        <f t="shared" si="7"/>
        <v>66790</v>
      </c>
      <c r="P375" s="3380">
        <v>76767</v>
      </c>
      <c r="Q375" s="3375">
        <v>3723</v>
      </c>
      <c r="R375" s="3381">
        <v>190652</v>
      </c>
    </row>
    <row r="376" spans="1:18">
      <c r="A376" s="3368">
        <f t="shared" si="8"/>
        <v>2021.07</v>
      </c>
      <c r="B376" s="3390"/>
      <c r="C376" s="3388">
        <v>710186</v>
      </c>
      <c r="D376" s="3393">
        <v>1211394</v>
      </c>
      <c r="E376" s="3394">
        <v>1408729</v>
      </c>
      <c r="F376" s="3372">
        <v>1501</v>
      </c>
      <c r="G376" s="3373">
        <v>4626</v>
      </c>
      <c r="H376" s="3374">
        <v>9824</v>
      </c>
      <c r="I376" s="3373">
        <v>8281</v>
      </c>
      <c r="J376" s="3374">
        <v>4366</v>
      </c>
      <c r="K376" s="3373">
        <v>5336</v>
      </c>
      <c r="L376" s="3374">
        <v>3130</v>
      </c>
      <c r="M376" s="3373">
        <v>7711</v>
      </c>
      <c r="N376" s="3375">
        <v>3306</v>
      </c>
      <c r="O376" s="3376">
        <f t="shared" si="7"/>
        <v>48081</v>
      </c>
      <c r="P376" s="3380">
        <v>47916</v>
      </c>
      <c r="Q376" s="3375">
        <v>4466</v>
      </c>
      <c r="R376" s="3381">
        <v>150607</v>
      </c>
    </row>
    <row r="377" spans="1:18">
      <c r="A377" s="3368">
        <f t="shared" si="8"/>
        <v>2021.08</v>
      </c>
      <c r="B377" s="3390"/>
      <c r="C377" s="3388">
        <v>905408</v>
      </c>
      <c r="D377" s="3393">
        <v>1503301</v>
      </c>
      <c r="E377" s="3394">
        <v>1703560</v>
      </c>
      <c r="F377" s="3372">
        <v>1796</v>
      </c>
      <c r="G377" s="3373">
        <v>9987</v>
      </c>
      <c r="H377" s="3374">
        <v>5710</v>
      </c>
      <c r="I377" s="3373">
        <v>7230</v>
      </c>
      <c r="J377" s="3374">
        <v>8044</v>
      </c>
      <c r="K377" s="3373">
        <v>7412</v>
      </c>
      <c r="L377" s="3374">
        <v>3147</v>
      </c>
      <c r="M377" s="3373">
        <v>4431</v>
      </c>
      <c r="N377" s="3375">
        <v>3239</v>
      </c>
      <c r="O377" s="3376">
        <f t="shared" si="7"/>
        <v>50996</v>
      </c>
      <c r="P377" s="3380">
        <v>41605</v>
      </c>
      <c r="Q377" s="3375">
        <v>1353</v>
      </c>
      <c r="R377" s="3381">
        <v>147473</v>
      </c>
    </row>
    <row r="378" spans="1:18">
      <c r="A378" s="3368">
        <f t="shared" si="8"/>
        <v>2021.09</v>
      </c>
      <c r="B378" s="3390"/>
      <c r="C378" s="3388">
        <v>1029521</v>
      </c>
      <c r="D378" s="3393">
        <v>1603732</v>
      </c>
      <c r="E378" s="3394">
        <v>1892701</v>
      </c>
      <c r="F378" s="3372">
        <v>3090</v>
      </c>
      <c r="G378" s="3373">
        <v>4492</v>
      </c>
      <c r="H378" s="3374">
        <v>3243</v>
      </c>
      <c r="I378" s="3373">
        <v>7763</v>
      </c>
      <c r="J378" s="3374">
        <v>4545</v>
      </c>
      <c r="K378" s="3373">
        <v>5906</v>
      </c>
      <c r="L378" s="3374">
        <v>1366</v>
      </c>
      <c r="M378" s="3373">
        <v>5130</v>
      </c>
      <c r="N378" s="3375">
        <v>3188</v>
      </c>
      <c r="O378" s="3376">
        <f t="shared" si="7"/>
        <v>38723</v>
      </c>
      <c r="P378" s="3380">
        <v>44049</v>
      </c>
      <c r="Q378" s="3375">
        <v>12390</v>
      </c>
      <c r="R378" s="3381">
        <v>167818</v>
      </c>
    </row>
    <row r="379" spans="1:18">
      <c r="A379" s="3368">
        <f t="shared" si="8"/>
        <v>2021.1</v>
      </c>
      <c r="B379" s="3390"/>
      <c r="C379" s="3388">
        <v>1026404</v>
      </c>
      <c r="D379" s="3393">
        <v>1684995</v>
      </c>
      <c r="E379" s="3394">
        <v>1888115</v>
      </c>
      <c r="F379" s="3372">
        <v>1981</v>
      </c>
      <c r="G379" s="3373">
        <v>5156</v>
      </c>
      <c r="H379" s="3374">
        <v>5864</v>
      </c>
      <c r="I379" s="3373">
        <v>324</v>
      </c>
      <c r="J379" s="3374">
        <v>6727</v>
      </c>
      <c r="K379" s="3373">
        <v>4587</v>
      </c>
      <c r="L379" s="3374">
        <v>3405</v>
      </c>
      <c r="M379" s="3373">
        <v>3096</v>
      </c>
      <c r="N379" s="3375">
        <v>5190</v>
      </c>
      <c r="O379" s="3376">
        <f t="shared" si="7"/>
        <v>36330</v>
      </c>
      <c r="P379" s="3380">
        <v>23925</v>
      </c>
      <c r="Q379" s="3375">
        <v>759</v>
      </c>
      <c r="R379" s="3381">
        <v>116992</v>
      </c>
    </row>
    <row r="380" spans="1:18">
      <c r="A380" s="3368">
        <f t="shared" si="8"/>
        <v>2021.11</v>
      </c>
      <c r="B380" s="3390"/>
      <c r="C380" s="3388">
        <v>925377</v>
      </c>
      <c r="D380" s="3393">
        <v>1641683</v>
      </c>
      <c r="E380" s="3394">
        <v>1863954</v>
      </c>
      <c r="F380" s="3372">
        <v>1106</v>
      </c>
      <c r="G380" s="3373">
        <v>2381</v>
      </c>
      <c r="H380" s="3374">
        <v>4987</v>
      </c>
      <c r="I380" s="3373">
        <v>7027</v>
      </c>
      <c r="J380" s="3374">
        <v>4327</v>
      </c>
      <c r="K380" s="3373">
        <v>5879</v>
      </c>
      <c r="L380" s="3374">
        <v>2943</v>
      </c>
      <c r="M380" s="3373">
        <v>1654</v>
      </c>
      <c r="N380" s="3375">
        <v>2078</v>
      </c>
      <c r="O380" s="3376">
        <f t="shared" si="7"/>
        <v>32382</v>
      </c>
      <c r="P380" s="3380">
        <v>60914</v>
      </c>
      <c r="Q380" s="3375">
        <v>0</v>
      </c>
      <c r="R380" s="3381">
        <v>149271</v>
      </c>
    </row>
    <row r="381" spans="1:18">
      <c r="A381" s="3368">
        <f t="shared" si="8"/>
        <v>2021.12</v>
      </c>
      <c r="B381" s="3390"/>
      <c r="C381" s="3388">
        <v>1006586</v>
      </c>
      <c r="D381" s="3393">
        <v>1615045</v>
      </c>
      <c r="E381" s="3394">
        <v>1861012</v>
      </c>
      <c r="F381" s="3372">
        <v>11790</v>
      </c>
      <c r="G381" s="3373">
        <v>11187</v>
      </c>
      <c r="H381" s="3374">
        <v>4318</v>
      </c>
      <c r="I381" s="3373">
        <v>6575</v>
      </c>
      <c r="J381" s="3374">
        <v>7161</v>
      </c>
      <c r="K381" s="3373">
        <v>4777</v>
      </c>
      <c r="L381" s="3374">
        <v>2557</v>
      </c>
      <c r="M381" s="3373">
        <v>5850</v>
      </c>
      <c r="N381" s="3375">
        <v>1343</v>
      </c>
      <c r="O381" s="3376">
        <f t="shared" si="7"/>
        <v>55558</v>
      </c>
      <c r="P381" s="3380">
        <v>73094</v>
      </c>
      <c r="Q381" s="3375">
        <v>773</v>
      </c>
      <c r="R381" s="3381">
        <v>175795</v>
      </c>
    </row>
    <row r="382" spans="1:18">
      <c r="A382" s="3368">
        <f t="shared" si="8"/>
        <v>2022.01</v>
      </c>
      <c r="B382" s="3397"/>
      <c r="C382" s="3398" t="s">
        <v>356</v>
      </c>
      <c r="D382" s="3393">
        <v>929168</v>
      </c>
      <c r="E382" s="3394">
        <v>1053274</v>
      </c>
      <c r="F382" s="3372">
        <v>1788</v>
      </c>
      <c r="G382" s="3373">
        <v>3105</v>
      </c>
      <c r="H382" s="3374">
        <v>5670</v>
      </c>
      <c r="I382" s="3373">
        <v>5945</v>
      </c>
      <c r="J382" s="3374">
        <v>2802</v>
      </c>
      <c r="K382" s="3373">
        <v>7083</v>
      </c>
      <c r="L382" s="3374">
        <v>1337</v>
      </c>
      <c r="M382" s="3373">
        <v>3623</v>
      </c>
      <c r="N382" s="3375">
        <v>1515</v>
      </c>
      <c r="O382" s="3376">
        <f t="shared" si="7"/>
        <v>32868</v>
      </c>
      <c r="P382" s="3380">
        <v>25729</v>
      </c>
      <c r="Q382" s="3375">
        <v>227</v>
      </c>
      <c r="R382" s="3381">
        <v>93974</v>
      </c>
    </row>
    <row r="383" spans="1:18">
      <c r="A383" s="3368">
        <f t="shared" si="8"/>
        <v>2022.02</v>
      </c>
      <c r="B383" s="3390"/>
      <c r="C383" s="3399"/>
      <c r="D383" s="3393">
        <v>1259445</v>
      </c>
      <c r="E383" s="3394">
        <v>1408377</v>
      </c>
      <c r="F383" s="3372">
        <v>1013</v>
      </c>
      <c r="G383" s="3373">
        <v>7032</v>
      </c>
      <c r="H383" s="3374">
        <v>4025</v>
      </c>
      <c r="I383" s="3373">
        <v>9778</v>
      </c>
      <c r="J383" s="3374">
        <v>5600</v>
      </c>
      <c r="K383" s="3373">
        <v>12818</v>
      </c>
      <c r="L383" s="3374">
        <v>1468</v>
      </c>
      <c r="M383" s="3373">
        <v>6663</v>
      </c>
      <c r="N383" s="3375">
        <v>2518</v>
      </c>
      <c r="O383" s="3376">
        <f t="shared" si="7"/>
        <v>50915</v>
      </c>
      <c r="P383" s="3380">
        <v>57945</v>
      </c>
      <c r="Q383" s="3375">
        <v>0</v>
      </c>
      <c r="R383" s="3381">
        <v>155567</v>
      </c>
    </row>
    <row r="384" spans="1:18">
      <c r="A384" s="3368">
        <f t="shared" si="8"/>
        <v>2022.03</v>
      </c>
      <c r="B384" s="3390"/>
      <c r="C384" s="3399"/>
      <c r="D384" s="3393">
        <v>1318794</v>
      </c>
      <c r="E384" s="3394">
        <v>1553466</v>
      </c>
      <c r="F384" s="3372">
        <v>750</v>
      </c>
      <c r="G384" s="3373">
        <v>6305</v>
      </c>
      <c r="H384" s="3374">
        <v>6233</v>
      </c>
      <c r="I384" s="3373">
        <v>5549</v>
      </c>
      <c r="J384" s="3374">
        <v>4335</v>
      </c>
      <c r="K384" s="3374">
        <v>4714</v>
      </c>
      <c r="L384" s="3374">
        <v>3512</v>
      </c>
      <c r="M384" s="3373">
        <v>3108</v>
      </c>
      <c r="N384" s="3375">
        <v>2851</v>
      </c>
      <c r="O384" s="3376">
        <f t="shared" si="7"/>
        <v>37357</v>
      </c>
      <c r="P384" s="3380">
        <v>43571</v>
      </c>
      <c r="Q384" s="3375">
        <v>1358</v>
      </c>
      <c r="R384" s="3381">
        <v>139789</v>
      </c>
    </row>
    <row r="385" spans="1:18">
      <c r="A385" s="3368">
        <f t="shared" si="8"/>
        <v>2022.04</v>
      </c>
      <c r="B385" s="3390"/>
      <c r="C385" s="3399"/>
      <c r="D385" s="3393">
        <v>1384871</v>
      </c>
      <c r="E385" s="3394">
        <v>1617876</v>
      </c>
      <c r="F385" s="3372">
        <v>1569</v>
      </c>
      <c r="G385" s="3373">
        <v>12696</v>
      </c>
      <c r="H385" s="3374">
        <v>8786</v>
      </c>
      <c r="I385" s="3373">
        <v>9628</v>
      </c>
      <c r="J385" s="3374">
        <v>11254</v>
      </c>
      <c r="K385" s="3373">
        <v>2694</v>
      </c>
      <c r="L385" s="3374">
        <v>2023</v>
      </c>
      <c r="M385" s="3373">
        <v>1767</v>
      </c>
      <c r="N385" s="3375">
        <v>4819</v>
      </c>
      <c r="O385" s="3376">
        <f t="shared" si="7"/>
        <v>55236</v>
      </c>
      <c r="P385" s="3380">
        <v>48555</v>
      </c>
      <c r="Q385" s="3375">
        <v>160</v>
      </c>
      <c r="R385" s="3381">
        <v>170022</v>
      </c>
    </row>
    <row r="386" spans="1:18">
      <c r="A386" s="3368">
        <f t="shared" si="8"/>
        <v>2022.05</v>
      </c>
      <c r="B386" s="3390"/>
      <c r="C386" s="3399"/>
      <c r="D386" s="3393">
        <v>1244107</v>
      </c>
      <c r="E386" s="3394">
        <v>1515240</v>
      </c>
      <c r="F386" s="3372">
        <v>1621</v>
      </c>
      <c r="G386" s="3373">
        <v>15100</v>
      </c>
      <c r="H386" s="3374">
        <v>2770</v>
      </c>
      <c r="I386" s="3373">
        <v>7116</v>
      </c>
      <c r="J386" s="3374">
        <v>22428</v>
      </c>
      <c r="K386" s="3373">
        <v>9513</v>
      </c>
      <c r="L386" s="3374">
        <v>2688</v>
      </c>
      <c r="M386" s="3373">
        <v>3218</v>
      </c>
      <c r="N386" s="3375">
        <v>3274</v>
      </c>
      <c r="O386" s="3376">
        <f t="shared" si="7"/>
        <v>67728</v>
      </c>
      <c r="P386" s="3380">
        <v>68599</v>
      </c>
      <c r="Q386" s="3375">
        <v>3239</v>
      </c>
      <c r="R386" s="3381">
        <v>188160</v>
      </c>
    </row>
    <row r="387" spans="1:18">
      <c r="A387" s="3368">
        <f t="shared" si="8"/>
        <v>2022.06</v>
      </c>
      <c r="B387" s="3390"/>
      <c r="C387" s="3399"/>
      <c r="D387" s="3393">
        <v>1235004</v>
      </c>
      <c r="E387" s="3394">
        <v>1470079</v>
      </c>
      <c r="F387" s="3372">
        <v>1694</v>
      </c>
      <c r="G387" s="3373">
        <v>7792</v>
      </c>
      <c r="H387" s="3374">
        <v>7462</v>
      </c>
      <c r="I387" s="3373">
        <v>10899</v>
      </c>
      <c r="J387" s="3374">
        <v>4630</v>
      </c>
      <c r="K387" s="3373">
        <v>6024</v>
      </c>
      <c r="L387" s="3374">
        <v>2566</v>
      </c>
      <c r="M387" s="3373">
        <v>2979</v>
      </c>
      <c r="N387" s="3375">
        <v>3659</v>
      </c>
      <c r="O387" s="3376">
        <f t="shared" si="7"/>
        <v>47705</v>
      </c>
      <c r="P387" s="3380">
        <v>43226</v>
      </c>
      <c r="Q387" s="3375">
        <v>2272</v>
      </c>
      <c r="R387" s="3381">
        <v>146259</v>
      </c>
    </row>
    <row r="388" spans="1:18">
      <c r="A388" s="3368">
        <f t="shared" si="8"/>
        <v>2022.07</v>
      </c>
      <c r="B388" s="3390"/>
      <c r="C388" s="3399"/>
      <c r="D388" s="3393">
        <v>1365189</v>
      </c>
      <c r="E388" s="3394">
        <v>1640761</v>
      </c>
      <c r="F388" s="3372">
        <v>1419</v>
      </c>
      <c r="G388" s="3373">
        <v>7827</v>
      </c>
      <c r="H388" s="3374">
        <v>4560</v>
      </c>
      <c r="I388" s="3373">
        <v>7517</v>
      </c>
      <c r="J388" s="3374">
        <v>5933</v>
      </c>
      <c r="K388" s="3373">
        <v>4147</v>
      </c>
      <c r="L388" s="3374">
        <v>3941</v>
      </c>
      <c r="M388" s="3373">
        <v>2936</v>
      </c>
      <c r="N388" s="3375">
        <v>2832</v>
      </c>
      <c r="O388" s="3376">
        <f t="shared" si="7"/>
        <v>41112</v>
      </c>
      <c r="P388" s="3380">
        <v>43347</v>
      </c>
      <c r="Q388" s="3375">
        <v>1988</v>
      </c>
      <c r="R388" s="3381">
        <v>141609</v>
      </c>
    </row>
    <row r="389" spans="1:18">
      <c r="A389" s="3368">
        <f t="shared" si="8"/>
        <v>2022.08</v>
      </c>
      <c r="B389" s="3390"/>
      <c r="C389" s="3399"/>
      <c r="D389" s="3393">
        <v>1269542</v>
      </c>
      <c r="E389" s="3394">
        <v>1519414</v>
      </c>
      <c r="F389" s="3372">
        <v>2329</v>
      </c>
      <c r="G389" s="3373">
        <v>7679</v>
      </c>
      <c r="H389" s="3374">
        <v>5396</v>
      </c>
      <c r="I389" s="3373">
        <v>4620</v>
      </c>
      <c r="J389" s="3374">
        <v>8478</v>
      </c>
      <c r="K389" s="3373">
        <v>5865</v>
      </c>
      <c r="L389" s="3374">
        <v>1239</v>
      </c>
      <c r="M389" s="3373">
        <v>2604</v>
      </c>
      <c r="N389" s="3375">
        <v>5464</v>
      </c>
      <c r="O389" s="3376">
        <f t="shared" si="7"/>
        <v>43674</v>
      </c>
      <c r="P389" s="3380">
        <v>39898</v>
      </c>
      <c r="Q389" s="3375">
        <v>6400</v>
      </c>
      <c r="R389" s="3381">
        <v>154726</v>
      </c>
    </row>
    <row r="390" spans="1:18">
      <c r="A390" s="3368">
        <f t="shared" si="8"/>
        <v>2022.09</v>
      </c>
      <c r="B390" s="3390"/>
      <c r="C390" s="3399"/>
      <c r="D390" s="3393">
        <v>1236936</v>
      </c>
      <c r="E390" s="3394">
        <v>1536731</v>
      </c>
      <c r="F390" s="3372">
        <v>1462</v>
      </c>
      <c r="G390" s="3373">
        <v>4354</v>
      </c>
      <c r="H390" s="3374">
        <v>10042</v>
      </c>
      <c r="I390" s="3373">
        <v>9090</v>
      </c>
      <c r="J390" s="3374">
        <v>10533</v>
      </c>
      <c r="K390" s="3373">
        <v>4641</v>
      </c>
      <c r="L390" s="3374">
        <v>1899</v>
      </c>
      <c r="M390" s="3373">
        <v>1994</v>
      </c>
      <c r="N390" s="3375">
        <v>16054</v>
      </c>
      <c r="O390" s="3376">
        <f t="shared" si="7"/>
        <v>60069</v>
      </c>
      <c r="P390" s="3380">
        <v>34484</v>
      </c>
      <c r="Q390" s="3375">
        <v>626</v>
      </c>
      <c r="R390" s="3381">
        <v>166859</v>
      </c>
    </row>
    <row r="391" spans="1:18">
      <c r="A391" s="3368">
        <f t="shared" si="8"/>
        <v>2022.1</v>
      </c>
      <c r="B391" s="3390"/>
      <c r="C391" s="3399"/>
      <c r="D391" s="3393">
        <v>1128587.3999999999</v>
      </c>
      <c r="E391" s="3394">
        <v>1408133</v>
      </c>
      <c r="F391" s="3372">
        <v>1514</v>
      </c>
      <c r="G391" s="3373">
        <v>8389</v>
      </c>
      <c r="H391" s="3374">
        <v>3412</v>
      </c>
      <c r="I391" s="3373">
        <v>8741</v>
      </c>
      <c r="J391" s="3374">
        <v>6471</v>
      </c>
      <c r="K391" s="3373">
        <v>10005</v>
      </c>
      <c r="L391" s="3374">
        <v>1346</v>
      </c>
      <c r="M391" s="3373">
        <v>1640</v>
      </c>
      <c r="N391" s="3375">
        <v>2369</v>
      </c>
      <c r="O391" s="3376">
        <f t="shared" si="7"/>
        <v>43887</v>
      </c>
      <c r="P391" s="3380">
        <v>36756</v>
      </c>
      <c r="Q391" s="3375">
        <v>291</v>
      </c>
      <c r="R391" s="3381">
        <v>151186</v>
      </c>
    </row>
    <row r="392" spans="1:18">
      <c r="A392" s="3368">
        <f t="shared" si="8"/>
        <v>2022.11</v>
      </c>
      <c r="B392" s="3390"/>
      <c r="C392" s="3399"/>
      <c r="D392" s="3393">
        <v>1343795</v>
      </c>
      <c r="E392" s="3394">
        <v>1625835</v>
      </c>
      <c r="F392" s="3372">
        <v>2901</v>
      </c>
      <c r="G392" s="3373">
        <v>30027</v>
      </c>
      <c r="H392" s="3374">
        <v>8342</v>
      </c>
      <c r="I392" s="3373">
        <v>7755</v>
      </c>
      <c r="J392" s="3374">
        <v>9282</v>
      </c>
      <c r="K392" s="3373">
        <v>4340</v>
      </c>
      <c r="L392" s="3374">
        <v>1942</v>
      </c>
      <c r="M392" s="3373">
        <v>2959</v>
      </c>
      <c r="N392" s="3375">
        <v>3057</v>
      </c>
      <c r="O392" s="3376">
        <f t="shared" si="7"/>
        <v>70605</v>
      </c>
      <c r="P392" s="3380">
        <v>31298</v>
      </c>
      <c r="Q392" s="3375">
        <v>0</v>
      </c>
      <c r="R392" s="3381">
        <v>183115</v>
      </c>
    </row>
    <row r="393" spans="1:18">
      <c r="A393" s="3368">
        <f t="shared" si="8"/>
        <v>2022.12</v>
      </c>
      <c r="B393" s="3390"/>
      <c r="C393" s="3399"/>
      <c r="D393" s="3393">
        <v>1098614</v>
      </c>
      <c r="E393" s="3394">
        <v>1319133</v>
      </c>
      <c r="F393" s="3372">
        <v>1245</v>
      </c>
      <c r="G393" s="3373">
        <v>7801</v>
      </c>
      <c r="H393" s="3374">
        <v>3043</v>
      </c>
      <c r="I393" s="3373">
        <v>5199</v>
      </c>
      <c r="J393" s="3374">
        <v>7042</v>
      </c>
      <c r="K393" s="3373">
        <v>4419</v>
      </c>
      <c r="L393" s="3374">
        <v>3146</v>
      </c>
      <c r="M393" s="3373">
        <v>3807</v>
      </c>
      <c r="N393" s="3375">
        <v>5605</v>
      </c>
      <c r="O393" s="3376">
        <f t="shared" si="7"/>
        <v>41307</v>
      </c>
      <c r="P393" s="3380">
        <v>54177</v>
      </c>
      <c r="Q393" s="3375">
        <v>2427</v>
      </c>
      <c r="R393" s="3381">
        <v>149612</v>
      </c>
    </row>
    <row r="394" spans="1:18">
      <c r="A394" s="3368">
        <f t="shared" si="8"/>
        <v>2023.01</v>
      </c>
      <c r="B394" s="3390"/>
      <c r="C394" s="3399"/>
      <c r="D394" s="3393">
        <v>1062342</v>
      </c>
      <c r="E394" s="3394">
        <v>1238865</v>
      </c>
      <c r="F394" s="3372">
        <v>7706</v>
      </c>
      <c r="G394" s="3373">
        <v>19991</v>
      </c>
      <c r="H394" s="3374">
        <v>4670</v>
      </c>
      <c r="I394" s="3373">
        <v>2357</v>
      </c>
      <c r="J394" s="3374">
        <v>5400</v>
      </c>
      <c r="K394" s="3373">
        <v>2757</v>
      </c>
      <c r="L394" s="3374">
        <v>2122</v>
      </c>
      <c r="M394" s="3373">
        <v>2599</v>
      </c>
      <c r="N394" s="3375">
        <v>4200</v>
      </c>
      <c r="O394" s="3376">
        <f t="shared" si="7"/>
        <v>51802</v>
      </c>
      <c r="P394" s="3380">
        <v>74219</v>
      </c>
      <c r="Q394" s="3375">
        <v>0</v>
      </c>
      <c r="R394" s="3381">
        <v>210371</v>
      </c>
    </row>
    <row r="395" spans="1:18">
      <c r="A395" s="3368">
        <f t="shared" si="8"/>
        <v>2023.02</v>
      </c>
      <c r="B395" s="3390"/>
      <c r="C395" s="3399"/>
      <c r="D395" s="3393">
        <v>899367</v>
      </c>
      <c r="E395" s="3394">
        <v>1054292</v>
      </c>
      <c r="F395" s="3372">
        <v>3338</v>
      </c>
      <c r="G395" s="3373">
        <v>4960</v>
      </c>
      <c r="H395" s="3374">
        <v>4036</v>
      </c>
      <c r="I395" s="3373">
        <v>480</v>
      </c>
      <c r="J395" s="3374">
        <v>4831</v>
      </c>
      <c r="K395" s="3373">
        <v>27377</v>
      </c>
      <c r="L395" s="3374">
        <v>1816</v>
      </c>
      <c r="M395" s="3373">
        <v>3082</v>
      </c>
      <c r="N395" s="3375">
        <v>3321</v>
      </c>
      <c r="O395" s="3376">
        <f t="shared" ref="O395:O419" si="9">_xlfn.AGGREGATE(9,6,F395:N395)</f>
        <v>53241</v>
      </c>
      <c r="P395" s="3380">
        <v>40389</v>
      </c>
      <c r="Q395" s="3375">
        <v>0</v>
      </c>
      <c r="R395" s="3381">
        <v>138999</v>
      </c>
    </row>
    <row r="396" spans="1:18">
      <c r="A396" s="3368">
        <f t="shared" si="8"/>
        <v>2023.03</v>
      </c>
      <c r="B396" s="3390"/>
      <c r="C396" s="3399"/>
      <c r="D396" s="3393">
        <v>1466638</v>
      </c>
      <c r="E396" s="3394">
        <v>1725647</v>
      </c>
      <c r="F396" s="3372">
        <v>4602</v>
      </c>
      <c r="G396" s="3373">
        <v>10393</v>
      </c>
      <c r="H396" s="3374">
        <v>11870</v>
      </c>
      <c r="I396" s="3373">
        <v>8751</v>
      </c>
      <c r="J396" s="3374">
        <v>8471</v>
      </c>
      <c r="K396" s="3373">
        <v>4095</v>
      </c>
      <c r="L396" s="3374">
        <v>2300</v>
      </c>
      <c r="M396" s="3373">
        <v>3488</v>
      </c>
      <c r="N396" s="3375">
        <v>9932</v>
      </c>
      <c r="O396" s="3400">
        <f t="shared" si="9"/>
        <v>63902</v>
      </c>
      <c r="P396" s="3380">
        <v>35444</v>
      </c>
      <c r="Q396" s="3375">
        <v>3533</v>
      </c>
      <c r="R396" s="3381">
        <v>170199</v>
      </c>
    </row>
    <row r="397" spans="1:18">
      <c r="A397" s="3368">
        <f t="shared" si="8"/>
        <v>2023.04</v>
      </c>
      <c r="B397" s="3390"/>
      <c r="C397" s="3399"/>
      <c r="D397" s="3393">
        <v>1052630</v>
      </c>
      <c r="E397" s="3394">
        <v>1406955</v>
      </c>
      <c r="F397" s="3372">
        <v>1160</v>
      </c>
      <c r="G397" s="3401" t="e">
        <v>#N/A</v>
      </c>
      <c r="H397" s="3374">
        <v>6945</v>
      </c>
      <c r="I397" s="3373">
        <v>4146</v>
      </c>
      <c r="J397" s="3374">
        <v>9974</v>
      </c>
      <c r="K397" s="3373" t="e">
        <v>#N/A</v>
      </c>
      <c r="L397" s="3374">
        <v>743</v>
      </c>
      <c r="M397" s="3373">
        <v>3581</v>
      </c>
      <c r="N397" s="3375">
        <v>6483</v>
      </c>
      <c r="O397" s="3376">
        <f t="shared" si="9"/>
        <v>33032</v>
      </c>
      <c r="P397" s="3380">
        <v>55037</v>
      </c>
      <c r="Q397" s="3375">
        <v>1023</v>
      </c>
      <c r="R397" s="3381">
        <v>145096</v>
      </c>
    </row>
    <row r="398" spans="1:18">
      <c r="A398" s="3368">
        <f t="shared" si="8"/>
        <v>2023.05</v>
      </c>
      <c r="B398" s="3390"/>
      <c r="C398" s="3399"/>
      <c r="D398" s="3393">
        <v>1055399</v>
      </c>
      <c r="E398" s="3394">
        <v>1314602</v>
      </c>
      <c r="F398" s="3372">
        <v>2642</v>
      </c>
      <c r="G398" s="3373">
        <v>9788</v>
      </c>
      <c r="H398" s="3374">
        <v>5739</v>
      </c>
      <c r="I398" s="3373">
        <v>7908</v>
      </c>
      <c r="J398" s="3374">
        <v>5116</v>
      </c>
      <c r="K398" s="3401" t="e">
        <v>#N/A</v>
      </c>
      <c r="L398" s="3402" t="e">
        <v>#N/A</v>
      </c>
      <c r="M398" s="3373">
        <v>3929</v>
      </c>
      <c r="N398" s="3375">
        <v>2140</v>
      </c>
      <c r="O398" s="3376">
        <f t="shared" si="9"/>
        <v>37262</v>
      </c>
      <c r="P398" s="3380">
        <v>29485</v>
      </c>
      <c r="Q398" s="3375">
        <v>1467</v>
      </c>
      <c r="R398" s="3381">
        <v>125404</v>
      </c>
    </row>
    <row r="399" spans="1:18">
      <c r="A399" s="3368">
        <f t="shared" si="8"/>
        <v>2023.06</v>
      </c>
      <c r="B399" s="3390"/>
      <c r="C399" s="3399"/>
      <c r="D399" s="3393">
        <v>1065753</v>
      </c>
      <c r="E399" s="3394">
        <v>1301131</v>
      </c>
      <c r="F399" s="3372">
        <v>1637</v>
      </c>
      <c r="G399" s="3373">
        <v>10908</v>
      </c>
      <c r="H399" s="3374">
        <v>8292</v>
      </c>
      <c r="I399" s="3373">
        <v>7033</v>
      </c>
      <c r="J399" s="3374">
        <v>8147</v>
      </c>
      <c r="K399" s="3373">
        <v>5362</v>
      </c>
      <c r="L399" s="3374">
        <v>989</v>
      </c>
      <c r="M399" s="3373">
        <v>6204</v>
      </c>
      <c r="N399" s="3375">
        <v>2775</v>
      </c>
      <c r="O399" s="3376">
        <f t="shared" si="9"/>
        <v>51347</v>
      </c>
      <c r="P399" s="3380">
        <v>47571</v>
      </c>
      <c r="Q399" s="3375">
        <v>3304</v>
      </c>
      <c r="R399" s="3381">
        <v>182956</v>
      </c>
    </row>
    <row r="400" spans="1:18">
      <c r="A400" s="3368">
        <f t="shared" si="8"/>
        <v>2023.07</v>
      </c>
      <c r="B400" s="3390"/>
      <c r="C400" s="3399"/>
      <c r="D400" s="3393">
        <v>1117624</v>
      </c>
      <c r="E400" s="3394">
        <v>1432859</v>
      </c>
      <c r="F400" s="3372">
        <v>2180</v>
      </c>
      <c r="G400" s="3373">
        <v>27193</v>
      </c>
      <c r="H400" s="3374">
        <v>4045</v>
      </c>
      <c r="I400" s="3373">
        <v>8130</v>
      </c>
      <c r="J400" s="3374">
        <v>4805</v>
      </c>
      <c r="K400" s="3373">
        <v>2679</v>
      </c>
      <c r="L400" s="3374">
        <v>1329</v>
      </c>
      <c r="M400" s="3373">
        <v>3139</v>
      </c>
      <c r="N400" s="3375">
        <v>874</v>
      </c>
      <c r="O400" s="3376">
        <f t="shared" si="9"/>
        <v>54374</v>
      </c>
      <c r="P400" s="3380">
        <v>24062</v>
      </c>
      <c r="Q400" s="3375">
        <v>210</v>
      </c>
      <c r="R400" s="3381">
        <v>144350</v>
      </c>
    </row>
    <row r="401" spans="1:18">
      <c r="A401" s="3368">
        <f t="shared" si="8"/>
        <v>2023.08</v>
      </c>
      <c r="B401" s="3390"/>
      <c r="C401" s="3399"/>
      <c r="D401" s="3393">
        <v>1137471</v>
      </c>
      <c r="E401" s="3394">
        <v>1476989</v>
      </c>
      <c r="F401" s="3372">
        <v>1752</v>
      </c>
      <c r="G401" s="3373">
        <v>27193</v>
      </c>
      <c r="H401" s="3374">
        <v>8749</v>
      </c>
      <c r="I401" s="3373">
        <v>9919</v>
      </c>
      <c r="J401" s="3374">
        <v>5617</v>
      </c>
      <c r="K401" s="3373">
        <v>2252</v>
      </c>
      <c r="L401" s="3374">
        <v>4354</v>
      </c>
      <c r="M401" s="3373">
        <v>2953</v>
      </c>
      <c r="N401" s="3375">
        <v>3874</v>
      </c>
      <c r="O401" s="3376">
        <f t="shared" si="9"/>
        <v>66663</v>
      </c>
      <c r="P401" s="3380">
        <v>34076</v>
      </c>
      <c r="Q401" s="3375">
        <v>619</v>
      </c>
      <c r="R401" s="3381">
        <v>186728</v>
      </c>
    </row>
    <row r="402" spans="1:18">
      <c r="A402" s="3368">
        <f t="shared" si="8"/>
        <v>2023.09</v>
      </c>
      <c r="B402" s="3390"/>
      <c r="C402" s="3399"/>
      <c r="D402" s="3393">
        <v>1179421</v>
      </c>
      <c r="E402" s="3394">
        <v>1430763</v>
      </c>
      <c r="F402" s="3372">
        <v>1243</v>
      </c>
      <c r="G402" s="3373">
        <v>12637</v>
      </c>
      <c r="H402" s="3374">
        <v>4675</v>
      </c>
      <c r="I402" s="3373">
        <v>7132</v>
      </c>
      <c r="J402" s="3374">
        <v>5157</v>
      </c>
      <c r="K402" s="3373">
        <v>4265</v>
      </c>
      <c r="L402" s="3374">
        <v>2061</v>
      </c>
      <c r="M402" s="3373">
        <v>2812</v>
      </c>
      <c r="N402" s="3375">
        <v>18506</v>
      </c>
      <c r="O402" s="3376">
        <f t="shared" si="9"/>
        <v>58488</v>
      </c>
      <c r="P402" s="3380">
        <v>60584</v>
      </c>
      <c r="Q402" s="3375">
        <v>5707</v>
      </c>
      <c r="R402" s="3381">
        <v>195217</v>
      </c>
    </row>
    <row r="403" spans="1:18">
      <c r="A403" s="3368">
        <f t="shared" si="8"/>
        <v>2023.1</v>
      </c>
      <c r="B403" s="3390"/>
      <c r="C403" s="3399"/>
      <c r="D403" s="3393">
        <v>1201199</v>
      </c>
      <c r="E403" s="3394">
        <v>1496950</v>
      </c>
      <c r="F403" s="3372">
        <v>751</v>
      </c>
      <c r="G403" s="3373">
        <v>4790</v>
      </c>
      <c r="H403" s="3374">
        <v>3519</v>
      </c>
      <c r="I403" s="3373">
        <v>3077</v>
      </c>
      <c r="J403" s="3374">
        <v>3476</v>
      </c>
      <c r="K403" s="3373">
        <v>3651</v>
      </c>
      <c r="L403" s="3374">
        <v>893</v>
      </c>
      <c r="M403" s="3373">
        <v>3052</v>
      </c>
      <c r="N403" s="3375">
        <v>6762</v>
      </c>
      <c r="O403" s="3376">
        <f t="shared" si="9"/>
        <v>29971</v>
      </c>
      <c r="P403" s="3380">
        <v>36476</v>
      </c>
      <c r="Q403" s="3375">
        <v>519</v>
      </c>
      <c r="R403" s="3381">
        <v>140332</v>
      </c>
    </row>
    <row r="404" spans="1:18">
      <c r="A404" s="3368">
        <f t="shared" si="8"/>
        <v>2023.11</v>
      </c>
      <c r="B404" s="3390"/>
      <c r="C404" s="3399"/>
      <c r="D404" s="3393">
        <v>1431834</v>
      </c>
      <c r="E404" s="3394">
        <v>1656596</v>
      </c>
      <c r="F404" s="3372">
        <v>2196</v>
      </c>
      <c r="G404" s="3373">
        <v>8745</v>
      </c>
      <c r="H404" s="3374">
        <v>5449</v>
      </c>
      <c r="I404" s="3373">
        <v>5145</v>
      </c>
      <c r="J404" s="3374">
        <v>4036</v>
      </c>
      <c r="K404" s="3373">
        <v>2995</v>
      </c>
      <c r="L404" s="3374">
        <v>851</v>
      </c>
      <c r="M404" s="3373">
        <v>2817</v>
      </c>
      <c r="N404" s="3375">
        <v>3010</v>
      </c>
      <c r="O404" s="3376">
        <f t="shared" si="9"/>
        <v>35244</v>
      </c>
      <c r="P404" s="3380">
        <v>48845</v>
      </c>
      <c r="Q404" s="3375">
        <v>5707</v>
      </c>
      <c r="R404" s="3381">
        <v>171765</v>
      </c>
    </row>
    <row r="405" spans="1:18">
      <c r="A405" s="3368">
        <f t="shared" si="8"/>
        <v>2023.12</v>
      </c>
      <c r="B405" s="3390"/>
      <c r="C405" s="3399"/>
      <c r="D405" s="3393">
        <v>993484</v>
      </c>
      <c r="E405" s="3394">
        <v>1282305</v>
      </c>
      <c r="F405" s="3372">
        <v>3820</v>
      </c>
      <c r="G405" s="3373">
        <v>5579</v>
      </c>
      <c r="H405" s="3374">
        <v>8486</v>
      </c>
      <c r="I405" s="3373">
        <v>3735</v>
      </c>
      <c r="J405" s="3374">
        <v>9532</v>
      </c>
      <c r="K405" s="3373">
        <v>16211</v>
      </c>
      <c r="L405" s="3374">
        <v>1698</v>
      </c>
      <c r="M405" s="3373">
        <v>5290</v>
      </c>
      <c r="N405" s="3375">
        <v>1918</v>
      </c>
      <c r="O405" s="3376">
        <f t="shared" si="9"/>
        <v>56269</v>
      </c>
      <c r="P405" s="3380">
        <v>20173</v>
      </c>
      <c r="Q405" s="3375">
        <v>4528</v>
      </c>
      <c r="R405" s="3381">
        <v>133409</v>
      </c>
    </row>
    <row r="406" spans="1:18">
      <c r="A406" s="3368">
        <f t="shared" ref="A406:A469" si="10">A394+1</f>
        <v>2024.01</v>
      </c>
      <c r="B406" s="3390"/>
      <c r="C406" s="3399"/>
      <c r="D406" s="3393">
        <v>1077073</v>
      </c>
      <c r="E406" s="3394">
        <v>1256802</v>
      </c>
      <c r="F406" s="3372">
        <v>1719</v>
      </c>
      <c r="G406" s="3373">
        <v>2573</v>
      </c>
      <c r="H406" s="3374">
        <v>1131</v>
      </c>
      <c r="I406" s="3373">
        <v>10104</v>
      </c>
      <c r="J406" s="3374">
        <v>0</v>
      </c>
      <c r="K406" s="3373">
        <v>4144</v>
      </c>
      <c r="L406" s="3374">
        <v>1780</v>
      </c>
      <c r="M406" s="3373">
        <v>2462</v>
      </c>
      <c r="N406" s="3375">
        <v>882</v>
      </c>
      <c r="O406" s="3376">
        <f t="shared" si="9"/>
        <v>24795</v>
      </c>
      <c r="P406" s="3380">
        <v>42937</v>
      </c>
      <c r="Q406" s="3375">
        <v>66</v>
      </c>
      <c r="R406" s="3381">
        <v>102702</v>
      </c>
    </row>
    <row r="407" spans="1:18">
      <c r="A407" s="3368">
        <f t="shared" si="10"/>
        <v>2024.02</v>
      </c>
      <c r="B407" s="3390"/>
      <c r="C407" s="3399"/>
      <c r="D407" s="3393">
        <v>802103</v>
      </c>
      <c r="E407" s="3394">
        <v>974431</v>
      </c>
      <c r="F407" s="3403" t="e">
        <v>#N/A</v>
      </c>
      <c r="G407" s="3373">
        <v>2485</v>
      </c>
      <c r="H407" s="3374">
        <v>3296</v>
      </c>
      <c r="I407" s="3373">
        <v>6561</v>
      </c>
      <c r="J407" s="3374">
        <v>2153</v>
      </c>
      <c r="K407" s="3373">
        <v>3345</v>
      </c>
      <c r="L407" s="3374">
        <v>1210</v>
      </c>
      <c r="M407" s="3373">
        <v>2151</v>
      </c>
      <c r="N407" s="3375">
        <v>601</v>
      </c>
      <c r="O407" s="3376">
        <f t="shared" si="9"/>
        <v>21802</v>
      </c>
      <c r="P407" s="3380">
        <v>27258</v>
      </c>
      <c r="Q407" s="3375">
        <v>5171</v>
      </c>
      <c r="R407" s="3381">
        <v>90678</v>
      </c>
    </row>
    <row r="408" spans="1:18">
      <c r="A408" s="3368">
        <f t="shared" si="10"/>
        <v>2024.03</v>
      </c>
      <c r="B408" s="3390"/>
      <c r="C408" s="3399"/>
      <c r="D408" s="3393">
        <v>896644</v>
      </c>
      <c r="E408" s="3394">
        <v>1153856</v>
      </c>
      <c r="F408" s="3372">
        <v>799</v>
      </c>
      <c r="G408" s="3373">
        <v>6369</v>
      </c>
      <c r="H408" s="3374">
        <v>2820</v>
      </c>
      <c r="I408" s="3373">
        <v>8995</v>
      </c>
      <c r="J408" s="3374">
        <v>4120</v>
      </c>
      <c r="K408" s="3373">
        <v>2835</v>
      </c>
      <c r="L408" s="3374">
        <v>1889</v>
      </c>
      <c r="M408" s="3373">
        <v>2921</v>
      </c>
      <c r="N408" s="3375">
        <v>1804</v>
      </c>
      <c r="O408" s="3376">
        <f t="shared" si="9"/>
        <v>32552</v>
      </c>
      <c r="P408" s="3380">
        <v>49241</v>
      </c>
      <c r="Q408" s="3375">
        <v>3272</v>
      </c>
      <c r="R408" s="3381">
        <v>127362</v>
      </c>
    </row>
    <row r="409" spans="1:18">
      <c r="A409" s="3368">
        <f t="shared" si="10"/>
        <v>2024.04</v>
      </c>
      <c r="B409" s="3390"/>
      <c r="C409" s="3399"/>
      <c r="D409" s="3393">
        <v>933963</v>
      </c>
      <c r="E409" s="3394">
        <v>1230931</v>
      </c>
      <c r="F409" s="3372">
        <v>1962</v>
      </c>
      <c r="G409" s="3373">
        <v>14972</v>
      </c>
      <c r="H409" s="3374">
        <v>3517</v>
      </c>
      <c r="I409" s="3373">
        <v>3374</v>
      </c>
      <c r="J409" s="3374">
        <v>3064</v>
      </c>
      <c r="K409" s="3373">
        <v>3328</v>
      </c>
      <c r="L409" s="3374">
        <v>2138</v>
      </c>
      <c r="M409" s="3373">
        <v>3837</v>
      </c>
      <c r="N409" s="3375">
        <v>1962</v>
      </c>
      <c r="O409" s="3376">
        <f t="shared" si="9"/>
        <v>38154</v>
      </c>
      <c r="P409" s="3380">
        <v>16998</v>
      </c>
      <c r="Q409" s="3375">
        <v>347</v>
      </c>
      <c r="R409" s="3381">
        <v>92926</v>
      </c>
    </row>
    <row r="410" spans="1:18">
      <c r="A410" s="3368">
        <f t="shared" si="10"/>
        <v>2024.05</v>
      </c>
      <c r="B410" s="3390"/>
      <c r="C410" s="3399"/>
      <c r="D410" s="3393">
        <v>972562.88</v>
      </c>
      <c r="E410" s="3394">
        <v>1277163</v>
      </c>
      <c r="F410" s="3372">
        <v>527</v>
      </c>
      <c r="G410" s="3373">
        <v>6291</v>
      </c>
      <c r="H410" s="3374">
        <v>2291</v>
      </c>
      <c r="I410" s="3373">
        <v>1366</v>
      </c>
      <c r="J410" s="3374">
        <v>3398</v>
      </c>
      <c r="K410" s="3373">
        <v>3344</v>
      </c>
      <c r="L410" s="3374">
        <v>1692</v>
      </c>
      <c r="M410" s="3373">
        <v>4439</v>
      </c>
      <c r="N410" s="3375">
        <v>2723</v>
      </c>
      <c r="O410" s="3376">
        <f t="shared" si="9"/>
        <v>26071</v>
      </c>
      <c r="P410" s="3380">
        <v>29171</v>
      </c>
      <c r="Q410" s="3375">
        <v>1672</v>
      </c>
      <c r="R410" s="3381">
        <v>102192</v>
      </c>
    </row>
    <row r="411" spans="1:18">
      <c r="A411" s="3368">
        <f t="shared" si="10"/>
        <v>2024.06</v>
      </c>
      <c r="B411" s="3390"/>
      <c r="C411" s="3399"/>
      <c r="D411" s="3393">
        <v>829205</v>
      </c>
      <c r="E411" s="3394">
        <v>1029179</v>
      </c>
      <c r="F411" s="3372">
        <v>1262</v>
      </c>
      <c r="G411" s="3373">
        <v>4438</v>
      </c>
      <c r="H411" s="3374">
        <v>3498</v>
      </c>
      <c r="I411" s="3373">
        <v>3687</v>
      </c>
      <c r="J411" s="3374">
        <v>4480</v>
      </c>
      <c r="K411" s="3373">
        <v>5329</v>
      </c>
      <c r="L411" s="3374">
        <v>790</v>
      </c>
      <c r="M411" s="3373">
        <v>1780</v>
      </c>
      <c r="N411" s="3375">
        <v>1340</v>
      </c>
      <c r="O411" s="3376">
        <f t="shared" si="9"/>
        <v>26604</v>
      </c>
      <c r="P411" s="3380">
        <v>23103</v>
      </c>
      <c r="Q411" s="3375">
        <v>1670</v>
      </c>
      <c r="R411" s="3381">
        <v>82142</v>
      </c>
    </row>
    <row r="412" spans="1:18">
      <c r="A412" s="3368">
        <f t="shared" si="10"/>
        <v>2024.07</v>
      </c>
      <c r="B412" s="3390"/>
      <c r="C412" s="3399"/>
      <c r="D412" s="3393">
        <v>1062675</v>
      </c>
      <c r="E412" s="3394">
        <v>1318034</v>
      </c>
      <c r="F412" s="3372">
        <v>1643</v>
      </c>
      <c r="G412" s="3373">
        <v>4618</v>
      </c>
      <c r="H412" s="3374">
        <v>4305</v>
      </c>
      <c r="I412" s="3373">
        <v>5607</v>
      </c>
      <c r="J412" s="3374">
        <v>5408</v>
      </c>
      <c r="K412" s="3373">
        <v>5662</v>
      </c>
      <c r="L412" s="3374">
        <v>1621</v>
      </c>
      <c r="M412" s="3373">
        <v>2387</v>
      </c>
      <c r="N412" s="3375">
        <v>1494</v>
      </c>
      <c r="O412" s="3376">
        <f t="shared" si="9"/>
        <v>32745</v>
      </c>
      <c r="P412" s="3380">
        <v>22450</v>
      </c>
      <c r="Q412" s="3375">
        <v>1401</v>
      </c>
      <c r="R412" s="3381">
        <v>138624</v>
      </c>
    </row>
    <row r="413" spans="1:18">
      <c r="A413" s="3368">
        <f t="shared" si="10"/>
        <v>2024.08</v>
      </c>
      <c r="B413" s="3390"/>
      <c r="C413" s="3399"/>
      <c r="D413" s="3393">
        <v>1225181</v>
      </c>
      <c r="E413" s="3394">
        <v>1429837</v>
      </c>
      <c r="F413" s="3372">
        <v>927</v>
      </c>
      <c r="G413" s="3373">
        <v>10364</v>
      </c>
      <c r="H413" s="3374">
        <v>12662</v>
      </c>
      <c r="I413" s="3373">
        <v>5128</v>
      </c>
      <c r="J413" s="3374">
        <v>811</v>
      </c>
      <c r="K413" s="3373">
        <v>3158</v>
      </c>
      <c r="L413" s="3374">
        <v>2048</v>
      </c>
      <c r="M413" s="3373">
        <v>3732</v>
      </c>
      <c r="N413" s="3375">
        <v>1915</v>
      </c>
      <c r="O413" s="3376">
        <f t="shared" si="9"/>
        <v>40745</v>
      </c>
      <c r="P413" s="3380">
        <v>49135</v>
      </c>
      <c r="Q413" s="3375">
        <v>3840</v>
      </c>
      <c r="R413" s="3381">
        <v>160778</v>
      </c>
    </row>
    <row r="414" spans="1:18">
      <c r="A414" s="3368">
        <f t="shared" si="10"/>
        <v>2024.09</v>
      </c>
      <c r="B414" s="3390"/>
      <c r="C414" s="3399"/>
      <c r="D414" s="3393">
        <v>1019760</v>
      </c>
      <c r="E414" s="3394">
        <v>1321524</v>
      </c>
      <c r="F414" s="3403" t="e">
        <v>#N/A</v>
      </c>
      <c r="G414" s="3373">
        <v>17151</v>
      </c>
      <c r="H414" s="3374">
        <v>6133</v>
      </c>
      <c r="I414" s="3373">
        <v>2120</v>
      </c>
      <c r="J414" s="3374">
        <v>6439</v>
      </c>
      <c r="K414" s="3373">
        <v>2830</v>
      </c>
      <c r="L414" s="3374">
        <v>8313</v>
      </c>
      <c r="M414" s="3373">
        <v>4176</v>
      </c>
      <c r="N414" s="3375">
        <v>4739</v>
      </c>
      <c r="O414" s="3376">
        <f t="shared" si="9"/>
        <v>51901</v>
      </c>
      <c r="P414" s="3380">
        <v>56842</v>
      </c>
      <c r="Q414" s="3375">
        <v>871</v>
      </c>
      <c r="R414" s="3381">
        <v>163538</v>
      </c>
    </row>
    <row r="415" spans="1:18">
      <c r="A415" s="3368">
        <f t="shared" si="10"/>
        <v>2024.1</v>
      </c>
      <c r="B415" s="3390"/>
      <c r="C415" s="3399"/>
      <c r="D415" s="3393">
        <v>1252943</v>
      </c>
      <c r="E415" s="3394">
        <v>1538624</v>
      </c>
      <c r="F415" s="3372">
        <v>27883</v>
      </c>
      <c r="G415" s="3373">
        <v>5042</v>
      </c>
      <c r="H415" s="3374">
        <v>15228</v>
      </c>
      <c r="I415" s="3373">
        <v>5283</v>
      </c>
      <c r="J415" s="3374">
        <v>2762</v>
      </c>
      <c r="K415" s="3373">
        <v>5691</v>
      </c>
      <c r="L415" s="3374">
        <v>1418</v>
      </c>
      <c r="M415" s="3373">
        <v>3522</v>
      </c>
      <c r="N415" s="3375">
        <v>3814</v>
      </c>
      <c r="O415" s="3376">
        <f t="shared" si="9"/>
        <v>70643</v>
      </c>
      <c r="P415" s="3380">
        <v>51903</v>
      </c>
      <c r="Q415" s="3375">
        <v>2444</v>
      </c>
      <c r="R415" s="3381">
        <v>189966</v>
      </c>
    </row>
    <row r="416" spans="1:18">
      <c r="A416" s="3368">
        <f t="shared" si="10"/>
        <v>2024.11</v>
      </c>
      <c r="B416" s="3390"/>
      <c r="C416" s="3399"/>
      <c r="D416" s="3393">
        <v>992669</v>
      </c>
      <c r="E416" s="3394">
        <v>1177863</v>
      </c>
      <c r="F416" s="3372">
        <v>2412</v>
      </c>
      <c r="G416" s="3373">
        <v>4746</v>
      </c>
      <c r="H416" s="3374">
        <v>9809</v>
      </c>
      <c r="I416" s="3373">
        <v>1142</v>
      </c>
      <c r="J416" s="3374">
        <v>3693</v>
      </c>
      <c r="K416" s="3373">
        <v>6341</v>
      </c>
      <c r="L416" s="3374">
        <v>1858</v>
      </c>
      <c r="M416" s="3374">
        <v>2521</v>
      </c>
      <c r="N416" s="3375" t="e">
        <v>#N/A</v>
      </c>
      <c r="O416" s="3376">
        <f>_xlfn.AGGREGATE(9,6,F416:N416)</f>
        <v>32522</v>
      </c>
      <c r="P416" s="3380">
        <v>13810</v>
      </c>
      <c r="Q416" s="3375">
        <v>2368</v>
      </c>
      <c r="R416" s="3381">
        <v>82468</v>
      </c>
    </row>
    <row r="417" spans="1:22">
      <c r="A417" s="3368">
        <f t="shared" si="10"/>
        <v>2024.12</v>
      </c>
      <c r="B417" s="3390"/>
      <c r="C417" s="3399"/>
      <c r="D417" s="3393">
        <v>1117989.05</v>
      </c>
      <c r="E417" s="3394">
        <v>1342259</v>
      </c>
      <c r="F417" s="3372">
        <v>1206</v>
      </c>
      <c r="G417" s="3373">
        <v>9127</v>
      </c>
      <c r="H417" s="3374">
        <v>12907</v>
      </c>
      <c r="I417" s="3373">
        <v>3593</v>
      </c>
      <c r="J417" s="3374">
        <v>6473</v>
      </c>
      <c r="K417" s="3373">
        <v>5598</v>
      </c>
      <c r="L417" s="3374">
        <v>1417</v>
      </c>
      <c r="M417" s="3373">
        <v>21938</v>
      </c>
      <c r="N417" s="3375">
        <v>4332</v>
      </c>
      <c r="O417" s="3376">
        <f>_xlfn.AGGREGATE(9,6,F417:N417)</f>
        <v>66591</v>
      </c>
      <c r="P417" s="3380">
        <v>20959</v>
      </c>
      <c r="Q417" s="3375">
        <v>497</v>
      </c>
      <c r="R417" s="3381">
        <v>133813</v>
      </c>
    </row>
    <row r="418" spans="1:22">
      <c r="A418" s="3368">
        <f t="shared" si="10"/>
        <v>2025.01</v>
      </c>
      <c r="B418" s="3390"/>
      <c r="C418" s="3399"/>
      <c r="D418" s="3404" t="s">
        <v>356</v>
      </c>
      <c r="E418" s="3394">
        <v>1283275</v>
      </c>
      <c r="F418" s="3405">
        <v>1206</v>
      </c>
      <c r="G418" s="3406">
        <v>8509</v>
      </c>
      <c r="H418" s="3407">
        <v>2516</v>
      </c>
      <c r="I418" s="3406">
        <v>3574</v>
      </c>
      <c r="J418" s="3407">
        <v>894</v>
      </c>
      <c r="K418" s="3406">
        <v>6435</v>
      </c>
      <c r="L418" s="3407">
        <v>1432</v>
      </c>
      <c r="M418" s="3406">
        <v>3995</v>
      </c>
      <c r="N418" s="3375">
        <v>1864</v>
      </c>
      <c r="O418" s="3376">
        <f t="shared" si="9"/>
        <v>30425</v>
      </c>
      <c r="P418" s="3380">
        <v>23261</v>
      </c>
      <c r="Q418" s="3375">
        <v>6241</v>
      </c>
      <c r="R418" s="3381">
        <v>80002</v>
      </c>
      <c r="S418" s="3509"/>
      <c r="T418" s="3509"/>
      <c r="U418" s="3509"/>
      <c r="V418" s="3509"/>
    </row>
    <row r="419" spans="1:22">
      <c r="A419" s="3368">
        <f t="shared" si="10"/>
        <v>2025.02</v>
      </c>
      <c r="B419" s="3390"/>
      <c r="C419" s="3399"/>
      <c r="D419" s="3408"/>
      <c r="E419" s="3409">
        <v>1053238</v>
      </c>
      <c r="F419" s="3405">
        <v>1657</v>
      </c>
      <c r="G419" s="3406">
        <v>14625</v>
      </c>
      <c r="H419" s="3407">
        <v>9187</v>
      </c>
      <c r="I419" s="3406">
        <v>2189</v>
      </c>
      <c r="J419" s="3407">
        <v>2835</v>
      </c>
      <c r="K419" s="3406">
        <v>744</v>
      </c>
      <c r="L419" s="3407">
        <v>514</v>
      </c>
      <c r="M419" s="3406">
        <v>2084</v>
      </c>
      <c r="N419" s="3375">
        <v>637</v>
      </c>
      <c r="O419" s="3376">
        <f t="shared" si="9"/>
        <v>34472</v>
      </c>
      <c r="P419" s="3380">
        <v>20990</v>
      </c>
      <c r="Q419" s="3375">
        <v>514</v>
      </c>
      <c r="R419" s="3381">
        <v>87494</v>
      </c>
    </row>
    <row r="420" spans="1:22">
      <c r="A420" s="3368">
        <f t="shared" si="10"/>
        <v>2025.03</v>
      </c>
      <c r="B420" s="3390"/>
      <c r="C420" s="3399"/>
      <c r="D420" s="3408"/>
      <c r="E420" s="2134">
        <v>1212718</v>
      </c>
      <c r="F420" s="3405">
        <v>3133</v>
      </c>
      <c r="G420" s="3406">
        <v>6906</v>
      </c>
      <c r="H420" s="3407">
        <v>2908</v>
      </c>
      <c r="I420" s="3406">
        <v>7422</v>
      </c>
      <c r="J420" s="3407">
        <v>5676</v>
      </c>
      <c r="K420" s="3406">
        <v>2767</v>
      </c>
      <c r="L420" s="3407">
        <v>2491</v>
      </c>
      <c r="M420" s="3406">
        <v>3326</v>
      </c>
      <c r="N420" s="3375">
        <v>2338</v>
      </c>
      <c r="O420" s="3376">
        <f>_xlfn.AGGREGATE(9,6,F420:N420)</f>
        <v>36967</v>
      </c>
      <c r="P420" s="3380">
        <v>13022</v>
      </c>
      <c r="Q420" s="3375">
        <v>7656</v>
      </c>
      <c r="R420" s="3381">
        <v>105774</v>
      </c>
    </row>
    <row r="421" spans="1:22">
      <c r="A421" s="3368">
        <f t="shared" si="10"/>
        <v>2025.04</v>
      </c>
      <c r="B421" s="3390"/>
      <c r="C421" s="3399"/>
      <c r="D421" s="3408"/>
      <c r="E421" s="3410" t="e">
        <v>#N/A</v>
      </c>
      <c r="F421" s="3405">
        <v>2702</v>
      </c>
      <c r="G421" s="3508">
        <v>10272</v>
      </c>
      <c r="H421" s="3407">
        <v>2186</v>
      </c>
      <c r="I421" s="3406">
        <v>1662</v>
      </c>
      <c r="J421" s="3407">
        <v>4247</v>
      </c>
      <c r="K421" s="3406">
        <v>2414</v>
      </c>
      <c r="L421" s="3407">
        <v>1246</v>
      </c>
      <c r="M421" s="3406">
        <v>2677</v>
      </c>
      <c r="N421" s="3375">
        <v>2329</v>
      </c>
      <c r="O421" s="3376">
        <f>_xlfn.AGGREGATE(9,6,F421:N421)</f>
        <v>29735</v>
      </c>
      <c r="P421" s="3380">
        <v>27545</v>
      </c>
      <c r="Q421" s="3375">
        <v>1748</v>
      </c>
      <c r="R421" s="3381">
        <v>121361</v>
      </c>
    </row>
    <row r="422" spans="1:22">
      <c r="A422" s="3368">
        <f t="shared" si="10"/>
        <v>2025.05</v>
      </c>
      <c r="B422" s="3390"/>
      <c r="C422" s="3399"/>
      <c r="D422" s="3408"/>
      <c r="E422" s="3410" t="e">
        <v>#N/A</v>
      </c>
      <c r="F422" s="3405" t="e">
        <v>#N/A</v>
      </c>
      <c r="G422" s="3406" t="e">
        <v>#N/A</v>
      </c>
      <c r="H422" s="3407" t="e">
        <v>#N/A</v>
      </c>
      <c r="I422" s="3406" t="e">
        <v>#N/A</v>
      </c>
      <c r="J422" s="3407" t="e">
        <v>#N/A</v>
      </c>
      <c r="K422" s="3406" t="e">
        <v>#N/A</v>
      </c>
      <c r="L422" s="3407" t="e">
        <v>#N/A</v>
      </c>
      <c r="M422" s="3406" t="e">
        <v>#N/A</v>
      </c>
      <c r="N422" s="3375" t="e">
        <v>#N/A</v>
      </c>
      <c r="O422" s="3411" t="e">
        <v>#N/A</v>
      </c>
      <c r="P422" s="3380" t="e">
        <v>#N/A</v>
      </c>
      <c r="Q422" s="3375" t="e">
        <v>#N/A</v>
      </c>
      <c r="R422" s="3381" t="e">
        <v>#N/A</v>
      </c>
    </row>
    <row r="423" spans="1:22">
      <c r="A423" s="3368">
        <f t="shared" si="10"/>
        <v>2025.06</v>
      </c>
      <c r="B423" s="3390"/>
      <c r="C423" s="3399"/>
      <c r="D423" s="3408"/>
      <c r="E423" s="3410" t="e">
        <v>#N/A</v>
      </c>
      <c r="F423" s="3405" t="e">
        <v>#N/A</v>
      </c>
      <c r="G423" s="3406" t="e">
        <v>#N/A</v>
      </c>
      <c r="H423" s="3407" t="e">
        <v>#N/A</v>
      </c>
      <c r="I423" s="3406" t="e">
        <v>#N/A</v>
      </c>
      <c r="J423" s="3407" t="e">
        <v>#N/A</v>
      </c>
      <c r="K423" s="3406" t="e">
        <v>#N/A</v>
      </c>
      <c r="L423" s="3407" t="e">
        <v>#N/A</v>
      </c>
      <c r="M423" s="3406" t="e">
        <v>#N/A</v>
      </c>
      <c r="N423" s="3375" t="e">
        <v>#N/A</v>
      </c>
      <c r="O423" s="3411" t="e">
        <v>#N/A</v>
      </c>
      <c r="P423" s="3380" t="e">
        <v>#N/A</v>
      </c>
      <c r="Q423" s="3375" t="e">
        <v>#N/A</v>
      </c>
      <c r="R423" s="3381" t="e">
        <v>#N/A</v>
      </c>
    </row>
    <row r="424" spans="1:22">
      <c r="A424" s="3368">
        <f t="shared" si="10"/>
        <v>2025.07</v>
      </c>
      <c r="B424" s="3390"/>
      <c r="C424" s="3399"/>
      <c r="D424" s="3408"/>
      <c r="E424" s="3410" t="e">
        <v>#N/A</v>
      </c>
      <c r="F424" s="3405" t="e">
        <v>#N/A</v>
      </c>
      <c r="G424" s="3406" t="e">
        <v>#N/A</v>
      </c>
      <c r="H424" s="3407" t="e">
        <v>#N/A</v>
      </c>
      <c r="I424" s="3406" t="e">
        <v>#N/A</v>
      </c>
      <c r="J424" s="3407" t="e">
        <v>#N/A</v>
      </c>
      <c r="K424" s="3406" t="e">
        <v>#N/A</v>
      </c>
      <c r="L424" s="3407" t="e">
        <v>#N/A</v>
      </c>
      <c r="M424" s="3406" t="e">
        <v>#N/A</v>
      </c>
      <c r="N424" s="3375" t="e">
        <v>#N/A</v>
      </c>
      <c r="O424" s="3411" t="e">
        <v>#N/A</v>
      </c>
      <c r="P424" s="3380" t="e">
        <v>#N/A</v>
      </c>
      <c r="Q424" s="3375" t="e">
        <v>#N/A</v>
      </c>
      <c r="R424" s="3381" t="e">
        <v>#N/A</v>
      </c>
    </row>
    <row r="425" spans="1:22">
      <c r="A425" s="3368">
        <f t="shared" si="10"/>
        <v>2025.08</v>
      </c>
      <c r="B425" s="3390"/>
      <c r="C425" s="3399"/>
      <c r="D425" s="3408"/>
      <c r="E425" s="3410" t="e">
        <v>#N/A</v>
      </c>
      <c r="F425" s="3405" t="e">
        <v>#N/A</v>
      </c>
      <c r="G425" s="3406" t="e">
        <v>#N/A</v>
      </c>
      <c r="H425" s="3407" t="e">
        <v>#N/A</v>
      </c>
      <c r="I425" s="3406" t="e">
        <v>#N/A</v>
      </c>
      <c r="J425" s="3407" t="e">
        <v>#N/A</v>
      </c>
      <c r="K425" s="3406" t="e">
        <v>#N/A</v>
      </c>
      <c r="L425" s="3407" t="e">
        <v>#N/A</v>
      </c>
      <c r="M425" s="3406" t="e">
        <v>#N/A</v>
      </c>
      <c r="N425" s="3375" t="e">
        <v>#N/A</v>
      </c>
      <c r="O425" s="3411" t="e">
        <v>#N/A</v>
      </c>
      <c r="P425" s="3380" t="e">
        <v>#N/A</v>
      </c>
      <c r="Q425" s="3375" t="e">
        <v>#N/A</v>
      </c>
      <c r="R425" s="3381" t="e">
        <v>#N/A</v>
      </c>
    </row>
    <row r="426" spans="1:22">
      <c r="A426" s="3368">
        <f t="shared" si="10"/>
        <v>2025.09</v>
      </c>
      <c r="B426" s="3390"/>
      <c r="C426" s="3399"/>
      <c r="D426" s="3408"/>
      <c r="E426" s="3410" t="e">
        <v>#N/A</v>
      </c>
      <c r="F426" s="3405" t="e">
        <v>#N/A</v>
      </c>
      <c r="G426" s="3406" t="e">
        <v>#N/A</v>
      </c>
      <c r="H426" s="3407" t="e">
        <v>#N/A</v>
      </c>
      <c r="I426" s="3406" t="e">
        <v>#N/A</v>
      </c>
      <c r="J426" s="3407" t="e">
        <v>#N/A</v>
      </c>
      <c r="K426" s="3406" t="e">
        <v>#N/A</v>
      </c>
      <c r="L426" s="3407" t="e">
        <v>#N/A</v>
      </c>
      <c r="M426" s="3406" t="e">
        <v>#N/A</v>
      </c>
      <c r="N426" s="3375" t="e">
        <v>#N/A</v>
      </c>
      <c r="O426" s="3411" t="e">
        <v>#N/A</v>
      </c>
      <c r="P426" s="3380" t="e">
        <v>#N/A</v>
      </c>
      <c r="Q426" s="3375" t="e">
        <v>#N/A</v>
      </c>
      <c r="R426" s="3381" t="e">
        <v>#N/A</v>
      </c>
    </row>
    <row r="427" spans="1:22">
      <c r="A427" s="3368">
        <f t="shared" si="10"/>
        <v>2025.1</v>
      </c>
      <c r="B427" s="3390"/>
      <c r="C427" s="3399"/>
      <c r="D427" s="3408"/>
      <c r="E427" s="3410" t="e">
        <v>#N/A</v>
      </c>
      <c r="F427" s="3405" t="e">
        <v>#N/A</v>
      </c>
      <c r="G427" s="3406" t="e">
        <v>#N/A</v>
      </c>
      <c r="H427" s="3407" t="e">
        <v>#N/A</v>
      </c>
      <c r="I427" s="3406" t="e">
        <v>#N/A</v>
      </c>
      <c r="J427" s="3407" t="e">
        <v>#N/A</v>
      </c>
      <c r="K427" s="3406" t="e">
        <v>#N/A</v>
      </c>
      <c r="L427" s="3407" t="e">
        <v>#N/A</v>
      </c>
      <c r="M427" s="3406" t="e">
        <v>#N/A</v>
      </c>
      <c r="N427" s="3375" t="e">
        <v>#N/A</v>
      </c>
      <c r="O427" s="3411" t="e">
        <v>#N/A</v>
      </c>
      <c r="P427" s="3380" t="e">
        <v>#N/A</v>
      </c>
      <c r="Q427" s="3375" t="e">
        <v>#N/A</v>
      </c>
      <c r="R427" s="3381" t="e">
        <v>#N/A</v>
      </c>
    </row>
    <row r="428" spans="1:22">
      <c r="A428" s="3368">
        <f t="shared" si="10"/>
        <v>2025.11</v>
      </c>
      <c r="B428" s="3390"/>
      <c r="C428" s="3399"/>
      <c r="D428" s="3408"/>
      <c r="E428" s="3410" t="e">
        <v>#N/A</v>
      </c>
      <c r="F428" s="3405" t="e">
        <v>#N/A</v>
      </c>
      <c r="G428" s="3406" t="e">
        <v>#N/A</v>
      </c>
      <c r="H428" s="3407" t="e">
        <v>#N/A</v>
      </c>
      <c r="I428" s="3406" t="e">
        <v>#N/A</v>
      </c>
      <c r="J428" s="3407" t="e">
        <v>#N/A</v>
      </c>
      <c r="K428" s="3406" t="e">
        <v>#N/A</v>
      </c>
      <c r="L428" s="3407" t="e">
        <v>#N/A</v>
      </c>
      <c r="M428" s="3406" t="e">
        <v>#N/A</v>
      </c>
      <c r="N428" s="3375" t="e">
        <v>#N/A</v>
      </c>
      <c r="O428" s="3411" t="e">
        <v>#N/A</v>
      </c>
      <c r="P428" s="3380" t="e">
        <v>#N/A</v>
      </c>
      <c r="Q428" s="3375" t="e">
        <v>#N/A</v>
      </c>
      <c r="R428" s="3381" t="e">
        <v>#N/A</v>
      </c>
    </row>
    <row r="429" spans="1:22">
      <c r="A429" s="3368">
        <f t="shared" si="10"/>
        <v>2025.12</v>
      </c>
      <c r="B429" s="3390"/>
      <c r="C429" s="3399"/>
      <c r="D429" s="3408"/>
      <c r="E429" s="3410" t="e">
        <v>#N/A</v>
      </c>
      <c r="F429" s="3405" t="e">
        <v>#N/A</v>
      </c>
      <c r="G429" s="3406" t="e">
        <v>#N/A</v>
      </c>
      <c r="H429" s="3407" t="e">
        <v>#N/A</v>
      </c>
      <c r="I429" s="3406" t="e">
        <v>#N/A</v>
      </c>
      <c r="J429" s="3407" t="e">
        <v>#N/A</v>
      </c>
      <c r="K429" s="3406" t="e">
        <v>#N/A</v>
      </c>
      <c r="L429" s="3407" t="e">
        <v>#N/A</v>
      </c>
      <c r="M429" s="3406" t="e">
        <v>#N/A</v>
      </c>
      <c r="N429" s="3375" t="e">
        <v>#N/A</v>
      </c>
      <c r="O429" s="3411" t="e">
        <v>#N/A</v>
      </c>
      <c r="P429" s="3380" t="e">
        <v>#N/A</v>
      </c>
      <c r="Q429" s="3375" t="e">
        <v>#N/A</v>
      </c>
      <c r="R429" s="3381" t="e">
        <v>#N/A</v>
      </c>
    </row>
    <row r="430" spans="1:22">
      <c r="A430" s="3368">
        <f t="shared" si="10"/>
        <v>2026.01</v>
      </c>
      <c r="B430" s="3390"/>
      <c r="C430" s="3399"/>
      <c r="D430" s="3408"/>
      <c r="E430" s="3410" t="e">
        <v>#N/A</v>
      </c>
      <c r="F430" s="3405" t="e">
        <v>#N/A</v>
      </c>
      <c r="G430" s="3406" t="e">
        <v>#N/A</v>
      </c>
      <c r="H430" s="3407" t="e">
        <v>#N/A</v>
      </c>
      <c r="I430" s="3406" t="e">
        <v>#N/A</v>
      </c>
      <c r="J430" s="3407" t="e">
        <v>#N/A</v>
      </c>
      <c r="K430" s="3406" t="e">
        <v>#N/A</v>
      </c>
      <c r="L430" s="3407" t="e">
        <v>#N/A</v>
      </c>
      <c r="M430" s="3406" t="e">
        <v>#N/A</v>
      </c>
      <c r="N430" s="3375" t="e">
        <v>#N/A</v>
      </c>
      <c r="O430" s="3411" t="e">
        <v>#N/A</v>
      </c>
      <c r="P430" s="3380" t="e">
        <v>#N/A</v>
      </c>
      <c r="Q430" s="3375" t="e">
        <v>#N/A</v>
      </c>
      <c r="R430" s="3381" t="e">
        <v>#N/A</v>
      </c>
    </row>
    <row r="431" spans="1:22">
      <c r="A431" s="3368">
        <f t="shared" si="10"/>
        <v>2026.02</v>
      </c>
      <c r="B431" s="3390"/>
      <c r="C431" s="3399"/>
      <c r="D431" s="3408"/>
      <c r="E431" s="3410" t="e">
        <v>#N/A</v>
      </c>
      <c r="F431" s="3405" t="e">
        <v>#N/A</v>
      </c>
      <c r="G431" s="3406" t="e">
        <v>#N/A</v>
      </c>
      <c r="H431" s="3407" t="e">
        <v>#N/A</v>
      </c>
      <c r="I431" s="3406" t="e">
        <v>#N/A</v>
      </c>
      <c r="J431" s="3407" t="e">
        <v>#N/A</v>
      </c>
      <c r="K431" s="3406" t="e">
        <v>#N/A</v>
      </c>
      <c r="L431" s="3407" t="e">
        <v>#N/A</v>
      </c>
      <c r="M431" s="3406" t="e">
        <v>#N/A</v>
      </c>
      <c r="N431" s="3375" t="e">
        <v>#N/A</v>
      </c>
      <c r="O431" s="3411" t="e">
        <v>#N/A</v>
      </c>
      <c r="P431" s="3380" t="e">
        <v>#N/A</v>
      </c>
      <c r="Q431" s="3375" t="e">
        <v>#N/A</v>
      </c>
      <c r="R431" s="3381" t="e">
        <v>#N/A</v>
      </c>
    </row>
    <row r="432" spans="1:22">
      <c r="A432" s="3368">
        <f t="shared" si="10"/>
        <v>2026.03</v>
      </c>
      <c r="B432" s="3390"/>
      <c r="C432" s="3399"/>
      <c r="D432" s="3408"/>
      <c r="E432" s="3410" t="e">
        <v>#N/A</v>
      </c>
      <c r="F432" s="3405" t="e">
        <v>#N/A</v>
      </c>
      <c r="G432" s="3406" t="e">
        <v>#N/A</v>
      </c>
      <c r="H432" s="3407" t="e">
        <v>#N/A</v>
      </c>
      <c r="I432" s="3406" t="e">
        <v>#N/A</v>
      </c>
      <c r="J432" s="3407" t="e">
        <v>#N/A</v>
      </c>
      <c r="K432" s="3406" t="e">
        <v>#N/A</v>
      </c>
      <c r="L432" s="3407" t="e">
        <v>#N/A</v>
      </c>
      <c r="M432" s="3406" t="e">
        <v>#N/A</v>
      </c>
      <c r="N432" s="3375" t="e">
        <v>#N/A</v>
      </c>
      <c r="O432" s="3411" t="e">
        <v>#N/A</v>
      </c>
      <c r="P432" s="3380" t="e">
        <v>#N/A</v>
      </c>
      <c r="Q432" s="3375" t="e">
        <v>#N/A</v>
      </c>
      <c r="R432" s="3381" t="e">
        <v>#N/A</v>
      </c>
    </row>
    <row r="433" spans="1:18">
      <c r="A433" s="3368">
        <f t="shared" si="10"/>
        <v>2026.04</v>
      </c>
      <c r="B433" s="3390"/>
      <c r="C433" s="3399"/>
      <c r="D433" s="3408"/>
      <c r="E433" s="3410" t="e">
        <v>#N/A</v>
      </c>
      <c r="F433" s="3405" t="e">
        <v>#N/A</v>
      </c>
      <c r="G433" s="3406" t="e">
        <v>#N/A</v>
      </c>
      <c r="H433" s="3407" t="e">
        <v>#N/A</v>
      </c>
      <c r="I433" s="3406" t="e">
        <v>#N/A</v>
      </c>
      <c r="J433" s="3407" t="e">
        <v>#N/A</v>
      </c>
      <c r="K433" s="3406" t="e">
        <v>#N/A</v>
      </c>
      <c r="L433" s="3407" t="e">
        <v>#N/A</v>
      </c>
      <c r="M433" s="3406" t="e">
        <v>#N/A</v>
      </c>
      <c r="N433" s="3375" t="e">
        <v>#N/A</v>
      </c>
      <c r="O433" s="3411" t="e">
        <v>#N/A</v>
      </c>
      <c r="P433" s="3380" t="e">
        <v>#N/A</v>
      </c>
      <c r="Q433" s="3375" t="e">
        <v>#N/A</v>
      </c>
      <c r="R433" s="3381" t="e">
        <v>#N/A</v>
      </c>
    </row>
    <row r="434" spans="1:18">
      <c r="A434" s="3368">
        <f t="shared" si="10"/>
        <v>2026.05</v>
      </c>
      <c r="B434" s="3390"/>
      <c r="C434" s="3399"/>
      <c r="D434" s="3408"/>
      <c r="E434" s="3410" t="e">
        <v>#N/A</v>
      </c>
      <c r="F434" s="3405" t="e">
        <v>#N/A</v>
      </c>
      <c r="G434" s="3406" t="e">
        <v>#N/A</v>
      </c>
      <c r="H434" s="3407" t="e">
        <v>#N/A</v>
      </c>
      <c r="I434" s="3406" t="e">
        <v>#N/A</v>
      </c>
      <c r="J434" s="3407" t="e">
        <v>#N/A</v>
      </c>
      <c r="K434" s="3406" t="e">
        <v>#N/A</v>
      </c>
      <c r="L434" s="3407" t="e">
        <v>#N/A</v>
      </c>
      <c r="M434" s="3406" t="e">
        <v>#N/A</v>
      </c>
      <c r="N434" s="3375" t="e">
        <v>#N/A</v>
      </c>
      <c r="O434" s="3411" t="e">
        <v>#N/A</v>
      </c>
      <c r="P434" s="3380" t="e">
        <v>#N/A</v>
      </c>
      <c r="Q434" s="3375" t="e">
        <v>#N/A</v>
      </c>
      <c r="R434" s="3381" t="e">
        <v>#N/A</v>
      </c>
    </row>
    <row r="435" spans="1:18">
      <c r="A435" s="3368">
        <f t="shared" si="10"/>
        <v>2026.06</v>
      </c>
      <c r="B435" s="3390"/>
      <c r="C435" s="3399"/>
      <c r="D435" s="3408"/>
      <c r="E435" s="3410" t="e">
        <v>#N/A</v>
      </c>
      <c r="F435" s="3405" t="e">
        <v>#N/A</v>
      </c>
      <c r="G435" s="3406" t="e">
        <v>#N/A</v>
      </c>
      <c r="H435" s="3407" t="e">
        <v>#N/A</v>
      </c>
      <c r="I435" s="3406" t="e">
        <v>#N/A</v>
      </c>
      <c r="J435" s="3407" t="e">
        <v>#N/A</v>
      </c>
      <c r="K435" s="3406" t="e">
        <v>#N/A</v>
      </c>
      <c r="L435" s="3407" t="e">
        <v>#N/A</v>
      </c>
      <c r="M435" s="3406" t="e">
        <v>#N/A</v>
      </c>
      <c r="N435" s="3375" t="e">
        <v>#N/A</v>
      </c>
      <c r="O435" s="3411" t="e">
        <v>#N/A</v>
      </c>
      <c r="P435" s="3380" t="e">
        <v>#N/A</v>
      </c>
      <c r="Q435" s="3375" t="e">
        <v>#N/A</v>
      </c>
      <c r="R435" s="3381" t="e">
        <v>#N/A</v>
      </c>
    </row>
    <row r="436" spans="1:18">
      <c r="A436" s="3368">
        <f t="shared" si="10"/>
        <v>2026.07</v>
      </c>
      <c r="B436" s="3390"/>
      <c r="C436" s="3399"/>
      <c r="D436" s="3408"/>
      <c r="E436" s="3410" t="e">
        <v>#N/A</v>
      </c>
      <c r="F436" s="3405" t="e">
        <v>#N/A</v>
      </c>
      <c r="G436" s="3406" t="e">
        <v>#N/A</v>
      </c>
      <c r="H436" s="3407" t="e">
        <v>#N/A</v>
      </c>
      <c r="I436" s="3406" t="e">
        <v>#N/A</v>
      </c>
      <c r="J436" s="3407" t="e">
        <v>#N/A</v>
      </c>
      <c r="K436" s="3406" t="e">
        <v>#N/A</v>
      </c>
      <c r="L436" s="3407" t="e">
        <v>#N/A</v>
      </c>
      <c r="M436" s="3406" t="e">
        <v>#N/A</v>
      </c>
      <c r="N436" s="3375" t="e">
        <v>#N/A</v>
      </c>
      <c r="O436" s="3411" t="e">
        <v>#N/A</v>
      </c>
      <c r="P436" s="3380" t="e">
        <v>#N/A</v>
      </c>
      <c r="Q436" s="3375" t="e">
        <v>#N/A</v>
      </c>
      <c r="R436" s="3381" t="e">
        <v>#N/A</v>
      </c>
    </row>
    <row r="437" spans="1:18">
      <c r="A437" s="3368">
        <f t="shared" si="10"/>
        <v>2026.08</v>
      </c>
      <c r="B437" s="3390"/>
      <c r="C437" s="3399"/>
      <c r="D437" s="3408"/>
      <c r="E437" s="3410" t="e">
        <v>#N/A</v>
      </c>
      <c r="F437" s="3405" t="e">
        <v>#N/A</v>
      </c>
      <c r="G437" s="3406" t="e">
        <v>#N/A</v>
      </c>
      <c r="H437" s="3407" t="e">
        <v>#N/A</v>
      </c>
      <c r="I437" s="3406" t="e">
        <v>#N/A</v>
      </c>
      <c r="J437" s="3407" t="e">
        <v>#N/A</v>
      </c>
      <c r="K437" s="3406" t="e">
        <v>#N/A</v>
      </c>
      <c r="L437" s="3407" t="e">
        <v>#N/A</v>
      </c>
      <c r="M437" s="3406" t="e">
        <v>#N/A</v>
      </c>
      <c r="N437" s="3375" t="e">
        <v>#N/A</v>
      </c>
      <c r="O437" s="3411" t="e">
        <v>#N/A</v>
      </c>
      <c r="P437" s="3380" t="e">
        <v>#N/A</v>
      </c>
      <c r="Q437" s="3375" t="e">
        <v>#N/A</v>
      </c>
      <c r="R437" s="3381" t="e">
        <v>#N/A</v>
      </c>
    </row>
    <row r="438" spans="1:18">
      <c r="A438" s="3368">
        <f t="shared" si="10"/>
        <v>2026.09</v>
      </c>
      <c r="B438" s="3390"/>
      <c r="C438" s="3399"/>
      <c r="D438" s="3408"/>
      <c r="E438" s="3410" t="e">
        <v>#N/A</v>
      </c>
      <c r="F438" s="3405" t="e">
        <v>#N/A</v>
      </c>
      <c r="G438" s="3406" t="e">
        <v>#N/A</v>
      </c>
      <c r="H438" s="3407" t="e">
        <v>#N/A</v>
      </c>
      <c r="I438" s="3406" t="e">
        <v>#N/A</v>
      </c>
      <c r="J438" s="3407" t="e">
        <v>#N/A</v>
      </c>
      <c r="K438" s="3406" t="e">
        <v>#N/A</v>
      </c>
      <c r="L438" s="3407" t="e">
        <v>#N/A</v>
      </c>
      <c r="M438" s="3406" t="e">
        <v>#N/A</v>
      </c>
      <c r="N438" s="3375" t="e">
        <v>#N/A</v>
      </c>
      <c r="O438" s="3411" t="e">
        <v>#N/A</v>
      </c>
      <c r="P438" s="3380" t="e">
        <v>#N/A</v>
      </c>
      <c r="Q438" s="3375" t="e">
        <v>#N/A</v>
      </c>
      <c r="R438" s="3381" t="e">
        <v>#N/A</v>
      </c>
    </row>
    <row r="439" spans="1:18">
      <c r="A439" s="3368">
        <f t="shared" si="10"/>
        <v>2026.1</v>
      </c>
      <c r="B439" s="3390"/>
      <c r="C439" s="3399"/>
      <c r="D439" s="3408"/>
      <c r="E439" s="3410" t="e">
        <v>#N/A</v>
      </c>
      <c r="F439" s="3405" t="e">
        <v>#N/A</v>
      </c>
      <c r="G439" s="3406" t="e">
        <v>#N/A</v>
      </c>
      <c r="H439" s="3407" t="e">
        <v>#N/A</v>
      </c>
      <c r="I439" s="3406" t="e">
        <v>#N/A</v>
      </c>
      <c r="J439" s="3407" t="e">
        <v>#N/A</v>
      </c>
      <c r="K439" s="3406" t="e">
        <v>#N/A</v>
      </c>
      <c r="L439" s="3407" t="e">
        <v>#N/A</v>
      </c>
      <c r="M439" s="3406" t="e">
        <v>#N/A</v>
      </c>
      <c r="N439" s="3375" t="e">
        <v>#N/A</v>
      </c>
      <c r="O439" s="3411" t="e">
        <v>#N/A</v>
      </c>
      <c r="P439" s="3380" t="e">
        <v>#N/A</v>
      </c>
      <c r="Q439" s="3375" t="e">
        <v>#N/A</v>
      </c>
      <c r="R439" s="3381" t="e">
        <v>#N/A</v>
      </c>
    </row>
    <row r="440" spans="1:18">
      <c r="A440" s="3368">
        <f t="shared" si="10"/>
        <v>2026.11</v>
      </c>
      <c r="B440" s="3390"/>
      <c r="C440" s="3399"/>
      <c r="D440" s="3408"/>
      <c r="E440" s="3410" t="e">
        <v>#N/A</v>
      </c>
      <c r="F440" s="3405" t="e">
        <v>#N/A</v>
      </c>
      <c r="G440" s="3406" t="e">
        <v>#N/A</v>
      </c>
      <c r="H440" s="3407" t="e">
        <v>#N/A</v>
      </c>
      <c r="I440" s="3406" t="e">
        <v>#N/A</v>
      </c>
      <c r="J440" s="3407" t="e">
        <v>#N/A</v>
      </c>
      <c r="K440" s="3406" t="e">
        <v>#N/A</v>
      </c>
      <c r="L440" s="3407" t="e">
        <v>#N/A</v>
      </c>
      <c r="M440" s="3406" t="e">
        <v>#N/A</v>
      </c>
      <c r="N440" s="3375" t="e">
        <v>#N/A</v>
      </c>
      <c r="O440" s="3411" t="e">
        <v>#N/A</v>
      </c>
      <c r="P440" s="3380" t="e">
        <v>#N/A</v>
      </c>
      <c r="Q440" s="3375" t="e">
        <v>#N/A</v>
      </c>
      <c r="R440" s="3381" t="e">
        <v>#N/A</v>
      </c>
    </row>
    <row r="441" spans="1:18">
      <c r="A441" s="3368">
        <f t="shared" si="10"/>
        <v>2026.12</v>
      </c>
      <c r="B441" s="3390"/>
      <c r="C441" s="3399"/>
      <c r="D441" s="3408"/>
      <c r="E441" s="3410" t="e">
        <v>#N/A</v>
      </c>
      <c r="F441" s="3405" t="e">
        <v>#N/A</v>
      </c>
      <c r="G441" s="3406" t="e">
        <v>#N/A</v>
      </c>
      <c r="H441" s="3407" t="e">
        <v>#N/A</v>
      </c>
      <c r="I441" s="3406" t="e">
        <v>#N/A</v>
      </c>
      <c r="J441" s="3407" t="e">
        <v>#N/A</v>
      </c>
      <c r="K441" s="3406" t="e">
        <v>#N/A</v>
      </c>
      <c r="L441" s="3407" t="e">
        <v>#N/A</v>
      </c>
      <c r="M441" s="3406" t="e">
        <v>#N/A</v>
      </c>
      <c r="N441" s="3375" t="e">
        <v>#N/A</v>
      </c>
      <c r="O441" s="3411" t="e">
        <v>#N/A</v>
      </c>
      <c r="P441" s="3380" t="e">
        <v>#N/A</v>
      </c>
      <c r="Q441" s="3375" t="e">
        <v>#N/A</v>
      </c>
      <c r="R441" s="3381" t="e">
        <v>#N/A</v>
      </c>
    </row>
    <row r="442" spans="1:18">
      <c r="A442" s="3368">
        <f t="shared" si="10"/>
        <v>2027.01</v>
      </c>
      <c r="B442" s="3390"/>
      <c r="C442" s="3399"/>
      <c r="D442" s="3408"/>
      <c r="E442" s="3410" t="e">
        <v>#N/A</v>
      </c>
      <c r="F442" s="3405" t="e">
        <v>#N/A</v>
      </c>
      <c r="G442" s="3406" t="e">
        <v>#N/A</v>
      </c>
      <c r="H442" s="3407" t="e">
        <v>#N/A</v>
      </c>
      <c r="I442" s="3406" t="e">
        <v>#N/A</v>
      </c>
      <c r="J442" s="3407" t="e">
        <v>#N/A</v>
      </c>
      <c r="K442" s="3406" t="e">
        <v>#N/A</v>
      </c>
      <c r="L442" s="3407" t="e">
        <v>#N/A</v>
      </c>
      <c r="M442" s="3406" t="e">
        <v>#N/A</v>
      </c>
      <c r="N442" s="3375" t="e">
        <v>#N/A</v>
      </c>
      <c r="O442" s="3411" t="e">
        <v>#N/A</v>
      </c>
      <c r="P442" s="3380" t="e">
        <v>#N/A</v>
      </c>
      <c r="Q442" s="3375" t="e">
        <v>#N/A</v>
      </c>
      <c r="R442" s="3381" t="e">
        <v>#N/A</v>
      </c>
    </row>
    <row r="443" spans="1:18">
      <c r="A443" s="3368">
        <f t="shared" si="10"/>
        <v>2027.02</v>
      </c>
      <c r="B443" s="3390"/>
      <c r="C443" s="3399"/>
      <c r="D443" s="3408"/>
      <c r="E443" s="3410" t="e">
        <v>#N/A</v>
      </c>
      <c r="F443" s="3405" t="e">
        <v>#N/A</v>
      </c>
      <c r="G443" s="3406" t="e">
        <v>#N/A</v>
      </c>
      <c r="H443" s="3407" t="e">
        <v>#N/A</v>
      </c>
      <c r="I443" s="3406" t="e">
        <v>#N/A</v>
      </c>
      <c r="J443" s="3407" t="e">
        <v>#N/A</v>
      </c>
      <c r="K443" s="3406" t="e">
        <v>#N/A</v>
      </c>
      <c r="L443" s="3407" t="e">
        <v>#N/A</v>
      </c>
      <c r="M443" s="3406" t="e">
        <v>#N/A</v>
      </c>
      <c r="N443" s="3375" t="e">
        <v>#N/A</v>
      </c>
      <c r="O443" s="3411" t="e">
        <v>#N/A</v>
      </c>
      <c r="P443" s="3380" t="e">
        <v>#N/A</v>
      </c>
      <c r="Q443" s="3375" t="e">
        <v>#N/A</v>
      </c>
      <c r="R443" s="3381" t="e">
        <v>#N/A</v>
      </c>
    </row>
    <row r="444" spans="1:18">
      <c r="A444" s="3368">
        <f t="shared" si="10"/>
        <v>2027.03</v>
      </c>
      <c r="B444" s="3390"/>
      <c r="C444" s="3399"/>
      <c r="D444" s="3408"/>
      <c r="E444" s="3410" t="e">
        <v>#N/A</v>
      </c>
      <c r="F444" s="3405" t="e">
        <v>#N/A</v>
      </c>
      <c r="G444" s="3406" t="e">
        <v>#N/A</v>
      </c>
      <c r="H444" s="3407" t="e">
        <v>#N/A</v>
      </c>
      <c r="I444" s="3406" t="e">
        <v>#N/A</v>
      </c>
      <c r="J444" s="3407" t="e">
        <v>#N/A</v>
      </c>
      <c r="K444" s="3406" t="e">
        <v>#N/A</v>
      </c>
      <c r="L444" s="3407" t="e">
        <v>#N/A</v>
      </c>
      <c r="M444" s="3406" t="e">
        <v>#N/A</v>
      </c>
      <c r="N444" s="3375" t="e">
        <v>#N/A</v>
      </c>
      <c r="O444" s="3411" t="e">
        <v>#N/A</v>
      </c>
      <c r="P444" s="3380" t="e">
        <v>#N/A</v>
      </c>
      <c r="Q444" s="3375" t="e">
        <v>#N/A</v>
      </c>
      <c r="R444" s="3381" t="e">
        <v>#N/A</v>
      </c>
    </row>
    <row r="445" spans="1:18">
      <c r="A445" s="3368">
        <f t="shared" si="10"/>
        <v>2027.04</v>
      </c>
      <c r="B445" s="3390"/>
      <c r="C445" s="3399"/>
      <c r="D445" s="3408"/>
      <c r="E445" s="3410" t="e">
        <v>#N/A</v>
      </c>
      <c r="F445" s="3405" t="e">
        <v>#N/A</v>
      </c>
      <c r="G445" s="3406" t="e">
        <v>#N/A</v>
      </c>
      <c r="H445" s="3407" t="e">
        <v>#N/A</v>
      </c>
      <c r="I445" s="3406" t="e">
        <v>#N/A</v>
      </c>
      <c r="J445" s="3407" t="e">
        <v>#N/A</v>
      </c>
      <c r="K445" s="3406" t="e">
        <v>#N/A</v>
      </c>
      <c r="L445" s="3407" t="e">
        <v>#N/A</v>
      </c>
      <c r="M445" s="3406" t="e">
        <v>#N/A</v>
      </c>
      <c r="N445" s="3375" t="e">
        <v>#N/A</v>
      </c>
      <c r="O445" s="3411" t="e">
        <v>#N/A</v>
      </c>
      <c r="P445" s="3380" t="e">
        <v>#N/A</v>
      </c>
      <c r="Q445" s="3375" t="e">
        <v>#N/A</v>
      </c>
      <c r="R445" s="3381" t="e">
        <v>#N/A</v>
      </c>
    </row>
    <row r="446" spans="1:18">
      <c r="A446" s="3368">
        <f t="shared" si="10"/>
        <v>2027.05</v>
      </c>
      <c r="B446" s="3390"/>
      <c r="C446" s="3399"/>
      <c r="D446" s="3408"/>
      <c r="E446" s="3410" t="e">
        <v>#N/A</v>
      </c>
      <c r="F446" s="3405" t="e">
        <v>#N/A</v>
      </c>
      <c r="G446" s="3406" t="e">
        <v>#N/A</v>
      </c>
      <c r="H446" s="3407" t="e">
        <v>#N/A</v>
      </c>
      <c r="I446" s="3406" t="e">
        <v>#N/A</v>
      </c>
      <c r="J446" s="3407" t="e">
        <v>#N/A</v>
      </c>
      <c r="K446" s="3406" t="e">
        <v>#N/A</v>
      </c>
      <c r="L446" s="3407" t="e">
        <v>#N/A</v>
      </c>
      <c r="M446" s="3406" t="e">
        <v>#N/A</v>
      </c>
      <c r="N446" s="3375" t="e">
        <v>#N/A</v>
      </c>
      <c r="O446" s="3411" t="e">
        <v>#N/A</v>
      </c>
      <c r="P446" s="3380" t="e">
        <v>#N/A</v>
      </c>
      <c r="Q446" s="3375" t="e">
        <v>#N/A</v>
      </c>
      <c r="R446" s="3381" t="e">
        <v>#N/A</v>
      </c>
    </row>
    <row r="447" spans="1:18">
      <c r="A447" s="3368">
        <f t="shared" si="10"/>
        <v>2027.06</v>
      </c>
      <c r="B447" s="3390"/>
      <c r="C447" s="3399"/>
      <c r="D447" s="3408"/>
      <c r="E447" s="3410" t="e">
        <v>#N/A</v>
      </c>
      <c r="F447" s="3405" t="e">
        <v>#N/A</v>
      </c>
      <c r="G447" s="3406" t="e">
        <v>#N/A</v>
      </c>
      <c r="H447" s="3407" t="e">
        <v>#N/A</v>
      </c>
      <c r="I447" s="3406" t="e">
        <v>#N/A</v>
      </c>
      <c r="J447" s="3407" t="e">
        <v>#N/A</v>
      </c>
      <c r="K447" s="3406" t="e">
        <v>#N/A</v>
      </c>
      <c r="L447" s="3407" t="e">
        <v>#N/A</v>
      </c>
      <c r="M447" s="3406" t="e">
        <v>#N/A</v>
      </c>
      <c r="N447" s="3375" t="e">
        <v>#N/A</v>
      </c>
      <c r="O447" s="3411" t="e">
        <v>#N/A</v>
      </c>
      <c r="P447" s="3380" t="e">
        <v>#N/A</v>
      </c>
      <c r="Q447" s="3375" t="e">
        <v>#N/A</v>
      </c>
      <c r="R447" s="3381" t="e">
        <v>#N/A</v>
      </c>
    </row>
    <row r="448" spans="1:18">
      <c r="A448" s="3368">
        <f t="shared" si="10"/>
        <v>2027.07</v>
      </c>
      <c r="B448" s="3390"/>
      <c r="C448" s="3399"/>
      <c r="D448" s="3408"/>
      <c r="E448" s="3410" t="e">
        <v>#N/A</v>
      </c>
      <c r="F448" s="3405" t="e">
        <v>#N/A</v>
      </c>
      <c r="G448" s="3406" t="e">
        <v>#N/A</v>
      </c>
      <c r="H448" s="3407" t="e">
        <v>#N/A</v>
      </c>
      <c r="I448" s="3406" t="e">
        <v>#N/A</v>
      </c>
      <c r="J448" s="3407" t="e">
        <v>#N/A</v>
      </c>
      <c r="K448" s="3406" t="e">
        <v>#N/A</v>
      </c>
      <c r="L448" s="3407" t="e">
        <v>#N/A</v>
      </c>
      <c r="M448" s="3406" t="e">
        <v>#N/A</v>
      </c>
      <c r="N448" s="3375" t="e">
        <v>#N/A</v>
      </c>
      <c r="O448" s="3411" t="e">
        <v>#N/A</v>
      </c>
      <c r="P448" s="3380" t="e">
        <v>#N/A</v>
      </c>
      <c r="Q448" s="3375" t="e">
        <v>#N/A</v>
      </c>
      <c r="R448" s="3381" t="e">
        <v>#N/A</v>
      </c>
    </row>
    <row r="449" spans="1:18">
      <c r="A449" s="3368">
        <f t="shared" si="10"/>
        <v>2027.08</v>
      </c>
      <c r="B449" s="3390"/>
      <c r="C449" s="3399"/>
      <c r="D449" s="3408"/>
      <c r="E449" s="3410" t="e">
        <v>#N/A</v>
      </c>
      <c r="F449" s="3405" t="e">
        <v>#N/A</v>
      </c>
      <c r="G449" s="3406" t="e">
        <v>#N/A</v>
      </c>
      <c r="H449" s="3407" t="e">
        <v>#N/A</v>
      </c>
      <c r="I449" s="3406" t="e">
        <v>#N/A</v>
      </c>
      <c r="J449" s="3407" t="e">
        <v>#N/A</v>
      </c>
      <c r="K449" s="3406" t="e">
        <v>#N/A</v>
      </c>
      <c r="L449" s="3407" t="e">
        <v>#N/A</v>
      </c>
      <c r="M449" s="3406" t="e">
        <v>#N/A</v>
      </c>
      <c r="N449" s="3375" t="e">
        <v>#N/A</v>
      </c>
      <c r="O449" s="3411" t="e">
        <v>#N/A</v>
      </c>
      <c r="P449" s="3380" t="e">
        <v>#N/A</v>
      </c>
      <c r="Q449" s="3375" t="e">
        <v>#N/A</v>
      </c>
      <c r="R449" s="3381" t="e">
        <v>#N/A</v>
      </c>
    </row>
    <row r="450" spans="1:18">
      <c r="A450" s="3368">
        <f t="shared" si="10"/>
        <v>2027.09</v>
      </c>
      <c r="B450" s="3390"/>
      <c r="C450" s="3399"/>
      <c r="D450" s="3408"/>
      <c r="E450" s="3410" t="e">
        <v>#N/A</v>
      </c>
      <c r="F450" s="3405" t="e">
        <v>#N/A</v>
      </c>
      <c r="G450" s="3406" t="e">
        <v>#N/A</v>
      </c>
      <c r="H450" s="3407" t="e">
        <v>#N/A</v>
      </c>
      <c r="I450" s="3406" t="e">
        <v>#N/A</v>
      </c>
      <c r="J450" s="3407" t="e">
        <v>#N/A</v>
      </c>
      <c r="K450" s="3406" t="e">
        <v>#N/A</v>
      </c>
      <c r="L450" s="3407" t="e">
        <v>#N/A</v>
      </c>
      <c r="M450" s="3406" t="e">
        <v>#N/A</v>
      </c>
      <c r="N450" s="3375" t="e">
        <v>#N/A</v>
      </c>
      <c r="O450" s="3411" t="e">
        <v>#N/A</v>
      </c>
      <c r="P450" s="3380" t="e">
        <v>#N/A</v>
      </c>
      <c r="Q450" s="3375" t="e">
        <v>#N/A</v>
      </c>
      <c r="R450" s="3381" t="e">
        <v>#N/A</v>
      </c>
    </row>
    <row r="451" spans="1:18">
      <c r="A451" s="3368">
        <f t="shared" si="10"/>
        <v>2027.1</v>
      </c>
      <c r="B451" s="3390"/>
      <c r="C451" s="3399"/>
      <c r="D451" s="3408"/>
      <c r="E451" s="3410" t="e">
        <v>#N/A</v>
      </c>
      <c r="F451" s="3405" t="e">
        <v>#N/A</v>
      </c>
      <c r="G451" s="3406" t="e">
        <v>#N/A</v>
      </c>
      <c r="H451" s="3407" t="e">
        <v>#N/A</v>
      </c>
      <c r="I451" s="3406" t="e">
        <v>#N/A</v>
      </c>
      <c r="J451" s="3407" t="e">
        <v>#N/A</v>
      </c>
      <c r="K451" s="3406" t="e">
        <v>#N/A</v>
      </c>
      <c r="L451" s="3407" t="e">
        <v>#N/A</v>
      </c>
      <c r="M451" s="3406" t="e">
        <v>#N/A</v>
      </c>
      <c r="N451" s="3375" t="e">
        <v>#N/A</v>
      </c>
      <c r="O451" s="3411" t="e">
        <v>#N/A</v>
      </c>
      <c r="P451" s="3380" t="e">
        <v>#N/A</v>
      </c>
      <c r="Q451" s="3375" t="e">
        <v>#N/A</v>
      </c>
      <c r="R451" s="3381" t="e">
        <v>#N/A</v>
      </c>
    </row>
    <row r="452" spans="1:18">
      <c r="A452" s="3368">
        <f t="shared" si="10"/>
        <v>2027.11</v>
      </c>
      <c r="B452" s="3390"/>
      <c r="C452" s="3399"/>
      <c r="D452" s="3408"/>
      <c r="E452" s="3410" t="e">
        <v>#N/A</v>
      </c>
      <c r="F452" s="3405" t="e">
        <v>#N/A</v>
      </c>
      <c r="G452" s="3406" t="e">
        <v>#N/A</v>
      </c>
      <c r="H452" s="3407" t="e">
        <v>#N/A</v>
      </c>
      <c r="I452" s="3406" t="e">
        <v>#N/A</v>
      </c>
      <c r="J452" s="3407" t="e">
        <v>#N/A</v>
      </c>
      <c r="K452" s="3406" t="e">
        <v>#N/A</v>
      </c>
      <c r="L452" s="3407" t="e">
        <v>#N/A</v>
      </c>
      <c r="M452" s="3406" t="e">
        <v>#N/A</v>
      </c>
      <c r="N452" s="3375" t="e">
        <v>#N/A</v>
      </c>
      <c r="O452" s="3411" t="e">
        <v>#N/A</v>
      </c>
      <c r="P452" s="3380" t="e">
        <v>#N/A</v>
      </c>
      <c r="Q452" s="3375" t="e">
        <v>#N/A</v>
      </c>
      <c r="R452" s="3381" t="e">
        <v>#N/A</v>
      </c>
    </row>
    <row r="453" spans="1:18">
      <c r="A453" s="3368">
        <f t="shared" si="10"/>
        <v>2027.12</v>
      </c>
      <c r="B453" s="3390"/>
      <c r="C453" s="3399"/>
      <c r="D453" s="3408"/>
      <c r="E453" s="3410" t="e">
        <v>#N/A</v>
      </c>
      <c r="F453" s="3405" t="e">
        <v>#N/A</v>
      </c>
      <c r="G453" s="3406" t="e">
        <v>#N/A</v>
      </c>
      <c r="H453" s="3407" t="e">
        <v>#N/A</v>
      </c>
      <c r="I453" s="3406" t="e">
        <v>#N/A</v>
      </c>
      <c r="J453" s="3407" t="e">
        <v>#N/A</v>
      </c>
      <c r="K453" s="3406" t="e">
        <v>#N/A</v>
      </c>
      <c r="L453" s="3407" t="e">
        <v>#N/A</v>
      </c>
      <c r="M453" s="3406" t="e">
        <v>#N/A</v>
      </c>
      <c r="N453" s="3375" t="e">
        <v>#N/A</v>
      </c>
      <c r="O453" s="3411" t="e">
        <v>#N/A</v>
      </c>
      <c r="P453" s="3380" t="e">
        <v>#N/A</v>
      </c>
      <c r="Q453" s="3375" t="e">
        <v>#N/A</v>
      </c>
      <c r="R453" s="3381" t="e">
        <v>#N/A</v>
      </c>
    </row>
    <row r="454" spans="1:18">
      <c r="A454" s="3368">
        <f t="shared" si="10"/>
        <v>2028.01</v>
      </c>
      <c r="B454" s="3390"/>
      <c r="C454" s="3399"/>
      <c r="D454" s="3408"/>
      <c r="E454" s="3410" t="e">
        <v>#N/A</v>
      </c>
      <c r="F454" s="3405" t="e">
        <v>#N/A</v>
      </c>
      <c r="G454" s="3406" t="e">
        <v>#N/A</v>
      </c>
      <c r="H454" s="3407" t="e">
        <v>#N/A</v>
      </c>
      <c r="I454" s="3406" t="e">
        <v>#N/A</v>
      </c>
      <c r="J454" s="3407" t="e">
        <v>#N/A</v>
      </c>
      <c r="K454" s="3406" t="e">
        <v>#N/A</v>
      </c>
      <c r="L454" s="3407" t="e">
        <v>#N/A</v>
      </c>
      <c r="M454" s="3406" t="e">
        <v>#N/A</v>
      </c>
      <c r="N454" s="3375" t="e">
        <v>#N/A</v>
      </c>
      <c r="O454" s="3411" t="e">
        <v>#N/A</v>
      </c>
      <c r="P454" s="3380" t="e">
        <v>#N/A</v>
      </c>
      <c r="Q454" s="3375" t="e">
        <v>#N/A</v>
      </c>
      <c r="R454" s="3381" t="e">
        <v>#N/A</v>
      </c>
    </row>
    <row r="455" spans="1:18">
      <c r="A455" s="3368">
        <f t="shared" si="10"/>
        <v>2028.02</v>
      </c>
      <c r="B455" s="3390"/>
      <c r="C455" s="3399"/>
      <c r="D455" s="3408"/>
      <c r="E455" s="3410" t="e">
        <v>#N/A</v>
      </c>
      <c r="F455" s="3405" t="e">
        <v>#N/A</v>
      </c>
      <c r="G455" s="3406" t="e">
        <v>#N/A</v>
      </c>
      <c r="H455" s="3407" t="e">
        <v>#N/A</v>
      </c>
      <c r="I455" s="3406" t="e">
        <v>#N/A</v>
      </c>
      <c r="J455" s="3407" t="e">
        <v>#N/A</v>
      </c>
      <c r="K455" s="3406" t="e">
        <v>#N/A</v>
      </c>
      <c r="L455" s="3407" t="e">
        <v>#N/A</v>
      </c>
      <c r="M455" s="3406" t="e">
        <v>#N/A</v>
      </c>
      <c r="N455" s="3375" t="e">
        <v>#N/A</v>
      </c>
      <c r="O455" s="3411" t="e">
        <v>#N/A</v>
      </c>
      <c r="P455" s="3380" t="e">
        <v>#N/A</v>
      </c>
      <c r="Q455" s="3375" t="e">
        <v>#N/A</v>
      </c>
      <c r="R455" s="3381" t="e">
        <v>#N/A</v>
      </c>
    </row>
    <row r="456" spans="1:18">
      <c r="A456" s="3368">
        <f t="shared" si="10"/>
        <v>2028.03</v>
      </c>
      <c r="B456" s="3390"/>
      <c r="C456" s="3399"/>
      <c r="D456" s="3408"/>
      <c r="E456" s="3410" t="e">
        <v>#N/A</v>
      </c>
      <c r="F456" s="3405" t="e">
        <v>#N/A</v>
      </c>
      <c r="G456" s="3406" t="e">
        <v>#N/A</v>
      </c>
      <c r="H456" s="3407" t="e">
        <v>#N/A</v>
      </c>
      <c r="I456" s="3406" t="e">
        <v>#N/A</v>
      </c>
      <c r="J456" s="3407" t="e">
        <v>#N/A</v>
      </c>
      <c r="K456" s="3406" t="e">
        <v>#N/A</v>
      </c>
      <c r="L456" s="3407" t="e">
        <v>#N/A</v>
      </c>
      <c r="M456" s="3406" t="e">
        <v>#N/A</v>
      </c>
      <c r="N456" s="3375" t="e">
        <v>#N/A</v>
      </c>
      <c r="O456" s="3411" t="e">
        <v>#N/A</v>
      </c>
      <c r="P456" s="3380" t="e">
        <v>#N/A</v>
      </c>
      <c r="Q456" s="3375" t="e">
        <v>#N/A</v>
      </c>
      <c r="R456" s="3381" t="e">
        <v>#N/A</v>
      </c>
    </row>
    <row r="457" spans="1:18">
      <c r="A457" s="3368">
        <f t="shared" si="10"/>
        <v>2028.04</v>
      </c>
      <c r="B457" s="3390"/>
      <c r="C457" s="3399"/>
      <c r="D457" s="3408"/>
      <c r="E457" s="3410" t="e">
        <v>#N/A</v>
      </c>
      <c r="F457" s="3405" t="e">
        <v>#N/A</v>
      </c>
      <c r="G457" s="3406" t="e">
        <v>#N/A</v>
      </c>
      <c r="H457" s="3407" t="e">
        <v>#N/A</v>
      </c>
      <c r="I457" s="3406" t="e">
        <v>#N/A</v>
      </c>
      <c r="J457" s="3407" t="e">
        <v>#N/A</v>
      </c>
      <c r="K457" s="3406" t="e">
        <v>#N/A</v>
      </c>
      <c r="L457" s="3407" t="e">
        <v>#N/A</v>
      </c>
      <c r="M457" s="3406" t="e">
        <v>#N/A</v>
      </c>
      <c r="N457" s="3375" t="e">
        <v>#N/A</v>
      </c>
      <c r="O457" s="3411" t="e">
        <v>#N/A</v>
      </c>
      <c r="P457" s="3380" t="e">
        <v>#N/A</v>
      </c>
      <c r="Q457" s="3375" t="e">
        <v>#N/A</v>
      </c>
      <c r="R457" s="3381" t="e">
        <v>#N/A</v>
      </c>
    </row>
    <row r="458" spans="1:18">
      <c r="A458" s="3368">
        <f t="shared" si="10"/>
        <v>2028.05</v>
      </c>
      <c r="B458" s="3390"/>
      <c r="C458" s="3399"/>
      <c r="D458" s="3408"/>
      <c r="E458" s="3410" t="e">
        <v>#N/A</v>
      </c>
      <c r="F458" s="3405" t="e">
        <v>#N/A</v>
      </c>
      <c r="G458" s="3406" t="e">
        <v>#N/A</v>
      </c>
      <c r="H458" s="3407" t="e">
        <v>#N/A</v>
      </c>
      <c r="I458" s="3406" t="e">
        <v>#N/A</v>
      </c>
      <c r="J458" s="3407" t="e">
        <v>#N/A</v>
      </c>
      <c r="K458" s="3406" t="e">
        <v>#N/A</v>
      </c>
      <c r="L458" s="3407" t="e">
        <v>#N/A</v>
      </c>
      <c r="M458" s="3406" t="e">
        <v>#N/A</v>
      </c>
      <c r="N458" s="3375" t="e">
        <v>#N/A</v>
      </c>
      <c r="O458" s="3411" t="e">
        <v>#N/A</v>
      </c>
      <c r="P458" s="3380" t="e">
        <v>#N/A</v>
      </c>
      <c r="Q458" s="3375" t="e">
        <v>#N/A</v>
      </c>
      <c r="R458" s="3381" t="e">
        <v>#N/A</v>
      </c>
    </row>
    <row r="459" spans="1:18">
      <c r="A459" s="3368">
        <f t="shared" si="10"/>
        <v>2028.06</v>
      </c>
      <c r="B459" s="3390"/>
      <c r="C459" s="3399"/>
      <c r="D459" s="3408"/>
      <c r="E459" s="3410" t="e">
        <v>#N/A</v>
      </c>
      <c r="F459" s="3405" t="e">
        <v>#N/A</v>
      </c>
      <c r="G459" s="3406" t="e">
        <v>#N/A</v>
      </c>
      <c r="H459" s="3407" t="e">
        <v>#N/A</v>
      </c>
      <c r="I459" s="3406" t="e">
        <v>#N/A</v>
      </c>
      <c r="J459" s="3407" t="e">
        <v>#N/A</v>
      </c>
      <c r="K459" s="3406" t="e">
        <v>#N/A</v>
      </c>
      <c r="L459" s="3407" t="e">
        <v>#N/A</v>
      </c>
      <c r="M459" s="3406" t="e">
        <v>#N/A</v>
      </c>
      <c r="N459" s="3375" t="e">
        <v>#N/A</v>
      </c>
      <c r="O459" s="3411" t="e">
        <v>#N/A</v>
      </c>
      <c r="P459" s="3380" t="e">
        <v>#N/A</v>
      </c>
      <c r="Q459" s="3375" t="e">
        <v>#N/A</v>
      </c>
      <c r="R459" s="3381" t="e">
        <v>#N/A</v>
      </c>
    </row>
    <row r="460" spans="1:18">
      <c r="A460" s="3368">
        <f t="shared" si="10"/>
        <v>2028.07</v>
      </c>
      <c r="B460" s="3390"/>
      <c r="C460" s="3399"/>
      <c r="D460" s="3408"/>
      <c r="E460" s="3410" t="e">
        <v>#N/A</v>
      </c>
      <c r="F460" s="3405" t="e">
        <v>#N/A</v>
      </c>
      <c r="G460" s="3406" t="e">
        <v>#N/A</v>
      </c>
      <c r="H460" s="3407" t="e">
        <v>#N/A</v>
      </c>
      <c r="I460" s="3406" t="e">
        <v>#N/A</v>
      </c>
      <c r="J460" s="3407" t="e">
        <v>#N/A</v>
      </c>
      <c r="K460" s="3406" t="e">
        <v>#N/A</v>
      </c>
      <c r="L460" s="3407" t="e">
        <v>#N/A</v>
      </c>
      <c r="M460" s="3406" t="e">
        <v>#N/A</v>
      </c>
      <c r="N460" s="3375" t="e">
        <v>#N/A</v>
      </c>
      <c r="O460" s="3411" t="e">
        <v>#N/A</v>
      </c>
      <c r="P460" s="3380" t="e">
        <v>#N/A</v>
      </c>
      <c r="Q460" s="3375" t="e">
        <v>#N/A</v>
      </c>
      <c r="R460" s="3381" t="e">
        <v>#N/A</v>
      </c>
    </row>
    <row r="461" spans="1:18">
      <c r="A461" s="3368">
        <f t="shared" si="10"/>
        <v>2028.08</v>
      </c>
      <c r="B461" s="3390"/>
      <c r="C461" s="3399"/>
      <c r="D461" s="3408"/>
      <c r="E461" s="3410" t="e">
        <v>#N/A</v>
      </c>
      <c r="F461" s="3405" t="e">
        <v>#N/A</v>
      </c>
      <c r="G461" s="3406" t="e">
        <v>#N/A</v>
      </c>
      <c r="H461" s="3407" t="e">
        <v>#N/A</v>
      </c>
      <c r="I461" s="3406" t="e">
        <v>#N/A</v>
      </c>
      <c r="J461" s="3407" t="e">
        <v>#N/A</v>
      </c>
      <c r="K461" s="3406" t="e">
        <v>#N/A</v>
      </c>
      <c r="L461" s="3407" t="e">
        <v>#N/A</v>
      </c>
      <c r="M461" s="3406" t="e">
        <v>#N/A</v>
      </c>
      <c r="N461" s="3375" t="e">
        <v>#N/A</v>
      </c>
      <c r="O461" s="3411" t="e">
        <v>#N/A</v>
      </c>
      <c r="P461" s="3380" t="e">
        <v>#N/A</v>
      </c>
      <c r="Q461" s="3375" t="e">
        <v>#N/A</v>
      </c>
      <c r="R461" s="3381" t="e">
        <v>#N/A</v>
      </c>
    </row>
    <row r="462" spans="1:18">
      <c r="A462" s="3368">
        <f t="shared" si="10"/>
        <v>2028.09</v>
      </c>
      <c r="B462" s="3390"/>
      <c r="C462" s="3399"/>
      <c r="D462" s="3408"/>
      <c r="E462" s="3410" t="e">
        <v>#N/A</v>
      </c>
      <c r="F462" s="3405" t="e">
        <v>#N/A</v>
      </c>
      <c r="G462" s="3406" t="e">
        <v>#N/A</v>
      </c>
      <c r="H462" s="3407" t="e">
        <v>#N/A</v>
      </c>
      <c r="I462" s="3406" t="e">
        <v>#N/A</v>
      </c>
      <c r="J462" s="3407" t="e">
        <v>#N/A</v>
      </c>
      <c r="K462" s="3406" t="e">
        <v>#N/A</v>
      </c>
      <c r="L462" s="3407" t="e">
        <v>#N/A</v>
      </c>
      <c r="M462" s="3406" t="e">
        <v>#N/A</v>
      </c>
      <c r="N462" s="3375" t="e">
        <v>#N/A</v>
      </c>
      <c r="O462" s="3411" t="e">
        <v>#N/A</v>
      </c>
      <c r="P462" s="3380" t="e">
        <v>#N/A</v>
      </c>
      <c r="Q462" s="3375" t="e">
        <v>#N/A</v>
      </c>
      <c r="R462" s="3381" t="e">
        <v>#N/A</v>
      </c>
    </row>
    <row r="463" spans="1:18">
      <c r="A463" s="3368">
        <f t="shared" si="10"/>
        <v>2028.1</v>
      </c>
      <c r="B463" s="3390"/>
      <c r="C463" s="3399"/>
      <c r="D463" s="3408"/>
      <c r="E463" s="3410" t="e">
        <v>#N/A</v>
      </c>
      <c r="F463" s="3405" t="e">
        <v>#N/A</v>
      </c>
      <c r="G463" s="3406" t="e">
        <v>#N/A</v>
      </c>
      <c r="H463" s="3407" t="e">
        <v>#N/A</v>
      </c>
      <c r="I463" s="3406" t="e">
        <v>#N/A</v>
      </c>
      <c r="J463" s="3407" t="e">
        <v>#N/A</v>
      </c>
      <c r="K463" s="3406" t="e">
        <v>#N/A</v>
      </c>
      <c r="L463" s="3407" t="e">
        <v>#N/A</v>
      </c>
      <c r="M463" s="3406" t="e">
        <v>#N/A</v>
      </c>
      <c r="N463" s="3375" t="e">
        <v>#N/A</v>
      </c>
      <c r="O463" s="3411" t="e">
        <v>#N/A</v>
      </c>
      <c r="P463" s="3380" t="e">
        <v>#N/A</v>
      </c>
      <c r="Q463" s="3375" t="e">
        <v>#N/A</v>
      </c>
      <c r="R463" s="3381" t="e">
        <v>#N/A</v>
      </c>
    </row>
    <row r="464" spans="1:18">
      <c r="A464" s="3368">
        <f t="shared" si="10"/>
        <v>2028.11</v>
      </c>
      <c r="B464" s="3390"/>
      <c r="C464" s="3399"/>
      <c r="D464" s="3408"/>
      <c r="E464" s="3410" t="e">
        <v>#N/A</v>
      </c>
      <c r="F464" s="3405" t="e">
        <v>#N/A</v>
      </c>
      <c r="G464" s="3406" t="e">
        <v>#N/A</v>
      </c>
      <c r="H464" s="3407" t="e">
        <v>#N/A</v>
      </c>
      <c r="I464" s="3406" t="e">
        <v>#N/A</v>
      </c>
      <c r="J464" s="3407" t="e">
        <v>#N/A</v>
      </c>
      <c r="K464" s="3406" t="e">
        <v>#N/A</v>
      </c>
      <c r="L464" s="3407" t="e">
        <v>#N/A</v>
      </c>
      <c r="M464" s="3406" t="e">
        <v>#N/A</v>
      </c>
      <c r="N464" s="3375" t="e">
        <v>#N/A</v>
      </c>
      <c r="O464" s="3411" t="e">
        <v>#N/A</v>
      </c>
      <c r="P464" s="3380" t="e">
        <v>#N/A</v>
      </c>
      <c r="Q464" s="3375" t="e">
        <v>#N/A</v>
      </c>
      <c r="R464" s="3381" t="e">
        <v>#N/A</v>
      </c>
    </row>
    <row r="465" spans="1:18">
      <c r="A465" s="3368">
        <f t="shared" si="10"/>
        <v>2028.12</v>
      </c>
      <c r="B465" s="3390"/>
      <c r="C465" s="3399"/>
      <c r="D465" s="3408"/>
      <c r="E465" s="3410" t="e">
        <v>#N/A</v>
      </c>
      <c r="F465" s="3405" t="e">
        <v>#N/A</v>
      </c>
      <c r="G465" s="3406" t="e">
        <v>#N/A</v>
      </c>
      <c r="H465" s="3407" t="e">
        <v>#N/A</v>
      </c>
      <c r="I465" s="3406" t="e">
        <v>#N/A</v>
      </c>
      <c r="J465" s="3407" t="e">
        <v>#N/A</v>
      </c>
      <c r="K465" s="3406" t="e">
        <v>#N/A</v>
      </c>
      <c r="L465" s="3407" t="e">
        <v>#N/A</v>
      </c>
      <c r="M465" s="3406" t="e">
        <v>#N/A</v>
      </c>
      <c r="N465" s="3375" t="e">
        <v>#N/A</v>
      </c>
      <c r="O465" s="3411" t="e">
        <v>#N/A</v>
      </c>
      <c r="P465" s="3380" t="e">
        <v>#N/A</v>
      </c>
      <c r="Q465" s="3375" t="e">
        <v>#N/A</v>
      </c>
      <c r="R465" s="3381" t="e">
        <v>#N/A</v>
      </c>
    </row>
    <row r="466" spans="1:18">
      <c r="A466" s="3368">
        <f t="shared" si="10"/>
        <v>2029.01</v>
      </c>
      <c r="B466" s="3390"/>
      <c r="C466" s="3399"/>
      <c r="D466" s="3408"/>
      <c r="E466" s="3410" t="e">
        <v>#N/A</v>
      </c>
      <c r="F466" s="3405" t="e">
        <v>#N/A</v>
      </c>
      <c r="G466" s="3406" t="e">
        <v>#N/A</v>
      </c>
      <c r="H466" s="3407" t="e">
        <v>#N/A</v>
      </c>
      <c r="I466" s="3406" t="e">
        <v>#N/A</v>
      </c>
      <c r="J466" s="3407" t="e">
        <v>#N/A</v>
      </c>
      <c r="K466" s="3406" t="e">
        <v>#N/A</v>
      </c>
      <c r="L466" s="3407" t="e">
        <v>#N/A</v>
      </c>
      <c r="M466" s="3406" t="e">
        <v>#N/A</v>
      </c>
      <c r="N466" s="3375" t="e">
        <v>#N/A</v>
      </c>
      <c r="O466" s="3411" t="e">
        <v>#N/A</v>
      </c>
      <c r="P466" s="3380" t="e">
        <v>#N/A</v>
      </c>
      <c r="Q466" s="3375" t="e">
        <v>#N/A</v>
      </c>
      <c r="R466" s="3381" t="e">
        <v>#N/A</v>
      </c>
    </row>
    <row r="467" spans="1:18">
      <c r="A467" s="3368">
        <f t="shared" si="10"/>
        <v>2029.02</v>
      </c>
      <c r="B467" s="3390"/>
      <c r="C467" s="3399"/>
      <c r="D467" s="3408"/>
      <c r="E467" s="3410" t="e">
        <v>#N/A</v>
      </c>
      <c r="F467" s="3405" t="e">
        <v>#N/A</v>
      </c>
      <c r="G467" s="3406" t="e">
        <v>#N/A</v>
      </c>
      <c r="H467" s="3407" t="e">
        <v>#N/A</v>
      </c>
      <c r="I467" s="3406" t="e">
        <v>#N/A</v>
      </c>
      <c r="J467" s="3407" t="e">
        <v>#N/A</v>
      </c>
      <c r="K467" s="3406" t="e">
        <v>#N/A</v>
      </c>
      <c r="L467" s="3407" t="e">
        <v>#N/A</v>
      </c>
      <c r="M467" s="3406" t="e">
        <v>#N/A</v>
      </c>
      <c r="N467" s="3375" t="e">
        <v>#N/A</v>
      </c>
      <c r="O467" s="3411" t="e">
        <v>#N/A</v>
      </c>
      <c r="P467" s="3380" t="e">
        <v>#N/A</v>
      </c>
      <c r="Q467" s="3375" t="e">
        <v>#N/A</v>
      </c>
      <c r="R467" s="3381" t="e">
        <v>#N/A</v>
      </c>
    </row>
    <row r="468" spans="1:18">
      <c r="A468" s="3368">
        <f t="shared" si="10"/>
        <v>2029.03</v>
      </c>
      <c r="B468" s="3390"/>
      <c r="C468" s="3399"/>
      <c r="D468" s="3408"/>
      <c r="E468" s="3410" t="e">
        <v>#N/A</v>
      </c>
      <c r="F468" s="3405" t="e">
        <v>#N/A</v>
      </c>
      <c r="G468" s="3406" t="e">
        <v>#N/A</v>
      </c>
      <c r="H468" s="3407" t="e">
        <v>#N/A</v>
      </c>
      <c r="I468" s="3406" t="e">
        <v>#N/A</v>
      </c>
      <c r="J468" s="3407" t="e">
        <v>#N/A</v>
      </c>
      <c r="K468" s="3406" t="e">
        <v>#N/A</v>
      </c>
      <c r="L468" s="3407" t="e">
        <v>#N/A</v>
      </c>
      <c r="M468" s="3406" t="e">
        <v>#N/A</v>
      </c>
      <c r="N468" s="3375" t="e">
        <v>#N/A</v>
      </c>
      <c r="O468" s="3411" t="e">
        <v>#N/A</v>
      </c>
      <c r="P468" s="3380" t="e">
        <v>#N/A</v>
      </c>
      <c r="Q468" s="3375" t="e">
        <v>#N/A</v>
      </c>
      <c r="R468" s="3381" t="e">
        <v>#N/A</v>
      </c>
    </row>
    <row r="469" spans="1:18">
      <c r="A469" s="3368">
        <f t="shared" si="10"/>
        <v>2029.04</v>
      </c>
      <c r="B469" s="3390"/>
      <c r="C469" s="3399"/>
      <c r="D469" s="3408"/>
      <c r="E469" s="3410" t="e">
        <v>#N/A</v>
      </c>
      <c r="F469" s="3405" t="e">
        <v>#N/A</v>
      </c>
      <c r="G469" s="3406" t="e">
        <v>#N/A</v>
      </c>
      <c r="H469" s="3407" t="e">
        <v>#N/A</v>
      </c>
      <c r="I469" s="3406" t="e">
        <v>#N/A</v>
      </c>
      <c r="J469" s="3407" t="e">
        <v>#N/A</v>
      </c>
      <c r="K469" s="3406" t="e">
        <v>#N/A</v>
      </c>
      <c r="L469" s="3407" t="e">
        <v>#N/A</v>
      </c>
      <c r="M469" s="3406" t="e">
        <v>#N/A</v>
      </c>
      <c r="N469" s="3375" t="e">
        <v>#N/A</v>
      </c>
      <c r="O469" s="3411" t="e">
        <v>#N/A</v>
      </c>
      <c r="P469" s="3380" t="e">
        <v>#N/A</v>
      </c>
      <c r="Q469" s="3375" t="e">
        <v>#N/A</v>
      </c>
      <c r="R469" s="3381" t="e">
        <v>#N/A</v>
      </c>
    </row>
    <row r="470" spans="1:18">
      <c r="A470" s="3368">
        <f t="shared" ref="A470:A489" si="11">A458+1</f>
        <v>2029.05</v>
      </c>
      <c r="B470" s="3390"/>
      <c r="C470" s="3399"/>
      <c r="D470" s="3408"/>
      <c r="E470" s="3410" t="e">
        <v>#N/A</v>
      </c>
      <c r="F470" s="3405" t="e">
        <v>#N/A</v>
      </c>
      <c r="G470" s="3406" t="e">
        <v>#N/A</v>
      </c>
      <c r="H470" s="3407" t="e">
        <v>#N/A</v>
      </c>
      <c r="I470" s="3406" t="e">
        <v>#N/A</v>
      </c>
      <c r="J470" s="3407" t="e">
        <v>#N/A</v>
      </c>
      <c r="K470" s="3406" t="e">
        <v>#N/A</v>
      </c>
      <c r="L470" s="3407" t="e">
        <v>#N/A</v>
      </c>
      <c r="M470" s="3406" t="e">
        <v>#N/A</v>
      </c>
      <c r="N470" s="3375" t="e">
        <v>#N/A</v>
      </c>
      <c r="O470" s="3411" t="e">
        <v>#N/A</v>
      </c>
      <c r="P470" s="3380" t="e">
        <v>#N/A</v>
      </c>
      <c r="Q470" s="3375" t="e">
        <v>#N/A</v>
      </c>
      <c r="R470" s="3381" t="e">
        <v>#N/A</v>
      </c>
    </row>
    <row r="471" spans="1:18">
      <c r="A471" s="3368">
        <f t="shared" si="11"/>
        <v>2029.06</v>
      </c>
      <c r="B471" s="3390"/>
      <c r="C471" s="3399"/>
      <c r="D471" s="3408"/>
      <c r="E471" s="3410" t="e">
        <v>#N/A</v>
      </c>
      <c r="F471" s="3405" t="e">
        <v>#N/A</v>
      </c>
      <c r="G471" s="3406" t="e">
        <v>#N/A</v>
      </c>
      <c r="H471" s="3407" t="e">
        <v>#N/A</v>
      </c>
      <c r="I471" s="3406" t="e">
        <v>#N/A</v>
      </c>
      <c r="J471" s="3407" t="e">
        <v>#N/A</v>
      </c>
      <c r="K471" s="3406" t="e">
        <v>#N/A</v>
      </c>
      <c r="L471" s="3407" t="e">
        <v>#N/A</v>
      </c>
      <c r="M471" s="3406" t="e">
        <v>#N/A</v>
      </c>
      <c r="N471" s="3375" t="e">
        <v>#N/A</v>
      </c>
      <c r="O471" s="3411" t="e">
        <v>#N/A</v>
      </c>
      <c r="P471" s="3380" t="e">
        <v>#N/A</v>
      </c>
      <c r="Q471" s="3375" t="e">
        <v>#N/A</v>
      </c>
      <c r="R471" s="3381" t="e">
        <v>#N/A</v>
      </c>
    </row>
    <row r="472" spans="1:18">
      <c r="A472" s="3368">
        <f t="shared" si="11"/>
        <v>2029.07</v>
      </c>
      <c r="B472" s="3390"/>
      <c r="C472" s="3399"/>
      <c r="D472" s="3408"/>
      <c r="E472" s="3410" t="e">
        <v>#N/A</v>
      </c>
      <c r="F472" s="3405" t="e">
        <v>#N/A</v>
      </c>
      <c r="G472" s="3406" t="e">
        <v>#N/A</v>
      </c>
      <c r="H472" s="3407" t="e">
        <v>#N/A</v>
      </c>
      <c r="I472" s="3406" t="e">
        <v>#N/A</v>
      </c>
      <c r="J472" s="3407" t="e">
        <v>#N/A</v>
      </c>
      <c r="K472" s="3406" t="e">
        <v>#N/A</v>
      </c>
      <c r="L472" s="3407" t="e">
        <v>#N/A</v>
      </c>
      <c r="M472" s="3406" t="e">
        <v>#N/A</v>
      </c>
      <c r="N472" s="3375" t="e">
        <v>#N/A</v>
      </c>
      <c r="O472" s="3411" t="e">
        <v>#N/A</v>
      </c>
      <c r="P472" s="3380" t="e">
        <v>#N/A</v>
      </c>
      <c r="Q472" s="3375" t="e">
        <v>#N/A</v>
      </c>
      <c r="R472" s="3381" t="e">
        <v>#N/A</v>
      </c>
    </row>
    <row r="473" spans="1:18">
      <c r="A473" s="3368">
        <f t="shared" si="11"/>
        <v>2029.08</v>
      </c>
      <c r="B473" s="3390"/>
      <c r="C473" s="3399"/>
      <c r="D473" s="3408"/>
      <c r="E473" s="3410" t="e">
        <v>#N/A</v>
      </c>
      <c r="F473" s="3405" t="e">
        <v>#N/A</v>
      </c>
      <c r="G473" s="3406" t="e">
        <v>#N/A</v>
      </c>
      <c r="H473" s="3407" t="e">
        <v>#N/A</v>
      </c>
      <c r="I473" s="3406" t="e">
        <v>#N/A</v>
      </c>
      <c r="J473" s="3407" t="e">
        <v>#N/A</v>
      </c>
      <c r="K473" s="3406" t="e">
        <v>#N/A</v>
      </c>
      <c r="L473" s="3407" t="e">
        <v>#N/A</v>
      </c>
      <c r="M473" s="3406" t="e">
        <v>#N/A</v>
      </c>
      <c r="N473" s="3375" t="e">
        <v>#N/A</v>
      </c>
      <c r="O473" s="3411" t="e">
        <v>#N/A</v>
      </c>
      <c r="P473" s="3380" t="e">
        <v>#N/A</v>
      </c>
      <c r="Q473" s="3375" t="e">
        <v>#N/A</v>
      </c>
      <c r="R473" s="3381" t="e">
        <v>#N/A</v>
      </c>
    </row>
    <row r="474" spans="1:18">
      <c r="A474" s="3368">
        <f t="shared" si="11"/>
        <v>2029.09</v>
      </c>
      <c r="B474" s="3390"/>
      <c r="C474" s="3399"/>
      <c r="D474" s="3408"/>
      <c r="E474" s="3410" t="e">
        <v>#N/A</v>
      </c>
      <c r="F474" s="3405" t="e">
        <v>#N/A</v>
      </c>
      <c r="G474" s="3406" t="e">
        <v>#N/A</v>
      </c>
      <c r="H474" s="3407" t="e">
        <v>#N/A</v>
      </c>
      <c r="I474" s="3406" t="e">
        <v>#N/A</v>
      </c>
      <c r="J474" s="3407" t="e">
        <v>#N/A</v>
      </c>
      <c r="K474" s="3406" t="e">
        <v>#N/A</v>
      </c>
      <c r="L474" s="3407" t="e">
        <v>#N/A</v>
      </c>
      <c r="M474" s="3406" t="e">
        <v>#N/A</v>
      </c>
      <c r="N474" s="3375" t="e">
        <v>#N/A</v>
      </c>
      <c r="O474" s="3411" t="e">
        <v>#N/A</v>
      </c>
      <c r="P474" s="3380" t="e">
        <v>#N/A</v>
      </c>
      <c r="Q474" s="3375" t="e">
        <v>#N/A</v>
      </c>
      <c r="R474" s="3381" t="e">
        <v>#N/A</v>
      </c>
    </row>
    <row r="475" spans="1:18">
      <c r="A475" s="3368">
        <f t="shared" si="11"/>
        <v>2029.1</v>
      </c>
      <c r="B475" s="3390"/>
      <c r="C475" s="3399"/>
      <c r="D475" s="3408"/>
      <c r="E475" s="3410" t="e">
        <v>#N/A</v>
      </c>
      <c r="F475" s="3405" t="e">
        <v>#N/A</v>
      </c>
      <c r="G475" s="3406" t="e">
        <v>#N/A</v>
      </c>
      <c r="H475" s="3407" t="e">
        <v>#N/A</v>
      </c>
      <c r="I475" s="3406" t="e">
        <v>#N/A</v>
      </c>
      <c r="J475" s="3407" t="e">
        <v>#N/A</v>
      </c>
      <c r="K475" s="3406" t="e">
        <v>#N/A</v>
      </c>
      <c r="L475" s="3407" t="e">
        <v>#N/A</v>
      </c>
      <c r="M475" s="3406" t="e">
        <v>#N/A</v>
      </c>
      <c r="N475" s="3375" t="e">
        <v>#N/A</v>
      </c>
      <c r="O475" s="3411" t="e">
        <v>#N/A</v>
      </c>
      <c r="P475" s="3380" t="e">
        <v>#N/A</v>
      </c>
      <c r="Q475" s="3375" t="e">
        <v>#N/A</v>
      </c>
      <c r="R475" s="3381" t="e">
        <v>#N/A</v>
      </c>
    </row>
    <row r="476" spans="1:18">
      <c r="A476" s="3368">
        <f t="shared" si="11"/>
        <v>2029.11</v>
      </c>
      <c r="B476" s="3390"/>
      <c r="C476" s="3399"/>
      <c r="D476" s="3408"/>
      <c r="E476" s="3410" t="e">
        <v>#N/A</v>
      </c>
      <c r="F476" s="3405" t="e">
        <v>#N/A</v>
      </c>
      <c r="G476" s="3406" t="e">
        <v>#N/A</v>
      </c>
      <c r="H476" s="3407" t="e">
        <v>#N/A</v>
      </c>
      <c r="I476" s="3406" t="e">
        <v>#N/A</v>
      </c>
      <c r="J476" s="3407" t="e">
        <v>#N/A</v>
      </c>
      <c r="K476" s="3406" t="e">
        <v>#N/A</v>
      </c>
      <c r="L476" s="3407" t="e">
        <v>#N/A</v>
      </c>
      <c r="M476" s="3406" t="e">
        <v>#N/A</v>
      </c>
      <c r="N476" s="3375" t="e">
        <v>#N/A</v>
      </c>
      <c r="O476" s="3411" t="e">
        <v>#N/A</v>
      </c>
      <c r="P476" s="3380" t="e">
        <v>#N/A</v>
      </c>
      <c r="Q476" s="3375" t="e">
        <v>#N/A</v>
      </c>
      <c r="R476" s="3381" t="e">
        <v>#N/A</v>
      </c>
    </row>
    <row r="477" spans="1:18">
      <c r="A477" s="3368">
        <f t="shared" si="11"/>
        <v>2029.12</v>
      </c>
      <c r="B477" s="3390"/>
      <c r="C477" s="3399"/>
      <c r="D477" s="3408"/>
      <c r="E477" s="3410" t="e">
        <v>#N/A</v>
      </c>
      <c r="F477" s="3405" t="e">
        <v>#N/A</v>
      </c>
      <c r="G477" s="3406" t="e">
        <v>#N/A</v>
      </c>
      <c r="H477" s="3407" t="e">
        <v>#N/A</v>
      </c>
      <c r="I477" s="3406" t="e">
        <v>#N/A</v>
      </c>
      <c r="J477" s="3407" t="e">
        <v>#N/A</v>
      </c>
      <c r="K477" s="3406" t="e">
        <v>#N/A</v>
      </c>
      <c r="L477" s="3407" t="e">
        <v>#N/A</v>
      </c>
      <c r="M477" s="3406" t="e">
        <v>#N/A</v>
      </c>
      <c r="N477" s="3375" t="e">
        <v>#N/A</v>
      </c>
      <c r="O477" s="3411" t="e">
        <v>#N/A</v>
      </c>
      <c r="P477" s="3380" t="e">
        <v>#N/A</v>
      </c>
      <c r="Q477" s="3375" t="e">
        <v>#N/A</v>
      </c>
      <c r="R477" s="3381" t="e">
        <v>#N/A</v>
      </c>
    </row>
    <row r="478" spans="1:18">
      <c r="A478" s="3368">
        <f t="shared" si="11"/>
        <v>2030.01</v>
      </c>
      <c r="B478" s="3390"/>
      <c r="C478" s="3399"/>
      <c r="D478" s="3408"/>
      <c r="E478" s="3410" t="e">
        <v>#N/A</v>
      </c>
      <c r="F478" s="3405" t="e">
        <v>#N/A</v>
      </c>
      <c r="G478" s="3406" t="e">
        <v>#N/A</v>
      </c>
      <c r="H478" s="3407" t="e">
        <v>#N/A</v>
      </c>
      <c r="I478" s="3406" t="e">
        <v>#N/A</v>
      </c>
      <c r="J478" s="3407" t="e">
        <v>#N/A</v>
      </c>
      <c r="K478" s="3406" t="e">
        <v>#N/A</v>
      </c>
      <c r="L478" s="3407" t="e">
        <v>#N/A</v>
      </c>
      <c r="M478" s="3406" t="e">
        <v>#N/A</v>
      </c>
      <c r="N478" s="3375" t="e">
        <v>#N/A</v>
      </c>
      <c r="O478" s="3411" t="e">
        <v>#N/A</v>
      </c>
      <c r="P478" s="3380" t="e">
        <v>#N/A</v>
      </c>
      <c r="Q478" s="3375" t="e">
        <v>#N/A</v>
      </c>
      <c r="R478" s="3381" t="e">
        <v>#N/A</v>
      </c>
    </row>
    <row r="479" spans="1:18">
      <c r="A479" s="3368">
        <f t="shared" si="11"/>
        <v>2030.02</v>
      </c>
      <c r="B479" s="3390"/>
      <c r="C479" s="3399"/>
      <c r="D479" s="3408"/>
      <c r="E479" s="3410" t="e">
        <v>#N/A</v>
      </c>
      <c r="F479" s="3405" t="e">
        <v>#N/A</v>
      </c>
      <c r="G479" s="3406" t="e">
        <v>#N/A</v>
      </c>
      <c r="H479" s="3407" t="e">
        <v>#N/A</v>
      </c>
      <c r="I479" s="3406" t="e">
        <v>#N/A</v>
      </c>
      <c r="J479" s="3407" t="e">
        <v>#N/A</v>
      </c>
      <c r="K479" s="3406" t="e">
        <v>#N/A</v>
      </c>
      <c r="L479" s="3407" t="e">
        <v>#N/A</v>
      </c>
      <c r="M479" s="3406" t="e">
        <v>#N/A</v>
      </c>
      <c r="N479" s="3375" t="e">
        <v>#N/A</v>
      </c>
      <c r="O479" s="3411" t="e">
        <v>#N/A</v>
      </c>
      <c r="P479" s="3380" t="e">
        <v>#N/A</v>
      </c>
      <c r="Q479" s="3375" t="e">
        <v>#N/A</v>
      </c>
      <c r="R479" s="3381" t="e">
        <v>#N/A</v>
      </c>
    </row>
    <row r="480" spans="1:18">
      <c r="A480" s="3368">
        <f t="shared" si="11"/>
        <v>2030.03</v>
      </c>
      <c r="B480" s="3390"/>
      <c r="C480" s="3399"/>
      <c r="D480" s="3408"/>
      <c r="E480" s="3410" t="e">
        <v>#N/A</v>
      </c>
      <c r="F480" s="3405" t="e">
        <v>#N/A</v>
      </c>
      <c r="G480" s="3406" t="e">
        <v>#N/A</v>
      </c>
      <c r="H480" s="3407" t="e">
        <v>#N/A</v>
      </c>
      <c r="I480" s="3406" t="e">
        <v>#N/A</v>
      </c>
      <c r="J480" s="3407" t="e">
        <v>#N/A</v>
      </c>
      <c r="K480" s="3406" t="e">
        <v>#N/A</v>
      </c>
      <c r="L480" s="3407" t="e">
        <v>#N/A</v>
      </c>
      <c r="M480" s="3406" t="e">
        <v>#N/A</v>
      </c>
      <c r="N480" s="3375" t="e">
        <v>#N/A</v>
      </c>
      <c r="O480" s="3411" t="e">
        <v>#N/A</v>
      </c>
      <c r="P480" s="3380" t="e">
        <v>#N/A</v>
      </c>
      <c r="Q480" s="3375" t="e">
        <v>#N/A</v>
      </c>
      <c r="R480" s="3381" t="e">
        <v>#N/A</v>
      </c>
    </row>
    <row r="481" spans="1:31">
      <c r="A481" s="3368">
        <f t="shared" si="11"/>
        <v>2030.04</v>
      </c>
      <c r="B481" s="3390"/>
      <c r="C481" s="3399"/>
      <c r="D481" s="3408"/>
      <c r="E481" s="3410" t="e">
        <v>#N/A</v>
      </c>
      <c r="F481" s="3405" t="e">
        <v>#N/A</v>
      </c>
      <c r="G481" s="3406" t="e">
        <v>#N/A</v>
      </c>
      <c r="H481" s="3407" t="e">
        <v>#N/A</v>
      </c>
      <c r="I481" s="3406" t="e">
        <v>#N/A</v>
      </c>
      <c r="J481" s="3407" t="e">
        <v>#N/A</v>
      </c>
      <c r="K481" s="3406" t="e">
        <v>#N/A</v>
      </c>
      <c r="L481" s="3407" t="e">
        <v>#N/A</v>
      </c>
      <c r="M481" s="3406" t="e">
        <v>#N/A</v>
      </c>
      <c r="N481" s="3375" t="e">
        <v>#N/A</v>
      </c>
      <c r="O481" s="3411" t="e">
        <v>#N/A</v>
      </c>
      <c r="P481" s="3380" t="e">
        <v>#N/A</v>
      </c>
      <c r="Q481" s="3375" t="e">
        <v>#N/A</v>
      </c>
      <c r="R481" s="3381" t="e">
        <v>#N/A</v>
      </c>
    </row>
    <row r="482" spans="1:31">
      <c r="A482" s="3368">
        <f t="shared" si="11"/>
        <v>2030.05</v>
      </c>
      <c r="B482" s="3390"/>
      <c r="C482" s="3399"/>
      <c r="D482" s="3408"/>
      <c r="E482" s="3410" t="e">
        <v>#N/A</v>
      </c>
      <c r="F482" s="3405" t="e">
        <v>#N/A</v>
      </c>
      <c r="G482" s="3406" t="e">
        <v>#N/A</v>
      </c>
      <c r="H482" s="3407" t="e">
        <v>#N/A</v>
      </c>
      <c r="I482" s="3406" t="e">
        <v>#N/A</v>
      </c>
      <c r="J482" s="3407" t="e">
        <v>#N/A</v>
      </c>
      <c r="K482" s="3406" t="e">
        <v>#N/A</v>
      </c>
      <c r="L482" s="3407" t="e">
        <v>#N/A</v>
      </c>
      <c r="M482" s="3406" t="e">
        <v>#N/A</v>
      </c>
      <c r="N482" s="3375" t="e">
        <v>#N/A</v>
      </c>
      <c r="O482" s="3411" t="e">
        <v>#N/A</v>
      </c>
      <c r="P482" s="3380" t="e">
        <v>#N/A</v>
      </c>
      <c r="Q482" s="3375" t="e">
        <v>#N/A</v>
      </c>
      <c r="R482" s="3381" t="e">
        <v>#N/A</v>
      </c>
    </row>
    <row r="483" spans="1:31">
      <c r="A483" s="3368">
        <f t="shared" si="11"/>
        <v>2030.06</v>
      </c>
      <c r="B483" s="3390"/>
      <c r="C483" s="3399"/>
      <c r="D483" s="3408"/>
      <c r="E483" s="3410" t="e">
        <v>#N/A</v>
      </c>
      <c r="F483" s="3405" t="e">
        <v>#N/A</v>
      </c>
      <c r="G483" s="3406" t="e">
        <v>#N/A</v>
      </c>
      <c r="H483" s="3407" t="e">
        <v>#N/A</v>
      </c>
      <c r="I483" s="3406" t="e">
        <v>#N/A</v>
      </c>
      <c r="J483" s="3407" t="e">
        <v>#N/A</v>
      </c>
      <c r="K483" s="3406" t="e">
        <v>#N/A</v>
      </c>
      <c r="L483" s="3407" t="e">
        <v>#N/A</v>
      </c>
      <c r="M483" s="3406" t="e">
        <v>#N/A</v>
      </c>
      <c r="N483" s="3375" t="e">
        <v>#N/A</v>
      </c>
      <c r="O483" s="3411" t="e">
        <v>#N/A</v>
      </c>
      <c r="P483" s="3380" t="e">
        <v>#N/A</v>
      </c>
      <c r="Q483" s="3375" t="e">
        <v>#N/A</v>
      </c>
      <c r="R483" s="3381" t="e">
        <v>#N/A</v>
      </c>
    </row>
    <row r="484" spans="1:31">
      <c r="A484" s="3368">
        <f t="shared" si="11"/>
        <v>2030.07</v>
      </c>
      <c r="B484" s="3390"/>
      <c r="C484" s="3399"/>
      <c r="D484" s="3408"/>
      <c r="E484" s="3410" t="e">
        <v>#N/A</v>
      </c>
      <c r="F484" s="3405" t="e">
        <v>#N/A</v>
      </c>
      <c r="G484" s="3406" t="e">
        <v>#N/A</v>
      </c>
      <c r="H484" s="3407" t="e">
        <v>#N/A</v>
      </c>
      <c r="I484" s="3406" t="e">
        <v>#N/A</v>
      </c>
      <c r="J484" s="3407" t="e">
        <v>#N/A</v>
      </c>
      <c r="K484" s="3406" t="e">
        <v>#N/A</v>
      </c>
      <c r="L484" s="3407" t="e">
        <v>#N/A</v>
      </c>
      <c r="M484" s="3406" t="e">
        <v>#N/A</v>
      </c>
      <c r="N484" s="3375" t="e">
        <v>#N/A</v>
      </c>
      <c r="O484" s="3411" t="e">
        <v>#N/A</v>
      </c>
      <c r="P484" s="3380" t="e">
        <v>#N/A</v>
      </c>
      <c r="Q484" s="3375" t="e">
        <v>#N/A</v>
      </c>
      <c r="R484" s="3381" t="e">
        <v>#N/A</v>
      </c>
    </row>
    <row r="485" spans="1:31">
      <c r="A485" s="3368">
        <f t="shared" si="11"/>
        <v>2030.08</v>
      </c>
      <c r="B485" s="3390"/>
      <c r="C485" s="3399"/>
      <c r="D485" s="3408"/>
      <c r="E485" s="3410" t="e">
        <v>#N/A</v>
      </c>
      <c r="F485" s="3405" t="e">
        <v>#N/A</v>
      </c>
      <c r="G485" s="3406" t="e">
        <v>#N/A</v>
      </c>
      <c r="H485" s="3407" t="e">
        <v>#N/A</v>
      </c>
      <c r="I485" s="3406" t="e">
        <v>#N/A</v>
      </c>
      <c r="J485" s="3407" t="e">
        <v>#N/A</v>
      </c>
      <c r="K485" s="3406" t="e">
        <v>#N/A</v>
      </c>
      <c r="L485" s="3407" t="e">
        <v>#N/A</v>
      </c>
      <c r="M485" s="3406" t="e">
        <v>#N/A</v>
      </c>
      <c r="N485" s="3375" t="e">
        <v>#N/A</v>
      </c>
      <c r="O485" s="3411" t="e">
        <v>#N/A</v>
      </c>
      <c r="P485" s="3380" t="e">
        <v>#N/A</v>
      </c>
      <c r="Q485" s="3375" t="e">
        <v>#N/A</v>
      </c>
      <c r="R485" s="3381" t="e">
        <v>#N/A</v>
      </c>
    </row>
    <row r="486" spans="1:31">
      <c r="A486" s="3368">
        <f t="shared" si="11"/>
        <v>2030.09</v>
      </c>
      <c r="B486" s="3390"/>
      <c r="C486" s="3399"/>
      <c r="D486" s="3408"/>
      <c r="E486" s="3410" t="e">
        <v>#N/A</v>
      </c>
      <c r="F486" s="3405" t="e">
        <v>#N/A</v>
      </c>
      <c r="G486" s="3406" t="e">
        <v>#N/A</v>
      </c>
      <c r="H486" s="3407" t="e">
        <v>#N/A</v>
      </c>
      <c r="I486" s="3406" t="e">
        <v>#N/A</v>
      </c>
      <c r="J486" s="3407" t="e">
        <v>#N/A</v>
      </c>
      <c r="K486" s="3406" t="e">
        <v>#N/A</v>
      </c>
      <c r="L486" s="3407" t="e">
        <v>#N/A</v>
      </c>
      <c r="M486" s="3406" t="e">
        <v>#N/A</v>
      </c>
      <c r="N486" s="3375" t="e">
        <v>#N/A</v>
      </c>
      <c r="O486" s="3411" t="e">
        <v>#N/A</v>
      </c>
      <c r="P486" s="3380" t="e">
        <v>#N/A</v>
      </c>
      <c r="Q486" s="3375" t="e">
        <v>#N/A</v>
      </c>
      <c r="R486" s="3381" t="e">
        <v>#N/A</v>
      </c>
    </row>
    <row r="487" spans="1:31">
      <c r="A487" s="3368">
        <f t="shared" si="11"/>
        <v>2030.1</v>
      </c>
      <c r="B487" s="3390"/>
      <c r="C487" s="3399"/>
      <c r="D487" s="3408"/>
      <c r="E487" s="3410" t="e">
        <v>#N/A</v>
      </c>
      <c r="F487" s="3405" t="e">
        <v>#N/A</v>
      </c>
      <c r="G487" s="3406" t="e">
        <v>#N/A</v>
      </c>
      <c r="H487" s="3407" t="e">
        <v>#N/A</v>
      </c>
      <c r="I487" s="3406" t="e">
        <v>#N/A</v>
      </c>
      <c r="J487" s="3407" t="e">
        <v>#N/A</v>
      </c>
      <c r="K487" s="3406" t="e">
        <v>#N/A</v>
      </c>
      <c r="L487" s="3407" t="e">
        <v>#N/A</v>
      </c>
      <c r="M487" s="3406" t="e">
        <v>#N/A</v>
      </c>
      <c r="N487" s="3375" t="e">
        <v>#N/A</v>
      </c>
      <c r="O487" s="3411" t="e">
        <v>#N/A</v>
      </c>
      <c r="P487" s="3380" t="e">
        <v>#N/A</v>
      </c>
      <c r="Q487" s="3375" t="e">
        <v>#N/A</v>
      </c>
      <c r="R487" s="3381" t="e">
        <v>#N/A</v>
      </c>
    </row>
    <row r="488" spans="1:31">
      <c r="A488" s="3368">
        <f t="shared" si="11"/>
        <v>2030.11</v>
      </c>
      <c r="B488" s="3390"/>
      <c r="C488" s="3399"/>
      <c r="D488" s="3408"/>
      <c r="E488" s="3410" t="e">
        <v>#N/A</v>
      </c>
      <c r="F488" s="3405" t="e">
        <v>#N/A</v>
      </c>
      <c r="G488" s="3406" t="e">
        <v>#N/A</v>
      </c>
      <c r="H488" s="3407" t="e">
        <v>#N/A</v>
      </c>
      <c r="I488" s="3406" t="e">
        <v>#N/A</v>
      </c>
      <c r="J488" s="3407" t="e">
        <v>#N/A</v>
      </c>
      <c r="K488" s="3406" t="e">
        <v>#N/A</v>
      </c>
      <c r="L488" s="3407" t="e">
        <v>#N/A</v>
      </c>
      <c r="M488" s="3406" t="e">
        <v>#N/A</v>
      </c>
      <c r="N488" s="3375" t="e">
        <v>#N/A</v>
      </c>
      <c r="O488" s="3411" t="e">
        <v>#N/A</v>
      </c>
      <c r="P488" s="3380" t="e">
        <v>#N/A</v>
      </c>
      <c r="Q488" s="3375" t="e">
        <v>#N/A</v>
      </c>
      <c r="R488" s="3381" t="e">
        <v>#N/A</v>
      </c>
    </row>
    <row r="489" spans="1:31">
      <c r="A489" s="3368">
        <f t="shared" si="11"/>
        <v>2030.12</v>
      </c>
      <c r="B489" s="3390"/>
      <c r="C489" s="3399"/>
      <c r="D489" s="3408"/>
      <c r="E489" s="3410" t="e">
        <v>#N/A</v>
      </c>
      <c r="F489" s="3405" t="e">
        <v>#N/A</v>
      </c>
      <c r="G489" s="3406" t="e">
        <v>#N/A</v>
      </c>
      <c r="H489" s="3407" t="e">
        <v>#N/A</v>
      </c>
      <c r="I489" s="3406" t="e">
        <v>#N/A</v>
      </c>
      <c r="J489" s="3407" t="e">
        <v>#N/A</v>
      </c>
      <c r="K489" s="3406" t="e">
        <v>#N/A</v>
      </c>
      <c r="L489" s="3407" t="e">
        <v>#N/A</v>
      </c>
      <c r="M489" s="3406" t="e">
        <v>#N/A</v>
      </c>
      <c r="N489" s="3375" t="e">
        <v>#N/A</v>
      </c>
      <c r="O489" s="3411" t="e">
        <v>#N/A</v>
      </c>
      <c r="P489" s="3380" t="e">
        <v>#N/A</v>
      </c>
      <c r="Q489" s="3375" t="e">
        <v>#N/A</v>
      </c>
      <c r="R489" s="3381" t="e">
        <v>#N/A</v>
      </c>
    </row>
    <row r="490" spans="1:31">
      <c r="S490" s="228"/>
      <c r="T490" s="228"/>
      <c r="U490" s="228"/>
      <c r="V490" s="228"/>
      <c r="W490" s="228"/>
      <c r="X490" s="228"/>
      <c r="Y490" s="228"/>
      <c r="Z490" s="228"/>
      <c r="AA490" s="228"/>
      <c r="AB490" s="228"/>
      <c r="AC490" s="228"/>
      <c r="AD490" s="228"/>
      <c r="AE490" s="228"/>
    </row>
  </sheetData>
  <mergeCells count="1">
    <mergeCell ref="B4:C4"/>
  </mergeCells>
  <phoneticPr fontId="256" type="noConversion"/>
  <hyperlinks>
    <hyperlink ref="A5" location="INDICE!A13" display="VOLVER AL INDICE" xr:uid="{00000000-0004-0000-1900-000000000000}"/>
  </hyperlinks>
  <pageMargins left="0.75" right="0.75" top="1" bottom="1" header="0" footer="0"/>
  <pageSetup paperSize="9" orientation="portrait" horizontalDpi="4294967294"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4">
    <pageSetUpPr autoPageBreaks="0"/>
  </sheetPr>
  <dimension ref="A1:AA453"/>
  <sheetViews>
    <sheetView zoomScale="130" zoomScaleNormal="130" workbookViewId="0">
      <pane xSplit="1" ySplit="9" topLeftCell="Q379" activePane="bottomRight" state="frozen"/>
      <selection pane="topRight" activeCell="A5" sqref="A5"/>
      <selection pane="bottomLeft" activeCell="A5" sqref="A5"/>
      <selection pane="bottomRight" activeCell="W405" sqref="W405"/>
    </sheetView>
  </sheetViews>
  <sheetFormatPr baseColWidth="10" defaultColWidth="11.42578125" defaultRowHeight="12.75"/>
  <cols>
    <col min="1" max="1" width="10.42578125" style="62" bestFit="1" customWidth="1"/>
    <col min="2" max="17" width="11.7109375" style="62" customWidth="1"/>
    <col min="18" max="18" width="28.28515625" style="1325" customWidth="1"/>
    <col min="19" max="16384" width="11.42578125" style="201"/>
  </cols>
  <sheetData>
    <row r="1" spans="1:18" ht="14.25" customHeight="1">
      <c r="A1" s="2373"/>
      <c r="B1" s="15"/>
      <c r="C1" s="15"/>
      <c r="D1" s="15"/>
      <c r="E1" s="15"/>
      <c r="F1" s="15"/>
      <c r="G1" s="15"/>
      <c r="H1" s="1352"/>
      <c r="I1" s="15"/>
      <c r="J1" s="15"/>
      <c r="K1" s="15"/>
      <c r="L1" s="15"/>
      <c r="M1" s="15"/>
      <c r="N1" s="1352"/>
      <c r="O1" s="15"/>
      <c r="P1" s="15"/>
      <c r="Q1" s="2511"/>
      <c r="R1" s="2512"/>
    </row>
    <row r="2" spans="1:18" ht="22.5">
      <c r="A2" s="2373" t="s">
        <v>105</v>
      </c>
      <c r="B2" s="383" t="s">
        <v>850</v>
      </c>
      <c r="C2" s="382"/>
      <c r="D2" s="382"/>
      <c r="E2" s="84"/>
      <c r="F2" s="84"/>
      <c r="G2" s="84"/>
      <c r="H2" s="2379" t="s">
        <v>851</v>
      </c>
      <c r="I2" s="382"/>
      <c r="J2" s="382"/>
      <c r="K2" s="84"/>
      <c r="L2" s="84"/>
      <c r="M2" s="84"/>
      <c r="N2" s="2379" t="s">
        <v>852</v>
      </c>
      <c r="O2" s="84"/>
      <c r="P2" s="84"/>
      <c r="Q2" s="158"/>
      <c r="R2" s="2011" t="s">
        <v>853</v>
      </c>
    </row>
    <row r="3" spans="1:18" ht="25.9" customHeight="1">
      <c r="A3" s="2373" t="s">
        <v>212</v>
      </c>
      <c r="B3" s="383" t="s">
        <v>119</v>
      </c>
      <c r="C3" s="382"/>
      <c r="D3" s="382"/>
      <c r="E3" s="84"/>
      <c r="F3" s="84"/>
      <c r="G3" s="84"/>
      <c r="H3" s="2379" t="s">
        <v>119</v>
      </c>
      <c r="I3" s="382"/>
      <c r="J3" s="382"/>
      <c r="K3" s="84"/>
      <c r="L3" s="84"/>
      <c r="M3" s="84"/>
      <c r="N3" s="2379" t="s">
        <v>132</v>
      </c>
      <c r="O3" s="84"/>
      <c r="P3" s="84"/>
      <c r="Q3" s="158"/>
      <c r="R3" s="2011" t="s">
        <v>854</v>
      </c>
    </row>
    <row r="4" spans="1:18" ht="1.5" hidden="1" customHeight="1">
      <c r="A4" s="104"/>
      <c r="B4" s="176"/>
      <c r="C4" s="84"/>
      <c r="D4" s="84"/>
      <c r="E4" s="84"/>
      <c r="F4" s="84"/>
      <c r="G4" s="84"/>
      <c r="H4" s="2402"/>
      <c r="I4" s="84"/>
      <c r="J4" s="84"/>
      <c r="K4" s="84"/>
      <c r="L4" s="84"/>
      <c r="M4" s="84"/>
      <c r="N4" s="2402"/>
      <c r="O4" s="84"/>
      <c r="P4" s="84"/>
      <c r="Q4" s="158"/>
      <c r="R4" s="2513"/>
    </row>
    <row r="5" spans="1:18" ht="22.5">
      <c r="A5" s="2390" t="s">
        <v>137</v>
      </c>
      <c r="B5" s="175" t="s">
        <v>855</v>
      </c>
      <c r="C5" s="2402"/>
      <c r="D5" s="2402"/>
      <c r="E5" s="2402" t="s">
        <v>856</v>
      </c>
      <c r="F5" s="2402"/>
      <c r="G5" s="2402"/>
      <c r="H5" s="1963" t="s">
        <v>855</v>
      </c>
      <c r="I5" s="2402"/>
      <c r="J5" s="2402"/>
      <c r="K5" s="2402" t="s">
        <v>856</v>
      </c>
      <c r="L5" s="2402"/>
      <c r="M5" s="2402"/>
      <c r="N5" s="1963" t="s">
        <v>857</v>
      </c>
      <c r="O5" s="2402"/>
      <c r="P5" s="2402"/>
      <c r="Q5" s="1963"/>
      <c r="R5" s="2012" t="s">
        <v>858</v>
      </c>
    </row>
    <row r="6" spans="1:18" ht="1.5" hidden="1" customHeight="1">
      <c r="A6" s="104"/>
      <c r="B6" s="176"/>
      <c r="C6" s="84"/>
      <c r="D6" s="84"/>
      <c r="E6" s="84"/>
      <c r="F6" s="84"/>
      <c r="G6" s="84"/>
      <c r="H6" s="2402"/>
      <c r="I6" s="84"/>
      <c r="J6" s="84"/>
      <c r="K6" s="84"/>
      <c r="L6" s="84"/>
      <c r="M6" s="84"/>
      <c r="N6" s="2402"/>
      <c r="O6" s="84"/>
      <c r="P6" s="84"/>
      <c r="Q6" s="158"/>
      <c r="R6" s="2513"/>
    </row>
    <row r="7" spans="1:18" ht="22.5">
      <c r="A7" s="2373" t="s">
        <v>123</v>
      </c>
      <c r="B7" s="801" t="s">
        <v>859</v>
      </c>
      <c r="C7" s="804" t="s">
        <v>860</v>
      </c>
      <c r="D7" s="802" t="s">
        <v>861</v>
      </c>
      <c r="E7" s="2374" t="s">
        <v>859</v>
      </c>
      <c r="F7" s="804" t="s">
        <v>860</v>
      </c>
      <c r="G7" s="802" t="s">
        <v>861</v>
      </c>
      <c r="H7" s="2374" t="s">
        <v>859</v>
      </c>
      <c r="I7" s="804" t="s">
        <v>860</v>
      </c>
      <c r="J7" s="802" t="s">
        <v>861</v>
      </c>
      <c r="K7" s="2374" t="str">
        <f>$B7</f>
        <v>Nº de automotores</v>
      </c>
      <c r="L7" s="804" t="s">
        <v>860</v>
      </c>
      <c r="M7" s="1335" t="s">
        <v>861</v>
      </c>
      <c r="N7" s="1404" t="s">
        <v>338</v>
      </c>
      <c r="O7" s="1405" t="s">
        <v>862</v>
      </c>
      <c r="P7" s="1405" t="s">
        <v>863</v>
      </c>
      <c r="Q7" s="1406" t="s">
        <v>864</v>
      </c>
      <c r="R7" s="2013" t="s">
        <v>865</v>
      </c>
    </row>
    <row r="8" spans="1:18" ht="13.5" thickBot="1">
      <c r="A8" s="105" t="s">
        <v>141</v>
      </c>
      <c r="B8" s="150" t="s">
        <v>866</v>
      </c>
      <c r="C8" s="639" t="s">
        <v>867</v>
      </c>
      <c r="D8" s="149" t="s">
        <v>868</v>
      </c>
      <c r="E8" s="2400" t="s">
        <v>869</v>
      </c>
      <c r="F8" s="639" t="s">
        <v>870</v>
      </c>
      <c r="G8" s="149" t="s">
        <v>871</v>
      </c>
      <c r="H8" s="150" t="s">
        <v>872</v>
      </c>
      <c r="I8" s="639" t="s">
        <v>873</v>
      </c>
      <c r="J8" s="149" t="s">
        <v>874</v>
      </c>
      <c r="K8" s="2400" t="s">
        <v>875</v>
      </c>
      <c r="L8" s="639" t="s">
        <v>876</v>
      </c>
      <c r="M8" s="150" t="s">
        <v>877</v>
      </c>
      <c r="N8" s="1143" t="s">
        <v>878</v>
      </c>
      <c r="O8" s="1144" t="s">
        <v>879</v>
      </c>
      <c r="P8" s="1144" t="s">
        <v>880</v>
      </c>
      <c r="Q8" s="1145" t="s">
        <v>881</v>
      </c>
      <c r="R8" s="1964" t="s">
        <v>882</v>
      </c>
    </row>
    <row r="9" spans="1:18" ht="13.5" hidden="1" thickBot="1">
      <c r="A9" s="72"/>
      <c r="B9" s="2129"/>
      <c r="C9" s="1794"/>
      <c r="D9" s="580"/>
      <c r="E9" s="2025"/>
      <c r="F9" s="2026"/>
      <c r="G9" s="1946"/>
      <c r="H9" s="792"/>
      <c r="I9" s="1794"/>
      <c r="J9" s="580"/>
      <c r="K9" s="2025"/>
      <c r="L9" s="2026"/>
      <c r="M9" s="1946"/>
      <c r="N9" s="2815"/>
      <c r="O9" s="2816"/>
      <c r="P9" s="2816"/>
      <c r="Q9" s="2817"/>
      <c r="R9" s="2818"/>
    </row>
    <row r="10" spans="1:18">
      <c r="A10" s="67">
        <v>1994.01</v>
      </c>
      <c r="B10" s="193">
        <v>6206.22888725129</v>
      </c>
      <c r="C10" s="913"/>
      <c r="D10" s="919"/>
      <c r="E10" s="55">
        <v>6811.1466810337452</v>
      </c>
      <c r="F10" s="809"/>
      <c r="G10" s="807"/>
      <c r="H10" s="55">
        <v>64045.02346638772</v>
      </c>
      <c r="I10" s="913"/>
      <c r="J10" s="919"/>
      <c r="K10" s="55">
        <v>65946.470126120184</v>
      </c>
      <c r="L10" s="809"/>
      <c r="M10" s="1349"/>
      <c r="N10" s="1407"/>
      <c r="O10" s="809"/>
      <c r="P10" s="809"/>
      <c r="Q10" s="807"/>
      <c r="R10" s="1322"/>
    </row>
    <row r="11" spans="1:18">
      <c r="A11" s="63">
        <v>1994.02</v>
      </c>
      <c r="B11" s="58">
        <v>3035.309358879882</v>
      </c>
      <c r="C11" s="3157"/>
      <c r="D11" s="136"/>
      <c r="E11" s="805">
        <v>5827.1701814698881</v>
      </c>
      <c r="F11" s="3158"/>
      <c r="G11" s="803"/>
      <c r="H11" s="805">
        <v>34202.994125157304</v>
      </c>
      <c r="I11" s="3157"/>
      <c r="J11" s="136"/>
      <c r="K11" s="805">
        <v>53811.394568509626</v>
      </c>
      <c r="L11" s="3158"/>
      <c r="M11" s="1350"/>
      <c r="N11" s="1408"/>
      <c r="O11" s="3158"/>
      <c r="P11" s="3158"/>
      <c r="Q11" s="803"/>
      <c r="R11" s="1323"/>
    </row>
    <row r="12" spans="1:18">
      <c r="A12" s="63">
        <v>1994.03</v>
      </c>
      <c r="B12" s="58">
        <v>3003.4704495210021</v>
      </c>
      <c r="C12" s="3157"/>
      <c r="D12" s="136"/>
      <c r="E12" s="805">
        <v>6179.9387346708399</v>
      </c>
      <c r="F12" s="3158"/>
      <c r="G12" s="803"/>
      <c r="H12" s="805">
        <v>33899.655641538069</v>
      </c>
      <c r="I12" s="3157"/>
      <c r="J12" s="136"/>
      <c r="K12" s="805">
        <v>57710.663784921104</v>
      </c>
      <c r="L12" s="3158"/>
      <c r="M12" s="1350"/>
      <c r="N12" s="1408"/>
      <c r="O12" s="3158"/>
      <c r="P12" s="3158"/>
      <c r="Q12" s="803"/>
      <c r="R12" s="1323"/>
    </row>
    <row r="13" spans="1:18">
      <c r="A13" s="63">
        <v>1994.04</v>
      </c>
      <c r="B13" s="58">
        <v>3341.9062638172441</v>
      </c>
      <c r="C13" s="3157"/>
      <c r="D13" s="136"/>
      <c r="E13" s="805">
        <v>4464.4689140882892</v>
      </c>
      <c r="F13" s="3158"/>
      <c r="G13" s="803"/>
      <c r="H13" s="805">
        <v>40106.550081615424</v>
      </c>
      <c r="I13" s="3157"/>
      <c r="J13" s="136"/>
      <c r="K13" s="805">
        <v>45845.192728897469</v>
      </c>
      <c r="L13" s="3158"/>
      <c r="M13" s="1350"/>
      <c r="N13" s="1408"/>
      <c r="O13" s="3158"/>
      <c r="P13" s="3158"/>
      <c r="Q13" s="803"/>
      <c r="R13" s="1323"/>
    </row>
    <row r="14" spans="1:18">
      <c r="A14" s="63">
        <v>1994.05</v>
      </c>
      <c r="B14" s="58">
        <v>3366.6698599852616</v>
      </c>
      <c r="C14" s="3157"/>
      <c r="D14" s="136"/>
      <c r="E14" s="805">
        <v>5489.7393914515878</v>
      </c>
      <c r="F14" s="3158"/>
      <c r="G14" s="803"/>
      <c r="H14" s="805">
        <v>41118.573940913077</v>
      </c>
      <c r="I14" s="3157"/>
      <c r="J14" s="136"/>
      <c r="K14" s="805">
        <v>52533.723616592841</v>
      </c>
      <c r="L14" s="3158"/>
      <c r="M14" s="1350"/>
      <c r="N14" s="1408"/>
      <c r="O14" s="3158"/>
      <c r="P14" s="3158"/>
      <c r="Q14" s="803"/>
      <c r="R14" s="1323"/>
    </row>
    <row r="15" spans="1:18">
      <c r="A15" s="63">
        <v>1994.06</v>
      </c>
      <c r="B15" s="58">
        <v>3161.485777450258</v>
      </c>
      <c r="C15" s="3157"/>
      <c r="D15" s="136"/>
      <c r="E15" s="805">
        <v>5061.4618502745134</v>
      </c>
      <c r="F15" s="3158"/>
      <c r="G15" s="803"/>
      <c r="H15" s="805">
        <v>37089.629010750148</v>
      </c>
      <c r="I15" s="3157"/>
      <c r="J15" s="803"/>
      <c r="K15" s="805">
        <v>48030.099173401803</v>
      </c>
      <c r="L15" s="3158"/>
      <c r="M15" s="1350"/>
      <c r="N15" s="1408"/>
      <c r="O15" s="3158"/>
      <c r="P15" s="3158"/>
      <c r="Q15" s="803"/>
      <c r="R15" s="1323"/>
    </row>
    <row r="16" spans="1:18">
      <c r="A16" s="63">
        <v>1994.07</v>
      </c>
      <c r="B16" s="58">
        <v>3871.375534266765</v>
      </c>
      <c r="C16" s="3157"/>
      <c r="D16" s="136"/>
      <c r="E16" s="805">
        <v>5568.7878632390921</v>
      </c>
      <c r="F16" s="3158"/>
      <c r="G16" s="803"/>
      <c r="H16" s="805">
        <v>46790.141230891815</v>
      </c>
      <c r="I16" s="3157"/>
      <c r="J16" s="803"/>
      <c r="K16" s="805">
        <v>51053.269280076907</v>
      </c>
      <c r="L16" s="3158"/>
      <c r="M16" s="1350"/>
      <c r="N16" s="1408"/>
      <c r="O16" s="3158"/>
      <c r="P16" s="3158"/>
      <c r="Q16" s="803"/>
      <c r="R16" s="1323"/>
    </row>
    <row r="17" spans="1:18">
      <c r="A17" s="63">
        <v>1994.08</v>
      </c>
      <c r="B17" s="58">
        <v>3407.942520265291</v>
      </c>
      <c r="C17" s="3157"/>
      <c r="D17" s="136"/>
      <c r="E17" s="805">
        <v>6208.2546051618856</v>
      </c>
      <c r="F17" s="3158"/>
      <c r="G17" s="803"/>
      <c r="H17" s="805">
        <v>43764.073520604943</v>
      </c>
      <c r="I17" s="3157"/>
      <c r="J17" s="803"/>
      <c r="K17" s="805">
        <v>57708.447658174009</v>
      </c>
      <c r="L17" s="3158"/>
      <c r="M17" s="1350"/>
      <c r="N17" s="1408"/>
      <c r="O17" s="3158"/>
      <c r="P17" s="3158"/>
      <c r="Q17" s="803"/>
      <c r="R17" s="1323"/>
    </row>
    <row r="18" spans="1:18">
      <c r="A18" s="63">
        <v>1994.09</v>
      </c>
      <c r="B18" s="58">
        <v>3722.7939572586588</v>
      </c>
      <c r="C18" s="3157"/>
      <c r="D18" s="136"/>
      <c r="E18" s="805">
        <v>5671.4328937691344</v>
      </c>
      <c r="F18" s="3158"/>
      <c r="G18" s="803"/>
      <c r="H18" s="805">
        <v>46987.126662609655</v>
      </c>
      <c r="I18" s="3157"/>
      <c r="J18" s="803"/>
      <c r="K18" s="805">
        <v>54978.944776587268</v>
      </c>
      <c r="L18" s="3158"/>
      <c r="M18" s="1350"/>
      <c r="N18" s="1408"/>
      <c r="O18" s="3158"/>
      <c r="P18" s="3158"/>
      <c r="Q18" s="803"/>
      <c r="R18" s="1323"/>
    </row>
    <row r="19" spans="1:18">
      <c r="A19" s="63">
        <v>1994.1</v>
      </c>
      <c r="B19" s="58">
        <v>3521.1475313190863</v>
      </c>
      <c r="C19" s="3157"/>
      <c r="D19" s="136"/>
      <c r="E19" s="805">
        <v>5717.4461833170844</v>
      </c>
      <c r="F19" s="3158"/>
      <c r="G19" s="803"/>
      <c r="H19" s="805">
        <v>45744.372309635226</v>
      </c>
      <c r="I19" s="3157"/>
      <c r="J19" s="803"/>
      <c r="K19" s="805">
        <v>55504.376118879016</v>
      </c>
      <c r="L19" s="3158"/>
      <c r="M19" s="1350"/>
      <c r="N19" s="1408"/>
      <c r="O19" s="3158"/>
      <c r="P19" s="3158"/>
      <c r="Q19" s="803"/>
      <c r="R19" s="1323"/>
    </row>
    <row r="20" spans="1:18">
      <c r="A20" s="63">
        <v>1994.11</v>
      </c>
      <c r="B20" s="58">
        <v>2163.8666175386884</v>
      </c>
      <c r="C20" s="3157"/>
      <c r="D20" s="136"/>
      <c r="E20" s="805">
        <v>5665.5337540834998</v>
      </c>
      <c r="F20" s="3158"/>
      <c r="G20" s="803"/>
      <c r="H20" s="805">
        <v>31748.762819710428</v>
      </c>
      <c r="I20" s="3157"/>
      <c r="J20" s="803"/>
      <c r="K20" s="805">
        <v>58347.318265692687</v>
      </c>
      <c r="L20" s="3158"/>
      <c r="M20" s="1350"/>
      <c r="N20" s="1408"/>
      <c r="O20" s="3158"/>
      <c r="P20" s="3158"/>
      <c r="Q20" s="803"/>
      <c r="R20" s="1323"/>
    </row>
    <row r="21" spans="1:18">
      <c r="A21" s="63">
        <v>1994.12</v>
      </c>
      <c r="B21" s="58">
        <v>1202.8032424465734</v>
      </c>
      <c r="C21" s="3157"/>
      <c r="D21" s="136"/>
      <c r="E21" s="805">
        <v>6315.6189474404364</v>
      </c>
      <c r="F21" s="3158"/>
      <c r="G21" s="803"/>
      <c r="H21" s="805">
        <v>20838.097190186229</v>
      </c>
      <c r="I21" s="3157"/>
      <c r="J21" s="803"/>
      <c r="K21" s="805">
        <v>61890.099902147093</v>
      </c>
      <c r="L21" s="3158"/>
      <c r="M21" s="1350"/>
      <c r="N21" s="1408"/>
      <c r="O21" s="3158"/>
      <c r="P21" s="3158"/>
      <c r="Q21" s="803"/>
      <c r="R21" s="1323"/>
    </row>
    <row r="22" spans="1:18">
      <c r="A22" s="63">
        <v>1995.01</v>
      </c>
      <c r="B22" s="58">
        <v>7052</v>
      </c>
      <c r="C22" s="3157"/>
      <c r="D22" s="136"/>
      <c r="E22" s="805">
        <v>5773</v>
      </c>
      <c r="F22" s="3158"/>
      <c r="G22" s="803"/>
      <c r="H22" s="805">
        <v>73615</v>
      </c>
      <c r="I22" s="3157"/>
      <c r="J22" s="803"/>
      <c r="K22" s="805">
        <v>58528</v>
      </c>
      <c r="L22" s="3158"/>
      <c r="M22" s="1350"/>
      <c r="N22" s="1408"/>
      <c r="O22" s="3158"/>
      <c r="P22" s="3158"/>
      <c r="Q22" s="803"/>
      <c r="R22" s="1323"/>
    </row>
    <row r="23" spans="1:18">
      <c r="A23" s="63">
        <v>1995.02</v>
      </c>
      <c r="B23" s="58">
        <v>2963</v>
      </c>
      <c r="C23" s="3157"/>
      <c r="D23" s="136"/>
      <c r="E23" s="805">
        <v>4939</v>
      </c>
      <c r="F23" s="3158"/>
      <c r="G23" s="803"/>
      <c r="H23" s="805">
        <v>36138</v>
      </c>
      <c r="I23" s="3157"/>
      <c r="J23" s="803"/>
      <c r="K23" s="805">
        <v>47662</v>
      </c>
      <c r="L23" s="3158"/>
      <c r="M23" s="1350"/>
      <c r="N23" s="1408"/>
      <c r="O23" s="3158"/>
      <c r="P23" s="3158"/>
      <c r="Q23" s="803"/>
      <c r="R23" s="1323"/>
    </row>
    <row r="24" spans="1:18">
      <c r="A24" s="63">
        <v>1995.03</v>
      </c>
      <c r="B24" s="58">
        <v>3293</v>
      </c>
      <c r="C24" s="3157"/>
      <c r="D24" s="136"/>
      <c r="E24" s="805">
        <v>5238</v>
      </c>
      <c r="F24" s="3158"/>
      <c r="G24" s="803"/>
      <c r="H24" s="260">
        <v>41110</v>
      </c>
      <c r="I24" s="3157"/>
      <c r="J24" s="803"/>
      <c r="K24" s="260">
        <v>50983</v>
      </c>
      <c r="L24" s="3078"/>
      <c r="M24" s="810"/>
      <c r="N24" s="1409"/>
      <c r="O24" s="3078"/>
      <c r="P24" s="3078"/>
      <c r="Q24" s="808"/>
      <c r="R24" s="1323"/>
    </row>
    <row r="25" spans="1:18">
      <c r="A25" s="63">
        <v>1995.04</v>
      </c>
      <c r="B25" s="58">
        <v>2304</v>
      </c>
      <c r="C25" s="3157"/>
      <c r="D25" s="136"/>
      <c r="E25" s="260">
        <v>3784</v>
      </c>
      <c r="F25" s="3078"/>
      <c r="G25" s="808"/>
      <c r="H25" s="260">
        <v>30375</v>
      </c>
      <c r="I25" s="3157"/>
      <c r="J25" s="803"/>
      <c r="K25" s="260">
        <v>40659</v>
      </c>
      <c r="L25" s="3078"/>
      <c r="M25" s="810"/>
      <c r="N25" s="1409"/>
      <c r="O25" s="3078"/>
      <c r="P25" s="3078"/>
      <c r="Q25" s="808"/>
      <c r="R25" s="1323"/>
    </row>
    <row r="26" spans="1:18">
      <c r="A26" s="63">
        <v>1995.05</v>
      </c>
      <c r="B26" s="58">
        <v>2121</v>
      </c>
      <c r="C26" s="3157"/>
      <c r="D26" s="136"/>
      <c r="E26" s="260">
        <v>4653</v>
      </c>
      <c r="F26" s="3078"/>
      <c r="G26" s="808"/>
      <c r="H26" s="260">
        <v>28833</v>
      </c>
      <c r="I26" s="3157"/>
      <c r="J26" s="803"/>
      <c r="K26" s="260">
        <v>46585</v>
      </c>
      <c r="L26" s="3078"/>
      <c r="M26" s="810"/>
      <c r="N26" s="1409"/>
      <c r="O26" s="3078"/>
      <c r="P26" s="3078"/>
      <c r="Q26" s="808"/>
      <c r="R26" s="1323"/>
    </row>
    <row r="27" spans="1:18">
      <c r="A27" s="63">
        <v>1995.06</v>
      </c>
      <c r="B27" s="58">
        <v>2000</v>
      </c>
      <c r="C27" s="3157"/>
      <c r="D27" s="136"/>
      <c r="E27" s="260">
        <v>4290</v>
      </c>
      <c r="F27" s="3078"/>
      <c r="G27" s="808"/>
      <c r="H27" s="260">
        <v>27888</v>
      </c>
      <c r="I27" s="3157"/>
      <c r="J27" s="803"/>
      <c r="K27" s="260">
        <v>42668</v>
      </c>
      <c r="L27" s="3078"/>
      <c r="M27" s="810"/>
      <c r="N27" s="1409"/>
      <c r="O27" s="3078"/>
      <c r="P27" s="3078"/>
      <c r="Q27" s="808"/>
      <c r="R27" s="1323"/>
    </row>
    <row r="28" spans="1:18">
      <c r="A28" s="63">
        <v>1995.07</v>
      </c>
      <c r="B28" s="58">
        <v>2108</v>
      </c>
      <c r="C28" s="3157"/>
      <c r="D28" s="136"/>
      <c r="E28" s="260">
        <v>4720</v>
      </c>
      <c r="F28" s="3078"/>
      <c r="G28" s="808"/>
      <c r="H28" s="260">
        <v>27662</v>
      </c>
      <c r="I28" s="3157"/>
      <c r="J28" s="803"/>
      <c r="K28" s="260">
        <v>45475</v>
      </c>
      <c r="L28" s="3078"/>
      <c r="M28" s="810"/>
      <c r="N28" s="1409"/>
      <c r="O28" s="3078"/>
      <c r="P28" s="3078"/>
      <c r="Q28" s="808"/>
      <c r="R28" s="1323"/>
    </row>
    <row r="29" spans="1:18">
      <c r="A29" s="63">
        <v>1995.08</v>
      </c>
      <c r="B29" s="58">
        <v>2196</v>
      </c>
      <c r="C29" s="3157"/>
      <c r="D29" s="136"/>
      <c r="E29" s="260">
        <v>5262</v>
      </c>
      <c r="F29" s="3078"/>
      <c r="G29" s="808"/>
      <c r="H29" s="260">
        <v>29343</v>
      </c>
      <c r="I29" s="3157"/>
      <c r="J29" s="803"/>
      <c r="K29" s="260">
        <v>51374</v>
      </c>
      <c r="L29" s="3078"/>
      <c r="M29" s="810"/>
      <c r="N29" s="1409"/>
      <c r="O29" s="3078"/>
      <c r="P29" s="3078"/>
      <c r="Q29" s="808"/>
      <c r="R29" s="1323"/>
    </row>
    <row r="30" spans="1:18">
      <c r="A30" s="63">
        <v>1995.09</v>
      </c>
      <c r="B30" s="58">
        <v>2123</v>
      </c>
      <c r="C30" s="3157"/>
      <c r="D30" s="136"/>
      <c r="E30" s="260">
        <v>4807</v>
      </c>
      <c r="F30" s="3078"/>
      <c r="G30" s="808"/>
      <c r="H30" s="260">
        <v>29210</v>
      </c>
      <c r="I30" s="3157"/>
      <c r="J30" s="803"/>
      <c r="K30" s="260">
        <v>48898</v>
      </c>
      <c r="L30" s="3078"/>
      <c r="M30" s="810"/>
      <c r="N30" s="1409"/>
      <c r="O30" s="3078"/>
      <c r="P30" s="3078"/>
      <c r="Q30" s="808"/>
      <c r="R30" s="1323"/>
    </row>
    <row r="31" spans="1:18">
      <c r="A31" s="63">
        <v>1995.1</v>
      </c>
      <c r="B31" s="58">
        <v>1897</v>
      </c>
      <c r="C31" s="3157"/>
      <c r="D31" s="136"/>
      <c r="E31" s="260">
        <v>4846</v>
      </c>
      <c r="F31" s="3078"/>
      <c r="G31" s="808"/>
      <c r="H31" s="260">
        <v>26796</v>
      </c>
      <c r="I31" s="3157"/>
      <c r="J31" s="803"/>
      <c r="K31" s="260">
        <v>49392</v>
      </c>
      <c r="L31" s="3078"/>
      <c r="M31" s="810"/>
      <c r="N31" s="1409"/>
      <c r="O31" s="3078"/>
      <c r="P31" s="3078"/>
      <c r="Q31" s="808"/>
      <c r="R31" s="1323"/>
    </row>
    <row r="32" spans="1:18">
      <c r="A32" s="63">
        <v>1995.11</v>
      </c>
      <c r="B32" s="58">
        <v>1448</v>
      </c>
      <c r="C32" s="3157"/>
      <c r="D32" s="136"/>
      <c r="E32" s="260">
        <v>4802</v>
      </c>
      <c r="F32" s="3078"/>
      <c r="G32" s="808"/>
      <c r="H32" s="260">
        <v>21743</v>
      </c>
      <c r="I32" s="3157"/>
      <c r="J32" s="803"/>
      <c r="K32" s="260">
        <v>51947</v>
      </c>
      <c r="L32" s="3078"/>
      <c r="M32" s="810"/>
      <c r="N32" s="1409"/>
      <c r="O32" s="3078"/>
      <c r="P32" s="3078"/>
      <c r="Q32" s="808"/>
      <c r="R32" s="1323"/>
    </row>
    <row r="33" spans="1:18">
      <c r="A33" s="63">
        <v>1995.12</v>
      </c>
      <c r="B33" s="58">
        <v>614</v>
      </c>
      <c r="C33" s="3157"/>
      <c r="D33" s="136"/>
      <c r="E33" s="260">
        <v>5353</v>
      </c>
      <c r="F33" s="3078"/>
      <c r="G33" s="808"/>
      <c r="H33" s="260">
        <v>11494</v>
      </c>
      <c r="I33" s="3157"/>
      <c r="J33" s="803"/>
      <c r="K33" s="260">
        <v>55297</v>
      </c>
      <c r="L33" s="3078"/>
      <c r="M33" s="810"/>
      <c r="N33" s="1409"/>
      <c r="O33" s="3078"/>
      <c r="P33" s="3078"/>
      <c r="Q33" s="808"/>
      <c r="R33" s="1323"/>
    </row>
    <row r="34" spans="1:18">
      <c r="A34" s="63">
        <v>1996.01</v>
      </c>
      <c r="B34" s="58">
        <v>4351</v>
      </c>
      <c r="C34" s="3157"/>
      <c r="D34" s="136"/>
      <c r="E34" s="260">
        <v>5748</v>
      </c>
      <c r="F34" s="3078"/>
      <c r="G34" s="808"/>
      <c r="H34" s="260">
        <v>48642</v>
      </c>
      <c r="I34" s="3157"/>
      <c r="J34" s="803"/>
      <c r="K34" s="260">
        <v>62671</v>
      </c>
      <c r="L34" s="3078"/>
      <c r="M34" s="810"/>
      <c r="N34" s="1409"/>
      <c r="O34" s="3078"/>
      <c r="P34" s="3078"/>
      <c r="Q34" s="808"/>
      <c r="R34" s="2514">
        <v>4618</v>
      </c>
    </row>
    <row r="35" spans="1:18">
      <c r="A35" s="63">
        <v>1996.02</v>
      </c>
      <c r="B35" s="58">
        <v>2303</v>
      </c>
      <c r="C35" s="3157"/>
      <c r="D35" s="136"/>
      <c r="E35" s="260">
        <v>5550</v>
      </c>
      <c r="F35" s="3078"/>
      <c r="G35" s="808"/>
      <c r="H35" s="260">
        <v>28317</v>
      </c>
      <c r="I35" s="3157"/>
      <c r="J35" s="803"/>
      <c r="K35" s="260">
        <v>56335</v>
      </c>
      <c r="L35" s="3078"/>
      <c r="M35" s="810"/>
      <c r="N35" s="1409"/>
      <c r="O35" s="3078"/>
      <c r="P35" s="3078"/>
      <c r="Q35" s="808"/>
      <c r="R35" s="1324">
        <v>20472</v>
      </c>
    </row>
    <row r="36" spans="1:18">
      <c r="A36" s="63">
        <v>1996.03</v>
      </c>
      <c r="B36" s="58">
        <v>2407</v>
      </c>
      <c r="C36" s="3157"/>
      <c r="D36" s="136"/>
      <c r="E36" s="260">
        <v>5274</v>
      </c>
      <c r="F36" s="3078"/>
      <c r="G36" s="808"/>
      <c r="H36" s="260">
        <v>29717</v>
      </c>
      <c r="I36" s="3157"/>
      <c r="J36" s="803"/>
      <c r="K36" s="260">
        <v>56369</v>
      </c>
      <c r="L36" s="3078"/>
      <c r="M36" s="810"/>
      <c r="N36" s="1409"/>
      <c r="O36" s="3078"/>
      <c r="P36" s="3078"/>
      <c r="Q36" s="808"/>
      <c r="R36" s="1324">
        <v>24438</v>
      </c>
    </row>
    <row r="37" spans="1:18">
      <c r="A37" s="63">
        <v>1996.04</v>
      </c>
      <c r="B37" s="58">
        <v>2503</v>
      </c>
      <c r="C37" s="3157"/>
      <c r="D37" s="136"/>
      <c r="E37" s="260">
        <v>5285</v>
      </c>
      <c r="F37" s="3078"/>
      <c r="G37" s="808"/>
      <c r="H37" s="260">
        <v>30345</v>
      </c>
      <c r="I37" s="3157"/>
      <c r="J37" s="803"/>
      <c r="K37" s="260">
        <v>53649</v>
      </c>
      <c r="L37" s="3078"/>
      <c r="M37" s="810"/>
      <c r="N37" s="1409"/>
      <c r="O37" s="3078"/>
      <c r="P37" s="3078"/>
      <c r="Q37" s="808"/>
      <c r="R37" s="1324">
        <v>26405</v>
      </c>
    </row>
    <row r="38" spans="1:18">
      <c r="A38" s="63">
        <v>1996.05</v>
      </c>
      <c r="B38" s="58">
        <v>2894</v>
      </c>
      <c r="C38" s="3157"/>
      <c r="D38" s="136"/>
      <c r="E38" s="260">
        <v>5974</v>
      </c>
      <c r="F38" s="3078"/>
      <c r="G38" s="808"/>
      <c r="H38" s="805">
        <v>34056</v>
      </c>
      <c r="I38" s="3157"/>
      <c r="J38" s="803"/>
      <c r="K38" s="805">
        <v>61319</v>
      </c>
      <c r="L38" s="3158"/>
      <c r="M38" s="1350"/>
      <c r="N38" s="1408"/>
      <c r="O38" s="3158"/>
      <c r="P38" s="3158"/>
      <c r="Q38" s="803"/>
      <c r="R38" s="1324">
        <v>29733</v>
      </c>
    </row>
    <row r="39" spans="1:18">
      <c r="A39" s="63">
        <v>1996.06</v>
      </c>
      <c r="B39" s="58">
        <v>2366</v>
      </c>
      <c r="C39" s="3157"/>
      <c r="D39" s="136"/>
      <c r="E39" s="805">
        <v>4848</v>
      </c>
      <c r="F39" s="3158"/>
      <c r="G39" s="803"/>
      <c r="H39" s="805">
        <v>26644</v>
      </c>
      <c r="I39" s="3157"/>
      <c r="J39" s="803"/>
      <c r="K39" s="805">
        <v>46310</v>
      </c>
      <c r="L39" s="3158"/>
      <c r="M39" s="1350"/>
      <c r="N39" s="1408"/>
      <c r="O39" s="3158"/>
      <c r="P39" s="3158"/>
      <c r="Q39" s="803"/>
      <c r="R39" s="1324">
        <v>26010</v>
      </c>
    </row>
    <row r="40" spans="1:18">
      <c r="A40" s="63">
        <v>1996.07</v>
      </c>
      <c r="B40" s="58">
        <v>2940</v>
      </c>
      <c r="C40" s="3157"/>
      <c r="D40" s="136"/>
      <c r="E40" s="805">
        <v>6151</v>
      </c>
      <c r="F40" s="3158"/>
      <c r="G40" s="803"/>
      <c r="H40" s="805">
        <v>32396</v>
      </c>
      <c r="I40" s="3157"/>
      <c r="J40" s="803"/>
      <c r="K40" s="805">
        <v>60204</v>
      </c>
      <c r="L40" s="3158"/>
      <c r="M40" s="1350"/>
      <c r="N40" s="1408"/>
      <c r="O40" s="3158"/>
      <c r="P40" s="3158"/>
      <c r="Q40" s="803"/>
      <c r="R40" s="1324">
        <v>31221</v>
      </c>
    </row>
    <row r="41" spans="1:18">
      <c r="A41" s="63">
        <v>1996.08</v>
      </c>
      <c r="B41" s="58">
        <v>3085</v>
      </c>
      <c r="C41" s="3157"/>
      <c r="D41" s="136"/>
      <c r="E41" s="805">
        <v>5869</v>
      </c>
      <c r="F41" s="3158"/>
      <c r="G41" s="803"/>
      <c r="H41" s="805">
        <v>31686</v>
      </c>
      <c r="I41" s="3157"/>
      <c r="J41" s="803"/>
      <c r="K41" s="805">
        <v>55739</v>
      </c>
      <c r="L41" s="3158"/>
      <c r="M41" s="1350"/>
      <c r="N41" s="1408"/>
      <c r="O41" s="3158"/>
      <c r="P41" s="3158"/>
      <c r="Q41" s="803"/>
      <c r="R41" s="1324">
        <v>32092</v>
      </c>
    </row>
    <row r="42" spans="1:18">
      <c r="A42" s="63">
        <v>1996.09</v>
      </c>
      <c r="B42" s="58">
        <v>2834</v>
      </c>
      <c r="C42" s="3157"/>
      <c r="D42" s="136"/>
      <c r="E42" s="805">
        <v>5752</v>
      </c>
      <c r="F42" s="3158"/>
      <c r="G42" s="803"/>
      <c r="H42" s="805">
        <v>30322</v>
      </c>
      <c r="I42" s="3157"/>
      <c r="J42" s="803"/>
      <c r="K42" s="805">
        <v>54996</v>
      </c>
      <c r="L42" s="3158"/>
      <c r="M42" s="1350"/>
      <c r="N42" s="1408"/>
      <c r="O42" s="3158"/>
      <c r="P42" s="3158"/>
      <c r="Q42" s="803"/>
      <c r="R42" s="1324">
        <v>28030</v>
      </c>
    </row>
    <row r="43" spans="1:18">
      <c r="A43" s="63">
        <v>1996.1</v>
      </c>
      <c r="B43" s="58">
        <v>2571</v>
      </c>
      <c r="C43" s="3157"/>
      <c r="D43" s="136"/>
      <c r="E43" s="805">
        <v>6119</v>
      </c>
      <c r="F43" s="3158"/>
      <c r="G43" s="803"/>
      <c r="H43" s="805">
        <v>30862</v>
      </c>
      <c r="I43" s="3157"/>
      <c r="J43" s="803"/>
      <c r="K43" s="805">
        <v>60088</v>
      </c>
      <c r="L43" s="3158"/>
      <c r="M43" s="1350"/>
      <c r="N43" s="1408"/>
      <c r="O43" s="3158"/>
      <c r="P43" s="3158"/>
      <c r="Q43" s="803"/>
      <c r="R43" s="1324">
        <v>32363</v>
      </c>
    </row>
    <row r="44" spans="1:18">
      <c r="A44" s="63">
        <v>1996.11</v>
      </c>
      <c r="B44" s="58">
        <v>2044</v>
      </c>
      <c r="C44" s="3157"/>
      <c r="D44" s="136"/>
      <c r="E44" s="805">
        <v>5648</v>
      </c>
      <c r="F44" s="3158"/>
      <c r="G44" s="803"/>
      <c r="H44" s="805">
        <v>25002</v>
      </c>
      <c r="I44" s="3157"/>
      <c r="J44" s="803"/>
      <c r="K44" s="805">
        <v>54829</v>
      </c>
      <c r="L44" s="3158"/>
      <c r="M44" s="1350"/>
      <c r="N44" s="1408"/>
      <c r="O44" s="3158"/>
      <c r="P44" s="3158"/>
      <c r="Q44" s="803"/>
      <c r="R44" s="1324">
        <v>32034</v>
      </c>
    </row>
    <row r="45" spans="1:18">
      <c r="A45" s="63">
        <v>1996.12</v>
      </c>
      <c r="B45" s="58">
        <v>1623</v>
      </c>
      <c r="C45" s="3157"/>
      <c r="D45" s="136"/>
      <c r="E45" s="805">
        <v>6227</v>
      </c>
      <c r="F45" s="3158"/>
      <c r="G45" s="803"/>
      <c r="H45" s="805">
        <v>20346</v>
      </c>
      <c r="I45" s="3157"/>
      <c r="J45" s="803"/>
      <c r="K45" s="805">
        <v>58966</v>
      </c>
      <c r="L45" s="3158"/>
      <c r="M45" s="1350"/>
      <c r="N45" s="1408"/>
      <c r="O45" s="3158"/>
      <c r="P45" s="3158"/>
      <c r="Q45" s="803"/>
      <c r="R45" s="1324">
        <v>25736</v>
      </c>
    </row>
    <row r="46" spans="1:18">
      <c r="A46" s="63">
        <v>1997.01</v>
      </c>
      <c r="B46" s="58">
        <v>5267</v>
      </c>
      <c r="C46" s="3157"/>
      <c r="D46" s="136"/>
      <c r="E46" s="805">
        <v>6517</v>
      </c>
      <c r="F46" s="3158"/>
      <c r="G46" s="803"/>
      <c r="H46" s="805">
        <v>55725</v>
      </c>
      <c r="I46" s="3157"/>
      <c r="J46" s="803"/>
      <c r="K46" s="805">
        <v>66716</v>
      </c>
      <c r="L46" s="3158"/>
      <c r="M46" s="1350"/>
      <c r="N46" s="1408"/>
      <c r="O46" s="3158"/>
      <c r="P46" s="3158"/>
      <c r="Q46" s="803"/>
      <c r="R46" s="1324">
        <v>14195</v>
      </c>
    </row>
    <row r="47" spans="1:18">
      <c r="A47" s="63">
        <v>1997.02</v>
      </c>
      <c r="B47" s="58">
        <v>2575</v>
      </c>
      <c r="C47" s="3157"/>
      <c r="D47" s="136"/>
      <c r="E47" s="805">
        <v>5644</v>
      </c>
      <c r="F47" s="3158"/>
      <c r="G47" s="803"/>
      <c r="H47" s="805">
        <v>29760</v>
      </c>
      <c r="I47" s="3157"/>
      <c r="J47" s="803"/>
      <c r="K47" s="805">
        <v>55374</v>
      </c>
      <c r="L47" s="3158"/>
      <c r="M47" s="1350"/>
      <c r="N47" s="1408"/>
      <c r="O47" s="3158"/>
      <c r="P47" s="3158"/>
      <c r="Q47" s="803"/>
      <c r="R47" s="1324">
        <v>26955</v>
      </c>
    </row>
    <row r="48" spans="1:18">
      <c r="A48" s="63">
        <v>1997.03</v>
      </c>
      <c r="B48" s="58">
        <v>2547</v>
      </c>
      <c r="C48" s="3157"/>
      <c r="D48" s="136"/>
      <c r="E48" s="805">
        <v>5623</v>
      </c>
      <c r="F48" s="3158"/>
      <c r="G48" s="803"/>
      <c r="H48" s="805">
        <v>29430</v>
      </c>
      <c r="I48" s="3157"/>
      <c r="J48" s="803"/>
      <c r="K48" s="805">
        <v>54519</v>
      </c>
      <c r="L48" s="3158"/>
      <c r="M48" s="1350"/>
      <c r="N48" s="1408"/>
      <c r="O48" s="3158"/>
      <c r="P48" s="3158"/>
      <c r="Q48" s="803"/>
      <c r="R48" s="1324">
        <v>32353</v>
      </c>
    </row>
    <row r="49" spans="1:18">
      <c r="A49" s="63">
        <v>1997.04</v>
      </c>
      <c r="B49" s="58">
        <v>2833</v>
      </c>
      <c r="C49" s="3157"/>
      <c r="D49" s="136"/>
      <c r="E49" s="805">
        <v>6684</v>
      </c>
      <c r="F49" s="3158"/>
      <c r="G49" s="803"/>
      <c r="H49" s="805">
        <v>34734</v>
      </c>
      <c r="I49" s="3157"/>
      <c r="J49" s="803"/>
      <c r="K49" s="805">
        <v>65287</v>
      </c>
      <c r="L49" s="3158"/>
      <c r="M49" s="1350"/>
      <c r="N49" s="1408"/>
      <c r="O49" s="3158"/>
      <c r="P49" s="3158"/>
      <c r="Q49" s="803"/>
      <c r="R49" s="1324">
        <v>36403</v>
      </c>
    </row>
    <row r="50" spans="1:18">
      <c r="A50" s="63">
        <v>1997.05</v>
      </c>
      <c r="B50" s="58">
        <v>2856</v>
      </c>
      <c r="C50" s="3157"/>
      <c r="D50" s="136"/>
      <c r="E50" s="805">
        <v>6300</v>
      </c>
      <c r="F50" s="3158"/>
      <c r="G50" s="803"/>
      <c r="H50" s="805">
        <v>35477</v>
      </c>
      <c r="I50" s="3157"/>
      <c r="J50" s="803"/>
      <c r="K50" s="805">
        <v>62037</v>
      </c>
      <c r="L50" s="3158"/>
      <c r="M50" s="1350"/>
      <c r="N50" s="1408"/>
      <c r="O50" s="3158"/>
      <c r="P50" s="3158"/>
      <c r="Q50" s="803"/>
      <c r="R50" s="1324">
        <v>39194</v>
      </c>
    </row>
    <row r="51" spans="1:18">
      <c r="A51" s="63">
        <v>1997.06</v>
      </c>
      <c r="B51" s="58">
        <v>2682</v>
      </c>
      <c r="C51" s="3157"/>
      <c r="D51" s="136"/>
      <c r="E51" s="805">
        <v>5631</v>
      </c>
      <c r="F51" s="3158"/>
      <c r="G51" s="803"/>
      <c r="H51" s="805">
        <v>32074</v>
      </c>
      <c r="I51" s="3157"/>
      <c r="J51" s="803"/>
      <c r="K51" s="805">
        <v>54376</v>
      </c>
      <c r="L51" s="3158"/>
      <c r="M51" s="1350"/>
      <c r="N51" s="1408"/>
      <c r="O51" s="3158"/>
      <c r="P51" s="3158"/>
      <c r="Q51" s="803"/>
      <c r="R51" s="1324">
        <v>38109</v>
      </c>
    </row>
    <row r="52" spans="1:18">
      <c r="A52" s="63">
        <v>1997.07</v>
      </c>
      <c r="B52" s="58">
        <v>3284</v>
      </c>
      <c r="C52" s="3157"/>
      <c r="D52" s="136"/>
      <c r="E52" s="805">
        <v>7148</v>
      </c>
      <c r="F52" s="3158"/>
      <c r="G52" s="803"/>
      <c r="H52" s="805">
        <v>40458</v>
      </c>
      <c r="I52" s="3157"/>
      <c r="J52" s="803"/>
      <c r="K52" s="805">
        <v>68994</v>
      </c>
      <c r="L52" s="3158"/>
      <c r="M52" s="1350"/>
      <c r="N52" s="1408"/>
      <c r="O52" s="3158"/>
      <c r="P52" s="3158"/>
      <c r="Q52" s="803"/>
      <c r="R52" s="1324">
        <v>43756</v>
      </c>
    </row>
    <row r="53" spans="1:18">
      <c r="A53" s="63">
        <v>1997.08</v>
      </c>
      <c r="B53" s="58">
        <v>2890</v>
      </c>
      <c r="C53" s="3157"/>
      <c r="D53" s="136"/>
      <c r="E53" s="805">
        <v>6612</v>
      </c>
      <c r="F53" s="3158"/>
      <c r="G53" s="803"/>
      <c r="H53" s="805">
        <v>37904</v>
      </c>
      <c r="I53" s="3157"/>
      <c r="J53" s="803"/>
      <c r="K53" s="805">
        <v>62771</v>
      </c>
      <c r="L53" s="3158"/>
      <c r="M53" s="1350"/>
      <c r="N53" s="1408"/>
      <c r="O53" s="3158"/>
      <c r="P53" s="3158"/>
      <c r="Q53" s="803"/>
      <c r="R53" s="1324">
        <v>42338</v>
      </c>
    </row>
    <row r="54" spans="1:18">
      <c r="A54" s="63">
        <v>1997.09</v>
      </c>
      <c r="B54" s="58">
        <v>3158</v>
      </c>
      <c r="C54" s="3157"/>
      <c r="D54" s="136"/>
      <c r="E54" s="805">
        <v>8083</v>
      </c>
      <c r="F54" s="3158"/>
      <c r="G54" s="803"/>
      <c r="H54" s="805">
        <v>40726</v>
      </c>
      <c r="I54" s="3157"/>
      <c r="J54" s="803"/>
      <c r="K54" s="805">
        <v>72994</v>
      </c>
      <c r="L54" s="3158"/>
      <c r="M54" s="1350"/>
      <c r="N54" s="1408"/>
      <c r="O54" s="3158"/>
      <c r="P54" s="3158"/>
      <c r="Q54" s="803"/>
      <c r="R54" s="1324">
        <v>46530</v>
      </c>
    </row>
    <row r="55" spans="1:18">
      <c r="A55" s="63">
        <v>1997.1</v>
      </c>
      <c r="B55" s="58">
        <v>2991</v>
      </c>
      <c r="C55" s="3157"/>
      <c r="D55" s="136"/>
      <c r="E55" s="805">
        <v>9066</v>
      </c>
      <c r="F55" s="3158"/>
      <c r="G55" s="803"/>
      <c r="H55" s="805">
        <v>39673</v>
      </c>
      <c r="I55" s="3157"/>
      <c r="J55" s="803"/>
      <c r="K55" s="805">
        <v>79858</v>
      </c>
      <c r="L55" s="3158"/>
      <c r="M55" s="1350"/>
      <c r="N55" s="1408"/>
      <c r="O55" s="3158"/>
      <c r="P55" s="3158"/>
      <c r="Q55" s="803"/>
      <c r="R55" s="1324">
        <v>54623</v>
      </c>
    </row>
    <row r="56" spans="1:18">
      <c r="A56" s="63">
        <v>1997.11</v>
      </c>
      <c r="B56" s="58">
        <v>1838</v>
      </c>
      <c r="C56" s="3157"/>
      <c r="D56" s="136"/>
      <c r="E56" s="805">
        <v>7171</v>
      </c>
      <c r="F56" s="3158"/>
      <c r="G56" s="803"/>
      <c r="H56" s="805">
        <v>27450</v>
      </c>
      <c r="I56" s="3157"/>
      <c r="J56" s="803"/>
      <c r="K56" s="805">
        <v>67579</v>
      </c>
      <c r="L56" s="3158"/>
      <c r="M56" s="1350"/>
      <c r="N56" s="1408"/>
      <c r="O56" s="3158"/>
      <c r="P56" s="3158"/>
      <c r="Q56" s="803"/>
      <c r="R56" s="1324">
        <v>45187</v>
      </c>
    </row>
    <row r="57" spans="1:18">
      <c r="A57" s="63">
        <v>1997.12</v>
      </c>
      <c r="B57" s="58">
        <v>1078</v>
      </c>
      <c r="C57" s="3157"/>
      <c r="D57" s="136"/>
      <c r="E57" s="805">
        <v>7643</v>
      </c>
      <c r="F57" s="3158"/>
      <c r="G57" s="803"/>
      <c r="H57" s="805">
        <v>18826</v>
      </c>
      <c r="I57" s="3157"/>
      <c r="J57" s="803"/>
      <c r="K57" s="805">
        <v>75053</v>
      </c>
      <c r="L57" s="3158"/>
      <c r="M57" s="1350"/>
      <c r="N57" s="1408"/>
      <c r="O57" s="3158"/>
      <c r="P57" s="3158"/>
      <c r="Q57" s="803"/>
      <c r="R57" s="1324">
        <v>26663</v>
      </c>
    </row>
    <row r="58" spans="1:18">
      <c r="A58" s="63">
        <v>1998.01</v>
      </c>
      <c r="B58" s="58">
        <v>5874</v>
      </c>
      <c r="C58" s="3157"/>
      <c r="D58" s="136"/>
      <c r="E58" s="805">
        <v>7343</v>
      </c>
      <c r="F58" s="3158"/>
      <c r="G58" s="803"/>
      <c r="H58" s="805">
        <v>68045</v>
      </c>
      <c r="I58" s="3157"/>
      <c r="J58" s="803"/>
      <c r="K58" s="805">
        <v>76361</v>
      </c>
      <c r="L58" s="3158"/>
      <c r="M58" s="1350"/>
      <c r="N58" s="1408"/>
      <c r="O58" s="3158"/>
      <c r="P58" s="3158"/>
      <c r="Q58" s="803"/>
      <c r="R58" s="1324">
        <v>18815</v>
      </c>
    </row>
    <row r="59" spans="1:18">
      <c r="A59" s="63">
        <v>1998.02</v>
      </c>
      <c r="B59" s="58">
        <v>3215</v>
      </c>
      <c r="C59" s="3157"/>
      <c r="D59" s="136"/>
      <c r="E59" s="805">
        <v>6665</v>
      </c>
      <c r="F59" s="3158"/>
      <c r="G59" s="803"/>
      <c r="H59" s="805">
        <v>40990</v>
      </c>
      <c r="I59" s="3157"/>
      <c r="J59" s="803"/>
      <c r="K59" s="805">
        <v>64566</v>
      </c>
      <c r="L59" s="3158"/>
      <c r="M59" s="1350"/>
      <c r="N59" s="1408"/>
      <c r="O59" s="3158"/>
      <c r="P59" s="3158"/>
      <c r="Q59" s="803"/>
      <c r="R59" s="1324">
        <v>35151</v>
      </c>
    </row>
    <row r="60" spans="1:18">
      <c r="A60" s="63">
        <v>1998.03</v>
      </c>
      <c r="B60" s="58">
        <v>3325</v>
      </c>
      <c r="C60" s="3157"/>
      <c r="D60" s="136"/>
      <c r="E60" s="805">
        <v>6991</v>
      </c>
      <c r="F60" s="3158"/>
      <c r="G60" s="803"/>
      <c r="H60" s="805">
        <v>42969</v>
      </c>
      <c r="I60" s="3157"/>
      <c r="J60" s="803"/>
      <c r="K60" s="805">
        <v>72125</v>
      </c>
      <c r="L60" s="3158"/>
      <c r="M60" s="1350"/>
      <c r="N60" s="1408"/>
      <c r="O60" s="3158"/>
      <c r="P60" s="3158"/>
      <c r="Q60" s="803"/>
      <c r="R60" s="1324">
        <v>41765</v>
      </c>
    </row>
    <row r="61" spans="1:18">
      <c r="A61" s="63">
        <v>1998.04</v>
      </c>
      <c r="B61" s="58">
        <v>3289</v>
      </c>
      <c r="C61" s="3157"/>
      <c r="D61" s="136"/>
      <c r="E61" s="805">
        <v>6736</v>
      </c>
      <c r="F61" s="3158"/>
      <c r="G61" s="803"/>
      <c r="H61" s="805">
        <v>42361</v>
      </c>
      <c r="I61" s="3157"/>
      <c r="J61" s="803"/>
      <c r="K61" s="805">
        <v>71326</v>
      </c>
      <c r="L61" s="3158"/>
      <c r="M61" s="1350"/>
      <c r="N61" s="1408"/>
      <c r="O61" s="3158"/>
      <c r="P61" s="3158"/>
      <c r="Q61" s="803"/>
      <c r="R61" s="1324">
        <v>43657</v>
      </c>
    </row>
    <row r="62" spans="1:18">
      <c r="A62" s="63">
        <v>1998.05</v>
      </c>
      <c r="B62" s="58">
        <v>3099</v>
      </c>
      <c r="C62" s="3157"/>
      <c r="D62" s="136"/>
      <c r="E62" s="805">
        <v>6144</v>
      </c>
      <c r="F62" s="3158"/>
      <c r="G62" s="803"/>
      <c r="H62" s="805">
        <v>38561</v>
      </c>
      <c r="I62" s="3157"/>
      <c r="J62" s="803"/>
      <c r="K62" s="805">
        <v>64367</v>
      </c>
      <c r="L62" s="3158"/>
      <c r="M62" s="1350"/>
      <c r="N62" s="1408"/>
      <c r="O62" s="3158"/>
      <c r="P62" s="3158"/>
      <c r="Q62" s="803"/>
      <c r="R62" s="1324">
        <v>42843</v>
      </c>
    </row>
    <row r="63" spans="1:18">
      <c r="A63" s="63">
        <v>1998.06</v>
      </c>
      <c r="B63" s="58">
        <v>3325</v>
      </c>
      <c r="C63" s="3157"/>
      <c r="D63" s="136"/>
      <c r="E63" s="805">
        <v>6510</v>
      </c>
      <c r="F63" s="3158"/>
      <c r="G63" s="803"/>
      <c r="H63" s="805">
        <v>40587</v>
      </c>
      <c r="I63" s="3157"/>
      <c r="J63" s="803"/>
      <c r="K63" s="805">
        <v>65204</v>
      </c>
      <c r="L63" s="3158"/>
      <c r="M63" s="1350"/>
      <c r="N63" s="1408"/>
      <c r="O63" s="3158"/>
      <c r="P63" s="3158"/>
      <c r="Q63" s="803"/>
      <c r="R63" s="1324">
        <v>46168</v>
      </c>
    </row>
    <row r="64" spans="1:18">
      <c r="A64" s="63">
        <v>1998.07</v>
      </c>
      <c r="B64" s="58">
        <v>3691</v>
      </c>
      <c r="C64" s="3157"/>
      <c r="D64" s="136"/>
      <c r="E64" s="805">
        <v>7476</v>
      </c>
      <c r="F64" s="3158"/>
      <c r="G64" s="803"/>
      <c r="H64" s="805">
        <v>45730</v>
      </c>
      <c r="I64" s="3157"/>
      <c r="J64" s="803"/>
      <c r="K64" s="805">
        <v>73999</v>
      </c>
      <c r="L64" s="3158"/>
      <c r="M64" s="1350"/>
      <c r="N64" s="1408"/>
      <c r="O64" s="3158"/>
      <c r="P64" s="3158"/>
      <c r="Q64" s="803"/>
      <c r="R64" s="1324">
        <v>45913</v>
      </c>
    </row>
    <row r="65" spans="1:18">
      <c r="A65" s="63">
        <v>1998.08</v>
      </c>
      <c r="B65" s="58">
        <v>3419</v>
      </c>
      <c r="C65" s="3157"/>
      <c r="D65" s="136"/>
      <c r="E65" s="805">
        <v>6874</v>
      </c>
      <c r="F65" s="3158"/>
      <c r="G65" s="803"/>
      <c r="H65" s="805">
        <v>41705</v>
      </c>
      <c r="I65" s="3157"/>
      <c r="J65" s="803"/>
      <c r="K65" s="805">
        <v>68180</v>
      </c>
      <c r="L65" s="3158"/>
      <c r="M65" s="1350"/>
      <c r="N65" s="1408"/>
      <c r="O65" s="3158"/>
      <c r="P65" s="3158"/>
      <c r="Q65" s="803"/>
      <c r="R65" s="1324">
        <v>49060</v>
      </c>
    </row>
    <row r="66" spans="1:18">
      <c r="A66" s="63">
        <v>1998.09</v>
      </c>
      <c r="B66" s="58">
        <v>3220</v>
      </c>
      <c r="C66" s="3157"/>
      <c r="D66" s="136"/>
      <c r="E66" s="805">
        <v>7470</v>
      </c>
      <c r="F66" s="3158"/>
      <c r="G66" s="803"/>
      <c r="H66" s="805">
        <v>40921</v>
      </c>
      <c r="I66" s="3157"/>
      <c r="J66" s="803"/>
      <c r="K66" s="805">
        <v>72033</v>
      </c>
      <c r="L66" s="3158"/>
      <c r="M66" s="1350"/>
      <c r="N66" s="1408"/>
      <c r="O66" s="3158"/>
      <c r="P66" s="3158"/>
      <c r="Q66" s="803"/>
      <c r="R66" s="1324">
        <v>46926</v>
      </c>
    </row>
    <row r="67" spans="1:18">
      <c r="A67" s="63">
        <v>1998.1</v>
      </c>
      <c r="B67" s="58">
        <v>2574</v>
      </c>
      <c r="C67" s="3157"/>
      <c r="D67" s="136"/>
      <c r="E67" s="805">
        <v>6618</v>
      </c>
      <c r="F67" s="3158"/>
      <c r="G67" s="803"/>
      <c r="H67" s="805">
        <v>34047</v>
      </c>
      <c r="I67" s="3157"/>
      <c r="J67" s="803"/>
      <c r="K67" s="805">
        <v>63365</v>
      </c>
      <c r="L67" s="3158"/>
      <c r="M67" s="1350"/>
      <c r="N67" s="1408"/>
      <c r="O67" s="3158"/>
      <c r="P67" s="3158"/>
      <c r="Q67" s="803"/>
      <c r="R67" s="1324">
        <v>39987</v>
      </c>
    </row>
    <row r="68" spans="1:18">
      <c r="A68" s="63">
        <v>1998.11</v>
      </c>
      <c r="B68" s="58">
        <v>1976</v>
      </c>
      <c r="C68" s="3157"/>
      <c r="D68" s="136"/>
      <c r="E68" s="805">
        <v>7333</v>
      </c>
      <c r="F68" s="3158"/>
      <c r="G68" s="803"/>
      <c r="H68" s="805">
        <v>28544</v>
      </c>
      <c r="I68" s="3157"/>
      <c r="J68" s="803"/>
      <c r="K68" s="805">
        <v>63437</v>
      </c>
      <c r="L68" s="3158"/>
      <c r="M68" s="1350"/>
      <c r="N68" s="1408"/>
      <c r="O68" s="3158"/>
      <c r="P68" s="3158"/>
      <c r="Q68" s="803"/>
      <c r="R68" s="1324">
        <v>32781</v>
      </c>
    </row>
    <row r="69" spans="1:18">
      <c r="A69" s="63">
        <v>1998.12</v>
      </c>
      <c r="B69" s="58">
        <v>1247</v>
      </c>
      <c r="C69" s="3157"/>
      <c r="D69" s="136"/>
      <c r="E69" s="805">
        <v>7758</v>
      </c>
      <c r="F69" s="3158"/>
      <c r="G69" s="803"/>
      <c r="H69" s="805">
        <v>19940</v>
      </c>
      <c r="I69" s="3157"/>
      <c r="J69" s="803"/>
      <c r="K69" s="805">
        <v>67988</v>
      </c>
      <c r="L69" s="3158"/>
      <c r="M69" s="1350"/>
      <c r="N69" s="1408"/>
      <c r="O69" s="3158"/>
      <c r="P69" s="3158"/>
      <c r="Q69" s="803"/>
      <c r="R69" s="1324">
        <v>14891</v>
      </c>
    </row>
    <row r="70" spans="1:18">
      <c r="A70" s="63">
        <v>1999.01</v>
      </c>
      <c r="B70" s="58">
        <v>5089</v>
      </c>
      <c r="C70" s="3157"/>
      <c r="D70" s="136"/>
      <c r="E70" s="805">
        <v>6420</v>
      </c>
      <c r="F70" s="3158"/>
      <c r="G70" s="803"/>
      <c r="H70" s="805">
        <v>52973</v>
      </c>
      <c r="I70" s="3157"/>
      <c r="J70" s="803"/>
      <c r="K70" s="805">
        <v>59896</v>
      </c>
      <c r="L70" s="3158"/>
      <c r="M70" s="1350"/>
      <c r="N70" s="1408"/>
      <c r="O70" s="3158"/>
      <c r="P70" s="3158"/>
      <c r="Q70" s="803"/>
      <c r="R70" s="1324">
        <v>10266</v>
      </c>
    </row>
    <row r="71" spans="1:18">
      <c r="A71" s="63">
        <v>1999.02</v>
      </c>
      <c r="B71" s="58">
        <v>2539</v>
      </c>
      <c r="C71" s="3157"/>
      <c r="D71" s="136"/>
      <c r="E71" s="805">
        <v>5846</v>
      </c>
      <c r="F71" s="3158"/>
      <c r="G71" s="803"/>
      <c r="H71" s="805">
        <v>29937</v>
      </c>
      <c r="I71" s="3157"/>
      <c r="J71" s="803"/>
      <c r="K71" s="805">
        <v>56641</v>
      </c>
      <c r="L71" s="3158"/>
      <c r="M71" s="1350"/>
      <c r="N71" s="1408"/>
      <c r="O71" s="3158"/>
      <c r="P71" s="3158"/>
      <c r="Q71" s="803"/>
      <c r="R71" s="1324">
        <v>17482</v>
      </c>
    </row>
    <row r="72" spans="1:18">
      <c r="A72" s="63">
        <v>1999.03</v>
      </c>
      <c r="B72" s="58">
        <v>2588</v>
      </c>
      <c r="C72" s="3157"/>
      <c r="D72" s="136"/>
      <c r="E72" s="805">
        <v>6432</v>
      </c>
      <c r="F72" s="3158"/>
      <c r="G72" s="803"/>
      <c r="H72" s="805">
        <v>32631</v>
      </c>
      <c r="I72" s="3157"/>
      <c r="J72" s="803"/>
      <c r="K72" s="805">
        <v>62961</v>
      </c>
      <c r="L72" s="3158"/>
      <c r="M72" s="1350"/>
      <c r="N72" s="1408"/>
      <c r="O72" s="3158"/>
      <c r="P72" s="3158"/>
      <c r="Q72" s="803"/>
      <c r="R72" s="1324">
        <v>19861</v>
      </c>
    </row>
    <row r="73" spans="1:18">
      <c r="A73" s="63">
        <v>1999.04</v>
      </c>
      <c r="B73" s="58">
        <v>2041</v>
      </c>
      <c r="C73" s="3157"/>
      <c r="D73" s="136"/>
      <c r="E73" s="805">
        <v>6087</v>
      </c>
      <c r="F73" s="3158"/>
      <c r="G73" s="803"/>
      <c r="H73" s="805">
        <v>26621</v>
      </c>
      <c r="I73" s="3157"/>
      <c r="J73" s="803"/>
      <c r="K73" s="805">
        <v>56901</v>
      </c>
      <c r="L73" s="3158"/>
      <c r="M73" s="1350"/>
      <c r="N73" s="1408"/>
      <c r="O73" s="3158"/>
      <c r="P73" s="3158"/>
      <c r="Q73" s="803"/>
      <c r="R73" s="1324">
        <v>21779</v>
      </c>
    </row>
    <row r="74" spans="1:18">
      <c r="A74" s="63">
        <v>1999.05</v>
      </c>
      <c r="B74" s="58">
        <v>1781</v>
      </c>
      <c r="C74" s="3157"/>
      <c r="D74" s="136"/>
      <c r="E74" s="805">
        <v>6469</v>
      </c>
      <c r="F74" s="3158"/>
      <c r="G74" s="803"/>
      <c r="H74" s="805">
        <v>24237</v>
      </c>
      <c r="I74" s="3157"/>
      <c r="J74" s="803"/>
      <c r="K74" s="805">
        <v>63063</v>
      </c>
      <c r="L74" s="3158"/>
      <c r="M74" s="1350"/>
      <c r="N74" s="1408"/>
      <c r="O74" s="3158"/>
      <c r="P74" s="3158"/>
      <c r="Q74" s="803"/>
      <c r="R74" s="1324">
        <v>23642</v>
      </c>
    </row>
    <row r="75" spans="1:18">
      <c r="A75" s="63">
        <v>1999.06</v>
      </c>
      <c r="B75" s="58">
        <v>2379</v>
      </c>
      <c r="C75" s="3157"/>
      <c r="D75" s="136"/>
      <c r="E75" s="805">
        <v>7587</v>
      </c>
      <c r="F75" s="3158"/>
      <c r="G75" s="803"/>
      <c r="H75" s="805">
        <v>28334</v>
      </c>
      <c r="I75" s="3157"/>
      <c r="J75" s="803"/>
      <c r="K75" s="805">
        <v>78618</v>
      </c>
      <c r="L75" s="3158"/>
      <c r="M75" s="1350"/>
      <c r="N75" s="1408"/>
      <c r="O75" s="3158"/>
      <c r="P75" s="3158"/>
      <c r="Q75" s="803"/>
      <c r="R75" s="1324">
        <v>25921</v>
      </c>
    </row>
    <row r="76" spans="1:18">
      <c r="A76" s="63">
        <v>1999.07</v>
      </c>
      <c r="B76" s="58">
        <v>2939</v>
      </c>
      <c r="C76" s="3157"/>
      <c r="D76" s="136"/>
      <c r="E76" s="805">
        <v>8550</v>
      </c>
      <c r="F76" s="3158"/>
      <c r="G76" s="803"/>
      <c r="H76" s="805">
        <v>34183</v>
      </c>
      <c r="I76" s="3157"/>
      <c r="J76" s="803"/>
      <c r="K76" s="805">
        <v>89589</v>
      </c>
      <c r="L76" s="3158"/>
      <c r="M76" s="1350"/>
      <c r="N76" s="1408"/>
      <c r="O76" s="3158"/>
      <c r="P76" s="3158"/>
      <c r="Q76" s="803"/>
      <c r="R76" s="1324">
        <v>26096</v>
      </c>
    </row>
    <row r="77" spans="1:18">
      <c r="A77" s="63">
        <v>1999.08</v>
      </c>
      <c r="B77" s="58">
        <v>3358</v>
      </c>
      <c r="C77" s="3157"/>
      <c r="D77" s="136"/>
      <c r="E77" s="805">
        <v>8436</v>
      </c>
      <c r="F77" s="3158"/>
      <c r="G77" s="803"/>
      <c r="H77" s="805">
        <v>37205</v>
      </c>
      <c r="I77" s="3157"/>
      <c r="J77" s="803"/>
      <c r="K77" s="805">
        <v>83799</v>
      </c>
      <c r="L77" s="3158"/>
      <c r="M77" s="1350"/>
      <c r="N77" s="1408"/>
      <c r="O77" s="3158"/>
      <c r="P77" s="3158"/>
      <c r="Q77" s="803"/>
      <c r="R77" s="1324">
        <v>30023</v>
      </c>
    </row>
    <row r="78" spans="1:18">
      <c r="A78" s="63">
        <v>1999.09</v>
      </c>
      <c r="B78" s="58">
        <v>3645</v>
      </c>
      <c r="C78" s="3157"/>
      <c r="D78" s="136"/>
      <c r="E78" s="805">
        <v>8914</v>
      </c>
      <c r="F78" s="3158"/>
      <c r="G78" s="803"/>
      <c r="H78" s="805">
        <v>41471</v>
      </c>
      <c r="I78" s="3157"/>
      <c r="J78" s="803"/>
      <c r="K78" s="805">
        <v>88991</v>
      </c>
      <c r="L78" s="3158"/>
      <c r="M78" s="1350"/>
      <c r="N78" s="1408"/>
      <c r="O78" s="3158"/>
      <c r="P78" s="3158"/>
      <c r="Q78" s="803"/>
      <c r="R78" s="1324">
        <v>30985</v>
      </c>
    </row>
    <row r="79" spans="1:18">
      <c r="A79" s="63">
        <v>1999.1</v>
      </c>
      <c r="B79" s="58">
        <v>3051</v>
      </c>
      <c r="C79" s="3157"/>
      <c r="D79" s="136"/>
      <c r="E79" s="805">
        <v>11133</v>
      </c>
      <c r="F79" s="3158"/>
      <c r="G79" s="803"/>
      <c r="H79" s="805">
        <v>36238</v>
      </c>
      <c r="I79" s="3157"/>
      <c r="J79" s="803"/>
      <c r="K79" s="805">
        <v>110669</v>
      </c>
      <c r="L79" s="3158"/>
      <c r="M79" s="1350"/>
      <c r="N79" s="1408"/>
      <c r="O79" s="3158"/>
      <c r="P79" s="3158"/>
      <c r="Q79" s="803"/>
      <c r="R79" s="1324">
        <v>32116</v>
      </c>
    </row>
    <row r="80" spans="1:18">
      <c r="A80" s="63">
        <v>1999.11</v>
      </c>
      <c r="B80" s="58">
        <v>2950</v>
      </c>
      <c r="C80" s="3157"/>
      <c r="D80" s="136"/>
      <c r="E80" s="805">
        <v>7021</v>
      </c>
      <c r="F80" s="3158"/>
      <c r="G80" s="803"/>
      <c r="H80" s="805">
        <v>35223</v>
      </c>
      <c r="I80" s="3157"/>
      <c r="J80" s="803"/>
      <c r="K80" s="805">
        <v>74636</v>
      </c>
      <c r="L80" s="3158"/>
      <c r="M80" s="1350"/>
      <c r="N80" s="1408"/>
      <c r="O80" s="3158"/>
      <c r="P80" s="3158"/>
      <c r="Q80" s="803"/>
      <c r="R80" s="1324">
        <v>33862</v>
      </c>
    </row>
    <row r="81" spans="1:18">
      <c r="A81" s="63">
        <v>1999.12</v>
      </c>
      <c r="B81" s="58">
        <v>2023</v>
      </c>
      <c r="C81" s="3157"/>
      <c r="D81" s="136"/>
      <c r="E81" s="805">
        <v>7622</v>
      </c>
      <c r="F81" s="3158"/>
      <c r="G81" s="803"/>
      <c r="H81" s="805">
        <v>27583</v>
      </c>
      <c r="I81" s="3157"/>
      <c r="J81" s="803"/>
      <c r="K81" s="805">
        <v>79954</v>
      </c>
      <c r="L81" s="3158"/>
      <c r="M81" s="1350"/>
      <c r="N81" s="1408"/>
      <c r="O81" s="3158"/>
      <c r="P81" s="3158"/>
      <c r="Q81" s="803"/>
      <c r="R81" s="1324">
        <v>32776</v>
      </c>
    </row>
    <row r="82" spans="1:18">
      <c r="A82" s="63">
        <v>2000.01</v>
      </c>
      <c r="B82" s="58">
        <v>4520</v>
      </c>
      <c r="C82" s="3157"/>
      <c r="D82" s="136"/>
      <c r="E82" s="805">
        <v>10113</v>
      </c>
      <c r="F82" s="3158"/>
      <c r="G82" s="803"/>
      <c r="H82" s="805">
        <v>46926</v>
      </c>
      <c r="I82" s="3157"/>
      <c r="J82" s="803"/>
      <c r="K82" s="805">
        <v>107603</v>
      </c>
      <c r="L82" s="3158"/>
      <c r="M82" s="1350"/>
      <c r="N82" s="1408"/>
      <c r="O82" s="3158"/>
      <c r="P82" s="3158"/>
      <c r="Q82" s="803"/>
      <c r="R82" s="1324">
        <v>21776</v>
      </c>
    </row>
    <row r="83" spans="1:18">
      <c r="A83" s="63">
        <v>2000.02</v>
      </c>
      <c r="B83" s="58">
        <v>2716</v>
      </c>
      <c r="C83" s="3157"/>
      <c r="D83" s="136"/>
      <c r="E83" s="805">
        <v>6071</v>
      </c>
      <c r="F83" s="3158"/>
      <c r="G83" s="803"/>
      <c r="H83" s="805">
        <v>32798</v>
      </c>
      <c r="I83" s="3157"/>
      <c r="J83" s="803"/>
      <c r="K83" s="805">
        <v>64306</v>
      </c>
      <c r="L83" s="3158"/>
      <c r="M83" s="1350"/>
      <c r="N83" s="1408"/>
      <c r="O83" s="3158"/>
      <c r="P83" s="3158"/>
      <c r="Q83" s="803"/>
      <c r="R83" s="1324">
        <v>20538</v>
      </c>
    </row>
    <row r="84" spans="1:18">
      <c r="A84" s="63">
        <v>2000.03</v>
      </c>
      <c r="B84" s="58">
        <v>2779</v>
      </c>
      <c r="C84" s="3157"/>
      <c r="D84" s="136"/>
      <c r="E84" s="805">
        <v>6551</v>
      </c>
      <c r="F84" s="3158"/>
      <c r="G84" s="803"/>
      <c r="H84" s="805">
        <v>32504</v>
      </c>
      <c r="I84" s="3157"/>
      <c r="J84" s="803"/>
      <c r="K84" s="805">
        <v>70942</v>
      </c>
      <c r="L84" s="3158"/>
      <c r="M84" s="1350"/>
      <c r="N84" s="1408"/>
      <c r="O84" s="3158"/>
      <c r="P84" s="3158"/>
      <c r="Q84" s="803"/>
      <c r="R84" s="1324">
        <v>33753</v>
      </c>
    </row>
    <row r="85" spans="1:18">
      <c r="A85" s="63">
        <v>2000.04</v>
      </c>
      <c r="B85" s="58">
        <v>2268</v>
      </c>
      <c r="C85" s="3157"/>
      <c r="D85" s="136"/>
      <c r="E85" s="805">
        <v>4929</v>
      </c>
      <c r="F85" s="3158"/>
      <c r="G85" s="803"/>
      <c r="H85" s="805">
        <v>26641</v>
      </c>
      <c r="I85" s="3157"/>
      <c r="J85" s="803"/>
      <c r="K85" s="805">
        <v>54093</v>
      </c>
      <c r="L85" s="3158"/>
      <c r="M85" s="1350"/>
      <c r="N85" s="1408"/>
      <c r="O85" s="3158"/>
      <c r="P85" s="3158"/>
      <c r="Q85" s="803"/>
      <c r="R85" s="1324">
        <v>28754</v>
      </c>
    </row>
    <row r="86" spans="1:18">
      <c r="A86" s="63">
        <v>2000.05</v>
      </c>
      <c r="B86" s="58">
        <v>2349</v>
      </c>
      <c r="C86" s="3157"/>
      <c r="D86" s="136"/>
      <c r="E86" s="805">
        <v>5500</v>
      </c>
      <c r="F86" s="3158"/>
      <c r="G86" s="803"/>
      <c r="H86" s="805">
        <v>27580</v>
      </c>
      <c r="I86" s="3157"/>
      <c r="J86" s="803"/>
      <c r="K86" s="805">
        <v>60031</v>
      </c>
      <c r="L86" s="3158"/>
      <c r="M86" s="1350"/>
      <c r="N86" s="1408"/>
      <c r="O86" s="3158"/>
      <c r="P86" s="3158"/>
      <c r="Q86" s="803"/>
      <c r="R86" s="1324">
        <v>30323</v>
      </c>
    </row>
    <row r="87" spans="1:18">
      <c r="A87" s="63">
        <v>2000.06</v>
      </c>
      <c r="B87" s="58">
        <v>2456</v>
      </c>
      <c r="C87" s="3157"/>
      <c r="D87" s="136"/>
      <c r="E87" s="805">
        <v>5620</v>
      </c>
      <c r="F87" s="3158"/>
      <c r="G87" s="803"/>
      <c r="H87" s="805">
        <v>28428</v>
      </c>
      <c r="I87" s="3157"/>
      <c r="J87" s="803"/>
      <c r="K87" s="805">
        <v>59005</v>
      </c>
      <c r="L87" s="3158"/>
      <c r="M87" s="1350"/>
      <c r="N87" s="1408"/>
      <c r="O87" s="3158"/>
      <c r="P87" s="3158"/>
      <c r="Q87" s="803"/>
      <c r="R87" s="1324">
        <v>29066</v>
      </c>
    </row>
    <row r="88" spans="1:18">
      <c r="A88" s="63">
        <v>2000.07</v>
      </c>
      <c r="B88" s="58">
        <v>2405</v>
      </c>
      <c r="C88" s="3157"/>
      <c r="D88" s="136"/>
      <c r="E88" s="805">
        <v>6220</v>
      </c>
      <c r="F88" s="3158"/>
      <c r="G88" s="803"/>
      <c r="H88" s="805">
        <v>27415</v>
      </c>
      <c r="I88" s="3157"/>
      <c r="J88" s="803"/>
      <c r="K88" s="805">
        <v>65169</v>
      </c>
      <c r="L88" s="3158"/>
      <c r="M88" s="1350"/>
      <c r="N88" s="1408"/>
      <c r="O88" s="3158"/>
      <c r="P88" s="3158"/>
      <c r="Q88" s="803"/>
      <c r="R88" s="1324">
        <v>29024</v>
      </c>
    </row>
    <row r="89" spans="1:18">
      <c r="A89" s="63">
        <v>2000.08</v>
      </c>
      <c r="B89" s="58">
        <v>2375</v>
      </c>
      <c r="C89" s="3157"/>
      <c r="D89" s="136"/>
      <c r="E89" s="805">
        <v>6788</v>
      </c>
      <c r="F89" s="3158"/>
      <c r="G89" s="803"/>
      <c r="H89" s="805">
        <v>28868</v>
      </c>
      <c r="I89" s="3157"/>
      <c r="J89" s="803"/>
      <c r="K89" s="805">
        <v>71729</v>
      </c>
      <c r="L89" s="3158"/>
      <c r="M89" s="1350"/>
      <c r="N89" s="1408"/>
      <c r="O89" s="3158"/>
      <c r="P89" s="3158"/>
      <c r="Q89" s="803"/>
      <c r="R89" s="1324">
        <v>30602</v>
      </c>
    </row>
    <row r="90" spans="1:18">
      <c r="A90" s="63">
        <v>2000.09</v>
      </c>
      <c r="B90" s="58">
        <v>2224</v>
      </c>
      <c r="C90" s="3157"/>
      <c r="D90" s="136"/>
      <c r="E90" s="805">
        <v>5741</v>
      </c>
      <c r="F90" s="3158"/>
      <c r="G90" s="803"/>
      <c r="H90" s="805">
        <v>28157</v>
      </c>
      <c r="I90" s="3157"/>
      <c r="J90" s="803"/>
      <c r="K90" s="805">
        <v>60886</v>
      </c>
      <c r="L90" s="3158"/>
      <c r="M90" s="1350"/>
      <c r="N90" s="1408"/>
      <c r="O90" s="3158"/>
      <c r="P90" s="3158"/>
      <c r="Q90" s="803"/>
      <c r="R90" s="1324">
        <v>30942</v>
      </c>
    </row>
    <row r="91" spans="1:18">
      <c r="A91" s="63">
        <v>2000.1</v>
      </c>
      <c r="B91" s="58">
        <v>2782</v>
      </c>
      <c r="C91" s="3157"/>
      <c r="D91" s="136"/>
      <c r="E91" s="805">
        <v>5622</v>
      </c>
      <c r="F91" s="3158"/>
      <c r="G91" s="803"/>
      <c r="H91" s="805">
        <v>33588</v>
      </c>
      <c r="I91" s="3157"/>
      <c r="J91" s="803"/>
      <c r="K91" s="805">
        <v>57814</v>
      </c>
      <c r="L91" s="3158"/>
      <c r="M91" s="1350"/>
      <c r="N91" s="1408"/>
      <c r="O91" s="3158"/>
      <c r="P91" s="3158"/>
      <c r="Q91" s="803"/>
      <c r="R91" s="1324">
        <v>28878</v>
      </c>
    </row>
    <row r="92" spans="1:18">
      <c r="A92" s="63">
        <v>2000.11</v>
      </c>
      <c r="B92" s="58">
        <v>1797</v>
      </c>
      <c r="C92" s="3157"/>
      <c r="D92" s="136"/>
      <c r="E92" s="805">
        <v>5264</v>
      </c>
      <c r="F92" s="3158"/>
      <c r="G92" s="803"/>
      <c r="H92" s="805">
        <v>23625</v>
      </c>
      <c r="I92" s="3157"/>
      <c r="J92" s="803"/>
      <c r="K92" s="805">
        <v>57331</v>
      </c>
      <c r="L92" s="3158"/>
      <c r="M92" s="1350"/>
      <c r="N92" s="1408"/>
      <c r="O92" s="3158"/>
      <c r="P92" s="3158"/>
      <c r="Q92" s="803"/>
      <c r="R92" s="1324">
        <v>30175</v>
      </c>
    </row>
    <row r="93" spans="1:18">
      <c r="A93" s="63">
        <v>2000.12</v>
      </c>
      <c r="B93" s="58">
        <v>977</v>
      </c>
      <c r="C93" s="3157"/>
      <c r="D93" s="136"/>
      <c r="E93" s="805">
        <v>5858</v>
      </c>
      <c r="F93" s="3158"/>
      <c r="G93" s="803"/>
      <c r="H93" s="805">
        <v>16281</v>
      </c>
      <c r="I93" s="3157"/>
      <c r="J93" s="803"/>
      <c r="K93" s="805">
        <v>59760</v>
      </c>
      <c r="L93" s="3158"/>
      <c r="M93" s="1350"/>
      <c r="N93" s="1408"/>
      <c r="O93" s="3158"/>
      <c r="P93" s="3158"/>
      <c r="Q93" s="803"/>
      <c r="R93" s="1324">
        <v>25403</v>
      </c>
    </row>
    <row r="94" spans="1:18">
      <c r="A94" s="63">
        <v>2001.01</v>
      </c>
      <c r="B94" s="58">
        <v>3281</v>
      </c>
      <c r="C94" s="3157"/>
      <c r="D94" s="136"/>
      <c r="E94" s="805">
        <v>6172</v>
      </c>
      <c r="F94" s="3158"/>
      <c r="G94" s="803"/>
      <c r="H94" s="805">
        <v>36451</v>
      </c>
      <c r="I94" s="3157"/>
      <c r="J94" s="803"/>
      <c r="K94" s="805">
        <v>65600</v>
      </c>
      <c r="L94" s="3158"/>
      <c r="M94" s="1350"/>
      <c r="N94" s="1408"/>
      <c r="O94" s="3158"/>
      <c r="P94" s="3158"/>
      <c r="Q94" s="803"/>
      <c r="R94" s="1324">
        <v>12860</v>
      </c>
    </row>
    <row r="95" spans="1:18">
      <c r="A95" s="63">
        <v>2001.02</v>
      </c>
      <c r="B95" s="58">
        <v>1370</v>
      </c>
      <c r="C95" s="3157"/>
      <c r="D95" s="136"/>
      <c r="E95" s="805">
        <v>5258</v>
      </c>
      <c r="F95" s="3158"/>
      <c r="G95" s="803"/>
      <c r="H95" s="805">
        <v>16107</v>
      </c>
      <c r="I95" s="3157"/>
      <c r="J95" s="803"/>
      <c r="K95" s="805">
        <v>55785</v>
      </c>
      <c r="L95" s="3158"/>
      <c r="M95" s="1350"/>
      <c r="N95" s="1408"/>
      <c r="O95" s="3158"/>
      <c r="P95" s="3158"/>
      <c r="Q95" s="803"/>
      <c r="R95" s="1324">
        <v>14138</v>
      </c>
    </row>
    <row r="96" spans="1:18">
      <c r="A96" s="63">
        <v>2001.03</v>
      </c>
      <c r="B96" s="58">
        <v>1435</v>
      </c>
      <c r="C96" s="3157"/>
      <c r="D96" s="136"/>
      <c r="E96" s="805">
        <v>5266</v>
      </c>
      <c r="F96" s="3158"/>
      <c r="G96" s="803"/>
      <c r="H96" s="805">
        <v>17594</v>
      </c>
      <c r="I96" s="3157"/>
      <c r="J96" s="803"/>
      <c r="K96" s="805">
        <v>55036</v>
      </c>
      <c r="L96" s="3158"/>
      <c r="M96" s="1350"/>
      <c r="N96" s="1408"/>
      <c r="O96" s="3158"/>
      <c r="P96" s="3158"/>
      <c r="Q96" s="803"/>
      <c r="R96" s="1324">
        <v>24394</v>
      </c>
    </row>
    <row r="97" spans="1:18">
      <c r="A97" s="63">
        <v>2001.04</v>
      </c>
      <c r="B97" s="58">
        <v>1444</v>
      </c>
      <c r="C97" s="3157"/>
      <c r="D97" s="136"/>
      <c r="E97" s="805">
        <v>4838</v>
      </c>
      <c r="F97" s="3158"/>
      <c r="G97" s="803"/>
      <c r="H97" s="805">
        <v>17129</v>
      </c>
      <c r="I97" s="3157"/>
      <c r="J97" s="803"/>
      <c r="K97" s="805">
        <v>52744</v>
      </c>
      <c r="L97" s="3158"/>
      <c r="M97" s="1350"/>
      <c r="N97" s="1408"/>
      <c r="O97" s="3158"/>
      <c r="P97" s="3158"/>
      <c r="Q97" s="803"/>
      <c r="R97" s="1324">
        <v>26770</v>
      </c>
    </row>
    <row r="98" spans="1:18">
      <c r="A98" s="63">
        <v>2001.05</v>
      </c>
      <c r="B98" s="58">
        <v>1381</v>
      </c>
      <c r="C98" s="3157"/>
      <c r="D98" s="136"/>
      <c r="E98" s="805">
        <v>5236</v>
      </c>
      <c r="F98" s="3158"/>
      <c r="G98" s="803"/>
      <c r="H98" s="805">
        <v>17606</v>
      </c>
      <c r="I98" s="3157"/>
      <c r="J98" s="803"/>
      <c r="K98" s="805">
        <v>54053</v>
      </c>
      <c r="L98" s="3158"/>
      <c r="M98" s="1350"/>
      <c r="N98" s="1408"/>
      <c r="O98" s="3158"/>
      <c r="P98" s="3158"/>
      <c r="Q98" s="803"/>
      <c r="R98" s="1324">
        <v>28614</v>
      </c>
    </row>
    <row r="99" spans="1:18">
      <c r="A99" s="63">
        <v>2001.06</v>
      </c>
      <c r="B99" s="58">
        <v>1240</v>
      </c>
      <c r="C99" s="3157"/>
      <c r="D99" s="136"/>
      <c r="E99" s="805">
        <v>4734</v>
      </c>
      <c r="F99" s="3158"/>
      <c r="G99" s="803"/>
      <c r="H99" s="805">
        <v>15780</v>
      </c>
      <c r="I99" s="3157"/>
      <c r="J99" s="803"/>
      <c r="K99" s="805">
        <v>49348</v>
      </c>
      <c r="L99" s="3158"/>
      <c r="M99" s="1350"/>
      <c r="N99" s="1408"/>
      <c r="O99" s="3158"/>
      <c r="P99" s="3158"/>
      <c r="Q99" s="803"/>
      <c r="R99" s="1324">
        <v>25714</v>
      </c>
    </row>
    <row r="100" spans="1:18">
      <c r="A100" s="63">
        <v>2001.07</v>
      </c>
      <c r="B100" s="58">
        <v>1644</v>
      </c>
      <c r="C100" s="3157"/>
      <c r="D100" s="136"/>
      <c r="E100" s="805">
        <v>5415</v>
      </c>
      <c r="F100" s="3158"/>
      <c r="G100" s="803"/>
      <c r="H100" s="805">
        <v>18749</v>
      </c>
      <c r="I100" s="3157"/>
      <c r="J100" s="803"/>
      <c r="K100" s="805">
        <v>53854</v>
      </c>
      <c r="L100" s="3158"/>
      <c r="M100" s="1350"/>
      <c r="N100" s="1408"/>
      <c r="O100" s="3158"/>
      <c r="P100" s="3158"/>
      <c r="Q100" s="803"/>
      <c r="R100" s="1324">
        <v>23331</v>
      </c>
    </row>
    <row r="101" spans="1:18">
      <c r="A101" s="63">
        <v>2001.08</v>
      </c>
      <c r="B101" s="58">
        <v>1535</v>
      </c>
      <c r="C101" s="3157"/>
      <c r="D101" s="136"/>
      <c r="E101" s="805">
        <v>5801</v>
      </c>
      <c r="F101" s="3158"/>
      <c r="G101" s="803"/>
      <c r="H101" s="805">
        <v>17566</v>
      </c>
      <c r="I101" s="3157"/>
      <c r="J101" s="803"/>
      <c r="K101" s="805">
        <v>56510</v>
      </c>
      <c r="L101" s="3158"/>
      <c r="M101" s="1350"/>
      <c r="N101" s="1408"/>
      <c r="O101" s="3158"/>
      <c r="P101" s="3158"/>
      <c r="Q101" s="803"/>
      <c r="R101" s="1324">
        <v>19023</v>
      </c>
    </row>
    <row r="102" spans="1:18">
      <c r="A102" s="63">
        <v>2001.09</v>
      </c>
      <c r="B102" s="58">
        <v>1333</v>
      </c>
      <c r="C102" s="3157"/>
      <c r="D102" s="136"/>
      <c r="E102" s="805">
        <v>5221</v>
      </c>
      <c r="F102" s="3158"/>
      <c r="G102" s="803"/>
      <c r="H102" s="805">
        <v>15180</v>
      </c>
      <c r="I102" s="3157"/>
      <c r="J102" s="803"/>
      <c r="K102" s="805">
        <v>49511</v>
      </c>
      <c r="L102" s="3158"/>
      <c r="M102" s="1350"/>
      <c r="N102" s="1408"/>
      <c r="O102" s="3158"/>
      <c r="P102" s="3158"/>
      <c r="Q102" s="803"/>
      <c r="R102" s="1324">
        <v>16638</v>
      </c>
    </row>
    <row r="103" spans="1:18">
      <c r="A103" s="63">
        <v>2001.1</v>
      </c>
      <c r="B103" s="58">
        <v>1276</v>
      </c>
      <c r="C103" s="3157"/>
      <c r="D103" s="136"/>
      <c r="E103" s="805">
        <v>5113</v>
      </c>
      <c r="F103" s="3158"/>
      <c r="G103" s="803"/>
      <c r="H103" s="805">
        <v>14763</v>
      </c>
      <c r="I103" s="3157"/>
      <c r="J103" s="803"/>
      <c r="K103" s="805">
        <v>51010</v>
      </c>
      <c r="L103" s="3158"/>
      <c r="M103" s="1350"/>
      <c r="N103" s="1408"/>
      <c r="O103" s="3158"/>
      <c r="P103" s="3158"/>
      <c r="Q103" s="803"/>
      <c r="R103" s="1324">
        <v>18211</v>
      </c>
    </row>
    <row r="104" spans="1:18">
      <c r="A104" s="63">
        <v>2001.11</v>
      </c>
      <c r="B104" s="58">
        <v>1013</v>
      </c>
      <c r="C104" s="3157"/>
      <c r="D104" s="136"/>
      <c r="E104" s="805">
        <v>4725</v>
      </c>
      <c r="F104" s="3158"/>
      <c r="G104" s="803"/>
      <c r="H104" s="805">
        <v>12547</v>
      </c>
      <c r="I104" s="3157"/>
      <c r="J104" s="803"/>
      <c r="K104" s="805">
        <v>47396</v>
      </c>
      <c r="L104" s="3158"/>
      <c r="M104" s="1350"/>
      <c r="N104" s="1408"/>
      <c r="O104" s="3158"/>
      <c r="P104" s="3158"/>
      <c r="Q104" s="803"/>
      <c r="R104" s="1324">
        <v>17164</v>
      </c>
    </row>
    <row r="105" spans="1:18">
      <c r="A105" s="63">
        <v>2001.12</v>
      </c>
      <c r="B105" s="58">
        <v>487</v>
      </c>
      <c r="C105" s="3157"/>
      <c r="D105" s="136"/>
      <c r="E105" s="805">
        <v>3405</v>
      </c>
      <c r="F105" s="3158"/>
      <c r="G105" s="803"/>
      <c r="H105" s="805">
        <v>7181</v>
      </c>
      <c r="I105" s="3157"/>
      <c r="J105" s="803"/>
      <c r="K105" s="805">
        <v>33874</v>
      </c>
      <c r="L105" s="3158"/>
      <c r="M105" s="1350"/>
      <c r="N105" s="1408"/>
      <c r="O105" s="3158"/>
      <c r="P105" s="3158"/>
      <c r="Q105" s="803"/>
      <c r="R105" s="1324">
        <v>7646</v>
      </c>
    </row>
    <row r="106" spans="1:18">
      <c r="A106" s="63">
        <v>2002.01</v>
      </c>
      <c r="B106" s="58">
        <v>1472</v>
      </c>
      <c r="C106" s="3157"/>
      <c r="D106" s="136"/>
      <c r="E106" s="805">
        <v>3304</v>
      </c>
      <c r="F106" s="3158"/>
      <c r="G106" s="803"/>
      <c r="H106" s="805">
        <v>16382</v>
      </c>
      <c r="I106" s="3157"/>
      <c r="J106" s="803"/>
      <c r="K106" s="805">
        <v>36613</v>
      </c>
      <c r="L106" s="3158"/>
      <c r="M106" s="1350"/>
      <c r="N106" s="1408"/>
      <c r="O106" s="3158"/>
      <c r="P106" s="3158"/>
      <c r="Q106" s="803"/>
      <c r="R106" s="1324">
        <v>4416</v>
      </c>
    </row>
    <row r="107" spans="1:18">
      <c r="A107" s="63">
        <v>2002.02</v>
      </c>
      <c r="B107" s="58">
        <v>756</v>
      </c>
      <c r="C107" s="3157"/>
      <c r="D107" s="136"/>
      <c r="E107" s="805">
        <v>3230</v>
      </c>
      <c r="F107" s="3158"/>
      <c r="G107" s="803"/>
      <c r="H107" s="805">
        <v>8812</v>
      </c>
      <c r="I107" s="3157"/>
      <c r="J107" s="803"/>
      <c r="K107" s="805">
        <v>34038</v>
      </c>
      <c r="L107" s="3158"/>
      <c r="M107" s="1350"/>
      <c r="N107" s="1408"/>
      <c r="O107" s="3158"/>
      <c r="P107" s="3158"/>
      <c r="Q107" s="803"/>
      <c r="R107" s="1324">
        <v>7818</v>
      </c>
    </row>
    <row r="108" spans="1:18">
      <c r="A108" s="63">
        <v>2002.03</v>
      </c>
      <c r="B108" s="58">
        <v>1273</v>
      </c>
      <c r="C108" s="3157"/>
      <c r="D108" s="136"/>
      <c r="E108" s="805">
        <v>3727</v>
      </c>
      <c r="F108" s="3158"/>
      <c r="G108" s="803"/>
      <c r="H108" s="805">
        <v>13497</v>
      </c>
      <c r="I108" s="3157"/>
      <c r="J108" s="803"/>
      <c r="K108" s="805">
        <v>39399</v>
      </c>
      <c r="L108" s="3158"/>
      <c r="M108" s="1350"/>
      <c r="N108" s="1408"/>
      <c r="O108" s="3158"/>
      <c r="P108" s="3158"/>
      <c r="Q108" s="803"/>
      <c r="R108" s="2097">
        <v>11155</v>
      </c>
    </row>
    <row r="109" spans="1:18">
      <c r="A109" s="63">
        <v>2002.04</v>
      </c>
      <c r="B109" s="58">
        <v>1236</v>
      </c>
      <c r="C109" s="3157"/>
      <c r="D109" s="136"/>
      <c r="E109" s="805">
        <v>4168</v>
      </c>
      <c r="F109" s="3158"/>
      <c r="G109" s="803"/>
      <c r="H109" s="805">
        <v>13641</v>
      </c>
      <c r="I109" s="3157"/>
      <c r="J109" s="803"/>
      <c r="K109" s="805">
        <v>46068</v>
      </c>
      <c r="L109" s="3158"/>
      <c r="M109" s="1350"/>
      <c r="N109" s="1408"/>
      <c r="O109" s="3158"/>
      <c r="P109" s="3158"/>
      <c r="Q109" s="803"/>
      <c r="R109" s="2097">
        <v>16473</v>
      </c>
    </row>
    <row r="110" spans="1:18">
      <c r="A110" s="63">
        <v>2002.05</v>
      </c>
      <c r="B110" s="58">
        <v>853</v>
      </c>
      <c r="C110" s="3157"/>
      <c r="D110" s="136"/>
      <c r="E110" s="805">
        <v>5231</v>
      </c>
      <c r="F110" s="3158"/>
      <c r="G110" s="803"/>
      <c r="H110" s="805">
        <v>10255</v>
      </c>
      <c r="I110" s="3157"/>
      <c r="J110" s="803"/>
      <c r="K110" s="805">
        <v>54093</v>
      </c>
      <c r="L110" s="3158"/>
      <c r="M110" s="1350"/>
      <c r="N110" s="1408"/>
      <c r="O110" s="3158"/>
      <c r="P110" s="3158"/>
      <c r="Q110" s="803"/>
      <c r="R110" s="2097">
        <v>15247</v>
      </c>
    </row>
    <row r="111" spans="1:18">
      <c r="A111" s="63">
        <v>2002.06</v>
      </c>
      <c r="B111" s="58">
        <v>410</v>
      </c>
      <c r="C111" s="3157"/>
      <c r="D111" s="136"/>
      <c r="E111" s="805">
        <v>4437</v>
      </c>
      <c r="F111" s="3158"/>
      <c r="G111" s="803"/>
      <c r="H111" s="805">
        <v>4412</v>
      </c>
      <c r="I111" s="3157"/>
      <c r="J111" s="803"/>
      <c r="K111" s="805">
        <v>45095</v>
      </c>
      <c r="L111" s="3158"/>
      <c r="M111" s="1350"/>
      <c r="N111" s="1408"/>
      <c r="O111" s="3158"/>
      <c r="P111" s="3158"/>
      <c r="Q111" s="803"/>
      <c r="R111" s="2097">
        <v>13887</v>
      </c>
    </row>
    <row r="112" spans="1:18">
      <c r="A112" s="63">
        <v>2002.07</v>
      </c>
      <c r="B112" s="58">
        <v>641</v>
      </c>
      <c r="C112" s="3157"/>
      <c r="D112" s="136"/>
      <c r="E112" s="805">
        <v>5711</v>
      </c>
      <c r="F112" s="3158"/>
      <c r="G112" s="803"/>
      <c r="H112" s="805">
        <v>5597</v>
      </c>
      <c r="I112" s="3157"/>
      <c r="J112" s="803"/>
      <c r="K112" s="805">
        <v>57367</v>
      </c>
      <c r="L112" s="3158"/>
      <c r="M112" s="1350"/>
      <c r="N112" s="1408"/>
      <c r="O112" s="3158"/>
      <c r="P112" s="3158"/>
      <c r="Q112" s="803"/>
      <c r="R112" s="1324">
        <v>15830</v>
      </c>
    </row>
    <row r="113" spans="1:18">
      <c r="A113" s="63">
        <v>2002.08</v>
      </c>
      <c r="B113" s="58">
        <v>737</v>
      </c>
      <c r="C113" s="3157"/>
      <c r="D113" s="136"/>
      <c r="E113" s="805">
        <v>6070</v>
      </c>
      <c r="F113" s="3158"/>
      <c r="G113" s="803"/>
      <c r="H113" s="805">
        <v>5993</v>
      </c>
      <c r="I113" s="3157"/>
      <c r="J113" s="803"/>
      <c r="K113" s="805">
        <v>57719</v>
      </c>
      <c r="L113" s="3158"/>
      <c r="M113" s="1350"/>
      <c r="N113" s="1408"/>
      <c r="O113" s="3158"/>
      <c r="P113" s="3158"/>
      <c r="Q113" s="803"/>
      <c r="R113" s="1324">
        <v>15238</v>
      </c>
    </row>
    <row r="114" spans="1:18">
      <c r="A114" s="63">
        <v>2002.09</v>
      </c>
      <c r="B114" s="58">
        <v>632</v>
      </c>
      <c r="C114" s="3157"/>
      <c r="D114" s="136"/>
      <c r="E114" s="805">
        <v>6195</v>
      </c>
      <c r="F114" s="3158"/>
      <c r="G114" s="803"/>
      <c r="H114" s="805">
        <v>5898</v>
      </c>
      <c r="I114" s="3157"/>
      <c r="J114" s="803"/>
      <c r="K114" s="805">
        <v>59192</v>
      </c>
      <c r="L114" s="3158"/>
      <c r="M114" s="1350"/>
      <c r="N114" s="1408"/>
      <c r="O114" s="3158"/>
      <c r="P114" s="3158"/>
      <c r="Q114" s="803"/>
      <c r="R114" s="1324">
        <v>15721</v>
      </c>
    </row>
    <row r="115" spans="1:18">
      <c r="A115" s="63">
        <v>2002.1</v>
      </c>
      <c r="B115" s="58">
        <v>724</v>
      </c>
      <c r="C115" s="3157"/>
      <c r="D115" s="136"/>
      <c r="E115" s="805">
        <v>6587</v>
      </c>
      <c r="F115" s="3158"/>
      <c r="G115" s="803"/>
      <c r="H115" s="805">
        <v>6226</v>
      </c>
      <c r="I115" s="3157"/>
      <c r="J115" s="803"/>
      <c r="K115" s="805">
        <v>61473</v>
      </c>
      <c r="L115" s="3158"/>
      <c r="M115" s="1350"/>
      <c r="N115" s="1408"/>
      <c r="O115" s="3158"/>
      <c r="P115" s="3158"/>
      <c r="Q115" s="803"/>
      <c r="R115" s="1324">
        <v>16124</v>
      </c>
    </row>
    <row r="116" spans="1:18">
      <c r="A116" s="63">
        <v>2002.11</v>
      </c>
      <c r="B116" s="58">
        <v>511</v>
      </c>
      <c r="C116" s="3157"/>
      <c r="D116" s="136"/>
      <c r="E116" s="805">
        <v>6019</v>
      </c>
      <c r="F116" s="3158"/>
      <c r="G116" s="803"/>
      <c r="H116" s="805">
        <v>5095</v>
      </c>
      <c r="I116" s="3157"/>
      <c r="J116" s="803"/>
      <c r="K116" s="805">
        <v>58352</v>
      </c>
      <c r="L116" s="3158"/>
      <c r="M116" s="1350"/>
      <c r="N116" s="1408"/>
      <c r="O116" s="3158"/>
      <c r="P116" s="3158"/>
      <c r="Q116" s="803"/>
      <c r="R116" s="1324">
        <v>15787</v>
      </c>
    </row>
    <row r="117" spans="1:18">
      <c r="A117" s="63">
        <v>2002.12</v>
      </c>
      <c r="B117" s="58">
        <v>623</v>
      </c>
      <c r="C117" s="3157"/>
      <c r="D117" s="136"/>
      <c r="E117" s="805">
        <v>6467</v>
      </c>
      <c r="F117" s="3158"/>
      <c r="G117" s="803"/>
      <c r="H117" s="805">
        <v>5423</v>
      </c>
      <c r="I117" s="3157"/>
      <c r="J117" s="803"/>
      <c r="K117" s="805">
        <v>60745</v>
      </c>
      <c r="L117" s="3158"/>
      <c r="M117" s="1350"/>
      <c r="N117" s="1408"/>
      <c r="O117" s="3158"/>
      <c r="P117" s="3158"/>
      <c r="Q117" s="803"/>
      <c r="R117" s="1324">
        <v>11705</v>
      </c>
    </row>
    <row r="118" spans="1:18">
      <c r="A118" s="63">
        <v>2003.01</v>
      </c>
      <c r="B118" s="58">
        <v>1842</v>
      </c>
      <c r="C118" s="3157"/>
      <c r="D118" s="136"/>
      <c r="E118" s="805">
        <v>7525</v>
      </c>
      <c r="F118" s="3158"/>
      <c r="G118" s="803"/>
      <c r="H118" s="805">
        <v>14503</v>
      </c>
      <c r="I118" s="3157"/>
      <c r="J118" s="803"/>
      <c r="K118" s="805">
        <v>68690</v>
      </c>
      <c r="L118" s="3158"/>
      <c r="M118" s="1350"/>
      <c r="N118" s="1408"/>
      <c r="O118" s="3158"/>
      <c r="P118" s="3158"/>
      <c r="Q118" s="803"/>
      <c r="R118" s="1324">
        <v>8919</v>
      </c>
    </row>
    <row r="119" spans="1:18">
      <c r="A119" s="63">
        <v>2003.02</v>
      </c>
      <c r="B119" s="58">
        <v>750</v>
      </c>
      <c r="C119" s="3157"/>
      <c r="D119" s="136"/>
      <c r="E119" s="805">
        <v>5454</v>
      </c>
      <c r="F119" s="3158"/>
      <c r="G119" s="803"/>
      <c r="H119" s="805">
        <v>6749</v>
      </c>
      <c r="I119" s="3157"/>
      <c r="J119" s="803"/>
      <c r="K119" s="805">
        <v>54266</v>
      </c>
      <c r="L119" s="3158"/>
      <c r="M119" s="1350"/>
      <c r="N119" s="1408"/>
      <c r="O119" s="3158"/>
      <c r="P119" s="3158"/>
      <c r="Q119" s="803"/>
      <c r="R119" s="1324">
        <v>9909</v>
      </c>
    </row>
    <row r="120" spans="1:18">
      <c r="A120" s="63">
        <v>2003.03</v>
      </c>
      <c r="B120" s="58">
        <v>790</v>
      </c>
      <c r="C120" s="3157"/>
      <c r="D120" s="136"/>
      <c r="E120" s="805">
        <v>6137</v>
      </c>
      <c r="F120" s="3158"/>
      <c r="G120" s="803"/>
      <c r="H120" s="805">
        <v>7503</v>
      </c>
      <c r="I120" s="3157"/>
      <c r="J120" s="803"/>
      <c r="K120" s="805">
        <v>59109</v>
      </c>
      <c r="L120" s="3158"/>
      <c r="M120" s="1350"/>
      <c r="N120" s="1408"/>
      <c r="O120" s="3158"/>
      <c r="P120" s="3158"/>
      <c r="Q120" s="803"/>
      <c r="R120" s="1324">
        <v>13911</v>
      </c>
    </row>
    <row r="121" spans="1:18">
      <c r="A121" s="63">
        <v>2003.04</v>
      </c>
      <c r="B121" s="58">
        <v>1016</v>
      </c>
      <c r="C121" s="3157"/>
      <c r="D121" s="136"/>
      <c r="E121" s="805">
        <v>6187</v>
      </c>
      <c r="F121" s="3158"/>
      <c r="G121" s="803"/>
      <c r="H121" s="805">
        <v>9271</v>
      </c>
      <c r="I121" s="3157"/>
      <c r="J121" s="803"/>
      <c r="K121" s="805">
        <v>63573</v>
      </c>
      <c r="L121" s="3158"/>
      <c r="M121" s="1350"/>
      <c r="N121" s="1408"/>
      <c r="O121" s="3158"/>
      <c r="P121" s="3158"/>
      <c r="Q121" s="803"/>
      <c r="R121" s="1324">
        <v>15559</v>
      </c>
    </row>
    <row r="122" spans="1:18">
      <c r="A122" s="63">
        <v>2003.05</v>
      </c>
      <c r="B122" s="58">
        <v>1175</v>
      </c>
      <c r="C122" s="3157"/>
      <c r="D122" s="136"/>
      <c r="E122" s="805">
        <v>6149</v>
      </c>
      <c r="F122" s="3158"/>
      <c r="G122" s="803"/>
      <c r="H122" s="805">
        <v>10842</v>
      </c>
      <c r="I122" s="3157"/>
      <c r="J122" s="803"/>
      <c r="K122" s="805">
        <v>62734</v>
      </c>
      <c r="L122" s="3158"/>
      <c r="M122" s="1350"/>
      <c r="N122" s="1408"/>
      <c r="O122" s="3158"/>
      <c r="P122" s="3158"/>
      <c r="Q122" s="803"/>
      <c r="R122" s="1324">
        <v>14106</v>
      </c>
    </row>
    <row r="123" spans="1:18">
      <c r="A123" s="63">
        <v>2003.06</v>
      </c>
      <c r="B123" s="58">
        <v>1397</v>
      </c>
      <c r="C123" s="3157"/>
      <c r="D123" s="136"/>
      <c r="E123" s="805">
        <v>6322</v>
      </c>
      <c r="F123" s="3158"/>
      <c r="G123" s="803"/>
      <c r="H123" s="805">
        <v>11380</v>
      </c>
      <c r="I123" s="3157"/>
      <c r="J123" s="803"/>
      <c r="K123" s="805">
        <v>61478</v>
      </c>
      <c r="L123" s="3158"/>
      <c r="M123" s="1350"/>
      <c r="N123" s="1408"/>
      <c r="O123" s="3158"/>
      <c r="P123" s="3158"/>
      <c r="Q123" s="803"/>
      <c r="R123" s="1324">
        <v>13728</v>
      </c>
    </row>
    <row r="124" spans="1:18">
      <c r="A124" s="63">
        <v>2003.07</v>
      </c>
      <c r="B124" s="58">
        <v>1677</v>
      </c>
      <c r="C124" s="3157"/>
      <c r="D124" s="136"/>
      <c r="E124" s="805">
        <v>8161</v>
      </c>
      <c r="F124" s="3158"/>
      <c r="G124" s="803"/>
      <c r="H124" s="805">
        <v>13759</v>
      </c>
      <c r="I124" s="3157"/>
      <c r="J124" s="803"/>
      <c r="K124" s="805">
        <v>77197</v>
      </c>
      <c r="L124" s="3158"/>
      <c r="M124" s="1350"/>
      <c r="N124" s="1408"/>
      <c r="O124" s="3158"/>
      <c r="P124" s="3158"/>
      <c r="Q124" s="803"/>
      <c r="R124" s="1324">
        <v>12138</v>
      </c>
    </row>
    <row r="125" spans="1:18">
      <c r="A125" s="63">
        <v>2003.08</v>
      </c>
      <c r="B125" s="58">
        <v>1610</v>
      </c>
      <c r="C125" s="3157"/>
      <c r="D125" s="136"/>
      <c r="E125" s="805">
        <v>7561</v>
      </c>
      <c r="F125" s="3158"/>
      <c r="G125" s="803"/>
      <c r="H125" s="805">
        <v>13429</v>
      </c>
      <c r="I125" s="3157"/>
      <c r="J125" s="803"/>
      <c r="K125" s="805">
        <v>71338</v>
      </c>
      <c r="L125" s="3158"/>
      <c r="M125" s="1350"/>
      <c r="N125" s="1408"/>
      <c r="O125" s="3158"/>
      <c r="P125" s="3158"/>
      <c r="Q125" s="803"/>
      <c r="R125" s="1324">
        <v>15355</v>
      </c>
    </row>
    <row r="126" spans="1:18">
      <c r="A126" s="63">
        <v>2003.09</v>
      </c>
      <c r="B126" s="58">
        <v>1842</v>
      </c>
      <c r="C126" s="3157"/>
      <c r="D126" s="136"/>
      <c r="E126" s="805">
        <v>7990</v>
      </c>
      <c r="F126" s="3158"/>
      <c r="G126" s="803"/>
      <c r="H126" s="805">
        <v>15537</v>
      </c>
      <c r="I126" s="3157"/>
      <c r="J126" s="803"/>
      <c r="K126" s="805">
        <v>75489</v>
      </c>
      <c r="L126" s="3158"/>
      <c r="M126" s="1350"/>
      <c r="N126" s="1408"/>
      <c r="O126" s="3158"/>
      <c r="P126" s="3158"/>
      <c r="Q126" s="803"/>
      <c r="R126" s="1324">
        <v>16391</v>
      </c>
    </row>
    <row r="127" spans="1:18">
      <c r="A127" s="63">
        <v>2003.1</v>
      </c>
      <c r="B127" s="58">
        <v>2034</v>
      </c>
      <c r="C127" s="3157"/>
      <c r="D127" s="136"/>
      <c r="E127" s="805">
        <v>8143</v>
      </c>
      <c r="F127" s="3158"/>
      <c r="G127" s="803"/>
      <c r="H127" s="805">
        <v>17340</v>
      </c>
      <c r="I127" s="3157"/>
      <c r="J127" s="803"/>
      <c r="K127" s="805">
        <v>76204</v>
      </c>
      <c r="L127" s="3158"/>
      <c r="M127" s="1350"/>
      <c r="N127" s="1408"/>
      <c r="O127" s="3158"/>
      <c r="P127" s="3158"/>
      <c r="Q127" s="803"/>
      <c r="R127" s="1324">
        <v>16757</v>
      </c>
    </row>
    <row r="128" spans="1:18">
      <c r="A128" s="63">
        <v>2003.11</v>
      </c>
      <c r="B128" s="58">
        <v>1639</v>
      </c>
      <c r="C128" s="3157"/>
      <c r="D128" s="136"/>
      <c r="E128" s="805">
        <v>7186</v>
      </c>
      <c r="F128" s="3158"/>
      <c r="G128" s="803"/>
      <c r="H128" s="805">
        <v>13859</v>
      </c>
      <c r="I128" s="3157"/>
      <c r="J128" s="803"/>
      <c r="K128" s="805">
        <v>67080</v>
      </c>
      <c r="L128" s="3158"/>
      <c r="M128" s="1350"/>
      <c r="N128" s="1408"/>
      <c r="O128" s="3158"/>
      <c r="P128" s="3158"/>
      <c r="Q128" s="803"/>
      <c r="R128" s="1324">
        <v>19403</v>
      </c>
    </row>
    <row r="129" spans="1:19">
      <c r="A129" s="63">
        <v>2003.12</v>
      </c>
      <c r="B129" s="58">
        <v>1329</v>
      </c>
      <c r="C129" s="3157"/>
      <c r="D129" s="136"/>
      <c r="E129" s="805">
        <v>7408</v>
      </c>
      <c r="F129" s="3158"/>
      <c r="G129" s="803"/>
      <c r="H129" s="805">
        <v>11875</v>
      </c>
      <c r="I129" s="3157"/>
      <c r="J129" s="803"/>
      <c r="K129" s="805">
        <v>68164</v>
      </c>
      <c r="L129" s="3158"/>
      <c r="M129" s="1350"/>
      <c r="N129" s="1408"/>
      <c r="O129" s="3158"/>
      <c r="P129" s="3158"/>
      <c r="Q129" s="803"/>
      <c r="R129" s="1324">
        <v>13464</v>
      </c>
    </row>
    <row r="130" spans="1:19">
      <c r="A130" s="63">
        <v>2004.01</v>
      </c>
      <c r="B130" s="58">
        <v>4123</v>
      </c>
      <c r="C130" s="3157"/>
      <c r="D130" s="136"/>
      <c r="E130" s="805">
        <v>8211</v>
      </c>
      <c r="F130" s="3158"/>
      <c r="G130" s="803"/>
      <c r="H130" s="805">
        <v>32743</v>
      </c>
      <c r="I130" s="3157"/>
      <c r="J130" s="803"/>
      <c r="K130" s="805">
        <v>74149</v>
      </c>
      <c r="L130" s="3158"/>
      <c r="M130" s="1350"/>
      <c r="N130" s="1408"/>
      <c r="O130" s="3158"/>
      <c r="P130" s="3158"/>
      <c r="Q130" s="803"/>
      <c r="R130" s="1324">
        <v>12039</v>
      </c>
    </row>
    <row r="131" spans="1:19">
      <c r="A131" s="63">
        <v>2004.02</v>
      </c>
      <c r="B131" s="58">
        <v>2346</v>
      </c>
      <c r="C131" s="3157"/>
      <c r="D131" s="136"/>
      <c r="E131" s="805">
        <v>7508</v>
      </c>
      <c r="F131" s="3158"/>
      <c r="G131" s="803"/>
      <c r="H131" s="805">
        <v>19075</v>
      </c>
      <c r="I131" s="3157"/>
      <c r="J131" s="803"/>
      <c r="K131" s="805">
        <v>67065</v>
      </c>
      <c r="L131" s="3158"/>
      <c r="M131" s="1350"/>
      <c r="N131" s="1408"/>
      <c r="O131" s="3158"/>
      <c r="P131" s="3158"/>
      <c r="Q131" s="803"/>
      <c r="R131" s="1324">
        <v>14152</v>
      </c>
    </row>
    <row r="132" spans="1:19">
      <c r="A132" s="63">
        <v>2004.03</v>
      </c>
      <c r="B132" s="58">
        <v>2818</v>
      </c>
      <c r="C132" s="3157"/>
      <c r="D132" s="136"/>
      <c r="E132" s="805">
        <v>8724</v>
      </c>
      <c r="F132" s="3158"/>
      <c r="G132" s="803"/>
      <c r="H132" s="805">
        <v>23929</v>
      </c>
      <c r="I132" s="3157"/>
      <c r="J132" s="803"/>
      <c r="K132" s="805">
        <v>81298</v>
      </c>
      <c r="L132" s="3158"/>
      <c r="M132" s="1350"/>
      <c r="N132" s="1408"/>
      <c r="O132" s="3158"/>
      <c r="P132" s="3158"/>
      <c r="Q132" s="803"/>
      <c r="R132" s="1324">
        <v>22190</v>
      </c>
    </row>
    <row r="133" spans="1:19">
      <c r="A133" s="63">
        <v>2004.04</v>
      </c>
      <c r="B133" s="58">
        <v>2827</v>
      </c>
      <c r="C133" s="3157"/>
      <c r="D133" s="136"/>
      <c r="E133" s="805">
        <v>7305</v>
      </c>
      <c r="F133" s="3158"/>
      <c r="G133" s="803"/>
      <c r="H133" s="805">
        <v>22806</v>
      </c>
      <c r="I133" s="3157"/>
      <c r="J133" s="803"/>
      <c r="K133" s="805">
        <v>70834</v>
      </c>
      <c r="L133" s="3158"/>
      <c r="M133" s="1350"/>
      <c r="N133" s="1408"/>
      <c r="O133" s="3158"/>
      <c r="P133" s="3158"/>
      <c r="Q133" s="803"/>
      <c r="R133" s="1324">
        <v>20542</v>
      </c>
    </row>
    <row r="134" spans="1:19">
      <c r="A134" s="63">
        <v>2004.05</v>
      </c>
      <c r="B134" s="58">
        <v>2944</v>
      </c>
      <c r="C134" s="3157"/>
      <c r="D134" s="136"/>
      <c r="E134" s="805">
        <v>7593</v>
      </c>
      <c r="F134" s="3158"/>
      <c r="G134" s="803"/>
      <c r="H134" s="805">
        <v>23503</v>
      </c>
      <c r="I134" s="3157"/>
      <c r="J134" s="803"/>
      <c r="K134" s="805">
        <v>71157</v>
      </c>
      <c r="L134" s="3158"/>
      <c r="M134" s="1350"/>
      <c r="N134" s="1408"/>
      <c r="O134" s="3158"/>
      <c r="P134" s="3158"/>
      <c r="Q134" s="803"/>
      <c r="R134" s="1324">
        <v>21513</v>
      </c>
    </row>
    <row r="135" spans="1:19">
      <c r="A135" s="63">
        <v>2004.06</v>
      </c>
      <c r="B135" s="58">
        <v>2811</v>
      </c>
      <c r="C135" s="3157"/>
      <c r="D135" s="136"/>
      <c r="E135" s="805">
        <v>8356</v>
      </c>
      <c r="F135" s="3158"/>
      <c r="G135" s="803"/>
      <c r="H135" s="805">
        <v>24901</v>
      </c>
      <c r="I135" s="3157"/>
      <c r="J135" s="803"/>
      <c r="K135" s="805">
        <v>75146</v>
      </c>
      <c r="L135" s="3158"/>
      <c r="M135" s="1350"/>
      <c r="N135" s="1408"/>
      <c r="O135" s="3158"/>
      <c r="P135" s="3158"/>
      <c r="Q135" s="803"/>
      <c r="R135" s="1324">
        <v>22471</v>
      </c>
    </row>
    <row r="136" spans="1:19">
      <c r="A136" s="63">
        <v>2004.07</v>
      </c>
      <c r="B136" s="58">
        <v>3224</v>
      </c>
      <c r="C136" s="3157"/>
      <c r="D136" s="136"/>
      <c r="E136" s="805">
        <v>8662</v>
      </c>
      <c r="F136" s="3158"/>
      <c r="G136" s="803"/>
      <c r="H136" s="805">
        <v>28193</v>
      </c>
      <c r="I136" s="3157"/>
      <c r="J136" s="803"/>
      <c r="K136" s="805">
        <v>80172</v>
      </c>
      <c r="L136" s="3158"/>
      <c r="M136" s="1350"/>
      <c r="N136" s="1408"/>
      <c r="O136" s="3158"/>
      <c r="P136" s="3158"/>
      <c r="Q136" s="803"/>
      <c r="R136" s="1324">
        <v>21203</v>
      </c>
    </row>
    <row r="137" spans="1:19">
      <c r="A137" s="63">
        <v>2004.08</v>
      </c>
      <c r="B137" s="58">
        <v>2924</v>
      </c>
      <c r="C137" s="3157"/>
      <c r="D137" s="136"/>
      <c r="E137" s="805">
        <v>8888</v>
      </c>
      <c r="F137" s="3158"/>
      <c r="G137" s="803"/>
      <c r="H137" s="805">
        <v>28226</v>
      </c>
      <c r="I137" s="3157"/>
      <c r="J137" s="803"/>
      <c r="K137" s="805">
        <v>82810</v>
      </c>
      <c r="L137" s="3158"/>
      <c r="M137" s="1350"/>
      <c r="N137" s="1408"/>
      <c r="O137" s="3158"/>
      <c r="P137" s="3158"/>
      <c r="Q137" s="803"/>
      <c r="R137" s="1324">
        <v>23568</v>
      </c>
    </row>
    <row r="138" spans="1:19">
      <c r="A138" s="63">
        <v>2004.09</v>
      </c>
      <c r="B138" s="58">
        <v>3067</v>
      </c>
      <c r="C138" s="3157"/>
      <c r="D138" s="136"/>
      <c r="E138" s="805">
        <v>8889</v>
      </c>
      <c r="F138" s="3158"/>
      <c r="G138" s="803"/>
      <c r="H138" s="805">
        <v>28411</v>
      </c>
      <c r="I138" s="3157"/>
      <c r="J138" s="803"/>
      <c r="K138" s="805">
        <v>83761</v>
      </c>
      <c r="L138" s="3158"/>
      <c r="M138" s="1350"/>
      <c r="N138" s="1408"/>
      <c r="O138" s="3158"/>
      <c r="P138" s="3158"/>
      <c r="Q138" s="803"/>
      <c r="R138" s="1324">
        <v>25635</v>
      </c>
    </row>
    <row r="139" spans="1:19">
      <c r="A139" s="63">
        <v>2004.1</v>
      </c>
      <c r="B139" s="58">
        <v>2483</v>
      </c>
      <c r="C139" s="3157"/>
      <c r="D139" s="136"/>
      <c r="E139" s="805">
        <v>7705</v>
      </c>
      <c r="F139" s="3158"/>
      <c r="G139" s="803"/>
      <c r="H139" s="805">
        <v>24790</v>
      </c>
      <c r="I139" s="3157"/>
      <c r="J139" s="803"/>
      <c r="K139" s="805">
        <v>75972</v>
      </c>
      <c r="L139" s="3158"/>
      <c r="M139" s="1350"/>
      <c r="N139" s="1408"/>
      <c r="O139" s="3158"/>
      <c r="P139" s="3158"/>
      <c r="Q139" s="803"/>
      <c r="R139" s="1324">
        <v>25459</v>
      </c>
      <c r="S139" s="1321"/>
    </row>
    <row r="140" spans="1:19">
      <c r="A140" s="63">
        <v>2004.11</v>
      </c>
      <c r="B140" s="58">
        <v>2198</v>
      </c>
      <c r="C140" s="3157"/>
      <c r="D140" s="136"/>
      <c r="E140" s="805">
        <v>8360</v>
      </c>
      <c r="F140" s="3158"/>
      <c r="G140" s="803"/>
      <c r="H140" s="805">
        <v>23267</v>
      </c>
      <c r="I140" s="3157"/>
      <c r="J140" s="803"/>
      <c r="K140" s="805">
        <v>83529</v>
      </c>
      <c r="L140" s="3158"/>
      <c r="M140" s="1350"/>
      <c r="N140" s="1408"/>
      <c r="O140" s="3158"/>
      <c r="P140" s="3158"/>
      <c r="Q140" s="803"/>
      <c r="R140" s="1324">
        <v>28861</v>
      </c>
      <c r="S140" s="1321"/>
    </row>
    <row r="141" spans="1:19">
      <c r="A141" s="63">
        <v>2004.12</v>
      </c>
      <c r="B141" s="58">
        <v>909</v>
      </c>
      <c r="C141" s="3157"/>
      <c r="D141" s="136"/>
      <c r="E141" s="805">
        <v>8325</v>
      </c>
      <c r="F141" s="3158"/>
      <c r="G141" s="803"/>
      <c r="H141" s="805">
        <v>12635</v>
      </c>
      <c r="I141" s="3157"/>
      <c r="J141" s="803"/>
      <c r="K141" s="805">
        <v>82984</v>
      </c>
      <c r="L141" s="3158"/>
      <c r="M141" s="1350"/>
      <c r="N141" s="1408"/>
      <c r="O141" s="3158"/>
      <c r="P141" s="3158"/>
      <c r="Q141" s="803"/>
      <c r="R141" s="1324">
        <v>22787</v>
      </c>
      <c r="S141" s="1321"/>
    </row>
    <row r="142" spans="1:19">
      <c r="A142" s="63">
        <v>2005.01</v>
      </c>
      <c r="B142" s="58">
        <v>5828</v>
      </c>
      <c r="C142" s="3157"/>
      <c r="D142" s="136"/>
      <c r="E142" s="805">
        <v>7653</v>
      </c>
      <c r="F142" s="3158"/>
      <c r="G142" s="803"/>
      <c r="H142" s="805">
        <v>53721</v>
      </c>
      <c r="I142" s="3157"/>
      <c r="J142" s="803"/>
      <c r="K142" s="805">
        <v>77883</v>
      </c>
      <c r="L142" s="3158"/>
      <c r="M142" s="1350"/>
      <c r="N142" s="1408"/>
      <c r="O142" s="3158"/>
      <c r="P142" s="3158"/>
      <c r="Q142" s="803"/>
      <c r="R142" s="1324">
        <v>21543</v>
      </c>
      <c r="S142" s="1321"/>
    </row>
    <row r="143" spans="1:19">
      <c r="A143" s="63">
        <v>2005.02</v>
      </c>
      <c r="B143" s="58">
        <v>2768</v>
      </c>
      <c r="C143" s="3157"/>
      <c r="D143" s="136"/>
      <c r="E143" s="805">
        <v>7413</v>
      </c>
      <c r="F143" s="3158"/>
      <c r="G143" s="803"/>
      <c r="H143" s="805">
        <v>27129</v>
      </c>
      <c r="I143" s="3157"/>
      <c r="J143" s="803"/>
      <c r="K143" s="805">
        <v>74863</v>
      </c>
      <c r="L143" s="3158"/>
      <c r="M143" s="1350"/>
      <c r="N143" s="1408"/>
      <c r="O143" s="3158"/>
      <c r="P143" s="3158"/>
      <c r="Q143" s="803"/>
      <c r="R143" s="1324">
        <v>12871</v>
      </c>
      <c r="S143" s="1321"/>
    </row>
    <row r="144" spans="1:19">
      <c r="A144" s="63">
        <v>2005.03</v>
      </c>
      <c r="B144" s="58">
        <v>3085</v>
      </c>
      <c r="C144" s="3157"/>
      <c r="D144" s="136"/>
      <c r="E144" s="805">
        <v>7912</v>
      </c>
      <c r="F144" s="3158"/>
      <c r="G144" s="803"/>
      <c r="H144" s="805">
        <v>31050</v>
      </c>
      <c r="I144" s="3157"/>
      <c r="J144" s="803"/>
      <c r="K144" s="805">
        <v>81414</v>
      </c>
      <c r="L144" s="3158"/>
      <c r="M144" s="1350"/>
      <c r="N144" s="1408"/>
      <c r="O144" s="3158"/>
      <c r="P144" s="3158"/>
      <c r="Q144" s="803"/>
      <c r="R144" s="1324">
        <v>27948</v>
      </c>
      <c r="S144" s="1321"/>
    </row>
    <row r="145" spans="1:19">
      <c r="A145" s="63">
        <v>2005.04</v>
      </c>
      <c r="B145" s="58">
        <v>3175</v>
      </c>
      <c r="C145" s="3157"/>
      <c r="D145" s="136"/>
      <c r="E145" s="805">
        <v>7991</v>
      </c>
      <c r="F145" s="3158"/>
      <c r="G145" s="803"/>
      <c r="H145" s="805">
        <v>33139</v>
      </c>
      <c r="I145" s="3157"/>
      <c r="J145" s="803"/>
      <c r="K145" s="805">
        <v>83175</v>
      </c>
      <c r="L145" s="3158"/>
      <c r="M145" s="1350"/>
      <c r="N145" s="1408"/>
      <c r="O145" s="3158"/>
      <c r="P145" s="3158"/>
      <c r="Q145" s="803"/>
      <c r="R145" s="1324">
        <v>27593</v>
      </c>
      <c r="S145" s="1321"/>
    </row>
    <row r="146" spans="1:19">
      <c r="A146" s="63">
        <v>2005.05</v>
      </c>
      <c r="B146" s="58">
        <v>3334</v>
      </c>
      <c r="C146" s="3157"/>
      <c r="D146" s="136"/>
      <c r="E146" s="805">
        <v>8841</v>
      </c>
      <c r="F146" s="3158"/>
      <c r="G146" s="803"/>
      <c r="H146" s="805">
        <v>33596</v>
      </c>
      <c r="I146" s="3157"/>
      <c r="J146" s="803"/>
      <c r="K146" s="805">
        <v>88210</v>
      </c>
      <c r="L146" s="3158"/>
      <c r="M146" s="1350"/>
      <c r="N146" s="1408"/>
      <c r="O146" s="3158"/>
      <c r="P146" s="3158"/>
      <c r="Q146" s="803"/>
      <c r="R146" s="1324">
        <v>26675</v>
      </c>
      <c r="S146" s="1321"/>
    </row>
    <row r="147" spans="1:19">
      <c r="A147" s="63">
        <v>2005.06</v>
      </c>
      <c r="B147" s="58">
        <v>3255</v>
      </c>
      <c r="C147" s="3157"/>
      <c r="D147" s="136"/>
      <c r="E147" s="805">
        <v>9082</v>
      </c>
      <c r="F147" s="3158"/>
      <c r="G147" s="803"/>
      <c r="H147" s="805">
        <v>32899</v>
      </c>
      <c r="I147" s="3157"/>
      <c r="J147" s="803"/>
      <c r="K147" s="805">
        <v>86489</v>
      </c>
      <c r="L147" s="3158"/>
      <c r="M147" s="1350"/>
      <c r="N147" s="1408"/>
      <c r="O147" s="3158"/>
      <c r="P147" s="3158"/>
      <c r="Q147" s="803"/>
      <c r="R147" s="1324">
        <v>26573</v>
      </c>
      <c r="S147" s="1321"/>
    </row>
    <row r="148" spans="1:19">
      <c r="A148" s="63">
        <v>2005.07</v>
      </c>
      <c r="B148" s="58">
        <v>3477</v>
      </c>
      <c r="C148" s="3157"/>
      <c r="D148" s="136"/>
      <c r="E148" s="805">
        <v>9304</v>
      </c>
      <c r="F148" s="3158"/>
      <c r="G148" s="803"/>
      <c r="H148" s="805">
        <v>34385</v>
      </c>
      <c r="I148" s="3157"/>
      <c r="J148" s="803"/>
      <c r="K148" s="805">
        <v>88926</v>
      </c>
      <c r="L148" s="3158"/>
      <c r="M148" s="1350"/>
      <c r="N148" s="1408"/>
      <c r="O148" s="3158"/>
      <c r="P148" s="3158"/>
      <c r="Q148" s="803"/>
      <c r="R148" s="1324">
        <v>27713</v>
      </c>
      <c r="S148" s="1321"/>
    </row>
    <row r="149" spans="1:19">
      <c r="A149" s="63">
        <v>2005.08</v>
      </c>
      <c r="B149" s="58">
        <v>3269</v>
      </c>
      <c r="C149" s="3157"/>
      <c r="D149" s="136"/>
      <c r="E149" s="805">
        <v>10113</v>
      </c>
      <c r="F149" s="3158"/>
      <c r="G149" s="803"/>
      <c r="H149" s="805">
        <v>32009</v>
      </c>
      <c r="I149" s="3157"/>
      <c r="J149" s="803"/>
      <c r="K149" s="805">
        <v>95352</v>
      </c>
      <c r="L149" s="3158"/>
      <c r="M149" s="1350"/>
      <c r="N149" s="1408"/>
      <c r="O149" s="3158"/>
      <c r="P149" s="3158"/>
      <c r="Q149" s="803"/>
      <c r="R149" s="1324">
        <v>29959</v>
      </c>
      <c r="S149" s="1321"/>
    </row>
    <row r="150" spans="1:19">
      <c r="A150" s="63">
        <v>2005.09</v>
      </c>
      <c r="B150" s="58">
        <v>3617</v>
      </c>
      <c r="C150" s="3157"/>
      <c r="D150" s="136"/>
      <c r="E150" s="805">
        <v>10045</v>
      </c>
      <c r="F150" s="3158"/>
      <c r="G150" s="803"/>
      <c r="H150" s="805">
        <v>36248</v>
      </c>
      <c r="I150" s="3157"/>
      <c r="J150" s="803"/>
      <c r="K150" s="805">
        <v>95630</v>
      </c>
      <c r="L150" s="3158"/>
      <c r="M150" s="1350"/>
      <c r="N150" s="1408"/>
      <c r="O150" s="3158"/>
      <c r="P150" s="3158"/>
      <c r="Q150" s="803"/>
      <c r="R150" s="1324">
        <v>29734</v>
      </c>
      <c r="S150" s="1321"/>
    </row>
    <row r="151" spans="1:19">
      <c r="A151" s="63">
        <v>2005.1</v>
      </c>
      <c r="B151" s="58">
        <v>2864</v>
      </c>
      <c r="C151" s="3157"/>
      <c r="D151" s="136"/>
      <c r="E151" s="805">
        <v>8789</v>
      </c>
      <c r="F151" s="3158"/>
      <c r="G151" s="803"/>
      <c r="H151" s="805">
        <v>30759</v>
      </c>
      <c r="I151" s="3157"/>
      <c r="J151" s="803"/>
      <c r="K151" s="805">
        <v>86703</v>
      </c>
      <c r="L151" s="3158"/>
      <c r="M151" s="1350"/>
      <c r="N151" s="1408"/>
      <c r="O151" s="3158"/>
      <c r="P151" s="3158"/>
      <c r="Q151" s="803"/>
      <c r="R151" s="1324">
        <v>30503</v>
      </c>
      <c r="S151" s="1321"/>
    </row>
    <row r="152" spans="1:19">
      <c r="A152" s="63">
        <v>2005.11</v>
      </c>
      <c r="B152" s="58">
        <v>2450</v>
      </c>
      <c r="C152" s="3157"/>
      <c r="D152" s="136"/>
      <c r="E152" s="805">
        <v>9487</v>
      </c>
      <c r="F152" s="3158"/>
      <c r="G152" s="803"/>
      <c r="H152" s="805">
        <v>29545</v>
      </c>
      <c r="I152" s="3157"/>
      <c r="J152" s="803"/>
      <c r="K152" s="805">
        <v>95176</v>
      </c>
      <c r="L152" s="3158"/>
      <c r="M152" s="1350"/>
      <c r="N152" s="1408"/>
      <c r="O152" s="3158"/>
      <c r="P152" s="3158"/>
      <c r="Q152" s="803"/>
      <c r="R152" s="1324">
        <v>35461</v>
      </c>
      <c r="S152" s="1321"/>
    </row>
    <row r="153" spans="1:19">
      <c r="A153" s="63">
        <v>2005.12</v>
      </c>
      <c r="B153" s="58">
        <v>952</v>
      </c>
      <c r="C153" s="3157"/>
      <c r="D153" s="136"/>
      <c r="E153" s="805">
        <v>7923</v>
      </c>
      <c r="F153" s="3158"/>
      <c r="G153" s="803"/>
      <c r="H153" s="805">
        <v>14754</v>
      </c>
      <c r="I153" s="3157"/>
      <c r="J153" s="803"/>
      <c r="K153" s="805">
        <v>80491</v>
      </c>
      <c r="L153" s="3158"/>
      <c r="M153" s="1350"/>
      <c r="N153" s="1408"/>
      <c r="O153" s="3158"/>
      <c r="P153" s="3158"/>
      <c r="Q153" s="803"/>
      <c r="R153" s="1324">
        <v>23182</v>
      </c>
      <c r="S153" s="1321"/>
    </row>
    <row r="154" spans="1:19">
      <c r="A154" s="63">
        <v>2006.01</v>
      </c>
      <c r="B154" s="58">
        <v>6745</v>
      </c>
      <c r="C154" s="3157"/>
      <c r="D154" s="136"/>
      <c r="E154" s="805">
        <v>9838</v>
      </c>
      <c r="F154" s="3158"/>
      <c r="G154" s="803"/>
      <c r="H154" s="805">
        <v>66276</v>
      </c>
      <c r="I154" s="3157"/>
      <c r="J154" s="803"/>
      <c r="K154" s="805">
        <v>105347</v>
      </c>
      <c r="L154" s="3158"/>
      <c r="M154" s="1350"/>
      <c r="N154" s="1408"/>
      <c r="O154" s="3158"/>
      <c r="P154" s="3158"/>
      <c r="Q154" s="803"/>
      <c r="R154" s="1324">
        <v>12343</v>
      </c>
      <c r="S154" s="1321"/>
    </row>
    <row r="155" spans="1:19">
      <c r="A155" s="63">
        <v>2006.02</v>
      </c>
      <c r="B155" s="58">
        <v>3047</v>
      </c>
      <c r="C155" s="3157"/>
      <c r="D155" s="136"/>
      <c r="E155" s="805">
        <v>8382</v>
      </c>
      <c r="F155" s="3158"/>
      <c r="G155" s="803"/>
      <c r="H155" s="805">
        <v>32754</v>
      </c>
      <c r="I155" s="3157"/>
      <c r="J155" s="803"/>
      <c r="K155" s="805">
        <v>87601</v>
      </c>
      <c r="L155" s="3158"/>
      <c r="M155" s="1350"/>
      <c r="N155" s="1408"/>
      <c r="O155" s="3158"/>
      <c r="P155" s="3158"/>
      <c r="Q155" s="803"/>
      <c r="R155" s="1324">
        <v>29271</v>
      </c>
      <c r="S155" s="1321"/>
    </row>
    <row r="156" spans="1:19">
      <c r="A156" s="63">
        <v>2006.03</v>
      </c>
      <c r="B156" s="58">
        <v>3562</v>
      </c>
      <c r="C156" s="3157"/>
      <c r="D156" s="136"/>
      <c r="E156" s="805">
        <v>9331</v>
      </c>
      <c r="F156" s="3158"/>
      <c r="G156" s="803"/>
      <c r="H156" s="805">
        <v>40837</v>
      </c>
      <c r="I156" s="3157"/>
      <c r="J156" s="803"/>
      <c r="K156" s="805">
        <v>99397</v>
      </c>
      <c r="L156" s="3158"/>
      <c r="M156" s="1350"/>
      <c r="N156" s="1408"/>
      <c r="O156" s="3158"/>
      <c r="P156" s="3158"/>
      <c r="Q156" s="803"/>
      <c r="R156" s="1324">
        <v>35589</v>
      </c>
      <c r="S156" s="1321"/>
    </row>
    <row r="157" spans="1:19">
      <c r="A157" s="63">
        <v>2006.04</v>
      </c>
      <c r="B157" s="58">
        <v>3222</v>
      </c>
      <c r="C157" s="3157"/>
      <c r="D157" s="136"/>
      <c r="E157" s="805">
        <v>8581</v>
      </c>
      <c r="F157" s="3158"/>
      <c r="G157" s="803"/>
      <c r="H157" s="805">
        <v>34671</v>
      </c>
      <c r="I157" s="3157"/>
      <c r="J157" s="803"/>
      <c r="K157" s="805">
        <v>90044</v>
      </c>
      <c r="L157" s="3158"/>
      <c r="M157" s="1350"/>
      <c r="N157" s="1408"/>
      <c r="O157" s="3158"/>
      <c r="P157" s="3158"/>
      <c r="Q157" s="803"/>
      <c r="R157" s="1324">
        <v>33522</v>
      </c>
      <c r="S157" s="1321"/>
    </row>
    <row r="158" spans="1:19">
      <c r="A158" s="63">
        <v>2006.05</v>
      </c>
      <c r="B158" s="58">
        <v>3517</v>
      </c>
      <c r="C158" s="3157"/>
      <c r="D158" s="136"/>
      <c r="E158" s="805">
        <v>9913</v>
      </c>
      <c r="F158" s="3158"/>
      <c r="G158" s="803"/>
      <c r="H158" s="805">
        <v>38660</v>
      </c>
      <c r="I158" s="3157"/>
      <c r="J158" s="803"/>
      <c r="K158" s="805">
        <v>104729</v>
      </c>
      <c r="L158" s="3158"/>
      <c r="M158" s="1350"/>
      <c r="N158" s="1408"/>
      <c r="O158" s="3158"/>
      <c r="P158" s="3158"/>
      <c r="Q158" s="803"/>
      <c r="R158" s="1324">
        <v>31736</v>
      </c>
      <c r="S158" s="1321"/>
    </row>
    <row r="159" spans="1:19">
      <c r="A159" s="63">
        <v>2006.06</v>
      </c>
      <c r="B159" s="58">
        <v>3289</v>
      </c>
      <c r="C159" s="3157"/>
      <c r="D159" s="136"/>
      <c r="E159" s="805">
        <v>9697</v>
      </c>
      <c r="F159" s="3158"/>
      <c r="G159" s="803"/>
      <c r="H159" s="805">
        <v>36832</v>
      </c>
      <c r="I159" s="3157"/>
      <c r="J159" s="803"/>
      <c r="K159" s="805">
        <v>99445</v>
      </c>
      <c r="L159" s="3158"/>
      <c r="M159" s="1350"/>
      <c r="N159" s="1408"/>
      <c r="O159" s="3158"/>
      <c r="P159" s="3158"/>
      <c r="Q159" s="803"/>
      <c r="R159" s="1324">
        <v>35940</v>
      </c>
      <c r="S159" s="1321"/>
    </row>
    <row r="160" spans="1:19">
      <c r="A160" s="63">
        <v>2006.07</v>
      </c>
      <c r="B160" s="58">
        <v>3343</v>
      </c>
      <c r="C160" s="3157"/>
      <c r="D160" s="136"/>
      <c r="E160" s="805">
        <v>10587</v>
      </c>
      <c r="F160" s="3158"/>
      <c r="G160" s="803"/>
      <c r="H160" s="805">
        <v>37141</v>
      </c>
      <c r="I160" s="3157"/>
      <c r="J160" s="803"/>
      <c r="K160" s="805">
        <v>109664</v>
      </c>
      <c r="L160" s="3158"/>
      <c r="M160" s="1350"/>
      <c r="N160" s="1408"/>
      <c r="O160" s="3158"/>
      <c r="P160" s="3158"/>
      <c r="Q160" s="803"/>
      <c r="R160" s="1324">
        <v>37735</v>
      </c>
      <c r="S160" s="1321"/>
    </row>
    <row r="161" spans="1:19">
      <c r="A161" s="63">
        <v>2006.08</v>
      </c>
      <c r="B161" s="58">
        <v>3760</v>
      </c>
      <c r="C161" s="3157"/>
      <c r="D161" s="136"/>
      <c r="E161" s="805">
        <v>11227</v>
      </c>
      <c r="F161" s="3158"/>
      <c r="G161" s="803"/>
      <c r="H161" s="805">
        <v>39587</v>
      </c>
      <c r="I161" s="3157"/>
      <c r="J161" s="803"/>
      <c r="K161" s="805">
        <v>115339</v>
      </c>
      <c r="L161" s="3158"/>
      <c r="M161" s="1350"/>
      <c r="N161" s="1408"/>
      <c r="O161" s="3158"/>
      <c r="P161" s="3158"/>
      <c r="Q161" s="803"/>
      <c r="R161" s="1324">
        <v>41476</v>
      </c>
      <c r="S161" s="1321"/>
    </row>
    <row r="162" spans="1:19">
      <c r="A162" s="63">
        <v>2006.09</v>
      </c>
      <c r="B162" s="58">
        <v>3582</v>
      </c>
      <c r="C162" s="3157"/>
      <c r="D162" s="136"/>
      <c r="E162" s="805">
        <v>10937</v>
      </c>
      <c r="F162" s="3158"/>
      <c r="G162" s="803"/>
      <c r="H162" s="805">
        <v>39809</v>
      </c>
      <c r="I162" s="3157"/>
      <c r="J162" s="803"/>
      <c r="K162" s="805">
        <v>109209</v>
      </c>
      <c r="L162" s="3158"/>
      <c r="M162" s="1350"/>
      <c r="N162" s="1408"/>
      <c r="O162" s="3158"/>
      <c r="P162" s="3158"/>
      <c r="Q162" s="803"/>
      <c r="R162" s="1324">
        <v>44271</v>
      </c>
      <c r="S162" s="1321"/>
    </row>
    <row r="163" spans="1:19">
      <c r="A163" s="63">
        <v>2006.1</v>
      </c>
      <c r="B163" s="58">
        <v>3333</v>
      </c>
      <c r="C163" s="3157"/>
      <c r="D163" s="136"/>
      <c r="E163" s="805">
        <v>10018</v>
      </c>
      <c r="F163" s="3158"/>
      <c r="G163" s="803"/>
      <c r="H163" s="805">
        <v>36157</v>
      </c>
      <c r="I163" s="3157"/>
      <c r="J163" s="803"/>
      <c r="K163" s="805">
        <v>106340</v>
      </c>
      <c r="L163" s="3158"/>
      <c r="M163" s="1350"/>
      <c r="N163" s="1408"/>
      <c r="O163" s="3158"/>
      <c r="P163" s="3158"/>
      <c r="Q163" s="803"/>
      <c r="R163" s="1324">
        <v>42346</v>
      </c>
      <c r="S163" s="1321"/>
    </row>
    <row r="164" spans="1:19">
      <c r="A164" s="63">
        <v>2006.11</v>
      </c>
      <c r="B164" s="58">
        <v>2569</v>
      </c>
      <c r="C164" s="3157"/>
      <c r="D164" s="136"/>
      <c r="E164" s="805">
        <v>10626</v>
      </c>
      <c r="F164" s="3158"/>
      <c r="G164" s="803"/>
      <c r="H164" s="805">
        <v>33403</v>
      </c>
      <c r="I164" s="3157"/>
      <c r="J164" s="803"/>
      <c r="K164" s="805">
        <v>112074</v>
      </c>
      <c r="L164" s="3158"/>
      <c r="M164" s="1350"/>
      <c r="N164" s="1408"/>
      <c r="O164" s="3158"/>
      <c r="P164" s="3158"/>
      <c r="Q164" s="803"/>
      <c r="R164" s="1324">
        <v>35461</v>
      </c>
      <c r="S164" s="1321"/>
    </row>
    <row r="165" spans="1:19">
      <c r="A165" s="63">
        <v>2006.12</v>
      </c>
      <c r="B165" s="58">
        <v>1155</v>
      </c>
      <c r="C165" s="3157"/>
      <c r="D165" s="136"/>
      <c r="E165" s="805">
        <v>8082</v>
      </c>
      <c r="F165" s="3158"/>
      <c r="G165" s="803"/>
      <c r="H165" s="805">
        <v>16455</v>
      </c>
      <c r="I165" s="3157"/>
      <c r="J165" s="803"/>
      <c r="K165" s="805">
        <v>84999</v>
      </c>
      <c r="L165" s="3158"/>
      <c r="M165" s="1350"/>
      <c r="N165" s="1408"/>
      <c r="O165" s="3158"/>
      <c r="P165" s="3158"/>
      <c r="Q165" s="803"/>
      <c r="R165" s="1324">
        <v>23182</v>
      </c>
      <c r="S165" s="1321"/>
    </row>
    <row r="166" spans="1:19">
      <c r="A166" s="63">
        <v>2007.01</v>
      </c>
      <c r="B166" s="58">
        <v>7698</v>
      </c>
      <c r="C166" s="3159">
        <v>3883</v>
      </c>
      <c r="D166" s="136"/>
      <c r="E166" s="805">
        <v>10808</v>
      </c>
      <c r="F166" s="3159">
        <v>1497</v>
      </c>
      <c r="G166" s="803"/>
      <c r="H166" s="805">
        <v>82813</v>
      </c>
      <c r="I166" s="3159">
        <v>28659</v>
      </c>
      <c r="J166" s="803"/>
      <c r="K166" s="805">
        <v>120143</v>
      </c>
      <c r="L166" s="3159">
        <v>8293</v>
      </c>
      <c r="M166" s="1350"/>
      <c r="N166" s="1408"/>
      <c r="O166" s="3158"/>
      <c r="P166" s="3158"/>
      <c r="Q166" s="803"/>
      <c r="R166" s="1324">
        <v>17057</v>
      </c>
      <c r="S166" s="1321"/>
    </row>
    <row r="167" spans="1:19">
      <c r="A167" s="63">
        <v>2007.02</v>
      </c>
      <c r="B167" s="58">
        <v>3515</v>
      </c>
      <c r="C167" s="3160">
        <v>3302</v>
      </c>
      <c r="D167" s="136"/>
      <c r="E167" s="805">
        <v>9372</v>
      </c>
      <c r="F167" s="3160">
        <v>1299</v>
      </c>
      <c r="G167" s="803"/>
      <c r="H167" s="805">
        <v>39156</v>
      </c>
      <c r="I167" s="3160">
        <v>25073</v>
      </c>
      <c r="J167" s="803"/>
      <c r="K167" s="805">
        <v>98349</v>
      </c>
      <c r="L167" s="3160">
        <v>7430</v>
      </c>
      <c r="M167" s="1350"/>
      <c r="N167" s="1408"/>
      <c r="O167" s="3158"/>
      <c r="P167" s="3158"/>
      <c r="Q167" s="803"/>
      <c r="R167" s="1324">
        <v>35492</v>
      </c>
      <c r="S167" s="1321"/>
    </row>
    <row r="168" spans="1:19">
      <c r="A168" s="63">
        <v>2007.03</v>
      </c>
      <c r="B168" s="58">
        <v>4023</v>
      </c>
      <c r="C168" s="3160">
        <v>3647</v>
      </c>
      <c r="D168" s="136"/>
      <c r="E168" s="805">
        <v>10283</v>
      </c>
      <c r="F168" s="3160">
        <v>1502</v>
      </c>
      <c r="G168" s="803"/>
      <c r="H168" s="805">
        <v>47511</v>
      </c>
      <c r="I168" s="3160">
        <v>29057</v>
      </c>
      <c r="J168" s="803"/>
      <c r="K168" s="805">
        <v>109595</v>
      </c>
      <c r="L168" s="3160">
        <v>8467</v>
      </c>
      <c r="M168" s="1350"/>
      <c r="N168" s="1408"/>
      <c r="O168" s="3158"/>
      <c r="P168" s="3158"/>
      <c r="Q168" s="803"/>
      <c r="R168" s="1324">
        <v>44886</v>
      </c>
      <c r="S168" s="1321"/>
    </row>
    <row r="169" spans="1:19">
      <c r="A169" s="63">
        <v>2007.04</v>
      </c>
      <c r="B169" s="58">
        <v>3628</v>
      </c>
      <c r="C169" s="3160">
        <v>3241</v>
      </c>
      <c r="D169" s="136"/>
      <c r="E169" s="805">
        <v>8573</v>
      </c>
      <c r="F169" s="3160">
        <v>1237</v>
      </c>
      <c r="G169" s="803"/>
      <c r="H169" s="805">
        <v>42184</v>
      </c>
      <c r="I169" s="3160">
        <v>25838</v>
      </c>
      <c r="J169" s="803"/>
      <c r="K169" s="805">
        <v>94881</v>
      </c>
      <c r="L169" s="3160">
        <v>7151</v>
      </c>
      <c r="M169" s="1350"/>
      <c r="N169" s="1408"/>
      <c r="O169" s="3158"/>
      <c r="P169" s="3158"/>
      <c r="Q169" s="803"/>
      <c r="R169" s="1324">
        <v>41527</v>
      </c>
      <c r="S169" s="1321"/>
    </row>
    <row r="170" spans="1:19">
      <c r="A170" s="63">
        <v>2007.05</v>
      </c>
      <c r="B170" s="58">
        <v>4200</v>
      </c>
      <c r="C170" s="3160">
        <v>3179</v>
      </c>
      <c r="D170" s="136"/>
      <c r="E170" s="805">
        <v>10288</v>
      </c>
      <c r="F170" s="3160">
        <v>1358</v>
      </c>
      <c r="G170" s="803"/>
      <c r="H170" s="805">
        <v>47516</v>
      </c>
      <c r="I170" s="3160">
        <v>27905</v>
      </c>
      <c r="J170" s="803"/>
      <c r="K170" s="805">
        <v>111293</v>
      </c>
      <c r="L170" s="3160">
        <v>7948</v>
      </c>
      <c r="M170" s="1350"/>
      <c r="N170" s="1408"/>
      <c r="O170" s="3158"/>
      <c r="P170" s="3158"/>
      <c r="Q170" s="803"/>
      <c r="R170" s="1324">
        <v>45352</v>
      </c>
      <c r="S170" s="1321"/>
    </row>
    <row r="171" spans="1:19">
      <c r="A171" s="63">
        <v>2007.06</v>
      </c>
      <c r="B171" s="58">
        <v>3958</v>
      </c>
      <c r="C171" s="3160">
        <v>2881</v>
      </c>
      <c r="D171" s="136"/>
      <c r="E171" s="805">
        <v>9952</v>
      </c>
      <c r="F171" s="3160">
        <v>1197</v>
      </c>
      <c r="G171" s="803"/>
      <c r="H171" s="805">
        <v>42677</v>
      </c>
      <c r="I171" s="3160">
        <v>24493</v>
      </c>
      <c r="J171" s="803"/>
      <c r="K171" s="805">
        <v>105110</v>
      </c>
      <c r="L171" s="3160">
        <v>7221</v>
      </c>
      <c r="M171" s="1350"/>
      <c r="N171" s="1408"/>
      <c r="O171" s="3158"/>
      <c r="P171" s="3158"/>
      <c r="Q171" s="803"/>
      <c r="R171" s="1324">
        <v>47573</v>
      </c>
      <c r="S171" s="1321"/>
    </row>
    <row r="172" spans="1:19">
      <c r="A172" s="63">
        <v>2007.07</v>
      </c>
      <c r="B172" s="58">
        <v>4505</v>
      </c>
      <c r="C172" s="3160">
        <v>3538</v>
      </c>
      <c r="D172" s="136"/>
      <c r="E172" s="805">
        <v>11723</v>
      </c>
      <c r="F172" s="3160">
        <v>1311</v>
      </c>
      <c r="G172" s="803"/>
      <c r="H172" s="805">
        <v>50448</v>
      </c>
      <c r="I172" s="3160">
        <v>28960</v>
      </c>
      <c r="J172" s="803"/>
      <c r="K172" s="805">
        <v>119477</v>
      </c>
      <c r="L172" s="3160">
        <v>7933</v>
      </c>
      <c r="M172" s="1350"/>
      <c r="N172" s="1408"/>
      <c r="O172" s="3158"/>
      <c r="P172" s="3158"/>
      <c r="Q172" s="803"/>
      <c r="R172" s="1324">
        <v>43964</v>
      </c>
      <c r="S172" s="1321"/>
    </row>
    <row r="173" spans="1:19">
      <c r="A173" s="63">
        <v>2007.08</v>
      </c>
      <c r="B173" s="58">
        <v>5436</v>
      </c>
      <c r="C173" s="3160">
        <v>3954</v>
      </c>
      <c r="D173" s="136"/>
      <c r="E173" s="805">
        <v>13207</v>
      </c>
      <c r="F173" s="3160">
        <v>1439</v>
      </c>
      <c r="G173" s="803"/>
      <c r="H173" s="805">
        <v>54708</v>
      </c>
      <c r="I173" s="3160">
        <v>31198</v>
      </c>
      <c r="J173" s="803"/>
      <c r="K173" s="805">
        <v>131239</v>
      </c>
      <c r="L173" s="3160">
        <v>8925</v>
      </c>
      <c r="M173" s="1350"/>
      <c r="N173" s="1408"/>
      <c r="O173" s="3158"/>
      <c r="P173" s="3158"/>
      <c r="Q173" s="803"/>
      <c r="R173" s="1324">
        <v>53529</v>
      </c>
      <c r="S173" s="1321"/>
    </row>
    <row r="174" spans="1:19">
      <c r="A174" s="63">
        <v>2007.09</v>
      </c>
      <c r="B174" s="58">
        <v>4882</v>
      </c>
      <c r="C174" s="3160">
        <v>3759</v>
      </c>
      <c r="D174" s="136"/>
      <c r="E174" s="805">
        <v>11571</v>
      </c>
      <c r="F174" s="3160">
        <v>1504</v>
      </c>
      <c r="G174" s="803"/>
      <c r="H174" s="805">
        <v>49467</v>
      </c>
      <c r="I174" s="3160">
        <v>29808</v>
      </c>
      <c r="J174" s="803"/>
      <c r="K174" s="805">
        <v>118393</v>
      </c>
      <c r="L174" s="3160">
        <v>8664</v>
      </c>
      <c r="M174" s="1350"/>
      <c r="N174" s="1408"/>
      <c r="O174" s="3158"/>
      <c r="P174" s="3158"/>
      <c r="Q174" s="803"/>
      <c r="R174" s="1324">
        <v>49875</v>
      </c>
      <c r="S174" s="1321"/>
    </row>
    <row r="175" spans="1:19">
      <c r="A175" s="63">
        <v>2007.1</v>
      </c>
      <c r="B175" s="58">
        <v>4797</v>
      </c>
      <c r="C175" s="3160">
        <v>4436</v>
      </c>
      <c r="D175" s="136"/>
      <c r="E175" s="805">
        <v>12740</v>
      </c>
      <c r="F175" s="3160">
        <v>1642</v>
      </c>
      <c r="G175" s="803"/>
      <c r="H175" s="805">
        <v>49749</v>
      </c>
      <c r="I175" s="3160">
        <v>33602</v>
      </c>
      <c r="J175" s="803"/>
      <c r="K175" s="805">
        <v>126606</v>
      </c>
      <c r="L175" s="3160">
        <v>9881</v>
      </c>
      <c r="M175" s="1350"/>
      <c r="N175" s="1408"/>
      <c r="O175" s="3158"/>
      <c r="P175" s="3158"/>
      <c r="Q175" s="803"/>
      <c r="R175" s="1324">
        <v>55280</v>
      </c>
      <c r="S175" s="1321"/>
    </row>
    <row r="176" spans="1:19">
      <c r="A176" s="63">
        <v>2007.11</v>
      </c>
      <c r="B176" s="58">
        <v>3678</v>
      </c>
      <c r="C176" s="3160">
        <v>4628</v>
      </c>
      <c r="D176" s="136"/>
      <c r="E176" s="805">
        <v>12207</v>
      </c>
      <c r="F176" s="3160">
        <v>1776</v>
      </c>
      <c r="G176" s="803"/>
      <c r="H176" s="805">
        <v>41823</v>
      </c>
      <c r="I176" s="3160">
        <v>35021</v>
      </c>
      <c r="J176" s="803"/>
      <c r="K176" s="805">
        <v>125458</v>
      </c>
      <c r="L176" s="3160">
        <v>10575</v>
      </c>
      <c r="M176" s="1350"/>
      <c r="N176" s="1408"/>
      <c r="O176" s="3158"/>
      <c r="P176" s="3158"/>
      <c r="Q176" s="803"/>
      <c r="R176" s="1324">
        <v>59437</v>
      </c>
      <c r="S176" s="1321"/>
    </row>
    <row r="177" spans="1:19">
      <c r="A177" s="63">
        <v>2007.12</v>
      </c>
      <c r="B177" s="58">
        <v>1986</v>
      </c>
      <c r="C177" s="3160">
        <v>3601</v>
      </c>
      <c r="D177" s="136"/>
      <c r="E177" s="805">
        <v>10940</v>
      </c>
      <c r="F177" s="3160">
        <v>1536</v>
      </c>
      <c r="G177" s="803"/>
      <c r="H177" s="805">
        <v>24789</v>
      </c>
      <c r="I177" s="3160">
        <v>29635</v>
      </c>
      <c r="J177" s="803"/>
      <c r="K177" s="805">
        <v>109629</v>
      </c>
      <c r="L177" s="3160">
        <v>8926</v>
      </c>
      <c r="M177" s="1350"/>
      <c r="N177" s="1408"/>
      <c r="O177" s="3158"/>
      <c r="P177" s="3158"/>
      <c r="Q177" s="803"/>
      <c r="R177" s="1324">
        <v>50675</v>
      </c>
      <c r="S177" s="1321"/>
    </row>
    <row r="178" spans="1:19">
      <c r="A178" s="63">
        <v>2008.01</v>
      </c>
      <c r="B178" s="58">
        <v>8184</v>
      </c>
      <c r="C178" s="3160">
        <v>6273</v>
      </c>
      <c r="D178" s="136"/>
      <c r="E178" s="805">
        <v>12588</v>
      </c>
      <c r="F178" s="3160">
        <v>1841</v>
      </c>
      <c r="G178" s="803"/>
      <c r="H178" s="805">
        <v>86214</v>
      </c>
      <c r="I178" s="3160">
        <v>47721</v>
      </c>
      <c r="J178" s="803"/>
      <c r="K178" s="805">
        <v>133191</v>
      </c>
      <c r="L178" s="3160">
        <v>11273</v>
      </c>
      <c r="M178" s="1350"/>
      <c r="N178" s="1408"/>
      <c r="O178" s="3158"/>
      <c r="P178" s="3158"/>
      <c r="Q178" s="803"/>
      <c r="R178" s="1324">
        <v>41228</v>
      </c>
      <c r="S178" s="1321"/>
    </row>
    <row r="179" spans="1:19">
      <c r="A179" s="63">
        <v>2008.02</v>
      </c>
      <c r="B179" s="58">
        <v>4381</v>
      </c>
      <c r="C179" s="3160">
        <v>6110</v>
      </c>
      <c r="D179" s="136"/>
      <c r="E179" s="805">
        <v>11586</v>
      </c>
      <c r="F179" s="3160">
        <v>2033</v>
      </c>
      <c r="G179" s="803"/>
      <c r="H179" s="805">
        <v>46811</v>
      </c>
      <c r="I179" s="3160">
        <v>46233</v>
      </c>
      <c r="J179" s="803"/>
      <c r="K179" s="805">
        <v>117991</v>
      </c>
      <c r="L179" s="3160">
        <v>11620</v>
      </c>
      <c r="M179" s="810"/>
      <c r="N179" s="1409"/>
      <c r="O179" s="3078"/>
      <c r="P179" s="3078"/>
      <c r="Q179" s="808"/>
      <c r="R179" s="1324">
        <v>33637</v>
      </c>
      <c r="S179" s="1321"/>
    </row>
    <row r="180" spans="1:19">
      <c r="A180" s="63">
        <v>2008.03</v>
      </c>
      <c r="B180" s="58">
        <v>4184</v>
      </c>
      <c r="C180" s="3160">
        <v>5799</v>
      </c>
      <c r="D180" s="136"/>
      <c r="E180" s="805">
        <v>10492</v>
      </c>
      <c r="F180" s="3160">
        <v>1897</v>
      </c>
      <c r="G180" s="803"/>
      <c r="H180" s="805">
        <v>44559</v>
      </c>
      <c r="I180" s="3160">
        <v>41465</v>
      </c>
      <c r="J180" s="803"/>
      <c r="K180" s="805">
        <v>105590</v>
      </c>
      <c r="L180" s="3160">
        <v>10913</v>
      </c>
      <c r="M180" s="810"/>
      <c r="N180" s="1409"/>
      <c r="O180" s="3078"/>
      <c r="P180" s="3078"/>
      <c r="Q180" s="808"/>
      <c r="R180" s="1324">
        <v>49591</v>
      </c>
      <c r="S180" s="1321"/>
    </row>
    <row r="181" spans="1:19">
      <c r="A181" s="63">
        <v>2008.04</v>
      </c>
      <c r="B181" s="58">
        <v>5226</v>
      </c>
      <c r="C181" s="3160">
        <v>6290</v>
      </c>
      <c r="D181" s="136"/>
      <c r="E181" s="805">
        <v>12220</v>
      </c>
      <c r="F181" s="3160">
        <v>2352</v>
      </c>
      <c r="G181" s="803"/>
      <c r="H181" s="805">
        <v>56732</v>
      </c>
      <c r="I181" s="3160">
        <v>46408</v>
      </c>
      <c r="J181" s="803"/>
      <c r="K181" s="805">
        <v>126105</v>
      </c>
      <c r="L181" s="3160">
        <v>12630</v>
      </c>
      <c r="M181" s="810"/>
      <c r="N181" s="1409"/>
      <c r="O181" s="3078"/>
      <c r="P181" s="3078"/>
      <c r="Q181" s="808"/>
      <c r="R181" s="1324">
        <v>54622</v>
      </c>
      <c r="S181" s="1321"/>
    </row>
    <row r="182" spans="1:19">
      <c r="A182" s="63">
        <v>2008.05</v>
      </c>
      <c r="B182" s="58">
        <v>5227</v>
      </c>
      <c r="C182" s="3160">
        <v>6175</v>
      </c>
      <c r="D182" s="136"/>
      <c r="E182" s="805">
        <v>12571</v>
      </c>
      <c r="F182" s="3160">
        <v>2239</v>
      </c>
      <c r="G182" s="803"/>
      <c r="H182" s="805">
        <v>57664</v>
      </c>
      <c r="I182" s="3160">
        <v>43300</v>
      </c>
      <c r="J182" s="803"/>
      <c r="K182" s="805">
        <v>125863</v>
      </c>
      <c r="L182" s="3160">
        <v>12513</v>
      </c>
      <c r="M182" s="810"/>
      <c r="N182" s="1409"/>
      <c r="O182" s="3078"/>
      <c r="P182" s="3078"/>
      <c r="Q182" s="808"/>
      <c r="R182" s="1324">
        <v>56019</v>
      </c>
      <c r="S182" s="1321"/>
    </row>
    <row r="183" spans="1:19">
      <c r="A183" s="63">
        <v>2008.06</v>
      </c>
      <c r="B183" s="58">
        <v>4256</v>
      </c>
      <c r="C183" s="3160">
        <v>4651</v>
      </c>
      <c r="D183" s="136"/>
      <c r="E183" s="805">
        <v>10511</v>
      </c>
      <c r="F183" s="3160">
        <v>1839</v>
      </c>
      <c r="G183" s="803"/>
      <c r="H183" s="805">
        <v>49576</v>
      </c>
      <c r="I183" s="3160">
        <v>34632</v>
      </c>
      <c r="J183" s="803"/>
      <c r="K183" s="805">
        <v>111064</v>
      </c>
      <c r="L183" s="3160">
        <v>10118</v>
      </c>
      <c r="M183" s="810"/>
      <c r="N183" s="1409"/>
      <c r="O183" s="3078"/>
      <c r="P183" s="3078"/>
      <c r="Q183" s="808"/>
      <c r="R183" s="1324">
        <v>51249</v>
      </c>
      <c r="S183" s="1321"/>
    </row>
    <row r="184" spans="1:19">
      <c r="A184" s="63">
        <v>2008.07</v>
      </c>
      <c r="B184" s="58">
        <v>5235</v>
      </c>
      <c r="C184" s="3160">
        <v>5361</v>
      </c>
      <c r="D184" s="136"/>
      <c r="E184" s="805">
        <v>11488</v>
      </c>
      <c r="F184" s="3160">
        <v>2106</v>
      </c>
      <c r="G184" s="803"/>
      <c r="H184" s="805">
        <v>58769</v>
      </c>
      <c r="I184" s="3160">
        <v>40708</v>
      </c>
      <c r="J184" s="803"/>
      <c r="K184" s="805">
        <v>127650</v>
      </c>
      <c r="L184" s="3160">
        <v>11956</v>
      </c>
      <c r="M184" s="810"/>
      <c r="N184" s="1409"/>
      <c r="O184" s="3078"/>
      <c r="P184" s="3078"/>
      <c r="Q184" s="808"/>
      <c r="R184" s="1324">
        <v>62179</v>
      </c>
      <c r="S184" s="1321"/>
    </row>
    <row r="185" spans="1:19">
      <c r="A185" s="63">
        <v>2008.08</v>
      </c>
      <c r="B185" s="58">
        <v>5022</v>
      </c>
      <c r="C185" s="3160">
        <v>4939</v>
      </c>
      <c r="D185" s="136"/>
      <c r="E185" s="805">
        <v>11061</v>
      </c>
      <c r="F185" s="3160">
        <v>2077</v>
      </c>
      <c r="G185" s="803"/>
      <c r="H185" s="805">
        <v>51707</v>
      </c>
      <c r="I185" s="3160">
        <v>36333</v>
      </c>
      <c r="J185" s="803"/>
      <c r="K185" s="805">
        <v>115068</v>
      </c>
      <c r="L185" s="3160">
        <v>11388</v>
      </c>
      <c r="M185" s="810"/>
      <c r="N185" s="1409"/>
      <c r="O185" s="3078"/>
      <c r="P185" s="3078"/>
      <c r="Q185" s="808"/>
      <c r="R185" s="1324">
        <v>58077</v>
      </c>
      <c r="S185" s="1321"/>
    </row>
    <row r="186" spans="1:19">
      <c r="A186" s="63">
        <v>2008.09</v>
      </c>
      <c r="B186" s="58">
        <v>5187</v>
      </c>
      <c r="C186" s="3160">
        <v>5361</v>
      </c>
      <c r="D186" s="136"/>
      <c r="E186" s="805">
        <v>12118</v>
      </c>
      <c r="F186" s="3160">
        <v>2231</v>
      </c>
      <c r="G186" s="803"/>
      <c r="H186" s="805">
        <v>56348</v>
      </c>
      <c r="I186" s="3160">
        <v>41305</v>
      </c>
      <c r="J186" s="803"/>
      <c r="K186" s="805">
        <v>126646</v>
      </c>
      <c r="L186" s="3160">
        <v>13407</v>
      </c>
      <c r="M186" s="810"/>
      <c r="N186" s="1409"/>
      <c r="O186" s="3078"/>
      <c r="P186" s="3078"/>
      <c r="Q186" s="808"/>
      <c r="R186" s="1324">
        <v>62944</v>
      </c>
      <c r="S186" s="1321"/>
    </row>
    <row r="187" spans="1:19">
      <c r="A187" s="63">
        <v>2008.1</v>
      </c>
      <c r="B187" s="58">
        <v>4561</v>
      </c>
      <c r="C187" s="3160">
        <v>5152</v>
      </c>
      <c r="D187" s="136"/>
      <c r="E187" s="805">
        <v>11132</v>
      </c>
      <c r="F187" s="3160">
        <v>2279</v>
      </c>
      <c r="G187" s="803"/>
      <c r="H187" s="805">
        <v>51197</v>
      </c>
      <c r="I187" s="3160">
        <v>41132</v>
      </c>
      <c r="J187" s="803"/>
      <c r="K187" s="805">
        <v>121572</v>
      </c>
      <c r="L187" s="3160">
        <v>13521</v>
      </c>
      <c r="M187" s="810"/>
      <c r="N187" s="1409"/>
      <c r="O187" s="3078"/>
      <c r="P187" s="3078"/>
      <c r="Q187" s="808"/>
      <c r="R187" s="1324">
        <v>58072</v>
      </c>
      <c r="S187" s="1321"/>
    </row>
    <row r="188" spans="1:19">
      <c r="A188" s="63">
        <v>2008.11</v>
      </c>
      <c r="B188" s="58">
        <v>2787</v>
      </c>
      <c r="C188" s="3160">
        <v>4303</v>
      </c>
      <c r="D188" s="136"/>
      <c r="E188" s="805">
        <v>8710</v>
      </c>
      <c r="F188" s="3160">
        <v>1968</v>
      </c>
      <c r="G188" s="803"/>
      <c r="H188" s="805">
        <v>35645</v>
      </c>
      <c r="I188" s="3160">
        <v>36348</v>
      </c>
      <c r="J188" s="803"/>
      <c r="K188" s="805">
        <v>100297</v>
      </c>
      <c r="L188" s="3160">
        <v>12422</v>
      </c>
      <c r="M188" s="810"/>
      <c r="N188" s="1409"/>
      <c r="O188" s="3078"/>
      <c r="P188" s="3078"/>
      <c r="Q188" s="808"/>
      <c r="R188" s="1324">
        <v>42752</v>
      </c>
      <c r="S188" s="1321"/>
    </row>
    <row r="189" spans="1:19">
      <c r="A189" s="63">
        <v>2008.12</v>
      </c>
      <c r="B189" s="58">
        <v>1340</v>
      </c>
      <c r="C189" s="3160">
        <v>3505</v>
      </c>
      <c r="D189" s="136"/>
      <c r="E189" s="805">
        <v>8550</v>
      </c>
      <c r="F189" s="3160">
        <v>1809</v>
      </c>
      <c r="G189" s="803"/>
      <c r="H189" s="805">
        <v>20034</v>
      </c>
      <c r="I189" s="3160">
        <v>31061</v>
      </c>
      <c r="J189" s="803"/>
      <c r="K189" s="805">
        <v>98449</v>
      </c>
      <c r="L189" s="3160">
        <v>11280</v>
      </c>
      <c r="M189" s="810"/>
      <c r="N189" s="1409"/>
      <c r="O189" s="3078"/>
      <c r="P189" s="3078"/>
      <c r="Q189" s="808"/>
      <c r="R189" s="1324">
        <v>26716</v>
      </c>
      <c r="S189" s="1321"/>
    </row>
    <row r="190" spans="1:19">
      <c r="A190" s="63">
        <f>A178+1</f>
        <v>2009.01</v>
      </c>
      <c r="B190" s="58">
        <v>6481</v>
      </c>
      <c r="C190" s="3160">
        <v>4995</v>
      </c>
      <c r="D190" s="136"/>
      <c r="E190" s="805">
        <v>9447</v>
      </c>
      <c r="F190" s="3160">
        <v>2011</v>
      </c>
      <c r="G190" s="803"/>
      <c r="H190" s="805">
        <v>74053</v>
      </c>
      <c r="I190" s="3160">
        <v>42918</v>
      </c>
      <c r="J190" s="803"/>
      <c r="K190" s="805">
        <v>109370</v>
      </c>
      <c r="L190" s="3160">
        <v>13373</v>
      </c>
      <c r="M190" s="810"/>
      <c r="N190" s="1409"/>
      <c r="O190" s="3078"/>
      <c r="P190" s="3078"/>
      <c r="Q190" s="808"/>
      <c r="R190" s="1324">
        <v>18720</v>
      </c>
      <c r="S190" s="1321"/>
    </row>
    <row r="191" spans="1:19">
      <c r="A191" s="63">
        <f t="shared" ref="A191:A254" si="0">A179+1</f>
        <v>2009.02</v>
      </c>
      <c r="B191" s="58">
        <v>3184</v>
      </c>
      <c r="C191" s="3160">
        <v>4118</v>
      </c>
      <c r="D191" s="136"/>
      <c r="E191" s="805">
        <v>8131</v>
      </c>
      <c r="F191" s="3160">
        <v>1914</v>
      </c>
      <c r="G191" s="803"/>
      <c r="H191" s="805">
        <v>39196</v>
      </c>
      <c r="I191" s="3160">
        <v>36606</v>
      </c>
      <c r="J191" s="803"/>
      <c r="K191" s="805">
        <v>96965</v>
      </c>
      <c r="L191" s="3160">
        <v>13046</v>
      </c>
      <c r="M191" s="810"/>
      <c r="N191" s="1409"/>
      <c r="O191" s="3078"/>
      <c r="P191" s="3078"/>
      <c r="Q191" s="808"/>
      <c r="R191" s="1324">
        <v>14903</v>
      </c>
      <c r="S191" s="1321"/>
    </row>
    <row r="192" spans="1:19">
      <c r="A192" s="63">
        <f t="shared" si="0"/>
        <v>2009.03</v>
      </c>
      <c r="B192" s="58">
        <v>3305</v>
      </c>
      <c r="C192" s="3160">
        <v>4371</v>
      </c>
      <c r="D192" s="136"/>
      <c r="E192" s="805">
        <v>8952</v>
      </c>
      <c r="F192" s="3160">
        <v>2042</v>
      </c>
      <c r="G192" s="803"/>
      <c r="H192" s="805">
        <v>41507</v>
      </c>
      <c r="I192" s="3160">
        <v>39634</v>
      </c>
      <c r="J192" s="803"/>
      <c r="K192" s="805">
        <v>102341</v>
      </c>
      <c r="L192" s="3160">
        <v>14766</v>
      </c>
      <c r="M192" s="810"/>
      <c r="N192" s="1409"/>
      <c r="O192" s="3078"/>
      <c r="P192" s="3078"/>
      <c r="Q192" s="808"/>
      <c r="R192" s="1324">
        <v>37904</v>
      </c>
      <c r="S192" s="1321"/>
    </row>
    <row r="193" spans="1:19">
      <c r="A193" s="63">
        <f t="shared" si="0"/>
        <v>2009.04</v>
      </c>
      <c r="B193" s="58">
        <v>3375</v>
      </c>
      <c r="C193" s="3160">
        <v>3625</v>
      </c>
      <c r="D193" s="136"/>
      <c r="E193" s="805">
        <v>8603</v>
      </c>
      <c r="F193" s="3160">
        <v>2018</v>
      </c>
      <c r="G193" s="803"/>
      <c r="H193" s="805">
        <v>40653</v>
      </c>
      <c r="I193" s="3160">
        <v>34210</v>
      </c>
      <c r="J193" s="803"/>
      <c r="K193" s="805">
        <v>100675</v>
      </c>
      <c r="L193" s="3160">
        <v>14051</v>
      </c>
      <c r="M193" s="1350"/>
      <c r="N193" s="1408"/>
      <c r="O193" s="3158"/>
      <c r="P193" s="3158"/>
      <c r="Q193" s="803"/>
      <c r="R193" s="1324">
        <v>37269</v>
      </c>
      <c r="S193" s="1321"/>
    </row>
    <row r="194" spans="1:19">
      <c r="A194" s="63">
        <f t="shared" si="0"/>
        <v>2009.05</v>
      </c>
      <c r="B194" s="58">
        <v>3428</v>
      </c>
      <c r="C194" s="3160">
        <v>3191</v>
      </c>
      <c r="D194" s="136"/>
      <c r="E194" s="805">
        <v>8755</v>
      </c>
      <c r="F194" s="3160">
        <v>1910</v>
      </c>
      <c r="G194" s="803"/>
      <c r="H194" s="805">
        <v>40257</v>
      </c>
      <c r="I194" s="3160">
        <v>29596</v>
      </c>
      <c r="J194" s="803"/>
      <c r="K194" s="805">
        <v>98977</v>
      </c>
      <c r="L194" s="3160">
        <v>12728</v>
      </c>
      <c r="M194" s="1350"/>
      <c r="N194" s="1408"/>
      <c r="O194" s="3158"/>
      <c r="P194" s="3158"/>
      <c r="Q194" s="803"/>
      <c r="R194" s="1324">
        <v>42783</v>
      </c>
      <c r="S194" s="1321"/>
    </row>
    <row r="195" spans="1:19">
      <c r="A195" s="63">
        <f t="shared" si="0"/>
        <v>2009.06</v>
      </c>
      <c r="B195" s="58">
        <v>3852</v>
      </c>
      <c r="C195" s="3160">
        <v>3063</v>
      </c>
      <c r="D195" s="136"/>
      <c r="E195" s="805">
        <v>9542</v>
      </c>
      <c r="F195" s="3160">
        <v>1905</v>
      </c>
      <c r="G195" s="803"/>
      <c r="H195" s="805">
        <v>44167</v>
      </c>
      <c r="I195" s="3160">
        <v>28159</v>
      </c>
      <c r="J195" s="803"/>
      <c r="K195" s="805">
        <v>107020</v>
      </c>
      <c r="L195" s="3160">
        <v>12738</v>
      </c>
      <c r="M195" s="1350"/>
      <c r="N195" s="1408"/>
      <c r="O195" s="3158"/>
      <c r="P195" s="3158"/>
      <c r="Q195" s="803"/>
      <c r="R195" s="1324">
        <v>44527</v>
      </c>
      <c r="S195" s="1321"/>
    </row>
    <row r="196" spans="1:19">
      <c r="A196" s="63">
        <f t="shared" si="0"/>
        <v>2009.07</v>
      </c>
      <c r="B196" s="58">
        <v>3946</v>
      </c>
      <c r="C196" s="3160">
        <v>3250</v>
      </c>
      <c r="D196" s="136"/>
      <c r="E196" s="805">
        <v>10893</v>
      </c>
      <c r="F196" s="3160">
        <v>2042</v>
      </c>
      <c r="G196" s="803"/>
      <c r="H196" s="805">
        <v>46733</v>
      </c>
      <c r="I196" s="3160">
        <v>29522</v>
      </c>
      <c r="J196" s="803"/>
      <c r="K196" s="805">
        <v>116489</v>
      </c>
      <c r="L196" s="3160">
        <v>13047</v>
      </c>
      <c r="M196" s="1350"/>
      <c r="N196" s="1408"/>
      <c r="O196" s="3158"/>
      <c r="P196" s="3158"/>
      <c r="Q196" s="803"/>
      <c r="R196" s="1324">
        <v>47219</v>
      </c>
      <c r="S196" s="1321"/>
    </row>
    <row r="197" spans="1:19">
      <c r="A197" s="63">
        <f t="shared" si="0"/>
        <v>2009.08</v>
      </c>
      <c r="B197" s="58">
        <v>3617</v>
      </c>
      <c r="C197" s="3160">
        <v>2994</v>
      </c>
      <c r="D197" s="136"/>
      <c r="E197" s="805">
        <v>10598</v>
      </c>
      <c r="F197" s="3160">
        <v>1986</v>
      </c>
      <c r="G197" s="803"/>
      <c r="H197" s="805">
        <v>42564</v>
      </c>
      <c r="I197" s="3160">
        <v>29867</v>
      </c>
      <c r="J197" s="803"/>
      <c r="K197" s="805">
        <v>116785</v>
      </c>
      <c r="L197" s="3160">
        <v>14149</v>
      </c>
      <c r="M197" s="1350"/>
      <c r="N197" s="1408"/>
      <c r="O197" s="3158"/>
      <c r="P197" s="3158"/>
      <c r="Q197" s="803"/>
      <c r="R197" s="1324">
        <v>47824</v>
      </c>
      <c r="S197" s="1321"/>
    </row>
    <row r="198" spans="1:19">
      <c r="A198" s="63">
        <f t="shared" si="0"/>
        <v>2009.09</v>
      </c>
      <c r="B198" s="58">
        <v>3902</v>
      </c>
      <c r="C198" s="3160">
        <v>3304</v>
      </c>
      <c r="D198" s="136"/>
      <c r="E198" s="805">
        <v>10982</v>
      </c>
      <c r="F198" s="3160">
        <v>2235</v>
      </c>
      <c r="G198" s="803"/>
      <c r="H198" s="805">
        <v>46274</v>
      </c>
      <c r="I198" s="3160">
        <v>32068</v>
      </c>
      <c r="J198" s="803"/>
      <c r="K198" s="805">
        <v>128342</v>
      </c>
      <c r="L198" s="3160">
        <v>15704</v>
      </c>
      <c r="M198" s="1350"/>
      <c r="N198" s="1408"/>
      <c r="O198" s="3158"/>
      <c r="P198" s="3158"/>
      <c r="Q198" s="803"/>
      <c r="R198" s="1324">
        <v>54691</v>
      </c>
      <c r="S198" s="1321"/>
    </row>
    <row r="199" spans="1:19">
      <c r="A199" s="63">
        <f t="shared" si="0"/>
        <v>2009.1</v>
      </c>
      <c r="B199" s="58">
        <v>3229</v>
      </c>
      <c r="C199" s="3160">
        <v>3108</v>
      </c>
      <c r="D199" s="136"/>
      <c r="E199" s="805">
        <v>10574</v>
      </c>
      <c r="F199" s="3160">
        <v>2199</v>
      </c>
      <c r="G199" s="803"/>
      <c r="H199" s="805">
        <v>40255</v>
      </c>
      <c r="I199" s="3160">
        <v>31915</v>
      </c>
      <c r="J199" s="803"/>
      <c r="K199" s="805">
        <v>118816</v>
      </c>
      <c r="L199" s="3160">
        <v>15238</v>
      </c>
      <c r="M199" s="1350"/>
      <c r="N199" s="1408"/>
      <c r="O199" s="3158"/>
      <c r="P199" s="3158"/>
      <c r="Q199" s="803"/>
      <c r="R199" s="1324">
        <v>57439</v>
      </c>
      <c r="S199" s="1321"/>
    </row>
    <row r="200" spans="1:19">
      <c r="A200" s="63">
        <f t="shared" si="0"/>
        <v>2009.11</v>
      </c>
      <c r="B200" s="58">
        <v>2966</v>
      </c>
      <c r="C200" s="3160">
        <v>3213</v>
      </c>
      <c r="D200" s="136"/>
      <c r="E200" s="805">
        <v>10085</v>
      </c>
      <c r="F200" s="3160">
        <v>2104</v>
      </c>
      <c r="G200" s="803"/>
      <c r="H200" s="805">
        <v>37653</v>
      </c>
      <c r="I200" s="3160">
        <v>30505</v>
      </c>
      <c r="J200" s="803"/>
      <c r="K200" s="805">
        <v>113403</v>
      </c>
      <c r="L200" s="3160">
        <v>14870</v>
      </c>
      <c r="M200" s="1350"/>
      <c r="N200" s="1408"/>
      <c r="O200" s="3158"/>
      <c r="P200" s="3158"/>
      <c r="Q200" s="803"/>
      <c r="R200" s="1324">
        <v>56493</v>
      </c>
      <c r="S200" s="1321"/>
    </row>
    <row r="201" spans="1:19">
      <c r="A201" s="63">
        <f t="shared" si="0"/>
        <v>2009.12</v>
      </c>
      <c r="B201" s="58">
        <v>1470</v>
      </c>
      <c r="C201" s="3160">
        <v>2848</v>
      </c>
      <c r="D201" s="136"/>
      <c r="E201" s="805">
        <v>10458</v>
      </c>
      <c r="F201" s="3160">
        <v>2055</v>
      </c>
      <c r="G201" s="803"/>
      <c r="H201" s="805">
        <v>23487</v>
      </c>
      <c r="I201" s="3160">
        <v>28015</v>
      </c>
      <c r="J201" s="803"/>
      <c r="K201" s="805">
        <v>119035</v>
      </c>
      <c r="L201" s="3160">
        <v>14014</v>
      </c>
      <c r="M201" s="1350"/>
      <c r="N201" s="1408"/>
      <c r="O201" s="3158"/>
      <c r="P201" s="3158"/>
      <c r="Q201" s="803"/>
      <c r="R201" s="1324">
        <v>53152</v>
      </c>
      <c r="S201" s="1321"/>
    </row>
    <row r="202" spans="1:19">
      <c r="A202" s="63">
        <f>A190+1</f>
        <v>2010.01</v>
      </c>
      <c r="B202" s="58">
        <v>6974</v>
      </c>
      <c r="C202" s="3160">
        <v>4177</v>
      </c>
      <c r="D202" s="136"/>
      <c r="E202" s="805">
        <v>10584</v>
      </c>
      <c r="F202" s="3160">
        <v>2253</v>
      </c>
      <c r="G202" s="803"/>
      <c r="H202" s="805">
        <v>79051</v>
      </c>
      <c r="I202" s="3160">
        <v>37514</v>
      </c>
      <c r="J202" s="803"/>
      <c r="K202" s="805">
        <v>121507</v>
      </c>
      <c r="L202" s="3160">
        <v>15320</v>
      </c>
      <c r="M202" s="1350"/>
      <c r="N202" s="1408"/>
      <c r="O202" s="3158"/>
      <c r="P202" s="3158"/>
      <c r="Q202" s="803"/>
      <c r="R202" s="1324">
        <v>31602</v>
      </c>
      <c r="S202" s="1321"/>
    </row>
    <row r="203" spans="1:19">
      <c r="A203" s="63">
        <f t="shared" si="0"/>
        <v>2010.02</v>
      </c>
      <c r="B203" s="58">
        <v>3634</v>
      </c>
      <c r="C203" s="3160">
        <v>4207</v>
      </c>
      <c r="D203" s="136"/>
      <c r="E203" s="805">
        <v>9518</v>
      </c>
      <c r="F203" s="3160">
        <v>2186</v>
      </c>
      <c r="G203" s="803"/>
      <c r="H203" s="805">
        <v>44906</v>
      </c>
      <c r="I203" s="3160">
        <v>36627</v>
      </c>
      <c r="J203" s="803"/>
      <c r="K203" s="805">
        <v>107713</v>
      </c>
      <c r="L203" s="3160">
        <v>15330</v>
      </c>
      <c r="M203" s="1350"/>
      <c r="N203" s="1408"/>
      <c r="O203" s="3158"/>
      <c r="P203" s="3158"/>
      <c r="Q203" s="803"/>
      <c r="R203" s="1324">
        <v>40106</v>
      </c>
      <c r="S203" s="1321"/>
    </row>
    <row r="204" spans="1:19">
      <c r="A204" s="63">
        <f t="shared" si="0"/>
        <v>2010.03</v>
      </c>
      <c r="B204" s="58">
        <v>4465</v>
      </c>
      <c r="C204" s="3160">
        <v>4975</v>
      </c>
      <c r="D204" s="136"/>
      <c r="E204" s="805">
        <v>11792</v>
      </c>
      <c r="F204" s="3160">
        <v>2505</v>
      </c>
      <c r="G204" s="803"/>
      <c r="H204" s="805">
        <v>57489</v>
      </c>
      <c r="I204" s="3160">
        <v>47510</v>
      </c>
      <c r="J204" s="803"/>
      <c r="K204" s="805">
        <v>131633</v>
      </c>
      <c r="L204" s="3160">
        <v>18570</v>
      </c>
      <c r="M204" s="1350"/>
      <c r="N204" s="1408"/>
      <c r="O204" s="3158"/>
      <c r="P204" s="3158"/>
      <c r="Q204" s="803"/>
      <c r="R204" s="1324">
        <v>52669</v>
      </c>
      <c r="S204" s="1321"/>
    </row>
    <row r="205" spans="1:19">
      <c r="A205" s="63">
        <f t="shared" si="0"/>
        <v>2010.04</v>
      </c>
      <c r="B205" s="58">
        <v>3995</v>
      </c>
      <c r="C205" s="3160">
        <v>5985</v>
      </c>
      <c r="D205" s="136"/>
      <c r="E205" s="805">
        <v>10700</v>
      </c>
      <c r="F205" s="3160">
        <v>2445</v>
      </c>
      <c r="G205" s="803"/>
      <c r="H205" s="805">
        <v>51281</v>
      </c>
      <c r="I205" s="3160">
        <v>51433</v>
      </c>
      <c r="J205" s="803"/>
      <c r="K205" s="805">
        <v>122379</v>
      </c>
      <c r="L205" s="3160">
        <v>16651</v>
      </c>
      <c r="M205" s="1350"/>
      <c r="N205" s="1408"/>
      <c r="O205" s="3158"/>
      <c r="P205" s="3158"/>
      <c r="Q205" s="803"/>
      <c r="R205" s="1324">
        <v>57120</v>
      </c>
      <c r="S205" s="1321"/>
    </row>
    <row r="206" spans="1:19">
      <c r="A206" s="63">
        <f t="shared" si="0"/>
        <v>2010.05</v>
      </c>
      <c r="B206" s="58">
        <v>3939</v>
      </c>
      <c r="C206" s="3160">
        <v>6149</v>
      </c>
      <c r="D206" s="136"/>
      <c r="E206" s="805">
        <v>10423</v>
      </c>
      <c r="F206" s="3160">
        <v>2169</v>
      </c>
      <c r="G206" s="803"/>
      <c r="H206" s="805">
        <v>50941</v>
      </c>
      <c r="I206" s="3160">
        <v>49734</v>
      </c>
      <c r="J206" s="803"/>
      <c r="K206" s="805">
        <v>113119</v>
      </c>
      <c r="L206" s="3160">
        <v>14677</v>
      </c>
      <c r="M206" s="1350"/>
      <c r="N206" s="1408"/>
      <c r="O206" s="3158"/>
      <c r="P206" s="3158"/>
      <c r="Q206" s="803"/>
      <c r="R206" s="1324">
        <v>59723</v>
      </c>
      <c r="S206" s="1321"/>
    </row>
    <row r="207" spans="1:19">
      <c r="A207" s="63">
        <f t="shared" si="0"/>
        <v>2010.06</v>
      </c>
      <c r="B207" s="58">
        <v>4416</v>
      </c>
      <c r="C207" s="3160">
        <v>5621</v>
      </c>
      <c r="D207" s="136"/>
      <c r="E207" s="805">
        <v>11584</v>
      </c>
      <c r="F207" s="3160">
        <v>2282</v>
      </c>
      <c r="G207" s="803"/>
      <c r="H207" s="805">
        <v>55061</v>
      </c>
      <c r="I207" s="3160">
        <v>49304</v>
      </c>
      <c r="J207" s="803"/>
      <c r="K207" s="805">
        <v>123846</v>
      </c>
      <c r="L207" s="3160">
        <v>15503</v>
      </c>
      <c r="M207" s="1350"/>
      <c r="N207" s="1408"/>
      <c r="O207" s="3158"/>
      <c r="P207" s="3158"/>
      <c r="Q207" s="803"/>
      <c r="R207" s="1324">
        <v>65256</v>
      </c>
      <c r="S207" s="1321"/>
    </row>
    <row r="208" spans="1:19">
      <c r="A208" s="63">
        <f t="shared" si="0"/>
        <v>2010.07</v>
      </c>
      <c r="B208" s="58">
        <v>4915</v>
      </c>
      <c r="C208" s="3160">
        <v>6052</v>
      </c>
      <c r="D208" s="136"/>
      <c r="E208" s="805">
        <v>12213</v>
      </c>
      <c r="F208" s="3160">
        <v>2331</v>
      </c>
      <c r="G208" s="803"/>
      <c r="H208" s="805">
        <v>57693</v>
      </c>
      <c r="I208" s="3160">
        <v>52346</v>
      </c>
      <c r="J208" s="803"/>
      <c r="K208" s="805">
        <v>128955</v>
      </c>
      <c r="L208" s="3160">
        <v>15434</v>
      </c>
      <c r="M208" s="1350"/>
      <c r="N208" s="1408"/>
      <c r="O208" s="3158"/>
      <c r="P208" s="3158"/>
      <c r="Q208" s="803"/>
      <c r="R208" s="1324">
        <v>57706</v>
      </c>
      <c r="S208" s="1321"/>
    </row>
    <row r="209" spans="1:19">
      <c r="A209" s="63">
        <f t="shared" si="0"/>
        <v>2010.08</v>
      </c>
      <c r="B209" s="58">
        <v>4926</v>
      </c>
      <c r="C209" s="3160">
        <v>7046</v>
      </c>
      <c r="D209" s="136"/>
      <c r="E209" s="805">
        <v>13280</v>
      </c>
      <c r="F209" s="3160">
        <v>2617</v>
      </c>
      <c r="G209" s="803"/>
      <c r="H209" s="805">
        <v>57623</v>
      </c>
      <c r="I209" s="3160">
        <v>59517</v>
      </c>
      <c r="J209" s="803"/>
      <c r="K209" s="805">
        <v>135798</v>
      </c>
      <c r="L209" s="3160">
        <v>16505</v>
      </c>
      <c r="M209" s="1350"/>
      <c r="N209" s="1408"/>
      <c r="O209" s="3158"/>
      <c r="P209" s="3158"/>
      <c r="Q209" s="803"/>
      <c r="R209" s="1324">
        <v>72967</v>
      </c>
      <c r="S209" s="1321"/>
    </row>
    <row r="210" spans="1:19">
      <c r="A210" s="63">
        <f t="shared" si="0"/>
        <v>2010.09</v>
      </c>
      <c r="B210" s="58">
        <v>5471</v>
      </c>
      <c r="C210" s="3160">
        <v>6989</v>
      </c>
      <c r="D210" s="136"/>
      <c r="E210" s="805">
        <v>13842</v>
      </c>
      <c r="F210" s="3160">
        <v>2809</v>
      </c>
      <c r="G210" s="803"/>
      <c r="H210" s="805">
        <v>64235</v>
      </c>
      <c r="I210" s="3160">
        <v>62885</v>
      </c>
      <c r="J210" s="803"/>
      <c r="K210" s="805">
        <v>145247</v>
      </c>
      <c r="L210" s="3160">
        <v>19093</v>
      </c>
      <c r="M210" s="1350"/>
      <c r="N210" s="1408"/>
      <c r="O210" s="3158"/>
      <c r="P210" s="3158"/>
      <c r="Q210" s="803"/>
      <c r="R210" s="1324">
        <v>75344</v>
      </c>
      <c r="S210" s="1321"/>
    </row>
    <row r="211" spans="1:19">
      <c r="A211" s="63">
        <f t="shared" si="0"/>
        <v>2010.1</v>
      </c>
      <c r="B211" s="58">
        <v>4634</v>
      </c>
      <c r="C211" s="3160">
        <v>6070</v>
      </c>
      <c r="D211" s="136"/>
      <c r="E211" s="805">
        <v>11893</v>
      </c>
      <c r="F211" s="3160">
        <v>2420</v>
      </c>
      <c r="G211" s="803"/>
      <c r="H211" s="805">
        <v>53970</v>
      </c>
      <c r="I211" s="3160">
        <v>55370</v>
      </c>
      <c r="J211" s="803"/>
      <c r="K211" s="805">
        <v>126775</v>
      </c>
      <c r="L211" s="3160">
        <v>17361</v>
      </c>
      <c r="M211" s="1350"/>
      <c r="N211" s="1408"/>
      <c r="O211" s="3158"/>
      <c r="P211" s="3158"/>
      <c r="Q211" s="803"/>
      <c r="R211" s="1324">
        <v>67495</v>
      </c>
      <c r="S211" s="1321"/>
    </row>
    <row r="212" spans="1:19">
      <c r="A212" s="63">
        <f t="shared" si="0"/>
        <v>2010.11</v>
      </c>
      <c r="B212" s="58">
        <v>4375</v>
      </c>
      <c r="C212" s="3160">
        <v>7415</v>
      </c>
      <c r="D212" s="136"/>
      <c r="E212" s="805">
        <v>13346</v>
      </c>
      <c r="F212" s="3160">
        <v>2930</v>
      </c>
      <c r="G212" s="803"/>
      <c r="H212" s="805">
        <v>54348</v>
      </c>
      <c r="I212" s="3160">
        <v>62804</v>
      </c>
      <c r="J212" s="803"/>
      <c r="K212" s="805">
        <v>141297</v>
      </c>
      <c r="L212" s="3160">
        <v>20500</v>
      </c>
      <c r="M212" s="1350"/>
      <c r="N212" s="1408"/>
      <c r="O212" s="3158"/>
      <c r="P212" s="3158"/>
      <c r="Q212" s="803"/>
      <c r="R212" s="1324">
        <v>76813</v>
      </c>
      <c r="S212" s="1321"/>
    </row>
    <row r="213" spans="1:19">
      <c r="A213" s="63">
        <f t="shared" si="0"/>
        <v>2010.12</v>
      </c>
      <c r="B213" s="58">
        <v>3065</v>
      </c>
      <c r="C213" s="3160">
        <v>7060</v>
      </c>
      <c r="D213" s="136"/>
      <c r="E213" s="805">
        <v>13808</v>
      </c>
      <c r="F213" s="3160">
        <v>2791</v>
      </c>
      <c r="G213" s="803"/>
      <c r="H213" s="805">
        <v>38954</v>
      </c>
      <c r="I213" s="3160">
        <v>61402</v>
      </c>
      <c r="J213" s="803"/>
      <c r="K213" s="805">
        <v>145907</v>
      </c>
      <c r="L213" s="3160">
        <v>19287</v>
      </c>
      <c r="M213" s="1350"/>
      <c r="N213" s="1408"/>
      <c r="O213" s="3158"/>
      <c r="P213" s="3158"/>
      <c r="Q213" s="803"/>
      <c r="R213" s="1324">
        <v>67222</v>
      </c>
      <c r="S213" s="1321"/>
    </row>
    <row r="214" spans="1:19">
      <c r="A214" s="63">
        <f>A202+1</f>
        <v>2011.01</v>
      </c>
      <c r="B214" s="58">
        <v>9051</v>
      </c>
      <c r="C214" s="3160">
        <v>8978</v>
      </c>
      <c r="D214" s="136"/>
      <c r="E214" s="805">
        <v>13279</v>
      </c>
      <c r="F214" s="3160">
        <v>2836</v>
      </c>
      <c r="G214" s="803"/>
      <c r="H214" s="805">
        <v>104339</v>
      </c>
      <c r="I214" s="3160">
        <v>76553</v>
      </c>
      <c r="J214" s="803"/>
      <c r="K214" s="805">
        <v>145332</v>
      </c>
      <c r="L214" s="3160">
        <v>20097</v>
      </c>
      <c r="M214" s="1350"/>
      <c r="N214" s="1408"/>
      <c r="O214" s="3158"/>
      <c r="P214" s="3158"/>
      <c r="Q214" s="803"/>
      <c r="R214" s="1324">
        <v>46948</v>
      </c>
      <c r="S214" s="1321"/>
    </row>
    <row r="215" spans="1:19">
      <c r="A215" s="63">
        <f t="shared" si="0"/>
        <v>2011.02</v>
      </c>
      <c r="B215" s="58">
        <v>4930</v>
      </c>
      <c r="C215" s="3160">
        <v>8665</v>
      </c>
      <c r="D215" s="803"/>
      <c r="E215" s="805">
        <v>12378</v>
      </c>
      <c r="F215" s="3160">
        <v>2755</v>
      </c>
      <c r="G215" s="803"/>
      <c r="H215" s="805">
        <v>60398</v>
      </c>
      <c r="I215" s="3160">
        <v>73082</v>
      </c>
      <c r="J215" s="803"/>
      <c r="K215" s="805">
        <v>138912</v>
      </c>
      <c r="L215" s="3160">
        <v>20163</v>
      </c>
      <c r="M215" s="1350"/>
      <c r="N215" s="1408"/>
      <c r="O215" s="3158"/>
      <c r="P215" s="3158"/>
      <c r="Q215" s="803"/>
      <c r="R215" s="1324">
        <v>42051</v>
      </c>
      <c r="S215" s="1321"/>
    </row>
    <row r="216" spans="1:19">
      <c r="A216" s="63">
        <f t="shared" si="0"/>
        <v>2011.03</v>
      </c>
      <c r="B216" s="58">
        <v>5899</v>
      </c>
      <c r="C216" s="3160">
        <v>7939</v>
      </c>
      <c r="D216" s="803"/>
      <c r="E216" s="805">
        <v>12793</v>
      </c>
      <c r="F216" s="3160">
        <v>2997</v>
      </c>
      <c r="G216" s="803"/>
      <c r="H216" s="805">
        <v>67829</v>
      </c>
      <c r="I216" s="3160">
        <v>73733</v>
      </c>
      <c r="J216" s="803"/>
      <c r="K216" s="805">
        <v>138738</v>
      </c>
      <c r="L216" s="3160">
        <v>21499</v>
      </c>
      <c r="M216" s="1350"/>
      <c r="N216" s="1408"/>
      <c r="O216" s="3158"/>
      <c r="P216" s="3158"/>
      <c r="Q216" s="803"/>
      <c r="R216" s="1324">
        <v>70487</v>
      </c>
      <c r="S216" s="1321"/>
    </row>
    <row r="217" spans="1:19">
      <c r="A217" s="63">
        <f t="shared" si="0"/>
        <v>2011.04</v>
      </c>
      <c r="B217" s="58">
        <v>5862</v>
      </c>
      <c r="C217" s="3160">
        <v>6815</v>
      </c>
      <c r="D217" s="803"/>
      <c r="E217" s="805">
        <v>11823</v>
      </c>
      <c r="F217" s="3160">
        <v>2655</v>
      </c>
      <c r="G217" s="803"/>
      <c r="H217" s="805">
        <v>65595</v>
      </c>
      <c r="I217" s="3160">
        <v>59295</v>
      </c>
      <c r="J217" s="803"/>
      <c r="K217" s="805">
        <v>134708</v>
      </c>
      <c r="L217" s="3160">
        <v>20001</v>
      </c>
      <c r="M217" s="1350"/>
      <c r="N217" s="1408"/>
      <c r="O217" s="3158"/>
      <c r="P217" s="3158"/>
      <c r="Q217" s="803"/>
      <c r="R217" s="1324">
        <v>72432</v>
      </c>
      <c r="S217" s="1321"/>
    </row>
    <row r="218" spans="1:19">
      <c r="A218" s="63">
        <f t="shared" si="0"/>
        <v>2011.05</v>
      </c>
      <c r="B218" s="58">
        <v>5660</v>
      </c>
      <c r="C218" s="3160">
        <v>6622</v>
      </c>
      <c r="D218" s="803"/>
      <c r="E218" s="805">
        <v>14939</v>
      </c>
      <c r="F218" s="3160">
        <v>3205</v>
      </c>
      <c r="G218" s="803"/>
      <c r="H218" s="805">
        <v>68218</v>
      </c>
      <c r="I218" s="3160">
        <v>64175</v>
      </c>
      <c r="J218" s="803"/>
      <c r="K218" s="805">
        <v>156998</v>
      </c>
      <c r="L218" s="3160">
        <v>22609</v>
      </c>
      <c r="M218" s="1350"/>
      <c r="N218" s="1408"/>
      <c r="O218" s="3158"/>
      <c r="P218" s="3158"/>
      <c r="Q218" s="803"/>
      <c r="R218" s="1324">
        <v>79585</v>
      </c>
      <c r="S218" s="1321"/>
    </row>
    <row r="219" spans="1:19">
      <c r="A219" s="63">
        <f t="shared" si="0"/>
        <v>2011.06</v>
      </c>
      <c r="B219" s="58">
        <v>7115</v>
      </c>
      <c r="C219" s="3160">
        <v>6084</v>
      </c>
      <c r="D219" s="803"/>
      <c r="E219" s="805">
        <v>15100</v>
      </c>
      <c r="F219" s="3160">
        <v>2708</v>
      </c>
      <c r="G219" s="803"/>
      <c r="H219" s="805">
        <v>78720</v>
      </c>
      <c r="I219" s="3160">
        <v>56681</v>
      </c>
      <c r="J219" s="803"/>
      <c r="K219" s="805">
        <v>155070</v>
      </c>
      <c r="L219" s="3160">
        <v>19837</v>
      </c>
      <c r="M219" s="1350"/>
      <c r="N219" s="1408"/>
      <c r="O219" s="3158"/>
      <c r="P219" s="3158"/>
      <c r="Q219" s="803"/>
      <c r="R219" s="1324">
        <v>80795</v>
      </c>
      <c r="S219" s="1321"/>
    </row>
    <row r="220" spans="1:19">
      <c r="A220" s="63">
        <f t="shared" si="0"/>
        <v>2011.07</v>
      </c>
      <c r="B220" s="58">
        <v>6360</v>
      </c>
      <c r="C220" s="3160">
        <v>6386</v>
      </c>
      <c r="D220" s="803"/>
      <c r="E220" s="805">
        <v>15252</v>
      </c>
      <c r="F220" s="3160">
        <v>2780</v>
      </c>
      <c r="G220" s="803"/>
      <c r="H220" s="805">
        <v>73223</v>
      </c>
      <c r="I220" s="3160">
        <v>55307</v>
      </c>
      <c r="J220" s="803"/>
      <c r="K220" s="805">
        <v>158818</v>
      </c>
      <c r="L220" s="3160">
        <v>19881</v>
      </c>
      <c r="M220" s="1350"/>
      <c r="N220" s="1408"/>
      <c r="O220" s="3158"/>
      <c r="P220" s="3158"/>
      <c r="Q220" s="803"/>
      <c r="R220" s="1324">
        <v>70628</v>
      </c>
      <c r="S220" s="1321"/>
    </row>
    <row r="221" spans="1:19">
      <c r="A221" s="63">
        <f t="shared" si="0"/>
        <v>2011.08</v>
      </c>
      <c r="B221" s="58">
        <v>7105</v>
      </c>
      <c r="C221" s="3160">
        <v>7205</v>
      </c>
      <c r="D221" s="803"/>
      <c r="E221" s="805">
        <v>16723</v>
      </c>
      <c r="F221" s="3160">
        <v>3266</v>
      </c>
      <c r="G221" s="803"/>
      <c r="H221" s="805">
        <v>80246</v>
      </c>
      <c r="I221" s="3160">
        <v>62530</v>
      </c>
      <c r="J221" s="803"/>
      <c r="K221" s="805">
        <v>172342</v>
      </c>
      <c r="L221" s="3160">
        <v>22232</v>
      </c>
      <c r="M221" s="1350"/>
      <c r="N221" s="1408"/>
      <c r="O221" s="3158"/>
      <c r="P221" s="3158"/>
      <c r="Q221" s="803"/>
      <c r="R221" s="1324">
        <v>84655</v>
      </c>
      <c r="S221" s="1321"/>
    </row>
    <row r="222" spans="1:19">
      <c r="A222" s="63">
        <f t="shared" si="0"/>
        <v>2011.09</v>
      </c>
      <c r="B222" s="58">
        <v>7287</v>
      </c>
      <c r="C222" s="3160">
        <v>7432</v>
      </c>
      <c r="D222" s="803"/>
      <c r="E222" s="805">
        <v>16520</v>
      </c>
      <c r="F222" s="3160">
        <v>3500</v>
      </c>
      <c r="G222" s="803"/>
      <c r="H222" s="805">
        <v>84583</v>
      </c>
      <c r="I222" s="3160">
        <v>66351</v>
      </c>
      <c r="J222" s="803"/>
      <c r="K222" s="805">
        <v>170710</v>
      </c>
      <c r="L222" s="3160">
        <v>23863</v>
      </c>
      <c r="M222" s="1350"/>
      <c r="N222" s="1408"/>
      <c r="O222" s="3158"/>
      <c r="P222" s="3158"/>
      <c r="Q222" s="803"/>
      <c r="R222" s="1324">
        <v>79977</v>
      </c>
      <c r="S222" s="1321"/>
    </row>
    <row r="223" spans="1:19">
      <c r="A223" s="63">
        <f t="shared" si="0"/>
        <v>2011.1</v>
      </c>
      <c r="B223" s="58">
        <v>6177</v>
      </c>
      <c r="C223" s="3160">
        <v>6940</v>
      </c>
      <c r="D223" s="803"/>
      <c r="E223" s="805">
        <v>14858</v>
      </c>
      <c r="F223" s="3160">
        <v>3310</v>
      </c>
      <c r="G223" s="803"/>
      <c r="H223" s="805">
        <v>72659</v>
      </c>
      <c r="I223" s="3160">
        <v>64378</v>
      </c>
      <c r="J223" s="803"/>
      <c r="K223" s="805">
        <v>154189</v>
      </c>
      <c r="L223" s="3160">
        <v>22846</v>
      </c>
      <c r="M223" s="1350"/>
      <c r="N223" s="1408"/>
      <c r="O223" s="3158"/>
      <c r="P223" s="3158"/>
      <c r="Q223" s="803"/>
      <c r="R223" s="1324">
        <v>73237</v>
      </c>
      <c r="S223" s="1321"/>
    </row>
    <row r="224" spans="1:19">
      <c r="A224" s="63">
        <f t="shared" si="0"/>
        <v>2011.11</v>
      </c>
      <c r="B224" s="58">
        <v>5364</v>
      </c>
      <c r="C224" s="3160">
        <v>6848</v>
      </c>
      <c r="D224" s="803"/>
      <c r="E224" s="805">
        <v>14289</v>
      </c>
      <c r="F224" s="3160">
        <v>3333</v>
      </c>
      <c r="G224" s="803"/>
      <c r="H224" s="805">
        <v>65996</v>
      </c>
      <c r="I224" s="3160">
        <v>67626</v>
      </c>
      <c r="J224" s="803"/>
      <c r="K224" s="805">
        <v>157069</v>
      </c>
      <c r="L224" s="3160">
        <v>23668</v>
      </c>
      <c r="M224" s="1350"/>
      <c r="N224" s="1408"/>
      <c r="O224" s="3158"/>
      <c r="P224" s="3158"/>
      <c r="Q224" s="803"/>
      <c r="R224" s="1324">
        <v>75564</v>
      </c>
      <c r="S224" s="1321"/>
    </row>
    <row r="225" spans="1:19">
      <c r="A225" s="63">
        <f t="shared" si="0"/>
        <v>2011.12</v>
      </c>
      <c r="B225" s="58">
        <v>2868</v>
      </c>
      <c r="C225" s="3160">
        <v>6343</v>
      </c>
      <c r="D225" s="803"/>
      <c r="E225" s="805">
        <v>13981</v>
      </c>
      <c r="F225" s="3160">
        <v>3236</v>
      </c>
      <c r="G225" s="803"/>
      <c r="H225" s="805">
        <v>39014</v>
      </c>
      <c r="I225" s="3160">
        <v>61544</v>
      </c>
      <c r="J225" s="803"/>
      <c r="K225" s="805">
        <v>150779</v>
      </c>
      <c r="L225" s="3160">
        <v>21552</v>
      </c>
      <c r="M225" s="1350"/>
      <c r="N225" s="1408"/>
      <c r="O225" s="3158"/>
      <c r="P225" s="3158"/>
      <c r="Q225" s="803"/>
      <c r="R225" s="1324">
        <v>52412</v>
      </c>
      <c r="S225" s="1321"/>
    </row>
    <row r="226" spans="1:19">
      <c r="A226" s="63">
        <f>A214+1</f>
        <v>2012.01</v>
      </c>
      <c r="B226" s="58">
        <v>9422</v>
      </c>
      <c r="C226" s="3160">
        <v>8372</v>
      </c>
      <c r="D226" s="803"/>
      <c r="E226" s="805">
        <v>13329</v>
      </c>
      <c r="F226" s="3160">
        <v>3156</v>
      </c>
      <c r="G226" s="803"/>
      <c r="H226" s="805">
        <v>113121</v>
      </c>
      <c r="I226" s="3160">
        <v>80228</v>
      </c>
      <c r="J226" s="803"/>
      <c r="K226" s="805">
        <v>152245</v>
      </c>
      <c r="L226" s="3160">
        <v>23708</v>
      </c>
      <c r="M226" s="1350"/>
      <c r="N226" s="1408"/>
      <c r="O226" s="3158"/>
      <c r="P226" s="3158"/>
      <c r="Q226" s="803"/>
      <c r="R226" s="1324">
        <v>42011</v>
      </c>
      <c r="S226" s="1321"/>
    </row>
    <row r="227" spans="1:19">
      <c r="A227" s="63">
        <f t="shared" si="0"/>
        <v>2012.02</v>
      </c>
      <c r="B227" s="58">
        <v>4739</v>
      </c>
      <c r="C227" s="3160">
        <v>6402</v>
      </c>
      <c r="D227" s="803"/>
      <c r="E227" s="805">
        <v>10767</v>
      </c>
      <c r="F227" s="3160">
        <v>2763</v>
      </c>
      <c r="G227" s="803"/>
      <c r="H227" s="805">
        <v>58424</v>
      </c>
      <c r="I227" s="3160">
        <v>62884</v>
      </c>
      <c r="J227" s="803"/>
      <c r="K227" s="805">
        <v>123120</v>
      </c>
      <c r="L227" s="3160">
        <v>21332</v>
      </c>
      <c r="M227" s="1350"/>
      <c r="N227" s="1408"/>
      <c r="O227" s="3158"/>
      <c r="P227" s="3158"/>
      <c r="Q227" s="803"/>
      <c r="R227" s="1324">
        <v>54159</v>
      </c>
      <c r="S227" s="1321"/>
    </row>
    <row r="228" spans="1:19">
      <c r="A228" s="63">
        <f t="shared" si="0"/>
        <v>2012.03</v>
      </c>
      <c r="B228" s="58">
        <v>6671</v>
      </c>
      <c r="C228" s="3160">
        <v>6700</v>
      </c>
      <c r="D228" s="803"/>
      <c r="E228" s="805">
        <v>13837</v>
      </c>
      <c r="F228" s="3160">
        <v>3596</v>
      </c>
      <c r="G228" s="803"/>
      <c r="H228" s="805">
        <v>82570</v>
      </c>
      <c r="I228" s="3160">
        <v>71775</v>
      </c>
      <c r="J228" s="803"/>
      <c r="K228" s="805">
        <v>155668</v>
      </c>
      <c r="L228" s="3160">
        <v>27749</v>
      </c>
      <c r="M228" s="1350"/>
      <c r="N228" s="1408"/>
      <c r="O228" s="3158"/>
      <c r="P228" s="3158"/>
      <c r="Q228" s="803"/>
      <c r="R228" s="1324">
        <v>67667</v>
      </c>
      <c r="S228" s="1321"/>
    </row>
    <row r="229" spans="1:19">
      <c r="A229" s="63">
        <f t="shared" si="0"/>
        <v>2012.04</v>
      </c>
      <c r="B229" s="58">
        <v>5011</v>
      </c>
      <c r="C229" s="3160">
        <v>4739</v>
      </c>
      <c r="D229" s="803"/>
      <c r="E229" s="805">
        <v>10596</v>
      </c>
      <c r="F229" s="3160">
        <v>2919</v>
      </c>
      <c r="G229" s="803"/>
      <c r="H229" s="805">
        <v>61103</v>
      </c>
      <c r="I229" s="3160">
        <v>51107</v>
      </c>
      <c r="J229" s="803"/>
      <c r="K229" s="805">
        <v>120690</v>
      </c>
      <c r="L229" s="3160">
        <v>21343</v>
      </c>
      <c r="M229" s="1350"/>
      <c r="N229" s="1408"/>
      <c r="O229" s="3158"/>
      <c r="P229" s="3158"/>
      <c r="Q229" s="803"/>
      <c r="R229" s="1324">
        <v>54772</v>
      </c>
      <c r="S229" s="1321"/>
    </row>
    <row r="230" spans="1:19">
      <c r="A230" s="63">
        <f t="shared" si="0"/>
        <v>2012.05</v>
      </c>
      <c r="B230" s="58">
        <v>6371</v>
      </c>
      <c r="C230" s="3160">
        <v>5246</v>
      </c>
      <c r="D230" s="803"/>
      <c r="E230" s="805">
        <v>13794</v>
      </c>
      <c r="F230" s="3160">
        <v>3564</v>
      </c>
      <c r="G230" s="803"/>
      <c r="H230" s="805">
        <v>76728</v>
      </c>
      <c r="I230" s="3160">
        <v>55696</v>
      </c>
      <c r="J230" s="803"/>
      <c r="K230" s="805">
        <v>153412</v>
      </c>
      <c r="L230" s="3160">
        <v>25379</v>
      </c>
      <c r="M230" s="1350"/>
      <c r="N230" s="1408"/>
      <c r="O230" s="3158"/>
      <c r="P230" s="3158"/>
      <c r="Q230" s="803"/>
      <c r="R230" s="1324">
        <v>60206</v>
      </c>
      <c r="S230" s="1321"/>
    </row>
    <row r="231" spans="1:19">
      <c r="A231" s="63">
        <f t="shared" si="0"/>
        <v>2012.06</v>
      </c>
      <c r="B231" s="58">
        <v>5937</v>
      </c>
      <c r="C231" s="3160">
        <v>4427</v>
      </c>
      <c r="D231" s="803"/>
      <c r="E231" s="805">
        <v>12560</v>
      </c>
      <c r="F231" s="3160">
        <v>3019</v>
      </c>
      <c r="G231" s="803"/>
      <c r="H231" s="805">
        <v>69983</v>
      </c>
      <c r="I231" s="3160">
        <v>45898</v>
      </c>
      <c r="J231" s="803"/>
      <c r="K231" s="805">
        <v>140629</v>
      </c>
      <c r="L231" s="3160">
        <v>21740</v>
      </c>
      <c r="M231" s="1350"/>
      <c r="N231" s="1408"/>
      <c r="O231" s="3158"/>
      <c r="P231" s="3158"/>
      <c r="Q231" s="803"/>
      <c r="R231" s="1324">
        <v>52983</v>
      </c>
      <c r="S231" s="1321"/>
    </row>
    <row r="232" spans="1:19">
      <c r="A232" s="63">
        <f t="shared" si="0"/>
        <v>2012.07</v>
      </c>
      <c r="B232" s="58">
        <v>6219</v>
      </c>
      <c r="C232" s="3160">
        <v>4826</v>
      </c>
      <c r="D232" s="803"/>
      <c r="E232" s="805">
        <v>14831</v>
      </c>
      <c r="F232" s="3160">
        <v>3100</v>
      </c>
      <c r="G232" s="803"/>
      <c r="H232" s="805">
        <v>74401</v>
      </c>
      <c r="I232" s="3160">
        <v>50312</v>
      </c>
      <c r="J232" s="803"/>
      <c r="K232" s="805">
        <v>158828</v>
      </c>
      <c r="L232" s="3160">
        <v>22776</v>
      </c>
      <c r="M232" s="1350"/>
      <c r="N232" s="1408"/>
      <c r="O232" s="3158"/>
      <c r="P232" s="3158"/>
      <c r="Q232" s="803"/>
      <c r="R232" s="1324">
        <v>65900</v>
      </c>
      <c r="S232" s="1321"/>
    </row>
    <row r="233" spans="1:19">
      <c r="A233" s="63">
        <f t="shared" si="0"/>
        <v>2012.08</v>
      </c>
      <c r="B233" s="58">
        <v>6383</v>
      </c>
      <c r="C233" s="3160">
        <v>5101</v>
      </c>
      <c r="D233" s="803"/>
      <c r="E233" s="805">
        <v>15888</v>
      </c>
      <c r="F233" s="3160">
        <v>3518</v>
      </c>
      <c r="G233" s="803"/>
      <c r="H233" s="805">
        <v>76771</v>
      </c>
      <c r="I233" s="3160">
        <v>52854</v>
      </c>
      <c r="J233" s="803"/>
      <c r="K233" s="805">
        <v>169470</v>
      </c>
      <c r="L233" s="3160">
        <v>23984</v>
      </c>
      <c r="M233" s="1350"/>
      <c r="N233" s="1408"/>
      <c r="O233" s="3158"/>
      <c r="P233" s="3158"/>
      <c r="Q233" s="803"/>
      <c r="R233" s="1324">
        <v>79664</v>
      </c>
      <c r="S233" s="1321"/>
    </row>
    <row r="234" spans="1:19">
      <c r="A234" s="63">
        <f t="shared" si="0"/>
        <v>2012.09</v>
      </c>
      <c r="B234" s="58">
        <v>5401</v>
      </c>
      <c r="C234" s="3160">
        <v>4571</v>
      </c>
      <c r="D234" s="803"/>
      <c r="E234" s="805">
        <v>13310</v>
      </c>
      <c r="F234" s="3160">
        <v>2981</v>
      </c>
      <c r="G234" s="803"/>
      <c r="H234" s="805">
        <v>64776</v>
      </c>
      <c r="I234" s="3160">
        <v>50135</v>
      </c>
      <c r="J234" s="803"/>
      <c r="K234" s="805">
        <v>144694</v>
      </c>
      <c r="L234" s="3160">
        <v>21871</v>
      </c>
      <c r="M234" s="1350"/>
      <c r="N234" s="1408"/>
      <c r="O234" s="3158"/>
      <c r="P234" s="3158"/>
      <c r="Q234" s="803"/>
      <c r="R234" s="1324">
        <v>68726</v>
      </c>
      <c r="S234" s="1321"/>
    </row>
    <row r="235" spans="1:19">
      <c r="A235" s="63">
        <f t="shared" si="0"/>
        <v>2012.1</v>
      </c>
      <c r="B235" s="58">
        <v>5686</v>
      </c>
      <c r="C235" s="3160">
        <v>5563</v>
      </c>
      <c r="D235" s="803"/>
      <c r="E235" s="805">
        <v>14729</v>
      </c>
      <c r="F235" s="3160">
        <v>3277</v>
      </c>
      <c r="G235" s="803"/>
      <c r="H235" s="805">
        <v>70572</v>
      </c>
      <c r="I235" s="3160">
        <v>59722</v>
      </c>
      <c r="J235" s="803"/>
      <c r="K235" s="805">
        <v>160496</v>
      </c>
      <c r="L235" s="3160">
        <v>23286</v>
      </c>
      <c r="M235" s="1350"/>
      <c r="N235" s="1408"/>
      <c r="O235" s="3158"/>
      <c r="P235" s="3158"/>
      <c r="Q235" s="803"/>
      <c r="R235" s="1324">
        <v>79416</v>
      </c>
      <c r="S235" s="1321"/>
    </row>
    <row r="236" spans="1:19">
      <c r="A236" s="63">
        <f t="shared" si="0"/>
        <v>2012.11</v>
      </c>
      <c r="B236" s="58">
        <v>4542</v>
      </c>
      <c r="C236" s="3160">
        <v>5210</v>
      </c>
      <c r="D236" s="803"/>
      <c r="E236" s="805">
        <v>12519</v>
      </c>
      <c r="F236" s="3160">
        <v>3075</v>
      </c>
      <c r="G236" s="803"/>
      <c r="H236" s="805">
        <v>58877</v>
      </c>
      <c r="I236" s="3160">
        <v>56552</v>
      </c>
      <c r="J236" s="803"/>
      <c r="K236" s="805">
        <v>142928</v>
      </c>
      <c r="L236" s="3160">
        <v>22074</v>
      </c>
      <c r="M236" s="1350"/>
      <c r="N236" s="1408"/>
      <c r="O236" s="3158"/>
      <c r="P236" s="3158"/>
      <c r="Q236" s="803"/>
      <c r="R236" s="1324">
        <v>77968</v>
      </c>
      <c r="S236" s="1321"/>
    </row>
    <row r="237" spans="1:19">
      <c r="A237" s="63">
        <f t="shared" si="0"/>
        <v>2012.12</v>
      </c>
      <c r="B237" s="58">
        <v>2943</v>
      </c>
      <c r="C237" s="3160">
        <v>4402</v>
      </c>
      <c r="D237" s="803"/>
      <c r="E237" s="805">
        <v>11648</v>
      </c>
      <c r="F237" s="3160">
        <v>2505</v>
      </c>
      <c r="G237" s="803"/>
      <c r="H237" s="805">
        <v>38236</v>
      </c>
      <c r="I237" s="3160">
        <v>49226</v>
      </c>
      <c r="J237" s="803"/>
      <c r="K237" s="805">
        <v>134128</v>
      </c>
      <c r="L237" s="3160">
        <v>19417</v>
      </c>
      <c r="M237" s="1350"/>
      <c r="N237" s="1408"/>
      <c r="O237" s="3158"/>
      <c r="P237" s="3158"/>
      <c r="Q237" s="803"/>
      <c r="R237" s="1324">
        <v>61023</v>
      </c>
      <c r="S237" s="1321"/>
    </row>
    <row r="238" spans="1:19">
      <c r="A238" s="63">
        <f>A226+1</f>
        <v>2013.01</v>
      </c>
      <c r="B238" s="58">
        <v>9484</v>
      </c>
      <c r="C238" s="3160">
        <v>7374</v>
      </c>
      <c r="D238" s="172">
        <v>107</v>
      </c>
      <c r="E238" s="805">
        <v>13437</v>
      </c>
      <c r="F238" s="3160">
        <v>3176</v>
      </c>
      <c r="G238" s="803"/>
      <c r="H238" s="805">
        <v>110953</v>
      </c>
      <c r="I238" s="3160">
        <v>74079</v>
      </c>
      <c r="J238" s="172">
        <v>832</v>
      </c>
      <c r="K238" s="805">
        <v>153807</v>
      </c>
      <c r="L238" s="3160">
        <v>23495</v>
      </c>
      <c r="M238" s="1350"/>
      <c r="N238" s="1408"/>
      <c r="O238" s="3158"/>
      <c r="P238" s="3158"/>
      <c r="Q238" s="803"/>
      <c r="R238" s="1324">
        <v>44061</v>
      </c>
      <c r="S238" s="1321"/>
    </row>
    <row r="239" spans="1:19">
      <c r="A239" s="63">
        <f t="shared" si="0"/>
        <v>2013.02</v>
      </c>
      <c r="B239" s="58">
        <v>5414</v>
      </c>
      <c r="C239" s="3160">
        <v>5672</v>
      </c>
      <c r="D239" s="110">
        <v>97</v>
      </c>
      <c r="E239" s="805">
        <v>11032</v>
      </c>
      <c r="F239" s="3160">
        <v>2687</v>
      </c>
      <c r="G239" s="803"/>
      <c r="H239" s="805">
        <v>64242</v>
      </c>
      <c r="I239" s="3160">
        <v>57129</v>
      </c>
      <c r="J239" s="110">
        <v>704</v>
      </c>
      <c r="K239" s="805">
        <v>124156</v>
      </c>
      <c r="L239" s="3160">
        <v>20017</v>
      </c>
      <c r="M239" s="1350"/>
      <c r="N239" s="1408"/>
      <c r="O239" s="3158"/>
      <c r="P239" s="3158"/>
      <c r="Q239" s="803"/>
      <c r="R239" s="1324">
        <v>52911</v>
      </c>
      <c r="S239" s="1321"/>
    </row>
    <row r="240" spans="1:19">
      <c r="A240" s="63">
        <f t="shared" si="0"/>
        <v>2013.03</v>
      </c>
      <c r="B240" s="58">
        <v>6610</v>
      </c>
      <c r="C240" s="3160">
        <v>6146</v>
      </c>
      <c r="D240" s="110">
        <v>99</v>
      </c>
      <c r="E240" s="805">
        <v>12979</v>
      </c>
      <c r="F240" s="3160">
        <v>3226</v>
      </c>
      <c r="G240" s="803"/>
      <c r="H240" s="805">
        <v>78123</v>
      </c>
      <c r="I240" s="3160">
        <v>63841</v>
      </c>
      <c r="J240" s="110">
        <v>947</v>
      </c>
      <c r="K240" s="805">
        <v>143980</v>
      </c>
      <c r="L240" s="3160">
        <v>23559</v>
      </c>
      <c r="M240" s="1350"/>
      <c r="N240" s="1408"/>
      <c r="O240" s="3158"/>
      <c r="P240" s="3158"/>
      <c r="Q240" s="803"/>
      <c r="R240" s="1324">
        <v>79031</v>
      </c>
      <c r="S240" s="1321"/>
    </row>
    <row r="241" spans="1:19">
      <c r="A241" s="63">
        <f t="shared" si="0"/>
        <v>2013.04</v>
      </c>
      <c r="B241" s="58">
        <v>6920</v>
      </c>
      <c r="C241" s="3160">
        <v>6001</v>
      </c>
      <c r="D241" s="110">
        <v>144</v>
      </c>
      <c r="E241" s="805">
        <v>14074</v>
      </c>
      <c r="F241" s="3160">
        <v>3380</v>
      </c>
      <c r="G241" s="803"/>
      <c r="H241" s="805">
        <v>82649</v>
      </c>
      <c r="I241" s="3160">
        <v>64697</v>
      </c>
      <c r="J241" s="110">
        <v>1126</v>
      </c>
      <c r="K241" s="805">
        <v>151653</v>
      </c>
      <c r="L241" s="3160">
        <v>23883</v>
      </c>
      <c r="M241" s="1350"/>
      <c r="N241" s="1408"/>
      <c r="O241" s="3158"/>
      <c r="P241" s="3158"/>
      <c r="Q241" s="803"/>
      <c r="R241" s="1324">
        <v>75496</v>
      </c>
      <c r="S241" s="1321"/>
    </row>
    <row r="242" spans="1:19">
      <c r="A242" s="63">
        <f t="shared" si="0"/>
        <v>2013.05</v>
      </c>
      <c r="B242" s="58">
        <v>7689</v>
      </c>
      <c r="C242" s="3160">
        <v>5992</v>
      </c>
      <c r="D242" s="110">
        <v>189</v>
      </c>
      <c r="E242" s="805">
        <v>15364</v>
      </c>
      <c r="F242" s="3160">
        <v>3614</v>
      </c>
      <c r="G242" s="803"/>
      <c r="H242" s="805">
        <v>92892</v>
      </c>
      <c r="I242" s="3160">
        <v>63669</v>
      </c>
      <c r="J242" s="110">
        <v>1218</v>
      </c>
      <c r="K242" s="805">
        <v>166352</v>
      </c>
      <c r="L242" s="3160">
        <v>25052</v>
      </c>
      <c r="M242" s="1350"/>
      <c r="N242" s="1408"/>
      <c r="O242" s="3158"/>
      <c r="P242" s="3158"/>
      <c r="Q242" s="803"/>
      <c r="R242" s="1324">
        <v>79590</v>
      </c>
      <c r="S242" s="1321"/>
    </row>
    <row r="243" spans="1:19">
      <c r="A243" s="63">
        <f t="shared" si="0"/>
        <v>2013.06</v>
      </c>
      <c r="B243" s="58">
        <v>6263</v>
      </c>
      <c r="C243" s="3160">
        <v>4723</v>
      </c>
      <c r="D243" s="110">
        <v>154</v>
      </c>
      <c r="E243" s="805">
        <v>13200</v>
      </c>
      <c r="F243" s="3160">
        <v>2808</v>
      </c>
      <c r="G243" s="803"/>
      <c r="H243" s="805">
        <v>75190</v>
      </c>
      <c r="I243" s="3160">
        <v>49500</v>
      </c>
      <c r="J243" s="110">
        <v>1036</v>
      </c>
      <c r="K243" s="805">
        <v>137838</v>
      </c>
      <c r="L243" s="3160">
        <v>19209</v>
      </c>
      <c r="M243" s="1350"/>
      <c r="N243" s="1408"/>
      <c r="O243" s="3158"/>
      <c r="P243" s="3158"/>
      <c r="Q243" s="803"/>
      <c r="R243" s="1324">
        <v>63461</v>
      </c>
      <c r="S243" s="1321"/>
    </row>
    <row r="244" spans="1:19">
      <c r="A244" s="63">
        <f t="shared" si="0"/>
        <v>2013.07</v>
      </c>
      <c r="B244" s="58">
        <v>7375</v>
      </c>
      <c r="C244" s="3160">
        <v>5770</v>
      </c>
      <c r="D244" s="110">
        <v>189</v>
      </c>
      <c r="E244" s="805">
        <v>16698</v>
      </c>
      <c r="F244" s="3160">
        <v>3277</v>
      </c>
      <c r="G244" s="803"/>
      <c r="H244" s="805">
        <v>88447</v>
      </c>
      <c r="I244" s="3160">
        <v>59044</v>
      </c>
      <c r="J244" s="110">
        <v>1178</v>
      </c>
      <c r="K244" s="805">
        <v>177573</v>
      </c>
      <c r="L244" s="3160">
        <v>23473</v>
      </c>
      <c r="M244" s="1350"/>
      <c r="N244" s="1408"/>
      <c r="O244" s="3158"/>
      <c r="P244" s="3158"/>
      <c r="Q244" s="803"/>
      <c r="R244" s="1324">
        <v>71895</v>
      </c>
      <c r="S244" s="1321"/>
    </row>
    <row r="245" spans="1:19">
      <c r="A245" s="63">
        <f t="shared" si="0"/>
        <v>2013.08</v>
      </c>
      <c r="B245" s="58">
        <v>6765</v>
      </c>
      <c r="C245" s="3160">
        <v>5621</v>
      </c>
      <c r="D245" s="110">
        <v>206</v>
      </c>
      <c r="E245" s="805">
        <v>16253</v>
      </c>
      <c r="F245" s="3160">
        <v>3392</v>
      </c>
      <c r="G245" s="803"/>
      <c r="H245" s="805">
        <v>82777</v>
      </c>
      <c r="I245" s="3160">
        <v>58261</v>
      </c>
      <c r="J245" s="110">
        <v>1273</v>
      </c>
      <c r="K245" s="805">
        <v>169991</v>
      </c>
      <c r="L245" s="3160">
        <v>22829</v>
      </c>
      <c r="M245" s="1350"/>
      <c r="N245" s="1408"/>
      <c r="O245" s="3158"/>
      <c r="P245" s="3158"/>
      <c r="Q245" s="803"/>
      <c r="R245" s="1324">
        <v>69922</v>
      </c>
      <c r="S245" s="1321"/>
    </row>
    <row r="246" spans="1:19">
      <c r="A246" s="63">
        <f t="shared" si="0"/>
        <v>2013.09</v>
      </c>
      <c r="B246" s="58">
        <v>7224</v>
      </c>
      <c r="C246" s="3160">
        <v>5993</v>
      </c>
      <c r="D246" s="110">
        <v>189</v>
      </c>
      <c r="E246" s="805">
        <v>15698</v>
      </c>
      <c r="F246" s="3160">
        <v>3517</v>
      </c>
      <c r="G246" s="803"/>
      <c r="H246" s="805">
        <v>85490</v>
      </c>
      <c r="I246" s="3160">
        <v>59617</v>
      </c>
      <c r="J246" s="110">
        <v>1265</v>
      </c>
      <c r="K246" s="805">
        <v>165592</v>
      </c>
      <c r="L246" s="3160">
        <v>23681</v>
      </c>
      <c r="M246" s="1350"/>
      <c r="N246" s="1408"/>
      <c r="O246" s="3158"/>
      <c r="P246" s="3158"/>
      <c r="Q246" s="803"/>
      <c r="R246" s="1324">
        <v>71928</v>
      </c>
      <c r="S246" s="1321"/>
    </row>
    <row r="247" spans="1:19">
      <c r="A247" s="63">
        <f t="shared" si="0"/>
        <v>2013.1</v>
      </c>
      <c r="B247" s="58">
        <v>7642</v>
      </c>
      <c r="C247" s="3160">
        <v>6382</v>
      </c>
      <c r="D247" s="110">
        <v>226</v>
      </c>
      <c r="E247" s="805">
        <v>15740</v>
      </c>
      <c r="F247" s="3160">
        <v>3550</v>
      </c>
      <c r="G247" s="803"/>
      <c r="H247" s="805">
        <v>89816</v>
      </c>
      <c r="I247" s="3160">
        <v>64521</v>
      </c>
      <c r="J247" s="110">
        <v>1321</v>
      </c>
      <c r="K247" s="805">
        <v>171689</v>
      </c>
      <c r="L247" s="3160">
        <v>25627</v>
      </c>
      <c r="M247" s="1350"/>
      <c r="N247" s="1408"/>
      <c r="O247" s="3158"/>
      <c r="P247" s="3158"/>
      <c r="Q247" s="803"/>
      <c r="R247" s="1324">
        <v>75604</v>
      </c>
      <c r="S247" s="1321"/>
    </row>
    <row r="248" spans="1:19">
      <c r="A248" s="63">
        <f t="shared" si="0"/>
        <v>2013.11</v>
      </c>
      <c r="B248" s="58">
        <v>4850</v>
      </c>
      <c r="C248" s="3160">
        <v>5586</v>
      </c>
      <c r="D248" s="110">
        <v>154</v>
      </c>
      <c r="E248" s="805">
        <v>12886</v>
      </c>
      <c r="F248" s="3160">
        <v>3092</v>
      </c>
      <c r="G248" s="803"/>
      <c r="H248" s="805">
        <v>62352</v>
      </c>
      <c r="I248" s="3160">
        <v>57839</v>
      </c>
      <c r="J248" s="110">
        <v>1190</v>
      </c>
      <c r="K248" s="805">
        <v>148352</v>
      </c>
      <c r="L248" s="3160">
        <v>23408</v>
      </c>
      <c r="M248" s="1350"/>
      <c r="N248" s="1408"/>
      <c r="O248" s="3158"/>
      <c r="P248" s="3158"/>
      <c r="Q248" s="803"/>
      <c r="R248" s="1324">
        <v>62186</v>
      </c>
      <c r="S248" s="1321"/>
    </row>
    <row r="249" spans="1:19">
      <c r="A249" s="63">
        <f t="shared" si="0"/>
        <v>2013.12</v>
      </c>
      <c r="B249" s="58">
        <v>3826</v>
      </c>
      <c r="C249" s="3160">
        <v>4659</v>
      </c>
      <c r="D249" s="110">
        <v>166</v>
      </c>
      <c r="E249" s="805">
        <v>12961</v>
      </c>
      <c r="F249" s="3160">
        <v>2944</v>
      </c>
      <c r="G249" s="803"/>
      <c r="H249" s="805">
        <v>51360</v>
      </c>
      <c r="I249" s="3160">
        <v>53049</v>
      </c>
      <c r="J249" s="110">
        <v>1074</v>
      </c>
      <c r="K249" s="805">
        <v>144049</v>
      </c>
      <c r="L249" s="3160">
        <v>21637</v>
      </c>
      <c r="M249" s="1350"/>
      <c r="N249" s="1408"/>
      <c r="O249" s="3158"/>
      <c r="P249" s="3158"/>
      <c r="Q249" s="803"/>
      <c r="R249" s="1324">
        <v>44922</v>
      </c>
      <c r="S249" s="1321"/>
    </row>
    <row r="250" spans="1:19">
      <c r="A250" s="63">
        <f>A238+1</f>
        <v>2014.01</v>
      </c>
      <c r="B250" s="58">
        <v>9830</v>
      </c>
      <c r="C250" s="3160">
        <v>7208</v>
      </c>
      <c r="D250" s="110">
        <v>118</v>
      </c>
      <c r="E250" s="805">
        <v>14776</v>
      </c>
      <c r="F250" s="3160">
        <v>3356</v>
      </c>
      <c r="G250" s="172">
        <v>55</v>
      </c>
      <c r="H250" s="805">
        <v>109484</v>
      </c>
      <c r="I250" s="3160">
        <v>72164</v>
      </c>
      <c r="J250" s="110">
        <v>1017</v>
      </c>
      <c r="K250" s="805">
        <v>163033</v>
      </c>
      <c r="L250" s="3160">
        <v>25213</v>
      </c>
      <c r="M250" s="1351">
        <v>333</v>
      </c>
      <c r="N250" s="1414">
        <f>SUM(O250:Q250)</f>
        <v>9712</v>
      </c>
      <c r="O250" s="3159">
        <v>7860</v>
      </c>
      <c r="P250" s="3159">
        <v>1765</v>
      </c>
      <c r="Q250" s="172">
        <v>87</v>
      </c>
      <c r="R250" s="1324">
        <v>36156</v>
      </c>
      <c r="S250" s="1321"/>
    </row>
    <row r="251" spans="1:19">
      <c r="A251" s="63">
        <f t="shared" si="0"/>
        <v>2014.02</v>
      </c>
      <c r="B251" s="58">
        <v>4829</v>
      </c>
      <c r="C251" s="3160">
        <v>3962</v>
      </c>
      <c r="D251" s="110">
        <v>126</v>
      </c>
      <c r="E251" s="805">
        <v>12526</v>
      </c>
      <c r="F251" s="3160">
        <v>3060</v>
      </c>
      <c r="G251" s="110">
        <v>83</v>
      </c>
      <c r="H251" s="805">
        <v>58908</v>
      </c>
      <c r="I251" s="3160">
        <v>41971</v>
      </c>
      <c r="J251" s="110">
        <v>783</v>
      </c>
      <c r="K251" s="805">
        <v>138348</v>
      </c>
      <c r="L251" s="3160">
        <v>24156</v>
      </c>
      <c r="M251" s="891">
        <v>497</v>
      </c>
      <c r="N251" s="1412">
        <f t="shared" ref="N251:N314" si="1">SUM(O251:Q251)</f>
        <v>4677</v>
      </c>
      <c r="O251" s="3160">
        <v>3667</v>
      </c>
      <c r="P251" s="3160">
        <v>901</v>
      </c>
      <c r="Q251" s="110">
        <v>109</v>
      </c>
      <c r="R251" s="1324">
        <v>52941</v>
      </c>
      <c r="S251" s="1321"/>
    </row>
    <row r="252" spans="1:19">
      <c r="A252" s="63">
        <f t="shared" si="0"/>
        <v>2014.03</v>
      </c>
      <c r="B252" s="58">
        <v>4053</v>
      </c>
      <c r="C252" s="3160">
        <v>3072</v>
      </c>
      <c r="D252" s="110">
        <v>84</v>
      </c>
      <c r="E252" s="805">
        <v>10984</v>
      </c>
      <c r="F252" s="3160">
        <v>2843</v>
      </c>
      <c r="G252" s="110">
        <v>95</v>
      </c>
      <c r="H252" s="805">
        <v>51857</v>
      </c>
      <c r="I252" s="3160">
        <v>35349</v>
      </c>
      <c r="J252" s="110">
        <v>659</v>
      </c>
      <c r="K252" s="805">
        <v>122493</v>
      </c>
      <c r="L252" s="3160">
        <v>21576</v>
      </c>
      <c r="M252" s="891">
        <v>500</v>
      </c>
      <c r="N252" s="1412">
        <f t="shared" si="1"/>
        <v>3910</v>
      </c>
      <c r="O252" s="3160">
        <v>3024</v>
      </c>
      <c r="P252" s="3160">
        <v>788</v>
      </c>
      <c r="Q252" s="110">
        <v>98</v>
      </c>
      <c r="R252" s="1324">
        <v>58319</v>
      </c>
      <c r="S252" s="1321"/>
    </row>
    <row r="253" spans="1:19">
      <c r="A253" s="63">
        <f t="shared" si="0"/>
        <v>2014.04</v>
      </c>
      <c r="B253" s="58">
        <v>4361</v>
      </c>
      <c r="C253" s="3160">
        <v>3163</v>
      </c>
      <c r="D253" s="110">
        <v>111</v>
      </c>
      <c r="E253" s="805">
        <v>11622</v>
      </c>
      <c r="F253" s="3160">
        <v>2892</v>
      </c>
      <c r="G253" s="110">
        <v>80</v>
      </c>
      <c r="H253" s="805">
        <v>53765</v>
      </c>
      <c r="I253" s="3160">
        <v>35643</v>
      </c>
      <c r="J253" s="110">
        <v>738</v>
      </c>
      <c r="K253" s="805">
        <v>126811</v>
      </c>
      <c r="L253" s="3160">
        <v>21251</v>
      </c>
      <c r="M253" s="891">
        <v>529</v>
      </c>
      <c r="N253" s="1412">
        <f t="shared" si="1"/>
        <v>4222</v>
      </c>
      <c r="O253" s="3160">
        <v>3281</v>
      </c>
      <c r="P253" s="3160">
        <v>859</v>
      </c>
      <c r="Q253" s="110">
        <v>82</v>
      </c>
      <c r="R253" s="1324">
        <v>59165</v>
      </c>
      <c r="S253" s="1321"/>
    </row>
    <row r="254" spans="1:19">
      <c r="A254" s="63">
        <f t="shared" si="0"/>
        <v>2014.05</v>
      </c>
      <c r="B254" s="58">
        <v>4621</v>
      </c>
      <c r="C254" s="3160">
        <v>3291</v>
      </c>
      <c r="D254" s="110">
        <v>123</v>
      </c>
      <c r="E254" s="805">
        <v>12583</v>
      </c>
      <c r="F254" s="3160">
        <v>3297</v>
      </c>
      <c r="G254" s="110">
        <v>101</v>
      </c>
      <c r="H254" s="805">
        <v>56813</v>
      </c>
      <c r="I254" s="3160">
        <v>34709</v>
      </c>
      <c r="J254" s="110">
        <v>854</v>
      </c>
      <c r="K254" s="805">
        <v>128217</v>
      </c>
      <c r="L254" s="3160">
        <v>21297</v>
      </c>
      <c r="M254" s="891">
        <v>553</v>
      </c>
      <c r="N254" s="1412">
        <f t="shared" si="1"/>
        <v>4587</v>
      </c>
      <c r="O254" s="3160">
        <v>3524</v>
      </c>
      <c r="P254" s="3160">
        <v>979</v>
      </c>
      <c r="Q254" s="110">
        <v>84</v>
      </c>
      <c r="R254" s="1324">
        <v>50938</v>
      </c>
      <c r="S254" s="1321"/>
    </row>
    <row r="255" spans="1:19">
      <c r="A255" s="63">
        <f t="shared" ref="A255:A261" si="2">A243+1</f>
        <v>2014.06</v>
      </c>
      <c r="B255" s="58">
        <v>4456</v>
      </c>
      <c r="C255" s="3160">
        <v>2980</v>
      </c>
      <c r="D255" s="110">
        <v>109</v>
      </c>
      <c r="E255" s="805">
        <v>11761</v>
      </c>
      <c r="F255" s="3160">
        <v>2936</v>
      </c>
      <c r="G255" s="110">
        <v>92</v>
      </c>
      <c r="H255" s="805">
        <v>53503</v>
      </c>
      <c r="I255" s="3160">
        <v>31609</v>
      </c>
      <c r="J255" s="110">
        <v>852</v>
      </c>
      <c r="K255" s="805">
        <v>118327</v>
      </c>
      <c r="L255" s="3160">
        <v>18828</v>
      </c>
      <c r="M255" s="891">
        <v>536</v>
      </c>
      <c r="N255" s="1412">
        <f t="shared" si="1"/>
        <v>4429</v>
      </c>
      <c r="O255" s="3160">
        <v>3431</v>
      </c>
      <c r="P255" s="3160">
        <v>936</v>
      </c>
      <c r="Q255" s="110">
        <v>62</v>
      </c>
      <c r="R255" s="1324">
        <v>50904</v>
      </c>
      <c r="S255" s="1321"/>
    </row>
    <row r="256" spans="1:19">
      <c r="A256" s="63">
        <f t="shared" si="2"/>
        <v>2014.07</v>
      </c>
      <c r="B256" s="58">
        <v>5226</v>
      </c>
      <c r="C256" s="3160">
        <v>3807</v>
      </c>
      <c r="D256" s="110">
        <v>123</v>
      </c>
      <c r="E256" s="805">
        <v>14336</v>
      </c>
      <c r="F256" s="3160">
        <v>3591</v>
      </c>
      <c r="G256" s="110">
        <v>83</v>
      </c>
      <c r="H256" s="805">
        <v>61646</v>
      </c>
      <c r="I256" s="3160">
        <v>38825</v>
      </c>
      <c r="J256" s="110">
        <v>838</v>
      </c>
      <c r="K256" s="805">
        <v>142168</v>
      </c>
      <c r="L256" s="3160">
        <v>21802</v>
      </c>
      <c r="M256" s="891">
        <v>569</v>
      </c>
      <c r="N256" s="1412">
        <f t="shared" si="1"/>
        <v>5085</v>
      </c>
      <c r="O256" s="3160">
        <v>4054</v>
      </c>
      <c r="P256" s="3160">
        <v>962</v>
      </c>
      <c r="Q256" s="110">
        <v>69</v>
      </c>
      <c r="R256" s="1324">
        <v>49324</v>
      </c>
      <c r="S256" s="1321"/>
    </row>
    <row r="257" spans="1:19">
      <c r="A257" s="63">
        <f t="shared" si="2"/>
        <v>2014.08</v>
      </c>
      <c r="B257" s="58">
        <v>5133</v>
      </c>
      <c r="C257" s="3160">
        <v>4012</v>
      </c>
      <c r="D257" s="110">
        <v>121</v>
      </c>
      <c r="E257" s="805">
        <v>13768</v>
      </c>
      <c r="F257" s="3160">
        <v>3215</v>
      </c>
      <c r="G257" s="110">
        <v>99</v>
      </c>
      <c r="H257" s="805">
        <v>58535</v>
      </c>
      <c r="I257" s="3160">
        <v>40332</v>
      </c>
      <c r="J257" s="110">
        <v>814</v>
      </c>
      <c r="K257" s="805">
        <v>135054</v>
      </c>
      <c r="L257" s="3160">
        <v>20775</v>
      </c>
      <c r="M257" s="891">
        <v>564</v>
      </c>
      <c r="N257" s="1412">
        <f t="shared" si="1"/>
        <v>5057</v>
      </c>
      <c r="O257" s="3160">
        <v>4021</v>
      </c>
      <c r="P257" s="3160">
        <v>972</v>
      </c>
      <c r="Q257" s="110">
        <v>64</v>
      </c>
      <c r="R257" s="1324">
        <v>45787</v>
      </c>
      <c r="S257" s="1321"/>
    </row>
    <row r="258" spans="1:19">
      <c r="A258" s="63">
        <f t="shared" si="2"/>
        <v>2014.09</v>
      </c>
      <c r="B258" s="58">
        <v>5285</v>
      </c>
      <c r="C258" s="3160">
        <v>4541</v>
      </c>
      <c r="D258" s="110">
        <v>148</v>
      </c>
      <c r="E258" s="805">
        <v>15093</v>
      </c>
      <c r="F258" s="3160">
        <v>3810</v>
      </c>
      <c r="G258" s="110">
        <v>84</v>
      </c>
      <c r="H258" s="805">
        <v>59681</v>
      </c>
      <c r="I258" s="3160">
        <v>46188</v>
      </c>
      <c r="J258" s="110">
        <v>911</v>
      </c>
      <c r="K258" s="805">
        <v>154575</v>
      </c>
      <c r="L258" s="3160">
        <v>25047</v>
      </c>
      <c r="M258" s="891">
        <v>622</v>
      </c>
      <c r="N258" s="1412">
        <f t="shared" si="1"/>
        <v>5173</v>
      </c>
      <c r="O258" s="3160">
        <v>4061</v>
      </c>
      <c r="P258" s="3160">
        <v>1022</v>
      </c>
      <c r="Q258" s="110">
        <v>90</v>
      </c>
      <c r="R258" s="1324">
        <v>57757</v>
      </c>
      <c r="S258" s="1321"/>
    </row>
    <row r="259" spans="1:19">
      <c r="A259" s="63">
        <f t="shared" si="2"/>
        <v>2014.1</v>
      </c>
      <c r="B259" s="58">
        <v>4707</v>
      </c>
      <c r="C259" s="3160">
        <v>4154</v>
      </c>
      <c r="D259" s="110">
        <v>144</v>
      </c>
      <c r="E259" s="805">
        <v>15177</v>
      </c>
      <c r="F259" s="3160">
        <v>3820</v>
      </c>
      <c r="G259" s="110">
        <v>100</v>
      </c>
      <c r="H259" s="805">
        <v>54688</v>
      </c>
      <c r="I259" s="3160">
        <v>44280</v>
      </c>
      <c r="J259" s="110">
        <v>1076</v>
      </c>
      <c r="K259" s="805">
        <v>155181</v>
      </c>
      <c r="L259" s="3160">
        <v>25929</v>
      </c>
      <c r="M259" s="891">
        <v>596</v>
      </c>
      <c r="N259" s="1412">
        <f t="shared" si="1"/>
        <v>4627</v>
      </c>
      <c r="O259" s="3160">
        <v>3580</v>
      </c>
      <c r="P259" s="3160">
        <v>958</v>
      </c>
      <c r="Q259" s="110">
        <v>89</v>
      </c>
      <c r="R259" s="1324">
        <v>60845</v>
      </c>
      <c r="S259" s="1321"/>
    </row>
    <row r="260" spans="1:19">
      <c r="A260" s="63">
        <f t="shared" si="2"/>
        <v>2014.11</v>
      </c>
      <c r="B260" s="58">
        <v>3348</v>
      </c>
      <c r="C260" s="3160">
        <v>3140</v>
      </c>
      <c r="D260" s="110">
        <v>106</v>
      </c>
      <c r="E260" s="805">
        <v>12534</v>
      </c>
      <c r="F260" s="3160">
        <v>3207</v>
      </c>
      <c r="G260" s="110">
        <v>87</v>
      </c>
      <c r="H260" s="805">
        <v>40059</v>
      </c>
      <c r="I260" s="3160">
        <v>33296</v>
      </c>
      <c r="J260" s="110">
        <v>878</v>
      </c>
      <c r="K260" s="805">
        <v>127110</v>
      </c>
      <c r="L260" s="3160">
        <v>22189</v>
      </c>
      <c r="M260" s="891">
        <v>579</v>
      </c>
      <c r="N260" s="1412">
        <f t="shared" si="1"/>
        <v>3307</v>
      </c>
      <c r="O260" s="3160">
        <v>2453</v>
      </c>
      <c r="P260" s="3160">
        <v>765</v>
      </c>
      <c r="Q260" s="110">
        <v>89</v>
      </c>
      <c r="R260" s="1324">
        <v>54557</v>
      </c>
      <c r="S260" s="1321"/>
    </row>
    <row r="261" spans="1:19">
      <c r="A261" s="63">
        <f t="shared" si="2"/>
        <v>2014.12</v>
      </c>
      <c r="B261" s="58">
        <v>2391</v>
      </c>
      <c r="C261" s="3160">
        <v>3007</v>
      </c>
      <c r="D261" s="110">
        <v>131</v>
      </c>
      <c r="E261" s="805">
        <v>13171</v>
      </c>
      <c r="F261" s="3160">
        <v>3353</v>
      </c>
      <c r="G261" s="110">
        <v>88</v>
      </c>
      <c r="H261" s="805">
        <v>30460</v>
      </c>
      <c r="I261" s="3160">
        <v>31689</v>
      </c>
      <c r="J261" s="110">
        <v>889</v>
      </c>
      <c r="K261" s="805">
        <v>139576</v>
      </c>
      <c r="L261" s="3160">
        <v>22669</v>
      </c>
      <c r="M261" s="891">
        <v>557</v>
      </c>
      <c r="N261" s="1412">
        <f t="shared" si="1"/>
        <v>2343</v>
      </c>
      <c r="O261" s="3160">
        <v>1826</v>
      </c>
      <c r="P261" s="3160">
        <v>450</v>
      </c>
      <c r="Q261" s="110">
        <v>67</v>
      </c>
      <c r="R261" s="1324">
        <v>40636</v>
      </c>
      <c r="S261" s="1321"/>
    </row>
    <row r="262" spans="1:19">
      <c r="A262" s="63">
        <f>A250+1</f>
        <v>2015.01</v>
      </c>
      <c r="B262" s="58">
        <v>5871</v>
      </c>
      <c r="C262" s="3160">
        <v>4146</v>
      </c>
      <c r="D262" s="110">
        <v>104</v>
      </c>
      <c r="E262" s="805">
        <v>13349</v>
      </c>
      <c r="F262" s="3160">
        <v>3358</v>
      </c>
      <c r="G262" s="110">
        <v>64</v>
      </c>
      <c r="H262" s="805">
        <v>67619</v>
      </c>
      <c r="I262" s="3160">
        <v>41749</v>
      </c>
      <c r="J262" s="110">
        <v>779</v>
      </c>
      <c r="K262" s="805">
        <v>145059</v>
      </c>
      <c r="L262" s="3160">
        <v>24229</v>
      </c>
      <c r="M262" s="891">
        <v>541</v>
      </c>
      <c r="N262" s="1412">
        <f t="shared" si="1"/>
        <v>5763</v>
      </c>
      <c r="O262" s="3160">
        <v>4504</v>
      </c>
      <c r="P262" s="3160">
        <v>1152</v>
      </c>
      <c r="Q262" s="110">
        <v>107</v>
      </c>
      <c r="R262" s="1324">
        <v>25625</v>
      </c>
      <c r="S262" s="1321"/>
    </row>
    <row r="263" spans="1:19">
      <c r="A263" s="63">
        <f t="shared" ref="A263:A326" si="3">A251+1</f>
        <v>2015.02</v>
      </c>
      <c r="B263" s="58">
        <v>3806</v>
      </c>
      <c r="C263" s="3160">
        <v>3477</v>
      </c>
      <c r="D263" s="110">
        <v>76</v>
      </c>
      <c r="E263" s="805">
        <v>11262</v>
      </c>
      <c r="F263" s="3160">
        <v>2915</v>
      </c>
      <c r="G263" s="110">
        <v>76</v>
      </c>
      <c r="H263" s="805">
        <v>43970</v>
      </c>
      <c r="I263" s="3160">
        <v>35092</v>
      </c>
      <c r="J263" s="110">
        <v>615</v>
      </c>
      <c r="K263" s="805">
        <v>123308</v>
      </c>
      <c r="L263" s="3160">
        <v>21788</v>
      </c>
      <c r="M263" s="891">
        <v>425</v>
      </c>
      <c r="N263" s="1412">
        <f t="shared" si="1"/>
        <v>3699</v>
      </c>
      <c r="O263" s="3160">
        <v>2694</v>
      </c>
      <c r="P263" s="3160">
        <v>905</v>
      </c>
      <c r="Q263" s="110">
        <v>100</v>
      </c>
      <c r="R263" s="1324">
        <v>45605</v>
      </c>
      <c r="S263" s="1321"/>
    </row>
    <row r="264" spans="1:19">
      <c r="A264" s="63">
        <f t="shared" si="3"/>
        <v>2015.03</v>
      </c>
      <c r="B264" s="58">
        <v>4271</v>
      </c>
      <c r="C264" s="3160">
        <v>4045</v>
      </c>
      <c r="D264" s="110">
        <v>103</v>
      </c>
      <c r="E264" s="805">
        <v>12929</v>
      </c>
      <c r="F264" s="3160">
        <v>3452</v>
      </c>
      <c r="G264" s="110">
        <v>100</v>
      </c>
      <c r="H264" s="805">
        <v>50502</v>
      </c>
      <c r="I264" s="3160">
        <v>43192</v>
      </c>
      <c r="J264" s="110">
        <v>711</v>
      </c>
      <c r="K264" s="805">
        <v>139063</v>
      </c>
      <c r="L264" s="3160">
        <v>25292</v>
      </c>
      <c r="M264" s="891">
        <v>603</v>
      </c>
      <c r="N264" s="1412">
        <f t="shared" si="1"/>
        <v>4176</v>
      </c>
      <c r="O264" s="3160">
        <v>3133</v>
      </c>
      <c r="P264" s="3160">
        <v>931</v>
      </c>
      <c r="Q264" s="110">
        <v>112</v>
      </c>
      <c r="R264" s="1324">
        <v>52316</v>
      </c>
      <c r="S264" s="1321"/>
    </row>
    <row r="265" spans="1:19">
      <c r="A265" s="63">
        <f t="shared" si="3"/>
        <v>2015.04</v>
      </c>
      <c r="B265" s="58">
        <v>4346</v>
      </c>
      <c r="C265" s="3160">
        <v>3992</v>
      </c>
      <c r="D265" s="110">
        <v>129</v>
      </c>
      <c r="E265" s="805">
        <v>12889</v>
      </c>
      <c r="F265" s="3160">
        <v>3640</v>
      </c>
      <c r="G265" s="110">
        <v>144</v>
      </c>
      <c r="H265" s="805">
        <v>53407</v>
      </c>
      <c r="I265" s="3160">
        <v>42028</v>
      </c>
      <c r="J265" s="110">
        <v>818</v>
      </c>
      <c r="K265" s="805">
        <v>144437</v>
      </c>
      <c r="L265" s="3160">
        <v>25772</v>
      </c>
      <c r="M265" s="891">
        <v>715</v>
      </c>
      <c r="N265" s="1412">
        <f t="shared" si="1"/>
        <v>4248</v>
      </c>
      <c r="O265" s="3160">
        <v>3247</v>
      </c>
      <c r="P265" s="3160">
        <v>879</v>
      </c>
      <c r="Q265" s="110">
        <v>122</v>
      </c>
      <c r="R265" s="1324">
        <v>46618</v>
      </c>
      <c r="S265" s="1321"/>
    </row>
    <row r="266" spans="1:19">
      <c r="A266" s="63">
        <f t="shared" si="3"/>
        <v>2015.05</v>
      </c>
      <c r="B266" s="58">
        <v>4030</v>
      </c>
      <c r="C266" s="3160">
        <v>3297</v>
      </c>
      <c r="D266" s="110">
        <v>101</v>
      </c>
      <c r="E266" s="805">
        <v>12530</v>
      </c>
      <c r="F266" s="3160">
        <v>3192</v>
      </c>
      <c r="G266" s="110">
        <v>68</v>
      </c>
      <c r="H266" s="805">
        <v>49054</v>
      </c>
      <c r="I266" s="3160">
        <v>35729</v>
      </c>
      <c r="J266" s="110">
        <v>777</v>
      </c>
      <c r="K266" s="805">
        <v>135325</v>
      </c>
      <c r="L266" s="3160">
        <v>22823</v>
      </c>
      <c r="M266" s="891">
        <v>539</v>
      </c>
      <c r="N266" s="1412">
        <f t="shared" si="1"/>
        <v>3971</v>
      </c>
      <c r="O266" s="3160">
        <v>2976</v>
      </c>
      <c r="P266" s="3160">
        <v>924</v>
      </c>
      <c r="Q266" s="110">
        <v>71</v>
      </c>
      <c r="R266" s="1324">
        <v>45990</v>
      </c>
      <c r="S266" s="1321"/>
    </row>
    <row r="267" spans="1:19">
      <c r="A267" s="63">
        <f t="shared" si="3"/>
        <v>2015.06</v>
      </c>
      <c r="B267" s="58">
        <v>4937</v>
      </c>
      <c r="C267" s="3160">
        <v>3830</v>
      </c>
      <c r="D267" s="110">
        <v>133</v>
      </c>
      <c r="E267" s="805">
        <v>14450</v>
      </c>
      <c r="F267" s="3160">
        <v>3519</v>
      </c>
      <c r="G267" s="110">
        <v>72</v>
      </c>
      <c r="H267" s="805">
        <v>59016</v>
      </c>
      <c r="I267" s="3160">
        <v>37647</v>
      </c>
      <c r="J267" s="110">
        <v>999</v>
      </c>
      <c r="K267" s="805">
        <v>152151</v>
      </c>
      <c r="L267" s="3160">
        <v>24555</v>
      </c>
      <c r="M267" s="891">
        <v>607</v>
      </c>
      <c r="N267" s="1412">
        <f t="shared" si="1"/>
        <v>4856</v>
      </c>
      <c r="O267" s="3160">
        <v>3643</v>
      </c>
      <c r="P267" s="3160">
        <v>1112</v>
      </c>
      <c r="Q267" s="110">
        <v>101</v>
      </c>
      <c r="R267" s="1324">
        <v>54119</v>
      </c>
      <c r="S267" s="1321"/>
    </row>
    <row r="268" spans="1:19">
      <c r="A268" s="63">
        <f t="shared" si="3"/>
        <v>2015.07</v>
      </c>
      <c r="B268" s="58">
        <v>5170</v>
      </c>
      <c r="C268" s="3160">
        <v>3897</v>
      </c>
      <c r="D268" s="110">
        <v>107</v>
      </c>
      <c r="E268" s="805">
        <v>16150</v>
      </c>
      <c r="F268" s="3160">
        <v>3775</v>
      </c>
      <c r="G268" s="110">
        <v>87</v>
      </c>
      <c r="H268" s="805">
        <v>62029</v>
      </c>
      <c r="I268" s="3160">
        <v>38798</v>
      </c>
      <c r="J268" s="110">
        <v>889</v>
      </c>
      <c r="K268" s="805">
        <v>167217</v>
      </c>
      <c r="L268" s="3160">
        <v>24880</v>
      </c>
      <c r="M268" s="891">
        <v>627</v>
      </c>
      <c r="N268" s="1412">
        <f t="shared" si="1"/>
        <v>5073</v>
      </c>
      <c r="O268" s="3160">
        <v>3880</v>
      </c>
      <c r="P268" s="3160">
        <v>1085</v>
      </c>
      <c r="Q268" s="110">
        <v>108</v>
      </c>
      <c r="R268" s="1324">
        <v>45253</v>
      </c>
      <c r="S268" s="1321"/>
    </row>
    <row r="269" spans="1:19">
      <c r="A269" s="63">
        <f t="shared" si="3"/>
        <v>2015.08</v>
      </c>
      <c r="B269" s="58">
        <v>4993</v>
      </c>
      <c r="C269" s="3160">
        <v>3530</v>
      </c>
      <c r="D269" s="110">
        <v>70</v>
      </c>
      <c r="E269" s="805">
        <v>14914</v>
      </c>
      <c r="F269" s="3160">
        <v>3347</v>
      </c>
      <c r="G269" s="110">
        <v>62</v>
      </c>
      <c r="H269" s="805">
        <v>59109</v>
      </c>
      <c r="I269" s="3160">
        <v>38075</v>
      </c>
      <c r="J269" s="110">
        <v>726</v>
      </c>
      <c r="K269" s="805">
        <v>153098</v>
      </c>
      <c r="L269" s="3160">
        <v>22747</v>
      </c>
      <c r="M269" s="891">
        <v>615</v>
      </c>
      <c r="N269" s="1412">
        <f t="shared" si="1"/>
        <v>4910</v>
      </c>
      <c r="O269" s="3160">
        <v>3754</v>
      </c>
      <c r="P269" s="3160">
        <v>1064</v>
      </c>
      <c r="Q269" s="110">
        <v>92</v>
      </c>
      <c r="R269" s="1324">
        <v>49048</v>
      </c>
      <c r="S269" s="1321"/>
    </row>
    <row r="270" spans="1:19">
      <c r="A270" s="63">
        <f t="shared" si="3"/>
        <v>2015.09</v>
      </c>
      <c r="B270" s="58">
        <v>5555</v>
      </c>
      <c r="C270" s="3160">
        <v>4167</v>
      </c>
      <c r="D270" s="110">
        <v>104</v>
      </c>
      <c r="E270" s="805">
        <v>16114</v>
      </c>
      <c r="F270" s="3160">
        <v>3903</v>
      </c>
      <c r="G270" s="110">
        <v>88</v>
      </c>
      <c r="H270" s="805">
        <v>68031</v>
      </c>
      <c r="I270" s="3160">
        <v>45410</v>
      </c>
      <c r="J270" s="110">
        <v>880</v>
      </c>
      <c r="K270" s="805">
        <v>169296</v>
      </c>
      <c r="L270" s="3160">
        <v>27546</v>
      </c>
      <c r="M270" s="891">
        <v>648</v>
      </c>
      <c r="N270" s="1412">
        <f t="shared" si="1"/>
        <v>5460</v>
      </c>
      <c r="O270" s="3160">
        <v>4196</v>
      </c>
      <c r="P270" s="3160">
        <v>1152</v>
      </c>
      <c r="Q270" s="110">
        <v>112</v>
      </c>
      <c r="R270" s="1324">
        <v>52977</v>
      </c>
      <c r="S270" s="1321"/>
    </row>
    <row r="271" spans="1:19">
      <c r="A271" s="63">
        <f t="shared" si="3"/>
        <v>2015.1</v>
      </c>
      <c r="B271" s="58">
        <v>4856</v>
      </c>
      <c r="C271" s="3160">
        <v>4144</v>
      </c>
      <c r="D271" s="110">
        <v>140</v>
      </c>
      <c r="E271" s="805">
        <v>15241</v>
      </c>
      <c r="F271" s="3160">
        <v>3781</v>
      </c>
      <c r="G271" s="110">
        <v>111</v>
      </c>
      <c r="H271" s="805">
        <v>60933</v>
      </c>
      <c r="I271" s="3160">
        <v>44744</v>
      </c>
      <c r="J271" s="110">
        <v>917</v>
      </c>
      <c r="K271" s="805">
        <v>162934</v>
      </c>
      <c r="L271" s="3160">
        <v>26043</v>
      </c>
      <c r="M271" s="891">
        <v>705</v>
      </c>
      <c r="N271" s="1412">
        <f t="shared" si="1"/>
        <v>4787</v>
      </c>
      <c r="O271" s="3160">
        <v>3610</v>
      </c>
      <c r="P271" s="3160">
        <v>1059</v>
      </c>
      <c r="Q271" s="110">
        <v>118</v>
      </c>
      <c r="R271" s="1324">
        <v>45240</v>
      </c>
      <c r="S271" s="1321"/>
    </row>
    <row r="272" spans="1:19">
      <c r="A272" s="63">
        <f t="shared" si="3"/>
        <v>2015.11</v>
      </c>
      <c r="B272" s="58">
        <v>4211</v>
      </c>
      <c r="C272" s="3160">
        <v>3825</v>
      </c>
      <c r="D272" s="110">
        <v>133</v>
      </c>
      <c r="E272" s="805">
        <v>13908</v>
      </c>
      <c r="F272" s="3160">
        <v>3431</v>
      </c>
      <c r="G272" s="110">
        <v>99</v>
      </c>
      <c r="H272" s="805">
        <v>52268</v>
      </c>
      <c r="I272" s="3160">
        <v>42694</v>
      </c>
      <c r="J272" s="110">
        <v>973</v>
      </c>
      <c r="K272" s="805">
        <v>148863</v>
      </c>
      <c r="L272" s="3160">
        <v>23978</v>
      </c>
      <c r="M272" s="891">
        <v>584</v>
      </c>
      <c r="N272" s="1412">
        <f t="shared" si="1"/>
        <v>4128</v>
      </c>
      <c r="O272" s="3160">
        <v>3102</v>
      </c>
      <c r="P272" s="3160">
        <v>935</v>
      </c>
      <c r="Q272" s="110">
        <v>91</v>
      </c>
      <c r="R272" s="1324">
        <v>45478</v>
      </c>
      <c r="S272" s="1321"/>
    </row>
    <row r="273" spans="1:27">
      <c r="A273" s="63">
        <f t="shared" si="3"/>
        <v>2015.12</v>
      </c>
      <c r="B273" s="58">
        <v>2510</v>
      </c>
      <c r="C273" s="3160">
        <v>3141</v>
      </c>
      <c r="D273" s="110">
        <v>132</v>
      </c>
      <c r="E273" s="805">
        <v>12710</v>
      </c>
      <c r="F273" s="3160">
        <v>3082</v>
      </c>
      <c r="G273" s="110">
        <v>78</v>
      </c>
      <c r="H273" s="805">
        <v>32419</v>
      </c>
      <c r="I273" s="3160">
        <v>37360</v>
      </c>
      <c r="J273" s="110">
        <v>924</v>
      </c>
      <c r="K273" s="805">
        <v>145150</v>
      </c>
      <c r="L273" s="3160">
        <v>23203</v>
      </c>
      <c r="M273" s="891">
        <v>550</v>
      </c>
      <c r="N273" s="1412">
        <f t="shared" si="1"/>
        <v>2489</v>
      </c>
      <c r="O273" s="3160">
        <v>1804</v>
      </c>
      <c r="P273" s="3160">
        <v>613</v>
      </c>
      <c r="Q273" s="110">
        <v>72</v>
      </c>
      <c r="R273" s="1324">
        <v>35198</v>
      </c>
      <c r="S273" s="1321"/>
    </row>
    <row r="274" spans="1:27">
      <c r="A274" s="63">
        <f t="shared" si="3"/>
        <v>2016.01</v>
      </c>
      <c r="B274" s="58">
        <v>4936</v>
      </c>
      <c r="C274" s="3160">
        <v>3754</v>
      </c>
      <c r="D274" s="110">
        <v>68</v>
      </c>
      <c r="E274" s="805">
        <v>11178</v>
      </c>
      <c r="F274" s="3160">
        <v>3137</v>
      </c>
      <c r="G274" s="110">
        <v>50</v>
      </c>
      <c r="H274" s="805">
        <v>57962</v>
      </c>
      <c r="I274" s="3160">
        <v>40039</v>
      </c>
      <c r="J274" s="110">
        <v>606</v>
      </c>
      <c r="K274" s="805">
        <v>128152</v>
      </c>
      <c r="L274" s="3160">
        <v>24889</v>
      </c>
      <c r="M274" s="891">
        <v>487</v>
      </c>
      <c r="N274" s="1412">
        <f t="shared" si="1"/>
        <v>4808</v>
      </c>
      <c r="O274" s="3160">
        <v>3752</v>
      </c>
      <c r="P274" s="3160">
        <v>975</v>
      </c>
      <c r="Q274" s="110">
        <v>81</v>
      </c>
      <c r="R274" s="1324">
        <v>17785</v>
      </c>
      <c r="S274" s="1321"/>
    </row>
    <row r="275" spans="1:27">
      <c r="A275" s="63">
        <f t="shared" si="3"/>
        <v>2016.02</v>
      </c>
      <c r="B275" s="58">
        <v>3999</v>
      </c>
      <c r="C275" s="3160">
        <v>3246</v>
      </c>
      <c r="D275" s="110">
        <v>82</v>
      </c>
      <c r="E275" s="805">
        <v>9472</v>
      </c>
      <c r="F275" s="3160">
        <v>2886</v>
      </c>
      <c r="G275" s="110">
        <v>54</v>
      </c>
      <c r="H275" s="805">
        <v>48151</v>
      </c>
      <c r="I275" s="3160">
        <v>35307</v>
      </c>
      <c r="J275" s="110">
        <v>518</v>
      </c>
      <c r="K275" s="805">
        <v>109362</v>
      </c>
      <c r="L275" s="3160">
        <v>22357</v>
      </c>
      <c r="M275" s="891">
        <v>467</v>
      </c>
      <c r="N275" s="1412">
        <f t="shared" si="1"/>
        <v>3917</v>
      </c>
      <c r="O275" s="3160">
        <v>3127</v>
      </c>
      <c r="P275" s="3160">
        <v>724</v>
      </c>
      <c r="Q275" s="110">
        <v>66</v>
      </c>
      <c r="R275" s="1324">
        <v>34174</v>
      </c>
      <c r="S275" s="1321"/>
    </row>
    <row r="276" spans="1:27">
      <c r="A276" s="63">
        <f t="shared" si="3"/>
        <v>2016.03</v>
      </c>
      <c r="B276" s="58">
        <v>4507</v>
      </c>
      <c r="C276" s="3160">
        <v>3681</v>
      </c>
      <c r="D276" s="110">
        <v>74</v>
      </c>
      <c r="E276" s="805">
        <v>11709</v>
      </c>
      <c r="F276" s="3160">
        <v>3424</v>
      </c>
      <c r="G276" s="110">
        <v>94</v>
      </c>
      <c r="H276" s="805">
        <v>56435</v>
      </c>
      <c r="I276" s="3160">
        <v>41985</v>
      </c>
      <c r="J276" s="110">
        <v>602</v>
      </c>
      <c r="K276" s="805">
        <v>129943</v>
      </c>
      <c r="L276" s="3160">
        <v>26794</v>
      </c>
      <c r="M276" s="891">
        <v>653</v>
      </c>
      <c r="N276" s="1412">
        <f t="shared" si="1"/>
        <v>4418</v>
      </c>
      <c r="O276" s="3160">
        <v>3523</v>
      </c>
      <c r="P276" s="3160">
        <v>783</v>
      </c>
      <c r="Q276" s="110">
        <v>112</v>
      </c>
      <c r="R276" s="1324">
        <v>46209</v>
      </c>
      <c r="S276" s="1321"/>
    </row>
    <row r="277" spans="1:27">
      <c r="A277" s="63">
        <f t="shared" si="3"/>
        <v>2016.04</v>
      </c>
      <c r="B277" s="58">
        <v>4955</v>
      </c>
      <c r="C277" s="3160">
        <v>3021</v>
      </c>
      <c r="D277" s="110">
        <v>112</v>
      </c>
      <c r="E277" s="805">
        <v>10533</v>
      </c>
      <c r="F277" s="3160">
        <v>2858</v>
      </c>
      <c r="G277" s="110">
        <v>112</v>
      </c>
      <c r="H277" s="805">
        <v>61138</v>
      </c>
      <c r="I277" s="3160">
        <v>38075</v>
      </c>
      <c r="J277" s="110">
        <v>695</v>
      </c>
      <c r="K277" s="805">
        <v>123983</v>
      </c>
      <c r="L277" s="3160">
        <v>22514</v>
      </c>
      <c r="M277" s="891">
        <v>628</v>
      </c>
      <c r="N277" s="1412">
        <f t="shared" si="1"/>
        <v>4868</v>
      </c>
      <c r="O277" s="3160">
        <v>3648</v>
      </c>
      <c r="P277" s="3160">
        <v>1102</v>
      </c>
      <c r="Q277" s="110">
        <v>118</v>
      </c>
      <c r="R277" s="1324">
        <v>44447</v>
      </c>
      <c r="S277" s="1321"/>
    </row>
    <row r="278" spans="1:27">
      <c r="A278" s="63">
        <f t="shared" si="3"/>
        <v>2016.05</v>
      </c>
      <c r="B278" s="58">
        <v>4897</v>
      </c>
      <c r="C278" s="3160">
        <v>3116</v>
      </c>
      <c r="D278" s="110">
        <v>122</v>
      </c>
      <c r="E278" s="805">
        <v>10776</v>
      </c>
      <c r="F278" s="3160">
        <v>2860</v>
      </c>
      <c r="G278" s="110">
        <v>81</v>
      </c>
      <c r="H278" s="805">
        <v>60901</v>
      </c>
      <c r="I278" s="3160">
        <v>36086</v>
      </c>
      <c r="J278" s="110">
        <v>817</v>
      </c>
      <c r="K278" s="805">
        <v>120715</v>
      </c>
      <c r="L278" s="3160">
        <v>21492</v>
      </c>
      <c r="M278" s="891">
        <v>590</v>
      </c>
      <c r="N278" s="1412">
        <f t="shared" si="1"/>
        <v>4797</v>
      </c>
      <c r="O278" s="3160">
        <v>3648</v>
      </c>
      <c r="P278" s="3160">
        <v>1068</v>
      </c>
      <c r="Q278" s="110">
        <v>81</v>
      </c>
      <c r="R278" s="1324">
        <v>39768</v>
      </c>
      <c r="S278" s="1321"/>
    </row>
    <row r="279" spans="1:27">
      <c r="A279" s="63">
        <f t="shared" si="3"/>
        <v>2016.06</v>
      </c>
      <c r="B279" s="58">
        <v>4700</v>
      </c>
      <c r="C279" s="3160">
        <v>2671</v>
      </c>
      <c r="D279" s="110">
        <v>114</v>
      </c>
      <c r="E279" s="805">
        <v>9552</v>
      </c>
      <c r="F279" s="3160">
        <v>2164</v>
      </c>
      <c r="G279" s="110">
        <v>90</v>
      </c>
      <c r="H279" s="805">
        <v>54637</v>
      </c>
      <c r="I279" s="3160">
        <v>29225</v>
      </c>
      <c r="J279" s="110">
        <v>983</v>
      </c>
      <c r="K279" s="805">
        <v>106747</v>
      </c>
      <c r="L279" s="3160">
        <v>16554</v>
      </c>
      <c r="M279" s="891">
        <v>524</v>
      </c>
      <c r="N279" s="1412">
        <f t="shared" si="1"/>
        <v>4593</v>
      </c>
      <c r="O279" s="3160">
        <v>3362</v>
      </c>
      <c r="P279" s="3160">
        <v>1163</v>
      </c>
      <c r="Q279" s="110">
        <v>68</v>
      </c>
      <c r="R279" s="1324">
        <v>41655</v>
      </c>
      <c r="S279" s="1321"/>
    </row>
    <row r="280" spans="1:27">
      <c r="A280" s="63">
        <f t="shared" si="3"/>
        <v>2016.07</v>
      </c>
      <c r="B280" s="58">
        <v>5080</v>
      </c>
      <c r="C280" s="3160">
        <v>3113</v>
      </c>
      <c r="D280" s="110">
        <v>91</v>
      </c>
      <c r="E280" s="805">
        <v>11799</v>
      </c>
      <c r="F280" s="3160">
        <v>2446</v>
      </c>
      <c r="G280" s="110">
        <v>84</v>
      </c>
      <c r="H280" s="805">
        <v>63788</v>
      </c>
      <c r="I280" s="3160">
        <v>34797</v>
      </c>
      <c r="J280" s="110">
        <v>770</v>
      </c>
      <c r="K280" s="805">
        <v>126383</v>
      </c>
      <c r="L280" s="3160">
        <v>18336</v>
      </c>
      <c r="M280" s="891">
        <v>515</v>
      </c>
      <c r="N280" s="1412">
        <f t="shared" si="1"/>
        <v>4928</v>
      </c>
      <c r="O280" s="3160">
        <v>3661</v>
      </c>
      <c r="P280" s="3160">
        <v>1186</v>
      </c>
      <c r="Q280" s="110">
        <v>81</v>
      </c>
      <c r="R280" s="1324">
        <v>37706</v>
      </c>
      <c r="S280" s="1321"/>
    </row>
    <row r="281" spans="1:27">
      <c r="A281" s="63">
        <f t="shared" si="3"/>
        <v>2016.08</v>
      </c>
      <c r="B281" s="58">
        <v>6269</v>
      </c>
      <c r="C281" s="3160">
        <v>3948</v>
      </c>
      <c r="D281" s="110">
        <v>138</v>
      </c>
      <c r="E281" s="805">
        <v>13405</v>
      </c>
      <c r="F281" s="3160">
        <v>2986</v>
      </c>
      <c r="G281" s="110">
        <v>88</v>
      </c>
      <c r="H281" s="805">
        <v>73053</v>
      </c>
      <c r="I281" s="3160">
        <v>43651</v>
      </c>
      <c r="J281" s="110">
        <v>919</v>
      </c>
      <c r="K281" s="805">
        <v>140016</v>
      </c>
      <c r="L281" s="3160">
        <v>21806</v>
      </c>
      <c r="M281" s="891">
        <v>609</v>
      </c>
      <c r="N281" s="1412">
        <f t="shared" si="1"/>
        <v>6106</v>
      </c>
      <c r="O281" s="3160">
        <v>4531</v>
      </c>
      <c r="P281" s="3160">
        <v>1452</v>
      </c>
      <c r="Q281" s="110">
        <v>123</v>
      </c>
      <c r="R281" s="1324">
        <v>43552</v>
      </c>
      <c r="S281" s="1321"/>
    </row>
    <row r="282" spans="1:27">
      <c r="A282" s="63">
        <f t="shared" si="3"/>
        <v>2016.09</v>
      </c>
      <c r="B282" s="58">
        <v>6082</v>
      </c>
      <c r="C282" s="3160">
        <v>4283</v>
      </c>
      <c r="D282" s="110">
        <v>131</v>
      </c>
      <c r="E282" s="805">
        <v>13378</v>
      </c>
      <c r="F282" s="3160">
        <v>3185</v>
      </c>
      <c r="G282" s="110">
        <v>113</v>
      </c>
      <c r="H282" s="805">
        <v>71263</v>
      </c>
      <c r="I282" s="3160">
        <v>44318</v>
      </c>
      <c r="J282" s="110">
        <v>1040</v>
      </c>
      <c r="K282" s="805">
        <v>136727</v>
      </c>
      <c r="L282" s="3160">
        <v>21944</v>
      </c>
      <c r="M282" s="891">
        <v>650</v>
      </c>
      <c r="N282" s="1412">
        <f t="shared" si="1"/>
        <v>5925</v>
      </c>
      <c r="O282" s="3160">
        <v>4287</v>
      </c>
      <c r="P282" s="3160">
        <v>1516</v>
      </c>
      <c r="Q282" s="110">
        <v>122</v>
      </c>
      <c r="R282" s="1324">
        <v>42599</v>
      </c>
      <c r="S282" s="1321"/>
    </row>
    <row r="283" spans="1:27">
      <c r="A283" s="63">
        <f t="shared" si="3"/>
        <v>2016.1</v>
      </c>
      <c r="B283" s="58">
        <v>5213</v>
      </c>
      <c r="C283" s="3160">
        <v>4044</v>
      </c>
      <c r="D283" s="110">
        <v>171</v>
      </c>
      <c r="E283" s="805">
        <v>12298</v>
      </c>
      <c r="F283" s="3160">
        <v>2924</v>
      </c>
      <c r="G283" s="110">
        <v>92</v>
      </c>
      <c r="H283" s="805">
        <v>63718</v>
      </c>
      <c r="I283" s="3160">
        <v>43454</v>
      </c>
      <c r="J283" s="110">
        <v>1132</v>
      </c>
      <c r="K283" s="805">
        <v>125944</v>
      </c>
      <c r="L283" s="3160">
        <v>20007</v>
      </c>
      <c r="M283" s="891">
        <v>642</v>
      </c>
      <c r="N283" s="1412">
        <f t="shared" si="1"/>
        <v>5049</v>
      </c>
      <c r="O283" s="3160">
        <v>3580</v>
      </c>
      <c r="P283" s="3160">
        <v>1350</v>
      </c>
      <c r="Q283" s="110">
        <v>119</v>
      </c>
      <c r="R283" s="1324">
        <v>37832</v>
      </c>
      <c r="S283" s="1321"/>
    </row>
    <row r="284" spans="1:27">
      <c r="A284" s="63">
        <f t="shared" si="3"/>
        <v>2016.11</v>
      </c>
      <c r="B284" s="58">
        <v>4906</v>
      </c>
      <c r="C284" s="3160">
        <v>4187</v>
      </c>
      <c r="D284" s="110">
        <v>160</v>
      </c>
      <c r="E284" s="805">
        <v>11991</v>
      </c>
      <c r="F284" s="3160">
        <v>2921</v>
      </c>
      <c r="G284" s="110">
        <v>103</v>
      </c>
      <c r="H284" s="805">
        <v>60124</v>
      </c>
      <c r="I284" s="3160">
        <v>48669</v>
      </c>
      <c r="J284" s="110">
        <v>1265</v>
      </c>
      <c r="K284" s="805">
        <v>130586</v>
      </c>
      <c r="L284" s="3160">
        <v>21226</v>
      </c>
      <c r="M284" s="891">
        <v>675</v>
      </c>
      <c r="N284" s="1412">
        <f t="shared" si="1"/>
        <v>4694</v>
      </c>
      <c r="O284" s="3160">
        <v>3298</v>
      </c>
      <c r="P284" s="3160">
        <v>1291</v>
      </c>
      <c r="Q284" s="110">
        <v>105</v>
      </c>
      <c r="R284" s="1324">
        <v>46962</v>
      </c>
      <c r="S284" s="1321"/>
    </row>
    <row r="285" spans="1:27">
      <c r="A285" s="63">
        <f t="shared" si="3"/>
        <v>2016.12</v>
      </c>
      <c r="B285" s="58">
        <v>3147</v>
      </c>
      <c r="C285" s="3160">
        <v>4464</v>
      </c>
      <c r="D285" s="110">
        <v>198</v>
      </c>
      <c r="E285" s="805">
        <v>13272</v>
      </c>
      <c r="F285" s="3160">
        <v>3049</v>
      </c>
      <c r="G285" s="110">
        <v>114</v>
      </c>
      <c r="H285" s="805">
        <v>40863</v>
      </c>
      <c r="I285" s="3160">
        <v>48812</v>
      </c>
      <c r="J285" s="110">
        <v>1402</v>
      </c>
      <c r="K285" s="805">
        <v>143338</v>
      </c>
      <c r="L285" s="3160">
        <v>21833</v>
      </c>
      <c r="M285" s="891">
        <v>638</v>
      </c>
      <c r="N285" s="1412">
        <f t="shared" si="1"/>
        <v>3033</v>
      </c>
      <c r="O285" s="3160">
        <v>2183</v>
      </c>
      <c r="P285" s="3160">
        <v>759</v>
      </c>
      <c r="Q285" s="110">
        <v>91</v>
      </c>
      <c r="R285" s="1324">
        <v>40087</v>
      </c>
      <c r="S285" s="1321"/>
      <c r="T285" s="1410"/>
      <c r="U285" s="1410"/>
      <c r="V285" s="1410"/>
      <c r="W285" s="1410"/>
      <c r="X285" s="1410"/>
      <c r="Y285" s="1410"/>
      <c r="Z285" s="1410"/>
      <c r="AA285" s="1410"/>
    </row>
    <row r="286" spans="1:27">
      <c r="A286" s="63">
        <f t="shared" si="3"/>
        <v>2017.01</v>
      </c>
      <c r="B286" s="58">
        <v>8257</v>
      </c>
      <c r="C286" s="3160">
        <v>6418</v>
      </c>
      <c r="D286" s="110">
        <v>163</v>
      </c>
      <c r="E286" s="805">
        <v>12826</v>
      </c>
      <c r="F286" s="3160">
        <v>3011</v>
      </c>
      <c r="G286" s="110">
        <v>83</v>
      </c>
      <c r="H286" s="805">
        <v>95415</v>
      </c>
      <c r="I286" s="3160">
        <v>64552</v>
      </c>
      <c r="J286" s="110">
        <v>1286</v>
      </c>
      <c r="K286" s="805">
        <v>144910</v>
      </c>
      <c r="L286" s="3160">
        <v>23134</v>
      </c>
      <c r="M286" s="891">
        <v>643</v>
      </c>
      <c r="N286" s="1412">
        <f t="shared" si="1"/>
        <v>8067</v>
      </c>
      <c r="O286" s="3160">
        <v>6062</v>
      </c>
      <c r="P286" s="3160">
        <v>1890</v>
      </c>
      <c r="Q286" s="110">
        <v>115</v>
      </c>
      <c r="R286" s="1324">
        <v>26762</v>
      </c>
      <c r="S286" s="1321"/>
    </row>
    <row r="287" spans="1:27">
      <c r="A287" s="63">
        <f t="shared" si="3"/>
        <v>2017.02</v>
      </c>
      <c r="B287" s="58">
        <v>5045</v>
      </c>
      <c r="C287" s="3160">
        <v>4522</v>
      </c>
      <c r="D287" s="110">
        <v>94</v>
      </c>
      <c r="E287" s="805">
        <v>10747</v>
      </c>
      <c r="F287" s="3160">
        <v>2660</v>
      </c>
      <c r="G287" s="110">
        <v>57</v>
      </c>
      <c r="H287" s="805">
        <v>59103</v>
      </c>
      <c r="I287" s="3160">
        <v>49500</v>
      </c>
      <c r="J287" s="110">
        <v>784</v>
      </c>
      <c r="K287" s="805">
        <v>116337</v>
      </c>
      <c r="L287" s="3160">
        <v>19355</v>
      </c>
      <c r="M287" s="891">
        <v>464</v>
      </c>
      <c r="N287" s="1412">
        <f t="shared" si="1"/>
        <v>4917</v>
      </c>
      <c r="O287" s="3160">
        <v>3701</v>
      </c>
      <c r="P287" s="3160">
        <v>1108</v>
      </c>
      <c r="Q287" s="110">
        <v>108</v>
      </c>
      <c r="R287" s="1324">
        <v>24036</v>
      </c>
      <c r="S287" s="1321"/>
    </row>
    <row r="288" spans="1:27">
      <c r="A288" s="63">
        <f t="shared" si="3"/>
        <v>2017.03</v>
      </c>
      <c r="B288" s="58">
        <v>6568</v>
      </c>
      <c r="C288" s="3160">
        <v>5886</v>
      </c>
      <c r="D288" s="110">
        <v>148</v>
      </c>
      <c r="E288" s="805">
        <v>13929</v>
      </c>
      <c r="F288" s="3160">
        <v>3610</v>
      </c>
      <c r="G288" s="110">
        <v>105</v>
      </c>
      <c r="H288" s="805">
        <v>78478</v>
      </c>
      <c r="I288" s="3160">
        <v>66414</v>
      </c>
      <c r="J288" s="110">
        <v>1049</v>
      </c>
      <c r="K288" s="805">
        <v>152222</v>
      </c>
      <c r="L288" s="3160">
        <v>27092</v>
      </c>
      <c r="M288" s="891">
        <v>616</v>
      </c>
      <c r="N288" s="1412">
        <f t="shared" si="1"/>
        <v>6394</v>
      </c>
      <c r="O288" s="3160">
        <v>4804</v>
      </c>
      <c r="P288" s="3160">
        <v>1434</v>
      </c>
      <c r="Q288" s="110">
        <v>156</v>
      </c>
      <c r="R288" s="1324">
        <v>40107</v>
      </c>
      <c r="S288" s="1321"/>
    </row>
    <row r="289" spans="1:19">
      <c r="A289" s="63">
        <f t="shared" si="3"/>
        <v>2017.04</v>
      </c>
      <c r="B289" s="58">
        <v>5635</v>
      </c>
      <c r="C289" s="3160">
        <v>4527</v>
      </c>
      <c r="D289" s="110">
        <v>134</v>
      </c>
      <c r="E289" s="805">
        <v>11447</v>
      </c>
      <c r="F289" s="3160">
        <v>2727</v>
      </c>
      <c r="G289" s="110">
        <v>79</v>
      </c>
      <c r="H289" s="805">
        <v>65133</v>
      </c>
      <c r="I289" s="3160">
        <v>50448</v>
      </c>
      <c r="J289" s="110">
        <v>956</v>
      </c>
      <c r="K289" s="805">
        <v>125075</v>
      </c>
      <c r="L289" s="3160">
        <v>20418</v>
      </c>
      <c r="M289" s="891">
        <v>527</v>
      </c>
      <c r="N289" s="1412">
        <f t="shared" si="1"/>
        <v>5494</v>
      </c>
      <c r="O289" s="3160">
        <v>4045</v>
      </c>
      <c r="P289" s="3160">
        <v>1338</v>
      </c>
      <c r="Q289" s="110">
        <v>111</v>
      </c>
      <c r="R289" s="1324">
        <v>37730</v>
      </c>
      <c r="S289" s="1321"/>
    </row>
    <row r="290" spans="1:19">
      <c r="A290" s="63">
        <f t="shared" si="3"/>
        <v>2017.05</v>
      </c>
      <c r="B290" s="58">
        <v>6370</v>
      </c>
      <c r="C290" s="3160">
        <v>4782</v>
      </c>
      <c r="D290" s="110">
        <v>159</v>
      </c>
      <c r="E290" s="805">
        <v>13501</v>
      </c>
      <c r="F290" s="3160">
        <v>2894</v>
      </c>
      <c r="G290" s="110">
        <v>100</v>
      </c>
      <c r="H290" s="805">
        <v>77850</v>
      </c>
      <c r="I290" s="3160">
        <v>53497</v>
      </c>
      <c r="J290" s="110">
        <v>1358</v>
      </c>
      <c r="K290" s="805">
        <v>143853</v>
      </c>
      <c r="L290" s="3160">
        <v>21772</v>
      </c>
      <c r="M290" s="891">
        <v>591</v>
      </c>
      <c r="N290" s="1412">
        <f t="shared" si="1"/>
        <v>6164</v>
      </c>
      <c r="O290" s="3160">
        <v>4541</v>
      </c>
      <c r="P290" s="3160">
        <v>1463</v>
      </c>
      <c r="Q290" s="110">
        <v>160</v>
      </c>
      <c r="R290" s="1324">
        <v>45273</v>
      </c>
      <c r="S290" s="1321"/>
    </row>
    <row r="291" spans="1:19">
      <c r="A291" s="63">
        <f t="shared" si="3"/>
        <v>2017.06</v>
      </c>
      <c r="B291" s="58">
        <v>6807</v>
      </c>
      <c r="C291" s="3160">
        <v>4441</v>
      </c>
      <c r="D291" s="110">
        <v>192</v>
      </c>
      <c r="E291" s="805">
        <v>13054</v>
      </c>
      <c r="F291" s="3160">
        <v>2637</v>
      </c>
      <c r="G291" s="110">
        <v>85</v>
      </c>
      <c r="H291" s="805">
        <v>78572</v>
      </c>
      <c r="I291" s="3160">
        <v>46341</v>
      </c>
      <c r="J291" s="110">
        <v>1417</v>
      </c>
      <c r="K291" s="805">
        <v>137306</v>
      </c>
      <c r="L291" s="3160">
        <v>18940</v>
      </c>
      <c r="M291" s="891">
        <v>654</v>
      </c>
      <c r="N291" s="1412">
        <f t="shared" si="1"/>
        <v>6584</v>
      </c>
      <c r="O291" s="3160">
        <v>4848</v>
      </c>
      <c r="P291" s="3160">
        <v>1621</v>
      </c>
      <c r="Q291" s="110">
        <v>115</v>
      </c>
      <c r="R291" s="1324">
        <v>45496</v>
      </c>
      <c r="S291" s="1321"/>
    </row>
    <row r="292" spans="1:19">
      <c r="A292" s="63">
        <f t="shared" si="3"/>
        <v>2017.07</v>
      </c>
      <c r="B292" s="58">
        <v>6834</v>
      </c>
      <c r="C292" s="3160">
        <v>5273</v>
      </c>
      <c r="D292" s="110">
        <v>145</v>
      </c>
      <c r="E292" s="805">
        <v>14868</v>
      </c>
      <c r="F292" s="3160">
        <v>3110</v>
      </c>
      <c r="G292" s="110">
        <v>118</v>
      </c>
      <c r="H292" s="805">
        <v>80966</v>
      </c>
      <c r="I292" s="3160">
        <v>52219</v>
      </c>
      <c r="J292" s="110">
        <v>1442</v>
      </c>
      <c r="K292" s="805">
        <v>157755</v>
      </c>
      <c r="L292" s="3160">
        <v>21847</v>
      </c>
      <c r="M292" s="891">
        <v>678</v>
      </c>
      <c r="N292" s="1412">
        <f t="shared" si="1"/>
        <v>6611</v>
      </c>
      <c r="O292" s="3160">
        <v>4947</v>
      </c>
      <c r="P292" s="3160">
        <v>1551</v>
      </c>
      <c r="Q292" s="110">
        <v>113</v>
      </c>
      <c r="R292" s="1324">
        <v>38169</v>
      </c>
      <c r="S292" s="1321"/>
    </row>
    <row r="293" spans="1:19">
      <c r="A293" s="63">
        <f t="shared" si="3"/>
        <v>2017.08</v>
      </c>
      <c r="B293" s="58">
        <v>7589</v>
      </c>
      <c r="C293" s="3160">
        <v>5714</v>
      </c>
      <c r="D293" s="110">
        <v>177</v>
      </c>
      <c r="E293" s="805">
        <v>15906</v>
      </c>
      <c r="F293" s="3160">
        <v>3405</v>
      </c>
      <c r="G293" s="110">
        <v>80</v>
      </c>
      <c r="H293" s="805">
        <v>87371</v>
      </c>
      <c r="I293" s="3160">
        <v>59740</v>
      </c>
      <c r="J293" s="110">
        <v>1394</v>
      </c>
      <c r="K293" s="805">
        <v>164997</v>
      </c>
      <c r="L293" s="3160">
        <v>23430</v>
      </c>
      <c r="M293" s="891">
        <v>646</v>
      </c>
      <c r="N293" s="1412">
        <f t="shared" si="1"/>
        <v>7376</v>
      </c>
      <c r="O293" s="3160">
        <v>5494</v>
      </c>
      <c r="P293" s="3160">
        <v>1736</v>
      </c>
      <c r="Q293" s="110">
        <v>146</v>
      </c>
      <c r="R293" s="1324">
        <v>45262</v>
      </c>
      <c r="S293" s="1321"/>
    </row>
    <row r="294" spans="1:19">
      <c r="A294" s="63">
        <f t="shared" si="3"/>
        <v>2017.09</v>
      </c>
      <c r="B294" s="58">
        <v>6820</v>
      </c>
      <c r="C294" s="3160">
        <v>5963</v>
      </c>
      <c r="D294" s="110">
        <v>175</v>
      </c>
      <c r="E294" s="805">
        <v>15438</v>
      </c>
      <c r="F294" s="3160">
        <v>3472</v>
      </c>
      <c r="G294" s="110">
        <v>103</v>
      </c>
      <c r="H294" s="805">
        <v>80419</v>
      </c>
      <c r="I294" s="3160">
        <v>62718</v>
      </c>
      <c r="J294" s="110">
        <v>1354</v>
      </c>
      <c r="K294" s="805">
        <v>161110</v>
      </c>
      <c r="L294" s="3160">
        <v>24659</v>
      </c>
      <c r="M294" s="891">
        <v>783</v>
      </c>
      <c r="N294" s="1412">
        <f t="shared" si="1"/>
        <v>6583</v>
      </c>
      <c r="O294" s="3160">
        <v>4914</v>
      </c>
      <c r="P294" s="3160">
        <v>1547</v>
      </c>
      <c r="Q294" s="110">
        <v>122</v>
      </c>
      <c r="R294" s="1324">
        <v>46961</v>
      </c>
      <c r="S294" s="1321"/>
    </row>
    <row r="295" spans="1:19">
      <c r="A295" s="63">
        <f t="shared" si="3"/>
        <v>2017.1</v>
      </c>
      <c r="B295" s="58">
        <v>6518</v>
      </c>
      <c r="C295" s="3160">
        <v>6546</v>
      </c>
      <c r="D295" s="110">
        <v>192</v>
      </c>
      <c r="E295" s="805">
        <v>14798</v>
      </c>
      <c r="F295" s="3160">
        <v>3261</v>
      </c>
      <c r="G295" s="110">
        <v>83</v>
      </c>
      <c r="H295" s="805">
        <v>78761</v>
      </c>
      <c r="I295" s="3160">
        <v>68992</v>
      </c>
      <c r="J295" s="110">
        <v>1447</v>
      </c>
      <c r="K295" s="805">
        <v>159213</v>
      </c>
      <c r="L295" s="3160">
        <v>24305</v>
      </c>
      <c r="M295" s="891">
        <v>722</v>
      </c>
      <c r="N295" s="1412">
        <f t="shared" si="1"/>
        <v>6301</v>
      </c>
      <c r="O295" s="3160">
        <v>4677</v>
      </c>
      <c r="P295" s="3160">
        <v>1468</v>
      </c>
      <c r="Q295" s="110">
        <v>156</v>
      </c>
      <c r="R295" s="1324">
        <v>43854</v>
      </c>
      <c r="S295" s="1321"/>
    </row>
    <row r="296" spans="1:19">
      <c r="A296" s="63">
        <f t="shared" si="3"/>
        <v>2017.11</v>
      </c>
      <c r="B296" s="58">
        <v>6043</v>
      </c>
      <c r="C296" s="3160">
        <v>6195</v>
      </c>
      <c r="D296" s="110">
        <v>214</v>
      </c>
      <c r="E296" s="805">
        <v>14277</v>
      </c>
      <c r="F296" s="3160">
        <v>3289</v>
      </c>
      <c r="G296" s="110">
        <v>111</v>
      </c>
      <c r="H296" s="805">
        <v>73392</v>
      </c>
      <c r="I296" s="3160">
        <v>67434</v>
      </c>
      <c r="J296" s="110">
        <v>1677</v>
      </c>
      <c r="K296" s="805">
        <v>159061</v>
      </c>
      <c r="L296" s="3160">
        <v>24763</v>
      </c>
      <c r="M296" s="891">
        <v>735</v>
      </c>
      <c r="N296" s="1412">
        <f t="shared" si="1"/>
        <v>5783</v>
      </c>
      <c r="O296" s="3160">
        <v>4279</v>
      </c>
      <c r="P296" s="3160">
        <v>1369</v>
      </c>
      <c r="Q296" s="110">
        <v>135</v>
      </c>
      <c r="R296" s="1324">
        <v>45228</v>
      </c>
      <c r="S296" s="1321"/>
    </row>
    <row r="297" spans="1:19">
      <c r="A297" s="63">
        <f t="shared" si="3"/>
        <v>2017.12</v>
      </c>
      <c r="B297" s="58">
        <v>4064</v>
      </c>
      <c r="C297" s="3160">
        <v>5534</v>
      </c>
      <c r="D297" s="110">
        <v>217</v>
      </c>
      <c r="E297" s="805">
        <v>13882</v>
      </c>
      <c r="F297" s="3160">
        <v>3001</v>
      </c>
      <c r="G297" s="110">
        <v>107</v>
      </c>
      <c r="H297" s="805">
        <v>47834</v>
      </c>
      <c r="I297" s="3160">
        <v>58456</v>
      </c>
      <c r="J297" s="110">
        <v>1431</v>
      </c>
      <c r="K297" s="805">
        <v>157294</v>
      </c>
      <c r="L297" s="3160">
        <v>23409</v>
      </c>
      <c r="M297" s="891">
        <v>658</v>
      </c>
      <c r="N297" s="1412">
        <f t="shared" si="1"/>
        <v>3925</v>
      </c>
      <c r="O297" s="3160">
        <v>2899</v>
      </c>
      <c r="P297" s="3160">
        <v>984</v>
      </c>
      <c r="Q297" s="110">
        <v>42</v>
      </c>
      <c r="R297" s="1324">
        <v>33280</v>
      </c>
      <c r="S297" s="1321"/>
    </row>
    <row r="298" spans="1:19">
      <c r="A298" s="63">
        <f t="shared" si="3"/>
        <v>2018.01</v>
      </c>
      <c r="B298" s="58">
        <v>10383</v>
      </c>
      <c r="C298" s="3160">
        <v>7982</v>
      </c>
      <c r="D298" s="110">
        <v>151</v>
      </c>
      <c r="E298" s="805">
        <v>14627</v>
      </c>
      <c r="F298" s="3160">
        <v>3441</v>
      </c>
      <c r="G298" s="110">
        <v>77</v>
      </c>
      <c r="H298" s="805">
        <v>120805</v>
      </c>
      <c r="I298" s="3160">
        <v>77802</v>
      </c>
      <c r="J298" s="110">
        <v>1233</v>
      </c>
      <c r="K298" s="805">
        <v>165054</v>
      </c>
      <c r="L298" s="3160">
        <v>26745</v>
      </c>
      <c r="M298" s="891">
        <v>679</v>
      </c>
      <c r="N298" s="1412">
        <f t="shared" si="1"/>
        <v>10149</v>
      </c>
      <c r="O298" s="3160">
        <v>7806</v>
      </c>
      <c r="P298" s="3160">
        <v>2208</v>
      </c>
      <c r="Q298" s="110">
        <v>135</v>
      </c>
      <c r="R298" s="1324">
        <v>21858</v>
      </c>
      <c r="S298" s="1321"/>
    </row>
    <row r="299" spans="1:19">
      <c r="A299" s="63">
        <f t="shared" si="3"/>
        <v>2018.02</v>
      </c>
      <c r="B299" s="58">
        <v>5990</v>
      </c>
      <c r="C299" s="3160">
        <v>5903</v>
      </c>
      <c r="D299" s="110">
        <v>100</v>
      </c>
      <c r="E299" s="805">
        <v>12329</v>
      </c>
      <c r="F299" s="3160">
        <v>2931</v>
      </c>
      <c r="G299" s="110">
        <v>84</v>
      </c>
      <c r="H299" s="805">
        <v>69812</v>
      </c>
      <c r="I299" s="3160">
        <v>58639</v>
      </c>
      <c r="J299" s="110">
        <v>883</v>
      </c>
      <c r="K299" s="805">
        <v>130844</v>
      </c>
      <c r="L299" s="3160">
        <v>22674</v>
      </c>
      <c r="M299" s="891">
        <v>542</v>
      </c>
      <c r="N299" s="1412">
        <f t="shared" si="1"/>
        <v>5813</v>
      </c>
      <c r="O299" s="3160">
        <v>4506</v>
      </c>
      <c r="P299" s="3160">
        <v>1174</v>
      </c>
      <c r="Q299" s="110">
        <v>133</v>
      </c>
      <c r="R299" s="1324">
        <v>39085</v>
      </c>
      <c r="S299" s="1321"/>
    </row>
    <row r="300" spans="1:19">
      <c r="A300" s="63">
        <f t="shared" si="3"/>
        <v>2018.03</v>
      </c>
      <c r="B300" s="58">
        <v>7436</v>
      </c>
      <c r="C300" s="3160">
        <v>7087</v>
      </c>
      <c r="D300" s="110">
        <v>139</v>
      </c>
      <c r="E300" s="805">
        <v>14163</v>
      </c>
      <c r="F300" s="3160">
        <v>3497</v>
      </c>
      <c r="G300" s="110">
        <v>102</v>
      </c>
      <c r="H300" s="805">
        <v>85634</v>
      </c>
      <c r="I300" s="3160">
        <v>70282</v>
      </c>
      <c r="J300" s="110">
        <v>1037</v>
      </c>
      <c r="K300" s="805">
        <v>150893</v>
      </c>
      <c r="L300" s="3160">
        <v>27868</v>
      </c>
      <c r="M300" s="891">
        <v>634</v>
      </c>
      <c r="N300" s="1412">
        <f t="shared" si="1"/>
        <v>7204</v>
      </c>
      <c r="O300" s="3160">
        <v>5752</v>
      </c>
      <c r="P300" s="3160">
        <v>1326</v>
      </c>
      <c r="Q300" s="110">
        <v>126</v>
      </c>
      <c r="R300" s="1324">
        <v>49655</v>
      </c>
      <c r="S300" s="1321"/>
    </row>
    <row r="301" spans="1:19">
      <c r="A301" s="63">
        <f t="shared" si="3"/>
        <v>2018.04</v>
      </c>
      <c r="B301" s="58">
        <v>6405</v>
      </c>
      <c r="C301" s="3160">
        <v>6142</v>
      </c>
      <c r="D301" s="110">
        <v>129</v>
      </c>
      <c r="E301" s="805">
        <v>13168</v>
      </c>
      <c r="F301" s="3160">
        <v>3282</v>
      </c>
      <c r="G301" s="110">
        <v>93</v>
      </c>
      <c r="H301" s="805">
        <v>77804</v>
      </c>
      <c r="I301" s="3160">
        <v>63389</v>
      </c>
      <c r="J301" s="110">
        <v>1035</v>
      </c>
      <c r="K301" s="805">
        <v>142896</v>
      </c>
      <c r="L301" s="3160">
        <v>24634</v>
      </c>
      <c r="M301" s="891">
        <v>606</v>
      </c>
      <c r="N301" s="1412">
        <f t="shared" si="1"/>
        <v>6256</v>
      </c>
      <c r="O301" s="3160">
        <v>4938</v>
      </c>
      <c r="P301" s="3160">
        <v>1198</v>
      </c>
      <c r="Q301" s="110">
        <v>120</v>
      </c>
      <c r="R301" s="1324">
        <v>45802</v>
      </c>
      <c r="S301" s="1321"/>
    </row>
    <row r="302" spans="1:19">
      <c r="A302" s="63">
        <f t="shared" si="3"/>
        <v>2018.05</v>
      </c>
      <c r="B302" s="58">
        <v>7094</v>
      </c>
      <c r="C302" s="3160">
        <v>5392</v>
      </c>
      <c r="D302" s="110">
        <v>162</v>
      </c>
      <c r="E302" s="805">
        <v>14132</v>
      </c>
      <c r="F302" s="3160">
        <v>3111</v>
      </c>
      <c r="G302" s="110">
        <v>99</v>
      </c>
      <c r="H302" s="805">
        <v>83424</v>
      </c>
      <c r="I302" s="3160">
        <v>59114</v>
      </c>
      <c r="J302" s="110">
        <v>1240</v>
      </c>
      <c r="K302" s="805">
        <v>155698</v>
      </c>
      <c r="L302" s="3160">
        <v>24054</v>
      </c>
      <c r="M302" s="891">
        <v>645</v>
      </c>
      <c r="N302" s="1412">
        <f t="shared" si="1"/>
        <v>6879</v>
      </c>
      <c r="O302" s="3160">
        <v>5288</v>
      </c>
      <c r="P302" s="3160">
        <v>1472</v>
      </c>
      <c r="Q302" s="110">
        <v>119</v>
      </c>
      <c r="R302" s="1324">
        <v>46835</v>
      </c>
      <c r="S302" s="1321"/>
    </row>
    <row r="303" spans="1:19">
      <c r="A303" s="63">
        <f t="shared" si="3"/>
        <v>2018.06</v>
      </c>
      <c r="B303" s="58">
        <v>5438</v>
      </c>
      <c r="C303" s="3160">
        <v>3485</v>
      </c>
      <c r="D303" s="110">
        <v>122</v>
      </c>
      <c r="E303" s="805">
        <v>12809</v>
      </c>
      <c r="F303" s="3160">
        <v>2701</v>
      </c>
      <c r="G303" s="110">
        <v>70</v>
      </c>
      <c r="H303" s="805">
        <v>64801</v>
      </c>
      <c r="I303" s="3160">
        <v>39481</v>
      </c>
      <c r="J303" s="110">
        <v>963</v>
      </c>
      <c r="K303" s="805">
        <v>131626</v>
      </c>
      <c r="L303" s="3160">
        <v>19681</v>
      </c>
      <c r="M303" s="891">
        <v>550</v>
      </c>
      <c r="N303" s="1412">
        <f t="shared" si="1"/>
        <v>5261</v>
      </c>
      <c r="O303" s="3160">
        <v>4080</v>
      </c>
      <c r="P303" s="3160">
        <v>1074</v>
      </c>
      <c r="Q303" s="110">
        <v>107</v>
      </c>
      <c r="R303" s="1324">
        <v>39420</v>
      </c>
      <c r="S303" s="1321"/>
    </row>
    <row r="304" spans="1:19">
      <c r="A304" s="63">
        <f t="shared" si="3"/>
        <v>2018.07</v>
      </c>
      <c r="B304" s="58">
        <v>5572</v>
      </c>
      <c r="C304" s="3160">
        <v>3953</v>
      </c>
      <c r="D304" s="110">
        <v>121</v>
      </c>
      <c r="E304" s="805">
        <v>15239</v>
      </c>
      <c r="F304" s="3160">
        <v>3311</v>
      </c>
      <c r="G304" s="110">
        <v>100</v>
      </c>
      <c r="H304" s="805">
        <v>67366</v>
      </c>
      <c r="I304" s="3160">
        <v>40159</v>
      </c>
      <c r="J304" s="110">
        <v>1010</v>
      </c>
      <c r="K304" s="805">
        <v>153775</v>
      </c>
      <c r="L304" s="3160">
        <v>22709</v>
      </c>
      <c r="M304" s="891">
        <v>682</v>
      </c>
      <c r="N304" s="1412">
        <f t="shared" si="1"/>
        <v>5353</v>
      </c>
      <c r="O304" s="3160">
        <v>4191</v>
      </c>
      <c r="P304" s="3160">
        <v>1085</v>
      </c>
      <c r="Q304" s="110">
        <v>77</v>
      </c>
      <c r="R304" s="1324">
        <v>41450</v>
      </c>
      <c r="S304" s="1321"/>
    </row>
    <row r="305" spans="1:19">
      <c r="A305" s="63">
        <f t="shared" si="3"/>
        <v>2018.08</v>
      </c>
      <c r="B305" s="58">
        <v>5392</v>
      </c>
      <c r="C305" s="3160">
        <v>4011</v>
      </c>
      <c r="D305" s="110">
        <v>138</v>
      </c>
      <c r="E305" s="805">
        <v>15510</v>
      </c>
      <c r="F305" s="3160">
        <v>3555</v>
      </c>
      <c r="G305" s="110">
        <v>99</v>
      </c>
      <c r="H305" s="805">
        <v>65658</v>
      </c>
      <c r="I305" s="3160">
        <v>41800</v>
      </c>
      <c r="J305" s="110">
        <v>974</v>
      </c>
      <c r="K305" s="805">
        <v>162126</v>
      </c>
      <c r="L305" s="3160">
        <v>25444</v>
      </c>
      <c r="M305" s="891">
        <v>656</v>
      </c>
      <c r="N305" s="1412">
        <f t="shared" si="1"/>
        <v>5202</v>
      </c>
      <c r="O305" s="3160">
        <v>3934</v>
      </c>
      <c r="P305" s="3160">
        <v>1181</v>
      </c>
      <c r="Q305" s="110">
        <v>87</v>
      </c>
      <c r="R305" s="1324">
        <v>49335</v>
      </c>
      <c r="S305" s="1321"/>
    </row>
    <row r="306" spans="1:19">
      <c r="A306" s="63">
        <f t="shared" si="3"/>
        <v>2018.09</v>
      </c>
      <c r="B306" s="58">
        <v>4298</v>
      </c>
      <c r="C306" s="3160">
        <v>3623</v>
      </c>
      <c r="D306" s="110">
        <v>117</v>
      </c>
      <c r="E306" s="805">
        <v>12886</v>
      </c>
      <c r="F306" s="3160">
        <v>3606</v>
      </c>
      <c r="G306" s="110">
        <v>95</v>
      </c>
      <c r="H306" s="805">
        <v>52897</v>
      </c>
      <c r="I306" s="3160">
        <v>36929</v>
      </c>
      <c r="J306" s="110">
        <v>837</v>
      </c>
      <c r="K306" s="805">
        <v>141693</v>
      </c>
      <c r="L306" s="3160">
        <v>26415</v>
      </c>
      <c r="M306" s="891">
        <v>626</v>
      </c>
      <c r="N306" s="1412">
        <f t="shared" si="1"/>
        <v>4150</v>
      </c>
      <c r="O306" s="3160">
        <v>3216</v>
      </c>
      <c r="P306" s="3160">
        <v>879</v>
      </c>
      <c r="Q306" s="110">
        <v>55</v>
      </c>
      <c r="R306" s="1324">
        <v>37267</v>
      </c>
      <c r="S306" s="1321"/>
    </row>
    <row r="307" spans="1:19">
      <c r="A307" s="63">
        <f t="shared" si="3"/>
        <v>2018.1</v>
      </c>
      <c r="B307" s="58">
        <v>3870</v>
      </c>
      <c r="C307" s="3160">
        <v>3770</v>
      </c>
      <c r="D307" s="110">
        <v>144</v>
      </c>
      <c r="E307" s="805">
        <v>13005</v>
      </c>
      <c r="F307" s="3160">
        <v>3928</v>
      </c>
      <c r="G307" s="110">
        <v>123</v>
      </c>
      <c r="H307" s="805">
        <v>48777</v>
      </c>
      <c r="I307" s="3160">
        <v>37892</v>
      </c>
      <c r="J307" s="110">
        <v>914</v>
      </c>
      <c r="K307" s="805">
        <v>143461</v>
      </c>
      <c r="L307" s="3160">
        <v>29501</v>
      </c>
      <c r="M307" s="891">
        <v>687</v>
      </c>
      <c r="N307" s="1412">
        <f t="shared" si="1"/>
        <v>3714</v>
      </c>
      <c r="O307" s="3160">
        <v>2726</v>
      </c>
      <c r="P307" s="3160">
        <v>928</v>
      </c>
      <c r="Q307" s="110">
        <v>60</v>
      </c>
      <c r="R307" s="1324">
        <v>38659</v>
      </c>
      <c r="S307" s="1321"/>
    </row>
    <row r="308" spans="1:19">
      <c r="A308" s="63">
        <f t="shared" si="3"/>
        <v>2018.11</v>
      </c>
      <c r="B308" s="58">
        <v>3118</v>
      </c>
      <c r="C308" s="3160">
        <v>2990</v>
      </c>
      <c r="D308" s="110">
        <v>108</v>
      </c>
      <c r="E308" s="805">
        <v>11183</v>
      </c>
      <c r="F308" s="3160">
        <v>3192</v>
      </c>
      <c r="G308" s="110">
        <v>110</v>
      </c>
      <c r="H308" s="805">
        <v>39914</v>
      </c>
      <c r="I308" s="3160">
        <v>31178</v>
      </c>
      <c r="J308" s="110">
        <v>803</v>
      </c>
      <c r="K308" s="805">
        <v>127108</v>
      </c>
      <c r="L308" s="3160">
        <v>26257</v>
      </c>
      <c r="M308" s="891">
        <v>656</v>
      </c>
      <c r="N308" s="1412">
        <f t="shared" si="1"/>
        <v>2983</v>
      </c>
      <c r="O308" s="3160">
        <v>2167</v>
      </c>
      <c r="P308" s="3160">
        <v>752</v>
      </c>
      <c r="Q308" s="110">
        <v>64</v>
      </c>
      <c r="R308" s="1324">
        <v>36808</v>
      </c>
      <c r="S308" s="1321"/>
    </row>
    <row r="309" spans="1:19">
      <c r="A309" s="63">
        <f t="shared" si="3"/>
        <v>2018.12</v>
      </c>
      <c r="B309" s="58">
        <v>1969</v>
      </c>
      <c r="C309" s="3160">
        <v>2617</v>
      </c>
      <c r="D309" s="110">
        <v>130</v>
      </c>
      <c r="E309" s="805">
        <v>10745</v>
      </c>
      <c r="F309" s="3160">
        <v>2903</v>
      </c>
      <c r="G309" s="110">
        <v>105</v>
      </c>
      <c r="H309" s="805">
        <v>28545</v>
      </c>
      <c r="I309" s="3160">
        <v>26817</v>
      </c>
      <c r="J309" s="110">
        <v>677</v>
      </c>
      <c r="K309" s="805">
        <v>122881</v>
      </c>
      <c r="L309" s="3160">
        <v>23394</v>
      </c>
      <c r="M309" s="891">
        <v>569</v>
      </c>
      <c r="N309" s="1412">
        <f t="shared" si="1"/>
        <v>1885</v>
      </c>
      <c r="O309" s="3160">
        <v>1373</v>
      </c>
      <c r="P309" s="3160">
        <v>483</v>
      </c>
      <c r="Q309" s="110">
        <v>29</v>
      </c>
      <c r="R309" s="1324">
        <v>20475</v>
      </c>
      <c r="S309" s="1321"/>
    </row>
    <row r="310" spans="1:19">
      <c r="A310" s="63">
        <f t="shared" si="3"/>
        <v>2019.01</v>
      </c>
      <c r="B310" s="58">
        <v>5172</v>
      </c>
      <c r="C310" s="3160">
        <v>4851</v>
      </c>
      <c r="D310" s="110">
        <v>88</v>
      </c>
      <c r="E310" s="805">
        <v>12784</v>
      </c>
      <c r="F310" s="3160">
        <v>3739</v>
      </c>
      <c r="G310" s="110">
        <v>104</v>
      </c>
      <c r="H310" s="805">
        <v>60351</v>
      </c>
      <c r="I310" s="3160">
        <v>42853</v>
      </c>
      <c r="J310" s="110">
        <v>578</v>
      </c>
      <c r="K310" s="805">
        <v>148616</v>
      </c>
      <c r="L310" s="3160">
        <v>29924</v>
      </c>
      <c r="M310" s="891">
        <v>619</v>
      </c>
      <c r="N310" s="1412">
        <f t="shared" si="1"/>
        <v>5172</v>
      </c>
      <c r="O310" s="3160">
        <v>4085</v>
      </c>
      <c r="P310" s="3160">
        <v>1032</v>
      </c>
      <c r="Q310" s="110">
        <v>55</v>
      </c>
      <c r="R310" s="1324">
        <v>14803</v>
      </c>
      <c r="S310" s="1321"/>
    </row>
    <row r="311" spans="1:19">
      <c r="A311" s="63">
        <f t="shared" si="3"/>
        <v>2019.02</v>
      </c>
      <c r="B311" s="58">
        <v>3278</v>
      </c>
      <c r="C311" s="3160">
        <v>3870</v>
      </c>
      <c r="D311" s="110">
        <v>90</v>
      </c>
      <c r="E311" s="805">
        <v>12573</v>
      </c>
      <c r="F311" s="3160">
        <v>3679</v>
      </c>
      <c r="G311" s="110">
        <v>126</v>
      </c>
      <c r="H311" s="805">
        <v>40294</v>
      </c>
      <c r="I311" s="3160">
        <v>33876</v>
      </c>
      <c r="J311" s="110">
        <v>597</v>
      </c>
      <c r="K311" s="805">
        <v>133863</v>
      </c>
      <c r="L311" s="3160">
        <v>28827</v>
      </c>
      <c r="M311" s="891">
        <v>560</v>
      </c>
      <c r="N311" s="1412">
        <f t="shared" si="1"/>
        <v>3278</v>
      </c>
      <c r="O311" s="3160">
        <v>2471</v>
      </c>
      <c r="P311" s="3160">
        <v>739</v>
      </c>
      <c r="Q311" s="110">
        <v>68</v>
      </c>
      <c r="R311" s="1324">
        <v>32662</v>
      </c>
      <c r="S311" s="1321"/>
    </row>
    <row r="312" spans="1:19">
      <c r="A312" s="63">
        <f t="shared" si="3"/>
        <v>2019.03</v>
      </c>
      <c r="B312" s="58">
        <v>3224</v>
      </c>
      <c r="C312" s="3160">
        <v>3495</v>
      </c>
      <c r="D312" s="110">
        <v>92</v>
      </c>
      <c r="E312" s="805">
        <v>11438</v>
      </c>
      <c r="F312" s="3160">
        <v>3516</v>
      </c>
      <c r="G312" s="110">
        <v>119</v>
      </c>
      <c r="H312" s="805">
        <v>39282</v>
      </c>
      <c r="I312" s="3160">
        <v>32206</v>
      </c>
      <c r="J312" s="110">
        <v>641</v>
      </c>
      <c r="K312" s="805">
        <v>125880</v>
      </c>
      <c r="L312" s="3160">
        <v>27437</v>
      </c>
      <c r="M312" s="891">
        <v>673</v>
      </c>
      <c r="N312" s="1412">
        <f t="shared" si="1"/>
        <v>3224</v>
      </c>
      <c r="O312" s="3160">
        <v>2372</v>
      </c>
      <c r="P312" s="3160">
        <v>765</v>
      </c>
      <c r="Q312" s="110">
        <v>87</v>
      </c>
      <c r="R312" s="1324">
        <v>29227</v>
      </c>
      <c r="S312" s="1321"/>
    </row>
    <row r="313" spans="1:19">
      <c r="A313" s="63">
        <f t="shared" si="3"/>
        <v>2019.04</v>
      </c>
      <c r="B313" s="58">
        <v>3193</v>
      </c>
      <c r="C313" s="3160">
        <v>3168</v>
      </c>
      <c r="D313" s="110">
        <v>91</v>
      </c>
      <c r="E313" s="805">
        <v>12061</v>
      </c>
      <c r="F313" s="3160">
        <v>3654</v>
      </c>
      <c r="G313" s="110">
        <v>118</v>
      </c>
      <c r="H313" s="805">
        <v>37498</v>
      </c>
      <c r="I313" s="3160">
        <v>30487</v>
      </c>
      <c r="J313" s="110">
        <v>606</v>
      </c>
      <c r="K313" s="805">
        <v>132340</v>
      </c>
      <c r="L313" s="3160">
        <v>28305</v>
      </c>
      <c r="M313" s="891">
        <v>680</v>
      </c>
      <c r="N313" s="1412">
        <f t="shared" si="1"/>
        <v>3193</v>
      </c>
      <c r="O313" s="3160">
        <v>2150</v>
      </c>
      <c r="P313" s="3160">
        <v>971</v>
      </c>
      <c r="Q313" s="110">
        <v>72</v>
      </c>
      <c r="R313" s="1324">
        <v>30294</v>
      </c>
      <c r="S313" s="1321"/>
    </row>
    <row r="314" spans="1:19">
      <c r="A314" s="63">
        <f t="shared" si="3"/>
        <v>2019.05</v>
      </c>
      <c r="B314" s="58">
        <v>3327</v>
      </c>
      <c r="C314" s="3160">
        <v>2858</v>
      </c>
      <c r="D314" s="110">
        <v>115</v>
      </c>
      <c r="E314" s="805">
        <v>14285</v>
      </c>
      <c r="F314" s="3160">
        <v>4138</v>
      </c>
      <c r="G314" s="110">
        <v>134</v>
      </c>
      <c r="H314" s="805">
        <v>36959</v>
      </c>
      <c r="I314" s="3160">
        <v>26976</v>
      </c>
      <c r="J314" s="110">
        <v>844</v>
      </c>
      <c r="K314" s="805">
        <v>152015</v>
      </c>
      <c r="L314" s="3160">
        <v>30736</v>
      </c>
      <c r="M314" s="891">
        <v>779</v>
      </c>
      <c r="N314" s="1412">
        <f t="shared" si="1"/>
        <v>3327</v>
      </c>
      <c r="O314" s="3160">
        <v>2171</v>
      </c>
      <c r="P314" s="3160">
        <v>1068</v>
      </c>
      <c r="Q314" s="110">
        <v>88</v>
      </c>
      <c r="R314" s="1324">
        <v>30280</v>
      </c>
      <c r="S314" s="1321"/>
    </row>
    <row r="315" spans="1:19">
      <c r="A315" s="63">
        <f t="shared" si="3"/>
        <v>2019.06</v>
      </c>
      <c r="B315" s="58">
        <v>3302</v>
      </c>
      <c r="C315" s="3160">
        <v>2367</v>
      </c>
      <c r="D315" s="110">
        <v>107</v>
      </c>
      <c r="E315" s="805">
        <v>11421</v>
      </c>
      <c r="F315" s="3160">
        <v>3155</v>
      </c>
      <c r="G315" s="110">
        <v>108</v>
      </c>
      <c r="H315" s="805">
        <v>36320</v>
      </c>
      <c r="I315" s="3160">
        <v>21574</v>
      </c>
      <c r="J315" s="110">
        <v>667</v>
      </c>
      <c r="K315" s="805">
        <v>121609</v>
      </c>
      <c r="L315" s="3160">
        <v>23190</v>
      </c>
      <c r="M315" s="891">
        <v>698</v>
      </c>
      <c r="N315" s="1412">
        <f t="shared" ref="N315:N378" si="4">SUM(O315:Q315)</f>
        <v>3302</v>
      </c>
      <c r="O315" s="3160">
        <v>2511</v>
      </c>
      <c r="P315" s="3160">
        <v>721</v>
      </c>
      <c r="Q315" s="110">
        <v>70</v>
      </c>
      <c r="R315" s="1324">
        <v>23916</v>
      </c>
      <c r="S315" s="1321"/>
    </row>
    <row r="316" spans="1:19">
      <c r="A316" s="63">
        <f t="shared" si="3"/>
        <v>2019.07</v>
      </c>
      <c r="B316" s="58">
        <v>4337</v>
      </c>
      <c r="C316" s="3160">
        <v>3715</v>
      </c>
      <c r="D316" s="110">
        <v>111</v>
      </c>
      <c r="E316" s="805">
        <v>15966</v>
      </c>
      <c r="F316" s="3160">
        <v>3777</v>
      </c>
      <c r="G316" s="110">
        <v>114</v>
      </c>
      <c r="H316" s="805">
        <v>50055</v>
      </c>
      <c r="I316" s="3160">
        <v>31158</v>
      </c>
      <c r="J316" s="110">
        <v>808</v>
      </c>
      <c r="K316" s="805">
        <v>166432</v>
      </c>
      <c r="L316" s="3160">
        <v>28546</v>
      </c>
      <c r="M316" s="891">
        <v>805</v>
      </c>
      <c r="N316" s="1412">
        <f t="shared" si="4"/>
        <v>4337</v>
      </c>
      <c r="O316" s="3160">
        <v>3354</v>
      </c>
      <c r="P316" s="3160">
        <v>901</v>
      </c>
      <c r="Q316" s="110">
        <v>82</v>
      </c>
      <c r="R316" s="1324">
        <v>21646</v>
      </c>
      <c r="S316" s="1321"/>
    </row>
    <row r="317" spans="1:19">
      <c r="A317" s="63">
        <f t="shared" si="3"/>
        <v>2019.08</v>
      </c>
      <c r="B317" s="58">
        <v>4299</v>
      </c>
      <c r="C317" s="3160">
        <v>3110</v>
      </c>
      <c r="D317" s="110">
        <v>133</v>
      </c>
      <c r="E317" s="805">
        <v>15925</v>
      </c>
      <c r="F317" s="3160">
        <v>3838</v>
      </c>
      <c r="G317" s="110">
        <v>159</v>
      </c>
      <c r="H317" s="805">
        <v>44574</v>
      </c>
      <c r="I317" s="3160">
        <v>28574</v>
      </c>
      <c r="J317" s="110">
        <v>866</v>
      </c>
      <c r="K317" s="805">
        <v>161709</v>
      </c>
      <c r="L317" s="3160">
        <v>28935</v>
      </c>
      <c r="M317" s="891">
        <v>802</v>
      </c>
      <c r="N317" s="1412">
        <f t="shared" si="4"/>
        <v>4299</v>
      </c>
      <c r="O317" s="3160">
        <v>3090</v>
      </c>
      <c r="P317" s="3160">
        <v>1118</v>
      </c>
      <c r="Q317" s="110">
        <v>91</v>
      </c>
      <c r="R317" s="1324">
        <v>30815</v>
      </c>
      <c r="S317" s="1321"/>
    </row>
    <row r="318" spans="1:19">
      <c r="A318" s="63">
        <f t="shared" si="3"/>
        <v>2019.09</v>
      </c>
      <c r="B318" s="58">
        <v>3364</v>
      </c>
      <c r="C318" s="3160">
        <v>2326</v>
      </c>
      <c r="D318" s="110">
        <v>145</v>
      </c>
      <c r="E318" s="805">
        <v>14829</v>
      </c>
      <c r="F318" s="3160">
        <v>3858</v>
      </c>
      <c r="G318" s="110">
        <v>127</v>
      </c>
      <c r="H318" s="805">
        <v>36296</v>
      </c>
      <c r="I318" s="3160">
        <v>19884</v>
      </c>
      <c r="J318" s="110">
        <v>861</v>
      </c>
      <c r="K318" s="805">
        <v>152715</v>
      </c>
      <c r="L318" s="3160">
        <v>29683</v>
      </c>
      <c r="M318" s="891">
        <v>827</v>
      </c>
      <c r="N318" s="1412">
        <f t="shared" si="4"/>
        <v>3364</v>
      </c>
      <c r="O318" s="3160">
        <v>2310</v>
      </c>
      <c r="P318" s="3160">
        <v>949</v>
      </c>
      <c r="Q318" s="110">
        <v>105</v>
      </c>
      <c r="R318" s="1324">
        <v>27687</v>
      </c>
      <c r="S318" s="1321"/>
    </row>
    <row r="319" spans="1:19">
      <c r="A319" s="63">
        <f t="shared" si="3"/>
        <v>2019.1</v>
      </c>
      <c r="B319" s="58">
        <v>2975</v>
      </c>
      <c r="C319" s="3160">
        <v>2888</v>
      </c>
      <c r="D319" s="110">
        <v>144</v>
      </c>
      <c r="E319" s="805">
        <v>14498</v>
      </c>
      <c r="F319" s="3160">
        <v>3952</v>
      </c>
      <c r="G319" s="110">
        <v>119</v>
      </c>
      <c r="H319" s="805">
        <v>32781</v>
      </c>
      <c r="I319" s="3160">
        <v>24047</v>
      </c>
      <c r="J319" s="110">
        <v>974</v>
      </c>
      <c r="K319" s="805">
        <v>153040</v>
      </c>
      <c r="L319" s="3160">
        <v>30233</v>
      </c>
      <c r="M319" s="891">
        <v>866</v>
      </c>
      <c r="N319" s="1412">
        <f t="shared" si="4"/>
        <v>2975</v>
      </c>
      <c r="O319" s="3160">
        <v>1938</v>
      </c>
      <c r="P319" s="3160">
        <v>922</v>
      </c>
      <c r="Q319" s="110">
        <v>115</v>
      </c>
      <c r="R319" s="1324">
        <v>31834</v>
      </c>
      <c r="S319" s="1321"/>
    </row>
    <row r="320" spans="1:19">
      <c r="A320" s="63">
        <f t="shared" si="3"/>
        <v>2019.11</v>
      </c>
      <c r="B320" s="58">
        <v>2311</v>
      </c>
      <c r="C320" s="3160">
        <v>2036</v>
      </c>
      <c r="D320" s="110">
        <v>109</v>
      </c>
      <c r="E320" s="805">
        <v>11616</v>
      </c>
      <c r="F320" s="3160">
        <v>3381</v>
      </c>
      <c r="G320" s="110">
        <v>129</v>
      </c>
      <c r="H320" s="805">
        <v>26004</v>
      </c>
      <c r="I320" s="3160">
        <v>18845</v>
      </c>
      <c r="J320" s="110">
        <v>801</v>
      </c>
      <c r="K320" s="805">
        <v>128996</v>
      </c>
      <c r="L320" s="3160">
        <v>27194</v>
      </c>
      <c r="M320" s="891">
        <v>707</v>
      </c>
      <c r="N320" s="1412">
        <f t="shared" si="4"/>
        <v>2311</v>
      </c>
      <c r="O320" s="3160">
        <v>1539</v>
      </c>
      <c r="P320" s="3160">
        <v>695</v>
      </c>
      <c r="Q320" s="110">
        <v>77</v>
      </c>
      <c r="R320" s="1324">
        <v>27099</v>
      </c>
      <c r="S320" s="1321"/>
    </row>
    <row r="321" spans="1:19">
      <c r="A321" s="63">
        <f t="shared" si="3"/>
        <v>2019.12</v>
      </c>
      <c r="B321" s="58">
        <v>1897</v>
      </c>
      <c r="C321" s="3160">
        <v>1981</v>
      </c>
      <c r="D321" s="110">
        <v>107</v>
      </c>
      <c r="E321" s="805">
        <v>12833</v>
      </c>
      <c r="F321" s="3160">
        <v>3281</v>
      </c>
      <c r="G321" s="110">
        <v>170</v>
      </c>
      <c r="H321" s="805">
        <v>21502</v>
      </c>
      <c r="I321" s="3160">
        <v>17432</v>
      </c>
      <c r="J321" s="110">
        <v>701</v>
      </c>
      <c r="K321" s="805">
        <v>140901</v>
      </c>
      <c r="L321" s="3160">
        <v>26953</v>
      </c>
      <c r="M321" s="891">
        <v>729</v>
      </c>
      <c r="N321" s="1412">
        <f t="shared" si="4"/>
        <v>1898</v>
      </c>
      <c r="O321" s="3160">
        <v>1354</v>
      </c>
      <c r="P321" s="3160">
        <v>502</v>
      </c>
      <c r="Q321" s="110">
        <v>42</v>
      </c>
      <c r="R321" s="1324">
        <v>14524</v>
      </c>
      <c r="S321" s="1321"/>
    </row>
    <row r="322" spans="1:19">
      <c r="A322" s="63">
        <f t="shared" si="3"/>
        <v>2020.01</v>
      </c>
      <c r="B322" s="58">
        <v>4135</v>
      </c>
      <c r="C322" s="3160">
        <v>3249</v>
      </c>
      <c r="D322" s="110">
        <v>124</v>
      </c>
      <c r="E322" s="805">
        <v>13630</v>
      </c>
      <c r="F322" s="3160">
        <v>3726</v>
      </c>
      <c r="G322" s="110">
        <v>126</v>
      </c>
      <c r="H322" s="805">
        <v>45170</v>
      </c>
      <c r="I322" s="3160">
        <v>27287</v>
      </c>
      <c r="J322" s="110">
        <v>603</v>
      </c>
      <c r="K322" s="805">
        <v>153478</v>
      </c>
      <c r="L322" s="3160">
        <v>29790</v>
      </c>
      <c r="M322" s="891">
        <v>625</v>
      </c>
      <c r="N322" s="1412">
        <f t="shared" si="4"/>
        <v>4135</v>
      </c>
      <c r="O322" s="3160">
        <v>2924</v>
      </c>
      <c r="P322" s="3160">
        <v>1116</v>
      </c>
      <c r="Q322" s="110">
        <v>95</v>
      </c>
      <c r="R322" s="1324">
        <v>20683</v>
      </c>
      <c r="S322" s="1321"/>
    </row>
    <row r="323" spans="1:19">
      <c r="A323" s="63">
        <f t="shared" si="3"/>
        <v>2020.02</v>
      </c>
      <c r="B323" s="58">
        <v>2503</v>
      </c>
      <c r="C323" s="3160">
        <v>2604</v>
      </c>
      <c r="D323" s="110">
        <v>81</v>
      </c>
      <c r="E323" s="805">
        <v>12042</v>
      </c>
      <c r="F323" s="3160">
        <v>3272</v>
      </c>
      <c r="G323" s="110">
        <v>105</v>
      </c>
      <c r="H323" s="805">
        <v>27804</v>
      </c>
      <c r="I323" s="3160">
        <v>22065</v>
      </c>
      <c r="J323" s="110">
        <v>487</v>
      </c>
      <c r="K323" s="805">
        <v>125060</v>
      </c>
      <c r="L323" s="3160">
        <v>24912</v>
      </c>
      <c r="M323" s="891">
        <v>600</v>
      </c>
      <c r="N323" s="1412">
        <f t="shared" si="4"/>
        <v>2503</v>
      </c>
      <c r="O323" s="3160">
        <v>1793</v>
      </c>
      <c r="P323" s="3160">
        <v>604</v>
      </c>
      <c r="Q323" s="110">
        <v>106</v>
      </c>
      <c r="R323" s="1324">
        <v>26133</v>
      </c>
      <c r="S323" s="1321"/>
    </row>
    <row r="324" spans="1:19">
      <c r="A324" s="63">
        <f t="shared" si="3"/>
        <v>2020.03</v>
      </c>
      <c r="B324" s="58">
        <v>1633</v>
      </c>
      <c r="C324" s="3160">
        <v>2416</v>
      </c>
      <c r="D324" s="110">
        <v>63</v>
      </c>
      <c r="E324" s="805">
        <v>9158</v>
      </c>
      <c r="F324" s="3160">
        <v>2523</v>
      </c>
      <c r="G324" s="110">
        <v>63</v>
      </c>
      <c r="H324" s="805">
        <v>17924</v>
      </c>
      <c r="I324" s="3160">
        <v>19889</v>
      </c>
      <c r="J324" s="110">
        <v>427</v>
      </c>
      <c r="K324" s="805">
        <v>95030</v>
      </c>
      <c r="L324" s="3160">
        <v>19415</v>
      </c>
      <c r="M324" s="891">
        <v>462</v>
      </c>
      <c r="N324" s="1412">
        <f t="shared" si="4"/>
        <v>1633</v>
      </c>
      <c r="O324" s="3160">
        <v>1160</v>
      </c>
      <c r="P324" s="3160">
        <v>397</v>
      </c>
      <c r="Q324" s="110">
        <v>76</v>
      </c>
      <c r="R324" s="1324">
        <v>19146</v>
      </c>
      <c r="S324" s="1321"/>
    </row>
    <row r="325" spans="1:19">
      <c r="A325" s="63">
        <f t="shared" si="3"/>
        <v>2020.04</v>
      </c>
      <c r="B325" s="58">
        <v>381</v>
      </c>
      <c r="C325" s="3160">
        <v>514</v>
      </c>
      <c r="D325" s="110">
        <v>20</v>
      </c>
      <c r="E325" s="805">
        <v>2196</v>
      </c>
      <c r="F325" s="3160">
        <v>540</v>
      </c>
      <c r="G325" s="110">
        <v>5</v>
      </c>
      <c r="H325" s="805">
        <v>4428</v>
      </c>
      <c r="I325" s="3160">
        <v>4433</v>
      </c>
      <c r="J325" s="110">
        <v>122</v>
      </c>
      <c r="K325" s="805">
        <v>18027</v>
      </c>
      <c r="L325" s="3160">
        <v>3273</v>
      </c>
      <c r="M325" s="891">
        <v>74</v>
      </c>
      <c r="N325" s="1412">
        <f t="shared" si="4"/>
        <v>381</v>
      </c>
      <c r="O325" s="3160">
        <v>204</v>
      </c>
      <c r="P325" s="3160">
        <v>128</v>
      </c>
      <c r="Q325" s="110">
        <v>49</v>
      </c>
      <c r="R325" s="1324">
        <v>0</v>
      </c>
      <c r="S325" s="1321"/>
    </row>
    <row r="326" spans="1:19">
      <c r="A326" s="63">
        <f t="shared" si="3"/>
        <v>2020.05</v>
      </c>
      <c r="B326" s="58">
        <v>2307</v>
      </c>
      <c r="C326" s="3160">
        <v>2208</v>
      </c>
      <c r="D326" s="110">
        <v>113</v>
      </c>
      <c r="E326" s="805">
        <v>8599</v>
      </c>
      <c r="F326" s="3160">
        <v>2586</v>
      </c>
      <c r="G326" s="110">
        <v>111</v>
      </c>
      <c r="H326" s="805">
        <v>21274</v>
      </c>
      <c r="I326" s="3160">
        <v>16685</v>
      </c>
      <c r="J326" s="110">
        <v>525</v>
      </c>
      <c r="K326" s="805">
        <v>77842</v>
      </c>
      <c r="L326" s="3160">
        <v>17839</v>
      </c>
      <c r="M326" s="891">
        <v>344</v>
      </c>
      <c r="N326" s="1412">
        <f t="shared" si="4"/>
        <v>2307</v>
      </c>
      <c r="O326" s="3160">
        <v>1435</v>
      </c>
      <c r="P326" s="3160">
        <v>758</v>
      </c>
      <c r="Q326" s="110">
        <v>114</v>
      </c>
      <c r="R326" s="1324">
        <v>4802</v>
      </c>
      <c r="S326" s="1321"/>
    </row>
    <row r="327" spans="1:19">
      <c r="A327" s="63">
        <f t="shared" ref="A327:A390" si="5">A315+1</f>
        <v>2020.06</v>
      </c>
      <c r="B327" s="58">
        <v>4136</v>
      </c>
      <c r="C327" s="3160">
        <v>2952</v>
      </c>
      <c r="D327" s="110">
        <v>126</v>
      </c>
      <c r="E327" s="805">
        <v>14702</v>
      </c>
      <c r="F327" s="3160">
        <v>4032</v>
      </c>
      <c r="G327" s="110">
        <v>105</v>
      </c>
      <c r="H327" s="805">
        <v>37398</v>
      </c>
      <c r="I327" s="3160">
        <v>23791</v>
      </c>
      <c r="J327" s="110">
        <v>837</v>
      </c>
      <c r="K327" s="805">
        <v>128406</v>
      </c>
      <c r="L327" s="3160">
        <v>26831</v>
      </c>
      <c r="M327" s="891">
        <v>485</v>
      </c>
      <c r="N327" s="1412">
        <f t="shared" si="4"/>
        <v>4136</v>
      </c>
      <c r="O327" s="3160">
        <v>2934</v>
      </c>
      <c r="P327" s="3160">
        <v>1065</v>
      </c>
      <c r="Q327" s="110">
        <v>137</v>
      </c>
      <c r="R327" s="1324">
        <v>15657</v>
      </c>
      <c r="S327" s="1321"/>
    </row>
    <row r="328" spans="1:19">
      <c r="A328" s="63">
        <f t="shared" si="5"/>
        <v>2020.07</v>
      </c>
      <c r="B328" s="58">
        <v>3526</v>
      </c>
      <c r="C328" s="3160">
        <v>3257</v>
      </c>
      <c r="D328" s="110">
        <v>173</v>
      </c>
      <c r="E328" s="805">
        <v>18124</v>
      </c>
      <c r="F328" s="3160">
        <v>4820</v>
      </c>
      <c r="G328" s="110">
        <v>127</v>
      </c>
      <c r="H328" s="805">
        <v>30596</v>
      </c>
      <c r="I328" s="3160">
        <v>24057</v>
      </c>
      <c r="J328" s="110">
        <v>951</v>
      </c>
      <c r="K328" s="805">
        <v>147668</v>
      </c>
      <c r="L328" s="3160">
        <v>30087</v>
      </c>
      <c r="M328" s="891">
        <v>615</v>
      </c>
      <c r="N328" s="1412">
        <f t="shared" si="4"/>
        <v>3526</v>
      </c>
      <c r="O328" s="3160">
        <v>2396</v>
      </c>
      <c r="P328" s="3160">
        <v>961</v>
      </c>
      <c r="Q328" s="110">
        <v>169</v>
      </c>
      <c r="R328" s="1324">
        <v>21316</v>
      </c>
      <c r="S328" s="1321"/>
    </row>
    <row r="329" spans="1:19">
      <c r="A329" s="63">
        <f t="shared" si="5"/>
        <v>2020.08</v>
      </c>
      <c r="B329" s="58">
        <v>3325</v>
      </c>
      <c r="C329" s="3160">
        <v>3321</v>
      </c>
      <c r="D329" s="110">
        <v>151</v>
      </c>
      <c r="E329" s="805">
        <v>17753</v>
      </c>
      <c r="F329" s="3160">
        <v>4940</v>
      </c>
      <c r="G329" s="110">
        <v>130</v>
      </c>
      <c r="H329" s="805">
        <v>30723</v>
      </c>
      <c r="I329" s="3160">
        <v>27234</v>
      </c>
      <c r="J329" s="110">
        <v>893</v>
      </c>
      <c r="K329" s="805">
        <v>154745</v>
      </c>
      <c r="L329" s="3160">
        <v>31552</v>
      </c>
      <c r="M329" s="891">
        <v>725</v>
      </c>
      <c r="N329" s="1412">
        <f t="shared" si="4"/>
        <v>3325</v>
      </c>
      <c r="O329" s="3160">
        <v>2214</v>
      </c>
      <c r="P329" s="3160">
        <v>965</v>
      </c>
      <c r="Q329" s="110">
        <v>146</v>
      </c>
      <c r="R329" s="1324">
        <v>25835</v>
      </c>
      <c r="S329" s="1321"/>
    </row>
    <row r="330" spans="1:19">
      <c r="A330" s="63">
        <f t="shared" si="5"/>
        <v>2020.09</v>
      </c>
      <c r="B330" s="58">
        <v>3380</v>
      </c>
      <c r="C330" s="3160">
        <v>3503</v>
      </c>
      <c r="D330" s="110">
        <v>161</v>
      </c>
      <c r="E330" s="805">
        <v>16297</v>
      </c>
      <c r="F330" s="3160">
        <v>4790</v>
      </c>
      <c r="G330" s="110">
        <v>141</v>
      </c>
      <c r="H330" s="805">
        <v>35125</v>
      </c>
      <c r="I330" s="3160">
        <v>29658</v>
      </c>
      <c r="J330" s="110">
        <v>863</v>
      </c>
      <c r="K330" s="805">
        <v>159588</v>
      </c>
      <c r="L330" s="3160">
        <v>34497</v>
      </c>
      <c r="M330" s="891">
        <v>922</v>
      </c>
      <c r="N330" s="1412">
        <f t="shared" si="4"/>
        <v>3380</v>
      </c>
      <c r="O330" s="3160">
        <v>2202</v>
      </c>
      <c r="P330" s="3160">
        <v>1023</v>
      </c>
      <c r="Q330" s="110">
        <v>155</v>
      </c>
      <c r="R330" s="1324">
        <v>32149</v>
      </c>
      <c r="S330" s="1321"/>
    </row>
    <row r="331" spans="1:19">
      <c r="A331" s="63">
        <f t="shared" si="5"/>
        <v>2020.1</v>
      </c>
      <c r="B331" s="58">
        <v>3870</v>
      </c>
      <c r="C331" s="3160">
        <v>3601</v>
      </c>
      <c r="D331" s="110">
        <v>149</v>
      </c>
      <c r="E331" s="805">
        <v>14865</v>
      </c>
      <c r="F331" s="3160">
        <v>4904</v>
      </c>
      <c r="G331" s="110">
        <v>120</v>
      </c>
      <c r="H331" s="805">
        <v>37638</v>
      </c>
      <c r="I331" s="3160">
        <v>29782</v>
      </c>
      <c r="J331" s="110">
        <v>877</v>
      </c>
      <c r="K331" s="805">
        <v>154415</v>
      </c>
      <c r="L331" s="3160">
        <v>34769</v>
      </c>
      <c r="M331" s="891">
        <v>830</v>
      </c>
      <c r="N331" s="1412">
        <f t="shared" si="4"/>
        <v>3870</v>
      </c>
      <c r="O331" s="3160">
        <v>2505</v>
      </c>
      <c r="P331" s="3160">
        <v>1213</v>
      </c>
      <c r="Q331" s="110">
        <v>152</v>
      </c>
      <c r="R331" s="1324">
        <v>28706</v>
      </c>
      <c r="S331" s="1321"/>
    </row>
    <row r="332" spans="1:19">
      <c r="A332" s="63">
        <f t="shared" si="5"/>
        <v>2020.11</v>
      </c>
      <c r="B332" s="58">
        <v>3511</v>
      </c>
      <c r="C332" s="3160">
        <v>2884</v>
      </c>
      <c r="D332" s="110">
        <v>156</v>
      </c>
      <c r="E332" s="805">
        <v>13577</v>
      </c>
      <c r="F332" s="3160">
        <v>4524</v>
      </c>
      <c r="G332" s="110">
        <v>136</v>
      </c>
      <c r="H332" s="805">
        <v>34975</v>
      </c>
      <c r="I332" s="3160">
        <v>25289</v>
      </c>
      <c r="J332" s="110">
        <v>800</v>
      </c>
      <c r="K332" s="805">
        <v>144616</v>
      </c>
      <c r="L332" s="3160">
        <v>33901</v>
      </c>
      <c r="M332" s="891">
        <v>837</v>
      </c>
      <c r="N332" s="1412">
        <f t="shared" si="4"/>
        <v>3512</v>
      </c>
      <c r="O332" s="3160">
        <v>2376</v>
      </c>
      <c r="P332" s="3160">
        <v>1023</v>
      </c>
      <c r="Q332" s="110">
        <v>113</v>
      </c>
      <c r="R332" s="1324">
        <v>32570</v>
      </c>
      <c r="S332" s="1321"/>
    </row>
    <row r="333" spans="1:19">
      <c r="A333" s="63">
        <f t="shared" si="5"/>
        <v>2020.12</v>
      </c>
      <c r="B333" s="58">
        <v>1918</v>
      </c>
      <c r="C333" s="3160">
        <v>2582</v>
      </c>
      <c r="D333" s="110">
        <v>167</v>
      </c>
      <c r="E333" s="805">
        <v>13461</v>
      </c>
      <c r="F333" s="3160">
        <v>3924</v>
      </c>
      <c r="G333" s="110">
        <v>158</v>
      </c>
      <c r="H333" s="805">
        <v>20792</v>
      </c>
      <c r="I333" s="3160">
        <v>22245</v>
      </c>
      <c r="J333" s="110">
        <v>859</v>
      </c>
      <c r="K333" s="805">
        <v>142099</v>
      </c>
      <c r="L333" s="3160">
        <v>31540</v>
      </c>
      <c r="M333" s="891">
        <v>874</v>
      </c>
      <c r="N333" s="1412">
        <f t="shared" si="4"/>
        <v>1918</v>
      </c>
      <c r="O333" s="3160">
        <v>1231</v>
      </c>
      <c r="P333" s="3160">
        <v>614</v>
      </c>
      <c r="Q333" s="110">
        <v>73</v>
      </c>
      <c r="R333" s="1324">
        <v>30172</v>
      </c>
      <c r="S333" s="1321"/>
    </row>
    <row r="334" spans="1:19">
      <c r="A334" s="63">
        <f t="shared" si="5"/>
        <v>2021.01</v>
      </c>
      <c r="B334" s="58">
        <v>4830</v>
      </c>
      <c r="C334" s="3160">
        <v>3535</v>
      </c>
      <c r="D334" s="110">
        <v>106</v>
      </c>
      <c r="E334" s="805">
        <v>11984</v>
      </c>
      <c r="F334" s="3160">
        <v>3917</v>
      </c>
      <c r="G334" s="110">
        <v>140</v>
      </c>
      <c r="H334" s="805">
        <v>49882</v>
      </c>
      <c r="I334" s="3160">
        <v>29480</v>
      </c>
      <c r="J334" s="110">
        <v>663</v>
      </c>
      <c r="K334" s="805">
        <v>132640</v>
      </c>
      <c r="L334" s="3160">
        <v>30201</v>
      </c>
      <c r="M334" s="891">
        <v>860</v>
      </c>
      <c r="N334" s="1412">
        <f t="shared" si="4"/>
        <v>4830</v>
      </c>
      <c r="O334" s="3160">
        <v>3387</v>
      </c>
      <c r="P334" s="3160">
        <v>1295</v>
      </c>
      <c r="Q334" s="110">
        <v>148</v>
      </c>
      <c r="R334" s="1324">
        <v>24308</v>
      </c>
      <c r="S334" s="1321"/>
    </row>
    <row r="335" spans="1:19">
      <c r="A335" s="63">
        <f t="shared" si="5"/>
        <v>2021.02</v>
      </c>
      <c r="B335" s="58">
        <v>2938</v>
      </c>
      <c r="C335" s="3160">
        <v>3038</v>
      </c>
      <c r="D335" s="110">
        <v>120</v>
      </c>
      <c r="E335" s="805">
        <v>11837</v>
      </c>
      <c r="F335" s="3160">
        <v>3812</v>
      </c>
      <c r="G335" s="110">
        <v>127</v>
      </c>
      <c r="H335" s="805">
        <v>30632</v>
      </c>
      <c r="I335" s="3160">
        <v>25561</v>
      </c>
      <c r="J335" s="110">
        <v>649</v>
      </c>
      <c r="K335" s="805">
        <v>125698</v>
      </c>
      <c r="L335" s="3160">
        <v>38371</v>
      </c>
      <c r="M335" s="891">
        <v>683</v>
      </c>
      <c r="N335" s="1412">
        <f t="shared" si="4"/>
        <v>2938</v>
      </c>
      <c r="O335" s="3160">
        <v>2043</v>
      </c>
      <c r="P335" s="3160">
        <v>772</v>
      </c>
      <c r="Q335" s="110">
        <v>123</v>
      </c>
      <c r="R335" s="1324">
        <v>21809</v>
      </c>
      <c r="S335" s="1321"/>
    </row>
    <row r="336" spans="1:19">
      <c r="A336" s="63">
        <f t="shared" si="5"/>
        <v>2021.03</v>
      </c>
      <c r="B336" s="58">
        <v>3399</v>
      </c>
      <c r="C336" s="3160">
        <v>4177</v>
      </c>
      <c r="D336" s="110">
        <v>183</v>
      </c>
      <c r="E336" s="805">
        <v>14613</v>
      </c>
      <c r="F336" s="3160">
        <v>4704</v>
      </c>
      <c r="G336" s="110">
        <v>136</v>
      </c>
      <c r="H336" s="805">
        <v>37075</v>
      </c>
      <c r="I336" s="3160">
        <v>35349</v>
      </c>
      <c r="J336" s="110">
        <v>975</v>
      </c>
      <c r="K336" s="805">
        <v>157156</v>
      </c>
      <c r="L336" s="3160">
        <v>36317</v>
      </c>
      <c r="M336" s="891">
        <v>879</v>
      </c>
      <c r="N336" s="1412">
        <f t="shared" si="4"/>
        <v>3399</v>
      </c>
      <c r="O336" s="3160">
        <v>2281</v>
      </c>
      <c r="P336" s="3160">
        <v>931</v>
      </c>
      <c r="Q336" s="110">
        <v>187</v>
      </c>
      <c r="R336" s="1324">
        <v>43160</v>
      </c>
      <c r="S336" s="1321"/>
    </row>
    <row r="337" spans="1:19">
      <c r="A337" s="63">
        <f t="shared" si="5"/>
        <v>2021.04</v>
      </c>
      <c r="B337" s="58">
        <v>3094</v>
      </c>
      <c r="C337" s="3160">
        <v>3834</v>
      </c>
      <c r="D337" s="110">
        <v>119</v>
      </c>
      <c r="E337" s="805">
        <v>12224</v>
      </c>
      <c r="F337" s="3160">
        <v>3833</v>
      </c>
      <c r="G337" s="110">
        <v>169</v>
      </c>
      <c r="H337" s="805">
        <v>32643</v>
      </c>
      <c r="I337" s="3160">
        <v>30718</v>
      </c>
      <c r="J337" s="110">
        <v>893</v>
      </c>
      <c r="K337" s="805">
        <v>128481</v>
      </c>
      <c r="L337" s="3160">
        <v>28645</v>
      </c>
      <c r="M337" s="891">
        <v>847</v>
      </c>
      <c r="N337" s="1412">
        <f t="shared" si="4"/>
        <v>3094</v>
      </c>
      <c r="O337" s="3160">
        <v>1961</v>
      </c>
      <c r="P337" s="3160">
        <v>997</v>
      </c>
      <c r="Q337" s="110">
        <v>136</v>
      </c>
      <c r="R337" s="1324">
        <v>29315</v>
      </c>
      <c r="S337" s="1321"/>
    </row>
    <row r="338" spans="1:19">
      <c r="A338" s="63">
        <f t="shared" si="5"/>
        <v>2021.05</v>
      </c>
      <c r="B338" s="58">
        <v>2212</v>
      </c>
      <c r="C338" s="3160">
        <v>2715</v>
      </c>
      <c r="D338" s="110">
        <v>115</v>
      </c>
      <c r="E338" s="805">
        <v>9676</v>
      </c>
      <c r="F338" s="3160">
        <v>3139</v>
      </c>
      <c r="G338" s="110">
        <v>105</v>
      </c>
      <c r="H338" s="805">
        <v>23083</v>
      </c>
      <c r="I338" s="3160">
        <v>21790</v>
      </c>
      <c r="J338" s="110">
        <v>746</v>
      </c>
      <c r="K338" s="805">
        <v>97672</v>
      </c>
      <c r="L338" s="3160">
        <v>22353</v>
      </c>
      <c r="M338" s="891">
        <v>652</v>
      </c>
      <c r="N338" s="1412">
        <f t="shared" si="4"/>
        <v>2212</v>
      </c>
      <c r="O338" s="3160">
        <v>1388</v>
      </c>
      <c r="P338" s="3160">
        <v>710</v>
      </c>
      <c r="Q338" s="110">
        <v>114</v>
      </c>
      <c r="R338" s="1324">
        <v>34953</v>
      </c>
      <c r="S338" s="1321"/>
    </row>
    <row r="339" spans="1:19">
      <c r="A339" s="63">
        <f t="shared" si="5"/>
        <v>2021.06</v>
      </c>
      <c r="B339" s="58">
        <v>3791</v>
      </c>
      <c r="C339" s="3160">
        <v>3971</v>
      </c>
      <c r="D339" s="110">
        <v>154</v>
      </c>
      <c r="E339" s="805">
        <v>14112</v>
      </c>
      <c r="F339" s="3160">
        <v>4323</v>
      </c>
      <c r="G339" s="110">
        <v>147</v>
      </c>
      <c r="H339" s="805">
        <v>38430</v>
      </c>
      <c r="I339" s="3160">
        <v>31395</v>
      </c>
      <c r="J339" s="110">
        <v>1164</v>
      </c>
      <c r="K339" s="805">
        <v>142214</v>
      </c>
      <c r="L339" s="3160">
        <v>31676</v>
      </c>
      <c r="M339" s="891">
        <v>941</v>
      </c>
      <c r="N339" s="1412">
        <f t="shared" si="4"/>
        <v>3791</v>
      </c>
      <c r="O339" s="3160">
        <v>2311</v>
      </c>
      <c r="P339" s="3160">
        <v>1327</v>
      </c>
      <c r="Q339" s="110">
        <v>153</v>
      </c>
      <c r="R339" s="1324">
        <v>40035</v>
      </c>
      <c r="S339" s="1321"/>
    </row>
    <row r="340" spans="1:19">
      <c r="A340" s="63">
        <f t="shared" si="5"/>
        <v>2021.07</v>
      </c>
      <c r="B340" s="58">
        <v>3312</v>
      </c>
      <c r="C340" s="3160">
        <v>4069</v>
      </c>
      <c r="D340" s="110">
        <v>187</v>
      </c>
      <c r="E340" s="805">
        <v>14823</v>
      </c>
      <c r="F340" s="3160">
        <v>4448</v>
      </c>
      <c r="G340" s="110">
        <v>165</v>
      </c>
      <c r="H340" s="805">
        <v>33169</v>
      </c>
      <c r="I340" s="3160">
        <v>32481</v>
      </c>
      <c r="J340" s="110">
        <v>1223</v>
      </c>
      <c r="K340" s="805">
        <v>148330</v>
      </c>
      <c r="L340" s="3160">
        <v>30803</v>
      </c>
      <c r="M340" s="891">
        <v>860</v>
      </c>
      <c r="N340" s="1412">
        <f t="shared" si="4"/>
        <v>3312</v>
      </c>
      <c r="O340" s="3160">
        <v>2085</v>
      </c>
      <c r="P340" s="3160">
        <v>1108</v>
      </c>
      <c r="Q340" s="110">
        <v>119</v>
      </c>
      <c r="R340" s="1324">
        <v>31935</v>
      </c>
      <c r="S340" s="1321"/>
    </row>
    <row r="341" spans="1:19">
      <c r="A341" s="63">
        <f t="shared" si="5"/>
        <v>2021.08</v>
      </c>
      <c r="B341" s="58">
        <v>3124</v>
      </c>
      <c r="C341" s="3160">
        <v>4467</v>
      </c>
      <c r="D341" s="110">
        <v>187</v>
      </c>
      <c r="E341" s="805">
        <v>15142</v>
      </c>
      <c r="F341" s="3160">
        <v>4474</v>
      </c>
      <c r="G341" s="110">
        <v>142</v>
      </c>
      <c r="H341" s="805">
        <v>31989</v>
      </c>
      <c r="I341" s="3160">
        <v>36724</v>
      </c>
      <c r="J341" s="110">
        <v>1244</v>
      </c>
      <c r="K341" s="805">
        <v>153347</v>
      </c>
      <c r="L341" s="3160">
        <v>31768</v>
      </c>
      <c r="M341" s="891">
        <v>843</v>
      </c>
      <c r="N341" s="1412">
        <f t="shared" si="4"/>
        <v>3124</v>
      </c>
      <c r="O341" s="3160">
        <v>2038</v>
      </c>
      <c r="P341" s="3160">
        <v>918</v>
      </c>
      <c r="Q341" s="110">
        <v>168</v>
      </c>
      <c r="R341" s="1324">
        <v>38362</v>
      </c>
      <c r="S341" s="1321"/>
    </row>
    <row r="342" spans="1:19">
      <c r="A342" s="63">
        <f t="shared" si="5"/>
        <v>2021.09</v>
      </c>
      <c r="B342" s="58">
        <v>3070</v>
      </c>
      <c r="C342" s="3160">
        <v>4946</v>
      </c>
      <c r="D342" s="110">
        <v>187</v>
      </c>
      <c r="E342" s="805">
        <v>15958</v>
      </c>
      <c r="F342" s="3160">
        <v>5033</v>
      </c>
      <c r="G342" s="110">
        <v>157</v>
      </c>
      <c r="H342" s="805">
        <v>32137</v>
      </c>
      <c r="I342" s="3160">
        <v>40467</v>
      </c>
      <c r="J342" s="110">
        <v>1393</v>
      </c>
      <c r="K342" s="805">
        <v>161232</v>
      </c>
      <c r="L342" s="3160">
        <v>34501</v>
      </c>
      <c r="M342" s="891">
        <v>973</v>
      </c>
      <c r="N342" s="1412">
        <f t="shared" si="4"/>
        <v>3070</v>
      </c>
      <c r="O342" s="3160">
        <v>1788</v>
      </c>
      <c r="P342" s="3160">
        <v>1125</v>
      </c>
      <c r="Q342" s="110">
        <v>157</v>
      </c>
      <c r="R342" s="1324">
        <v>43535</v>
      </c>
      <c r="S342" s="1321"/>
    </row>
    <row r="343" spans="1:19">
      <c r="A343" s="63">
        <f t="shared" si="5"/>
        <v>2021.1</v>
      </c>
      <c r="B343" s="58">
        <v>2798</v>
      </c>
      <c r="C343" s="3160">
        <v>4474</v>
      </c>
      <c r="D343" s="110">
        <v>228</v>
      </c>
      <c r="E343" s="805">
        <v>13535</v>
      </c>
      <c r="F343" s="3160">
        <v>4270</v>
      </c>
      <c r="G343" s="110">
        <v>126</v>
      </c>
      <c r="H343" s="805">
        <v>28240</v>
      </c>
      <c r="I343" s="3160">
        <v>37795</v>
      </c>
      <c r="J343" s="110">
        <v>1259</v>
      </c>
      <c r="K343" s="805">
        <v>140882</v>
      </c>
      <c r="L343" s="3160">
        <v>31056</v>
      </c>
      <c r="M343" s="891">
        <v>899</v>
      </c>
      <c r="N343" s="1412">
        <f t="shared" si="4"/>
        <v>2798</v>
      </c>
      <c r="O343" s="3160">
        <v>1607</v>
      </c>
      <c r="P343" s="3160">
        <v>1054</v>
      </c>
      <c r="Q343" s="110">
        <v>137</v>
      </c>
      <c r="R343" s="1324">
        <v>41002</v>
      </c>
      <c r="S343" s="1321"/>
    </row>
    <row r="344" spans="1:19">
      <c r="A344" s="63">
        <f t="shared" si="5"/>
        <v>2021.11</v>
      </c>
      <c r="B344" s="58">
        <v>2833</v>
      </c>
      <c r="C344" s="3160">
        <v>4530</v>
      </c>
      <c r="D344" s="110">
        <v>230</v>
      </c>
      <c r="E344" s="805">
        <v>14026</v>
      </c>
      <c r="F344" s="3160">
        <v>4572</v>
      </c>
      <c r="G344" s="110">
        <v>159</v>
      </c>
      <c r="H344" s="805">
        <v>28735</v>
      </c>
      <c r="I344" s="3160">
        <v>38542</v>
      </c>
      <c r="J344" s="110">
        <v>1482</v>
      </c>
      <c r="K344" s="805">
        <v>152903</v>
      </c>
      <c r="L344" s="3160">
        <v>35227</v>
      </c>
      <c r="M344" s="891">
        <v>921</v>
      </c>
      <c r="N344" s="1412">
        <f t="shared" si="4"/>
        <v>2833</v>
      </c>
      <c r="O344" s="3160">
        <v>1613</v>
      </c>
      <c r="P344" s="3160">
        <v>1081</v>
      </c>
      <c r="Q344" s="110">
        <v>139</v>
      </c>
      <c r="R344" s="1324">
        <v>46490</v>
      </c>
      <c r="S344" s="1321"/>
    </row>
    <row r="345" spans="1:19">
      <c r="A345" s="63">
        <f t="shared" si="5"/>
        <v>2021.12</v>
      </c>
      <c r="B345" s="58">
        <v>1707</v>
      </c>
      <c r="C345" s="3160">
        <v>3874</v>
      </c>
      <c r="D345" s="110">
        <v>179</v>
      </c>
      <c r="E345" s="805">
        <v>14153</v>
      </c>
      <c r="F345" s="3160">
        <v>4504</v>
      </c>
      <c r="G345" s="110">
        <v>161</v>
      </c>
      <c r="H345" s="805">
        <v>17949</v>
      </c>
      <c r="I345" s="3160">
        <v>34838</v>
      </c>
      <c r="J345" s="110">
        <v>1268</v>
      </c>
      <c r="K345" s="805">
        <v>150741</v>
      </c>
      <c r="L345" s="3160">
        <v>34166</v>
      </c>
      <c r="M345" s="891">
        <v>850</v>
      </c>
      <c r="N345" s="1412">
        <f t="shared" si="4"/>
        <v>1707</v>
      </c>
      <c r="O345" s="3160">
        <v>986</v>
      </c>
      <c r="P345" s="3160">
        <v>615</v>
      </c>
      <c r="Q345" s="110">
        <v>106</v>
      </c>
      <c r="R345" s="1324">
        <v>39849</v>
      </c>
      <c r="S345" s="1321"/>
    </row>
    <row r="346" spans="1:19">
      <c r="A346" s="63">
        <f t="shared" si="5"/>
        <v>2022.01</v>
      </c>
      <c r="B346" s="58">
        <v>4399</v>
      </c>
      <c r="C346" s="3160">
        <v>4538</v>
      </c>
      <c r="D346" s="110">
        <v>146</v>
      </c>
      <c r="E346" s="805">
        <v>10356</v>
      </c>
      <c r="F346" s="3160">
        <v>3795</v>
      </c>
      <c r="G346" s="110">
        <v>111</v>
      </c>
      <c r="H346" s="805">
        <v>43794</v>
      </c>
      <c r="I346" s="3160">
        <v>36516</v>
      </c>
      <c r="J346" s="110">
        <v>842</v>
      </c>
      <c r="K346" s="805">
        <v>117878</v>
      </c>
      <c r="L346" s="3160">
        <v>28226</v>
      </c>
      <c r="M346" s="891">
        <v>745</v>
      </c>
      <c r="N346" s="1412">
        <f t="shared" si="4"/>
        <v>4399</v>
      </c>
      <c r="O346" s="3160">
        <v>2998</v>
      </c>
      <c r="P346" s="3160">
        <v>1268</v>
      </c>
      <c r="Q346" s="110">
        <v>133</v>
      </c>
      <c r="R346" s="1324">
        <v>18651</v>
      </c>
      <c r="S346" s="1321"/>
    </row>
    <row r="347" spans="1:19">
      <c r="A347" s="63">
        <f t="shared" si="5"/>
        <v>2022.02</v>
      </c>
      <c r="B347" s="58">
        <v>2848</v>
      </c>
      <c r="C347" s="3160">
        <v>4430</v>
      </c>
      <c r="D347" s="110">
        <v>128</v>
      </c>
      <c r="E347" s="805">
        <v>11473</v>
      </c>
      <c r="F347" s="3160">
        <v>4067</v>
      </c>
      <c r="G347" s="110">
        <v>111</v>
      </c>
      <c r="H347" s="805">
        <v>29321</v>
      </c>
      <c r="I347" s="3160">
        <v>36287</v>
      </c>
      <c r="J347" s="110">
        <v>885</v>
      </c>
      <c r="K347" s="805">
        <v>212658</v>
      </c>
      <c r="L347" s="3160">
        <v>30479</v>
      </c>
      <c r="M347" s="891">
        <v>588</v>
      </c>
      <c r="N347" s="1412">
        <f t="shared" si="4"/>
        <v>2848</v>
      </c>
      <c r="O347" s="3160">
        <v>1896</v>
      </c>
      <c r="P347" s="3160">
        <v>823</v>
      </c>
      <c r="Q347" s="110">
        <v>129</v>
      </c>
      <c r="R347" s="1324">
        <v>37661</v>
      </c>
      <c r="S347" s="1321"/>
    </row>
    <row r="348" spans="1:19">
      <c r="A348" s="63">
        <f t="shared" si="5"/>
        <v>2022.03</v>
      </c>
      <c r="B348" s="58">
        <v>3443</v>
      </c>
      <c r="C348" s="3160">
        <v>5044</v>
      </c>
      <c r="D348" s="110">
        <v>122</v>
      </c>
      <c r="E348" s="805">
        <v>12875</v>
      </c>
      <c r="F348" s="3160">
        <v>4807</v>
      </c>
      <c r="G348" s="110">
        <v>155</v>
      </c>
      <c r="H348" s="805">
        <v>34782</v>
      </c>
      <c r="I348" s="3160">
        <v>45825</v>
      </c>
      <c r="J348" s="110">
        <v>1071</v>
      </c>
      <c r="K348" s="805">
        <v>140255</v>
      </c>
      <c r="L348" s="3160">
        <v>36345</v>
      </c>
      <c r="M348" s="891">
        <v>808</v>
      </c>
      <c r="N348" s="1412">
        <f t="shared" si="4"/>
        <v>3443</v>
      </c>
      <c r="O348" s="3160">
        <v>2171</v>
      </c>
      <c r="P348" s="3160">
        <v>1097</v>
      </c>
      <c r="Q348" s="110">
        <v>175</v>
      </c>
      <c r="R348" s="1324">
        <v>48746</v>
      </c>
      <c r="S348" s="1321"/>
    </row>
    <row r="349" spans="1:19">
      <c r="A349" s="63">
        <f t="shared" si="5"/>
        <v>2022.04</v>
      </c>
      <c r="B349" s="58">
        <v>2990</v>
      </c>
      <c r="C349" s="3160">
        <v>4634</v>
      </c>
      <c r="D349" s="110">
        <v>192</v>
      </c>
      <c r="E349" s="805">
        <v>12087</v>
      </c>
      <c r="F349" s="3160">
        <v>4459</v>
      </c>
      <c r="G349" s="110">
        <v>166</v>
      </c>
      <c r="H349" s="805">
        <v>32119</v>
      </c>
      <c r="I349" s="3160">
        <v>41474</v>
      </c>
      <c r="J349" s="110">
        <v>1109</v>
      </c>
      <c r="K349" s="805">
        <v>130411</v>
      </c>
      <c r="L349" s="3160">
        <v>32998</v>
      </c>
      <c r="M349" s="891">
        <v>830</v>
      </c>
      <c r="N349" s="1412">
        <f t="shared" si="4"/>
        <v>2990</v>
      </c>
      <c r="O349" s="3160">
        <v>1930</v>
      </c>
      <c r="P349" s="3160">
        <v>927</v>
      </c>
      <c r="Q349" s="110">
        <v>133</v>
      </c>
      <c r="R349" s="1324">
        <v>43826</v>
      </c>
      <c r="S349" s="1321"/>
    </row>
    <row r="350" spans="1:19">
      <c r="A350" s="63">
        <f t="shared" si="5"/>
        <v>2022.05</v>
      </c>
      <c r="B350" s="58">
        <v>3615</v>
      </c>
      <c r="C350" s="3160">
        <v>4841</v>
      </c>
      <c r="D350" s="110">
        <v>224</v>
      </c>
      <c r="E350" s="805">
        <v>13271</v>
      </c>
      <c r="F350" s="3160">
        <v>4833</v>
      </c>
      <c r="G350" s="110">
        <v>149</v>
      </c>
      <c r="H350" s="805">
        <v>35553</v>
      </c>
      <c r="I350" s="3160">
        <v>42368</v>
      </c>
      <c r="J350" s="110">
        <v>1460</v>
      </c>
      <c r="K350" s="805">
        <v>138591</v>
      </c>
      <c r="L350" s="3160">
        <v>35587</v>
      </c>
      <c r="M350" s="891">
        <v>758</v>
      </c>
      <c r="N350" s="1412">
        <f t="shared" si="4"/>
        <v>3615</v>
      </c>
      <c r="O350" s="3160">
        <v>2416</v>
      </c>
      <c r="P350" s="3160">
        <v>1059</v>
      </c>
      <c r="Q350" s="110">
        <v>140</v>
      </c>
      <c r="R350" s="1324">
        <v>46422</v>
      </c>
      <c r="S350" s="1321"/>
    </row>
    <row r="351" spans="1:19">
      <c r="A351" s="63">
        <f t="shared" si="5"/>
        <v>2022.06</v>
      </c>
      <c r="B351" s="58">
        <v>3788</v>
      </c>
      <c r="C351" s="3160">
        <v>4248</v>
      </c>
      <c r="D351" s="110">
        <v>184</v>
      </c>
      <c r="E351" s="805">
        <v>13127</v>
      </c>
      <c r="F351" s="3160">
        <v>4611</v>
      </c>
      <c r="G351" s="110">
        <v>141</v>
      </c>
      <c r="H351" s="805">
        <v>35656</v>
      </c>
      <c r="I351" s="3160">
        <v>37363</v>
      </c>
      <c r="J351" s="110">
        <v>1302</v>
      </c>
      <c r="K351" s="805">
        <v>134134</v>
      </c>
      <c r="L351" s="3160">
        <v>32570</v>
      </c>
      <c r="M351" s="891">
        <v>781</v>
      </c>
      <c r="N351" s="1412">
        <f t="shared" si="4"/>
        <v>3788</v>
      </c>
      <c r="O351" s="3160">
        <v>2486</v>
      </c>
      <c r="P351" s="3160">
        <v>1158</v>
      </c>
      <c r="Q351" s="110">
        <v>144</v>
      </c>
      <c r="R351" s="1324">
        <v>48392</v>
      </c>
      <c r="S351" s="1321"/>
    </row>
    <row r="352" spans="1:19">
      <c r="A352" s="63">
        <f t="shared" si="5"/>
        <v>2022.07</v>
      </c>
      <c r="B352" s="58">
        <v>3889</v>
      </c>
      <c r="C352" s="3160">
        <v>4385</v>
      </c>
      <c r="D352" s="110">
        <v>224</v>
      </c>
      <c r="E352" s="805">
        <v>14027</v>
      </c>
      <c r="F352" s="3160">
        <v>5009</v>
      </c>
      <c r="G352" s="110">
        <v>139</v>
      </c>
      <c r="H352" s="805">
        <v>39107</v>
      </c>
      <c r="I352" s="3160">
        <v>36599</v>
      </c>
      <c r="J352" s="110">
        <v>1431</v>
      </c>
      <c r="K352" s="805">
        <v>146183</v>
      </c>
      <c r="L352" s="3160">
        <v>35452</v>
      </c>
      <c r="M352" s="891">
        <v>819</v>
      </c>
      <c r="N352" s="1412">
        <f t="shared" si="4"/>
        <v>3889</v>
      </c>
      <c r="O352" s="3160">
        <v>2624</v>
      </c>
      <c r="P352" s="3160">
        <v>1126</v>
      </c>
      <c r="Q352" s="110">
        <v>139</v>
      </c>
      <c r="R352" s="1324">
        <v>44033</v>
      </c>
      <c r="S352" s="1321"/>
    </row>
    <row r="353" spans="1:19">
      <c r="A353" s="63">
        <f t="shared" si="5"/>
        <v>2022.08</v>
      </c>
      <c r="B353" s="58">
        <v>3582</v>
      </c>
      <c r="C353" s="3160">
        <v>3972</v>
      </c>
      <c r="D353" s="110">
        <v>229</v>
      </c>
      <c r="E353" s="805">
        <v>13709</v>
      </c>
      <c r="F353" s="3160">
        <v>5275</v>
      </c>
      <c r="G353" s="110">
        <v>117</v>
      </c>
      <c r="H353" s="805">
        <v>38595</v>
      </c>
      <c r="I353" s="3160">
        <v>35384</v>
      </c>
      <c r="J353" s="110">
        <v>1564</v>
      </c>
      <c r="K353" s="805">
        <v>143753</v>
      </c>
      <c r="L353" s="3160">
        <v>37143</v>
      </c>
      <c r="M353" s="891">
        <v>964</v>
      </c>
      <c r="N353" s="1412">
        <f t="shared" si="4"/>
        <v>3582</v>
      </c>
      <c r="O353" s="3160">
        <v>2342</v>
      </c>
      <c r="P353" s="3160">
        <v>1112</v>
      </c>
      <c r="Q353" s="110">
        <v>128</v>
      </c>
      <c r="R353" s="1324">
        <v>54057</v>
      </c>
      <c r="S353" s="1321"/>
    </row>
    <row r="354" spans="1:19">
      <c r="A354" s="63">
        <f t="shared" si="5"/>
        <v>2022.09</v>
      </c>
      <c r="B354" s="58">
        <v>3351</v>
      </c>
      <c r="C354" s="3160">
        <v>3802</v>
      </c>
      <c r="D354" s="110">
        <v>194</v>
      </c>
      <c r="E354" s="805">
        <v>12710</v>
      </c>
      <c r="F354" s="3160">
        <v>5519</v>
      </c>
      <c r="G354" s="110">
        <v>154</v>
      </c>
      <c r="H354" s="805">
        <v>35020</v>
      </c>
      <c r="I354" s="3160">
        <v>34476</v>
      </c>
      <c r="J354" s="110">
        <v>1476</v>
      </c>
      <c r="K354" s="805">
        <v>136967</v>
      </c>
      <c r="L354" s="3160">
        <v>38090</v>
      </c>
      <c r="M354" s="891">
        <v>957</v>
      </c>
      <c r="N354" s="1412">
        <f t="shared" si="4"/>
        <v>3351</v>
      </c>
      <c r="O354" s="3160">
        <v>2179</v>
      </c>
      <c r="P354" s="3160">
        <v>1029</v>
      </c>
      <c r="Q354" s="110">
        <v>143</v>
      </c>
      <c r="R354" s="1324">
        <v>52193</v>
      </c>
      <c r="S354" s="1321"/>
    </row>
    <row r="355" spans="1:19">
      <c r="A355" s="63">
        <f t="shared" si="5"/>
        <v>2022.1</v>
      </c>
      <c r="B355" s="58">
        <v>3315</v>
      </c>
      <c r="C355" s="3160">
        <v>3539</v>
      </c>
      <c r="D355" s="110">
        <v>158</v>
      </c>
      <c r="E355" s="805">
        <v>10605</v>
      </c>
      <c r="F355" s="3160">
        <v>4580</v>
      </c>
      <c r="G355" s="110">
        <v>161</v>
      </c>
      <c r="H355" s="805">
        <v>32646</v>
      </c>
      <c r="I355" s="3160">
        <v>33026</v>
      </c>
      <c r="J355" s="110">
        <v>1233</v>
      </c>
      <c r="K355" s="805">
        <v>118223</v>
      </c>
      <c r="L355" s="3160">
        <v>32997</v>
      </c>
      <c r="M355" s="891">
        <v>840</v>
      </c>
      <c r="N355" s="1412">
        <f t="shared" si="4"/>
        <v>3315</v>
      </c>
      <c r="O355" s="3160">
        <v>2102</v>
      </c>
      <c r="P355" s="3160">
        <v>1087</v>
      </c>
      <c r="Q355" s="110">
        <v>126</v>
      </c>
      <c r="R355" s="1324">
        <v>52415</v>
      </c>
      <c r="S355" s="1321"/>
    </row>
    <row r="356" spans="1:19">
      <c r="A356" s="63">
        <f t="shared" si="5"/>
        <v>2022.11</v>
      </c>
      <c r="B356" s="58">
        <v>3208</v>
      </c>
      <c r="C356" s="3160">
        <v>3703</v>
      </c>
      <c r="D356" s="110">
        <v>153</v>
      </c>
      <c r="E356" s="805">
        <v>11246</v>
      </c>
      <c r="F356" s="3160">
        <v>4892</v>
      </c>
      <c r="G356" s="110">
        <v>195</v>
      </c>
      <c r="H356" s="805">
        <v>33907</v>
      </c>
      <c r="I356" s="3160">
        <v>35362</v>
      </c>
      <c r="J356" s="110">
        <v>1249</v>
      </c>
      <c r="K356" s="805">
        <v>127187</v>
      </c>
      <c r="L356" s="3160">
        <v>35589</v>
      </c>
      <c r="M356" s="891">
        <v>861</v>
      </c>
      <c r="N356" s="1412">
        <f t="shared" si="4"/>
        <v>3208</v>
      </c>
      <c r="O356" s="3160">
        <v>2071</v>
      </c>
      <c r="P356" s="3160">
        <v>1041</v>
      </c>
      <c r="Q356" s="110">
        <v>96</v>
      </c>
      <c r="R356" s="1324">
        <v>53378</v>
      </c>
      <c r="S356" s="1321"/>
    </row>
    <row r="357" spans="1:19">
      <c r="A357" s="63">
        <f t="shared" si="5"/>
        <v>2022.12</v>
      </c>
      <c r="B357" s="58">
        <v>1793</v>
      </c>
      <c r="C357" s="3160">
        <v>3154</v>
      </c>
      <c r="D357" s="110">
        <v>146</v>
      </c>
      <c r="E357" s="805">
        <v>10434</v>
      </c>
      <c r="F357" s="3160">
        <v>4227</v>
      </c>
      <c r="G357" s="110">
        <v>162</v>
      </c>
      <c r="H357" s="805">
        <v>19890</v>
      </c>
      <c r="I357" s="3160">
        <v>29578</v>
      </c>
      <c r="J357" s="110">
        <v>1001</v>
      </c>
      <c r="K357" s="805">
        <v>116258</v>
      </c>
      <c r="L357" s="3160">
        <v>29845</v>
      </c>
      <c r="M357" s="891">
        <v>722</v>
      </c>
      <c r="N357" s="1412">
        <f t="shared" si="4"/>
        <v>1793</v>
      </c>
      <c r="O357" s="3160">
        <v>1056</v>
      </c>
      <c r="P357" s="3160">
        <v>636</v>
      </c>
      <c r="Q357" s="110">
        <v>101</v>
      </c>
      <c r="R357" s="1324">
        <v>37119</v>
      </c>
      <c r="S357" s="1321"/>
    </row>
    <row r="358" spans="1:19">
      <c r="A358" s="63">
        <f t="shared" si="5"/>
        <v>2023.01</v>
      </c>
      <c r="B358" s="58">
        <v>4615</v>
      </c>
      <c r="C358" s="3160">
        <v>4801</v>
      </c>
      <c r="D358" s="110">
        <v>137</v>
      </c>
      <c r="E358" s="805">
        <v>11445</v>
      </c>
      <c r="F358" s="3160">
        <v>4916</v>
      </c>
      <c r="G358" s="110">
        <v>143</v>
      </c>
      <c r="H358" s="805">
        <v>50616</v>
      </c>
      <c r="I358" s="3160">
        <v>42824</v>
      </c>
      <c r="J358" s="110">
        <v>1122</v>
      </c>
      <c r="K358" s="805">
        <v>133101</v>
      </c>
      <c r="L358" s="3160">
        <v>35878</v>
      </c>
      <c r="M358" s="891">
        <v>700</v>
      </c>
      <c r="N358" s="1412">
        <f t="shared" si="4"/>
        <v>4615</v>
      </c>
      <c r="O358" s="3160">
        <v>3141</v>
      </c>
      <c r="P358" s="3160">
        <v>1370</v>
      </c>
      <c r="Q358" s="110">
        <v>104</v>
      </c>
      <c r="R358" s="1324">
        <v>27184</v>
      </c>
      <c r="S358" s="1321"/>
    </row>
    <row r="359" spans="1:19">
      <c r="A359" s="63">
        <f t="shared" si="5"/>
        <v>2023.02</v>
      </c>
      <c r="B359" s="58">
        <v>2678</v>
      </c>
      <c r="C359" s="3160">
        <v>3998</v>
      </c>
      <c r="D359" s="110">
        <v>112</v>
      </c>
      <c r="E359" s="805">
        <v>9937</v>
      </c>
      <c r="F359" s="3160">
        <v>4065</v>
      </c>
      <c r="G359" s="110">
        <v>90</v>
      </c>
      <c r="H359" s="805">
        <v>30705</v>
      </c>
      <c r="I359" s="3160">
        <v>36643</v>
      </c>
      <c r="J359" s="110">
        <v>782</v>
      </c>
      <c r="K359" s="805">
        <v>111686</v>
      </c>
      <c r="L359" s="3160">
        <v>30853</v>
      </c>
      <c r="M359" s="891">
        <v>505</v>
      </c>
      <c r="N359" s="1412">
        <f t="shared" si="4"/>
        <v>2678</v>
      </c>
      <c r="O359" s="3160">
        <v>1825</v>
      </c>
      <c r="P359" s="3160">
        <v>764</v>
      </c>
      <c r="Q359" s="110">
        <v>89</v>
      </c>
      <c r="R359" s="1324">
        <v>46286</v>
      </c>
      <c r="S359" s="1321"/>
    </row>
    <row r="360" spans="1:19">
      <c r="A360" s="63">
        <f t="shared" si="5"/>
        <v>2023.03</v>
      </c>
      <c r="B360" s="58">
        <v>3486</v>
      </c>
      <c r="C360" s="3160">
        <v>4956</v>
      </c>
      <c r="D360" s="110">
        <v>157</v>
      </c>
      <c r="E360" s="805">
        <v>12937</v>
      </c>
      <c r="F360" s="3160">
        <v>5424</v>
      </c>
      <c r="G360" s="110">
        <v>87</v>
      </c>
      <c r="H360" s="805">
        <v>40131</v>
      </c>
      <c r="I360" s="3160">
        <v>49664</v>
      </c>
      <c r="J360" s="110">
        <v>1052</v>
      </c>
      <c r="K360" s="805">
        <v>146852</v>
      </c>
      <c r="L360" s="3160">
        <v>41983</v>
      </c>
      <c r="M360" s="891">
        <v>664</v>
      </c>
      <c r="N360" s="1412">
        <f t="shared" si="4"/>
        <v>3486</v>
      </c>
      <c r="O360" s="3160">
        <v>2265</v>
      </c>
      <c r="P360" s="3160">
        <v>1068</v>
      </c>
      <c r="Q360" s="110">
        <v>153</v>
      </c>
      <c r="R360" s="1324">
        <v>61104</v>
      </c>
      <c r="S360" s="1321"/>
    </row>
    <row r="361" spans="1:19">
      <c r="A361" s="63">
        <f t="shared" si="5"/>
        <v>2023.04</v>
      </c>
      <c r="B361" s="58">
        <v>2928</v>
      </c>
      <c r="C361" s="3160">
        <v>4137</v>
      </c>
      <c r="D361" s="110">
        <v>156</v>
      </c>
      <c r="E361" s="805">
        <v>11290</v>
      </c>
      <c r="F361" s="3160">
        <v>4601</v>
      </c>
      <c r="G361" s="110">
        <v>126</v>
      </c>
      <c r="H361" s="805">
        <v>34963</v>
      </c>
      <c r="I361" s="3160">
        <v>40889</v>
      </c>
      <c r="J361" s="110">
        <v>1078</v>
      </c>
      <c r="K361" s="805">
        <v>130209</v>
      </c>
      <c r="L361" s="3160">
        <v>35412</v>
      </c>
      <c r="M361" s="891">
        <v>595</v>
      </c>
      <c r="N361" s="1412">
        <f t="shared" si="4"/>
        <v>2928</v>
      </c>
      <c r="O361" s="3160">
        <v>1892</v>
      </c>
      <c r="P361" s="3160">
        <v>937</v>
      </c>
      <c r="Q361" s="110">
        <v>99</v>
      </c>
      <c r="R361" s="1324">
        <v>54399</v>
      </c>
    </row>
    <row r="362" spans="1:19">
      <c r="A362" s="63">
        <f t="shared" si="5"/>
        <v>2023.05</v>
      </c>
      <c r="B362" s="58">
        <v>3696</v>
      </c>
      <c r="C362" s="3160">
        <v>4284</v>
      </c>
      <c r="D362" s="110">
        <v>160</v>
      </c>
      <c r="E362" s="805">
        <v>12339</v>
      </c>
      <c r="F362" s="3160">
        <v>5077</v>
      </c>
      <c r="G362" s="110">
        <v>134</v>
      </c>
      <c r="H362" s="805">
        <v>40361</v>
      </c>
      <c r="I362" s="3160">
        <v>41051</v>
      </c>
      <c r="J362" s="110">
        <v>1291</v>
      </c>
      <c r="K362" s="805">
        <v>142232</v>
      </c>
      <c r="L362" s="3160">
        <v>37509</v>
      </c>
      <c r="M362" s="891">
        <v>652</v>
      </c>
      <c r="N362" s="1412">
        <f t="shared" si="4"/>
        <v>3696</v>
      </c>
      <c r="O362" s="3160">
        <v>2366</v>
      </c>
      <c r="P362" s="3160">
        <v>1227</v>
      </c>
      <c r="Q362" s="110">
        <v>103</v>
      </c>
      <c r="R362" s="1324">
        <v>53282</v>
      </c>
    </row>
    <row r="363" spans="1:19">
      <c r="A363" s="63">
        <f t="shared" si="5"/>
        <v>2023.06</v>
      </c>
      <c r="B363" s="58">
        <v>3514</v>
      </c>
      <c r="C363" s="3160">
        <v>3290</v>
      </c>
      <c r="D363" s="110">
        <v>120</v>
      </c>
      <c r="E363" s="805">
        <v>11654</v>
      </c>
      <c r="F363" s="3160">
        <v>4324</v>
      </c>
      <c r="G363" s="110">
        <v>113</v>
      </c>
      <c r="H363" s="805">
        <v>40301</v>
      </c>
      <c r="I363" s="3160">
        <v>34563</v>
      </c>
      <c r="J363" s="110">
        <v>1079</v>
      </c>
      <c r="K363" s="805">
        <v>134148</v>
      </c>
      <c r="L363" s="3160">
        <v>34067</v>
      </c>
      <c r="M363" s="891">
        <v>695</v>
      </c>
      <c r="N363" s="1412">
        <f t="shared" si="4"/>
        <v>3514</v>
      </c>
      <c r="O363" s="1411">
        <v>2332</v>
      </c>
      <c r="P363" s="3160">
        <v>1076</v>
      </c>
      <c r="Q363" s="110">
        <v>106</v>
      </c>
      <c r="R363" s="1324">
        <v>53522</v>
      </c>
    </row>
    <row r="364" spans="1:19">
      <c r="A364" s="63">
        <f t="shared" si="5"/>
        <v>2023.07</v>
      </c>
      <c r="B364" s="58">
        <v>3959</v>
      </c>
      <c r="C364" s="3160">
        <v>3675</v>
      </c>
      <c r="D364" s="110">
        <v>153</v>
      </c>
      <c r="E364" s="805">
        <v>13476</v>
      </c>
      <c r="F364" s="3160">
        <v>5110</v>
      </c>
      <c r="G364" s="110">
        <v>141</v>
      </c>
      <c r="H364" s="805">
        <v>44325</v>
      </c>
      <c r="I364" s="3160">
        <v>38304</v>
      </c>
      <c r="J364" s="110">
        <v>1144</v>
      </c>
      <c r="K364" s="805">
        <v>154444</v>
      </c>
      <c r="L364" s="3160">
        <v>37289</v>
      </c>
      <c r="M364" s="891">
        <v>640</v>
      </c>
      <c r="N364" s="1412">
        <f t="shared" si="4"/>
        <v>3959</v>
      </c>
      <c r="O364" s="3160">
        <v>2725</v>
      </c>
      <c r="P364" s="3160">
        <v>1150</v>
      </c>
      <c r="Q364" s="110">
        <v>84</v>
      </c>
      <c r="R364" s="1324">
        <v>49254</v>
      </c>
    </row>
    <row r="365" spans="1:19">
      <c r="A365" s="63">
        <f t="shared" si="5"/>
        <v>2023.08</v>
      </c>
      <c r="B365" s="58">
        <v>3371</v>
      </c>
      <c r="C365" s="3160">
        <v>4554</v>
      </c>
      <c r="D365" s="110">
        <v>153</v>
      </c>
      <c r="E365" s="805">
        <v>14447</v>
      </c>
      <c r="F365" s="3160">
        <v>5564</v>
      </c>
      <c r="G365" s="110">
        <v>141</v>
      </c>
      <c r="H365" s="805">
        <v>39701</v>
      </c>
      <c r="I365" s="3160">
        <v>43494</v>
      </c>
      <c r="J365" s="110">
        <v>1252</v>
      </c>
      <c r="K365" s="805">
        <v>162509</v>
      </c>
      <c r="L365" s="3160">
        <v>41059</v>
      </c>
      <c r="M365" s="891">
        <v>741</v>
      </c>
      <c r="N365" s="1412">
        <f t="shared" si="4"/>
        <v>3371</v>
      </c>
      <c r="O365" s="3160">
        <v>2081</v>
      </c>
      <c r="P365" s="3160">
        <v>1179</v>
      </c>
      <c r="Q365" s="110">
        <v>111</v>
      </c>
      <c r="R365" s="1324">
        <v>63455</v>
      </c>
    </row>
    <row r="366" spans="1:19">
      <c r="A366" s="63">
        <f t="shared" si="5"/>
        <v>2023.09</v>
      </c>
      <c r="B366" s="58">
        <v>2802</v>
      </c>
      <c r="C366" s="3160">
        <v>3650</v>
      </c>
      <c r="D366" s="110">
        <v>137</v>
      </c>
      <c r="E366" s="805">
        <v>12514</v>
      </c>
      <c r="F366" s="3160">
        <v>5354</v>
      </c>
      <c r="G366" s="110">
        <v>121</v>
      </c>
      <c r="H366" s="805">
        <v>33844</v>
      </c>
      <c r="I366" s="3160">
        <v>35497</v>
      </c>
      <c r="J366" s="110">
        <v>1092</v>
      </c>
      <c r="K366" s="805">
        <v>143838</v>
      </c>
      <c r="L366" s="3160">
        <v>39434</v>
      </c>
      <c r="M366" s="891">
        <v>681</v>
      </c>
      <c r="N366" s="1412">
        <f t="shared" si="4"/>
        <v>2802</v>
      </c>
      <c r="O366" s="3160">
        <v>1659</v>
      </c>
      <c r="P366" s="3160">
        <v>1057</v>
      </c>
      <c r="Q366" s="110">
        <v>86</v>
      </c>
      <c r="R366" s="1324">
        <v>56750</v>
      </c>
    </row>
    <row r="367" spans="1:19">
      <c r="A367" s="63">
        <f t="shared" si="5"/>
        <v>2023.1</v>
      </c>
      <c r="B367" s="58">
        <v>3529</v>
      </c>
      <c r="C367" s="3160">
        <v>4802</v>
      </c>
      <c r="D367" s="110">
        <v>138</v>
      </c>
      <c r="E367" s="805">
        <v>12137</v>
      </c>
      <c r="F367" s="3160">
        <v>5388</v>
      </c>
      <c r="G367" s="110">
        <v>153</v>
      </c>
      <c r="H367" s="805">
        <v>42151</v>
      </c>
      <c r="I367" s="3160">
        <v>43770</v>
      </c>
      <c r="J367" s="110">
        <v>1190</v>
      </c>
      <c r="K367" s="805">
        <v>141592</v>
      </c>
      <c r="L367" s="3160">
        <v>39195</v>
      </c>
      <c r="M367" s="891">
        <v>726</v>
      </c>
      <c r="N367" s="1412">
        <f t="shared" si="4"/>
        <v>3529</v>
      </c>
      <c r="O367" s="3160">
        <v>2230</v>
      </c>
      <c r="P367" s="3160">
        <v>1221</v>
      </c>
      <c r="Q367" s="110">
        <v>78</v>
      </c>
      <c r="R367" s="1324">
        <v>51937</v>
      </c>
    </row>
    <row r="368" spans="1:19">
      <c r="A368" s="63">
        <f t="shared" si="5"/>
        <v>2023.11</v>
      </c>
      <c r="B368" s="58">
        <v>2958</v>
      </c>
      <c r="C368" s="3160">
        <v>4327</v>
      </c>
      <c r="D368" s="110">
        <v>136</v>
      </c>
      <c r="E368" s="805">
        <v>10977</v>
      </c>
      <c r="F368" s="3160">
        <v>5352</v>
      </c>
      <c r="G368" s="110">
        <v>153</v>
      </c>
      <c r="H368" s="805">
        <v>36211</v>
      </c>
      <c r="I368" s="3160">
        <v>41107</v>
      </c>
      <c r="J368" s="110">
        <v>1197</v>
      </c>
      <c r="K368" s="805">
        <v>132344</v>
      </c>
      <c r="L368" s="3160">
        <v>40204</v>
      </c>
      <c r="M368" s="891">
        <v>708</v>
      </c>
      <c r="N368" s="1412">
        <f t="shared" si="4"/>
        <v>2958</v>
      </c>
      <c r="O368" s="3160">
        <v>1868</v>
      </c>
      <c r="P368" s="3160">
        <v>1027</v>
      </c>
      <c r="Q368" s="110">
        <v>63</v>
      </c>
      <c r="R368" s="1324">
        <v>56569</v>
      </c>
    </row>
    <row r="369" spans="1:18">
      <c r="A369" s="63">
        <f t="shared" si="5"/>
        <v>2023.12</v>
      </c>
      <c r="B369" s="58">
        <v>1326</v>
      </c>
      <c r="C369" s="3160">
        <v>3636</v>
      </c>
      <c r="D369" s="110">
        <v>117</v>
      </c>
      <c r="E369" s="805">
        <v>10057</v>
      </c>
      <c r="F369" s="3160">
        <v>4743</v>
      </c>
      <c r="G369" s="110">
        <v>169</v>
      </c>
      <c r="H369" s="805">
        <v>18798</v>
      </c>
      <c r="I369" s="3160">
        <v>33584</v>
      </c>
      <c r="J369" s="110">
        <v>910</v>
      </c>
      <c r="K369" s="805">
        <v>122031</v>
      </c>
      <c r="L369" s="3160">
        <v>36656</v>
      </c>
      <c r="M369" s="891">
        <v>746</v>
      </c>
      <c r="N369" s="1412">
        <f t="shared" si="4"/>
        <v>1326</v>
      </c>
      <c r="O369" s="3160">
        <v>700</v>
      </c>
      <c r="P369" s="3160">
        <v>586</v>
      </c>
      <c r="Q369" s="110">
        <v>40</v>
      </c>
      <c r="R369" s="1324">
        <v>36973</v>
      </c>
    </row>
    <row r="370" spans="1:18">
      <c r="A370" s="63">
        <f t="shared" si="5"/>
        <v>2024.01</v>
      </c>
      <c r="B370" s="58">
        <v>2517</v>
      </c>
      <c r="C370" s="3160">
        <v>3889</v>
      </c>
      <c r="D370" s="110">
        <v>88</v>
      </c>
      <c r="E370" s="805">
        <v>9407</v>
      </c>
      <c r="F370" s="3160">
        <v>4927</v>
      </c>
      <c r="G370" s="110">
        <v>118</v>
      </c>
      <c r="H370" s="805">
        <v>34165</v>
      </c>
      <c r="I370" s="3160">
        <v>34116</v>
      </c>
      <c r="J370" s="110">
        <v>600</v>
      </c>
      <c r="K370" s="805">
        <v>116149</v>
      </c>
      <c r="L370" s="3160">
        <v>38353</v>
      </c>
      <c r="M370" s="891">
        <v>557</v>
      </c>
      <c r="N370" s="1412">
        <f t="shared" si="4"/>
        <v>2517</v>
      </c>
      <c r="O370" s="3160">
        <v>1744</v>
      </c>
      <c r="P370" s="3160">
        <v>726</v>
      </c>
      <c r="Q370" s="110">
        <v>47</v>
      </c>
      <c r="R370" s="1324">
        <v>22643</v>
      </c>
    </row>
    <row r="371" spans="1:18">
      <c r="A371" s="63">
        <f t="shared" si="5"/>
        <v>2024.02</v>
      </c>
      <c r="B371" s="58">
        <v>2175</v>
      </c>
      <c r="C371" s="3160">
        <v>3272</v>
      </c>
      <c r="D371" s="110">
        <v>74</v>
      </c>
      <c r="E371" s="805">
        <v>8959</v>
      </c>
      <c r="F371" s="3160">
        <v>4444</v>
      </c>
      <c r="G371" s="110">
        <v>105</v>
      </c>
      <c r="H371" s="805">
        <v>25213</v>
      </c>
      <c r="I371" s="3160">
        <v>31492</v>
      </c>
      <c r="J371" s="110">
        <v>469</v>
      </c>
      <c r="K371" s="805">
        <v>106238</v>
      </c>
      <c r="L371" s="3160">
        <v>34603</v>
      </c>
      <c r="M371" s="891">
        <v>432</v>
      </c>
      <c r="N371" s="1412">
        <f t="shared" si="4"/>
        <v>2175</v>
      </c>
      <c r="O371" s="3160">
        <v>1466</v>
      </c>
      <c r="P371" s="3160">
        <v>637</v>
      </c>
      <c r="Q371" s="110">
        <v>72</v>
      </c>
      <c r="R371" s="1324">
        <v>37491</v>
      </c>
    </row>
    <row r="372" spans="1:18">
      <c r="A372" s="63">
        <f t="shared" si="5"/>
        <v>2024.03</v>
      </c>
      <c r="B372" s="58">
        <v>2217</v>
      </c>
      <c r="C372" s="3160">
        <v>3177</v>
      </c>
      <c r="D372" s="110">
        <v>71</v>
      </c>
      <c r="E372" s="805">
        <v>8940</v>
      </c>
      <c r="F372" s="3160">
        <v>4413</v>
      </c>
      <c r="G372" s="110">
        <v>111</v>
      </c>
      <c r="H372" s="805">
        <v>25975</v>
      </c>
      <c r="I372" s="3160">
        <v>29381</v>
      </c>
      <c r="J372" s="110">
        <v>466</v>
      </c>
      <c r="K372" s="805">
        <v>105990</v>
      </c>
      <c r="L372" s="3160">
        <v>34683</v>
      </c>
      <c r="M372" s="891">
        <v>503</v>
      </c>
      <c r="N372" s="1412">
        <f t="shared" si="4"/>
        <v>2217</v>
      </c>
      <c r="O372" s="3160">
        <v>1487</v>
      </c>
      <c r="P372" s="3160">
        <v>667</v>
      </c>
      <c r="Q372" s="110">
        <v>63</v>
      </c>
      <c r="R372" s="1324">
        <v>43159</v>
      </c>
    </row>
    <row r="373" spans="1:18">
      <c r="A373" s="63">
        <f t="shared" si="5"/>
        <v>2024.04</v>
      </c>
      <c r="B373" s="58">
        <v>2654</v>
      </c>
      <c r="C373" s="3160">
        <v>3850</v>
      </c>
      <c r="D373" s="110">
        <v>106</v>
      </c>
      <c r="E373" s="805">
        <v>11366</v>
      </c>
      <c r="F373" s="3160">
        <v>5322</v>
      </c>
      <c r="G373" s="110">
        <v>131</v>
      </c>
      <c r="H373" s="805">
        <v>33122</v>
      </c>
      <c r="I373" s="3160">
        <v>39183</v>
      </c>
      <c r="J373" s="110">
        <v>778</v>
      </c>
      <c r="K373" s="805">
        <v>136256</v>
      </c>
      <c r="L373" s="3160">
        <v>41317</v>
      </c>
      <c r="M373" s="891">
        <v>601</v>
      </c>
      <c r="N373" s="1412">
        <f t="shared" si="4"/>
        <v>2654</v>
      </c>
      <c r="O373" s="3160">
        <v>1764</v>
      </c>
      <c r="P373" s="3160">
        <v>805</v>
      </c>
      <c r="Q373" s="110">
        <v>85</v>
      </c>
      <c r="R373" s="1324">
        <v>42974</v>
      </c>
    </row>
    <row r="374" spans="1:18">
      <c r="A374" s="63">
        <f t="shared" si="5"/>
        <v>2024.05</v>
      </c>
      <c r="B374" s="58">
        <v>3179</v>
      </c>
      <c r="C374" s="3160">
        <v>4139</v>
      </c>
      <c r="D374" s="110">
        <v>137</v>
      </c>
      <c r="E374" s="805">
        <v>13202</v>
      </c>
      <c r="F374" s="3160">
        <v>5612</v>
      </c>
      <c r="G374" s="110">
        <v>161</v>
      </c>
      <c r="H374" s="805">
        <v>34964</v>
      </c>
      <c r="I374" s="3160">
        <v>39871</v>
      </c>
      <c r="J374" s="110">
        <v>995</v>
      </c>
      <c r="K374" s="805">
        <v>150975</v>
      </c>
      <c r="L374" s="3160">
        <v>41782</v>
      </c>
      <c r="M374" s="891">
        <v>692</v>
      </c>
      <c r="N374" s="1412">
        <f t="shared" si="4"/>
        <v>3179</v>
      </c>
      <c r="O374" s="3160">
        <v>2101</v>
      </c>
      <c r="P374" s="3160">
        <v>1023</v>
      </c>
      <c r="Q374" s="110">
        <v>55</v>
      </c>
      <c r="R374" s="1324">
        <v>38440</v>
      </c>
    </row>
    <row r="375" spans="1:18">
      <c r="A375" s="63">
        <f t="shared" si="5"/>
        <v>2024.06</v>
      </c>
      <c r="B375" s="58">
        <v>3142</v>
      </c>
      <c r="C375" s="3160">
        <v>3667</v>
      </c>
      <c r="D375" s="110">
        <v>81</v>
      </c>
      <c r="E375" s="805">
        <v>11574</v>
      </c>
      <c r="F375" s="3160">
        <v>4285</v>
      </c>
      <c r="G375" s="110">
        <v>131</v>
      </c>
      <c r="H375" s="805">
        <v>31057</v>
      </c>
      <c r="I375" s="3160">
        <v>33494</v>
      </c>
      <c r="J375" s="110">
        <v>695</v>
      </c>
      <c r="K375" s="805">
        <v>123928</v>
      </c>
      <c r="L375" s="3160">
        <v>30856</v>
      </c>
      <c r="M375" s="891">
        <v>553</v>
      </c>
      <c r="N375" s="1412">
        <f>SUM(O375:Q375)</f>
        <v>3142</v>
      </c>
      <c r="O375" s="3160">
        <v>2202</v>
      </c>
      <c r="P375" s="3160">
        <v>885</v>
      </c>
      <c r="Q375" s="110">
        <v>55</v>
      </c>
      <c r="R375" s="1324">
        <v>32029</v>
      </c>
    </row>
    <row r="376" spans="1:18">
      <c r="A376" s="63">
        <f t="shared" si="5"/>
        <v>2024.07</v>
      </c>
      <c r="B376" s="58">
        <v>4460</v>
      </c>
      <c r="C376" s="3160">
        <v>4252</v>
      </c>
      <c r="D376" s="110">
        <v>160</v>
      </c>
      <c r="E376" s="805">
        <v>17822</v>
      </c>
      <c r="F376" s="3160">
        <v>6449</v>
      </c>
      <c r="G376" s="110">
        <v>164</v>
      </c>
      <c r="H376" s="805">
        <v>43352</v>
      </c>
      <c r="I376" s="3160">
        <v>40962</v>
      </c>
      <c r="J376" s="110">
        <v>1085</v>
      </c>
      <c r="K376" s="805">
        <v>183718</v>
      </c>
      <c r="L376" s="3160">
        <v>44334</v>
      </c>
      <c r="M376" s="891">
        <v>782</v>
      </c>
      <c r="N376" s="1412">
        <f t="shared" si="4"/>
        <v>4460</v>
      </c>
      <c r="O376" s="3160">
        <v>3067</v>
      </c>
      <c r="P376" s="3160">
        <v>1286</v>
      </c>
      <c r="Q376" s="110">
        <v>107</v>
      </c>
      <c r="R376" s="1324">
        <v>44436</v>
      </c>
    </row>
    <row r="377" spans="1:18">
      <c r="A377" s="63">
        <f t="shared" si="5"/>
        <v>2024.08</v>
      </c>
      <c r="B377" s="58">
        <v>3733</v>
      </c>
      <c r="C377" s="3160">
        <v>6245</v>
      </c>
      <c r="D377" s="110">
        <v>250</v>
      </c>
      <c r="E377" s="805">
        <v>17087</v>
      </c>
      <c r="F377" s="3160">
        <v>6481</v>
      </c>
      <c r="G377" s="110">
        <v>187</v>
      </c>
      <c r="H377" s="805">
        <v>41688</v>
      </c>
      <c r="I377" s="3160">
        <v>55617</v>
      </c>
      <c r="J377" s="110">
        <v>1504</v>
      </c>
      <c r="K377" s="805">
        <v>176511</v>
      </c>
      <c r="L377" s="3160">
        <v>44508</v>
      </c>
      <c r="M377" s="891">
        <v>781</v>
      </c>
      <c r="N377" s="1412">
        <f t="shared" si="4"/>
        <v>3733</v>
      </c>
      <c r="O377" s="3160">
        <v>2318</v>
      </c>
      <c r="P377" s="3160">
        <v>1295</v>
      </c>
      <c r="Q377" s="110">
        <v>120</v>
      </c>
      <c r="R377" s="1324">
        <v>51650</v>
      </c>
    </row>
    <row r="378" spans="1:18">
      <c r="A378" s="63">
        <f t="shared" si="5"/>
        <v>2024.09</v>
      </c>
      <c r="B378" s="58">
        <v>4102</v>
      </c>
      <c r="C378" s="3160">
        <v>4401</v>
      </c>
      <c r="D378" s="110">
        <v>173</v>
      </c>
      <c r="E378" s="805">
        <v>15132</v>
      </c>
      <c r="F378" s="3160">
        <v>6597</v>
      </c>
      <c r="G378" s="110">
        <v>156</v>
      </c>
      <c r="H378" s="805">
        <v>43874</v>
      </c>
      <c r="I378" s="3160">
        <v>41218</v>
      </c>
      <c r="J378" s="110">
        <v>1029</v>
      </c>
      <c r="K378" s="805">
        <v>162545</v>
      </c>
      <c r="L378" s="3160">
        <v>45016</v>
      </c>
      <c r="M378" s="891">
        <v>850</v>
      </c>
      <c r="N378" s="1412">
        <f t="shared" si="4"/>
        <v>4102</v>
      </c>
      <c r="O378" s="3160">
        <v>2604</v>
      </c>
      <c r="P378" s="3160">
        <v>1384</v>
      </c>
      <c r="Q378" s="110">
        <v>114</v>
      </c>
      <c r="R378" s="1324">
        <v>49611</v>
      </c>
    </row>
    <row r="379" spans="1:18">
      <c r="A379" s="63">
        <f t="shared" si="5"/>
        <v>2024.1</v>
      </c>
      <c r="B379" s="58">
        <v>3908</v>
      </c>
      <c r="C379" s="3160">
        <v>5369</v>
      </c>
      <c r="D379" s="110">
        <v>188</v>
      </c>
      <c r="E379" s="805">
        <v>15127</v>
      </c>
      <c r="F379" s="3160">
        <v>6740</v>
      </c>
      <c r="G379" s="110">
        <v>234</v>
      </c>
      <c r="H379" s="805">
        <v>44695</v>
      </c>
      <c r="I379" s="3160">
        <v>47042</v>
      </c>
      <c r="J379" s="110">
        <v>1242</v>
      </c>
      <c r="K379" s="805">
        <v>171642</v>
      </c>
      <c r="L379" s="3160">
        <v>49282</v>
      </c>
      <c r="M379" s="891">
        <v>999</v>
      </c>
      <c r="N379" s="1412">
        <f t="shared" ref="N379:N442" si="6">SUM(O379:Q379)</f>
        <v>3908</v>
      </c>
      <c r="O379" s="3160">
        <v>2597</v>
      </c>
      <c r="P379" s="3160">
        <v>1213</v>
      </c>
      <c r="Q379" s="110">
        <v>98</v>
      </c>
      <c r="R379" s="1324">
        <v>52419</v>
      </c>
    </row>
    <row r="380" spans="1:18">
      <c r="A380" s="63">
        <f t="shared" si="5"/>
        <v>2024.11</v>
      </c>
      <c r="B380" s="58">
        <v>3250</v>
      </c>
      <c r="C380" s="3160">
        <v>5308</v>
      </c>
      <c r="D380" s="110">
        <v>178</v>
      </c>
      <c r="E380" s="805">
        <v>12925</v>
      </c>
      <c r="F380" s="3160">
        <v>5747</v>
      </c>
      <c r="G380" s="110">
        <v>164</v>
      </c>
      <c r="H380" s="805">
        <v>36426</v>
      </c>
      <c r="I380" s="3160">
        <v>51197</v>
      </c>
      <c r="J380" s="110">
        <v>980</v>
      </c>
      <c r="K380" s="805">
        <v>151244</v>
      </c>
      <c r="L380" s="3160">
        <v>43813</v>
      </c>
      <c r="M380" s="891">
        <v>845</v>
      </c>
      <c r="N380" s="1412">
        <f t="shared" si="6"/>
        <v>3250</v>
      </c>
      <c r="O380" s="3160">
        <v>2010</v>
      </c>
      <c r="P380" s="3160">
        <v>1159</v>
      </c>
      <c r="Q380" s="110">
        <v>81</v>
      </c>
      <c r="R380" s="1324">
        <v>53701</v>
      </c>
    </row>
    <row r="381" spans="1:18">
      <c r="A381" s="63">
        <f t="shared" si="5"/>
        <v>2024.12</v>
      </c>
      <c r="B381" s="58">
        <v>1755</v>
      </c>
      <c r="C381" s="3160">
        <v>5558</v>
      </c>
      <c r="D381" s="110">
        <v>170</v>
      </c>
      <c r="E381" s="805">
        <v>13356</v>
      </c>
      <c r="F381" s="3160">
        <v>5678</v>
      </c>
      <c r="G381" s="110">
        <v>182</v>
      </c>
      <c r="H381" s="805">
        <v>22013</v>
      </c>
      <c r="I381" s="3160">
        <v>50697</v>
      </c>
      <c r="J381" s="110">
        <v>994</v>
      </c>
      <c r="K381" s="805">
        <v>160412</v>
      </c>
      <c r="L381" s="3160">
        <v>43555</v>
      </c>
      <c r="M381" s="891">
        <v>884</v>
      </c>
      <c r="N381" s="1412">
        <f t="shared" si="6"/>
        <v>1755</v>
      </c>
      <c r="O381" s="3160">
        <v>1056</v>
      </c>
      <c r="P381" s="3160">
        <v>619</v>
      </c>
      <c r="Q381" s="110">
        <v>80</v>
      </c>
      <c r="R381" s="1324">
        <v>38018</v>
      </c>
    </row>
    <row r="382" spans="1:18">
      <c r="A382" s="63">
        <f t="shared" si="5"/>
        <v>2025.01</v>
      </c>
      <c r="B382" s="58">
        <v>6531</v>
      </c>
      <c r="C382" s="3160">
        <v>6371</v>
      </c>
      <c r="D382" s="110">
        <v>190</v>
      </c>
      <c r="E382" s="805">
        <v>14062</v>
      </c>
      <c r="F382" s="3160">
        <v>6376</v>
      </c>
      <c r="G382" s="110">
        <v>146</v>
      </c>
      <c r="H382" s="805">
        <v>69792</v>
      </c>
      <c r="I382" s="3160">
        <v>60324</v>
      </c>
      <c r="J382" s="110">
        <v>916</v>
      </c>
      <c r="K382" s="805">
        <v>170088</v>
      </c>
      <c r="L382" s="3160">
        <v>48466</v>
      </c>
      <c r="M382" s="891">
        <v>711</v>
      </c>
      <c r="N382" s="1412">
        <f t="shared" si="6"/>
        <v>6531</v>
      </c>
      <c r="O382" s="3160">
        <v>4478</v>
      </c>
      <c r="P382" s="3160">
        <v>1931</v>
      </c>
      <c r="Q382" s="110">
        <v>122</v>
      </c>
      <c r="R382" s="1324">
        <v>30058</v>
      </c>
    </row>
    <row r="383" spans="1:18">
      <c r="A383" s="63">
        <f t="shared" si="5"/>
        <v>2025.02</v>
      </c>
      <c r="B383" s="58">
        <v>4044</v>
      </c>
      <c r="C383" s="3160">
        <v>4263</v>
      </c>
      <c r="D383" s="110">
        <v>160</v>
      </c>
      <c r="E383" s="805">
        <v>12882</v>
      </c>
      <c r="F383" s="3160">
        <v>5754</v>
      </c>
      <c r="G383" s="110">
        <v>123</v>
      </c>
      <c r="H383" s="805">
        <v>44759</v>
      </c>
      <c r="I383" s="3160">
        <v>41878</v>
      </c>
      <c r="J383" s="110">
        <v>986</v>
      </c>
      <c r="K383" s="805">
        <v>149547</v>
      </c>
      <c r="L383" s="3160">
        <v>43308</v>
      </c>
      <c r="M383" s="891">
        <v>572</v>
      </c>
      <c r="N383" s="1412">
        <f t="shared" si="6"/>
        <v>4044</v>
      </c>
      <c r="O383" s="3160">
        <v>2717</v>
      </c>
      <c r="P383" s="3160">
        <v>1202</v>
      </c>
      <c r="Q383" s="110">
        <v>125</v>
      </c>
      <c r="R383" s="1324">
        <v>42419</v>
      </c>
    </row>
    <row r="384" spans="1:18">
      <c r="A384" s="63">
        <f t="shared" si="5"/>
        <v>2025.03</v>
      </c>
      <c r="B384" s="58">
        <v>4471</v>
      </c>
      <c r="C384" s="3160">
        <v>5607</v>
      </c>
      <c r="D384" s="110">
        <v>145</v>
      </c>
      <c r="E384" s="805">
        <v>12447</v>
      </c>
      <c r="F384" s="3160">
        <v>5432</v>
      </c>
      <c r="G384" s="110">
        <v>154</v>
      </c>
      <c r="H384" s="805">
        <v>48560</v>
      </c>
      <c r="I384" s="3160">
        <v>51972</v>
      </c>
      <c r="J384" s="110">
        <v>749</v>
      </c>
      <c r="K384" s="805">
        <v>143121</v>
      </c>
      <c r="L384" s="3160">
        <v>40597</v>
      </c>
      <c r="M384" s="891">
        <v>710</v>
      </c>
      <c r="N384" s="1412">
        <f t="shared" si="6"/>
        <v>4471</v>
      </c>
      <c r="O384" s="3160">
        <v>3127</v>
      </c>
      <c r="P384" s="3160">
        <v>1233</v>
      </c>
      <c r="Q384" s="110">
        <v>111</v>
      </c>
      <c r="R384" s="1324">
        <v>41565</v>
      </c>
    </row>
    <row r="385" spans="1:18">
      <c r="A385" s="63">
        <f t="shared" si="5"/>
        <v>2025.04</v>
      </c>
      <c r="B385" s="58">
        <v>5040</v>
      </c>
      <c r="C385" s="3160">
        <v>5815</v>
      </c>
      <c r="D385" s="110">
        <v>236</v>
      </c>
      <c r="E385" s="805">
        <v>13624</v>
      </c>
      <c r="F385" s="3160">
        <v>5870</v>
      </c>
      <c r="G385" s="110">
        <v>201</v>
      </c>
      <c r="H385" s="805">
        <v>55224</v>
      </c>
      <c r="I385" s="3160">
        <v>53991</v>
      </c>
      <c r="J385" s="110">
        <v>1294</v>
      </c>
      <c r="K385" s="805">
        <v>159208</v>
      </c>
      <c r="L385" s="3160">
        <v>42556</v>
      </c>
      <c r="M385" s="891">
        <v>804</v>
      </c>
      <c r="N385" s="1413" t="e">
        <f t="shared" si="6"/>
        <v>#N/A</v>
      </c>
      <c r="O385" s="3160" t="e">
        <v>#N/A</v>
      </c>
      <c r="P385" s="3160" t="e">
        <v>#N/A</v>
      </c>
      <c r="Q385" s="110" t="e">
        <v>#N/A</v>
      </c>
      <c r="R385" s="1324">
        <v>45479</v>
      </c>
    </row>
    <row r="386" spans="1:18">
      <c r="A386" s="63">
        <f t="shared" si="5"/>
        <v>2025.05</v>
      </c>
      <c r="B386" s="58">
        <v>5201</v>
      </c>
      <c r="C386" s="3160">
        <v>5277</v>
      </c>
      <c r="D386" s="110">
        <v>276</v>
      </c>
      <c r="E386" s="805">
        <v>13647</v>
      </c>
      <c r="F386" s="3160">
        <v>5918</v>
      </c>
      <c r="G386" s="110">
        <v>203</v>
      </c>
      <c r="H386" s="805">
        <v>56521</v>
      </c>
      <c r="I386" s="3160">
        <v>53873</v>
      </c>
      <c r="J386" s="110">
        <v>1332</v>
      </c>
      <c r="K386" s="805">
        <v>154802</v>
      </c>
      <c r="L386" s="3160">
        <v>41346</v>
      </c>
      <c r="M386" s="891">
        <v>876</v>
      </c>
      <c r="N386" s="1413" t="e">
        <f t="shared" si="6"/>
        <v>#N/A</v>
      </c>
      <c r="O386" s="3160" t="e">
        <v>#N/A</v>
      </c>
      <c r="P386" s="3160" t="e">
        <v>#N/A</v>
      </c>
      <c r="Q386" s="110" t="e">
        <v>#N/A</v>
      </c>
      <c r="R386" s="1324">
        <v>48109</v>
      </c>
    </row>
    <row r="387" spans="1:18">
      <c r="A387" s="63">
        <f t="shared" si="5"/>
        <v>2025.06</v>
      </c>
      <c r="B387" s="58" t="e">
        <v>#N/A</v>
      </c>
      <c r="C387" s="3160" t="e">
        <v>#N/A</v>
      </c>
      <c r="D387" s="110" t="e">
        <v>#N/A</v>
      </c>
      <c r="E387" s="805" t="e">
        <v>#N/A</v>
      </c>
      <c r="F387" s="3160" t="e">
        <v>#N/A</v>
      </c>
      <c r="G387" s="110" t="e">
        <v>#N/A</v>
      </c>
      <c r="H387" s="805" t="e">
        <v>#N/A</v>
      </c>
      <c r="I387" s="3160" t="e">
        <v>#N/A</v>
      </c>
      <c r="J387" s="110" t="e">
        <v>#N/A</v>
      </c>
      <c r="K387" s="805" t="e">
        <v>#N/A</v>
      </c>
      <c r="L387" s="3160" t="e">
        <v>#N/A</v>
      </c>
      <c r="M387" s="891" t="e">
        <v>#N/A</v>
      </c>
      <c r="N387" s="1413" t="e">
        <f t="shared" si="6"/>
        <v>#N/A</v>
      </c>
      <c r="O387" s="3160" t="e">
        <v>#N/A</v>
      </c>
      <c r="P387" s="3160" t="e">
        <v>#N/A</v>
      </c>
      <c r="Q387" s="110" t="e">
        <v>#N/A</v>
      </c>
      <c r="R387" s="1324" t="e">
        <v>#N/A</v>
      </c>
    </row>
    <row r="388" spans="1:18">
      <c r="A388" s="63">
        <f t="shared" si="5"/>
        <v>2025.07</v>
      </c>
      <c r="B388" s="58" t="e">
        <v>#N/A</v>
      </c>
      <c r="C388" s="3160" t="e">
        <v>#N/A</v>
      </c>
      <c r="D388" s="110" t="e">
        <v>#N/A</v>
      </c>
      <c r="E388" s="805" t="e">
        <v>#N/A</v>
      </c>
      <c r="F388" s="3160" t="e">
        <v>#N/A</v>
      </c>
      <c r="G388" s="110" t="e">
        <v>#N/A</v>
      </c>
      <c r="H388" s="805" t="e">
        <v>#N/A</v>
      </c>
      <c r="I388" s="3160" t="e">
        <v>#N/A</v>
      </c>
      <c r="J388" s="110" t="e">
        <v>#N/A</v>
      </c>
      <c r="K388" s="805" t="e">
        <v>#N/A</v>
      </c>
      <c r="L388" s="3160" t="e">
        <v>#N/A</v>
      </c>
      <c r="M388" s="891" t="e">
        <v>#N/A</v>
      </c>
      <c r="N388" s="1413" t="e">
        <f t="shared" si="6"/>
        <v>#N/A</v>
      </c>
      <c r="O388" s="3160" t="e">
        <v>#N/A</v>
      </c>
      <c r="P388" s="3160" t="e">
        <v>#N/A</v>
      </c>
      <c r="Q388" s="110" t="e">
        <v>#N/A</v>
      </c>
      <c r="R388" s="1324" t="e">
        <v>#N/A</v>
      </c>
    </row>
    <row r="389" spans="1:18">
      <c r="A389" s="63">
        <f t="shared" si="5"/>
        <v>2025.08</v>
      </c>
      <c r="B389" s="58" t="e">
        <v>#N/A</v>
      </c>
      <c r="C389" s="3160" t="e">
        <v>#N/A</v>
      </c>
      <c r="D389" s="110" t="e">
        <v>#N/A</v>
      </c>
      <c r="E389" s="805" t="e">
        <v>#N/A</v>
      </c>
      <c r="F389" s="3160" t="e">
        <v>#N/A</v>
      </c>
      <c r="G389" s="110" t="e">
        <v>#N/A</v>
      </c>
      <c r="H389" s="805" t="e">
        <v>#N/A</v>
      </c>
      <c r="I389" s="3160" t="e">
        <v>#N/A</v>
      </c>
      <c r="J389" s="110" t="e">
        <v>#N/A</v>
      </c>
      <c r="K389" s="805" t="e">
        <v>#N/A</v>
      </c>
      <c r="L389" s="3160" t="e">
        <v>#N/A</v>
      </c>
      <c r="M389" s="891" t="e">
        <v>#N/A</v>
      </c>
      <c r="N389" s="1413" t="e">
        <f t="shared" si="6"/>
        <v>#N/A</v>
      </c>
      <c r="O389" s="3160" t="e">
        <v>#N/A</v>
      </c>
      <c r="P389" s="3160" t="e">
        <v>#N/A</v>
      </c>
      <c r="Q389" s="110" t="e">
        <v>#N/A</v>
      </c>
      <c r="R389" s="1324" t="e">
        <v>#N/A</v>
      </c>
    </row>
    <row r="390" spans="1:18">
      <c r="A390" s="63">
        <f t="shared" si="5"/>
        <v>2025.09</v>
      </c>
      <c r="B390" s="58" t="e">
        <v>#N/A</v>
      </c>
      <c r="C390" s="3160" t="e">
        <v>#N/A</v>
      </c>
      <c r="D390" s="110" t="e">
        <v>#N/A</v>
      </c>
      <c r="E390" s="805" t="e">
        <v>#N/A</v>
      </c>
      <c r="F390" s="3160" t="e">
        <v>#N/A</v>
      </c>
      <c r="G390" s="110" t="e">
        <v>#N/A</v>
      </c>
      <c r="H390" s="805" t="e">
        <v>#N/A</v>
      </c>
      <c r="I390" s="3160" t="e">
        <v>#N/A</v>
      </c>
      <c r="J390" s="110" t="e">
        <v>#N/A</v>
      </c>
      <c r="K390" s="805" t="e">
        <v>#N/A</v>
      </c>
      <c r="L390" s="3160" t="e">
        <v>#N/A</v>
      </c>
      <c r="M390" s="891" t="e">
        <v>#N/A</v>
      </c>
      <c r="N390" s="1413" t="e">
        <f t="shared" si="6"/>
        <v>#N/A</v>
      </c>
      <c r="O390" s="3160" t="e">
        <v>#N/A</v>
      </c>
      <c r="P390" s="3160" t="e">
        <v>#N/A</v>
      </c>
      <c r="Q390" s="110" t="e">
        <v>#N/A</v>
      </c>
      <c r="R390" s="1324" t="e">
        <v>#N/A</v>
      </c>
    </row>
    <row r="391" spans="1:18">
      <c r="A391" s="63">
        <f t="shared" ref="A391:A453" si="7">A379+1</f>
        <v>2025.1</v>
      </c>
      <c r="B391" s="58" t="e">
        <v>#N/A</v>
      </c>
      <c r="C391" s="3160" t="e">
        <v>#N/A</v>
      </c>
      <c r="D391" s="110" t="e">
        <v>#N/A</v>
      </c>
      <c r="E391" s="805" t="e">
        <v>#N/A</v>
      </c>
      <c r="F391" s="3160" t="e">
        <v>#N/A</v>
      </c>
      <c r="G391" s="110" t="e">
        <v>#N/A</v>
      </c>
      <c r="H391" s="805" t="e">
        <v>#N/A</v>
      </c>
      <c r="I391" s="3160" t="e">
        <v>#N/A</v>
      </c>
      <c r="J391" s="110" t="e">
        <v>#N/A</v>
      </c>
      <c r="K391" s="805" t="e">
        <v>#N/A</v>
      </c>
      <c r="L391" s="3160" t="e">
        <v>#N/A</v>
      </c>
      <c r="M391" s="891" t="e">
        <v>#N/A</v>
      </c>
      <c r="N391" s="1413" t="e">
        <f t="shared" si="6"/>
        <v>#N/A</v>
      </c>
      <c r="O391" s="3160" t="e">
        <v>#N/A</v>
      </c>
      <c r="P391" s="3160" t="e">
        <v>#N/A</v>
      </c>
      <c r="Q391" s="110" t="e">
        <v>#N/A</v>
      </c>
      <c r="R391" s="1324" t="e">
        <v>#N/A</v>
      </c>
    </row>
    <row r="392" spans="1:18">
      <c r="A392" s="63">
        <f t="shared" si="7"/>
        <v>2025.11</v>
      </c>
      <c r="B392" s="58" t="e">
        <v>#N/A</v>
      </c>
      <c r="C392" s="3160" t="e">
        <v>#N/A</v>
      </c>
      <c r="D392" s="110" t="e">
        <v>#N/A</v>
      </c>
      <c r="E392" s="805" t="e">
        <v>#N/A</v>
      </c>
      <c r="F392" s="3160" t="e">
        <v>#N/A</v>
      </c>
      <c r="G392" s="110" t="e">
        <v>#N/A</v>
      </c>
      <c r="H392" s="805" t="e">
        <v>#N/A</v>
      </c>
      <c r="I392" s="3160" t="e">
        <v>#N/A</v>
      </c>
      <c r="J392" s="110" t="e">
        <v>#N/A</v>
      </c>
      <c r="K392" s="805" t="e">
        <v>#N/A</v>
      </c>
      <c r="L392" s="3160" t="e">
        <v>#N/A</v>
      </c>
      <c r="M392" s="891" t="e">
        <v>#N/A</v>
      </c>
      <c r="N392" s="1413" t="e">
        <f t="shared" si="6"/>
        <v>#N/A</v>
      </c>
      <c r="O392" s="3160" t="e">
        <v>#N/A</v>
      </c>
      <c r="P392" s="3160" t="e">
        <v>#N/A</v>
      </c>
      <c r="Q392" s="110" t="e">
        <v>#N/A</v>
      </c>
      <c r="R392" s="1324" t="e">
        <v>#N/A</v>
      </c>
    </row>
    <row r="393" spans="1:18">
      <c r="A393" s="63">
        <f t="shared" si="7"/>
        <v>2025.12</v>
      </c>
      <c r="B393" s="58" t="e">
        <v>#N/A</v>
      </c>
      <c r="C393" s="3160" t="e">
        <v>#N/A</v>
      </c>
      <c r="D393" s="110" t="e">
        <v>#N/A</v>
      </c>
      <c r="E393" s="805" t="e">
        <v>#N/A</v>
      </c>
      <c r="F393" s="3160" t="e">
        <v>#N/A</v>
      </c>
      <c r="G393" s="110" t="e">
        <v>#N/A</v>
      </c>
      <c r="H393" s="805" t="e">
        <v>#N/A</v>
      </c>
      <c r="I393" s="3160" t="e">
        <v>#N/A</v>
      </c>
      <c r="J393" s="110" t="e">
        <v>#N/A</v>
      </c>
      <c r="K393" s="805" t="e">
        <v>#N/A</v>
      </c>
      <c r="L393" s="3160" t="e">
        <v>#N/A</v>
      </c>
      <c r="M393" s="891" t="e">
        <v>#N/A</v>
      </c>
      <c r="N393" s="1413" t="e">
        <f t="shared" si="6"/>
        <v>#N/A</v>
      </c>
      <c r="O393" s="3160" t="e">
        <v>#N/A</v>
      </c>
      <c r="P393" s="3160" t="e">
        <v>#N/A</v>
      </c>
      <c r="Q393" s="110" t="e">
        <v>#N/A</v>
      </c>
      <c r="R393" s="1324" t="e">
        <v>#N/A</v>
      </c>
    </row>
    <row r="394" spans="1:18">
      <c r="A394" s="63">
        <f t="shared" si="7"/>
        <v>2026.01</v>
      </c>
      <c r="B394" s="58" t="e">
        <v>#N/A</v>
      </c>
      <c r="C394" s="3160" t="e">
        <v>#N/A</v>
      </c>
      <c r="D394" s="110" t="e">
        <v>#N/A</v>
      </c>
      <c r="E394" s="805" t="e">
        <v>#N/A</v>
      </c>
      <c r="F394" s="3160" t="e">
        <v>#N/A</v>
      </c>
      <c r="G394" s="110" t="e">
        <v>#N/A</v>
      </c>
      <c r="H394" s="805" t="e">
        <v>#N/A</v>
      </c>
      <c r="I394" s="3160" t="e">
        <v>#N/A</v>
      </c>
      <c r="J394" s="110" t="e">
        <v>#N/A</v>
      </c>
      <c r="K394" s="805" t="e">
        <v>#N/A</v>
      </c>
      <c r="L394" s="3160" t="e">
        <v>#N/A</v>
      </c>
      <c r="M394" s="891" t="e">
        <v>#N/A</v>
      </c>
      <c r="N394" s="1413" t="e">
        <f t="shared" si="6"/>
        <v>#N/A</v>
      </c>
      <c r="O394" s="3160" t="e">
        <v>#N/A</v>
      </c>
      <c r="P394" s="3160" t="e">
        <v>#N/A</v>
      </c>
      <c r="Q394" s="110" t="e">
        <v>#N/A</v>
      </c>
      <c r="R394" s="1324" t="e">
        <v>#N/A</v>
      </c>
    </row>
    <row r="395" spans="1:18">
      <c r="A395" s="63">
        <f t="shared" si="7"/>
        <v>2026.02</v>
      </c>
      <c r="B395" s="58" t="e">
        <v>#N/A</v>
      </c>
      <c r="C395" s="3160" t="e">
        <v>#N/A</v>
      </c>
      <c r="D395" s="110" t="e">
        <v>#N/A</v>
      </c>
      <c r="E395" s="805" t="e">
        <v>#N/A</v>
      </c>
      <c r="F395" s="3160" t="e">
        <v>#N/A</v>
      </c>
      <c r="G395" s="110" t="e">
        <v>#N/A</v>
      </c>
      <c r="H395" s="805" t="e">
        <v>#N/A</v>
      </c>
      <c r="I395" s="3160" t="e">
        <v>#N/A</v>
      </c>
      <c r="J395" s="110" t="e">
        <v>#N/A</v>
      </c>
      <c r="K395" s="805" t="e">
        <v>#N/A</v>
      </c>
      <c r="L395" s="3160" t="e">
        <v>#N/A</v>
      </c>
      <c r="M395" s="891" t="e">
        <v>#N/A</v>
      </c>
      <c r="N395" s="1413" t="e">
        <f t="shared" si="6"/>
        <v>#N/A</v>
      </c>
      <c r="O395" s="3160" t="e">
        <v>#N/A</v>
      </c>
      <c r="P395" s="3160" t="e">
        <v>#N/A</v>
      </c>
      <c r="Q395" s="110" t="e">
        <v>#N/A</v>
      </c>
      <c r="R395" s="1324" t="e">
        <v>#N/A</v>
      </c>
    </row>
    <row r="396" spans="1:18">
      <c r="A396" s="63">
        <f t="shared" si="7"/>
        <v>2026.03</v>
      </c>
      <c r="B396" s="58" t="e">
        <v>#N/A</v>
      </c>
      <c r="C396" s="3160" t="e">
        <v>#N/A</v>
      </c>
      <c r="D396" s="110" t="e">
        <v>#N/A</v>
      </c>
      <c r="E396" s="805" t="e">
        <v>#N/A</v>
      </c>
      <c r="F396" s="3160" t="e">
        <v>#N/A</v>
      </c>
      <c r="G396" s="110" t="e">
        <v>#N/A</v>
      </c>
      <c r="H396" s="805" t="e">
        <v>#N/A</v>
      </c>
      <c r="I396" s="3160" t="e">
        <v>#N/A</v>
      </c>
      <c r="J396" s="110" t="e">
        <v>#N/A</v>
      </c>
      <c r="K396" s="805" t="e">
        <v>#N/A</v>
      </c>
      <c r="L396" s="3160" t="e">
        <v>#N/A</v>
      </c>
      <c r="M396" s="891" t="e">
        <v>#N/A</v>
      </c>
      <c r="N396" s="1413" t="e">
        <f t="shared" si="6"/>
        <v>#N/A</v>
      </c>
      <c r="O396" s="3160" t="e">
        <v>#N/A</v>
      </c>
      <c r="P396" s="3160" t="e">
        <v>#N/A</v>
      </c>
      <c r="Q396" s="110" t="e">
        <v>#N/A</v>
      </c>
      <c r="R396" s="1324" t="e">
        <v>#N/A</v>
      </c>
    </row>
    <row r="397" spans="1:18">
      <c r="A397" s="63">
        <f t="shared" si="7"/>
        <v>2026.04</v>
      </c>
      <c r="B397" s="58" t="e">
        <v>#N/A</v>
      </c>
      <c r="C397" s="3160" t="e">
        <v>#N/A</v>
      </c>
      <c r="D397" s="110" t="e">
        <v>#N/A</v>
      </c>
      <c r="E397" s="805" t="e">
        <v>#N/A</v>
      </c>
      <c r="F397" s="3160" t="e">
        <v>#N/A</v>
      </c>
      <c r="G397" s="110" t="e">
        <v>#N/A</v>
      </c>
      <c r="H397" s="805" t="e">
        <v>#N/A</v>
      </c>
      <c r="I397" s="3160" t="e">
        <v>#N/A</v>
      </c>
      <c r="J397" s="110" t="e">
        <v>#N/A</v>
      </c>
      <c r="K397" s="805" t="e">
        <v>#N/A</v>
      </c>
      <c r="L397" s="3160" t="e">
        <v>#N/A</v>
      </c>
      <c r="M397" s="891" t="e">
        <v>#N/A</v>
      </c>
      <c r="N397" s="1413" t="e">
        <f t="shared" si="6"/>
        <v>#N/A</v>
      </c>
      <c r="O397" s="3160" t="e">
        <v>#N/A</v>
      </c>
      <c r="P397" s="3160" t="e">
        <v>#N/A</v>
      </c>
      <c r="Q397" s="110" t="e">
        <v>#N/A</v>
      </c>
      <c r="R397" s="1324" t="e">
        <v>#N/A</v>
      </c>
    </row>
    <row r="398" spans="1:18">
      <c r="A398" s="63">
        <f t="shared" si="7"/>
        <v>2026.05</v>
      </c>
      <c r="B398" s="58" t="e">
        <v>#N/A</v>
      </c>
      <c r="C398" s="3160" t="e">
        <v>#N/A</v>
      </c>
      <c r="D398" s="110" t="e">
        <v>#N/A</v>
      </c>
      <c r="E398" s="805" t="e">
        <v>#N/A</v>
      </c>
      <c r="F398" s="3160" t="e">
        <v>#N/A</v>
      </c>
      <c r="G398" s="110" t="e">
        <v>#N/A</v>
      </c>
      <c r="H398" s="805" t="e">
        <v>#N/A</v>
      </c>
      <c r="I398" s="3160" t="e">
        <v>#N/A</v>
      </c>
      <c r="J398" s="110" t="e">
        <v>#N/A</v>
      </c>
      <c r="K398" s="805" t="e">
        <v>#N/A</v>
      </c>
      <c r="L398" s="3160" t="e">
        <v>#N/A</v>
      </c>
      <c r="M398" s="891" t="e">
        <v>#N/A</v>
      </c>
      <c r="N398" s="1413" t="e">
        <f t="shared" si="6"/>
        <v>#N/A</v>
      </c>
      <c r="O398" s="3160" t="e">
        <v>#N/A</v>
      </c>
      <c r="P398" s="3160" t="e">
        <v>#N/A</v>
      </c>
      <c r="Q398" s="110" t="e">
        <v>#N/A</v>
      </c>
      <c r="R398" s="1324" t="e">
        <v>#N/A</v>
      </c>
    </row>
    <row r="399" spans="1:18">
      <c r="A399" s="63">
        <f t="shared" si="7"/>
        <v>2026.06</v>
      </c>
      <c r="B399" s="58" t="e">
        <v>#N/A</v>
      </c>
      <c r="C399" s="3160" t="e">
        <v>#N/A</v>
      </c>
      <c r="D399" s="110" t="e">
        <v>#N/A</v>
      </c>
      <c r="E399" s="805" t="e">
        <v>#N/A</v>
      </c>
      <c r="F399" s="3160" t="e">
        <v>#N/A</v>
      </c>
      <c r="G399" s="110" t="e">
        <v>#N/A</v>
      </c>
      <c r="H399" s="805" t="e">
        <v>#N/A</v>
      </c>
      <c r="I399" s="3160" t="e">
        <v>#N/A</v>
      </c>
      <c r="J399" s="110" t="e">
        <v>#N/A</v>
      </c>
      <c r="K399" s="805" t="e">
        <v>#N/A</v>
      </c>
      <c r="L399" s="3160" t="e">
        <v>#N/A</v>
      </c>
      <c r="M399" s="891" t="e">
        <v>#N/A</v>
      </c>
      <c r="N399" s="1413" t="e">
        <f t="shared" si="6"/>
        <v>#N/A</v>
      </c>
      <c r="O399" s="3160" t="e">
        <v>#N/A</v>
      </c>
      <c r="P399" s="3160" t="e">
        <v>#N/A</v>
      </c>
      <c r="Q399" s="110" t="e">
        <v>#N/A</v>
      </c>
      <c r="R399" s="1324" t="e">
        <v>#N/A</v>
      </c>
    </row>
    <row r="400" spans="1:18">
      <c r="A400" s="63">
        <f t="shared" si="7"/>
        <v>2026.07</v>
      </c>
      <c r="B400" s="58" t="e">
        <v>#N/A</v>
      </c>
      <c r="C400" s="3160" t="e">
        <v>#N/A</v>
      </c>
      <c r="D400" s="110" t="e">
        <v>#N/A</v>
      </c>
      <c r="E400" s="805" t="e">
        <v>#N/A</v>
      </c>
      <c r="F400" s="3160" t="e">
        <v>#N/A</v>
      </c>
      <c r="G400" s="110" t="e">
        <v>#N/A</v>
      </c>
      <c r="H400" s="805" t="e">
        <v>#N/A</v>
      </c>
      <c r="I400" s="3160" t="e">
        <v>#N/A</v>
      </c>
      <c r="J400" s="110" t="e">
        <v>#N/A</v>
      </c>
      <c r="K400" s="805" t="e">
        <v>#N/A</v>
      </c>
      <c r="L400" s="3160" t="e">
        <v>#N/A</v>
      </c>
      <c r="M400" s="891" t="e">
        <v>#N/A</v>
      </c>
      <c r="N400" s="1413" t="e">
        <f t="shared" si="6"/>
        <v>#N/A</v>
      </c>
      <c r="O400" s="3160" t="e">
        <v>#N/A</v>
      </c>
      <c r="P400" s="3160" t="e">
        <v>#N/A</v>
      </c>
      <c r="Q400" s="110" t="e">
        <v>#N/A</v>
      </c>
      <c r="R400" s="1324" t="e">
        <v>#N/A</v>
      </c>
    </row>
    <row r="401" spans="1:18">
      <c r="A401" s="63">
        <f t="shared" si="7"/>
        <v>2026.08</v>
      </c>
      <c r="B401" s="58" t="e">
        <v>#N/A</v>
      </c>
      <c r="C401" s="3160" t="e">
        <v>#N/A</v>
      </c>
      <c r="D401" s="110" t="e">
        <v>#N/A</v>
      </c>
      <c r="E401" s="805" t="e">
        <v>#N/A</v>
      </c>
      <c r="F401" s="3160" t="e">
        <v>#N/A</v>
      </c>
      <c r="G401" s="110" t="e">
        <v>#N/A</v>
      </c>
      <c r="H401" s="805" t="e">
        <v>#N/A</v>
      </c>
      <c r="I401" s="3160" t="e">
        <v>#N/A</v>
      </c>
      <c r="J401" s="110" t="e">
        <v>#N/A</v>
      </c>
      <c r="K401" s="805" t="e">
        <v>#N/A</v>
      </c>
      <c r="L401" s="3160" t="e">
        <v>#N/A</v>
      </c>
      <c r="M401" s="891" t="e">
        <v>#N/A</v>
      </c>
      <c r="N401" s="1413" t="e">
        <f t="shared" si="6"/>
        <v>#N/A</v>
      </c>
      <c r="O401" s="3160" t="e">
        <v>#N/A</v>
      </c>
      <c r="P401" s="3160" t="e">
        <v>#N/A</v>
      </c>
      <c r="Q401" s="110" t="e">
        <v>#N/A</v>
      </c>
      <c r="R401" s="1324" t="e">
        <v>#N/A</v>
      </c>
    </row>
    <row r="402" spans="1:18">
      <c r="A402" s="63">
        <f t="shared" si="7"/>
        <v>2026.09</v>
      </c>
      <c r="B402" s="58" t="e">
        <v>#N/A</v>
      </c>
      <c r="C402" s="3160" t="e">
        <v>#N/A</v>
      </c>
      <c r="D402" s="110" t="e">
        <v>#N/A</v>
      </c>
      <c r="E402" s="805" t="e">
        <v>#N/A</v>
      </c>
      <c r="F402" s="3160" t="e">
        <v>#N/A</v>
      </c>
      <c r="G402" s="110" t="e">
        <v>#N/A</v>
      </c>
      <c r="H402" s="805" t="e">
        <v>#N/A</v>
      </c>
      <c r="I402" s="3160" t="e">
        <v>#N/A</v>
      </c>
      <c r="J402" s="110" t="e">
        <v>#N/A</v>
      </c>
      <c r="K402" s="805" t="e">
        <v>#N/A</v>
      </c>
      <c r="L402" s="3160" t="e">
        <v>#N/A</v>
      </c>
      <c r="M402" s="891" t="e">
        <v>#N/A</v>
      </c>
      <c r="N402" s="1413" t="e">
        <f>SUM(O402:Q402)</f>
        <v>#N/A</v>
      </c>
      <c r="O402" s="3160" t="e">
        <v>#N/A</v>
      </c>
      <c r="P402" s="3160" t="e">
        <v>#N/A</v>
      </c>
      <c r="Q402" s="110" t="e">
        <v>#N/A</v>
      </c>
      <c r="R402" s="1324" t="e">
        <v>#N/A</v>
      </c>
    </row>
    <row r="403" spans="1:18">
      <c r="A403" s="63">
        <f t="shared" si="7"/>
        <v>2026.1</v>
      </c>
      <c r="B403" s="58" t="e">
        <v>#N/A</v>
      </c>
      <c r="C403" s="3160" t="e">
        <v>#N/A</v>
      </c>
      <c r="D403" s="110" t="e">
        <v>#N/A</v>
      </c>
      <c r="E403" s="805" t="e">
        <v>#N/A</v>
      </c>
      <c r="F403" s="3160" t="e">
        <v>#N/A</v>
      </c>
      <c r="G403" s="110" t="e">
        <v>#N/A</v>
      </c>
      <c r="H403" s="805" t="e">
        <v>#N/A</v>
      </c>
      <c r="I403" s="3160" t="e">
        <v>#N/A</v>
      </c>
      <c r="J403" s="110" t="e">
        <v>#N/A</v>
      </c>
      <c r="K403" s="805" t="e">
        <v>#N/A</v>
      </c>
      <c r="L403" s="3160" t="e">
        <v>#N/A</v>
      </c>
      <c r="M403" s="891" t="e">
        <v>#N/A</v>
      </c>
      <c r="N403" s="1413" t="e">
        <f t="shared" si="6"/>
        <v>#N/A</v>
      </c>
      <c r="O403" s="3160" t="e">
        <v>#N/A</v>
      </c>
      <c r="P403" s="3160" t="e">
        <v>#N/A</v>
      </c>
      <c r="Q403" s="110" t="e">
        <v>#N/A</v>
      </c>
      <c r="R403" s="1324" t="e">
        <v>#N/A</v>
      </c>
    </row>
    <row r="404" spans="1:18">
      <c r="A404" s="63">
        <f t="shared" si="7"/>
        <v>2026.11</v>
      </c>
      <c r="B404" s="58" t="e">
        <v>#N/A</v>
      </c>
      <c r="C404" s="3160" t="e">
        <v>#N/A</v>
      </c>
      <c r="D404" s="110" t="e">
        <v>#N/A</v>
      </c>
      <c r="E404" s="805" t="e">
        <v>#N/A</v>
      </c>
      <c r="F404" s="3160" t="e">
        <v>#N/A</v>
      </c>
      <c r="G404" s="110" t="e">
        <v>#N/A</v>
      </c>
      <c r="H404" s="805" t="e">
        <v>#N/A</v>
      </c>
      <c r="I404" s="3160" t="e">
        <v>#N/A</v>
      </c>
      <c r="J404" s="110" t="e">
        <v>#N/A</v>
      </c>
      <c r="K404" s="805" t="e">
        <v>#N/A</v>
      </c>
      <c r="L404" s="3160" t="e">
        <v>#N/A</v>
      </c>
      <c r="M404" s="891" t="e">
        <v>#N/A</v>
      </c>
      <c r="N404" s="1413" t="e">
        <f t="shared" si="6"/>
        <v>#N/A</v>
      </c>
      <c r="O404" s="3160" t="e">
        <v>#N/A</v>
      </c>
      <c r="P404" s="3160" t="e">
        <v>#N/A</v>
      </c>
      <c r="Q404" s="110" t="e">
        <v>#N/A</v>
      </c>
      <c r="R404" s="1324" t="e">
        <v>#N/A</v>
      </c>
    </row>
    <row r="405" spans="1:18">
      <c r="A405" s="63">
        <f t="shared" si="7"/>
        <v>2026.12</v>
      </c>
      <c r="B405" s="58" t="e">
        <v>#N/A</v>
      </c>
      <c r="C405" s="3160" t="e">
        <v>#N/A</v>
      </c>
      <c r="D405" s="110" t="e">
        <v>#N/A</v>
      </c>
      <c r="E405" s="805" t="e">
        <v>#N/A</v>
      </c>
      <c r="F405" s="3160" t="e">
        <v>#N/A</v>
      </c>
      <c r="G405" s="110" t="e">
        <v>#N/A</v>
      </c>
      <c r="H405" s="805" t="e">
        <v>#N/A</v>
      </c>
      <c r="I405" s="3160" t="e">
        <v>#N/A</v>
      </c>
      <c r="J405" s="110" t="e">
        <v>#N/A</v>
      </c>
      <c r="K405" s="805" t="e">
        <v>#N/A</v>
      </c>
      <c r="L405" s="3160" t="e">
        <v>#N/A</v>
      </c>
      <c r="M405" s="891" t="e">
        <v>#N/A</v>
      </c>
      <c r="N405" s="1413" t="e">
        <f t="shared" si="6"/>
        <v>#N/A</v>
      </c>
      <c r="O405" s="3160" t="e">
        <v>#N/A</v>
      </c>
      <c r="P405" s="3160" t="e">
        <v>#N/A</v>
      </c>
      <c r="Q405" s="110" t="e">
        <v>#N/A</v>
      </c>
      <c r="R405" s="1324" t="e">
        <v>#N/A</v>
      </c>
    </row>
    <row r="406" spans="1:18">
      <c r="A406" s="63">
        <f t="shared" si="7"/>
        <v>2027.01</v>
      </c>
      <c r="B406" s="58" t="e">
        <v>#N/A</v>
      </c>
      <c r="C406" s="3160" t="e">
        <v>#N/A</v>
      </c>
      <c r="D406" s="110" t="e">
        <v>#N/A</v>
      </c>
      <c r="E406" s="805" t="e">
        <v>#N/A</v>
      </c>
      <c r="F406" s="3160" t="e">
        <v>#N/A</v>
      </c>
      <c r="G406" s="110" t="e">
        <v>#N/A</v>
      </c>
      <c r="H406" s="805" t="e">
        <v>#N/A</v>
      </c>
      <c r="I406" s="3160" t="e">
        <v>#N/A</v>
      </c>
      <c r="J406" s="110" t="e">
        <v>#N/A</v>
      </c>
      <c r="K406" s="805" t="e">
        <v>#N/A</v>
      </c>
      <c r="L406" s="3160" t="e">
        <v>#N/A</v>
      </c>
      <c r="M406" s="891" t="e">
        <v>#N/A</v>
      </c>
      <c r="N406" s="1413" t="e">
        <f t="shared" si="6"/>
        <v>#N/A</v>
      </c>
      <c r="O406" s="3160" t="e">
        <v>#N/A</v>
      </c>
      <c r="P406" s="3160" t="e">
        <v>#N/A</v>
      </c>
      <c r="Q406" s="110" t="e">
        <v>#N/A</v>
      </c>
      <c r="R406" s="1324" t="e">
        <v>#N/A</v>
      </c>
    </row>
    <row r="407" spans="1:18">
      <c r="A407" s="63">
        <f t="shared" si="7"/>
        <v>2027.02</v>
      </c>
      <c r="B407" s="58" t="e">
        <v>#N/A</v>
      </c>
      <c r="C407" s="3160" t="e">
        <v>#N/A</v>
      </c>
      <c r="D407" s="110" t="e">
        <v>#N/A</v>
      </c>
      <c r="E407" s="805" t="e">
        <v>#N/A</v>
      </c>
      <c r="F407" s="3160" t="e">
        <v>#N/A</v>
      </c>
      <c r="G407" s="110" t="e">
        <v>#N/A</v>
      </c>
      <c r="H407" s="805" t="e">
        <v>#N/A</v>
      </c>
      <c r="I407" s="3160" t="e">
        <v>#N/A</v>
      </c>
      <c r="J407" s="110" t="e">
        <v>#N/A</v>
      </c>
      <c r="K407" s="805" t="e">
        <v>#N/A</v>
      </c>
      <c r="L407" s="3160" t="e">
        <v>#N/A</v>
      </c>
      <c r="M407" s="891" t="e">
        <v>#N/A</v>
      </c>
      <c r="N407" s="1413" t="e">
        <f t="shared" si="6"/>
        <v>#N/A</v>
      </c>
      <c r="O407" s="3160" t="e">
        <v>#N/A</v>
      </c>
      <c r="P407" s="3160" t="e">
        <v>#N/A</v>
      </c>
      <c r="Q407" s="110" t="e">
        <v>#N/A</v>
      </c>
      <c r="R407" s="1324" t="e">
        <v>#N/A</v>
      </c>
    </row>
    <row r="408" spans="1:18">
      <c r="A408" s="63">
        <f t="shared" si="7"/>
        <v>2027.03</v>
      </c>
      <c r="B408" s="58" t="e">
        <v>#N/A</v>
      </c>
      <c r="C408" s="3160" t="e">
        <v>#N/A</v>
      </c>
      <c r="D408" s="110" t="e">
        <v>#N/A</v>
      </c>
      <c r="E408" s="805" t="e">
        <v>#N/A</v>
      </c>
      <c r="F408" s="3160" t="e">
        <v>#N/A</v>
      </c>
      <c r="G408" s="110" t="e">
        <v>#N/A</v>
      </c>
      <c r="H408" s="805" t="e">
        <v>#N/A</v>
      </c>
      <c r="I408" s="3160" t="e">
        <v>#N/A</v>
      </c>
      <c r="J408" s="110" t="e">
        <v>#N/A</v>
      </c>
      <c r="K408" s="805" t="e">
        <v>#N/A</v>
      </c>
      <c r="L408" s="3160" t="e">
        <v>#N/A</v>
      </c>
      <c r="M408" s="891" t="e">
        <v>#N/A</v>
      </c>
      <c r="N408" s="1413" t="e">
        <f t="shared" si="6"/>
        <v>#N/A</v>
      </c>
      <c r="O408" s="3160" t="e">
        <v>#N/A</v>
      </c>
      <c r="P408" s="3160" t="e">
        <v>#N/A</v>
      </c>
      <c r="Q408" s="110" t="e">
        <v>#N/A</v>
      </c>
      <c r="R408" s="1324" t="e">
        <v>#N/A</v>
      </c>
    </row>
    <row r="409" spans="1:18">
      <c r="A409" s="63">
        <f t="shared" si="7"/>
        <v>2027.04</v>
      </c>
      <c r="B409" s="58" t="e">
        <v>#N/A</v>
      </c>
      <c r="C409" s="3160" t="e">
        <v>#N/A</v>
      </c>
      <c r="D409" s="110" t="e">
        <v>#N/A</v>
      </c>
      <c r="E409" s="805" t="e">
        <v>#N/A</v>
      </c>
      <c r="F409" s="3160" t="e">
        <v>#N/A</v>
      </c>
      <c r="G409" s="110" t="e">
        <v>#N/A</v>
      </c>
      <c r="H409" s="805" t="e">
        <v>#N/A</v>
      </c>
      <c r="I409" s="3160" t="e">
        <v>#N/A</v>
      </c>
      <c r="J409" s="110" t="e">
        <v>#N/A</v>
      </c>
      <c r="K409" s="805" t="e">
        <v>#N/A</v>
      </c>
      <c r="L409" s="3160" t="e">
        <v>#N/A</v>
      </c>
      <c r="M409" s="891" t="e">
        <v>#N/A</v>
      </c>
      <c r="N409" s="1413" t="e">
        <f t="shared" si="6"/>
        <v>#N/A</v>
      </c>
      <c r="O409" s="3160" t="e">
        <v>#N/A</v>
      </c>
      <c r="P409" s="3160" t="e">
        <v>#N/A</v>
      </c>
      <c r="Q409" s="110" t="e">
        <v>#N/A</v>
      </c>
      <c r="R409" s="1324" t="e">
        <v>#N/A</v>
      </c>
    </row>
    <row r="410" spans="1:18">
      <c r="A410" s="63">
        <f t="shared" si="7"/>
        <v>2027.05</v>
      </c>
      <c r="B410" s="58" t="e">
        <v>#N/A</v>
      </c>
      <c r="C410" s="3160" t="e">
        <v>#N/A</v>
      </c>
      <c r="D410" s="110" t="e">
        <v>#N/A</v>
      </c>
      <c r="E410" s="805" t="e">
        <v>#N/A</v>
      </c>
      <c r="F410" s="3160" t="e">
        <v>#N/A</v>
      </c>
      <c r="G410" s="110" t="e">
        <v>#N/A</v>
      </c>
      <c r="H410" s="805" t="e">
        <v>#N/A</v>
      </c>
      <c r="I410" s="3160" t="e">
        <v>#N/A</v>
      </c>
      <c r="J410" s="110" t="e">
        <v>#N/A</v>
      </c>
      <c r="K410" s="805" t="e">
        <v>#N/A</v>
      </c>
      <c r="L410" s="3160" t="e">
        <v>#N/A</v>
      </c>
      <c r="M410" s="891" t="e">
        <v>#N/A</v>
      </c>
      <c r="N410" s="1413" t="e">
        <f t="shared" si="6"/>
        <v>#N/A</v>
      </c>
      <c r="O410" s="3160" t="e">
        <v>#N/A</v>
      </c>
      <c r="P410" s="3160" t="e">
        <v>#N/A</v>
      </c>
      <c r="Q410" s="110" t="e">
        <v>#N/A</v>
      </c>
      <c r="R410" s="1324" t="e">
        <v>#N/A</v>
      </c>
    </row>
    <row r="411" spans="1:18">
      <c r="A411" s="63">
        <f t="shared" si="7"/>
        <v>2027.06</v>
      </c>
      <c r="B411" s="58" t="e">
        <v>#N/A</v>
      </c>
      <c r="C411" s="3160" t="e">
        <v>#N/A</v>
      </c>
      <c r="D411" s="110" t="e">
        <v>#N/A</v>
      </c>
      <c r="E411" s="805" t="e">
        <v>#N/A</v>
      </c>
      <c r="F411" s="3160" t="e">
        <v>#N/A</v>
      </c>
      <c r="G411" s="110" t="e">
        <v>#N/A</v>
      </c>
      <c r="H411" s="805" t="e">
        <v>#N/A</v>
      </c>
      <c r="I411" s="3160" t="e">
        <v>#N/A</v>
      </c>
      <c r="J411" s="110" t="e">
        <v>#N/A</v>
      </c>
      <c r="K411" s="805" t="e">
        <v>#N/A</v>
      </c>
      <c r="L411" s="3160" t="e">
        <v>#N/A</v>
      </c>
      <c r="M411" s="891" t="e">
        <v>#N/A</v>
      </c>
      <c r="N411" s="1413" t="e">
        <f t="shared" si="6"/>
        <v>#N/A</v>
      </c>
      <c r="O411" s="3160" t="e">
        <v>#N/A</v>
      </c>
      <c r="P411" s="3160" t="e">
        <v>#N/A</v>
      </c>
      <c r="Q411" s="110" t="e">
        <v>#N/A</v>
      </c>
      <c r="R411" s="1324" t="e">
        <v>#N/A</v>
      </c>
    </row>
    <row r="412" spans="1:18">
      <c r="A412" s="63">
        <f t="shared" si="7"/>
        <v>2027.07</v>
      </c>
      <c r="B412" s="58" t="e">
        <v>#N/A</v>
      </c>
      <c r="C412" s="3160" t="e">
        <v>#N/A</v>
      </c>
      <c r="D412" s="110" t="e">
        <v>#N/A</v>
      </c>
      <c r="E412" s="805" t="e">
        <v>#N/A</v>
      </c>
      <c r="F412" s="3160" t="e">
        <v>#N/A</v>
      </c>
      <c r="G412" s="110" t="e">
        <v>#N/A</v>
      </c>
      <c r="H412" s="805" t="e">
        <v>#N/A</v>
      </c>
      <c r="I412" s="3160" t="e">
        <v>#N/A</v>
      </c>
      <c r="J412" s="110" t="e">
        <v>#N/A</v>
      </c>
      <c r="K412" s="805" t="e">
        <v>#N/A</v>
      </c>
      <c r="L412" s="3160" t="e">
        <v>#N/A</v>
      </c>
      <c r="M412" s="891" t="e">
        <v>#N/A</v>
      </c>
      <c r="N412" s="1413" t="e">
        <f t="shared" si="6"/>
        <v>#N/A</v>
      </c>
      <c r="O412" s="3160" t="e">
        <v>#N/A</v>
      </c>
      <c r="P412" s="3160" t="e">
        <v>#N/A</v>
      </c>
      <c r="Q412" s="110" t="e">
        <v>#N/A</v>
      </c>
      <c r="R412" s="1324" t="e">
        <v>#N/A</v>
      </c>
    </row>
    <row r="413" spans="1:18">
      <c r="A413" s="63">
        <f t="shared" si="7"/>
        <v>2027.08</v>
      </c>
      <c r="B413" s="58" t="e">
        <v>#N/A</v>
      </c>
      <c r="C413" s="3160" t="e">
        <v>#N/A</v>
      </c>
      <c r="D413" s="110" t="e">
        <v>#N/A</v>
      </c>
      <c r="E413" s="805" t="e">
        <v>#N/A</v>
      </c>
      <c r="F413" s="3160" t="e">
        <v>#N/A</v>
      </c>
      <c r="G413" s="110" t="e">
        <v>#N/A</v>
      </c>
      <c r="H413" s="805" t="e">
        <v>#N/A</v>
      </c>
      <c r="I413" s="3160" t="e">
        <v>#N/A</v>
      </c>
      <c r="J413" s="110" t="e">
        <v>#N/A</v>
      </c>
      <c r="K413" s="805" t="e">
        <v>#N/A</v>
      </c>
      <c r="L413" s="3160" t="e">
        <v>#N/A</v>
      </c>
      <c r="M413" s="891" t="e">
        <v>#N/A</v>
      </c>
      <c r="N413" s="1413" t="e">
        <f t="shared" si="6"/>
        <v>#N/A</v>
      </c>
      <c r="O413" s="3160" t="e">
        <v>#N/A</v>
      </c>
      <c r="P413" s="3160" t="e">
        <v>#N/A</v>
      </c>
      <c r="Q413" s="110" t="e">
        <v>#N/A</v>
      </c>
      <c r="R413" s="1324" t="e">
        <v>#N/A</v>
      </c>
    </row>
    <row r="414" spans="1:18">
      <c r="A414" s="63">
        <f t="shared" si="7"/>
        <v>2027.09</v>
      </c>
      <c r="B414" s="58" t="e">
        <v>#N/A</v>
      </c>
      <c r="C414" s="3160" t="e">
        <v>#N/A</v>
      </c>
      <c r="D414" s="110" t="e">
        <v>#N/A</v>
      </c>
      <c r="E414" s="805" t="e">
        <v>#N/A</v>
      </c>
      <c r="F414" s="3160" t="e">
        <v>#N/A</v>
      </c>
      <c r="G414" s="110" t="e">
        <v>#N/A</v>
      </c>
      <c r="H414" s="805" t="e">
        <v>#N/A</v>
      </c>
      <c r="I414" s="3160" t="e">
        <v>#N/A</v>
      </c>
      <c r="J414" s="110" t="e">
        <v>#N/A</v>
      </c>
      <c r="K414" s="805" t="e">
        <v>#N/A</v>
      </c>
      <c r="L414" s="3160" t="e">
        <v>#N/A</v>
      </c>
      <c r="M414" s="891" t="e">
        <v>#N/A</v>
      </c>
      <c r="N414" s="1413" t="e">
        <f t="shared" si="6"/>
        <v>#N/A</v>
      </c>
      <c r="O414" s="3160" t="e">
        <v>#N/A</v>
      </c>
      <c r="P414" s="3160" t="e">
        <v>#N/A</v>
      </c>
      <c r="Q414" s="110" t="e">
        <v>#N/A</v>
      </c>
      <c r="R414" s="1324" t="e">
        <v>#N/A</v>
      </c>
    </row>
    <row r="415" spans="1:18">
      <c r="A415" s="63">
        <f t="shared" si="7"/>
        <v>2027.1</v>
      </c>
      <c r="B415" s="58" t="e">
        <v>#N/A</v>
      </c>
      <c r="C415" s="3160" t="e">
        <v>#N/A</v>
      </c>
      <c r="D415" s="110" t="e">
        <v>#N/A</v>
      </c>
      <c r="E415" s="805" t="e">
        <v>#N/A</v>
      </c>
      <c r="F415" s="3160" t="e">
        <v>#N/A</v>
      </c>
      <c r="G415" s="110" t="e">
        <v>#N/A</v>
      </c>
      <c r="H415" s="805" t="e">
        <v>#N/A</v>
      </c>
      <c r="I415" s="3160" t="e">
        <v>#N/A</v>
      </c>
      <c r="J415" s="110" t="e">
        <v>#N/A</v>
      </c>
      <c r="K415" s="805" t="e">
        <v>#N/A</v>
      </c>
      <c r="L415" s="3160" t="e">
        <v>#N/A</v>
      </c>
      <c r="M415" s="891" t="e">
        <v>#N/A</v>
      </c>
      <c r="N415" s="1413" t="e">
        <f t="shared" si="6"/>
        <v>#N/A</v>
      </c>
      <c r="O415" s="3160" t="e">
        <v>#N/A</v>
      </c>
      <c r="P415" s="3160" t="e">
        <v>#N/A</v>
      </c>
      <c r="Q415" s="110" t="e">
        <v>#N/A</v>
      </c>
      <c r="R415" s="1324" t="e">
        <v>#N/A</v>
      </c>
    </row>
    <row r="416" spans="1:18">
      <c r="A416" s="63">
        <f t="shared" si="7"/>
        <v>2027.11</v>
      </c>
      <c r="B416" s="58" t="e">
        <v>#N/A</v>
      </c>
      <c r="C416" s="3160" t="e">
        <v>#N/A</v>
      </c>
      <c r="D416" s="110" t="e">
        <v>#N/A</v>
      </c>
      <c r="E416" s="805" t="e">
        <v>#N/A</v>
      </c>
      <c r="F416" s="3160" t="e">
        <v>#N/A</v>
      </c>
      <c r="G416" s="110" t="e">
        <v>#N/A</v>
      </c>
      <c r="H416" s="805" t="e">
        <v>#N/A</v>
      </c>
      <c r="I416" s="3160" t="e">
        <v>#N/A</v>
      </c>
      <c r="J416" s="110" t="e">
        <v>#N/A</v>
      </c>
      <c r="K416" s="805" t="e">
        <v>#N/A</v>
      </c>
      <c r="L416" s="3160" t="e">
        <v>#N/A</v>
      </c>
      <c r="M416" s="891" t="e">
        <v>#N/A</v>
      </c>
      <c r="N416" s="1413" t="e">
        <f t="shared" si="6"/>
        <v>#N/A</v>
      </c>
      <c r="O416" s="3160" t="e">
        <v>#N/A</v>
      </c>
      <c r="P416" s="3160" t="e">
        <v>#N/A</v>
      </c>
      <c r="Q416" s="110" t="e">
        <v>#N/A</v>
      </c>
      <c r="R416" s="1324" t="e">
        <v>#N/A</v>
      </c>
    </row>
    <row r="417" spans="1:18">
      <c r="A417" s="63">
        <f t="shared" si="7"/>
        <v>2027.12</v>
      </c>
      <c r="B417" s="58" t="e">
        <v>#N/A</v>
      </c>
      <c r="C417" s="3160" t="e">
        <v>#N/A</v>
      </c>
      <c r="D417" s="110" t="e">
        <v>#N/A</v>
      </c>
      <c r="E417" s="805" t="e">
        <v>#N/A</v>
      </c>
      <c r="F417" s="3160" t="e">
        <v>#N/A</v>
      </c>
      <c r="G417" s="110" t="e">
        <v>#N/A</v>
      </c>
      <c r="H417" s="805" t="e">
        <v>#N/A</v>
      </c>
      <c r="I417" s="3160" t="e">
        <v>#N/A</v>
      </c>
      <c r="J417" s="110" t="e">
        <v>#N/A</v>
      </c>
      <c r="K417" s="805" t="e">
        <v>#N/A</v>
      </c>
      <c r="L417" s="3160" t="e">
        <v>#N/A</v>
      </c>
      <c r="M417" s="891" t="e">
        <v>#N/A</v>
      </c>
      <c r="N417" s="1413" t="e">
        <f t="shared" si="6"/>
        <v>#N/A</v>
      </c>
      <c r="O417" s="3160" t="e">
        <v>#N/A</v>
      </c>
      <c r="P417" s="3160" t="e">
        <v>#N/A</v>
      </c>
      <c r="Q417" s="110" t="e">
        <v>#N/A</v>
      </c>
      <c r="R417" s="1324" t="e">
        <v>#N/A</v>
      </c>
    </row>
    <row r="418" spans="1:18">
      <c r="A418" s="63">
        <f t="shared" si="7"/>
        <v>2028.01</v>
      </c>
      <c r="B418" s="58" t="e">
        <v>#N/A</v>
      </c>
      <c r="C418" s="3160" t="e">
        <v>#N/A</v>
      </c>
      <c r="D418" s="110" t="e">
        <v>#N/A</v>
      </c>
      <c r="E418" s="805" t="e">
        <v>#N/A</v>
      </c>
      <c r="F418" s="3160" t="e">
        <v>#N/A</v>
      </c>
      <c r="G418" s="110" t="e">
        <v>#N/A</v>
      </c>
      <c r="H418" s="805" t="e">
        <v>#N/A</v>
      </c>
      <c r="I418" s="3160" t="e">
        <v>#N/A</v>
      </c>
      <c r="J418" s="110" t="e">
        <v>#N/A</v>
      </c>
      <c r="K418" s="805" t="e">
        <v>#N/A</v>
      </c>
      <c r="L418" s="3160" t="e">
        <v>#N/A</v>
      </c>
      <c r="M418" s="891" t="e">
        <v>#N/A</v>
      </c>
      <c r="N418" s="1413" t="e">
        <f t="shared" si="6"/>
        <v>#N/A</v>
      </c>
      <c r="O418" s="3160" t="e">
        <v>#N/A</v>
      </c>
      <c r="P418" s="3160" t="e">
        <v>#N/A</v>
      </c>
      <c r="Q418" s="110" t="e">
        <v>#N/A</v>
      </c>
      <c r="R418" s="1324" t="e">
        <v>#N/A</v>
      </c>
    </row>
    <row r="419" spans="1:18">
      <c r="A419" s="63">
        <f t="shared" si="7"/>
        <v>2028.02</v>
      </c>
      <c r="B419" s="58" t="e">
        <v>#N/A</v>
      </c>
      <c r="C419" s="3160" t="e">
        <v>#N/A</v>
      </c>
      <c r="D419" s="110" t="e">
        <v>#N/A</v>
      </c>
      <c r="E419" s="805" t="e">
        <v>#N/A</v>
      </c>
      <c r="F419" s="3160" t="e">
        <v>#N/A</v>
      </c>
      <c r="G419" s="110" t="e">
        <v>#N/A</v>
      </c>
      <c r="H419" s="805" t="e">
        <v>#N/A</v>
      </c>
      <c r="I419" s="3160" t="e">
        <v>#N/A</v>
      </c>
      <c r="J419" s="110" t="e">
        <v>#N/A</v>
      </c>
      <c r="K419" s="805" t="e">
        <v>#N/A</v>
      </c>
      <c r="L419" s="3160" t="e">
        <v>#N/A</v>
      </c>
      <c r="M419" s="891" t="e">
        <v>#N/A</v>
      </c>
      <c r="N419" s="1413" t="e">
        <f t="shared" si="6"/>
        <v>#N/A</v>
      </c>
      <c r="O419" s="3160" t="e">
        <v>#N/A</v>
      </c>
      <c r="P419" s="3160" t="e">
        <v>#N/A</v>
      </c>
      <c r="Q419" s="110" t="e">
        <v>#N/A</v>
      </c>
      <c r="R419" s="1324" t="e">
        <v>#N/A</v>
      </c>
    </row>
    <row r="420" spans="1:18">
      <c r="A420" s="63">
        <f t="shared" si="7"/>
        <v>2028.03</v>
      </c>
      <c r="B420" s="58" t="e">
        <v>#N/A</v>
      </c>
      <c r="C420" s="3160" t="e">
        <v>#N/A</v>
      </c>
      <c r="D420" s="110" t="e">
        <v>#N/A</v>
      </c>
      <c r="E420" s="805" t="e">
        <v>#N/A</v>
      </c>
      <c r="F420" s="3160" t="e">
        <v>#N/A</v>
      </c>
      <c r="G420" s="110" t="e">
        <v>#N/A</v>
      </c>
      <c r="H420" s="805" t="e">
        <v>#N/A</v>
      </c>
      <c r="I420" s="3160" t="e">
        <v>#N/A</v>
      </c>
      <c r="J420" s="110" t="e">
        <v>#N/A</v>
      </c>
      <c r="K420" s="805" t="e">
        <v>#N/A</v>
      </c>
      <c r="L420" s="3160" t="e">
        <v>#N/A</v>
      </c>
      <c r="M420" s="891" t="e">
        <v>#N/A</v>
      </c>
      <c r="N420" s="1413" t="e">
        <f t="shared" si="6"/>
        <v>#N/A</v>
      </c>
      <c r="O420" s="3160" t="e">
        <v>#N/A</v>
      </c>
      <c r="P420" s="3160" t="e">
        <v>#N/A</v>
      </c>
      <c r="Q420" s="110" t="e">
        <v>#N/A</v>
      </c>
      <c r="R420" s="1324" t="e">
        <v>#N/A</v>
      </c>
    </row>
    <row r="421" spans="1:18">
      <c r="A421" s="63">
        <f t="shared" si="7"/>
        <v>2028.04</v>
      </c>
      <c r="B421" s="58" t="e">
        <v>#N/A</v>
      </c>
      <c r="C421" s="3160" t="e">
        <v>#N/A</v>
      </c>
      <c r="D421" s="110" t="e">
        <v>#N/A</v>
      </c>
      <c r="E421" s="805" t="e">
        <v>#N/A</v>
      </c>
      <c r="F421" s="3160" t="e">
        <v>#N/A</v>
      </c>
      <c r="G421" s="110" t="e">
        <v>#N/A</v>
      </c>
      <c r="H421" s="805" t="e">
        <v>#N/A</v>
      </c>
      <c r="I421" s="3160" t="e">
        <v>#N/A</v>
      </c>
      <c r="J421" s="110" t="e">
        <v>#N/A</v>
      </c>
      <c r="K421" s="805" t="e">
        <v>#N/A</v>
      </c>
      <c r="L421" s="3160" t="e">
        <v>#N/A</v>
      </c>
      <c r="M421" s="891" t="e">
        <v>#N/A</v>
      </c>
      <c r="N421" s="1413" t="e">
        <f t="shared" si="6"/>
        <v>#N/A</v>
      </c>
      <c r="O421" s="3160" t="e">
        <v>#N/A</v>
      </c>
      <c r="P421" s="3160" t="e">
        <v>#N/A</v>
      </c>
      <c r="Q421" s="110" t="e">
        <v>#N/A</v>
      </c>
      <c r="R421" s="1324" t="e">
        <v>#N/A</v>
      </c>
    </row>
    <row r="422" spans="1:18">
      <c r="A422" s="63">
        <f t="shared" si="7"/>
        <v>2028.05</v>
      </c>
      <c r="B422" s="58" t="e">
        <v>#N/A</v>
      </c>
      <c r="C422" s="3160" t="e">
        <v>#N/A</v>
      </c>
      <c r="D422" s="110" t="e">
        <v>#N/A</v>
      </c>
      <c r="E422" s="805" t="e">
        <v>#N/A</v>
      </c>
      <c r="F422" s="3160" t="e">
        <v>#N/A</v>
      </c>
      <c r="G422" s="110" t="e">
        <v>#N/A</v>
      </c>
      <c r="H422" s="805" t="e">
        <v>#N/A</v>
      </c>
      <c r="I422" s="3160" t="e">
        <v>#N/A</v>
      </c>
      <c r="J422" s="110" t="e">
        <v>#N/A</v>
      </c>
      <c r="K422" s="805" t="e">
        <v>#N/A</v>
      </c>
      <c r="L422" s="3160" t="e">
        <v>#N/A</v>
      </c>
      <c r="M422" s="891" t="e">
        <v>#N/A</v>
      </c>
      <c r="N422" s="1413" t="e">
        <f t="shared" si="6"/>
        <v>#N/A</v>
      </c>
      <c r="O422" s="3160" t="e">
        <v>#N/A</v>
      </c>
      <c r="P422" s="3160" t="e">
        <v>#N/A</v>
      </c>
      <c r="Q422" s="110" t="e">
        <v>#N/A</v>
      </c>
      <c r="R422" s="1324" t="e">
        <v>#N/A</v>
      </c>
    </row>
    <row r="423" spans="1:18">
      <c r="A423" s="63">
        <f t="shared" si="7"/>
        <v>2028.06</v>
      </c>
      <c r="B423" s="58" t="e">
        <v>#N/A</v>
      </c>
      <c r="C423" s="3160" t="e">
        <v>#N/A</v>
      </c>
      <c r="D423" s="110" t="e">
        <v>#N/A</v>
      </c>
      <c r="E423" s="805" t="e">
        <v>#N/A</v>
      </c>
      <c r="F423" s="3160" t="e">
        <v>#N/A</v>
      </c>
      <c r="G423" s="110" t="e">
        <v>#N/A</v>
      </c>
      <c r="H423" s="805" t="e">
        <v>#N/A</v>
      </c>
      <c r="I423" s="3160" t="e">
        <v>#N/A</v>
      </c>
      <c r="J423" s="110" t="e">
        <v>#N/A</v>
      </c>
      <c r="K423" s="805" t="e">
        <v>#N/A</v>
      </c>
      <c r="L423" s="3160" t="e">
        <v>#N/A</v>
      </c>
      <c r="M423" s="891" t="e">
        <v>#N/A</v>
      </c>
      <c r="N423" s="1413" t="e">
        <f t="shared" si="6"/>
        <v>#N/A</v>
      </c>
      <c r="O423" s="3160" t="e">
        <v>#N/A</v>
      </c>
      <c r="P423" s="3160" t="e">
        <v>#N/A</v>
      </c>
      <c r="Q423" s="110" t="e">
        <v>#N/A</v>
      </c>
      <c r="R423" s="1324" t="e">
        <v>#N/A</v>
      </c>
    </row>
    <row r="424" spans="1:18">
      <c r="A424" s="63">
        <f t="shared" si="7"/>
        <v>2028.07</v>
      </c>
      <c r="B424" s="58" t="e">
        <v>#N/A</v>
      </c>
      <c r="C424" s="3160" t="e">
        <v>#N/A</v>
      </c>
      <c r="D424" s="110" t="e">
        <v>#N/A</v>
      </c>
      <c r="E424" s="805" t="e">
        <v>#N/A</v>
      </c>
      <c r="F424" s="3160" t="e">
        <v>#N/A</v>
      </c>
      <c r="G424" s="110" t="e">
        <v>#N/A</v>
      </c>
      <c r="H424" s="805" t="e">
        <v>#N/A</v>
      </c>
      <c r="I424" s="3160" t="e">
        <v>#N/A</v>
      </c>
      <c r="J424" s="110" t="e">
        <v>#N/A</v>
      </c>
      <c r="K424" s="805" t="e">
        <v>#N/A</v>
      </c>
      <c r="L424" s="3160" t="e">
        <v>#N/A</v>
      </c>
      <c r="M424" s="891" t="e">
        <v>#N/A</v>
      </c>
      <c r="N424" s="1413" t="e">
        <f t="shared" si="6"/>
        <v>#N/A</v>
      </c>
      <c r="O424" s="3160" t="e">
        <v>#N/A</v>
      </c>
      <c r="P424" s="3160" t="e">
        <v>#N/A</v>
      </c>
      <c r="Q424" s="110" t="e">
        <v>#N/A</v>
      </c>
      <c r="R424" s="1324" t="e">
        <v>#N/A</v>
      </c>
    </row>
    <row r="425" spans="1:18">
      <c r="A425" s="63">
        <f t="shared" si="7"/>
        <v>2028.08</v>
      </c>
      <c r="B425" s="58" t="e">
        <v>#N/A</v>
      </c>
      <c r="C425" s="3160" t="e">
        <v>#N/A</v>
      </c>
      <c r="D425" s="110" t="e">
        <v>#N/A</v>
      </c>
      <c r="E425" s="805" t="e">
        <v>#N/A</v>
      </c>
      <c r="F425" s="3160" t="e">
        <v>#N/A</v>
      </c>
      <c r="G425" s="110" t="e">
        <v>#N/A</v>
      </c>
      <c r="H425" s="805" t="e">
        <v>#N/A</v>
      </c>
      <c r="I425" s="3160" t="e">
        <v>#N/A</v>
      </c>
      <c r="J425" s="110" t="e">
        <v>#N/A</v>
      </c>
      <c r="K425" s="805" t="e">
        <v>#N/A</v>
      </c>
      <c r="L425" s="3160" t="e">
        <v>#N/A</v>
      </c>
      <c r="M425" s="891" t="e">
        <v>#N/A</v>
      </c>
      <c r="N425" s="1413" t="e">
        <f t="shared" si="6"/>
        <v>#N/A</v>
      </c>
      <c r="O425" s="3160" t="e">
        <v>#N/A</v>
      </c>
      <c r="P425" s="3160" t="e">
        <v>#N/A</v>
      </c>
      <c r="Q425" s="110" t="e">
        <v>#N/A</v>
      </c>
      <c r="R425" s="1324" t="e">
        <v>#N/A</v>
      </c>
    </row>
    <row r="426" spans="1:18">
      <c r="A426" s="63">
        <f t="shared" si="7"/>
        <v>2028.09</v>
      </c>
      <c r="B426" s="58" t="e">
        <v>#N/A</v>
      </c>
      <c r="C426" s="3160" t="e">
        <v>#N/A</v>
      </c>
      <c r="D426" s="110" t="e">
        <v>#N/A</v>
      </c>
      <c r="E426" s="805" t="e">
        <v>#N/A</v>
      </c>
      <c r="F426" s="3160" t="e">
        <v>#N/A</v>
      </c>
      <c r="G426" s="110" t="e">
        <v>#N/A</v>
      </c>
      <c r="H426" s="805" t="e">
        <v>#N/A</v>
      </c>
      <c r="I426" s="3160" t="e">
        <v>#N/A</v>
      </c>
      <c r="J426" s="110" t="e">
        <v>#N/A</v>
      </c>
      <c r="K426" s="805" t="e">
        <v>#N/A</v>
      </c>
      <c r="L426" s="3160" t="e">
        <v>#N/A</v>
      </c>
      <c r="M426" s="891" t="e">
        <v>#N/A</v>
      </c>
      <c r="N426" s="1413" t="e">
        <f t="shared" si="6"/>
        <v>#N/A</v>
      </c>
      <c r="O426" s="3160" t="e">
        <v>#N/A</v>
      </c>
      <c r="P426" s="3160" t="e">
        <v>#N/A</v>
      </c>
      <c r="Q426" s="110" t="e">
        <v>#N/A</v>
      </c>
      <c r="R426" s="1324" t="e">
        <v>#N/A</v>
      </c>
    </row>
    <row r="427" spans="1:18">
      <c r="A427" s="63">
        <f t="shared" si="7"/>
        <v>2028.1</v>
      </c>
      <c r="B427" s="58" t="e">
        <v>#N/A</v>
      </c>
      <c r="C427" s="3160" t="e">
        <v>#N/A</v>
      </c>
      <c r="D427" s="110" t="e">
        <v>#N/A</v>
      </c>
      <c r="E427" s="805" t="e">
        <v>#N/A</v>
      </c>
      <c r="F427" s="3160" t="e">
        <v>#N/A</v>
      </c>
      <c r="G427" s="110" t="e">
        <v>#N/A</v>
      </c>
      <c r="H427" s="805" t="e">
        <v>#N/A</v>
      </c>
      <c r="I427" s="3160" t="e">
        <v>#N/A</v>
      </c>
      <c r="J427" s="110" t="e">
        <v>#N/A</v>
      </c>
      <c r="K427" s="805" t="e">
        <v>#N/A</v>
      </c>
      <c r="L427" s="3160" t="e">
        <v>#N/A</v>
      </c>
      <c r="M427" s="891" t="e">
        <v>#N/A</v>
      </c>
      <c r="N427" s="1413" t="e">
        <f t="shared" si="6"/>
        <v>#N/A</v>
      </c>
      <c r="O427" s="3160" t="e">
        <v>#N/A</v>
      </c>
      <c r="P427" s="3160" t="e">
        <v>#N/A</v>
      </c>
      <c r="Q427" s="110" t="e">
        <v>#N/A</v>
      </c>
      <c r="R427" s="1324" t="e">
        <v>#N/A</v>
      </c>
    </row>
    <row r="428" spans="1:18">
      <c r="A428" s="63">
        <f t="shared" si="7"/>
        <v>2028.11</v>
      </c>
      <c r="B428" s="58" t="e">
        <v>#N/A</v>
      </c>
      <c r="C428" s="3160" t="e">
        <v>#N/A</v>
      </c>
      <c r="D428" s="110" t="e">
        <v>#N/A</v>
      </c>
      <c r="E428" s="805" t="e">
        <v>#N/A</v>
      </c>
      <c r="F428" s="3160" t="e">
        <v>#N/A</v>
      </c>
      <c r="G428" s="110" t="e">
        <v>#N/A</v>
      </c>
      <c r="H428" s="805" t="e">
        <v>#N/A</v>
      </c>
      <c r="I428" s="3160" t="e">
        <v>#N/A</v>
      </c>
      <c r="J428" s="110" t="e">
        <v>#N/A</v>
      </c>
      <c r="K428" s="805" t="e">
        <v>#N/A</v>
      </c>
      <c r="L428" s="3160" t="e">
        <v>#N/A</v>
      </c>
      <c r="M428" s="891" t="e">
        <v>#N/A</v>
      </c>
      <c r="N428" s="1413" t="e">
        <f t="shared" si="6"/>
        <v>#N/A</v>
      </c>
      <c r="O428" s="3160" t="e">
        <v>#N/A</v>
      </c>
      <c r="P428" s="3160" t="e">
        <v>#N/A</v>
      </c>
      <c r="Q428" s="110" t="e">
        <v>#N/A</v>
      </c>
      <c r="R428" s="1324" t="e">
        <v>#N/A</v>
      </c>
    </row>
    <row r="429" spans="1:18">
      <c r="A429" s="63">
        <f t="shared" si="7"/>
        <v>2028.12</v>
      </c>
      <c r="B429" s="58" t="e">
        <v>#N/A</v>
      </c>
      <c r="C429" s="3160" t="e">
        <v>#N/A</v>
      </c>
      <c r="D429" s="110" t="e">
        <v>#N/A</v>
      </c>
      <c r="E429" s="805" t="e">
        <v>#N/A</v>
      </c>
      <c r="F429" s="3160" t="e">
        <v>#N/A</v>
      </c>
      <c r="G429" s="110" t="e">
        <v>#N/A</v>
      </c>
      <c r="H429" s="805" t="e">
        <v>#N/A</v>
      </c>
      <c r="I429" s="3160" t="e">
        <v>#N/A</v>
      </c>
      <c r="J429" s="110" t="e">
        <v>#N/A</v>
      </c>
      <c r="K429" s="805" t="e">
        <v>#N/A</v>
      </c>
      <c r="L429" s="3160" t="e">
        <v>#N/A</v>
      </c>
      <c r="M429" s="891" t="e">
        <v>#N/A</v>
      </c>
      <c r="N429" s="1413" t="e">
        <f t="shared" si="6"/>
        <v>#N/A</v>
      </c>
      <c r="O429" s="3160" t="e">
        <v>#N/A</v>
      </c>
      <c r="P429" s="3160" t="e">
        <v>#N/A</v>
      </c>
      <c r="Q429" s="110" t="e">
        <v>#N/A</v>
      </c>
      <c r="R429" s="1324" t="e">
        <v>#N/A</v>
      </c>
    </row>
    <row r="430" spans="1:18">
      <c r="A430" s="63">
        <f t="shared" si="7"/>
        <v>2029.01</v>
      </c>
      <c r="B430" s="58" t="e">
        <v>#N/A</v>
      </c>
      <c r="C430" s="3160" t="e">
        <v>#N/A</v>
      </c>
      <c r="D430" s="110" t="e">
        <v>#N/A</v>
      </c>
      <c r="E430" s="805" t="e">
        <v>#N/A</v>
      </c>
      <c r="F430" s="3160" t="e">
        <v>#N/A</v>
      </c>
      <c r="G430" s="110" t="e">
        <v>#N/A</v>
      </c>
      <c r="H430" s="805" t="e">
        <v>#N/A</v>
      </c>
      <c r="I430" s="3160" t="e">
        <v>#N/A</v>
      </c>
      <c r="J430" s="110" t="e">
        <v>#N/A</v>
      </c>
      <c r="K430" s="805" t="e">
        <v>#N/A</v>
      </c>
      <c r="L430" s="3160" t="e">
        <v>#N/A</v>
      </c>
      <c r="M430" s="891" t="e">
        <v>#N/A</v>
      </c>
      <c r="N430" s="1413" t="e">
        <f t="shared" si="6"/>
        <v>#N/A</v>
      </c>
      <c r="O430" s="3160" t="e">
        <v>#N/A</v>
      </c>
      <c r="P430" s="3160" t="e">
        <v>#N/A</v>
      </c>
      <c r="Q430" s="110" t="e">
        <v>#N/A</v>
      </c>
      <c r="R430" s="1324" t="e">
        <v>#N/A</v>
      </c>
    </row>
    <row r="431" spans="1:18">
      <c r="A431" s="63">
        <f t="shared" si="7"/>
        <v>2029.02</v>
      </c>
      <c r="B431" s="58" t="e">
        <v>#N/A</v>
      </c>
      <c r="C431" s="3160" t="e">
        <v>#N/A</v>
      </c>
      <c r="D431" s="110" t="e">
        <v>#N/A</v>
      </c>
      <c r="E431" s="805" t="e">
        <v>#N/A</v>
      </c>
      <c r="F431" s="3160" t="e">
        <v>#N/A</v>
      </c>
      <c r="G431" s="110" t="e">
        <v>#N/A</v>
      </c>
      <c r="H431" s="805" t="e">
        <v>#N/A</v>
      </c>
      <c r="I431" s="3160" t="e">
        <v>#N/A</v>
      </c>
      <c r="J431" s="110" t="e">
        <v>#N/A</v>
      </c>
      <c r="K431" s="805" t="e">
        <v>#N/A</v>
      </c>
      <c r="L431" s="3160" t="e">
        <v>#N/A</v>
      </c>
      <c r="M431" s="891" t="e">
        <v>#N/A</v>
      </c>
      <c r="N431" s="1413" t="e">
        <f t="shared" si="6"/>
        <v>#N/A</v>
      </c>
      <c r="O431" s="3160" t="e">
        <v>#N/A</v>
      </c>
      <c r="P431" s="3160" t="e">
        <v>#N/A</v>
      </c>
      <c r="Q431" s="110" t="e">
        <v>#N/A</v>
      </c>
      <c r="R431" s="1324" t="e">
        <v>#N/A</v>
      </c>
    </row>
    <row r="432" spans="1:18">
      <c r="A432" s="63">
        <f t="shared" si="7"/>
        <v>2029.03</v>
      </c>
      <c r="B432" s="58" t="e">
        <v>#N/A</v>
      </c>
      <c r="C432" s="3160" t="e">
        <v>#N/A</v>
      </c>
      <c r="D432" s="110" t="e">
        <v>#N/A</v>
      </c>
      <c r="E432" s="805" t="e">
        <v>#N/A</v>
      </c>
      <c r="F432" s="3160" t="e">
        <v>#N/A</v>
      </c>
      <c r="G432" s="110" t="e">
        <v>#N/A</v>
      </c>
      <c r="H432" s="805" t="e">
        <v>#N/A</v>
      </c>
      <c r="I432" s="3160" t="e">
        <v>#N/A</v>
      </c>
      <c r="J432" s="110" t="e">
        <v>#N/A</v>
      </c>
      <c r="K432" s="805" t="e">
        <v>#N/A</v>
      </c>
      <c r="L432" s="3160" t="e">
        <v>#N/A</v>
      </c>
      <c r="M432" s="891" t="e">
        <v>#N/A</v>
      </c>
      <c r="N432" s="1413" t="e">
        <f t="shared" si="6"/>
        <v>#N/A</v>
      </c>
      <c r="O432" s="3160" t="e">
        <v>#N/A</v>
      </c>
      <c r="P432" s="3160" t="e">
        <v>#N/A</v>
      </c>
      <c r="Q432" s="110" t="e">
        <v>#N/A</v>
      </c>
      <c r="R432" s="1324" t="e">
        <v>#N/A</v>
      </c>
    </row>
    <row r="433" spans="1:18">
      <c r="A433" s="63">
        <f t="shared" si="7"/>
        <v>2029.04</v>
      </c>
      <c r="B433" s="58" t="e">
        <v>#N/A</v>
      </c>
      <c r="C433" s="3160" t="e">
        <v>#N/A</v>
      </c>
      <c r="D433" s="110" t="e">
        <v>#N/A</v>
      </c>
      <c r="E433" s="805" t="e">
        <v>#N/A</v>
      </c>
      <c r="F433" s="3160" t="e">
        <v>#N/A</v>
      </c>
      <c r="G433" s="110" t="e">
        <v>#N/A</v>
      </c>
      <c r="H433" s="805" t="e">
        <v>#N/A</v>
      </c>
      <c r="I433" s="3160" t="e">
        <v>#N/A</v>
      </c>
      <c r="J433" s="110" t="e">
        <v>#N/A</v>
      </c>
      <c r="K433" s="805" t="e">
        <v>#N/A</v>
      </c>
      <c r="L433" s="3160" t="e">
        <v>#N/A</v>
      </c>
      <c r="M433" s="891" t="e">
        <v>#N/A</v>
      </c>
      <c r="N433" s="1413" t="e">
        <f t="shared" si="6"/>
        <v>#N/A</v>
      </c>
      <c r="O433" s="3160" t="e">
        <v>#N/A</v>
      </c>
      <c r="P433" s="3160" t="e">
        <v>#N/A</v>
      </c>
      <c r="Q433" s="110" t="e">
        <v>#N/A</v>
      </c>
      <c r="R433" s="1324" t="e">
        <v>#N/A</v>
      </c>
    </row>
    <row r="434" spans="1:18">
      <c r="A434" s="63">
        <f t="shared" si="7"/>
        <v>2029.05</v>
      </c>
      <c r="B434" s="58" t="e">
        <v>#N/A</v>
      </c>
      <c r="C434" s="3160" t="e">
        <v>#N/A</v>
      </c>
      <c r="D434" s="110" t="e">
        <v>#N/A</v>
      </c>
      <c r="E434" s="805" t="e">
        <v>#N/A</v>
      </c>
      <c r="F434" s="3160" t="e">
        <v>#N/A</v>
      </c>
      <c r="G434" s="110" t="e">
        <v>#N/A</v>
      </c>
      <c r="H434" s="805" t="e">
        <v>#N/A</v>
      </c>
      <c r="I434" s="3160" t="e">
        <v>#N/A</v>
      </c>
      <c r="J434" s="110" t="e">
        <v>#N/A</v>
      </c>
      <c r="K434" s="805" t="e">
        <v>#N/A</v>
      </c>
      <c r="L434" s="3160" t="e">
        <v>#N/A</v>
      </c>
      <c r="M434" s="891" t="e">
        <v>#N/A</v>
      </c>
      <c r="N434" s="1413" t="e">
        <f t="shared" si="6"/>
        <v>#N/A</v>
      </c>
      <c r="O434" s="3160" t="e">
        <v>#N/A</v>
      </c>
      <c r="P434" s="3160" t="e">
        <v>#N/A</v>
      </c>
      <c r="Q434" s="110" t="e">
        <v>#N/A</v>
      </c>
      <c r="R434" s="1324" t="e">
        <v>#N/A</v>
      </c>
    </row>
    <row r="435" spans="1:18">
      <c r="A435" s="63">
        <f t="shared" si="7"/>
        <v>2029.06</v>
      </c>
      <c r="B435" s="58" t="e">
        <v>#N/A</v>
      </c>
      <c r="C435" s="3160" t="e">
        <v>#N/A</v>
      </c>
      <c r="D435" s="110" t="e">
        <v>#N/A</v>
      </c>
      <c r="E435" s="805" t="e">
        <v>#N/A</v>
      </c>
      <c r="F435" s="3160" t="e">
        <v>#N/A</v>
      </c>
      <c r="G435" s="110" t="e">
        <v>#N/A</v>
      </c>
      <c r="H435" s="805" t="e">
        <v>#N/A</v>
      </c>
      <c r="I435" s="3160" t="e">
        <v>#N/A</v>
      </c>
      <c r="J435" s="110" t="e">
        <v>#N/A</v>
      </c>
      <c r="K435" s="805" t="e">
        <v>#N/A</v>
      </c>
      <c r="L435" s="3160" t="e">
        <v>#N/A</v>
      </c>
      <c r="M435" s="891" t="e">
        <v>#N/A</v>
      </c>
      <c r="N435" s="1413" t="e">
        <f t="shared" si="6"/>
        <v>#N/A</v>
      </c>
      <c r="O435" s="3160" t="e">
        <v>#N/A</v>
      </c>
      <c r="P435" s="3160" t="e">
        <v>#N/A</v>
      </c>
      <c r="Q435" s="110" t="e">
        <v>#N/A</v>
      </c>
      <c r="R435" s="1324" t="e">
        <v>#N/A</v>
      </c>
    </row>
    <row r="436" spans="1:18">
      <c r="A436" s="63">
        <f t="shared" si="7"/>
        <v>2029.07</v>
      </c>
      <c r="B436" s="58" t="e">
        <v>#N/A</v>
      </c>
      <c r="C436" s="3160" t="e">
        <v>#N/A</v>
      </c>
      <c r="D436" s="110" t="e">
        <v>#N/A</v>
      </c>
      <c r="E436" s="805" t="e">
        <v>#N/A</v>
      </c>
      <c r="F436" s="3160" t="e">
        <v>#N/A</v>
      </c>
      <c r="G436" s="110" t="e">
        <v>#N/A</v>
      </c>
      <c r="H436" s="805" t="e">
        <v>#N/A</v>
      </c>
      <c r="I436" s="3160" t="e">
        <v>#N/A</v>
      </c>
      <c r="J436" s="110" t="e">
        <v>#N/A</v>
      </c>
      <c r="K436" s="805" t="e">
        <v>#N/A</v>
      </c>
      <c r="L436" s="3160" t="e">
        <v>#N/A</v>
      </c>
      <c r="M436" s="891" t="e">
        <v>#N/A</v>
      </c>
      <c r="N436" s="1413" t="e">
        <f t="shared" si="6"/>
        <v>#N/A</v>
      </c>
      <c r="O436" s="3160" t="e">
        <v>#N/A</v>
      </c>
      <c r="P436" s="3160" t="e">
        <v>#N/A</v>
      </c>
      <c r="Q436" s="110" t="e">
        <v>#N/A</v>
      </c>
      <c r="R436" s="1324" t="e">
        <v>#N/A</v>
      </c>
    </row>
    <row r="437" spans="1:18">
      <c r="A437" s="63">
        <f t="shared" si="7"/>
        <v>2029.08</v>
      </c>
      <c r="B437" s="58" t="e">
        <v>#N/A</v>
      </c>
      <c r="C437" s="3160" t="e">
        <v>#N/A</v>
      </c>
      <c r="D437" s="110" t="e">
        <v>#N/A</v>
      </c>
      <c r="E437" s="805" t="e">
        <v>#N/A</v>
      </c>
      <c r="F437" s="3160" t="e">
        <v>#N/A</v>
      </c>
      <c r="G437" s="110" t="e">
        <v>#N/A</v>
      </c>
      <c r="H437" s="805" t="e">
        <v>#N/A</v>
      </c>
      <c r="I437" s="3160" t="e">
        <v>#N/A</v>
      </c>
      <c r="J437" s="110" t="e">
        <v>#N/A</v>
      </c>
      <c r="K437" s="805" t="e">
        <v>#N/A</v>
      </c>
      <c r="L437" s="3160" t="e">
        <v>#N/A</v>
      </c>
      <c r="M437" s="891" t="e">
        <v>#N/A</v>
      </c>
      <c r="N437" s="1413" t="e">
        <f t="shared" si="6"/>
        <v>#N/A</v>
      </c>
      <c r="O437" s="3160" t="e">
        <v>#N/A</v>
      </c>
      <c r="P437" s="3160" t="e">
        <v>#N/A</v>
      </c>
      <c r="Q437" s="110" t="e">
        <v>#N/A</v>
      </c>
      <c r="R437" s="1324" t="e">
        <v>#N/A</v>
      </c>
    </row>
    <row r="438" spans="1:18">
      <c r="A438" s="63">
        <f t="shared" si="7"/>
        <v>2029.09</v>
      </c>
      <c r="B438" s="58" t="e">
        <v>#N/A</v>
      </c>
      <c r="C438" s="3160" t="e">
        <v>#N/A</v>
      </c>
      <c r="D438" s="110" t="e">
        <v>#N/A</v>
      </c>
      <c r="E438" s="805" t="e">
        <v>#N/A</v>
      </c>
      <c r="F438" s="3160" t="e">
        <v>#N/A</v>
      </c>
      <c r="G438" s="110" t="e">
        <v>#N/A</v>
      </c>
      <c r="H438" s="805" t="e">
        <v>#N/A</v>
      </c>
      <c r="I438" s="3160" t="e">
        <v>#N/A</v>
      </c>
      <c r="J438" s="110" t="e">
        <v>#N/A</v>
      </c>
      <c r="K438" s="805" t="e">
        <v>#N/A</v>
      </c>
      <c r="L438" s="3160" t="e">
        <v>#N/A</v>
      </c>
      <c r="M438" s="891" t="e">
        <v>#N/A</v>
      </c>
      <c r="N438" s="1413" t="e">
        <f t="shared" si="6"/>
        <v>#N/A</v>
      </c>
      <c r="O438" s="3160" t="e">
        <v>#N/A</v>
      </c>
      <c r="P438" s="3160" t="e">
        <v>#N/A</v>
      </c>
      <c r="Q438" s="110" t="e">
        <v>#N/A</v>
      </c>
      <c r="R438" s="1324" t="e">
        <v>#N/A</v>
      </c>
    </row>
    <row r="439" spans="1:18">
      <c r="A439" s="63">
        <f t="shared" si="7"/>
        <v>2029.1</v>
      </c>
      <c r="B439" s="58" t="e">
        <v>#N/A</v>
      </c>
      <c r="C439" s="3160" t="e">
        <v>#N/A</v>
      </c>
      <c r="D439" s="110" t="e">
        <v>#N/A</v>
      </c>
      <c r="E439" s="805" t="e">
        <v>#N/A</v>
      </c>
      <c r="F439" s="3160" t="e">
        <v>#N/A</v>
      </c>
      <c r="G439" s="110" t="e">
        <v>#N/A</v>
      </c>
      <c r="H439" s="805" t="e">
        <v>#N/A</v>
      </c>
      <c r="I439" s="3160" t="e">
        <v>#N/A</v>
      </c>
      <c r="J439" s="110" t="e">
        <v>#N/A</v>
      </c>
      <c r="K439" s="805" t="e">
        <v>#N/A</v>
      </c>
      <c r="L439" s="3160" t="e">
        <v>#N/A</v>
      </c>
      <c r="M439" s="891" t="e">
        <v>#N/A</v>
      </c>
      <c r="N439" s="1413" t="e">
        <f t="shared" si="6"/>
        <v>#N/A</v>
      </c>
      <c r="O439" s="3160" t="e">
        <v>#N/A</v>
      </c>
      <c r="P439" s="3160" t="e">
        <v>#N/A</v>
      </c>
      <c r="Q439" s="110" t="e">
        <v>#N/A</v>
      </c>
      <c r="R439" s="1324" t="e">
        <v>#N/A</v>
      </c>
    </row>
    <row r="440" spans="1:18">
      <c r="A440" s="63">
        <f t="shared" si="7"/>
        <v>2029.11</v>
      </c>
      <c r="B440" s="58" t="e">
        <v>#N/A</v>
      </c>
      <c r="C440" s="3160" t="e">
        <v>#N/A</v>
      </c>
      <c r="D440" s="110" t="e">
        <v>#N/A</v>
      </c>
      <c r="E440" s="805" t="e">
        <v>#N/A</v>
      </c>
      <c r="F440" s="3160" t="e">
        <v>#N/A</v>
      </c>
      <c r="G440" s="110" t="e">
        <v>#N/A</v>
      </c>
      <c r="H440" s="805" t="e">
        <v>#N/A</v>
      </c>
      <c r="I440" s="3160" t="e">
        <v>#N/A</v>
      </c>
      <c r="J440" s="110" t="e">
        <v>#N/A</v>
      </c>
      <c r="K440" s="805" t="e">
        <v>#N/A</v>
      </c>
      <c r="L440" s="3160" t="e">
        <v>#N/A</v>
      </c>
      <c r="M440" s="891" t="e">
        <v>#N/A</v>
      </c>
      <c r="N440" s="1413" t="e">
        <f t="shared" si="6"/>
        <v>#N/A</v>
      </c>
      <c r="O440" s="3160" t="e">
        <v>#N/A</v>
      </c>
      <c r="P440" s="3160" t="e">
        <v>#N/A</v>
      </c>
      <c r="Q440" s="110" t="e">
        <v>#N/A</v>
      </c>
      <c r="R440" s="1324" t="e">
        <v>#N/A</v>
      </c>
    </row>
    <row r="441" spans="1:18">
      <c r="A441" s="63">
        <f t="shared" si="7"/>
        <v>2029.12</v>
      </c>
      <c r="B441" s="58" t="e">
        <v>#N/A</v>
      </c>
      <c r="C441" s="3160" t="e">
        <v>#N/A</v>
      </c>
      <c r="D441" s="110" t="e">
        <v>#N/A</v>
      </c>
      <c r="E441" s="805" t="e">
        <v>#N/A</v>
      </c>
      <c r="F441" s="3160" t="e">
        <v>#N/A</v>
      </c>
      <c r="G441" s="110" t="e">
        <v>#N/A</v>
      </c>
      <c r="H441" s="805" t="e">
        <v>#N/A</v>
      </c>
      <c r="I441" s="3160" t="e">
        <v>#N/A</v>
      </c>
      <c r="J441" s="110" t="e">
        <v>#N/A</v>
      </c>
      <c r="K441" s="805" t="e">
        <v>#N/A</v>
      </c>
      <c r="L441" s="3160" t="e">
        <v>#N/A</v>
      </c>
      <c r="M441" s="891" t="e">
        <v>#N/A</v>
      </c>
      <c r="N441" s="1413" t="e">
        <f t="shared" si="6"/>
        <v>#N/A</v>
      </c>
      <c r="O441" s="3160" t="e">
        <v>#N/A</v>
      </c>
      <c r="P441" s="3160" t="e">
        <v>#N/A</v>
      </c>
      <c r="Q441" s="110" t="e">
        <v>#N/A</v>
      </c>
      <c r="R441" s="1324" t="e">
        <v>#N/A</v>
      </c>
    </row>
    <row r="442" spans="1:18">
      <c r="A442" s="63">
        <f t="shared" si="7"/>
        <v>2030.01</v>
      </c>
      <c r="B442" s="58" t="e">
        <v>#N/A</v>
      </c>
      <c r="C442" s="3160" t="e">
        <v>#N/A</v>
      </c>
      <c r="D442" s="110" t="e">
        <v>#N/A</v>
      </c>
      <c r="E442" s="805" t="e">
        <v>#N/A</v>
      </c>
      <c r="F442" s="3160" t="e">
        <v>#N/A</v>
      </c>
      <c r="G442" s="110" t="e">
        <v>#N/A</v>
      </c>
      <c r="H442" s="805" t="e">
        <v>#N/A</v>
      </c>
      <c r="I442" s="3160" t="e">
        <v>#N/A</v>
      </c>
      <c r="J442" s="110" t="e">
        <v>#N/A</v>
      </c>
      <c r="K442" s="805" t="e">
        <v>#N/A</v>
      </c>
      <c r="L442" s="3160" t="e">
        <v>#N/A</v>
      </c>
      <c r="M442" s="891" t="e">
        <v>#N/A</v>
      </c>
      <c r="N442" s="1413" t="e">
        <f t="shared" si="6"/>
        <v>#N/A</v>
      </c>
      <c r="O442" s="3160" t="e">
        <v>#N/A</v>
      </c>
      <c r="P442" s="3160" t="e">
        <v>#N/A</v>
      </c>
      <c r="Q442" s="110" t="e">
        <v>#N/A</v>
      </c>
      <c r="R442" s="1324" t="e">
        <v>#N/A</v>
      </c>
    </row>
    <row r="443" spans="1:18">
      <c r="A443" s="63">
        <f t="shared" si="7"/>
        <v>2030.02</v>
      </c>
      <c r="B443" s="58" t="e">
        <v>#N/A</v>
      </c>
      <c r="C443" s="3160" t="e">
        <v>#N/A</v>
      </c>
      <c r="D443" s="110" t="e">
        <v>#N/A</v>
      </c>
      <c r="E443" s="805" t="e">
        <v>#N/A</v>
      </c>
      <c r="F443" s="3160" t="e">
        <v>#N/A</v>
      </c>
      <c r="G443" s="110" t="e">
        <v>#N/A</v>
      </c>
      <c r="H443" s="805" t="e">
        <v>#N/A</v>
      </c>
      <c r="I443" s="3160" t="e">
        <v>#N/A</v>
      </c>
      <c r="J443" s="110" t="e">
        <v>#N/A</v>
      </c>
      <c r="K443" s="805" t="e">
        <v>#N/A</v>
      </c>
      <c r="L443" s="3160" t="e">
        <v>#N/A</v>
      </c>
      <c r="M443" s="891" t="e">
        <v>#N/A</v>
      </c>
      <c r="N443" s="1413" t="e">
        <f t="shared" ref="N443:N453" si="8">SUM(O443:Q443)</f>
        <v>#N/A</v>
      </c>
      <c r="O443" s="3160" t="e">
        <v>#N/A</v>
      </c>
      <c r="P443" s="3160" t="e">
        <v>#N/A</v>
      </c>
      <c r="Q443" s="110" t="e">
        <v>#N/A</v>
      </c>
      <c r="R443" s="1324" t="e">
        <v>#N/A</v>
      </c>
    </row>
    <row r="444" spans="1:18">
      <c r="A444" s="63">
        <f t="shared" si="7"/>
        <v>2030.03</v>
      </c>
      <c r="B444" s="58" t="e">
        <v>#N/A</v>
      </c>
      <c r="C444" s="3160" t="e">
        <v>#N/A</v>
      </c>
      <c r="D444" s="110" t="e">
        <v>#N/A</v>
      </c>
      <c r="E444" s="805" t="e">
        <v>#N/A</v>
      </c>
      <c r="F444" s="3160" t="e">
        <v>#N/A</v>
      </c>
      <c r="G444" s="110" t="e">
        <v>#N/A</v>
      </c>
      <c r="H444" s="805" t="e">
        <v>#N/A</v>
      </c>
      <c r="I444" s="3160" t="e">
        <v>#N/A</v>
      </c>
      <c r="J444" s="110" t="e">
        <v>#N/A</v>
      </c>
      <c r="K444" s="805" t="e">
        <v>#N/A</v>
      </c>
      <c r="L444" s="3160" t="e">
        <v>#N/A</v>
      </c>
      <c r="M444" s="891" t="e">
        <v>#N/A</v>
      </c>
      <c r="N444" s="1413" t="e">
        <f t="shared" si="8"/>
        <v>#N/A</v>
      </c>
      <c r="O444" s="3160" t="e">
        <v>#N/A</v>
      </c>
      <c r="P444" s="3160" t="e">
        <v>#N/A</v>
      </c>
      <c r="Q444" s="110" t="e">
        <v>#N/A</v>
      </c>
      <c r="R444" s="1324" t="e">
        <v>#N/A</v>
      </c>
    </row>
    <row r="445" spans="1:18">
      <c r="A445" s="63">
        <f t="shared" si="7"/>
        <v>2030.04</v>
      </c>
      <c r="B445" s="58" t="e">
        <v>#N/A</v>
      </c>
      <c r="C445" s="3160" t="e">
        <v>#N/A</v>
      </c>
      <c r="D445" s="110" t="e">
        <v>#N/A</v>
      </c>
      <c r="E445" s="805" t="e">
        <v>#N/A</v>
      </c>
      <c r="F445" s="3160" t="e">
        <v>#N/A</v>
      </c>
      <c r="G445" s="110" t="e">
        <v>#N/A</v>
      </c>
      <c r="H445" s="805" t="e">
        <v>#N/A</v>
      </c>
      <c r="I445" s="3160" t="e">
        <v>#N/A</v>
      </c>
      <c r="J445" s="110" t="e">
        <v>#N/A</v>
      </c>
      <c r="K445" s="805" t="e">
        <v>#N/A</v>
      </c>
      <c r="L445" s="3160" t="e">
        <v>#N/A</v>
      </c>
      <c r="M445" s="891" t="e">
        <v>#N/A</v>
      </c>
      <c r="N445" s="1413" t="e">
        <f t="shared" si="8"/>
        <v>#N/A</v>
      </c>
      <c r="O445" s="3160" t="e">
        <v>#N/A</v>
      </c>
      <c r="P445" s="3160" t="e">
        <v>#N/A</v>
      </c>
      <c r="Q445" s="110" t="e">
        <v>#N/A</v>
      </c>
      <c r="R445" s="1324" t="e">
        <v>#N/A</v>
      </c>
    </row>
    <row r="446" spans="1:18">
      <c r="A446" s="63">
        <f t="shared" si="7"/>
        <v>2030.05</v>
      </c>
      <c r="B446" s="58" t="e">
        <v>#N/A</v>
      </c>
      <c r="C446" s="3160" t="e">
        <v>#N/A</v>
      </c>
      <c r="D446" s="110" t="e">
        <v>#N/A</v>
      </c>
      <c r="E446" s="805" t="e">
        <v>#N/A</v>
      </c>
      <c r="F446" s="3160" t="e">
        <v>#N/A</v>
      </c>
      <c r="G446" s="110" t="e">
        <v>#N/A</v>
      </c>
      <c r="H446" s="805" t="e">
        <v>#N/A</v>
      </c>
      <c r="I446" s="3160" t="e">
        <v>#N/A</v>
      </c>
      <c r="J446" s="110" t="e">
        <v>#N/A</v>
      </c>
      <c r="K446" s="805" t="e">
        <v>#N/A</v>
      </c>
      <c r="L446" s="3160" t="e">
        <v>#N/A</v>
      </c>
      <c r="M446" s="891" t="e">
        <v>#N/A</v>
      </c>
      <c r="N446" s="1413" t="e">
        <f t="shared" si="8"/>
        <v>#N/A</v>
      </c>
      <c r="O446" s="3160" t="e">
        <v>#N/A</v>
      </c>
      <c r="P446" s="3160" t="e">
        <v>#N/A</v>
      </c>
      <c r="Q446" s="110" t="e">
        <v>#N/A</v>
      </c>
      <c r="R446" s="1324" t="e">
        <v>#N/A</v>
      </c>
    </row>
    <row r="447" spans="1:18">
      <c r="A447" s="63">
        <f t="shared" si="7"/>
        <v>2030.06</v>
      </c>
      <c r="B447" s="58" t="e">
        <v>#N/A</v>
      </c>
      <c r="C447" s="3160" t="e">
        <v>#N/A</v>
      </c>
      <c r="D447" s="110" t="e">
        <v>#N/A</v>
      </c>
      <c r="E447" s="805" t="e">
        <v>#N/A</v>
      </c>
      <c r="F447" s="3160" t="e">
        <v>#N/A</v>
      </c>
      <c r="G447" s="110" t="e">
        <v>#N/A</v>
      </c>
      <c r="H447" s="805" t="e">
        <v>#N/A</v>
      </c>
      <c r="I447" s="3160" t="e">
        <v>#N/A</v>
      </c>
      <c r="J447" s="110" t="e">
        <v>#N/A</v>
      </c>
      <c r="K447" s="805" t="e">
        <v>#N/A</v>
      </c>
      <c r="L447" s="3160" t="e">
        <v>#N/A</v>
      </c>
      <c r="M447" s="891" t="e">
        <v>#N/A</v>
      </c>
      <c r="N447" s="1413" t="e">
        <f t="shared" si="8"/>
        <v>#N/A</v>
      </c>
      <c r="O447" s="3160" t="e">
        <v>#N/A</v>
      </c>
      <c r="P447" s="3160" t="e">
        <v>#N/A</v>
      </c>
      <c r="Q447" s="110" t="e">
        <v>#N/A</v>
      </c>
      <c r="R447" s="1324" t="e">
        <v>#N/A</v>
      </c>
    </row>
    <row r="448" spans="1:18">
      <c r="A448" s="63">
        <f t="shared" si="7"/>
        <v>2030.07</v>
      </c>
      <c r="B448" s="58" t="e">
        <v>#N/A</v>
      </c>
      <c r="C448" s="3160" t="e">
        <v>#N/A</v>
      </c>
      <c r="D448" s="110" t="e">
        <v>#N/A</v>
      </c>
      <c r="E448" s="805" t="e">
        <v>#N/A</v>
      </c>
      <c r="F448" s="3160" t="e">
        <v>#N/A</v>
      </c>
      <c r="G448" s="110" t="e">
        <v>#N/A</v>
      </c>
      <c r="H448" s="805" t="e">
        <v>#N/A</v>
      </c>
      <c r="I448" s="3160" t="e">
        <v>#N/A</v>
      </c>
      <c r="J448" s="110" t="e">
        <v>#N/A</v>
      </c>
      <c r="K448" s="805" t="e">
        <v>#N/A</v>
      </c>
      <c r="L448" s="3160" t="e">
        <v>#N/A</v>
      </c>
      <c r="M448" s="891" t="e">
        <v>#N/A</v>
      </c>
      <c r="N448" s="1413" t="e">
        <f t="shared" si="8"/>
        <v>#N/A</v>
      </c>
      <c r="O448" s="3160" t="e">
        <v>#N/A</v>
      </c>
      <c r="P448" s="3160" t="e">
        <v>#N/A</v>
      </c>
      <c r="Q448" s="110" t="e">
        <v>#N/A</v>
      </c>
      <c r="R448" s="1324" t="e">
        <v>#N/A</v>
      </c>
    </row>
    <row r="449" spans="1:18">
      <c r="A449" s="63">
        <f t="shared" si="7"/>
        <v>2030.08</v>
      </c>
      <c r="B449" s="58" t="e">
        <v>#N/A</v>
      </c>
      <c r="C449" s="3160" t="e">
        <v>#N/A</v>
      </c>
      <c r="D449" s="110" t="e">
        <v>#N/A</v>
      </c>
      <c r="E449" s="805" t="e">
        <v>#N/A</v>
      </c>
      <c r="F449" s="3160" t="e">
        <v>#N/A</v>
      </c>
      <c r="G449" s="110" t="e">
        <v>#N/A</v>
      </c>
      <c r="H449" s="805" t="e">
        <v>#N/A</v>
      </c>
      <c r="I449" s="3160" t="e">
        <v>#N/A</v>
      </c>
      <c r="J449" s="110" t="e">
        <v>#N/A</v>
      </c>
      <c r="K449" s="805" t="e">
        <v>#N/A</v>
      </c>
      <c r="L449" s="3160" t="e">
        <v>#N/A</v>
      </c>
      <c r="M449" s="891" t="e">
        <v>#N/A</v>
      </c>
      <c r="N449" s="1413" t="e">
        <f t="shared" si="8"/>
        <v>#N/A</v>
      </c>
      <c r="O449" s="3160" t="e">
        <v>#N/A</v>
      </c>
      <c r="P449" s="3160" t="e">
        <v>#N/A</v>
      </c>
      <c r="Q449" s="110" t="e">
        <v>#N/A</v>
      </c>
      <c r="R449" s="1324" t="e">
        <v>#N/A</v>
      </c>
    </row>
    <row r="450" spans="1:18">
      <c r="A450" s="63">
        <f t="shared" si="7"/>
        <v>2030.09</v>
      </c>
      <c r="B450" s="58" t="e">
        <v>#N/A</v>
      </c>
      <c r="C450" s="3160" t="e">
        <v>#N/A</v>
      </c>
      <c r="D450" s="110" t="e">
        <v>#N/A</v>
      </c>
      <c r="E450" s="805" t="e">
        <v>#N/A</v>
      </c>
      <c r="F450" s="3160" t="e">
        <v>#N/A</v>
      </c>
      <c r="G450" s="110" t="e">
        <v>#N/A</v>
      </c>
      <c r="H450" s="805" t="e">
        <v>#N/A</v>
      </c>
      <c r="I450" s="3160" t="e">
        <v>#N/A</v>
      </c>
      <c r="J450" s="110" t="e">
        <v>#N/A</v>
      </c>
      <c r="K450" s="805" t="e">
        <v>#N/A</v>
      </c>
      <c r="L450" s="3160" t="e">
        <v>#N/A</v>
      </c>
      <c r="M450" s="891" t="e">
        <v>#N/A</v>
      </c>
      <c r="N450" s="1413" t="e">
        <f t="shared" si="8"/>
        <v>#N/A</v>
      </c>
      <c r="O450" s="3160" t="e">
        <v>#N/A</v>
      </c>
      <c r="P450" s="3160" t="e">
        <v>#N/A</v>
      </c>
      <c r="Q450" s="110" t="e">
        <v>#N/A</v>
      </c>
      <c r="R450" s="1324" t="e">
        <v>#N/A</v>
      </c>
    </row>
    <row r="451" spans="1:18">
      <c r="A451" s="63">
        <f t="shared" si="7"/>
        <v>2030.1</v>
      </c>
      <c r="B451" s="58" t="e">
        <v>#N/A</v>
      </c>
      <c r="C451" s="3160" t="e">
        <v>#N/A</v>
      </c>
      <c r="D451" s="110" t="e">
        <v>#N/A</v>
      </c>
      <c r="E451" s="805" t="e">
        <v>#N/A</v>
      </c>
      <c r="F451" s="3160" t="e">
        <v>#N/A</v>
      </c>
      <c r="G451" s="110" t="e">
        <v>#N/A</v>
      </c>
      <c r="H451" s="805" t="e">
        <v>#N/A</v>
      </c>
      <c r="I451" s="3160" t="e">
        <v>#N/A</v>
      </c>
      <c r="J451" s="110" t="e">
        <v>#N/A</v>
      </c>
      <c r="K451" s="805" t="e">
        <v>#N/A</v>
      </c>
      <c r="L451" s="3160" t="e">
        <v>#N/A</v>
      </c>
      <c r="M451" s="891" t="e">
        <v>#N/A</v>
      </c>
      <c r="N451" s="1413" t="e">
        <f t="shared" si="8"/>
        <v>#N/A</v>
      </c>
      <c r="O451" s="3160" t="e">
        <v>#N/A</v>
      </c>
      <c r="P451" s="3160" t="e">
        <v>#N/A</v>
      </c>
      <c r="Q451" s="110" t="e">
        <v>#N/A</v>
      </c>
      <c r="R451" s="1324" t="e">
        <v>#N/A</v>
      </c>
    </row>
    <row r="452" spans="1:18">
      <c r="A452" s="63">
        <f t="shared" si="7"/>
        <v>2030.11</v>
      </c>
      <c r="B452" s="58" t="e">
        <v>#N/A</v>
      </c>
      <c r="C452" s="3160" t="e">
        <v>#N/A</v>
      </c>
      <c r="D452" s="110" t="e">
        <v>#N/A</v>
      </c>
      <c r="E452" s="805" t="e">
        <v>#N/A</v>
      </c>
      <c r="F452" s="3160" t="e">
        <v>#N/A</v>
      </c>
      <c r="G452" s="110" t="e">
        <v>#N/A</v>
      </c>
      <c r="H452" s="805" t="e">
        <v>#N/A</v>
      </c>
      <c r="I452" s="3160" t="e">
        <v>#N/A</v>
      </c>
      <c r="J452" s="110" t="e">
        <v>#N/A</v>
      </c>
      <c r="K452" s="805" t="e">
        <v>#N/A</v>
      </c>
      <c r="L452" s="3160" t="e">
        <v>#N/A</v>
      </c>
      <c r="M452" s="891" t="e">
        <v>#N/A</v>
      </c>
      <c r="N452" s="1413" t="e">
        <f t="shared" si="8"/>
        <v>#N/A</v>
      </c>
      <c r="O452" s="3160" t="e">
        <v>#N/A</v>
      </c>
      <c r="P452" s="3160" t="e">
        <v>#N/A</v>
      </c>
      <c r="Q452" s="110" t="e">
        <v>#N/A</v>
      </c>
      <c r="R452" s="1324" t="e">
        <v>#N/A</v>
      </c>
    </row>
    <row r="453" spans="1:18">
      <c r="A453" s="63">
        <f t="shared" si="7"/>
        <v>2030.12</v>
      </c>
      <c r="B453" s="58" t="e">
        <v>#N/A</v>
      </c>
      <c r="C453" s="3160" t="e">
        <v>#N/A</v>
      </c>
      <c r="D453" s="110" t="e">
        <v>#N/A</v>
      </c>
      <c r="E453" s="805" t="e">
        <v>#N/A</v>
      </c>
      <c r="F453" s="3160" t="e">
        <v>#N/A</v>
      </c>
      <c r="G453" s="110" t="e">
        <v>#N/A</v>
      </c>
      <c r="H453" s="805" t="e">
        <v>#N/A</v>
      </c>
      <c r="I453" s="3160" t="e">
        <v>#N/A</v>
      </c>
      <c r="J453" s="110" t="e">
        <v>#N/A</v>
      </c>
      <c r="K453" s="805" t="e">
        <v>#N/A</v>
      </c>
      <c r="L453" s="3160" t="e">
        <v>#N/A</v>
      </c>
      <c r="M453" s="891" t="e">
        <v>#N/A</v>
      </c>
      <c r="N453" s="1413" t="e">
        <f t="shared" si="8"/>
        <v>#N/A</v>
      </c>
      <c r="O453" s="3160" t="e">
        <v>#N/A</v>
      </c>
      <c r="P453" s="3160" t="e">
        <v>#N/A</v>
      </c>
      <c r="Q453" s="110" t="e">
        <v>#N/A</v>
      </c>
      <c r="R453" s="1324" t="e">
        <v>#N/A</v>
      </c>
    </row>
  </sheetData>
  <phoneticPr fontId="0" type="noConversion"/>
  <hyperlinks>
    <hyperlink ref="A5" location="INDICE!A13" display="VOLVER AL INDICE" xr:uid="{00000000-0004-0000-1A00-000000000000}"/>
  </hyperlinks>
  <pageMargins left="0.75" right="0.75" top="1" bottom="1" header="0" footer="0"/>
  <pageSetup paperSize="9" orientation="portrait" horizontalDpi="300" verticalDpi="30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52"/>
  <dimension ref="A1:P333"/>
  <sheetViews>
    <sheetView zoomScale="130" zoomScaleNormal="130" workbookViewId="0">
      <pane xSplit="1" ySplit="9" topLeftCell="I91"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42578125" style="24" bestFit="1" customWidth="1"/>
    <col min="2" max="9" width="13.42578125" style="1150" customWidth="1"/>
    <col min="10" max="13" width="11.42578125" style="1150"/>
    <col min="14" max="16384" width="11.42578125" style="347"/>
  </cols>
  <sheetData>
    <row r="1" spans="1:13" ht="5.25" customHeight="1">
      <c r="A1" s="3161"/>
      <c r="B1" s="347"/>
      <c r="C1" s="347"/>
      <c r="D1" s="347"/>
      <c r="E1" s="2014"/>
      <c r="F1" s="347"/>
      <c r="G1" s="347"/>
      <c r="H1" s="347"/>
      <c r="I1" s="361"/>
      <c r="J1" s="347"/>
      <c r="K1" s="347"/>
      <c r="L1" s="347"/>
      <c r="M1" s="356"/>
    </row>
    <row r="2" spans="1:13" ht="40.15" customHeight="1">
      <c r="A2" s="94" t="s">
        <v>105</v>
      </c>
      <c r="B2" s="365" t="s">
        <v>883</v>
      </c>
      <c r="C2" s="2015"/>
      <c r="D2" s="2439"/>
      <c r="E2" s="1958" t="s">
        <v>884</v>
      </c>
      <c r="F2" s="1958"/>
      <c r="G2" s="1958"/>
      <c r="H2" s="2016"/>
      <c r="I2" s="2016"/>
      <c r="J2" s="352" t="s">
        <v>885</v>
      </c>
      <c r="K2" s="2017"/>
      <c r="L2" s="2017"/>
      <c r="M2" s="2018"/>
    </row>
    <row r="3" spans="1:13">
      <c r="A3" s="94" t="s">
        <v>212</v>
      </c>
      <c r="B3" s="352" t="s">
        <v>886</v>
      </c>
      <c r="C3" s="2015"/>
      <c r="D3" s="2439"/>
      <c r="E3" s="2015"/>
      <c r="F3" s="2015"/>
      <c r="G3" s="2015"/>
      <c r="H3" s="2016"/>
      <c r="I3" s="2016"/>
      <c r="J3" s="352" t="s">
        <v>887</v>
      </c>
      <c r="K3" s="2019"/>
      <c r="L3" s="2019"/>
      <c r="M3" s="2020"/>
    </row>
    <row r="4" spans="1:13" ht="5.25" hidden="1" customHeight="1">
      <c r="A4" s="95"/>
      <c r="B4" s="357"/>
      <c r="C4" s="358"/>
      <c r="D4" s="358"/>
      <c r="E4" s="2381"/>
      <c r="F4" s="358"/>
      <c r="G4" s="358"/>
      <c r="H4" s="358"/>
      <c r="I4" s="362"/>
      <c r="J4" s="359"/>
      <c r="K4" s="358"/>
      <c r="L4" s="358"/>
      <c r="M4" s="360"/>
    </row>
    <row r="5" spans="1:13" ht="22.5">
      <c r="A5" s="2390" t="s">
        <v>137</v>
      </c>
      <c r="B5" s="811" t="s">
        <v>888</v>
      </c>
      <c r="C5" s="814" t="s">
        <v>889</v>
      </c>
      <c r="D5" s="811" t="s">
        <v>890</v>
      </c>
      <c r="E5" s="2440" t="s">
        <v>891</v>
      </c>
      <c r="F5" s="814" t="s">
        <v>892</v>
      </c>
      <c r="G5" s="811" t="s">
        <v>893</v>
      </c>
      <c r="H5" s="814" t="s">
        <v>894</v>
      </c>
      <c r="I5" s="353" t="s">
        <v>890</v>
      </c>
      <c r="J5" s="819" t="s">
        <v>893</v>
      </c>
      <c r="K5" s="822" t="s">
        <v>891</v>
      </c>
      <c r="L5" s="822" t="s">
        <v>892</v>
      </c>
      <c r="M5" s="823" t="s">
        <v>894</v>
      </c>
    </row>
    <row r="6" spans="1:13" ht="6.75" hidden="1" customHeight="1">
      <c r="A6" s="95"/>
      <c r="B6" s="350"/>
      <c r="C6" s="815"/>
      <c r="D6" s="350"/>
      <c r="E6" s="2441"/>
      <c r="F6" s="815"/>
      <c r="G6" s="350"/>
      <c r="H6" s="815"/>
      <c r="I6" s="363"/>
      <c r="J6" s="350"/>
      <c r="K6" s="815"/>
      <c r="L6" s="815"/>
      <c r="M6" s="351"/>
    </row>
    <row r="7" spans="1:13" ht="22.5">
      <c r="A7" s="94" t="s">
        <v>123</v>
      </c>
      <c r="B7" s="811" t="s">
        <v>895</v>
      </c>
      <c r="C7" s="814" t="s">
        <v>895</v>
      </c>
      <c r="D7" s="811" t="s">
        <v>895</v>
      </c>
      <c r="E7" s="2440" t="s">
        <v>299</v>
      </c>
      <c r="F7" s="814" t="s">
        <v>299</v>
      </c>
      <c r="G7" s="811" t="s">
        <v>299</v>
      </c>
      <c r="H7" s="814" t="s">
        <v>299</v>
      </c>
      <c r="I7" s="353" t="s">
        <v>299</v>
      </c>
      <c r="J7" s="811" t="s">
        <v>895</v>
      </c>
      <c r="K7" s="814" t="s">
        <v>895</v>
      </c>
      <c r="L7" s="814" t="s">
        <v>895</v>
      </c>
      <c r="M7" s="824" t="s">
        <v>895</v>
      </c>
    </row>
    <row r="8" spans="1:13" ht="13.5" thickBot="1">
      <c r="A8" s="100" t="s">
        <v>141</v>
      </c>
      <c r="B8" s="150" t="s">
        <v>896</v>
      </c>
      <c r="C8" s="639" t="s">
        <v>897</v>
      </c>
      <c r="D8" s="150" t="s">
        <v>898</v>
      </c>
      <c r="E8" s="2400" t="s">
        <v>899</v>
      </c>
      <c r="F8" s="639" t="s">
        <v>900</v>
      </c>
      <c r="G8" s="150" t="s">
        <v>901</v>
      </c>
      <c r="H8" s="639" t="s">
        <v>902</v>
      </c>
      <c r="I8" s="149" t="s">
        <v>903</v>
      </c>
      <c r="J8" s="2400" t="s">
        <v>904</v>
      </c>
      <c r="K8" s="639" t="s">
        <v>905</v>
      </c>
      <c r="L8" s="639" t="s">
        <v>906</v>
      </c>
      <c r="M8" s="148" t="s">
        <v>907</v>
      </c>
    </row>
    <row r="9" spans="1:13" ht="13.5" hidden="1" thickBot="1">
      <c r="A9" s="2819"/>
      <c r="B9" s="2820"/>
      <c r="C9" s="2821"/>
      <c r="D9" s="2820"/>
      <c r="E9" s="2822"/>
      <c r="F9" s="2821"/>
      <c r="G9" s="2820"/>
      <c r="H9" s="2821"/>
      <c r="I9" s="2823"/>
      <c r="J9" s="2820"/>
      <c r="K9" s="2821"/>
      <c r="L9" s="2821"/>
      <c r="M9" s="2824"/>
    </row>
    <row r="10" spans="1:13">
      <c r="A10" s="2825">
        <v>2002.1</v>
      </c>
      <c r="B10" s="179">
        <v>858</v>
      </c>
      <c r="C10" s="889">
        <v>101</v>
      </c>
      <c r="D10" s="2826">
        <f t="shared" ref="D10:D41" si="0">B10+C10</f>
        <v>959</v>
      </c>
      <c r="E10" s="2827">
        <v>11.3</v>
      </c>
      <c r="F10" s="2828">
        <v>5</v>
      </c>
      <c r="G10" s="2829">
        <v>10.5</v>
      </c>
      <c r="H10" s="2828">
        <v>14.4</v>
      </c>
      <c r="I10" s="2830">
        <v>41.1</v>
      </c>
      <c r="J10" s="2831"/>
      <c r="K10" s="2832"/>
      <c r="L10" s="2832"/>
      <c r="M10" s="2833"/>
    </row>
    <row r="11" spans="1:13">
      <c r="A11" s="2021">
        <v>2002.2</v>
      </c>
      <c r="B11" s="180">
        <v>1408</v>
      </c>
      <c r="C11" s="3162">
        <v>305</v>
      </c>
      <c r="D11" s="812">
        <f t="shared" si="0"/>
        <v>1713</v>
      </c>
      <c r="E11" s="567">
        <v>38.5</v>
      </c>
      <c r="F11" s="3163">
        <v>17.3</v>
      </c>
      <c r="G11" s="567">
        <v>39.6</v>
      </c>
      <c r="H11" s="3163">
        <v>18.3</v>
      </c>
      <c r="I11" s="817">
        <v>113.69999999999999</v>
      </c>
      <c r="J11" s="820"/>
      <c r="K11" s="3164"/>
      <c r="L11" s="3164"/>
      <c r="M11" s="825"/>
    </row>
    <row r="12" spans="1:13">
      <c r="A12" s="2021">
        <v>2002.3</v>
      </c>
      <c r="B12" s="180">
        <v>2381</v>
      </c>
      <c r="C12" s="3162">
        <v>437</v>
      </c>
      <c r="D12" s="812">
        <f t="shared" si="0"/>
        <v>2818</v>
      </c>
      <c r="E12" s="569">
        <v>42.7</v>
      </c>
      <c r="F12" s="3163">
        <v>40</v>
      </c>
      <c r="G12" s="567">
        <v>77.599999999999994</v>
      </c>
      <c r="H12" s="3163">
        <v>26.3</v>
      </c>
      <c r="I12" s="817">
        <v>186.6</v>
      </c>
      <c r="J12" s="820"/>
      <c r="K12" s="3164"/>
      <c r="L12" s="3164"/>
      <c r="M12" s="825"/>
    </row>
    <row r="13" spans="1:13">
      <c r="A13" s="2021">
        <v>2002.4</v>
      </c>
      <c r="B13" s="180">
        <v>3160</v>
      </c>
      <c r="C13" s="3162">
        <v>779</v>
      </c>
      <c r="D13" s="812">
        <f t="shared" si="0"/>
        <v>3939</v>
      </c>
      <c r="E13" s="569">
        <v>86.7</v>
      </c>
      <c r="F13" s="3163">
        <v>50.2</v>
      </c>
      <c r="G13" s="567">
        <v>83.4</v>
      </c>
      <c r="H13" s="3163">
        <v>51.6</v>
      </c>
      <c r="I13" s="817">
        <v>271.89999999999998</v>
      </c>
      <c r="J13" s="820"/>
      <c r="K13" s="3164"/>
      <c r="L13" s="3164"/>
      <c r="M13" s="825"/>
    </row>
    <row r="14" spans="1:13">
      <c r="A14" s="2021">
        <f>A10+1</f>
        <v>2003.1</v>
      </c>
      <c r="B14" s="180">
        <v>1939</v>
      </c>
      <c r="C14" s="3162">
        <v>1025</v>
      </c>
      <c r="D14" s="812">
        <f t="shared" si="0"/>
        <v>2964</v>
      </c>
      <c r="E14" s="569">
        <v>146.19999999999999</v>
      </c>
      <c r="F14" s="3163">
        <v>32.4</v>
      </c>
      <c r="G14" s="567">
        <v>48.1</v>
      </c>
      <c r="H14" s="3163">
        <v>42.8</v>
      </c>
      <c r="I14" s="817">
        <v>269.5</v>
      </c>
      <c r="J14" s="820"/>
      <c r="K14" s="3164"/>
      <c r="L14" s="3164"/>
      <c r="M14" s="825"/>
    </row>
    <row r="15" spans="1:13">
      <c r="A15" s="2021">
        <f t="shared" ref="A15:A78" si="1">A11+1</f>
        <v>2003.2</v>
      </c>
      <c r="B15" s="180">
        <v>2685</v>
      </c>
      <c r="C15" s="3162">
        <v>1296</v>
      </c>
      <c r="D15" s="812">
        <f t="shared" si="0"/>
        <v>3981</v>
      </c>
      <c r="E15" s="569">
        <v>133.5</v>
      </c>
      <c r="F15" s="3163">
        <v>72.8</v>
      </c>
      <c r="G15" s="567">
        <v>97.6</v>
      </c>
      <c r="H15" s="3163">
        <v>43.5</v>
      </c>
      <c r="I15" s="817">
        <v>347.4</v>
      </c>
      <c r="J15" s="820"/>
      <c r="K15" s="3164"/>
      <c r="L15" s="3164"/>
      <c r="M15" s="825"/>
    </row>
    <row r="16" spans="1:13">
      <c r="A16" s="2021">
        <f t="shared" si="1"/>
        <v>2003.3</v>
      </c>
      <c r="B16" s="180">
        <v>3232</v>
      </c>
      <c r="C16" s="3162">
        <v>2002</v>
      </c>
      <c r="D16" s="812">
        <f t="shared" si="0"/>
        <v>5234</v>
      </c>
      <c r="E16" s="569">
        <v>143.5</v>
      </c>
      <c r="F16" s="3163">
        <v>140.6</v>
      </c>
      <c r="G16" s="567">
        <v>124.1</v>
      </c>
      <c r="H16" s="3163">
        <v>51.3</v>
      </c>
      <c r="I16" s="817">
        <v>459.5</v>
      </c>
      <c r="J16" s="820"/>
      <c r="K16" s="3164"/>
      <c r="L16" s="3164"/>
      <c r="M16" s="825"/>
    </row>
    <row r="17" spans="1:13">
      <c r="A17" s="2021">
        <f t="shared" si="1"/>
        <v>2003.4</v>
      </c>
      <c r="B17" s="180">
        <v>4174</v>
      </c>
      <c r="C17" s="3162">
        <v>2555</v>
      </c>
      <c r="D17" s="812">
        <f t="shared" si="0"/>
        <v>6729</v>
      </c>
      <c r="E17" s="569">
        <v>230.3</v>
      </c>
      <c r="F17" s="3163">
        <v>154.69999999999999</v>
      </c>
      <c r="G17" s="567">
        <v>96.7</v>
      </c>
      <c r="H17" s="3163">
        <v>99</v>
      </c>
      <c r="I17" s="817">
        <v>580.79999999999995</v>
      </c>
      <c r="J17" s="820"/>
      <c r="K17" s="3164"/>
      <c r="L17" s="3164"/>
      <c r="M17" s="825"/>
    </row>
    <row r="18" spans="1:13">
      <c r="A18" s="2021">
        <f t="shared" si="1"/>
        <v>2004.1</v>
      </c>
      <c r="B18" s="180">
        <v>2732</v>
      </c>
      <c r="C18" s="3162">
        <v>3223</v>
      </c>
      <c r="D18" s="812">
        <f t="shared" si="0"/>
        <v>5955</v>
      </c>
      <c r="E18" s="569">
        <v>347</v>
      </c>
      <c r="F18" s="3163">
        <v>99</v>
      </c>
      <c r="G18" s="567">
        <v>48.3</v>
      </c>
      <c r="H18" s="3163">
        <v>90.6</v>
      </c>
      <c r="I18" s="817">
        <v>584.9</v>
      </c>
      <c r="J18" s="820"/>
      <c r="K18" s="3164"/>
      <c r="L18" s="3164"/>
      <c r="M18" s="825"/>
    </row>
    <row r="19" spans="1:13">
      <c r="A19" s="2021">
        <f t="shared" si="1"/>
        <v>2004.2</v>
      </c>
      <c r="B19" s="180">
        <v>3329</v>
      </c>
      <c r="C19" s="3162">
        <v>2755</v>
      </c>
      <c r="D19" s="812">
        <f t="shared" si="0"/>
        <v>6084</v>
      </c>
      <c r="E19" s="569">
        <v>195.5</v>
      </c>
      <c r="F19" s="3163">
        <v>184.9</v>
      </c>
      <c r="G19" s="567">
        <v>116.9</v>
      </c>
      <c r="H19" s="3163">
        <v>65.7</v>
      </c>
      <c r="I19" s="817">
        <v>563</v>
      </c>
      <c r="J19" s="820"/>
      <c r="K19" s="3164"/>
      <c r="L19" s="3164"/>
      <c r="M19" s="825"/>
    </row>
    <row r="20" spans="1:13">
      <c r="A20" s="2021">
        <f t="shared" si="1"/>
        <v>2004.3</v>
      </c>
      <c r="B20" s="180">
        <v>3790</v>
      </c>
      <c r="C20" s="3162">
        <v>2750</v>
      </c>
      <c r="D20" s="812">
        <f t="shared" si="0"/>
        <v>6540</v>
      </c>
      <c r="E20" s="569">
        <v>173.6</v>
      </c>
      <c r="F20" s="3163">
        <v>173.4</v>
      </c>
      <c r="G20" s="567">
        <v>138.4</v>
      </c>
      <c r="H20" s="3163">
        <v>98.7</v>
      </c>
      <c r="I20" s="817">
        <v>580.5</v>
      </c>
      <c r="J20" s="820"/>
      <c r="K20" s="3164"/>
      <c r="L20" s="3164"/>
      <c r="M20" s="825"/>
    </row>
    <row r="21" spans="1:13">
      <c r="A21" s="2021">
        <f t="shared" si="1"/>
        <v>2004.4</v>
      </c>
      <c r="B21" s="180">
        <v>3727</v>
      </c>
      <c r="C21" s="3162">
        <v>3277</v>
      </c>
      <c r="D21" s="812">
        <f t="shared" si="0"/>
        <v>7004</v>
      </c>
      <c r="E21" s="569">
        <v>274.8</v>
      </c>
      <c r="F21" s="3163">
        <v>155.5</v>
      </c>
      <c r="G21" s="567">
        <v>85.5</v>
      </c>
      <c r="H21" s="3163">
        <v>146.5</v>
      </c>
      <c r="I21" s="817">
        <v>662.3</v>
      </c>
      <c r="J21" s="820"/>
      <c r="K21" s="3164"/>
      <c r="L21" s="3164"/>
      <c r="M21" s="825"/>
    </row>
    <row r="22" spans="1:13">
      <c r="A22" s="2021">
        <f t="shared" si="1"/>
        <v>2005.1</v>
      </c>
      <c r="B22" s="180">
        <v>2540</v>
      </c>
      <c r="C22" s="3162">
        <v>2118</v>
      </c>
      <c r="D22" s="812">
        <f t="shared" si="0"/>
        <v>4658</v>
      </c>
      <c r="E22" s="569">
        <v>268.39999999999998</v>
      </c>
      <c r="F22" s="3163">
        <v>89.5</v>
      </c>
      <c r="G22" s="567">
        <v>40.6</v>
      </c>
      <c r="H22" s="3163">
        <v>101.2</v>
      </c>
      <c r="I22" s="817">
        <v>499.7</v>
      </c>
      <c r="J22" s="820"/>
      <c r="K22" s="3164"/>
      <c r="L22" s="3164"/>
      <c r="M22" s="825"/>
    </row>
    <row r="23" spans="1:13">
      <c r="A23" s="2021">
        <f t="shared" si="1"/>
        <v>2005.2</v>
      </c>
      <c r="B23" s="180">
        <v>3283</v>
      </c>
      <c r="C23" s="3162">
        <v>2075</v>
      </c>
      <c r="D23" s="812">
        <f t="shared" si="0"/>
        <v>5358</v>
      </c>
      <c r="E23" s="569">
        <v>136.19999999999999</v>
      </c>
      <c r="F23" s="3163">
        <v>170.4</v>
      </c>
      <c r="G23" s="567">
        <v>107.7</v>
      </c>
      <c r="H23" s="3163">
        <v>85.3</v>
      </c>
      <c r="I23" s="817">
        <v>499.6</v>
      </c>
      <c r="J23" s="820"/>
      <c r="K23" s="3164"/>
      <c r="L23" s="3164"/>
      <c r="M23" s="825"/>
    </row>
    <row r="24" spans="1:13">
      <c r="A24" s="2021">
        <f t="shared" si="1"/>
        <v>2005.3</v>
      </c>
      <c r="B24" s="180">
        <v>3862</v>
      </c>
      <c r="C24" s="3162">
        <v>2726</v>
      </c>
      <c r="D24" s="812">
        <f t="shared" si="0"/>
        <v>6588</v>
      </c>
      <c r="E24" s="569">
        <v>125.9</v>
      </c>
      <c r="F24" s="3163">
        <v>228.6</v>
      </c>
      <c r="G24" s="567">
        <v>139.6</v>
      </c>
      <c r="H24" s="3163">
        <v>98.4</v>
      </c>
      <c r="I24" s="817">
        <v>592.5</v>
      </c>
      <c r="J24" s="820"/>
      <c r="K24" s="3164"/>
      <c r="L24" s="3164"/>
      <c r="M24" s="825"/>
    </row>
    <row r="25" spans="1:13">
      <c r="A25" s="2021">
        <f t="shared" si="1"/>
        <v>2005.4</v>
      </c>
      <c r="B25" s="180">
        <v>3810</v>
      </c>
      <c r="C25" s="3162">
        <v>3461</v>
      </c>
      <c r="D25" s="812">
        <f t="shared" si="0"/>
        <v>7271</v>
      </c>
      <c r="E25" s="569">
        <v>309.8</v>
      </c>
      <c r="F25" s="3163">
        <v>178.7</v>
      </c>
      <c r="G25" s="567">
        <v>101.9</v>
      </c>
      <c r="H25" s="3163">
        <v>145.1</v>
      </c>
      <c r="I25" s="817">
        <v>735.6</v>
      </c>
      <c r="J25" s="820"/>
      <c r="K25" s="3164"/>
      <c r="L25" s="3164"/>
      <c r="M25" s="825"/>
    </row>
    <row r="26" spans="1:13">
      <c r="A26" s="2021">
        <f t="shared" si="1"/>
        <v>2006.1</v>
      </c>
      <c r="B26" s="180">
        <v>2852</v>
      </c>
      <c r="C26" s="3162">
        <v>1727</v>
      </c>
      <c r="D26" s="812">
        <f t="shared" si="0"/>
        <v>4579</v>
      </c>
      <c r="E26" s="569">
        <v>278.10000000000002</v>
      </c>
      <c r="F26" s="3163">
        <v>89.3</v>
      </c>
      <c r="G26" s="567">
        <v>54.5</v>
      </c>
      <c r="H26" s="3163">
        <v>98</v>
      </c>
      <c r="I26" s="817">
        <v>519.90000000000009</v>
      </c>
      <c r="J26" s="820"/>
      <c r="K26" s="3164"/>
      <c r="L26" s="3164"/>
      <c r="M26" s="825"/>
    </row>
    <row r="27" spans="1:13">
      <c r="A27" s="2021">
        <f t="shared" si="1"/>
        <v>2006.2</v>
      </c>
      <c r="B27" s="180">
        <v>3454</v>
      </c>
      <c r="C27" s="3162">
        <v>2076</v>
      </c>
      <c r="D27" s="812">
        <f t="shared" si="0"/>
        <v>5530</v>
      </c>
      <c r="E27" s="569">
        <v>108.1</v>
      </c>
      <c r="F27" s="3163">
        <v>164.3</v>
      </c>
      <c r="G27" s="567">
        <v>135.1</v>
      </c>
      <c r="H27" s="3163">
        <v>90.8</v>
      </c>
      <c r="I27" s="817">
        <v>498.3</v>
      </c>
      <c r="J27" s="820"/>
      <c r="K27" s="3164"/>
      <c r="L27" s="3164"/>
      <c r="M27" s="825"/>
    </row>
    <row r="28" spans="1:13">
      <c r="A28" s="2021">
        <f t="shared" si="1"/>
        <v>2006.3</v>
      </c>
      <c r="B28" s="180">
        <v>3492</v>
      </c>
      <c r="C28" s="3162">
        <v>1933</v>
      </c>
      <c r="D28" s="812">
        <f t="shared" si="0"/>
        <v>5425</v>
      </c>
      <c r="E28" s="569">
        <v>90.6</v>
      </c>
      <c r="F28" s="3163">
        <v>193.7</v>
      </c>
      <c r="G28" s="567">
        <v>144.4</v>
      </c>
      <c r="H28" s="3163">
        <v>97.3</v>
      </c>
      <c r="I28" s="817">
        <v>526</v>
      </c>
      <c r="J28" s="820"/>
      <c r="K28" s="3164"/>
      <c r="L28" s="3164"/>
      <c r="M28" s="825"/>
    </row>
    <row r="29" spans="1:13">
      <c r="A29" s="2021">
        <f t="shared" si="1"/>
        <v>2006.4</v>
      </c>
      <c r="B29" s="180">
        <v>3695</v>
      </c>
      <c r="C29" s="3162">
        <v>3045</v>
      </c>
      <c r="D29" s="812">
        <f t="shared" si="0"/>
        <v>6740</v>
      </c>
      <c r="E29" s="569">
        <v>275.5</v>
      </c>
      <c r="F29" s="3163">
        <v>185.9</v>
      </c>
      <c r="G29" s="567">
        <v>107.6</v>
      </c>
      <c r="H29" s="3163">
        <v>135.6</v>
      </c>
      <c r="I29" s="817">
        <v>704.5</v>
      </c>
      <c r="J29" s="820"/>
      <c r="K29" s="3164"/>
      <c r="L29" s="3164"/>
      <c r="M29" s="825"/>
    </row>
    <row r="30" spans="1:13">
      <c r="A30" s="2021">
        <f t="shared" si="1"/>
        <v>2007.1</v>
      </c>
      <c r="B30" s="180">
        <v>3632</v>
      </c>
      <c r="C30" s="3162">
        <v>2029</v>
      </c>
      <c r="D30" s="812">
        <f t="shared" si="0"/>
        <v>5661</v>
      </c>
      <c r="E30" s="569">
        <v>355.9</v>
      </c>
      <c r="F30" s="3163">
        <v>117.3</v>
      </c>
      <c r="G30" s="567">
        <v>79</v>
      </c>
      <c r="H30" s="3163">
        <v>140.30000000000001</v>
      </c>
      <c r="I30" s="817">
        <v>692.5</v>
      </c>
      <c r="J30" s="820"/>
      <c r="K30" s="3164"/>
      <c r="L30" s="3164"/>
      <c r="M30" s="825"/>
    </row>
    <row r="31" spans="1:13">
      <c r="A31" s="2021">
        <f t="shared" si="1"/>
        <v>2007.2</v>
      </c>
      <c r="B31" s="180">
        <v>4187</v>
      </c>
      <c r="C31" s="3162">
        <v>2341</v>
      </c>
      <c r="D31" s="812">
        <f t="shared" si="0"/>
        <v>6528</v>
      </c>
      <c r="E31" s="569">
        <v>149.80000000000001</v>
      </c>
      <c r="F31" s="3163">
        <v>260.3</v>
      </c>
      <c r="G31" s="567">
        <v>134.19999999999999</v>
      </c>
      <c r="H31" s="3163">
        <v>123</v>
      </c>
      <c r="I31" s="817">
        <v>667.3</v>
      </c>
      <c r="J31" s="820"/>
      <c r="K31" s="3164"/>
      <c r="L31" s="3164"/>
      <c r="M31" s="825"/>
    </row>
    <row r="32" spans="1:13">
      <c r="A32" s="2021">
        <f t="shared" si="1"/>
        <v>2007.3</v>
      </c>
      <c r="B32" s="180">
        <v>4010</v>
      </c>
      <c r="C32" s="3162">
        <v>2999</v>
      </c>
      <c r="D32" s="812">
        <f t="shared" si="0"/>
        <v>7009</v>
      </c>
      <c r="E32" s="569">
        <v>198.5</v>
      </c>
      <c r="F32" s="3163">
        <v>297.7</v>
      </c>
      <c r="G32" s="567">
        <v>178.9</v>
      </c>
      <c r="H32" s="3163">
        <v>131.4</v>
      </c>
      <c r="I32" s="817">
        <v>806.5</v>
      </c>
      <c r="J32" s="820"/>
      <c r="K32" s="3164"/>
      <c r="L32" s="3164"/>
      <c r="M32" s="825"/>
    </row>
    <row r="33" spans="1:13">
      <c r="A33" s="2021">
        <f t="shared" si="1"/>
        <v>2007.4</v>
      </c>
      <c r="B33" s="180">
        <v>4974</v>
      </c>
      <c r="C33" s="3162">
        <v>3876</v>
      </c>
      <c r="D33" s="812">
        <f t="shared" si="0"/>
        <v>8850</v>
      </c>
      <c r="E33" s="569">
        <v>422.1</v>
      </c>
      <c r="F33" s="3163">
        <v>332.2</v>
      </c>
      <c r="G33" s="567">
        <v>162.5</v>
      </c>
      <c r="H33" s="3163">
        <v>225.5</v>
      </c>
      <c r="I33" s="817">
        <v>1142.2</v>
      </c>
      <c r="J33" s="820"/>
      <c r="K33" s="3164"/>
      <c r="L33" s="3164"/>
      <c r="M33" s="825"/>
    </row>
    <row r="34" spans="1:13">
      <c r="A34" s="2021">
        <f t="shared" si="1"/>
        <v>2008.1</v>
      </c>
      <c r="B34" s="180">
        <v>3310</v>
      </c>
      <c r="C34" s="3162">
        <v>3533</v>
      </c>
      <c r="D34" s="812">
        <f t="shared" si="0"/>
        <v>6843</v>
      </c>
      <c r="E34" s="569">
        <v>537.1</v>
      </c>
      <c r="F34" s="3163">
        <v>198</v>
      </c>
      <c r="G34" s="567">
        <v>73.900000000000006</v>
      </c>
      <c r="H34" s="3163">
        <v>206.2</v>
      </c>
      <c r="I34" s="817">
        <v>1015.2</v>
      </c>
      <c r="J34" s="820"/>
      <c r="K34" s="3164"/>
      <c r="L34" s="3164"/>
      <c r="M34" s="825"/>
    </row>
    <row r="35" spans="1:13">
      <c r="A35" s="2021">
        <f t="shared" si="1"/>
        <v>2008.2</v>
      </c>
      <c r="B35" s="180">
        <v>3766</v>
      </c>
      <c r="C35" s="3162">
        <v>2794</v>
      </c>
      <c r="D35" s="812">
        <f t="shared" si="0"/>
        <v>6560</v>
      </c>
      <c r="E35" s="569">
        <v>264.2</v>
      </c>
      <c r="F35" s="3163">
        <v>245.6</v>
      </c>
      <c r="G35" s="567">
        <v>173.4</v>
      </c>
      <c r="H35" s="3163">
        <v>175.1</v>
      </c>
      <c r="I35" s="817">
        <v>858.3</v>
      </c>
      <c r="J35" s="820"/>
      <c r="K35" s="3164"/>
      <c r="L35" s="3164"/>
      <c r="M35" s="825"/>
    </row>
    <row r="36" spans="1:13">
      <c r="A36" s="2021">
        <f t="shared" si="1"/>
        <v>2008.3</v>
      </c>
      <c r="B36" s="180">
        <v>3302</v>
      </c>
      <c r="C36" s="3162">
        <v>3697</v>
      </c>
      <c r="D36" s="812">
        <f t="shared" si="0"/>
        <v>6999</v>
      </c>
      <c r="E36" s="569">
        <v>234.2</v>
      </c>
      <c r="F36" s="3163">
        <v>400.4</v>
      </c>
      <c r="G36" s="567">
        <v>220.7</v>
      </c>
      <c r="H36" s="3163">
        <v>139.19999999999999</v>
      </c>
      <c r="I36" s="817">
        <v>994.5</v>
      </c>
      <c r="J36" s="820"/>
      <c r="K36" s="3164"/>
      <c r="L36" s="3164"/>
      <c r="M36" s="825"/>
    </row>
    <row r="37" spans="1:13">
      <c r="A37" s="2021">
        <f t="shared" si="1"/>
        <v>2008.4</v>
      </c>
      <c r="B37" s="180">
        <v>3255</v>
      </c>
      <c r="C37" s="3162">
        <v>2985</v>
      </c>
      <c r="D37" s="812">
        <f t="shared" si="0"/>
        <v>6240</v>
      </c>
      <c r="E37" s="569">
        <v>324</v>
      </c>
      <c r="F37" s="3163">
        <v>267.7</v>
      </c>
      <c r="G37" s="567">
        <v>147.4</v>
      </c>
      <c r="H37" s="3163">
        <v>170.5</v>
      </c>
      <c r="I37" s="817">
        <v>909.6</v>
      </c>
      <c r="J37" s="820"/>
      <c r="K37" s="3164"/>
      <c r="L37" s="3164"/>
      <c r="M37" s="825"/>
    </row>
    <row r="38" spans="1:13">
      <c r="A38" s="2021">
        <f t="shared" si="1"/>
        <v>2009.1</v>
      </c>
      <c r="B38" s="180">
        <v>1300</v>
      </c>
      <c r="C38" s="3162">
        <v>1353</v>
      </c>
      <c r="D38" s="812">
        <f t="shared" si="0"/>
        <v>2653</v>
      </c>
      <c r="E38" s="569">
        <v>152.4</v>
      </c>
      <c r="F38" s="3163">
        <v>55.7</v>
      </c>
      <c r="G38" s="567">
        <v>25.1</v>
      </c>
      <c r="H38" s="3163">
        <v>73.2</v>
      </c>
      <c r="I38" s="817">
        <v>306.39999999999998</v>
      </c>
      <c r="J38" s="820"/>
      <c r="K38" s="3164"/>
      <c r="L38" s="3164"/>
      <c r="M38" s="825"/>
    </row>
    <row r="39" spans="1:13">
      <c r="A39" s="2021">
        <f t="shared" si="1"/>
        <v>2009.2</v>
      </c>
      <c r="B39" s="180">
        <v>2644</v>
      </c>
      <c r="C39" s="3162">
        <v>1125</v>
      </c>
      <c r="D39" s="812">
        <f t="shared" si="0"/>
        <v>3769</v>
      </c>
      <c r="E39" s="569">
        <v>93.2</v>
      </c>
      <c r="F39" s="3163">
        <v>260.8</v>
      </c>
      <c r="G39" s="567">
        <v>93.1</v>
      </c>
      <c r="H39" s="3163">
        <v>113</v>
      </c>
      <c r="I39" s="817">
        <v>560.1</v>
      </c>
      <c r="J39" s="820"/>
      <c r="K39" s="3164"/>
      <c r="L39" s="3164"/>
      <c r="M39" s="825"/>
    </row>
    <row r="40" spans="1:13">
      <c r="A40" s="2021">
        <f t="shared" si="1"/>
        <v>2009.3</v>
      </c>
      <c r="B40" s="180">
        <v>2647</v>
      </c>
      <c r="C40" s="3162">
        <v>1431</v>
      </c>
      <c r="D40" s="812">
        <f t="shared" si="0"/>
        <v>4078</v>
      </c>
      <c r="E40" s="569">
        <v>101.6</v>
      </c>
      <c r="F40" s="3163">
        <v>236.1</v>
      </c>
      <c r="G40" s="567">
        <v>204.5</v>
      </c>
      <c r="H40" s="3163">
        <v>152.69999999999999</v>
      </c>
      <c r="I40" s="817">
        <v>694.9</v>
      </c>
      <c r="J40" s="820"/>
      <c r="K40" s="3164"/>
      <c r="L40" s="3164"/>
      <c r="M40" s="825"/>
    </row>
    <row r="41" spans="1:13">
      <c r="A41" s="2021">
        <f t="shared" si="1"/>
        <v>2009.4</v>
      </c>
      <c r="B41" s="180">
        <v>3082</v>
      </c>
      <c r="C41" s="3162">
        <v>1869</v>
      </c>
      <c r="D41" s="812">
        <f t="shared" si="0"/>
        <v>4951</v>
      </c>
      <c r="E41" s="569">
        <v>133.30000000000001</v>
      </c>
      <c r="F41" s="3163">
        <v>198.3</v>
      </c>
      <c r="G41" s="567">
        <v>181.5</v>
      </c>
      <c r="H41" s="3163">
        <v>180.1</v>
      </c>
      <c r="I41" s="817">
        <v>693.4</v>
      </c>
      <c r="J41" s="820"/>
      <c r="K41" s="3164"/>
      <c r="L41" s="3164"/>
      <c r="M41" s="825"/>
    </row>
    <row r="42" spans="1:13">
      <c r="A42" s="2021">
        <f t="shared" si="1"/>
        <v>2010.1</v>
      </c>
      <c r="B42" s="180">
        <v>2166</v>
      </c>
      <c r="C42" s="3162">
        <v>1897</v>
      </c>
      <c r="D42" s="812">
        <f t="shared" ref="D42:D61" si="2">B42+C42</f>
        <v>4063</v>
      </c>
      <c r="E42" s="569">
        <v>359.5</v>
      </c>
      <c r="F42" s="3163">
        <v>174.1</v>
      </c>
      <c r="G42" s="567">
        <v>57.4</v>
      </c>
      <c r="H42" s="3163">
        <v>168.6</v>
      </c>
      <c r="I42" s="817">
        <v>759.7</v>
      </c>
      <c r="J42" s="820"/>
      <c r="K42" s="3164"/>
      <c r="L42" s="3164"/>
      <c r="M42" s="825"/>
    </row>
    <row r="43" spans="1:13">
      <c r="A43" s="2021">
        <f t="shared" si="1"/>
        <v>2010.2</v>
      </c>
      <c r="B43" s="180">
        <v>3454</v>
      </c>
      <c r="C43" s="3162">
        <v>1839</v>
      </c>
      <c r="D43" s="812">
        <f t="shared" si="2"/>
        <v>5293</v>
      </c>
      <c r="E43" s="569">
        <v>143.19999999999999</v>
      </c>
      <c r="F43" s="3163">
        <v>269.7</v>
      </c>
      <c r="G43" s="567">
        <v>202.1</v>
      </c>
      <c r="H43" s="3163">
        <v>173</v>
      </c>
      <c r="I43" s="817">
        <v>787.9</v>
      </c>
      <c r="J43" s="820"/>
      <c r="K43" s="3164"/>
      <c r="L43" s="3164"/>
      <c r="M43" s="825"/>
    </row>
    <row r="44" spans="1:13">
      <c r="A44" s="2021">
        <f t="shared" si="1"/>
        <v>2010.3</v>
      </c>
      <c r="B44" s="180">
        <v>4855</v>
      </c>
      <c r="C44" s="3162">
        <v>2219</v>
      </c>
      <c r="D44" s="812">
        <f t="shared" si="2"/>
        <v>7074</v>
      </c>
      <c r="E44" s="569">
        <v>166.2</v>
      </c>
      <c r="F44" s="3163">
        <v>342.7</v>
      </c>
      <c r="G44" s="567">
        <v>278.10000000000002</v>
      </c>
      <c r="H44" s="3163">
        <v>198.9</v>
      </c>
      <c r="I44" s="817">
        <v>985.9</v>
      </c>
      <c r="J44" s="820"/>
      <c r="K44" s="3164"/>
      <c r="L44" s="3164"/>
      <c r="M44" s="825"/>
    </row>
    <row r="45" spans="1:13">
      <c r="A45" s="2021">
        <f t="shared" si="1"/>
        <v>2010.4</v>
      </c>
      <c r="B45" s="180">
        <v>3750</v>
      </c>
      <c r="C45" s="3162">
        <v>3256</v>
      </c>
      <c r="D45" s="812">
        <f t="shared" si="2"/>
        <v>7006</v>
      </c>
      <c r="E45" s="569">
        <v>555.9</v>
      </c>
      <c r="F45" s="3163">
        <v>485.1</v>
      </c>
      <c r="G45" s="567">
        <v>285.39999999999998</v>
      </c>
      <c r="H45" s="3163">
        <v>293.39999999999998</v>
      </c>
      <c r="I45" s="817">
        <v>1619.8</v>
      </c>
      <c r="J45" s="820"/>
      <c r="K45" s="3164"/>
      <c r="L45" s="3164"/>
      <c r="M45" s="825"/>
    </row>
    <row r="46" spans="1:13">
      <c r="A46" s="2021">
        <f t="shared" si="1"/>
        <v>2011.1</v>
      </c>
      <c r="B46" s="180">
        <v>2673</v>
      </c>
      <c r="C46" s="3162">
        <v>1656</v>
      </c>
      <c r="D46" s="812">
        <f t="shared" si="2"/>
        <v>4329</v>
      </c>
      <c r="E46" s="569">
        <v>350.8</v>
      </c>
      <c r="F46" s="3163">
        <v>211.9</v>
      </c>
      <c r="G46" s="567">
        <v>139.80000000000001</v>
      </c>
      <c r="H46" s="3163">
        <v>298.5</v>
      </c>
      <c r="I46" s="817">
        <v>1001.1</v>
      </c>
      <c r="J46" s="820"/>
      <c r="K46" s="3164"/>
      <c r="L46" s="3164"/>
      <c r="M46" s="825"/>
    </row>
    <row r="47" spans="1:13">
      <c r="A47" s="2021">
        <f t="shared" si="1"/>
        <v>2011.2</v>
      </c>
      <c r="B47" s="180">
        <v>3811</v>
      </c>
      <c r="C47" s="3162">
        <v>1189</v>
      </c>
      <c r="D47" s="812">
        <f t="shared" si="2"/>
        <v>5000</v>
      </c>
      <c r="E47" s="569">
        <v>228.9</v>
      </c>
      <c r="F47" s="3163">
        <v>230.9</v>
      </c>
      <c r="G47" s="567">
        <v>294.10000000000002</v>
      </c>
      <c r="H47" s="3163">
        <v>327.60000000000002</v>
      </c>
      <c r="I47" s="817">
        <v>1081.5</v>
      </c>
      <c r="J47" s="820"/>
      <c r="K47" s="3164"/>
      <c r="L47" s="3164"/>
      <c r="M47" s="825"/>
    </row>
    <row r="48" spans="1:13">
      <c r="A48" s="2021">
        <f t="shared" si="1"/>
        <v>2011.3</v>
      </c>
      <c r="B48" s="180">
        <v>3832</v>
      </c>
      <c r="C48" s="3162">
        <v>1465</v>
      </c>
      <c r="D48" s="812">
        <f t="shared" si="2"/>
        <v>5297</v>
      </c>
      <c r="E48" s="569">
        <v>277.5</v>
      </c>
      <c r="F48" s="3163">
        <v>280.3</v>
      </c>
      <c r="G48" s="567">
        <v>466.1</v>
      </c>
      <c r="H48" s="3163">
        <v>344.6</v>
      </c>
      <c r="I48" s="817">
        <v>1368.5</v>
      </c>
      <c r="J48" s="820"/>
      <c r="K48" s="3164"/>
      <c r="L48" s="3164"/>
      <c r="M48" s="825"/>
    </row>
    <row r="49" spans="1:13">
      <c r="A49" s="2021">
        <f t="shared" si="1"/>
        <v>2011.4</v>
      </c>
      <c r="B49" s="180">
        <v>4252</v>
      </c>
      <c r="C49" s="3162">
        <v>2140</v>
      </c>
      <c r="D49" s="812">
        <f t="shared" si="2"/>
        <v>6392</v>
      </c>
      <c r="E49" s="569">
        <v>344.7</v>
      </c>
      <c r="F49" s="3163">
        <v>447.2</v>
      </c>
      <c r="G49" s="567">
        <v>327.10000000000002</v>
      </c>
      <c r="H49" s="3163">
        <v>437.3</v>
      </c>
      <c r="I49" s="817">
        <v>1556.3000000000002</v>
      </c>
      <c r="J49" s="820"/>
      <c r="K49" s="3164"/>
      <c r="L49" s="3164"/>
      <c r="M49" s="825"/>
    </row>
    <row r="50" spans="1:13">
      <c r="A50" s="2021">
        <f t="shared" si="1"/>
        <v>2012.1</v>
      </c>
      <c r="B50" s="180">
        <v>2270</v>
      </c>
      <c r="C50" s="3162">
        <v>865</v>
      </c>
      <c r="D50" s="812">
        <f t="shared" si="2"/>
        <v>3135</v>
      </c>
      <c r="E50" s="569">
        <v>276</v>
      </c>
      <c r="F50" s="3163">
        <v>192.8</v>
      </c>
      <c r="G50" s="567">
        <v>85.6</v>
      </c>
      <c r="H50" s="3163">
        <v>274.60000000000002</v>
      </c>
      <c r="I50" s="817">
        <v>828.8</v>
      </c>
      <c r="J50" s="820"/>
      <c r="K50" s="3164"/>
      <c r="L50" s="3164"/>
      <c r="M50" s="825"/>
    </row>
    <row r="51" spans="1:13">
      <c r="A51" s="2021">
        <f t="shared" si="1"/>
        <v>2012.2</v>
      </c>
      <c r="B51" s="180">
        <v>2977</v>
      </c>
      <c r="C51" s="3162">
        <v>988</v>
      </c>
      <c r="D51" s="812">
        <f t="shared" si="2"/>
        <v>3965</v>
      </c>
      <c r="E51" s="569">
        <v>312.39999999999998</v>
      </c>
      <c r="F51" s="3163">
        <v>314.10000000000002</v>
      </c>
      <c r="G51" s="567">
        <v>186.2</v>
      </c>
      <c r="H51" s="3163">
        <v>375.9</v>
      </c>
      <c r="I51" s="817">
        <v>1188.5999999999999</v>
      </c>
      <c r="J51" s="820"/>
      <c r="K51" s="3164"/>
      <c r="L51" s="3164"/>
      <c r="M51" s="825"/>
    </row>
    <row r="52" spans="1:13">
      <c r="A52" s="2021">
        <f t="shared" si="1"/>
        <v>2012.3</v>
      </c>
      <c r="B52" s="180">
        <v>2766</v>
      </c>
      <c r="C52" s="3162">
        <v>1621</v>
      </c>
      <c r="D52" s="812">
        <f t="shared" si="2"/>
        <v>4387</v>
      </c>
      <c r="E52" s="569">
        <v>345.2</v>
      </c>
      <c r="F52" s="3163">
        <v>509</v>
      </c>
      <c r="G52" s="567">
        <v>316.7</v>
      </c>
      <c r="H52" s="3163">
        <v>294.10000000000002</v>
      </c>
      <c r="I52" s="817">
        <v>1465</v>
      </c>
      <c r="J52" s="820"/>
      <c r="K52" s="3164"/>
      <c r="L52" s="3164"/>
      <c r="M52" s="825"/>
    </row>
    <row r="53" spans="1:13">
      <c r="A53" s="2021">
        <f t="shared" si="1"/>
        <v>2012.4</v>
      </c>
      <c r="B53" s="180">
        <v>3817</v>
      </c>
      <c r="C53" s="3162">
        <v>1893</v>
      </c>
      <c r="D53" s="812">
        <f t="shared" si="2"/>
        <v>5710</v>
      </c>
      <c r="E53" s="569">
        <v>497.9</v>
      </c>
      <c r="F53" s="3163">
        <v>764.7</v>
      </c>
      <c r="G53" s="567">
        <v>379</v>
      </c>
      <c r="H53" s="3163">
        <v>489.6</v>
      </c>
      <c r="I53" s="817">
        <v>2131.1999999999998</v>
      </c>
      <c r="J53" s="820"/>
      <c r="K53" s="3164"/>
      <c r="L53" s="3164"/>
      <c r="M53" s="825"/>
    </row>
    <row r="54" spans="1:13">
      <c r="A54" s="2021">
        <f t="shared" si="1"/>
        <v>2013.1</v>
      </c>
      <c r="B54" s="180">
        <v>2537</v>
      </c>
      <c r="C54" s="3162">
        <v>1356</v>
      </c>
      <c r="D54" s="812">
        <f t="shared" si="2"/>
        <v>3893</v>
      </c>
      <c r="E54" s="569">
        <v>700.4</v>
      </c>
      <c r="F54" s="3163">
        <v>616.79999999999995</v>
      </c>
      <c r="G54" s="567">
        <v>90</v>
      </c>
      <c r="H54" s="3163">
        <v>445.9</v>
      </c>
      <c r="I54" s="817">
        <v>1853.1</v>
      </c>
      <c r="J54" s="820"/>
      <c r="K54" s="3164"/>
      <c r="L54" s="3164"/>
      <c r="M54" s="825"/>
    </row>
    <row r="55" spans="1:13">
      <c r="A55" s="2021">
        <f t="shared" si="1"/>
        <v>2013.2</v>
      </c>
      <c r="B55" s="180">
        <v>4313</v>
      </c>
      <c r="C55" s="3162">
        <v>1367</v>
      </c>
      <c r="D55" s="812">
        <f t="shared" si="2"/>
        <v>5680</v>
      </c>
      <c r="E55" s="569">
        <v>314.10000000000002</v>
      </c>
      <c r="F55" s="3163">
        <v>520.29999999999995</v>
      </c>
      <c r="G55" s="567">
        <v>724.6</v>
      </c>
      <c r="H55" s="3163">
        <v>659.6</v>
      </c>
      <c r="I55" s="817">
        <v>2345.8000000000002</v>
      </c>
      <c r="J55" s="820"/>
      <c r="K55" s="3164"/>
      <c r="L55" s="3164"/>
      <c r="M55" s="825"/>
    </row>
    <row r="56" spans="1:13">
      <c r="A56" s="2021">
        <f t="shared" si="1"/>
        <v>2013.3</v>
      </c>
      <c r="B56" s="180">
        <v>3021</v>
      </c>
      <c r="C56" s="3162">
        <v>1559</v>
      </c>
      <c r="D56" s="812">
        <f t="shared" si="2"/>
        <v>4580</v>
      </c>
      <c r="E56" s="569">
        <v>477.6</v>
      </c>
      <c r="F56" s="3163">
        <v>1072.4000000000001</v>
      </c>
      <c r="G56" s="567">
        <v>292</v>
      </c>
      <c r="H56" s="3163">
        <v>522.9</v>
      </c>
      <c r="I56" s="817">
        <v>2364.9</v>
      </c>
      <c r="J56" s="820"/>
      <c r="K56" s="3164"/>
      <c r="L56" s="3164"/>
      <c r="M56" s="825"/>
    </row>
    <row r="57" spans="1:13">
      <c r="A57" s="2021">
        <f t="shared" si="1"/>
        <v>2013.4</v>
      </c>
      <c r="B57" s="180">
        <v>4651</v>
      </c>
      <c r="C57" s="3162">
        <v>1579</v>
      </c>
      <c r="D57" s="812">
        <f t="shared" si="2"/>
        <v>6230</v>
      </c>
      <c r="E57" s="569">
        <v>787.6</v>
      </c>
      <c r="F57" s="3163">
        <v>1172.7</v>
      </c>
      <c r="G57" s="567">
        <v>415.9</v>
      </c>
      <c r="H57" s="3163">
        <v>758.8</v>
      </c>
      <c r="I57" s="817">
        <v>3135</v>
      </c>
      <c r="J57" s="820"/>
      <c r="K57" s="3164"/>
      <c r="L57" s="3164"/>
      <c r="M57" s="825"/>
    </row>
    <row r="58" spans="1:13">
      <c r="A58" s="2021">
        <f t="shared" si="1"/>
        <v>2014.1</v>
      </c>
      <c r="B58" s="180">
        <v>1764</v>
      </c>
      <c r="C58" s="3162">
        <v>658</v>
      </c>
      <c r="D58" s="812">
        <f t="shared" si="2"/>
        <v>2422</v>
      </c>
      <c r="E58" s="569">
        <v>453.7</v>
      </c>
      <c r="F58" s="3163">
        <v>572.70000000000005</v>
      </c>
      <c r="G58" s="567">
        <v>82.2</v>
      </c>
      <c r="H58" s="3163">
        <v>417.2</v>
      </c>
      <c r="I58" s="817">
        <v>1525.8000000000002</v>
      </c>
      <c r="J58" s="820"/>
      <c r="K58" s="3164"/>
      <c r="L58" s="3164"/>
      <c r="M58" s="825"/>
    </row>
    <row r="59" spans="1:13">
      <c r="A59" s="2021">
        <f t="shared" si="1"/>
        <v>2014.2</v>
      </c>
      <c r="B59" s="180">
        <v>3548</v>
      </c>
      <c r="C59" s="3162">
        <v>763</v>
      </c>
      <c r="D59" s="812">
        <f t="shared" si="2"/>
        <v>4311</v>
      </c>
      <c r="E59" s="569">
        <v>692</v>
      </c>
      <c r="F59" s="3163">
        <v>880.5</v>
      </c>
      <c r="G59" s="567">
        <v>352.4</v>
      </c>
      <c r="H59" s="3163">
        <v>696.1</v>
      </c>
      <c r="I59" s="817">
        <v>2621</v>
      </c>
      <c r="J59" s="820"/>
      <c r="K59" s="3164"/>
      <c r="L59" s="3164"/>
      <c r="M59" s="825"/>
    </row>
    <row r="60" spans="1:13">
      <c r="A60" s="2021">
        <f t="shared" si="1"/>
        <v>2014.3</v>
      </c>
      <c r="B60" s="180">
        <v>3292</v>
      </c>
      <c r="C60" s="3162">
        <v>546</v>
      </c>
      <c r="D60" s="812">
        <f t="shared" si="2"/>
        <v>3838</v>
      </c>
      <c r="E60" s="569">
        <v>480.1</v>
      </c>
      <c r="F60" s="3163">
        <v>885.3</v>
      </c>
      <c r="G60" s="567">
        <v>389.3</v>
      </c>
      <c r="H60" s="3163">
        <v>517.29999999999995</v>
      </c>
      <c r="I60" s="817">
        <v>2271.9</v>
      </c>
      <c r="J60" s="820"/>
      <c r="K60" s="3164"/>
      <c r="L60" s="3164"/>
      <c r="M60" s="825"/>
    </row>
    <row r="61" spans="1:13">
      <c r="A61" s="2021">
        <f t="shared" si="1"/>
        <v>2014.4</v>
      </c>
      <c r="B61" s="180">
        <v>3565</v>
      </c>
      <c r="C61" s="3162">
        <v>616</v>
      </c>
      <c r="D61" s="812">
        <f t="shared" si="2"/>
        <v>4181</v>
      </c>
      <c r="E61" s="569">
        <v>547.20000000000005</v>
      </c>
      <c r="F61" s="3163">
        <v>904.8</v>
      </c>
      <c r="G61" s="567">
        <v>374.5</v>
      </c>
      <c r="H61" s="3163">
        <v>718.3</v>
      </c>
      <c r="I61" s="817">
        <v>2544.8000000000002</v>
      </c>
      <c r="J61" s="820"/>
      <c r="K61" s="3164"/>
      <c r="L61" s="3164"/>
      <c r="M61" s="825"/>
    </row>
    <row r="62" spans="1:13">
      <c r="A62" s="2021">
        <f t="shared" si="1"/>
        <v>2015.1</v>
      </c>
      <c r="B62" s="180">
        <f>SUM(J62:M62)</f>
        <v>2378</v>
      </c>
      <c r="C62" s="3162">
        <v>369</v>
      </c>
      <c r="D62" s="813">
        <v>2747</v>
      </c>
      <c r="E62" s="569">
        <v>822</v>
      </c>
      <c r="F62" s="3163">
        <v>569.70000000000005</v>
      </c>
      <c r="G62" s="567">
        <v>115.3</v>
      </c>
      <c r="H62" s="3163">
        <v>427.8</v>
      </c>
      <c r="I62" s="817">
        <v>1934.8</v>
      </c>
      <c r="J62" s="140">
        <v>174</v>
      </c>
      <c r="K62" s="3165">
        <v>141</v>
      </c>
      <c r="L62" s="3165">
        <v>849</v>
      </c>
      <c r="M62" s="364">
        <v>1214</v>
      </c>
    </row>
    <row r="63" spans="1:13">
      <c r="A63" s="2021">
        <f t="shared" si="1"/>
        <v>2015.2</v>
      </c>
      <c r="B63" s="180">
        <v>3312</v>
      </c>
      <c r="C63" s="3162">
        <v>421</v>
      </c>
      <c r="D63" s="813">
        <v>3733</v>
      </c>
      <c r="E63" s="569">
        <v>647.9</v>
      </c>
      <c r="F63" s="3163">
        <v>836</v>
      </c>
      <c r="G63" s="567">
        <v>288</v>
      </c>
      <c r="H63" s="3163">
        <v>650.1</v>
      </c>
      <c r="I63" s="817">
        <v>2422</v>
      </c>
      <c r="J63" s="821">
        <v>290</v>
      </c>
      <c r="K63" s="3166">
        <v>130</v>
      </c>
      <c r="L63" s="3166">
        <v>1166</v>
      </c>
      <c r="M63" s="826">
        <v>1764</v>
      </c>
    </row>
    <row r="64" spans="1:13">
      <c r="A64" s="2021">
        <f t="shared" si="1"/>
        <v>2015.3</v>
      </c>
      <c r="B64" s="180">
        <v>2666</v>
      </c>
      <c r="C64" s="3162">
        <v>391</v>
      </c>
      <c r="D64" s="813">
        <v>3057</v>
      </c>
      <c r="E64" s="569">
        <v>510.6</v>
      </c>
      <c r="F64" s="3163">
        <v>846.3</v>
      </c>
      <c r="G64" s="567">
        <v>264.2</v>
      </c>
      <c r="H64" s="3163">
        <v>453.3</v>
      </c>
      <c r="I64" s="817">
        <v>2074.4</v>
      </c>
      <c r="J64" s="821">
        <v>319</v>
      </c>
      <c r="K64" s="3166">
        <v>96</v>
      </c>
      <c r="L64" s="3166">
        <v>1225</v>
      </c>
      <c r="M64" s="826">
        <v>1322</v>
      </c>
    </row>
    <row r="65" spans="1:16">
      <c r="A65" s="2021">
        <f t="shared" si="1"/>
        <v>2015.4</v>
      </c>
      <c r="B65" s="180">
        <v>4008</v>
      </c>
      <c r="C65" s="3162">
        <v>241</v>
      </c>
      <c r="D65" s="813">
        <v>4249</v>
      </c>
      <c r="E65" s="569">
        <v>652.6</v>
      </c>
      <c r="F65" s="3163">
        <v>1258.5</v>
      </c>
      <c r="G65" s="567">
        <v>437.6</v>
      </c>
      <c r="H65" s="3163">
        <v>639.79999999999995</v>
      </c>
      <c r="I65" s="817">
        <v>2988.4</v>
      </c>
      <c r="J65" s="821">
        <v>365</v>
      </c>
      <c r="K65" s="3166">
        <v>182</v>
      </c>
      <c r="L65" s="3166">
        <v>1758</v>
      </c>
      <c r="M65" s="826">
        <v>1434</v>
      </c>
    </row>
    <row r="66" spans="1:16">
      <c r="A66" s="2021">
        <f t="shared" si="1"/>
        <v>2016.1</v>
      </c>
      <c r="B66" s="180">
        <v>2583</v>
      </c>
      <c r="C66" s="3162">
        <v>421</v>
      </c>
      <c r="D66" s="813">
        <v>3004</v>
      </c>
      <c r="E66" s="569">
        <v>1225.7</v>
      </c>
      <c r="F66" s="3163">
        <v>873.5</v>
      </c>
      <c r="G66" s="567">
        <v>193.8</v>
      </c>
      <c r="H66" s="3163">
        <v>747.6</v>
      </c>
      <c r="I66" s="817">
        <v>3040.6</v>
      </c>
      <c r="J66" s="180">
        <v>186</v>
      </c>
      <c r="K66" s="3162">
        <v>113</v>
      </c>
      <c r="L66" s="3162">
        <v>1224</v>
      </c>
      <c r="M66" s="827">
        <f>218+532+677</f>
        <v>1427</v>
      </c>
    </row>
    <row r="67" spans="1:16">
      <c r="A67" s="2021">
        <f t="shared" si="1"/>
        <v>2016.2</v>
      </c>
      <c r="B67" s="180">
        <v>3834</v>
      </c>
      <c r="C67" s="3162">
        <v>381</v>
      </c>
      <c r="D67" s="813">
        <v>4215</v>
      </c>
      <c r="E67" s="569">
        <v>1039.4000000000001</v>
      </c>
      <c r="F67" s="3163">
        <v>1672.4</v>
      </c>
      <c r="G67" s="567">
        <v>609</v>
      </c>
      <c r="H67" s="3163">
        <v>960.80000000000007</v>
      </c>
      <c r="I67" s="817">
        <v>4281.6000000000004</v>
      </c>
      <c r="J67" s="180">
        <v>473</v>
      </c>
      <c r="K67" s="3162">
        <v>97</v>
      </c>
      <c r="L67" s="3162">
        <v>1439</v>
      </c>
      <c r="M67" s="827">
        <f>209+641+971</f>
        <v>1821</v>
      </c>
    </row>
    <row r="68" spans="1:16">
      <c r="A68" s="2021">
        <f t="shared" si="1"/>
        <v>2016.3</v>
      </c>
      <c r="B68" s="180">
        <v>4234</v>
      </c>
      <c r="C68" s="3162">
        <v>723</v>
      </c>
      <c r="D68" s="813">
        <v>4957</v>
      </c>
      <c r="E68" s="569">
        <v>1001.748007</v>
      </c>
      <c r="F68" s="3163">
        <v>2208.7948139999999</v>
      </c>
      <c r="G68" s="567">
        <v>975.79066</v>
      </c>
      <c r="H68" s="3163">
        <v>966.89053045090998</v>
      </c>
      <c r="I68" s="817">
        <v>5153.2240114509095</v>
      </c>
      <c r="J68" s="180">
        <v>686</v>
      </c>
      <c r="K68" s="3162">
        <v>188</v>
      </c>
      <c r="L68" s="3162">
        <v>1439</v>
      </c>
      <c r="M68" s="827">
        <f>352+471+1074</f>
        <v>1897</v>
      </c>
    </row>
    <row r="69" spans="1:16">
      <c r="A69" s="2021">
        <f t="shared" si="1"/>
        <v>2016.4</v>
      </c>
      <c r="B69" s="180">
        <v>4513</v>
      </c>
      <c r="C69" s="3162">
        <v>1001</v>
      </c>
      <c r="D69" s="813">
        <v>5514</v>
      </c>
      <c r="E69" s="569">
        <v>2148.1999807070179</v>
      </c>
      <c r="F69" s="3163">
        <v>2369.8211518177523</v>
      </c>
      <c r="G69" s="567">
        <v>1025.69905404</v>
      </c>
      <c r="H69" s="3163">
        <v>1870.4556993888248</v>
      </c>
      <c r="I69" s="817">
        <v>7414.1758859535948</v>
      </c>
      <c r="J69" s="180">
        <v>674</v>
      </c>
      <c r="K69" s="3162">
        <v>251</v>
      </c>
      <c r="L69" s="3162">
        <v>1268</v>
      </c>
      <c r="M69" s="827">
        <f>363+529+1282</f>
        <v>2174</v>
      </c>
    </row>
    <row r="70" spans="1:16">
      <c r="A70" s="2021">
        <f t="shared" si="1"/>
        <v>2017.1</v>
      </c>
      <c r="B70" s="180">
        <v>3517</v>
      </c>
      <c r="C70" s="3162">
        <v>716</v>
      </c>
      <c r="D70" s="813">
        <v>4233</v>
      </c>
      <c r="E70" s="569">
        <v>2043.6622342700175</v>
      </c>
      <c r="F70" s="3163">
        <v>1903.7863937849572</v>
      </c>
      <c r="G70" s="567">
        <v>338.51572748099994</v>
      </c>
      <c r="H70" s="3163">
        <v>1451.2602802185536</v>
      </c>
      <c r="I70" s="817">
        <v>5737.2246357545282</v>
      </c>
      <c r="J70" s="180">
        <v>340</v>
      </c>
      <c r="K70" s="3162">
        <v>201</v>
      </c>
      <c r="L70" s="3162">
        <v>1169</v>
      </c>
      <c r="M70" s="827">
        <f>220+688+923</f>
        <v>1831</v>
      </c>
    </row>
    <row r="71" spans="1:16">
      <c r="A71" s="2021">
        <f t="shared" si="1"/>
        <v>2017.2</v>
      </c>
      <c r="B71" s="180">
        <v>4810.0000021569658</v>
      </c>
      <c r="C71" s="3162">
        <v>1418</v>
      </c>
      <c r="D71" s="813">
        <v>6228.0000021569658</v>
      </c>
      <c r="E71" s="569">
        <v>2349.8022346754019</v>
      </c>
      <c r="F71" s="3163">
        <v>2976.4252142264613</v>
      </c>
      <c r="G71" s="567">
        <v>1065.2166509838</v>
      </c>
      <c r="H71" s="3163">
        <v>1886.3622380782499</v>
      </c>
      <c r="I71" s="817">
        <v>8277.8063379639134</v>
      </c>
      <c r="J71" s="180">
        <v>630</v>
      </c>
      <c r="K71" s="3162">
        <v>263</v>
      </c>
      <c r="L71" s="3162">
        <v>1766</v>
      </c>
      <c r="M71" s="827">
        <v>2305</v>
      </c>
    </row>
    <row r="72" spans="1:16">
      <c r="A72" s="2021">
        <f t="shared" si="1"/>
        <v>2017.3</v>
      </c>
      <c r="B72" s="180">
        <v>4663</v>
      </c>
      <c r="C72" s="3162">
        <v>1413</v>
      </c>
      <c r="D72" s="813">
        <v>6076</v>
      </c>
      <c r="E72" s="569">
        <v>1831.8521721829252</v>
      </c>
      <c r="F72" s="3163">
        <v>3745.3296014273874</v>
      </c>
      <c r="G72" s="567">
        <v>1314.2989624684783</v>
      </c>
      <c r="H72" s="3163">
        <v>1410.0437061462324</v>
      </c>
      <c r="I72" s="817">
        <v>8301.5244422250234</v>
      </c>
      <c r="J72" s="180">
        <v>715</v>
      </c>
      <c r="K72" s="3162">
        <v>254</v>
      </c>
      <c r="L72" s="3162">
        <v>2080</v>
      </c>
      <c r="M72" s="827">
        <v>2348</v>
      </c>
    </row>
    <row r="73" spans="1:16">
      <c r="A73" s="2021">
        <f t="shared" si="1"/>
        <v>2017.4</v>
      </c>
      <c r="B73" s="180">
        <v>4728</v>
      </c>
      <c r="C73" s="3162">
        <v>1507</v>
      </c>
      <c r="D73" s="813">
        <v>6235</v>
      </c>
      <c r="E73" s="569">
        <v>2225.6299501865597</v>
      </c>
      <c r="F73" s="3163">
        <v>3536.1048356240408</v>
      </c>
      <c r="G73" s="567">
        <v>1194.7781401908001</v>
      </c>
      <c r="H73" s="3163">
        <v>1925.0835041014257</v>
      </c>
      <c r="I73" s="818">
        <v>8881.5964301028253</v>
      </c>
      <c r="J73" s="180">
        <v>563</v>
      </c>
      <c r="K73" s="3162">
        <v>271</v>
      </c>
      <c r="L73" s="3162">
        <v>2022</v>
      </c>
      <c r="M73" s="827">
        <v>2096</v>
      </c>
      <c r="P73" s="384"/>
    </row>
    <row r="74" spans="1:16">
      <c r="A74" s="2021">
        <f t="shared" si="1"/>
        <v>2018.1</v>
      </c>
      <c r="B74" s="180">
        <v>2776</v>
      </c>
      <c r="C74" s="3162">
        <v>960</v>
      </c>
      <c r="D74" s="813">
        <v>3736</v>
      </c>
      <c r="E74" s="569">
        <v>2120.1271073081398</v>
      </c>
      <c r="F74" s="3163">
        <v>2220.4795152007773</v>
      </c>
      <c r="G74" s="567">
        <v>310.40746167653327</v>
      </c>
      <c r="H74" s="3163">
        <v>1297.51180282473</v>
      </c>
      <c r="I74" s="818">
        <f t="shared" ref="I74:I97" si="3">E74+F74+G74+H74</f>
        <v>5948.5258870101798</v>
      </c>
      <c r="J74" s="180">
        <v>262</v>
      </c>
      <c r="K74" s="3162">
        <v>248</v>
      </c>
      <c r="L74" s="3162">
        <v>1575</v>
      </c>
      <c r="M74" s="827">
        <f>187+677+753</f>
        <v>1617</v>
      </c>
    </row>
    <row r="75" spans="1:16">
      <c r="A75" s="2021">
        <f t="shared" si="1"/>
        <v>2018.2</v>
      </c>
      <c r="B75" s="180">
        <v>3727</v>
      </c>
      <c r="C75" s="3162">
        <v>846</v>
      </c>
      <c r="D75" s="813">
        <v>4573</v>
      </c>
      <c r="E75" s="569">
        <v>1454.31628098136</v>
      </c>
      <c r="F75" s="3163">
        <v>3246.9782679053396</v>
      </c>
      <c r="G75" s="567">
        <v>1119.5625841076512</v>
      </c>
      <c r="H75" s="3163">
        <v>1893.276966460154</v>
      </c>
      <c r="I75" s="818">
        <f t="shared" si="3"/>
        <v>7714.1340994545053</v>
      </c>
      <c r="J75" s="180">
        <v>461</v>
      </c>
      <c r="K75" s="3162">
        <v>170</v>
      </c>
      <c r="L75" s="3162">
        <v>1432</v>
      </c>
      <c r="M75" s="827">
        <f>285+754+1065</f>
        <v>2104</v>
      </c>
    </row>
    <row r="76" spans="1:16">
      <c r="A76" s="2021">
        <f t="shared" si="1"/>
        <v>2018.3</v>
      </c>
      <c r="B76" s="180">
        <v>2745</v>
      </c>
      <c r="C76" s="3162">
        <v>668</v>
      </c>
      <c r="D76" s="813">
        <v>3413</v>
      </c>
      <c r="E76" s="569">
        <v>1126.9065197831301</v>
      </c>
      <c r="F76" s="3163">
        <v>3381.5464686675841</v>
      </c>
      <c r="G76" s="567">
        <v>1628.0936305119189</v>
      </c>
      <c r="H76" s="3163">
        <v>1419.2062290658796</v>
      </c>
      <c r="I76" s="818">
        <f t="shared" si="3"/>
        <v>7555.7528480285127</v>
      </c>
      <c r="J76" s="180">
        <v>507</v>
      </c>
      <c r="K76" s="3162">
        <v>105</v>
      </c>
      <c r="L76" s="3162">
        <v>1218</v>
      </c>
      <c r="M76" s="827">
        <f>180+511+672</f>
        <v>1363</v>
      </c>
    </row>
    <row r="77" spans="1:16">
      <c r="A77" s="2021">
        <f t="shared" si="1"/>
        <v>2018.4</v>
      </c>
      <c r="B77" s="180">
        <v>3382</v>
      </c>
      <c r="C77" s="3162">
        <v>836</v>
      </c>
      <c r="D77" s="813">
        <v>4218</v>
      </c>
      <c r="E77" s="569">
        <v>1775.9117233903498</v>
      </c>
      <c r="F77" s="3163">
        <v>4019.4896664183912</v>
      </c>
      <c r="G77" s="567">
        <v>1376.4664654246808</v>
      </c>
      <c r="H77" s="3163">
        <v>2474.0895418718392</v>
      </c>
      <c r="I77" s="818">
        <f t="shared" si="3"/>
        <v>9645.9573971052614</v>
      </c>
      <c r="J77" s="180">
        <v>426</v>
      </c>
      <c r="K77" s="3162">
        <v>53</v>
      </c>
      <c r="L77" s="3162">
        <v>745</v>
      </c>
      <c r="M77" s="827">
        <f>156+430+734</f>
        <v>1320</v>
      </c>
    </row>
    <row r="78" spans="1:16">
      <c r="A78" s="2021">
        <f t="shared" si="1"/>
        <v>2019.1</v>
      </c>
      <c r="B78" s="180">
        <v>2665</v>
      </c>
      <c r="C78" s="3162">
        <v>681</v>
      </c>
      <c r="D78" s="813">
        <v>3346</v>
      </c>
      <c r="E78" s="569">
        <v>3768.1450031118275</v>
      </c>
      <c r="F78" s="3163">
        <v>3188.5850364330472</v>
      </c>
      <c r="G78" s="567">
        <v>734.39568868769993</v>
      </c>
      <c r="H78" s="3163">
        <v>2094.2778623615268</v>
      </c>
      <c r="I78" s="818">
        <f t="shared" si="3"/>
        <v>9785.4035905941018</v>
      </c>
      <c r="J78" s="180">
        <v>239</v>
      </c>
      <c r="K78" s="3162">
        <v>71</v>
      </c>
      <c r="L78" s="3162">
        <v>488</v>
      </c>
      <c r="M78" s="827">
        <f>65+520+497</f>
        <v>1082</v>
      </c>
    </row>
    <row r="79" spans="1:16">
      <c r="A79" s="2021">
        <f t="shared" ref="A79:A104" si="4">A75+1</f>
        <v>2019.2</v>
      </c>
      <c r="B79" s="180">
        <v>3609</v>
      </c>
      <c r="C79" s="3162">
        <v>819</v>
      </c>
      <c r="D79" s="813">
        <v>4428</v>
      </c>
      <c r="E79" s="569">
        <v>2937.9246546843706</v>
      </c>
      <c r="F79" s="3163">
        <v>5969.8932912600239</v>
      </c>
      <c r="G79" s="567">
        <v>2204.8020134559001</v>
      </c>
      <c r="H79" s="3163">
        <v>2947.7669668885219</v>
      </c>
      <c r="I79" s="818">
        <f t="shared" si="3"/>
        <v>14060.386926288815</v>
      </c>
      <c r="J79" s="180">
        <v>551</v>
      </c>
      <c r="K79" s="3162">
        <v>107</v>
      </c>
      <c r="L79" s="3162">
        <v>760</v>
      </c>
      <c r="M79" s="827">
        <f>130+769+881</f>
        <v>1780</v>
      </c>
    </row>
    <row r="80" spans="1:16">
      <c r="A80" s="2021">
        <f t="shared" si="4"/>
        <v>2019.3</v>
      </c>
      <c r="B80" s="180">
        <v>3384</v>
      </c>
      <c r="C80" s="3162">
        <v>960</v>
      </c>
      <c r="D80" s="813">
        <v>4344</v>
      </c>
      <c r="E80" s="569">
        <v>2172.9316986771923</v>
      </c>
      <c r="F80" s="3163">
        <v>7037.9381615612047</v>
      </c>
      <c r="G80" s="567">
        <v>2814.6810113190841</v>
      </c>
      <c r="H80" s="3163">
        <v>2969.5095792784796</v>
      </c>
      <c r="I80" s="818">
        <f t="shared" si="3"/>
        <v>14995.060450835961</v>
      </c>
      <c r="J80" s="180">
        <v>630</v>
      </c>
      <c r="K80" s="3162">
        <v>74</v>
      </c>
      <c r="L80" s="3162">
        <v>911</v>
      </c>
      <c r="M80" s="827">
        <f>212+685+681</f>
        <v>1578</v>
      </c>
    </row>
    <row r="81" spans="1:13">
      <c r="A81" s="2021">
        <f t="shared" si="4"/>
        <v>2019.4</v>
      </c>
      <c r="B81" s="180">
        <v>3508</v>
      </c>
      <c r="C81" s="3162">
        <v>1144</v>
      </c>
      <c r="D81" s="813">
        <v>4652</v>
      </c>
      <c r="E81" s="569">
        <v>3084.9582990938206</v>
      </c>
      <c r="F81" s="3163">
        <v>6668.6744121213778</v>
      </c>
      <c r="G81" s="567">
        <v>2383.9526333994395</v>
      </c>
      <c r="H81" s="3163">
        <v>4770.6308375651897</v>
      </c>
      <c r="I81" s="818">
        <f t="shared" si="3"/>
        <v>16908.216182179829</v>
      </c>
      <c r="J81" s="180">
        <v>502</v>
      </c>
      <c r="K81" s="3162">
        <v>70</v>
      </c>
      <c r="L81" s="3162">
        <v>698</v>
      </c>
      <c r="M81" s="827">
        <f>317+794+737</f>
        <v>1848</v>
      </c>
    </row>
    <row r="82" spans="1:13">
      <c r="A82" s="2021">
        <f t="shared" si="4"/>
        <v>2020.1</v>
      </c>
      <c r="B82" s="180">
        <v>2232</v>
      </c>
      <c r="C82" s="3162">
        <v>825</v>
      </c>
      <c r="D82" s="813">
        <v>3057</v>
      </c>
      <c r="E82" s="569">
        <v>4062.2807536668838</v>
      </c>
      <c r="F82" s="3163">
        <v>4317.9728413232897</v>
      </c>
      <c r="G82" s="567">
        <v>1202.6816706880004</v>
      </c>
      <c r="H82" s="3163">
        <v>3488.7366647662329</v>
      </c>
      <c r="I82" s="818">
        <f t="shared" si="3"/>
        <v>13071.671930444407</v>
      </c>
      <c r="J82" s="180">
        <v>191</v>
      </c>
      <c r="K82" s="3162">
        <v>122</v>
      </c>
      <c r="L82" s="3162">
        <v>581</v>
      </c>
      <c r="M82" s="827">
        <v>1219</v>
      </c>
    </row>
    <row r="83" spans="1:13">
      <c r="A83" s="2021">
        <f t="shared" si="4"/>
        <v>2020.2</v>
      </c>
      <c r="B83" s="180">
        <v>5039</v>
      </c>
      <c r="C83" s="3162">
        <v>996</v>
      </c>
      <c r="D83" s="813">
        <v>6035</v>
      </c>
      <c r="E83" s="569">
        <v>5889.4281122487691</v>
      </c>
      <c r="F83" s="3163">
        <v>10006.011168056721</v>
      </c>
      <c r="G83" s="567">
        <v>5928.0660543042004</v>
      </c>
      <c r="H83" s="3163">
        <v>7112.8175673167625</v>
      </c>
      <c r="I83" s="818">
        <f t="shared" si="3"/>
        <v>28936.322901926455</v>
      </c>
      <c r="J83" s="180">
        <v>632</v>
      </c>
      <c r="K83" s="3162">
        <v>70</v>
      </c>
      <c r="L83" s="3162">
        <v>761</v>
      </c>
      <c r="M83" s="827">
        <v>2024</v>
      </c>
    </row>
    <row r="84" spans="1:13">
      <c r="A84" s="2021">
        <f t="shared" si="4"/>
        <v>2020.3</v>
      </c>
      <c r="B84" s="180">
        <v>4833</v>
      </c>
      <c r="C84" s="3162">
        <v>497</v>
      </c>
      <c r="D84" s="813">
        <v>5330</v>
      </c>
      <c r="E84" s="569">
        <v>3459.7623597757738</v>
      </c>
      <c r="F84" s="3163">
        <v>10203.991618295529</v>
      </c>
      <c r="G84" s="567">
        <v>5712.888150910002</v>
      </c>
      <c r="H84" s="3163">
        <v>7422.7878526755057</v>
      </c>
      <c r="I84" s="818">
        <f t="shared" si="3"/>
        <v>26799.429981656809</v>
      </c>
      <c r="J84" s="180">
        <v>619</v>
      </c>
      <c r="K84" s="3162">
        <v>139</v>
      </c>
      <c r="L84" s="3162">
        <v>1275</v>
      </c>
      <c r="M84" s="827">
        <v>1956</v>
      </c>
    </row>
    <row r="85" spans="1:13">
      <c r="A85" s="2021">
        <f t="shared" si="4"/>
        <v>2020.4</v>
      </c>
      <c r="B85" s="180">
        <v>5113</v>
      </c>
      <c r="C85" s="3162">
        <v>365</v>
      </c>
      <c r="D85" s="813">
        <v>5478</v>
      </c>
      <c r="E85" s="569">
        <v>5063.2327219198987</v>
      </c>
      <c r="F85" s="3163">
        <v>11114.475612357413</v>
      </c>
      <c r="G85" s="567">
        <v>5915.2423241639972</v>
      </c>
      <c r="H85" s="3163">
        <v>9917.46973158316</v>
      </c>
      <c r="I85" s="818">
        <f t="shared" si="3"/>
        <v>32010.420390024468</v>
      </c>
      <c r="J85" s="180">
        <v>618</v>
      </c>
      <c r="K85" s="3162">
        <v>141</v>
      </c>
      <c r="L85" s="3162">
        <v>1368</v>
      </c>
      <c r="M85" s="827">
        <v>2183</v>
      </c>
    </row>
    <row r="86" spans="1:13">
      <c r="A86" s="2021">
        <f t="shared" si="4"/>
        <v>2021.1</v>
      </c>
      <c r="B86" s="180">
        <v>3654</v>
      </c>
      <c r="C86" s="3162">
        <v>263</v>
      </c>
      <c r="D86" s="813">
        <v>3917</v>
      </c>
      <c r="E86" s="569">
        <v>4877.7843783641993</v>
      </c>
      <c r="F86" s="3163">
        <v>9738.4071827974985</v>
      </c>
      <c r="G86" s="567">
        <v>3961.836959703001</v>
      </c>
      <c r="H86" s="3163">
        <v>6700.15307276778</v>
      </c>
      <c r="I86" s="818">
        <f t="shared" si="3"/>
        <v>25278.181593632478</v>
      </c>
      <c r="J86" s="180">
        <v>414</v>
      </c>
      <c r="K86" s="3162">
        <v>148</v>
      </c>
      <c r="L86" s="3162">
        <v>1437</v>
      </c>
      <c r="M86" s="827">
        <v>2117</v>
      </c>
    </row>
    <row r="87" spans="1:13">
      <c r="A87" s="2021">
        <f t="shared" si="4"/>
        <v>2021.2</v>
      </c>
      <c r="B87" s="180">
        <v>5293</v>
      </c>
      <c r="C87" s="3162">
        <v>338</v>
      </c>
      <c r="D87" s="813">
        <v>5631</v>
      </c>
      <c r="E87" s="569">
        <v>8295.8561708154994</v>
      </c>
      <c r="F87" s="3163">
        <v>14787.142309134098</v>
      </c>
      <c r="G87" s="567">
        <v>10715.30173796999</v>
      </c>
      <c r="H87" s="3163">
        <v>9981.717728378233</v>
      </c>
      <c r="I87" s="818">
        <f t="shared" si="3"/>
        <v>43780.017946297827</v>
      </c>
      <c r="J87" s="180">
        <v>727</v>
      </c>
      <c r="K87" s="3162">
        <v>202</v>
      </c>
      <c r="L87" s="3162">
        <v>1741</v>
      </c>
      <c r="M87" s="827">
        <v>2593</v>
      </c>
    </row>
    <row r="88" spans="1:13">
      <c r="A88" s="2021">
        <f t="shared" si="4"/>
        <v>2021.3</v>
      </c>
      <c r="B88" s="180">
        <v>5707</v>
      </c>
      <c r="C88" s="3162">
        <v>449</v>
      </c>
      <c r="D88" s="813">
        <v>6156</v>
      </c>
      <c r="E88" s="569">
        <v>6856.376267451672</v>
      </c>
      <c r="F88" s="3163">
        <v>17843.817197806693</v>
      </c>
      <c r="G88" s="567">
        <v>10817.203675789993</v>
      </c>
      <c r="H88" s="3163">
        <v>13482.100382548109</v>
      </c>
      <c r="I88" s="818">
        <f t="shared" si="3"/>
        <v>48999.497523596467</v>
      </c>
      <c r="J88" s="180">
        <v>765</v>
      </c>
      <c r="K88" s="3162">
        <v>199</v>
      </c>
      <c r="L88" s="3162">
        <v>2023</v>
      </c>
      <c r="M88" s="827">
        <v>2520</v>
      </c>
    </row>
    <row r="89" spans="1:13">
      <c r="A89" s="2021">
        <f t="shared" si="4"/>
        <v>2021.4</v>
      </c>
      <c r="B89" s="180">
        <v>5908</v>
      </c>
      <c r="C89" s="3162">
        <v>306</v>
      </c>
      <c r="D89" s="813">
        <v>6214</v>
      </c>
      <c r="E89" s="569">
        <v>7078.5811836077073</v>
      </c>
      <c r="F89" s="3163">
        <v>17477.928404104401</v>
      </c>
      <c r="G89" s="567">
        <v>11237.883113299995</v>
      </c>
      <c r="H89" s="3163">
        <v>17125.642768179692</v>
      </c>
      <c r="I89" s="818">
        <f t="shared" si="3"/>
        <v>52920.035469191796</v>
      </c>
      <c r="J89" s="180">
        <v>730</v>
      </c>
      <c r="K89" s="3162">
        <v>179</v>
      </c>
      <c r="L89" s="3162">
        <v>1862</v>
      </c>
      <c r="M89" s="827">
        <v>2622</v>
      </c>
    </row>
    <row r="90" spans="1:13">
      <c r="A90" s="2021">
        <f t="shared" si="4"/>
        <v>2022.1</v>
      </c>
      <c r="B90" s="180">
        <v>2429</v>
      </c>
      <c r="C90" s="3162">
        <v>171</v>
      </c>
      <c r="D90" s="813">
        <v>2600</v>
      </c>
      <c r="E90" s="569">
        <v>8861.0295312261169</v>
      </c>
      <c r="F90" s="3163">
        <v>16310.0651503843</v>
      </c>
      <c r="G90" s="567">
        <v>7575.5532434660036</v>
      </c>
      <c r="H90" s="3163">
        <v>11438.909453824201</v>
      </c>
      <c r="I90" s="818">
        <f t="shared" si="3"/>
        <v>44185.557378900623</v>
      </c>
      <c r="J90" s="180">
        <v>483</v>
      </c>
      <c r="K90" s="3162">
        <v>236</v>
      </c>
      <c r="L90" s="3162">
        <v>1722</v>
      </c>
      <c r="M90" s="827">
        <v>1974</v>
      </c>
    </row>
    <row r="91" spans="1:13">
      <c r="A91" s="2021">
        <f t="shared" si="4"/>
        <v>2022.2</v>
      </c>
      <c r="B91" s="180">
        <v>5922</v>
      </c>
      <c r="C91" s="3162">
        <v>430</v>
      </c>
      <c r="D91" s="813">
        <v>6352</v>
      </c>
      <c r="E91" s="569">
        <v>14702.698712180954</v>
      </c>
      <c r="F91" s="3163">
        <v>25347.703396010744</v>
      </c>
      <c r="G91" s="567">
        <v>19533.217044650013</v>
      </c>
      <c r="H91" s="3163">
        <v>19187.995994100056</v>
      </c>
      <c r="I91" s="818">
        <f t="shared" si="3"/>
        <v>78771.615146941767</v>
      </c>
      <c r="J91" s="180">
        <v>772</v>
      </c>
      <c r="K91" s="3162">
        <v>292</v>
      </c>
      <c r="L91" s="3162">
        <v>2030</v>
      </c>
      <c r="M91" s="827">
        <v>2943</v>
      </c>
    </row>
    <row r="92" spans="1:13">
      <c r="A92" s="2021">
        <f t="shared" si="4"/>
        <v>2022.3</v>
      </c>
      <c r="B92" s="180">
        <v>5851</v>
      </c>
      <c r="C92" s="3162">
        <v>318</v>
      </c>
      <c r="D92" s="813">
        <v>6169</v>
      </c>
      <c r="E92" s="569">
        <v>14167.889045345875</v>
      </c>
      <c r="F92" s="3163">
        <v>34164.830038552391</v>
      </c>
      <c r="G92" s="567">
        <v>14219.528447646006</v>
      </c>
      <c r="H92" s="3163">
        <v>20843.421958742583</v>
      </c>
      <c r="I92" s="818">
        <f t="shared" si="3"/>
        <v>83395.669490286848</v>
      </c>
      <c r="J92" s="180">
        <v>775</v>
      </c>
      <c r="K92" s="3162">
        <v>232</v>
      </c>
      <c r="L92" s="3162">
        <v>2437</v>
      </c>
      <c r="M92" s="827">
        <v>2917</v>
      </c>
    </row>
    <row r="93" spans="1:13">
      <c r="A93" s="2021">
        <f t="shared" si="4"/>
        <v>2022.4</v>
      </c>
      <c r="B93" s="180">
        <v>4570</v>
      </c>
      <c r="C93" s="3162">
        <v>272</v>
      </c>
      <c r="D93" s="813">
        <v>4842</v>
      </c>
      <c r="E93" s="569">
        <v>10653.244742979034</v>
      </c>
      <c r="F93" s="3163">
        <v>30950.054602172109</v>
      </c>
      <c r="G93" s="3163">
        <v>13145.350266390002</v>
      </c>
      <c r="H93" s="3163">
        <v>20026.204236005196</v>
      </c>
      <c r="I93" s="818">
        <f t="shared" si="3"/>
        <v>74774.853847546343</v>
      </c>
      <c r="J93" s="180">
        <v>686</v>
      </c>
      <c r="K93" s="3162">
        <v>140</v>
      </c>
      <c r="L93" s="3162">
        <v>1934</v>
      </c>
      <c r="M93" s="827">
        <v>2344</v>
      </c>
    </row>
    <row r="94" spans="1:13">
      <c r="A94" s="2021">
        <f t="shared" si="4"/>
        <v>2023.1</v>
      </c>
      <c r="B94" s="180">
        <v>1585</v>
      </c>
      <c r="C94" s="3162">
        <v>106</v>
      </c>
      <c r="D94" s="813">
        <v>1691</v>
      </c>
      <c r="E94" s="569">
        <v>16850.492343752601</v>
      </c>
      <c r="F94" s="3163">
        <v>33623.074913130331</v>
      </c>
      <c r="G94" s="3163">
        <v>7039.5810130199989</v>
      </c>
      <c r="H94" s="3163">
        <v>21028.84790931164</v>
      </c>
      <c r="I94" s="818">
        <f t="shared" si="3"/>
        <v>78541.996179214562</v>
      </c>
      <c r="J94" s="180">
        <v>346</v>
      </c>
      <c r="K94" s="3162">
        <v>231</v>
      </c>
      <c r="L94" s="3162">
        <v>1865</v>
      </c>
      <c r="M94" s="827">
        <v>1748</v>
      </c>
    </row>
    <row r="95" spans="1:13">
      <c r="A95" s="2021">
        <f t="shared" si="4"/>
        <v>2023.2</v>
      </c>
      <c r="B95" s="180">
        <v>4587</v>
      </c>
      <c r="C95" s="3162">
        <v>174</v>
      </c>
      <c r="D95" s="813">
        <v>4761</v>
      </c>
      <c r="E95" s="569">
        <v>19862.464843382404</v>
      </c>
      <c r="F95" s="3163">
        <v>57537.977984828787</v>
      </c>
      <c r="G95" s="3163">
        <v>18927.161213739997</v>
      </c>
      <c r="H95" s="3163">
        <v>30273.848508139774</v>
      </c>
      <c r="I95" s="818">
        <f t="shared" si="3"/>
        <v>126601.45255009097</v>
      </c>
      <c r="J95" s="180">
        <v>510</v>
      </c>
      <c r="K95" s="3162">
        <v>252</v>
      </c>
      <c r="L95" s="3162">
        <v>2410</v>
      </c>
      <c r="M95" s="827">
        <v>1989</v>
      </c>
    </row>
    <row r="96" spans="1:13">
      <c r="A96" s="2021">
        <f t="shared" si="4"/>
        <v>2023.3</v>
      </c>
      <c r="B96" s="180">
        <v>4093</v>
      </c>
      <c r="C96" s="3162">
        <v>317</v>
      </c>
      <c r="D96" s="813">
        <v>4410</v>
      </c>
      <c r="E96" s="569">
        <v>22356.185153013939</v>
      </c>
      <c r="F96" s="3163">
        <v>76452.853677458843</v>
      </c>
      <c r="G96" s="3163">
        <v>25079.457814042984</v>
      </c>
      <c r="H96" s="3163">
        <v>35977.908623174168</v>
      </c>
      <c r="I96" s="818">
        <f t="shared" si="3"/>
        <v>159866.40526768993</v>
      </c>
      <c r="J96" s="180">
        <v>503</v>
      </c>
      <c r="K96" s="3162">
        <v>173</v>
      </c>
      <c r="L96" s="3162">
        <v>2296</v>
      </c>
      <c r="M96" s="827">
        <v>1768</v>
      </c>
    </row>
    <row r="97" spans="1:13">
      <c r="A97" s="2021">
        <f t="shared" si="4"/>
        <v>2023.4</v>
      </c>
      <c r="B97" s="180">
        <v>1777</v>
      </c>
      <c r="C97" s="3162">
        <v>52</v>
      </c>
      <c r="D97" s="813">
        <v>1829</v>
      </c>
      <c r="E97" s="569">
        <v>21162.768046268757</v>
      </c>
      <c r="F97" s="3163">
        <v>73353.845812399129</v>
      </c>
      <c r="G97" s="3163">
        <v>27762.920028422592</v>
      </c>
      <c r="H97" s="3163">
        <v>30006.460496071359</v>
      </c>
      <c r="I97" s="818">
        <f t="shared" si="3"/>
        <v>152285.99438316183</v>
      </c>
      <c r="J97" s="180">
        <v>321</v>
      </c>
      <c r="K97" s="3162">
        <v>141</v>
      </c>
      <c r="L97" s="3162">
        <v>1745</v>
      </c>
      <c r="M97" s="827">
        <v>1419</v>
      </c>
    </row>
    <row r="98" spans="1:13">
      <c r="A98" s="2021">
        <f t="shared" si="4"/>
        <v>2024.1</v>
      </c>
      <c r="B98" s="180">
        <v>2748</v>
      </c>
      <c r="C98" s="3162">
        <v>23</v>
      </c>
      <c r="D98" s="813">
        <v>2771</v>
      </c>
      <c r="E98" s="569">
        <v>64982.398090858638</v>
      </c>
      <c r="F98" s="3163">
        <v>111937.13932755678</v>
      </c>
      <c r="G98" s="3163">
        <v>21298.927885670008</v>
      </c>
      <c r="H98" s="3163">
        <v>71724.315224049642</v>
      </c>
      <c r="I98" s="818">
        <f t="shared" ref="I98:I104" si="5">E98+F98+G98+H98</f>
        <v>269942.78052813507</v>
      </c>
      <c r="J98" s="180">
        <v>215</v>
      </c>
      <c r="K98" s="3162">
        <v>41</v>
      </c>
      <c r="L98" s="3162">
        <v>1049</v>
      </c>
      <c r="M98" s="827">
        <v>1156</v>
      </c>
    </row>
    <row r="99" spans="1:13">
      <c r="A99" s="2021">
        <f t="shared" si="4"/>
        <v>2024.2</v>
      </c>
      <c r="B99" s="180">
        <v>3723</v>
      </c>
      <c r="C99" s="3162">
        <v>190</v>
      </c>
      <c r="D99" s="813">
        <v>3913</v>
      </c>
      <c r="E99" s="569">
        <v>69637.815236878989</v>
      </c>
      <c r="F99" s="3163">
        <v>179836.21725585763</v>
      </c>
      <c r="G99" s="3163">
        <v>95544.920331849979</v>
      </c>
      <c r="H99" s="3163">
        <v>100610.05904306295</v>
      </c>
      <c r="I99" s="818">
        <f t="shared" si="5"/>
        <v>445629.01186764956</v>
      </c>
      <c r="J99" s="180">
        <v>372</v>
      </c>
      <c r="K99" s="3162">
        <v>143</v>
      </c>
      <c r="L99" s="3162">
        <v>1424</v>
      </c>
      <c r="M99" s="827">
        <v>1419</v>
      </c>
    </row>
    <row r="100" spans="1:13">
      <c r="A100" s="2021">
        <f t="shared" si="4"/>
        <v>2024.3</v>
      </c>
      <c r="B100" s="180">
        <v>4428</v>
      </c>
      <c r="C100" s="3162">
        <v>591</v>
      </c>
      <c r="D100" s="813">
        <v>5019</v>
      </c>
      <c r="E100" s="569">
        <v>86729.942451798168</v>
      </c>
      <c r="F100" s="3163">
        <v>265491.33047163015</v>
      </c>
      <c r="G100" s="3163">
        <v>151872.92774968306</v>
      </c>
      <c r="H100" s="3163">
        <v>148219.33617267507</v>
      </c>
      <c r="I100" s="818">
        <f t="shared" si="5"/>
        <v>652313.5368457865</v>
      </c>
      <c r="J100" s="180">
        <v>583</v>
      </c>
      <c r="K100" s="3162">
        <v>108</v>
      </c>
      <c r="L100" s="3162">
        <v>1588</v>
      </c>
      <c r="M100" s="827">
        <v>1599</v>
      </c>
    </row>
    <row r="101" spans="1:13">
      <c r="A101" s="2021">
        <f t="shared" si="4"/>
        <v>2024.4</v>
      </c>
      <c r="B101" s="180">
        <v>5704</v>
      </c>
      <c r="C101" s="3162">
        <v>580</v>
      </c>
      <c r="D101" s="813">
        <v>6284</v>
      </c>
      <c r="E101" s="569">
        <v>101675.85699426875</v>
      </c>
      <c r="F101" s="3163">
        <v>216353.03911369044</v>
      </c>
      <c r="G101" s="3163">
        <v>89523.849776907038</v>
      </c>
      <c r="H101" s="3163">
        <v>164583.70522491602</v>
      </c>
      <c r="I101" s="818">
        <f t="shared" si="5"/>
        <v>572136.45110978221</v>
      </c>
      <c r="J101" s="180">
        <v>477</v>
      </c>
      <c r="K101" s="3162">
        <v>158</v>
      </c>
      <c r="L101" s="3162">
        <v>1584</v>
      </c>
      <c r="M101" s="827">
        <v>1577</v>
      </c>
    </row>
    <row r="102" spans="1:13">
      <c r="A102" s="2021">
        <f t="shared" si="4"/>
        <v>2025.1</v>
      </c>
      <c r="B102" s="180">
        <v>2854</v>
      </c>
      <c r="C102" s="3162">
        <v>531</v>
      </c>
      <c r="D102" s="813">
        <v>5387</v>
      </c>
      <c r="E102" s="569">
        <v>136563.89355885997</v>
      </c>
      <c r="F102" s="3163">
        <v>165054.5483855193</v>
      </c>
      <c r="G102" s="3163">
        <v>46254.718602795983</v>
      </c>
      <c r="H102" s="3163">
        <v>164173.004799691</v>
      </c>
      <c r="I102" s="818">
        <f t="shared" si="5"/>
        <v>512046.16534686624</v>
      </c>
      <c r="J102" s="180" t="e">
        <v>#N/A</v>
      </c>
      <c r="K102" s="3162" t="e">
        <v>#N/A</v>
      </c>
      <c r="L102" s="3162" t="e">
        <v>#N/A</v>
      </c>
      <c r="M102" s="827" t="e">
        <v>#N/A</v>
      </c>
    </row>
    <row r="103" spans="1:13">
      <c r="A103" s="2021">
        <f t="shared" si="4"/>
        <v>2025.2</v>
      </c>
      <c r="B103" s="180" t="e">
        <f t="shared" ref="B103:B109" si="6">SUM(J103:M103)</f>
        <v>#N/A</v>
      </c>
      <c r="C103" s="3162" t="e">
        <f t="shared" ref="C103:C109" si="7">D103-B103</f>
        <v>#N/A</v>
      </c>
      <c r="D103" s="354" t="e">
        <v>#N/A</v>
      </c>
      <c r="E103" s="816" t="e">
        <v>#N/A</v>
      </c>
      <c r="F103" s="3142" t="e">
        <v>#N/A</v>
      </c>
      <c r="G103" s="816" t="e">
        <v>#N/A</v>
      </c>
      <c r="H103" s="3142" t="e">
        <v>#N/A</v>
      </c>
      <c r="I103" s="818" t="e">
        <f t="shared" si="5"/>
        <v>#N/A</v>
      </c>
      <c r="J103" s="180" t="e">
        <v>#N/A</v>
      </c>
      <c r="K103" s="3162" t="e">
        <v>#N/A</v>
      </c>
      <c r="L103" s="3162" t="e">
        <v>#N/A</v>
      </c>
      <c r="M103" s="827" t="e">
        <v>#N/A</v>
      </c>
    </row>
    <row r="104" spans="1:13">
      <c r="A104" s="2021">
        <f t="shared" si="4"/>
        <v>2025.3</v>
      </c>
      <c r="B104" s="180" t="e">
        <f t="shared" si="6"/>
        <v>#N/A</v>
      </c>
      <c r="C104" s="3162" t="e">
        <f t="shared" si="7"/>
        <v>#N/A</v>
      </c>
      <c r="D104" s="354" t="e">
        <v>#N/A</v>
      </c>
      <c r="E104" s="816" t="e">
        <v>#N/A</v>
      </c>
      <c r="F104" s="3142" t="e">
        <v>#N/A</v>
      </c>
      <c r="G104" s="816" t="e">
        <v>#N/A</v>
      </c>
      <c r="H104" s="3142" t="e">
        <v>#N/A</v>
      </c>
      <c r="I104" s="818" t="e">
        <f t="shared" si="5"/>
        <v>#N/A</v>
      </c>
      <c r="J104" s="180" t="e">
        <v>#N/A</v>
      </c>
      <c r="K104" s="3162" t="e">
        <v>#N/A</v>
      </c>
      <c r="L104" s="3162" t="e">
        <v>#N/A</v>
      </c>
      <c r="M104" s="827" t="e">
        <v>#N/A</v>
      </c>
    </row>
    <row r="105" spans="1:13">
      <c r="A105" s="2021">
        <f t="shared" ref="A105:A118" si="8">A101+1</f>
        <v>2025.4</v>
      </c>
      <c r="B105" s="180" t="e">
        <f t="shared" si="6"/>
        <v>#N/A</v>
      </c>
      <c r="C105" s="3162" t="e">
        <f t="shared" si="7"/>
        <v>#N/A</v>
      </c>
      <c r="D105" s="354" t="e">
        <v>#N/A</v>
      </c>
      <c r="E105" s="816" t="e">
        <v>#N/A</v>
      </c>
      <c r="F105" s="3142" t="e">
        <v>#N/A</v>
      </c>
      <c r="G105" s="816" t="e">
        <v>#N/A</v>
      </c>
      <c r="H105" s="3142" t="e">
        <v>#N/A</v>
      </c>
      <c r="I105" s="818" t="e">
        <f>E105+F105+G105+H105</f>
        <v>#N/A</v>
      </c>
      <c r="J105" s="180" t="e">
        <v>#N/A</v>
      </c>
      <c r="K105" s="3162" t="e">
        <v>#N/A</v>
      </c>
      <c r="L105" s="3162" t="e">
        <v>#N/A</v>
      </c>
      <c r="M105" s="827" t="e">
        <v>#N/A</v>
      </c>
    </row>
    <row r="106" spans="1:13">
      <c r="A106" s="2021">
        <f t="shared" si="8"/>
        <v>2026.1</v>
      </c>
      <c r="B106" s="180" t="e">
        <f t="shared" si="6"/>
        <v>#N/A</v>
      </c>
      <c r="C106" s="3162" t="e">
        <f t="shared" si="7"/>
        <v>#N/A</v>
      </c>
      <c r="D106" s="354" t="e">
        <v>#N/A</v>
      </c>
      <c r="E106" s="816" t="e">
        <v>#N/A</v>
      </c>
      <c r="F106" s="3142" t="e">
        <v>#N/A</v>
      </c>
      <c r="G106" s="816" t="e">
        <v>#N/A</v>
      </c>
      <c r="H106" s="3142" t="e">
        <v>#N/A</v>
      </c>
      <c r="I106" s="818" t="e">
        <f t="shared" ref="I106:I118" si="9">E106+F106+G106+H106</f>
        <v>#N/A</v>
      </c>
      <c r="J106" s="180" t="e">
        <v>#N/A</v>
      </c>
      <c r="K106" s="3162" t="e">
        <v>#N/A</v>
      </c>
      <c r="L106" s="3162" t="e">
        <v>#N/A</v>
      </c>
      <c r="M106" s="827" t="e">
        <v>#N/A</v>
      </c>
    </row>
    <row r="107" spans="1:13">
      <c r="A107" s="2021">
        <f t="shared" si="8"/>
        <v>2026.2</v>
      </c>
      <c r="B107" s="180" t="e">
        <f t="shared" si="6"/>
        <v>#N/A</v>
      </c>
      <c r="C107" s="3162" t="e">
        <f t="shared" si="7"/>
        <v>#N/A</v>
      </c>
      <c r="D107" s="354" t="e">
        <v>#N/A</v>
      </c>
      <c r="E107" s="816" t="e">
        <v>#N/A</v>
      </c>
      <c r="F107" s="3142" t="e">
        <v>#N/A</v>
      </c>
      <c r="G107" s="816" t="e">
        <v>#N/A</v>
      </c>
      <c r="H107" s="3142" t="e">
        <v>#N/A</v>
      </c>
      <c r="I107" s="818" t="e">
        <f t="shared" si="9"/>
        <v>#N/A</v>
      </c>
      <c r="J107" s="180" t="e">
        <v>#N/A</v>
      </c>
      <c r="K107" s="3162" t="e">
        <v>#N/A</v>
      </c>
      <c r="L107" s="3162" t="e">
        <v>#N/A</v>
      </c>
      <c r="M107" s="827" t="e">
        <v>#N/A</v>
      </c>
    </row>
    <row r="108" spans="1:13">
      <c r="A108" s="2021">
        <f t="shared" si="8"/>
        <v>2026.3</v>
      </c>
      <c r="B108" s="180" t="e">
        <f t="shared" si="6"/>
        <v>#N/A</v>
      </c>
      <c r="C108" s="3162" t="e">
        <f t="shared" si="7"/>
        <v>#N/A</v>
      </c>
      <c r="D108" s="354" t="e">
        <v>#N/A</v>
      </c>
      <c r="E108" s="816" t="e">
        <v>#N/A</v>
      </c>
      <c r="F108" s="3142" t="e">
        <v>#N/A</v>
      </c>
      <c r="G108" s="816" t="e">
        <v>#N/A</v>
      </c>
      <c r="H108" s="3142" t="e">
        <v>#N/A</v>
      </c>
      <c r="I108" s="818" t="e">
        <f t="shared" si="9"/>
        <v>#N/A</v>
      </c>
      <c r="J108" s="180" t="e">
        <v>#N/A</v>
      </c>
      <c r="K108" s="3162" t="e">
        <v>#N/A</v>
      </c>
      <c r="L108" s="3162" t="e">
        <v>#N/A</v>
      </c>
      <c r="M108" s="827" t="e">
        <v>#N/A</v>
      </c>
    </row>
    <row r="109" spans="1:13">
      <c r="A109" s="2021">
        <f t="shared" si="8"/>
        <v>2026.4</v>
      </c>
      <c r="B109" s="180" t="e">
        <f t="shared" si="6"/>
        <v>#N/A</v>
      </c>
      <c r="C109" s="3162" t="e">
        <f t="shared" si="7"/>
        <v>#N/A</v>
      </c>
      <c r="D109" s="354" t="e">
        <v>#N/A</v>
      </c>
      <c r="E109" s="816" t="e">
        <v>#N/A</v>
      </c>
      <c r="F109" s="3142" t="e">
        <v>#N/A</v>
      </c>
      <c r="G109" s="816" t="e">
        <v>#N/A</v>
      </c>
      <c r="H109" s="3142" t="e">
        <v>#N/A</v>
      </c>
      <c r="I109" s="818" t="e">
        <f t="shared" si="9"/>
        <v>#N/A</v>
      </c>
      <c r="J109" s="180" t="e">
        <v>#N/A</v>
      </c>
      <c r="K109" s="3162" t="e">
        <v>#N/A</v>
      </c>
      <c r="L109" s="3162" t="e">
        <v>#N/A</v>
      </c>
      <c r="M109" s="827" t="e">
        <v>#N/A</v>
      </c>
    </row>
    <row r="110" spans="1:13">
      <c r="A110" s="2021">
        <f t="shared" si="8"/>
        <v>2027.1</v>
      </c>
      <c r="B110" s="180" t="e">
        <f t="shared" ref="B110:B118" si="10">SUM(J110:M110)</f>
        <v>#N/A</v>
      </c>
      <c r="C110" s="3162" t="e">
        <f t="shared" ref="C110:C118" si="11">D110-B110</f>
        <v>#N/A</v>
      </c>
      <c r="D110" s="354" t="e">
        <v>#N/A</v>
      </c>
      <c r="E110" s="816" t="e">
        <v>#N/A</v>
      </c>
      <c r="F110" s="3142" t="e">
        <v>#N/A</v>
      </c>
      <c r="G110" s="816" t="e">
        <v>#N/A</v>
      </c>
      <c r="H110" s="3142" t="e">
        <v>#N/A</v>
      </c>
      <c r="I110" s="818" t="e">
        <f t="shared" si="9"/>
        <v>#N/A</v>
      </c>
      <c r="J110" s="180" t="e">
        <v>#N/A</v>
      </c>
      <c r="K110" s="3162" t="e">
        <v>#N/A</v>
      </c>
      <c r="L110" s="3162" t="e">
        <v>#N/A</v>
      </c>
      <c r="M110" s="827" t="e">
        <v>#N/A</v>
      </c>
    </row>
    <row r="111" spans="1:13">
      <c r="A111" s="2021">
        <f t="shared" si="8"/>
        <v>2027.2</v>
      </c>
      <c r="B111" s="180" t="e">
        <f t="shared" si="10"/>
        <v>#N/A</v>
      </c>
      <c r="C111" s="3162" t="e">
        <f t="shared" si="11"/>
        <v>#N/A</v>
      </c>
      <c r="D111" s="354" t="e">
        <v>#N/A</v>
      </c>
      <c r="E111" s="816" t="e">
        <v>#N/A</v>
      </c>
      <c r="F111" s="3142" t="e">
        <v>#N/A</v>
      </c>
      <c r="G111" s="816" t="e">
        <v>#N/A</v>
      </c>
      <c r="H111" s="3142" t="e">
        <v>#N/A</v>
      </c>
      <c r="I111" s="818" t="e">
        <f t="shared" si="9"/>
        <v>#N/A</v>
      </c>
      <c r="J111" s="180" t="e">
        <v>#N/A</v>
      </c>
      <c r="K111" s="3162" t="e">
        <v>#N/A</v>
      </c>
      <c r="L111" s="3162" t="e">
        <v>#N/A</v>
      </c>
      <c r="M111" s="827" t="e">
        <v>#N/A</v>
      </c>
    </row>
    <row r="112" spans="1:13">
      <c r="A112" s="2021">
        <f t="shared" si="8"/>
        <v>2027.3</v>
      </c>
      <c r="B112" s="180" t="e">
        <f t="shared" si="10"/>
        <v>#N/A</v>
      </c>
      <c r="C112" s="3162" t="e">
        <f t="shared" si="11"/>
        <v>#N/A</v>
      </c>
      <c r="D112" s="354" t="e">
        <v>#N/A</v>
      </c>
      <c r="E112" s="816" t="e">
        <v>#N/A</v>
      </c>
      <c r="F112" s="3142" t="e">
        <v>#N/A</v>
      </c>
      <c r="G112" s="816" t="e">
        <v>#N/A</v>
      </c>
      <c r="H112" s="3142" t="e">
        <v>#N/A</v>
      </c>
      <c r="I112" s="818" t="e">
        <f t="shared" si="9"/>
        <v>#N/A</v>
      </c>
      <c r="J112" s="180" t="e">
        <v>#N/A</v>
      </c>
      <c r="K112" s="3162" t="e">
        <v>#N/A</v>
      </c>
      <c r="L112" s="3162" t="e">
        <v>#N/A</v>
      </c>
      <c r="M112" s="827" t="e">
        <v>#N/A</v>
      </c>
    </row>
    <row r="113" spans="1:13">
      <c r="A113" s="2021">
        <f t="shared" si="8"/>
        <v>2027.4</v>
      </c>
      <c r="B113" s="180" t="e">
        <f t="shared" si="10"/>
        <v>#N/A</v>
      </c>
      <c r="C113" s="3162" t="e">
        <f t="shared" si="11"/>
        <v>#N/A</v>
      </c>
      <c r="D113" s="354" t="e">
        <v>#N/A</v>
      </c>
      <c r="E113" s="816" t="e">
        <v>#N/A</v>
      </c>
      <c r="F113" s="3142" t="e">
        <v>#N/A</v>
      </c>
      <c r="G113" s="816" t="e">
        <v>#N/A</v>
      </c>
      <c r="H113" s="3142" t="e">
        <v>#N/A</v>
      </c>
      <c r="I113" s="818" t="e">
        <f t="shared" si="9"/>
        <v>#N/A</v>
      </c>
      <c r="J113" s="180" t="e">
        <v>#N/A</v>
      </c>
      <c r="K113" s="3162" t="e">
        <v>#N/A</v>
      </c>
      <c r="L113" s="3162" t="e">
        <v>#N/A</v>
      </c>
      <c r="M113" s="827" t="e">
        <v>#N/A</v>
      </c>
    </row>
    <row r="114" spans="1:13">
      <c r="A114" s="2021">
        <f t="shared" si="8"/>
        <v>2028.1</v>
      </c>
      <c r="B114" s="180" t="e">
        <f t="shared" si="10"/>
        <v>#N/A</v>
      </c>
      <c r="C114" s="3162" t="e">
        <f t="shared" si="11"/>
        <v>#N/A</v>
      </c>
      <c r="D114" s="354" t="e">
        <v>#N/A</v>
      </c>
      <c r="E114" s="816" t="e">
        <v>#N/A</v>
      </c>
      <c r="F114" s="3142" t="e">
        <v>#N/A</v>
      </c>
      <c r="G114" s="816" t="e">
        <v>#N/A</v>
      </c>
      <c r="H114" s="3142" t="e">
        <v>#N/A</v>
      </c>
      <c r="I114" s="818" t="e">
        <f t="shared" si="9"/>
        <v>#N/A</v>
      </c>
      <c r="J114" s="180" t="e">
        <v>#N/A</v>
      </c>
      <c r="K114" s="3162" t="e">
        <v>#N/A</v>
      </c>
      <c r="L114" s="3162" t="e">
        <v>#N/A</v>
      </c>
      <c r="M114" s="827" t="e">
        <v>#N/A</v>
      </c>
    </row>
    <row r="115" spans="1:13">
      <c r="A115" s="2021">
        <f t="shared" si="8"/>
        <v>2028.2</v>
      </c>
      <c r="B115" s="180" t="e">
        <f t="shared" si="10"/>
        <v>#N/A</v>
      </c>
      <c r="C115" s="3162" t="e">
        <f t="shared" si="11"/>
        <v>#N/A</v>
      </c>
      <c r="D115" s="354" t="e">
        <v>#N/A</v>
      </c>
      <c r="E115" s="816" t="e">
        <v>#N/A</v>
      </c>
      <c r="F115" s="3142" t="e">
        <v>#N/A</v>
      </c>
      <c r="G115" s="816" t="e">
        <v>#N/A</v>
      </c>
      <c r="H115" s="3142" t="e">
        <v>#N/A</v>
      </c>
      <c r="I115" s="818" t="e">
        <f t="shared" si="9"/>
        <v>#N/A</v>
      </c>
      <c r="J115" s="180" t="e">
        <v>#N/A</v>
      </c>
      <c r="K115" s="3162" t="e">
        <v>#N/A</v>
      </c>
      <c r="L115" s="3162" t="e">
        <v>#N/A</v>
      </c>
      <c r="M115" s="827" t="e">
        <v>#N/A</v>
      </c>
    </row>
    <row r="116" spans="1:13">
      <c r="A116" s="2021">
        <f t="shared" si="8"/>
        <v>2028.3</v>
      </c>
      <c r="B116" s="180" t="e">
        <f t="shared" si="10"/>
        <v>#N/A</v>
      </c>
      <c r="C116" s="3162" t="e">
        <f t="shared" si="11"/>
        <v>#N/A</v>
      </c>
      <c r="D116" s="354" t="e">
        <v>#N/A</v>
      </c>
      <c r="E116" s="816" t="e">
        <v>#N/A</v>
      </c>
      <c r="F116" s="3142" t="e">
        <v>#N/A</v>
      </c>
      <c r="G116" s="816" t="e">
        <v>#N/A</v>
      </c>
      <c r="H116" s="3142" t="e">
        <v>#N/A</v>
      </c>
      <c r="I116" s="818" t="e">
        <f t="shared" si="9"/>
        <v>#N/A</v>
      </c>
      <c r="J116" s="180" t="e">
        <v>#N/A</v>
      </c>
      <c r="K116" s="3162" t="e">
        <v>#N/A</v>
      </c>
      <c r="L116" s="3162" t="e">
        <v>#N/A</v>
      </c>
      <c r="M116" s="827" t="e">
        <v>#N/A</v>
      </c>
    </row>
    <row r="117" spans="1:13">
      <c r="A117" s="2021">
        <f t="shared" si="8"/>
        <v>2028.4</v>
      </c>
      <c r="B117" s="180" t="e">
        <f t="shared" si="10"/>
        <v>#N/A</v>
      </c>
      <c r="C117" s="3162" t="e">
        <f t="shared" si="11"/>
        <v>#N/A</v>
      </c>
      <c r="D117" s="354" t="e">
        <v>#N/A</v>
      </c>
      <c r="E117" s="816" t="e">
        <v>#N/A</v>
      </c>
      <c r="F117" s="3142" t="e">
        <v>#N/A</v>
      </c>
      <c r="G117" s="816" t="e">
        <v>#N/A</v>
      </c>
      <c r="H117" s="3142" t="e">
        <v>#N/A</v>
      </c>
      <c r="I117" s="818" t="e">
        <f t="shared" si="9"/>
        <v>#N/A</v>
      </c>
      <c r="J117" s="180" t="e">
        <v>#N/A</v>
      </c>
      <c r="K117" s="3162" t="e">
        <v>#N/A</v>
      </c>
      <c r="L117" s="3162" t="e">
        <v>#N/A</v>
      </c>
      <c r="M117" s="827" t="e">
        <v>#N/A</v>
      </c>
    </row>
    <row r="118" spans="1:13">
      <c r="A118" s="2021">
        <f t="shared" si="8"/>
        <v>2029.1</v>
      </c>
      <c r="B118" s="180" t="e">
        <f t="shared" si="10"/>
        <v>#N/A</v>
      </c>
      <c r="C118" s="3162" t="e">
        <f t="shared" si="11"/>
        <v>#N/A</v>
      </c>
      <c r="D118" s="354" t="e">
        <v>#N/A</v>
      </c>
      <c r="E118" s="816" t="e">
        <v>#N/A</v>
      </c>
      <c r="F118" s="3142" t="e">
        <v>#N/A</v>
      </c>
      <c r="G118" s="816" t="e">
        <v>#N/A</v>
      </c>
      <c r="H118" s="3142" t="e">
        <v>#N/A</v>
      </c>
      <c r="I118" s="818" t="e">
        <f t="shared" si="9"/>
        <v>#N/A</v>
      </c>
      <c r="J118" s="180" t="e">
        <v>#N/A</v>
      </c>
      <c r="K118" s="3162" t="e">
        <v>#N/A</v>
      </c>
      <c r="L118" s="3162" t="e">
        <v>#N/A</v>
      </c>
      <c r="M118" s="827" t="e">
        <v>#N/A</v>
      </c>
    </row>
    <row r="119" spans="1:13">
      <c r="A119" s="2021">
        <f t="shared" ref="A119:A125" si="12">A115+1</f>
        <v>2029.2</v>
      </c>
      <c r="B119" s="180" t="e">
        <f t="shared" ref="B119:B122" si="13">SUM(J119:M119)</f>
        <v>#N/A</v>
      </c>
      <c r="C119" s="3162" t="e">
        <f t="shared" ref="C119:C122" si="14">D119-B119</f>
        <v>#N/A</v>
      </c>
      <c r="D119" s="354" t="e">
        <v>#N/A</v>
      </c>
      <c r="E119" s="816" t="e">
        <v>#N/A</v>
      </c>
      <c r="F119" s="3142" t="e">
        <v>#N/A</v>
      </c>
      <c r="G119" s="816" t="e">
        <v>#N/A</v>
      </c>
      <c r="H119" s="3142" t="e">
        <v>#N/A</v>
      </c>
      <c r="I119" s="818" t="e">
        <f t="shared" ref="I119:I122" si="15">E119+F119+G119+H119</f>
        <v>#N/A</v>
      </c>
      <c r="J119" s="180" t="e">
        <v>#N/A</v>
      </c>
      <c r="K119" s="3162" t="e">
        <v>#N/A</v>
      </c>
      <c r="L119" s="3162" t="e">
        <v>#N/A</v>
      </c>
      <c r="M119" s="827" t="e">
        <v>#N/A</v>
      </c>
    </row>
    <row r="120" spans="1:13">
      <c r="A120" s="2021">
        <f t="shared" si="12"/>
        <v>2029.3</v>
      </c>
      <c r="B120" s="180" t="e">
        <f t="shared" si="13"/>
        <v>#N/A</v>
      </c>
      <c r="C120" s="3162" t="e">
        <f t="shared" si="14"/>
        <v>#N/A</v>
      </c>
      <c r="D120" s="354" t="e">
        <v>#N/A</v>
      </c>
      <c r="E120" s="816" t="e">
        <v>#N/A</v>
      </c>
      <c r="F120" s="3142" t="e">
        <v>#N/A</v>
      </c>
      <c r="G120" s="816" t="e">
        <v>#N/A</v>
      </c>
      <c r="H120" s="3142" t="e">
        <v>#N/A</v>
      </c>
      <c r="I120" s="818" t="e">
        <f t="shared" si="15"/>
        <v>#N/A</v>
      </c>
      <c r="J120" s="180" t="e">
        <v>#N/A</v>
      </c>
      <c r="K120" s="3162" t="e">
        <v>#N/A</v>
      </c>
      <c r="L120" s="3162" t="e">
        <v>#N/A</v>
      </c>
      <c r="M120" s="827" t="e">
        <v>#N/A</v>
      </c>
    </row>
    <row r="121" spans="1:13">
      <c r="A121" s="2021">
        <f t="shared" si="12"/>
        <v>2029.4</v>
      </c>
      <c r="B121" s="180" t="e">
        <f t="shared" si="13"/>
        <v>#N/A</v>
      </c>
      <c r="C121" s="3162" t="e">
        <f t="shared" si="14"/>
        <v>#N/A</v>
      </c>
      <c r="D121" s="354" t="e">
        <v>#N/A</v>
      </c>
      <c r="E121" s="816" t="e">
        <v>#N/A</v>
      </c>
      <c r="F121" s="3142" t="e">
        <v>#N/A</v>
      </c>
      <c r="G121" s="816" t="e">
        <v>#N/A</v>
      </c>
      <c r="H121" s="3142" t="e">
        <v>#N/A</v>
      </c>
      <c r="I121" s="818" t="e">
        <f t="shared" si="15"/>
        <v>#N/A</v>
      </c>
      <c r="J121" s="180" t="e">
        <v>#N/A</v>
      </c>
      <c r="K121" s="3162" t="e">
        <v>#N/A</v>
      </c>
      <c r="L121" s="3162" t="e">
        <v>#N/A</v>
      </c>
      <c r="M121" s="827" t="e">
        <v>#N/A</v>
      </c>
    </row>
    <row r="122" spans="1:13">
      <c r="A122" s="2021">
        <f>A118+1</f>
        <v>2030.1</v>
      </c>
      <c r="B122" s="180" t="e">
        <f t="shared" si="13"/>
        <v>#N/A</v>
      </c>
      <c r="C122" s="3162" t="e">
        <f t="shared" si="14"/>
        <v>#N/A</v>
      </c>
      <c r="D122" s="354" t="e">
        <v>#N/A</v>
      </c>
      <c r="E122" s="816" t="e">
        <v>#N/A</v>
      </c>
      <c r="F122" s="3142" t="e">
        <v>#N/A</v>
      </c>
      <c r="G122" s="816" t="e">
        <v>#N/A</v>
      </c>
      <c r="H122" s="3142" t="e">
        <v>#N/A</v>
      </c>
      <c r="I122" s="818" t="e">
        <f t="shared" si="15"/>
        <v>#N/A</v>
      </c>
      <c r="J122" s="180" t="e">
        <v>#N/A</v>
      </c>
      <c r="K122" s="3162" t="e">
        <v>#N/A</v>
      </c>
      <c r="L122" s="3162" t="e">
        <v>#N/A</v>
      </c>
      <c r="M122" s="827" t="e">
        <v>#N/A</v>
      </c>
    </row>
    <row r="123" spans="1:13">
      <c r="A123" s="2021">
        <f t="shared" si="12"/>
        <v>2030.2</v>
      </c>
      <c r="B123" s="180" t="e">
        <f t="shared" ref="B123:B125" si="16">SUM(J123:M123)</f>
        <v>#N/A</v>
      </c>
      <c r="C123" s="3162" t="e">
        <f t="shared" ref="C123:C125" si="17">D123-B123</f>
        <v>#N/A</v>
      </c>
      <c r="D123" s="354" t="e">
        <v>#N/A</v>
      </c>
      <c r="E123" s="816" t="e">
        <v>#N/A</v>
      </c>
      <c r="F123" s="3142" t="e">
        <v>#N/A</v>
      </c>
      <c r="G123" s="816" t="e">
        <v>#N/A</v>
      </c>
      <c r="H123" s="3142" t="e">
        <v>#N/A</v>
      </c>
      <c r="I123" s="818" t="e">
        <f t="shared" ref="I123:I125" si="18">E123+F123+G123+H123</f>
        <v>#N/A</v>
      </c>
      <c r="J123" s="180" t="e">
        <v>#N/A</v>
      </c>
      <c r="K123" s="3162" t="e">
        <v>#N/A</v>
      </c>
      <c r="L123" s="3162" t="e">
        <v>#N/A</v>
      </c>
      <c r="M123" s="827" t="e">
        <v>#N/A</v>
      </c>
    </row>
    <row r="124" spans="1:13">
      <c r="A124" s="2021">
        <f t="shared" si="12"/>
        <v>2030.3</v>
      </c>
      <c r="B124" s="180" t="e">
        <f t="shared" si="16"/>
        <v>#N/A</v>
      </c>
      <c r="C124" s="3162" t="e">
        <f t="shared" si="17"/>
        <v>#N/A</v>
      </c>
      <c r="D124" s="354" t="e">
        <v>#N/A</v>
      </c>
      <c r="E124" s="816" t="e">
        <v>#N/A</v>
      </c>
      <c r="F124" s="3142" t="e">
        <v>#N/A</v>
      </c>
      <c r="G124" s="816" t="e">
        <v>#N/A</v>
      </c>
      <c r="H124" s="3142" t="e">
        <v>#N/A</v>
      </c>
      <c r="I124" s="818" t="e">
        <f t="shared" si="18"/>
        <v>#N/A</v>
      </c>
      <c r="J124" s="180" t="e">
        <v>#N/A</v>
      </c>
      <c r="K124" s="3162" t="e">
        <v>#N/A</v>
      </c>
      <c r="L124" s="3162" t="e">
        <v>#N/A</v>
      </c>
      <c r="M124" s="827" t="e">
        <v>#N/A</v>
      </c>
    </row>
    <row r="125" spans="1:13">
      <c r="A125" s="2021">
        <f t="shared" si="12"/>
        <v>2030.4</v>
      </c>
      <c r="B125" s="180" t="e">
        <f t="shared" si="16"/>
        <v>#N/A</v>
      </c>
      <c r="C125" s="3162" t="e">
        <f t="shared" si="17"/>
        <v>#N/A</v>
      </c>
      <c r="D125" s="354" t="e">
        <v>#N/A</v>
      </c>
      <c r="E125" s="816" t="e">
        <v>#N/A</v>
      </c>
      <c r="F125" s="3142" t="e">
        <v>#N/A</v>
      </c>
      <c r="G125" s="816" t="e">
        <v>#N/A</v>
      </c>
      <c r="H125" s="3142" t="e">
        <v>#N/A</v>
      </c>
      <c r="I125" s="818" t="e">
        <f t="shared" si="18"/>
        <v>#N/A</v>
      </c>
      <c r="J125" s="180" t="e">
        <v>#N/A</v>
      </c>
      <c r="K125" s="3162" t="e">
        <v>#N/A</v>
      </c>
      <c r="L125" s="3162" t="e">
        <v>#N/A</v>
      </c>
      <c r="M125" s="827" t="e">
        <v>#N/A</v>
      </c>
    </row>
    <row r="126" spans="1:13">
      <c r="A126" s="1797"/>
    </row>
    <row r="127" spans="1:13">
      <c r="A127" s="1797"/>
    </row>
    <row r="128" spans="1:13">
      <c r="A128" s="1797"/>
    </row>
    <row r="129" spans="1:1">
      <c r="A129" s="1797"/>
    </row>
    <row r="130" spans="1:1">
      <c r="A130" s="1797"/>
    </row>
    <row r="131" spans="1:1">
      <c r="A131" s="1797"/>
    </row>
    <row r="132" spans="1:1">
      <c r="A132" s="1797"/>
    </row>
    <row r="133" spans="1:1">
      <c r="A133" s="1797"/>
    </row>
    <row r="134" spans="1:1">
      <c r="A134" s="1797"/>
    </row>
    <row r="135" spans="1:1">
      <c r="A135" s="1797"/>
    </row>
    <row r="136" spans="1:1">
      <c r="A136" s="1797"/>
    </row>
    <row r="137" spans="1:1">
      <c r="A137" s="1797"/>
    </row>
    <row r="138" spans="1:1">
      <c r="A138" s="1797"/>
    </row>
    <row r="139" spans="1:1">
      <c r="A139" s="1797"/>
    </row>
    <row r="140" spans="1:1">
      <c r="A140" s="1797"/>
    </row>
    <row r="141" spans="1:1">
      <c r="A141" s="1797"/>
    </row>
    <row r="142" spans="1:1">
      <c r="A142" s="1797"/>
    </row>
    <row r="143" spans="1:1">
      <c r="A143" s="1797"/>
    </row>
    <row r="144" spans="1:1">
      <c r="A144" s="1797"/>
    </row>
    <row r="145" spans="1:1">
      <c r="A145" s="1797"/>
    </row>
    <row r="146" spans="1:1">
      <c r="A146" s="1797"/>
    </row>
    <row r="147" spans="1:1">
      <c r="A147" s="1797"/>
    </row>
    <row r="148" spans="1:1">
      <c r="A148" s="1797"/>
    </row>
    <row r="149" spans="1:1">
      <c r="A149" s="1797"/>
    </row>
    <row r="150" spans="1:1">
      <c r="A150" s="1797"/>
    </row>
    <row r="151" spans="1:1">
      <c r="A151" s="1797"/>
    </row>
    <row r="152" spans="1:1">
      <c r="A152" s="1797"/>
    </row>
    <row r="153" spans="1:1">
      <c r="A153" s="1797"/>
    </row>
    <row r="154" spans="1:1">
      <c r="A154" s="1797"/>
    </row>
    <row r="155" spans="1:1">
      <c r="A155" s="1797"/>
    </row>
    <row r="156" spans="1:1">
      <c r="A156" s="1797"/>
    </row>
    <row r="157" spans="1:1">
      <c r="A157" s="1797"/>
    </row>
    <row r="158" spans="1:1">
      <c r="A158" s="1797"/>
    </row>
    <row r="159" spans="1:1">
      <c r="A159" s="1797"/>
    </row>
    <row r="160" spans="1:1">
      <c r="A160" s="1797"/>
    </row>
    <row r="161" spans="1:1">
      <c r="A161" s="1797"/>
    </row>
    <row r="162" spans="1:1">
      <c r="A162" s="1797"/>
    </row>
    <row r="163" spans="1:1">
      <c r="A163" s="1797"/>
    </row>
    <row r="164" spans="1:1">
      <c r="A164" s="1797"/>
    </row>
    <row r="165" spans="1:1">
      <c r="A165" s="1797"/>
    </row>
    <row r="166" spans="1:1">
      <c r="A166" s="1797"/>
    </row>
    <row r="167" spans="1:1">
      <c r="A167" s="1797"/>
    </row>
    <row r="168" spans="1:1">
      <c r="A168" s="1797"/>
    </row>
    <row r="169" spans="1:1">
      <c r="A169" s="1797"/>
    </row>
    <row r="170" spans="1:1">
      <c r="A170" s="1797"/>
    </row>
    <row r="171" spans="1:1">
      <c r="A171" s="1797"/>
    </row>
    <row r="172" spans="1:1">
      <c r="A172" s="1797"/>
    </row>
    <row r="173" spans="1:1">
      <c r="A173" s="1797"/>
    </row>
    <row r="174" spans="1:1">
      <c r="A174" s="1797"/>
    </row>
    <row r="175" spans="1:1">
      <c r="A175" s="1797"/>
    </row>
    <row r="176" spans="1:1">
      <c r="A176" s="1797"/>
    </row>
    <row r="177" spans="1:1">
      <c r="A177" s="1797"/>
    </row>
    <row r="178" spans="1:1">
      <c r="A178" s="1797"/>
    </row>
    <row r="179" spans="1:1">
      <c r="A179" s="1797"/>
    </row>
    <row r="180" spans="1:1">
      <c r="A180" s="1797"/>
    </row>
    <row r="181" spans="1:1">
      <c r="A181" s="1797"/>
    </row>
    <row r="182" spans="1:1">
      <c r="A182" s="1797"/>
    </row>
    <row r="183" spans="1:1">
      <c r="A183" s="1797"/>
    </row>
    <row r="184" spans="1:1">
      <c r="A184" s="1797"/>
    </row>
    <row r="185" spans="1:1">
      <c r="A185" s="1797"/>
    </row>
    <row r="186" spans="1:1">
      <c r="A186" s="1797"/>
    </row>
    <row r="187" spans="1:1">
      <c r="A187" s="1797"/>
    </row>
    <row r="188" spans="1:1">
      <c r="A188" s="1797"/>
    </row>
    <row r="189" spans="1:1">
      <c r="A189" s="1797"/>
    </row>
    <row r="190" spans="1:1">
      <c r="A190" s="1797"/>
    </row>
    <row r="191" spans="1:1">
      <c r="A191" s="1797"/>
    </row>
    <row r="192" spans="1:1">
      <c r="A192" s="1797"/>
    </row>
    <row r="193" spans="1:1">
      <c r="A193" s="1797"/>
    </row>
    <row r="194" spans="1:1">
      <c r="A194" s="1797"/>
    </row>
    <row r="195" spans="1:1">
      <c r="A195" s="1797"/>
    </row>
    <row r="196" spans="1:1">
      <c r="A196" s="1797"/>
    </row>
    <row r="197" spans="1:1">
      <c r="A197" s="1797"/>
    </row>
    <row r="198" spans="1:1">
      <c r="A198" s="1797"/>
    </row>
    <row r="199" spans="1:1">
      <c r="A199" s="1797"/>
    </row>
    <row r="200" spans="1:1">
      <c r="A200" s="1797"/>
    </row>
    <row r="201" spans="1:1">
      <c r="A201" s="1797"/>
    </row>
    <row r="202" spans="1:1">
      <c r="A202" s="1797"/>
    </row>
    <row r="203" spans="1:1">
      <c r="A203" s="1797"/>
    </row>
    <row r="204" spans="1:1">
      <c r="A204" s="1797"/>
    </row>
    <row r="205" spans="1:1">
      <c r="A205" s="1797"/>
    </row>
    <row r="206" spans="1:1">
      <c r="A206" s="1797"/>
    </row>
    <row r="207" spans="1:1">
      <c r="A207" s="1797"/>
    </row>
    <row r="208" spans="1:1">
      <c r="A208" s="1797"/>
    </row>
    <row r="209" spans="1:1">
      <c r="A209" s="1797"/>
    </row>
    <row r="210" spans="1:1">
      <c r="A210" s="1797"/>
    </row>
    <row r="211" spans="1:1">
      <c r="A211" s="1797"/>
    </row>
    <row r="212" spans="1:1">
      <c r="A212" s="1797"/>
    </row>
    <row r="213" spans="1:1">
      <c r="A213" s="1797"/>
    </row>
    <row r="214" spans="1:1">
      <c r="A214" s="1797"/>
    </row>
    <row r="215" spans="1:1">
      <c r="A215" s="1797"/>
    </row>
    <row r="216" spans="1:1">
      <c r="A216" s="1797"/>
    </row>
    <row r="217" spans="1:1">
      <c r="A217" s="1797"/>
    </row>
    <row r="218" spans="1:1">
      <c r="A218" s="1797"/>
    </row>
    <row r="219" spans="1:1">
      <c r="A219" s="1797"/>
    </row>
    <row r="220" spans="1:1">
      <c r="A220" s="1797"/>
    </row>
    <row r="221" spans="1:1">
      <c r="A221" s="1797"/>
    </row>
    <row r="222" spans="1:1">
      <c r="A222" s="1797"/>
    </row>
    <row r="223" spans="1:1">
      <c r="A223" s="1797"/>
    </row>
    <row r="224" spans="1:1">
      <c r="A224" s="1797"/>
    </row>
    <row r="225" spans="1:1">
      <c r="A225" s="1797"/>
    </row>
    <row r="226" spans="1:1">
      <c r="A226" s="1797"/>
    </row>
    <row r="227" spans="1:1">
      <c r="A227" s="1797"/>
    </row>
    <row r="228" spans="1:1">
      <c r="A228" s="1797"/>
    </row>
    <row r="229" spans="1:1">
      <c r="A229" s="1797"/>
    </row>
    <row r="230" spans="1:1">
      <c r="A230" s="1797"/>
    </row>
    <row r="231" spans="1:1">
      <c r="A231" s="1797"/>
    </row>
    <row r="232" spans="1:1">
      <c r="A232" s="1797"/>
    </row>
    <row r="233" spans="1:1">
      <c r="A233" s="1797"/>
    </row>
    <row r="234" spans="1:1">
      <c r="A234" s="1797"/>
    </row>
    <row r="235" spans="1:1">
      <c r="A235" s="1797"/>
    </row>
    <row r="236" spans="1:1">
      <c r="A236" s="1797"/>
    </row>
    <row r="237" spans="1:1">
      <c r="A237" s="1797"/>
    </row>
    <row r="238" spans="1:1">
      <c r="A238" s="1797"/>
    </row>
    <row r="239" spans="1:1">
      <c r="A239" s="1797"/>
    </row>
    <row r="240" spans="1:1">
      <c r="A240" s="1797"/>
    </row>
    <row r="241" spans="1:1">
      <c r="A241" s="1797"/>
    </row>
    <row r="242" spans="1:1">
      <c r="A242" s="1797"/>
    </row>
    <row r="243" spans="1:1">
      <c r="A243" s="1797"/>
    </row>
    <row r="244" spans="1:1">
      <c r="A244" s="1797"/>
    </row>
    <row r="245" spans="1:1">
      <c r="A245" s="1797"/>
    </row>
    <row r="246" spans="1:1">
      <c r="A246" s="1797"/>
    </row>
    <row r="247" spans="1:1">
      <c r="A247" s="1797"/>
    </row>
    <row r="248" spans="1:1">
      <c r="A248" s="1797"/>
    </row>
    <row r="249" spans="1:1">
      <c r="A249" s="1797"/>
    </row>
    <row r="250" spans="1:1">
      <c r="A250" s="1797"/>
    </row>
    <row r="251" spans="1:1">
      <c r="A251" s="1797"/>
    </row>
    <row r="252" spans="1:1">
      <c r="A252" s="1797"/>
    </row>
    <row r="253" spans="1:1">
      <c r="A253" s="1797"/>
    </row>
    <row r="254" spans="1:1">
      <c r="A254" s="1797"/>
    </row>
    <row r="255" spans="1:1">
      <c r="A255" s="1797"/>
    </row>
    <row r="256" spans="1:1">
      <c r="A256" s="1797"/>
    </row>
    <row r="257" spans="1:1">
      <c r="A257" s="483"/>
    </row>
    <row r="258" spans="1:1">
      <c r="A258" s="483"/>
    </row>
    <row r="259" spans="1:1">
      <c r="A259" s="483"/>
    </row>
    <row r="260" spans="1:1">
      <c r="A260" s="483"/>
    </row>
    <row r="261" spans="1:1">
      <c r="A261" s="483"/>
    </row>
    <row r="262" spans="1:1">
      <c r="A262" s="483"/>
    </row>
    <row r="263" spans="1:1">
      <c r="A263" s="483"/>
    </row>
    <row r="264" spans="1:1">
      <c r="A264" s="483"/>
    </row>
    <row r="265" spans="1:1">
      <c r="A265" s="483"/>
    </row>
    <row r="266" spans="1:1">
      <c r="A266" s="483"/>
    </row>
    <row r="267" spans="1:1">
      <c r="A267" s="483"/>
    </row>
    <row r="268" spans="1:1">
      <c r="A268" s="483"/>
    </row>
    <row r="269" spans="1:1">
      <c r="A269" s="483"/>
    </row>
    <row r="270" spans="1:1">
      <c r="A270" s="483"/>
    </row>
    <row r="271" spans="1:1">
      <c r="A271" s="483"/>
    </row>
    <row r="272" spans="1:1">
      <c r="A272" s="483"/>
    </row>
    <row r="273" spans="1:1">
      <c r="A273" s="483"/>
    </row>
    <row r="274" spans="1:1">
      <c r="A274" s="483"/>
    </row>
    <row r="275" spans="1:1">
      <c r="A275" s="483"/>
    </row>
    <row r="276" spans="1:1">
      <c r="A276" s="483"/>
    </row>
    <row r="277" spans="1:1">
      <c r="A277" s="483"/>
    </row>
    <row r="278" spans="1:1">
      <c r="A278" s="483"/>
    </row>
    <row r="279" spans="1:1">
      <c r="A279" s="483"/>
    </row>
    <row r="280" spans="1:1">
      <c r="A280" s="483"/>
    </row>
    <row r="281" spans="1:1">
      <c r="A281" s="483"/>
    </row>
    <row r="282" spans="1:1">
      <c r="A282" s="483"/>
    </row>
    <row r="283" spans="1:1">
      <c r="A283" s="483"/>
    </row>
    <row r="284" spans="1:1">
      <c r="A284" s="483"/>
    </row>
    <row r="285" spans="1:1">
      <c r="A285" s="483"/>
    </row>
    <row r="286" spans="1:1">
      <c r="A286" s="483"/>
    </row>
    <row r="287" spans="1:1">
      <c r="A287" s="483"/>
    </row>
    <row r="288" spans="1:1">
      <c r="A288" s="483"/>
    </row>
    <row r="289" spans="1:1">
      <c r="A289" s="483"/>
    </row>
    <row r="290" spans="1:1">
      <c r="A290" s="483"/>
    </row>
    <row r="291" spans="1:1">
      <c r="A291" s="483"/>
    </row>
    <row r="292" spans="1:1">
      <c r="A292" s="483"/>
    </row>
    <row r="293" spans="1:1">
      <c r="A293" s="483"/>
    </row>
    <row r="294" spans="1:1">
      <c r="A294" s="483"/>
    </row>
    <row r="295" spans="1:1">
      <c r="A295" s="483"/>
    </row>
    <row r="296" spans="1:1">
      <c r="A296" s="483"/>
    </row>
    <row r="297" spans="1:1">
      <c r="A297" s="483"/>
    </row>
    <row r="298" spans="1:1">
      <c r="A298" s="483"/>
    </row>
    <row r="299" spans="1:1">
      <c r="A299" s="483"/>
    </row>
    <row r="300" spans="1:1">
      <c r="A300" s="483"/>
    </row>
    <row r="301" spans="1:1">
      <c r="A301" s="483"/>
    </row>
    <row r="302" spans="1:1">
      <c r="A302" s="483"/>
    </row>
    <row r="303" spans="1:1">
      <c r="A303" s="483"/>
    </row>
    <row r="304" spans="1:1">
      <c r="A304" s="483"/>
    </row>
    <row r="305" spans="1:1">
      <c r="A305" s="483"/>
    </row>
    <row r="306" spans="1:1">
      <c r="A306" s="483"/>
    </row>
    <row r="307" spans="1:1">
      <c r="A307" s="483"/>
    </row>
    <row r="308" spans="1:1">
      <c r="A308" s="483"/>
    </row>
    <row r="309" spans="1:1">
      <c r="A309" s="483"/>
    </row>
    <row r="310" spans="1:1">
      <c r="A310" s="483"/>
    </row>
    <row r="311" spans="1:1">
      <c r="A311" s="483"/>
    </row>
    <row r="312" spans="1:1">
      <c r="A312" s="483"/>
    </row>
    <row r="313" spans="1:1">
      <c r="A313" s="483"/>
    </row>
    <row r="314" spans="1:1">
      <c r="A314" s="483"/>
    </row>
    <row r="315" spans="1:1">
      <c r="A315" s="483"/>
    </row>
    <row r="316" spans="1:1">
      <c r="A316" s="483"/>
    </row>
    <row r="317" spans="1:1">
      <c r="A317" s="483"/>
    </row>
    <row r="318" spans="1:1">
      <c r="A318" s="483"/>
    </row>
    <row r="319" spans="1:1">
      <c r="A319" s="483"/>
    </row>
    <row r="320" spans="1:1">
      <c r="A320" s="483"/>
    </row>
    <row r="321" spans="1:1">
      <c r="A321" s="483"/>
    </row>
    <row r="322" spans="1:1">
      <c r="A322" s="483"/>
    </row>
    <row r="323" spans="1:1">
      <c r="A323" s="483"/>
    </row>
    <row r="324" spans="1:1">
      <c r="A324" s="483"/>
    </row>
    <row r="325" spans="1:1">
      <c r="A325" s="483"/>
    </row>
    <row r="326" spans="1:1">
      <c r="A326" s="483"/>
    </row>
    <row r="327" spans="1:1">
      <c r="A327" s="483"/>
    </row>
    <row r="328" spans="1:1">
      <c r="A328" s="483"/>
    </row>
    <row r="329" spans="1:1">
      <c r="A329" s="483"/>
    </row>
    <row r="330" spans="1:1">
      <c r="A330" s="483"/>
    </row>
    <row r="331" spans="1:1">
      <c r="A331" s="483"/>
    </row>
    <row r="332" spans="1:1">
      <c r="A332" s="483"/>
    </row>
    <row r="333" spans="1:1">
      <c r="A333" s="483"/>
    </row>
  </sheetData>
  <hyperlinks>
    <hyperlink ref="A5" location="INDICE!A13" display="VOLVER AL INDICE" xr:uid="{00000000-0004-0000-1B00-000000000000}"/>
  </hyperlinks>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autoPageBreaks="0" fitToPage="1"/>
  </sheetPr>
  <dimension ref="A1:Q465"/>
  <sheetViews>
    <sheetView zoomScale="130" zoomScaleNormal="130" workbookViewId="0">
      <pane xSplit="1" ySplit="9" topLeftCell="B38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24" customWidth="1"/>
    <col min="2" max="3" width="11.140625" style="24" customWidth="1"/>
    <col min="4" max="13" width="13" style="24" customWidth="1"/>
    <col min="14" max="14" width="13.28515625" style="24" customWidth="1"/>
    <col min="15" max="16" width="13" style="24" customWidth="1"/>
    <col min="17" max="17" width="15" style="24" customWidth="1"/>
    <col min="18" max="16384" width="11.42578125" style="9"/>
  </cols>
  <sheetData>
    <row r="1" spans="1:17" s="13" customFormat="1" ht="3" customHeight="1">
      <c r="A1" s="34"/>
      <c r="B1" s="77"/>
      <c r="C1" s="78"/>
      <c r="D1" s="226"/>
      <c r="E1" s="143"/>
      <c r="F1" s="143"/>
      <c r="G1" s="143"/>
      <c r="H1" s="143"/>
      <c r="I1" s="143"/>
      <c r="J1" s="143"/>
      <c r="K1" s="143"/>
      <c r="L1" s="143"/>
      <c r="M1" s="143"/>
      <c r="N1" s="304"/>
      <c r="O1" s="143"/>
      <c r="P1" s="143"/>
      <c r="Q1" s="144"/>
    </row>
    <row r="2" spans="1:17" s="13" customFormat="1" ht="41.25" customHeight="1">
      <c r="A2" s="59" t="s">
        <v>105</v>
      </c>
      <c r="B2" s="66" t="s">
        <v>908</v>
      </c>
      <c r="C2" s="2379"/>
      <c r="D2" s="1801" t="s">
        <v>909</v>
      </c>
      <c r="E2" s="2379"/>
      <c r="F2" s="2379"/>
      <c r="G2" s="2379"/>
      <c r="H2" s="2379"/>
      <c r="I2" s="2379"/>
      <c r="J2" s="2379"/>
      <c r="K2" s="2379"/>
      <c r="L2" s="2379"/>
      <c r="M2" s="2379"/>
      <c r="N2" s="1801" t="s">
        <v>910</v>
      </c>
      <c r="O2" s="2379"/>
      <c r="P2" s="2379"/>
      <c r="Q2" s="1882"/>
    </row>
    <row r="3" spans="1:17" s="13" customFormat="1" ht="45">
      <c r="A3" s="36" t="s">
        <v>212</v>
      </c>
      <c r="B3" s="66" t="s">
        <v>117</v>
      </c>
      <c r="C3" s="2379"/>
      <c r="D3" s="1801" t="s">
        <v>117</v>
      </c>
      <c r="E3" s="2379"/>
      <c r="F3" s="2379"/>
      <c r="G3" s="2379"/>
      <c r="H3" s="2379"/>
      <c r="I3" s="2379"/>
      <c r="J3" s="2379"/>
      <c r="K3" s="2379"/>
      <c r="L3" s="2379"/>
      <c r="M3" s="2379"/>
      <c r="N3" s="1788" t="s">
        <v>117</v>
      </c>
      <c r="O3" s="2379"/>
      <c r="P3" s="2379"/>
      <c r="Q3" s="1882"/>
    </row>
    <row r="4" spans="1:17" s="13" customFormat="1" ht="3" hidden="1" customHeight="1">
      <c r="A4" s="34"/>
      <c r="B4" s="77"/>
      <c r="C4" s="78"/>
      <c r="D4" s="226"/>
      <c r="E4" s="143"/>
      <c r="F4" s="143"/>
      <c r="G4" s="143"/>
      <c r="H4" s="143"/>
      <c r="I4" s="143"/>
      <c r="J4" s="143"/>
      <c r="K4" s="143"/>
      <c r="L4" s="143"/>
      <c r="M4" s="143"/>
      <c r="N4" s="2387"/>
      <c r="O4" s="143"/>
      <c r="P4" s="143"/>
      <c r="Q4" s="79"/>
    </row>
    <row r="5" spans="1:17" s="13" customFormat="1" ht="33.75">
      <c r="A5" s="2390" t="s">
        <v>137</v>
      </c>
      <c r="B5" s="2022" t="s">
        <v>215</v>
      </c>
      <c r="C5" s="8" t="s">
        <v>216</v>
      </c>
      <c r="D5" s="6" t="s">
        <v>911</v>
      </c>
      <c r="E5" s="1318" t="s">
        <v>912</v>
      </c>
      <c r="F5" s="8" t="s">
        <v>913</v>
      </c>
      <c r="G5" s="1318" t="s">
        <v>914</v>
      </c>
      <c r="H5" s="8" t="s">
        <v>915</v>
      </c>
      <c r="I5" s="1318" t="s">
        <v>916</v>
      </c>
      <c r="J5" s="8" t="s">
        <v>917</v>
      </c>
      <c r="K5" s="1318" t="s">
        <v>918</v>
      </c>
      <c r="L5" s="8" t="s">
        <v>919</v>
      </c>
      <c r="M5" s="794" t="s">
        <v>920</v>
      </c>
      <c r="N5" s="6" t="s">
        <v>921</v>
      </c>
      <c r="O5" s="1318" t="s">
        <v>922</v>
      </c>
      <c r="P5" s="1318" t="s">
        <v>923</v>
      </c>
      <c r="Q5" s="1" t="s">
        <v>924</v>
      </c>
    </row>
    <row r="6" spans="1:17" s="13" customFormat="1" ht="3" hidden="1" customHeight="1">
      <c r="A6" s="34"/>
      <c r="B6" s="828"/>
      <c r="C6" s="78"/>
      <c r="D6" s="170" t="s">
        <v>925</v>
      </c>
      <c r="E6" s="3167"/>
      <c r="F6" s="170"/>
      <c r="G6" s="3167"/>
      <c r="H6" s="170"/>
      <c r="I6" s="3167" t="s">
        <v>926</v>
      </c>
      <c r="J6" s="170" t="s">
        <v>927</v>
      </c>
      <c r="K6" s="3167"/>
      <c r="L6" s="170"/>
      <c r="M6" s="2023"/>
      <c r="N6" s="2387"/>
      <c r="O6" s="3168"/>
      <c r="P6" s="3168"/>
      <c r="Q6" s="79"/>
    </row>
    <row r="7" spans="1:17" s="13" customFormat="1" ht="22.5">
      <c r="A7" s="2373" t="s">
        <v>123</v>
      </c>
      <c r="B7" s="2022" t="s">
        <v>128</v>
      </c>
      <c r="C7" s="8" t="s">
        <v>128</v>
      </c>
      <c r="D7" s="6" t="s">
        <v>128</v>
      </c>
      <c r="E7" s="1318" t="s">
        <v>128</v>
      </c>
      <c r="F7" s="8" t="s">
        <v>128</v>
      </c>
      <c r="G7" s="1318" t="s">
        <v>128</v>
      </c>
      <c r="H7" s="8" t="s">
        <v>128</v>
      </c>
      <c r="I7" s="1318" t="s">
        <v>128</v>
      </c>
      <c r="J7" s="8" t="s">
        <v>128</v>
      </c>
      <c r="K7" s="1318" t="s">
        <v>128</v>
      </c>
      <c r="L7" s="8" t="s">
        <v>128</v>
      </c>
      <c r="M7" s="794" t="s">
        <v>128</v>
      </c>
      <c r="N7" s="6" t="s">
        <v>128</v>
      </c>
      <c r="O7" s="1318" t="s">
        <v>128</v>
      </c>
      <c r="P7" s="1318" t="s">
        <v>128</v>
      </c>
      <c r="Q7" s="1" t="s">
        <v>128</v>
      </c>
    </row>
    <row r="8" spans="1:17" s="13" customFormat="1" ht="13.5" thickBot="1">
      <c r="A8" s="147" t="s">
        <v>141</v>
      </c>
      <c r="B8" s="2834" t="s">
        <v>928</v>
      </c>
      <c r="C8" s="2835" t="s">
        <v>929</v>
      </c>
      <c r="D8" s="2836" t="s">
        <v>930</v>
      </c>
      <c r="E8" s="3330" t="s">
        <v>931</v>
      </c>
      <c r="F8" s="2837" t="s">
        <v>932</v>
      </c>
      <c r="G8" s="3330" t="s">
        <v>933</v>
      </c>
      <c r="H8" s="2837" t="s">
        <v>934</v>
      </c>
      <c r="I8" s="3330" t="s">
        <v>935</v>
      </c>
      <c r="J8" s="2837" t="s">
        <v>936</v>
      </c>
      <c r="K8" s="3330" t="s">
        <v>937</v>
      </c>
      <c r="L8" s="2837" t="s">
        <v>938</v>
      </c>
      <c r="M8" s="3331" t="s">
        <v>939</v>
      </c>
      <c r="N8" s="2836" t="s">
        <v>940</v>
      </c>
      <c r="O8" s="3330" t="s">
        <v>941</v>
      </c>
      <c r="P8" s="3330" t="s">
        <v>942</v>
      </c>
      <c r="Q8" s="2838" t="s">
        <v>943</v>
      </c>
    </row>
    <row r="9" spans="1:17" s="14" customFormat="1" ht="13.5" hidden="1" thickBot="1">
      <c r="A9" s="72"/>
      <c r="B9" s="2024"/>
      <c r="C9" s="1946"/>
      <c r="D9" s="2025"/>
      <c r="E9" s="2026"/>
      <c r="F9" s="1946"/>
      <c r="G9" s="2026"/>
      <c r="H9" s="1946"/>
      <c r="I9" s="2026"/>
      <c r="J9" s="1946"/>
      <c r="K9" s="2026"/>
      <c r="L9" s="1946"/>
      <c r="M9" s="2027"/>
      <c r="N9" s="792"/>
      <c r="O9" s="1794"/>
      <c r="P9" s="1794"/>
      <c r="Q9" s="2028"/>
    </row>
    <row r="10" spans="1:17" s="14" customFormat="1">
      <c r="A10" s="67">
        <v>1993.01</v>
      </c>
      <c r="B10" s="2841">
        <v>89.949200799362714</v>
      </c>
      <c r="C10" s="772">
        <v>94.315820963404406</v>
      </c>
      <c r="D10" s="209">
        <v>95.887407385408309</v>
      </c>
      <c r="E10" s="654">
        <v>91.852542577412223</v>
      </c>
      <c r="F10" s="771">
        <v>61.891483761232791</v>
      </c>
      <c r="G10" s="654">
        <v>98.162618368687205</v>
      </c>
      <c r="H10" s="771">
        <v>100.6113537117904</v>
      </c>
      <c r="I10" s="654">
        <v>94.351180434936765</v>
      </c>
      <c r="J10" s="771">
        <v>88.533291643130283</v>
      </c>
      <c r="K10" s="654">
        <v>90.424484352908223</v>
      </c>
      <c r="L10" s="771">
        <v>77.084698830988145</v>
      </c>
      <c r="M10" s="829">
        <v>90.631010136943871</v>
      </c>
      <c r="N10" s="830"/>
      <c r="O10" s="831"/>
      <c r="P10" s="831"/>
      <c r="Q10" s="2842"/>
    </row>
    <row r="11" spans="1:17" s="14" customFormat="1">
      <c r="A11" s="63">
        <v>1993.02</v>
      </c>
      <c r="B11" s="1834">
        <v>72.419346746197675</v>
      </c>
      <c r="C11" s="839">
        <v>95.597170805912</v>
      </c>
      <c r="D11" s="1668">
        <v>85.994966614957633</v>
      </c>
      <c r="E11" s="2839">
        <v>92.641242546423825</v>
      </c>
      <c r="F11" s="839">
        <v>88.210894686912184</v>
      </c>
      <c r="G11" s="2839">
        <v>86.521400176134193</v>
      </c>
      <c r="H11" s="839">
        <v>89.078743484997887</v>
      </c>
      <c r="I11" s="2839">
        <v>76.412389119145715</v>
      </c>
      <c r="J11" s="839">
        <v>89.429594007681231</v>
      </c>
      <c r="K11" s="2839">
        <v>73.914308036243966</v>
      </c>
      <c r="L11" s="839">
        <v>42.831168955865529</v>
      </c>
      <c r="M11" s="2029">
        <v>17.526321096383143</v>
      </c>
      <c r="N11" s="2030"/>
      <c r="O11" s="2840"/>
      <c r="P11" s="2840"/>
      <c r="Q11" s="2031"/>
    </row>
    <row r="12" spans="1:17" s="14" customFormat="1">
      <c r="A12" s="63">
        <v>1993.03</v>
      </c>
      <c r="B12" s="1834">
        <v>98.852640647497836</v>
      </c>
      <c r="C12" s="839">
        <v>96.110081546769578</v>
      </c>
      <c r="D12" s="1668">
        <v>100.34639102762318</v>
      </c>
      <c r="E12" s="2839">
        <v>104.05558145490762</v>
      </c>
      <c r="F12" s="839">
        <v>103.91218681157127</v>
      </c>
      <c r="G12" s="2839">
        <v>101.10836186051199</v>
      </c>
      <c r="H12" s="839">
        <v>95.992393294830251</v>
      </c>
      <c r="I12" s="2839">
        <v>100.07853515921551</v>
      </c>
      <c r="J12" s="839">
        <v>103.84903866970726</v>
      </c>
      <c r="K12" s="2839">
        <v>100.30556834926637</v>
      </c>
      <c r="L12" s="839">
        <v>96.368668408306235</v>
      </c>
      <c r="M12" s="2029">
        <v>91.865500940404999</v>
      </c>
      <c r="N12" s="2030"/>
      <c r="O12" s="2840"/>
      <c r="P12" s="2840"/>
      <c r="Q12" s="2031"/>
    </row>
    <row r="13" spans="1:17" s="14" customFormat="1">
      <c r="A13" s="63">
        <v>1993.04</v>
      </c>
      <c r="B13" s="1834">
        <v>99.758386948579258</v>
      </c>
      <c r="C13" s="839">
        <v>98.689813539924913</v>
      </c>
      <c r="D13" s="1668">
        <v>88.687076412509285</v>
      </c>
      <c r="E13" s="2839">
        <v>101.61846585012324</v>
      </c>
      <c r="F13" s="839">
        <v>110.5917575762245</v>
      </c>
      <c r="G13" s="2839">
        <v>103.79285037868109</v>
      </c>
      <c r="H13" s="839">
        <v>95.016199464713338</v>
      </c>
      <c r="I13" s="2839">
        <v>109.3986587604351</v>
      </c>
      <c r="J13" s="839">
        <v>94.40154353554361</v>
      </c>
      <c r="K13" s="2839">
        <v>102.84554056129944</v>
      </c>
      <c r="L13" s="839">
        <v>108.66777033830169</v>
      </c>
      <c r="M13" s="2029">
        <v>91.235320230176328</v>
      </c>
      <c r="N13" s="2030"/>
      <c r="O13" s="2840"/>
      <c r="P13" s="2840"/>
      <c r="Q13" s="2031"/>
    </row>
    <row r="14" spans="1:17" s="14" customFormat="1">
      <c r="A14" s="63">
        <v>1993.05</v>
      </c>
      <c r="B14" s="1834">
        <v>100.55983054662174</v>
      </c>
      <c r="C14" s="839">
        <v>100.63440817855816</v>
      </c>
      <c r="D14" s="1668">
        <v>89.483956926180255</v>
      </c>
      <c r="E14" s="2839">
        <v>93.690127743419637</v>
      </c>
      <c r="F14" s="839">
        <v>108.17085022556118</v>
      </c>
      <c r="G14" s="2839">
        <v>105.69575257950537</v>
      </c>
      <c r="H14" s="839">
        <v>106.59106916467107</v>
      </c>
      <c r="I14" s="2839">
        <v>98.404856265110027</v>
      </c>
      <c r="J14" s="839">
        <v>93.298301517556752</v>
      </c>
      <c r="K14" s="2839">
        <v>106.57704407403705</v>
      </c>
      <c r="L14" s="839">
        <v>115.82320146039633</v>
      </c>
      <c r="M14" s="2029">
        <v>97.665692916395273</v>
      </c>
      <c r="N14" s="2030"/>
      <c r="O14" s="2840"/>
      <c r="P14" s="2840"/>
      <c r="Q14" s="2031"/>
    </row>
    <row r="15" spans="1:17" s="14" customFormat="1">
      <c r="A15" s="63">
        <v>1993.06</v>
      </c>
      <c r="B15" s="1834">
        <v>101.66780605557591</v>
      </c>
      <c r="C15" s="839">
        <v>103.17786525310834</v>
      </c>
      <c r="D15" s="1668">
        <v>96.004678626925198</v>
      </c>
      <c r="E15" s="2839">
        <v>92.394446029483646</v>
      </c>
      <c r="F15" s="839">
        <v>112.70000507231242</v>
      </c>
      <c r="G15" s="2839">
        <v>95.098088007019498</v>
      </c>
      <c r="H15" s="839">
        <v>104.56684040005635</v>
      </c>
      <c r="I15" s="2839">
        <v>98.553857923671927</v>
      </c>
      <c r="J15" s="839">
        <v>85.924290865466929</v>
      </c>
      <c r="K15" s="2839">
        <v>102.93817583041167</v>
      </c>
      <c r="L15" s="839">
        <v>112.42870862912497</v>
      </c>
      <c r="M15" s="2029">
        <v>106.55071952331588</v>
      </c>
      <c r="N15" s="2030"/>
      <c r="O15" s="2840"/>
      <c r="P15" s="2840"/>
      <c r="Q15" s="2031"/>
    </row>
    <row r="16" spans="1:17" s="14" customFormat="1">
      <c r="A16" s="63">
        <v>1993.07</v>
      </c>
      <c r="B16" s="1834">
        <v>105.85058067149227</v>
      </c>
      <c r="C16" s="839">
        <v>100.94473609941328</v>
      </c>
      <c r="D16" s="1668">
        <v>104.52887558031782</v>
      </c>
      <c r="E16" s="2839">
        <v>101.58761628550572</v>
      </c>
      <c r="F16" s="839">
        <v>110.97581807313068</v>
      </c>
      <c r="G16" s="2839">
        <v>107.46990877260453</v>
      </c>
      <c r="H16" s="839">
        <v>104.35131708691365</v>
      </c>
      <c r="I16" s="2839">
        <v>103.11201710669229</v>
      </c>
      <c r="J16" s="839">
        <v>109.0803747531906</v>
      </c>
      <c r="K16" s="2839">
        <v>104.08625419386107</v>
      </c>
      <c r="L16" s="839">
        <v>108.13629376119259</v>
      </c>
      <c r="M16" s="2029">
        <v>112.19341100704972</v>
      </c>
      <c r="N16" s="2030"/>
      <c r="O16" s="2840"/>
      <c r="P16" s="2840"/>
      <c r="Q16" s="2031"/>
    </row>
    <row r="17" spans="1:17" s="14" customFormat="1">
      <c r="A17" s="63">
        <v>1993.08</v>
      </c>
      <c r="B17" s="1834">
        <v>104.94994158404991</v>
      </c>
      <c r="C17" s="839">
        <v>101.01405529868198</v>
      </c>
      <c r="D17" s="1668">
        <v>107.42450473057669</v>
      </c>
      <c r="E17" s="2839">
        <v>97.515473755992588</v>
      </c>
      <c r="F17" s="839">
        <v>109.72574273052871</v>
      </c>
      <c r="G17" s="2839">
        <v>91.057239330754442</v>
      </c>
      <c r="H17" s="839">
        <v>97.754613325820529</v>
      </c>
      <c r="I17" s="2839">
        <v>100.24319108018021</v>
      </c>
      <c r="J17" s="839">
        <v>105.57999098971803</v>
      </c>
      <c r="K17" s="2839">
        <v>108.45602872947377</v>
      </c>
      <c r="L17" s="839">
        <v>108.55742923592769</v>
      </c>
      <c r="M17" s="2029">
        <v>115.22387965720949</v>
      </c>
      <c r="N17" s="2030"/>
      <c r="O17" s="2840"/>
      <c r="P17" s="2840"/>
      <c r="Q17" s="2031"/>
    </row>
    <row r="18" spans="1:17" s="14" customFormat="1">
      <c r="A18" s="63">
        <v>1993.09</v>
      </c>
      <c r="B18" s="1834">
        <v>107.965175000052</v>
      </c>
      <c r="C18" s="839">
        <v>102.93973261541748</v>
      </c>
      <c r="D18" s="1668">
        <v>107.31973928542453</v>
      </c>
      <c r="E18" s="2839">
        <v>100.47703195927487</v>
      </c>
      <c r="F18" s="839">
        <v>107.27410069291288</v>
      </c>
      <c r="G18" s="2839">
        <v>104.0248324457593</v>
      </c>
      <c r="H18" s="839">
        <v>100.1464995069728</v>
      </c>
      <c r="I18" s="2839">
        <v>109.02126359475773</v>
      </c>
      <c r="J18" s="839">
        <v>109.99603305572732</v>
      </c>
      <c r="K18" s="2839">
        <v>105.98841544550834</v>
      </c>
      <c r="L18" s="839">
        <v>110.91869408195117</v>
      </c>
      <c r="M18" s="2029">
        <v>120.66922634096554</v>
      </c>
      <c r="N18" s="2030"/>
      <c r="O18" s="2840"/>
      <c r="P18" s="2840"/>
      <c r="Q18" s="2031"/>
    </row>
    <row r="19" spans="1:17" s="14" customFormat="1">
      <c r="A19" s="63">
        <v>1993.1</v>
      </c>
      <c r="B19" s="1834">
        <v>107.09023949851979</v>
      </c>
      <c r="C19" s="839">
        <v>102.03557869319117</v>
      </c>
      <c r="D19" s="1668">
        <v>106.83708278524199</v>
      </c>
      <c r="E19" s="2839">
        <v>101.8035632378284</v>
      </c>
      <c r="F19" s="839">
        <v>104.05713905605656</v>
      </c>
      <c r="G19" s="2839">
        <v>108.37015170565793</v>
      </c>
      <c r="H19" s="839">
        <v>104.03437103817438</v>
      </c>
      <c r="I19" s="2839">
        <v>109.40922663746933</v>
      </c>
      <c r="J19" s="839">
        <v>100.25019397503307</v>
      </c>
      <c r="K19" s="2839">
        <v>110.08799361547055</v>
      </c>
      <c r="L19" s="839">
        <v>109.39149991445021</v>
      </c>
      <c r="M19" s="2029">
        <v>113.2909808426913</v>
      </c>
      <c r="N19" s="2030"/>
      <c r="O19" s="2840"/>
      <c r="P19" s="2840"/>
      <c r="Q19" s="2031"/>
    </row>
    <row r="20" spans="1:17" s="14" customFormat="1">
      <c r="A20" s="63">
        <v>1993.11</v>
      </c>
      <c r="B20" s="1834">
        <v>105.62397746192727</v>
      </c>
      <c r="C20" s="839">
        <v>102.3733869002543</v>
      </c>
      <c r="D20" s="1668">
        <v>105.97959877260091</v>
      </c>
      <c r="E20" s="2839">
        <v>102.805279450524</v>
      </c>
      <c r="F20" s="839">
        <v>104.72443040149281</v>
      </c>
      <c r="G20" s="2839">
        <v>99.837951776479045</v>
      </c>
      <c r="H20" s="839">
        <v>97.019298492745449</v>
      </c>
      <c r="I20" s="2839">
        <v>99.624006761397553</v>
      </c>
      <c r="J20" s="839">
        <v>109.87728972481163</v>
      </c>
      <c r="K20" s="2839">
        <v>103.24083389665438</v>
      </c>
      <c r="L20" s="839">
        <v>111.24222086934091</v>
      </c>
      <c r="M20" s="2029">
        <v>123.34514695025322</v>
      </c>
      <c r="N20" s="2030"/>
      <c r="O20" s="2840"/>
      <c r="P20" s="2840"/>
      <c r="Q20" s="2031"/>
    </row>
    <row r="21" spans="1:17" s="14" customFormat="1">
      <c r="A21" s="63">
        <v>1993.12</v>
      </c>
      <c r="B21" s="1834">
        <v>105.31287404012357</v>
      </c>
      <c r="C21" s="839">
        <v>102.87272938263017</v>
      </c>
      <c r="D21" s="1668">
        <v>111.50572185223425</v>
      </c>
      <c r="E21" s="2839">
        <v>119.55862910910415</v>
      </c>
      <c r="F21" s="839">
        <v>77.765590912064056</v>
      </c>
      <c r="G21" s="2839">
        <v>98.860844598205432</v>
      </c>
      <c r="H21" s="839">
        <v>104.83730102831386</v>
      </c>
      <c r="I21" s="2839">
        <v>101.39081715698785</v>
      </c>
      <c r="J21" s="839">
        <v>109.78005726243342</v>
      </c>
      <c r="K21" s="2839">
        <v>91.135352914865052</v>
      </c>
      <c r="L21" s="839">
        <v>98.54964551415469</v>
      </c>
      <c r="M21" s="2029">
        <v>119.80279035821124</v>
      </c>
      <c r="N21" s="2030"/>
      <c r="O21" s="2840"/>
      <c r="P21" s="2840"/>
      <c r="Q21" s="2031"/>
    </row>
    <row r="22" spans="1:17">
      <c r="A22" s="63">
        <v>1994.01</v>
      </c>
      <c r="B22" s="1834">
        <v>92.580863413314702</v>
      </c>
      <c r="C22" s="839">
        <v>101.67152161974001</v>
      </c>
      <c r="D22" s="1668">
        <v>99.823377082073307</v>
      </c>
      <c r="E22" s="2839">
        <v>99.55154502074916</v>
      </c>
      <c r="F22" s="839">
        <v>61.160459734395687</v>
      </c>
      <c r="G22" s="2839">
        <v>96.432502452678392</v>
      </c>
      <c r="H22" s="839">
        <v>98.40329623890689</v>
      </c>
      <c r="I22" s="2839">
        <v>101.22737760067803</v>
      </c>
      <c r="J22" s="839">
        <v>91.807205126857113</v>
      </c>
      <c r="K22" s="2839">
        <v>96.544033939354549</v>
      </c>
      <c r="L22" s="839">
        <v>58.218489180181606</v>
      </c>
      <c r="M22" s="2029">
        <v>117.78082799986854</v>
      </c>
      <c r="N22" s="2030"/>
      <c r="O22" s="2840"/>
      <c r="P22" s="2840"/>
      <c r="Q22" s="2031"/>
    </row>
    <row r="23" spans="1:17">
      <c r="A23" s="63">
        <v>1994.02</v>
      </c>
      <c r="B23" s="1938">
        <v>80.396418030792546</v>
      </c>
      <c r="C23" s="839">
        <v>101.711362765126</v>
      </c>
      <c r="D23" s="1668">
        <v>91.251410324965875</v>
      </c>
      <c r="E23" s="2839">
        <v>97.793119837550307</v>
      </c>
      <c r="F23" s="839">
        <v>75.102039968839449</v>
      </c>
      <c r="G23" s="2839">
        <v>92.652231674584925</v>
      </c>
      <c r="H23" s="839">
        <v>85.080786026200869</v>
      </c>
      <c r="I23" s="2839">
        <v>91.205972778576992</v>
      </c>
      <c r="J23" s="839">
        <v>106.83550018527202</v>
      </c>
      <c r="K23" s="2839">
        <v>81.406673651647864</v>
      </c>
      <c r="L23" s="839">
        <v>57.977880167412778</v>
      </c>
      <c r="M23" s="2029">
        <v>30.308757042446782</v>
      </c>
      <c r="N23" s="2030"/>
      <c r="O23" s="2840"/>
      <c r="P23" s="2840"/>
      <c r="Q23" s="2031"/>
    </row>
    <row r="24" spans="1:17">
      <c r="A24" s="63">
        <v>1994.03</v>
      </c>
      <c r="B24" s="1938">
        <v>104.60853981525115</v>
      </c>
      <c r="C24" s="839">
        <v>101.14230008110907</v>
      </c>
      <c r="D24" s="1668">
        <v>104.29362596931691</v>
      </c>
      <c r="E24" s="2839">
        <v>114.39018560177807</v>
      </c>
      <c r="F24" s="839">
        <v>98.359464479537294</v>
      </c>
      <c r="G24" s="2839">
        <v>112.24769473751829</v>
      </c>
      <c r="H24" s="839">
        <v>87.70733906183969</v>
      </c>
      <c r="I24" s="2839">
        <v>107.50878170033644</v>
      </c>
      <c r="J24" s="839">
        <v>103.30896560427956</v>
      </c>
      <c r="K24" s="2839">
        <v>114.55125119647218</v>
      </c>
      <c r="L24" s="839">
        <v>98.165983727745214</v>
      </c>
      <c r="M24" s="2029">
        <v>120.02347310793297</v>
      </c>
      <c r="N24" s="2030"/>
      <c r="O24" s="2840"/>
      <c r="P24" s="2840"/>
      <c r="Q24" s="2031"/>
    </row>
    <row r="25" spans="1:17">
      <c r="A25" s="63">
        <v>1994.04</v>
      </c>
      <c r="B25" s="1938">
        <v>102.64081913072607</v>
      </c>
      <c r="C25" s="839">
        <v>102.83784930241322</v>
      </c>
      <c r="D25" s="1668">
        <v>94.236401052289736</v>
      </c>
      <c r="E25" s="2839">
        <v>92.456145158718698</v>
      </c>
      <c r="F25" s="839">
        <v>94.144648401396807</v>
      </c>
      <c r="G25" s="2839">
        <v>106.81260250613944</v>
      </c>
      <c r="H25" s="839">
        <v>81.139498520918423</v>
      </c>
      <c r="I25" s="2839">
        <v>117.01534673300245</v>
      </c>
      <c r="J25" s="839">
        <v>101.9328791177721</v>
      </c>
      <c r="K25" s="2839">
        <v>118.16911885204246</v>
      </c>
      <c r="L25" s="839">
        <v>100.73170338529543</v>
      </c>
      <c r="M25" s="2029">
        <v>123.80765958451303</v>
      </c>
      <c r="N25" s="2030"/>
      <c r="O25" s="2840"/>
      <c r="P25" s="2840"/>
      <c r="Q25" s="2031"/>
    </row>
    <row r="26" spans="1:17">
      <c r="A26" s="63">
        <v>1994.05</v>
      </c>
      <c r="B26" s="1938">
        <v>105.34602661002764</v>
      </c>
      <c r="C26" s="839">
        <v>104.58123089770449</v>
      </c>
      <c r="D26" s="1668">
        <v>98.09031202481313</v>
      </c>
      <c r="E26" s="2839">
        <v>100.26108500695221</v>
      </c>
      <c r="F26" s="839">
        <v>108.02518114576924</v>
      </c>
      <c r="G26" s="2839">
        <v>107.66709119989076</v>
      </c>
      <c r="H26" s="839">
        <v>90.645217636286787</v>
      </c>
      <c r="I26" s="2839">
        <v>115.02525113484073</v>
      </c>
      <c r="J26" s="839">
        <v>111.3395526898604</v>
      </c>
      <c r="K26" s="2839">
        <v>114.68801716376458</v>
      </c>
      <c r="L26" s="839">
        <v>102.97263549971755</v>
      </c>
      <c r="M26" s="2029">
        <v>120.89242365656357</v>
      </c>
      <c r="N26" s="2030"/>
      <c r="O26" s="2840"/>
      <c r="P26" s="2840"/>
      <c r="Q26" s="2031"/>
    </row>
    <row r="27" spans="1:17">
      <c r="A27" s="63">
        <v>1994.06</v>
      </c>
      <c r="B27" s="1938">
        <v>102.57321323873435</v>
      </c>
      <c r="C27" s="839">
        <v>103.66914621055577</v>
      </c>
      <c r="D27" s="1668">
        <v>100.73624289681126</v>
      </c>
      <c r="E27" s="2839">
        <v>98.749456340693541</v>
      </c>
      <c r="F27" s="839">
        <v>97.735112566712132</v>
      </c>
      <c r="G27" s="2839">
        <v>97.601122425576378</v>
      </c>
      <c r="H27" s="839">
        <v>88.747640512748276</v>
      </c>
      <c r="I27" s="2839">
        <v>110.04495813515486</v>
      </c>
      <c r="J27" s="839">
        <v>99.161129581685344</v>
      </c>
      <c r="K27" s="2839">
        <v>110.53356764201877</v>
      </c>
      <c r="L27" s="839">
        <v>97.343780150076242</v>
      </c>
      <c r="M27" s="2029">
        <v>121.62590394296272</v>
      </c>
      <c r="N27" s="2030"/>
      <c r="O27" s="2840"/>
      <c r="P27" s="2840"/>
      <c r="Q27" s="2031"/>
    </row>
    <row r="28" spans="1:17">
      <c r="A28" s="63">
        <v>1994.07</v>
      </c>
      <c r="B28" s="1938">
        <v>103.85214918742872</v>
      </c>
      <c r="C28" s="839">
        <v>103.86127912398572</v>
      </c>
      <c r="D28" s="1668">
        <v>110.2731469699828</v>
      </c>
      <c r="E28" s="2839">
        <v>97.206978109817356</v>
      </c>
      <c r="F28" s="839">
        <v>104.51651184853156</v>
      </c>
      <c r="G28" s="2839">
        <v>111.77328368829595</v>
      </c>
      <c r="H28" s="839">
        <v>91.047358782927162</v>
      </c>
      <c r="I28" s="2839">
        <v>110.11100538166508</v>
      </c>
      <c r="J28" s="839">
        <v>105.06146186953734</v>
      </c>
      <c r="K28" s="2839">
        <v>117.27576192189771</v>
      </c>
      <c r="L28" s="839">
        <v>82.0693941169542</v>
      </c>
      <c r="M28" s="2029">
        <v>127.76669957495879</v>
      </c>
      <c r="N28" s="2030"/>
      <c r="O28" s="2840"/>
      <c r="P28" s="2840"/>
      <c r="Q28" s="2031"/>
    </row>
    <row r="29" spans="1:17">
      <c r="A29" s="63">
        <v>1994.08</v>
      </c>
      <c r="B29" s="1938">
        <v>110.01054997328163</v>
      </c>
      <c r="C29" s="839">
        <v>104.13490581101281</v>
      </c>
      <c r="D29" s="1668">
        <v>117.89666058579107</v>
      </c>
      <c r="E29" s="2839">
        <v>102.4822536594139</v>
      </c>
      <c r="F29" s="839">
        <v>97.603481972243941</v>
      </c>
      <c r="G29" s="2839">
        <v>91.18461078862012</v>
      </c>
      <c r="H29" s="839">
        <v>85.216016340329617</v>
      </c>
      <c r="I29" s="2839">
        <v>109.97726236277238</v>
      </c>
      <c r="J29" s="839">
        <v>113.1663717422759</v>
      </c>
      <c r="K29" s="2839">
        <v>127.31841660581929</v>
      </c>
      <c r="L29" s="839">
        <v>96.862717417036137</v>
      </c>
      <c r="M29" s="2029">
        <v>146.60185777402489</v>
      </c>
      <c r="N29" s="2030"/>
      <c r="O29" s="2840"/>
      <c r="P29" s="2840"/>
      <c r="Q29" s="2031"/>
    </row>
    <row r="30" spans="1:17">
      <c r="A30" s="63">
        <v>1994.09</v>
      </c>
      <c r="B30" s="1938">
        <v>111.40154568946824</v>
      </c>
      <c r="C30" s="839">
        <v>105.80688550346984</v>
      </c>
      <c r="D30" s="1668">
        <v>118.35632473724279</v>
      </c>
      <c r="E30" s="2839">
        <v>106.15335184889925</v>
      </c>
      <c r="F30" s="839">
        <v>99.91552056180906</v>
      </c>
      <c r="G30" s="2839">
        <v>106.55869963347328</v>
      </c>
      <c r="H30" s="839">
        <v>92.710222500528232</v>
      </c>
      <c r="I30" s="2839">
        <v>108.75611181796998</v>
      </c>
      <c r="J30" s="839">
        <v>125.07948699878415</v>
      </c>
      <c r="K30" s="2839">
        <v>121.13109680832099</v>
      </c>
      <c r="L30" s="839">
        <v>91.681481699133471</v>
      </c>
      <c r="M30" s="2029">
        <v>148.25910821011152</v>
      </c>
      <c r="N30" s="2030"/>
      <c r="O30" s="2840"/>
      <c r="P30" s="2840"/>
      <c r="Q30" s="2031"/>
    </row>
    <row r="31" spans="1:17">
      <c r="A31" s="63">
        <v>1994.1</v>
      </c>
      <c r="B31" s="1938">
        <v>109.09400189634394</v>
      </c>
      <c r="C31" s="839">
        <v>104.3793837686303</v>
      </c>
      <c r="D31" s="1668">
        <v>113.36972725019081</v>
      </c>
      <c r="E31" s="2839">
        <v>97.546323320610099</v>
      </c>
      <c r="F31" s="839">
        <v>94.229704580760583</v>
      </c>
      <c r="G31" s="2839">
        <v>112.25287355147918</v>
      </c>
      <c r="H31" s="839">
        <v>92.865885269932377</v>
      </c>
      <c r="I31" s="2839">
        <v>118.91138910411851</v>
      </c>
      <c r="J31" s="839">
        <v>111.91950956631237</v>
      </c>
      <c r="K31" s="2839">
        <v>132.4279031982179</v>
      </c>
      <c r="L31" s="839">
        <v>90.672639008833144</v>
      </c>
      <c r="M31" s="2029">
        <v>133.57079041212248</v>
      </c>
      <c r="N31" s="2030"/>
      <c r="O31" s="2840"/>
      <c r="P31" s="2840"/>
      <c r="Q31" s="2031"/>
    </row>
    <row r="32" spans="1:17">
      <c r="A32" s="63">
        <v>1994.11</v>
      </c>
      <c r="B32" s="1938">
        <v>108.31823565311845</v>
      </c>
      <c r="C32" s="839">
        <v>104.97744098025184</v>
      </c>
      <c r="D32" s="1668">
        <v>110.87623449615018</v>
      </c>
      <c r="E32" s="2839">
        <v>105.56721012116628</v>
      </c>
      <c r="F32" s="839">
        <v>94.291443569396193</v>
      </c>
      <c r="G32" s="2839">
        <v>104.22718561926186</v>
      </c>
      <c r="H32" s="839">
        <v>91.638991407240439</v>
      </c>
      <c r="I32" s="2839">
        <v>115.45919241969617</v>
      </c>
      <c r="J32" s="839">
        <v>116.43063823204085</v>
      </c>
      <c r="K32" s="2839">
        <v>120.86505569239455</v>
      </c>
      <c r="L32" s="839">
        <v>86.230847484776504</v>
      </c>
      <c r="M32" s="2029">
        <v>139.16545492379558</v>
      </c>
      <c r="N32" s="2030"/>
      <c r="O32" s="2840"/>
      <c r="P32" s="2840"/>
      <c r="Q32" s="2031"/>
    </row>
    <row r="33" spans="1:17">
      <c r="A33" s="63">
        <v>1994.12</v>
      </c>
      <c r="B33" s="1938">
        <v>106.92547624693927</v>
      </c>
      <c r="C33" s="839">
        <v>106.8009836452573</v>
      </c>
      <c r="D33" s="1668">
        <v>115.91794862304137</v>
      </c>
      <c r="E33" s="2839">
        <v>116.67305338347485</v>
      </c>
      <c r="F33" s="839">
        <v>90.301241698767981</v>
      </c>
      <c r="G33" s="2839">
        <v>104.96832313722661</v>
      </c>
      <c r="H33" s="839">
        <v>88.729764755599376</v>
      </c>
      <c r="I33" s="2839">
        <v>115.03916205474727</v>
      </c>
      <c r="J33" s="839">
        <v>109.3921675928908</v>
      </c>
      <c r="K33" s="2839">
        <v>116.318172070336</v>
      </c>
      <c r="L33" s="839">
        <v>81.740287850030839</v>
      </c>
      <c r="M33" s="2029">
        <v>113.79743188581841</v>
      </c>
      <c r="N33" s="2030"/>
      <c r="O33" s="2840"/>
      <c r="P33" s="2840"/>
      <c r="Q33" s="2031"/>
    </row>
    <row r="34" spans="1:17">
      <c r="A34" s="63">
        <v>1995.01</v>
      </c>
      <c r="B34" s="1938">
        <v>91.587397697081542</v>
      </c>
      <c r="C34" s="839">
        <v>104.09142002353884</v>
      </c>
      <c r="D34" s="1668">
        <v>104.47071803126533</v>
      </c>
      <c r="E34" s="2839">
        <v>103.09020602933145</v>
      </c>
      <c r="F34" s="839">
        <v>68.40271983100773</v>
      </c>
      <c r="G34" s="2839">
        <v>109.06038193485119</v>
      </c>
      <c r="H34" s="839">
        <v>94.362382025637402</v>
      </c>
      <c r="I34" s="2839">
        <v>119.03825623210574</v>
      </c>
      <c r="J34" s="839">
        <v>118.20627345299094</v>
      </c>
      <c r="K34" s="2839">
        <v>110.53805412941615</v>
      </c>
      <c r="L34" s="839">
        <v>55.675489783160238</v>
      </c>
      <c r="M34" s="2029">
        <v>32.640007288071182</v>
      </c>
      <c r="N34" s="2030"/>
      <c r="O34" s="2840"/>
      <c r="P34" s="2840"/>
      <c r="Q34" s="2031"/>
    </row>
    <row r="35" spans="1:17">
      <c r="A35" s="63">
        <v>1995.02</v>
      </c>
      <c r="B35" s="1938">
        <v>90.441316500714493</v>
      </c>
      <c r="C35" s="839">
        <v>104.67838708240384</v>
      </c>
      <c r="D35" s="1668">
        <v>92.627997927807286</v>
      </c>
      <c r="E35" s="2839">
        <v>96.034694654351455</v>
      </c>
      <c r="F35" s="839">
        <v>86.128171336312704</v>
      </c>
      <c r="G35" s="2839">
        <v>99.773925820943305</v>
      </c>
      <c r="H35" s="839">
        <v>82.379822642273552</v>
      </c>
      <c r="I35" s="2839">
        <v>99.619773908969833</v>
      </c>
      <c r="J35" s="839">
        <v>113.15676823331114</v>
      </c>
      <c r="K35" s="2839">
        <v>96.863747093420216</v>
      </c>
      <c r="L35" s="839">
        <v>51.571955223161112</v>
      </c>
      <c r="M35" s="2029">
        <v>114.10813163613162</v>
      </c>
      <c r="N35" s="2030"/>
      <c r="O35" s="2840"/>
      <c r="P35" s="2840"/>
      <c r="Q35" s="2031"/>
    </row>
    <row r="36" spans="1:17">
      <c r="A36" s="63">
        <v>1995.03</v>
      </c>
      <c r="B36" s="1938">
        <v>105.62542280217194</v>
      </c>
      <c r="C36" s="839">
        <v>101.55395954239992</v>
      </c>
      <c r="D36" s="1668">
        <v>104.29430591923308</v>
      </c>
      <c r="E36" s="2839">
        <v>111.89137086775867</v>
      </c>
      <c r="F36" s="839">
        <v>99.134854771686918</v>
      </c>
      <c r="G36" s="2839">
        <v>112.00899953351767</v>
      </c>
      <c r="H36" s="839">
        <v>89.804672423052551</v>
      </c>
      <c r="I36" s="2839">
        <v>113.50257587200912</v>
      </c>
      <c r="J36" s="839">
        <v>120.18905498627967</v>
      </c>
      <c r="K36" s="2839">
        <v>125.55632670959055</v>
      </c>
      <c r="L36" s="839">
        <v>79.271243920153651</v>
      </c>
      <c r="M36" s="2029">
        <v>125.38436279980475</v>
      </c>
      <c r="N36" s="2030"/>
      <c r="O36" s="2840"/>
      <c r="P36" s="2840"/>
      <c r="Q36" s="2031"/>
    </row>
    <row r="37" spans="1:17">
      <c r="A37" s="63">
        <v>1995.04</v>
      </c>
      <c r="B37" s="1938">
        <v>92.616021876134624</v>
      </c>
      <c r="C37" s="839">
        <v>99.184539275231401</v>
      </c>
      <c r="D37" s="1668">
        <v>91.648182083889864</v>
      </c>
      <c r="E37" s="2839">
        <v>96.158092912821544</v>
      </c>
      <c r="F37" s="839">
        <v>95.976502696431552</v>
      </c>
      <c r="G37" s="2839">
        <v>106.53164292364599</v>
      </c>
      <c r="H37" s="839">
        <v>87.609977857796864</v>
      </c>
      <c r="I37" s="2839">
        <v>106.79023118728665</v>
      </c>
      <c r="J37" s="839">
        <v>91.438170920089291</v>
      </c>
      <c r="K37" s="2839">
        <v>125.66740060547872</v>
      </c>
      <c r="L37" s="839">
        <v>65.003601349510092</v>
      </c>
      <c r="M37" s="2029">
        <v>86.828171837691599</v>
      </c>
      <c r="N37" s="2030"/>
      <c r="O37" s="2840"/>
      <c r="P37" s="2840"/>
      <c r="Q37" s="2031"/>
    </row>
    <row r="38" spans="1:17">
      <c r="A38" s="63">
        <v>1995.05</v>
      </c>
      <c r="B38" s="1938">
        <v>98.356177614234113</v>
      </c>
      <c r="C38" s="839">
        <v>96.399344725994212</v>
      </c>
      <c r="D38" s="1668">
        <v>101.32521323257286</v>
      </c>
      <c r="E38" s="2839">
        <v>101.27912063933049</v>
      </c>
      <c r="F38" s="839">
        <v>90.948626096849935</v>
      </c>
      <c r="G38" s="2839">
        <v>118.50623920676435</v>
      </c>
      <c r="H38" s="839">
        <v>90.811452165908037</v>
      </c>
      <c r="I38" s="2839">
        <v>109.02662964778399</v>
      </c>
      <c r="J38" s="839">
        <v>102.48050684213329</v>
      </c>
      <c r="K38" s="2839">
        <v>128.00313090240149</v>
      </c>
      <c r="L38" s="839">
        <v>63.326343044664952</v>
      </c>
      <c r="M38" s="2029">
        <v>108.77356133890645</v>
      </c>
      <c r="N38" s="2030"/>
      <c r="O38" s="2840"/>
      <c r="P38" s="2840"/>
      <c r="Q38" s="2031"/>
    </row>
    <row r="39" spans="1:17">
      <c r="A39" s="63">
        <v>1995.06</v>
      </c>
      <c r="B39" s="1938">
        <v>94.391973016544569</v>
      </c>
      <c r="C39" s="839">
        <v>94.937605621381408</v>
      </c>
      <c r="D39" s="1668">
        <v>105.63202814746766</v>
      </c>
      <c r="E39" s="2839">
        <v>97.885668531402871</v>
      </c>
      <c r="F39" s="839">
        <v>90.891064522243553</v>
      </c>
      <c r="G39" s="2839">
        <v>115.32523108392263</v>
      </c>
      <c r="H39" s="839">
        <v>87.694645661470787</v>
      </c>
      <c r="I39" s="2839">
        <v>104.95141477191136</v>
      </c>
      <c r="J39" s="839">
        <v>91.749594117012094</v>
      </c>
      <c r="K39" s="2839">
        <v>125.57531083301031</v>
      </c>
      <c r="L39" s="839">
        <v>62.434282240209527</v>
      </c>
      <c r="M39" s="2029">
        <v>76.153556890825399</v>
      </c>
      <c r="N39" s="2030"/>
      <c r="O39" s="2840"/>
      <c r="P39" s="2840"/>
      <c r="Q39" s="2031"/>
    </row>
    <row r="40" spans="1:17">
      <c r="A40" s="63">
        <v>1995.07</v>
      </c>
      <c r="B40" s="1938">
        <v>98.530208283345573</v>
      </c>
      <c r="C40" s="839">
        <v>95.6551987337958</v>
      </c>
      <c r="D40" s="1668">
        <v>112.62555817975094</v>
      </c>
      <c r="E40" s="2839">
        <v>92.918888627981545</v>
      </c>
      <c r="F40" s="839">
        <v>86.331639745507147</v>
      </c>
      <c r="G40" s="2839">
        <v>121.28339663717801</v>
      </c>
      <c r="H40" s="839">
        <v>93.821989012536974</v>
      </c>
      <c r="I40" s="2839">
        <v>109.04423084649444</v>
      </c>
      <c r="J40" s="839">
        <v>99.371771570991513</v>
      </c>
      <c r="K40" s="2839">
        <v>133.97149417919155</v>
      </c>
      <c r="L40" s="839">
        <v>68.915278492545809</v>
      </c>
      <c r="M40" s="2029">
        <v>81.691377448672341</v>
      </c>
      <c r="N40" s="2030"/>
      <c r="O40" s="2840"/>
      <c r="P40" s="2840"/>
      <c r="Q40" s="2031"/>
    </row>
    <row r="41" spans="1:17">
      <c r="A41" s="63">
        <v>1995.08</v>
      </c>
      <c r="B41" s="1938">
        <v>101.75926664864568</v>
      </c>
      <c r="C41" s="839">
        <v>95.557299684605823</v>
      </c>
      <c r="D41" s="1668">
        <v>117.7747113533843</v>
      </c>
      <c r="E41" s="2839">
        <v>102.94499712867677</v>
      </c>
      <c r="F41" s="839">
        <v>81.497635942415727</v>
      </c>
      <c r="G41" s="2839">
        <v>109.80893604196318</v>
      </c>
      <c r="H41" s="839">
        <v>94.823623045499346</v>
      </c>
      <c r="I41" s="2839">
        <v>105.54819893091046</v>
      </c>
      <c r="J41" s="839">
        <v>97.018272782048868</v>
      </c>
      <c r="K41" s="2839">
        <v>132.07892662075346</v>
      </c>
      <c r="L41" s="839">
        <v>79.471982723340361</v>
      </c>
      <c r="M41" s="2029">
        <v>85.143149775873709</v>
      </c>
      <c r="N41" s="2030"/>
      <c r="O41" s="2840"/>
      <c r="P41" s="2840"/>
      <c r="Q41" s="2031"/>
    </row>
    <row r="42" spans="1:17">
      <c r="A42" s="63">
        <v>1995.09</v>
      </c>
      <c r="B42" s="1938">
        <v>98.750635614736922</v>
      </c>
      <c r="C42" s="839">
        <v>94.915579856338596</v>
      </c>
      <c r="D42" s="1668">
        <v>116.82478645920352</v>
      </c>
      <c r="E42" s="2839">
        <v>97.361225932904972</v>
      </c>
      <c r="F42" s="839">
        <v>83.455607315723682</v>
      </c>
      <c r="G42" s="2839">
        <v>110.04104697041413</v>
      </c>
      <c r="H42" s="839">
        <v>82.709437949006897</v>
      </c>
      <c r="I42" s="2839">
        <v>111.10484064160302</v>
      </c>
      <c r="J42" s="839">
        <v>103.62516429873685</v>
      </c>
      <c r="K42" s="2839">
        <v>126.61903882406023</v>
      </c>
      <c r="L42" s="839">
        <v>72.897799771185134</v>
      </c>
      <c r="M42" s="2029">
        <v>75.410592279318877</v>
      </c>
      <c r="N42" s="2030"/>
      <c r="O42" s="2840"/>
      <c r="P42" s="2840"/>
      <c r="Q42" s="2031"/>
    </row>
    <row r="43" spans="1:17">
      <c r="A43" s="63">
        <v>1995.1</v>
      </c>
      <c r="B43" s="1938">
        <v>101.69962772433527</v>
      </c>
      <c r="C43" s="839">
        <v>96.351362492707437</v>
      </c>
      <c r="D43" s="1668">
        <v>115.93689516891359</v>
      </c>
      <c r="E43" s="2839">
        <v>101.6801649793583</v>
      </c>
      <c r="F43" s="839">
        <v>85.382479613877962</v>
      </c>
      <c r="G43" s="2839">
        <v>119.09896857180007</v>
      </c>
      <c r="H43" s="839">
        <v>89.017551767854627</v>
      </c>
      <c r="I43" s="2839">
        <v>117.99279632796325</v>
      </c>
      <c r="J43" s="839">
        <v>90.230185407656109</v>
      </c>
      <c r="K43" s="2839">
        <v>136.98432520945676</v>
      </c>
      <c r="L43" s="839">
        <v>72.680004688706873</v>
      </c>
      <c r="M43" s="2029">
        <v>79.285532260465047</v>
      </c>
      <c r="N43" s="2030"/>
      <c r="O43" s="2840"/>
      <c r="P43" s="2840"/>
      <c r="Q43" s="2031"/>
    </row>
    <row r="44" spans="1:17">
      <c r="A44" s="63">
        <v>1995.11</v>
      </c>
      <c r="B44" s="1938">
        <v>100.78358348181963</v>
      </c>
      <c r="C44" s="839">
        <v>97.475369929010597</v>
      </c>
      <c r="D44" s="1668">
        <v>113.44961645218558</v>
      </c>
      <c r="E44" s="2839">
        <v>103.87048406720247</v>
      </c>
      <c r="F44" s="839">
        <v>79.771780006724029</v>
      </c>
      <c r="G44" s="2839">
        <v>124.10780599009544</v>
      </c>
      <c r="H44" s="839">
        <v>86.667164389350603</v>
      </c>
      <c r="I44" s="2839">
        <v>112.43929785167062</v>
      </c>
      <c r="J44" s="839">
        <v>90.070898696425317</v>
      </c>
      <c r="K44" s="2839">
        <v>134.74505959747475</v>
      </c>
      <c r="L44" s="839">
        <v>78.86141933688846</v>
      </c>
      <c r="M44" s="2029">
        <v>79.349613473710761</v>
      </c>
      <c r="N44" s="2030"/>
      <c r="O44" s="2840"/>
      <c r="P44" s="2840"/>
      <c r="Q44" s="2031"/>
    </row>
    <row r="45" spans="1:17">
      <c r="A45" s="63">
        <v>1995.12</v>
      </c>
      <c r="B45" s="1938">
        <v>96.845575698365366</v>
      </c>
      <c r="C45" s="839">
        <v>99.307532388096249</v>
      </c>
      <c r="D45" s="1668">
        <v>115.19572622541412</v>
      </c>
      <c r="E45" s="2839">
        <v>119.11016898825922</v>
      </c>
      <c r="F45" s="839">
        <v>72.566620111659205</v>
      </c>
      <c r="G45" s="2839">
        <v>106.70763998156966</v>
      </c>
      <c r="H45" s="839">
        <v>90.710550781800251</v>
      </c>
      <c r="I45" s="2839">
        <v>104.9880701765177</v>
      </c>
      <c r="J45" s="839">
        <v>86.49192304073631</v>
      </c>
      <c r="K45" s="2839">
        <v>113.30906572417668</v>
      </c>
      <c r="L45" s="839">
        <v>67.104500852613398</v>
      </c>
      <c r="M45" s="2029">
        <v>63.245550830870172</v>
      </c>
      <c r="N45" s="2030"/>
      <c r="O45" s="2840"/>
      <c r="P45" s="2840"/>
      <c r="Q45" s="2031"/>
    </row>
    <row r="46" spans="1:17">
      <c r="A46" s="63">
        <v>1996.01</v>
      </c>
      <c r="B46" s="1938">
        <v>88.691675856887272</v>
      </c>
      <c r="C46" s="839">
        <v>100.69394845954835</v>
      </c>
      <c r="D46" s="1668">
        <v>103.3118257149325</v>
      </c>
      <c r="E46" s="2839">
        <v>107.50117734792563</v>
      </c>
      <c r="F46" s="839">
        <v>75.140358652674763</v>
      </c>
      <c r="G46" s="2839">
        <v>112.71367251012393</v>
      </c>
      <c r="H46" s="839">
        <v>90.08126496689674</v>
      </c>
      <c r="I46" s="2839">
        <v>120.96322079749497</v>
      </c>
      <c r="J46" s="839">
        <v>87.614492545031865</v>
      </c>
      <c r="K46" s="2839">
        <v>110.16048299110849</v>
      </c>
      <c r="L46" s="839">
        <v>48.779400060116338</v>
      </c>
      <c r="M46" s="2029">
        <v>17.519604353480918</v>
      </c>
      <c r="N46" s="2030"/>
      <c r="O46" s="2840"/>
      <c r="P46" s="2840"/>
      <c r="Q46" s="2031"/>
    </row>
    <row r="47" spans="1:17">
      <c r="A47" s="63">
        <v>1996.02</v>
      </c>
      <c r="B47" s="1938">
        <v>91.834256613594022</v>
      </c>
      <c r="C47" s="839">
        <v>100.67406448616737</v>
      </c>
      <c r="D47" s="1668">
        <v>97.591029435877473</v>
      </c>
      <c r="E47" s="2839">
        <v>91.84957793425248</v>
      </c>
      <c r="F47" s="839">
        <v>90.592849642255857</v>
      </c>
      <c r="G47" s="2839">
        <v>114.19008791153574</v>
      </c>
      <c r="H47" s="839">
        <v>82.754021693196222</v>
      </c>
      <c r="I47" s="2839">
        <v>107.90520154638756</v>
      </c>
      <c r="J47" s="839">
        <v>85.201605828809306</v>
      </c>
      <c r="K47" s="2839">
        <v>121.07452046659935</v>
      </c>
      <c r="L47" s="839">
        <v>70.199913411736858</v>
      </c>
      <c r="M47" s="2029">
        <v>71.902711904144269</v>
      </c>
      <c r="N47" s="2030"/>
      <c r="O47" s="2840"/>
      <c r="P47" s="2840"/>
      <c r="Q47" s="2031"/>
    </row>
    <row r="48" spans="1:17">
      <c r="A48" s="63">
        <v>1996.03</v>
      </c>
      <c r="B48" s="1938">
        <v>105.52892224875734</v>
      </c>
      <c r="C48" s="839">
        <v>104.04848070430066</v>
      </c>
      <c r="D48" s="1668">
        <v>105.31277315598594</v>
      </c>
      <c r="E48" s="2839">
        <v>99.529378374588887</v>
      </c>
      <c r="F48" s="839">
        <v>98.602715756321444</v>
      </c>
      <c r="G48" s="2839">
        <v>125.29756225984323</v>
      </c>
      <c r="H48" s="839">
        <v>92.701394562614439</v>
      </c>
      <c r="I48" s="2839">
        <v>120.92972055930269</v>
      </c>
      <c r="J48" s="839">
        <v>95.481263446927414</v>
      </c>
      <c r="K48" s="2839">
        <v>144.13218598813575</v>
      </c>
      <c r="L48" s="839">
        <v>95.155761378705009</v>
      </c>
      <c r="M48" s="2029">
        <v>85.343177278376487</v>
      </c>
      <c r="N48" s="2030"/>
      <c r="O48" s="2840"/>
      <c r="P48" s="2840"/>
      <c r="Q48" s="2031"/>
    </row>
    <row r="49" spans="1:17">
      <c r="A49" s="63">
        <v>1996.04</v>
      </c>
      <c r="B49" s="1938">
        <v>105.044783505643</v>
      </c>
      <c r="C49" s="839">
        <v>104.8639040135817</v>
      </c>
      <c r="D49" s="1668">
        <v>99.279118486212852</v>
      </c>
      <c r="E49" s="2839">
        <v>101.09442306198278</v>
      </c>
      <c r="F49" s="839">
        <v>97.297788278342694</v>
      </c>
      <c r="G49" s="2839">
        <v>121.39254591126712</v>
      </c>
      <c r="H49" s="839">
        <v>89.921650936751647</v>
      </c>
      <c r="I49" s="2839">
        <v>127.77551640385826</v>
      </c>
      <c r="J49" s="839">
        <v>93.694302296710063</v>
      </c>
      <c r="K49" s="2839">
        <v>135.52777764816017</v>
      </c>
      <c r="L49" s="839">
        <v>99.782954991247621</v>
      </c>
      <c r="M49" s="2029">
        <v>92.871566666753267</v>
      </c>
      <c r="N49" s="2030"/>
      <c r="O49" s="2840"/>
      <c r="P49" s="2840"/>
      <c r="Q49" s="2031"/>
    </row>
    <row r="50" spans="1:17">
      <c r="A50" s="63">
        <v>1996.05</v>
      </c>
      <c r="B50" s="1938">
        <v>109.04842970680301</v>
      </c>
      <c r="C50" s="839">
        <v>106.37706197075235</v>
      </c>
      <c r="D50" s="1668">
        <v>103.80479719469889</v>
      </c>
      <c r="E50" s="2839">
        <v>102.57029399789329</v>
      </c>
      <c r="F50" s="839">
        <v>101.51851742319333</v>
      </c>
      <c r="G50" s="2839">
        <v>118.66450569130069</v>
      </c>
      <c r="H50" s="839">
        <v>93.998168756162841</v>
      </c>
      <c r="I50" s="2839">
        <v>125.29453967691563</v>
      </c>
      <c r="J50" s="839">
        <v>86.824047040880544</v>
      </c>
      <c r="K50" s="2839">
        <v>139.96156727412466</v>
      </c>
      <c r="L50" s="839">
        <v>106.50006838892546</v>
      </c>
      <c r="M50" s="2029">
        <v>104.66844898229492</v>
      </c>
      <c r="N50" s="2030"/>
      <c r="O50" s="2840"/>
      <c r="P50" s="2840"/>
      <c r="Q50" s="2031"/>
    </row>
    <row r="51" spans="1:17">
      <c r="A51" s="63">
        <v>1996.06</v>
      </c>
      <c r="B51" s="1938">
        <v>101.40631393094799</v>
      </c>
      <c r="C51" s="839">
        <v>104.75746139493597</v>
      </c>
      <c r="D51" s="1668">
        <v>99.432400645177623</v>
      </c>
      <c r="E51" s="2839">
        <v>88.881366096873492</v>
      </c>
      <c r="F51" s="839">
        <v>97.192230668569707</v>
      </c>
      <c r="G51" s="2839">
        <v>117.20559243185613</v>
      </c>
      <c r="H51" s="839">
        <v>96.072179180166202</v>
      </c>
      <c r="I51" s="2839">
        <v>122.19926039626458</v>
      </c>
      <c r="J51" s="839">
        <v>77.846530258123209</v>
      </c>
      <c r="K51" s="2839">
        <v>140.42391673176058</v>
      </c>
      <c r="L51" s="839">
        <v>91.095892081313806</v>
      </c>
      <c r="M51" s="2029">
        <v>91.843862439641157</v>
      </c>
      <c r="N51" s="2030"/>
      <c r="O51" s="2840"/>
      <c r="P51" s="2840"/>
      <c r="Q51" s="2031"/>
    </row>
    <row r="52" spans="1:17">
      <c r="A52" s="63">
        <v>1996.07</v>
      </c>
      <c r="B52" s="1938">
        <v>113.32600625495351</v>
      </c>
      <c r="C52" s="839">
        <v>107.27084149934922</v>
      </c>
      <c r="D52" s="1668">
        <v>117.23316407289299</v>
      </c>
      <c r="E52" s="2839">
        <v>101.69824220723287</v>
      </c>
      <c r="F52" s="839">
        <v>100.37431075514299</v>
      </c>
      <c r="G52" s="2839">
        <v>129.5905915318489</v>
      </c>
      <c r="H52" s="839">
        <v>103.92783490632482</v>
      </c>
      <c r="I52" s="2839">
        <v>123.63425889697221</v>
      </c>
      <c r="J52" s="839">
        <v>94.264021907407383</v>
      </c>
      <c r="K52" s="2839">
        <v>144.37130323513242</v>
      </c>
      <c r="L52" s="839">
        <v>106.31023145141424</v>
      </c>
      <c r="M52" s="2029">
        <v>110.29483382102045</v>
      </c>
      <c r="N52" s="2030"/>
      <c r="O52" s="2840"/>
      <c r="P52" s="2840"/>
      <c r="Q52" s="2031"/>
    </row>
    <row r="53" spans="1:17">
      <c r="A53" s="63">
        <v>1996.08</v>
      </c>
      <c r="B53" s="1938">
        <v>113.754363747159</v>
      </c>
      <c r="C53" s="839">
        <v>106.9664761392639</v>
      </c>
      <c r="D53" s="1668">
        <v>120.34783431342217</v>
      </c>
      <c r="E53" s="2839">
        <v>100.33084512742181</v>
      </c>
      <c r="F53" s="839">
        <v>92.80578720656375</v>
      </c>
      <c r="G53" s="2839">
        <v>125.51953772404178</v>
      </c>
      <c r="H53" s="839">
        <v>102.17427806733343</v>
      </c>
      <c r="I53" s="2839">
        <v>117.73734497247291</v>
      </c>
      <c r="J53" s="839">
        <v>94.842558370651972</v>
      </c>
      <c r="K53" s="2839">
        <v>143.0124058463669</v>
      </c>
      <c r="L53" s="839">
        <v>109.71205194900492</v>
      </c>
      <c r="M53" s="2029">
        <v>113.10159641306448</v>
      </c>
      <c r="N53" s="2030"/>
      <c r="O53" s="2840"/>
      <c r="P53" s="2840"/>
      <c r="Q53" s="2031"/>
    </row>
    <row r="54" spans="1:17">
      <c r="A54" s="63">
        <v>1996.09</v>
      </c>
      <c r="B54" s="1938">
        <v>106.25838275329519</v>
      </c>
      <c r="C54" s="839">
        <v>103.97495505980736</v>
      </c>
      <c r="D54" s="1668">
        <v>116.60763251092497</v>
      </c>
      <c r="E54" s="2839">
        <v>97.98949089014927</v>
      </c>
      <c r="F54" s="839">
        <v>91.470987399066757</v>
      </c>
      <c r="G54" s="2839">
        <v>121.83162778860617</v>
      </c>
      <c r="H54" s="839">
        <v>96.012973658261728</v>
      </c>
      <c r="I54" s="2839">
        <v>120.89290713390295</v>
      </c>
      <c r="J54" s="839">
        <v>98.277202666212972</v>
      </c>
      <c r="K54" s="2839">
        <v>138.45856029580537</v>
      </c>
      <c r="L54" s="839">
        <v>84.947683862336177</v>
      </c>
      <c r="M54" s="2029">
        <v>97.710912146478236</v>
      </c>
      <c r="N54" s="2030"/>
      <c r="O54" s="2840"/>
      <c r="P54" s="2840"/>
      <c r="Q54" s="2031"/>
    </row>
    <row r="55" spans="1:17">
      <c r="A55" s="63">
        <v>1996.1</v>
      </c>
      <c r="B55" s="1938">
        <v>115.25894046461646</v>
      </c>
      <c r="C55" s="839">
        <v>107.12160252908039</v>
      </c>
      <c r="D55" s="1668">
        <v>121.10000293753029</v>
      </c>
      <c r="E55" s="2839">
        <v>111.2345484685479</v>
      </c>
      <c r="F55" s="839">
        <v>93.386777510469898</v>
      </c>
      <c r="G55" s="2839">
        <v>114.90984059730178</v>
      </c>
      <c r="H55" s="839">
        <v>95.996957317932115</v>
      </c>
      <c r="I55" s="2839">
        <v>134.89310587581781</v>
      </c>
      <c r="J55" s="839">
        <v>101.19792027362548</v>
      </c>
      <c r="K55" s="2839">
        <v>149.89328932674675</v>
      </c>
      <c r="L55" s="839">
        <v>97.198600284114235</v>
      </c>
      <c r="M55" s="2029">
        <v>111.8580731098095</v>
      </c>
      <c r="N55" s="2030"/>
      <c r="O55" s="2840"/>
      <c r="P55" s="2840"/>
      <c r="Q55" s="2031"/>
    </row>
    <row r="56" spans="1:17">
      <c r="A56" s="63">
        <v>1996.11</v>
      </c>
      <c r="B56" s="1938">
        <v>109.03585959893007</v>
      </c>
      <c r="C56" s="839">
        <v>106.46830362244268</v>
      </c>
      <c r="D56" s="1668">
        <v>110.99482456999394</v>
      </c>
      <c r="E56" s="2839">
        <v>95.262890991880852</v>
      </c>
      <c r="F56" s="839">
        <v>89.732135209185984</v>
      </c>
      <c r="G56" s="2839">
        <v>110.76720164624633</v>
      </c>
      <c r="H56" s="839">
        <v>91.415142977884202</v>
      </c>
      <c r="I56" s="2839">
        <v>125.58589851801955</v>
      </c>
      <c r="J56" s="839">
        <v>114.28439835575988</v>
      </c>
      <c r="K56" s="2839">
        <v>146.26718682558848</v>
      </c>
      <c r="L56" s="839">
        <v>91.296608536256556</v>
      </c>
      <c r="M56" s="2029">
        <v>111.0546006002054</v>
      </c>
      <c r="N56" s="2030"/>
      <c r="O56" s="2840"/>
      <c r="P56" s="2840"/>
      <c r="Q56" s="2031"/>
    </row>
    <row r="57" spans="1:17">
      <c r="A57" s="63">
        <v>1996.12</v>
      </c>
      <c r="B57" s="1938">
        <v>103.01572818756804</v>
      </c>
      <c r="C57" s="839">
        <v>106.08901476000729</v>
      </c>
      <c r="D57" s="1668">
        <v>119.38095553816436</v>
      </c>
      <c r="E57" s="2839">
        <v>115.07050858232316</v>
      </c>
      <c r="F57" s="839">
        <v>80.302817208550351</v>
      </c>
      <c r="G57" s="2839">
        <v>115.80252978945728</v>
      </c>
      <c r="H57" s="839">
        <v>93.2298492745457</v>
      </c>
      <c r="I57" s="2839">
        <v>113.96609339511315</v>
      </c>
      <c r="J57" s="839">
        <v>100.52820467893818</v>
      </c>
      <c r="K57" s="2839">
        <v>134.92685240144667</v>
      </c>
      <c r="L57" s="839">
        <v>61.762165613307872</v>
      </c>
      <c r="M57" s="2029">
        <v>89.75054950383246</v>
      </c>
      <c r="N57" s="2030"/>
      <c r="O57" s="2840"/>
      <c r="P57" s="2840"/>
      <c r="Q57" s="2031"/>
    </row>
    <row r="58" spans="1:17">
      <c r="A58" s="63">
        <v>1997.01</v>
      </c>
      <c r="B58" s="1938">
        <v>96.224019946566045</v>
      </c>
      <c r="C58" s="839">
        <v>108.23504077920386</v>
      </c>
      <c r="D58" s="1668">
        <v>104.19525691895741</v>
      </c>
      <c r="E58" s="2839">
        <v>106.274541895534</v>
      </c>
      <c r="F58" s="839">
        <v>76.021455837314292</v>
      </c>
      <c r="G58" s="2839">
        <v>119.35996998197086</v>
      </c>
      <c r="H58" s="839">
        <v>100.061642484857</v>
      </c>
      <c r="I58" s="2839">
        <v>115.8754909693597</v>
      </c>
      <c r="J58" s="839">
        <v>105.02591688405511</v>
      </c>
      <c r="K58" s="2839">
        <v>113.34126357801739</v>
      </c>
      <c r="L58" s="839">
        <v>65.902023609849977</v>
      </c>
      <c r="M58" s="2029">
        <v>52.760833949888649</v>
      </c>
      <c r="N58" s="2030"/>
      <c r="O58" s="2840"/>
      <c r="P58" s="2840"/>
      <c r="Q58" s="2031"/>
    </row>
    <row r="59" spans="1:17">
      <c r="A59" s="63">
        <v>1997.02</v>
      </c>
      <c r="B59" s="1938">
        <v>95.063838135576447</v>
      </c>
      <c r="C59" s="839">
        <v>108.63295676702961</v>
      </c>
      <c r="D59" s="1668">
        <v>95.725406855863142</v>
      </c>
      <c r="E59" s="2839">
        <v>94.912990294058559</v>
      </c>
      <c r="F59" s="839">
        <v>91.024494286128061</v>
      </c>
      <c r="G59" s="2839">
        <v>111.12492835753849</v>
      </c>
      <c r="H59" s="839">
        <v>95.180419777433428</v>
      </c>
      <c r="I59" s="2839">
        <v>103.71252483121415</v>
      </c>
      <c r="J59" s="839">
        <v>100.57225391810302</v>
      </c>
      <c r="K59" s="2839">
        <v>115.84710629602371</v>
      </c>
      <c r="L59" s="839">
        <v>65.27626891091694</v>
      </c>
      <c r="M59" s="2029">
        <v>97.120405439912332</v>
      </c>
      <c r="N59" s="2030"/>
      <c r="O59" s="2840"/>
      <c r="P59" s="2840"/>
      <c r="Q59" s="2031"/>
    </row>
    <row r="60" spans="1:17">
      <c r="A60" s="63">
        <v>1997.03</v>
      </c>
      <c r="B60" s="1938">
        <v>110.07919825654734</v>
      </c>
      <c r="C60" s="839">
        <v>111.592891388564</v>
      </c>
      <c r="D60" s="1668">
        <v>106.40551003292296</v>
      </c>
      <c r="E60" s="2839">
        <v>98.455252680814297</v>
      </c>
      <c r="F60" s="839">
        <v>102.00847729935394</v>
      </c>
      <c r="G60" s="2839">
        <v>127.06618620374783</v>
      </c>
      <c r="H60" s="839">
        <v>105.38519509790109</v>
      </c>
      <c r="I60" s="2839">
        <v>126.54637642033057</v>
      </c>
      <c r="J60" s="839">
        <v>107.89191551922239</v>
      </c>
      <c r="K60" s="2839">
        <v>143.55574830945997</v>
      </c>
      <c r="L60" s="839">
        <v>89.552034223807084</v>
      </c>
      <c r="M60" s="2029">
        <v>116.63200966403292</v>
      </c>
      <c r="N60" s="2030"/>
      <c r="O60" s="2840"/>
      <c r="P60" s="2840"/>
      <c r="Q60" s="2031"/>
    </row>
    <row r="61" spans="1:17">
      <c r="A61" s="63">
        <v>1997.04</v>
      </c>
      <c r="B61" s="1938">
        <v>115.70217383410835</v>
      </c>
      <c r="C61" s="839">
        <v>112.60314168870804</v>
      </c>
      <c r="D61" s="1668">
        <v>107.73539209458214</v>
      </c>
      <c r="E61" s="2839">
        <v>101.7521104829854</v>
      </c>
      <c r="F61" s="839">
        <v>106.37045199344989</v>
      </c>
      <c r="G61" s="2839">
        <v>114.58033675149677</v>
      </c>
      <c r="H61" s="839">
        <v>100.60167629243554</v>
      </c>
      <c r="I61" s="2839">
        <v>128.64160332098422</v>
      </c>
      <c r="J61" s="839">
        <v>118.05426937308184</v>
      </c>
      <c r="K61" s="2839">
        <v>146.37197117059765</v>
      </c>
      <c r="L61" s="839">
        <v>105.51294112144389</v>
      </c>
      <c r="M61" s="2029">
        <v>131.68984949513182</v>
      </c>
      <c r="N61" s="2030"/>
      <c r="O61" s="2840"/>
      <c r="P61" s="2840"/>
      <c r="Q61" s="2031"/>
    </row>
    <row r="62" spans="1:17">
      <c r="A62" s="63">
        <v>1997.05</v>
      </c>
      <c r="B62" s="1938">
        <v>114.24661497521795</v>
      </c>
      <c r="C62" s="839">
        <v>112.81811233636725</v>
      </c>
      <c r="D62" s="1668">
        <v>108.01380118359317</v>
      </c>
      <c r="E62" s="2839">
        <v>100.46738591741024</v>
      </c>
      <c r="F62" s="839">
        <v>100.31953676415992</v>
      </c>
      <c r="G62" s="2839">
        <v>117.21645109585201</v>
      </c>
      <c r="H62" s="839">
        <v>103.87822228482884</v>
      </c>
      <c r="I62" s="2839">
        <v>126.27552384170394</v>
      </c>
      <c r="J62" s="839">
        <v>104.62503988973634</v>
      </c>
      <c r="K62" s="2839">
        <v>142.99977948397176</v>
      </c>
      <c r="L62" s="839">
        <v>101.02675417549617</v>
      </c>
      <c r="M62" s="2029">
        <v>141.72570690482075</v>
      </c>
      <c r="N62" s="2030"/>
      <c r="O62" s="2840"/>
      <c r="P62" s="2840"/>
      <c r="Q62" s="2031"/>
    </row>
    <row r="63" spans="1:17">
      <c r="A63" s="63">
        <v>1997.06</v>
      </c>
      <c r="B63" s="1938">
        <v>112.70782477502513</v>
      </c>
      <c r="C63" s="839">
        <v>114.88230745256347</v>
      </c>
      <c r="D63" s="1668">
        <v>113.48334408958434</v>
      </c>
      <c r="E63" s="2839">
        <v>89.229230106439729</v>
      </c>
      <c r="F63" s="839">
        <v>91.712651567921796</v>
      </c>
      <c r="G63" s="2839">
        <v>120.73428507477098</v>
      </c>
      <c r="H63" s="839">
        <v>98.81748133539935</v>
      </c>
      <c r="I63" s="2839">
        <v>124.72492789362953</v>
      </c>
      <c r="J63" s="839">
        <v>101.46519360745819</v>
      </c>
      <c r="K63" s="2839">
        <v>144.61010126676248</v>
      </c>
      <c r="L63" s="839">
        <v>99.112231935299292</v>
      </c>
      <c r="M63" s="2029">
        <v>137.72491446634021</v>
      </c>
      <c r="N63" s="2030"/>
      <c r="O63" s="2840"/>
      <c r="P63" s="2840"/>
      <c r="Q63" s="2031"/>
    </row>
    <row r="64" spans="1:17">
      <c r="A64" s="63">
        <v>1997.07</v>
      </c>
      <c r="B64" s="1938">
        <v>122.92625276417252</v>
      </c>
      <c r="C64" s="839">
        <v>115.93463284023579</v>
      </c>
      <c r="D64" s="1668">
        <v>123.77222949765867</v>
      </c>
      <c r="E64" s="2839">
        <v>93.55953043055041</v>
      </c>
      <c r="F64" s="839">
        <v>95.3135228198812</v>
      </c>
      <c r="G64" s="2839">
        <v>130.67819456393593</v>
      </c>
      <c r="H64" s="839">
        <v>105.97201014227355</v>
      </c>
      <c r="I64" s="2839">
        <v>135.73918126863703</v>
      </c>
      <c r="J64" s="839">
        <v>115.12706777502153</v>
      </c>
      <c r="K64" s="2839">
        <v>152.5335169821735</v>
      </c>
      <c r="L64" s="839">
        <v>111.61990406248479</v>
      </c>
      <c r="M64" s="2029">
        <v>159.46509253938848</v>
      </c>
      <c r="N64" s="2030"/>
      <c r="O64" s="2840"/>
      <c r="P64" s="2840"/>
      <c r="Q64" s="2031"/>
    </row>
    <row r="65" spans="1:17">
      <c r="A65" s="63">
        <v>1997.08</v>
      </c>
      <c r="B65" s="1938">
        <v>120.5583647529039</v>
      </c>
      <c r="C65" s="839">
        <v>114.94318550343658</v>
      </c>
      <c r="D65" s="1668">
        <v>126.60169962121189</v>
      </c>
      <c r="E65" s="2839">
        <v>97.360793422009024</v>
      </c>
      <c r="F65" s="839">
        <v>88.892154908870893</v>
      </c>
      <c r="G65" s="2839">
        <v>127.93046645436056</v>
      </c>
      <c r="H65" s="839">
        <v>107.19588674461191</v>
      </c>
      <c r="I65" s="2839">
        <v>123.86154337961914</v>
      </c>
      <c r="J65" s="839">
        <v>123.74026871485657</v>
      </c>
      <c r="K65" s="2839">
        <v>145.04835354207012</v>
      </c>
      <c r="L65" s="839">
        <v>106.96497971906295</v>
      </c>
      <c r="M65" s="2029">
        <v>154.64410970361246</v>
      </c>
      <c r="N65" s="2030"/>
      <c r="O65" s="2840"/>
      <c r="P65" s="2840"/>
      <c r="Q65" s="2031"/>
    </row>
    <row r="66" spans="1:17">
      <c r="A66" s="63">
        <v>1997.09</v>
      </c>
      <c r="B66" s="1938">
        <v>124.17853759163816</v>
      </c>
      <c r="C66" s="839">
        <v>118.04685462535218</v>
      </c>
      <c r="D66" s="1668">
        <v>132.07399771249786</v>
      </c>
      <c r="E66" s="2839">
        <v>98.722241471779242</v>
      </c>
      <c r="F66" s="839">
        <v>89.560625103830986</v>
      </c>
      <c r="G66" s="2839">
        <v>122.40987509383049</v>
      </c>
      <c r="H66" s="839">
        <v>105.4836596703761</v>
      </c>
      <c r="I66" s="2839">
        <v>124.89747484033617</v>
      </c>
      <c r="J66" s="839">
        <v>123.43172525378563</v>
      </c>
      <c r="K66" s="2839">
        <v>146.08050681200359</v>
      </c>
      <c r="L66" s="839">
        <v>113.06104787183732</v>
      </c>
      <c r="M66" s="2029">
        <v>170.10171852763247</v>
      </c>
      <c r="N66" s="2030"/>
      <c r="O66" s="2840"/>
      <c r="P66" s="2840"/>
      <c r="Q66" s="2031"/>
    </row>
    <row r="67" spans="1:17">
      <c r="A67" s="63">
        <v>1997.1</v>
      </c>
      <c r="B67" s="1938">
        <v>129.35624537728646</v>
      </c>
      <c r="C67" s="839">
        <v>115.752752233766</v>
      </c>
      <c r="D67" s="1668">
        <v>125.78479313755221</v>
      </c>
      <c r="E67" s="2839">
        <v>107.27242289035637</v>
      </c>
      <c r="F67" s="839">
        <v>89.06397422835893</v>
      </c>
      <c r="G67" s="2839">
        <v>122.27694954580684</v>
      </c>
      <c r="H67" s="839">
        <v>108.50669108325116</v>
      </c>
      <c r="I67" s="2839">
        <v>138.62272135108168</v>
      </c>
      <c r="J67" s="839">
        <v>143.16923176063014</v>
      </c>
      <c r="K67" s="2839">
        <v>155.26086435552506</v>
      </c>
      <c r="L67" s="839">
        <v>113.65407016326768</v>
      </c>
      <c r="M67" s="2029">
        <v>197.59280971707324</v>
      </c>
      <c r="N67" s="2030"/>
      <c r="O67" s="2840"/>
      <c r="P67" s="2840"/>
      <c r="Q67" s="2031"/>
    </row>
    <row r="68" spans="1:17">
      <c r="A68" s="63">
        <v>1997.11</v>
      </c>
      <c r="B68" s="1938">
        <v>114.93700357935721</v>
      </c>
      <c r="C68" s="839">
        <v>114.30354648153596</v>
      </c>
      <c r="D68" s="1668">
        <v>108.19394181546539</v>
      </c>
      <c r="E68" s="2839">
        <v>91.058748728290965</v>
      </c>
      <c r="F68" s="839">
        <v>81.905784980728257</v>
      </c>
      <c r="G68" s="2839">
        <v>126.08458227952758</v>
      </c>
      <c r="H68" s="839">
        <v>101.73456824904916</v>
      </c>
      <c r="I68" s="2839">
        <v>127.35489332022718</v>
      </c>
      <c r="J68" s="839">
        <v>125.16643436125595</v>
      </c>
      <c r="K68" s="2839">
        <v>147.89174750771366</v>
      </c>
      <c r="L68" s="839">
        <v>99.316196801370822</v>
      </c>
      <c r="M68" s="2029">
        <v>164.01700779348616</v>
      </c>
      <c r="N68" s="2030"/>
      <c r="O68" s="2840"/>
      <c r="P68" s="2840"/>
      <c r="Q68" s="2031"/>
    </row>
    <row r="69" spans="1:17">
      <c r="A69" s="63">
        <v>1997.12</v>
      </c>
      <c r="B69" s="1938">
        <v>111.86082195506154</v>
      </c>
      <c r="C69" s="839">
        <v>114.28709533302072</v>
      </c>
      <c r="D69" s="1668">
        <v>126.72410769881087</v>
      </c>
      <c r="E69" s="2839">
        <v>117.59865508238094</v>
      </c>
      <c r="F69" s="839">
        <v>63.408632141141197</v>
      </c>
      <c r="G69" s="2839">
        <v>118.68531055836053</v>
      </c>
      <c r="H69" s="839">
        <v>105.32586279757712</v>
      </c>
      <c r="I69" s="2839">
        <v>127.17654562594417</v>
      </c>
      <c r="J69" s="839">
        <v>118.65544524469576</v>
      </c>
      <c r="K69" s="2839">
        <v>139.02430795039902</v>
      </c>
      <c r="L69" s="839">
        <v>87.762085785381757</v>
      </c>
      <c r="M69" s="2029">
        <v>97.72678572944055</v>
      </c>
      <c r="N69" s="2030"/>
      <c r="O69" s="2840"/>
      <c r="P69" s="2840"/>
      <c r="Q69" s="2031"/>
    </row>
    <row r="70" spans="1:17">
      <c r="A70" s="63">
        <v>1998.01</v>
      </c>
      <c r="B70" s="1938">
        <v>98.928942124142878</v>
      </c>
      <c r="C70" s="839">
        <v>115.220465503849</v>
      </c>
      <c r="D70" s="1668">
        <v>105.10685734094497</v>
      </c>
      <c r="E70" s="2839">
        <v>103.9906054849189</v>
      </c>
      <c r="F70" s="839">
        <v>58.381202012797104</v>
      </c>
      <c r="G70" s="2839">
        <v>122.10757025303408</v>
      </c>
      <c r="H70" s="839">
        <v>100.03434286519229</v>
      </c>
      <c r="I70" s="2839">
        <v>129.2638899020981</v>
      </c>
      <c r="J70" s="839">
        <v>118.9519104057965</v>
      </c>
      <c r="K70" s="2839">
        <v>134.55155130573186</v>
      </c>
      <c r="L70" s="839">
        <v>61.493526900187206</v>
      </c>
      <c r="M70" s="2029">
        <v>74.48559350470353</v>
      </c>
      <c r="N70" s="2030"/>
      <c r="O70" s="2840"/>
      <c r="P70" s="2840"/>
      <c r="Q70" s="2031"/>
    </row>
    <row r="71" spans="1:17">
      <c r="A71" s="63">
        <v>1998.02</v>
      </c>
      <c r="B71" s="1938">
        <v>100.69271409514951</v>
      </c>
      <c r="C71" s="839">
        <v>113.73017621068055</v>
      </c>
      <c r="D71" s="1668">
        <v>93.732318270597005</v>
      </c>
      <c r="E71" s="2839">
        <v>93.502368038288012</v>
      </c>
      <c r="F71" s="839">
        <v>74.639608085225703</v>
      </c>
      <c r="G71" s="2839">
        <v>115.77056420265257</v>
      </c>
      <c r="H71" s="839">
        <v>99.69474573883646</v>
      </c>
      <c r="I71" s="2839">
        <v>113.40268965485164</v>
      </c>
      <c r="J71" s="839">
        <v>117.89309110614496</v>
      </c>
      <c r="K71" s="2839">
        <v>127.69463829376733</v>
      </c>
      <c r="L71" s="839">
        <v>75.178883195262742</v>
      </c>
      <c r="M71" s="2029">
        <v>129.69960788190079</v>
      </c>
      <c r="N71" s="2030"/>
      <c r="O71" s="2840"/>
      <c r="P71" s="2840"/>
      <c r="Q71" s="2031"/>
    </row>
    <row r="72" spans="1:17">
      <c r="A72" s="63">
        <v>1998.03</v>
      </c>
      <c r="B72" s="1938">
        <v>118.02492116344141</v>
      </c>
      <c r="C72" s="839">
        <v>115.51666542394587</v>
      </c>
      <c r="D72" s="1668">
        <v>108.85949964280496</v>
      </c>
      <c r="E72" s="2839">
        <v>99.696598439598162</v>
      </c>
      <c r="F72" s="839">
        <v>88.651178742735411</v>
      </c>
      <c r="G72" s="2839">
        <v>130.19515585819508</v>
      </c>
      <c r="H72" s="839">
        <v>112.98623749823918</v>
      </c>
      <c r="I72" s="2839">
        <v>132.98907477462913</v>
      </c>
      <c r="J72" s="839">
        <v>125.33187581205746</v>
      </c>
      <c r="K72" s="2839">
        <v>133.57581827116502</v>
      </c>
      <c r="L72" s="839">
        <v>104.69511538110891</v>
      </c>
      <c r="M72" s="2029">
        <v>152.72452277959576</v>
      </c>
      <c r="N72" s="2030"/>
      <c r="O72" s="2840"/>
      <c r="P72" s="2840"/>
      <c r="Q72" s="2031"/>
    </row>
    <row r="73" spans="1:17">
      <c r="A73" s="63">
        <v>1998.04</v>
      </c>
      <c r="B73" s="1938">
        <v>117.90317309861298</v>
      </c>
      <c r="C73" s="839">
        <v>117.5186466778802</v>
      </c>
      <c r="D73" s="1668">
        <v>102.95559328090837</v>
      </c>
      <c r="E73" s="2839">
        <v>106.56013420794591</v>
      </c>
      <c r="F73" s="839">
        <v>85.29276100867304</v>
      </c>
      <c r="G73" s="2839">
        <v>122.83334225919546</v>
      </c>
      <c r="H73" s="839">
        <v>109.04456965769826</v>
      </c>
      <c r="I73" s="2839">
        <v>134.68533162565012</v>
      </c>
      <c r="J73" s="839">
        <v>119.9412428367709</v>
      </c>
      <c r="K73" s="2839">
        <v>149.78977602297257</v>
      </c>
      <c r="L73" s="839">
        <v>113.62756815247795</v>
      </c>
      <c r="M73" s="2029">
        <v>157.27058805380966</v>
      </c>
      <c r="N73" s="2030"/>
      <c r="O73" s="2840"/>
      <c r="P73" s="2840"/>
      <c r="Q73" s="2031"/>
    </row>
    <row r="74" spans="1:17">
      <c r="A74" s="63">
        <v>1998.05</v>
      </c>
      <c r="B74" s="1938">
        <v>115.92366017787941</v>
      </c>
      <c r="C74" s="839">
        <v>116.78578543353244</v>
      </c>
      <c r="D74" s="1668">
        <v>104.59251008096628</v>
      </c>
      <c r="E74" s="2839">
        <v>94.139019758169226</v>
      </c>
      <c r="F74" s="839">
        <v>87.177161776522041</v>
      </c>
      <c r="G74" s="2839">
        <v>125.70301863695563</v>
      </c>
      <c r="H74" s="839">
        <v>112.47384138611069</v>
      </c>
      <c r="I74" s="2839">
        <v>133.35835021504604</v>
      </c>
      <c r="J74" s="839">
        <v>110.44458640245962</v>
      </c>
      <c r="K74" s="2839">
        <v>155.54547859877874</v>
      </c>
      <c r="L74" s="839">
        <v>104.02551168688265</v>
      </c>
      <c r="M74" s="2029">
        <v>154.86038518041389</v>
      </c>
      <c r="N74" s="2030"/>
      <c r="O74" s="2840"/>
      <c r="P74" s="2840"/>
      <c r="Q74" s="2031"/>
    </row>
    <row r="75" spans="1:17">
      <c r="A75" s="63">
        <v>1998.06</v>
      </c>
      <c r="B75" s="1938">
        <v>118.83663486826413</v>
      </c>
      <c r="C75" s="839">
        <v>118.57162770479833</v>
      </c>
      <c r="D75" s="1668">
        <v>116.00392904923777</v>
      </c>
      <c r="E75" s="2839">
        <v>94.220002333255408</v>
      </c>
      <c r="F75" s="839">
        <v>86.343227211850092</v>
      </c>
      <c r="G75" s="2839">
        <v>128.31511117140556</v>
      </c>
      <c r="H75" s="839">
        <v>106.43690660656431</v>
      </c>
      <c r="I75" s="2839">
        <v>118.39830729670911</v>
      </c>
      <c r="J75" s="839">
        <v>121.82119153922606</v>
      </c>
      <c r="K75" s="2839">
        <v>150.21922337557106</v>
      </c>
      <c r="L75" s="839">
        <v>117.6108397096487</v>
      </c>
      <c r="M75" s="2029">
        <v>166.90090188844394</v>
      </c>
      <c r="N75" s="2030"/>
      <c r="O75" s="2840"/>
      <c r="P75" s="2840"/>
      <c r="Q75" s="2031"/>
    </row>
    <row r="76" spans="1:17">
      <c r="A76" s="63">
        <v>1998.07</v>
      </c>
      <c r="B76" s="1938">
        <v>124.91465590002122</v>
      </c>
      <c r="C76" s="839">
        <v>117.69090464592304</v>
      </c>
      <c r="D76" s="1668">
        <v>128.61311338089908</v>
      </c>
      <c r="E76" s="2839">
        <v>105.73771566480734</v>
      </c>
      <c r="F76" s="839">
        <v>86.565179005521514</v>
      </c>
      <c r="G76" s="2839">
        <v>124.863803020148</v>
      </c>
      <c r="H76" s="839">
        <v>109.94993661079025</v>
      </c>
      <c r="I76" s="2839">
        <v>131.8569678530161</v>
      </c>
      <c r="J76" s="839">
        <v>114.00814967259872</v>
      </c>
      <c r="K76" s="2839">
        <v>143.88478801100447</v>
      </c>
      <c r="L76" s="839">
        <v>113.76552377075316</v>
      </c>
      <c r="M76" s="2029">
        <v>166.86394216417625</v>
      </c>
      <c r="N76" s="2030"/>
      <c r="O76" s="2840"/>
      <c r="P76" s="2840"/>
      <c r="Q76" s="2031"/>
    </row>
    <row r="77" spans="1:17">
      <c r="A77" s="63">
        <v>1998.08</v>
      </c>
      <c r="B77" s="1938">
        <v>122.56243428820976</v>
      </c>
      <c r="C77" s="839">
        <v>117.30351408450976</v>
      </c>
      <c r="D77" s="1668">
        <v>129.53112750292695</v>
      </c>
      <c r="E77" s="2839">
        <v>96.212418996113001</v>
      </c>
      <c r="F77" s="839">
        <v>82.153225504640787</v>
      </c>
      <c r="G77" s="2839">
        <v>130.14233192629149</v>
      </c>
      <c r="H77" s="839">
        <v>102.67437667277079</v>
      </c>
      <c r="I77" s="2839">
        <v>128.46968219477009</v>
      </c>
      <c r="J77" s="839">
        <v>125.50828973958187</v>
      </c>
      <c r="K77" s="2839">
        <v>154.43901452322186</v>
      </c>
      <c r="L77" s="839">
        <v>102.49416634377904</v>
      </c>
      <c r="M77" s="2029">
        <v>176.40503465476928</v>
      </c>
      <c r="N77" s="2030"/>
      <c r="O77" s="2840"/>
      <c r="P77" s="2840"/>
      <c r="Q77" s="2031"/>
    </row>
    <row r="78" spans="1:17">
      <c r="A78" s="63">
        <v>1998.09</v>
      </c>
      <c r="B78" s="1938">
        <v>121.8524545436585</v>
      </c>
      <c r="C78" s="839">
        <v>116.02069548441055</v>
      </c>
      <c r="D78" s="1668">
        <v>135.80790575886243</v>
      </c>
      <c r="E78" s="2839">
        <v>97.144446042337634</v>
      </c>
      <c r="F78" s="839">
        <v>80.969209481049816</v>
      </c>
      <c r="G78" s="2839">
        <v>122.47626532167284</v>
      </c>
      <c r="H78" s="839">
        <v>104.11035357092548</v>
      </c>
      <c r="I78" s="2839">
        <v>126.38929677426913</v>
      </c>
      <c r="J78" s="839">
        <v>125.39808938437459</v>
      </c>
      <c r="K78" s="2839">
        <v>142.2589885352935</v>
      </c>
      <c r="L78" s="839">
        <v>97.801174520984745</v>
      </c>
      <c r="M78" s="2029">
        <v>171.11169814628116</v>
      </c>
      <c r="N78" s="2030"/>
      <c r="O78" s="2840"/>
      <c r="P78" s="2840"/>
      <c r="Q78" s="2031"/>
    </row>
    <row r="79" spans="1:17">
      <c r="A79" s="63">
        <v>1998.1</v>
      </c>
      <c r="B79" s="1938">
        <v>122.54523298544591</v>
      </c>
      <c r="C79" s="839">
        <v>115.23807320099939</v>
      </c>
      <c r="D79" s="1668">
        <v>138.01363046357289</v>
      </c>
      <c r="E79" s="2839">
        <v>104.14351258592825</v>
      </c>
      <c r="F79" s="839">
        <v>77.300874454796215</v>
      </c>
      <c r="G79" s="2839">
        <v>121.46998266501363</v>
      </c>
      <c r="H79" s="839">
        <v>114.88347654599238</v>
      </c>
      <c r="I79" s="2839">
        <v>136.27749082159733</v>
      </c>
      <c r="J79" s="839">
        <v>125.7730150482634</v>
      </c>
      <c r="K79" s="2839">
        <v>144.19257352275511</v>
      </c>
      <c r="L79" s="839">
        <v>93.513378136417629</v>
      </c>
      <c r="M79" s="2029">
        <v>145.19107331239485</v>
      </c>
      <c r="N79" s="2030"/>
      <c r="O79" s="2840"/>
      <c r="P79" s="2840"/>
      <c r="Q79" s="2031"/>
    </row>
    <row r="80" spans="1:17">
      <c r="A80" s="63">
        <v>1998.11</v>
      </c>
      <c r="B80" s="1938">
        <v>114.94739414833322</v>
      </c>
      <c r="C80" s="839">
        <v>113.25969408950785</v>
      </c>
      <c r="D80" s="1668">
        <v>127.61788407071282</v>
      </c>
      <c r="E80" s="2839">
        <v>97.926974864443153</v>
      </c>
      <c r="F80" s="839">
        <v>77.266077057353939</v>
      </c>
      <c r="G80" s="2839">
        <v>121.34071548055746</v>
      </c>
      <c r="H80" s="839">
        <v>107.92798985772644</v>
      </c>
      <c r="I80" s="2839">
        <v>129.97200764196609</v>
      </c>
      <c r="J80" s="839">
        <v>127.70677596513096</v>
      </c>
      <c r="K80" s="2839">
        <v>142.20783490949509</v>
      </c>
      <c r="L80" s="839">
        <v>86.408037504616644</v>
      </c>
      <c r="M80" s="2029">
        <v>122.01499468431744</v>
      </c>
      <c r="N80" s="2030"/>
      <c r="O80" s="2840"/>
      <c r="P80" s="2840"/>
      <c r="Q80" s="2031"/>
    </row>
    <row r="81" spans="1:17">
      <c r="A81" s="63">
        <v>1998.12</v>
      </c>
      <c r="B81" s="1938">
        <v>106.58200592948</v>
      </c>
      <c r="C81" s="839">
        <v>108.76988350429059</v>
      </c>
      <c r="D81" s="1668">
        <v>135.9870287034318</v>
      </c>
      <c r="E81" s="2839">
        <v>122.27116407387216</v>
      </c>
      <c r="F81" s="839">
        <v>59.979333519048112</v>
      </c>
      <c r="G81" s="2839">
        <v>106.1528181569702</v>
      </c>
      <c r="H81" s="839">
        <v>113.14225947316523</v>
      </c>
      <c r="I81" s="2839">
        <v>108.82786075506471</v>
      </c>
      <c r="J81" s="839">
        <v>117.76669369875587</v>
      </c>
      <c r="K81" s="2839">
        <v>122.82978902010538</v>
      </c>
      <c r="L81" s="839">
        <v>77.128611553236524</v>
      </c>
      <c r="M81" s="2029">
        <v>52.138283808869076</v>
      </c>
      <c r="N81" s="2030"/>
      <c r="O81" s="2840"/>
      <c r="P81" s="2840"/>
      <c r="Q81" s="2031"/>
    </row>
    <row r="82" spans="1:17">
      <c r="A82" s="63">
        <v>1999.01</v>
      </c>
      <c r="B82" s="1938">
        <v>95.58763892239719</v>
      </c>
      <c r="C82" s="839">
        <v>108.25855920647103</v>
      </c>
      <c r="D82" s="1668">
        <v>115.57187314431106</v>
      </c>
      <c r="E82" s="2839">
        <v>95.521743518673574</v>
      </c>
      <c r="F82" s="839">
        <v>51.161638707974525</v>
      </c>
      <c r="G82" s="2839">
        <v>102.74504013372123</v>
      </c>
      <c r="H82" s="839">
        <v>117.24016058599803</v>
      </c>
      <c r="I82" s="2839">
        <v>123.78916720017409</v>
      </c>
      <c r="J82" s="839">
        <v>115.56263069844174</v>
      </c>
      <c r="K82" s="2839">
        <v>109.79298213351107</v>
      </c>
      <c r="L82" s="839">
        <v>50.746089263690138</v>
      </c>
      <c r="M82" s="2029">
        <v>39.390796944126443</v>
      </c>
      <c r="N82" s="2030"/>
      <c r="O82" s="2840"/>
      <c r="P82" s="2840"/>
      <c r="Q82" s="2031"/>
    </row>
    <row r="83" spans="1:17">
      <c r="A83" s="63">
        <v>1999.02</v>
      </c>
      <c r="B83" s="1938">
        <v>92.768668571430041</v>
      </c>
      <c r="C83" s="839">
        <v>107.17169676572445</v>
      </c>
      <c r="D83" s="1668">
        <v>109.50742005463977</v>
      </c>
      <c r="E83" s="2839">
        <v>93.597429737674332</v>
      </c>
      <c r="F83" s="839">
        <v>71.666092483389988</v>
      </c>
      <c r="G83" s="2839">
        <v>100.16336242356695</v>
      </c>
      <c r="H83" s="839">
        <v>97.103606141710102</v>
      </c>
      <c r="I83" s="2839">
        <v>100.52469756522076</v>
      </c>
      <c r="J83" s="839">
        <v>119.74562809231833</v>
      </c>
      <c r="K83" s="2839">
        <v>97.748019878398296</v>
      </c>
      <c r="L83" s="839">
        <v>64.769102998092976</v>
      </c>
      <c r="M83" s="2029">
        <v>68.171088237631182</v>
      </c>
      <c r="N83" s="2030"/>
      <c r="O83" s="2840"/>
      <c r="P83" s="2840"/>
      <c r="Q83" s="2031"/>
    </row>
    <row r="84" spans="1:17">
      <c r="A84" s="63">
        <v>1999.03</v>
      </c>
      <c r="B84" s="1938">
        <v>110.53238014451419</v>
      </c>
      <c r="C84" s="839">
        <v>106.67000277284276</v>
      </c>
      <c r="D84" s="1668">
        <v>121.81957167233794</v>
      </c>
      <c r="E84" s="2839">
        <v>112.54777556386448</v>
      </c>
      <c r="F84" s="839">
        <v>64.704459531522261</v>
      </c>
      <c r="G84" s="2839">
        <v>108.33732221561101</v>
      </c>
      <c r="H84" s="839">
        <v>112.0353993520214</v>
      </c>
      <c r="I84" s="2839">
        <v>132.10014744439115</v>
      </c>
      <c r="J84" s="839">
        <v>123.1566043686698</v>
      </c>
      <c r="K84" s="2839">
        <v>116.45018935116674</v>
      </c>
      <c r="L84" s="839">
        <v>94.857688637311057</v>
      </c>
      <c r="M84" s="2029">
        <v>67.537292346485586</v>
      </c>
      <c r="N84" s="2030"/>
      <c r="O84" s="2840"/>
      <c r="P84" s="2840"/>
      <c r="Q84" s="2031"/>
    </row>
    <row r="85" spans="1:17">
      <c r="A85" s="63">
        <v>1999.04</v>
      </c>
      <c r="B85" s="1938">
        <v>105.69990964933905</v>
      </c>
      <c r="C85" s="839">
        <v>105.13209819204592</v>
      </c>
      <c r="D85" s="1668">
        <v>109.63280402123954</v>
      </c>
      <c r="E85" s="2839">
        <v>95.805482389243252</v>
      </c>
      <c r="F85" s="839">
        <v>59.701733981518238</v>
      </c>
      <c r="G85" s="2839">
        <v>121.61517922318862</v>
      </c>
      <c r="H85" s="839">
        <v>111.47584166784053</v>
      </c>
      <c r="I85" s="2839">
        <v>136.60940379420293</v>
      </c>
      <c r="J85" s="839">
        <v>117.44236247295525</v>
      </c>
      <c r="K85" s="2839">
        <v>121.93690808624976</v>
      </c>
      <c r="L85" s="839">
        <v>86.477484571533978</v>
      </c>
      <c r="M85" s="2029">
        <v>79.095963116060716</v>
      </c>
      <c r="N85" s="2030"/>
      <c r="O85" s="2840"/>
      <c r="P85" s="2840"/>
      <c r="Q85" s="2031"/>
    </row>
    <row r="86" spans="1:17">
      <c r="A86" s="63">
        <v>1999.05</v>
      </c>
      <c r="B86" s="1938">
        <v>108.99934221331921</v>
      </c>
      <c r="C86" s="839">
        <v>105.928552005743</v>
      </c>
      <c r="D86" s="1668">
        <v>112.91796835160866</v>
      </c>
      <c r="E86" s="2839">
        <v>95.116889257415494</v>
      </c>
      <c r="F86" s="839">
        <v>69.30482158084736</v>
      </c>
      <c r="G86" s="2839">
        <v>117.46149324209325</v>
      </c>
      <c r="H86" s="839">
        <v>110.86067051697421</v>
      </c>
      <c r="I86" s="2839">
        <v>135.22968370978575</v>
      </c>
      <c r="J86" s="839">
        <v>126.51182510279352</v>
      </c>
      <c r="K86" s="2839">
        <v>130.78309386024185</v>
      </c>
      <c r="L86" s="839">
        <v>91.880186150678014</v>
      </c>
      <c r="M86" s="2029">
        <v>84.03612846062218</v>
      </c>
      <c r="N86" s="2030"/>
      <c r="O86" s="2840"/>
      <c r="P86" s="2840"/>
      <c r="Q86" s="2031"/>
    </row>
    <row r="87" spans="1:17">
      <c r="A87" s="63">
        <v>1999.06</v>
      </c>
      <c r="B87" s="1938">
        <v>107.82965565529251</v>
      </c>
      <c r="C87" s="839">
        <v>106.72371763345288</v>
      </c>
      <c r="D87" s="1668">
        <v>118.15127195147744</v>
      </c>
      <c r="E87" s="2839">
        <v>95.98487260749414</v>
      </c>
      <c r="F87" s="839">
        <v>69.351611126566283</v>
      </c>
      <c r="G87" s="2839">
        <v>116.55050728434347</v>
      </c>
      <c r="H87" s="839">
        <v>105.03714607691224</v>
      </c>
      <c r="I87" s="2839">
        <v>119.75038539237478</v>
      </c>
      <c r="J87" s="839">
        <v>122.30867489101783</v>
      </c>
      <c r="K87" s="2839">
        <v>128.42103467499254</v>
      </c>
      <c r="L87" s="839">
        <v>90.835829147555813</v>
      </c>
      <c r="M87" s="2029">
        <v>92.69920401158825</v>
      </c>
      <c r="N87" s="2030"/>
      <c r="O87" s="2840"/>
      <c r="P87" s="2840"/>
      <c r="Q87" s="2031"/>
    </row>
    <row r="88" spans="1:17">
      <c r="A88" s="63">
        <v>1999.07</v>
      </c>
      <c r="B88" s="1938">
        <v>110.37658134549899</v>
      </c>
      <c r="C88" s="839">
        <v>105.2774056819062</v>
      </c>
      <c r="D88" s="1668">
        <v>126.612049725308</v>
      </c>
      <c r="E88" s="2839">
        <v>98.660640444159682</v>
      </c>
      <c r="F88" s="839">
        <v>72.748379782405038</v>
      </c>
      <c r="G88" s="2839">
        <v>119.75156074458104</v>
      </c>
      <c r="H88" s="839">
        <v>113.01450908578674</v>
      </c>
      <c r="I88" s="2839">
        <v>136.35206854314416</v>
      </c>
      <c r="J88" s="839">
        <v>84.105437660756124</v>
      </c>
      <c r="K88" s="2839">
        <v>142.4067230373121</v>
      </c>
      <c r="L88" s="839">
        <v>83.634987141200412</v>
      </c>
      <c r="M88" s="2029">
        <v>92.130037131246866</v>
      </c>
      <c r="N88" s="2030"/>
      <c r="O88" s="2840"/>
      <c r="P88" s="2840"/>
      <c r="Q88" s="2031"/>
    </row>
    <row r="89" spans="1:17">
      <c r="A89" s="63">
        <v>1999.08</v>
      </c>
      <c r="B89" s="1938">
        <v>114.99037177947588</v>
      </c>
      <c r="C89" s="839">
        <v>109.40080847817626</v>
      </c>
      <c r="D89" s="1668">
        <v>136.451922300239</v>
      </c>
      <c r="E89" s="2839">
        <v>96.552843941667376</v>
      </c>
      <c r="F89" s="839">
        <v>70.380668000607514</v>
      </c>
      <c r="G89" s="2839">
        <v>127.00186373517133</v>
      </c>
      <c r="H89" s="839">
        <v>114.73577968727989</v>
      </c>
      <c r="I89" s="2839">
        <v>126.36613999848613</v>
      </c>
      <c r="J89" s="839">
        <v>95.402778244318213</v>
      </c>
      <c r="K89" s="2839">
        <v>145.32489303388141</v>
      </c>
      <c r="L89" s="839">
        <v>86.550984303250729</v>
      </c>
      <c r="M89" s="2029">
        <v>108.5706595338458</v>
      </c>
      <c r="N89" s="2030"/>
      <c r="O89" s="2840"/>
      <c r="P89" s="2840"/>
      <c r="Q89" s="2031"/>
    </row>
    <row r="90" spans="1:17">
      <c r="A90" s="63">
        <v>1999.09</v>
      </c>
      <c r="B90" s="1938">
        <v>114.53191045151223</v>
      </c>
      <c r="C90" s="839">
        <v>108.5425731484482</v>
      </c>
      <c r="D90" s="1668">
        <v>140.83407299961419</v>
      </c>
      <c r="E90" s="2839">
        <v>98.825068623571084</v>
      </c>
      <c r="F90" s="839">
        <v>69.704824749419075</v>
      </c>
      <c r="G90" s="2839">
        <v>123.54267794476304</v>
      </c>
      <c r="H90" s="839">
        <v>107.82834202000279</v>
      </c>
      <c r="I90" s="2839">
        <v>125.59099161632943</v>
      </c>
      <c r="J90" s="839">
        <v>96.331935168946401</v>
      </c>
      <c r="K90" s="2839">
        <v>146.07348307826877</v>
      </c>
      <c r="L90" s="839">
        <v>77.798032695431914</v>
      </c>
      <c r="M90" s="2029">
        <v>113.65165956359047</v>
      </c>
      <c r="N90" s="2030"/>
      <c r="O90" s="2840"/>
      <c r="P90" s="2840"/>
      <c r="Q90" s="2031"/>
    </row>
    <row r="91" spans="1:17">
      <c r="A91" s="63">
        <v>1999.1</v>
      </c>
      <c r="B91" s="1938">
        <v>114.19984147918146</v>
      </c>
      <c r="C91" s="839">
        <v>110.08316540415115</v>
      </c>
      <c r="D91" s="1668">
        <v>138.31187865644625</v>
      </c>
      <c r="E91" s="2839">
        <v>100.35613251553879</v>
      </c>
      <c r="F91" s="839">
        <v>65.691581426626428</v>
      </c>
      <c r="G91" s="2839">
        <v>124.67948954773931</v>
      </c>
      <c r="H91" s="839">
        <v>111.04044231581913</v>
      </c>
      <c r="I91" s="2839">
        <v>127.44430662688528</v>
      </c>
      <c r="J91" s="839">
        <v>116.66940189178111</v>
      </c>
      <c r="K91" s="2839">
        <v>154.75452583405419</v>
      </c>
      <c r="L91" s="839">
        <v>72.88861827117816</v>
      </c>
      <c r="M91" s="2029">
        <v>116.31980915655785</v>
      </c>
      <c r="N91" s="2030"/>
      <c r="O91" s="2840"/>
      <c r="P91" s="2840"/>
      <c r="Q91" s="2031"/>
    </row>
    <row r="92" spans="1:17">
      <c r="A92" s="63">
        <v>1999.11</v>
      </c>
      <c r="B92" s="1938">
        <v>115.54929791883515</v>
      </c>
      <c r="C92" s="839">
        <v>112.13555662521317</v>
      </c>
      <c r="D92" s="1668">
        <v>132.41688174395688</v>
      </c>
      <c r="E92" s="2839">
        <v>101.22673807860994</v>
      </c>
      <c r="F92" s="839">
        <v>67.557770052690401</v>
      </c>
      <c r="G92" s="2839">
        <v>113.81614370310008</v>
      </c>
      <c r="H92" s="839">
        <v>110.92794759825328</v>
      </c>
      <c r="I92" s="2839">
        <v>127.73736974833102</v>
      </c>
      <c r="J92" s="839">
        <v>124.67639604283501</v>
      </c>
      <c r="K92" s="2839">
        <v>152.54411341054717</v>
      </c>
      <c r="L92" s="839">
        <v>81.004483865391634</v>
      </c>
      <c r="M92" s="2029">
        <v>121.63924398997732</v>
      </c>
      <c r="N92" s="2030"/>
      <c r="O92" s="2840"/>
      <c r="P92" s="2840"/>
      <c r="Q92" s="2031"/>
    </row>
    <row r="93" spans="1:17">
      <c r="A93" s="63">
        <v>1999.12</v>
      </c>
      <c r="B93" s="1938">
        <v>118.32707521852338</v>
      </c>
      <c r="C93" s="839">
        <v>111.856932637516</v>
      </c>
      <c r="D93" s="1668">
        <v>135.85910362367909</v>
      </c>
      <c r="E93" s="2839">
        <v>146.88181084476341</v>
      </c>
      <c r="F93" s="839">
        <v>57.517189609685232</v>
      </c>
      <c r="G93" s="2839">
        <v>120.77520417764831</v>
      </c>
      <c r="H93" s="839">
        <v>110.04396393858289</v>
      </c>
      <c r="I93" s="2839">
        <v>130.42011940095213</v>
      </c>
      <c r="J93" s="839">
        <v>114.86051183910234</v>
      </c>
      <c r="K93" s="2839">
        <v>144.63420393807289</v>
      </c>
      <c r="L93" s="839">
        <v>79.577115018477457</v>
      </c>
      <c r="M93" s="2029">
        <v>116.85390245320731</v>
      </c>
      <c r="N93" s="2030"/>
      <c r="O93" s="2840"/>
      <c r="P93" s="2840"/>
      <c r="Q93" s="2031"/>
    </row>
    <row r="94" spans="1:17">
      <c r="A94" s="63">
        <v>2000.01</v>
      </c>
      <c r="B94" s="1938">
        <v>98.707994036595181</v>
      </c>
      <c r="C94" s="839">
        <v>111.77162457511346</v>
      </c>
      <c r="D94" s="1668">
        <v>112.41379219062451</v>
      </c>
      <c r="E94" s="2839">
        <v>70.523585494760937</v>
      </c>
      <c r="F94" s="839">
        <v>52.575572318200585</v>
      </c>
      <c r="G94" s="2839">
        <v>128.03399940537997</v>
      </c>
      <c r="H94" s="839">
        <v>106.25683899140724</v>
      </c>
      <c r="I94" s="2839">
        <v>128.1665053730955</v>
      </c>
      <c r="J94" s="839">
        <v>111.12857417327839</v>
      </c>
      <c r="K94" s="2839">
        <v>134.03237982348273</v>
      </c>
      <c r="L94" s="839">
        <v>54.590461787562504</v>
      </c>
      <c r="M94" s="2029">
        <v>78.831910187561633</v>
      </c>
      <c r="N94" s="2030"/>
      <c r="O94" s="2840"/>
      <c r="P94" s="2840"/>
      <c r="Q94" s="2031"/>
    </row>
    <row r="95" spans="1:17">
      <c r="A95" s="63">
        <v>2000.02</v>
      </c>
      <c r="B95" s="1938">
        <v>99.511587239953741</v>
      </c>
      <c r="C95" s="839">
        <v>110.22932351851846</v>
      </c>
      <c r="D95" s="1668">
        <v>111.0485398798746</v>
      </c>
      <c r="E95" s="2839">
        <v>97.949533917065366</v>
      </c>
      <c r="F95" s="839">
        <v>66.633691756187517</v>
      </c>
      <c r="G95" s="2839">
        <v>114.60450617489266</v>
      </c>
      <c r="H95" s="839">
        <v>105.60012677841951</v>
      </c>
      <c r="I95" s="2839">
        <v>115.10928491733844</v>
      </c>
      <c r="J95" s="839">
        <v>106.40827716184327</v>
      </c>
      <c r="K95" s="2839">
        <v>139.17754759300303</v>
      </c>
      <c r="L95" s="839">
        <v>69.289879211199519</v>
      </c>
      <c r="M95" s="2029">
        <v>70.098161724544994</v>
      </c>
      <c r="N95" s="2030"/>
      <c r="O95" s="2840"/>
      <c r="P95" s="2840"/>
      <c r="Q95" s="2031"/>
    </row>
    <row r="96" spans="1:17">
      <c r="A96" s="63">
        <v>2000.03</v>
      </c>
      <c r="B96" s="1938">
        <v>115.94745649039659</v>
      </c>
      <c r="C96" s="839">
        <v>111.16793898843598</v>
      </c>
      <c r="D96" s="1668">
        <v>121.49778626674085</v>
      </c>
      <c r="E96" s="2839">
        <v>107.88888665515188</v>
      </c>
      <c r="F96" s="839">
        <v>73.200484208210682</v>
      </c>
      <c r="G96" s="2839">
        <v>129.92202671170776</v>
      </c>
      <c r="H96" s="839">
        <v>105.61593182138328</v>
      </c>
      <c r="I96" s="2839">
        <v>130.43364919125577</v>
      </c>
      <c r="J96" s="839">
        <v>114.49322167865843</v>
      </c>
      <c r="K96" s="2839">
        <v>160.89191078716348</v>
      </c>
      <c r="L96" s="839">
        <v>95.144571808626466</v>
      </c>
      <c r="M96" s="2029">
        <v>120.64640166256581</v>
      </c>
      <c r="N96" s="2030"/>
      <c r="O96" s="2840"/>
      <c r="P96" s="2840"/>
      <c r="Q96" s="2031"/>
    </row>
    <row r="97" spans="1:17">
      <c r="A97" s="63">
        <v>2000.04</v>
      </c>
      <c r="B97" s="1938">
        <v>105.02767400756018</v>
      </c>
      <c r="C97" s="839">
        <v>107.7418093793159</v>
      </c>
      <c r="D97" s="1668">
        <v>107.57402575528205</v>
      </c>
      <c r="E97" s="2839">
        <v>96.399706702905988</v>
      </c>
      <c r="F97" s="839">
        <v>66.140185059176957</v>
      </c>
      <c r="G97" s="2839">
        <v>131.61917599803473</v>
      </c>
      <c r="H97" s="839">
        <v>103.23380757853219</v>
      </c>
      <c r="I97" s="2839">
        <v>128.98312527392397</v>
      </c>
      <c r="J97" s="839">
        <v>99.025794061354929</v>
      </c>
      <c r="K97" s="2839">
        <v>154.67327195944145</v>
      </c>
      <c r="L97" s="839">
        <v>77.125860984112109</v>
      </c>
      <c r="M97" s="2029">
        <v>103.06340218692291</v>
      </c>
      <c r="N97" s="2030"/>
      <c r="O97" s="2840"/>
      <c r="P97" s="2840"/>
      <c r="Q97" s="2031"/>
    </row>
    <row r="98" spans="1:17">
      <c r="A98" s="63">
        <v>2000.05</v>
      </c>
      <c r="B98" s="1938">
        <v>107.45071928614914</v>
      </c>
      <c r="C98" s="839">
        <v>106.12125080340343</v>
      </c>
      <c r="D98" s="1668">
        <v>111.46423718152143</v>
      </c>
      <c r="E98" s="2839">
        <v>97.16459080803287</v>
      </c>
      <c r="F98" s="839">
        <v>72.825790530157988</v>
      </c>
      <c r="G98" s="2839">
        <v>134.43072404777121</v>
      </c>
      <c r="H98" s="839">
        <v>110.09623890688829</v>
      </c>
      <c r="I98" s="2839">
        <v>126.3296199715452</v>
      </c>
      <c r="J98" s="839">
        <v>100.71468807589883</v>
      </c>
      <c r="K98" s="2839">
        <v>152.30445594482802</v>
      </c>
      <c r="L98" s="839">
        <v>74.363971151069919</v>
      </c>
      <c r="M98" s="2029">
        <v>109.23354017142339</v>
      </c>
      <c r="N98" s="2030"/>
      <c r="O98" s="2840"/>
      <c r="P98" s="2840"/>
      <c r="Q98" s="2031"/>
    </row>
    <row r="99" spans="1:17">
      <c r="A99" s="63">
        <v>2000.06</v>
      </c>
      <c r="B99" s="1938">
        <v>107.93748276641216</v>
      </c>
      <c r="C99" s="839">
        <v>105.66759552877573</v>
      </c>
      <c r="D99" s="1668">
        <v>118.13915247548331</v>
      </c>
      <c r="E99" s="2839">
        <v>97.035269433156216</v>
      </c>
      <c r="F99" s="839">
        <v>72.45652507961141</v>
      </c>
      <c r="G99" s="2839">
        <v>124.97679584816227</v>
      </c>
      <c r="H99" s="839">
        <v>105.27096774193548</v>
      </c>
      <c r="I99" s="2839">
        <v>127.71637244722932</v>
      </c>
      <c r="J99" s="839">
        <v>101.23106110730505</v>
      </c>
      <c r="K99" s="2839">
        <v>144.78996048120433</v>
      </c>
      <c r="L99" s="839">
        <v>73.249509806548105</v>
      </c>
      <c r="M99" s="2029">
        <v>105.58676861454586</v>
      </c>
      <c r="N99" s="2030"/>
      <c r="O99" s="2840"/>
      <c r="P99" s="2840"/>
      <c r="Q99" s="2031"/>
    </row>
    <row r="100" spans="1:17">
      <c r="A100" s="63">
        <v>2000.07</v>
      </c>
      <c r="B100" s="1938">
        <v>107.82302640586666</v>
      </c>
      <c r="C100" s="839">
        <v>105.48266191986781</v>
      </c>
      <c r="D100" s="1668">
        <v>123.18105117524695</v>
      </c>
      <c r="E100" s="2839">
        <v>87.327651837572304</v>
      </c>
      <c r="F100" s="839">
        <v>74.16456115305688</v>
      </c>
      <c r="G100" s="2839">
        <v>130.50315445593216</v>
      </c>
      <c r="H100" s="839">
        <v>102.94640090153541</v>
      </c>
      <c r="I100" s="2839">
        <v>136.46460104307602</v>
      </c>
      <c r="J100" s="839">
        <v>103.32404351999888</v>
      </c>
      <c r="K100" s="2839">
        <v>155.86808176335146</v>
      </c>
      <c r="L100" s="839">
        <v>65.086996505439629</v>
      </c>
      <c r="M100" s="2029">
        <v>105.20692058718419</v>
      </c>
      <c r="N100" s="2030"/>
      <c r="O100" s="2840"/>
      <c r="P100" s="2840"/>
      <c r="Q100" s="2031"/>
    </row>
    <row r="101" spans="1:17">
      <c r="A101" s="63">
        <v>2000.08</v>
      </c>
      <c r="B101" s="1938">
        <v>113.53771525965676</v>
      </c>
      <c r="C101" s="839">
        <v>106.6150801376789</v>
      </c>
      <c r="D101" s="1668">
        <v>135.13863379113579</v>
      </c>
      <c r="E101" s="2839">
        <v>95.179081979684426</v>
      </c>
      <c r="F101" s="839">
        <v>71.313662641733373</v>
      </c>
      <c r="G101" s="2839">
        <v>131.03278299456858</v>
      </c>
      <c r="H101" s="839">
        <v>115.08835047189743</v>
      </c>
      <c r="I101" s="2839">
        <v>125.40457674315793</v>
      </c>
      <c r="J101" s="839">
        <v>107.84020904413957</v>
      </c>
      <c r="K101" s="2839">
        <v>166.58741902119851</v>
      </c>
      <c r="L101" s="839">
        <v>73.203297381352925</v>
      </c>
      <c r="M101" s="2029">
        <v>111.01420870462616</v>
      </c>
      <c r="N101" s="2030"/>
      <c r="O101" s="2840"/>
      <c r="P101" s="2840"/>
      <c r="Q101" s="2031"/>
    </row>
    <row r="102" spans="1:17">
      <c r="A102" s="63">
        <v>2000.09</v>
      </c>
      <c r="B102" s="1938">
        <v>112.10328027255837</v>
      </c>
      <c r="C102" s="839">
        <v>107.29946744845215</v>
      </c>
      <c r="D102" s="1668">
        <v>136.04197220043224</v>
      </c>
      <c r="E102" s="2839">
        <v>90.911723405271601</v>
      </c>
      <c r="F102" s="839">
        <v>66.507334429819565</v>
      </c>
      <c r="G102" s="2839">
        <v>132.52264817576466</v>
      </c>
      <c r="H102" s="839">
        <v>96.350373292012961</v>
      </c>
      <c r="I102" s="2839">
        <v>125.9537596739525</v>
      </c>
      <c r="J102" s="839">
        <v>119.05571746316272</v>
      </c>
      <c r="K102" s="2839">
        <v>165.73372790902818</v>
      </c>
      <c r="L102" s="839">
        <v>70.785997814714761</v>
      </c>
      <c r="M102" s="2029">
        <v>111.99437116886153</v>
      </c>
      <c r="N102" s="2030"/>
      <c r="O102" s="2840"/>
      <c r="P102" s="2840"/>
      <c r="Q102" s="2031"/>
    </row>
    <row r="103" spans="1:17">
      <c r="A103" s="63">
        <v>2000.1</v>
      </c>
      <c r="B103" s="1938">
        <v>110.20641630773135</v>
      </c>
      <c r="C103" s="839">
        <v>106.42313091741669</v>
      </c>
      <c r="D103" s="1668">
        <v>132.08350098687353</v>
      </c>
      <c r="E103" s="2839">
        <v>94.451525847744747</v>
      </c>
      <c r="F103" s="839">
        <v>58.960050768635831</v>
      </c>
      <c r="G103" s="2839">
        <v>128.86465875708166</v>
      </c>
      <c r="H103" s="839">
        <v>105.34487956050147</v>
      </c>
      <c r="I103" s="2839">
        <v>130.93271377469421</v>
      </c>
      <c r="J103" s="839">
        <v>105.55309068788367</v>
      </c>
      <c r="K103" s="2839">
        <v>166.92926841887493</v>
      </c>
      <c r="L103" s="839">
        <v>64.816188804801101</v>
      </c>
      <c r="M103" s="2029">
        <v>105.30181841828615</v>
      </c>
      <c r="N103" s="2030"/>
      <c r="O103" s="2840"/>
      <c r="P103" s="2840"/>
      <c r="Q103" s="2031"/>
    </row>
    <row r="104" spans="1:17">
      <c r="A104" s="63">
        <v>2000.11</v>
      </c>
      <c r="B104" s="1938">
        <v>109.71917491223842</v>
      </c>
      <c r="C104" s="839">
        <v>106.6363634118064</v>
      </c>
      <c r="D104" s="1668">
        <v>120.91570481662943</v>
      </c>
      <c r="E104" s="2839">
        <v>93.859491853169857</v>
      </c>
      <c r="F104" s="839">
        <v>63.559930189641086</v>
      </c>
      <c r="G104" s="2839">
        <v>125.54586647148155</v>
      </c>
      <c r="H104" s="839">
        <v>108.90063389209747</v>
      </c>
      <c r="I104" s="2839">
        <v>137.63828548165463</v>
      </c>
      <c r="J104" s="839">
        <v>109.33269449537129</v>
      </c>
      <c r="K104" s="2839">
        <v>165.73055972929916</v>
      </c>
      <c r="L104" s="839">
        <v>64.592904730474288</v>
      </c>
      <c r="M104" s="2029">
        <v>109.73674597502141</v>
      </c>
      <c r="N104" s="2030"/>
      <c r="O104" s="2840"/>
      <c r="P104" s="2840"/>
      <c r="Q104" s="2031"/>
    </row>
    <row r="105" spans="1:17">
      <c r="A105" s="63">
        <v>2000.12</v>
      </c>
      <c r="B105" s="1938">
        <v>112.22560404384305</v>
      </c>
      <c r="C105" s="839">
        <v>109.13943485869</v>
      </c>
      <c r="D105" s="1668">
        <v>135.39503793668445</v>
      </c>
      <c r="E105" s="2839">
        <v>108.29357124380456</v>
      </c>
      <c r="F105" s="839">
        <v>59.392352543148476</v>
      </c>
      <c r="G105" s="2839">
        <v>130.40899771293937</v>
      </c>
      <c r="H105" s="839">
        <v>111.69352021411467</v>
      </c>
      <c r="I105" s="2839">
        <v>144.49382557558738</v>
      </c>
      <c r="J105" s="839">
        <v>102.84499450517842</v>
      </c>
      <c r="K105" s="2839">
        <v>161.84904028244623</v>
      </c>
      <c r="L105" s="839">
        <v>57.297309270739376</v>
      </c>
      <c r="M105" s="2029">
        <v>91.804841085539763</v>
      </c>
      <c r="N105" s="2030"/>
      <c r="O105" s="2840"/>
      <c r="P105" s="2840"/>
      <c r="Q105" s="2031"/>
    </row>
    <row r="106" spans="1:17">
      <c r="A106" s="63">
        <v>2001.01</v>
      </c>
      <c r="B106" s="1938">
        <v>100.31625572419127</v>
      </c>
      <c r="C106" s="839">
        <v>110.490023737809</v>
      </c>
      <c r="D106" s="1668">
        <v>115.02720251286378</v>
      </c>
      <c r="E106" s="2839">
        <v>95.135121350104455</v>
      </c>
      <c r="F106" s="839">
        <v>51.178041656798356</v>
      </c>
      <c r="G106" s="2839">
        <v>123.66898977782927</v>
      </c>
      <c r="H106" s="839">
        <v>110.91843921679107</v>
      </c>
      <c r="I106" s="2839">
        <v>145.85107717998417</v>
      </c>
      <c r="J106" s="839">
        <v>106.92662930667589</v>
      </c>
      <c r="K106" s="2839">
        <v>143.38413096307528</v>
      </c>
      <c r="L106" s="839">
        <v>45.545063594187425</v>
      </c>
      <c r="M106" s="2029">
        <v>51.087346861146173</v>
      </c>
      <c r="N106" s="2030"/>
      <c r="O106" s="2840"/>
      <c r="P106" s="2840"/>
      <c r="Q106" s="2031"/>
    </row>
    <row r="107" spans="1:17">
      <c r="A107" s="63">
        <v>2001.02</v>
      </c>
      <c r="B107" s="1938">
        <v>97.574190469274839</v>
      </c>
      <c r="C107" s="839">
        <v>111.72624043114993</v>
      </c>
      <c r="D107" s="1668">
        <v>105.34760525596889</v>
      </c>
      <c r="E107" s="2839">
        <v>87.612023124216648</v>
      </c>
      <c r="F107" s="839">
        <v>64.756062435282246</v>
      </c>
      <c r="G107" s="2839">
        <v>119.87478288594579</v>
      </c>
      <c r="H107" s="839">
        <v>102.29830962107339</v>
      </c>
      <c r="I107" s="2839">
        <v>139.34442604294793</v>
      </c>
      <c r="J107" s="839">
        <v>100.5678298640323</v>
      </c>
      <c r="K107" s="2839">
        <v>135.73551087502057</v>
      </c>
      <c r="L107" s="839">
        <v>56.489578898753663</v>
      </c>
      <c r="M107" s="2029">
        <v>51.521545335438141</v>
      </c>
      <c r="N107" s="2030"/>
      <c r="O107" s="2840"/>
      <c r="P107" s="2840"/>
      <c r="Q107" s="2031"/>
    </row>
    <row r="108" spans="1:17">
      <c r="A108" s="63">
        <v>2001.03</v>
      </c>
      <c r="B108" s="1938">
        <v>111.43994511221238</v>
      </c>
      <c r="C108" s="839">
        <v>107.92757175411326</v>
      </c>
      <c r="D108" s="1668">
        <v>117.39637035476733</v>
      </c>
      <c r="E108" s="2839">
        <v>99.718842209669987</v>
      </c>
      <c r="F108" s="839">
        <v>71.646759831274281</v>
      </c>
      <c r="G108" s="2839">
        <v>135.24507385557934</v>
      </c>
      <c r="H108" s="839">
        <v>107.14999295675447</v>
      </c>
      <c r="I108" s="2839">
        <v>160.57291580935532</v>
      </c>
      <c r="J108" s="839">
        <v>88.676781802855686</v>
      </c>
      <c r="K108" s="2839">
        <v>161.91781400219145</v>
      </c>
      <c r="L108" s="839">
        <v>74.275280497367532</v>
      </c>
      <c r="M108" s="2029">
        <v>86.060766915006582</v>
      </c>
      <c r="N108" s="2030"/>
      <c r="O108" s="2840"/>
      <c r="P108" s="2840"/>
      <c r="Q108" s="2031"/>
    </row>
    <row r="109" spans="1:17">
      <c r="A109" s="63">
        <v>2001.04</v>
      </c>
      <c r="B109" s="1938">
        <v>107.62834667909502</v>
      </c>
      <c r="C109" s="839">
        <v>109.59725317580963</v>
      </c>
      <c r="D109" s="1668">
        <v>105.67926636659179</v>
      </c>
      <c r="E109" s="2839">
        <v>89.616010841770986</v>
      </c>
      <c r="F109" s="839">
        <v>71.329738109992135</v>
      </c>
      <c r="G109" s="2839">
        <v>123.24524121318296</v>
      </c>
      <c r="H109" s="839">
        <v>108.4254261163544</v>
      </c>
      <c r="I109" s="2839">
        <v>154.66622174311144</v>
      </c>
      <c r="J109" s="839">
        <v>89.818618973741934</v>
      </c>
      <c r="K109" s="2839">
        <v>160.06359255100648</v>
      </c>
      <c r="L109" s="839">
        <v>72.301063159900821</v>
      </c>
      <c r="M109" s="2029">
        <v>97.398757083991967</v>
      </c>
      <c r="N109" s="2030"/>
      <c r="O109" s="2840"/>
      <c r="P109" s="2840"/>
      <c r="Q109" s="2031"/>
    </row>
    <row r="110" spans="1:17">
      <c r="A110" s="63">
        <v>2001.05</v>
      </c>
      <c r="B110" s="1938">
        <v>110.38535710982863</v>
      </c>
      <c r="C110" s="839">
        <v>108.4001248746324</v>
      </c>
      <c r="D110" s="1668">
        <v>109.46814262011026</v>
      </c>
      <c r="E110" s="2839">
        <v>89.639086316104894</v>
      </c>
      <c r="F110" s="839">
        <v>71.174879249303999</v>
      </c>
      <c r="G110" s="2839">
        <v>136.91657294597513</v>
      </c>
      <c r="H110" s="839">
        <v>111.5102831384702</v>
      </c>
      <c r="I110" s="2839">
        <v>143.79715147809929</v>
      </c>
      <c r="J110" s="839">
        <v>100.96232128032489</v>
      </c>
      <c r="K110" s="2839">
        <v>164.41662331093448</v>
      </c>
      <c r="L110" s="839">
        <v>83.589051404825057</v>
      </c>
      <c r="M110" s="2029">
        <v>103.50649593950162</v>
      </c>
      <c r="N110" s="2030"/>
      <c r="O110" s="2840"/>
      <c r="P110" s="2840"/>
      <c r="Q110" s="2031"/>
    </row>
    <row r="111" spans="1:17">
      <c r="A111" s="63">
        <v>2001.06</v>
      </c>
      <c r="B111" s="1938">
        <v>108.09451104531951</v>
      </c>
      <c r="C111" s="839">
        <v>106.87985903025108</v>
      </c>
      <c r="D111" s="1668">
        <v>117.22713214675539</v>
      </c>
      <c r="E111" s="2839">
        <v>85.521718324862476</v>
      </c>
      <c r="F111" s="839">
        <v>70.389840012810708</v>
      </c>
      <c r="G111" s="2839">
        <v>133.25257074003537</v>
      </c>
      <c r="H111" s="839">
        <v>108.68815326102268</v>
      </c>
      <c r="I111" s="2839">
        <v>138.1000969471115</v>
      </c>
      <c r="J111" s="839">
        <v>101.06030449844307</v>
      </c>
      <c r="K111" s="2839">
        <v>146.57892132062136</v>
      </c>
      <c r="L111" s="839">
        <v>78.535610700164597</v>
      </c>
      <c r="M111" s="2029">
        <v>90.838580549057681</v>
      </c>
      <c r="N111" s="2030"/>
      <c r="O111" s="2840"/>
      <c r="P111" s="2840"/>
      <c r="Q111" s="2031"/>
    </row>
    <row r="112" spans="1:17">
      <c r="A112" s="63">
        <v>2001.07</v>
      </c>
      <c r="B112" s="1938">
        <v>109.86577141437702</v>
      </c>
      <c r="C112" s="839">
        <v>106.66587912275621</v>
      </c>
      <c r="D112" s="1668">
        <v>126.89746941521113</v>
      </c>
      <c r="E112" s="2839">
        <v>83.43141352550829</v>
      </c>
      <c r="F112" s="839">
        <v>68.067458695587192</v>
      </c>
      <c r="G112" s="2839">
        <v>129.57441911025791</v>
      </c>
      <c r="H112" s="839">
        <v>113.35981124101986</v>
      </c>
      <c r="I112" s="2839">
        <v>159.00039389925254</v>
      </c>
      <c r="J112" s="839">
        <v>98.794323447219057</v>
      </c>
      <c r="K112" s="2839">
        <v>141.62864535296919</v>
      </c>
      <c r="L112" s="839">
        <v>64.7972918364066</v>
      </c>
      <c r="M112" s="2029">
        <v>81.152997515452043</v>
      </c>
      <c r="N112" s="2030"/>
      <c r="O112" s="2840"/>
      <c r="P112" s="2840"/>
      <c r="Q112" s="2031"/>
    </row>
    <row r="113" spans="1:17">
      <c r="A113" s="63">
        <v>2001.08</v>
      </c>
      <c r="B113" s="1938">
        <v>110.16956235703731</v>
      </c>
      <c r="C113" s="839">
        <v>103.74435692840527</v>
      </c>
      <c r="D113" s="1668">
        <v>133.13221008539955</v>
      </c>
      <c r="E113" s="2839">
        <v>93.595887876434745</v>
      </c>
      <c r="F113" s="839">
        <v>63.337126084440506</v>
      </c>
      <c r="G113" s="2839">
        <v>140.15919156495195</v>
      </c>
      <c r="H113" s="839">
        <v>111.72141146640371</v>
      </c>
      <c r="I113" s="2839">
        <v>159.36209748553694</v>
      </c>
      <c r="J113" s="839">
        <v>98.367477725851927</v>
      </c>
      <c r="K113" s="2839">
        <v>119.86237667716922</v>
      </c>
      <c r="L113" s="839">
        <v>65.557034244851849</v>
      </c>
      <c r="M113" s="2029">
        <v>69.484604860311208</v>
      </c>
      <c r="N113" s="2030"/>
      <c r="O113" s="2840"/>
      <c r="P113" s="2840"/>
      <c r="Q113" s="2031"/>
    </row>
    <row r="114" spans="1:17">
      <c r="A114" s="63">
        <v>2001.09</v>
      </c>
      <c r="B114" s="1938">
        <v>103.04449848070533</v>
      </c>
      <c r="C114" s="839">
        <v>100.60824002575499</v>
      </c>
      <c r="D114" s="1668">
        <v>126.08344893167147</v>
      </c>
      <c r="E114" s="2839">
        <v>76.046749018893848</v>
      </c>
      <c r="F114" s="839">
        <v>57.912837633935993</v>
      </c>
      <c r="G114" s="2839">
        <v>130.54512672226153</v>
      </c>
      <c r="H114" s="839">
        <v>104.86223411748132</v>
      </c>
      <c r="I114" s="2839">
        <v>154.74423076101417</v>
      </c>
      <c r="J114" s="839">
        <v>91.071556454129151</v>
      </c>
      <c r="K114" s="2839">
        <v>144.80398702393526</v>
      </c>
      <c r="L114" s="839">
        <v>44.792476229524468</v>
      </c>
      <c r="M114" s="2029">
        <v>57.715317816667756</v>
      </c>
      <c r="N114" s="2030"/>
      <c r="O114" s="2840"/>
      <c r="P114" s="2840"/>
      <c r="Q114" s="2031"/>
    </row>
    <row r="115" spans="1:17">
      <c r="A115" s="63">
        <v>2001.1</v>
      </c>
      <c r="B115" s="1938">
        <v>104.2560794812261</v>
      </c>
      <c r="C115" s="839">
        <v>99.559808712972156</v>
      </c>
      <c r="D115" s="1668">
        <v>129.57460354386282</v>
      </c>
      <c r="E115" s="2839">
        <v>90.18029935492018</v>
      </c>
      <c r="F115" s="839">
        <v>54.305656686153469</v>
      </c>
      <c r="G115" s="2839">
        <v>137.0377157894749</v>
      </c>
      <c r="H115" s="839">
        <v>98.286448795604997</v>
      </c>
      <c r="I115" s="2839">
        <v>163.35297270577965</v>
      </c>
      <c r="J115" s="839">
        <v>80.480434188109939</v>
      </c>
      <c r="K115" s="2839">
        <v>142.8022707378214</v>
      </c>
      <c r="L115" s="839">
        <v>42.132348683833712</v>
      </c>
      <c r="M115" s="2029">
        <v>62.617195599964894</v>
      </c>
      <c r="N115" s="2030"/>
      <c r="O115" s="2840"/>
      <c r="P115" s="2840"/>
      <c r="Q115" s="2031"/>
    </row>
    <row r="116" spans="1:17">
      <c r="A116" s="63">
        <v>2001.11</v>
      </c>
      <c r="B116" s="1938">
        <v>101.93590849664906</v>
      </c>
      <c r="C116" s="839">
        <v>98.091868274690441</v>
      </c>
      <c r="D116" s="1668">
        <v>118.61957333749925</v>
      </c>
      <c r="E116" s="2839">
        <v>93.418500411918814</v>
      </c>
      <c r="F116" s="839">
        <v>48.569591121030996</v>
      </c>
      <c r="G116" s="2839">
        <v>125.21941665894853</v>
      </c>
      <c r="H116" s="839">
        <v>98.751387519368919</v>
      </c>
      <c r="I116" s="2839">
        <v>165.0921009094798</v>
      </c>
      <c r="J116" s="839">
        <v>88.7385610179564</v>
      </c>
      <c r="K116" s="2839">
        <v>134.11846046048308</v>
      </c>
      <c r="L116" s="839">
        <v>43.559213519740808</v>
      </c>
      <c r="M116" s="2029">
        <v>60.024420599357605</v>
      </c>
      <c r="N116" s="2030"/>
      <c r="O116" s="2840"/>
      <c r="P116" s="2840"/>
      <c r="Q116" s="2031"/>
    </row>
    <row r="117" spans="1:17">
      <c r="A117" s="63">
        <v>2001.12</v>
      </c>
      <c r="B117" s="1938">
        <v>90.573230864873906</v>
      </c>
      <c r="C117" s="839">
        <v>94.061509524468335</v>
      </c>
      <c r="D117" s="1668">
        <v>122.7912827503618</v>
      </c>
      <c r="E117" s="2839">
        <v>89.23454610341463</v>
      </c>
      <c r="F117" s="839">
        <v>42.14560475933218</v>
      </c>
      <c r="G117" s="2839">
        <v>114.4894552077329</v>
      </c>
      <c r="H117" s="839">
        <v>100.1878292717284</v>
      </c>
      <c r="I117" s="2839">
        <v>132.55214414610211</v>
      </c>
      <c r="J117" s="839">
        <v>68.764911372811412</v>
      </c>
      <c r="K117" s="2839">
        <v>123.20806087493972</v>
      </c>
      <c r="L117" s="839">
        <v>29.717349625059114</v>
      </c>
      <c r="M117" s="2029">
        <v>26.725376188790083</v>
      </c>
      <c r="N117" s="2030"/>
      <c r="O117" s="2840"/>
      <c r="P117" s="2840"/>
      <c r="Q117" s="2031"/>
    </row>
    <row r="118" spans="1:17">
      <c r="A118" s="63">
        <v>2002.01</v>
      </c>
      <c r="B118" s="1938">
        <v>83.087778402925451</v>
      </c>
      <c r="C118" s="839">
        <v>93.267233994850173</v>
      </c>
      <c r="D118" s="1668">
        <v>101.42295862133079</v>
      </c>
      <c r="E118" s="2839">
        <v>90.658319528581615</v>
      </c>
      <c r="F118" s="839">
        <v>39.369159677295265</v>
      </c>
      <c r="G118" s="2839">
        <v>116.35219722353924</v>
      </c>
      <c r="H118" s="839">
        <v>105.42212987744752</v>
      </c>
      <c r="I118" s="2839">
        <v>125.97357550554389</v>
      </c>
      <c r="J118" s="839">
        <v>63.206584494711649</v>
      </c>
      <c r="K118" s="2839">
        <v>115.86002096010731</v>
      </c>
      <c r="L118" s="839">
        <v>21.593139113890039</v>
      </c>
      <c r="M118" s="2029">
        <v>15.413689800560068</v>
      </c>
      <c r="N118" s="2030"/>
      <c r="O118" s="2840"/>
      <c r="P118" s="2840"/>
      <c r="Q118" s="2031"/>
    </row>
    <row r="119" spans="1:17">
      <c r="A119" s="63">
        <v>2002.02</v>
      </c>
      <c r="B119" s="1938">
        <v>82.265516623225679</v>
      </c>
      <c r="C119" s="839">
        <v>91.439427083285452</v>
      </c>
      <c r="D119" s="1668">
        <v>93.004490344251721</v>
      </c>
      <c r="E119" s="2839">
        <v>84.398211733004629</v>
      </c>
      <c r="F119" s="839">
        <v>42.387211326386421</v>
      </c>
      <c r="G119" s="2839">
        <v>118.7534682905314</v>
      </c>
      <c r="H119" s="839">
        <v>91.290435272573589</v>
      </c>
      <c r="I119" s="2839">
        <v>138.57465069092379</v>
      </c>
      <c r="J119" s="839">
        <v>61.339302605878451</v>
      </c>
      <c r="K119" s="2839">
        <v>128.64334104899618</v>
      </c>
      <c r="L119" s="839">
        <v>23.411463931844853</v>
      </c>
      <c r="M119" s="2029">
        <v>28.653846865847861</v>
      </c>
      <c r="N119" s="2030"/>
      <c r="O119" s="2840"/>
      <c r="P119" s="2840"/>
      <c r="Q119" s="2031"/>
    </row>
    <row r="120" spans="1:17">
      <c r="A120" s="63">
        <v>2002.03</v>
      </c>
      <c r="B120" s="1938">
        <v>92.628124917443301</v>
      </c>
      <c r="C120" s="839">
        <v>93.808916180201692</v>
      </c>
      <c r="D120" s="1668">
        <v>100.61863871234313</v>
      </c>
      <c r="E120" s="2839">
        <v>96.99256438085618</v>
      </c>
      <c r="F120" s="839">
        <v>53.462400019211039</v>
      </c>
      <c r="G120" s="2839">
        <v>125.15620482745578</v>
      </c>
      <c r="H120" s="839">
        <v>101.1453444147063</v>
      </c>
      <c r="I120" s="2839">
        <v>149.73359579242387</v>
      </c>
      <c r="J120" s="839">
        <v>65.906676412229785</v>
      </c>
      <c r="K120" s="2839">
        <v>146.4632228932432</v>
      </c>
      <c r="L120" s="839">
        <v>33.518103795041355</v>
      </c>
      <c r="M120" s="2029">
        <v>39.173303369520582</v>
      </c>
      <c r="N120" s="2030"/>
      <c r="O120" s="2840"/>
      <c r="P120" s="2840"/>
      <c r="Q120" s="2031"/>
    </row>
    <row r="121" spans="1:17">
      <c r="A121" s="63">
        <v>2002.04</v>
      </c>
      <c r="B121" s="1938">
        <v>96.154520053729073</v>
      </c>
      <c r="C121" s="839">
        <v>94.120958181921779</v>
      </c>
      <c r="D121" s="1668">
        <v>94.510785966581111</v>
      </c>
      <c r="E121" s="2839">
        <v>85.892163598737454</v>
      </c>
      <c r="F121" s="839">
        <v>58.014645513977818</v>
      </c>
      <c r="G121" s="2839">
        <v>131.6103230215345</v>
      </c>
      <c r="H121" s="839">
        <v>101.90187350331033</v>
      </c>
      <c r="I121" s="2839">
        <v>166.95211748241644</v>
      </c>
      <c r="J121" s="839">
        <v>68.294296441956988</v>
      </c>
      <c r="K121" s="2839">
        <v>162.20759845142288</v>
      </c>
      <c r="L121" s="839">
        <v>35.927206812102185</v>
      </c>
      <c r="M121" s="2029">
        <v>58.674237763471901</v>
      </c>
      <c r="N121" s="2030"/>
      <c r="O121" s="2840"/>
      <c r="P121" s="2840"/>
      <c r="Q121" s="2031"/>
    </row>
    <row r="122" spans="1:17">
      <c r="A122" s="63">
        <v>2002.05</v>
      </c>
      <c r="B122" s="1938">
        <v>97.13354369455989</v>
      </c>
      <c r="C122" s="839">
        <v>94.911128198053731</v>
      </c>
      <c r="D122" s="1668">
        <v>99.559007271808511</v>
      </c>
      <c r="E122" s="2839">
        <v>92.762467144570977</v>
      </c>
      <c r="F122" s="839">
        <v>61.169271337518438</v>
      </c>
      <c r="G122" s="2839">
        <v>135.74519078817173</v>
      </c>
      <c r="H122" s="839">
        <v>104.57968727989856</v>
      </c>
      <c r="I122" s="2839">
        <v>154.70699215495475</v>
      </c>
      <c r="J122" s="839">
        <v>70.058633958911543</v>
      </c>
      <c r="K122" s="2839">
        <v>161.06600803420449</v>
      </c>
      <c r="L122" s="839">
        <v>41.286215018170807</v>
      </c>
      <c r="M122" s="2029">
        <v>55.186420345297115</v>
      </c>
      <c r="N122" s="2030"/>
      <c r="O122" s="2840"/>
      <c r="P122" s="2840"/>
      <c r="Q122" s="2031"/>
    </row>
    <row r="123" spans="1:17">
      <c r="A123" s="63">
        <v>2002.06</v>
      </c>
      <c r="B123" s="1938">
        <v>96.609339500936414</v>
      </c>
      <c r="C123" s="839">
        <v>97.278319466474812</v>
      </c>
      <c r="D123" s="1668">
        <v>110.71314617331596</v>
      </c>
      <c r="E123" s="2839">
        <v>100.3741585331361</v>
      </c>
      <c r="F123" s="839">
        <v>59.542606454246631</v>
      </c>
      <c r="G123" s="2839">
        <v>132.44251948563482</v>
      </c>
      <c r="H123" s="839">
        <v>99.858712494717551</v>
      </c>
      <c r="I123" s="2839">
        <v>146.53204626134914</v>
      </c>
      <c r="J123" s="839">
        <v>76.695820302146956</v>
      </c>
      <c r="K123" s="2839">
        <v>151.66645219440099</v>
      </c>
      <c r="L123" s="839">
        <v>37.558750126481861</v>
      </c>
      <c r="M123" s="2029">
        <v>50.333843442081772</v>
      </c>
      <c r="N123" s="2030"/>
      <c r="O123" s="2840"/>
      <c r="P123" s="2840"/>
      <c r="Q123" s="2031"/>
    </row>
    <row r="124" spans="1:17">
      <c r="A124" s="63">
        <v>2002.07</v>
      </c>
      <c r="B124" s="1938">
        <v>101.23735837683789</v>
      </c>
      <c r="C124" s="839">
        <v>96.95899252226549</v>
      </c>
      <c r="D124" s="1668">
        <v>121.37386995636899</v>
      </c>
      <c r="E124" s="2839">
        <v>72.333617680625863</v>
      </c>
      <c r="F124" s="839">
        <v>67.682644455813659</v>
      </c>
      <c r="G124" s="2839">
        <v>135.79434292148926</v>
      </c>
      <c r="H124" s="839">
        <v>101.37785603606142</v>
      </c>
      <c r="I124" s="2839">
        <v>152.31118775579887</v>
      </c>
      <c r="J124" s="839">
        <v>72.781002629042618</v>
      </c>
      <c r="K124" s="2839">
        <v>159.05535934880714</v>
      </c>
      <c r="L124" s="839">
        <v>46.864958720537224</v>
      </c>
      <c r="M124" s="2029">
        <v>57.553983240669858</v>
      </c>
      <c r="N124" s="2030"/>
      <c r="O124" s="2840"/>
      <c r="P124" s="2840"/>
      <c r="Q124" s="2031"/>
    </row>
    <row r="125" spans="1:17">
      <c r="A125" s="63">
        <v>2002.08</v>
      </c>
      <c r="B125" s="1938">
        <v>100.16968208424851</v>
      </c>
      <c r="C125" s="839">
        <v>95.692475969647518</v>
      </c>
      <c r="D125" s="1668">
        <v>121.84492732975716</v>
      </c>
      <c r="E125" s="2839">
        <v>92.995071010813234</v>
      </c>
      <c r="F125" s="839">
        <v>65.297006655239855</v>
      </c>
      <c r="G125" s="2839">
        <v>140.60070437096965</v>
      </c>
      <c r="H125" s="839">
        <v>95.780969150584568</v>
      </c>
      <c r="I125" s="2839">
        <v>138.0267340645419</v>
      </c>
      <c r="J125" s="839">
        <v>77.523680328455328</v>
      </c>
      <c r="K125" s="2839">
        <v>164.57033858259209</v>
      </c>
      <c r="L125" s="839">
        <v>45.973713108392097</v>
      </c>
      <c r="M125" s="2029">
        <v>54.498010411704641</v>
      </c>
      <c r="N125" s="2030"/>
      <c r="O125" s="2840"/>
      <c r="P125" s="2840"/>
      <c r="Q125" s="2031"/>
    </row>
    <row r="126" spans="1:17">
      <c r="A126" s="63">
        <v>2002.09</v>
      </c>
      <c r="B126" s="1938">
        <v>102.15968117537756</v>
      </c>
      <c r="C126" s="839">
        <v>99.108080888562242</v>
      </c>
      <c r="D126" s="1668">
        <v>120.25142761646234</v>
      </c>
      <c r="E126" s="2839">
        <v>88.319446830286921</v>
      </c>
      <c r="F126" s="839">
        <v>68.335718572643799</v>
      </c>
      <c r="G126" s="2839">
        <v>136.16643628924584</v>
      </c>
      <c r="H126" s="839">
        <v>102.59235103535708</v>
      </c>
      <c r="I126" s="2839">
        <v>149.99201255569102</v>
      </c>
      <c r="J126" s="839">
        <v>87.52743489213367</v>
      </c>
      <c r="K126" s="2839">
        <v>160.9786045745945</v>
      </c>
      <c r="L126" s="839">
        <v>45.601027155204662</v>
      </c>
      <c r="M126" s="2029">
        <v>56.4073200221031</v>
      </c>
      <c r="N126" s="2030"/>
      <c r="O126" s="2840"/>
      <c r="P126" s="2840"/>
      <c r="Q126" s="2031"/>
    </row>
    <row r="127" spans="1:17">
      <c r="A127" s="63">
        <v>2002.1</v>
      </c>
      <c r="B127" s="1938">
        <v>100.78590251505446</v>
      </c>
      <c r="C127" s="839">
        <v>96.796043049811686</v>
      </c>
      <c r="D127" s="1668">
        <v>114.64602448611012</v>
      </c>
      <c r="E127" s="2839">
        <v>100.10971051231306</v>
      </c>
      <c r="F127" s="839">
        <v>67.262784010938603</v>
      </c>
      <c r="G127" s="2839">
        <v>133.50459966549084</v>
      </c>
      <c r="H127" s="839">
        <v>107.85139287058476</v>
      </c>
      <c r="I127" s="2839">
        <v>138.23129826867046</v>
      </c>
      <c r="J127" s="839">
        <v>78.321173864800272</v>
      </c>
      <c r="K127" s="2839">
        <v>170.20234384214507</v>
      </c>
      <c r="L127" s="839">
        <v>45.858632133613092</v>
      </c>
      <c r="M127" s="2029">
        <v>57.636749769095772</v>
      </c>
      <c r="N127" s="2030"/>
      <c r="O127" s="2840"/>
      <c r="P127" s="2840"/>
      <c r="Q127" s="2031"/>
    </row>
    <row r="128" spans="1:17">
      <c r="A128" s="63">
        <v>2002.11</v>
      </c>
      <c r="B128" s="1938">
        <v>97.660455804756552</v>
      </c>
      <c r="C128" s="839">
        <v>99.977695647750195</v>
      </c>
      <c r="D128" s="1668">
        <v>106.62399276168986</v>
      </c>
      <c r="E128" s="2839">
        <v>99.998977851092334</v>
      </c>
      <c r="F128" s="839">
        <v>64.565500926173584</v>
      </c>
      <c r="G128" s="2839">
        <v>130.81400665722035</v>
      </c>
      <c r="H128" s="839">
        <v>104.01714607278534</v>
      </c>
      <c r="I128" s="2839">
        <v>141.14860341629978</v>
      </c>
      <c r="J128" s="839">
        <v>83.723251845246381</v>
      </c>
      <c r="K128" s="2839">
        <v>156.55836117370612</v>
      </c>
      <c r="L128" s="839">
        <v>43.697898978567565</v>
      </c>
      <c r="M128" s="2029">
        <v>55.284432734647723</v>
      </c>
      <c r="N128" s="2030"/>
      <c r="O128" s="2840"/>
      <c r="P128" s="2840"/>
      <c r="Q128" s="2031"/>
    </row>
    <row r="129" spans="1:17">
      <c r="A129" s="63">
        <v>2002.12</v>
      </c>
      <c r="B129" s="1938">
        <v>100.04375241572305</v>
      </c>
      <c r="C129" s="839">
        <v>102.61836692870209</v>
      </c>
      <c r="D129" s="1668">
        <v>118.16604249000943</v>
      </c>
      <c r="E129" s="2839">
        <v>113.01262605839071</v>
      </c>
      <c r="F129" s="839">
        <v>56.483577254475144</v>
      </c>
      <c r="G129" s="2839">
        <v>139.42428655970332</v>
      </c>
      <c r="H129" s="839">
        <v>110.87812367939148</v>
      </c>
      <c r="I129" s="2839">
        <v>146.7711256330912</v>
      </c>
      <c r="J129" s="839">
        <v>81.949353428528212</v>
      </c>
      <c r="K129" s="2839">
        <v>157.19185404062151</v>
      </c>
      <c r="L129" s="839">
        <v>37.315700366331058</v>
      </c>
      <c r="M129" s="2029">
        <v>42.224134560624186</v>
      </c>
      <c r="N129" s="2030"/>
      <c r="O129" s="2840"/>
      <c r="P129" s="2840"/>
      <c r="Q129" s="2031"/>
    </row>
    <row r="130" spans="1:17">
      <c r="A130" s="63">
        <v>2003.01</v>
      </c>
      <c r="B130" s="1938">
        <v>94.967368599386745</v>
      </c>
      <c r="C130" s="839">
        <v>103.71598803860552</v>
      </c>
      <c r="D130" s="1668">
        <v>104.39325337360442</v>
      </c>
      <c r="E130" s="2839">
        <v>107.66859485014851</v>
      </c>
      <c r="F130" s="839">
        <v>41.565464698092086</v>
      </c>
      <c r="G130" s="2839">
        <v>142.74952619986362</v>
      </c>
      <c r="H130" s="839">
        <v>107.92563600455527</v>
      </c>
      <c r="I130" s="2839">
        <v>145.21867592820837</v>
      </c>
      <c r="J130" s="839">
        <v>86.145175579742528</v>
      </c>
      <c r="K130" s="2839">
        <v>154.81653869100344</v>
      </c>
      <c r="L130" s="839">
        <v>39.258573250494251</v>
      </c>
      <c r="M130" s="2029">
        <v>30.338829894094548</v>
      </c>
      <c r="N130" s="2030"/>
      <c r="O130" s="2840"/>
      <c r="P130" s="2840"/>
      <c r="Q130" s="2031"/>
    </row>
    <row r="131" spans="1:17">
      <c r="A131" s="63">
        <v>2003.02</v>
      </c>
      <c r="B131" s="1938">
        <v>92.581762656792705</v>
      </c>
      <c r="C131" s="839">
        <v>104.5708047922234</v>
      </c>
      <c r="D131" s="1668">
        <v>96.387030783137831</v>
      </c>
      <c r="E131" s="2839">
        <v>93.953289337398132</v>
      </c>
      <c r="F131" s="839">
        <v>56.544309344871166</v>
      </c>
      <c r="G131" s="2839">
        <v>139.77211950396855</v>
      </c>
      <c r="H131" s="839">
        <v>95.860755035920548</v>
      </c>
      <c r="I131" s="2839">
        <v>142.38455117758494</v>
      </c>
      <c r="J131" s="839">
        <v>83.44648668012313</v>
      </c>
      <c r="K131" s="2839">
        <v>158.73922262487031</v>
      </c>
      <c r="L131" s="839">
        <v>48.067864128480323</v>
      </c>
      <c r="M131" s="2029">
        <v>37.410433772785744</v>
      </c>
      <c r="N131" s="2030"/>
      <c r="O131" s="2840"/>
      <c r="P131" s="2840"/>
      <c r="Q131" s="2031"/>
    </row>
    <row r="132" spans="1:17">
      <c r="A132" s="63">
        <v>2003.03</v>
      </c>
      <c r="B132" s="1938">
        <v>106.18105075853794</v>
      </c>
      <c r="C132" s="839">
        <v>105.48063735536151</v>
      </c>
      <c r="D132" s="1668">
        <v>101.55659934293911</v>
      </c>
      <c r="E132" s="2839">
        <v>99.92896723215803</v>
      </c>
      <c r="F132" s="839">
        <v>82.13947279843876</v>
      </c>
      <c r="G132" s="2839">
        <v>153.12426357918946</v>
      </c>
      <c r="H132" s="839">
        <v>106.34393576560079</v>
      </c>
      <c r="I132" s="2839">
        <v>165.06495136376199</v>
      </c>
      <c r="J132" s="839">
        <v>89.618637830485824</v>
      </c>
      <c r="K132" s="2839">
        <v>183.44780508701234</v>
      </c>
      <c r="L132" s="839">
        <v>66.461589141605003</v>
      </c>
      <c r="M132" s="2029">
        <v>51.686314416130898</v>
      </c>
      <c r="N132" s="2030"/>
      <c r="O132" s="2840"/>
      <c r="P132" s="2840"/>
      <c r="Q132" s="2031"/>
    </row>
    <row r="133" spans="1:17">
      <c r="A133" s="63">
        <v>2003.04</v>
      </c>
      <c r="B133" s="1938">
        <v>107.19642500838349</v>
      </c>
      <c r="C133" s="839">
        <v>107.68968613964645</v>
      </c>
      <c r="D133" s="1668">
        <v>96.067827797405826</v>
      </c>
      <c r="E133" s="2839">
        <v>103.1402020677332</v>
      </c>
      <c r="F133" s="839">
        <v>82.476246520462567</v>
      </c>
      <c r="G133" s="2839">
        <v>146.85404215976428</v>
      </c>
      <c r="H133" s="839">
        <v>105.201281870686</v>
      </c>
      <c r="I133" s="2839">
        <v>167.46820868730165</v>
      </c>
      <c r="J133" s="839">
        <v>82.45401053722324</v>
      </c>
      <c r="K133" s="2839">
        <v>176.19512336039537</v>
      </c>
      <c r="L133" s="839">
        <v>77.831454578292806</v>
      </c>
      <c r="M133" s="2029">
        <v>56.980006226063281</v>
      </c>
      <c r="N133" s="2030"/>
      <c r="O133" s="2840"/>
      <c r="P133" s="2840"/>
      <c r="Q133" s="2031"/>
    </row>
    <row r="134" spans="1:17">
      <c r="A134" s="63">
        <v>2003.05</v>
      </c>
      <c r="B134" s="1938">
        <v>108.46099571260396</v>
      </c>
      <c r="C134" s="839">
        <v>107.03031782791473</v>
      </c>
      <c r="D134" s="1668">
        <v>100.51668813055187</v>
      </c>
      <c r="E134" s="2839">
        <v>98.119645820261894</v>
      </c>
      <c r="F134" s="839">
        <v>84.116407450350891</v>
      </c>
      <c r="G134" s="2839">
        <v>151.50693966358028</v>
      </c>
      <c r="H134" s="839">
        <v>108.72525707846175</v>
      </c>
      <c r="I134" s="2839">
        <v>173.86604135323194</v>
      </c>
      <c r="J134" s="839">
        <v>74.113241769697069</v>
      </c>
      <c r="K134" s="2839">
        <v>181.35492024184285</v>
      </c>
      <c r="L134" s="839">
        <v>80.95299396349607</v>
      </c>
      <c r="M134" s="2029">
        <v>52.240860948224203</v>
      </c>
      <c r="N134" s="2030"/>
      <c r="O134" s="2840"/>
      <c r="P134" s="2840"/>
      <c r="Q134" s="2031"/>
    </row>
    <row r="135" spans="1:17">
      <c r="A135" s="63">
        <v>2003.06</v>
      </c>
      <c r="B135" s="1938">
        <v>106.44860503289502</v>
      </c>
      <c r="C135" s="839">
        <v>106.30506354092861</v>
      </c>
      <c r="D135" s="1668">
        <v>113.64567576078613</v>
      </c>
      <c r="E135" s="2839">
        <v>93.657315529501147</v>
      </c>
      <c r="F135" s="839">
        <v>77.524714577929885</v>
      </c>
      <c r="G135" s="2839">
        <v>150.731694443305</v>
      </c>
      <c r="H135" s="839">
        <v>107.79719678828003</v>
      </c>
      <c r="I135" s="2839">
        <v>147.61903159743204</v>
      </c>
      <c r="J135" s="839">
        <v>83.39712834465044</v>
      </c>
      <c r="K135" s="2839">
        <v>173.80825810462741</v>
      </c>
      <c r="L135" s="839">
        <v>78.13735567455808</v>
      </c>
      <c r="M135" s="2029">
        <v>49.819287817637075</v>
      </c>
      <c r="N135" s="2030"/>
      <c r="O135" s="2840"/>
      <c r="P135" s="2840"/>
      <c r="Q135" s="2031"/>
    </row>
    <row r="136" spans="1:17">
      <c r="A136" s="63">
        <v>2003.07</v>
      </c>
      <c r="B136" s="1938">
        <v>112.51190880703356</v>
      </c>
      <c r="C136" s="839">
        <v>107.3852498500366</v>
      </c>
      <c r="D136" s="1668">
        <v>122.52209656315105</v>
      </c>
      <c r="E136" s="2839">
        <v>97.7151969222829</v>
      </c>
      <c r="F136" s="839">
        <v>74.148724293182894</v>
      </c>
      <c r="G136" s="2839">
        <v>151.53361449235945</v>
      </c>
      <c r="H136" s="839">
        <v>109.43368093767607</v>
      </c>
      <c r="I136" s="2839">
        <v>156.1635751480905</v>
      </c>
      <c r="J136" s="839">
        <v>102.52419481147976</v>
      </c>
      <c r="K136" s="2839">
        <v>174.92423670662487</v>
      </c>
      <c r="L136" s="839">
        <v>87.814783653629931</v>
      </c>
      <c r="M136" s="2029">
        <v>45.391297990344235</v>
      </c>
      <c r="N136" s="2030"/>
      <c r="O136" s="2840"/>
      <c r="P136" s="2840"/>
      <c r="Q136" s="2031"/>
    </row>
    <row r="137" spans="1:17">
      <c r="A137" s="63">
        <v>2003.08</v>
      </c>
      <c r="B137" s="1938">
        <v>109.68690562510082</v>
      </c>
      <c r="C137" s="839">
        <v>106.83641666943971</v>
      </c>
      <c r="D137" s="1668">
        <v>125.19260702893152</v>
      </c>
      <c r="E137" s="2839">
        <v>93.915402370100054</v>
      </c>
      <c r="F137" s="839">
        <v>69.075313127104096</v>
      </c>
      <c r="G137" s="2839">
        <v>155.5200845601037</v>
      </c>
      <c r="H137" s="839">
        <v>109.89003931118881</v>
      </c>
      <c r="I137" s="2839">
        <v>160.33071309624415</v>
      </c>
      <c r="J137" s="839">
        <v>89.828471191196115</v>
      </c>
      <c r="K137" s="2839">
        <v>177.50662299986064</v>
      </c>
      <c r="L137" s="839">
        <v>62.482314005864829</v>
      </c>
      <c r="M137" s="2029">
        <v>56.694688844341663</v>
      </c>
      <c r="N137" s="2030"/>
      <c r="O137" s="2840"/>
      <c r="P137" s="2840"/>
      <c r="Q137" s="2031"/>
    </row>
    <row r="138" spans="1:17">
      <c r="A138" s="63">
        <v>2003.09</v>
      </c>
      <c r="B138" s="1938">
        <v>114.88817371883549</v>
      </c>
      <c r="C138" s="839">
        <v>109.77507172733175</v>
      </c>
      <c r="D138" s="1668">
        <v>131.69582169084231</v>
      </c>
      <c r="E138" s="2839">
        <v>100.95029698104618</v>
      </c>
      <c r="F138" s="839">
        <v>72.002173592240581</v>
      </c>
      <c r="G138" s="2839">
        <v>151.22671225325749</v>
      </c>
      <c r="H138" s="839">
        <v>102.92634034587358</v>
      </c>
      <c r="I138" s="2839">
        <v>177.92151046440154</v>
      </c>
      <c r="J138" s="839">
        <v>100.19352973727896</v>
      </c>
      <c r="K138" s="2839">
        <v>170.91383621146372</v>
      </c>
      <c r="L138" s="839">
        <v>66.408495223840106</v>
      </c>
      <c r="M138" s="2029">
        <v>59.557171369362308</v>
      </c>
      <c r="N138" s="2030"/>
      <c r="O138" s="2840"/>
      <c r="P138" s="2840"/>
      <c r="Q138" s="2031"/>
    </row>
    <row r="139" spans="1:17">
      <c r="A139" s="63">
        <v>2003.1</v>
      </c>
      <c r="B139" s="1938">
        <v>119.11606837961838</v>
      </c>
      <c r="C139" s="839">
        <v>112.42732558084575</v>
      </c>
      <c r="D139" s="1668">
        <v>130.23899534231231</v>
      </c>
      <c r="E139" s="2839">
        <v>108.09887223760785</v>
      </c>
      <c r="F139" s="839">
        <v>72.354952182257009</v>
      </c>
      <c r="G139" s="2839">
        <v>141.97004935727801</v>
      </c>
      <c r="H139" s="839">
        <v>108.11757092592093</v>
      </c>
      <c r="I139" s="2839">
        <v>154.99794559961413</v>
      </c>
      <c r="J139" s="839">
        <v>112.00796625753813</v>
      </c>
      <c r="K139" s="2839">
        <v>184.11668306264815</v>
      </c>
      <c r="L139" s="839">
        <v>101.97254271498173</v>
      </c>
      <c r="M139" s="2029">
        <v>60.896563233526429</v>
      </c>
      <c r="N139" s="2030"/>
      <c r="O139" s="2840"/>
      <c r="P139" s="2840"/>
      <c r="Q139" s="2031"/>
    </row>
    <row r="140" spans="1:17">
      <c r="A140" s="63">
        <v>2003.11</v>
      </c>
      <c r="B140" s="1938">
        <v>116.03320582857904</v>
      </c>
      <c r="C140" s="839">
        <v>115.41724687009516</v>
      </c>
      <c r="D140" s="1668">
        <v>115.1024524854206</v>
      </c>
      <c r="E140" s="2839">
        <v>106.09820269922379</v>
      </c>
      <c r="F140" s="839">
        <v>70.060878632094571</v>
      </c>
      <c r="G140" s="2839">
        <v>151.01833607559206</v>
      </c>
      <c r="H140" s="839">
        <v>109.54920079894495</v>
      </c>
      <c r="I140" s="2839">
        <v>169.68343058318365</v>
      </c>
      <c r="J140" s="839">
        <v>106.25425891007347</v>
      </c>
      <c r="K140" s="2839">
        <v>172.24661016630427</v>
      </c>
      <c r="L140" s="839">
        <v>90.861241768302762</v>
      </c>
      <c r="M140" s="2029">
        <v>70.793296647794477</v>
      </c>
      <c r="N140" s="2030"/>
      <c r="O140" s="2840"/>
      <c r="P140" s="2840"/>
      <c r="Q140" s="2031"/>
    </row>
    <row r="141" spans="1:17">
      <c r="A141" s="63">
        <v>2003.12</v>
      </c>
      <c r="B141" s="1938">
        <v>114.20774216894509</v>
      </c>
      <c r="C141" s="839">
        <v>115.13228191414728</v>
      </c>
      <c r="D141" s="1668">
        <v>129.09404961741251</v>
      </c>
      <c r="E141" s="2839">
        <v>124.34799563437528</v>
      </c>
      <c r="F141" s="839">
        <v>60.466123254680646</v>
      </c>
      <c r="G141" s="2839">
        <v>147.21948105407989</v>
      </c>
      <c r="H141" s="839">
        <v>107.94149429357829</v>
      </c>
      <c r="I141" s="2839">
        <v>163.89607683252706</v>
      </c>
      <c r="J141" s="839">
        <v>97.816334891266393</v>
      </c>
      <c r="K141" s="2839">
        <v>170.77282950000944</v>
      </c>
      <c r="L141" s="839">
        <v>77.929281220477975</v>
      </c>
      <c r="M141" s="2029">
        <v>49.621170008852857</v>
      </c>
      <c r="N141" s="2030"/>
      <c r="O141" s="2840"/>
      <c r="P141" s="2840"/>
      <c r="Q141" s="2031"/>
    </row>
    <row r="142" spans="1:17">
      <c r="A142" s="63">
        <v>2004.01</v>
      </c>
      <c r="B142" s="1938">
        <v>111.33825965421393</v>
      </c>
      <c r="C142" s="839">
        <v>115.862563359348</v>
      </c>
      <c r="D142" s="1668">
        <v>116.71186409278145</v>
      </c>
      <c r="E142" s="2839">
        <v>100.83144471441811</v>
      </c>
      <c r="F142" s="839">
        <v>55.099855910445974</v>
      </c>
      <c r="G142" s="2839">
        <v>157.04835358898686</v>
      </c>
      <c r="H142" s="839">
        <v>113.83443929266805</v>
      </c>
      <c r="I142" s="2839">
        <v>173.61196959534294</v>
      </c>
      <c r="J142" s="839">
        <v>102.14037605606761</v>
      </c>
      <c r="K142" s="2839">
        <v>162.91891159991343</v>
      </c>
      <c r="L142" s="839">
        <v>76.48640005855475</v>
      </c>
      <c r="M142" s="2029">
        <v>41.677380412871841</v>
      </c>
      <c r="N142" s="2030"/>
      <c r="O142" s="2840"/>
      <c r="P142" s="2840"/>
      <c r="Q142" s="2031"/>
    </row>
    <row r="143" spans="1:17">
      <c r="A143" s="63">
        <v>2004.02</v>
      </c>
      <c r="B143" s="1938">
        <v>105.59772566924002</v>
      </c>
      <c r="C143" s="839">
        <v>116.48013844874743</v>
      </c>
      <c r="D143" s="1668">
        <v>106.16843577235726</v>
      </c>
      <c r="E143" s="2839">
        <v>97.161214631681133</v>
      </c>
      <c r="F143" s="839">
        <v>72.967178949140973</v>
      </c>
      <c r="G143" s="2839">
        <v>153.44593504540728</v>
      </c>
      <c r="H143" s="839">
        <v>98.830312456280637</v>
      </c>
      <c r="I143" s="2839">
        <v>146.54136692875286</v>
      </c>
      <c r="J143" s="839">
        <v>100.86653712845596</v>
      </c>
      <c r="K143" s="2839">
        <v>168.21865148836537</v>
      </c>
      <c r="L143" s="839">
        <v>84.482764659058489</v>
      </c>
      <c r="M143" s="2029">
        <v>55.011666956176938</v>
      </c>
      <c r="N143" s="2030"/>
      <c r="O143" s="2840"/>
      <c r="P143" s="2840"/>
      <c r="Q143" s="2031"/>
    </row>
    <row r="144" spans="1:17">
      <c r="A144" s="63">
        <v>2004.03</v>
      </c>
      <c r="B144" s="1938">
        <v>120.18878574457055</v>
      </c>
      <c r="C144" s="839">
        <v>116.67481124361198</v>
      </c>
      <c r="D144" s="1668">
        <v>117.76437646823604</v>
      </c>
      <c r="E144" s="2839">
        <v>107.91949559316541</v>
      </c>
      <c r="F144" s="839">
        <v>87.986720312536292</v>
      </c>
      <c r="G144" s="2839">
        <v>164.4913371136771</v>
      </c>
      <c r="H144" s="839">
        <v>113.07729767573551</v>
      </c>
      <c r="I144" s="2839">
        <v>157.76013870663414</v>
      </c>
      <c r="J144" s="839">
        <v>119.43105618754436</v>
      </c>
      <c r="K144" s="2839">
        <v>174.40496076095312</v>
      </c>
      <c r="L144" s="839">
        <v>98.601792508006753</v>
      </c>
      <c r="M144" s="2029">
        <v>83.382422023923397</v>
      </c>
      <c r="N144" s="2030"/>
      <c r="O144" s="2840"/>
      <c r="P144" s="2840"/>
      <c r="Q144" s="2031"/>
    </row>
    <row r="145" spans="1:17">
      <c r="A145" s="63">
        <v>2004.04</v>
      </c>
      <c r="B145" s="1938">
        <v>114.25364967687896</v>
      </c>
      <c r="C145" s="839">
        <v>115.55440345670921</v>
      </c>
      <c r="D145" s="1668">
        <v>104.41236503979229</v>
      </c>
      <c r="E145" s="2839">
        <v>90.150829382832342</v>
      </c>
      <c r="F145" s="839">
        <v>88.996083283232636</v>
      </c>
      <c r="G145" s="2839">
        <v>156.78711983253871</v>
      </c>
      <c r="H145" s="839">
        <v>102.6680504291221</v>
      </c>
      <c r="I145" s="2839">
        <v>164.38760498681796</v>
      </c>
      <c r="J145" s="839">
        <v>89.292431149435856</v>
      </c>
      <c r="K145" s="2839">
        <v>168.54379746826623</v>
      </c>
      <c r="L145" s="839">
        <v>107.65214271436277</v>
      </c>
      <c r="M145" s="2029">
        <v>76.446217208162523</v>
      </c>
      <c r="N145" s="2030"/>
      <c r="O145" s="2840"/>
      <c r="P145" s="2840"/>
      <c r="Q145" s="2031"/>
    </row>
    <row r="146" spans="1:17">
      <c r="A146" s="63">
        <v>2004.05</v>
      </c>
      <c r="B146" s="1938">
        <v>118.00932710289152</v>
      </c>
      <c r="C146" s="839">
        <v>119.10692995775933</v>
      </c>
      <c r="D146" s="1668">
        <v>108.64448080922676</v>
      </c>
      <c r="E146" s="2839">
        <v>87.690079926594493</v>
      </c>
      <c r="F146" s="839">
        <v>91.082390746632257</v>
      </c>
      <c r="G146" s="2839">
        <v>156.58222167497516</v>
      </c>
      <c r="H146" s="839">
        <v>108.46781149226219</v>
      </c>
      <c r="I146" s="2839">
        <v>173.5929830611089</v>
      </c>
      <c r="J146" s="839">
        <v>107.13680602913441</v>
      </c>
      <c r="K146" s="2839">
        <v>176.02712670335004</v>
      </c>
      <c r="L146" s="839">
        <v>104.01236961218294</v>
      </c>
      <c r="M146" s="2029">
        <v>80.842780133267809</v>
      </c>
      <c r="N146" s="2030"/>
      <c r="O146" s="2840"/>
      <c r="P146" s="2840"/>
      <c r="Q146" s="2031"/>
    </row>
    <row r="147" spans="1:17">
      <c r="A147" s="63">
        <v>2004.06</v>
      </c>
      <c r="B147" s="1938">
        <v>122.26031768833275</v>
      </c>
      <c r="C147" s="839">
        <v>120.42339995309324</v>
      </c>
      <c r="D147" s="1668">
        <v>124.74520597645483</v>
      </c>
      <c r="E147" s="2839">
        <v>97.786186706398155</v>
      </c>
      <c r="F147" s="839">
        <v>84.304281734836565</v>
      </c>
      <c r="G147" s="2839">
        <v>159.80410362784238</v>
      </c>
      <c r="H147" s="839">
        <v>108.30888315069957</v>
      </c>
      <c r="I147" s="2839">
        <v>162.43833961203566</v>
      </c>
      <c r="J147" s="839">
        <v>106.68304527191708</v>
      </c>
      <c r="K147" s="2839">
        <v>168.79819179327802</v>
      </c>
      <c r="L147" s="839">
        <v>106.59075042055221</v>
      </c>
      <c r="M147" s="2029">
        <v>85.525225376903478</v>
      </c>
      <c r="N147" s="2030"/>
      <c r="O147" s="2840"/>
      <c r="P147" s="2840"/>
      <c r="Q147" s="2031"/>
    </row>
    <row r="148" spans="1:17">
      <c r="A148" s="63">
        <v>2004.07</v>
      </c>
      <c r="B148" s="1938">
        <v>120.05159675128318</v>
      </c>
      <c r="C148" s="839">
        <v>120.734799979756</v>
      </c>
      <c r="D148" s="1668">
        <v>131.14111057420973</v>
      </c>
      <c r="E148" s="2839">
        <v>82.411081451539886</v>
      </c>
      <c r="F148" s="839">
        <v>83.025310534460559</v>
      </c>
      <c r="G148" s="2839">
        <v>164.717575134264</v>
      </c>
      <c r="H148" s="839">
        <v>115.13525046157673</v>
      </c>
      <c r="I148" s="2839">
        <v>159.38559603174508</v>
      </c>
      <c r="J148" s="839">
        <v>108.18919601875245</v>
      </c>
      <c r="K148" s="2839">
        <v>177.06678136542723</v>
      </c>
      <c r="L148" s="839">
        <v>94.025359132576526</v>
      </c>
      <c r="M148" s="2029">
        <v>80.414247607881151</v>
      </c>
      <c r="N148" s="2030"/>
      <c r="O148" s="2840"/>
      <c r="P148" s="2840"/>
      <c r="Q148" s="2031"/>
    </row>
    <row r="149" spans="1:17">
      <c r="A149" s="63">
        <v>2004.08</v>
      </c>
      <c r="B149" s="1938">
        <v>126.75354589682587</v>
      </c>
      <c r="C149" s="839">
        <v>122.54777885461766</v>
      </c>
      <c r="D149" s="1668">
        <v>137.06359283358</v>
      </c>
      <c r="E149" s="2839">
        <v>91.38574115641957</v>
      </c>
      <c r="F149" s="839">
        <v>79.593854256571888</v>
      </c>
      <c r="G149" s="2839">
        <v>164.26454882900794</v>
      </c>
      <c r="H149" s="839">
        <v>111.95798377845637</v>
      </c>
      <c r="I149" s="2839">
        <v>182.90280569993996</v>
      </c>
      <c r="J149" s="839">
        <v>114.41135827557872</v>
      </c>
      <c r="K149" s="2839">
        <v>168.33062769845483</v>
      </c>
      <c r="L149" s="839">
        <v>103.54147659761971</v>
      </c>
      <c r="M149" s="2029">
        <v>88.340334928969767</v>
      </c>
      <c r="N149" s="2030"/>
      <c r="O149" s="2840"/>
      <c r="P149" s="2840"/>
      <c r="Q149" s="2031"/>
    </row>
    <row r="150" spans="1:17">
      <c r="A150" s="63">
        <v>2004.09</v>
      </c>
      <c r="B150" s="1938">
        <v>127.98013237368458</v>
      </c>
      <c r="C150" s="839">
        <v>121.58339679555996</v>
      </c>
      <c r="D150" s="1668">
        <v>140.17526582731412</v>
      </c>
      <c r="E150" s="2839">
        <v>96.122375903898671</v>
      </c>
      <c r="F150" s="839">
        <v>81.003598990805088</v>
      </c>
      <c r="G150" s="2839">
        <v>159.3496042162389</v>
      </c>
      <c r="H150" s="839">
        <v>112.99155420372394</v>
      </c>
      <c r="I150" s="2839">
        <v>173.43089817632216</v>
      </c>
      <c r="J150" s="839">
        <v>127.1218093589803</v>
      </c>
      <c r="K150" s="2839">
        <v>169.90351540335456</v>
      </c>
      <c r="L150" s="839">
        <v>101.84178385488357</v>
      </c>
      <c r="M150" s="2029">
        <v>94.137868737509223</v>
      </c>
      <c r="N150" s="2030"/>
      <c r="O150" s="2840"/>
      <c r="P150" s="2840"/>
      <c r="Q150" s="2031"/>
    </row>
    <row r="151" spans="1:17">
      <c r="A151" s="63">
        <v>2004.1</v>
      </c>
      <c r="B151" s="1938">
        <v>128.19514365914472</v>
      </c>
      <c r="C151" s="839">
        <v>123.60761915739533</v>
      </c>
      <c r="D151" s="1668">
        <v>134.83822777270979</v>
      </c>
      <c r="E151" s="2839">
        <v>96.222953505438596</v>
      </c>
      <c r="F151" s="839">
        <v>77.18536257484898</v>
      </c>
      <c r="G151" s="2839">
        <v>160.27451971890926</v>
      </c>
      <c r="H151" s="839">
        <v>117.46606663694379</v>
      </c>
      <c r="I151" s="2839">
        <v>180.78679577687055</v>
      </c>
      <c r="J151" s="839">
        <v>115.96529404636172</v>
      </c>
      <c r="K151" s="2839">
        <v>192.80609555738025</v>
      </c>
      <c r="L151" s="839">
        <v>103.70138629132039</v>
      </c>
      <c r="M151" s="2029">
        <v>93.906686356085032</v>
      </c>
      <c r="N151" s="2030"/>
      <c r="O151" s="2840"/>
      <c r="P151" s="2840"/>
      <c r="Q151" s="2031"/>
    </row>
    <row r="152" spans="1:17">
      <c r="A152" s="63">
        <v>2004.11</v>
      </c>
      <c r="B152" s="1938">
        <v>124.55956177908948</v>
      </c>
      <c r="C152" s="839">
        <v>121.07794835106202</v>
      </c>
      <c r="D152" s="1668">
        <v>124.98913925364715</v>
      </c>
      <c r="E152" s="2839">
        <v>102.57966054270244</v>
      </c>
      <c r="F152" s="839">
        <v>75.247319272411374</v>
      </c>
      <c r="G152" s="2839">
        <v>164.03208146790777</v>
      </c>
      <c r="H152" s="839">
        <v>100.46683824031113</v>
      </c>
      <c r="I152" s="2839">
        <v>180.2433698035654</v>
      </c>
      <c r="J152" s="839">
        <v>124.18396939457074</v>
      </c>
      <c r="K152" s="2839">
        <v>188.59568745981477</v>
      </c>
      <c r="L152" s="839">
        <v>95.269479373618566</v>
      </c>
      <c r="M152" s="2029">
        <v>106.81412718207449</v>
      </c>
      <c r="N152" s="2030"/>
      <c r="O152" s="2840"/>
      <c r="P152" s="2840"/>
      <c r="Q152" s="2031"/>
    </row>
    <row r="153" spans="1:17">
      <c r="A153" s="63">
        <v>2004.12</v>
      </c>
      <c r="B153" s="1938">
        <v>124.43344309464378</v>
      </c>
      <c r="C153" s="839">
        <v>124.32333487340695</v>
      </c>
      <c r="D153" s="1668">
        <v>135.31564118685139</v>
      </c>
      <c r="E153" s="2839">
        <v>115.99654032416002</v>
      </c>
      <c r="F153" s="839">
        <v>66.920321319202102</v>
      </c>
      <c r="G153" s="2839">
        <v>152.67821020582264</v>
      </c>
      <c r="H153" s="839">
        <v>114.71383297892417</v>
      </c>
      <c r="I153" s="2839">
        <v>177.13839553468844</v>
      </c>
      <c r="J153" s="839">
        <v>115.77950510301484</v>
      </c>
      <c r="K153" s="2839">
        <v>185.30809431284121</v>
      </c>
      <c r="L153" s="839">
        <v>85.005288469401066</v>
      </c>
      <c r="M153" s="2029">
        <v>83.773005062619816</v>
      </c>
      <c r="N153" s="2030"/>
      <c r="O153" s="2840"/>
      <c r="P153" s="2840"/>
      <c r="Q153" s="2031"/>
    </row>
    <row r="154" spans="1:17">
      <c r="A154" s="63">
        <v>2005.01</v>
      </c>
      <c r="B154" s="1938">
        <v>112.93065706355846</v>
      </c>
      <c r="C154" s="839">
        <v>127.82636246095088</v>
      </c>
      <c r="D154" s="1668">
        <v>121.03167875387024</v>
      </c>
      <c r="E154" s="2839">
        <v>90.993877646821943</v>
      </c>
      <c r="F154" s="839">
        <v>56.716445729411632</v>
      </c>
      <c r="G154" s="2839">
        <v>161.41630154638381</v>
      </c>
      <c r="H154" s="839">
        <v>107.50598506666871</v>
      </c>
      <c r="I154" s="2839">
        <v>175.02742165835224</v>
      </c>
      <c r="J154" s="839">
        <v>120.81871633837747</v>
      </c>
      <c r="K154" s="2839">
        <v>173.3940760905864</v>
      </c>
      <c r="L154" s="839">
        <v>62.079498856979583</v>
      </c>
      <c r="M154" s="2029">
        <v>73.323431231725337</v>
      </c>
      <c r="N154" s="2030"/>
      <c r="O154" s="2840"/>
      <c r="P154" s="2840"/>
      <c r="Q154" s="2031"/>
    </row>
    <row r="155" spans="1:17">
      <c r="A155" s="63">
        <v>2005.02</v>
      </c>
      <c r="B155" s="1938">
        <v>112.57051787873409</v>
      </c>
      <c r="C155" s="839">
        <v>127.44745931128446</v>
      </c>
      <c r="D155" s="1668">
        <v>114.08962943386956</v>
      </c>
      <c r="E155" s="2839">
        <v>91.125603436764891</v>
      </c>
      <c r="F155" s="839">
        <v>76.286043352377561</v>
      </c>
      <c r="G155" s="2839">
        <v>155.64568211573933</v>
      </c>
      <c r="H155" s="839">
        <v>105.34033650206014</v>
      </c>
      <c r="I155" s="2839">
        <v>162.23203684596393</v>
      </c>
      <c r="J155" s="839">
        <v>108.54579690096624</v>
      </c>
      <c r="K155" s="2839">
        <v>170.37128657486173</v>
      </c>
      <c r="L155" s="839">
        <v>91.56280832910636</v>
      </c>
      <c r="M155" s="2029">
        <v>51.776271956461812</v>
      </c>
      <c r="N155" s="2030"/>
      <c r="O155" s="2840"/>
      <c r="P155" s="2840"/>
      <c r="Q155" s="2031"/>
    </row>
    <row r="156" spans="1:17">
      <c r="A156" s="63">
        <v>2005.03</v>
      </c>
      <c r="B156" s="1938">
        <v>132.44175503909665</v>
      </c>
      <c r="C156" s="839">
        <v>128.68382432599699</v>
      </c>
      <c r="D156" s="1668">
        <v>123.57863496341781</v>
      </c>
      <c r="E156" s="2839">
        <v>103.64147232426429</v>
      </c>
      <c r="F156" s="839">
        <v>94.3034821678132</v>
      </c>
      <c r="G156" s="2839">
        <v>161.86853014052934</v>
      </c>
      <c r="H156" s="839">
        <v>114.84747222801516</v>
      </c>
      <c r="I156" s="2839">
        <v>179.76214874596153</v>
      </c>
      <c r="J156" s="839">
        <v>114.94089184175122</v>
      </c>
      <c r="K156" s="2839">
        <v>188.56354585451686</v>
      </c>
      <c r="L156" s="839">
        <v>129.66012400098327</v>
      </c>
      <c r="M156" s="2029">
        <v>103.07072577811894</v>
      </c>
      <c r="N156" s="2030"/>
      <c r="O156" s="2840"/>
      <c r="P156" s="2840"/>
      <c r="Q156" s="2031"/>
    </row>
    <row r="157" spans="1:17">
      <c r="A157" s="63">
        <v>2005.04</v>
      </c>
      <c r="B157" s="1938">
        <v>129.39076976960382</v>
      </c>
      <c r="C157" s="839">
        <v>127.9077920273579</v>
      </c>
      <c r="D157" s="1668">
        <v>114.86819510219357</v>
      </c>
      <c r="E157" s="2839">
        <v>91.931254624542532</v>
      </c>
      <c r="F157" s="839">
        <v>91.804530492943513</v>
      </c>
      <c r="G157" s="2839">
        <v>159.84076861262571</v>
      </c>
      <c r="H157" s="839">
        <v>101.9868498328639</v>
      </c>
      <c r="I157" s="2839">
        <v>176.64299338166308</v>
      </c>
      <c r="J157" s="839">
        <v>129.81251909017297</v>
      </c>
      <c r="K157" s="2839">
        <v>185.38109343435997</v>
      </c>
      <c r="L157" s="839">
        <v>142.20556122180278</v>
      </c>
      <c r="M157" s="2029">
        <v>101.36794140347578</v>
      </c>
      <c r="N157" s="2030"/>
      <c r="O157" s="2840"/>
      <c r="P157" s="2840"/>
      <c r="Q157" s="2031"/>
    </row>
    <row r="158" spans="1:17">
      <c r="A158" s="63">
        <v>2005.05</v>
      </c>
      <c r="B158" s="1938">
        <v>128.30712862885323</v>
      </c>
      <c r="C158" s="839">
        <v>128.22179903633983</v>
      </c>
      <c r="D158" s="1668">
        <v>118.86563527999347</v>
      </c>
      <c r="E158" s="2839">
        <v>90.237799858410781</v>
      </c>
      <c r="F158" s="839">
        <v>94.907080496333705</v>
      </c>
      <c r="G158" s="2839">
        <v>170.43775702197541</v>
      </c>
      <c r="H158" s="839">
        <v>103.66445903592687</v>
      </c>
      <c r="I158" s="2839">
        <v>171.2106217814916</v>
      </c>
      <c r="J158" s="839">
        <v>124.7255320380041</v>
      </c>
      <c r="K158" s="2839">
        <v>193.17295300547414</v>
      </c>
      <c r="L158" s="839">
        <v>129.84377881150129</v>
      </c>
      <c r="M158" s="2029">
        <v>98.634176317418579</v>
      </c>
      <c r="N158" s="2030"/>
      <c r="O158" s="2840"/>
      <c r="P158" s="2840"/>
      <c r="Q158" s="2031"/>
    </row>
    <row r="159" spans="1:17">
      <c r="A159" s="63">
        <v>2005.06</v>
      </c>
      <c r="B159" s="1938">
        <v>126.56000451354804</v>
      </c>
      <c r="C159" s="839">
        <v>128.24172210265505</v>
      </c>
      <c r="D159" s="1668">
        <v>128.9504358987711</v>
      </c>
      <c r="E159" s="2839">
        <v>91.003765549273155</v>
      </c>
      <c r="F159" s="839">
        <v>90.668309507796579</v>
      </c>
      <c r="G159" s="2839">
        <v>157.95630443877411</v>
      </c>
      <c r="H159" s="839">
        <v>103.72548866030161</v>
      </c>
      <c r="I159" s="2839">
        <v>167.21243749191567</v>
      </c>
      <c r="J159" s="839">
        <v>108.44578028519275</v>
      </c>
      <c r="K159" s="2839">
        <v>178.48813562267281</v>
      </c>
      <c r="L159" s="839">
        <v>123.31359463961977</v>
      </c>
      <c r="M159" s="2029">
        <v>98.44988808049979</v>
      </c>
      <c r="N159" s="2030"/>
      <c r="O159" s="2840"/>
      <c r="P159" s="2840"/>
      <c r="Q159" s="2031"/>
    </row>
    <row r="160" spans="1:17">
      <c r="A160" s="63">
        <v>2005.07</v>
      </c>
      <c r="B160" s="1938">
        <v>131.07875348957694</v>
      </c>
      <c r="C160" s="839">
        <v>128.59400976806839</v>
      </c>
      <c r="D160" s="1668">
        <v>141.09891888817401</v>
      </c>
      <c r="E160" s="2839">
        <v>88.965792717353551</v>
      </c>
      <c r="F160" s="839">
        <v>87.310517867686428</v>
      </c>
      <c r="G160" s="2839">
        <v>162.03431762523314</v>
      </c>
      <c r="H160" s="839">
        <v>104.35403333105894</v>
      </c>
      <c r="I160" s="2839">
        <v>171.36314194463327</v>
      </c>
      <c r="J160" s="839">
        <v>137.54818883902743</v>
      </c>
      <c r="K160" s="2839">
        <v>181.55554606774743</v>
      </c>
      <c r="L160" s="839">
        <v>120.74399774765325</v>
      </c>
      <c r="M160" s="2029">
        <v>104.77393332561547</v>
      </c>
      <c r="N160" s="2030"/>
      <c r="O160" s="2840"/>
      <c r="P160" s="2840"/>
      <c r="Q160" s="2031"/>
    </row>
    <row r="161" spans="1:17">
      <c r="A161" s="63">
        <v>2005.08</v>
      </c>
      <c r="B161" s="1938">
        <v>138.1130452954485</v>
      </c>
      <c r="C161" s="839">
        <v>130.7486867039124</v>
      </c>
      <c r="D161" s="1668">
        <v>151.07083815361364</v>
      </c>
      <c r="E161" s="2839">
        <v>95.366112401108509</v>
      </c>
      <c r="F161" s="839">
        <v>82.48381169881759</v>
      </c>
      <c r="G161" s="2839">
        <v>160.15073500002555</v>
      </c>
      <c r="H161" s="839">
        <v>113.82771110959177</v>
      </c>
      <c r="I161" s="2839">
        <v>171.9489778136294</v>
      </c>
      <c r="J161" s="839">
        <v>134.19447489080673</v>
      </c>
      <c r="K161" s="2839">
        <v>185.66514771294518</v>
      </c>
      <c r="L161" s="839">
        <v>130.19732730143039</v>
      </c>
      <c r="M161" s="2029">
        <v>114.1177156468399</v>
      </c>
      <c r="N161" s="2030"/>
      <c r="O161" s="2840"/>
      <c r="P161" s="2840"/>
      <c r="Q161" s="2031"/>
    </row>
    <row r="162" spans="1:17">
      <c r="A162" s="63">
        <v>2005.09</v>
      </c>
      <c r="B162" s="1938">
        <v>137.38422105162584</v>
      </c>
      <c r="C162" s="839">
        <v>129.56195046405733</v>
      </c>
      <c r="D162" s="1668">
        <v>152.57212680479671</v>
      </c>
      <c r="E162" s="2839">
        <v>95.674857928757135</v>
      </c>
      <c r="F162" s="839">
        <v>83.76102207700491</v>
      </c>
      <c r="G162" s="2839">
        <v>156.02601818360637</v>
      </c>
      <c r="H162" s="839">
        <v>113.52010231517808</v>
      </c>
      <c r="I162" s="2839">
        <v>178.9989068388096</v>
      </c>
      <c r="J162" s="839">
        <v>140.24711053540068</v>
      </c>
      <c r="K162" s="2839">
        <v>165.13384887729885</v>
      </c>
      <c r="L162" s="839">
        <v>123.15389033524336</v>
      </c>
      <c r="M162" s="2029">
        <v>112.95861088236408</v>
      </c>
      <c r="N162" s="2030"/>
      <c r="O162" s="2840"/>
      <c r="P162" s="2840"/>
      <c r="Q162" s="2031"/>
    </row>
    <row r="163" spans="1:17">
      <c r="A163" s="63">
        <v>2005.1</v>
      </c>
      <c r="B163" s="1938">
        <v>136.89793831664974</v>
      </c>
      <c r="C163" s="839">
        <v>131.59672835947154</v>
      </c>
      <c r="D163" s="1668">
        <v>150.23896889535865</v>
      </c>
      <c r="E163" s="2839">
        <v>95.386811841975572</v>
      </c>
      <c r="F163" s="839">
        <v>79.150739323991033</v>
      </c>
      <c r="G163" s="2839">
        <v>148.61570264230394</v>
      </c>
      <c r="H163" s="839">
        <v>113.46718247721674</v>
      </c>
      <c r="I163" s="2839">
        <v>189.46833284188131</v>
      </c>
      <c r="J163" s="839">
        <v>146.77244914357561</v>
      </c>
      <c r="K163" s="2839">
        <v>183.08761745043552</v>
      </c>
      <c r="L163" s="839">
        <v>113.64917845611387</v>
      </c>
      <c r="M163" s="2029">
        <v>115.30732957678799</v>
      </c>
      <c r="N163" s="2030"/>
      <c r="O163" s="2840"/>
      <c r="P163" s="2840"/>
      <c r="Q163" s="2031"/>
    </row>
    <row r="164" spans="1:17">
      <c r="A164" s="63">
        <v>2005.11</v>
      </c>
      <c r="B164" s="1938">
        <v>137.43534564058771</v>
      </c>
      <c r="C164" s="839">
        <v>134.01123265492527</v>
      </c>
      <c r="D164" s="1668">
        <v>135.92811876459172</v>
      </c>
      <c r="E164" s="2839">
        <v>100.38434752733798</v>
      </c>
      <c r="F164" s="839">
        <v>78.921487926073851</v>
      </c>
      <c r="G164" s="2839">
        <v>147.23508052538617</v>
      </c>
      <c r="H164" s="839">
        <v>111.1275794885111</v>
      </c>
      <c r="I164" s="2839">
        <v>190.58306025838624</v>
      </c>
      <c r="J164" s="839">
        <v>142.10561207359206</v>
      </c>
      <c r="K164" s="2839">
        <v>187.70339550722471</v>
      </c>
      <c r="L164" s="839">
        <v>119.60099375859731</v>
      </c>
      <c r="M164" s="2029">
        <v>133.6565580092533</v>
      </c>
      <c r="N164" s="2030"/>
      <c r="O164" s="2840"/>
      <c r="P164" s="2840"/>
      <c r="Q164" s="2031"/>
    </row>
    <row r="165" spans="1:17">
      <c r="A165" s="63">
        <v>2005.12</v>
      </c>
      <c r="B165" s="1938">
        <v>131.57617843820086</v>
      </c>
      <c r="C165" s="839">
        <v>132.80058824346045</v>
      </c>
      <c r="D165" s="1668">
        <v>143.48133432069591</v>
      </c>
      <c r="E165" s="2839">
        <v>113.94359249658379</v>
      </c>
      <c r="F165" s="839">
        <v>66.919726171474736</v>
      </c>
      <c r="G165" s="2839">
        <v>151.61027169864656</v>
      </c>
      <c r="H165" s="839">
        <v>116.5137290119537</v>
      </c>
      <c r="I165" s="2839">
        <v>172.08604009373764</v>
      </c>
      <c r="J165" s="839">
        <v>153.51195984167765</v>
      </c>
      <c r="K165" s="2839">
        <v>187.56844424421206</v>
      </c>
      <c r="L165" s="839">
        <v>106.16680769106644</v>
      </c>
      <c r="M165" s="2029">
        <v>87.094688410011315</v>
      </c>
      <c r="N165" s="2030"/>
      <c r="O165" s="2840"/>
      <c r="P165" s="2840"/>
      <c r="Q165" s="2031"/>
    </row>
    <row r="166" spans="1:17">
      <c r="A166" s="63">
        <v>2006.01</v>
      </c>
      <c r="B166" s="1938">
        <v>118.2371278929694</v>
      </c>
      <c r="C166" s="839">
        <v>133.31369335776924</v>
      </c>
      <c r="D166" s="1668">
        <v>126.53913758773169</v>
      </c>
      <c r="E166" s="2839">
        <v>100.64639668601636</v>
      </c>
      <c r="F166" s="839">
        <v>67.45918307276996</v>
      </c>
      <c r="G166" s="2839">
        <v>156.97883980493688</v>
      </c>
      <c r="H166" s="839">
        <v>115.25076805490357</v>
      </c>
      <c r="I166" s="2839">
        <v>179.41959495828073</v>
      </c>
      <c r="J166" s="839">
        <v>139.14836167144475</v>
      </c>
      <c r="K166" s="2839">
        <v>171.9481700132888</v>
      </c>
      <c r="L166" s="839">
        <v>75.881565941008574</v>
      </c>
      <c r="M166" s="2029">
        <v>44.274455489408851</v>
      </c>
      <c r="N166" s="2030"/>
      <c r="O166" s="2840"/>
      <c r="P166" s="2840"/>
      <c r="Q166" s="2031"/>
    </row>
    <row r="167" spans="1:17">
      <c r="A167" s="63">
        <v>2006.02</v>
      </c>
      <c r="B167" s="1938">
        <v>122.50472845695786</v>
      </c>
      <c r="C167" s="839">
        <v>136.11948046638383</v>
      </c>
      <c r="D167" s="1668">
        <v>119.11618768744989</v>
      </c>
      <c r="E167" s="2839">
        <v>97.611609637218876</v>
      </c>
      <c r="F167" s="839">
        <v>88.262556920161288</v>
      </c>
      <c r="G167" s="2839">
        <v>151.38171030585687</v>
      </c>
      <c r="H167" s="839">
        <v>107.18803148647144</v>
      </c>
      <c r="I167" s="2839">
        <v>158.30530203227588</v>
      </c>
      <c r="J167" s="839">
        <v>131.87204093130677</v>
      </c>
      <c r="K167" s="2839">
        <v>175.29658546807858</v>
      </c>
      <c r="L167" s="839">
        <v>103.56861629826378</v>
      </c>
      <c r="M167" s="2029">
        <v>110.07801015964294</v>
      </c>
      <c r="N167" s="2030"/>
      <c r="O167" s="2840"/>
      <c r="P167" s="2840"/>
      <c r="Q167" s="2031"/>
    </row>
    <row r="168" spans="1:17">
      <c r="A168" s="63">
        <v>2006.03</v>
      </c>
      <c r="B168" s="1938">
        <v>138.94082685937414</v>
      </c>
      <c r="C168" s="839">
        <v>134.4619067126502</v>
      </c>
      <c r="D168" s="1668">
        <v>133.20041960584965</v>
      </c>
      <c r="E168" s="2839">
        <v>110.18840271289014</v>
      </c>
      <c r="F168" s="839">
        <v>102.50838736065712</v>
      </c>
      <c r="G168" s="2839">
        <v>161.20638969679365</v>
      </c>
      <c r="H168" s="839">
        <v>116.30394523116566</v>
      </c>
      <c r="I168" s="2839">
        <v>183.27873080068383</v>
      </c>
      <c r="J168" s="839">
        <v>133.3878544029773</v>
      </c>
      <c r="K168" s="2839">
        <v>200.35151516756363</v>
      </c>
      <c r="L168" s="839">
        <v>122.98189067768533</v>
      </c>
      <c r="M168" s="2029">
        <v>133.87843029162801</v>
      </c>
      <c r="N168" s="2030"/>
      <c r="O168" s="2840"/>
      <c r="P168" s="2840"/>
      <c r="Q168" s="2031"/>
    </row>
    <row r="169" spans="1:17">
      <c r="A169" s="63">
        <v>2006.04</v>
      </c>
      <c r="B169" s="1938">
        <v>133.18857190815967</v>
      </c>
      <c r="C169" s="839">
        <v>137.60693971369383</v>
      </c>
      <c r="D169" s="1668">
        <v>121.40206294318898</v>
      </c>
      <c r="E169" s="2839">
        <v>95.93700457205972</v>
      </c>
      <c r="F169" s="839">
        <v>101.88736956532402</v>
      </c>
      <c r="G169" s="2839">
        <v>158.62828863540318</v>
      </c>
      <c r="H169" s="839">
        <v>113.46821856038606</v>
      </c>
      <c r="I169" s="2839">
        <v>177.71328903209962</v>
      </c>
      <c r="J169" s="839">
        <v>143.78428801668875</v>
      </c>
      <c r="K169" s="2839">
        <v>191.59029862909372</v>
      </c>
      <c r="L169" s="839">
        <v>125.01508337313727</v>
      </c>
      <c r="M169" s="2029">
        <v>124.54851222136018</v>
      </c>
      <c r="N169" s="2030"/>
      <c r="O169" s="2840"/>
      <c r="P169" s="2840"/>
      <c r="Q169" s="2031"/>
    </row>
    <row r="170" spans="1:17">
      <c r="A170" s="63">
        <v>2006.05</v>
      </c>
      <c r="B170" s="1938">
        <v>138.95982929823296</v>
      </c>
      <c r="C170" s="839">
        <v>136.54644825874055</v>
      </c>
      <c r="D170" s="1668">
        <v>133.86975385421474</v>
      </c>
      <c r="E170" s="2839">
        <v>99.884440821562976</v>
      </c>
      <c r="F170" s="839">
        <v>104.01789381392956</v>
      </c>
      <c r="G170" s="2839">
        <v>169.85350382411661</v>
      </c>
      <c r="H170" s="839">
        <v>116.33039562570862</v>
      </c>
      <c r="I170" s="2839">
        <v>182.32826057469725</v>
      </c>
      <c r="J170" s="839">
        <v>150.78589545049437</v>
      </c>
      <c r="K170" s="2839">
        <v>195.38282827345418</v>
      </c>
      <c r="L170" s="839">
        <v>133.33434496246093</v>
      </c>
      <c r="M170" s="2029">
        <v>119.36360043770307</v>
      </c>
      <c r="N170" s="2030"/>
      <c r="O170" s="2840"/>
      <c r="P170" s="2840"/>
      <c r="Q170" s="2031"/>
    </row>
    <row r="171" spans="1:17">
      <c r="A171" s="63">
        <v>2006.06</v>
      </c>
      <c r="B171" s="1938">
        <v>142.35273892685134</v>
      </c>
      <c r="C171" s="839">
        <v>139.7334833699573</v>
      </c>
      <c r="D171" s="1668">
        <v>146.56785587663398</v>
      </c>
      <c r="E171" s="2839">
        <v>104.59707213980447</v>
      </c>
      <c r="F171" s="839">
        <v>97.709692264339992</v>
      </c>
      <c r="G171" s="2839">
        <v>157.1011670588675</v>
      </c>
      <c r="H171" s="839">
        <v>115.42067821055066</v>
      </c>
      <c r="I171" s="2839">
        <v>184.07040527937662</v>
      </c>
      <c r="J171" s="839">
        <v>155.36821133145969</v>
      </c>
      <c r="K171" s="2839">
        <v>194.52394336387158</v>
      </c>
      <c r="L171" s="839">
        <v>128.96852297027328</v>
      </c>
      <c r="M171" s="2029">
        <v>132.64722892316601</v>
      </c>
      <c r="N171" s="2030"/>
      <c r="O171" s="2840"/>
      <c r="P171" s="2840"/>
      <c r="Q171" s="2031"/>
    </row>
    <row r="172" spans="1:17">
      <c r="A172" s="63">
        <v>2006.07</v>
      </c>
      <c r="B172" s="1938">
        <v>144.17367870510782</v>
      </c>
      <c r="C172" s="839">
        <v>142.09031124004139</v>
      </c>
      <c r="D172" s="1668">
        <v>152.568136110632</v>
      </c>
      <c r="E172" s="2839">
        <v>96.64632490936269</v>
      </c>
      <c r="F172" s="839">
        <v>94.602305272803818</v>
      </c>
      <c r="G172" s="2839">
        <v>176.56426158498277</v>
      </c>
      <c r="H172" s="839">
        <v>116.4175608797096</v>
      </c>
      <c r="I172" s="2839">
        <v>186.68150724890413</v>
      </c>
      <c r="J172" s="839">
        <v>142.82931000558224</v>
      </c>
      <c r="K172" s="2839">
        <v>194.29083494064122</v>
      </c>
      <c r="L172" s="839">
        <v>129.98318010555056</v>
      </c>
      <c r="M172" s="2029">
        <v>138.78101034664905</v>
      </c>
      <c r="N172" s="2030"/>
      <c r="O172" s="2840"/>
      <c r="P172" s="2840"/>
      <c r="Q172" s="2031"/>
    </row>
    <row r="173" spans="1:17">
      <c r="A173" s="63">
        <v>2006.08</v>
      </c>
      <c r="B173" s="1938">
        <v>150.92184609967137</v>
      </c>
      <c r="C173" s="839">
        <v>141.2962419089651</v>
      </c>
      <c r="D173" s="1668">
        <v>162.36738811256319</v>
      </c>
      <c r="E173" s="2839">
        <v>103.84552985438337</v>
      </c>
      <c r="F173" s="839">
        <v>94.149370651109663</v>
      </c>
      <c r="G173" s="2839">
        <v>172.166152332862</v>
      </c>
      <c r="H173" s="839">
        <v>122.97869700060913</v>
      </c>
      <c r="I173" s="2839">
        <v>188.65621474833787</v>
      </c>
      <c r="J173" s="839">
        <v>152.67934304266643</v>
      </c>
      <c r="K173" s="2839">
        <v>187.15472791423363</v>
      </c>
      <c r="L173" s="839">
        <v>136.35921221115592</v>
      </c>
      <c r="M173" s="2029">
        <v>151.51435182463081</v>
      </c>
      <c r="N173" s="2030"/>
      <c r="O173" s="2840"/>
      <c r="P173" s="2840"/>
      <c r="Q173" s="2031"/>
    </row>
    <row r="174" spans="1:17">
      <c r="A174" s="63">
        <v>2006.09</v>
      </c>
      <c r="B174" s="1938">
        <v>150.05466283244579</v>
      </c>
      <c r="C174" s="839">
        <v>142.65834806544811</v>
      </c>
      <c r="D174" s="1668">
        <v>165.75076149351571</v>
      </c>
      <c r="E174" s="2839">
        <v>98.145350294492516</v>
      </c>
      <c r="F174" s="839">
        <v>94.385527557525563</v>
      </c>
      <c r="G174" s="2839">
        <v>171.69043255882792</v>
      </c>
      <c r="H174" s="839">
        <v>105.12026385823042</v>
      </c>
      <c r="I174" s="2839">
        <v>192.40571409997693</v>
      </c>
      <c r="J174" s="839">
        <v>162.5762958834257</v>
      </c>
      <c r="K174" s="2839">
        <v>191.70899865697618</v>
      </c>
      <c r="L174" s="839">
        <v>134.46134267632655</v>
      </c>
      <c r="M174" s="2029">
        <v>159.87954620828521</v>
      </c>
      <c r="N174" s="2030"/>
      <c r="O174" s="2840"/>
      <c r="P174" s="2840"/>
      <c r="Q174" s="2031"/>
    </row>
    <row r="175" spans="1:17">
      <c r="A175" s="63">
        <v>2006.1</v>
      </c>
      <c r="B175" s="1938">
        <v>149.19233002380216</v>
      </c>
      <c r="C175" s="839">
        <v>141.07589218372181</v>
      </c>
      <c r="D175" s="1668">
        <v>158.37589812432171</v>
      </c>
      <c r="E175" s="2839">
        <v>101.97102763138946</v>
      </c>
      <c r="F175" s="839">
        <v>90.542981269958759</v>
      </c>
      <c r="G175" s="2839">
        <v>158.91125454002398</v>
      </c>
      <c r="H175" s="839">
        <v>110.49151031595161</v>
      </c>
      <c r="I175" s="2839">
        <v>198.6949310284233</v>
      </c>
      <c r="J175" s="839">
        <v>161.18549966401608</v>
      </c>
      <c r="K175" s="2839">
        <v>196.55976013189891</v>
      </c>
      <c r="L175" s="839">
        <v>134.78230676400031</v>
      </c>
      <c r="M175" s="2029">
        <v>152.34845530682827</v>
      </c>
      <c r="N175" s="2030"/>
      <c r="O175" s="2840"/>
      <c r="P175" s="2840"/>
      <c r="Q175" s="2031"/>
    </row>
    <row r="176" spans="1:17">
      <c r="A176" s="63">
        <v>2006.11</v>
      </c>
      <c r="B176" s="1938">
        <v>146.64759206854919</v>
      </c>
      <c r="C176" s="839">
        <v>142.91970908042478</v>
      </c>
      <c r="D176" s="1668">
        <v>143.1861817603255</v>
      </c>
      <c r="E176" s="2839">
        <v>104.07293927093532</v>
      </c>
      <c r="F176" s="839">
        <v>92.36028549645502</v>
      </c>
      <c r="G176" s="2839">
        <v>160.1741407773909</v>
      </c>
      <c r="H176" s="839">
        <v>118.0945414860058</v>
      </c>
      <c r="I176" s="2839">
        <v>192.64641206750244</v>
      </c>
      <c r="J176" s="839">
        <v>164.90010894440337</v>
      </c>
      <c r="K176" s="2839">
        <v>166.05880043667614</v>
      </c>
      <c r="L176" s="839">
        <v>135.83634862182495</v>
      </c>
      <c r="M176" s="2029">
        <v>175.8782495625762</v>
      </c>
      <c r="N176" s="2030"/>
      <c r="O176" s="2840"/>
      <c r="P176" s="2840"/>
      <c r="Q176" s="2031"/>
    </row>
    <row r="177" spans="1:17">
      <c r="A177" s="63">
        <v>2006.12</v>
      </c>
      <c r="B177" s="1938">
        <v>140.77007418062999</v>
      </c>
      <c r="C177" s="839">
        <v>145.19519639293651</v>
      </c>
      <c r="D177" s="1668">
        <v>147.37781429936916</v>
      </c>
      <c r="E177" s="2839">
        <v>116.14109398006222</v>
      </c>
      <c r="F177" s="839">
        <v>81.190458966754107</v>
      </c>
      <c r="G177" s="2839">
        <v>180.78641113022547</v>
      </c>
      <c r="H177" s="839">
        <v>123.69644520371746</v>
      </c>
      <c r="I177" s="2839">
        <v>185.36003722693943</v>
      </c>
      <c r="J177" s="839">
        <v>152.85598373855339</v>
      </c>
      <c r="K177" s="2839">
        <v>164.86432841841389</v>
      </c>
      <c r="L177" s="839">
        <v>110.34067237086711</v>
      </c>
      <c r="M177" s="2029">
        <v>141.21879187434698</v>
      </c>
      <c r="N177" s="2030"/>
      <c r="O177" s="2840"/>
      <c r="P177" s="2840"/>
      <c r="Q177" s="2031"/>
    </row>
    <row r="178" spans="1:17">
      <c r="A178" s="63">
        <v>2007.01</v>
      </c>
      <c r="B178" s="1938">
        <v>125.24999684825129</v>
      </c>
      <c r="C178" s="839">
        <v>143.15583754248604</v>
      </c>
      <c r="D178" s="1668">
        <v>136.21054436527766</v>
      </c>
      <c r="E178" s="2839">
        <v>104.48882410251802</v>
      </c>
      <c r="F178" s="839">
        <v>73.001993297327104</v>
      </c>
      <c r="G178" s="2839">
        <v>162.90365113122746</v>
      </c>
      <c r="H178" s="839">
        <v>119.55217656018549</v>
      </c>
      <c r="I178" s="2839">
        <v>186.46586372739225</v>
      </c>
      <c r="J178" s="839">
        <v>138.70199176765837</v>
      </c>
      <c r="K178" s="2839">
        <v>148.23418542167931</v>
      </c>
      <c r="L178" s="839">
        <v>91.149848197864301</v>
      </c>
      <c r="M178" s="2029">
        <v>61.586894324644391</v>
      </c>
      <c r="N178" s="2030"/>
      <c r="O178" s="2840"/>
      <c r="P178" s="2840"/>
      <c r="Q178" s="2031"/>
    </row>
    <row r="179" spans="1:17">
      <c r="A179" s="63">
        <v>2007.02</v>
      </c>
      <c r="B179" s="1938">
        <v>126.79172839066688</v>
      </c>
      <c r="C179" s="839">
        <v>145.67826885629481</v>
      </c>
      <c r="D179" s="1668">
        <v>125.20870133790594</v>
      </c>
      <c r="E179" s="2839">
        <v>98.489537652947647</v>
      </c>
      <c r="F179" s="839">
        <v>94.182119166726679</v>
      </c>
      <c r="G179" s="2839">
        <v>160.06823510781268</v>
      </c>
      <c r="H179" s="839">
        <v>111.9777078665349</v>
      </c>
      <c r="I179" s="2839">
        <v>158.26919014985143</v>
      </c>
      <c r="J179" s="839">
        <v>132.60759559885682</v>
      </c>
      <c r="K179" s="2839">
        <v>169.39004447359019</v>
      </c>
      <c r="L179" s="839">
        <v>106.74833057260783</v>
      </c>
      <c r="M179" s="2029">
        <v>128.30645597688959</v>
      </c>
      <c r="N179" s="2030"/>
      <c r="O179" s="2840"/>
      <c r="P179" s="2840"/>
      <c r="Q179" s="2031"/>
    </row>
    <row r="180" spans="1:17">
      <c r="A180" s="63">
        <v>2007.03</v>
      </c>
      <c r="B180" s="1938">
        <v>151.98676430912317</v>
      </c>
      <c r="C180" s="839">
        <v>149.00082561348503</v>
      </c>
      <c r="D180" s="1668">
        <v>139.6364832675302</v>
      </c>
      <c r="E180" s="2839">
        <v>113.60235990942773</v>
      </c>
      <c r="F180" s="839">
        <v>104.51323688410137</v>
      </c>
      <c r="G180" s="2839">
        <v>176.64626376785816</v>
      </c>
      <c r="H180" s="839">
        <v>127.67421142045066</v>
      </c>
      <c r="I180" s="2839">
        <v>189.75267935909082</v>
      </c>
      <c r="J180" s="839">
        <v>151.67132020467096</v>
      </c>
      <c r="K180" s="2839">
        <v>193.17578202099719</v>
      </c>
      <c r="L180" s="839">
        <v>158.44148858356226</v>
      </c>
      <c r="M180" s="2029">
        <v>161.7412373584682</v>
      </c>
      <c r="N180" s="2030"/>
      <c r="O180" s="2840"/>
      <c r="P180" s="2840"/>
      <c r="Q180" s="2031"/>
    </row>
    <row r="181" spans="1:17">
      <c r="A181" s="63">
        <v>2007.04</v>
      </c>
      <c r="B181" s="1938">
        <v>144.08077732530006</v>
      </c>
      <c r="C181" s="839">
        <v>147.72708880998678</v>
      </c>
      <c r="D181" s="1668">
        <v>128.54256688878539</v>
      </c>
      <c r="E181" s="2839">
        <v>98.777606568407023</v>
      </c>
      <c r="F181" s="839">
        <v>105.30324172702562</v>
      </c>
      <c r="G181" s="2839">
        <v>165.39789587936949</v>
      </c>
      <c r="H181" s="839">
        <v>118.99975804730458</v>
      </c>
      <c r="I181" s="2839">
        <v>196.12653207510849</v>
      </c>
      <c r="J181" s="839">
        <v>142.20984015321818</v>
      </c>
      <c r="K181" s="2839">
        <v>190.59850316379672</v>
      </c>
      <c r="L181" s="839">
        <v>145.19202783733681</v>
      </c>
      <c r="M181" s="2029">
        <v>155.64609392698591</v>
      </c>
      <c r="N181" s="2030"/>
      <c r="O181" s="2840"/>
      <c r="P181" s="2840"/>
      <c r="Q181" s="2031"/>
    </row>
    <row r="182" spans="1:17">
      <c r="A182" s="63">
        <v>2007.05</v>
      </c>
      <c r="B182" s="1938">
        <v>151.86034657323333</v>
      </c>
      <c r="C182" s="839">
        <v>148.06913285834315</v>
      </c>
      <c r="D182" s="1668">
        <v>138.84833523771971</v>
      </c>
      <c r="E182" s="2839">
        <v>105.4911159680894</v>
      </c>
      <c r="F182" s="839">
        <v>109.17623637310786</v>
      </c>
      <c r="G182" s="2839">
        <v>178.56761628628428</v>
      </c>
      <c r="H182" s="839">
        <v>122.76583031722734</v>
      </c>
      <c r="I182" s="2839">
        <v>186.16286572734651</v>
      </c>
      <c r="J182" s="839">
        <v>167.44790282645539</v>
      </c>
      <c r="K182" s="2839">
        <v>183.62736347335257</v>
      </c>
      <c r="L182" s="839">
        <v>160.66873993951202</v>
      </c>
      <c r="M182" s="2029">
        <v>166.53400399040677</v>
      </c>
      <c r="N182" s="2030"/>
      <c r="O182" s="2840"/>
      <c r="P182" s="2840"/>
      <c r="Q182" s="2031"/>
    </row>
    <row r="183" spans="1:17">
      <c r="A183" s="63">
        <v>2007.06</v>
      </c>
      <c r="B183" s="1938">
        <v>148.43002772490647</v>
      </c>
      <c r="C183" s="839">
        <v>147.25723948208906</v>
      </c>
      <c r="D183" s="1668">
        <v>149.56434419005581</v>
      </c>
      <c r="E183" s="2839">
        <v>94.113215948340539</v>
      </c>
      <c r="F183" s="839">
        <v>95.183932389055556</v>
      </c>
      <c r="G183" s="2839">
        <v>172.02933458163244</v>
      </c>
      <c r="H183" s="839">
        <v>123.4534138588288</v>
      </c>
      <c r="I183" s="2839">
        <v>169.57497305039243</v>
      </c>
      <c r="J183" s="839">
        <v>161.93808311369102</v>
      </c>
      <c r="K183" s="2839">
        <v>179.3564578993925</v>
      </c>
      <c r="L183" s="839">
        <v>150.68408293525155</v>
      </c>
      <c r="M183" s="2029">
        <v>172.95489113200375</v>
      </c>
      <c r="N183" s="2030"/>
      <c r="O183" s="2840"/>
      <c r="P183" s="2840"/>
      <c r="Q183" s="2031"/>
    </row>
    <row r="184" spans="1:17">
      <c r="A184" s="63">
        <v>2007.07</v>
      </c>
      <c r="B184" s="1938">
        <v>147.56599066018055</v>
      </c>
      <c r="C184" s="839">
        <v>146.62564547172994</v>
      </c>
      <c r="D184" s="1668">
        <v>156.35130489033006</v>
      </c>
      <c r="E184" s="2839">
        <v>98.449359179989784</v>
      </c>
      <c r="F184" s="839">
        <v>94.018794383716653</v>
      </c>
      <c r="G184" s="2839">
        <v>175.36428721296969</v>
      </c>
      <c r="H184" s="839">
        <v>128.71981261785743</v>
      </c>
      <c r="I184" s="2839">
        <v>159.25543303082816</v>
      </c>
      <c r="J184" s="839">
        <v>157.70753216103716</v>
      </c>
      <c r="K184" s="2839">
        <v>154.66155455042127</v>
      </c>
      <c r="L184" s="839">
        <v>153.19211809689074</v>
      </c>
      <c r="M184" s="2029">
        <v>164.71255260620427</v>
      </c>
      <c r="N184" s="2030"/>
      <c r="O184" s="2840"/>
      <c r="P184" s="2840"/>
      <c r="Q184" s="2031"/>
    </row>
    <row r="185" spans="1:17">
      <c r="A185" s="63">
        <v>2007.08</v>
      </c>
      <c r="B185" s="1938">
        <v>162.05566947852026</v>
      </c>
      <c r="C185" s="839">
        <v>150.33984251436351</v>
      </c>
      <c r="D185" s="1668">
        <v>164.57391656264738</v>
      </c>
      <c r="E185" s="2839">
        <v>107.05854224187179</v>
      </c>
      <c r="F185" s="839">
        <v>94.753512540366799</v>
      </c>
      <c r="G185" s="2839">
        <v>172.77503133684348</v>
      </c>
      <c r="H185" s="839">
        <v>125.32901551660005</v>
      </c>
      <c r="I185" s="2839">
        <v>187.7456473072358</v>
      </c>
      <c r="J185" s="839">
        <v>168.62700741962072</v>
      </c>
      <c r="K185" s="2839">
        <v>195.43697556992461</v>
      </c>
      <c r="L185" s="839">
        <v>166.70213639015748</v>
      </c>
      <c r="M185" s="2029">
        <v>201.11482776450748</v>
      </c>
      <c r="N185" s="2030"/>
      <c r="O185" s="2840"/>
      <c r="P185" s="2840"/>
      <c r="Q185" s="2031"/>
    </row>
    <row r="186" spans="1:17">
      <c r="A186" s="63">
        <v>2007.09</v>
      </c>
      <c r="B186" s="1938">
        <v>158.40477985139088</v>
      </c>
      <c r="C186" s="839">
        <v>152.39127072432163</v>
      </c>
      <c r="D186" s="1668">
        <v>166.26673783831194</v>
      </c>
      <c r="E186" s="2839">
        <v>97.832966986184175</v>
      </c>
      <c r="F186" s="839">
        <v>98.484485252730892</v>
      </c>
      <c r="G186" s="2839">
        <v>173.44423293027251</v>
      </c>
      <c r="H186" s="839">
        <v>120.55126368480596</v>
      </c>
      <c r="I186" s="2839">
        <v>203.38199470027078</v>
      </c>
      <c r="J186" s="839">
        <v>158.8826317830208</v>
      </c>
      <c r="K186" s="2839">
        <v>194.68420050888497</v>
      </c>
      <c r="L186" s="839">
        <v>152.76278152197156</v>
      </c>
      <c r="M186" s="2029">
        <v>182.85509598105921</v>
      </c>
      <c r="N186" s="2030"/>
      <c r="O186" s="2840"/>
      <c r="P186" s="2840"/>
      <c r="Q186" s="2031"/>
    </row>
    <row r="187" spans="1:17">
      <c r="A187" s="63">
        <v>2007.1</v>
      </c>
      <c r="B187" s="1938">
        <v>167.50847295658753</v>
      </c>
      <c r="C187" s="839">
        <v>155.41067615661507</v>
      </c>
      <c r="D187" s="1668">
        <v>166.55611726771954</v>
      </c>
      <c r="E187" s="2839">
        <v>113.29088419531044</v>
      </c>
      <c r="F187" s="839">
        <v>94.251235125521518</v>
      </c>
      <c r="G187" s="2839">
        <v>180.14103763180856</v>
      </c>
      <c r="H187" s="839">
        <v>120.74271685423892</v>
      </c>
      <c r="I187" s="2839">
        <v>222.0455569755562</v>
      </c>
      <c r="J187" s="839">
        <v>166.18295035811775</v>
      </c>
      <c r="K187" s="2839">
        <v>201.05242356403949</v>
      </c>
      <c r="L187" s="839">
        <v>166.99278611263188</v>
      </c>
      <c r="M187" s="2029">
        <v>206.32128800842412</v>
      </c>
      <c r="N187" s="2030"/>
      <c r="O187" s="2840"/>
      <c r="P187" s="2840"/>
      <c r="Q187" s="2031"/>
    </row>
    <row r="188" spans="1:17">
      <c r="A188" s="63">
        <v>2007.11</v>
      </c>
      <c r="B188" s="1938">
        <v>162.0750442156785</v>
      </c>
      <c r="C188" s="839">
        <v>158.23504190972071</v>
      </c>
      <c r="D188" s="1668">
        <v>152.53480401488068</v>
      </c>
      <c r="E188" s="2839">
        <v>115.1980585751995</v>
      </c>
      <c r="F188" s="839">
        <v>94.149448281399074</v>
      </c>
      <c r="G188" s="2839">
        <v>181.73601781987674</v>
      </c>
      <c r="H188" s="839">
        <v>118.66600793176745</v>
      </c>
      <c r="I188" s="2839">
        <v>217.10010718207732</v>
      </c>
      <c r="J188" s="839">
        <v>181.06903137761026</v>
      </c>
      <c r="K188" s="2839">
        <v>200.07498061577675</v>
      </c>
      <c r="L188" s="839">
        <v>150.0259940337902</v>
      </c>
      <c r="M188" s="2029">
        <v>222.42786783302998</v>
      </c>
      <c r="N188" s="2030"/>
      <c r="O188" s="2840"/>
      <c r="P188" s="2840"/>
      <c r="Q188" s="2031"/>
    </row>
    <row r="189" spans="1:17">
      <c r="A189" s="63">
        <v>2007.12</v>
      </c>
      <c r="B189" s="1938">
        <v>152.54211187383103</v>
      </c>
      <c r="C189" s="839">
        <v>158.78677949692798</v>
      </c>
      <c r="D189" s="1668">
        <v>158.55482921190054</v>
      </c>
      <c r="E189" s="2839">
        <v>118.67476193519524</v>
      </c>
      <c r="F189" s="839">
        <v>83.955732135827148</v>
      </c>
      <c r="G189" s="2839">
        <v>178.822138634276</v>
      </c>
      <c r="H189" s="839">
        <v>120.31457106841081</v>
      </c>
      <c r="I189" s="2839">
        <v>193.64453271264381</v>
      </c>
      <c r="J189" s="839">
        <v>166.33108816021652</v>
      </c>
      <c r="K189" s="2839">
        <v>205.53709504050587</v>
      </c>
      <c r="L189" s="839">
        <v>123.25335409113667</v>
      </c>
      <c r="M189" s="2029">
        <v>190.96271038308896</v>
      </c>
      <c r="N189" s="2030"/>
      <c r="O189" s="2840"/>
      <c r="P189" s="2840"/>
      <c r="Q189" s="2031"/>
    </row>
    <row r="190" spans="1:17">
      <c r="A190" s="63">
        <f t="shared" ref="A190:A221" si="0">A178+1</f>
        <v>2008.01</v>
      </c>
      <c r="B190" s="1938">
        <v>143.46600980177917</v>
      </c>
      <c r="C190" s="839">
        <v>161.11767547214194</v>
      </c>
      <c r="D190" s="1668">
        <v>142.22265436819356</v>
      </c>
      <c r="E190" s="2839">
        <v>115.27713588117487</v>
      </c>
      <c r="F190" s="839">
        <v>75.685316275717085</v>
      </c>
      <c r="G190" s="2839">
        <v>168.70730549288078</v>
      </c>
      <c r="H190" s="839">
        <v>122.86627316153171</v>
      </c>
      <c r="I190" s="2839">
        <v>199.72054570353049</v>
      </c>
      <c r="J190" s="839">
        <v>145.36979228174746</v>
      </c>
      <c r="K190" s="2839">
        <v>186.35929157202037</v>
      </c>
      <c r="L190" s="839">
        <v>119.03947718634478</v>
      </c>
      <c r="M190" s="2029">
        <v>145.8847441800684</v>
      </c>
      <c r="N190" s="2030"/>
      <c r="O190" s="2840"/>
      <c r="P190" s="2840"/>
      <c r="Q190" s="2031"/>
    </row>
    <row r="191" spans="1:17">
      <c r="A191" s="63">
        <f t="shared" si="0"/>
        <v>2008.02</v>
      </c>
      <c r="B191" s="1938">
        <v>137.02450078221719</v>
      </c>
      <c r="C191" s="839">
        <v>158.59538648860701</v>
      </c>
      <c r="D191" s="1668">
        <v>137.17303612841863</v>
      </c>
      <c r="E191" s="2839">
        <v>109.77223344832166</v>
      </c>
      <c r="F191" s="839">
        <v>92.034456723063315</v>
      </c>
      <c r="G191" s="2839">
        <v>168.01937614928056</v>
      </c>
      <c r="H191" s="839">
        <v>111.28185871412828</v>
      </c>
      <c r="I191" s="2839">
        <v>180.17280582299387</v>
      </c>
      <c r="J191" s="839">
        <v>147.78986378248158</v>
      </c>
      <c r="K191" s="2839">
        <v>189.96219228423357</v>
      </c>
      <c r="L191" s="839">
        <v>119.74374706275833</v>
      </c>
      <c r="M191" s="2029">
        <v>132.30286504203113</v>
      </c>
      <c r="N191" s="2030"/>
      <c r="O191" s="2840"/>
      <c r="P191" s="2840"/>
      <c r="Q191" s="2031"/>
    </row>
    <row r="192" spans="1:17">
      <c r="A192" s="63">
        <f t="shared" si="0"/>
        <v>2008.03</v>
      </c>
      <c r="B192" s="1938">
        <v>149.72476469583955</v>
      </c>
      <c r="C192" s="839">
        <v>154.47403777048524</v>
      </c>
      <c r="D192" s="1668">
        <v>124.09525091140145</v>
      </c>
      <c r="E192" s="2839">
        <v>111.55249271937421</v>
      </c>
      <c r="F192" s="839">
        <v>108.51588138258261</v>
      </c>
      <c r="G192" s="2839">
        <v>171.00492888163924</v>
      </c>
      <c r="H192" s="839">
        <v>116.75765200482067</v>
      </c>
      <c r="I192" s="2839">
        <v>192.08693584101732</v>
      </c>
      <c r="J192" s="839">
        <v>151.05436333419783</v>
      </c>
      <c r="K192" s="2839">
        <v>214.12558393192398</v>
      </c>
      <c r="L192" s="839">
        <v>156.68364659065162</v>
      </c>
      <c r="M192" s="2029">
        <v>186.94893277735824</v>
      </c>
      <c r="N192" s="2030"/>
      <c r="O192" s="2840"/>
      <c r="P192" s="2840"/>
      <c r="Q192" s="2031"/>
    </row>
    <row r="193" spans="1:17">
      <c r="A193" s="63">
        <f t="shared" si="0"/>
        <v>2008.04</v>
      </c>
      <c r="B193" s="1938">
        <v>160.13544902042406</v>
      </c>
      <c r="C193" s="839">
        <v>157.40740628235233</v>
      </c>
      <c r="D193" s="1668">
        <v>147.74122305839248</v>
      </c>
      <c r="E193" s="2839">
        <v>108.85364447244442</v>
      </c>
      <c r="F193" s="839">
        <v>103.66467098887293</v>
      </c>
      <c r="G193" s="2839">
        <v>163.8036223693268</v>
      </c>
      <c r="H193" s="839">
        <v>117.7144287487674</v>
      </c>
      <c r="I193" s="2839">
        <v>193.03388940486212</v>
      </c>
      <c r="J193" s="839">
        <v>164.0482400799882</v>
      </c>
      <c r="K193" s="2839">
        <v>211.12915038327839</v>
      </c>
      <c r="L193" s="839">
        <v>173.02464287206038</v>
      </c>
      <c r="M193" s="2029">
        <v>207.12955133664531</v>
      </c>
      <c r="N193" s="2030"/>
      <c r="O193" s="2840"/>
      <c r="P193" s="2840"/>
      <c r="Q193" s="2031"/>
    </row>
    <row r="194" spans="1:17">
      <c r="A194" s="63">
        <f t="shared" si="0"/>
        <v>2008.05</v>
      </c>
      <c r="B194" s="1938">
        <v>162.68130373157797</v>
      </c>
      <c r="C194" s="839">
        <v>158.38588246996434</v>
      </c>
      <c r="D194" s="1668">
        <v>147.40270338907823</v>
      </c>
      <c r="E194" s="2839">
        <v>107.444335174144</v>
      </c>
      <c r="F194" s="839">
        <v>109.54404906529393</v>
      </c>
      <c r="G194" s="2839">
        <v>169.89255474668005</v>
      </c>
      <c r="H194" s="839">
        <v>124.7911576901511</v>
      </c>
      <c r="I194" s="2839">
        <v>196.45046807862587</v>
      </c>
      <c r="J194" s="839">
        <v>163.19211247325887</v>
      </c>
      <c r="K194" s="2839">
        <v>210.87544727282045</v>
      </c>
      <c r="L194" s="839">
        <v>166.86410446916645</v>
      </c>
      <c r="M194" s="2029">
        <v>212.33459067617221</v>
      </c>
      <c r="N194" s="2030"/>
      <c r="O194" s="2840"/>
      <c r="P194" s="2840"/>
      <c r="Q194" s="2031"/>
    </row>
    <row r="195" spans="1:17">
      <c r="A195" s="63">
        <f t="shared" si="0"/>
        <v>2008.06</v>
      </c>
      <c r="B195" s="1938">
        <v>149.22923846916325</v>
      </c>
      <c r="C195" s="839">
        <v>153.73028353915893</v>
      </c>
      <c r="D195" s="1668">
        <v>142.36419672640704</v>
      </c>
      <c r="E195" s="2839">
        <v>98.669227728966618</v>
      </c>
      <c r="F195" s="839">
        <v>108.52453565639777</v>
      </c>
      <c r="G195" s="2839">
        <v>170.10021142020653</v>
      </c>
      <c r="H195" s="839">
        <v>114.0142903001363</v>
      </c>
      <c r="I195" s="2839">
        <v>173.23188409913584</v>
      </c>
      <c r="J195" s="839">
        <v>150.14735849326797</v>
      </c>
      <c r="K195" s="2839">
        <v>208.99617885595956</v>
      </c>
      <c r="L195" s="839">
        <v>148.34918660017075</v>
      </c>
      <c r="M195" s="2029">
        <v>194.93729326532386</v>
      </c>
      <c r="N195" s="2030"/>
      <c r="O195" s="2840"/>
      <c r="P195" s="2840"/>
      <c r="Q195" s="2031"/>
    </row>
    <row r="196" spans="1:17">
      <c r="A196" s="63">
        <f t="shared" si="0"/>
        <v>2008.07</v>
      </c>
      <c r="B196" s="1938">
        <v>162.26747919543234</v>
      </c>
      <c r="C196" s="839">
        <v>154.79564389494936</v>
      </c>
      <c r="D196" s="1668">
        <v>175.03608090038858</v>
      </c>
      <c r="E196" s="2839">
        <v>111.99279559834298</v>
      </c>
      <c r="F196" s="839">
        <v>102.82890187187449</v>
      </c>
      <c r="G196" s="2839">
        <v>174.0977268129262</v>
      </c>
      <c r="H196" s="839">
        <v>113.33919312546563</v>
      </c>
      <c r="I196" s="2839">
        <v>167.29346273854017</v>
      </c>
      <c r="J196" s="839">
        <v>174.10208598066748</v>
      </c>
      <c r="K196" s="2839">
        <v>223.25836031128648</v>
      </c>
      <c r="L196" s="839">
        <v>155.66165912096744</v>
      </c>
      <c r="M196" s="2029">
        <v>233.94945400787546</v>
      </c>
      <c r="N196" s="2030"/>
      <c r="O196" s="2840"/>
      <c r="P196" s="2840"/>
      <c r="Q196" s="2031"/>
    </row>
    <row r="197" spans="1:17">
      <c r="A197" s="63">
        <f t="shared" si="0"/>
        <v>2008.08</v>
      </c>
      <c r="B197" s="1938">
        <v>158.15838594536757</v>
      </c>
      <c r="C197" s="839">
        <v>150.34870576254067</v>
      </c>
      <c r="D197" s="1668">
        <v>170.76103479978519</v>
      </c>
      <c r="E197" s="2839">
        <v>103.37761229614286</v>
      </c>
      <c r="F197" s="839">
        <v>105.85210494920004</v>
      </c>
      <c r="G197" s="2839">
        <v>163.18712194073726</v>
      </c>
      <c r="H197" s="839">
        <v>123.90008921329698</v>
      </c>
      <c r="I197" s="2839">
        <v>166.32785134125251</v>
      </c>
      <c r="J197" s="839">
        <v>165.70359506800713</v>
      </c>
      <c r="K197" s="2839">
        <v>212.94849834402277</v>
      </c>
      <c r="L197" s="839">
        <v>144.14728039016913</v>
      </c>
      <c r="M197" s="2029">
        <v>219.26889439347025</v>
      </c>
      <c r="N197" s="2030"/>
      <c r="O197" s="2840"/>
      <c r="P197" s="2840"/>
      <c r="Q197" s="2031"/>
    </row>
    <row r="198" spans="1:17">
      <c r="A198" s="63">
        <f t="shared" si="0"/>
        <v>2008.09</v>
      </c>
      <c r="B198" s="1938">
        <v>167.80234044872461</v>
      </c>
      <c r="C198" s="839">
        <v>147.61699581184001</v>
      </c>
      <c r="D198" s="1668">
        <v>183.28004597227039</v>
      </c>
      <c r="E198" s="2839">
        <v>107.26606417809741</v>
      </c>
      <c r="F198" s="839">
        <v>102.03975427280707</v>
      </c>
      <c r="G198" s="2839">
        <v>159.36413162688834</v>
      </c>
      <c r="H198" s="839">
        <v>119.85324986284928</v>
      </c>
      <c r="I198" s="2839">
        <v>190.70803840890218</v>
      </c>
      <c r="J198" s="839">
        <v>167.21976703238093</v>
      </c>
      <c r="K198" s="2839">
        <v>209.95143138476936</v>
      </c>
      <c r="L198" s="839">
        <v>152.93501173665916</v>
      </c>
      <c r="M198" s="2029">
        <v>238.01023988300992</v>
      </c>
      <c r="N198" s="2030"/>
      <c r="O198" s="2840"/>
      <c r="P198" s="2840"/>
      <c r="Q198" s="2031"/>
    </row>
    <row r="199" spans="1:17">
      <c r="A199" s="63">
        <f t="shared" si="0"/>
        <v>2008.1</v>
      </c>
      <c r="B199" s="1938">
        <v>159.97902966247702</v>
      </c>
      <c r="C199" s="839">
        <v>146.98557843019262</v>
      </c>
      <c r="D199" s="1668">
        <v>167.35759505250797</v>
      </c>
      <c r="E199" s="2839">
        <v>119.11663690797694</v>
      </c>
      <c r="F199" s="839">
        <v>96.238475747871789</v>
      </c>
      <c r="G199" s="2839">
        <v>157.4533680177214</v>
      </c>
      <c r="H199" s="839">
        <v>119.32296654141979</v>
      </c>
      <c r="I199" s="2839">
        <v>196.39721826424102</v>
      </c>
      <c r="J199" s="839">
        <v>168.57984091055209</v>
      </c>
      <c r="K199" s="2839">
        <v>210.69889698420837</v>
      </c>
      <c r="L199" s="839">
        <v>136.35707319049015</v>
      </c>
      <c r="M199" s="2029">
        <v>220.67628545460431</v>
      </c>
      <c r="N199" s="2030"/>
      <c r="O199" s="2840"/>
      <c r="P199" s="2840"/>
      <c r="Q199" s="2031"/>
    </row>
    <row r="200" spans="1:17">
      <c r="A200" s="63">
        <f t="shared" si="0"/>
        <v>2008.11</v>
      </c>
      <c r="B200" s="1938">
        <v>136.14729134895035</v>
      </c>
      <c r="C200" s="839">
        <v>138.43865644456858</v>
      </c>
      <c r="D200" s="1668">
        <v>148.03196902681299</v>
      </c>
      <c r="E200" s="2839">
        <v>106.75568096017831</v>
      </c>
      <c r="F200" s="839">
        <v>99.09562695457258</v>
      </c>
      <c r="G200" s="2839">
        <v>153.29155388803963</v>
      </c>
      <c r="H200" s="839">
        <v>103.81280507432827</v>
      </c>
      <c r="I200" s="2839">
        <v>158.4082692693317</v>
      </c>
      <c r="J200" s="839">
        <v>165.26893318213891</v>
      </c>
      <c r="K200" s="2839">
        <v>172.88490476016884</v>
      </c>
      <c r="L200" s="839">
        <v>102.80717381966909</v>
      </c>
      <c r="M200" s="2029">
        <v>164.36805907367881</v>
      </c>
      <c r="N200" s="2030"/>
      <c r="O200" s="2840"/>
      <c r="P200" s="2840"/>
      <c r="Q200" s="2031"/>
    </row>
    <row r="201" spans="1:17">
      <c r="A201" s="63">
        <f t="shared" si="0"/>
        <v>2008.12</v>
      </c>
      <c r="B201" s="1938">
        <v>129.65355216195397</v>
      </c>
      <c r="C201" s="839">
        <v>138.31308317848999</v>
      </c>
      <c r="D201" s="1668">
        <v>159.41574252652055</v>
      </c>
      <c r="E201" s="2839">
        <v>137.37025457214972</v>
      </c>
      <c r="F201" s="839">
        <v>82.506460315303187</v>
      </c>
      <c r="G201" s="2839">
        <v>154.88962387663247</v>
      </c>
      <c r="H201" s="839">
        <v>116.27686101255456</v>
      </c>
      <c r="I201" s="2839">
        <v>143.87181253095528</v>
      </c>
      <c r="J201" s="839">
        <v>150.30561001370324</v>
      </c>
      <c r="K201" s="2839">
        <v>131.91002054662849</v>
      </c>
      <c r="L201" s="839">
        <v>98.774933025848838</v>
      </c>
      <c r="M201" s="2029">
        <v>93.254258196745269</v>
      </c>
      <c r="N201" s="2030"/>
      <c r="O201" s="2840"/>
      <c r="P201" s="2840"/>
      <c r="Q201" s="2031"/>
    </row>
    <row r="202" spans="1:17">
      <c r="A202" s="63">
        <f t="shared" si="0"/>
        <v>2009.01</v>
      </c>
      <c r="B202" s="1938">
        <v>118.82610980809662</v>
      </c>
      <c r="C202" s="839">
        <v>134.54645612526443</v>
      </c>
      <c r="D202" s="1668">
        <v>144.00853409652606</v>
      </c>
      <c r="E202" s="2839">
        <v>114.02912168050329</v>
      </c>
      <c r="F202" s="839">
        <v>64.301457949938651</v>
      </c>
      <c r="G202" s="2839">
        <v>151.16939687709234</v>
      </c>
      <c r="H202" s="839">
        <v>111.51516363431675</v>
      </c>
      <c r="I202" s="2839">
        <v>160.8722502287614</v>
      </c>
      <c r="J202" s="839">
        <v>140.96827323538849</v>
      </c>
      <c r="K202" s="2839">
        <v>138.68895381394753</v>
      </c>
      <c r="L202" s="839">
        <v>80.050127251705149</v>
      </c>
      <c r="M202" s="2029">
        <v>62.461900527891686</v>
      </c>
      <c r="N202" s="2030"/>
      <c r="O202" s="2840"/>
      <c r="P202" s="2840"/>
      <c r="Q202" s="2031"/>
    </row>
    <row r="203" spans="1:17">
      <c r="A203" s="63">
        <f t="shared" si="0"/>
        <v>2009.02</v>
      </c>
      <c r="B203" s="1938">
        <v>115.92543878166197</v>
      </c>
      <c r="C203" s="839">
        <v>134.64239759140483</v>
      </c>
      <c r="D203" s="1668">
        <v>133.19995477749586</v>
      </c>
      <c r="E203" s="2839">
        <v>100.65348344800032</v>
      </c>
      <c r="F203" s="839">
        <v>74.98445757705187</v>
      </c>
      <c r="G203" s="2839">
        <v>147.7074987149266</v>
      </c>
      <c r="H203" s="839">
        <v>98.836190912719829</v>
      </c>
      <c r="I203" s="2839">
        <v>155.53793710297626</v>
      </c>
      <c r="J203" s="839">
        <v>136.77751323481885</v>
      </c>
      <c r="K203" s="2839">
        <v>128.21768631783326</v>
      </c>
      <c r="L203" s="839">
        <v>102.42726471177582</v>
      </c>
      <c r="M203" s="2029">
        <v>54.612994948086595</v>
      </c>
      <c r="N203" s="2030"/>
      <c r="O203" s="2840"/>
      <c r="P203" s="2840"/>
      <c r="Q203" s="2031"/>
    </row>
    <row r="204" spans="1:17">
      <c r="A204" s="63">
        <f t="shared" si="0"/>
        <v>2009.03</v>
      </c>
      <c r="B204" s="1938">
        <v>142.00405776184323</v>
      </c>
      <c r="C204" s="839">
        <v>140.92806868009123</v>
      </c>
      <c r="D204" s="1668">
        <v>144.89091665928254</v>
      </c>
      <c r="E204" s="2839">
        <v>114.04252458234703</v>
      </c>
      <c r="F204" s="839">
        <v>88.16694204879056</v>
      </c>
      <c r="G204" s="2839">
        <v>153.41454371109376</v>
      </c>
      <c r="H204" s="839">
        <v>112.71115987809684</v>
      </c>
      <c r="I204" s="2839">
        <v>189.82186504113409</v>
      </c>
      <c r="J204" s="839">
        <v>155.15341020348072</v>
      </c>
      <c r="K204" s="2839">
        <v>132.51220543756219</v>
      </c>
      <c r="L204" s="839">
        <v>141.25975859166124</v>
      </c>
      <c r="M204" s="2029">
        <v>132.20969171347858</v>
      </c>
      <c r="N204" s="2030"/>
      <c r="O204" s="2840"/>
      <c r="P204" s="2840"/>
      <c r="Q204" s="2031"/>
    </row>
    <row r="205" spans="1:17">
      <c r="A205" s="63">
        <f t="shared" si="0"/>
        <v>2009.04</v>
      </c>
      <c r="B205" s="1938">
        <v>141.18902528185711</v>
      </c>
      <c r="C205" s="839">
        <v>141.6748491294147</v>
      </c>
      <c r="D205" s="1668">
        <v>144.36451147646068</v>
      </c>
      <c r="E205" s="2839">
        <v>114.34711529063297</v>
      </c>
      <c r="F205" s="839">
        <v>87.167633928325714</v>
      </c>
      <c r="G205" s="2839">
        <v>141.59386513976003</v>
      </c>
      <c r="H205" s="839">
        <v>110.64863137152349</v>
      </c>
      <c r="I205" s="2839">
        <v>195.80316291342209</v>
      </c>
      <c r="J205" s="839">
        <v>145.29736868670753</v>
      </c>
      <c r="K205" s="2839">
        <v>137.09944648313098</v>
      </c>
      <c r="L205" s="839">
        <v>141.22257368251979</v>
      </c>
      <c r="M205" s="2029">
        <v>127.48671339668051</v>
      </c>
      <c r="N205" s="2030"/>
      <c r="O205" s="2840"/>
      <c r="P205" s="2840"/>
      <c r="Q205" s="2031"/>
    </row>
    <row r="206" spans="1:17">
      <c r="A206" s="63">
        <f t="shared" si="0"/>
        <v>2009.05</v>
      </c>
      <c r="B206" s="1938">
        <v>143.18698346924958</v>
      </c>
      <c r="C206" s="839">
        <v>141.81307226267637</v>
      </c>
      <c r="D206" s="1668">
        <v>147.4786787264141</v>
      </c>
      <c r="E206" s="2839">
        <v>101.07034497679881</v>
      </c>
      <c r="F206" s="839">
        <v>94.583543791205102</v>
      </c>
      <c r="G206" s="2839">
        <v>146.085335274757</v>
      </c>
      <c r="H206" s="839">
        <v>112.08272624098427</v>
      </c>
      <c r="I206" s="2839">
        <v>184.382630907779</v>
      </c>
      <c r="J206" s="839">
        <v>156.34355840883887</v>
      </c>
      <c r="K206" s="2839">
        <v>135.78007557072488</v>
      </c>
      <c r="L206" s="839">
        <v>145.85979029735543</v>
      </c>
      <c r="M206" s="2029">
        <v>149.2173747583424</v>
      </c>
      <c r="N206" s="2030"/>
      <c r="O206" s="2840"/>
      <c r="P206" s="2840"/>
      <c r="Q206" s="2031"/>
    </row>
    <row r="207" spans="1:17">
      <c r="A207" s="63">
        <f t="shared" si="0"/>
        <v>2009.06</v>
      </c>
      <c r="B207" s="1938">
        <v>150.04324383199818</v>
      </c>
      <c r="C207" s="839">
        <v>146.34844085485992</v>
      </c>
      <c r="D207" s="1668">
        <v>165.21691256739959</v>
      </c>
      <c r="E207" s="2839">
        <v>99.255890814341598</v>
      </c>
      <c r="F207" s="839">
        <v>90.876472514836337</v>
      </c>
      <c r="G207" s="2839">
        <v>156.0536795560015</v>
      </c>
      <c r="H207" s="839">
        <v>110.86629598434583</v>
      </c>
      <c r="I207" s="2839">
        <v>186.87952540109632</v>
      </c>
      <c r="J207" s="839">
        <v>160.91598233135011</v>
      </c>
      <c r="K207" s="2839">
        <v>149.50159738133101</v>
      </c>
      <c r="L207" s="839">
        <v>147.59855020796368</v>
      </c>
      <c r="M207" s="2029">
        <v>155.52316883430959</v>
      </c>
      <c r="N207" s="2030"/>
      <c r="O207" s="2840"/>
      <c r="P207" s="2840"/>
      <c r="Q207" s="2031"/>
    </row>
    <row r="208" spans="1:17">
      <c r="A208" s="63">
        <f t="shared" si="0"/>
        <v>2009.07</v>
      </c>
      <c r="B208" s="1938">
        <v>153.4944896468854</v>
      </c>
      <c r="C208" s="839">
        <v>147.29396736684953</v>
      </c>
      <c r="D208" s="1668">
        <v>169.64506111525714</v>
      </c>
      <c r="E208" s="2839">
        <v>107.90886915213724</v>
      </c>
      <c r="F208" s="839">
        <v>88.067115320014253</v>
      </c>
      <c r="G208" s="2839">
        <v>159.77158641486994</v>
      </c>
      <c r="H208" s="839">
        <v>104.37581959369903</v>
      </c>
      <c r="I208" s="2839">
        <v>186.70844596684205</v>
      </c>
      <c r="J208" s="839">
        <v>157.07154907237515</v>
      </c>
      <c r="K208" s="2839">
        <v>163.72134226363065</v>
      </c>
      <c r="L208" s="839">
        <v>160.09127852673049</v>
      </c>
      <c r="M208" s="2029">
        <v>165.05554579062161</v>
      </c>
      <c r="N208" s="2030"/>
      <c r="O208" s="2840"/>
      <c r="P208" s="2840"/>
      <c r="Q208" s="2031"/>
    </row>
    <row r="209" spans="1:17">
      <c r="A209" s="63">
        <f t="shared" si="0"/>
        <v>2009.08</v>
      </c>
      <c r="B209" s="1938">
        <v>155.32974343747929</v>
      </c>
      <c r="C209" s="839">
        <v>148.53878503330424</v>
      </c>
      <c r="D209" s="1668">
        <v>164.36708177190445</v>
      </c>
      <c r="E209" s="2839">
        <v>100.21604402561933</v>
      </c>
      <c r="F209" s="839">
        <v>84.354034797005696</v>
      </c>
      <c r="G209" s="2839">
        <v>160.0222811869549</v>
      </c>
      <c r="H209" s="839">
        <v>108.84200346683815</v>
      </c>
      <c r="I209" s="2839">
        <v>198.08458527749528</v>
      </c>
      <c r="J209" s="839">
        <v>166.54141616809551</v>
      </c>
      <c r="K209" s="2839">
        <v>169.06990188273355</v>
      </c>
      <c r="L209" s="839">
        <v>160.65423975038061</v>
      </c>
      <c r="M209" s="2029">
        <v>166.09946871834754</v>
      </c>
      <c r="N209" s="2030"/>
      <c r="O209" s="2840"/>
      <c r="P209" s="2840"/>
      <c r="Q209" s="2031"/>
    </row>
    <row r="210" spans="1:17">
      <c r="A210" s="63">
        <f t="shared" si="0"/>
        <v>2009.09</v>
      </c>
      <c r="B210" s="1938">
        <v>159.95742487226141</v>
      </c>
      <c r="C210" s="839">
        <v>149.61228656403466</v>
      </c>
      <c r="D210" s="1668">
        <v>167.56603688931875</v>
      </c>
      <c r="E210" s="2839">
        <v>107.12153581883818</v>
      </c>
      <c r="F210" s="839">
        <v>87.371258674398902</v>
      </c>
      <c r="G210" s="2839">
        <v>162.96265197126891</v>
      </c>
      <c r="H210" s="839">
        <v>100.26547093449855</v>
      </c>
      <c r="I210" s="2839">
        <v>202.96232853929351</v>
      </c>
      <c r="J210" s="839">
        <v>167.68462869122311</v>
      </c>
      <c r="K210" s="2839">
        <v>175.29793389240928</v>
      </c>
      <c r="L210" s="839">
        <v>165.42008808743932</v>
      </c>
      <c r="M210" s="2029">
        <v>190.23787377176396</v>
      </c>
      <c r="N210" s="2030"/>
      <c r="O210" s="2840"/>
      <c r="P210" s="2840"/>
      <c r="Q210" s="2031"/>
    </row>
    <row r="211" spans="1:17">
      <c r="A211" s="63">
        <f t="shared" si="0"/>
        <v>2009.1</v>
      </c>
      <c r="B211" s="1938">
        <v>160.61326535231461</v>
      </c>
      <c r="C211" s="839">
        <v>149.47517739088318</v>
      </c>
      <c r="D211" s="1668">
        <v>163.45135845510461</v>
      </c>
      <c r="E211" s="2839">
        <v>112.92074124716871</v>
      </c>
      <c r="F211" s="839">
        <v>81.006883575722952</v>
      </c>
      <c r="G211" s="2839">
        <v>167.19191264216005</v>
      </c>
      <c r="H211" s="839">
        <v>97.499887820495161</v>
      </c>
      <c r="I211" s="2839">
        <v>196.00153200615082</v>
      </c>
      <c r="J211" s="839">
        <v>174.75821342318875</v>
      </c>
      <c r="K211" s="2839">
        <v>192.18431602581745</v>
      </c>
      <c r="L211" s="839">
        <v>170.04947819129526</v>
      </c>
      <c r="M211" s="2029">
        <v>207.17439627488653</v>
      </c>
      <c r="N211" s="2030"/>
      <c r="O211" s="2840"/>
      <c r="P211" s="2840"/>
      <c r="Q211" s="2031"/>
    </row>
    <row r="212" spans="1:17">
      <c r="A212" s="63">
        <f t="shared" si="0"/>
        <v>2009.11</v>
      </c>
      <c r="B212" s="1938">
        <v>150.50428028377297</v>
      </c>
      <c r="C212" s="839">
        <v>151.34431087298501</v>
      </c>
      <c r="D212" s="1668">
        <v>148.59912456160771</v>
      </c>
      <c r="E212" s="2839">
        <v>104.89840019813646</v>
      </c>
      <c r="F212" s="839">
        <v>82.206753819838639</v>
      </c>
      <c r="G212" s="2839">
        <v>166.82704513689652</v>
      </c>
      <c r="H212" s="839">
        <v>110.75738122501848</v>
      </c>
      <c r="I212" s="2839">
        <v>190.33254701239497</v>
      </c>
      <c r="J212" s="839">
        <v>154.14886232857583</v>
      </c>
      <c r="K212" s="2839">
        <v>185.7270045572123</v>
      </c>
      <c r="L212" s="839">
        <v>139.72375235947021</v>
      </c>
      <c r="M212" s="2029">
        <v>198.31654828087377</v>
      </c>
      <c r="N212" s="2030"/>
      <c r="O212" s="2840"/>
      <c r="P212" s="2840"/>
      <c r="Q212" s="2031"/>
    </row>
    <row r="213" spans="1:17">
      <c r="A213" s="63">
        <f t="shared" si="0"/>
        <v>2009.12</v>
      </c>
      <c r="B213" s="1938">
        <v>148.59222121572589</v>
      </c>
      <c r="C213" s="839">
        <v>150.91840385434992</v>
      </c>
      <c r="D213" s="1668">
        <v>152.39908688347961</v>
      </c>
      <c r="E213" s="2839">
        <v>130.43655270306201</v>
      </c>
      <c r="F213" s="839">
        <v>75.159136085971241</v>
      </c>
      <c r="G213" s="2839">
        <v>168.08885350163447</v>
      </c>
      <c r="H213" s="839">
        <v>112.13793380141912</v>
      </c>
      <c r="I213" s="2839">
        <v>183.99485000032905</v>
      </c>
      <c r="J213" s="839">
        <v>156.7231319782328</v>
      </c>
      <c r="K213" s="2839">
        <v>180.00732534943145</v>
      </c>
      <c r="L213" s="839">
        <v>123.05046822540731</v>
      </c>
      <c r="M213" s="2029">
        <v>186.27741340991523</v>
      </c>
      <c r="N213" s="2030"/>
      <c r="O213" s="2840"/>
      <c r="P213" s="2840"/>
      <c r="Q213" s="2031"/>
    </row>
    <row r="214" spans="1:17">
      <c r="A214" s="63">
        <f t="shared" si="0"/>
        <v>2010.01</v>
      </c>
      <c r="B214" s="1938">
        <v>133.50021343657789</v>
      </c>
      <c r="C214" s="839">
        <v>155.31870445033664</v>
      </c>
      <c r="D214" s="1668">
        <v>136.80366236838626</v>
      </c>
      <c r="E214" s="2839">
        <v>106.49111817897487</v>
      </c>
      <c r="F214" s="839">
        <v>78.840512609745346</v>
      </c>
      <c r="G214" s="2839">
        <v>160.2388765594778</v>
      </c>
      <c r="H214" s="839">
        <v>112.5972228201155</v>
      </c>
      <c r="I214" s="2839">
        <v>191.33254618330946</v>
      </c>
      <c r="J214" s="839">
        <v>159.61794146171513</v>
      </c>
      <c r="K214" s="2839">
        <v>165.39008280048171</v>
      </c>
      <c r="L214" s="839">
        <v>103.44282376229913</v>
      </c>
      <c r="M214" s="2029">
        <v>107.65088059094471</v>
      </c>
      <c r="N214" s="770">
        <v>130.09632913441746</v>
      </c>
      <c r="O214" s="3169">
        <v>87.840758509818485</v>
      </c>
      <c r="P214" s="3169">
        <v>150.24596311277429</v>
      </c>
      <c r="Q214" s="164">
        <v>223.23467362291578</v>
      </c>
    </row>
    <row r="215" spans="1:17">
      <c r="A215" s="63">
        <f t="shared" si="0"/>
        <v>2010.02</v>
      </c>
      <c r="B215" s="1938">
        <v>134.13007687644034</v>
      </c>
      <c r="C215" s="839">
        <v>158.21411426734909</v>
      </c>
      <c r="D215" s="1668">
        <v>125.5537127205974</v>
      </c>
      <c r="E215" s="2839">
        <v>105.84859270199047</v>
      </c>
      <c r="F215" s="839">
        <v>88.603308247401827</v>
      </c>
      <c r="G215" s="2839">
        <v>154.22104286575532</v>
      </c>
      <c r="H215" s="839">
        <v>105.18109722496128</v>
      </c>
      <c r="I215" s="2839">
        <v>182.12471399681172</v>
      </c>
      <c r="J215" s="839">
        <v>149.56404250606488</v>
      </c>
      <c r="K215" s="2839">
        <v>162.9358954252632</v>
      </c>
      <c r="L215" s="839">
        <v>122.34121850192832</v>
      </c>
      <c r="M215" s="2029">
        <v>141.46804540440999</v>
      </c>
      <c r="N215" s="1668">
        <v>121.19351103134707</v>
      </c>
      <c r="O215" s="2839">
        <v>113.64156092983214</v>
      </c>
      <c r="P215" s="2839">
        <v>136.401178807669</v>
      </c>
      <c r="Q215" s="2032">
        <v>319.07921112629572</v>
      </c>
    </row>
    <row r="216" spans="1:17">
      <c r="A216" s="63">
        <f t="shared" si="0"/>
        <v>2010.03</v>
      </c>
      <c r="B216" s="1938">
        <v>160.63814618541346</v>
      </c>
      <c r="C216" s="839">
        <v>155.74923523382742</v>
      </c>
      <c r="D216" s="1668">
        <v>140.74738310021132</v>
      </c>
      <c r="E216" s="2839">
        <v>118.76276031826674</v>
      </c>
      <c r="F216" s="839">
        <v>99.281677959029309</v>
      </c>
      <c r="G216" s="2839">
        <v>165.0881364384241</v>
      </c>
      <c r="H216" s="839">
        <v>116.18232876461474</v>
      </c>
      <c r="I216" s="2839">
        <v>204.06237563486985</v>
      </c>
      <c r="J216" s="839">
        <v>163.38570029693523</v>
      </c>
      <c r="K216" s="2839">
        <v>196.94631626893124</v>
      </c>
      <c r="L216" s="839">
        <v>179.51174848785303</v>
      </c>
      <c r="M216" s="2029">
        <v>187.64249627667371</v>
      </c>
      <c r="N216" s="1668">
        <v>135.88279007561414</v>
      </c>
      <c r="O216" s="2839">
        <v>161.07394403163659</v>
      </c>
      <c r="P216" s="2839">
        <v>167.83539971284546</v>
      </c>
      <c r="Q216" s="2032">
        <v>425.32189731354629</v>
      </c>
    </row>
    <row r="217" spans="1:17">
      <c r="A217" s="63">
        <f t="shared" si="0"/>
        <v>2010.04</v>
      </c>
      <c r="B217" s="1938">
        <v>157.23179697534084</v>
      </c>
      <c r="C217" s="839">
        <v>157.45114133478776</v>
      </c>
      <c r="D217" s="1668">
        <v>141.70856902160457</v>
      </c>
      <c r="E217" s="2839">
        <v>99.449029449559958</v>
      </c>
      <c r="F217" s="839">
        <v>101.19719560558805</v>
      </c>
      <c r="G217" s="2839">
        <v>156.17624989781373</v>
      </c>
      <c r="H217" s="839">
        <v>108.21281435413439</v>
      </c>
      <c r="I217" s="2839">
        <v>194.00079059664208</v>
      </c>
      <c r="J217" s="839">
        <v>172.55981417156329</v>
      </c>
      <c r="K217" s="2839">
        <v>190.51938820214102</v>
      </c>
      <c r="L217" s="839">
        <v>179.67512737363316</v>
      </c>
      <c r="M217" s="2029">
        <v>201.84095602300476</v>
      </c>
      <c r="N217" s="1668">
        <v>132.35769393660235</v>
      </c>
      <c r="O217" s="2839">
        <v>167.56062879485557</v>
      </c>
      <c r="P217" s="2839">
        <v>155.1470879555375</v>
      </c>
      <c r="Q217" s="2032">
        <v>436.00150514909916</v>
      </c>
    </row>
    <row r="218" spans="1:17">
      <c r="A218" s="63">
        <f t="shared" si="0"/>
        <v>2010.05</v>
      </c>
      <c r="B218" s="1938">
        <v>159.17683012006455</v>
      </c>
      <c r="C218" s="839">
        <v>158.09258390510101</v>
      </c>
      <c r="D218" s="1668">
        <v>145.22481651486424</v>
      </c>
      <c r="E218" s="2839">
        <v>100.79114284320178</v>
      </c>
      <c r="F218" s="839">
        <v>107.77976738059849</v>
      </c>
      <c r="G218" s="2839">
        <v>154.39389755888911</v>
      </c>
      <c r="H218" s="839">
        <v>109.63911480490209</v>
      </c>
      <c r="I218" s="2839">
        <v>196.11254317352868</v>
      </c>
      <c r="J218" s="839">
        <v>164.48138765598858</v>
      </c>
      <c r="K218" s="2839">
        <v>195.71528643371764</v>
      </c>
      <c r="L218" s="839">
        <v>178.28203668337568</v>
      </c>
      <c r="M218" s="2029">
        <v>208.55220224638074</v>
      </c>
      <c r="N218" s="1668">
        <v>135.3928652849383</v>
      </c>
      <c r="O218" s="2839">
        <v>167.18290497267063</v>
      </c>
      <c r="P218" s="2839">
        <v>164.10241603624161</v>
      </c>
      <c r="Q218" s="2032">
        <v>454.97336160748722</v>
      </c>
    </row>
    <row r="219" spans="1:17">
      <c r="A219" s="63">
        <f t="shared" si="0"/>
        <v>2010.06</v>
      </c>
      <c r="B219" s="1938">
        <v>165.13318358868145</v>
      </c>
      <c r="C219" s="839">
        <v>160.16837606289366</v>
      </c>
      <c r="D219" s="1668">
        <v>158.79475128105469</v>
      </c>
      <c r="E219" s="2839">
        <v>100.15173070427859</v>
      </c>
      <c r="F219" s="839">
        <v>103.36992230809345</v>
      </c>
      <c r="G219" s="2839">
        <v>155.15404596336992</v>
      </c>
      <c r="H219" s="839">
        <v>105.86240161994647</v>
      </c>
      <c r="I219" s="2839">
        <v>196.28236080677183</v>
      </c>
      <c r="J219" s="839">
        <v>169.81643811293603</v>
      </c>
      <c r="K219" s="2839">
        <v>187.5155978030152</v>
      </c>
      <c r="L219" s="839">
        <v>175.49050917306874</v>
      </c>
      <c r="M219" s="2029">
        <v>230.93606939197218</v>
      </c>
      <c r="N219" s="1668">
        <v>145.81866196314363</v>
      </c>
      <c r="O219" s="2839">
        <v>170.06734366981155</v>
      </c>
      <c r="P219" s="2839">
        <v>148.62867464383035</v>
      </c>
      <c r="Q219" s="2032">
        <v>397.15420637380066</v>
      </c>
    </row>
    <row r="220" spans="1:17">
      <c r="A220" s="63">
        <f t="shared" si="0"/>
        <v>2010.07</v>
      </c>
      <c r="B220" s="1938">
        <v>161.74768710065013</v>
      </c>
      <c r="C220" s="839">
        <v>157.53032638372838</v>
      </c>
      <c r="D220" s="1668">
        <v>166.05441926506879</v>
      </c>
      <c r="E220" s="2839">
        <v>103.00555173906449</v>
      </c>
      <c r="F220" s="839">
        <v>96.243112381646412</v>
      </c>
      <c r="G220" s="2839">
        <v>160.74893948306513</v>
      </c>
      <c r="H220" s="839">
        <v>111.25897108043388</v>
      </c>
      <c r="I220" s="2839">
        <v>170.97051100177714</v>
      </c>
      <c r="J220" s="839">
        <v>173.76494756956868</v>
      </c>
      <c r="K220" s="2839">
        <v>193.44652153185822</v>
      </c>
      <c r="L220" s="839">
        <v>192.49912267254345</v>
      </c>
      <c r="M220" s="2029">
        <v>203.81907247616076</v>
      </c>
      <c r="N220" s="1668">
        <v>152.10343706183332</v>
      </c>
      <c r="O220" s="2839">
        <v>175.6775969064681</v>
      </c>
      <c r="P220" s="2839">
        <v>153.64145872812043</v>
      </c>
      <c r="Q220" s="2032">
        <v>422.99684218256391</v>
      </c>
    </row>
    <row r="221" spans="1:17">
      <c r="A221" s="63">
        <f t="shared" si="0"/>
        <v>2010.08</v>
      </c>
      <c r="B221" s="1938">
        <v>172.38374699499388</v>
      </c>
      <c r="C221" s="839">
        <v>161.86400060980188</v>
      </c>
      <c r="D221" s="1668">
        <v>174.48030981532455</v>
      </c>
      <c r="E221" s="2839">
        <v>104.56309751429119</v>
      </c>
      <c r="F221" s="839">
        <v>94.090524346209165</v>
      </c>
      <c r="G221" s="2839">
        <v>160.31700636930162</v>
      </c>
      <c r="H221" s="839">
        <v>116.3754209184392</v>
      </c>
      <c r="I221" s="2839">
        <v>188.01201453721961</v>
      </c>
      <c r="J221" s="839">
        <v>171.32765521694654</v>
      </c>
      <c r="K221" s="2839">
        <v>206.14226701286816</v>
      </c>
      <c r="L221" s="839">
        <v>193.45782356729001</v>
      </c>
      <c r="M221" s="2029">
        <v>249.29003003122091</v>
      </c>
      <c r="N221" s="1668">
        <v>159.00955161163046</v>
      </c>
      <c r="O221" s="2839">
        <v>188.23333411070405</v>
      </c>
      <c r="P221" s="2839">
        <v>163.25163163497356</v>
      </c>
      <c r="Q221" s="2032">
        <v>441.78653720153579</v>
      </c>
    </row>
    <row r="222" spans="1:17">
      <c r="A222" s="63">
        <f t="shared" ref="A222:A253" si="1">A210+1</f>
        <v>2010.09</v>
      </c>
      <c r="B222" s="1938">
        <v>172.95291423793341</v>
      </c>
      <c r="C222" s="839">
        <v>160.52675521721008</v>
      </c>
      <c r="D222" s="1668">
        <v>171.86181187015777</v>
      </c>
      <c r="E222" s="2839">
        <v>107.10729442582816</v>
      </c>
      <c r="F222" s="839">
        <v>95.91228410270763</v>
      </c>
      <c r="G222" s="2839">
        <v>159.46758071174401</v>
      </c>
      <c r="H222" s="839">
        <v>107.67630718411043</v>
      </c>
      <c r="I222" s="2839">
        <v>191.74485831510702</v>
      </c>
      <c r="J222" s="839">
        <v>183.90221005253082</v>
      </c>
      <c r="K222" s="2839">
        <v>197.48805222995537</v>
      </c>
      <c r="L222" s="839">
        <v>199.57826314254211</v>
      </c>
      <c r="M222" s="2029">
        <v>257.22601717358759</v>
      </c>
      <c r="N222" s="1668">
        <v>157.53341620036491</v>
      </c>
      <c r="O222" s="2839">
        <v>194.78233128905714</v>
      </c>
      <c r="P222" s="2839">
        <v>161.99908592835877</v>
      </c>
      <c r="Q222" s="2032">
        <v>435.46477839452939</v>
      </c>
    </row>
    <row r="223" spans="1:17">
      <c r="A223" s="63">
        <f t="shared" si="1"/>
        <v>2010.1</v>
      </c>
      <c r="B223" s="1938">
        <v>162.30978333539525</v>
      </c>
      <c r="C223" s="839">
        <v>162.28364233763801</v>
      </c>
      <c r="D223" s="1668">
        <v>154.71201023520086</v>
      </c>
      <c r="E223" s="2839">
        <v>103.4082576366426</v>
      </c>
      <c r="F223" s="839">
        <v>90.752744805650536</v>
      </c>
      <c r="G223" s="2839">
        <v>161.01562983256892</v>
      </c>
      <c r="H223" s="839">
        <v>101.10798906888296</v>
      </c>
      <c r="I223" s="2839">
        <v>194.723879397752</v>
      </c>
      <c r="J223" s="839">
        <v>190.99865308585677</v>
      </c>
      <c r="K223" s="2839">
        <v>206.81979411773412</v>
      </c>
      <c r="L223" s="839">
        <v>178.05441630492959</v>
      </c>
      <c r="M223" s="2029">
        <v>228.85688562123715</v>
      </c>
      <c r="N223" s="1668">
        <v>143.35989928465162</v>
      </c>
      <c r="O223" s="2839">
        <v>172.15294811222498</v>
      </c>
      <c r="P223" s="2839">
        <v>166.15754118527337</v>
      </c>
      <c r="Q223" s="2032">
        <v>451.23616162653497</v>
      </c>
    </row>
    <row r="224" spans="1:17">
      <c r="A224" s="63">
        <f t="shared" si="1"/>
        <v>2010.11</v>
      </c>
      <c r="B224" s="1938">
        <v>166.76795205309784</v>
      </c>
      <c r="C224" s="839">
        <v>164.03426019925703</v>
      </c>
      <c r="D224" s="1668">
        <v>153.37376359712056</v>
      </c>
      <c r="E224" s="2839">
        <v>109.13299036501256</v>
      </c>
      <c r="F224" s="839">
        <v>90.001733318604309</v>
      </c>
      <c r="G224" s="2839">
        <v>167.08294259280484</v>
      </c>
      <c r="H224" s="839">
        <v>107.35926943231442</v>
      </c>
      <c r="I224" s="2839">
        <v>207.78244169675872</v>
      </c>
      <c r="J224" s="839">
        <v>197.77369655278412</v>
      </c>
      <c r="K224" s="2839">
        <v>199.07385282936752</v>
      </c>
      <c r="L224" s="839">
        <v>163.67916721153358</v>
      </c>
      <c r="M224" s="2029">
        <v>263.05193077234503</v>
      </c>
      <c r="N224" s="1668">
        <v>143.58449593479574</v>
      </c>
      <c r="O224" s="2839">
        <v>174.84427633585665</v>
      </c>
      <c r="P224" s="2839">
        <v>163.45134969128222</v>
      </c>
      <c r="Q224" s="2032">
        <v>385.55053637471781</v>
      </c>
    </row>
    <row r="225" spans="1:17">
      <c r="A225" s="63">
        <f t="shared" si="1"/>
        <v>2010.12</v>
      </c>
      <c r="B225" s="1938">
        <v>160.45295607426175</v>
      </c>
      <c r="C225" s="839">
        <v>163.73044479899119</v>
      </c>
      <c r="D225" s="1668">
        <v>159.1385339272808</v>
      </c>
      <c r="E225" s="2839">
        <v>129.63107242187232</v>
      </c>
      <c r="F225" s="839">
        <v>77.605100395930762</v>
      </c>
      <c r="G225" s="2839">
        <v>181.27593439443521</v>
      </c>
      <c r="H225" s="839">
        <v>100.72602128468795</v>
      </c>
      <c r="I225" s="2839">
        <v>186.15973126317593</v>
      </c>
      <c r="J225" s="839">
        <v>191.55034703616053</v>
      </c>
      <c r="K225" s="2839">
        <v>187.02975461747647</v>
      </c>
      <c r="L225" s="839">
        <v>163.84786345586602</v>
      </c>
      <c r="M225" s="2029">
        <v>228.84617175567544</v>
      </c>
      <c r="N225" s="1668">
        <v>152.60934337275069</v>
      </c>
      <c r="O225" s="2839">
        <v>162.84162331013715</v>
      </c>
      <c r="P225" s="2839">
        <v>154.23041694533651</v>
      </c>
      <c r="Q225" s="2032">
        <v>346.92444423546272</v>
      </c>
    </row>
    <row r="226" spans="1:17">
      <c r="A226" s="63">
        <f t="shared" si="1"/>
        <v>2011.01</v>
      </c>
      <c r="B226" s="1938">
        <v>143.07456209931857</v>
      </c>
      <c r="C226" s="839">
        <v>167.61263117130329</v>
      </c>
      <c r="D226" s="1668">
        <v>144.50938402556997</v>
      </c>
      <c r="E226" s="2839">
        <v>113.25704839283794</v>
      </c>
      <c r="F226" s="839">
        <v>76.948022024405361</v>
      </c>
      <c r="G226" s="2839">
        <v>164.73762344973636</v>
      </c>
      <c r="H226" s="839">
        <v>108.9917198760389</v>
      </c>
      <c r="I226" s="2839">
        <v>191.06807749904786</v>
      </c>
      <c r="J226" s="839">
        <v>172.3591072105819</v>
      </c>
      <c r="K226" s="2839">
        <v>173.86629370471809</v>
      </c>
      <c r="L226" s="839">
        <v>121.25049960666121</v>
      </c>
      <c r="M226" s="2029">
        <v>159.1653401169072</v>
      </c>
      <c r="N226" s="1668">
        <v>137.5941007646619</v>
      </c>
      <c r="O226" s="2839">
        <v>124.13302718850846</v>
      </c>
      <c r="P226" s="2839">
        <v>154.65602222269229</v>
      </c>
      <c r="Q226" s="2032">
        <v>236.12084464006608</v>
      </c>
    </row>
    <row r="227" spans="1:17">
      <c r="A227" s="63">
        <f t="shared" si="1"/>
        <v>2011.02</v>
      </c>
      <c r="B227" s="1938">
        <v>139.9643351109122</v>
      </c>
      <c r="C227" s="839">
        <v>164.8877958585922</v>
      </c>
      <c r="D227" s="1668">
        <v>133.5413064820433</v>
      </c>
      <c r="E227" s="2839">
        <v>103.28338723694897</v>
      </c>
      <c r="F227" s="839">
        <v>94.263986744606981</v>
      </c>
      <c r="G227" s="2839">
        <v>158.58527976814042</v>
      </c>
      <c r="H227" s="839">
        <v>102.1584723059586</v>
      </c>
      <c r="I227" s="2839">
        <v>171.25963372998444</v>
      </c>
      <c r="J227" s="839">
        <v>167.39230251567162</v>
      </c>
      <c r="K227" s="2839">
        <v>191.74633750201409</v>
      </c>
      <c r="L227" s="839">
        <v>148.14410507740197</v>
      </c>
      <c r="M227" s="2029">
        <v>150.45639616766812</v>
      </c>
      <c r="N227" s="1668">
        <v>126.84606024750718</v>
      </c>
      <c r="O227" s="2839">
        <v>127.34526616260797</v>
      </c>
      <c r="P227" s="2839">
        <v>146.50247887697441</v>
      </c>
      <c r="Q227" s="2032">
        <v>352.56090241047571</v>
      </c>
    </row>
    <row r="228" spans="1:17">
      <c r="A228" s="63">
        <f t="shared" si="1"/>
        <v>2011.03</v>
      </c>
      <c r="B228" s="1938">
        <v>163.80150326944164</v>
      </c>
      <c r="C228" s="839">
        <v>166.78342245440999</v>
      </c>
      <c r="D228" s="1668">
        <v>151.51967084147185</v>
      </c>
      <c r="E228" s="2839">
        <v>118.76123449880073</v>
      </c>
      <c r="F228" s="839">
        <v>108.14864410474439</v>
      </c>
      <c r="G228" s="2839">
        <v>165.88224841185783</v>
      </c>
      <c r="H228" s="839">
        <v>111.10818699816876</v>
      </c>
      <c r="I228" s="2839">
        <v>194.09317939925921</v>
      </c>
      <c r="J228" s="839">
        <v>176.54615011765267</v>
      </c>
      <c r="K228" s="2839">
        <v>208.54007120603154</v>
      </c>
      <c r="L228" s="839">
        <v>172.06500240289225</v>
      </c>
      <c r="M228" s="2029">
        <v>245.91916199236729</v>
      </c>
      <c r="N228" s="1668">
        <v>144.27112887148428</v>
      </c>
      <c r="O228" s="2839">
        <v>170.27177937906941</v>
      </c>
      <c r="P228" s="2839">
        <v>156.82124210375727</v>
      </c>
      <c r="Q228" s="2032">
        <v>381.3390323239397</v>
      </c>
    </row>
    <row r="229" spans="1:17">
      <c r="A229" s="63">
        <f t="shared" si="1"/>
        <v>2011.04</v>
      </c>
      <c r="B229" s="1938">
        <v>165.15422358710879</v>
      </c>
      <c r="C229" s="839">
        <v>168.11114473070486</v>
      </c>
      <c r="D229" s="1668">
        <v>147.74767725681119</v>
      </c>
      <c r="E229" s="2839">
        <v>107.53931851563618</v>
      </c>
      <c r="F229" s="839">
        <v>107.95323062688544</v>
      </c>
      <c r="G229" s="2839">
        <v>156.96929191721557</v>
      </c>
      <c r="H229" s="839">
        <v>104.43715748696999</v>
      </c>
      <c r="I229" s="2839">
        <v>186.70073930596857</v>
      </c>
      <c r="J229" s="839">
        <v>185.04749157505969</v>
      </c>
      <c r="K229" s="2839">
        <v>204.56030328849286</v>
      </c>
      <c r="L229" s="839">
        <v>199.11743336324139</v>
      </c>
      <c r="M229" s="2029">
        <v>250.91419083395181</v>
      </c>
      <c r="N229" s="1668">
        <v>138.85067213632937</v>
      </c>
      <c r="O229" s="2839">
        <v>191.8540903232884</v>
      </c>
      <c r="P229" s="2839">
        <v>150.55119781109258</v>
      </c>
      <c r="Q229" s="2032">
        <v>399.35243312140699</v>
      </c>
    </row>
    <row r="230" spans="1:17">
      <c r="A230" s="63">
        <f t="shared" si="1"/>
        <v>2011.05</v>
      </c>
      <c r="B230" s="1938">
        <v>170.54529840997478</v>
      </c>
      <c r="C230" s="839">
        <v>166.48326933013868</v>
      </c>
      <c r="D230" s="1668">
        <v>155.6619073961601</v>
      </c>
      <c r="E230" s="2839">
        <v>107.74992540832355</v>
      </c>
      <c r="F230" s="839">
        <v>107.38273420727911</v>
      </c>
      <c r="G230" s="2839">
        <v>161.94871386459195</v>
      </c>
      <c r="H230" s="839">
        <v>101.11504365403579</v>
      </c>
      <c r="I230" s="2839">
        <v>191.48536597075784</v>
      </c>
      <c r="J230" s="839">
        <v>199.13170515042657</v>
      </c>
      <c r="K230" s="2839">
        <v>215.45991318040308</v>
      </c>
      <c r="L230" s="839">
        <v>200.19150974196313</v>
      </c>
      <c r="M230" s="2029">
        <v>277.60548461511081</v>
      </c>
      <c r="N230" s="1668">
        <v>145.06030209756602</v>
      </c>
      <c r="O230" s="2839">
        <v>200.50978619486634</v>
      </c>
      <c r="P230" s="2839">
        <v>167.01613937231087</v>
      </c>
      <c r="Q230" s="2032">
        <v>381.34639069922076</v>
      </c>
    </row>
    <row r="231" spans="1:17">
      <c r="A231" s="63">
        <f t="shared" si="1"/>
        <v>2011.06</v>
      </c>
      <c r="B231" s="1938">
        <v>172.48107219405088</v>
      </c>
      <c r="C231" s="839">
        <v>167.59011066430907</v>
      </c>
      <c r="D231" s="1668">
        <v>163.08339997934519</v>
      </c>
      <c r="E231" s="2839">
        <v>104.77270426409365</v>
      </c>
      <c r="F231" s="839">
        <v>102.80920245334288</v>
      </c>
      <c r="G231" s="2839">
        <v>158.62513854971729</v>
      </c>
      <c r="H231" s="839">
        <v>106.24708871672067</v>
      </c>
      <c r="I231" s="2839">
        <v>184.5050628589525</v>
      </c>
      <c r="J231" s="839">
        <v>182.31681947310861</v>
      </c>
      <c r="K231" s="2839">
        <v>206.38097339206752</v>
      </c>
      <c r="L231" s="839">
        <v>209.33212112411655</v>
      </c>
      <c r="M231" s="2029">
        <v>281.06846096087634</v>
      </c>
      <c r="N231" s="1668">
        <v>150.18084502312445</v>
      </c>
      <c r="O231" s="2839">
        <v>209.73269985707617</v>
      </c>
      <c r="P231" s="2839">
        <v>155.77622366947475</v>
      </c>
      <c r="Q231" s="2032">
        <v>379.8864125932231</v>
      </c>
    </row>
    <row r="232" spans="1:17">
      <c r="A232" s="63">
        <f t="shared" si="1"/>
        <v>2011.07</v>
      </c>
      <c r="B232" s="1938">
        <v>169.07453594117845</v>
      </c>
      <c r="C232" s="839">
        <v>166.27677532215594</v>
      </c>
      <c r="D232" s="1668">
        <v>169.90256479832033</v>
      </c>
      <c r="E232" s="2839">
        <v>100.39062047780732</v>
      </c>
      <c r="F232" s="839">
        <v>95.420638916999067</v>
      </c>
      <c r="G232" s="2839">
        <v>160.6809017674137</v>
      </c>
      <c r="H232" s="839">
        <v>111.30872320045076</v>
      </c>
      <c r="I232" s="2839">
        <v>173.77268225956149</v>
      </c>
      <c r="J232" s="839">
        <v>190.24665976468111</v>
      </c>
      <c r="K232" s="2839">
        <v>215.97939069495973</v>
      </c>
      <c r="L232" s="839">
        <v>207.61576934795335</v>
      </c>
      <c r="M232" s="2029">
        <v>248.0467830365036</v>
      </c>
      <c r="N232" s="1668">
        <v>154.52148126453918</v>
      </c>
      <c r="O232" s="2839">
        <v>198.42545536188226</v>
      </c>
      <c r="P232" s="2839">
        <v>157.20464644989357</v>
      </c>
      <c r="Q232" s="2032">
        <v>358.02082683733249</v>
      </c>
    </row>
    <row r="233" spans="1:17">
      <c r="A233" s="63">
        <f t="shared" si="1"/>
        <v>2011.08</v>
      </c>
      <c r="B233" s="1938">
        <v>177.57340492081207</v>
      </c>
      <c r="C233" s="839">
        <v>164.37238381215067</v>
      </c>
      <c r="D233" s="1668">
        <v>177.39862035608934</v>
      </c>
      <c r="E233" s="2839">
        <v>115.43484811036903</v>
      </c>
      <c r="F233" s="839">
        <v>91.054139190101381</v>
      </c>
      <c r="G233" s="2839">
        <v>157.83916688978456</v>
      </c>
      <c r="H233" s="839">
        <v>98.5938743344133</v>
      </c>
      <c r="I233" s="2839">
        <v>179.45583801942669</v>
      </c>
      <c r="J233" s="839">
        <v>195.69454036231235</v>
      </c>
      <c r="K233" s="2839">
        <v>213.15978044784094</v>
      </c>
      <c r="L233" s="839">
        <v>216.96998935927166</v>
      </c>
      <c r="M233" s="2029">
        <v>298.86412545255479</v>
      </c>
      <c r="N233" s="1668">
        <v>163.68773992689151</v>
      </c>
      <c r="O233" s="2839">
        <v>217.80668037816019</v>
      </c>
      <c r="P233" s="2839">
        <v>151.77952182304907</v>
      </c>
      <c r="Q233" s="2032">
        <v>349.65951927306088</v>
      </c>
    </row>
    <row r="234" spans="1:17">
      <c r="A234" s="63">
        <f t="shared" si="1"/>
        <v>2011.09</v>
      </c>
      <c r="B234" s="1938">
        <v>181.45868786073106</v>
      </c>
      <c r="C234" s="839">
        <v>168.35507062025192</v>
      </c>
      <c r="D234" s="1668">
        <v>182.82286129285305</v>
      </c>
      <c r="E234" s="2839">
        <v>111.35605749968083</v>
      </c>
      <c r="F234" s="839">
        <v>91.344115621690491</v>
      </c>
      <c r="G234" s="2839">
        <v>155.9175850801777</v>
      </c>
      <c r="H234" s="839">
        <v>110.8324375968446</v>
      </c>
      <c r="I234" s="2839">
        <v>196.84656686993958</v>
      </c>
      <c r="J234" s="839">
        <v>208.80822136824804</v>
      </c>
      <c r="K234" s="2839">
        <v>205.66444274049417</v>
      </c>
      <c r="L234" s="839">
        <v>220.40493680019387</v>
      </c>
      <c r="M234" s="2029">
        <v>281.60666695763092</v>
      </c>
      <c r="N234" s="1668">
        <v>167.00922106482761</v>
      </c>
      <c r="O234" s="2839">
        <v>215.14108862707801</v>
      </c>
      <c r="P234" s="2839">
        <v>160.97121774746842</v>
      </c>
      <c r="Q234" s="2032">
        <v>402.05892896262026</v>
      </c>
    </row>
    <row r="235" spans="1:17">
      <c r="A235" s="63">
        <f t="shared" si="1"/>
        <v>2011.1</v>
      </c>
      <c r="B235" s="1938">
        <v>176.42866944146635</v>
      </c>
      <c r="C235" s="839">
        <v>166.20468277621598</v>
      </c>
      <c r="D235" s="1668">
        <v>169.41256554584209</v>
      </c>
      <c r="E235" s="2839">
        <v>108.29329544869688</v>
      </c>
      <c r="F235" s="839">
        <v>85.030644641247576</v>
      </c>
      <c r="G235" s="2839">
        <v>160.06470943158644</v>
      </c>
      <c r="H235" s="839">
        <v>100.95764283701929</v>
      </c>
      <c r="I235" s="2839">
        <v>213.96533660478434</v>
      </c>
      <c r="J235" s="839">
        <v>204.79563065259083</v>
      </c>
      <c r="K235" s="2839">
        <v>221.90844636646278</v>
      </c>
      <c r="L235" s="839">
        <v>213.78255013477329</v>
      </c>
      <c r="M235" s="2029">
        <v>255.36235217889586</v>
      </c>
      <c r="N235" s="1668">
        <v>155.88855024059762</v>
      </c>
      <c r="O235" s="2839">
        <v>203.6064266704806</v>
      </c>
      <c r="P235" s="2839">
        <v>161.11771169510715</v>
      </c>
      <c r="Q235" s="2032">
        <v>426.40956341637616</v>
      </c>
    </row>
    <row r="236" spans="1:17">
      <c r="A236" s="63">
        <f t="shared" si="1"/>
        <v>2011.11</v>
      </c>
      <c r="B236" s="1938">
        <v>172.34352581282846</v>
      </c>
      <c r="C236" s="839">
        <v>169.45862019744513</v>
      </c>
      <c r="D236" s="1668">
        <v>161.29892946170037</v>
      </c>
      <c r="E236" s="2839">
        <v>109.98001266991619</v>
      </c>
      <c r="F236" s="839">
        <v>83.838399761422437</v>
      </c>
      <c r="G236" s="2839">
        <v>166.45715198174375</v>
      </c>
      <c r="H236" s="839">
        <v>97.876997055923368</v>
      </c>
      <c r="I236" s="2839">
        <v>213.25436538751495</v>
      </c>
      <c r="J236" s="839">
        <v>196.2580283860035</v>
      </c>
      <c r="K236" s="2839">
        <v>196.38536128273128</v>
      </c>
      <c r="L236" s="839">
        <v>201.02194774360626</v>
      </c>
      <c r="M236" s="2029">
        <v>270.16897220634615</v>
      </c>
      <c r="N236" s="1668">
        <v>149.94346309180543</v>
      </c>
      <c r="O236" s="2839">
        <v>198.56415524750435</v>
      </c>
      <c r="P236" s="2839">
        <v>151.29142872734829</v>
      </c>
      <c r="Q236" s="2032">
        <v>353.75514014953097</v>
      </c>
    </row>
    <row r="237" spans="1:17">
      <c r="A237" s="63">
        <f t="shared" si="1"/>
        <v>2011.12</v>
      </c>
      <c r="B237" s="1938">
        <v>164.56656413650796</v>
      </c>
      <c r="C237" s="839">
        <v>171.09508629114097</v>
      </c>
      <c r="D237" s="1668">
        <v>171.05297074405809</v>
      </c>
      <c r="E237" s="2839">
        <v>128.1420864599153</v>
      </c>
      <c r="F237" s="839">
        <v>72.624348180519192</v>
      </c>
      <c r="G237" s="2839">
        <v>180.6712840136814</v>
      </c>
      <c r="H237" s="839">
        <v>110.08749947879983</v>
      </c>
      <c r="I237" s="2839">
        <v>198.4940324254226</v>
      </c>
      <c r="J237" s="839">
        <v>187.36477021592216</v>
      </c>
      <c r="K237" s="2839">
        <v>185.91664127173985</v>
      </c>
      <c r="L237" s="839">
        <v>190.25636460556765</v>
      </c>
      <c r="M237" s="2029">
        <v>184.61681843155398</v>
      </c>
      <c r="N237" s="1668">
        <v>161.55797096906193</v>
      </c>
      <c r="O237" s="2839">
        <v>163.84638053244248</v>
      </c>
      <c r="P237" s="2839">
        <v>143.65244480651492</v>
      </c>
      <c r="Q237" s="2032">
        <v>316.894334887752</v>
      </c>
    </row>
    <row r="238" spans="1:17">
      <c r="A238" s="63">
        <f t="shared" si="1"/>
        <v>2012.01</v>
      </c>
      <c r="B238" s="1938">
        <v>144.19165349097804</v>
      </c>
      <c r="C238" s="839">
        <v>167.66117184957719</v>
      </c>
      <c r="D238" s="1668">
        <v>156.16883115781661</v>
      </c>
      <c r="E238" s="2839">
        <v>113.65534527064092</v>
      </c>
      <c r="F238" s="839">
        <v>71.746106750790474</v>
      </c>
      <c r="G238" s="2839">
        <v>162.83776742071575</v>
      </c>
      <c r="H238" s="839">
        <v>105.39932053810395</v>
      </c>
      <c r="I238" s="2839">
        <v>197.460571339431</v>
      </c>
      <c r="J238" s="839">
        <v>174.99246620692938</v>
      </c>
      <c r="K238" s="2839">
        <v>169.77094341311852</v>
      </c>
      <c r="L238" s="839">
        <v>123.72951763403161</v>
      </c>
      <c r="M238" s="2029">
        <v>142.2114671176943</v>
      </c>
      <c r="N238" s="1668">
        <v>146.761764730099</v>
      </c>
      <c r="O238" s="2839">
        <v>110.11352327780357</v>
      </c>
      <c r="P238" s="2839">
        <v>149.99655452493576</v>
      </c>
      <c r="Q238" s="2032">
        <v>267.9620431931308</v>
      </c>
    </row>
    <row r="239" spans="1:17">
      <c r="A239" s="63">
        <f t="shared" si="1"/>
        <v>2012.02</v>
      </c>
      <c r="B239" s="1938">
        <v>146.54386877852502</v>
      </c>
      <c r="C239" s="839">
        <v>164.9821913926026</v>
      </c>
      <c r="D239" s="1668">
        <v>145.64525445893923</v>
      </c>
      <c r="E239" s="2839">
        <v>111.1199355490896</v>
      </c>
      <c r="F239" s="839">
        <v>86.653144232683317</v>
      </c>
      <c r="G239" s="2839">
        <v>158.01006055616637</v>
      </c>
      <c r="H239" s="839">
        <v>97.71746365685307</v>
      </c>
      <c r="I239" s="2839">
        <v>178.98421579386104</v>
      </c>
      <c r="J239" s="839">
        <v>161.81826668877071</v>
      </c>
      <c r="K239" s="2839">
        <v>188.12425183707867</v>
      </c>
      <c r="L239" s="839">
        <v>153.77706001509381</v>
      </c>
      <c r="M239" s="2029">
        <v>184.5324491821188</v>
      </c>
      <c r="N239" s="1668">
        <v>138.00574991948528</v>
      </c>
      <c r="O239" s="2839">
        <v>148.73962947669446</v>
      </c>
      <c r="P239" s="2839">
        <v>142.71938883707756</v>
      </c>
      <c r="Q239" s="2032">
        <v>272.40781084472513</v>
      </c>
    </row>
    <row r="240" spans="1:17">
      <c r="A240" s="63">
        <f t="shared" si="1"/>
        <v>2012.03</v>
      </c>
      <c r="B240" s="1938">
        <v>178.43059040998529</v>
      </c>
      <c r="C240" s="839">
        <v>164.59700108814101</v>
      </c>
      <c r="D240" s="1668">
        <v>167.56655123519209</v>
      </c>
      <c r="E240" s="2839">
        <v>120.8282225802257</v>
      </c>
      <c r="F240" s="839">
        <v>102.13625457159038</v>
      </c>
      <c r="G240" s="2839">
        <v>163.22254822623574</v>
      </c>
      <c r="H240" s="839">
        <v>107.38225943090576</v>
      </c>
      <c r="I240" s="2839">
        <v>211.86519323640914</v>
      </c>
      <c r="J240" s="839">
        <v>192.01972338208438</v>
      </c>
      <c r="K240" s="2839">
        <v>209.94280747653826</v>
      </c>
      <c r="L240" s="839">
        <v>230.2278825739854</v>
      </c>
      <c r="M240" s="2029">
        <v>233.26563470443966</v>
      </c>
      <c r="N240" s="1668">
        <v>157.22464317466313</v>
      </c>
      <c r="O240" s="2839">
        <v>210.98375274095599</v>
      </c>
      <c r="P240" s="2839">
        <v>164.40128905864498</v>
      </c>
      <c r="Q240" s="2032">
        <v>371.08477677208111</v>
      </c>
    </row>
    <row r="241" spans="1:17">
      <c r="A241" s="63">
        <f t="shared" si="1"/>
        <v>2012.04</v>
      </c>
      <c r="B241" s="1938">
        <v>159.0460443551147</v>
      </c>
      <c r="C241" s="839">
        <v>161.68133471185476</v>
      </c>
      <c r="D241" s="1668">
        <v>151.14514241251089</v>
      </c>
      <c r="E241" s="2839">
        <v>101.90770581505551</v>
      </c>
      <c r="F241" s="839">
        <v>102.24148193256518</v>
      </c>
      <c r="G241" s="2839">
        <v>152.93174792955716</v>
      </c>
      <c r="H241" s="839">
        <v>102.52966781236795</v>
      </c>
      <c r="I241" s="2839">
        <v>191.09625578235588</v>
      </c>
      <c r="J241" s="839">
        <v>159.27902665400381</v>
      </c>
      <c r="K241" s="2839">
        <v>204.48364204276359</v>
      </c>
      <c r="L241" s="839">
        <v>199.94365041136081</v>
      </c>
      <c r="M241" s="2029">
        <v>190.02616160785075</v>
      </c>
      <c r="N241" s="1668">
        <v>140.25025042383686</v>
      </c>
      <c r="O241" s="2839">
        <v>175.90808975931398</v>
      </c>
      <c r="P241" s="2839">
        <v>151.63234449965015</v>
      </c>
      <c r="Q241" s="2032">
        <v>338.45329944043164</v>
      </c>
    </row>
    <row r="242" spans="1:17">
      <c r="A242" s="63">
        <f t="shared" si="1"/>
        <v>2012.05</v>
      </c>
      <c r="B242" s="1938">
        <v>169.28951779123608</v>
      </c>
      <c r="C242" s="839">
        <v>162.52252948576802</v>
      </c>
      <c r="D242" s="1668">
        <v>159.95938613115132</v>
      </c>
      <c r="E242" s="2839">
        <v>109.63262436063634</v>
      </c>
      <c r="F242" s="839">
        <v>104.60100235693632</v>
      </c>
      <c r="G242" s="2839">
        <v>157.08513438101588</v>
      </c>
      <c r="H242" s="839">
        <v>106.60894433441331</v>
      </c>
      <c r="I242" s="2839">
        <v>200.57417674297253</v>
      </c>
      <c r="J242" s="839">
        <v>169.67585133091549</v>
      </c>
      <c r="K242" s="2839">
        <v>200.34376974179918</v>
      </c>
      <c r="L242" s="839">
        <v>219.58382396908408</v>
      </c>
      <c r="M242" s="2029">
        <v>212.67093174450054</v>
      </c>
      <c r="N242" s="1668">
        <v>148.82345640937888</v>
      </c>
      <c r="O242" s="2839">
        <v>190.3855180776325</v>
      </c>
      <c r="P242" s="2839">
        <v>157.4107454271842</v>
      </c>
      <c r="Q242" s="2032">
        <v>401.85742808684427</v>
      </c>
    </row>
    <row r="243" spans="1:17">
      <c r="A243" s="63">
        <f t="shared" si="1"/>
        <v>2012.06</v>
      </c>
      <c r="B243" s="1938">
        <v>165.43305441733611</v>
      </c>
      <c r="C243" s="839">
        <v>163.29068636247825</v>
      </c>
      <c r="D243" s="1668">
        <v>166.87070645063429</v>
      </c>
      <c r="E243" s="2839">
        <v>106.75044455508012</v>
      </c>
      <c r="F243" s="839">
        <v>101.492642835472</v>
      </c>
      <c r="G243" s="2839">
        <v>152.94591342682824</v>
      </c>
      <c r="H243" s="839">
        <v>106.37780250739539</v>
      </c>
      <c r="I243" s="2839">
        <v>183.02491390057224</v>
      </c>
      <c r="J243" s="839">
        <v>179.51108939158115</v>
      </c>
      <c r="K243" s="2839">
        <v>200.30401155244468</v>
      </c>
      <c r="L243" s="839">
        <v>214.84060906483566</v>
      </c>
      <c r="M243" s="2029">
        <v>183.27510193024631</v>
      </c>
      <c r="N243" s="1668">
        <v>153.56774421403586</v>
      </c>
      <c r="O243" s="2839">
        <v>178.93094836443126</v>
      </c>
      <c r="P243" s="2839">
        <v>152.80678089194632</v>
      </c>
      <c r="Q243" s="2032">
        <v>376.07140303923512</v>
      </c>
    </row>
    <row r="244" spans="1:17">
      <c r="A244" s="63">
        <f t="shared" si="1"/>
        <v>2012.07</v>
      </c>
      <c r="B244" s="1938">
        <v>173.28511066841304</v>
      </c>
      <c r="C244" s="839">
        <v>167.04759383102106</v>
      </c>
      <c r="D244" s="1668">
        <v>173.56167488097856</v>
      </c>
      <c r="E244" s="2839">
        <v>98.548943030674593</v>
      </c>
      <c r="F244" s="839">
        <v>93.845705491813504</v>
      </c>
      <c r="G244" s="2839">
        <v>154.75725540106663</v>
      </c>
      <c r="H244" s="839">
        <v>113.95929360473302</v>
      </c>
      <c r="I244" s="2839">
        <v>199.03916499358914</v>
      </c>
      <c r="J244" s="839">
        <v>179.65146776412274</v>
      </c>
      <c r="K244" s="2839">
        <v>170.51600249348633</v>
      </c>
      <c r="L244" s="839">
        <v>225.8422902511858</v>
      </c>
      <c r="M244" s="2029">
        <v>232.08638062590254</v>
      </c>
      <c r="N244" s="1668">
        <v>156.96341819336971</v>
      </c>
      <c r="O244" s="2839">
        <v>200.70179184451064</v>
      </c>
      <c r="P244" s="2839">
        <v>154.96668395022743</v>
      </c>
      <c r="Q244" s="2032">
        <v>416.06739141499497</v>
      </c>
    </row>
    <row r="245" spans="1:17">
      <c r="A245" s="63">
        <f t="shared" si="1"/>
        <v>2012.08</v>
      </c>
      <c r="B245" s="1938">
        <v>178.01432332779106</v>
      </c>
      <c r="C245" s="839">
        <v>165.05441199574486</v>
      </c>
      <c r="D245" s="1668">
        <v>175.67422276817061</v>
      </c>
      <c r="E245" s="2839">
        <v>111.21682351802163</v>
      </c>
      <c r="F245" s="839">
        <v>87.271156038070075</v>
      </c>
      <c r="G245" s="2839">
        <v>151.71772393231635</v>
      </c>
      <c r="H245" s="839">
        <v>113.95799450626849</v>
      </c>
      <c r="I245" s="2839">
        <v>200.93585516709911</v>
      </c>
      <c r="J245" s="839">
        <v>175.92425267594805</v>
      </c>
      <c r="K245" s="2839">
        <v>174.32754185320624</v>
      </c>
      <c r="L245" s="839">
        <v>220.66974967277847</v>
      </c>
      <c r="M245" s="2029">
        <v>278.29113055710383</v>
      </c>
      <c r="N245" s="1668">
        <v>161.41157119183927</v>
      </c>
      <c r="O245" s="2839">
        <v>211.47322559713766</v>
      </c>
      <c r="P245" s="2839">
        <v>155.66936693204292</v>
      </c>
      <c r="Q245" s="2032">
        <v>441.26674489820033</v>
      </c>
    </row>
    <row r="246" spans="1:17">
      <c r="A246" s="63">
        <f t="shared" si="1"/>
        <v>2012.09</v>
      </c>
      <c r="B246" s="1938">
        <v>168.37633181342574</v>
      </c>
      <c r="C246" s="839">
        <v>160.4419880270992</v>
      </c>
      <c r="D246" s="1668">
        <v>179.50935775544511</v>
      </c>
      <c r="E246" s="2839">
        <v>100.14197857693117</v>
      </c>
      <c r="F246" s="839">
        <v>87.421269194966627</v>
      </c>
      <c r="G246" s="2839">
        <v>151.09933471028367</v>
      </c>
      <c r="H246" s="839">
        <v>114.71340836737566</v>
      </c>
      <c r="I246" s="2839">
        <v>196.47975042525002</v>
      </c>
      <c r="J246" s="839">
        <v>178.77435385227366</v>
      </c>
      <c r="K246" s="2839">
        <v>178.72700816398043</v>
      </c>
      <c r="L246" s="839">
        <v>181.41415345483748</v>
      </c>
      <c r="M246" s="2029">
        <v>241.15913356656836</v>
      </c>
      <c r="N246" s="1668">
        <v>161.94753725200451</v>
      </c>
      <c r="O246" s="2839">
        <v>171.72052561584175</v>
      </c>
      <c r="P246" s="2839">
        <v>154.65182008909446</v>
      </c>
      <c r="Q246" s="2032">
        <v>411.23070811810447</v>
      </c>
    </row>
    <row r="247" spans="1:17">
      <c r="A247" s="63">
        <f t="shared" si="1"/>
        <v>2012.1</v>
      </c>
      <c r="B247" s="1938">
        <v>178.07928651352461</v>
      </c>
      <c r="C247" s="839">
        <v>163.09495958306928</v>
      </c>
      <c r="D247" s="1668">
        <v>173.69460516503463</v>
      </c>
      <c r="E247" s="2839">
        <v>112.20630337430994</v>
      </c>
      <c r="F247" s="839">
        <v>82.217961192165717</v>
      </c>
      <c r="G247" s="2839">
        <v>156.26871906468148</v>
      </c>
      <c r="H247" s="839">
        <v>114.92192189040709</v>
      </c>
      <c r="I247" s="2839">
        <v>210.24286346482847</v>
      </c>
      <c r="J247" s="839">
        <v>196.11839258279855</v>
      </c>
      <c r="K247" s="2839">
        <v>188.63434898049326</v>
      </c>
      <c r="L247" s="839">
        <v>208.46792461548415</v>
      </c>
      <c r="M247" s="2029">
        <v>278.39952059877504</v>
      </c>
      <c r="N247" s="1668">
        <v>160.08893328463543</v>
      </c>
      <c r="O247" s="2839">
        <v>201.1189217661973</v>
      </c>
      <c r="P247" s="2839">
        <v>160.95766626845682</v>
      </c>
      <c r="Q247" s="2032">
        <v>449.93164817819735</v>
      </c>
    </row>
    <row r="248" spans="1:17">
      <c r="A248" s="63">
        <f t="shared" si="1"/>
        <v>2012.11</v>
      </c>
      <c r="B248" s="1938">
        <v>166.68502294071868</v>
      </c>
      <c r="C248" s="839">
        <v>163.41116415974136</v>
      </c>
      <c r="D248" s="1668">
        <v>158.89851426775866</v>
      </c>
      <c r="E248" s="2839">
        <v>113.48707873287059</v>
      </c>
      <c r="F248" s="839">
        <v>81.3058513721232</v>
      </c>
      <c r="G248" s="2839">
        <v>158.05320419842363</v>
      </c>
      <c r="H248" s="839">
        <v>105.15074406254401</v>
      </c>
      <c r="I248" s="2839">
        <v>200.08295407881974</v>
      </c>
      <c r="J248" s="839">
        <v>191.49846781433732</v>
      </c>
      <c r="K248" s="2839">
        <v>181.21663996282646</v>
      </c>
      <c r="L248" s="839">
        <v>180.2293350824439</v>
      </c>
      <c r="M248" s="2029">
        <v>273.04327801028279</v>
      </c>
      <c r="N248" s="1668">
        <v>148.85021120015318</v>
      </c>
      <c r="O248" s="2839">
        <v>185.92562721018697</v>
      </c>
      <c r="P248" s="2839">
        <v>154.24081912132047</v>
      </c>
      <c r="Q248" s="2032">
        <v>394.27230103320505</v>
      </c>
    </row>
    <row r="249" spans="1:17">
      <c r="A249" s="63">
        <f t="shared" si="1"/>
        <v>2012.12</v>
      </c>
      <c r="B249" s="1938">
        <v>154.48666089412578</v>
      </c>
      <c r="C249" s="839">
        <v>164.03543524508788</v>
      </c>
      <c r="D249" s="1668">
        <v>166.01209083606713</v>
      </c>
      <c r="E249" s="2839">
        <v>121.0826523962065</v>
      </c>
      <c r="F249" s="839">
        <v>70.773082322550735</v>
      </c>
      <c r="G249" s="2839">
        <v>166.21548162424202</v>
      </c>
      <c r="H249" s="839">
        <v>113.39568091280461</v>
      </c>
      <c r="I249" s="2839">
        <v>187.4378343537131</v>
      </c>
      <c r="J249" s="839">
        <v>164.15293578534281</v>
      </c>
      <c r="K249" s="2839">
        <v>164.62188959875235</v>
      </c>
      <c r="L249" s="839">
        <v>142.4661575037685</v>
      </c>
      <c r="M249" s="2029">
        <v>212.1476120794884</v>
      </c>
      <c r="N249" s="1668">
        <v>156.07044048338895</v>
      </c>
      <c r="O249" s="2839">
        <v>143.1818267351037</v>
      </c>
      <c r="P249" s="2839">
        <v>146.94816457760118</v>
      </c>
      <c r="Q249" s="2032">
        <v>327.69214061719146</v>
      </c>
    </row>
    <row r="250" spans="1:17">
      <c r="A250" s="63">
        <f t="shared" si="1"/>
        <v>2013.01</v>
      </c>
      <c r="B250" s="1938">
        <v>139.19084977579405</v>
      </c>
      <c r="C250" s="839">
        <v>160.42735341130827</v>
      </c>
      <c r="D250" s="1668">
        <v>157.96978970332381</v>
      </c>
      <c r="E250" s="2839">
        <v>110.13954934236183</v>
      </c>
      <c r="F250" s="839">
        <v>65.735295677154497</v>
      </c>
      <c r="G250" s="2839">
        <v>153.93588187009573</v>
      </c>
      <c r="H250" s="839">
        <v>108.44157616565712</v>
      </c>
      <c r="I250" s="2839">
        <v>201.2162881368497</v>
      </c>
      <c r="J250" s="839">
        <v>179.8000486788786</v>
      </c>
      <c r="K250" s="2839">
        <v>162.15783134105763</v>
      </c>
      <c r="L250" s="839">
        <v>86.904813682944265</v>
      </c>
      <c r="M250" s="2029">
        <v>148.60577321456469</v>
      </c>
      <c r="N250" s="1668">
        <v>147.38627158101912</v>
      </c>
      <c r="O250" s="2839">
        <v>91.557057355042062</v>
      </c>
      <c r="P250" s="2839">
        <v>150.24596311277429</v>
      </c>
      <c r="Q250" s="2032">
        <v>223.23467362291578</v>
      </c>
    </row>
    <row r="251" spans="1:17">
      <c r="A251" s="63">
        <f t="shared" si="1"/>
        <v>2013.02</v>
      </c>
      <c r="B251" s="1938">
        <v>137.92787875732463</v>
      </c>
      <c r="C251" s="839">
        <v>161.81493361567018</v>
      </c>
      <c r="D251" s="1668">
        <v>138.91591454330435</v>
      </c>
      <c r="E251" s="2839">
        <v>102.40886686412787</v>
      </c>
      <c r="F251" s="839">
        <v>81.317635914742525</v>
      </c>
      <c r="G251" s="2839">
        <v>150.26780677969199</v>
      </c>
      <c r="H251" s="839">
        <v>98.350307000986064</v>
      </c>
      <c r="I251" s="2839">
        <v>171.37856489994897</v>
      </c>
      <c r="J251" s="839">
        <v>160.87097698329535</v>
      </c>
      <c r="K251" s="2839">
        <v>155.40769532751926</v>
      </c>
      <c r="L251" s="839">
        <v>130.23903234930881</v>
      </c>
      <c r="M251" s="2029">
        <v>186.46688953691631</v>
      </c>
      <c r="N251" s="1668">
        <v>130.83790787245024</v>
      </c>
      <c r="O251" s="2839">
        <v>125.10045481400294</v>
      </c>
      <c r="P251" s="2839">
        <v>136.401178807669</v>
      </c>
      <c r="Q251" s="2032">
        <v>319.07921112629572</v>
      </c>
    </row>
    <row r="252" spans="1:17">
      <c r="A252" s="63">
        <f t="shared" si="1"/>
        <v>2013.03</v>
      </c>
      <c r="B252" s="1938">
        <v>173.81136206335773</v>
      </c>
      <c r="C252" s="839">
        <v>164.739726948277</v>
      </c>
      <c r="D252" s="1668">
        <v>150.84512690863946</v>
      </c>
      <c r="E252" s="2839">
        <v>115.45441228725817</v>
      </c>
      <c r="F252" s="839">
        <v>98.646554349648369</v>
      </c>
      <c r="G252" s="2839">
        <v>157.90720062629939</v>
      </c>
      <c r="H252" s="839">
        <v>114.64862645443019</v>
      </c>
      <c r="I252" s="2839">
        <v>221.49405239836682</v>
      </c>
      <c r="J252" s="839">
        <v>184.22148988943627</v>
      </c>
      <c r="K252" s="2839">
        <v>208.23386678644977</v>
      </c>
      <c r="L252" s="839">
        <v>195.1284438499269</v>
      </c>
      <c r="M252" s="2029">
        <v>277.66047078174125</v>
      </c>
      <c r="N252" s="1668">
        <v>143.01413407377154</v>
      </c>
      <c r="O252" s="2839">
        <v>194.40710496343999</v>
      </c>
      <c r="P252" s="2839">
        <v>167.83539971284546</v>
      </c>
      <c r="Q252" s="2032">
        <v>425.32189731354629</v>
      </c>
    </row>
    <row r="253" spans="1:17">
      <c r="A253" s="63">
        <f t="shared" si="1"/>
        <v>2013.04</v>
      </c>
      <c r="B253" s="1938">
        <v>169.64338672069911</v>
      </c>
      <c r="C253" s="839">
        <v>167.33631698078045</v>
      </c>
      <c r="D253" s="1668">
        <v>158.97658758655959</v>
      </c>
      <c r="E253" s="2839">
        <v>102.4389797411423</v>
      </c>
      <c r="F253" s="839">
        <v>98.616430115543992</v>
      </c>
      <c r="G253" s="2839">
        <v>148.70781019058384</v>
      </c>
      <c r="H253" s="839">
        <v>96.292440836737555</v>
      </c>
      <c r="I253" s="2839">
        <v>202.42460493440041</v>
      </c>
      <c r="J253" s="839">
        <v>192.06409650812697</v>
      </c>
      <c r="K253" s="2839">
        <v>196.41318582853032</v>
      </c>
      <c r="L253" s="839">
        <v>205.12374277501232</v>
      </c>
      <c r="M253" s="2029">
        <v>265.01225396056367</v>
      </c>
      <c r="N253" s="1668">
        <v>146.46636826280093</v>
      </c>
      <c r="O253" s="2839">
        <v>195.33292375901974</v>
      </c>
      <c r="P253" s="2839">
        <v>155.1470879555375</v>
      </c>
      <c r="Q253" s="2032">
        <v>436.00150514909916</v>
      </c>
    </row>
    <row r="254" spans="1:17">
      <c r="A254" s="63">
        <f t="shared" ref="A254:A319" si="2">A242+1</f>
        <v>2013.05</v>
      </c>
      <c r="B254" s="1938">
        <v>177.20850456421465</v>
      </c>
      <c r="C254" s="839">
        <v>169.38864670987522</v>
      </c>
      <c r="D254" s="1668">
        <v>167.83618351284287</v>
      </c>
      <c r="E254" s="2839">
        <v>102.21950791756646</v>
      </c>
      <c r="F254" s="839">
        <v>104.7618733841912</v>
      </c>
      <c r="G254" s="2839">
        <v>153.71670454523604</v>
      </c>
      <c r="H254" s="839">
        <v>101.20239237920832</v>
      </c>
      <c r="I254" s="2839">
        <v>217.22422119404851</v>
      </c>
      <c r="J254" s="839">
        <v>198.31914145397695</v>
      </c>
      <c r="K254" s="2839">
        <v>205.49227000765887</v>
      </c>
      <c r="L254" s="839">
        <v>206.1739684638394</v>
      </c>
      <c r="M254" s="2029">
        <v>279.98809923794249</v>
      </c>
      <c r="N254" s="1668">
        <v>153.31701593084603</v>
      </c>
      <c r="O254" s="2839">
        <v>199.2981327640278</v>
      </c>
      <c r="P254" s="2839">
        <v>164.10241603624161</v>
      </c>
      <c r="Q254" s="2032">
        <v>454.97336160748722</v>
      </c>
    </row>
    <row r="255" spans="1:17">
      <c r="A255" s="63">
        <f t="shared" si="2"/>
        <v>2013.06</v>
      </c>
      <c r="B255" s="1938">
        <v>162.14619661510005</v>
      </c>
      <c r="C255" s="839">
        <v>163.35708585842238</v>
      </c>
      <c r="D255" s="1668">
        <v>166.36302287099733</v>
      </c>
      <c r="E255" s="2839">
        <v>99.064048477828493</v>
      </c>
      <c r="F255" s="839">
        <v>95.505915375430931</v>
      </c>
      <c r="G255" s="2839">
        <v>153.22900978642244</v>
      </c>
      <c r="H255" s="839">
        <v>106.15101400197209</v>
      </c>
      <c r="I255" s="2839">
        <v>176.79111528431741</v>
      </c>
      <c r="J255" s="839">
        <v>186.7302196038147</v>
      </c>
      <c r="K255" s="2839">
        <v>186.39997431415452</v>
      </c>
      <c r="L255" s="839">
        <v>188.7381625234911</v>
      </c>
      <c r="M255" s="2029">
        <v>223.61104607137199</v>
      </c>
      <c r="N255" s="1668">
        <v>151.4716087838552</v>
      </c>
      <c r="O255" s="2839">
        <v>172.29815875747812</v>
      </c>
      <c r="P255" s="2839">
        <v>148.62867464383035</v>
      </c>
      <c r="Q255" s="2032">
        <v>397.15420637380066</v>
      </c>
    </row>
    <row r="256" spans="1:17">
      <c r="A256" s="63">
        <f t="shared" si="2"/>
        <v>2013.07</v>
      </c>
      <c r="B256" s="1938">
        <v>172.23333290773476</v>
      </c>
      <c r="C256" s="839">
        <v>164.38581394863894</v>
      </c>
      <c r="D256" s="1668">
        <v>180.94618832028954</v>
      </c>
      <c r="E256" s="2839">
        <v>102.11090634426951</v>
      </c>
      <c r="F256" s="839">
        <v>93.673788252556037</v>
      </c>
      <c r="G256" s="2839">
        <v>156.53156381407723</v>
      </c>
      <c r="H256" s="839">
        <v>109.57701214255526</v>
      </c>
      <c r="I256" s="2839">
        <v>187.53377723715036</v>
      </c>
      <c r="J256" s="839">
        <v>197.40781582283384</v>
      </c>
      <c r="K256" s="2839">
        <v>197.08287849348505</v>
      </c>
      <c r="L256" s="839">
        <v>199.61213992789612</v>
      </c>
      <c r="M256" s="2029">
        <v>252.53718355284946</v>
      </c>
      <c r="N256" s="1668">
        <v>163.50210630912756</v>
      </c>
      <c r="O256" s="2839">
        <v>188.15050164847082</v>
      </c>
      <c r="P256" s="2839">
        <v>153.64145872812043</v>
      </c>
      <c r="Q256" s="2032">
        <v>422.99684218256391</v>
      </c>
    </row>
    <row r="257" spans="1:17">
      <c r="A257" s="63">
        <f t="shared" si="2"/>
        <v>2013.08</v>
      </c>
      <c r="B257" s="1938">
        <v>178.40888060721144</v>
      </c>
      <c r="C257" s="839">
        <v>167.78260259844615</v>
      </c>
      <c r="D257" s="1668">
        <v>180.56235303030729</v>
      </c>
      <c r="E257" s="2839">
        <v>109.64654491817436</v>
      </c>
      <c r="F257" s="839">
        <v>90.283906008098782</v>
      </c>
      <c r="G257" s="2839">
        <v>153.28829415148658</v>
      </c>
      <c r="H257" s="839">
        <v>112.6913689815467</v>
      </c>
      <c r="I257" s="2839">
        <v>207.34629336393391</v>
      </c>
      <c r="J257" s="839">
        <v>207.71125207724785</v>
      </c>
      <c r="K257" s="2839">
        <v>205.51432896431993</v>
      </c>
      <c r="L257" s="839">
        <v>210.51616089581552</v>
      </c>
      <c r="M257" s="2029">
        <v>248.70068707406949</v>
      </c>
      <c r="N257" s="1668">
        <v>164.87063300865307</v>
      </c>
      <c r="O257" s="2839">
        <v>192.07039723297549</v>
      </c>
      <c r="P257" s="2839">
        <v>163.25163163497356</v>
      </c>
      <c r="Q257" s="2032">
        <v>441.78653720153579</v>
      </c>
    </row>
    <row r="258" spans="1:17">
      <c r="A258" s="63">
        <f t="shared" si="2"/>
        <v>2013.09</v>
      </c>
      <c r="B258" s="1938">
        <v>178.39294807848603</v>
      </c>
      <c r="C258" s="839">
        <v>168.0200289112947</v>
      </c>
      <c r="D258" s="1668">
        <v>183.70202527045629</v>
      </c>
      <c r="E258" s="2839">
        <v>98.535006209246106</v>
      </c>
      <c r="F258" s="839">
        <v>90.694705722154168</v>
      </c>
      <c r="G258" s="2839">
        <v>152.77022550385291</v>
      </c>
      <c r="H258" s="839">
        <v>113.25152294689393</v>
      </c>
      <c r="I258" s="2839">
        <v>205.57697410055226</v>
      </c>
      <c r="J258" s="839">
        <v>206.05334452620204</v>
      </c>
      <c r="K258" s="2839">
        <v>200.45736177497531</v>
      </c>
      <c r="L258" s="839">
        <v>211.50804234933307</v>
      </c>
      <c r="M258" s="2029">
        <v>253.44559711489563</v>
      </c>
      <c r="N258" s="1668">
        <v>164.85690379804439</v>
      </c>
      <c r="O258" s="2839">
        <v>195.6107129110284</v>
      </c>
      <c r="P258" s="2839">
        <v>161.99908592835877</v>
      </c>
      <c r="Q258" s="2032">
        <v>435.46477839452939</v>
      </c>
    </row>
    <row r="259" spans="1:17">
      <c r="A259" s="63">
        <f t="shared" si="2"/>
        <v>2013.1</v>
      </c>
      <c r="B259" s="1938">
        <v>183.1427956473978</v>
      </c>
      <c r="C259" s="839">
        <v>167.64258588534341</v>
      </c>
      <c r="D259" s="1668">
        <v>181.60629768407665</v>
      </c>
      <c r="E259" s="2839">
        <v>112.1484711392811</v>
      </c>
      <c r="F259" s="839">
        <v>87.971202796620958</v>
      </c>
      <c r="G259" s="2839">
        <v>155.93141317946026</v>
      </c>
      <c r="H259" s="839">
        <v>111.33117916607974</v>
      </c>
      <c r="I259" s="2839">
        <v>214.70062530187175</v>
      </c>
      <c r="J259" s="839">
        <v>222.12210791788954</v>
      </c>
      <c r="K259" s="2839">
        <v>210.90620655493132</v>
      </c>
      <c r="L259" s="839">
        <v>220.06888134708112</v>
      </c>
      <c r="M259" s="2029">
        <v>266.42486352426539</v>
      </c>
      <c r="N259" s="1668">
        <v>166.23718892725091</v>
      </c>
      <c r="O259" s="2839">
        <v>204.87517472293672</v>
      </c>
      <c r="P259" s="2839">
        <v>166.15754118527337</v>
      </c>
      <c r="Q259" s="2032">
        <v>451.23616162653497</v>
      </c>
    </row>
    <row r="260" spans="1:17">
      <c r="A260" s="63">
        <f t="shared" si="2"/>
        <v>2013.11</v>
      </c>
      <c r="B260" s="1938">
        <v>162.11083418861847</v>
      </c>
      <c r="C260" s="839">
        <v>162.90941733613266</v>
      </c>
      <c r="D260" s="1668">
        <v>160.21306719874642</v>
      </c>
      <c r="E260" s="2839">
        <v>108.0552731649252</v>
      </c>
      <c r="F260" s="839">
        <v>87.476871721410831</v>
      </c>
      <c r="G260" s="2839">
        <v>157.77836530714833</v>
      </c>
      <c r="H260" s="839">
        <v>108.05876006479784</v>
      </c>
      <c r="I260" s="2839">
        <v>214.11792126092553</v>
      </c>
      <c r="J260" s="839">
        <v>201.9587969770887</v>
      </c>
      <c r="K260" s="2839">
        <v>207.24857471019504</v>
      </c>
      <c r="L260" s="839">
        <v>152.89372371107135</v>
      </c>
      <c r="M260" s="2029">
        <v>221.13260035878136</v>
      </c>
      <c r="N260" s="1668">
        <v>148.67198034217847</v>
      </c>
      <c r="O260" s="2839">
        <v>146.15261382748525</v>
      </c>
      <c r="P260" s="2839">
        <v>163.45134969128222</v>
      </c>
      <c r="Q260" s="2032">
        <v>385.55053637471781</v>
      </c>
    </row>
    <row r="261" spans="1:17">
      <c r="A261" s="63">
        <f t="shared" si="2"/>
        <v>2013.12</v>
      </c>
      <c r="B261" s="1938">
        <v>154.79672870157944</v>
      </c>
      <c r="C261" s="839">
        <v>162.96697566715685</v>
      </c>
      <c r="D261" s="1668">
        <v>167.90488537891949</v>
      </c>
      <c r="E261" s="2839">
        <v>126.55487723647131</v>
      </c>
      <c r="F261" s="839">
        <v>76.006395701813048</v>
      </c>
      <c r="G261" s="2839">
        <v>163.88072452074212</v>
      </c>
      <c r="H261" s="839">
        <v>112.46483534300604</v>
      </c>
      <c r="I261" s="2839">
        <v>194.87532027781671</v>
      </c>
      <c r="J261" s="839">
        <v>185.43494350510042</v>
      </c>
      <c r="K261" s="2839">
        <v>197.03493894764475</v>
      </c>
      <c r="L261" s="839">
        <v>145.00251195597949</v>
      </c>
      <c r="M261" s="2029">
        <v>161.98865586172531</v>
      </c>
      <c r="N261" s="1668">
        <v>158.75526461117127</v>
      </c>
      <c r="O261" s="2839">
        <v>122.4194638189708</v>
      </c>
      <c r="P261" s="2839">
        <v>154.23041694533651</v>
      </c>
      <c r="Q261" s="2032">
        <v>346.92444423546272</v>
      </c>
    </row>
    <row r="262" spans="1:17">
      <c r="A262" s="63">
        <f t="shared" si="2"/>
        <v>2014.01</v>
      </c>
      <c r="B262" s="1938">
        <v>141.13520505712751</v>
      </c>
      <c r="C262" s="839">
        <v>163.50479015671445</v>
      </c>
      <c r="D262" s="1668">
        <v>162.41552944435409</v>
      </c>
      <c r="E262" s="2839">
        <v>130.88667067950945</v>
      </c>
      <c r="F262" s="839">
        <v>71.676976386355861</v>
      </c>
      <c r="G262" s="2839">
        <v>154.95649221110358</v>
      </c>
      <c r="H262" s="839">
        <v>110.93636272714464</v>
      </c>
      <c r="I262" s="2839">
        <v>202.68252079185507</v>
      </c>
      <c r="J262" s="839">
        <v>185.66890144096314</v>
      </c>
      <c r="K262" s="2839">
        <v>187.76750237145819</v>
      </c>
      <c r="L262" s="839">
        <v>84.148350339337199</v>
      </c>
      <c r="M262" s="2029">
        <v>123.93534005175462</v>
      </c>
      <c r="N262" s="1668">
        <v>155.43905921139947</v>
      </c>
      <c r="O262" s="2839">
        <v>77.848691928714402</v>
      </c>
      <c r="P262" s="2839">
        <v>154.65602222269229</v>
      </c>
      <c r="Q262" s="2032">
        <v>236.12084464006608</v>
      </c>
    </row>
    <row r="263" spans="1:17">
      <c r="A263" s="63">
        <f t="shared" si="2"/>
        <v>2014.02</v>
      </c>
      <c r="B263" s="1938">
        <v>149.20600378465463</v>
      </c>
      <c r="C263" s="839">
        <v>161.37694290838499</v>
      </c>
      <c r="D263" s="1668">
        <v>141.90680384391891</v>
      </c>
      <c r="E263" s="2839">
        <v>93.027846205254178</v>
      </c>
      <c r="F263" s="839">
        <v>86.819406202109903</v>
      </c>
      <c r="G263" s="2839">
        <v>150.00187547355733</v>
      </c>
      <c r="H263" s="839">
        <v>101.45550169037895</v>
      </c>
      <c r="I263" s="2839">
        <v>192.23793133553019</v>
      </c>
      <c r="J263" s="839">
        <v>161.45420967441007</v>
      </c>
      <c r="K263" s="2839">
        <v>175.40416948846564</v>
      </c>
      <c r="L263" s="839">
        <v>170.79139655997304</v>
      </c>
      <c r="M263" s="2029">
        <v>188.80420826549076</v>
      </c>
      <c r="N263" s="1668">
        <v>131.09123340011257</v>
      </c>
      <c r="O263" s="2839">
        <v>151.54049060955955</v>
      </c>
      <c r="P263" s="2839">
        <v>146.50247887697441</v>
      </c>
      <c r="Q263" s="2032">
        <v>352.56090241047571</v>
      </c>
    </row>
    <row r="264" spans="1:17">
      <c r="A264" s="63">
        <f t="shared" si="2"/>
        <v>2014.03</v>
      </c>
      <c r="B264" s="1938">
        <v>156.77854558701952</v>
      </c>
      <c r="C264" s="839">
        <v>160.257852229832</v>
      </c>
      <c r="D264" s="1668">
        <v>149.57968076046356</v>
      </c>
      <c r="E264" s="2839">
        <v>101.63879633019748</v>
      </c>
      <c r="F264" s="839">
        <v>101.79938432025305</v>
      </c>
      <c r="G264" s="2839">
        <v>161.99480826677785</v>
      </c>
      <c r="H264" s="839">
        <v>92.087405705028843</v>
      </c>
      <c r="I264" s="2839">
        <v>205.65965802734158</v>
      </c>
      <c r="J264" s="839">
        <v>182.5939553341056</v>
      </c>
      <c r="K264" s="2839">
        <v>209.57078318881591</v>
      </c>
      <c r="L264" s="839">
        <v>164.18096565205607</v>
      </c>
      <c r="M264" s="2029">
        <v>207.25243417994844</v>
      </c>
      <c r="N264" s="1668">
        <v>138.97168014541435</v>
      </c>
      <c r="O264" s="2839">
        <v>149.71976223668244</v>
      </c>
      <c r="P264" s="2839">
        <v>156.82124210375727</v>
      </c>
      <c r="Q264" s="2032">
        <v>381.3390323239397</v>
      </c>
    </row>
    <row r="265" spans="1:17">
      <c r="A265" s="63">
        <f t="shared" si="2"/>
        <v>2014.04</v>
      </c>
      <c r="B265" s="1938">
        <v>156.79053131695986</v>
      </c>
      <c r="C265" s="839">
        <v>156.19703084314261</v>
      </c>
      <c r="D265" s="1668">
        <v>154.19016597546039</v>
      </c>
      <c r="E265" s="2839">
        <v>119.71282387094062</v>
      </c>
      <c r="F265" s="839">
        <v>98.970326324087821</v>
      </c>
      <c r="G265" s="2839">
        <v>147.50961220658905</v>
      </c>
      <c r="H265" s="839">
        <v>102.7355402873644</v>
      </c>
      <c r="I265" s="2839">
        <v>183.36077775892505</v>
      </c>
      <c r="J265" s="839">
        <v>180.43940020082195</v>
      </c>
      <c r="K265" s="2839">
        <v>211.52336827591839</v>
      </c>
      <c r="L265" s="839">
        <v>166.42978565530115</v>
      </c>
      <c r="M265" s="2029">
        <v>209.40820602980182</v>
      </c>
      <c r="N265" s="1668">
        <v>146.56127738492972</v>
      </c>
      <c r="O265" s="2839">
        <v>149.64325253982605</v>
      </c>
      <c r="P265" s="2839">
        <v>150.55119781109258</v>
      </c>
      <c r="Q265" s="2032">
        <v>399.35243312140699</v>
      </c>
    </row>
    <row r="266" spans="1:17">
      <c r="A266" s="63">
        <f t="shared" si="2"/>
        <v>2014.05</v>
      </c>
      <c r="B266" s="1938">
        <v>163.65210006756138</v>
      </c>
      <c r="C266" s="839">
        <v>159.29377600301589</v>
      </c>
      <c r="D266" s="1668">
        <v>160.58751451676522</v>
      </c>
      <c r="E266" s="2839">
        <v>85.418472235983131</v>
      </c>
      <c r="F266" s="839">
        <v>100.12628440256917</v>
      </c>
      <c r="G266" s="2839">
        <v>148.31107409548653</v>
      </c>
      <c r="H266" s="839">
        <v>115.22772927172839</v>
      </c>
      <c r="I266" s="2839">
        <v>217.90800391557357</v>
      </c>
      <c r="J266" s="839">
        <v>183.04794166241581</v>
      </c>
      <c r="K266" s="2839">
        <v>216.02525537980216</v>
      </c>
      <c r="L266" s="839">
        <v>182.92061265423524</v>
      </c>
      <c r="M266" s="2029">
        <v>180.63297411594746</v>
      </c>
      <c r="N266" s="1668">
        <v>143.95467062530406</v>
      </c>
      <c r="O266" s="2839">
        <v>153.20984926609447</v>
      </c>
      <c r="P266" s="2839">
        <v>167.01613937231087</v>
      </c>
      <c r="Q266" s="2032">
        <v>381.34639069922076</v>
      </c>
    </row>
    <row r="267" spans="1:17">
      <c r="A267" s="63">
        <f t="shared" si="2"/>
        <v>2014.06</v>
      </c>
      <c r="B267" s="1938">
        <v>159.18825499228873</v>
      </c>
      <c r="C267" s="839">
        <v>157.92087138550033</v>
      </c>
      <c r="D267" s="1668">
        <v>167.0855394086052</v>
      </c>
      <c r="E267" s="2839">
        <v>96.1823653502626</v>
      </c>
      <c r="F267" s="839">
        <v>94.856806766941986</v>
      </c>
      <c r="G267" s="2839">
        <v>147.41847053794913</v>
      </c>
      <c r="H267" s="839">
        <v>111.34010022538388</v>
      </c>
      <c r="I267" s="2839">
        <v>192.46449838868259</v>
      </c>
      <c r="J267" s="839">
        <v>177.95601857970544</v>
      </c>
      <c r="K267" s="2839">
        <v>204.46799612132028</v>
      </c>
      <c r="L267" s="839">
        <v>172.89358967789519</v>
      </c>
      <c r="M267" s="2029">
        <v>180.00112152302529</v>
      </c>
      <c r="N267" s="1668">
        <v>151.39661495595161</v>
      </c>
      <c r="O267" s="2839">
        <v>145.66105009205708</v>
      </c>
      <c r="P267" s="2839">
        <v>155.77622366947475</v>
      </c>
      <c r="Q267" s="2032">
        <v>379.8864125932231</v>
      </c>
    </row>
    <row r="268" spans="1:17">
      <c r="A268" s="63">
        <f t="shared" si="2"/>
        <v>2014.07</v>
      </c>
      <c r="B268" s="1938">
        <v>163.69065460066139</v>
      </c>
      <c r="C268" s="839">
        <v>156.03389357240144</v>
      </c>
      <c r="D268" s="1668">
        <v>179.40812928921122</v>
      </c>
      <c r="E268" s="2839">
        <v>107.1393045510666</v>
      </c>
      <c r="F268" s="839">
        <v>92.396657600354644</v>
      </c>
      <c r="G268" s="2839">
        <v>158.52416794180729</v>
      </c>
      <c r="H268" s="839">
        <v>112.56391221298772</v>
      </c>
      <c r="I268" s="2839">
        <v>194.48216397155542</v>
      </c>
      <c r="J268" s="839">
        <v>196.90558023661887</v>
      </c>
      <c r="K268" s="2839">
        <v>203.56671215788194</v>
      </c>
      <c r="L268" s="839">
        <v>176.34045155075387</v>
      </c>
      <c r="M268" s="2029">
        <v>175.77410559691739</v>
      </c>
      <c r="N268" s="1668">
        <v>163.41702386047751</v>
      </c>
      <c r="O268" s="2839">
        <v>149.74242192246044</v>
      </c>
      <c r="P268" s="2839">
        <v>157.20464644989357</v>
      </c>
      <c r="Q268" s="2032">
        <v>358.02082683733249</v>
      </c>
    </row>
    <row r="269" spans="1:17">
      <c r="A269" s="63">
        <f t="shared" si="2"/>
        <v>2014.08</v>
      </c>
      <c r="B269" s="1938">
        <v>159.01658795417913</v>
      </c>
      <c r="C269" s="839">
        <v>152.19210918906279</v>
      </c>
      <c r="D269" s="1668">
        <v>183.72546792192102</v>
      </c>
      <c r="E269" s="2839">
        <v>100.74542502242122</v>
      </c>
      <c r="F269" s="839">
        <v>88.378606955404479</v>
      </c>
      <c r="G269" s="2839">
        <v>152.5081294477871</v>
      </c>
      <c r="H269" s="839">
        <v>108.763134624595</v>
      </c>
      <c r="I269" s="2839">
        <v>180.76416425884378</v>
      </c>
      <c r="J269" s="839">
        <v>197.2019448610364</v>
      </c>
      <c r="K269" s="2839">
        <v>201.42336806291326</v>
      </c>
      <c r="L269" s="839">
        <v>167.27189528432464</v>
      </c>
      <c r="M269" s="2029">
        <v>159.4044107250721</v>
      </c>
      <c r="N269" s="1668">
        <v>165.364264189956</v>
      </c>
      <c r="O269" s="2839">
        <v>137.67887956487644</v>
      </c>
      <c r="P269" s="2839">
        <v>151.77952182304907</v>
      </c>
      <c r="Q269" s="2032">
        <v>349.65951927306088</v>
      </c>
    </row>
    <row r="270" spans="1:17">
      <c r="A270" s="63">
        <f t="shared" si="2"/>
        <v>2014.09</v>
      </c>
      <c r="B270" s="1938">
        <v>168.23982281767903</v>
      </c>
      <c r="C270" s="839">
        <v>156.40940549542765</v>
      </c>
      <c r="D270" s="1668">
        <v>190.29916797000652</v>
      </c>
      <c r="E270" s="2839">
        <v>101.2473313969747</v>
      </c>
      <c r="F270" s="839">
        <v>88.346200802672357</v>
      </c>
      <c r="G270" s="2839">
        <v>152.49881353115276</v>
      </c>
      <c r="H270" s="839">
        <v>107.55707077053106</v>
      </c>
      <c r="I270" s="2839">
        <v>209.80011839750097</v>
      </c>
      <c r="J270" s="839">
        <v>202.83486868671667</v>
      </c>
      <c r="K270" s="2839">
        <v>196.19676500613252</v>
      </c>
      <c r="L270" s="839">
        <v>168.26578433109248</v>
      </c>
      <c r="M270" s="2029">
        <v>198.86624079026382</v>
      </c>
      <c r="N270" s="1668">
        <v>170.59444311220642</v>
      </c>
      <c r="O270" s="2839">
        <v>146.44940216967262</v>
      </c>
      <c r="P270" s="2839">
        <v>160.97121774746842</v>
      </c>
      <c r="Q270" s="2032">
        <v>402.05892896262026</v>
      </c>
    </row>
    <row r="271" spans="1:17">
      <c r="A271" s="63">
        <f t="shared" si="2"/>
        <v>2014.1</v>
      </c>
      <c r="B271" s="1938">
        <v>169.66136319342789</v>
      </c>
      <c r="C271" s="839">
        <v>155.66499834689563</v>
      </c>
      <c r="D271" s="1668">
        <v>189.17206229814144</v>
      </c>
      <c r="E271" s="2839">
        <v>114.86471854065516</v>
      </c>
      <c r="F271" s="839">
        <v>82.317477553182258</v>
      </c>
      <c r="G271" s="2839">
        <v>148.06623567576162</v>
      </c>
      <c r="H271" s="839">
        <v>113.50876747429213</v>
      </c>
      <c r="I271" s="2839">
        <v>204.37196060917134</v>
      </c>
      <c r="J271" s="839">
        <v>213.73777986841966</v>
      </c>
      <c r="K271" s="2839">
        <v>207.25042341769583</v>
      </c>
      <c r="L271" s="839">
        <v>165.44984190687202</v>
      </c>
      <c r="M271" s="2029">
        <v>212.58773844370995</v>
      </c>
      <c r="N271" s="1668">
        <v>172.72988861591276</v>
      </c>
      <c r="O271" s="2839">
        <v>146.24106102424008</v>
      </c>
      <c r="P271" s="2839">
        <v>161.11771169510715</v>
      </c>
      <c r="Q271" s="2032">
        <v>426.40956341637616</v>
      </c>
    </row>
    <row r="272" spans="1:17">
      <c r="A272" s="63">
        <f t="shared" si="2"/>
        <v>2014.11</v>
      </c>
      <c r="B272" s="1938">
        <v>154.82248927821649</v>
      </c>
      <c r="C272" s="839">
        <v>156.21312846093807</v>
      </c>
      <c r="D272" s="1668">
        <v>168.12861084639698</v>
      </c>
      <c r="E272" s="2839">
        <v>103.5983680785981</v>
      </c>
      <c r="F272" s="839">
        <v>82.724035677604093</v>
      </c>
      <c r="G272" s="2839">
        <v>157.63007229952359</v>
      </c>
      <c r="H272" s="839">
        <v>102.42774937315113</v>
      </c>
      <c r="I272" s="2839">
        <v>187.17006317903429</v>
      </c>
      <c r="J272" s="839">
        <v>194.49982230460054</v>
      </c>
      <c r="K272" s="2839">
        <v>203.29744399593164</v>
      </c>
      <c r="L272" s="839">
        <v>147.77299569417352</v>
      </c>
      <c r="M272" s="2029">
        <v>190.74373533098409</v>
      </c>
      <c r="N272" s="1668">
        <v>153.84984100088442</v>
      </c>
      <c r="O272" s="2839">
        <v>134.89424425558877</v>
      </c>
      <c r="P272" s="2839">
        <v>151.29142872734829</v>
      </c>
      <c r="Q272" s="2032">
        <v>353.75514014953097</v>
      </c>
    </row>
    <row r="273" spans="1:17">
      <c r="A273" s="63">
        <f t="shared" si="2"/>
        <v>2014.12</v>
      </c>
      <c r="B273" s="1938">
        <v>146.3154841311447</v>
      </c>
      <c r="C273" s="839">
        <v>152.45234726510245</v>
      </c>
      <c r="D273" s="1668">
        <v>172.72462531093001</v>
      </c>
      <c r="E273" s="2839">
        <v>120.68895222075989</v>
      </c>
      <c r="F273" s="839">
        <v>72.059155636162899</v>
      </c>
      <c r="G273" s="2839">
        <v>162.43792275698166</v>
      </c>
      <c r="H273" s="839">
        <v>112.69781722777856</v>
      </c>
      <c r="I273" s="2839">
        <v>163.66863905076559</v>
      </c>
      <c r="J273" s="839">
        <v>182.76726396567011</v>
      </c>
      <c r="K273" s="2839">
        <v>204.28064756478031</v>
      </c>
      <c r="L273" s="839">
        <v>128.15282735950242</v>
      </c>
      <c r="M273" s="2029">
        <v>140.90934880249679</v>
      </c>
      <c r="N273" s="1668">
        <v>161.21056046408833</v>
      </c>
      <c r="O273" s="2839">
        <v>105.80756985832896</v>
      </c>
      <c r="P273" s="2839">
        <v>143.65244480651492</v>
      </c>
      <c r="Q273" s="2032">
        <v>316.894334887752</v>
      </c>
    </row>
    <row r="274" spans="1:17">
      <c r="A274" s="63">
        <f t="shared" si="2"/>
        <v>2015.01</v>
      </c>
      <c r="B274" s="1938">
        <v>131.78592269320691</v>
      </c>
      <c r="C274" s="839">
        <v>155.11564360765882</v>
      </c>
      <c r="D274" s="1668">
        <v>159.80277752163971</v>
      </c>
      <c r="E274" s="2839">
        <v>101.75934162093176</v>
      </c>
      <c r="F274" s="839">
        <v>67.997802877494195</v>
      </c>
      <c r="G274" s="2839">
        <v>153.63740808327165</v>
      </c>
      <c r="H274" s="839">
        <v>112.69244372446823</v>
      </c>
      <c r="I274" s="2839">
        <v>170.5214869390249</v>
      </c>
      <c r="J274" s="839">
        <v>188.94239570352511</v>
      </c>
      <c r="K274" s="2839">
        <v>180.75315665189044</v>
      </c>
      <c r="L274" s="839">
        <v>91.139500734645026</v>
      </c>
      <c r="M274" s="2029">
        <v>87.27331172243268</v>
      </c>
      <c r="N274" s="1668">
        <v>146.9593598197844</v>
      </c>
      <c r="O274" s="2839">
        <v>70.737119558570924</v>
      </c>
      <c r="P274" s="2839">
        <v>144.0574591797546</v>
      </c>
      <c r="Q274" s="2032">
        <v>221.13485084291099</v>
      </c>
    </row>
    <row r="275" spans="1:17">
      <c r="A275" s="63">
        <f t="shared" si="2"/>
        <v>2015.02</v>
      </c>
      <c r="B275" s="1938">
        <v>135.049231404029</v>
      </c>
      <c r="C275" s="839">
        <v>156.16983410636595</v>
      </c>
      <c r="D275" s="1668">
        <v>145.16831810275363</v>
      </c>
      <c r="E275" s="2839">
        <v>100.55585074589877</v>
      </c>
      <c r="F275" s="839">
        <v>87.727907846360168</v>
      </c>
      <c r="G275" s="2839">
        <v>149.95788822834638</v>
      </c>
      <c r="H275" s="839">
        <v>100.67272325679677</v>
      </c>
      <c r="I275" s="2839">
        <v>167.15668835939633</v>
      </c>
      <c r="J275" s="839">
        <v>175.69988925904687</v>
      </c>
      <c r="K275" s="2839">
        <v>171.56864984076734</v>
      </c>
      <c r="L275" s="839">
        <v>115.85241832850078</v>
      </c>
      <c r="M275" s="2029">
        <v>159.5297197433764</v>
      </c>
      <c r="N275" s="1668">
        <v>135.29680474240337</v>
      </c>
      <c r="O275" s="2839">
        <v>104.39111848408815</v>
      </c>
      <c r="P275" s="2839">
        <v>137.07183310135247</v>
      </c>
      <c r="Q275" s="2032">
        <v>313.99832108536071</v>
      </c>
    </row>
    <row r="276" spans="1:17">
      <c r="A276" s="63">
        <f t="shared" si="2"/>
        <v>2015.03</v>
      </c>
      <c r="B276" s="1938">
        <v>161.56772996701301</v>
      </c>
      <c r="C276" s="839">
        <v>156.47019516214576</v>
      </c>
      <c r="D276" s="1668">
        <v>158.83770952536304</v>
      </c>
      <c r="E276" s="2839">
        <v>113.85498946204579</v>
      </c>
      <c r="F276" s="839">
        <v>104.81565216231674</v>
      </c>
      <c r="G276" s="2839">
        <v>159.15042294659202</v>
      </c>
      <c r="H276" s="839">
        <v>113.1335875757149</v>
      </c>
      <c r="I276" s="2839">
        <v>199.88660009125269</v>
      </c>
      <c r="J276" s="839">
        <v>193.0992210924133</v>
      </c>
      <c r="K276" s="2839">
        <v>193.77815225455294</v>
      </c>
      <c r="L276" s="839">
        <v>181.14611487123256</v>
      </c>
      <c r="M276" s="2029">
        <v>184.53931365934559</v>
      </c>
      <c r="N276" s="1668">
        <v>148.88426941325272</v>
      </c>
      <c r="O276" s="2839">
        <v>149.81000135487278</v>
      </c>
      <c r="P276" s="2839">
        <v>158.99147998288831</v>
      </c>
      <c r="Q276" s="2032">
        <v>406.27106929354574</v>
      </c>
    </row>
    <row r="277" spans="1:17">
      <c r="A277" s="63">
        <f t="shared" si="2"/>
        <v>2015.04</v>
      </c>
      <c r="B277" s="1938">
        <v>163.03787423956706</v>
      </c>
      <c r="C277" s="839">
        <v>161.88011224078167</v>
      </c>
      <c r="D277" s="1668">
        <v>167.9230245178799</v>
      </c>
      <c r="E277" s="2839">
        <v>101.90094297350008</v>
      </c>
      <c r="F277" s="839">
        <v>104.03236305128988</v>
      </c>
      <c r="G277" s="2839">
        <v>143.4200809599395</v>
      </c>
      <c r="H277" s="839">
        <v>110.47500105648682</v>
      </c>
      <c r="I277" s="2839">
        <v>208.09160718443849</v>
      </c>
      <c r="J277" s="839">
        <v>183.17935997717282</v>
      </c>
      <c r="K277" s="2839">
        <v>179.69006337297765</v>
      </c>
      <c r="L277" s="839">
        <v>192.00221532221758</v>
      </c>
      <c r="M277" s="2029">
        <v>166.68242840524374</v>
      </c>
      <c r="N277" s="1668">
        <v>153.31415173731307</v>
      </c>
      <c r="O277" s="2839">
        <v>157.60229372604005</v>
      </c>
      <c r="P277" s="2839">
        <v>158.76194543373933</v>
      </c>
      <c r="Q277" s="2032">
        <v>359.87701825374052</v>
      </c>
    </row>
    <row r="278" spans="1:17">
      <c r="A278" s="63">
        <f t="shared" si="2"/>
        <v>2015.05</v>
      </c>
      <c r="B278" s="1938">
        <v>159.99958735112807</v>
      </c>
      <c r="C278" s="839">
        <v>158.19798202152552</v>
      </c>
      <c r="D278" s="1668">
        <v>159.32450328996811</v>
      </c>
      <c r="E278" s="2839">
        <v>100.22160188318081</v>
      </c>
      <c r="F278" s="839">
        <v>104.64078695441845</v>
      </c>
      <c r="G278" s="2839">
        <v>148.77470705963609</v>
      </c>
      <c r="H278" s="839">
        <v>111.65710133821665</v>
      </c>
      <c r="I278" s="2839">
        <v>215.01695818594516</v>
      </c>
      <c r="J278" s="839">
        <v>161.22730412487681</v>
      </c>
      <c r="K278" s="2839">
        <v>191.06688394671781</v>
      </c>
      <c r="L278" s="839">
        <v>183.79503159449843</v>
      </c>
      <c r="M278" s="2029">
        <v>164.00303510529625</v>
      </c>
      <c r="N278" s="1668">
        <v>146.2466549789641</v>
      </c>
      <c r="O278" s="2839">
        <v>148.18327409594991</v>
      </c>
      <c r="P278" s="2839">
        <v>160.18036832280924</v>
      </c>
      <c r="Q278" s="2032">
        <v>375.10277997916467</v>
      </c>
    </row>
    <row r="279" spans="1:17">
      <c r="A279" s="63">
        <f t="shared" si="2"/>
        <v>2015.06</v>
      </c>
      <c r="B279" s="1938">
        <v>165.23308212915455</v>
      </c>
      <c r="C279" s="839">
        <v>161.98030449277502</v>
      </c>
      <c r="D279" s="1668">
        <v>179.18307783088326</v>
      </c>
      <c r="E279" s="2839">
        <v>92.795317611949585</v>
      </c>
      <c r="F279" s="839">
        <v>98.201657987446438</v>
      </c>
      <c r="G279" s="2839">
        <v>146.64635515875167</v>
      </c>
      <c r="H279" s="839">
        <v>106.17948622397519</v>
      </c>
      <c r="I279" s="2839">
        <v>213.87979477329111</v>
      </c>
      <c r="J279" s="839">
        <v>170.42558589400721</v>
      </c>
      <c r="K279" s="2839">
        <v>191.11093737961781</v>
      </c>
      <c r="L279" s="839">
        <v>179.77471933463158</v>
      </c>
      <c r="M279" s="2029">
        <v>191.63862490819614</v>
      </c>
      <c r="N279" s="1668">
        <v>160.06783987843883</v>
      </c>
      <c r="O279" s="2839">
        <v>151.51091419895423</v>
      </c>
      <c r="P279" s="2839">
        <v>158.72379722519901</v>
      </c>
      <c r="Q279" s="2032">
        <v>406.85144796186916</v>
      </c>
    </row>
    <row r="280" spans="1:17">
      <c r="A280" s="63">
        <f t="shared" si="2"/>
        <v>2015.07</v>
      </c>
      <c r="B280" s="1938">
        <v>166.65010550024732</v>
      </c>
      <c r="C280" s="839">
        <v>158.56557237939174</v>
      </c>
      <c r="D280" s="1668">
        <v>193.00906789682506</v>
      </c>
      <c r="E280" s="2839">
        <v>106.69734319950399</v>
      </c>
      <c r="F280" s="839">
        <v>93.871515726939066</v>
      </c>
      <c r="G280" s="2839">
        <v>158.68145666957912</v>
      </c>
      <c r="H280" s="839">
        <v>117.32898095506408</v>
      </c>
      <c r="I280" s="2839">
        <v>203.47226195436758</v>
      </c>
      <c r="J280" s="839">
        <v>182.14877185236202</v>
      </c>
      <c r="K280" s="2839">
        <v>184.42996729168385</v>
      </c>
      <c r="L280" s="839">
        <v>183.60887318758739</v>
      </c>
      <c r="M280" s="2029">
        <v>159.82802532983715</v>
      </c>
      <c r="N280" s="1668">
        <v>173.91065451634293</v>
      </c>
      <c r="O280" s="2839">
        <v>146.68521479109094</v>
      </c>
      <c r="P280" s="2839">
        <v>157.08536626884566</v>
      </c>
      <c r="Q280" s="2032">
        <v>373.06860789161857</v>
      </c>
    </row>
    <row r="281" spans="1:17">
      <c r="A281" s="63">
        <f t="shared" si="2"/>
        <v>2015.08</v>
      </c>
      <c r="B281" s="1938">
        <v>168.36333057166627</v>
      </c>
      <c r="C281" s="839">
        <v>160.71049122368134</v>
      </c>
      <c r="D281" s="1668">
        <v>194.79821020721849</v>
      </c>
      <c r="E281" s="2839">
        <v>100.0226937623877</v>
      </c>
      <c r="F281" s="839">
        <v>90.692122018743717</v>
      </c>
      <c r="G281" s="2839">
        <v>150.23053841395966</v>
      </c>
      <c r="H281" s="839">
        <v>111.04223821665025</v>
      </c>
      <c r="I281" s="2839">
        <v>213.50550469162175</v>
      </c>
      <c r="J281" s="839">
        <v>192.2554567214811</v>
      </c>
      <c r="K281" s="2839">
        <v>208.50364349228204</v>
      </c>
      <c r="L281" s="839">
        <v>175.47355363188871</v>
      </c>
      <c r="M281" s="2029">
        <v>170.65895492690663</v>
      </c>
      <c r="N281" s="1668">
        <v>173.82699224396259</v>
      </c>
      <c r="O281" s="2839">
        <v>145.17061234991633</v>
      </c>
      <c r="P281" s="2839">
        <v>161.76905036447417</v>
      </c>
      <c r="Q281" s="2032">
        <v>371.08276384095751</v>
      </c>
    </row>
    <row r="282" spans="1:17">
      <c r="A282" s="63">
        <f t="shared" si="2"/>
        <v>2015.09</v>
      </c>
      <c r="B282" s="1938">
        <v>171.01662745268428</v>
      </c>
      <c r="C282" s="839">
        <v>159.33290891623679</v>
      </c>
      <c r="D282" s="1668">
        <v>199.63995964374124</v>
      </c>
      <c r="E282" s="2839">
        <v>97.323794922171942</v>
      </c>
      <c r="F282" s="839">
        <v>89.306485104572502</v>
      </c>
      <c r="G282" s="2839">
        <v>152.63742193919018</v>
      </c>
      <c r="H282" s="839">
        <v>103.49716075503592</v>
      </c>
      <c r="I282" s="2839">
        <v>209.36488908175181</v>
      </c>
      <c r="J282" s="839">
        <v>211.56978574976463</v>
      </c>
      <c r="K282" s="2839">
        <v>188.94180463496974</v>
      </c>
      <c r="L282" s="839">
        <v>177.95272391483249</v>
      </c>
      <c r="M282" s="2029">
        <v>184.45959378549873</v>
      </c>
      <c r="N282" s="1668">
        <v>177.00020338570548</v>
      </c>
      <c r="O282" s="2839">
        <v>150.3396468212818</v>
      </c>
      <c r="P282" s="2839">
        <v>162.06799036071021</v>
      </c>
      <c r="Q282" s="2032">
        <v>385.92779002254053</v>
      </c>
    </row>
    <row r="283" spans="1:17">
      <c r="A283" s="63">
        <f t="shared" si="2"/>
        <v>2015.1</v>
      </c>
      <c r="B283" s="1938">
        <v>170.09478233992562</v>
      </c>
      <c r="C283" s="839">
        <v>158.71424331079922</v>
      </c>
      <c r="D283" s="1668">
        <v>189.6098133414564</v>
      </c>
      <c r="E283" s="2839">
        <v>103.21639000348651</v>
      </c>
      <c r="F283" s="839">
        <v>85.569821613301372</v>
      </c>
      <c r="G283" s="2839">
        <v>152.91400909867264</v>
      </c>
      <c r="H283" s="839">
        <v>111.26707120721227</v>
      </c>
      <c r="I283" s="2839">
        <v>239.08440825184215</v>
      </c>
      <c r="J283" s="839">
        <v>218.99173016106667</v>
      </c>
      <c r="K283" s="2839">
        <v>203.99348812083625</v>
      </c>
      <c r="L283" s="839">
        <v>171.17929370848444</v>
      </c>
      <c r="M283" s="2029">
        <v>159.30116890601579</v>
      </c>
      <c r="N283" s="1668">
        <v>170.49332229635567</v>
      </c>
      <c r="O283" s="2839">
        <v>143.16953476915933</v>
      </c>
      <c r="P283" s="2839">
        <v>171.44637708947306</v>
      </c>
      <c r="Q283" s="2032">
        <v>331.71556564125501</v>
      </c>
    </row>
    <row r="284" spans="1:17">
      <c r="A284" s="63">
        <f t="shared" si="2"/>
        <v>2015.11</v>
      </c>
      <c r="B284" s="1938">
        <v>157.45926226122316</v>
      </c>
      <c r="C284" s="839">
        <v>156.73850935928493</v>
      </c>
      <c r="D284" s="1668">
        <v>170.91344610818879</v>
      </c>
      <c r="E284" s="2839">
        <v>105.4364061162141</v>
      </c>
      <c r="F284" s="839">
        <v>85.125172769613144</v>
      </c>
      <c r="G284" s="2839">
        <v>161.34127057026987</v>
      </c>
      <c r="H284" s="839">
        <v>105.44251191717144</v>
      </c>
      <c r="I284" s="2839">
        <v>220.76728247404031</v>
      </c>
      <c r="J284" s="839">
        <v>193.94116029532262</v>
      </c>
      <c r="K284" s="2839">
        <v>183.64231732000985</v>
      </c>
      <c r="L284" s="839">
        <v>147.19192622868306</v>
      </c>
      <c r="M284" s="2029">
        <v>160.33075229153687</v>
      </c>
      <c r="N284" s="1668">
        <v>156.42517604890793</v>
      </c>
      <c r="O284" s="2839">
        <v>130.52424082367492</v>
      </c>
      <c r="P284" s="2839">
        <v>161.22019655217883</v>
      </c>
      <c r="Q284" s="2032">
        <v>297.86561612354325</v>
      </c>
    </row>
    <row r="285" spans="1:17">
      <c r="A285" s="63">
        <f t="shared" si="2"/>
        <v>2015.12</v>
      </c>
      <c r="B285" s="1938">
        <v>147.25231990186703</v>
      </c>
      <c r="C285" s="839">
        <v>153.75209178109515</v>
      </c>
      <c r="D285" s="1668">
        <v>175.14791087699285</v>
      </c>
      <c r="E285" s="2839">
        <v>129.38309868554632</v>
      </c>
      <c r="F285" s="839">
        <v>74.526712598242909</v>
      </c>
      <c r="G285" s="2839">
        <v>165.33779805174424</v>
      </c>
      <c r="H285" s="839">
        <v>111.72217158754751</v>
      </c>
      <c r="I285" s="2839">
        <v>185.31879619209423</v>
      </c>
      <c r="J285" s="839">
        <v>183.36429832556442</v>
      </c>
      <c r="K285" s="2839">
        <v>176.65455571406619</v>
      </c>
      <c r="L285" s="839">
        <v>132.49992910249989</v>
      </c>
      <c r="M285" s="2029">
        <v>111.29668619670902</v>
      </c>
      <c r="N285" s="1668">
        <v>165.02141526382502</v>
      </c>
      <c r="O285" s="2839">
        <v>105.85218755256574</v>
      </c>
      <c r="P285" s="2839">
        <v>147.11995716889081</v>
      </c>
      <c r="Q285" s="2032">
        <v>258.20604760915353</v>
      </c>
    </row>
    <row r="286" spans="1:17">
      <c r="A286" s="63">
        <f t="shared" si="2"/>
        <v>2016.01</v>
      </c>
      <c r="B286" s="1938">
        <v>128.23689278051395</v>
      </c>
      <c r="C286" s="839">
        <v>152.94238852911155</v>
      </c>
      <c r="D286" s="1668">
        <v>161.43986020934091</v>
      </c>
      <c r="E286" s="2839">
        <v>100.22528655517873</v>
      </c>
      <c r="F286" s="839">
        <v>70.526108418350859</v>
      </c>
      <c r="G286" s="2839">
        <v>161.58882725240446</v>
      </c>
      <c r="H286" s="839">
        <v>108.49451972108746</v>
      </c>
      <c r="I286" s="2839">
        <v>194.11926544057008</v>
      </c>
      <c r="J286" s="839">
        <v>177.03233601100644</v>
      </c>
      <c r="K286" s="2839">
        <v>162.43401421861424</v>
      </c>
      <c r="L286" s="839">
        <v>73.346780938708719</v>
      </c>
      <c r="M286" s="2029">
        <v>61.528645010153141</v>
      </c>
      <c r="N286" s="1668">
        <v>147.89475684526172</v>
      </c>
      <c r="O286" s="2839">
        <v>51.569082227363509</v>
      </c>
      <c r="P286" s="2839">
        <v>146.59166177049562</v>
      </c>
      <c r="Q286" s="2032">
        <v>191.11595378057399</v>
      </c>
    </row>
    <row r="287" spans="1:17">
      <c r="A287" s="63">
        <f t="shared" si="2"/>
        <v>2016.02</v>
      </c>
      <c r="B287" s="1938">
        <v>140.41337814361762</v>
      </c>
      <c r="C287" s="839">
        <v>154.37508451052594</v>
      </c>
      <c r="D287" s="1668">
        <v>153.9171381072359</v>
      </c>
      <c r="E287" s="2839">
        <v>95.733021697887025</v>
      </c>
      <c r="F287" s="839">
        <v>89.685173190919457</v>
      </c>
      <c r="G287" s="2839">
        <v>154.75579050224775</v>
      </c>
      <c r="H287" s="839">
        <v>103.42727191153681</v>
      </c>
      <c r="I287" s="2839">
        <v>192.55692189031404</v>
      </c>
      <c r="J287" s="839">
        <v>162.05435140418405</v>
      </c>
      <c r="K287" s="2839">
        <v>158.0121080914723</v>
      </c>
      <c r="L287" s="839">
        <v>136.81553183531952</v>
      </c>
      <c r="M287" s="2029">
        <v>123.37984310893584</v>
      </c>
      <c r="N287" s="1668">
        <v>141.04259167382034</v>
      </c>
      <c r="O287" s="2839">
        <v>111.48533544465819</v>
      </c>
      <c r="P287" s="2839">
        <v>144.40610483402162</v>
      </c>
      <c r="Q287" s="2032">
        <v>274.64260887131724</v>
      </c>
    </row>
    <row r="288" spans="1:17">
      <c r="A288" s="63">
        <f t="shared" si="2"/>
        <v>2016.03</v>
      </c>
      <c r="B288" s="1938">
        <v>158.24592139596231</v>
      </c>
      <c r="C288" s="839">
        <v>153.11732794983715</v>
      </c>
      <c r="D288" s="1668">
        <v>164.66015996316798</v>
      </c>
      <c r="E288" s="2839">
        <v>104.79643251521486</v>
      </c>
      <c r="F288" s="839">
        <v>105.78697430340276</v>
      </c>
      <c r="G288" s="2839">
        <v>155.67144141548323</v>
      </c>
      <c r="H288" s="839">
        <v>106.30707908156079</v>
      </c>
      <c r="I288" s="2839">
        <v>208.91225554135303</v>
      </c>
      <c r="J288" s="839">
        <v>179.15688516488606</v>
      </c>
      <c r="K288" s="2839">
        <v>161.56979574954457</v>
      </c>
      <c r="L288" s="839">
        <v>170.0755895731109</v>
      </c>
      <c r="M288" s="2029">
        <v>168.90067028811302</v>
      </c>
      <c r="N288" s="1668">
        <v>151.41396175189524</v>
      </c>
      <c r="O288" s="2839">
        <v>138.39135766643815</v>
      </c>
      <c r="P288" s="2839">
        <v>156.72698039507353</v>
      </c>
      <c r="Q288" s="2032">
        <v>385.1325400122488</v>
      </c>
    </row>
    <row r="289" spans="1:17">
      <c r="A289" s="63">
        <f t="shared" si="2"/>
        <v>2016.04</v>
      </c>
      <c r="B289" s="1938">
        <v>152.4535909478349</v>
      </c>
      <c r="C289" s="839">
        <v>151.49723983712965</v>
      </c>
      <c r="D289" s="1668">
        <v>153.17848097341343</v>
      </c>
      <c r="E289" s="2839">
        <v>109.242367496364</v>
      </c>
      <c r="F289" s="839">
        <v>101.79161164953582</v>
      </c>
      <c r="G289" s="2839">
        <v>142.51071151548302</v>
      </c>
      <c r="H289" s="839">
        <v>100.99770194393575</v>
      </c>
      <c r="I289" s="2839">
        <v>205.3475662116993</v>
      </c>
      <c r="J289" s="839">
        <v>158.77995585021708</v>
      </c>
      <c r="K289" s="2839">
        <v>158.78274235029011</v>
      </c>
      <c r="L289" s="839">
        <v>167.98281164907942</v>
      </c>
      <c r="M289" s="2029">
        <v>165.45715560492116</v>
      </c>
      <c r="N289" s="1668">
        <v>143.45662614477845</v>
      </c>
      <c r="O289" s="2839">
        <v>133.00827810078007</v>
      </c>
      <c r="P289" s="2839">
        <v>150.66093333838361</v>
      </c>
      <c r="Q289" s="2032">
        <v>402.01959902798666</v>
      </c>
    </row>
    <row r="290" spans="1:17">
      <c r="A290" s="63">
        <f t="shared" si="2"/>
        <v>2016.05</v>
      </c>
      <c r="B290" s="1938">
        <v>150.85135121648329</v>
      </c>
      <c r="C290" s="839">
        <v>147.23310867270931</v>
      </c>
      <c r="D290" s="1668">
        <v>159.59604808117231</v>
      </c>
      <c r="E290" s="2839">
        <v>60.824152288670064</v>
      </c>
      <c r="F290" s="839">
        <v>103.18242662688361</v>
      </c>
      <c r="G290" s="2839">
        <v>138.91188513908332</v>
      </c>
      <c r="H290" s="839">
        <v>102.91935990984643</v>
      </c>
      <c r="I290" s="2839">
        <v>200.85361795032509</v>
      </c>
      <c r="J290" s="839">
        <v>180.03500555558179</v>
      </c>
      <c r="K290" s="2839">
        <v>177.28749961587221</v>
      </c>
      <c r="L290" s="839">
        <v>171.87117703781757</v>
      </c>
      <c r="M290" s="2029">
        <v>147.91144800949218</v>
      </c>
      <c r="N290" s="1668">
        <v>137.7405411632615</v>
      </c>
      <c r="O290" s="2839">
        <v>131.35637332520719</v>
      </c>
      <c r="P290" s="2839">
        <v>152.85864592604523</v>
      </c>
      <c r="Q290" s="2032">
        <v>385.58108634192655</v>
      </c>
    </row>
    <row r="291" spans="1:17">
      <c r="A291" s="63">
        <f t="shared" si="2"/>
        <v>2016.06</v>
      </c>
      <c r="B291" s="1938">
        <v>150.28621437285673</v>
      </c>
      <c r="C291" s="839">
        <v>147.84030285804764</v>
      </c>
      <c r="D291" s="1668">
        <v>166.31670535095304</v>
      </c>
      <c r="E291" s="2839">
        <v>86.809427277318719</v>
      </c>
      <c r="F291" s="839">
        <v>97.779915377707766</v>
      </c>
      <c r="G291" s="2839">
        <v>143.55559710726544</v>
      </c>
      <c r="H291" s="839">
        <v>105.95227784194958</v>
      </c>
      <c r="I291" s="2839">
        <v>177.42739153372645</v>
      </c>
      <c r="J291" s="839">
        <v>171.36765699951135</v>
      </c>
      <c r="K291" s="2839">
        <v>163.91481942646934</v>
      </c>
      <c r="L291" s="839">
        <v>166.22928582119405</v>
      </c>
      <c r="M291" s="2029">
        <v>153.48644606473488</v>
      </c>
      <c r="N291" s="1668">
        <v>148.72392906555064</v>
      </c>
      <c r="O291" s="2839">
        <v>131.18230371241512</v>
      </c>
      <c r="P291" s="2839">
        <v>145.15989988803958</v>
      </c>
      <c r="Q291" s="2032">
        <v>372.88314078542726</v>
      </c>
    </row>
    <row r="292" spans="1:17">
      <c r="A292" s="63">
        <f t="shared" si="2"/>
        <v>2016.07</v>
      </c>
      <c r="B292" s="1938">
        <v>152.2247481718326</v>
      </c>
      <c r="C292" s="839">
        <v>148.78108424472899</v>
      </c>
      <c r="D292" s="1668">
        <v>176.99020178345125</v>
      </c>
      <c r="E292" s="2839">
        <v>78.393140990068446</v>
      </c>
      <c r="F292" s="839">
        <v>92.596516804556217</v>
      </c>
      <c r="G292" s="2839">
        <v>144.73053192312469</v>
      </c>
      <c r="H292" s="839">
        <v>107.79146640371881</v>
      </c>
      <c r="I292" s="2839">
        <v>188.20661404553803</v>
      </c>
      <c r="J292" s="839">
        <v>171.09073436404228</v>
      </c>
      <c r="K292" s="2839">
        <v>166.63650752559008</v>
      </c>
      <c r="L292" s="839">
        <v>172.48968208240402</v>
      </c>
      <c r="M292" s="2029">
        <v>138.41950456982028</v>
      </c>
      <c r="N292" s="1668">
        <v>155.17338104749626</v>
      </c>
      <c r="O292" s="2839">
        <v>132.33147602126456</v>
      </c>
      <c r="P292" s="2839">
        <v>145.69840393773333</v>
      </c>
      <c r="Q292" s="2032">
        <v>356.15236082313078</v>
      </c>
    </row>
    <row r="293" spans="1:17">
      <c r="A293" s="63">
        <f t="shared" si="2"/>
        <v>2016.08</v>
      </c>
      <c r="B293" s="1938">
        <v>161.74895715178636</v>
      </c>
      <c r="C293" s="839">
        <v>150.14993862334012</v>
      </c>
      <c r="D293" s="1668">
        <v>191.74276553380696</v>
      </c>
      <c r="E293" s="2839">
        <v>95.778553804288606</v>
      </c>
      <c r="F293" s="839">
        <v>89.481424762060044</v>
      </c>
      <c r="G293" s="2839">
        <v>131.63265977677275</v>
      </c>
      <c r="H293" s="839">
        <v>102.09672910269052</v>
      </c>
      <c r="I293" s="2839">
        <v>206.09719621706355</v>
      </c>
      <c r="J293" s="839">
        <v>192.7956964392161</v>
      </c>
      <c r="K293" s="2839">
        <v>151.9984773275018</v>
      </c>
      <c r="L293" s="839">
        <v>177.29334456406585</v>
      </c>
      <c r="M293" s="2029">
        <v>155.84983174636326</v>
      </c>
      <c r="N293" s="1668">
        <v>170.50852196180549</v>
      </c>
      <c r="O293" s="2839">
        <v>136.22715366911197</v>
      </c>
      <c r="P293" s="2839">
        <v>151.49956009687594</v>
      </c>
      <c r="Q293" s="2032">
        <v>401.66818100285968</v>
      </c>
    </row>
    <row r="294" spans="1:17">
      <c r="A294" s="63">
        <f t="shared" si="2"/>
        <v>2016.09</v>
      </c>
      <c r="B294" s="1938">
        <v>157.38021280855943</v>
      </c>
      <c r="C294" s="839">
        <v>147.0366106630843</v>
      </c>
      <c r="D294" s="1668">
        <v>187.49210758591119</v>
      </c>
      <c r="E294" s="2839">
        <v>86.410111746892071</v>
      </c>
      <c r="F294" s="839">
        <v>87.355363288905437</v>
      </c>
      <c r="G294" s="2839">
        <v>147.11016983163245</v>
      </c>
      <c r="H294" s="839">
        <v>103.90192405972671</v>
      </c>
      <c r="I294" s="2839">
        <v>191.91890414561587</v>
      </c>
      <c r="J294" s="839">
        <v>194.80880693013296</v>
      </c>
      <c r="K294" s="2839">
        <v>152.4051070016987</v>
      </c>
      <c r="L294" s="839">
        <v>170.8863961478682</v>
      </c>
      <c r="M294" s="2029">
        <v>148.22469516935669</v>
      </c>
      <c r="N294" s="1668">
        <v>165.12543899450395</v>
      </c>
      <c r="O294" s="2839">
        <v>133.91516265325009</v>
      </c>
      <c r="P294" s="2839">
        <v>149.13101821884985</v>
      </c>
      <c r="Q294" s="2032">
        <v>363.72793827453694</v>
      </c>
    </row>
    <row r="295" spans="1:17">
      <c r="A295" s="63">
        <f t="shared" si="2"/>
        <v>2016.1</v>
      </c>
      <c r="B295" s="1938">
        <v>157.22797245639418</v>
      </c>
      <c r="C295" s="839">
        <v>149.18385991714291</v>
      </c>
      <c r="D295" s="1668">
        <v>177.8801983201098</v>
      </c>
      <c r="E295" s="2839">
        <v>88.1940192874563</v>
      </c>
      <c r="F295" s="839">
        <v>83.710355525493682</v>
      </c>
      <c r="G295" s="2839">
        <v>149.96331409850563</v>
      </c>
      <c r="H295" s="839">
        <v>104.950607888435</v>
      </c>
      <c r="I295" s="2839">
        <v>216.27599901203996</v>
      </c>
      <c r="J295" s="839">
        <v>186.86476247472891</v>
      </c>
      <c r="K295" s="2839">
        <v>175.78476044045942</v>
      </c>
      <c r="L295" s="839">
        <v>168.49845901974047</v>
      </c>
      <c r="M295" s="2029">
        <v>132.59733067640525</v>
      </c>
      <c r="N295" s="1668">
        <v>158.03511090367547</v>
      </c>
      <c r="O295" s="2839">
        <v>128.16835180020828</v>
      </c>
      <c r="P295" s="2839">
        <v>157.29987889278405</v>
      </c>
      <c r="Q295" s="2032">
        <v>348.3487715946053</v>
      </c>
    </row>
    <row r="296" spans="1:17">
      <c r="A296" s="63">
        <f t="shared" si="2"/>
        <v>2016.11</v>
      </c>
      <c r="B296" s="1938">
        <v>155.08435862991672</v>
      </c>
      <c r="C296" s="839">
        <v>152.40599395034045</v>
      </c>
      <c r="D296" s="1668">
        <v>170.10879220237115</v>
      </c>
      <c r="E296" s="2839">
        <v>93.985163107560965</v>
      </c>
      <c r="F296" s="839">
        <v>82.54664635309409</v>
      </c>
      <c r="G296" s="2839">
        <v>149.3588180373448</v>
      </c>
      <c r="H296" s="839">
        <v>101.52815493731508</v>
      </c>
      <c r="I296" s="2839">
        <v>208.60776536993311</v>
      </c>
      <c r="J296" s="839">
        <v>195.33360815742179</v>
      </c>
      <c r="K296" s="2839">
        <v>164.47046400144282</v>
      </c>
      <c r="L296" s="839">
        <v>156.87875153289431</v>
      </c>
      <c r="M296" s="2029">
        <v>164.15793694895353</v>
      </c>
      <c r="N296" s="1668">
        <v>153.26472447491551</v>
      </c>
      <c r="O296" s="2839">
        <v>124.03649434484868</v>
      </c>
      <c r="P296" s="2839">
        <v>153.99959991690949</v>
      </c>
      <c r="Q296" s="2032">
        <v>402.98367744602081</v>
      </c>
    </row>
    <row r="297" spans="1:17">
      <c r="A297" s="63">
        <f t="shared" si="2"/>
        <v>2016.12</v>
      </c>
      <c r="B297" s="1938">
        <v>145.80667299238769</v>
      </c>
      <c r="C297" s="839">
        <v>154.08777475501535</v>
      </c>
      <c r="D297" s="1668">
        <v>176.15600559276515</v>
      </c>
      <c r="E297" s="2839">
        <v>106.54256661487882</v>
      </c>
      <c r="F297" s="839">
        <v>71.467064368483875</v>
      </c>
      <c r="G297" s="2839">
        <v>153.39383162286401</v>
      </c>
      <c r="H297" s="839">
        <v>107.09418289899983</v>
      </c>
      <c r="I297" s="2839">
        <v>178.00912746384154</v>
      </c>
      <c r="J297" s="839">
        <v>188.09728312743343</v>
      </c>
      <c r="K297" s="2839">
        <v>158.13838894442929</v>
      </c>
      <c r="L297" s="839">
        <v>128.30922623197264</v>
      </c>
      <c r="M297" s="2029">
        <v>140.84525416264623</v>
      </c>
      <c r="N297" s="1668">
        <v>160.75246407973236</v>
      </c>
      <c r="O297" s="2839">
        <v>102.03067211456067</v>
      </c>
      <c r="P297" s="2839">
        <v>142.79406298868352</v>
      </c>
      <c r="Q297" s="2032">
        <v>343.54432935883591</v>
      </c>
    </row>
    <row r="298" spans="1:17">
      <c r="A298" s="63">
        <f t="shared" si="2"/>
        <v>2017.01</v>
      </c>
      <c r="B298" s="1938">
        <v>133.94167555361662</v>
      </c>
      <c r="C298" s="839">
        <v>152.55971802065821</v>
      </c>
      <c r="D298" s="1668">
        <v>159.60772187704274</v>
      </c>
      <c r="E298" s="2839">
        <v>101.49306545490948</v>
      </c>
      <c r="F298" s="839">
        <v>67.544378306790875</v>
      </c>
      <c r="G298" s="2839">
        <v>147.18809584255746</v>
      </c>
      <c r="H298" s="839">
        <v>107.82350770531058</v>
      </c>
      <c r="I298" s="2839">
        <v>194.32518050681495</v>
      </c>
      <c r="J298" s="839">
        <v>174.84419704933708</v>
      </c>
      <c r="K298" s="2839">
        <v>148.70609985962946</v>
      </c>
      <c r="L298" s="839">
        <v>85.031604936401905</v>
      </c>
      <c r="M298" s="2029">
        <v>94.856481524250782</v>
      </c>
      <c r="N298" s="1668">
        <v>146.7485450304811</v>
      </c>
      <c r="O298" s="2839">
        <v>65.087521013366825</v>
      </c>
      <c r="P298" s="2839">
        <v>149.69569161001274</v>
      </c>
      <c r="Q298" s="2032">
        <v>249.23188149577416</v>
      </c>
    </row>
    <row r="299" spans="1:17">
      <c r="A299" s="63">
        <f t="shared" si="2"/>
        <v>2017.02</v>
      </c>
      <c r="B299" s="1938">
        <v>127.5249065811898</v>
      </c>
      <c r="C299" s="839">
        <v>152.19196023433901</v>
      </c>
      <c r="D299" s="1668">
        <v>139.36976995902447</v>
      </c>
      <c r="E299" s="2839">
        <v>82.969051356864114</v>
      </c>
      <c r="F299" s="839">
        <v>86.825856744540374</v>
      </c>
      <c r="G299" s="2839">
        <v>139.22328491918978</v>
      </c>
      <c r="H299" s="839">
        <v>94.029593745597992</v>
      </c>
      <c r="I299" s="2839">
        <v>176.08947261628595</v>
      </c>
      <c r="J299" s="839">
        <v>160.42355372551322</v>
      </c>
      <c r="K299" s="2839">
        <v>143.79647651101166</v>
      </c>
      <c r="L299" s="839">
        <v>127.97845418792981</v>
      </c>
      <c r="M299" s="2029">
        <v>89.469201644240229</v>
      </c>
      <c r="N299" s="1668">
        <v>126.88984046395623</v>
      </c>
      <c r="O299" s="2839">
        <v>91.711789397123738</v>
      </c>
      <c r="P299" s="2839">
        <v>134.8444098985843</v>
      </c>
      <c r="Q299" s="2032">
        <v>272.71952748322735</v>
      </c>
    </row>
    <row r="300" spans="1:17">
      <c r="A300" s="63">
        <f t="shared" si="2"/>
        <v>2017.03</v>
      </c>
      <c r="B300" s="1938">
        <v>157.72554637503299</v>
      </c>
      <c r="C300" s="839">
        <v>150.5759891025568</v>
      </c>
      <c r="D300" s="1668">
        <v>165.73211879236896</v>
      </c>
      <c r="E300" s="2839">
        <v>101.45988057825039</v>
      </c>
      <c r="F300" s="839">
        <v>102.05897100862295</v>
      </c>
      <c r="G300" s="2839">
        <v>156.47325605221801</v>
      </c>
      <c r="H300" s="839">
        <v>101.66576464995072</v>
      </c>
      <c r="I300" s="2839">
        <v>213.37714853317146</v>
      </c>
      <c r="J300" s="839">
        <v>201.97088263130101</v>
      </c>
      <c r="K300" s="2839">
        <v>181.81642421027749</v>
      </c>
      <c r="L300" s="839">
        <v>171.44042440131017</v>
      </c>
      <c r="M300" s="2029">
        <v>144.35283435743091</v>
      </c>
      <c r="N300" s="1668">
        <v>151.5104382662683</v>
      </c>
      <c r="O300" s="2839">
        <v>126.30598379939158</v>
      </c>
      <c r="P300" s="2839">
        <v>159.58266877203567</v>
      </c>
      <c r="Q300" s="2032">
        <v>408.43791192004767</v>
      </c>
    </row>
    <row r="301" spans="1:17">
      <c r="A301" s="63">
        <f t="shared" si="2"/>
        <v>2017.04</v>
      </c>
      <c r="B301" s="1938">
        <v>148.15407426967187</v>
      </c>
      <c r="C301" s="839">
        <v>151.74507781896557</v>
      </c>
      <c r="D301" s="1668">
        <v>150.77834478135131</v>
      </c>
      <c r="E301" s="2839">
        <v>88.111829877402286</v>
      </c>
      <c r="F301" s="839">
        <v>100.36751168961655</v>
      </c>
      <c r="G301" s="2839">
        <v>135.31535675438289</v>
      </c>
      <c r="H301" s="839">
        <v>101.49276245950134</v>
      </c>
      <c r="I301" s="2839">
        <v>199.27243419670569</v>
      </c>
      <c r="J301" s="839">
        <v>171.62473146379574</v>
      </c>
      <c r="K301" s="2839">
        <v>173.71510921375261</v>
      </c>
      <c r="L301" s="839">
        <v>158.12702233577292</v>
      </c>
      <c r="M301" s="2029">
        <v>139.89488916734425</v>
      </c>
      <c r="N301" s="1668">
        <v>136.9119667087682</v>
      </c>
      <c r="O301" s="2839">
        <v>114.8834179090485</v>
      </c>
      <c r="P301" s="2839">
        <v>153.75880141715677</v>
      </c>
      <c r="Q301" s="2032">
        <v>406.26505098989276</v>
      </c>
    </row>
    <row r="302" spans="1:17">
      <c r="A302" s="63">
        <f t="shared" si="2"/>
        <v>2017.05</v>
      </c>
      <c r="B302" s="1938">
        <v>159.32744156809883</v>
      </c>
      <c r="C302" s="839">
        <v>153.75672330115916</v>
      </c>
      <c r="D302" s="1668">
        <v>164.619807845521</v>
      </c>
      <c r="E302" s="2839">
        <v>90.735481693585569</v>
      </c>
      <c r="F302" s="839">
        <v>101.97890301226845</v>
      </c>
      <c r="G302" s="2839">
        <v>136.25889496981037</v>
      </c>
      <c r="H302" s="839">
        <v>102.17646723482183</v>
      </c>
      <c r="I302" s="2839">
        <v>218.88616383930375</v>
      </c>
      <c r="J302" s="839">
        <v>187.51789324581682</v>
      </c>
      <c r="K302" s="2839">
        <v>183.49764854349652</v>
      </c>
      <c r="L302" s="839">
        <v>172.25850054472517</v>
      </c>
      <c r="M302" s="2029">
        <v>168.07424122783132</v>
      </c>
      <c r="N302" s="1668">
        <v>148.27123633757816</v>
      </c>
      <c r="O302" s="2839">
        <v>130.48812034165184</v>
      </c>
      <c r="P302" s="2839">
        <v>160.61992124676493</v>
      </c>
      <c r="Q302" s="2032">
        <v>448.58363215144544</v>
      </c>
    </row>
    <row r="303" spans="1:17">
      <c r="A303" s="63">
        <f t="shared" si="2"/>
        <v>2017.06</v>
      </c>
      <c r="B303" s="1938">
        <v>157.66265953829455</v>
      </c>
      <c r="C303" s="839">
        <v>155.82687123948534</v>
      </c>
      <c r="D303" s="1668">
        <v>165.53565371708913</v>
      </c>
      <c r="E303" s="2839">
        <v>89.287781963092499</v>
      </c>
      <c r="F303" s="839">
        <v>97.768208337058795</v>
      </c>
      <c r="G303" s="2839">
        <v>141.56110459580503</v>
      </c>
      <c r="H303" s="839">
        <v>104.42986092407381</v>
      </c>
      <c r="I303" s="2839">
        <v>198.30422214673715</v>
      </c>
      <c r="J303" s="839">
        <v>195.15703716942565</v>
      </c>
      <c r="K303" s="2839">
        <v>170.66975932659554</v>
      </c>
      <c r="L303" s="839">
        <v>174.46486347698999</v>
      </c>
      <c r="M303" s="2029">
        <v>167.09172986174758</v>
      </c>
      <c r="N303" s="1668">
        <v>148.66409450255045</v>
      </c>
      <c r="O303" s="2839">
        <v>131.9886763406661</v>
      </c>
      <c r="P303" s="2839">
        <v>156.0874059820402</v>
      </c>
      <c r="Q303" s="2032">
        <v>446.94986455796237</v>
      </c>
    </row>
    <row r="304" spans="1:17">
      <c r="A304" s="63">
        <f t="shared" si="2"/>
        <v>2017.07</v>
      </c>
      <c r="B304" s="1938">
        <v>160.26598865931064</v>
      </c>
      <c r="C304" s="839">
        <v>156.12174663562382</v>
      </c>
      <c r="D304" s="1668">
        <v>179.03569193146791</v>
      </c>
      <c r="E304" s="2839">
        <v>82.350764382799696</v>
      </c>
      <c r="F304" s="839">
        <v>92.621101527615721</v>
      </c>
      <c r="G304" s="2839">
        <v>154.34181220545312</v>
      </c>
      <c r="H304" s="839">
        <v>103.96950380335257</v>
      </c>
      <c r="I304" s="2839">
        <v>201.35954950331066</v>
      </c>
      <c r="J304" s="839">
        <v>199.80435309607927</v>
      </c>
      <c r="K304" s="2839">
        <v>182.07831270037994</v>
      </c>
      <c r="L304" s="839">
        <v>189.04324117873557</v>
      </c>
      <c r="M304" s="2029">
        <v>139.79924049707228</v>
      </c>
      <c r="N304" s="1668">
        <v>157.64197374935694</v>
      </c>
      <c r="O304" s="2839">
        <v>139.54053350341479</v>
      </c>
      <c r="P304" s="2839">
        <v>155.743367770611</v>
      </c>
      <c r="Q304" s="2032">
        <v>395.66905978461739</v>
      </c>
    </row>
    <row r="305" spans="1:17">
      <c r="A305" s="63">
        <f t="shared" si="2"/>
        <v>2017.08</v>
      </c>
      <c r="B305" s="1938">
        <v>166.93138683803355</v>
      </c>
      <c r="C305" s="839">
        <v>154.58600656688699</v>
      </c>
      <c r="D305" s="1668">
        <v>188.2105089326019</v>
      </c>
      <c r="E305" s="2839">
        <v>94.991647428963859</v>
      </c>
      <c r="F305" s="839">
        <v>89.600271220178726</v>
      </c>
      <c r="G305" s="2839">
        <v>148.48850301525079</v>
      </c>
      <c r="H305" s="839">
        <v>106.09730276095223</v>
      </c>
      <c r="I305" s="2839">
        <v>214.36079009104222</v>
      </c>
      <c r="J305" s="839">
        <v>216.75344949957559</v>
      </c>
      <c r="K305" s="2839">
        <v>186.28445251304294</v>
      </c>
      <c r="L305" s="839">
        <v>184.88008103685763</v>
      </c>
      <c r="M305" s="2029">
        <v>161.73447687666865</v>
      </c>
      <c r="N305" s="1668">
        <v>167.58373594089446</v>
      </c>
      <c r="O305" s="2839">
        <v>139.1581287188516</v>
      </c>
      <c r="P305" s="2839">
        <v>161.1673830712426</v>
      </c>
      <c r="Q305" s="2032">
        <v>436.68217662413571</v>
      </c>
    </row>
    <row r="306" spans="1:17">
      <c r="A306" s="63">
        <f t="shared" si="2"/>
        <v>2017.09</v>
      </c>
      <c r="B306" s="1938">
        <v>164.84153444407502</v>
      </c>
      <c r="C306" s="839">
        <v>156.7121951843036</v>
      </c>
      <c r="D306" s="1668">
        <v>178.93076832943578</v>
      </c>
      <c r="E306" s="2839">
        <v>96.244972690680015</v>
      </c>
      <c r="F306" s="839">
        <v>87.773156477631431</v>
      </c>
      <c r="G306" s="2839">
        <v>151.25539462744473</v>
      </c>
      <c r="H306" s="839">
        <v>103.05896327651783</v>
      </c>
      <c r="I306" s="2839">
        <v>222.00536205280238</v>
      </c>
      <c r="J306" s="839">
        <v>215.41753181603505</v>
      </c>
      <c r="K306" s="2839">
        <v>188.63507715652415</v>
      </c>
      <c r="L306" s="839">
        <v>170.082335222192</v>
      </c>
      <c r="M306" s="2029">
        <v>162.79893856922462</v>
      </c>
      <c r="N306" s="1668">
        <v>160.63467343223763</v>
      </c>
      <c r="O306" s="2839">
        <v>129.68331190607563</v>
      </c>
      <c r="P306" s="2839">
        <v>166.21609759691918</v>
      </c>
      <c r="Q306" s="2032">
        <v>428.50326024173501</v>
      </c>
    </row>
    <row r="307" spans="1:17">
      <c r="A307" s="63">
        <f t="shared" si="2"/>
        <v>2017.1</v>
      </c>
      <c r="B307" s="1938">
        <v>160.89393988462271</v>
      </c>
      <c r="C307" s="839">
        <v>151.80487268296321</v>
      </c>
      <c r="D307" s="1668">
        <v>181.2851557169256</v>
      </c>
      <c r="E307" s="2839">
        <v>83.797542945293287</v>
      </c>
      <c r="F307" s="839">
        <v>84.182403073643115</v>
      </c>
      <c r="G307" s="2839">
        <v>149.52772305938609</v>
      </c>
      <c r="H307" s="839">
        <v>93.497766093815997</v>
      </c>
      <c r="I307" s="2839">
        <v>222.49978139421347</v>
      </c>
      <c r="J307" s="839">
        <v>216.50882515275052</v>
      </c>
      <c r="K307" s="2839">
        <v>193.75523675253106</v>
      </c>
      <c r="L307" s="839">
        <v>162.6101432792432</v>
      </c>
      <c r="M307" s="2029">
        <v>153.17535257015007</v>
      </c>
      <c r="N307" s="1668">
        <v>159.71382534763697</v>
      </c>
      <c r="O307" s="2839">
        <v>123.4804971219022</v>
      </c>
      <c r="P307" s="2839">
        <v>162.51725768864387</v>
      </c>
      <c r="Q307" s="2032">
        <v>406.41569748485375</v>
      </c>
    </row>
    <row r="308" spans="1:17">
      <c r="A308" s="63">
        <f t="shared" si="2"/>
        <v>2017.11</v>
      </c>
      <c r="B308" s="1938">
        <v>156.02057977012066</v>
      </c>
      <c r="C308" s="839">
        <v>153.50098959076814</v>
      </c>
      <c r="D308" s="1668">
        <v>170.76490386450851</v>
      </c>
      <c r="E308" s="2839">
        <v>96.056763198896235</v>
      </c>
      <c r="F308" s="839">
        <v>83.087501348119531</v>
      </c>
      <c r="G308" s="2839">
        <v>129.94967658377189</v>
      </c>
      <c r="H308" s="839">
        <v>97.186150133821641</v>
      </c>
      <c r="I308" s="2839">
        <v>216.07802014107727</v>
      </c>
      <c r="J308" s="839">
        <v>223.56724113376538</v>
      </c>
      <c r="K308" s="2839">
        <v>193.02929622362637</v>
      </c>
      <c r="L308" s="839">
        <v>147.63078516858141</v>
      </c>
      <c r="M308" s="2029">
        <v>158.14080861281363</v>
      </c>
      <c r="N308" s="1668">
        <v>154.2340448378512</v>
      </c>
      <c r="O308" s="2839">
        <v>117.69475666746791</v>
      </c>
      <c r="P308" s="2839">
        <v>159.76952042811624</v>
      </c>
      <c r="Q308" s="2032">
        <v>382.53230844745588</v>
      </c>
    </row>
    <row r="309" spans="1:17">
      <c r="A309" s="63">
        <f t="shared" si="2"/>
        <v>2017.12</v>
      </c>
      <c r="B309" s="1938">
        <v>146.05967323103141</v>
      </c>
      <c r="C309" s="839">
        <v>156.43296508219365</v>
      </c>
      <c r="D309" s="1668">
        <v>165.9207391147618</v>
      </c>
      <c r="E309" s="2839">
        <v>101.44001654359317</v>
      </c>
      <c r="F309" s="839">
        <v>71.91295206135284</v>
      </c>
      <c r="G309" s="2839">
        <v>136.52983157008623</v>
      </c>
      <c r="H309" s="839">
        <v>109.66718287082686</v>
      </c>
      <c r="I309" s="2839">
        <v>197.64129336636645</v>
      </c>
      <c r="J309" s="839">
        <v>198.6051609335891</v>
      </c>
      <c r="K309" s="2839">
        <v>180.56038817440412</v>
      </c>
      <c r="L309" s="839">
        <v>130.79386711122734</v>
      </c>
      <c r="M309" s="2029">
        <v>116.56986575622311</v>
      </c>
      <c r="N309" s="1668">
        <v>151.65292672826473</v>
      </c>
      <c r="O309" s="2839">
        <v>95.896491878205609</v>
      </c>
      <c r="P309" s="2839">
        <v>153.10595413777605</v>
      </c>
      <c r="Q309" s="2032">
        <v>332.37513427564795</v>
      </c>
    </row>
    <row r="310" spans="1:17">
      <c r="A310" s="63">
        <f t="shared" si="2"/>
        <v>2018.01</v>
      </c>
      <c r="B310" s="1938">
        <v>135.42939374281889</v>
      </c>
      <c r="C310" s="839">
        <v>155.27505823533662</v>
      </c>
      <c r="D310" s="1668">
        <v>163.04679921362228</v>
      </c>
      <c r="E310" s="2839">
        <v>97.470598745317346</v>
      </c>
      <c r="F310" s="839">
        <v>68.578665959456615</v>
      </c>
      <c r="G310" s="2839">
        <v>153.49573997346442</v>
      </c>
      <c r="H310" s="839">
        <v>102.92029464713339</v>
      </c>
      <c r="I310" s="2839">
        <v>204.92120908260387</v>
      </c>
      <c r="J310" s="839">
        <v>197.63071066642462</v>
      </c>
      <c r="K310" s="2839">
        <v>170.15516234247298</v>
      </c>
      <c r="L310" s="839">
        <v>83.838155161566291</v>
      </c>
      <c r="M310" s="2029">
        <v>75.588436884151719</v>
      </c>
      <c r="N310" s="1668">
        <v>148.53658766522619</v>
      </c>
      <c r="O310" s="2839">
        <v>63.403155388062288</v>
      </c>
      <c r="P310" s="2839">
        <v>155.76606183802753</v>
      </c>
      <c r="Q310" s="2032">
        <v>202.0958477596451</v>
      </c>
    </row>
    <row r="311" spans="1:17">
      <c r="A311" s="63">
        <f t="shared" si="2"/>
        <v>2018.02</v>
      </c>
      <c r="B311" s="1938">
        <v>137.16439357684831</v>
      </c>
      <c r="C311" s="839">
        <v>155.41083333947014</v>
      </c>
      <c r="D311" s="1668">
        <v>147.25557923614508</v>
      </c>
      <c r="E311" s="2839">
        <v>87.574409484061093</v>
      </c>
      <c r="F311" s="839">
        <v>87.019293332635243</v>
      </c>
      <c r="G311" s="2839">
        <v>147.54860540054943</v>
      </c>
      <c r="H311" s="839">
        <v>94.744081208620941</v>
      </c>
      <c r="I311" s="2839">
        <v>191.33589930943589</v>
      </c>
      <c r="J311" s="839">
        <v>181.39718663016731</v>
      </c>
      <c r="K311" s="2839">
        <v>184.80162373359039</v>
      </c>
      <c r="L311" s="839">
        <v>115.52191302361972</v>
      </c>
      <c r="M311" s="2029">
        <v>140.85197842527697</v>
      </c>
      <c r="N311" s="1668">
        <v>134.04977602744844</v>
      </c>
      <c r="O311" s="2839">
        <v>98.37127764440109</v>
      </c>
      <c r="P311" s="2839">
        <v>146.15962865166827</v>
      </c>
      <c r="Q311" s="2032">
        <v>302.7915756140867</v>
      </c>
    </row>
    <row r="312" spans="1:17">
      <c r="A312" s="63">
        <f t="shared" si="2"/>
        <v>2018.03</v>
      </c>
      <c r="B312" s="1938">
        <v>162.10753307883508</v>
      </c>
      <c r="C312" s="839">
        <v>159.39264800478887</v>
      </c>
      <c r="D312" s="1668">
        <v>165.93095172954153</v>
      </c>
      <c r="E312" s="2839">
        <v>95.307817212833356</v>
      </c>
      <c r="F312" s="839">
        <v>96.804740829854978</v>
      </c>
      <c r="G312" s="2839">
        <v>159.90361907183319</v>
      </c>
      <c r="H312" s="839">
        <v>100.57740832511621</v>
      </c>
      <c r="I312" s="2839">
        <v>218.17281252367528</v>
      </c>
      <c r="J312" s="839">
        <v>210.43108043796371</v>
      </c>
      <c r="K312" s="2839">
        <v>206.63327530479947</v>
      </c>
      <c r="L312" s="839">
        <v>160.68434188341166</v>
      </c>
      <c r="M312" s="2029">
        <v>181.40385128434858</v>
      </c>
      <c r="N312" s="1668">
        <v>150.30399233375329</v>
      </c>
      <c r="O312" s="2839">
        <v>134.20373476601844</v>
      </c>
      <c r="P312" s="2839">
        <v>166.97705274114031</v>
      </c>
      <c r="Q312" s="2032">
        <v>399.64349983656257</v>
      </c>
    </row>
    <row r="313" spans="1:17">
      <c r="A313" s="63">
        <f t="shared" si="2"/>
        <v>2018.04</v>
      </c>
      <c r="B313" s="1938">
        <v>154.50746235608378</v>
      </c>
      <c r="C313" s="839">
        <v>154.2109297134246</v>
      </c>
      <c r="D313" s="1668">
        <v>158.36234515148954</v>
      </c>
      <c r="E313" s="2839">
        <v>89.447493861065169</v>
      </c>
      <c r="F313" s="839">
        <v>96.641664050671153</v>
      </c>
      <c r="G313" s="2839">
        <v>144.17431793660523</v>
      </c>
      <c r="H313" s="839">
        <v>96.996283941400193</v>
      </c>
      <c r="I313" s="2839">
        <v>216.77801629502642</v>
      </c>
      <c r="J313" s="839">
        <v>185.74360466136486</v>
      </c>
      <c r="K313" s="2839">
        <v>201.74096915895436</v>
      </c>
      <c r="L313" s="839">
        <v>152.97070576404602</v>
      </c>
      <c r="M313" s="2029">
        <v>170.27852883000779</v>
      </c>
      <c r="N313" s="1668">
        <v>143.11338190096339</v>
      </c>
      <c r="O313" s="2839">
        <v>123.19734239537473</v>
      </c>
      <c r="P313" s="2839">
        <v>159.79426729860307</v>
      </c>
      <c r="Q313" s="2032">
        <v>405.30241659438423</v>
      </c>
    </row>
    <row r="314" spans="1:17">
      <c r="A314" s="63">
        <f t="shared" si="2"/>
        <v>2018.05</v>
      </c>
      <c r="B314" s="1938">
        <v>158.15759526191061</v>
      </c>
      <c r="C314" s="839">
        <v>152.74710187080271</v>
      </c>
      <c r="D314" s="1668">
        <v>162.07369491514035</v>
      </c>
      <c r="E314" s="2839">
        <v>91.529163250291617</v>
      </c>
      <c r="F314" s="839">
        <v>100.71384987245868</v>
      </c>
      <c r="G314" s="2839">
        <v>149.44272522027615</v>
      </c>
      <c r="H314" s="839">
        <v>98.990521580504293</v>
      </c>
      <c r="I314" s="2839">
        <v>211.14219951393579</v>
      </c>
      <c r="J314" s="839">
        <v>186.1747930929819</v>
      </c>
      <c r="K314" s="2839">
        <v>191.91952264675655</v>
      </c>
      <c r="L314" s="839">
        <v>161.79174044410024</v>
      </c>
      <c r="M314" s="2029">
        <v>174.20086458551552</v>
      </c>
      <c r="N314" s="1668">
        <v>146.46412817096419</v>
      </c>
      <c r="O314" s="2839">
        <v>130.91317825850385</v>
      </c>
      <c r="P314" s="2839">
        <v>161.7840645330931</v>
      </c>
      <c r="Q314" s="2032">
        <v>408.36861564526936</v>
      </c>
    </row>
    <row r="315" spans="1:17">
      <c r="A315" s="63">
        <f t="shared" si="2"/>
        <v>2018.06</v>
      </c>
      <c r="B315" s="1938">
        <v>146.71438491646995</v>
      </c>
      <c r="C315" s="839">
        <v>147.46190717818155</v>
      </c>
      <c r="D315" s="1668">
        <v>160.6872482898531</v>
      </c>
      <c r="E315" s="2839">
        <v>83.538434367114249</v>
      </c>
      <c r="F315" s="839">
        <v>95.714360514007666</v>
      </c>
      <c r="G315" s="2839">
        <v>149.55640963844826</v>
      </c>
      <c r="H315" s="839">
        <v>85.686106536131845</v>
      </c>
      <c r="I315" s="2839">
        <v>173.42366584896538</v>
      </c>
      <c r="J315" s="839">
        <v>189.57374226540577</v>
      </c>
      <c r="K315" s="2839">
        <v>179.33761965974594</v>
      </c>
      <c r="L315" s="839">
        <v>159.36298090890679</v>
      </c>
      <c r="M315" s="2029">
        <v>144.97728086459992</v>
      </c>
      <c r="N315" s="1668">
        <v>143.61633532550943</v>
      </c>
      <c r="O315" s="2839">
        <v>123.73231721256289</v>
      </c>
      <c r="P315" s="2839">
        <v>144.69082858034486</v>
      </c>
      <c r="Q315" s="2032">
        <v>365.55438877750032</v>
      </c>
    </row>
    <row r="316" spans="1:17">
      <c r="A316" s="63">
        <f t="shared" si="2"/>
        <v>2018.07</v>
      </c>
      <c r="B316" s="1938">
        <v>153.15564442948752</v>
      </c>
      <c r="C316" s="839">
        <v>146.84377896840806</v>
      </c>
      <c r="D316" s="1668">
        <v>178.50450614289011</v>
      </c>
      <c r="E316" s="2839">
        <v>82.789111399371734</v>
      </c>
      <c r="F316" s="839">
        <v>90.220988579634422</v>
      </c>
      <c r="G316" s="2839">
        <v>155.19249152988851</v>
      </c>
      <c r="H316" s="839">
        <v>85.430429116776992</v>
      </c>
      <c r="I316" s="2839">
        <v>175.28278812760075</v>
      </c>
      <c r="J316" s="839">
        <v>191.15948646301604</v>
      </c>
      <c r="K316" s="2839">
        <v>201.39203239794779</v>
      </c>
      <c r="L316" s="839">
        <v>168.17045886437177</v>
      </c>
      <c r="M316" s="2029">
        <v>151.63115447902575</v>
      </c>
      <c r="N316" s="1668">
        <v>157.32531893398848</v>
      </c>
      <c r="O316" s="2839">
        <v>129.28060551449377</v>
      </c>
      <c r="P316" s="2839">
        <v>145.37115102271557</v>
      </c>
      <c r="Q316" s="2032">
        <v>390.93641069165648</v>
      </c>
    </row>
    <row r="317" spans="1:17">
      <c r="A317" s="63">
        <f t="shared" si="2"/>
        <v>2018.08</v>
      </c>
      <c r="B317" s="1938">
        <v>154.4781689851628</v>
      </c>
      <c r="C317" s="839">
        <v>142.47358629171714</v>
      </c>
      <c r="D317" s="1668">
        <v>183.21244575932946</v>
      </c>
      <c r="E317" s="2839">
        <v>90.74146836009524</v>
      </c>
      <c r="F317" s="839">
        <v>86.824065697822277</v>
      </c>
      <c r="G317" s="2839">
        <v>153.76018804379015</v>
      </c>
      <c r="H317" s="839">
        <v>100.61805437385547</v>
      </c>
      <c r="I317" s="2839">
        <v>153.87926784481695</v>
      </c>
      <c r="J317" s="839">
        <v>211.62131797724976</v>
      </c>
      <c r="K317" s="2839">
        <v>200.16764659053933</v>
      </c>
      <c r="L317" s="839">
        <v>163.81353466512087</v>
      </c>
      <c r="M317" s="2029">
        <v>176.35763290373609</v>
      </c>
      <c r="N317" s="1668">
        <v>162.75115897284712</v>
      </c>
      <c r="O317" s="2839">
        <v>132.60358949404872</v>
      </c>
      <c r="P317" s="2839">
        <v>141.58470723056396</v>
      </c>
      <c r="Q317" s="2032">
        <v>413.04154370182476</v>
      </c>
    </row>
    <row r="318" spans="1:17">
      <c r="A318" s="63">
        <f>A306+1</f>
        <v>2018.09</v>
      </c>
      <c r="B318" s="1938">
        <v>149.19851985947693</v>
      </c>
      <c r="C318" s="839">
        <v>144.07616321335553</v>
      </c>
      <c r="D318" s="1668">
        <v>174.26009409610049</v>
      </c>
      <c r="E318" s="2839">
        <v>75.008975835073286</v>
      </c>
      <c r="F318" s="839">
        <v>85.446380298405657</v>
      </c>
      <c r="G318" s="2839">
        <v>150.95703155188528</v>
      </c>
      <c r="H318" s="839">
        <v>94.342271841104392</v>
      </c>
      <c r="I318" s="2839">
        <v>183.11384124649675</v>
      </c>
      <c r="J318" s="839">
        <v>198.71714722727117</v>
      </c>
      <c r="K318" s="2839">
        <v>191.57733508102538</v>
      </c>
      <c r="L318" s="839">
        <v>151.04870358369664</v>
      </c>
      <c r="M318" s="2029">
        <v>128.92101864428221</v>
      </c>
      <c r="N318" s="1668">
        <v>152.29854841187841</v>
      </c>
      <c r="O318" s="2839">
        <v>112.82826194833163</v>
      </c>
      <c r="P318" s="2839">
        <v>150.22039973965889</v>
      </c>
      <c r="Q318" s="2032">
        <v>353.95296206386439</v>
      </c>
    </row>
    <row r="319" spans="1:17">
      <c r="A319" s="63">
        <f t="shared" si="2"/>
        <v>2018.1</v>
      </c>
      <c r="B319" s="1938">
        <v>156.21202512453192</v>
      </c>
      <c r="C319" s="839">
        <v>145.02687886453381</v>
      </c>
      <c r="D319" s="1668">
        <v>180.38361490108497</v>
      </c>
      <c r="E319" s="2839">
        <v>100.28466703113712</v>
      </c>
      <c r="F319" s="839">
        <v>80.611792314469739</v>
      </c>
      <c r="G319" s="2839">
        <v>154.75169119788796</v>
      </c>
      <c r="H319" s="839">
        <v>101.59199661924214</v>
      </c>
      <c r="I319" s="2839">
        <v>204.67776231592055</v>
      </c>
      <c r="J319" s="839">
        <v>196.93008522541334</v>
      </c>
      <c r="K319" s="2839">
        <v>196.18113041056276</v>
      </c>
      <c r="L319" s="839">
        <v>146.59536476884492</v>
      </c>
      <c r="M319" s="2029">
        <v>134.57615745657333</v>
      </c>
      <c r="N319" s="1668">
        <v>162.65991834506616</v>
      </c>
      <c r="O319" s="2839">
        <v>108.14655779259216</v>
      </c>
      <c r="P319" s="2839">
        <v>159.24882048924081</v>
      </c>
      <c r="Q319" s="2032">
        <v>378.65812132282758</v>
      </c>
    </row>
    <row r="320" spans="1:17">
      <c r="A320" s="63">
        <f t="shared" ref="A320:A383" si="3">A308+1</f>
        <v>2018.11</v>
      </c>
      <c r="B320" s="1938">
        <v>143.58658930930915</v>
      </c>
      <c r="C320" s="839">
        <v>141.73115911336086</v>
      </c>
      <c r="D320" s="1668">
        <v>162.76749691108051</v>
      </c>
      <c r="E320" s="2839">
        <v>86.979230684869066</v>
      </c>
      <c r="F320" s="839">
        <v>79.76136625661448</v>
      </c>
      <c r="G320" s="2839">
        <v>160.5649313890008</v>
      </c>
      <c r="H320" s="839">
        <v>91.21207665868431</v>
      </c>
      <c r="I320" s="2839">
        <v>187.47869800265343</v>
      </c>
      <c r="J320" s="839">
        <v>191.6120542940846</v>
      </c>
      <c r="K320" s="2839">
        <v>197.13695833481842</v>
      </c>
      <c r="L320" s="839">
        <v>133.49487445790348</v>
      </c>
      <c r="M320" s="2029">
        <v>128.24401352315539</v>
      </c>
      <c r="N320" s="1668">
        <v>145.99763577281567</v>
      </c>
      <c r="O320" s="2839">
        <v>101.39935751796611</v>
      </c>
      <c r="P320" s="2839">
        <v>148.34139787058086</v>
      </c>
      <c r="Q320" s="2032">
        <v>340.26207352523573</v>
      </c>
    </row>
    <row r="321" spans="1:17">
      <c r="A321" s="63">
        <f t="shared" si="3"/>
        <v>2018.12</v>
      </c>
      <c r="B321" s="1938">
        <v>129.91556913048342</v>
      </c>
      <c r="C321" s="839">
        <v>139.24168707655826</v>
      </c>
      <c r="D321" s="1668">
        <v>160.5303603226667</v>
      </c>
      <c r="E321" s="2839">
        <v>92.727075907050462</v>
      </c>
      <c r="F321" s="839">
        <v>70.460963282910285</v>
      </c>
      <c r="G321" s="2839">
        <v>152.85314336972993</v>
      </c>
      <c r="H321" s="839">
        <v>99.97240029018171</v>
      </c>
      <c r="I321" s="2839">
        <v>154.48526668333056</v>
      </c>
      <c r="J321" s="839">
        <v>166.57558765056348</v>
      </c>
      <c r="K321" s="2839">
        <v>167.63002275874055</v>
      </c>
      <c r="L321" s="839">
        <v>115.19585746412424</v>
      </c>
      <c r="M321" s="2029">
        <v>71.415075031627936</v>
      </c>
      <c r="N321" s="1668">
        <v>145.52735628277603</v>
      </c>
      <c r="O321" s="2839">
        <v>78.78210985956423</v>
      </c>
      <c r="P321" s="2839">
        <v>135.40110840705813</v>
      </c>
      <c r="Q321" s="2032">
        <v>246.56448897423118</v>
      </c>
    </row>
    <row r="322" spans="1:17">
      <c r="A322" s="63">
        <f t="shared" si="3"/>
        <v>2019.01</v>
      </c>
      <c r="B322" s="1938">
        <v>121.53423197341792</v>
      </c>
      <c r="C322" s="839">
        <v>138.30893736457398</v>
      </c>
      <c r="D322" s="1668">
        <v>156.92876739799868</v>
      </c>
      <c r="E322" s="2839">
        <v>88.916039773521007</v>
      </c>
      <c r="F322" s="839">
        <v>66.685917960029059</v>
      </c>
      <c r="G322" s="2839">
        <v>153.71749844378982</v>
      </c>
      <c r="H322" s="839">
        <v>99.334374628820953</v>
      </c>
      <c r="I322" s="2839">
        <v>168.33536612683969</v>
      </c>
      <c r="J322" s="839">
        <v>166.52491735620146</v>
      </c>
      <c r="K322" s="2839">
        <v>169.03623080257057</v>
      </c>
      <c r="L322" s="839">
        <v>73.122604107917766</v>
      </c>
      <c r="M322" s="2029">
        <v>50.94263648033732</v>
      </c>
      <c r="N322" s="1668">
        <v>141.87941933014892</v>
      </c>
      <c r="O322" s="2839">
        <v>51.265678774314999</v>
      </c>
      <c r="P322" s="2839">
        <v>137.87627652505822</v>
      </c>
      <c r="Q322" s="2032">
        <v>163.16080192942059</v>
      </c>
    </row>
    <row r="323" spans="1:17">
      <c r="A323" s="63">
        <f t="shared" si="3"/>
        <v>2019.02</v>
      </c>
      <c r="B323" s="1938">
        <v>128.82987539140709</v>
      </c>
      <c r="C323" s="839">
        <v>144.31594589994842</v>
      </c>
      <c r="D323" s="1668">
        <v>141.9734416016617</v>
      </c>
      <c r="E323" s="2839">
        <v>94.210106409917387</v>
      </c>
      <c r="F323" s="839">
        <v>85.209767226023089</v>
      </c>
      <c r="G323" s="2839">
        <v>142.97519809171757</v>
      </c>
      <c r="H323" s="839">
        <v>85.222611480490201</v>
      </c>
      <c r="I323" s="2839">
        <v>177.30620074524973</v>
      </c>
      <c r="J323" s="839">
        <v>179.63539302478327</v>
      </c>
      <c r="K323" s="2839">
        <v>146.45730887971294</v>
      </c>
      <c r="L323" s="839">
        <v>104.79337130658156</v>
      </c>
      <c r="M323" s="2029">
        <v>117.13106640251497</v>
      </c>
      <c r="N323" s="1668">
        <v>131.40472775517804</v>
      </c>
      <c r="O323" s="2839">
        <v>80.782915660187157</v>
      </c>
      <c r="P323" s="2839">
        <v>137.68438412908196</v>
      </c>
      <c r="Q323" s="2032">
        <v>303.86298334206452</v>
      </c>
    </row>
    <row r="324" spans="1:17">
      <c r="A324" s="63">
        <f t="shared" si="3"/>
        <v>2019.03</v>
      </c>
      <c r="B324" s="1938">
        <v>141.78628798149992</v>
      </c>
      <c r="C324" s="839">
        <v>139.43718624376783</v>
      </c>
      <c r="D324" s="1668">
        <v>150.91325081059043</v>
      </c>
      <c r="E324" s="2839">
        <v>76.184463943311655</v>
      </c>
      <c r="F324" s="839">
        <v>96.106465574896248</v>
      </c>
      <c r="G324" s="2839">
        <v>148.82504074695805</v>
      </c>
      <c r="H324" s="839">
        <v>99.823076179743623</v>
      </c>
      <c r="I324" s="2839">
        <v>185.88380068237356</v>
      </c>
      <c r="J324" s="839">
        <v>188.21895988631258</v>
      </c>
      <c r="K324" s="2839">
        <v>178.56971530903473</v>
      </c>
      <c r="L324" s="839">
        <v>151.71723635199072</v>
      </c>
      <c r="M324" s="2029">
        <v>106.25171899869807</v>
      </c>
      <c r="N324" s="1668">
        <v>134.37782334673005</v>
      </c>
      <c r="O324" s="2839">
        <v>110.15188819670151</v>
      </c>
      <c r="P324" s="2839">
        <v>149.87843858142486</v>
      </c>
      <c r="Q324" s="2032">
        <v>313.97617942776651</v>
      </c>
    </row>
    <row r="325" spans="1:17">
      <c r="A325" s="63">
        <f t="shared" si="3"/>
        <v>2019.04</v>
      </c>
      <c r="B325" s="1938">
        <v>141.5454818934449</v>
      </c>
      <c r="C325" s="839">
        <v>141.28081639858667</v>
      </c>
      <c r="D325" s="1668">
        <v>159.99784519756219</v>
      </c>
      <c r="E325" s="2839">
        <v>82.61560666105855</v>
      </c>
      <c r="F325" s="839">
        <v>96.090533777981904</v>
      </c>
      <c r="G325" s="2839">
        <v>135.37625544366432</v>
      </c>
      <c r="H325" s="839">
        <v>89.587727609522474</v>
      </c>
      <c r="I325" s="2839">
        <v>172.65477457982985</v>
      </c>
      <c r="J325" s="839">
        <v>182.53832345799532</v>
      </c>
      <c r="K325" s="2839">
        <v>188.1243277479546</v>
      </c>
      <c r="L325" s="839">
        <v>145.2795236912028</v>
      </c>
      <c r="M325" s="2029">
        <v>112.07268407112504</v>
      </c>
      <c r="N325" s="1668">
        <v>142.87528177921013</v>
      </c>
      <c r="O325" s="2839">
        <v>102.12737110999139</v>
      </c>
      <c r="P325" s="2839">
        <v>144.80281226591575</v>
      </c>
      <c r="Q325" s="2032">
        <v>351.9225984996196</v>
      </c>
    </row>
    <row r="326" spans="1:17">
      <c r="A326" s="63">
        <f t="shared" si="3"/>
        <v>2019.05</v>
      </c>
      <c r="B326" s="1938">
        <v>149.70397055434097</v>
      </c>
      <c r="C326" s="839">
        <v>144.49780475389107</v>
      </c>
      <c r="D326" s="1668">
        <v>164.69198422918183</v>
      </c>
      <c r="E326" s="2839">
        <v>92.160013401050861</v>
      </c>
      <c r="F326" s="839">
        <v>100.29624155178828</v>
      </c>
      <c r="G326" s="2839">
        <v>141.08333249401295</v>
      </c>
      <c r="H326" s="839">
        <v>100.8077727848993</v>
      </c>
      <c r="I326" s="2839">
        <v>199.01826952469446</v>
      </c>
      <c r="J326" s="839">
        <v>184.49513461438102</v>
      </c>
      <c r="K326" s="2839">
        <v>184.72281053157224</v>
      </c>
      <c r="L326" s="839">
        <v>154.94018268371224</v>
      </c>
      <c r="M326" s="2029">
        <v>112.05198919246615</v>
      </c>
      <c r="N326" s="1668">
        <v>148.64265180030833</v>
      </c>
      <c r="O326" s="2839">
        <v>109.47339711876565</v>
      </c>
      <c r="P326" s="2839">
        <v>155.56018206543183</v>
      </c>
      <c r="Q326" s="2032">
        <v>351.10830871051536</v>
      </c>
    </row>
    <row r="327" spans="1:17">
      <c r="A327" s="63">
        <f t="shared" si="3"/>
        <v>2019.06</v>
      </c>
      <c r="B327" s="1938">
        <v>137.36717013454683</v>
      </c>
      <c r="C327" s="839">
        <v>139.84581251483587</v>
      </c>
      <c r="D327" s="1668">
        <v>165.41326614861177</v>
      </c>
      <c r="E327" s="2839">
        <v>66.345524687081308</v>
      </c>
      <c r="F327" s="839">
        <v>94.344945361317102</v>
      </c>
      <c r="G327" s="2839">
        <v>141.61028104860873</v>
      </c>
      <c r="H327" s="839">
        <v>92.13896293844202</v>
      </c>
      <c r="I327" s="2839">
        <v>151.17398348212112</v>
      </c>
      <c r="J327" s="839">
        <v>173.72650820856228</v>
      </c>
      <c r="K327" s="2839">
        <v>182.86361256162886</v>
      </c>
      <c r="L327" s="839">
        <v>152.41717583569402</v>
      </c>
      <c r="M327" s="2029">
        <v>87.526287739365074</v>
      </c>
      <c r="N327" s="1668">
        <v>143.49229671209486</v>
      </c>
      <c r="O327" s="2839">
        <v>105.11621053022736</v>
      </c>
      <c r="P327" s="2839">
        <v>137.20587783602656</v>
      </c>
      <c r="Q327" s="2032">
        <v>301.17654164106153</v>
      </c>
    </row>
    <row r="328" spans="1:17">
      <c r="A328" s="63">
        <f t="shared" si="3"/>
        <v>2019.07</v>
      </c>
      <c r="B328" s="1938">
        <v>150.69067281973878</v>
      </c>
      <c r="C328" s="839">
        <v>142.35692475481142</v>
      </c>
      <c r="D328" s="1668">
        <v>192.08545088155921</v>
      </c>
      <c r="E328" s="2839">
        <v>85.171278993641948</v>
      </c>
      <c r="F328" s="839">
        <v>89.310550204296504</v>
      </c>
      <c r="G328" s="2839">
        <v>142.22094048657979</v>
      </c>
      <c r="H328" s="839">
        <v>96.924405183828682</v>
      </c>
      <c r="I328" s="2839">
        <v>183.86243194310086</v>
      </c>
      <c r="J328" s="839">
        <v>187.58030221001931</v>
      </c>
      <c r="K328" s="2839">
        <v>184.70747307275576</v>
      </c>
      <c r="L328" s="839">
        <v>167.3210450639699</v>
      </c>
      <c r="M328" s="2029">
        <v>78.747312030771241</v>
      </c>
      <c r="N328" s="1668">
        <v>168.42828196148619</v>
      </c>
      <c r="O328" s="2839">
        <v>112.74036115581499</v>
      </c>
      <c r="P328" s="2839">
        <v>146.25333801371175</v>
      </c>
      <c r="Q328" s="2032">
        <v>301.59932663364572</v>
      </c>
    </row>
    <row r="329" spans="1:17">
      <c r="A329" s="63">
        <f t="shared" si="3"/>
        <v>2019.08</v>
      </c>
      <c r="B329" s="1938">
        <v>153.06510094421589</v>
      </c>
      <c r="C329" s="839">
        <v>142.64521181987439</v>
      </c>
      <c r="D329" s="1668">
        <v>191.1807385138647</v>
      </c>
      <c r="E329" s="2839">
        <v>91.938515995062204</v>
      </c>
      <c r="F329" s="839">
        <v>86.250288573784417</v>
      </c>
      <c r="G329" s="2839">
        <v>145.3871330151826</v>
      </c>
      <c r="H329" s="839">
        <v>102.95555092266517</v>
      </c>
      <c r="I329" s="2839">
        <v>169.28280916190562</v>
      </c>
      <c r="J329" s="839">
        <v>203.21990233250193</v>
      </c>
      <c r="K329" s="2839">
        <v>189.91295637484825</v>
      </c>
      <c r="L329" s="839">
        <v>159.60792945603919</v>
      </c>
      <c r="M329" s="2029">
        <v>109.54876868245834</v>
      </c>
      <c r="N329" s="1668">
        <v>169.22116121299877</v>
      </c>
      <c r="O329" s="2839">
        <v>111.73143898493225</v>
      </c>
      <c r="P329" s="2839">
        <v>147.95940313913724</v>
      </c>
      <c r="Q329" s="2032">
        <v>352.80670542259838</v>
      </c>
    </row>
    <row r="330" spans="1:17">
      <c r="A330" s="63">
        <f t="shared" si="3"/>
        <v>2019.09</v>
      </c>
      <c r="B330" s="1938">
        <v>146.09519459693172</v>
      </c>
      <c r="C330" s="839">
        <v>139.2871670970203</v>
      </c>
      <c r="D330" s="1668">
        <v>182.09748487566472</v>
      </c>
      <c r="E330" s="2839">
        <v>80.149989760515339</v>
      </c>
      <c r="F330" s="839">
        <v>84.794599600370447</v>
      </c>
      <c r="G330" s="2839">
        <v>144.98800663236909</v>
      </c>
      <c r="H330" s="839">
        <v>96.374799690097177</v>
      </c>
      <c r="I330" s="2839">
        <v>174.5884343561886</v>
      </c>
      <c r="J330" s="839">
        <v>183.37918239028656</v>
      </c>
      <c r="K330" s="2839">
        <v>179.65764463092361</v>
      </c>
      <c r="L330" s="839">
        <v>147.44584994581857</v>
      </c>
      <c r="M330" s="2029">
        <v>95.445689950414604</v>
      </c>
      <c r="N330" s="1668">
        <v>159.53930507284309</v>
      </c>
      <c r="O330" s="2839">
        <v>101.13494425436002</v>
      </c>
      <c r="P330" s="2839">
        <v>145.95569385560381</v>
      </c>
      <c r="Q330" s="2032">
        <v>324.5629225069527</v>
      </c>
    </row>
    <row r="331" spans="1:17">
      <c r="A331" s="63">
        <f t="shared" si="3"/>
        <v>2019.1</v>
      </c>
      <c r="B331" s="1938">
        <v>153.90917696901909</v>
      </c>
      <c r="C331" s="839">
        <v>143.62234112410152</v>
      </c>
      <c r="D331" s="1668">
        <v>184.79281542947416</v>
      </c>
      <c r="E331" s="2839">
        <v>88.22911375216519</v>
      </c>
      <c r="F331" s="839">
        <v>80.982856899479401</v>
      </c>
      <c r="G331" s="2839">
        <v>151.32149988972432</v>
      </c>
      <c r="H331" s="839">
        <v>104.43706071277643</v>
      </c>
      <c r="I331" s="2839">
        <v>207.16752093074885</v>
      </c>
      <c r="J331" s="839">
        <v>189.64067177162087</v>
      </c>
      <c r="K331" s="2839">
        <v>179.57645433041012</v>
      </c>
      <c r="L331" s="839">
        <v>143.93135617526514</v>
      </c>
      <c r="M331" s="2029">
        <v>110.73342058741656</v>
      </c>
      <c r="N331" s="1668">
        <v>163.42592120218222</v>
      </c>
      <c r="O331" s="2839">
        <v>102.58711508772342</v>
      </c>
      <c r="P331" s="2839">
        <v>158.99740185945913</v>
      </c>
      <c r="Q331" s="2032">
        <v>338.1445662735465</v>
      </c>
    </row>
    <row r="332" spans="1:17">
      <c r="A332" s="63">
        <f t="shared" si="3"/>
        <v>2019.11</v>
      </c>
      <c r="B332" s="1938">
        <v>139.66119850301016</v>
      </c>
      <c r="C332" s="839">
        <v>140.22746518118433</v>
      </c>
      <c r="D332" s="1668">
        <v>162.85254475261766</v>
      </c>
      <c r="E332" s="2839">
        <v>87.322236504999353</v>
      </c>
      <c r="F332" s="839">
        <v>78.73182662864717</v>
      </c>
      <c r="G332" s="2839">
        <v>158.99461616199187</v>
      </c>
      <c r="H332" s="839">
        <v>98.468019580222574</v>
      </c>
      <c r="I332" s="2839">
        <v>187.40597041343943</v>
      </c>
      <c r="J332" s="839">
        <v>172.79555805980604</v>
      </c>
      <c r="K332" s="2839">
        <v>167.10093848317351</v>
      </c>
      <c r="L332" s="839">
        <v>135.10768638193269</v>
      </c>
      <c r="M332" s="2029">
        <v>94.613411871666585</v>
      </c>
      <c r="N332" s="1668">
        <v>146.13976262797749</v>
      </c>
      <c r="O332" s="2839">
        <v>100.10753495262445</v>
      </c>
      <c r="P332" s="2839">
        <v>145.24134469643434</v>
      </c>
      <c r="Q332" s="2032">
        <v>265.7071349803964</v>
      </c>
    </row>
    <row r="333" spans="1:17">
      <c r="A333" s="63">
        <f t="shared" si="3"/>
        <v>2019.12</v>
      </c>
      <c r="B333" s="1938">
        <v>133.08789019656979</v>
      </c>
      <c r="C333" s="839">
        <v>141.51091107694415</v>
      </c>
      <c r="D333" s="1668">
        <v>170.54315835595904</v>
      </c>
      <c r="E333" s="2839">
        <v>89.533680757702328</v>
      </c>
      <c r="F333" s="839">
        <v>69.572808976610631</v>
      </c>
      <c r="G333" s="2839">
        <v>153.79269448019423</v>
      </c>
      <c r="H333" s="839">
        <v>101.40271348077192</v>
      </c>
      <c r="I333" s="2839">
        <v>168.35357492003763</v>
      </c>
      <c r="J333" s="839">
        <v>156.88908676298809</v>
      </c>
      <c r="K333" s="2839">
        <v>155.35260516785394</v>
      </c>
      <c r="L333" s="839">
        <v>113.71043422992042</v>
      </c>
      <c r="M333" s="2029">
        <v>50.780282568168161</v>
      </c>
      <c r="N333" s="1668">
        <v>152.61798658660803</v>
      </c>
      <c r="O333" s="2839">
        <v>77.174147647259161</v>
      </c>
      <c r="P333" s="2839">
        <v>141.97823236787249</v>
      </c>
      <c r="Q333" s="2032">
        <v>193.6658562038925</v>
      </c>
    </row>
    <row r="334" spans="1:17">
      <c r="A334" s="63">
        <f t="shared" si="3"/>
        <v>2020.01</v>
      </c>
      <c r="B334" s="1938">
        <v>129.50038404573709</v>
      </c>
      <c r="C334" s="839">
        <v>134.60416885305099</v>
      </c>
      <c r="D334" s="1668">
        <v>160.98982632895428</v>
      </c>
      <c r="E334" s="2839">
        <v>89.605344296308843</v>
      </c>
      <c r="F334" s="839">
        <v>68.021721933365356</v>
      </c>
      <c r="G334" s="2839">
        <v>149.9994628151897</v>
      </c>
      <c r="H334" s="839">
        <v>104.14162431328356</v>
      </c>
      <c r="I334" s="2839">
        <v>199.55054957522029</v>
      </c>
      <c r="J334" s="839">
        <v>156.85053643941018</v>
      </c>
      <c r="K334" s="2839">
        <v>150.80288783393621</v>
      </c>
      <c r="L334" s="839">
        <v>76.503138914379349</v>
      </c>
      <c r="M334" s="2029">
        <v>70.932616925995021</v>
      </c>
      <c r="N334" s="1668">
        <v>145.19440164485715</v>
      </c>
      <c r="O334" s="2839">
        <v>53.675573622271301</v>
      </c>
      <c r="P334" s="2839">
        <v>148.35225967428164</v>
      </c>
      <c r="Q334" s="2032">
        <v>218.5538489240775</v>
      </c>
    </row>
    <row r="335" spans="1:17">
      <c r="A335" s="63">
        <f t="shared" si="3"/>
        <v>2020.02</v>
      </c>
      <c r="B335" s="1938">
        <v>128.37073191647909</v>
      </c>
      <c r="C335" s="839">
        <v>130.71241287681499</v>
      </c>
      <c r="D335" s="1668">
        <v>149.4961272298616</v>
      </c>
      <c r="E335" s="2839">
        <v>84.00512226170909</v>
      </c>
      <c r="F335" s="839">
        <v>84.916983096038194</v>
      </c>
      <c r="G335" s="2839">
        <v>144.73793559990693</v>
      </c>
      <c r="H335" s="839">
        <v>96.86556275531764</v>
      </c>
      <c r="I335" s="2839">
        <v>183.00734612296679</v>
      </c>
      <c r="J335" s="839">
        <v>140.69588257361087</v>
      </c>
      <c r="K335" s="2839">
        <v>158.20794977661376</v>
      </c>
      <c r="L335" s="839">
        <v>103.021517881492</v>
      </c>
      <c r="M335" s="2029">
        <v>93.613460895982016</v>
      </c>
      <c r="N335" s="1668">
        <v>135.0047671050209</v>
      </c>
      <c r="O335" s="2839">
        <v>76.531024004605825</v>
      </c>
      <c r="P335" s="2839">
        <v>139.22468064775143</v>
      </c>
      <c r="Q335" s="2032">
        <v>259.83267516838629</v>
      </c>
    </row>
    <row r="336" spans="1:17">
      <c r="A336" s="63">
        <f t="shared" si="3"/>
        <v>2020.03</v>
      </c>
      <c r="B336" s="1938">
        <v>129.390290228948</v>
      </c>
      <c r="C336" s="839">
        <v>125.28561668393431</v>
      </c>
      <c r="D336" s="1668">
        <v>151.427528334497</v>
      </c>
      <c r="E336" s="2839">
        <v>72.959380738179689</v>
      </c>
      <c r="F336" s="839">
        <v>95.842631177617577</v>
      </c>
      <c r="G336" s="2839">
        <v>144.73861727209339</v>
      </c>
      <c r="H336" s="839">
        <v>91.670745597971532</v>
      </c>
      <c r="I336" s="2839">
        <v>179.15779396690388</v>
      </c>
      <c r="J336" s="839">
        <v>103.59905210852133</v>
      </c>
      <c r="K336" s="2839">
        <v>142.16983157510302</v>
      </c>
      <c r="L336" s="839">
        <v>140.90723677971027</v>
      </c>
      <c r="M336" s="2029">
        <v>69.570799188806106</v>
      </c>
      <c r="N336" s="1668">
        <v>134.06468307505486</v>
      </c>
      <c r="O336" s="2839">
        <v>99.309060666064539</v>
      </c>
      <c r="P336" s="2839">
        <v>133.29212733925942</v>
      </c>
      <c r="Q336" s="2032">
        <v>232.79231605707989</v>
      </c>
    </row>
    <row r="337" spans="1:17">
      <c r="A337" s="63">
        <f t="shared" si="3"/>
        <v>2020.04</v>
      </c>
      <c r="B337" s="1938">
        <v>101.28743716894104</v>
      </c>
      <c r="C337" s="839">
        <v>125.961733393201</v>
      </c>
      <c r="D337" s="1668">
        <v>155.57156298959029</v>
      </c>
      <c r="E337" s="2839">
        <v>34.875722306446278</v>
      </c>
      <c r="F337" s="839">
        <v>95.242105241747623</v>
      </c>
      <c r="G337" s="2839">
        <v>114.08451467741401</v>
      </c>
      <c r="H337" s="839">
        <v>58.107639385828989</v>
      </c>
      <c r="I337" s="2839">
        <v>142.82376945290889</v>
      </c>
      <c r="J337" s="839">
        <v>63.950643879233411</v>
      </c>
      <c r="K337" s="2839">
        <v>63.88931158942556</v>
      </c>
      <c r="L337" s="839">
        <v>111.2142618402907</v>
      </c>
      <c r="M337" s="2029">
        <v>0</v>
      </c>
      <c r="N337" s="1668">
        <v>128.86488939738658</v>
      </c>
      <c r="O337" s="2839">
        <v>74.419257151303981</v>
      </c>
      <c r="P337" s="2839">
        <v>98.011089597608887</v>
      </c>
      <c r="Q337" s="2032">
        <v>61.187818099360975</v>
      </c>
    </row>
    <row r="338" spans="1:17">
      <c r="A338" s="63">
        <f t="shared" si="3"/>
        <v>2020.05</v>
      </c>
      <c r="B338" s="1938">
        <v>119.0193854012421</v>
      </c>
      <c r="C338" s="839">
        <v>126.714231038325</v>
      </c>
      <c r="D338" s="1668">
        <v>158.62696735695022</v>
      </c>
      <c r="E338" s="2839">
        <v>77.939796860255157</v>
      </c>
      <c r="F338" s="839">
        <v>96.187294232748201</v>
      </c>
      <c r="G338" s="2839">
        <v>128.14502272202174</v>
      </c>
      <c r="H338" s="839">
        <v>74.117615438794189</v>
      </c>
      <c r="I338" s="2839">
        <v>170.2717676367046</v>
      </c>
      <c r="J338" s="839">
        <v>109.4037507362932</v>
      </c>
      <c r="K338" s="2839">
        <v>91.136625730611982</v>
      </c>
      <c r="L338" s="839">
        <v>125.58991463024779</v>
      </c>
      <c r="M338" s="2029">
        <v>17.745360467748835</v>
      </c>
      <c r="N338" s="1668">
        <v>140.77311329423378</v>
      </c>
      <c r="O338" s="2839">
        <v>84.61868387614517</v>
      </c>
      <c r="P338" s="2839">
        <v>120.83683868977093</v>
      </c>
      <c r="Q338" s="2032">
        <v>113.52795323159592</v>
      </c>
    </row>
    <row r="339" spans="1:17">
      <c r="A339" s="63">
        <f t="shared" si="3"/>
        <v>2020.06</v>
      </c>
      <c r="B339" s="1938">
        <v>131.25284592838139</v>
      </c>
      <c r="C339" s="839">
        <v>129.17111233017908</v>
      </c>
      <c r="D339" s="1668">
        <v>174.36774207991698</v>
      </c>
      <c r="E339" s="2839">
        <v>103.58070366998604</v>
      </c>
      <c r="F339" s="839">
        <v>91.838386354272444</v>
      </c>
      <c r="G339" s="2839">
        <v>135.58304996505143</v>
      </c>
      <c r="H339" s="839">
        <v>84.05823676574164</v>
      </c>
      <c r="I339" s="2839">
        <v>155.52787997928411</v>
      </c>
      <c r="J339" s="839">
        <v>160.46672401836452</v>
      </c>
      <c r="K339" s="2839">
        <v>108.26047445519642</v>
      </c>
      <c r="L339" s="839">
        <v>131.37943922199301</v>
      </c>
      <c r="M339" s="2029">
        <v>57.165609505526291</v>
      </c>
      <c r="N339" s="1668">
        <v>158.70451525559091</v>
      </c>
      <c r="O339" s="2839">
        <v>91.951600105343573</v>
      </c>
      <c r="P339" s="2839">
        <v>126.45476937682065</v>
      </c>
      <c r="Q339" s="2032">
        <v>200.46150396923247</v>
      </c>
    </row>
    <row r="340" spans="1:17">
      <c r="A340" s="63">
        <f t="shared" si="3"/>
        <v>2020.07</v>
      </c>
      <c r="B340" s="1938">
        <v>141.91504168149498</v>
      </c>
      <c r="C340" s="839">
        <v>134.37456034749187</v>
      </c>
      <c r="D340" s="1668">
        <v>187.54474550901452</v>
      </c>
      <c r="E340" s="2839">
        <v>72.710513652805147</v>
      </c>
      <c r="F340" s="839">
        <v>88.149424474696275</v>
      </c>
      <c r="G340" s="2839">
        <v>140.7809657405522</v>
      </c>
      <c r="H340" s="839">
        <v>88.164746302296095</v>
      </c>
      <c r="I340" s="2839">
        <v>177.53090228331465</v>
      </c>
      <c r="J340" s="839">
        <v>172.70323648311773</v>
      </c>
      <c r="K340" s="2839">
        <v>138.15043369621708</v>
      </c>
      <c r="L340" s="839">
        <v>149.38693087288931</v>
      </c>
      <c r="M340" s="2029">
        <v>77.695937578733407</v>
      </c>
      <c r="N340" s="1668">
        <v>162.13508491063135</v>
      </c>
      <c r="O340" s="2839">
        <v>103.11896469014225</v>
      </c>
      <c r="P340" s="2839">
        <v>137.58376827557805</v>
      </c>
      <c r="Q340" s="2032">
        <v>272.47324282046441</v>
      </c>
    </row>
    <row r="341" spans="1:17">
      <c r="A341" s="63">
        <f t="shared" si="3"/>
        <v>2020.08</v>
      </c>
      <c r="B341" s="1938">
        <v>147.69891633230316</v>
      </c>
      <c r="C341" s="839">
        <v>138.98235833771602</v>
      </c>
      <c r="D341" s="1668">
        <v>186.12503111570908</v>
      </c>
      <c r="E341" s="2839">
        <v>88.618020963924465</v>
      </c>
      <c r="F341" s="839">
        <v>85.993774655299944</v>
      </c>
      <c r="G341" s="2839">
        <v>136.17211637500097</v>
      </c>
      <c r="H341" s="839">
        <v>89.64207324975348</v>
      </c>
      <c r="I341" s="2839">
        <v>192.29481095382948</v>
      </c>
      <c r="J341" s="839">
        <v>181.17807975803592</v>
      </c>
      <c r="K341" s="2839">
        <v>142.76337280181119</v>
      </c>
      <c r="L341" s="839">
        <v>147.81932862880842</v>
      </c>
      <c r="M341" s="2029">
        <v>92.007737385872474</v>
      </c>
      <c r="N341" s="1668">
        <v>164.54940863910883</v>
      </c>
      <c r="O341" s="2839">
        <v>103.39521543003457</v>
      </c>
      <c r="P341" s="2839">
        <v>146.63132681090579</v>
      </c>
      <c r="Q341" s="2032">
        <v>301.5377101006477</v>
      </c>
    </row>
    <row r="342" spans="1:17">
      <c r="A342" s="63">
        <f t="shared" si="3"/>
        <v>2020.09</v>
      </c>
      <c r="B342" s="1938">
        <v>151.21268913850648</v>
      </c>
      <c r="C342" s="839">
        <v>142.41555406807169</v>
      </c>
      <c r="D342" s="1668">
        <v>186.73396830900941</v>
      </c>
      <c r="E342" s="2839">
        <v>81.371507887128232</v>
      </c>
      <c r="F342" s="839">
        <v>84.72693218243684</v>
      </c>
      <c r="G342" s="2839">
        <v>143.80176358950905</v>
      </c>
      <c r="H342" s="839">
        <v>75.007325426116353</v>
      </c>
      <c r="I342" s="2839">
        <v>193.47798511279458</v>
      </c>
      <c r="J342" s="839">
        <v>203.1023092390285</v>
      </c>
      <c r="K342" s="2839">
        <v>147.53397264828951</v>
      </c>
      <c r="L342" s="839">
        <v>139.06907145406532</v>
      </c>
      <c r="M342" s="2029">
        <v>111.24162647789669</v>
      </c>
      <c r="N342" s="1668">
        <v>163.42015050524782</v>
      </c>
      <c r="O342" s="2839">
        <v>101.0666780054749</v>
      </c>
      <c r="P342" s="2839">
        <v>154.65448323605861</v>
      </c>
      <c r="Q342" s="2032">
        <v>324.91699821058796</v>
      </c>
    </row>
    <row r="343" spans="1:17">
      <c r="A343" s="63">
        <f t="shared" si="3"/>
        <v>2020.1</v>
      </c>
      <c r="B343" s="1938">
        <v>149.92485711161535</v>
      </c>
      <c r="C343" s="839">
        <v>142.94431057342999</v>
      </c>
      <c r="D343" s="1668">
        <v>182.20541720207314</v>
      </c>
      <c r="E343" s="2839">
        <v>95.693168996331508</v>
      </c>
      <c r="F343" s="839">
        <v>80.900204567125712</v>
      </c>
      <c r="G343" s="2839">
        <v>134.30611564927744</v>
      </c>
      <c r="H343" s="839">
        <v>83.352409029440764</v>
      </c>
      <c r="I343" s="2839">
        <v>201.20419165293413</v>
      </c>
      <c r="J343" s="839">
        <v>210.04633867335133</v>
      </c>
      <c r="K343" s="2839">
        <v>162.64305802925423</v>
      </c>
      <c r="L343" s="839">
        <v>136.02194054349167</v>
      </c>
      <c r="M343" s="2029">
        <v>100.34796640716455</v>
      </c>
      <c r="N343" s="1668">
        <v>163.06263347828309</v>
      </c>
      <c r="O343" s="2839">
        <v>99.26207552333652</v>
      </c>
      <c r="P343" s="2839">
        <v>155.13641804483251</v>
      </c>
      <c r="Q343" s="2032">
        <v>291.89780773491702</v>
      </c>
    </row>
    <row r="344" spans="1:17">
      <c r="A344" s="63">
        <f t="shared" si="3"/>
        <v>2020.11</v>
      </c>
      <c r="B344" s="1938">
        <v>144.82352522309779</v>
      </c>
      <c r="C344" s="839">
        <v>145.67619088099829</v>
      </c>
      <c r="D344" s="1668">
        <v>167.86753938787598</v>
      </c>
      <c r="E344" s="2839">
        <v>93.549961512597335</v>
      </c>
      <c r="F344" s="839">
        <v>79.637377862542152</v>
      </c>
      <c r="G344" s="2839">
        <v>154.39543211346222</v>
      </c>
      <c r="H344" s="839">
        <v>86.581821383293416</v>
      </c>
      <c r="I344" s="2839">
        <v>187.11161724450534</v>
      </c>
      <c r="J344" s="839">
        <v>217.47857915624934</v>
      </c>
      <c r="K344" s="2839">
        <v>164.66034923331699</v>
      </c>
      <c r="L344" s="839">
        <v>125.63911611230411</v>
      </c>
      <c r="M344" s="2029">
        <v>113.73188927307916</v>
      </c>
      <c r="N344" s="1668">
        <v>151.42310117654802</v>
      </c>
      <c r="O344" s="2839">
        <v>94.867673590825717</v>
      </c>
      <c r="P344" s="2839">
        <v>152.86188310928014</v>
      </c>
      <c r="Q344" s="2032">
        <v>305.12038528812781</v>
      </c>
    </row>
    <row r="345" spans="1:17">
      <c r="A345" s="63">
        <f t="shared" si="3"/>
        <v>2020.12</v>
      </c>
      <c r="B345" s="1938">
        <v>137.97674076711098</v>
      </c>
      <c r="C345" s="839">
        <v>145.40462300754911</v>
      </c>
      <c r="D345" s="1668">
        <v>161.1131070596708</v>
      </c>
      <c r="E345" s="2839">
        <v>97.767399938537366</v>
      </c>
      <c r="F345" s="839">
        <v>70.631543494521921</v>
      </c>
      <c r="G345" s="2839">
        <v>151.86777232521644</v>
      </c>
      <c r="H345" s="839">
        <v>94.429287223552592</v>
      </c>
      <c r="I345" s="2839">
        <v>165.5487394276314</v>
      </c>
      <c r="J345" s="839">
        <v>197.01119265631985</v>
      </c>
      <c r="K345" s="2839">
        <v>168.00421056438458</v>
      </c>
      <c r="L345" s="839">
        <v>112.47978633299437</v>
      </c>
      <c r="M345" s="2029">
        <v>105.52691701084188</v>
      </c>
      <c r="N345" s="1668">
        <v>147.09644240928978</v>
      </c>
      <c r="O345" s="2839">
        <v>81.341808930357274</v>
      </c>
      <c r="P345" s="2839">
        <v>146.78158067984248</v>
      </c>
      <c r="Q345" s="2032">
        <v>308.00611432398654</v>
      </c>
    </row>
    <row r="346" spans="1:17">
      <c r="A346" s="63">
        <f t="shared" si="3"/>
        <v>2021.01</v>
      </c>
      <c r="B346" s="1938">
        <v>135.91891160574883</v>
      </c>
      <c r="C346" s="839">
        <v>157.17864094757257</v>
      </c>
      <c r="D346" s="1668">
        <v>162.58353320012236</v>
      </c>
      <c r="E346" s="2839">
        <v>92.142920891278891</v>
      </c>
      <c r="F346" s="839">
        <v>68.605381535699493</v>
      </c>
      <c r="G346" s="2839">
        <v>133.35464571672986</v>
      </c>
      <c r="H346" s="839">
        <v>100.51173165234542</v>
      </c>
      <c r="I346" s="2839">
        <v>199.55726662155419</v>
      </c>
      <c r="J346" s="839">
        <v>182.14043439199568</v>
      </c>
      <c r="K346" s="2839">
        <v>165.11787386117797</v>
      </c>
      <c r="L346" s="839">
        <v>89.418128516343288</v>
      </c>
      <c r="M346" s="2029">
        <v>83.472842085140627</v>
      </c>
      <c r="N346" s="1668">
        <v>146.99696095438981</v>
      </c>
      <c r="O346" s="2839">
        <v>66.089451468816335</v>
      </c>
      <c r="P346" s="2839">
        <v>154.4682233856054</v>
      </c>
      <c r="Q346" s="2032">
        <v>233.8981409692226</v>
      </c>
    </row>
    <row r="347" spans="1:17">
      <c r="A347" s="63">
        <f t="shared" si="3"/>
        <v>2021.02</v>
      </c>
      <c r="B347" s="1938">
        <v>129.58902274798186</v>
      </c>
      <c r="C347" s="839">
        <v>153.76561396002063</v>
      </c>
      <c r="D347" s="1668">
        <v>152.15017657461883</v>
      </c>
      <c r="E347" s="2839">
        <v>96.318453268642486</v>
      </c>
      <c r="F347" s="839">
        <v>85.980584873246684</v>
      </c>
      <c r="G347" s="2839">
        <v>135.76887151085313</v>
      </c>
      <c r="H347" s="839">
        <v>90.419565150021128</v>
      </c>
      <c r="I347" s="2839">
        <v>162.86012746454003</v>
      </c>
      <c r="J347" s="839">
        <v>165.66575204463811</v>
      </c>
      <c r="K347" s="2839">
        <v>148.33004989066148</v>
      </c>
      <c r="L347" s="839">
        <v>118.97034139787581</v>
      </c>
      <c r="M347" s="2029">
        <v>77.97737266499324</v>
      </c>
      <c r="N347" s="1668">
        <v>139.79615010623877</v>
      </c>
      <c r="O347" s="2839">
        <v>81.403753371415576</v>
      </c>
      <c r="P347" s="2839">
        <v>135.99996706351325</v>
      </c>
      <c r="Q347" s="2032">
        <v>265.88830340301092</v>
      </c>
    </row>
    <row r="348" spans="1:17">
      <c r="A348" s="63">
        <f t="shared" si="3"/>
        <v>2021.03</v>
      </c>
      <c r="B348" s="1938">
        <v>167.24238571948075</v>
      </c>
      <c r="C348" s="839">
        <v>159.14091873848886</v>
      </c>
      <c r="D348" s="1668">
        <v>175.5780052859584</v>
      </c>
      <c r="E348" s="2839">
        <v>101.610952130165</v>
      </c>
      <c r="F348" s="839">
        <v>96.707495124024547</v>
      </c>
      <c r="G348" s="2839">
        <v>158.16535419373753</v>
      </c>
      <c r="H348" s="839">
        <v>95.861487265812102</v>
      </c>
      <c r="I348" s="2839">
        <v>216.01736784914596</v>
      </c>
      <c r="J348" s="839">
        <v>194.59218611615034</v>
      </c>
      <c r="K348" s="2839">
        <v>180.56008316631531</v>
      </c>
      <c r="L348" s="839">
        <v>193.12073907034042</v>
      </c>
      <c r="M348" s="2029">
        <v>156.67540908473237</v>
      </c>
      <c r="N348" s="1668">
        <v>159.21112856487156</v>
      </c>
      <c r="O348" s="2839">
        <v>142.85890532011973</v>
      </c>
      <c r="P348" s="2839">
        <v>165.541238276988</v>
      </c>
      <c r="Q348" s="2032">
        <v>439.90266460762172</v>
      </c>
    </row>
    <row r="349" spans="1:17">
      <c r="A349" s="63">
        <f t="shared" si="3"/>
        <v>2021.04</v>
      </c>
      <c r="B349" s="1938">
        <v>160.45344830582502</v>
      </c>
      <c r="C349" s="839">
        <v>159.30285715928565</v>
      </c>
      <c r="D349" s="1668">
        <v>168.56429976494738</v>
      </c>
      <c r="E349" s="2839">
        <v>87.78466962764216</v>
      </c>
      <c r="F349" s="839">
        <v>95.653553158801515</v>
      </c>
      <c r="G349" s="2839">
        <v>138.57402469982</v>
      </c>
      <c r="H349" s="839">
        <v>91.732684462600375</v>
      </c>
      <c r="I349" s="2839">
        <v>206.08162493465829</v>
      </c>
      <c r="J349" s="839">
        <v>189.30721939697253</v>
      </c>
      <c r="K349" s="2839">
        <v>157.44681618519351</v>
      </c>
      <c r="L349" s="839">
        <v>216.2233325763616</v>
      </c>
      <c r="M349" s="2029">
        <v>106.85408832957947</v>
      </c>
      <c r="N349" s="1668">
        <v>150.68998692396443</v>
      </c>
      <c r="O349" s="2839">
        <v>165.15804538978719</v>
      </c>
      <c r="P349" s="2839">
        <v>157.41986757289627</v>
      </c>
      <c r="Q349" s="2032">
        <v>269.53553924817135</v>
      </c>
    </row>
    <row r="350" spans="1:17">
      <c r="A350" s="63">
        <f t="shared" si="3"/>
        <v>2021.05</v>
      </c>
      <c r="B350" s="1938">
        <v>158.37371843364747</v>
      </c>
      <c r="C350" s="839">
        <v>156.92228614397683</v>
      </c>
      <c r="D350" s="1668">
        <v>164.83864036348311</v>
      </c>
      <c r="E350" s="2839">
        <v>89.80763106141886</v>
      </c>
      <c r="F350" s="839">
        <v>96.813961929132205</v>
      </c>
      <c r="G350" s="2839">
        <v>131.33590439554459</v>
      </c>
      <c r="H350" s="839">
        <v>98.148088153261014</v>
      </c>
      <c r="I350" s="2839">
        <v>216.22067330153513</v>
      </c>
      <c r="J350" s="839">
        <v>177.52891988467493</v>
      </c>
      <c r="K350" s="2839">
        <v>169.84737280159663</v>
      </c>
      <c r="L350" s="839">
        <v>181.88188549190204</v>
      </c>
      <c r="M350" s="2029">
        <v>127.17449910215441</v>
      </c>
      <c r="N350" s="1668">
        <v>148.23633937794733</v>
      </c>
      <c r="O350" s="2839">
        <v>140.00002956356587</v>
      </c>
      <c r="P350" s="2839">
        <v>162.74341161649318</v>
      </c>
      <c r="Q350" s="2032">
        <v>321.1007156203072</v>
      </c>
    </row>
    <row r="351" spans="1:17">
      <c r="A351" s="63">
        <f t="shared" si="3"/>
        <v>2021.06</v>
      </c>
      <c r="B351" s="1938">
        <v>161.69537274032311</v>
      </c>
      <c r="C351" s="839">
        <v>158.05589997277156</v>
      </c>
      <c r="D351" s="1668">
        <v>182.49440854651425</v>
      </c>
      <c r="E351" s="2839">
        <v>74.505740461276062</v>
      </c>
      <c r="F351" s="839">
        <v>92.774056096061514</v>
      </c>
      <c r="G351" s="2839">
        <v>136.67007972112913</v>
      </c>
      <c r="H351" s="839">
        <v>92.771058120862094</v>
      </c>
      <c r="I351" s="2839">
        <v>205.82276008144854</v>
      </c>
      <c r="J351" s="839">
        <v>190.41318814199701</v>
      </c>
      <c r="K351" s="2839">
        <v>171.02665077284564</v>
      </c>
      <c r="L351" s="839">
        <v>177.07118636790682</v>
      </c>
      <c r="M351" s="2029">
        <v>145.70461044921296</v>
      </c>
      <c r="N351" s="1668">
        <v>158.59948313826817</v>
      </c>
      <c r="O351" s="2839">
        <v>138.58134529654939</v>
      </c>
      <c r="P351" s="2839">
        <v>161.35585552738704</v>
      </c>
      <c r="Q351" s="2032">
        <v>356.61894353123336</v>
      </c>
    </row>
    <row r="352" spans="1:17">
      <c r="A352" s="63">
        <f t="shared" si="3"/>
        <v>2021.07</v>
      </c>
      <c r="B352" s="1938">
        <v>161.60942153437816</v>
      </c>
      <c r="C352" s="839">
        <v>155.41448676221952</v>
      </c>
      <c r="D352" s="1668">
        <v>191.72286719942801</v>
      </c>
      <c r="E352" s="2839">
        <v>85.562581041163554</v>
      </c>
      <c r="F352" s="839">
        <v>88.367693875815391</v>
      </c>
      <c r="G352" s="2839">
        <v>153.79704351726505</v>
      </c>
      <c r="H352" s="839">
        <v>93.871048161712906</v>
      </c>
      <c r="I352" s="2839">
        <v>194.64292177525613</v>
      </c>
      <c r="J352" s="839">
        <v>205.98751887151263</v>
      </c>
      <c r="K352" s="2839">
        <v>182.15176302236142</v>
      </c>
      <c r="L352" s="839">
        <v>188.67962322997184</v>
      </c>
      <c r="M352" s="2029">
        <v>116.0697183285078</v>
      </c>
      <c r="N352" s="1668">
        <v>168.23251247936133</v>
      </c>
      <c r="O352" s="2839">
        <v>135.56595175620697</v>
      </c>
      <c r="P352" s="2839">
        <v>156.10512293636839</v>
      </c>
      <c r="Q352" s="2032">
        <v>356.41630961795363</v>
      </c>
    </row>
    <row r="353" spans="1:17">
      <c r="A353" s="63">
        <f t="shared" si="3"/>
        <v>2021.08</v>
      </c>
      <c r="B353" s="1938">
        <v>166.8164329007129</v>
      </c>
      <c r="C353" s="839">
        <v>154.20695643012456</v>
      </c>
      <c r="D353" s="1668">
        <v>195.65710757592711</v>
      </c>
      <c r="E353" s="2839">
        <v>95.748853694448727</v>
      </c>
      <c r="F353" s="839">
        <v>86.201552866061974</v>
      </c>
      <c r="G353" s="2839">
        <v>146.19415008675151</v>
      </c>
      <c r="H353" s="839">
        <v>97.903324369629502</v>
      </c>
      <c r="I353" s="2839">
        <v>207.9369300832507</v>
      </c>
      <c r="J353" s="839">
        <v>211.58658175904776</v>
      </c>
      <c r="K353" s="2839">
        <v>181.83073897720868</v>
      </c>
      <c r="L353" s="839">
        <v>184.24895553441468</v>
      </c>
      <c r="M353" s="2029">
        <v>139.68870980752789</v>
      </c>
      <c r="N353" s="1668">
        <v>173.55015583278976</v>
      </c>
      <c r="O353" s="2839">
        <v>136.53537229772374</v>
      </c>
      <c r="P353" s="2839">
        <v>161.20256535308215</v>
      </c>
      <c r="Q353" s="2032">
        <v>391.33168241264548</v>
      </c>
    </row>
    <row r="354" spans="1:17">
      <c r="A354" s="63">
        <f t="shared" si="3"/>
        <v>2021.09</v>
      </c>
      <c r="B354" s="1938">
        <v>164.77891839340927</v>
      </c>
      <c r="C354" s="839">
        <v>155.33805687147884</v>
      </c>
      <c r="D354" s="1668">
        <v>195.99394773169413</v>
      </c>
      <c r="E354" s="2839">
        <v>85.923140880552481</v>
      </c>
      <c r="F354" s="839">
        <v>85.999417522727086</v>
      </c>
      <c r="G354" s="2839">
        <v>154.07623150257999</v>
      </c>
      <c r="H354" s="839">
        <v>95.402466009297072</v>
      </c>
      <c r="I354" s="2839">
        <v>202.43062149719646</v>
      </c>
      <c r="J354" s="839">
        <v>216.79178634870851</v>
      </c>
      <c r="K354" s="2839">
        <v>181.27495817533659</v>
      </c>
      <c r="L354" s="839">
        <v>157.5830406173379</v>
      </c>
      <c r="M354" s="2029">
        <v>158.57853938482344</v>
      </c>
      <c r="N354" s="1668">
        <v>171.63830221843105</v>
      </c>
      <c r="O354" s="2839">
        <v>120.40680151665758</v>
      </c>
      <c r="P354" s="2839">
        <v>163.83081275149021</v>
      </c>
      <c r="Q354" s="2032">
        <v>416.39571633571921</v>
      </c>
    </row>
    <row r="355" spans="1:17">
      <c r="A355" s="63">
        <f t="shared" si="3"/>
        <v>2021.1</v>
      </c>
      <c r="B355" s="1938">
        <v>157.9108365628523</v>
      </c>
      <c r="C355" s="839">
        <v>153.87331850263183</v>
      </c>
      <c r="D355" s="1668">
        <v>182.26717782079112</v>
      </c>
      <c r="E355" s="2839">
        <v>88.683285978394707</v>
      </c>
      <c r="F355" s="839">
        <v>81.212173826561681</v>
      </c>
      <c r="G355" s="2839">
        <v>150.15466878309417</v>
      </c>
      <c r="H355" s="839">
        <v>100.53027257360192</v>
      </c>
      <c r="I355" s="2839">
        <v>203.34850018027839</v>
      </c>
      <c r="J355" s="839">
        <v>221.65319177354289</v>
      </c>
      <c r="K355" s="2839">
        <v>187.73846932372146</v>
      </c>
      <c r="L355" s="839">
        <v>147.05016491760708</v>
      </c>
      <c r="M355" s="2029">
        <v>149.54533499628238</v>
      </c>
      <c r="N355" s="1668">
        <v>161.55963364381918</v>
      </c>
      <c r="O355" s="2839">
        <v>115.31269141606795</v>
      </c>
      <c r="P355" s="2839">
        <v>160.80907686240587</v>
      </c>
      <c r="Q355" s="2032">
        <v>372.48930849962488</v>
      </c>
    </row>
    <row r="356" spans="1:17">
      <c r="A356" s="63">
        <f t="shared" si="3"/>
        <v>2021.11</v>
      </c>
      <c r="B356" s="1938">
        <v>157.14136091487015</v>
      </c>
      <c r="C356" s="839">
        <v>155.87673285655498</v>
      </c>
      <c r="D356" s="1668">
        <v>177.43101831743729</v>
      </c>
      <c r="E356" s="2839">
        <v>106.62097016636297</v>
      </c>
      <c r="F356" s="839">
        <v>81.415849806789026</v>
      </c>
      <c r="G356" s="2839">
        <v>163.11661013217588</v>
      </c>
      <c r="H356" s="839">
        <v>97.71435597971545</v>
      </c>
      <c r="I356" s="2839">
        <v>209.88571489612801</v>
      </c>
      <c r="J356" s="839">
        <v>218.54469160893345</v>
      </c>
      <c r="K356" s="2839">
        <v>186.38266251160121</v>
      </c>
      <c r="L356" s="839">
        <v>133.33624320526815</v>
      </c>
      <c r="M356" s="2029">
        <v>169.41292941326896</v>
      </c>
      <c r="N356" s="1668">
        <v>161.76270006955696</v>
      </c>
      <c r="O356" s="2839">
        <v>111.81447011743481</v>
      </c>
      <c r="P356" s="2839">
        <v>160.09594996889629</v>
      </c>
      <c r="Q356" s="2032">
        <v>380.04417739176165</v>
      </c>
    </row>
    <row r="357" spans="1:17">
      <c r="A357" s="63">
        <f t="shared" si="3"/>
        <v>2021.12</v>
      </c>
      <c r="B357" s="1938">
        <v>149.96863209057199</v>
      </c>
      <c r="C357" s="839">
        <v>159.06205173951412</v>
      </c>
      <c r="D357" s="1668">
        <v>182.9769671247185</v>
      </c>
      <c r="E357" s="2839">
        <v>104.9605349232239</v>
      </c>
      <c r="F357" s="839">
        <v>73.205673947273283</v>
      </c>
      <c r="G357" s="2839">
        <v>154.06172808490203</v>
      </c>
      <c r="H357" s="839">
        <v>103.02550218340612</v>
      </c>
      <c r="I357" s="2839">
        <v>156.80918042674557</v>
      </c>
      <c r="J357" s="839">
        <v>201.7131420230443</v>
      </c>
      <c r="K357" s="2839">
        <v>182.27315649790145</v>
      </c>
      <c r="L357" s="839">
        <v>127.26263021330031</v>
      </c>
      <c r="M357" s="2029">
        <v>145.46372060302448</v>
      </c>
      <c r="N357" s="1668">
        <v>165.71407407189614</v>
      </c>
      <c r="O357" s="2839">
        <v>104.10820830913627</v>
      </c>
      <c r="P357" s="2839">
        <v>148.15775766620419</v>
      </c>
      <c r="Q357" s="2032">
        <v>336.43609346063926</v>
      </c>
    </row>
    <row r="358" spans="1:17">
      <c r="A358" s="63">
        <f t="shared" si="3"/>
        <v>2022.01</v>
      </c>
      <c r="B358" s="1938">
        <v>134.78372021142064</v>
      </c>
      <c r="C358" s="839">
        <v>155.91621985503275</v>
      </c>
      <c r="D358" s="1668">
        <v>159.74263191496939</v>
      </c>
      <c r="E358" s="2839">
        <v>90.432062651763786</v>
      </c>
      <c r="F358" s="839">
        <v>68.309416899155678</v>
      </c>
      <c r="G358" s="2839">
        <v>150.64709529585221</v>
      </c>
      <c r="H358" s="839">
        <v>100.2914967037611</v>
      </c>
      <c r="I358" s="2839">
        <v>206.04638652671022</v>
      </c>
      <c r="J358" s="839">
        <v>177.05129942441306</v>
      </c>
      <c r="K358" s="2839">
        <v>161.58916968515757</v>
      </c>
      <c r="L358" s="839">
        <v>94.313239124621745</v>
      </c>
      <c r="M358" s="2029">
        <v>67.992328454754173</v>
      </c>
      <c r="N358" s="1668">
        <v>144.40610714886975</v>
      </c>
      <c r="O358" s="2839">
        <v>67.502378758341678</v>
      </c>
      <c r="P358" s="2839">
        <v>154.85833507919131</v>
      </c>
      <c r="Q358" s="2032">
        <v>207.17726250327291</v>
      </c>
    </row>
    <row r="359" spans="1:17">
      <c r="A359" s="63">
        <f t="shared" si="3"/>
        <v>2022.02</v>
      </c>
      <c r="B359" s="1938">
        <v>141.00585199367384</v>
      </c>
      <c r="C359" s="839">
        <v>161.82828510942537</v>
      </c>
      <c r="D359" s="1668">
        <v>157.25322342897158</v>
      </c>
      <c r="E359" s="2839">
        <v>91.316755360021858</v>
      </c>
      <c r="F359" s="839">
        <v>85.884800085245899</v>
      </c>
      <c r="G359" s="2839">
        <v>147.35580679201541</v>
      </c>
      <c r="H359" s="839">
        <v>81.388835624735862</v>
      </c>
      <c r="I359" s="2839">
        <v>199.36861369283719</v>
      </c>
      <c r="J359" s="839">
        <v>184.43044647666875</v>
      </c>
      <c r="K359" s="2839">
        <v>145.74092383351493</v>
      </c>
      <c r="L359" s="839">
        <v>127.68458373186411</v>
      </c>
      <c r="M359" s="2029">
        <v>137.38347701091675</v>
      </c>
      <c r="N359" s="1668">
        <v>142.66329455840591</v>
      </c>
      <c r="O359" s="2839">
        <v>104.00905134116641</v>
      </c>
      <c r="P359" s="2839">
        <v>145.22786096927021</v>
      </c>
      <c r="Q359" s="2032">
        <v>317.2458961845046</v>
      </c>
    </row>
    <row r="360" spans="1:17">
      <c r="A360" s="63">
        <f t="shared" si="3"/>
        <v>2022.03</v>
      </c>
      <c r="B360" s="1938">
        <v>171.4045878753021</v>
      </c>
      <c r="C360" s="839">
        <v>162.37468819269964</v>
      </c>
      <c r="D360" s="1668">
        <v>178.27882673322804</v>
      </c>
      <c r="E360" s="2839">
        <v>89.769328241989726</v>
      </c>
      <c r="F360" s="839">
        <v>96.713021968912003</v>
      </c>
      <c r="G360" s="2839">
        <v>157.2972077256687</v>
      </c>
      <c r="H360" s="839">
        <v>93.837758219467531</v>
      </c>
      <c r="I360" s="2839">
        <v>210.94089525089308</v>
      </c>
      <c r="J360" s="839">
        <v>205.47531255653686</v>
      </c>
      <c r="K360" s="2839">
        <v>182.45552746910232</v>
      </c>
      <c r="L360" s="839">
        <v>214.53885307412531</v>
      </c>
      <c r="M360" s="2029">
        <v>177.86582953973758</v>
      </c>
      <c r="N360" s="1668">
        <v>158.69410639294159</v>
      </c>
      <c r="O360" s="2839">
        <v>169.84793175510839</v>
      </c>
      <c r="P360" s="2839">
        <v>163.6535218570078</v>
      </c>
      <c r="Q360" s="2032">
        <v>422.3230635259614</v>
      </c>
    </row>
    <row r="361" spans="1:17">
      <c r="A361" s="63">
        <f t="shared" si="3"/>
        <v>2022.04</v>
      </c>
      <c r="B361" s="1938">
        <v>167.15031571589643</v>
      </c>
      <c r="C361" s="839">
        <v>168.13430064043806</v>
      </c>
      <c r="D361" s="1668">
        <v>171.21216522326148</v>
      </c>
      <c r="E361" s="2839">
        <v>89.269112423577269</v>
      </c>
      <c r="F361" s="839">
        <v>95.638625225369751</v>
      </c>
      <c r="G361" s="2839">
        <v>143.14389552923262</v>
      </c>
      <c r="H361" s="839">
        <v>102.53522007324973</v>
      </c>
      <c r="I361" s="2839">
        <v>207.00702567289966</v>
      </c>
      <c r="J361" s="839">
        <v>202.60814868948069</v>
      </c>
      <c r="K361" s="2839">
        <v>158.49350358535929</v>
      </c>
      <c r="L361" s="839">
        <v>220.18051560721668</v>
      </c>
      <c r="M361" s="2029">
        <v>159.84093002270947</v>
      </c>
      <c r="N361" s="1668">
        <v>153.0804189105196</v>
      </c>
      <c r="O361" s="2839">
        <v>177.47021200670864</v>
      </c>
      <c r="P361" s="2839">
        <v>159.39908871723051</v>
      </c>
      <c r="Q361" s="2032">
        <v>349.73638095724391</v>
      </c>
    </row>
    <row r="362" spans="1:17">
      <c r="A362" s="63">
        <f t="shared" si="3"/>
        <v>2022.05</v>
      </c>
      <c r="B362" s="1938">
        <v>171.74351656852318</v>
      </c>
      <c r="C362" s="839">
        <v>167.82983347457164</v>
      </c>
      <c r="D362" s="1668">
        <v>177.8414995533482</v>
      </c>
      <c r="E362" s="2839">
        <v>101.7624598949233</v>
      </c>
      <c r="F362" s="839">
        <v>97.084786375967724</v>
      </c>
      <c r="G362" s="2839">
        <v>147.15301989215234</v>
      </c>
      <c r="H362" s="839">
        <v>105.69475744471053</v>
      </c>
      <c r="I362" s="2839">
        <v>219.6445403090425</v>
      </c>
      <c r="J362" s="839">
        <v>212.61040822433009</v>
      </c>
      <c r="K362" s="2839">
        <v>192.90946577296592</v>
      </c>
      <c r="L362" s="839">
        <v>203.6488641631972</v>
      </c>
      <c r="M362" s="2029">
        <v>169.67151326103854</v>
      </c>
      <c r="N362" s="1668">
        <v>161.00729824313166</v>
      </c>
      <c r="O362" s="2839">
        <v>170.29308265171875</v>
      </c>
      <c r="P362" s="2839">
        <v>168.17806595287615</v>
      </c>
      <c r="Q362" s="2032">
        <v>340.70498604597185</v>
      </c>
    </row>
    <row r="363" spans="1:17">
      <c r="A363" s="63">
        <f t="shared" si="3"/>
        <v>2022.06</v>
      </c>
      <c r="B363" s="1938">
        <v>170.46490790068074</v>
      </c>
      <c r="C363" s="839">
        <v>165.64501774386434</v>
      </c>
      <c r="D363" s="1668">
        <v>184.26731206069579</v>
      </c>
      <c r="E363" s="2839">
        <v>80.687868578386755</v>
      </c>
      <c r="F363" s="839">
        <v>92.678278007898015</v>
      </c>
      <c r="G363" s="2839">
        <v>148.29169956054088</v>
      </c>
      <c r="H363" s="839">
        <v>102.26703376531904</v>
      </c>
      <c r="I363" s="2839">
        <v>215.87412022067718</v>
      </c>
      <c r="J363" s="839">
        <v>211.66141511668778</v>
      </c>
      <c r="K363" s="2839">
        <v>197.58457712239189</v>
      </c>
      <c r="L363" s="839">
        <v>189.79684076798225</v>
      </c>
      <c r="M363" s="2029">
        <v>176.5350450789322</v>
      </c>
      <c r="N363" s="1668">
        <v>161.34802691974176</v>
      </c>
      <c r="O363" s="2839">
        <v>157.48251141668007</v>
      </c>
      <c r="P363" s="2839">
        <v>168.70543458119542</v>
      </c>
      <c r="Q363" s="2032">
        <v>376.21006975159423</v>
      </c>
    </row>
    <row r="364" spans="1:17">
      <c r="A364" s="63">
        <f t="shared" si="3"/>
        <v>2022.07</v>
      </c>
      <c r="B364" s="1938">
        <v>165.34379545940351</v>
      </c>
      <c r="C364" s="839">
        <v>161.53178905350975</v>
      </c>
      <c r="D364" s="1668">
        <v>194.93534880580034</v>
      </c>
      <c r="E364" s="2839">
        <v>99.272475540279984</v>
      </c>
      <c r="F364" s="839">
        <v>88.400407002195706</v>
      </c>
      <c r="G364" s="2839">
        <v>152.59996295892117</v>
      </c>
      <c r="H364" s="839">
        <v>102.00104710522608</v>
      </c>
      <c r="I364" s="2839">
        <v>194.81038160711768</v>
      </c>
      <c r="J364" s="839">
        <v>221.76484041545768</v>
      </c>
      <c r="K364" s="2839">
        <v>197.85263515319744</v>
      </c>
      <c r="L364" s="839">
        <v>166.462171094203</v>
      </c>
      <c r="M364" s="2029">
        <v>160.25030201627618</v>
      </c>
      <c r="N364" s="1668">
        <v>173.76778315702484</v>
      </c>
      <c r="O364" s="2839">
        <v>128.69147208806805</v>
      </c>
      <c r="P364" s="2839">
        <v>160.22470465805299</v>
      </c>
      <c r="Q364" s="2032">
        <v>409.70148049745853</v>
      </c>
    </row>
    <row r="365" spans="1:17">
      <c r="A365" s="63">
        <f t="shared" si="3"/>
        <v>2022.08</v>
      </c>
      <c r="B365" s="1938">
        <v>176.00708429279041</v>
      </c>
      <c r="C365" s="839">
        <v>160.32034085744959</v>
      </c>
      <c r="D365" s="1668">
        <v>202.29379561832826</v>
      </c>
      <c r="E365" s="2839">
        <v>105.63891253022422</v>
      </c>
      <c r="F365" s="839">
        <v>86.434986936222344</v>
      </c>
      <c r="G365" s="2839">
        <v>139.04421817076778</v>
      </c>
      <c r="H365" s="839">
        <v>105.32349149175941</v>
      </c>
      <c r="I365" s="2839">
        <v>203.47819461078319</v>
      </c>
      <c r="J365" s="839">
        <v>229.55755128716402</v>
      </c>
      <c r="K365" s="2839">
        <v>196.81919968041859</v>
      </c>
      <c r="L365" s="839">
        <v>190.77138089813158</v>
      </c>
      <c r="M365" s="2029">
        <v>197.20788075531095</v>
      </c>
      <c r="N365" s="1668">
        <v>180.90672544991025</v>
      </c>
      <c r="O365" s="2839">
        <v>156.92116050421953</v>
      </c>
      <c r="P365" s="2839">
        <v>163.60845647398338</v>
      </c>
      <c r="Q365" s="2032">
        <v>441.52023243327341</v>
      </c>
    </row>
    <row r="366" spans="1:17">
      <c r="A366" s="63">
        <f t="shared" si="3"/>
        <v>2022.09</v>
      </c>
      <c r="B366" s="1938">
        <v>164.17618285861533</v>
      </c>
      <c r="C366" s="839">
        <v>154.64438644892812</v>
      </c>
      <c r="D366" s="1668">
        <v>196.60525315242245</v>
      </c>
      <c r="E366" s="2839">
        <v>92.09383799998983</v>
      </c>
      <c r="F366" s="839">
        <v>86.173426169801985</v>
      </c>
      <c r="G366" s="2839">
        <v>144.74591845863046</v>
      </c>
      <c r="H366" s="839">
        <v>99.015445921960819</v>
      </c>
      <c r="I366" s="2839">
        <v>171.03333892289984</v>
      </c>
      <c r="J366" s="839">
        <v>228.91735664907534</v>
      </c>
      <c r="K366" s="2839">
        <v>188.43874255750015</v>
      </c>
      <c r="L366" s="839">
        <v>159.15384248904186</v>
      </c>
      <c r="M366" s="2029">
        <v>190.59021115058823</v>
      </c>
      <c r="N366" s="1668">
        <v>173.47974828550036</v>
      </c>
      <c r="O366" s="2839">
        <v>132.1949007254027</v>
      </c>
      <c r="P366" s="2839">
        <v>154.77852004688239</v>
      </c>
      <c r="Q366" s="2032">
        <v>430.65369519285912</v>
      </c>
    </row>
    <row r="367" spans="1:17">
      <c r="A367" s="63">
        <f t="shared" si="3"/>
        <v>2022.1</v>
      </c>
      <c r="B367" s="1938">
        <v>158.11970764473904</v>
      </c>
      <c r="C367" s="839">
        <v>154.98371490765174</v>
      </c>
      <c r="D367" s="1668">
        <v>184.70107800898359</v>
      </c>
      <c r="E367" s="2839">
        <v>99.930348058670319</v>
      </c>
      <c r="F367" s="839">
        <v>81.636521840135501</v>
      </c>
      <c r="G367" s="2839">
        <v>153.82996585045126</v>
      </c>
      <c r="H367" s="839">
        <v>94.928941343851236</v>
      </c>
      <c r="I367" s="2839">
        <v>175.29079322789909</v>
      </c>
      <c r="J367" s="839">
        <v>206.86490601874999</v>
      </c>
      <c r="K367" s="2839">
        <v>208.57280458687208</v>
      </c>
      <c r="L367" s="839">
        <v>150.17018733172361</v>
      </c>
      <c r="M367" s="2029">
        <v>191.1128435119997</v>
      </c>
      <c r="N367" s="1668">
        <v>165.94364442931891</v>
      </c>
      <c r="O367" s="2839">
        <v>125.19656215431652</v>
      </c>
      <c r="P367" s="2839">
        <v>149.52460620515524</v>
      </c>
      <c r="Q367" s="2032">
        <v>433.93580695588832</v>
      </c>
    </row>
    <row r="368" spans="1:17">
      <c r="A368" s="63">
        <f t="shared" si="3"/>
        <v>2022.11</v>
      </c>
      <c r="B368" s="1938">
        <v>156.40295634795442</v>
      </c>
      <c r="C368" s="839">
        <v>154.91405332586174</v>
      </c>
      <c r="D368" s="1668">
        <v>181.92286491450335</v>
      </c>
      <c r="E368" s="2839">
        <v>105.2149043912864</v>
      </c>
      <c r="F368" s="839">
        <v>81.717388900312201</v>
      </c>
      <c r="G368" s="2839">
        <v>160.00847659628812</v>
      </c>
      <c r="H368" s="839">
        <v>100.0732553880828</v>
      </c>
      <c r="I368" s="2839">
        <v>172.67827228927837</v>
      </c>
      <c r="J368" s="839">
        <v>229.4403310094539</v>
      </c>
      <c r="K368" s="2839">
        <v>197.01683111515928</v>
      </c>
      <c r="L368" s="839">
        <v>132.99235957521233</v>
      </c>
      <c r="M368" s="2029">
        <v>194.7597460518935</v>
      </c>
      <c r="N368" s="1668">
        <v>164.9495006956376</v>
      </c>
      <c r="O368" s="2839">
        <v>119.66925700889941</v>
      </c>
      <c r="P368" s="2839">
        <v>151.74389401499508</v>
      </c>
      <c r="Q368" s="2032">
        <v>393.33029473795983</v>
      </c>
    </row>
    <row r="369" spans="1:17">
      <c r="A369" s="63">
        <f t="shared" si="3"/>
        <v>2022.12</v>
      </c>
      <c r="B369" s="1938">
        <v>144.29039016806402</v>
      </c>
      <c r="C369" s="839">
        <v>155.41493856259109</v>
      </c>
      <c r="D369" s="1668">
        <v>180.8602756454363</v>
      </c>
      <c r="E369" s="2839">
        <v>100.73121509596707</v>
      </c>
      <c r="F369" s="839">
        <v>73.45492006933199</v>
      </c>
      <c r="G369" s="2839">
        <v>156.49706718691948</v>
      </c>
      <c r="H369" s="839">
        <v>111.25471233976616</v>
      </c>
      <c r="I369" s="2839">
        <v>145.1851682343777</v>
      </c>
      <c r="J369" s="839">
        <v>217.92960328326996</v>
      </c>
      <c r="K369" s="2839">
        <v>194.81760279274934</v>
      </c>
      <c r="L369" s="839">
        <v>114.10358069276569</v>
      </c>
      <c r="M369" s="2029">
        <v>135.2668411816785</v>
      </c>
      <c r="N369" s="1668">
        <v>163.12991598074356</v>
      </c>
      <c r="O369" s="2839">
        <v>92.801219924407775</v>
      </c>
      <c r="P369" s="2839">
        <v>143.8544308876123</v>
      </c>
      <c r="Q369" s="2032">
        <v>318.60231049050242</v>
      </c>
    </row>
    <row r="370" spans="1:17">
      <c r="A370" s="63">
        <f t="shared" si="3"/>
        <v>2023.01</v>
      </c>
      <c r="B370" s="1938">
        <v>139.9605664716442</v>
      </c>
      <c r="C370" s="839">
        <v>158.48408882277167</v>
      </c>
      <c r="D370" s="1668">
        <v>169.627353706001</v>
      </c>
      <c r="E370" s="2839">
        <v>90.662280612678529</v>
      </c>
      <c r="F370" s="839">
        <v>68.815480007951763</v>
      </c>
      <c r="G370" s="2839">
        <v>166.70419222297474</v>
      </c>
      <c r="H370" s="839">
        <v>109.94249184392166</v>
      </c>
      <c r="I370" s="2839">
        <v>170.3319202488716</v>
      </c>
      <c r="J370" s="839">
        <v>220.80047997891083</v>
      </c>
      <c r="K370" s="2839">
        <v>195.59525429136147</v>
      </c>
      <c r="L370" s="839">
        <v>101.1653171484118</v>
      </c>
      <c r="M370" s="2029">
        <v>99.258950311910269</v>
      </c>
      <c r="N370" s="1668">
        <v>152.15455248641103</v>
      </c>
      <c r="O370" s="2839">
        <v>80.588449321291705</v>
      </c>
      <c r="P370" s="2839">
        <v>152.88327824328422</v>
      </c>
      <c r="Q370" s="2032">
        <v>237.71087701491172</v>
      </c>
    </row>
    <row r="371" spans="1:17">
      <c r="A371" s="63">
        <f t="shared" si="3"/>
        <v>2023.02</v>
      </c>
      <c r="B371" s="1938">
        <v>138.05244730524433</v>
      </c>
      <c r="C371" s="839">
        <v>159.03647893892261</v>
      </c>
      <c r="D371" s="1668">
        <v>150.87410630968495</v>
      </c>
      <c r="E371" s="2839">
        <v>94.570660696384692</v>
      </c>
      <c r="F371" s="839">
        <v>87.149869512462431</v>
      </c>
      <c r="G371" s="2839">
        <v>152.15402296379563</v>
      </c>
      <c r="H371" s="839">
        <v>101.69951655162699</v>
      </c>
      <c r="I371" s="2839">
        <v>145.90963410955425</v>
      </c>
      <c r="J371" s="839">
        <v>207.38531760526365</v>
      </c>
      <c r="K371" s="2839">
        <v>165.31447075108755</v>
      </c>
      <c r="L371" s="839">
        <v>122.22151156549799</v>
      </c>
      <c r="M371" s="2029">
        <v>168.79982196323454</v>
      </c>
      <c r="N371" s="1668">
        <v>138.41570065461087</v>
      </c>
      <c r="O371" s="2839">
        <v>107.59053583162191</v>
      </c>
      <c r="P371" s="2839">
        <v>137.65694044782907</v>
      </c>
      <c r="Q371" s="2032">
        <v>350.11902533010641</v>
      </c>
    </row>
    <row r="372" spans="1:17">
      <c r="A372" s="63">
        <f t="shared" si="3"/>
        <v>2023.03</v>
      </c>
      <c r="B372" s="1938">
        <v>171.89835648571207</v>
      </c>
      <c r="C372" s="839">
        <v>162.36327494558779</v>
      </c>
      <c r="D372" s="1668">
        <v>176.23877762913685</v>
      </c>
      <c r="E372" s="2839">
        <v>102.98554209446229</v>
      </c>
      <c r="F372" s="839">
        <v>96.779797642768528</v>
      </c>
      <c r="G372" s="2839">
        <v>159.45513441054118</v>
      </c>
      <c r="H372" s="839">
        <v>111.24476120580364</v>
      </c>
      <c r="I372" s="2839">
        <v>178.61719321823153</v>
      </c>
      <c r="J372" s="839">
        <v>244.1888815573954</v>
      </c>
      <c r="K372" s="2839">
        <v>189.13304981691601</v>
      </c>
      <c r="L372" s="839">
        <v>193.90003699638444</v>
      </c>
      <c r="M372" s="2029">
        <v>222.90169014379356</v>
      </c>
      <c r="N372" s="1668">
        <v>160.02984913645361</v>
      </c>
      <c r="O372" s="2839">
        <v>164.8669006553886</v>
      </c>
      <c r="P372" s="2839">
        <v>162.7309119797192</v>
      </c>
      <c r="Q372" s="2032">
        <v>473.04422237442373</v>
      </c>
    </row>
    <row r="373" spans="1:17">
      <c r="A373" s="63">
        <f t="shared" si="3"/>
        <v>2023.04</v>
      </c>
      <c r="B373" s="1938">
        <v>168.22006163757692</v>
      </c>
      <c r="C373" s="839">
        <v>160.78625937010801</v>
      </c>
      <c r="D373" s="1668">
        <v>168.30779961365974</v>
      </c>
      <c r="E373" s="2839">
        <v>105.3792622336905</v>
      </c>
      <c r="F373" s="839">
        <v>95.75532899818532</v>
      </c>
      <c r="G373" s="2839">
        <v>145.71750773766593</v>
      </c>
      <c r="H373" s="839">
        <v>109.93021048034934</v>
      </c>
      <c r="I373" s="2839">
        <v>181.61358514856113</v>
      </c>
      <c r="J373" s="839">
        <v>226.85732656920993</v>
      </c>
      <c r="K373" s="2839">
        <v>190.84178592227977</v>
      </c>
      <c r="L373" s="839">
        <v>201.87568266416829</v>
      </c>
      <c r="M373" s="2029">
        <v>198.47963195621267</v>
      </c>
      <c r="N373" s="1668">
        <v>154.3834431658378</v>
      </c>
      <c r="O373" s="2839">
        <v>172.88078983885396</v>
      </c>
      <c r="P373" s="2839">
        <v>160.13833640171239</v>
      </c>
      <c r="Q373" s="2032">
        <v>392.3452593974348</v>
      </c>
    </row>
    <row r="374" spans="1:17">
      <c r="A374" s="63">
        <f t="shared" si="3"/>
        <v>2023.05</v>
      </c>
      <c r="B374" s="1938">
        <v>166.3171938955951</v>
      </c>
      <c r="C374" s="839">
        <v>160.3578663265688</v>
      </c>
      <c r="D374" s="1668">
        <v>176.57712596018661</v>
      </c>
      <c r="E374" s="2839">
        <v>96.894362812783086</v>
      </c>
      <c r="F374" s="839">
        <v>97.327539960376242</v>
      </c>
      <c r="G374" s="2839">
        <v>154.08958417678454</v>
      </c>
      <c r="H374" s="839">
        <v>108.67603738554725</v>
      </c>
      <c r="I374" s="2839">
        <v>187.21627379211836</v>
      </c>
      <c r="J374" s="839">
        <v>237.12945504229992</v>
      </c>
      <c r="K374" s="2839">
        <v>193.1103178108807</v>
      </c>
      <c r="L374" s="839">
        <v>176.18407420744927</v>
      </c>
      <c r="M374" s="2029">
        <v>194.6791093148972</v>
      </c>
      <c r="N374" s="1668">
        <v>158.94551964916829</v>
      </c>
      <c r="O374" s="2839">
        <v>155.22694662837898</v>
      </c>
      <c r="P374" s="2839">
        <v>162.56844567344061</v>
      </c>
      <c r="Q374" s="2032">
        <v>371.02318743002513</v>
      </c>
    </row>
    <row r="375" spans="1:17">
      <c r="A375" s="63">
        <f t="shared" si="3"/>
        <v>2023.06</v>
      </c>
      <c r="B375" s="1938">
        <v>166.3205302002377</v>
      </c>
      <c r="C375" s="839">
        <v>161.27844482488797</v>
      </c>
      <c r="D375" s="1668">
        <v>180.54901710693341</v>
      </c>
      <c r="E375" s="2839">
        <v>93.644227293216517</v>
      </c>
      <c r="F375" s="839">
        <v>92.638222742054765</v>
      </c>
      <c r="G375" s="2839">
        <v>155.92796662192842</v>
      </c>
      <c r="H375" s="839">
        <v>104.52960976193827</v>
      </c>
      <c r="I375" s="2839">
        <v>187.98860775741244</v>
      </c>
      <c r="J375" s="839">
        <v>235.10195990767974</v>
      </c>
      <c r="K375" s="2839">
        <v>196.94016390322417</v>
      </c>
      <c r="L375" s="839">
        <v>169.10398294448817</v>
      </c>
      <c r="M375" s="2029">
        <v>195.44653982982351</v>
      </c>
      <c r="N375" s="1668">
        <v>161.31937470983519</v>
      </c>
      <c r="O375" s="2839">
        <v>149.46108632434652</v>
      </c>
      <c r="P375" s="2839">
        <v>163.31582055234404</v>
      </c>
      <c r="Q375" s="2032">
        <v>376.30511144612922</v>
      </c>
    </row>
    <row r="376" spans="1:17">
      <c r="A376" s="63">
        <f t="shared" si="3"/>
        <v>2023.07</v>
      </c>
      <c r="B376" s="1938">
        <v>158.71940724670952</v>
      </c>
      <c r="C376" s="839">
        <v>156.39256302636969</v>
      </c>
      <c r="D376" s="1668">
        <v>188.4978043187437</v>
      </c>
      <c r="E376" s="2839">
        <v>85.047213150593535</v>
      </c>
      <c r="F376" s="839">
        <v>88.742143195236295</v>
      </c>
      <c r="G376" s="2839">
        <v>163.85203201739546</v>
      </c>
      <c r="H376" s="839">
        <v>108.02904662628541</v>
      </c>
      <c r="I376" s="2839">
        <v>178.73147744882363</v>
      </c>
      <c r="J376" s="839">
        <v>232.28852515726865</v>
      </c>
      <c r="K376" s="2839">
        <v>163.19091945100041</v>
      </c>
      <c r="L376" s="839">
        <v>139.27222995217056</v>
      </c>
      <c r="M376" s="2029">
        <v>179.7842932100894</v>
      </c>
      <c r="N376" s="1668">
        <v>165.60703065487425</v>
      </c>
      <c r="O376" s="2839">
        <v>119.14411586564239</v>
      </c>
      <c r="P376" s="2839">
        <v>156.99247820352119</v>
      </c>
      <c r="Q376" s="2032">
        <v>388.48350925293181</v>
      </c>
    </row>
    <row r="377" spans="1:17">
      <c r="A377" s="63">
        <f t="shared" si="3"/>
        <v>2023.08</v>
      </c>
      <c r="B377" s="1938">
        <v>174.65587499860641</v>
      </c>
      <c r="C377" s="839">
        <v>159.39697599126438</v>
      </c>
      <c r="D377" s="1668">
        <v>198.15966577758462</v>
      </c>
      <c r="E377" s="2839">
        <v>108.14088008974754</v>
      </c>
      <c r="F377" s="839">
        <v>86.211536175200962</v>
      </c>
      <c r="G377" s="2839">
        <v>164.94088078659732</v>
      </c>
      <c r="H377" s="839">
        <v>95.283298436399491</v>
      </c>
      <c r="I377" s="2839">
        <v>190.08195695584101</v>
      </c>
      <c r="J377" s="839">
        <v>255.66235572672616</v>
      </c>
      <c r="K377" s="2839">
        <v>190.15551409813895</v>
      </c>
      <c r="L377" s="839">
        <v>177.89769200643238</v>
      </c>
      <c r="M377" s="2029">
        <v>226.39641990872255</v>
      </c>
      <c r="N377" s="1668">
        <v>178.24098164626517</v>
      </c>
      <c r="O377" s="2839">
        <v>160.76434194471247</v>
      </c>
      <c r="P377" s="2839">
        <v>161.52037212434414</v>
      </c>
      <c r="Q377" s="2032">
        <v>428.27400692667146</v>
      </c>
    </row>
    <row r="378" spans="1:17">
      <c r="A378" s="63">
        <f t="shared" si="3"/>
        <v>2023.09</v>
      </c>
      <c r="B378" s="1938">
        <v>164.50099897219621</v>
      </c>
      <c r="C378" s="839">
        <v>156.93073369935576</v>
      </c>
      <c r="D378" s="1668">
        <v>188.27239835933261</v>
      </c>
      <c r="E378" s="2839">
        <v>78.630345143386464</v>
      </c>
      <c r="F378" s="839">
        <v>86.375514496519969</v>
      </c>
      <c r="G378" s="2839">
        <v>157.51878697328257</v>
      </c>
      <c r="H378" s="839">
        <v>104.50532522890545</v>
      </c>
      <c r="I378" s="2839">
        <v>184.75839215803171</v>
      </c>
      <c r="J378" s="839">
        <v>254.53025007031209</v>
      </c>
      <c r="K378" s="2839">
        <v>196.06708388678658</v>
      </c>
      <c r="L378" s="839">
        <v>140.83738929574895</v>
      </c>
      <c r="M378" s="2029">
        <v>207.37466164646429</v>
      </c>
      <c r="N378" s="1668">
        <v>164.01162424612622</v>
      </c>
      <c r="O378" s="2839">
        <v>126.09308039702037</v>
      </c>
      <c r="P378" s="2839">
        <v>165.17666308994373</v>
      </c>
      <c r="Q378" s="2032">
        <v>423.98228969223049</v>
      </c>
    </row>
    <row r="379" spans="1:17">
      <c r="A379" s="63">
        <f t="shared" si="3"/>
        <v>2023.1</v>
      </c>
      <c r="B379" s="1938">
        <v>157.07677456811663</v>
      </c>
      <c r="C379" s="839">
        <v>151.8428528438786</v>
      </c>
      <c r="D379" s="1668">
        <v>183.69358619230314</v>
      </c>
      <c r="E379" s="2839">
        <v>95.571711175475869</v>
      </c>
      <c r="F379" s="839">
        <v>82.057159388828254</v>
      </c>
      <c r="G379" s="2839">
        <v>151.12340589708538</v>
      </c>
      <c r="H379" s="839">
        <v>96.23102476405127</v>
      </c>
      <c r="I379" s="2839">
        <v>186.47475263483645</v>
      </c>
      <c r="J379" s="839">
        <v>238.13435149598212</v>
      </c>
      <c r="K379" s="2839">
        <v>201.39189039805839</v>
      </c>
      <c r="L379" s="839">
        <v>128.19161526742928</v>
      </c>
      <c r="M379" s="2029">
        <v>189.50042385022024</v>
      </c>
      <c r="N379" s="1668">
        <v>164.19463627748601</v>
      </c>
      <c r="O379" s="2839">
        <v>113.11343828087242</v>
      </c>
      <c r="P379" s="2839">
        <v>156.39660252944387</v>
      </c>
      <c r="Q379" s="2032">
        <v>399.36830649310468</v>
      </c>
    </row>
    <row r="380" spans="1:17">
      <c r="A380" s="63">
        <f t="shared" si="3"/>
        <v>2023.11</v>
      </c>
      <c r="B380" s="1938">
        <v>154.28689270919006</v>
      </c>
      <c r="C380" s="839">
        <v>152.45787472286119</v>
      </c>
      <c r="D380" s="1668">
        <v>175.00580511169457</v>
      </c>
      <c r="E380" s="2839">
        <v>101.52016124450434</v>
      </c>
      <c r="F380" s="839">
        <v>82.937639540611073</v>
      </c>
      <c r="G380" s="2839">
        <v>166.18887670393278</v>
      </c>
      <c r="H380" s="839">
        <v>109.1540625158473</v>
      </c>
      <c r="I380" s="2839">
        <v>168.83764025541427</v>
      </c>
      <c r="J380" s="839">
        <v>233.02117174812747</v>
      </c>
      <c r="K380" s="2839">
        <v>183.17552029836722</v>
      </c>
      <c r="L380" s="839">
        <v>116.63327666574742</v>
      </c>
      <c r="M380" s="2029">
        <v>206.63798613461296</v>
      </c>
      <c r="N380" s="1668">
        <v>158.74545104012253</v>
      </c>
      <c r="O380" s="2839">
        <v>114.4784406876974</v>
      </c>
      <c r="P380" s="2839">
        <v>154.77658418438398</v>
      </c>
      <c r="Q380" s="2032">
        <v>377.0941135183204</v>
      </c>
    </row>
    <row r="381" spans="1:17">
      <c r="A381" s="63">
        <f t="shared" si="3"/>
        <v>2023.12</v>
      </c>
      <c r="B381" s="1938">
        <v>135.40074950424523</v>
      </c>
      <c r="C381" s="839">
        <v>147.8929600569632</v>
      </c>
      <c r="D381" s="1668">
        <v>168.3102857715522</v>
      </c>
      <c r="E381" s="2839">
        <v>75.9207668008914</v>
      </c>
      <c r="F381" s="839">
        <v>73.198861291294563</v>
      </c>
      <c r="G381" s="2839">
        <v>165.53866768327867</v>
      </c>
      <c r="H381" s="839">
        <v>112.8524706719256</v>
      </c>
      <c r="I381" s="2839">
        <v>143.03294362694913</v>
      </c>
      <c r="J381" s="839">
        <v>217.00877292476605</v>
      </c>
      <c r="K381" s="2839">
        <v>155.47107591752052</v>
      </c>
      <c r="L381" s="839">
        <v>91.397206152042912</v>
      </c>
      <c r="M381" s="2029">
        <v>134.54281139298683</v>
      </c>
      <c r="N381" s="1668">
        <v>147.86702349735575</v>
      </c>
      <c r="O381" s="2839">
        <v>77.363450867590799</v>
      </c>
      <c r="P381" s="2839">
        <v>142.58257198828659</v>
      </c>
      <c r="Q381" s="2032">
        <v>305.81302421834278</v>
      </c>
    </row>
    <row r="382" spans="1:17">
      <c r="A382" s="63">
        <f t="shared" si="3"/>
        <v>2024.01</v>
      </c>
      <c r="B382" s="1938">
        <v>131.34235047708844</v>
      </c>
      <c r="C382" s="839">
        <v>146.55815821958237</v>
      </c>
      <c r="D382" s="1668">
        <v>159.83948267697039</v>
      </c>
      <c r="E382" s="2839">
        <v>100.63309743870974</v>
      </c>
      <c r="F382" s="839">
        <v>68.752243181971266</v>
      </c>
      <c r="G382" s="2839">
        <v>164.13258138119377</v>
      </c>
      <c r="H382" s="839">
        <v>110.78798071559373</v>
      </c>
      <c r="I382" s="2839">
        <v>158.65940858608988</v>
      </c>
      <c r="J382" s="839">
        <v>192.15865656923404</v>
      </c>
      <c r="K382" s="2839">
        <v>179.60367272290677</v>
      </c>
      <c r="L382" s="839">
        <v>82.0081666800601</v>
      </c>
      <c r="M382" s="2029">
        <v>82.940675286476761</v>
      </c>
      <c r="N382" s="1668">
        <v>146.73873623713621</v>
      </c>
      <c r="O382" s="2839">
        <v>66.733578949541823</v>
      </c>
      <c r="P382" s="2839">
        <v>147.22781540515675</v>
      </c>
      <c r="Q382" s="2032">
        <v>189.77500057836656</v>
      </c>
    </row>
    <row r="383" spans="1:17">
      <c r="A383" s="63">
        <f t="shared" si="3"/>
        <v>2024.02</v>
      </c>
      <c r="B383" s="1938">
        <v>127.61108228733032</v>
      </c>
      <c r="C383" s="839">
        <v>141.6253498970722</v>
      </c>
      <c r="D383" s="1668">
        <v>148.47604645675648</v>
      </c>
      <c r="E383" s="2839">
        <v>82.521082361087878</v>
      </c>
      <c r="F383" s="839">
        <v>86.168568501803975</v>
      </c>
      <c r="G383" s="2839">
        <v>156.70238537737521</v>
      </c>
      <c r="H383" s="839">
        <v>98.5647568389914</v>
      </c>
      <c r="I383" s="2839">
        <v>152.87220663884801</v>
      </c>
      <c r="J383" s="839">
        <v>138.1154390769687</v>
      </c>
      <c r="K383" s="2839">
        <v>148.32567881375147</v>
      </c>
      <c r="L383" s="839">
        <v>103.25060338801126</v>
      </c>
      <c r="M383" s="2029">
        <v>136.80897456337865</v>
      </c>
      <c r="N383" s="1668">
        <v>133.88202492363064</v>
      </c>
      <c r="O383" s="2839">
        <v>89.481991101032619</v>
      </c>
      <c r="P383" s="2839">
        <v>130.21919552611607</v>
      </c>
      <c r="Q383" s="2032">
        <v>289.67701178287854</v>
      </c>
    </row>
    <row r="384" spans="1:17">
      <c r="A384" s="63">
        <f t="shared" ref="A384:A447" si="4">A372+1</f>
        <v>2024.03</v>
      </c>
      <c r="B384" s="1938">
        <v>145.42684017865216</v>
      </c>
      <c r="C384" s="839">
        <v>143.17769121691774</v>
      </c>
      <c r="D384" s="1668">
        <v>158.00969685229902</v>
      </c>
      <c r="E384" s="2839">
        <v>82.261889872093079</v>
      </c>
      <c r="F384" s="839">
        <v>97.099193469350084</v>
      </c>
      <c r="G384" s="2839">
        <v>155.18377430987928</v>
      </c>
      <c r="H384" s="839">
        <v>106.23777067192562</v>
      </c>
      <c r="I384" s="2839">
        <v>158.94201165060497</v>
      </c>
      <c r="J384" s="839">
        <v>132.59665000578747</v>
      </c>
      <c r="K384" s="2839">
        <v>127.95710925267684</v>
      </c>
      <c r="L384" s="839">
        <v>162.49754249814958</v>
      </c>
      <c r="M384" s="2029">
        <v>157.39234881535378</v>
      </c>
      <c r="N384" s="1668">
        <v>141.24878823361348</v>
      </c>
      <c r="O384" s="2839">
        <v>133.40247045347468</v>
      </c>
      <c r="P384" s="2839">
        <v>140.04242076210437</v>
      </c>
      <c r="Q384" s="2032">
        <v>348.99308748029711</v>
      </c>
    </row>
    <row r="385" spans="1:17">
      <c r="A385" s="63">
        <f t="shared" si="4"/>
        <v>2024.04</v>
      </c>
      <c r="B385" s="1938">
        <v>143.57825290478348</v>
      </c>
      <c r="C385" s="839">
        <v>141.06347844098565</v>
      </c>
      <c r="D385" s="1668">
        <v>164.0861631623919</v>
      </c>
      <c r="E385" s="2839">
        <v>88.014618580353414</v>
      </c>
      <c r="F385" s="839">
        <v>95.606825236268421</v>
      </c>
      <c r="G385" s="2839">
        <v>142.2605815453623</v>
      </c>
      <c r="H385" s="839">
        <v>105.91350169037894</v>
      </c>
      <c r="I385" s="2839">
        <v>123.24147393655167</v>
      </c>
      <c r="J385" s="839">
        <v>146.70728352105402</v>
      </c>
      <c r="K385" s="2839">
        <v>153.23695103928901</v>
      </c>
      <c r="L385" s="839">
        <v>172.85223682506</v>
      </c>
      <c r="M385" s="2029">
        <v>156.55152647638619</v>
      </c>
      <c r="N385" s="1668">
        <v>147.25362030666287</v>
      </c>
      <c r="O385" s="2839">
        <v>142.37815808205971</v>
      </c>
      <c r="P385" s="2839">
        <v>128.44520390725791</v>
      </c>
      <c r="Q385" s="2032">
        <v>338.29553382878998</v>
      </c>
    </row>
    <row r="386" spans="1:17">
      <c r="A386" s="63">
        <f t="shared" si="4"/>
        <v>2024.05</v>
      </c>
      <c r="B386" s="1938">
        <v>146.91431021887104</v>
      </c>
      <c r="C386" s="839">
        <v>141.7982406029418</v>
      </c>
      <c r="D386" s="1668">
        <v>170.65567646186244</v>
      </c>
      <c r="E386" s="2839">
        <v>81.920446890906319</v>
      </c>
      <c r="F386" s="839">
        <v>97.26986630188803</v>
      </c>
      <c r="G386" s="2839">
        <v>134.41223168126081</v>
      </c>
      <c r="H386" s="839">
        <v>111.7520462459501</v>
      </c>
      <c r="I386" s="2839">
        <v>163.9501261395377</v>
      </c>
      <c r="J386" s="839">
        <v>170.27125250128546</v>
      </c>
      <c r="K386" s="2839">
        <v>152.72309163399268</v>
      </c>
      <c r="L386" s="839">
        <v>149.57972472668678</v>
      </c>
      <c r="M386" s="2029">
        <v>139.64402852931775</v>
      </c>
      <c r="N386" s="1668">
        <v>151.02100803528305</v>
      </c>
      <c r="O386" s="2839">
        <v>119.13719826140903</v>
      </c>
      <c r="P386" s="2839">
        <v>144.56296955126183</v>
      </c>
      <c r="Q386" s="2032">
        <v>332.17536412825586</v>
      </c>
    </row>
    <row r="387" spans="1:17">
      <c r="A387" s="63">
        <f t="shared" si="4"/>
        <v>2024.06</v>
      </c>
      <c r="B387" s="1938">
        <v>143.29591666007502</v>
      </c>
      <c r="C387" s="839">
        <v>143.07553784368056</v>
      </c>
      <c r="D387" s="1668">
        <v>175.73607010943726</v>
      </c>
      <c r="E387" s="2839">
        <v>68.700418798264465</v>
      </c>
      <c r="F387" s="839">
        <v>92.427860918808179</v>
      </c>
      <c r="G387" s="2839">
        <v>136.3137560072999</v>
      </c>
      <c r="H387" s="839">
        <v>103.99845471193126</v>
      </c>
      <c r="I387" s="2839">
        <v>162.55948298454774</v>
      </c>
      <c r="J387" s="839">
        <v>156.07587532903162</v>
      </c>
      <c r="K387" s="2839">
        <v>138.40218392713209</v>
      </c>
      <c r="L387" s="839">
        <v>139.03539365492796</v>
      </c>
      <c r="M387" s="2029">
        <v>116.87373117704573</v>
      </c>
      <c r="N387" s="1668">
        <v>152.05202113047653</v>
      </c>
      <c r="O387" s="2839">
        <v>114.2122611949124</v>
      </c>
      <c r="P387" s="2839">
        <v>143.78928421787217</v>
      </c>
      <c r="Q387" s="2032">
        <v>249.5568614649041</v>
      </c>
    </row>
    <row r="388" spans="1:17">
      <c r="A388" s="63">
        <f t="shared" si="4"/>
        <v>2024.07</v>
      </c>
      <c r="B388" s="1938">
        <v>154.66848538139217</v>
      </c>
      <c r="C388" s="839">
        <v>147.11054847343428</v>
      </c>
      <c r="D388" s="1668">
        <v>205.03291829756304</v>
      </c>
      <c r="E388" s="2839">
        <v>85.824132904860292</v>
      </c>
      <c r="F388" s="839">
        <v>88.946609305038123</v>
      </c>
      <c r="G388" s="2839">
        <v>144.30905002329953</v>
      </c>
      <c r="H388" s="839">
        <v>101.12688678687138</v>
      </c>
      <c r="I388" s="2839">
        <v>172.60712828315508</v>
      </c>
      <c r="J388" s="839">
        <v>214.52086037808004</v>
      </c>
      <c r="K388" s="2839">
        <v>152.01905832735179</v>
      </c>
      <c r="L388" s="839">
        <v>127.68653966269237</v>
      </c>
      <c r="M388" s="2029">
        <v>162.20072049347982</v>
      </c>
      <c r="N388" s="1668">
        <v>178.65528918635053</v>
      </c>
      <c r="O388" s="2839">
        <v>108.6012288295195</v>
      </c>
      <c r="P388" s="2839">
        <v>146.5772588749854</v>
      </c>
      <c r="Q388" s="2032">
        <v>353.34643949827512</v>
      </c>
    </row>
    <row r="389" spans="1:17">
      <c r="A389" s="63">
        <f t="shared" si="4"/>
        <v>2024.08</v>
      </c>
      <c r="B389" s="1938">
        <v>156.51762161422187</v>
      </c>
      <c r="C389" s="839">
        <v>145.15387324140258</v>
      </c>
      <c r="D389" s="1668">
        <v>198.22137360313721</v>
      </c>
      <c r="E389" s="2839">
        <v>84.584784346889776</v>
      </c>
      <c r="F389" s="839">
        <v>85.675771643250542</v>
      </c>
      <c r="G389" s="2839">
        <v>144.44122316800025</v>
      </c>
      <c r="H389" s="839">
        <v>108.62298450485983</v>
      </c>
      <c r="I389" s="2839">
        <v>144.2710178559883</v>
      </c>
      <c r="J389" s="839">
        <v>209.30152624141959</v>
      </c>
      <c r="K389" s="2839">
        <v>164.32656610085311</v>
      </c>
      <c r="L389" s="839">
        <v>148.49444761403075</v>
      </c>
      <c r="M389" s="2029">
        <v>184.09103937131778</v>
      </c>
      <c r="N389" s="1668">
        <v>173.07671840855471</v>
      </c>
      <c r="O389" s="2839">
        <v>129.49547603053196</v>
      </c>
      <c r="P389" s="2839">
        <v>143.07197758030972</v>
      </c>
      <c r="Q389" s="2032">
        <v>376.51340890874297</v>
      </c>
    </row>
    <row r="390" spans="1:17">
      <c r="A390" s="63">
        <f t="shared" si="4"/>
        <v>2024.09</v>
      </c>
      <c r="B390" s="1938">
        <v>156.09020225665893</v>
      </c>
      <c r="C390" s="839">
        <v>148.64894704923185</v>
      </c>
      <c r="D390" s="1668">
        <v>197.33896142477818</v>
      </c>
      <c r="E390" s="2839">
        <v>82.595591463534703</v>
      </c>
      <c r="F390" s="839">
        <v>85.941633395920121</v>
      </c>
      <c r="G390" s="2839">
        <v>149.94808334851894</v>
      </c>
      <c r="H390" s="839">
        <v>104.37444911959429</v>
      </c>
      <c r="I390" s="2839">
        <v>169.28729800230502</v>
      </c>
      <c r="J390" s="839">
        <v>209.01761323295455</v>
      </c>
      <c r="K390" s="2839">
        <v>168.92796473490969</v>
      </c>
      <c r="L390" s="839">
        <v>114.74972238653548</v>
      </c>
      <c r="M390" s="2029">
        <v>180.89338114788401</v>
      </c>
      <c r="N390" s="1668">
        <v>171.94940606744632</v>
      </c>
      <c r="O390" s="2839">
        <v>99.29467068893284</v>
      </c>
      <c r="P390" s="2839">
        <v>155.3005706512611</v>
      </c>
      <c r="Q390" s="2032">
        <v>401.71657292262444</v>
      </c>
    </row>
    <row r="391" spans="1:17">
      <c r="A391" s="63">
        <f t="shared" si="4"/>
        <v>2024.1</v>
      </c>
      <c r="B391" s="1938">
        <v>157.49244947190914</v>
      </c>
      <c r="C391" s="839">
        <v>149.63286737509054</v>
      </c>
      <c r="D391" s="1668">
        <v>197.38141774339095</v>
      </c>
      <c r="E391" s="2839">
        <v>91.761261183674137</v>
      </c>
      <c r="F391" s="839">
        <v>82.007563138256614</v>
      </c>
      <c r="G391" s="2839">
        <v>138.10273402549117</v>
      </c>
      <c r="H391" s="839">
        <v>108.2742941963657</v>
      </c>
      <c r="I391" s="2839">
        <v>181.04093730729539</v>
      </c>
      <c r="J391" s="839">
        <v>196.25111243454705</v>
      </c>
      <c r="K391" s="2839">
        <v>170.45908494913076</v>
      </c>
      <c r="L391" s="839">
        <v>112.88261920677041</v>
      </c>
      <c r="M391" s="2029">
        <v>191.20189263100721</v>
      </c>
      <c r="N391" s="1668">
        <v>174.01057886417055</v>
      </c>
      <c r="O391" s="2839">
        <v>101.92021365121755</v>
      </c>
      <c r="P391" s="2839">
        <v>155.75440606129331</v>
      </c>
      <c r="Q391" s="2032">
        <v>402.1274056695259</v>
      </c>
    </row>
    <row r="392" spans="1:17">
      <c r="A392" s="63">
        <f t="shared" si="4"/>
        <v>2024.11</v>
      </c>
      <c r="B392" s="1938">
        <v>150.52971816668844</v>
      </c>
      <c r="C392" s="839">
        <v>150.34720913152978</v>
      </c>
      <c r="D392" s="1668">
        <v>179.17609973973293</v>
      </c>
      <c r="E392" s="2839">
        <v>89.192988654918366</v>
      </c>
      <c r="F392" s="839">
        <v>82.91553577107986</v>
      </c>
      <c r="G392" s="2839">
        <v>152.47377161294989</v>
      </c>
      <c r="H392" s="839">
        <v>108.70296871390335</v>
      </c>
      <c r="I392" s="2839">
        <v>174.18370903893646</v>
      </c>
      <c r="J392" s="839">
        <v>191.64223609994596</v>
      </c>
      <c r="K392" s="2839">
        <v>161.65589844585023</v>
      </c>
      <c r="L392" s="839">
        <v>100.65604492818342</v>
      </c>
      <c r="M392" s="2029">
        <v>195.9923991967041</v>
      </c>
      <c r="N392" s="1668">
        <v>159.26530941795204</v>
      </c>
      <c r="O392" s="2839">
        <v>98.966516989195995</v>
      </c>
      <c r="P392" s="2839">
        <v>153.6972656988265</v>
      </c>
      <c r="Q392" s="2032">
        <v>372.46121443266821</v>
      </c>
    </row>
    <row r="393" spans="1:17">
      <c r="A393" s="63">
        <f t="shared" si="4"/>
        <v>2024.12</v>
      </c>
      <c r="B393" s="1938">
        <v>139.34700561750734</v>
      </c>
      <c r="C393" s="839">
        <v>149.44363155840804</v>
      </c>
      <c r="D393" s="1668">
        <v>185.16539994732739</v>
      </c>
      <c r="E393" s="2839">
        <v>89.704135708057407</v>
      </c>
      <c r="F393" s="839">
        <v>73.310101588129726</v>
      </c>
      <c r="G393" s="2839">
        <v>149.90285977052457</v>
      </c>
      <c r="H393" s="839">
        <v>112.04035241583321</v>
      </c>
      <c r="I393" s="2839">
        <v>141.71344393904636</v>
      </c>
      <c r="J393" s="839">
        <v>164.72969524816659</v>
      </c>
      <c r="K393" s="2839">
        <v>135.01419891985111</v>
      </c>
      <c r="L393" s="839">
        <v>91.023560357230139</v>
      </c>
      <c r="M393" s="2029">
        <v>138.62128592560353</v>
      </c>
      <c r="N393" s="1668">
        <v>164.04244483713245</v>
      </c>
      <c r="O393" s="2839">
        <v>79.995650502541508</v>
      </c>
      <c r="P393" s="2839">
        <v>139.78500658294632</v>
      </c>
      <c r="Q393" s="2032">
        <v>296.88254321725219</v>
      </c>
    </row>
    <row r="394" spans="1:17">
      <c r="A394" s="63">
        <f t="shared" si="4"/>
        <v>2025.01</v>
      </c>
      <c r="B394" s="1938">
        <v>134.94517000077008</v>
      </c>
      <c r="C394" s="839">
        <v>150.59019233861869</v>
      </c>
      <c r="D394" s="1668">
        <v>167.57869863038059</v>
      </c>
      <c r="E394" s="2839">
        <v>89.089337819751236</v>
      </c>
      <c r="F394" s="839">
        <v>69.605243043309102</v>
      </c>
      <c r="G394" s="2839">
        <v>152.9124989574714</v>
      </c>
      <c r="H394" s="839">
        <v>115.77887905338781</v>
      </c>
      <c r="I394" s="2839">
        <v>162.77455291911443</v>
      </c>
      <c r="J394" s="839">
        <v>176.51667867849253</v>
      </c>
      <c r="K394" s="2839">
        <v>151.17911051940112</v>
      </c>
      <c r="L394" s="839">
        <v>81.782117625914665</v>
      </c>
      <c r="M394" s="2029">
        <v>110.14652809086954</v>
      </c>
      <c r="N394" s="1668">
        <v>150.21115946941489</v>
      </c>
      <c r="O394" s="2839">
        <v>74.370088390723737</v>
      </c>
      <c r="P394" s="2839">
        <v>147.88662208596136</v>
      </c>
      <c r="Q394" s="2032">
        <v>210.24595036347725</v>
      </c>
    </row>
    <row r="395" spans="1:17">
      <c r="A395" s="63">
        <f t="shared" si="4"/>
        <v>2025.02</v>
      </c>
      <c r="B395" s="1938">
        <v>130.68046614631834</v>
      </c>
      <c r="C395" s="839">
        <v>150.51047580291294</v>
      </c>
      <c r="D395" s="1668">
        <v>155.90090184834935</v>
      </c>
      <c r="E395" s="2839">
        <v>85.26011401690586</v>
      </c>
      <c r="F395" s="839">
        <v>86.063239059127</v>
      </c>
      <c r="G395" s="2839">
        <v>146.02048089187693</v>
      </c>
      <c r="H395" s="839">
        <v>89.507723538526562</v>
      </c>
      <c r="I395" s="2839">
        <v>142.71667135794115</v>
      </c>
      <c r="J395" s="839">
        <v>167.88571568111877</v>
      </c>
      <c r="K395" s="2839">
        <v>144.15455258762674</v>
      </c>
      <c r="L395" s="839">
        <v>102.30063348386656</v>
      </c>
      <c r="M395" s="2029">
        <v>154.47235940619225</v>
      </c>
      <c r="N395" s="1668">
        <v>140.27003625901054</v>
      </c>
      <c r="O395" s="2839">
        <v>90.421139925986992</v>
      </c>
      <c r="P395" s="2839">
        <v>129.75858938292751</v>
      </c>
      <c r="Q395" s="2032">
        <v>326.5080626850816</v>
      </c>
    </row>
    <row r="396" spans="1:17">
      <c r="A396" s="63">
        <f t="shared" si="4"/>
        <v>2025.03</v>
      </c>
      <c r="B396" s="1938">
        <v>147.53924946381264</v>
      </c>
      <c r="C396" s="839">
        <v>149.054844856876</v>
      </c>
      <c r="D396" s="1668">
        <v>172.11383547926093</v>
      </c>
      <c r="E396" s="2839">
        <v>86.005215530226124</v>
      </c>
      <c r="F396" s="839">
        <v>97.599502888226851</v>
      </c>
      <c r="G396" s="2839">
        <v>141.40880032527824</v>
      </c>
      <c r="H396" s="839">
        <v>101.71867577123537</v>
      </c>
      <c r="I396" s="2839">
        <v>136.68936431486446</v>
      </c>
      <c r="J396" s="839">
        <v>166.99496899667236</v>
      </c>
      <c r="K396" s="2839">
        <v>159.64274567018037</v>
      </c>
      <c r="L396" s="839">
        <v>160.19379464404719</v>
      </c>
      <c r="M396" s="2029">
        <v>151.39938737586453</v>
      </c>
      <c r="N396" s="1668">
        <v>153.060363599553</v>
      </c>
      <c r="O396" s="2839">
        <v>130.35438536366536</v>
      </c>
      <c r="P396" s="2839">
        <v>138.67415897735569</v>
      </c>
      <c r="Q396" s="2032">
        <v>341.74924051573652</v>
      </c>
    </row>
    <row r="397" spans="1:17">
      <c r="A397" s="63">
        <f t="shared" si="4"/>
        <v>2025.04</v>
      </c>
      <c r="B397" s="1938">
        <v>147.7452320649262</v>
      </c>
      <c r="C397" s="839">
        <v>147.8783799409232</v>
      </c>
      <c r="D397" s="1668">
        <v>172.35919262609653</v>
      </c>
      <c r="E397" s="2839">
        <v>83.293824467314138</v>
      </c>
      <c r="F397" s="839">
        <v>98.100786022298152</v>
      </c>
      <c r="G397" s="2839">
        <v>125.51638015249966</v>
      </c>
      <c r="H397" s="839">
        <v>102.63508298733555</v>
      </c>
      <c r="I397" s="2839">
        <v>143.67031575202935</v>
      </c>
      <c r="J397" s="839">
        <v>195.59269983416891</v>
      </c>
      <c r="K397" s="2839">
        <v>135.44880018145338</v>
      </c>
      <c r="L397" s="839">
        <v>157.53500738813122</v>
      </c>
      <c r="M397" s="2029">
        <v>165.73826823619152</v>
      </c>
      <c r="N397" s="1668">
        <v>152.6514736001314</v>
      </c>
      <c r="O397" s="2839">
        <v>133.29621204882588</v>
      </c>
      <c r="P397" s="2839">
        <v>137.6791404567127</v>
      </c>
      <c r="Q397" s="2032">
        <v>346.89498977435028</v>
      </c>
    </row>
    <row r="398" spans="1:17">
      <c r="A398" s="63">
        <f t="shared" si="4"/>
        <v>2025.05</v>
      </c>
      <c r="B398" s="1938" t="e">
        <v>#N/A</v>
      </c>
      <c r="C398" s="839" t="e">
        <v>#N/A</v>
      </c>
      <c r="D398" s="1668" t="e">
        <v>#N/A</v>
      </c>
      <c r="E398" s="2839" t="e">
        <v>#N/A</v>
      </c>
      <c r="F398" s="839" t="e">
        <v>#N/A</v>
      </c>
      <c r="G398" s="2839" t="e">
        <v>#N/A</v>
      </c>
      <c r="H398" s="839" t="e">
        <v>#N/A</v>
      </c>
      <c r="I398" s="2839" t="e">
        <v>#N/A</v>
      </c>
      <c r="J398" s="839" t="e">
        <v>#N/A</v>
      </c>
      <c r="K398" s="2839" t="e">
        <v>#N/A</v>
      </c>
      <c r="L398" s="839" t="e">
        <v>#N/A</v>
      </c>
      <c r="M398" s="2029" t="e">
        <v>#N/A</v>
      </c>
      <c r="N398" s="1668" t="e">
        <v>#N/A</v>
      </c>
      <c r="O398" s="2839" t="e">
        <v>#N/A</v>
      </c>
      <c r="P398" s="2839" t="e">
        <v>#N/A</v>
      </c>
      <c r="Q398" s="2032" t="e">
        <v>#N/A</v>
      </c>
    </row>
    <row r="399" spans="1:17">
      <c r="A399" s="63">
        <f t="shared" si="4"/>
        <v>2025.06</v>
      </c>
      <c r="B399" s="1938" t="e">
        <v>#N/A</v>
      </c>
      <c r="C399" s="839" t="e">
        <v>#N/A</v>
      </c>
      <c r="D399" s="1668" t="e">
        <v>#N/A</v>
      </c>
      <c r="E399" s="2839" t="e">
        <v>#N/A</v>
      </c>
      <c r="F399" s="839" t="e">
        <v>#N/A</v>
      </c>
      <c r="G399" s="2839" t="e">
        <v>#N/A</v>
      </c>
      <c r="H399" s="839" t="e">
        <v>#N/A</v>
      </c>
      <c r="I399" s="2839" t="e">
        <v>#N/A</v>
      </c>
      <c r="J399" s="839" t="e">
        <v>#N/A</v>
      </c>
      <c r="K399" s="2839" t="e">
        <v>#N/A</v>
      </c>
      <c r="L399" s="839" t="e">
        <v>#N/A</v>
      </c>
      <c r="M399" s="2029" t="e">
        <v>#N/A</v>
      </c>
      <c r="N399" s="1668" t="e">
        <v>#N/A</v>
      </c>
      <c r="O399" s="2839" t="e">
        <v>#N/A</v>
      </c>
      <c r="P399" s="2839" t="e">
        <v>#N/A</v>
      </c>
      <c r="Q399" s="2032" t="e">
        <v>#N/A</v>
      </c>
    </row>
    <row r="400" spans="1:17">
      <c r="A400" s="63">
        <f t="shared" si="4"/>
        <v>2025.07</v>
      </c>
      <c r="B400" s="1938" t="e">
        <v>#N/A</v>
      </c>
      <c r="C400" s="839" t="e">
        <v>#N/A</v>
      </c>
      <c r="D400" s="1668" t="e">
        <v>#N/A</v>
      </c>
      <c r="E400" s="2839" t="e">
        <v>#N/A</v>
      </c>
      <c r="F400" s="839" t="e">
        <v>#N/A</v>
      </c>
      <c r="G400" s="2839" t="e">
        <v>#N/A</v>
      </c>
      <c r="H400" s="839" t="e">
        <v>#N/A</v>
      </c>
      <c r="I400" s="2839" t="e">
        <v>#N/A</v>
      </c>
      <c r="J400" s="839" t="e">
        <v>#N/A</v>
      </c>
      <c r="K400" s="2839" t="e">
        <v>#N/A</v>
      </c>
      <c r="L400" s="839" t="e">
        <v>#N/A</v>
      </c>
      <c r="M400" s="2029" t="e">
        <v>#N/A</v>
      </c>
      <c r="N400" s="1668" t="e">
        <v>#N/A</v>
      </c>
      <c r="O400" s="2839" t="e">
        <v>#N/A</v>
      </c>
      <c r="P400" s="2839" t="e">
        <v>#N/A</v>
      </c>
      <c r="Q400" s="2032" t="e">
        <v>#N/A</v>
      </c>
    </row>
    <row r="401" spans="1:17">
      <c r="A401" s="63">
        <f t="shared" si="4"/>
        <v>2025.08</v>
      </c>
      <c r="B401" s="1938" t="e">
        <v>#N/A</v>
      </c>
      <c r="C401" s="839" t="e">
        <v>#N/A</v>
      </c>
      <c r="D401" s="1668" t="e">
        <v>#N/A</v>
      </c>
      <c r="E401" s="2839" t="e">
        <v>#N/A</v>
      </c>
      <c r="F401" s="839" t="e">
        <v>#N/A</v>
      </c>
      <c r="G401" s="2839" t="e">
        <v>#N/A</v>
      </c>
      <c r="H401" s="839" t="e">
        <v>#N/A</v>
      </c>
      <c r="I401" s="2839" t="e">
        <v>#N/A</v>
      </c>
      <c r="J401" s="839" t="e">
        <v>#N/A</v>
      </c>
      <c r="K401" s="2839" t="e">
        <v>#N/A</v>
      </c>
      <c r="L401" s="839" t="e">
        <v>#N/A</v>
      </c>
      <c r="M401" s="2029" t="e">
        <v>#N/A</v>
      </c>
      <c r="N401" s="1668" t="e">
        <v>#N/A</v>
      </c>
      <c r="O401" s="2839" t="e">
        <v>#N/A</v>
      </c>
      <c r="P401" s="2839" t="e">
        <v>#N/A</v>
      </c>
      <c r="Q401" s="2032" t="e">
        <v>#N/A</v>
      </c>
    </row>
    <row r="402" spans="1:17">
      <c r="A402" s="63">
        <f t="shared" si="4"/>
        <v>2025.09</v>
      </c>
      <c r="B402" s="1938" t="e">
        <v>#N/A</v>
      </c>
      <c r="C402" s="839" t="e">
        <v>#N/A</v>
      </c>
      <c r="D402" s="1668" t="e">
        <v>#N/A</v>
      </c>
      <c r="E402" s="2839" t="e">
        <v>#N/A</v>
      </c>
      <c r="F402" s="839" t="e">
        <v>#N/A</v>
      </c>
      <c r="G402" s="2839" t="e">
        <v>#N/A</v>
      </c>
      <c r="H402" s="839" t="e">
        <v>#N/A</v>
      </c>
      <c r="I402" s="2839" t="e">
        <v>#N/A</v>
      </c>
      <c r="J402" s="839" t="e">
        <v>#N/A</v>
      </c>
      <c r="K402" s="2839" t="e">
        <v>#N/A</v>
      </c>
      <c r="L402" s="839" t="e">
        <v>#N/A</v>
      </c>
      <c r="M402" s="2029" t="e">
        <v>#N/A</v>
      </c>
      <c r="N402" s="1668" t="e">
        <v>#N/A</v>
      </c>
      <c r="O402" s="2839" t="e">
        <v>#N/A</v>
      </c>
      <c r="P402" s="2839" t="e">
        <v>#N/A</v>
      </c>
      <c r="Q402" s="2032" t="e">
        <v>#N/A</v>
      </c>
    </row>
    <row r="403" spans="1:17">
      <c r="A403" s="63">
        <f t="shared" si="4"/>
        <v>2025.1</v>
      </c>
      <c r="B403" s="1938" t="e">
        <v>#N/A</v>
      </c>
      <c r="C403" s="839" t="e">
        <v>#N/A</v>
      </c>
      <c r="D403" s="1668" t="e">
        <v>#N/A</v>
      </c>
      <c r="E403" s="2839" t="e">
        <v>#N/A</v>
      </c>
      <c r="F403" s="839" t="e">
        <v>#N/A</v>
      </c>
      <c r="G403" s="2839" t="e">
        <v>#N/A</v>
      </c>
      <c r="H403" s="839" t="e">
        <v>#N/A</v>
      </c>
      <c r="I403" s="2839" t="e">
        <v>#N/A</v>
      </c>
      <c r="J403" s="839" t="e">
        <v>#N/A</v>
      </c>
      <c r="K403" s="2839" t="e">
        <v>#N/A</v>
      </c>
      <c r="L403" s="839" t="e">
        <v>#N/A</v>
      </c>
      <c r="M403" s="2029" t="e">
        <v>#N/A</v>
      </c>
      <c r="N403" s="1668" t="e">
        <v>#N/A</v>
      </c>
      <c r="O403" s="2839" t="e">
        <v>#N/A</v>
      </c>
      <c r="P403" s="2839" t="e">
        <v>#N/A</v>
      </c>
      <c r="Q403" s="2032" t="e">
        <v>#N/A</v>
      </c>
    </row>
    <row r="404" spans="1:17">
      <c r="A404" s="63">
        <f t="shared" si="4"/>
        <v>2025.11</v>
      </c>
      <c r="B404" s="1938" t="e">
        <v>#N/A</v>
      </c>
      <c r="C404" s="839" t="e">
        <v>#N/A</v>
      </c>
      <c r="D404" s="1668" t="e">
        <v>#N/A</v>
      </c>
      <c r="E404" s="2839" t="e">
        <v>#N/A</v>
      </c>
      <c r="F404" s="839" t="e">
        <v>#N/A</v>
      </c>
      <c r="G404" s="2839" t="e">
        <v>#N/A</v>
      </c>
      <c r="H404" s="839" t="e">
        <v>#N/A</v>
      </c>
      <c r="I404" s="2839" t="e">
        <v>#N/A</v>
      </c>
      <c r="J404" s="839" t="e">
        <v>#N/A</v>
      </c>
      <c r="K404" s="2839" t="e">
        <v>#N/A</v>
      </c>
      <c r="L404" s="839" t="e">
        <v>#N/A</v>
      </c>
      <c r="M404" s="2029" t="e">
        <v>#N/A</v>
      </c>
      <c r="N404" s="1668" t="e">
        <v>#N/A</v>
      </c>
      <c r="O404" s="2839" t="e">
        <v>#N/A</v>
      </c>
      <c r="P404" s="2839" t="e">
        <v>#N/A</v>
      </c>
      <c r="Q404" s="2032" t="e">
        <v>#N/A</v>
      </c>
    </row>
    <row r="405" spans="1:17">
      <c r="A405" s="63">
        <f t="shared" si="4"/>
        <v>2025.12</v>
      </c>
      <c r="B405" s="1938" t="e">
        <v>#N/A</v>
      </c>
      <c r="C405" s="839" t="e">
        <v>#N/A</v>
      </c>
      <c r="D405" s="1668" t="e">
        <v>#N/A</v>
      </c>
      <c r="E405" s="2839" t="e">
        <v>#N/A</v>
      </c>
      <c r="F405" s="839" t="e">
        <v>#N/A</v>
      </c>
      <c r="G405" s="2839" t="e">
        <v>#N/A</v>
      </c>
      <c r="H405" s="839" t="e">
        <v>#N/A</v>
      </c>
      <c r="I405" s="2839" t="e">
        <v>#N/A</v>
      </c>
      <c r="J405" s="839" t="e">
        <v>#N/A</v>
      </c>
      <c r="K405" s="2839" t="e">
        <v>#N/A</v>
      </c>
      <c r="L405" s="839" t="e">
        <v>#N/A</v>
      </c>
      <c r="M405" s="2029" t="e">
        <v>#N/A</v>
      </c>
      <c r="N405" s="1668" t="e">
        <v>#N/A</v>
      </c>
      <c r="O405" s="2839" t="e">
        <v>#N/A</v>
      </c>
      <c r="P405" s="2839" t="e">
        <v>#N/A</v>
      </c>
      <c r="Q405" s="2032" t="e">
        <v>#N/A</v>
      </c>
    </row>
    <row r="406" spans="1:17">
      <c r="A406" s="63">
        <f t="shared" si="4"/>
        <v>2026.01</v>
      </c>
      <c r="B406" s="1938" t="e">
        <v>#N/A</v>
      </c>
      <c r="C406" s="839" t="e">
        <v>#N/A</v>
      </c>
      <c r="D406" s="1668" t="e">
        <v>#N/A</v>
      </c>
      <c r="E406" s="2839" t="e">
        <v>#N/A</v>
      </c>
      <c r="F406" s="839" t="e">
        <v>#N/A</v>
      </c>
      <c r="G406" s="2839" t="e">
        <v>#N/A</v>
      </c>
      <c r="H406" s="839" t="e">
        <v>#N/A</v>
      </c>
      <c r="I406" s="2839" t="e">
        <v>#N/A</v>
      </c>
      <c r="J406" s="839" t="e">
        <v>#N/A</v>
      </c>
      <c r="K406" s="2839" t="e">
        <v>#N/A</v>
      </c>
      <c r="L406" s="839" t="e">
        <v>#N/A</v>
      </c>
      <c r="M406" s="2029" t="e">
        <v>#N/A</v>
      </c>
      <c r="N406" s="1668" t="e">
        <v>#N/A</v>
      </c>
      <c r="O406" s="2839" t="e">
        <v>#N/A</v>
      </c>
      <c r="P406" s="2839" t="e">
        <v>#N/A</v>
      </c>
      <c r="Q406" s="2032" t="e">
        <v>#N/A</v>
      </c>
    </row>
    <row r="407" spans="1:17">
      <c r="A407" s="63">
        <f t="shared" si="4"/>
        <v>2026.02</v>
      </c>
      <c r="B407" s="1938" t="e">
        <v>#N/A</v>
      </c>
      <c r="C407" s="839" t="e">
        <v>#N/A</v>
      </c>
      <c r="D407" s="1668" t="e">
        <v>#N/A</v>
      </c>
      <c r="E407" s="2839" t="e">
        <v>#N/A</v>
      </c>
      <c r="F407" s="839" t="e">
        <v>#N/A</v>
      </c>
      <c r="G407" s="2839" t="e">
        <v>#N/A</v>
      </c>
      <c r="H407" s="839" t="e">
        <v>#N/A</v>
      </c>
      <c r="I407" s="2839" t="e">
        <v>#N/A</v>
      </c>
      <c r="J407" s="839" t="e">
        <v>#N/A</v>
      </c>
      <c r="K407" s="2839" t="e">
        <v>#N/A</v>
      </c>
      <c r="L407" s="839" t="e">
        <v>#N/A</v>
      </c>
      <c r="M407" s="2029" t="e">
        <v>#N/A</v>
      </c>
      <c r="N407" s="1668" t="e">
        <v>#N/A</v>
      </c>
      <c r="O407" s="2839" t="e">
        <v>#N/A</v>
      </c>
      <c r="P407" s="2839" t="e">
        <v>#N/A</v>
      </c>
      <c r="Q407" s="2032" t="e">
        <v>#N/A</v>
      </c>
    </row>
    <row r="408" spans="1:17">
      <c r="A408" s="63">
        <f t="shared" si="4"/>
        <v>2026.03</v>
      </c>
      <c r="B408" s="1938" t="e">
        <v>#N/A</v>
      </c>
      <c r="C408" s="839" t="e">
        <v>#N/A</v>
      </c>
      <c r="D408" s="1668" t="e">
        <v>#N/A</v>
      </c>
      <c r="E408" s="2839" t="e">
        <v>#N/A</v>
      </c>
      <c r="F408" s="839" t="e">
        <v>#N/A</v>
      </c>
      <c r="G408" s="2839" t="e">
        <v>#N/A</v>
      </c>
      <c r="H408" s="839" t="e">
        <v>#N/A</v>
      </c>
      <c r="I408" s="2839" t="e">
        <v>#N/A</v>
      </c>
      <c r="J408" s="839" t="e">
        <v>#N/A</v>
      </c>
      <c r="K408" s="2839" t="e">
        <v>#N/A</v>
      </c>
      <c r="L408" s="839" t="e">
        <v>#N/A</v>
      </c>
      <c r="M408" s="2029" t="e">
        <v>#N/A</v>
      </c>
      <c r="N408" s="1668" t="e">
        <v>#N/A</v>
      </c>
      <c r="O408" s="2839" t="e">
        <v>#N/A</v>
      </c>
      <c r="P408" s="2839" t="e">
        <v>#N/A</v>
      </c>
      <c r="Q408" s="2032" t="e">
        <v>#N/A</v>
      </c>
    </row>
    <row r="409" spans="1:17">
      <c r="A409" s="63">
        <f t="shared" si="4"/>
        <v>2026.04</v>
      </c>
      <c r="B409" s="1938" t="e">
        <v>#N/A</v>
      </c>
      <c r="C409" s="839" t="e">
        <v>#N/A</v>
      </c>
      <c r="D409" s="1668" t="e">
        <v>#N/A</v>
      </c>
      <c r="E409" s="2839" t="e">
        <v>#N/A</v>
      </c>
      <c r="F409" s="839" t="e">
        <v>#N/A</v>
      </c>
      <c r="G409" s="2839" t="e">
        <v>#N/A</v>
      </c>
      <c r="H409" s="839" t="e">
        <v>#N/A</v>
      </c>
      <c r="I409" s="2839" t="e">
        <v>#N/A</v>
      </c>
      <c r="J409" s="839" t="e">
        <v>#N/A</v>
      </c>
      <c r="K409" s="2839" t="e">
        <v>#N/A</v>
      </c>
      <c r="L409" s="839" t="e">
        <v>#N/A</v>
      </c>
      <c r="M409" s="2029" t="e">
        <v>#N/A</v>
      </c>
      <c r="N409" s="1668" t="e">
        <v>#N/A</v>
      </c>
      <c r="O409" s="2839" t="e">
        <v>#N/A</v>
      </c>
      <c r="P409" s="2839" t="e">
        <v>#N/A</v>
      </c>
      <c r="Q409" s="2032" t="e">
        <v>#N/A</v>
      </c>
    </row>
    <row r="410" spans="1:17">
      <c r="A410" s="63">
        <f t="shared" si="4"/>
        <v>2026.05</v>
      </c>
      <c r="B410" s="1938" t="e">
        <v>#N/A</v>
      </c>
      <c r="C410" s="839" t="e">
        <v>#N/A</v>
      </c>
      <c r="D410" s="1668" t="e">
        <v>#N/A</v>
      </c>
      <c r="E410" s="2839" t="e">
        <v>#N/A</v>
      </c>
      <c r="F410" s="839" t="e">
        <v>#N/A</v>
      </c>
      <c r="G410" s="2839" t="e">
        <v>#N/A</v>
      </c>
      <c r="H410" s="839" t="e">
        <v>#N/A</v>
      </c>
      <c r="I410" s="2839" t="e">
        <v>#N/A</v>
      </c>
      <c r="J410" s="839" t="e">
        <v>#N/A</v>
      </c>
      <c r="K410" s="2839" t="e">
        <v>#N/A</v>
      </c>
      <c r="L410" s="839" t="e">
        <v>#N/A</v>
      </c>
      <c r="M410" s="2029" t="e">
        <v>#N/A</v>
      </c>
      <c r="N410" s="1668" t="e">
        <v>#N/A</v>
      </c>
      <c r="O410" s="2839" t="e">
        <v>#N/A</v>
      </c>
      <c r="P410" s="2839" t="e">
        <v>#N/A</v>
      </c>
      <c r="Q410" s="2032" t="e">
        <v>#N/A</v>
      </c>
    </row>
    <row r="411" spans="1:17">
      <c r="A411" s="63">
        <f t="shared" si="4"/>
        <v>2026.06</v>
      </c>
      <c r="B411" s="1938" t="e">
        <v>#N/A</v>
      </c>
      <c r="C411" s="839" t="e">
        <v>#N/A</v>
      </c>
      <c r="D411" s="1668" t="e">
        <v>#N/A</v>
      </c>
      <c r="E411" s="2839" t="e">
        <v>#N/A</v>
      </c>
      <c r="F411" s="839" t="e">
        <v>#N/A</v>
      </c>
      <c r="G411" s="2839" t="e">
        <v>#N/A</v>
      </c>
      <c r="H411" s="839" t="e">
        <v>#N/A</v>
      </c>
      <c r="I411" s="2839" t="e">
        <v>#N/A</v>
      </c>
      <c r="J411" s="839" t="e">
        <v>#N/A</v>
      </c>
      <c r="K411" s="2839" t="e">
        <v>#N/A</v>
      </c>
      <c r="L411" s="839" t="e">
        <v>#N/A</v>
      </c>
      <c r="M411" s="2029" t="e">
        <v>#N/A</v>
      </c>
      <c r="N411" s="1668" t="e">
        <v>#N/A</v>
      </c>
      <c r="O411" s="2839" t="e">
        <v>#N/A</v>
      </c>
      <c r="P411" s="2839" t="e">
        <v>#N/A</v>
      </c>
      <c r="Q411" s="2032" t="e">
        <v>#N/A</v>
      </c>
    </row>
    <row r="412" spans="1:17">
      <c r="A412" s="63">
        <f t="shared" si="4"/>
        <v>2026.07</v>
      </c>
      <c r="B412" s="1938" t="e">
        <v>#N/A</v>
      </c>
      <c r="C412" s="839" t="e">
        <v>#N/A</v>
      </c>
      <c r="D412" s="1668" t="e">
        <v>#N/A</v>
      </c>
      <c r="E412" s="2839" t="e">
        <v>#N/A</v>
      </c>
      <c r="F412" s="839" t="e">
        <v>#N/A</v>
      </c>
      <c r="G412" s="2839" t="e">
        <v>#N/A</v>
      </c>
      <c r="H412" s="839" t="e">
        <v>#N/A</v>
      </c>
      <c r="I412" s="2839" t="e">
        <v>#N/A</v>
      </c>
      <c r="J412" s="839" t="e">
        <v>#N/A</v>
      </c>
      <c r="K412" s="2839" t="e">
        <v>#N/A</v>
      </c>
      <c r="L412" s="839" t="e">
        <v>#N/A</v>
      </c>
      <c r="M412" s="2029" t="e">
        <v>#N/A</v>
      </c>
      <c r="N412" s="1668" t="e">
        <v>#N/A</v>
      </c>
      <c r="O412" s="2839" t="e">
        <v>#N/A</v>
      </c>
      <c r="P412" s="2839" t="e">
        <v>#N/A</v>
      </c>
      <c r="Q412" s="2032" t="e">
        <v>#N/A</v>
      </c>
    </row>
    <row r="413" spans="1:17">
      <c r="A413" s="63">
        <f t="shared" si="4"/>
        <v>2026.08</v>
      </c>
      <c r="B413" s="1938" t="e">
        <v>#N/A</v>
      </c>
      <c r="C413" s="839" t="e">
        <v>#N/A</v>
      </c>
      <c r="D413" s="1668" t="e">
        <v>#N/A</v>
      </c>
      <c r="E413" s="2839" t="e">
        <v>#N/A</v>
      </c>
      <c r="F413" s="839" t="e">
        <v>#N/A</v>
      </c>
      <c r="G413" s="2839" t="e">
        <v>#N/A</v>
      </c>
      <c r="H413" s="839" t="e">
        <v>#N/A</v>
      </c>
      <c r="I413" s="2839" t="e">
        <v>#N/A</v>
      </c>
      <c r="J413" s="839" t="e">
        <v>#N/A</v>
      </c>
      <c r="K413" s="2839" t="e">
        <v>#N/A</v>
      </c>
      <c r="L413" s="839" t="e">
        <v>#N/A</v>
      </c>
      <c r="M413" s="2029" t="e">
        <v>#N/A</v>
      </c>
      <c r="N413" s="1668" t="e">
        <v>#N/A</v>
      </c>
      <c r="O413" s="2839" t="e">
        <v>#N/A</v>
      </c>
      <c r="P413" s="2839" t="e">
        <v>#N/A</v>
      </c>
      <c r="Q413" s="2032" t="e">
        <v>#N/A</v>
      </c>
    </row>
    <row r="414" spans="1:17">
      <c r="A414" s="63">
        <f t="shared" si="4"/>
        <v>2026.09</v>
      </c>
      <c r="B414" s="1938" t="e">
        <v>#N/A</v>
      </c>
      <c r="C414" s="839" t="e">
        <v>#N/A</v>
      </c>
      <c r="D414" s="1668" t="e">
        <v>#N/A</v>
      </c>
      <c r="E414" s="2839" t="e">
        <v>#N/A</v>
      </c>
      <c r="F414" s="839" t="e">
        <v>#N/A</v>
      </c>
      <c r="G414" s="2839" t="e">
        <v>#N/A</v>
      </c>
      <c r="H414" s="839" t="e">
        <v>#N/A</v>
      </c>
      <c r="I414" s="2839" t="e">
        <v>#N/A</v>
      </c>
      <c r="J414" s="839" t="e">
        <v>#N/A</v>
      </c>
      <c r="K414" s="2839" t="e">
        <v>#N/A</v>
      </c>
      <c r="L414" s="839" t="e">
        <v>#N/A</v>
      </c>
      <c r="M414" s="2029" t="e">
        <v>#N/A</v>
      </c>
      <c r="N414" s="1668" t="e">
        <v>#N/A</v>
      </c>
      <c r="O414" s="2839" t="e">
        <v>#N/A</v>
      </c>
      <c r="P414" s="2839" t="e">
        <v>#N/A</v>
      </c>
      <c r="Q414" s="2032" t="e">
        <v>#N/A</v>
      </c>
    </row>
    <row r="415" spans="1:17">
      <c r="A415" s="63">
        <f t="shared" si="4"/>
        <v>2026.1</v>
      </c>
      <c r="B415" s="1938" t="e">
        <v>#N/A</v>
      </c>
      <c r="C415" s="839" t="e">
        <v>#N/A</v>
      </c>
      <c r="D415" s="1668" t="e">
        <v>#N/A</v>
      </c>
      <c r="E415" s="2839" t="e">
        <v>#N/A</v>
      </c>
      <c r="F415" s="839" t="e">
        <v>#N/A</v>
      </c>
      <c r="G415" s="2839" t="e">
        <v>#N/A</v>
      </c>
      <c r="H415" s="839" t="e">
        <v>#N/A</v>
      </c>
      <c r="I415" s="2839" t="e">
        <v>#N/A</v>
      </c>
      <c r="J415" s="839" t="e">
        <v>#N/A</v>
      </c>
      <c r="K415" s="2839" t="e">
        <v>#N/A</v>
      </c>
      <c r="L415" s="839" t="e">
        <v>#N/A</v>
      </c>
      <c r="M415" s="2029" t="e">
        <v>#N/A</v>
      </c>
      <c r="N415" s="1668" t="e">
        <v>#N/A</v>
      </c>
      <c r="O415" s="2839" t="e">
        <v>#N/A</v>
      </c>
      <c r="P415" s="2839" t="e">
        <v>#N/A</v>
      </c>
      <c r="Q415" s="2032" t="e">
        <v>#N/A</v>
      </c>
    </row>
    <row r="416" spans="1:17">
      <c r="A416" s="63">
        <f t="shared" si="4"/>
        <v>2026.11</v>
      </c>
      <c r="B416" s="1938" t="e">
        <v>#N/A</v>
      </c>
      <c r="C416" s="839" t="e">
        <v>#N/A</v>
      </c>
      <c r="D416" s="1668" t="e">
        <v>#N/A</v>
      </c>
      <c r="E416" s="2839" t="e">
        <v>#N/A</v>
      </c>
      <c r="F416" s="839" t="e">
        <v>#N/A</v>
      </c>
      <c r="G416" s="2839" t="e">
        <v>#N/A</v>
      </c>
      <c r="H416" s="839" t="e">
        <v>#N/A</v>
      </c>
      <c r="I416" s="2839" t="e">
        <v>#N/A</v>
      </c>
      <c r="J416" s="839" t="e">
        <v>#N/A</v>
      </c>
      <c r="K416" s="2839" t="e">
        <v>#N/A</v>
      </c>
      <c r="L416" s="839" t="e">
        <v>#N/A</v>
      </c>
      <c r="M416" s="2029" t="e">
        <v>#N/A</v>
      </c>
      <c r="N416" s="1668" t="e">
        <v>#N/A</v>
      </c>
      <c r="O416" s="2839" t="e">
        <v>#N/A</v>
      </c>
      <c r="P416" s="2839" t="e">
        <v>#N/A</v>
      </c>
      <c r="Q416" s="2032" t="e">
        <v>#N/A</v>
      </c>
    </row>
    <row r="417" spans="1:17">
      <c r="A417" s="63">
        <f t="shared" si="4"/>
        <v>2026.12</v>
      </c>
      <c r="B417" s="1938" t="e">
        <v>#N/A</v>
      </c>
      <c r="C417" s="839" t="e">
        <v>#N/A</v>
      </c>
      <c r="D417" s="1668" t="e">
        <v>#N/A</v>
      </c>
      <c r="E417" s="2839" t="e">
        <v>#N/A</v>
      </c>
      <c r="F417" s="839" t="e">
        <v>#N/A</v>
      </c>
      <c r="G417" s="2839" t="e">
        <v>#N/A</v>
      </c>
      <c r="H417" s="839" t="e">
        <v>#N/A</v>
      </c>
      <c r="I417" s="2839" t="e">
        <v>#N/A</v>
      </c>
      <c r="J417" s="839" t="e">
        <v>#N/A</v>
      </c>
      <c r="K417" s="2839" t="e">
        <v>#N/A</v>
      </c>
      <c r="L417" s="839" t="e">
        <v>#N/A</v>
      </c>
      <c r="M417" s="2029" t="e">
        <v>#N/A</v>
      </c>
      <c r="N417" s="1668" t="e">
        <v>#N/A</v>
      </c>
      <c r="O417" s="2839" t="e">
        <v>#N/A</v>
      </c>
      <c r="P417" s="2839" t="e">
        <v>#N/A</v>
      </c>
      <c r="Q417" s="2032" t="e">
        <v>#N/A</v>
      </c>
    </row>
    <row r="418" spans="1:17">
      <c r="A418" s="63">
        <f t="shared" si="4"/>
        <v>2027.01</v>
      </c>
      <c r="B418" s="1938" t="e">
        <v>#N/A</v>
      </c>
      <c r="C418" s="839" t="e">
        <v>#N/A</v>
      </c>
      <c r="D418" s="1668" t="e">
        <v>#N/A</v>
      </c>
      <c r="E418" s="2839" t="e">
        <v>#N/A</v>
      </c>
      <c r="F418" s="839" t="e">
        <v>#N/A</v>
      </c>
      <c r="G418" s="2839" t="e">
        <v>#N/A</v>
      </c>
      <c r="H418" s="839" t="e">
        <v>#N/A</v>
      </c>
      <c r="I418" s="2839" t="e">
        <v>#N/A</v>
      </c>
      <c r="J418" s="839" t="e">
        <v>#N/A</v>
      </c>
      <c r="K418" s="2839" t="e">
        <v>#N/A</v>
      </c>
      <c r="L418" s="839" t="e">
        <v>#N/A</v>
      </c>
      <c r="M418" s="2029" t="e">
        <v>#N/A</v>
      </c>
      <c r="N418" s="1668" t="e">
        <v>#N/A</v>
      </c>
      <c r="O418" s="2839" t="e">
        <v>#N/A</v>
      </c>
      <c r="P418" s="2839" t="e">
        <v>#N/A</v>
      </c>
      <c r="Q418" s="2032" t="e">
        <v>#N/A</v>
      </c>
    </row>
    <row r="419" spans="1:17">
      <c r="A419" s="63">
        <f t="shared" si="4"/>
        <v>2027.02</v>
      </c>
      <c r="B419" s="1938" t="e">
        <v>#N/A</v>
      </c>
      <c r="C419" s="839" t="e">
        <v>#N/A</v>
      </c>
      <c r="D419" s="1668" t="e">
        <v>#N/A</v>
      </c>
      <c r="E419" s="2839" t="e">
        <v>#N/A</v>
      </c>
      <c r="F419" s="839" t="e">
        <v>#N/A</v>
      </c>
      <c r="G419" s="2839" t="e">
        <v>#N/A</v>
      </c>
      <c r="H419" s="839" t="e">
        <v>#N/A</v>
      </c>
      <c r="I419" s="2839" t="e">
        <v>#N/A</v>
      </c>
      <c r="J419" s="839" t="e">
        <v>#N/A</v>
      </c>
      <c r="K419" s="2839" t="e">
        <v>#N/A</v>
      </c>
      <c r="L419" s="839" t="e">
        <v>#N/A</v>
      </c>
      <c r="M419" s="2029" t="e">
        <v>#N/A</v>
      </c>
      <c r="N419" s="1668" t="e">
        <v>#N/A</v>
      </c>
      <c r="O419" s="2839" t="e">
        <v>#N/A</v>
      </c>
      <c r="P419" s="2839" t="e">
        <v>#N/A</v>
      </c>
      <c r="Q419" s="2032" t="e">
        <v>#N/A</v>
      </c>
    </row>
    <row r="420" spans="1:17">
      <c r="A420" s="63">
        <f t="shared" si="4"/>
        <v>2027.03</v>
      </c>
      <c r="B420" s="1938" t="e">
        <v>#N/A</v>
      </c>
      <c r="C420" s="839" t="e">
        <v>#N/A</v>
      </c>
      <c r="D420" s="1668" t="e">
        <v>#N/A</v>
      </c>
      <c r="E420" s="2839" t="e">
        <v>#N/A</v>
      </c>
      <c r="F420" s="839" t="e">
        <v>#N/A</v>
      </c>
      <c r="G420" s="2839" t="e">
        <v>#N/A</v>
      </c>
      <c r="H420" s="839" t="e">
        <v>#N/A</v>
      </c>
      <c r="I420" s="2839" t="e">
        <v>#N/A</v>
      </c>
      <c r="J420" s="839" t="e">
        <v>#N/A</v>
      </c>
      <c r="K420" s="2839" t="e">
        <v>#N/A</v>
      </c>
      <c r="L420" s="839" t="e">
        <v>#N/A</v>
      </c>
      <c r="M420" s="2029" t="e">
        <v>#N/A</v>
      </c>
      <c r="N420" s="1668" t="e">
        <v>#N/A</v>
      </c>
      <c r="O420" s="2839" t="e">
        <v>#N/A</v>
      </c>
      <c r="P420" s="2839" t="e">
        <v>#N/A</v>
      </c>
      <c r="Q420" s="2032" t="e">
        <v>#N/A</v>
      </c>
    </row>
    <row r="421" spans="1:17">
      <c r="A421" s="63">
        <f t="shared" si="4"/>
        <v>2027.04</v>
      </c>
      <c r="B421" s="1938" t="e">
        <v>#N/A</v>
      </c>
      <c r="C421" s="839" t="e">
        <v>#N/A</v>
      </c>
      <c r="D421" s="1668" t="e">
        <v>#N/A</v>
      </c>
      <c r="E421" s="2839" t="e">
        <v>#N/A</v>
      </c>
      <c r="F421" s="839" t="e">
        <v>#N/A</v>
      </c>
      <c r="G421" s="2839" t="e">
        <v>#N/A</v>
      </c>
      <c r="H421" s="839" t="e">
        <v>#N/A</v>
      </c>
      <c r="I421" s="2839" t="e">
        <v>#N/A</v>
      </c>
      <c r="J421" s="839" t="e">
        <v>#N/A</v>
      </c>
      <c r="K421" s="2839" t="e">
        <v>#N/A</v>
      </c>
      <c r="L421" s="839" t="e">
        <v>#N/A</v>
      </c>
      <c r="M421" s="2029" t="e">
        <v>#N/A</v>
      </c>
      <c r="N421" s="1668" t="e">
        <v>#N/A</v>
      </c>
      <c r="O421" s="2839" t="e">
        <v>#N/A</v>
      </c>
      <c r="P421" s="2839" t="e">
        <v>#N/A</v>
      </c>
      <c r="Q421" s="2032" t="e">
        <v>#N/A</v>
      </c>
    </row>
    <row r="422" spans="1:17">
      <c r="A422" s="63">
        <f t="shared" si="4"/>
        <v>2027.05</v>
      </c>
      <c r="B422" s="1938" t="e">
        <v>#N/A</v>
      </c>
      <c r="C422" s="839" t="e">
        <v>#N/A</v>
      </c>
      <c r="D422" s="1668" t="e">
        <v>#N/A</v>
      </c>
      <c r="E422" s="2839" t="e">
        <v>#N/A</v>
      </c>
      <c r="F422" s="839" t="e">
        <v>#N/A</v>
      </c>
      <c r="G422" s="2839" t="e">
        <v>#N/A</v>
      </c>
      <c r="H422" s="839" t="e">
        <v>#N/A</v>
      </c>
      <c r="I422" s="2839" t="e">
        <v>#N/A</v>
      </c>
      <c r="J422" s="839" t="e">
        <v>#N/A</v>
      </c>
      <c r="K422" s="2839" t="e">
        <v>#N/A</v>
      </c>
      <c r="L422" s="839" t="e">
        <v>#N/A</v>
      </c>
      <c r="M422" s="2029" t="e">
        <v>#N/A</v>
      </c>
      <c r="N422" s="1668" t="e">
        <v>#N/A</v>
      </c>
      <c r="O422" s="2839" t="e">
        <v>#N/A</v>
      </c>
      <c r="P422" s="2839" t="e">
        <v>#N/A</v>
      </c>
      <c r="Q422" s="2032" t="e">
        <v>#N/A</v>
      </c>
    </row>
    <row r="423" spans="1:17">
      <c r="A423" s="63">
        <f t="shared" si="4"/>
        <v>2027.06</v>
      </c>
      <c r="B423" s="1938" t="e">
        <v>#N/A</v>
      </c>
      <c r="C423" s="839" t="e">
        <v>#N/A</v>
      </c>
      <c r="D423" s="1668" t="e">
        <v>#N/A</v>
      </c>
      <c r="E423" s="2839" t="e">
        <v>#N/A</v>
      </c>
      <c r="F423" s="839" t="e">
        <v>#N/A</v>
      </c>
      <c r="G423" s="2839" t="e">
        <v>#N/A</v>
      </c>
      <c r="H423" s="839" t="e">
        <v>#N/A</v>
      </c>
      <c r="I423" s="2839" t="e">
        <v>#N/A</v>
      </c>
      <c r="J423" s="839" t="e">
        <v>#N/A</v>
      </c>
      <c r="K423" s="2839" t="e">
        <v>#N/A</v>
      </c>
      <c r="L423" s="839" t="e">
        <v>#N/A</v>
      </c>
      <c r="M423" s="2029" t="e">
        <v>#N/A</v>
      </c>
      <c r="N423" s="1668" t="e">
        <v>#N/A</v>
      </c>
      <c r="O423" s="2839" t="e">
        <v>#N/A</v>
      </c>
      <c r="P423" s="2839" t="e">
        <v>#N/A</v>
      </c>
      <c r="Q423" s="2032" t="e">
        <v>#N/A</v>
      </c>
    </row>
    <row r="424" spans="1:17">
      <c r="A424" s="63">
        <f t="shared" si="4"/>
        <v>2027.07</v>
      </c>
      <c r="B424" s="1938" t="e">
        <v>#N/A</v>
      </c>
      <c r="C424" s="839" t="e">
        <v>#N/A</v>
      </c>
      <c r="D424" s="1668" t="e">
        <v>#N/A</v>
      </c>
      <c r="E424" s="2839" t="e">
        <v>#N/A</v>
      </c>
      <c r="F424" s="839" t="e">
        <v>#N/A</v>
      </c>
      <c r="G424" s="2839" t="e">
        <v>#N/A</v>
      </c>
      <c r="H424" s="839" t="e">
        <v>#N/A</v>
      </c>
      <c r="I424" s="2839" t="e">
        <v>#N/A</v>
      </c>
      <c r="J424" s="839" t="e">
        <v>#N/A</v>
      </c>
      <c r="K424" s="2839" t="e">
        <v>#N/A</v>
      </c>
      <c r="L424" s="839" t="e">
        <v>#N/A</v>
      </c>
      <c r="M424" s="2029" t="e">
        <v>#N/A</v>
      </c>
      <c r="N424" s="1668" t="e">
        <v>#N/A</v>
      </c>
      <c r="O424" s="2839" t="e">
        <v>#N/A</v>
      </c>
      <c r="P424" s="2839" t="e">
        <v>#N/A</v>
      </c>
      <c r="Q424" s="2032" t="e">
        <v>#N/A</v>
      </c>
    </row>
    <row r="425" spans="1:17">
      <c r="A425" s="63">
        <f t="shared" si="4"/>
        <v>2027.08</v>
      </c>
      <c r="B425" s="1938" t="e">
        <v>#N/A</v>
      </c>
      <c r="C425" s="839" t="e">
        <v>#N/A</v>
      </c>
      <c r="D425" s="1668" t="e">
        <v>#N/A</v>
      </c>
      <c r="E425" s="2839" t="e">
        <v>#N/A</v>
      </c>
      <c r="F425" s="839" t="e">
        <v>#N/A</v>
      </c>
      <c r="G425" s="2839" t="e">
        <v>#N/A</v>
      </c>
      <c r="H425" s="839" t="e">
        <v>#N/A</v>
      </c>
      <c r="I425" s="2839" t="e">
        <v>#N/A</v>
      </c>
      <c r="J425" s="839" t="e">
        <v>#N/A</v>
      </c>
      <c r="K425" s="2839" t="e">
        <v>#N/A</v>
      </c>
      <c r="L425" s="839" t="e">
        <v>#N/A</v>
      </c>
      <c r="M425" s="2029" t="e">
        <v>#N/A</v>
      </c>
      <c r="N425" s="1668" t="e">
        <v>#N/A</v>
      </c>
      <c r="O425" s="2839" t="e">
        <v>#N/A</v>
      </c>
      <c r="P425" s="2839" t="e">
        <v>#N/A</v>
      </c>
      <c r="Q425" s="2032" t="e">
        <v>#N/A</v>
      </c>
    </row>
    <row r="426" spans="1:17">
      <c r="A426" s="63">
        <f t="shared" si="4"/>
        <v>2027.09</v>
      </c>
      <c r="B426" s="1938" t="e">
        <v>#N/A</v>
      </c>
      <c r="C426" s="839" t="e">
        <v>#N/A</v>
      </c>
      <c r="D426" s="1668" t="e">
        <v>#N/A</v>
      </c>
      <c r="E426" s="2839" t="e">
        <v>#N/A</v>
      </c>
      <c r="F426" s="839" t="e">
        <v>#N/A</v>
      </c>
      <c r="G426" s="2839" t="e">
        <v>#N/A</v>
      </c>
      <c r="H426" s="839" t="e">
        <v>#N/A</v>
      </c>
      <c r="I426" s="2839" t="e">
        <v>#N/A</v>
      </c>
      <c r="J426" s="839" t="e">
        <v>#N/A</v>
      </c>
      <c r="K426" s="2839" t="e">
        <v>#N/A</v>
      </c>
      <c r="L426" s="839" t="e">
        <v>#N/A</v>
      </c>
      <c r="M426" s="2029" t="e">
        <v>#N/A</v>
      </c>
      <c r="N426" s="1668" t="e">
        <v>#N/A</v>
      </c>
      <c r="O426" s="2839" t="e">
        <v>#N/A</v>
      </c>
      <c r="P426" s="2839" t="e">
        <v>#N/A</v>
      </c>
      <c r="Q426" s="2032" t="e">
        <v>#N/A</v>
      </c>
    </row>
    <row r="427" spans="1:17">
      <c r="A427" s="63">
        <f t="shared" si="4"/>
        <v>2027.1</v>
      </c>
      <c r="B427" s="1938" t="e">
        <v>#N/A</v>
      </c>
      <c r="C427" s="839" t="e">
        <v>#N/A</v>
      </c>
      <c r="D427" s="1668" t="e">
        <v>#N/A</v>
      </c>
      <c r="E427" s="2839" t="e">
        <v>#N/A</v>
      </c>
      <c r="F427" s="839" t="e">
        <v>#N/A</v>
      </c>
      <c r="G427" s="2839" t="e">
        <v>#N/A</v>
      </c>
      <c r="H427" s="839" t="e">
        <v>#N/A</v>
      </c>
      <c r="I427" s="2839" t="e">
        <v>#N/A</v>
      </c>
      <c r="J427" s="839" t="e">
        <v>#N/A</v>
      </c>
      <c r="K427" s="2839" t="e">
        <v>#N/A</v>
      </c>
      <c r="L427" s="839" t="e">
        <v>#N/A</v>
      </c>
      <c r="M427" s="2029" t="e">
        <v>#N/A</v>
      </c>
      <c r="N427" s="1668" t="e">
        <v>#N/A</v>
      </c>
      <c r="O427" s="2839" t="e">
        <v>#N/A</v>
      </c>
      <c r="P427" s="2839" t="e">
        <v>#N/A</v>
      </c>
      <c r="Q427" s="2032" t="e">
        <v>#N/A</v>
      </c>
    </row>
    <row r="428" spans="1:17">
      <c r="A428" s="63">
        <f t="shared" si="4"/>
        <v>2027.11</v>
      </c>
      <c r="B428" s="1938" t="e">
        <v>#N/A</v>
      </c>
      <c r="C428" s="839" t="e">
        <v>#N/A</v>
      </c>
      <c r="D428" s="1668" t="e">
        <v>#N/A</v>
      </c>
      <c r="E428" s="2839" t="e">
        <v>#N/A</v>
      </c>
      <c r="F428" s="839" t="e">
        <v>#N/A</v>
      </c>
      <c r="G428" s="2839" t="e">
        <v>#N/A</v>
      </c>
      <c r="H428" s="839" t="e">
        <v>#N/A</v>
      </c>
      <c r="I428" s="2839" t="e">
        <v>#N/A</v>
      </c>
      <c r="J428" s="839" t="e">
        <v>#N/A</v>
      </c>
      <c r="K428" s="2839" t="e">
        <v>#N/A</v>
      </c>
      <c r="L428" s="839" t="e">
        <v>#N/A</v>
      </c>
      <c r="M428" s="2029" t="e">
        <v>#N/A</v>
      </c>
      <c r="N428" s="1668" t="e">
        <v>#N/A</v>
      </c>
      <c r="O428" s="2839" t="e">
        <v>#N/A</v>
      </c>
      <c r="P428" s="2839" t="e">
        <v>#N/A</v>
      </c>
      <c r="Q428" s="2032" t="e">
        <v>#N/A</v>
      </c>
    </row>
    <row r="429" spans="1:17">
      <c r="A429" s="63">
        <f t="shared" si="4"/>
        <v>2027.12</v>
      </c>
      <c r="B429" s="1938" t="e">
        <v>#N/A</v>
      </c>
      <c r="C429" s="839" t="e">
        <v>#N/A</v>
      </c>
      <c r="D429" s="1668" t="e">
        <v>#N/A</v>
      </c>
      <c r="E429" s="2839" t="e">
        <v>#N/A</v>
      </c>
      <c r="F429" s="839" t="e">
        <v>#N/A</v>
      </c>
      <c r="G429" s="2839" t="e">
        <v>#N/A</v>
      </c>
      <c r="H429" s="839" t="e">
        <v>#N/A</v>
      </c>
      <c r="I429" s="2839" t="e">
        <v>#N/A</v>
      </c>
      <c r="J429" s="839" t="e">
        <v>#N/A</v>
      </c>
      <c r="K429" s="2839" t="e">
        <v>#N/A</v>
      </c>
      <c r="L429" s="839" t="e">
        <v>#N/A</v>
      </c>
      <c r="M429" s="2029" t="e">
        <v>#N/A</v>
      </c>
      <c r="N429" s="1668" t="e">
        <v>#N/A</v>
      </c>
      <c r="O429" s="2839" t="e">
        <v>#N/A</v>
      </c>
      <c r="P429" s="2839" t="e">
        <v>#N/A</v>
      </c>
      <c r="Q429" s="2032" t="e">
        <v>#N/A</v>
      </c>
    </row>
    <row r="430" spans="1:17">
      <c r="A430" s="63">
        <f t="shared" si="4"/>
        <v>2028.01</v>
      </c>
      <c r="B430" s="1938" t="e">
        <v>#N/A</v>
      </c>
      <c r="C430" s="839" t="e">
        <v>#N/A</v>
      </c>
      <c r="D430" s="1668" t="e">
        <v>#N/A</v>
      </c>
      <c r="E430" s="2839" t="e">
        <v>#N/A</v>
      </c>
      <c r="F430" s="839" t="e">
        <v>#N/A</v>
      </c>
      <c r="G430" s="2839" t="e">
        <v>#N/A</v>
      </c>
      <c r="H430" s="839" t="e">
        <v>#N/A</v>
      </c>
      <c r="I430" s="2839" t="e">
        <v>#N/A</v>
      </c>
      <c r="J430" s="839" t="e">
        <v>#N/A</v>
      </c>
      <c r="K430" s="2839" t="e">
        <v>#N/A</v>
      </c>
      <c r="L430" s="839" t="e">
        <v>#N/A</v>
      </c>
      <c r="M430" s="2029" t="e">
        <v>#N/A</v>
      </c>
      <c r="N430" s="1668" t="e">
        <v>#N/A</v>
      </c>
      <c r="O430" s="2839" t="e">
        <v>#N/A</v>
      </c>
      <c r="P430" s="2839" t="e">
        <v>#N/A</v>
      </c>
      <c r="Q430" s="2032" t="e">
        <v>#N/A</v>
      </c>
    </row>
    <row r="431" spans="1:17">
      <c r="A431" s="63">
        <f t="shared" si="4"/>
        <v>2028.02</v>
      </c>
      <c r="B431" s="1938" t="e">
        <v>#N/A</v>
      </c>
      <c r="C431" s="839" t="e">
        <v>#N/A</v>
      </c>
      <c r="D431" s="1668" t="e">
        <v>#N/A</v>
      </c>
      <c r="E431" s="2839" t="e">
        <v>#N/A</v>
      </c>
      <c r="F431" s="839" t="e">
        <v>#N/A</v>
      </c>
      <c r="G431" s="2839" t="e">
        <v>#N/A</v>
      </c>
      <c r="H431" s="839" t="e">
        <v>#N/A</v>
      </c>
      <c r="I431" s="2839" t="e">
        <v>#N/A</v>
      </c>
      <c r="J431" s="839" t="e">
        <v>#N/A</v>
      </c>
      <c r="K431" s="2839" t="e">
        <v>#N/A</v>
      </c>
      <c r="L431" s="839" t="e">
        <v>#N/A</v>
      </c>
      <c r="M431" s="2029" t="e">
        <v>#N/A</v>
      </c>
      <c r="N431" s="1668" t="e">
        <v>#N/A</v>
      </c>
      <c r="O431" s="2839" t="e">
        <v>#N/A</v>
      </c>
      <c r="P431" s="2839" t="e">
        <v>#N/A</v>
      </c>
      <c r="Q431" s="2032" t="e">
        <v>#N/A</v>
      </c>
    </row>
    <row r="432" spans="1:17">
      <c r="A432" s="63">
        <f t="shared" si="4"/>
        <v>2028.03</v>
      </c>
      <c r="B432" s="1938" t="e">
        <v>#N/A</v>
      </c>
      <c r="C432" s="839" t="e">
        <v>#N/A</v>
      </c>
      <c r="D432" s="1668" t="e">
        <v>#N/A</v>
      </c>
      <c r="E432" s="2839" t="e">
        <v>#N/A</v>
      </c>
      <c r="F432" s="839" t="e">
        <v>#N/A</v>
      </c>
      <c r="G432" s="2839" t="e">
        <v>#N/A</v>
      </c>
      <c r="H432" s="839" t="e">
        <v>#N/A</v>
      </c>
      <c r="I432" s="2839" t="e">
        <v>#N/A</v>
      </c>
      <c r="J432" s="839" t="e">
        <v>#N/A</v>
      </c>
      <c r="K432" s="2839" t="e">
        <v>#N/A</v>
      </c>
      <c r="L432" s="839" t="e">
        <v>#N/A</v>
      </c>
      <c r="M432" s="2029" t="e">
        <v>#N/A</v>
      </c>
      <c r="N432" s="1668" t="e">
        <v>#N/A</v>
      </c>
      <c r="O432" s="2839" t="e">
        <v>#N/A</v>
      </c>
      <c r="P432" s="2839" t="e">
        <v>#N/A</v>
      </c>
      <c r="Q432" s="2032" t="e">
        <v>#N/A</v>
      </c>
    </row>
    <row r="433" spans="1:17">
      <c r="A433" s="63">
        <f t="shared" si="4"/>
        <v>2028.04</v>
      </c>
      <c r="B433" s="1938" t="e">
        <v>#N/A</v>
      </c>
      <c r="C433" s="839" t="e">
        <v>#N/A</v>
      </c>
      <c r="D433" s="1668" t="e">
        <v>#N/A</v>
      </c>
      <c r="E433" s="2839" t="e">
        <v>#N/A</v>
      </c>
      <c r="F433" s="839" t="e">
        <v>#N/A</v>
      </c>
      <c r="G433" s="2839" t="e">
        <v>#N/A</v>
      </c>
      <c r="H433" s="839" t="e">
        <v>#N/A</v>
      </c>
      <c r="I433" s="2839" t="e">
        <v>#N/A</v>
      </c>
      <c r="J433" s="839" t="e">
        <v>#N/A</v>
      </c>
      <c r="K433" s="2839" t="e">
        <v>#N/A</v>
      </c>
      <c r="L433" s="839" t="e">
        <v>#N/A</v>
      </c>
      <c r="M433" s="2029" t="e">
        <v>#N/A</v>
      </c>
      <c r="N433" s="1668" t="e">
        <v>#N/A</v>
      </c>
      <c r="O433" s="2839" t="e">
        <v>#N/A</v>
      </c>
      <c r="P433" s="2839" t="e">
        <v>#N/A</v>
      </c>
      <c r="Q433" s="2032" t="e">
        <v>#N/A</v>
      </c>
    </row>
    <row r="434" spans="1:17">
      <c r="A434" s="63">
        <f t="shared" si="4"/>
        <v>2028.05</v>
      </c>
      <c r="B434" s="1938" t="e">
        <v>#N/A</v>
      </c>
      <c r="C434" s="839" t="e">
        <v>#N/A</v>
      </c>
      <c r="D434" s="1668" t="e">
        <v>#N/A</v>
      </c>
      <c r="E434" s="2839" t="e">
        <v>#N/A</v>
      </c>
      <c r="F434" s="839" t="e">
        <v>#N/A</v>
      </c>
      <c r="G434" s="2839" t="e">
        <v>#N/A</v>
      </c>
      <c r="H434" s="839" t="e">
        <v>#N/A</v>
      </c>
      <c r="I434" s="2839" t="e">
        <v>#N/A</v>
      </c>
      <c r="J434" s="839" t="e">
        <v>#N/A</v>
      </c>
      <c r="K434" s="2839" t="e">
        <v>#N/A</v>
      </c>
      <c r="L434" s="839" t="e">
        <v>#N/A</v>
      </c>
      <c r="M434" s="2029" t="e">
        <v>#N/A</v>
      </c>
      <c r="N434" s="1668" t="e">
        <v>#N/A</v>
      </c>
      <c r="O434" s="2839" t="e">
        <v>#N/A</v>
      </c>
      <c r="P434" s="2839" t="e">
        <v>#N/A</v>
      </c>
      <c r="Q434" s="2032" t="e">
        <v>#N/A</v>
      </c>
    </row>
    <row r="435" spans="1:17">
      <c r="A435" s="63">
        <f t="shared" si="4"/>
        <v>2028.06</v>
      </c>
      <c r="B435" s="1938" t="e">
        <v>#N/A</v>
      </c>
      <c r="C435" s="839" t="e">
        <v>#N/A</v>
      </c>
      <c r="D435" s="1668" t="e">
        <v>#N/A</v>
      </c>
      <c r="E435" s="2839" t="e">
        <v>#N/A</v>
      </c>
      <c r="F435" s="839" t="e">
        <v>#N/A</v>
      </c>
      <c r="G435" s="2839" t="e">
        <v>#N/A</v>
      </c>
      <c r="H435" s="839" t="e">
        <v>#N/A</v>
      </c>
      <c r="I435" s="2839" t="e">
        <v>#N/A</v>
      </c>
      <c r="J435" s="839" t="e">
        <v>#N/A</v>
      </c>
      <c r="K435" s="2839" t="e">
        <v>#N/A</v>
      </c>
      <c r="L435" s="839" t="e">
        <v>#N/A</v>
      </c>
      <c r="M435" s="2029" t="e">
        <v>#N/A</v>
      </c>
      <c r="N435" s="1668" t="e">
        <v>#N/A</v>
      </c>
      <c r="O435" s="2839" t="e">
        <v>#N/A</v>
      </c>
      <c r="P435" s="2839" t="e">
        <v>#N/A</v>
      </c>
      <c r="Q435" s="2032" t="e">
        <v>#N/A</v>
      </c>
    </row>
    <row r="436" spans="1:17">
      <c r="A436" s="63">
        <f t="shared" si="4"/>
        <v>2028.07</v>
      </c>
      <c r="B436" s="1938" t="e">
        <v>#N/A</v>
      </c>
      <c r="C436" s="839" t="e">
        <v>#N/A</v>
      </c>
      <c r="D436" s="1668" t="e">
        <v>#N/A</v>
      </c>
      <c r="E436" s="2839" t="e">
        <v>#N/A</v>
      </c>
      <c r="F436" s="839" t="e">
        <v>#N/A</v>
      </c>
      <c r="G436" s="2839" t="e">
        <v>#N/A</v>
      </c>
      <c r="H436" s="839" t="e">
        <v>#N/A</v>
      </c>
      <c r="I436" s="2839" t="e">
        <v>#N/A</v>
      </c>
      <c r="J436" s="839" t="e">
        <v>#N/A</v>
      </c>
      <c r="K436" s="2839" t="e">
        <v>#N/A</v>
      </c>
      <c r="L436" s="839" t="e">
        <v>#N/A</v>
      </c>
      <c r="M436" s="2029" t="e">
        <v>#N/A</v>
      </c>
      <c r="N436" s="1668" t="e">
        <v>#N/A</v>
      </c>
      <c r="O436" s="2839" t="e">
        <v>#N/A</v>
      </c>
      <c r="P436" s="2839" t="e">
        <v>#N/A</v>
      </c>
      <c r="Q436" s="2032" t="e">
        <v>#N/A</v>
      </c>
    </row>
    <row r="437" spans="1:17">
      <c r="A437" s="63">
        <f t="shared" si="4"/>
        <v>2028.08</v>
      </c>
      <c r="B437" s="1938" t="e">
        <v>#N/A</v>
      </c>
      <c r="C437" s="839" t="e">
        <v>#N/A</v>
      </c>
      <c r="D437" s="1668" t="e">
        <v>#N/A</v>
      </c>
      <c r="E437" s="2839" t="e">
        <v>#N/A</v>
      </c>
      <c r="F437" s="839" t="e">
        <v>#N/A</v>
      </c>
      <c r="G437" s="2839" t="e">
        <v>#N/A</v>
      </c>
      <c r="H437" s="839" t="e">
        <v>#N/A</v>
      </c>
      <c r="I437" s="2839" t="e">
        <v>#N/A</v>
      </c>
      <c r="J437" s="839" t="e">
        <v>#N/A</v>
      </c>
      <c r="K437" s="2839" t="e">
        <v>#N/A</v>
      </c>
      <c r="L437" s="839" t="e">
        <v>#N/A</v>
      </c>
      <c r="M437" s="2029" t="e">
        <v>#N/A</v>
      </c>
      <c r="N437" s="1668" t="e">
        <v>#N/A</v>
      </c>
      <c r="O437" s="2839" t="e">
        <v>#N/A</v>
      </c>
      <c r="P437" s="2839" t="e">
        <v>#N/A</v>
      </c>
      <c r="Q437" s="2032" t="e">
        <v>#N/A</v>
      </c>
    </row>
    <row r="438" spans="1:17">
      <c r="A438" s="63">
        <f t="shared" si="4"/>
        <v>2028.09</v>
      </c>
      <c r="B438" s="1938" t="e">
        <v>#N/A</v>
      </c>
      <c r="C438" s="839" t="e">
        <v>#N/A</v>
      </c>
      <c r="D438" s="1668" t="e">
        <v>#N/A</v>
      </c>
      <c r="E438" s="2839" t="e">
        <v>#N/A</v>
      </c>
      <c r="F438" s="839" t="e">
        <v>#N/A</v>
      </c>
      <c r="G438" s="2839" t="e">
        <v>#N/A</v>
      </c>
      <c r="H438" s="839" t="e">
        <v>#N/A</v>
      </c>
      <c r="I438" s="2839" t="e">
        <v>#N/A</v>
      </c>
      <c r="J438" s="839" t="e">
        <v>#N/A</v>
      </c>
      <c r="K438" s="2839" t="e">
        <v>#N/A</v>
      </c>
      <c r="L438" s="839" t="e">
        <v>#N/A</v>
      </c>
      <c r="M438" s="2029" t="e">
        <v>#N/A</v>
      </c>
      <c r="N438" s="1668" t="e">
        <v>#N/A</v>
      </c>
      <c r="O438" s="2839" t="e">
        <v>#N/A</v>
      </c>
      <c r="P438" s="2839" t="e">
        <v>#N/A</v>
      </c>
      <c r="Q438" s="2032" t="e">
        <v>#N/A</v>
      </c>
    </row>
    <row r="439" spans="1:17">
      <c r="A439" s="63">
        <f t="shared" si="4"/>
        <v>2028.1</v>
      </c>
      <c r="B439" s="1938" t="e">
        <v>#N/A</v>
      </c>
      <c r="C439" s="839" t="e">
        <v>#N/A</v>
      </c>
      <c r="D439" s="1668" t="e">
        <v>#N/A</v>
      </c>
      <c r="E439" s="2839" t="e">
        <v>#N/A</v>
      </c>
      <c r="F439" s="839" t="e">
        <v>#N/A</v>
      </c>
      <c r="G439" s="2839" t="e">
        <v>#N/A</v>
      </c>
      <c r="H439" s="839" t="e">
        <v>#N/A</v>
      </c>
      <c r="I439" s="2839" t="e">
        <v>#N/A</v>
      </c>
      <c r="J439" s="839" t="e">
        <v>#N/A</v>
      </c>
      <c r="K439" s="2839" t="e">
        <v>#N/A</v>
      </c>
      <c r="L439" s="839" t="e">
        <v>#N/A</v>
      </c>
      <c r="M439" s="2029" t="e">
        <v>#N/A</v>
      </c>
      <c r="N439" s="1668" t="e">
        <v>#N/A</v>
      </c>
      <c r="O439" s="2839" t="e">
        <v>#N/A</v>
      </c>
      <c r="P439" s="2839" t="e">
        <v>#N/A</v>
      </c>
      <c r="Q439" s="2032" t="e">
        <v>#N/A</v>
      </c>
    </row>
    <row r="440" spans="1:17">
      <c r="A440" s="63">
        <f t="shared" si="4"/>
        <v>2028.11</v>
      </c>
      <c r="B440" s="1938" t="e">
        <v>#N/A</v>
      </c>
      <c r="C440" s="839" t="e">
        <v>#N/A</v>
      </c>
      <c r="D440" s="1668" t="e">
        <v>#N/A</v>
      </c>
      <c r="E440" s="2839" t="e">
        <v>#N/A</v>
      </c>
      <c r="F440" s="839" t="e">
        <v>#N/A</v>
      </c>
      <c r="G440" s="2839" t="e">
        <v>#N/A</v>
      </c>
      <c r="H440" s="839" t="e">
        <v>#N/A</v>
      </c>
      <c r="I440" s="2839" t="e">
        <v>#N/A</v>
      </c>
      <c r="J440" s="839" t="e">
        <v>#N/A</v>
      </c>
      <c r="K440" s="2839" t="e">
        <v>#N/A</v>
      </c>
      <c r="L440" s="839" t="e">
        <v>#N/A</v>
      </c>
      <c r="M440" s="2029" t="e">
        <v>#N/A</v>
      </c>
      <c r="N440" s="1668" t="e">
        <v>#N/A</v>
      </c>
      <c r="O440" s="2839" t="e">
        <v>#N/A</v>
      </c>
      <c r="P440" s="2839" t="e">
        <v>#N/A</v>
      </c>
      <c r="Q440" s="2032" t="e">
        <v>#N/A</v>
      </c>
    </row>
    <row r="441" spans="1:17">
      <c r="A441" s="63">
        <f t="shared" si="4"/>
        <v>2028.12</v>
      </c>
      <c r="B441" s="1938" t="e">
        <v>#N/A</v>
      </c>
      <c r="C441" s="839" t="e">
        <v>#N/A</v>
      </c>
      <c r="D441" s="1668" t="e">
        <v>#N/A</v>
      </c>
      <c r="E441" s="2839" t="e">
        <v>#N/A</v>
      </c>
      <c r="F441" s="839" t="e">
        <v>#N/A</v>
      </c>
      <c r="G441" s="2839" t="e">
        <v>#N/A</v>
      </c>
      <c r="H441" s="839" t="e">
        <v>#N/A</v>
      </c>
      <c r="I441" s="2839" t="e">
        <v>#N/A</v>
      </c>
      <c r="J441" s="839" t="e">
        <v>#N/A</v>
      </c>
      <c r="K441" s="2839" t="e">
        <v>#N/A</v>
      </c>
      <c r="L441" s="839" t="e">
        <v>#N/A</v>
      </c>
      <c r="M441" s="2029" t="e">
        <v>#N/A</v>
      </c>
      <c r="N441" s="1668" t="e">
        <v>#N/A</v>
      </c>
      <c r="O441" s="2839" t="e">
        <v>#N/A</v>
      </c>
      <c r="P441" s="2839" t="e">
        <v>#N/A</v>
      </c>
      <c r="Q441" s="2032" t="e">
        <v>#N/A</v>
      </c>
    </row>
    <row r="442" spans="1:17">
      <c r="A442" s="63">
        <f t="shared" si="4"/>
        <v>2029.01</v>
      </c>
      <c r="B442" s="1938" t="e">
        <v>#N/A</v>
      </c>
      <c r="C442" s="839" t="e">
        <v>#N/A</v>
      </c>
      <c r="D442" s="1668" t="e">
        <v>#N/A</v>
      </c>
      <c r="E442" s="2839" t="e">
        <v>#N/A</v>
      </c>
      <c r="F442" s="839" t="e">
        <v>#N/A</v>
      </c>
      <c r="G442" s="2839" t="e">
        <v>#N/A</v>
      </c>
      <c r="H442" s="839" t="e">
        <v>#N/A</v>
      </c>
      <c r="I442" s="2839" t="e">
        <v>#N/A</v>
      </c>
      <c r="J442" s="839" t="e">
        <v>#N/A</v>
      </c>
      <c r="K442" s="2839" t="e">
        <v>#N/A</v>
      </c>
      <c r="L442" s="839" t="e">
        <v>#N/A</v>
      </c>
      <c r="M442" s="2029" t="e">
        <v>#N/A</v>
      </c>
      <c r="N442" s="1668" t="e">
        <v>#N/A</v>
      </c>
      <c r="O442" s="2839" t="e">
        <v>#N/A</v>
      </c>
      <c r="P442" s="2839" t="e">
        <v>#N/A</v>
      </c>
      <c r="Q442" s="2032" t="e">
        <v>#N/A</v>
      </c>
    </row>
    <row r="443" spans="1:17">
      <c r="A443" s="63">
        <f t="shared" si="4"/>
        <v>2029.02</v>
      </c>
      <c r="B443" s="1938" t="e">
        <v>#N/A</v>
      </c>
      <c r="C443" s="839" t="e">
        <v>#N/A</v>
      </c>
      <c r="D443" s="1668" t="e">
        <v>#N/A</v>
      </c>
      <c r="E443" s="2839" t="e">
        <v>#N/A</v>
      </c>
      <c r="F443" s="839" t="e">
        <v>#N/A</v>
      </c>
      <c r="G443" s="2839" t="e">
        <v>#N/A</v>
      </c>
      <c r="H443" s="839" t="e">
        <v>#N/A</v>
      </c>
      <c r="I443" s="2839" t="e">
        <v>#N/A</v>
      </c>
      <c r="J443" s="839" t="e">
        <v>#N/A</v>
      </c>
      <c r="K443" s="2839" t="e">
        <v>#N/A</v>
      </c>
      <c r="L443" s="839" t="e">
        <v>#N/A</v>
      </c>
      <c r="M443" s="2029" t="e">
        <v>#N/A</v>
      </c>
      <c r="N443" s="1668" t="e">
        <v>#N/A</v>
      </c>
      <c r="O443" s="2839" t="e">
        <v>#N/A</v>
      </c>
      <c r="P443" s="2839" t="e">
        <v>#N/A</v>
      </c>
      <c r="Q443" s="2032" t="e">
        <v>#N/A</v>
      </c>
    </row>
    <row r="444" spans="1:17">
      <c r="A444" s="63">
        <f t="shared" si="4"/>
        <v>2029.03</v>
      </c>
      <c r="B444" s="1938" t="e">
        <v>#N/A</v>
      </c>
      <c r="C444" s="839" t="e">
        <v>#N/A</v>
      </c>
      <c r="D444" s="1668" t="e">
        <v>#N/A</v>
      </c>
      <c r="E444" s="2839" t="e">
        <v>#N/A</v>
      </c>
      <c r="F444" s="839" t="e">
        <v>#N/A</v>
      </c>
      <c r="G444" s="2839" t="e">
        <v>#N/A</v>
      </c>
      <c r="H444" s="839" t="e">
        <v>#N/A</v>
      </c>
      <c r="I444" s="2839" t="e">
        <v>#N/A</v>
      </c>
      <c r="J444" s="839" t="e">
        <v>#N/A</v>
      </c>
      <c r="K444" s="2839" t="e">
        <v>#N/A</v>
      </c>
      <c r="L444" s="839" t="e">
        <v>#N/A</v>
      </c>
      <c r="M444" s="2029" t="e">
        <v>#N/A</v>
      </c>
      <c r="N444" s="1668" t="e">
        <v>#N/A</v>
      </c>
      <c r="O444" s="2839" t="e">
        <v>#N/A</v>
      </c>
      <c r="P444" s="2839" t="e">
        <v>#N/A</v>
      </c>
      <c r="Q444" s="2032" t="e">
        <v>#N/A</v>
      </c>
    </row>
    <row r="445" spans="1:17">
      <c r="A445" s="63">
        <f t="shared" si="4"/>
        <v>2029.04</v>
      </c>
      <c r="B445" s="1938" t="e">
        <v>#N/A</v>
      </c>
      <c r="C445" s="839" t="e">
        <v>#N/A</v>
      </c>
      <c r="D445" s="1668" t="e">
        <v>#N/A</v>
      </c>
      <c r="E445" s="2839" t="e">
        <v>#N/A</v>
      </c>
      <c r="F445" s="839" t="e">
        <v>#N/A</v>
      </c>
      <c r="G445" s="2839" t="e">
        <v>#N/A</v>
      </c>
      <c r="H445" s="839" t="e">
        <v>#N/A</v>
      </c>
      <c r="I445" s="2839" t="e">
        <v>#N/A</v>
      </c>
      <c r="J445" s="839" t="e">
        <v>#N/A</v>
      </c>
      <c r="K445" s="2839" t="e">
        <v>#N/A</v>
      </c>
      <c r="L445" s="839" t="e">
        <v>#N/A</v>
      </c>
      <c r="M445" s="2029" t="e">
        <v>#N/A</v>
      </c>
      <c r="N445" s="1668" t="e">
        <v>#N/A</v>
      </c>
      <c r="O445" s="2839" t="e">
        <v>#N/A</v>
      </c>
      <c r="P445" s="2839" t="e">
        <v>#N/A</v>
      </c>
      <c r="Q445" s="2032" t="e">
        <v>#N/A</v>
      </c>
    </row>
    <row r="446" spans="1:17">
      <c r="A446" s="63">
        <f t="shared" si="4"/>
        <v>2029.05</v>
      </c>
      <c r="B446" s="1938" t="e">
        <v>#N/A</v>
      </c>
      <c r="C446" s="839" t="e">
        <v>#N/A</v>
      </c>
      <c r="D446" s="1668" t="e">
        <v>#N/A</v>
      </c>
      <c r="E446" s="2839" t="e">
        <v>#N/A</v>
      </c>
      <c r="F446" s="839" t="e">
        <v>#N/A</v>
      </c>
      <c r="G446" s="2839" t="e">
        <v>#N/A</v>
      </c>
      <c r="H446" s="839" t="e">
        <v>#N/A</v>
      </c>
      <c r="I446" s="2839" t="e">
        <v>#N/A</v>
      </c>
      <c r="J446" s="839" t="e">
        <v>#N/A</v>
      </c>
      <c r="K446" s="2839" t="e">
        <v>#N/A</v>
      </c>
      <c r="L446" s="839" t="e">
        <v>#N/A</v>
      </c>
      <c r="M446" s="2029" t="e">
        <v>#N/A</v>
      </c>
      <c r="N446" s="1668" t="e">
        <v>#N/A</v>
      </c>
      <c r="O446" s="2839" t="e">
        <v>#N/A</v>
      </c>
      <c r="P446" s="2839" t="e">
        <v>#N/A</v>
      </c>
      <c r="Q446" s="2032" t="e">
        <v>#N/A</v>
      </c>
    </row>
    <row r="447" spans="1:17">
      <c r="A447" s="63">
        <f t="shared" si="4"/>
        <v>2029.06</v>
      </c>
      <c r="B447" s="1938" t="e">
        <v>#N/A</v>
      </c>
      <c r="C447" s="839" t="e">
        <v>#N/A</v>
      </c>
      <c r="D447" s="1668" t="e">
        <v>#N/A</v>
      </c>
      <c r="E447" s="2839" t="e">
        <v>#N/A</v>
      </c>
      <c r="F447" s="839" t="e">
        <v>#N/A</v>
      </c>
      <c r="G447" s="2839" t="e">
        <v>#N/A</v>
      </c>
      <c r="H447" s="839" t="e">
        <v>#N/A</v>
      </c>
      <c r="I447" s="2839" t="e">
        <v>#N/A</v>
      </c>
      <c r="J447" s="839" t="e">
        <v>#N/A</v>
      </c>
      <c r="K447" s="2839" t="e">
        <v>#N/A</v>
      </c>
      <c r="L447" s="839" t="e">
        <v>#N/A</v>
      </c>
      <c r="M447" s="2029" t="e">
        <v>#N/A</v>
      </c>
      <c r="N447" s="1668" t="e">
        <v>#N/A</v>
      </c>
      <c r="O447" s="2839" t="e">
        <v>#N/A</v>
      </c>
      <c r="P447" s="2839" t="e">
        <v>#N/A</v>
      </c>
      <c r="Q447" s="2032" t="e">
        <v>#N/A</v>
      </c>
    </row>
    <row r="448" spans="1:17">
      <c r="A448" s="63">
        <f t="shared" ref="A448:A465" si="5">A436+1</f>
        <v>2029.07</v>
      </c>
      <c r="B448" s="1938" t="e">
        <v>#N/A</v>
      </c>
      <c r="C448" s="839" t="e">
        <v>#N/A</v>
      </c>
      <c r="D448" s="1668" t="e">
        <v>#N/A</v>
      </c>
      <c r="E448" s="2839" t="e">
        <v>#N/A</v>
      </c>
      <c r="F448" s="839" t="e">
        <v>#N/A</v>
      </c>
      <c r="G448" s="2839" t="e">
        <v>#N/A</v>
      </c>
      <c r="H448" s="839" t="e">
        <v>#N/A</v>
      </c>
      <c r="I448" s="2839" t="e">
        <v>#N/A</v>
      </c>
      <c r="J448" s="839" t="e">
        <v>#N/A</v>
      </c>
      <c r="K448" s="2839" t="e">
        <v>#N/A</v>
      </c>
      <c r="L448" s="839" t="e">
        <v>#N/A</v>
      </c>
      <c r="M448" s="2029" t="e">
        <v>#N/A</v>
      </c>
      <c r="N448" s="1668" t="e">
        <v>#N/A</v>
      </c>
      <c r="O448" s="2839" t="e">
        <v>#N/A</v>
      </c>
      <c r="P448" s="2839" t="e">
        <v>#N/A</v>
      </c>
      <c r="Q448" s="2032" t="e">
        <v>#N/A</v>
      </c>
    </row>
    <row r="449" spans="1:17">
      <c r="A449" s="63">
        <f t="shared" si="5"/>
        <v>2029.08</v>
      </c>
      <c r="B449" s="1938" t="e">
        <v>#N/A</v>
      </c>
      <c r="C449" s="839" t="e">
        <v>#N/A</v>
      </c>
      <c r="D449" s="1668" t="e">
        <v>#N/A</v>
      </c>
      <c r="E449" s="2839" t="e">
        <v>#N/A</v>
      </c>
      <c r="F449" s="839" t="e">
        <v>#N/A</v>
      </c>
      <c r="G449" s="2839" t="e">
        <v>#N/A</v>
      </c>
      <c r="H449" s="839" t="e">
        <v>#N/A</v>
      </c>
      <c r="I449" s="2839" t="e">
        <v>#N/A</v>
      </c>
      <c r="J449" s="839" t="e">
        <v>#N/A</v>
      </c>
      <c r="K449" s="2839" t="e">
        <v>#N/A</v>
      </c>
      <c r="L449" s="839" t="e">
        <v>#N/A</v>
      </c>
      <c r="M449" s="2029" t="e">
        <v>#N/A</v>
      </c>
      <c r="N449" s="1668" t="e">
        <v>#N/A</v>
      </c>
      <c r="O449" s="2839" t="e">
        <v>#N/A</v>
      </c>
      <c r="P449" s="2839" t="e">
        <v>#N/A</v>
      </c>
      <c r="Q449" s="2032" t="e">
        <v>#N/A</v>
      </c>
    </row>
    <row r="450" spans="1:17">
      <c r="A450" s="63">
        <f t="shared" si="5"/>
        <v>2029.09</v>
      </c>
      <c r="B450" s="1938" t="e">
        <v>#N/A</v>
      </c>
      <c r="C450" s="839" t="e">
        <v>#N/A</v>
      </c>
      <c r="D450" s="1668" t="e">
        <v>#N/A</v>
      </c>
      <c r="E450" s="2839" t="e">
        <v>#N/A</v>
      </c>
      <c r="F450" s="839" t="e">
        <v>#N/A</v>
      </c>
      <c r="G450" s="2839" t="e">
        <v>#N/A</v>
      </c>
      <c r="H450" s="839" t="e">
        <v>#N/A</v>
      </c>
      <c r="I450" s="2839" t="e">
        <v>#N/A</v>
      </c>
      <c r="J450" s="839" t="e">
        <v>#N/A</v>
      </c>
      <c r="K450" s="2839" t="e">
        <v>#N/A</v>
      </c>
      <c r="L450" s="839" t="e">
        <v>#N/A</v>
      </c>
      <c r="M450" s="2029" t="e">
        <v>#N/A</v>
      </c>
      <c r="N450" s="1668" t="e">
        <v>#N/A</v>
      </c>
      <c r="O450" s="2839" t="e">
        <v>#N/A</v>
      </c>
      <c r="P450" s="2839" t="e">
        <v>#N/A</v>
      </c>
      <c r="Q450" s="2032" t="e">
        <v>#N/A</v>
      </c>
    </row>
    <row r="451" spans="1:17">
      <c r="A451" s="63">
        <f t="shared" si="5"/>
        <v>2029.1</v>
      </c>
      <c r="B451" s="1938" t="e">
        <v>#N/A</v>
      </c>
      <c r="C451" s="839" t="e">
        <v>#N/A</v>
      </c>
      <c r="D451" s="1668" t="e">
        <v>#N/A</v>
      </c>
      <c r="E451" s="2839" t="e">
        <v>#N/A</v>
      </c>
      <c r="F451" s="839" t="e">
        <v>#N/A</v>
      </c>
      <c r="G451" s="2839" t="e">
        <v>#N/A</v>
      </c>
      <c r="H451" s="839" t="e">
        <v>#N/A</v>
      </c>
      <c r="I451" s="2839" t="e">
        <v>#N/A</v>
      </c>
      <c r="J451" s="839" t="e">
        <v>#N/A</v>
      </c>
      <c r="K451" s="2839" t="e">
        <v>#N/A</v>
      </c>
      <c r="L451" s="839" t="e">
        <v>#N/A</v>
      </c>
      <c r="M451" s="2029" t="e">
        <v>#N/A</v>
      </c>
      <c r="N451" s="1668" t="e">
        <v>#N/A</v>
      </c>
      <c r="O451" s="2839" t="e">
        <v>#N/A</v>
      </c>
      <c r="P451" s="2839" t="e">
        <v>#N/A</v>
      </c>
      <c r="Q451" s="2032" t="e">
        <v>#N/A</v>
      </c>
    </row>
    <row r="452" spans="1:17">
      <c r="A452" s="63">
        <f t="shared" si="5"/>
        <v>2029.11</v>
      </c>
      <c r="B452" s="1938" t="e">
        <v>#N/A</v>
      </c>
      <c r="C452" s="839" t="e">
        <v>#N/A</v>
      </c>
      <c r="D452" s="1668" t="e">
        <v>#N/A</v>
      </c>
      <c r="E452" s="2839" t="e">
        <v>#N/A</v>
      </c>
      <c r="F452" s="839" t="e">
        <v>#N/A</v>
      </c>
      <c r="G452" s="2839" t="e">
        <v>#N/A</v>
      </c>
      <c r="H452" s="839" t="e">
        <v>#N/A</v>
      </c>
      <c r="I452" s="2839" t="e">
        <v>#N/A</v>
      </c>
      <c r="J452" s="839" t="e">
        <v>#N/A</v>
      </c>
      <c r="K452" s="2839" t="e">
        <v>#N/A</v>
      </c>
      <c r="L452" s="839" t="e">
        <v>#N/A</v>
      </c>
      <c r="M452" s="2029" t="e">
        <v>#N/A</v>
      </c>
      <c r="N452" s="1668" t="e">
        <v>#N/A</v>
      </c>
      <c r="O452" s="2839" t="e">
        <v>#N/A</v>
      </c>
      <c r="P452" s="2839" t="e">
        <v>#N/A</v>
      </c>
      <c r="Q452" s="2032" t="e">
        <v>#N/A</v>
      </c>
    </row>
    <row r="453" spans="1:17">
      <c r="A453" s="63">
        <f t="shared" si="5"/>
        <v>2029.12</v>
      </c>
      <c r="B453" s="1938" t="e">
        <v>#N/A</v>
      </c>
      <c r="C453" s="839" t="e">
        <v>#N/A</v>
      </c>
      <c r="D453" s="1668" t="e">
        <v>#N/A</v>
      </c>
      <c r="E453" s="2839" t="e">
        <v>#N/A</v>
      </c>
      <c r="F453" s="839" t="e">
        <v>#N/A</v>
      </c>
      <c r="G453" s="2839" t="e">
        <v>#N/A</v>
      </c>
      <c r="H453" s="839" t="e">
        <v>#N/A</v>
      </c>
      <c r="I453" s="2839" t="e">
        <v>#N/A</v>
      </c>
      <c r="J453" s="839" t="e">
        <v>#N/A</v>
      </c>
      <c r="K453" s="2839" t="e">
        <v>#N/A</v>
      </c>
      <c r="L453" s="839" t="e">
        <v>#N/A</v>
      </c>
      <c r="M453" s="2029" t="e">
        <v>#N/A</v>
      </c>
      <c r="N453" s="1668" t="e">
        <v>#N/A</v>
      </c>
      <c r="O453" s="2839" t="e">
        <v>#N/A</v>
      </c>
      <c r="P453" s="2839" t="e">
        <v>#N/A</v>
      </c>
      <c r="Q453" s="2032" t="e">
        <v>#N/A</v>
      </c>
    </row>
    <row r="454" spans="1:17">
      <c r="A454" s="63">
        <f t="shared" si="5"/>
        <v>2030.01</v>
      </c>
      <c r="B454" s="1938" t="e">
        <v>#N/A</v>
      </c>
      <c r="C454" s="839" t="e">
        <v>#N/A</v>
      </c>
      <c r="D454" s="1668" t="e">
        <v>#N/A</v>
      </c>
      <c r="E454" s="2839" t="e">
        <v>#N/A</v>
      </c>
      <c r="F454" s="839" t="e">
        <v>#N/A</v>
      </c>
      <c r="G454" s="2839" t="e">
        <v>#N/A</v>
      </c>
      <c r="H454" s="839" t="e">
        <v>#N/A</v>
      </c>
      <c r="I454" s="2839" t="e">
        <v>#N/A</v>
      </c>
      <c r="J454" s="839" t="e">
        <v>#N/A</v>
      </c>
      <c r="K454" s="2839" t="e">
        <v>#N/A</v>
      </c>
      <c r="L454" s="839" t="e">
        <v>#N/A</v>
      </c>
      <c r="M454" s="2029" t="e">
        <v>#N/A</v>
      </c>
      <c r="N454" s="1668" t="e">
        <v>#N/A</v>
      </c>
      <c r="O454" s="2839" t="e">
        <v>#N/A</v>
      </c>
      <c r="P454" s="2839" t="e">
        <v>#N/A</v>
      </c>
      <c r="Q454" s="2032" t="e">
        <v>#N/A</v>
      </c>
    </row>
    <row r="455" spans="1:17">
      <c r="A455" s="63">
        <f t="shared" si="5"/>
        <v>2030.02</v>
      </c>
      <c r="B455" s="1938" t="e">
        <v>#N/A</v>
      </c>
      <c r="C455" s="839" t="e">
        <v>#N/A</v>
      </c>
      <c r="D455" s="1668" t="e">
        <v>#N/A</v>
      </c>
      <c r="E455" s="2839" t="e">
        <v>#N/A</v>
      </c>
      <c r="F455" s="839" t="e">
        <v>#N/A</v>
      </c>
      <c r="G455" s="2839" t="e">
        <v>#N/A</v>
      </c>
      <c r="H455" s="839" t="e">
        <v>#N/A</v>
      </c>
      <c r="I455" s="2839" t="e">
        <v>#N/A</v>
      </c>
      <c r="J455" s="839" t="e">
        <v>#N/A</v>
      </c>
      <c r="K455" s="2839" t="e">
        <v>#N/A</v>
      </c>
      <c r="L455" s="839" t="e">
        <v>#N/A</v>
      </c>
      <c r="M455" s="2029" t="e">
        <v>#N/A</v>
      </c>
      <c r="N455" s="1668" t="e">
        <v>#N/A</v>
      </c>
      <c r="O455" s="2839" t="e">
        <v>#N/A</v>
      </c>
      <c r="P455" s="2839" t="e">
        <v>#N/A</v>
      </c>
      <c r="Q455" s="2032" t="e">
        <v>#N/A</v>
      </c>
    </row>
    <row r="456" spans="1:17">
      <c r="A456" s="63">
        <f t="shared" si="5"/>
        <v>2030.03</v>
      </c>
      <c r="B456" s="1938" t="e">
        <v>#N/A</v>
      </c>
      <c r="C456" s="839" t="e">
        <v>#N/A</v>
      </c>
      <c r="D456" s="1668" t="e">
        <v>#N/A</v>
      </c>
      <c r="E456" s="2839" t="e">
        <v>#N/A</v>
      </c>
      <c r="F456" s="839" t="e">
        <v>#N/A</v>
      </c>
      <c r="G456" s="2839" t="e">
        <v>#N/A</v>
      </c>
      <c r="H456" s="839" t="e">
        <v>#N/A</v>
      </c>
      <c r="I456" s="2839" t="e">
        <v>#N/A</v>
      </c>
      <c r="J456" s="839" t="e">
        <v>#N/A</v>
      </c>
      <c r="K456" s="2839" t="e">
        <v>#N/A</v>
      </c>
      <c r="L456" s="839" t="e">
        <v>#N/A</v>
      </c>
      <c r="M456" s="2029" t="e">
        <v>#N/A</v>
      </c>
      <c r="N456" s="1668" t="e">
        <v>#N/A</v>
      </c>
      <c r="O456" s="2839" t="e">
        <v>#N/A</v>
      </c>
      <c r="P456" s="2839" t="e">
        <v>#N/A</v>
      </c>
      <c r="Q456" s="2032" t="e">
        <v>#N/A</v>
      </c>
    </row>
    <row r="457" spans="1:17">
      <c r="A457" s="63">
        <f t="shared" si="5"/>
        <v>2030.04</v>
      </c>
      <c r="B457" s="1938" t="e">
        <v>#N/A</v>
      </c>
      <c r="C457" s="839" t="e">
        <v>#N/A</v>
      </c>
      <c r="D457" s="1668" t="e">
        <v>#N/A</v>
      </c>
      <c r="E457" s="2839" t="e">
        <v>#N/A</v>
      </c>
      <c r="F457" s="839" t="e">
        <v>#N/A</v>
      </c>
      <c r="G457" s="2839" t="e">
        <v>#N/A</v>
      </c>
      <c r="H457" s="839" t="e">
        <v>#N/A</v>
      </c>
      <c r="I457" s="2839" t="e">
        <v>#N/A</v>
      </c>
      <c r="J457" s="839" t="e">
        <v>#N/A</v>
      </c>
      <c r="K457" s="2839" t="e">
        <v>#N/A</v>
      </c>
      <c r="L457" s="839" t="e">
        <v>#N/A</v>
      </c>
      <c r="M457" s="2029" t="e">
        <v>#N/A</v>
      </c>
      <c r="N457" s="1668" t="e">
        <v>#N/A</v>
      </c>
      <c r="O457" s="2839" t="e">
        <v>#N/A</v>
      </c>
      <c r="P457" s="2839" t="e">
        <v>#N/A</v>
      </c>
      <c r="Q457" s="2032" t="e">
        <v>#N/A</v>
      </c>
    </row>
    <row r="458" spans="1:17">
      <c r="A458" s="63">
        <f t="shared" si="5"/>
        <v>2030.05</v>
      </c>
      <c r="B458" s="1938" t="e">
        <v>#N/A</v>
      </c>
      <c r="C458" s="839" t="e">
        <v>#N/A</v>
      </c>
      <c r="D458" s="1668" t="e">
        <v>#N/A</v>
      </c>
      <c r="E458" s="2839" t="e">
        <v>#N/A</v>
      </c>
      <c r="F458" s="839" t="e">
        <v>#N/A</v>
      </c>
      <c r="G458" s="2839" t="e">
        <v>#N/A</v>
      </c>
      <c r="H458" s="839" t="e">
        <v>#N/A</v>
      </c>
      <c r="I458" s="2839" t="e">
        <v>#N/A</v>
      </c>
      <c r="J458" s="839" t="e">
        <v>#N/A</v>
      </c>
      <c r="K458" s="2839" t="e">
        <v>#N/A</v>
      </c>
      <c r="L458" s="839" t="e">
        <v>#N/A</v>
      </c>
      <c r="M458" s="2029" t="e">
        <v>#N/A</v>
      </c>
      <c r="N458" s="1668" t="e">
        <v>#N/A</v>
      </c>
      <c r="O458" s="2839" t="e">
        <v>#N/A</v>
      </c>
      <c r="P458" s="2839" t="e">
        <v>#N/A</v>
      </c>
      <c r="Q458" s="2032" t="e">
        <v>#N/A</v>
      </c>
    </row>
    <row r="459" spans="1:17">
      <c r="A459" s="63">
        <f t="shared" si="5"/>
        <v>2030.06</v>
      </c>
      <c r="B459" s="1938" t="e">
        <v>#N/A</v>
      </c>
      <c r="C459" s="839" t="e">
        <v>#N/A</v>
      </c>
      <c r="D459" s="1668" t="e">
        <v>#N/A</v>
      </c>
      <c r="E459" s="2839" t="e">
        <v>#N/A</v>
      </c>
      <c r="F459" s="839" t="e">
        <v>#N/A</v>
      </c>
      <c r="G459" s="2839" t="e">
        <v>#N/A</v>
      </c>
      <c r="H459" s="839" t="e">
        <v>#N/A</v>
      </c>
      <c r="I459" s="2839" t="e">
        <v>#N/A</v>
      </c>
      <c r="J459" s="839" t="e">
        <v>#N/A</v>
      </c>
      <c r="K459" s="2839" t="e">
        <v>#N/A</v>
      </c>
      <c r="L459" s="839" t="e">
        <v>#N/A</v>
      </c>
      <c r="M459" s="2029" t="e">
        <v>#N/A</v>
      </c>
      <c r="N459" s="1668" t="e">
        <v>#N/A</v>
      </c>
      <c r="O459" s="2839" t="e">
        <v>#N/A</v>
      </c>
      <c r="P459" s="2839" t="e">
        <v>#N/A</v>
      </c>
      <c r="Q459" s="2032" t="e">
        <v>#N/A</v>
      </c>
    </row>
    <row r="460" spans="1:17">
      <c r="A460" s="63">
        <f t="shared" si="5"/>
        <v>2030.07</v>
      </c>
      <c r="B460" s="1938" t="e">
        <v>#N/A</v>
      </c>
      <c r="C460" s="839" t="e">
        <v>#N/A</v>
      </c>
      <c r="D460" s="1668" t="e">
        <v>#N/A</v>
      </c>
      <c r="E460" s="2839" t="e">
        <v>#N/A</v>
      </c>
      <c r="F460" s="839" t="e">
        <v>#N/A</v>
      </c>
      <c r="G460" s="2839" t="e">
        <v>#N/A</v>
      </c>
      <c r="H460" s="839" t="e">
        <v>#N/A</v>
      </c>
      <c r="I460" s="2839" t="e">
        <v>#N/A</v>
      </c>
      <c r="J460" s="839" t="e">
        <v>#N/A</v>
      </c>
      <c r="K460" s="2839" t="e">
        <v>#N/A</v>
      </c>
      <c r="L460" s="839" t="e">
        <v>#N/A</v>
      </c>
      <c r="M460" s="2029" t="e">
        <v>#N/A</v>
      </c>
      <c r="N460" s="1668" t="e">
        <v>#N/A</v>
      </c>
      <c r="O460" s="2839" t="e">
        <v>#N/A</v>
      </c>
      <c r="P460" s="2839" t="e">
        <v>#N/A</v>
      </c>
      <c r="Q460" s="2032" t="e">
        <v>#N/A</v>
      </c>
    </row>
    <row r="461" spans="1:17">
      <c r="A461" s="63">
        <f t="shared" si="5"/>
        <v>2030.08</v>
      </c>
      <c r="B461" s="1938" t="e">
        <v>#N/A</v>
      </c>
      <c r="C461" s="839" t="e">
        <v>#N/A</v>
      </c>
      <c r="D461" s="1668" t="e">
        <v>#N/A</v>
      </c>
      <c r="E461" s="2839" t="e">
        <v>#N/A</v>
      </c>
      <c r="F461" s="839" t="e">
        <v>#N/A</v>
      </c>
      <c r="G461" s="2839" t="e">
        <v>#N/A</v>
      </c>
      <c r="H461" s="839" t="e">
        <v>#N/A</v>
      </c>
      <c r="I461" s="2839" t="e">
        <v>#N/A</v>
      </c>
      <c r="J461" s="839" t="e">
        <v>#N/A</v>
      </c>
      <c r="K461" s="2839" t="e">
        <v>#N/A</v>
      </c>
      <c r="L461" s="839" t="e">
        <v>#N/A</v>
      </c>
      <c r="M461" s="2029" t="e">
        <v>#N/A</v>
      </c>
      <c r="N461" s="1668" t="e">
        <v>#N/A</v>
      </c>
      <c r="O461" s="2839" t="e">
        <v>#N/A</v>
      </c>
      <c r="P461" s="2839" t="e">
        <v>#N/A</v>
      </c>
      <c r="Q461" s="2032" t="e">
        <v>#N/A</v>
      </c>
    </row>
    <row r="462" spans="1:17">
      <c r="A462" s="63">
        <f t="shared" si="5"/>
        <v>2030.09</v>
      </c>
      <c r="B462" s="1938" t="e">
        <v>#N/A</v>
      </c>
      <c r="C462" s="839" t="e">
        <v>#N/A</v>
      </c>
      <c r="D462" s="1668" t="e">
        <v>#N/A</v>
      </c>
      <c r="E462" s="2839" t="e">
        <v>#N/A</v>
      </c>
      <c r="F462" s="839" t="e">
        <v>#N/A</v>
      </c>
      <c r="G462" s="2839" t="e">
        <v>#N/A</v>
      </c>
      <c r="H462" s="839" t="e">
        <v>#N/A</v>
      </c>
      <c r="I462" s="2839" t="e">
        <v>#N/A</v>
      </c>
      <c r="J462" s="839" t="e">
        <v>#N/A</v>
      </c>
      <c r="K462" s="2839" t="e">
        <v>#N/A</v>
      </c>
      <c r="L462" s="839" t="e">
        <v>#N/A</v>
      </c>
      <c r="M462" s="2029" t="e">
        <v>#N/A</v>
      </c>
      <c r="N462" s="1668" t="e">
        <v>#N/A</v>
      </c>
      <c r="O462" s="2839" t="e">
        <v>#N/A</v>
      </c>
      <c r="P462" s="2839" t="e">
        <v>#N/A</v>
      </c>
      <c r="Q462" s="2032" t="e">
        <v>#N/A</v>
      </c>
    </row>
    <row r="463" spans="1:17">
      <c r="A463" s="63">
        <f t="shared" si="5"/>
        <v>2030.1</v>
      </c>
      <c r="B463" s="1938" t="e">
        <v>#N/A</v>
      </c>
      <c r="C463" s="839" t="e">
        <v>#N/A</v>
      </c>
      <c r="D463" s="1668" t="e">
        <v>#N/A</v>
      </c>
      <c r="E463" s="2839" t="e">
        <v>#N/A</v>
      </c>
      <c r="F463" s="839" t="e">
        <v>#N/A</v>
      </c>
      <c r="G463" s="2839" t="e">
        <v>#N/A</v>
      </c>
      <c r="H463" s="839" t="e">
        <v>#N/A</v>
      </c>
      <c r="I463" s="2839" t="e">
        <v>#N/A</v>
      </c>
      <c r="J463" s="839" t="e">
        <v>#N/A</v>
      </c>
      <c r="K463" s="2839" t="e">
        <v>#N/A</v>
      </c>
      <c r="L463" s="839" t="e">
        <v>#N/A</v>
      </c>
      <c r="M463" s="2029" t="e">
        <v>#N/A</v>
      </c>
      <c r="N463" s="1668" t="e">
        <v>#N/A</v>
      </c>
      <c r="O463" s="2839" t="e">
        <v>#N/A</v>
      </c>
      <c r="P463" s="2839" t="e">
        <v>#N/A</v>
      </c>
      <c r="Q463" s="2032" t="e">
        <v>#N/A</v>
      </c>
    </row>
    <row r="464" spans="1:17">
      <c r="A464" s="63">
        <f t="shared" si="5"/>
        <v>2030.11</v>
      </c>
      <c r="B464" s="1938" t="e">
        <v>#N/A</v>
      </c>
      <c r="C464" s="839" t="e">
        <v>#N/A</v>
      </c>
      <c r="D464" s="1668" t="e">
        <v>#N/A</v>
      </c>
      <c r="E464" s="2839" t="e">
        <v>#N/A</v>
      </c>
      <c r="F464" s="839" t="e">
        <v>#N/A</v>
      </c>
      <c r="G464" s="2839" t="e">
        <v>#N/A</v>
      </c>
      <c r="H464" s="839" t="e">
        <v>#N/A</v>
      </c>
      <c r="I464" s="2839" t="e">
        <v>#N/A</v>
      </c>
      <c r="J464" s="839" t="e">
        <v>#N/A</v>
      </c>
      <c r="K464" s="2839" t="e">
        <v>#N/A</v>
      </c>
      <c r="L464" s="839" t="e">
        <v>#N/A</v>
      </c>
      <c r="M464" s="2029" t="e">
        <v>#N/A</v>
      </c>
      <c r="N464" s="1668" t="e">
        <v>#N/A</v>
      </c>
      <c r="O464" s="2839" t="e">
        <v>#N/A</v>
      </c>
      <c r="P464" s="2839" t="e">
        <v>#N/A</v>
      </c>
      <c r="Q464" s="2032" t="e">
        <v>#N/A</v>
      </c>
    </row>
    <row r="465" spans="1:17">
      <c r="A465" s="63">
        <f t="shared" si="5"/>
        <v>2030.12</v>
      </c>
      <c r="B465" s="1938" t="e">
        <v>#N/A</v>
      </c>
      <c r="C465" s="839" t="e">
        <v>#N/A</v>
      </c>
      <c r="D465" s="1668" t="e">
        <v>#N/A</v>
      </c>
      <c r="E465" s="2839" t="e">
        <v>#N/A</v>
      </c>
      <c r="F465" s="839" t="e">
        <v>#N/A</v>
      </c>
      <c r="G465" s="2839" t="e">
        <v>#N/A</v>
      </c>
      <c r="H465" s="839" t="e">
        <v>#N/A</v>
      </c>
      <c r="I465" s="2839" t="e">
        <v>#N/A</v>
      </c>
      <c r="J465" s="839" t="e">
        <v>#N/A</v>
      </c>
      <c r="K465" s="2839" t="e">
        <v>#N/A</v>
      </c>
      <c r="L465" s="839" t="e">
        <v>#N/A</v>
      </c>
      <c r="M465" s="2029" t="e">
        <v>#N/A</v>
      </c>
      <c r="N465" s="1668" t="e">
        <v>#N/A</v>
      </c>
      <c r="O465" s="2839" t="e">
        <v>#N/A</v>
      </c>
      <c r="P465" s="2839" t="e">
        <v>#N/A</v>
      </c>
      <c r="Q465" s="2032" t="e">
        <v>#N/A</v>
      </c>
    </row>
  </sheetData>
  <phoneticPr fontId="0" type="noConversion"/>
  <hyperlinks>
    <hyperlink ref="A5" location="INDICE!A13" display="VOLVER AL INDICE" xr:uid="{00000000-0004-0000-1C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58">
    <pageSetUpPr autoPageBreaks="0" fitToPage="1"/>
  </sheetPr>
  <dimension ref="A1:N453"/>
  <sheetViews>
    <sheetView zoomScale="130" zoomScaleNormal="130" zoomScaleSheetLayoutView="100" workbookViewId="0">
      <pane xSplit="1" ySplit="9" topLeftCell="B365" activePane="bottomRight" state="frozen"/>
      <selection pane="topRight" activeCell="A5" sqref="A5"/>
      <selection pane="bottomLeft" activeCell="A5" sqref="A5"/>
      <selection pane="bottomRight" activeCell="B385" sqref="B385"/>
    </sheetView>
  </sheetViews>
  <sheetFormatPr baseColWidth="10" defaultColWidth="11.42578125" defaultRowHeight="12.75"/>
  <cols>
    <col min="1" max="1" width="10.5703125" style="24" customWidth="1"/>
    <col min="2" max="14" width="13.42578125" style="24" customWidth="1"/>
    <col min="15" max="16384" width="11.42578125" style="9"/>
  </cols>
  <sheetData>
    <row r="1" spans="1:14" s="13" customFormat="1" ht="4.5" customHeight="1">
      <c r="A1" s="34"/>
      <c r="B1" s="2442">
        <v>0.86308581949998553</v>
      </c>
      <c r="C1" s="145"/>
      <c r="D1" s="145"/>
      <c r="E1" s="145"/>
      <c r="F1" s="145"/>
      <c r="G1" s="145">
        <v>0.86864621487411864</v>
      </c>
      <c r="H1" s="145">
        <v>0.93042729873694474</v>
      </c>
      <c r="I1" s="145">
        <v>0.86880344046162417</v>
      </c>
      <c r="J1" s="145">
        <v>0.94234423835026948</v>
      </c>
      <c r="K1" s="145">
        <v>0.88163337276193698</v>
      </c>
      <c r="L1" s="145">
        <v>0.8551881413911061</v>
      </c>
      <c r="M1" s="145">
        <v>0.74891407459184178</v>
      </c>
      <c r="N1" s="146">
        <v>0.94073377234242694</v>
      </c>
    </row>
    <row r="2" spans="1:14" s="13" customFormat="1" ht="16.5" customHeight="1">
      <c r="A2" s="59" t="s">
        <v>105</v>
      </c>
      <c r="B2" s="1788" t="s">
        <v>944</v>
      </c>
      <c r="C2" s="2379"/>
      <c r="D2" s="2379"/>
      <c r="E2" s="2379"/>
      <c r="F2" s="2379"/>
      <c r="G2" s="2379"/>
      <c r="H2" s="2379"/>
      <c r="I2" s="2379"/>
      <c r="J2" s="2379"/>
      <c r="K2" s="2379"/>
      <c r="L2" s="2379"/>
      <c r="M2" s="2379"/>
      <c r="N2" s="1882"/>
    </row>
    <row r="3" spans="1:14" s="13" customFormat="1">
      <c r="A3" s="94" t="s">
        <v>109</v>
      </c>
      <c r="B3" s="1788" t="s">
        <v>132</v>
      </c>
      <c r="C3" s="2379"/>
      <c r="D3" s="2379"/>
      <c r="E3" s="2379"/>
      <c r="F3" s="2379"/>
      <c r="G3" s="2379"/>
      <c r="H3" s="2379"/>
      <c r="I3" s="2379"/>
      <c r="J3" s="2379"/>
      <c r="K3" s="2379"/>
      <c r="L3" s="2379"/>
      <c r="M3" s="2379"/>
      <c r="N3" s="1882"/>
    </row>
    <row r="4" spans="1:14" s="13" customFormat="1" ht="3" hidden="1" customHeight="1">
      <c r="A4" s="34"/>
      <c r="B4" s="304"/>
      <c r="C4" s="143"/>
      <c r="D4" s="143"/>
      <c r="E4" s="143"/>
      <c r="F4" s="143"/>
      <c r="G4" s="143"/>
      <c r="H4" s="143"/>
      <c r="I4" s="143"/>
      <c r="J4" s="143"/>
      <c r="K4" s="143"/>
      <c r="L4" s="143"/>
      <c r="M4" s="143"/>
      <c r="N4" s="144"/>
    </row>
    <row r="5" spans="1:14" s="13" customFormat="1" ht="33.75">
      <c r="A5" s="2390" t="s">
        <v>137</v>
      </c>
      <c r="B5" s="2440" t="s">
        <v>945</v>
      </c>
      <c r="C5" s="814" t="s">
        <v>946</v>
      </c>
      <c r="D5" s="811" t="s">
        <v>947</v>
      </c>
      <c r="E5" s="814" t="s">
        <v>948</v>
      </c>
      <c r="F5" s="811" t="s">
        <v>949</v>
      </c>
      <c r="G5" s="814" t="s">
        <v>950</v>
      </c>
      <c r="H5" s="811" t="s">
        <v>951</v>
      </c>
      <c r="I5" s="814" t="s">
        <v>952</v>
      </c>
      <c r="J5" s="811" t="s">
        <v>953</v>
      </c>
      <c r="K5" s="814" t="s">
        <v>917</v>
      </c>
      <c r="L5" s="811" t="s">
        <v>954</v>
      </c>
      <c r="M5" s="814" t="s">
        <v>955</v>
      </c>
      <c r="N5" s="824" t="s">
        <v>956</v>
      </c>
    </row>
    <row r="6" spans="1:14" s="13" customFormat="1" ht="3" hidden="1" customHeight="1">
      <c r="A6" s="34"/>
      <c r="B6" s="305" t="s">
        <v>925</v>
      </c>
      <c r="C6" s="3167"/>
      <c r="D6" s="170"/>
      <c r="E6" s="3167"/>
      <c r="F6" s="170"/>
      <c r="G6" s="3167"/>
      <c r="H6" s="170"/>
      <c r="I6" s="3167"/>
      <c r="J6" s="170" t="s">
        <v>926</v>
      </c>
      <c r="K6" s="3167" t="s">
        <v>927</v>
      </c>
      <c r="L6" s="170"/>
      <c r="M6" s="3167"/>
      <c r="N6" s="171"/>
    </row>
    <row r="7" spans="1:14" s="13" customFormat="1" ht="22.5">
      <c r="A7" s="2373" t="s">
        <v>123</v>
      </c>
      <c r="B7" s="6" t="s">
        <v>262</v>
      </c>
      <c r="C7" s="1318" t="s">
        <v>262</v>
      </c>
      <c r="D7" s="8" t="s">
        <v>262</v>
      </c>
      <c r="E7" s="1318" t="s">
        <v>262</v>
      </c>
      <c r="F7" s="8" t="s">
        <v>262</v>
      </c>
      <c r="G7" s="1318" t="s">
        <v>262</v>
      </c>
      <c r="H7" s="8" t="s">
        <v>262</v>
      </c>
      <c r="I7" s="1318" t="s">
        <v>262</v>
      </c>
      <c r="J7" s="8" t="s">
        <v>262</v>
      </c>
      <c r="K7" s="1318" t="s">
        <v>262</v>
      </c>
      <c r="L7" s="8" t="s">
        <v>262</v>
      </c>
      <c r="M7" s="1318" t="s">
        <v>262</v>
      </c>
      <c r="N7" s="1" t="s">
        <v>262</v>
      </c>
    </row>
    <row r="8" spans="1:14" s="13" customFormat="1" ht="14.25" customHeight="1">
      <c r="A8" s="147" t="s">
        <v>141</v>
      </c>
      <c r="B8" s="2400" t="s">
        <v>957</v>
      </c>
      <c r="C8" s="639" t="s">
        <v>958</v>
      </c>
      <c r="D8" s="150" t="s">
        <v>959</v>
      </c>
      <c r="E8" s="639" t="s">
        <v>960</v>
      </c>
      <c r="F8" s="150" t="s">
        <v>961</v>
      </c>
      <c r="G8" s="639" t="s">
        <v>962</v>
      </c>
      <c r="H8" s="150" t="s">
        <v>963</v>
      </c>
      <c r="I8" s="639" t="s">
        <v>964</v>
      </c>
      <c r="J8" s="150" t="s">
        <v>965</v>
      </c>
      <c r="K8" s="639" t="s">
        <v>966</v>
      </c>
      <c r="L8" s="150" t="s">
        <v>967</v>
      </c>
      <c r="M8" s="639" t="s">
        <v>968</v>
      </c>
      <c r="N8" s="148" t="s">
        <v>969</v>
      </c>
    </row>
    <row r="9" spans="1:14" s="14" customFormat="1" ht="13.5" hidden="1" thickBot="1">
      <c r="A9" s="72"/>
      <c r="B9" s="2025"/>
      <c r="C9" s="2026"/>
      <c r="D9" s="1946"/>
      <c r="E9" s="2026"/>
      <c r="F9" s="1946"/>
      <c r="G9" s="2026"/>
      <c r="H9" s="1946"/>
      <c r="I9" s="2026"/>
      <c r="J9" s="1946"/>
      <c r="K9" s="2026"/>
      <c r="L9" s="1946"/>
      <c r="M9" s="2026"/>
      <c r="N9" s="1967"/>
    </row>
    <row r="10" spans="1:14" s="14" customFormat="1" hidden="1">
      <c r="A10" s="63">
        <v>1994.01</v>
      </c>
      <c r="B10" s="832"/>
      <c r="C10" s="834"/>
      <c r="D10" s="835"/>
      <c r="E10" s="834"/>
      <c r="F10" s="835"/>
      <c r="G10" s="834"/>
      <c r="H10" s="835"/>
      <c r="I10" s="834"/>
      <c r="J10" s="835"/>
      <c r="K10" s="834"/>
      <c r="L10" s="835"/>
      <c r="M10" s="834"/>
      <c r="N10" s="838"/>
    </row>
    <row r="11" spans="1:14" hidden="1">
      <c r="A11" s="63">
        <v>1994.02</v>
      </c>
      <c r="B11" s="833"/>
      <c r="C11" s="3170"/>
      <c r="D11" s="836"/>
      <c r="E11" s="3170"/>
      <c r="F11" s="836"/>
      <c r="G11" s="3170"/>
      <c r="H11" s="836"/>
      <c r="I11" s="3170"/>
      <c r="J11" s="836"/>
      <c r="K11" s="3170"/>
      <c r="L11" s="836"/>
      <c r="M11" s="3170"/>
      <c r="N11" s="161"/>
    </row>
    <row r="12" spans="1:14" hidden="1">
      <c r="A12" s="63">
        <v>1994.03</v>
      </c>
      <c r="B12" s="833"/>
      <c r="C12" s="3170"/>
      <c r="D12" s="836"/>
      <c r="E12" s="3170"/>
      <c r="F12" s="836"/>
      <c r="G12" s="3170"/>
      <c r="H12" s="836"/>
      <c r="I12" s="3170"/>
      <c r="J12" s="836"/>
      <c r="K12" s="3170"/>
      <c r="L12" s="836"/>
      <c r="M12" s="3170"/>
      <c r="N12" s="161"/>
    </row>
    <row r="13" spans="1:14" hidden="1">
      <c r="A13" s="63">
        <v>1994.04</v>
      </c>
      <c r="B13" s="833"/>
      <c r="C13" s="3170"/>
      <c r="D13" s="836"/>
      <c r="E13" s="3170"/>
      <c r="F13" s="836"/>
      <c r="G13" s="3170"/>
      <c r="H13" s="836"/>
      <c r="I13" s="3170"/>
      <c r="J13" s="836"/>
      <c r="K13" s="3170"/>
      <c r="L13" s="836"/>
      <c r="M13" s="3170"/>
      <c r="N13" s="161"/>
    </row>
    <row r="14" spans="1:14" hidden="1">
      <c r="A14" s="63">
        <v>1994.05</v>
      </c>
      <c r="B14" s="833"/>
      <c r="C14" s="3170"/>
      <c r="D14" s="836"/>
      <c r="E14" s="3170"/>
      <c r="F14" s="836"/>
      <c r="G14" s="3170"/>
      <c r="H14" s="836"/>
      <c r="I14" s="3170"/>
      <c r="J14" s="836"/>
      <c r="K14" s="3170"/>
      <c r="L14" s="836"/>
      <c r="M14" s="3170"/>
      <c r="N14" s="161"/>
    </row>
    <row r="15" spans="1:14" hidden="1">
      <c r="A15" s="63">
        <v>1994.06</v>
      </c>
      <c r="B15" s="833"/>
      <c r="C15" s="3170"/>
      <c r="D15" s="836"/>
      <c r="E15" s="3170"/>
      <c r="F15" s="836"/>
      <c r="G15" s="3170"/>
      <c r="H15" s="836"/>
      <c r="I15" s="3170"/>
      <c r="J15" s="836"/>
      <c r="K15" s="3170"/>
      <c r="L15" s="836"/>
      <c r="M15" s="3170"/>
      <c r="N15" s="161"/>
    </row>
    <row r="16" spans="1:14" hidden="1">
      <c r="A16" s="63">
        <v>1994.07</v>
      </c>
      <c r="B16" s="833"/>
      <c r="C16" s="3170"/>
      <c r="D16" s="836"/>
      <c r="E16" s="3170"/>
      <c r="F16" s="836"/>
      <c r="G16" s="3170"/>
      <c r="H16" s="836"/>
      <c r="I16" s="3170"/>
      <c r="J16" s="836"/>
      <c r="K16" s="3170"/>
      <c r="L16" s="836"/>
      <c r="M16" s="3170"/>
      <c r="N16" s="161"/>
    </row>
    <row r="17" spans="1:14" hidden="1">
      <c r="A17" s="63">
        <v>1994.08</v>
      </c>
      <c r="B17" s="833"/>
      <c r="C17" s="3170"/>
      <c r="D17" s="836"/>
      <c r="E17" s="3170"/>
      <c r="F17" s="836"/>
      <c r="G17" s="3170"/>
      <c r="H17" s="836"/>
      <c r="I17" s="3170"/>
      <c r="J17" s="836"/>
      <c r="K17" s="3170"/>
      <c r="L17" s="836"/>
      <c r="M17" s="3170"/>
      <c r="N17" s="161"/>
    </row>
    <row r="18" spans="1:14" hidden="1">
      <c r="A18" s="63">
        <v>1994.09</v>
      </c>
      <c r="B18" s="2033"/>
      <c r="C18" s="2845"/>
      <c r="D18" s="2034"/>
      <c r="E18" s="2845"/>
      <c r="F18" s="2034"/>
      <c r="G18" s="2845"/>
      <c r="H18" s="2034"/>
      <c r="I18" s="2845"/>
      <c r="J18" s="2034"/>
      <c r="K18" s="2845"/>
      <c r="L18" s="2034"/>
      <c r="M18" s="2845"/>
      <c r="N18" s="2035"/>
    </row>
    <row r="19" spans="1:14" hidden="1">
      <c r="A19" s="63">
        <v>1994.1</v>
      </c>
      <c r="B19" s="2033"/>
      <c r="C19" s="2845"/>
      <c r="D19" s="2034"/>
      <c r="E19" s="2845"/>
      <c r="F19" s="2034"/>
      <c r="G19" s="2845"/>
      <c r="H19" s="2034"/>
      <c r="I19" s="2845"/>
      <c r="J19" s="2034"/>
      <c r="K19" s="2845"/>
      <c r="L19" s="2034"/>
      <c r="M19" s="2845"/>
      <c r="N19" s="2035"/>
    </row>
    <row r="20" spans="1:14" hidden="1">
      <c r="A20" s="63">
        <v>1994.11</v>
      </c>
      <c r="B20" s="2033"/>
      <c r="C20" s="2845"/>
      <c r="D20" s="2034"/>
      <c r="E20" s="2845"/>
      <c r="F20" s="2034"/>
      <c r="G20" s="2845"/>
      <c r="H20" s="2034"/>
      <c r="I20" s="2845"/>
      <c r="J20" s="2034"/>
      <c r="K20" s="2845"/>
      <c r="L20" s="2034"/>
      <c r="M20" s="2845"/>
      <c r="N20" s="2035"/>
    </row>
    <row r="21" spans="1:14" hidden="1">
      <c r="A21" s="63">
        <v>1994.12</v>
      </c>
      <c r="B21" s="2033"/>
      <c r="C21" s="2845"/>
      <c r="D21" s="2034"/>
      <c r="E21" s="2845"/>
      <c r="F21" s="2034"/>
      <c r="G21" s="2845"/>
      <c r="H21" s="2034"/>
      <c r="I21" s="2845"/>
      <c r="J21" s="2034"/>
      <c r="K21" s="2845"/>
      <c r="L21" s="2034"/>
      <c r="M21" s="2845"/>
      <c r="N21" s="2035"/>
    </row>
    <row r="22" spans="1:14" hidden="1">
      <c r="A22" s="63">
        <v>1995.01</v>
      </c>
      <c r="B22" s="2033"/>
      <c r="C22" s="2845"/>
      <c r="D22" s="2034"/>
      <c r="E22" s="2845"/>
      <c r="F22" s="2034"/>
      <c r="G22" s="2845"/>
      <c r="H22" s="2034"/>
      <c r="I22" s="2845"/>
      <c r="J22" s="2034"/>
      <c r="K22" s="2845"/>
      <c r="L22" s="2034"/>
      <c r="M22" s="2845"/>
      <c r="N22" s="2035"/>
    </row>
    <row r="23" spans="1:14" hidden="1">
      <c r="A23" s="63">
        <v>1995.02</v>
      </c>
      <c r="B23" s="2033"/>
      <c r="C23" s="2845"/>
      <c r="D23" s="2034"/>
      <c r="E23" s="2845"/>
      <c r="F23" s="2034"/>
      <c r="G23" s="2845"/>
      <c r="H23" s="2034"/>
      <c r="I23" s="2845"/>
      <c r="J23" s="2034"/>
      <c r="K23" s="2845"/>
      <c r="L23" s="2034"/>
      <c r="M23" s="2845"/>
      <c r="N23" s="2035"/>
    </row>
    <row r="24" spans="1:14" hidden="1">
      <c r="A24" s="63">
        <v>1995.03</v>
      </c>
      <c r="B24" s="2033"/>
      <c r="C24" s="2845"/>
      <c r="D24" s="2034"/>
      <c r="E24" s="2845"/>
      <c r="F24" s="2034"/>
      <c r="G24" s="2845"/>
      <c r="H24" s="2034"/>
      <c r="I24" s="2845"/>
      <c r="J24" s="2034"/>
      <c r="K24" s="2845"/>
      <c r="L24" s="2034"/>
      <c r="M24" s="2845"/>
      <c r="N24" s="2035"/>
    </row>
    <row r="25" spans="1:14" hidden="1">
      <c r="A25" s="63">
        <v>1995.04</v>
      </c>
      <c r="B25" s="2033"/>
      <c r="C25" s="2845"/>
      <c r="D25" s="2034"/>
      <c r="E25" s="2845"/>
      <c r="F25" s="2034"/>
      <c r="G25" s="2845"/>
      <c r="H25" s="2034"/>
      <c r="I25" s="2845"/>
      <c r="J25" s="2034"/>
      <c r="K25" s="2845"/>
      <c r="L25" s="2034"/>
      <c r="M25" s="2845"/>
      <c r="N25" s="2035"/>
    </row>
    <row r="26" spans="1:14" hidden="1">
      <c r="A26" s="63">
        <v>1995.05</v>
      </c>
      <c r="B26" s="2033"/>
      <c r="C26" s="2845"/>
      <c r="D26" s="2034"/>
      <c r="E26" s="2845"/>
      <c r="F26" s="2034"/>
      <c r="G26" s="2845"/>
      <c r="H26" s="2034"/>
      <c r="I26" s="2845"/>
      <c r="J26" s="2034"/>
      <c r="K26" s="2845"/>
      <c r="L26" s="2034"/>
      <c r="M26" s="2845"/>
      <c r="N26" s="2035"/>
    </row>
    <row r="27" spans="1:14" hidden="1">
      <c r="A27" s="63">
        <v>1995.06</v>
      </c>
      <c r="B27" s="2033"/>
      <c r="C27" s="2845"/>
      <c r="D27" s="2034"/>
      <c r="E27" s="2845"/>
      <c r="F27" s="2034"/>
      <c r="G27" s="2845"/>
      <c r="H27" s="2034"/>
      <c r="I27" s="2845"/>
      <c r="J27" s="2034"/>
      <c r="K27" s="2845"/>
      <c r="L27" s="2034"/>
      <c r="M27" s="2845"/>
      <c r="N27" s="2035"/>
    </row>
    <row r="28" spans="1:14" hidden="1">
      <c r="A28" s="63">
        <v>1995.07</v>
      </c>
      <c r="B28" s="2033"/>
      <c r="C28" s="2845"/>
      <c r="D28" s="2034"/>
      <c r="E28" s="2845"/>
      <c r="F28" s="2034"/>
      <c r="G28" s="2845"/>
      <c r="H28" s="2034"/>
      <c r="I28" s="2845"/>
      <c r="J28" s="2034"/>
      <c r="K28" s="2845"/>
      <c r="L28" s="2034"/>
      <c r="M28" s="2845"/>
      <c r="N28" s="2035"/>
    </row>
    <row r="29" spans="1:14" hidden="1">
      <c r="A29" s="63">
        <v>1995.08</v>
      </c>
      <c r="B29" s="2033"/>
      <c r="C29" s="2845"/>
      <c r="D29" s="2034"/>
      <c r="E29" s="2845"/>
      <c r="F29" s="2034"/>
      <c r="G29" s="2845"/>
      <c r="H29" s="2034"/>
      <c r="I29" s="2845"/>
      <c r="J29" s="2034"/>
      <c r="K29" s="2845"/>
      <c r="L29" s="2034"/>
      <c r="M29" s="2845"/>
      <c r="N29" s="2035"/>
    </row>
    <row r="30" spans="1:14" hidden="1">
      <c r="A30" s="63">
        <v>1995.09</v>
      </c>
      <c r="B30" s="2033"/>
      <c r="C30" s="2845"/>
      <c r="D30" s="2034"/>
      <c r="E30" s="2845"/>
      <c r="F30" s="2034"/>
      <c r="G30" s="2845"/>
      <c r="H30" s="2034"/>
      <c r="I30" s="2845"/>
      <c r="J30" s="2034"/>
      <c r="K30" s="2845"/>
      <c r="L30" s="2034"/>
      <c r="M30" s="2845"/>
      <c r="N30" s="2035"/>
    </row>
    <row r="31" spans="1:14" hidden="1">
      <c r="A31" s="63">
        <v>1995.1</v>
      </c>
      <c r="B31" s="2033"/>
      <c r="C31" s="2845"/>
      <c r="D31" s="2034"/>
      <c r="E31" s="2845"/>
      <c r="F31" s="2034"/>
      <c r="G31" s="2845"/>
      <c r="H31" s="2034"/>
      <c r="I31" s="2845"/>
      <c r="J31" s="2034"/>
      <c r="K31" s="2845"/>
      <c r="L31" s="2034"/>
      <c r="M31" s="2845"/>
      <c r="N31" s="2035"/>
    </row>
    <row r="32" spans="1:14" hidden="1">
      <c r="A32" s="63">
        <v>1995.11</v>
      </c>
      <c r="B32" s="2033"/>
      <c r="C32" s="2845"/>
      <c r="D32" s="2034"/>
      <c r="E32" s="2845"/>
      <c r="F32" s="2034"/>
      <c r="G32" s="2845"/>
      <c r="H32" s="2034"/>
      <c r="I32" s="2845"/>
      <c r="J32" s="2034"/>
      <c r="K32" s="2845"/>
      <c r="L32" s="2034"/>
      <c r="M32" s="2845"/>
      <c r="N32" s="2035"/>
    </row>
    <row r="33" spans="1:14" hidden="1">
      <c r="A33" s="63">
        <v>1995.12</v>
      </c>
      <c r="B33" s="2033"/>
      <c r="C33" s="2845"/>
      <c r="D33" s="2034"/>
      <c r="E33" s="2845"/>
      <c r="F33" s="2034"/>
      <c r="G33" s="2845"/>
      <c r="H33" s="2034"/>
      <c r="I33" s="2845"/>
      <c r="J33" s="2034"/>
      <c r="K33" s="2845"/>
      <c r="L33" s="2034"/>
      <c r="M33" s="2845"/>
      <c r="N33" s="2035"/>
    </row>
    <row r="34" spans="1:14" hidden="1">
      <c r="A34" s="63">
        <v>1996.01</v>
      </c>
      <c r="B34" s="2033"/>
      <c r="C34" s="2845"/>
      <c r="D34" s="2034"/>
      <c r="E34" s="2845"/>
      <c r="F34" s="2034"/>
      <c r="G34" s="2845"/>
      <c r="H34" s="2034"/>
      <c r="I34" s="2845"/>
      <c r="J34" s="2034"/>
      <c r="K34" s="2845"/>
      <c r="L34" s="2034"/>
      <c r="M34" s="2845"/>
      <c r="N34" s="2035"/>
    </row>
    <row r="35" spans="1:14" hidden="1">
      <c r="A35" s="63">
        <v>1996.02</v>
      </c>
      <c r="B35" s="2033"/>
      <c r="C35" s="2845"/>
      <c r="D35" s="2034"/>
      <c r="E35" s="2845"/>
      <c r="F35" s="2034"/>
      <c r="G35" s="2845"/>
      <c r="H35" s="2034"/>
      <c r="I35" s="2845"/>
      <c r="J35" s="2034"/>
      <c r="K35" s="2845"/>
      <c r="L35" s="2034"/>
      <c r="M35" s="2845"/>
      <c r="N35" s="2035"/>
    </row>
    <row r="36" spans="1:14" hidden="1">
      <c r="A36" s="63">
        <v>1996.03</v>
      </c>
      <c r="B36" s="2033"/>
      <c r="C36" s="2845"/>
      <c r="D36" s="2034"/>
      <c r="E36" s="2845"/>
      <c r="F36" s="2034"/>
      <c r="G36" s="2845"/>
      <c r="H36" s="2034"/>
      <c r="I36" s="2845"/>
      <c r="J36" s="2034"/>
      <c r="K36" s="2845"/>
      <c r="L36" s="2034"/>
      <c r="M36" s="2845"/>
      <c r="N36" s="2035"/>
    </row>
    <row r="37" spans="1:14" hidden="1">
      <c r="A37" s="63">
        <v>1996.04</v>
      </c>
      <c r="B37" s="2033"/>
      <c r="C37" s="2845"/>
      <c r="D37" s="2034"/>
      <c r="E37" s="2845"/>
      <c r="F37" s="2034"/>
      <c r="G37" s="2845"/>
      <c r="H37" s="2034"/>
      <c r="I37" s="2845"/>
      <c r="J37" s="2034"/>
      <c r="K37" s="2845"/>
      <c r="L37" s="2034"/>
      <c r="M37" s="2845"/>
      <c r="N37" s="2035"/>
    </row>
    <row r="38" spans="1:14" hidden="1">
      <c r="A38" s="63">
        <v>1996.05</v>
      </c>
      <c r="B38" s="2033"/>
      <c r="C38" s="2845"/>
      <c r="D38" s="2034"/>
      <c r="E38" s="2845"/>
      <c r="F38" s="2034"/>
      <c r="G38" s="2845"/>
      <c r="H38" s="2034"/>
      <c r="I38" s="2845"/>
      <c r="J38" s="2034"/>
      <c r="K38" s="2845"/>
      <c r="L38" s="2034"/>
      <c r="M38" s="2845"/>
      <c r="N38" s="2035"/>
    </row>
    <row r="39" spans="1:14" hidden="1">
      <c r="A39" s="63">
        <v>1996.06</v>
      </c>
      <c r="B39" s="2033"/>
      <c r="C39" s="2845"/>
      <c r="D39" s="2034"/>
      <c r="E39" s="2845"/>
      <c r="F39" s="2034"/>
      <c r="G39" s="2845"/>
      <c r="H39" s="2034"/>
      <c r="I39" s="2845"/>
      <c r="J39" s="2034"/>
      <c r="K39" s="2845"/>
      <c r="L39" s="2034"/>
      <c r="M39" s="2845"/>
      <c r="N39" s="2035"/>
    </row>
    <row r="40" spans="1:14" hidden="1">
      <c r="A40" s="63">
        <v>1996.07</v>
      </c>
      <c r="B40" s="2033"/>
      <c r="C40" s="2845"/>
      <c r="D40" s="2034"/>
      <c r="E40" s="2845"/>
      <c r="F40" s="2034"/>
      <c r="G40" s="2845"/>
      <c r="H40" s="2034"/>
      <c r="I40" s="2845"/>
      <c r="J40" s="2034"/>
      <c r="K40" s="2845"/>
      <c r="L40" s="2034"/>
      <c r="M40" s="2845"/>
      <c r="N40" s="2035"/>
    </row>
    <row r="41" spans="1:14" hidden="1">
      <c r="A41" s="63">
        <v>1996.08</v>
      </c>
      <c r="B41" s="2033"/>
      <c r="C41" s="2845"/>
      <c r="D41" s="2034"/>
      <c r="E41" s="2845"/>
      <c r="F41" s="2034"/>
      <c r="G41" s="2845"/>
      <c r="H41" s="2034"/>
      <c r="I41" s="2845"/>
      <c r="J41" s="2034"/>
      <c r="K41" s="2845"/>
      <c r="L41" s="2034"/>
      <c r="M41" s="2845"/>
      <c r="N41" s="2035"/>
    </row>
    <row r="42" spans="1:14" hidden="1">
      <c r="A42" s="63">
        <v>1996.09</v>
      </c>
      <c r="B42" s="2033"/>
      <c r="C42" s="2845"/>
      <c r="D42" s="2034"/>
      <c r="E42" s="2845"/>
      <c r="F42" s="2034"/>
      <c r="G42" s="2845"/>
      <c r="H42" s="2034"/>
      <c r="I42" s="2845"/>
      <c r="J42" s="2034"/>
      <c r="K42" s="2845"/>
      <c r="L42" s="2034"/>
      <c r="M42" s="2845"/>
      <c r="N42" s="2035"/>
    </row>
    <row r="43" spans="1:14" hidden="1">
      <c r="A43" s="63">
        <v>1996.1</v>
      </c>
      <c r="B43" s="2033"/>
      <c r="C43" s="2845"/>
      <c r="D43" s="2034"/>
      <c r="E43" s="2845"/>
      <c r="F43" s="2034"/>
      <c r="G43" s="2845"/>
      <c r="H43" s="2034"/>
      <c r="I43" s="2845"/>
      <c r="J43" s="2034"/>
      <c r="K43" s="2845"/>
      <c r="L43" s="2034"/>
      <c r="M43" s="2845"/>
      <c r="N43" s="2035"/>
    </row>
    <row r="44" spans="1:14" hidden="1">
      <c r="A44" s="63">
        <v>1996.11</v>
      </c>
      <c r="B44" s="2033"/>
      <c r="C44" s="2845"/>
      <c r="D44" s="2034"/>
      <c r="E44" s="2845"/>
      <c r="F44" s="2034"/>
      <c r="G44" s="2845"/>
      <c r="H44" s="2034"/>
      <c r="I44" s="2845"/>
      <c r="J44" s="2034"/>
      <c r="K44" s="2845"/>
      <c r="L44" s="2034"/>
      <c r="M44" s="2845"/>
      <c r="N44" s="2035"/>
    </row>
    <row r="45" spans="1:14" hidden="1">
      <c r="A45" s="63">
        <v>1996.12</v>
      </c>
      <c r="B45" s="2033"/>
      <c r="C45" s="2845"/>
      <c r="D45" s="2034"/>
      <c r="E45" s="2845"/>
      <c r="F45" s="2034"/>
      <c r="G45" s="2845"/>
      <c r="H45" s="2034"/>
      <c r="I45" s="2845"/>
      <c r="J45" s="2034"/>
      <c r="K45" s="2845"/>
      <c r="L45" s="2034"/>
      <c r="M45" s="2845"/>
      <c r="N45" s="2035"/>
    </row>
    <row r="46" spans="1:14" hidden="1">
      <c r="A46" s="63">
        <v>1997.01</v>
      </c>
      <c r="B46" s="2033"/>
      <c r="C46" s="2845"/>
      <c r="D46" s="2034"/>
      <c r="E46" s="2845"/>
      <c r="F46" s="2034"/>
      <c r="G46" s="2845"/>
      <c r="H46" s="2034"/>
      <c r="I46" s="2845"/>
      <c r="J46" s="2034"/>
      <c r="K46" s="2845"/>
      <c r="L46" s="2034"/>
      <c r="M46" s="2845"/>
      <c r="N46" s="2035"/>
    </row>
    <row r="47" spans="1:14" hidden="1">
      <c r="A47" s="63">
        <v>1997.02</v>
      </c>
      <c r="B47" s="2033"/>
      <c r="C47" s="2845"/>
      <c r="D47" s="2034"/>
      <c r="E47" s="2845"/>
      <c r="F47" s="2034"/>
      <c r="G47" s="2845"/>
      <c r="H47" s="2034"/>
      <c r="I47" s="2845"/>
      <c r="J47" s="2034"/>
      <c r="K47" s="2845"/>
      <c r="L47" s="2034"/>
      <c r="M47" s="2845"/>
      <c r="N47" s="2035"/>
    </row>
    <row r="48" spans="1:14" hidden="1">
      <c r="A48" s="63">
        <v>1997.03</v>
      </c>
      <c r="B48" s="2033"/>
      <c r="C48" s="2845"/>
      <c r="D48" s="2034"/>
      <c r="E48" s="2845"/>
      <c r="F48" s="2034"/>
      <c r="G48" s="2845"/>
      <c r="H48" s="2034"/>
      <c r="I48" s="2845"/>
      <c r="J48" s="2034"/>
      <c r="K48" s="2845"/>
      <c r="L48" s="2034"/>
      <c r="M48" s="2845"/>
      <c r="N48" s="2035"/>
    </row>
    <row r="49" spans="1:14" hidden="1">
      <c r="A49" s="63">
        <v>1997.04</v>
      </c>
      <c r="B49" s="2033"/>
      <c r="C49" s="2845"/>
      <c r="D49" s="2034"/>
      <c r="E49" s="2845"/>
      <c r="F49" s="2034"/>
      <c r="G49" s="2845"/>
      <c r="H49" s="2034"/>
      <c r="I49" s="2845"/>
      <c r="J49" s="2034"/>
      <c r="K49" s="2845"/>
      <c r="L49" s="2034"/>
      <c r="M49" s="2845"/>
      <c r="N49" s="2035"/>
    </row>
    <row r="50" spans="1:14" hidden="1">
      <c r="A50" s="63">
        <v>1997.05</v>
      </c>
      <c r="B50" s="2033"/>
      <c r="C50" s="2845"/>
      <c r="D50" s="2034"/>
      <c r="E50" s="2845"/>
      <c r="F50" s="2034"/>
      <c r="G50" s="2845"/>
      <c r="H50" s="2034"/>
      <c r="I50" s="2845"/>
      <c r="J50" s="2034"/>
      <c r="K50" s="2845"/>
      <c r="L50" s="2034"/>
      <c r="M50" s="2845"/>
      <c r="N50" s="2035"/>
    </row>
    <row r="51" spans="1:14" hidden="1">
      <c r="A51" s="63">
        <v>1997.06</v>
      </c>
      <c r="B51" s="2033"/>
      <c r="C51" s="2845"/>
      <c r="D51" s="2034"/>
      <c r="E51" s="2845"/>
      <c r="F51" s="2034"/>
      <c r="G51" s="2845"/>
      <c r="H51" s="2034"/>
      <c r="I51" s="2845"/>
      <c r="J51" s="2034"/>
      <c r="K51" s="2845"/>
      <c r="L51" s="2034"/>
      <c r="M51" s="2845"/>
      <c r="N51" s="2035"/>
    </row>
    <row r="52" spans="1:14" hidden="1">
      <c r="A52" s="63">
        <v>1997.07</v>
      </c>
      <c r="B52" s="2033"/>
      <c r="C52" s="2845"/>
      <c r="D52" s="2034"/>
      <c r="E52" s="2845"/>
      <c r="F52" s="2034"/>
      <c r="G52" s="2845"/>
      <c r="H52" s="2034"/>
      <c r="I52" s="2845"/>
      <c r="J52" s="2034"/>
      <c r="K52" s="2845"/>
      <c r="L52" s="2034"/>
      <c r="M52" s="2845"/>
      <c r="N52" s="2035"/>
    </row>
    <row r="53" spans="1:14" hidden="1">
      <c r="A53" s="63">
        <v>1997.08</v>
      </c>
      <c r="B53" s="2033"/>
      <c r="C53" s="2845"/>
      <c r="D53" s="2034"/>
      <c r="E53" s="2845"/>
      <c r="F53" s="2034"/>
      <c r="G53" s="2845"/>
      <c r="H53" s="2034"/>
      <c r="I53" s="2845"/>
      <c r="J53" s="2034"/>
      <c r="K53" s="2845"/>
      <c r="L53" s="2034"/>
      <c r="M53" s="2845"/>
      <c r="N53" s="2035"/>
    </row>
    <row r="54" spans="1:14" hidden="1">
      <c r="A54" s="63">
        <v>1997.09</v>
      </c>
      <c r="B54" s="2033"/>
      <c r="C54" s="2845"/>
      <c r="D54" s="2034"/>
      <c r="E54" s="2845"/>
      <c r="F54" s="2034"/>
      <c r="G54" s="2845"/>
      <c r="H54" s="2034"/>
      <c r="I54" s="2845"/>
      <c r="J54" s="2034"/>
      <c r="K54" s="2845"/>
      <c r="L54" s="2034"/>
      <c r="M54" s="2845"/>
      <c r="N54" s="2035"/>
    </row>
    <row r="55" spans="1:14" hidden="1">
      <c r="A55" s="63">
        <v>1997.1</v>
      </c>
      <c r="B55" s="2033"/>
      <c r="C55" s="2845"/>
      <c r="D55" s="2034"/>
      <c r="E55" s="2845"/>
      <c r="F55" s="2034"/>
      <c r="G55" s="2845"/>
      <c r="H55" s="2034"/>
      <c r="I55" s="2845"/>
      <c r="J55" s="2034"/>
      <c r="K55" s="2845"/>
      <c r="L55" s="2034"/>
      <c r="M55" s="2845"/>
      <c r="N55" s="2035"/>
    </row>
    <row r="56" spans="1:14" hidden="1">
      <c r="A56" s="63">
        <v>1997.11</v>
      </c>
      <c r="B56" s="2033"/>
      <c r="C56" s="2845"/>
      <c r="D56" s="2034"/>
      <c r="E56" s="2845"/>
      <c r="F56" s="2034"/>
      <c r="G56" s="2845"/>
      <c r="H56" s="2034"/>
      <c r="I56" s="2845"/>
      <c r="J56" s="2034"/>
      <c r="K56" s="2845"/>
      <c r="L56" s="2034"/>
      <c r="M56" s="2845"/>
      <c r="N56" s="2035"/>
    </row>
    <row r="57" spans="1:14" hidden="1">
      <c r="A57" s="63">
        <v>1997.12</v>
      </c>
      <c r="B57" s="2033"/>
      <c r="C57" s="2845"/>
      <c r="D57" s="2034"/>
      <c r="E57" s="2845"/>
      <c r="F57" s="2034"/>
      <c r="G57" s="2845"/>
      <c r="H57" s="2034"/>
      <c r="I57" s="2845"/>
      <c r="J57" s="2034"/>
      <c r="K57" s="2845"/>
      <c r="L57" s="2034"/>
      <c r="M57" s="2845"/>
      <c r="N57" s="2035"/>
    </row>
    <row r="58" spans="1:14" hidden="1">
      <c r="A58" s="63">
        <v>1998.01</v>
      </c>
      <c r="B58" s="2033"/>
      <c r="C58" s="2845"/>
      <c r="D58" s="2034"/>
      <c r="E58" s="2845"/>
      <c r="F58" s="2034"/>
      <c r="G58" s="2845"/>
      <c r="H58" s="2034"/>
      <c r="I58" s="2845"/>
      <c r="J58" s="2034"/>
      <c r="K58" s="2845"/>
      <c r="L58" s="2034"/>
      <c r="M58" s="2845"/>
      <c r="N58" s="2035"/>
    </row>
    <row r="59" spans="1:14" hidden="1">
      <c r="A59" s="63">
        <v>1998.02</v>
      </c>
      <c r="B59" s="2033"/>
      <c r="C59" s="2845"/>
      <c r="D59" s="2034"/>
      <c r="E59" s="2845"/>
      <c r="F59" s="2034"/>
      <c r="G59" s="2845"/>
      <c r="H59" s="2034"/>
      <c r="I59" s="2845"/>
      <c r="J59" s="2034"/>
      <c r="K59" s="2845"/>
      <c r="L59" s="2034"/>
      <c r="M59" s="2845"/>
      <c r="N59" s="2035"/>
    </row>
    <row r="60" spans="1:14" hidden="1">
      <c r="A60" s="63">
        <v>1998.03</v>
      </c>
      <c r="B60" s="2033"/>
      <c r="C60" s="2845"/>
      <c r="D60" s="2034"/>
      <c r="E60" s="2845"/>
      <c r="F60" s="2034"/>
      <c r="G60" s="2845"/>
      <c r="H60" s="2034"/>
      <c r="I60" s="2845"/>
      <c r="J60" s="2034"/>
      <c r="K60" s="2845"/>
      <c r="L60" s="2034"/>
      <c r="M60" s="2845"/>
      <c r="N60" s="2035"/>
    </row>
    <row r="61" spans="1:14" hidden="1">
      <c r="A61" s="63">
        <v>1998.04</v>
      </c>
      <c r="B61" s="2033"/>
      <c r="C61" s="2845"/>
      <c r="D61" s="2034"/>
      <c r="E61" s="2845"/>
      <c r="F61" s="2034"/>
      <c r="G61" s="2845"/>
      <c r="H61" s="2034"/>
      <c r="I61" s="2845"/>
      <c r="J61" s="2034"/>
      <c r="K61" s="2845"/>
      <c r="L61" s="2034"/>
      <c r="M61" s="2845"/>
      <c r="N61" s="2035"/>
    </row>
    <row r="62" spans="1:14" hidden="1">
      <c r="A62" s="63">
        <v>1998.05</v>
      </c>
      <c r="B62" s="2033"/>
      <c r="C62" s="2845"/>
      <c r="D62" s="2034"/>
      <c r="E62" s="2845"/>
      <c r="F62" s="2034"/>
      <c r="G62" s="2845"/>
      <c r="H62" s="2034"/>
      <c r="I62" s="2845"/>
      <c r="J62" s="2034"/>
      <c r="K62" s="2845"/>
      <c r="L62" s="2034"/>
      <c r="M62" s="2845"/>
      <c r="N62" s="2035"/>
    </row>
    <row r="63" spans="1:14" hidden="1">
      <c r="A63" s="63">
        <v>1998.06</v>
      </c>
      <c r="B63" s="2033"/>
      <c r="C63" s="2845"/>
      <c r="D63" s="2034"/>
      <c r="E63" s="2845"/>
      <c r="F63" s="2034"/>
      <c r="G63" s="2845"/>
      <c r="H63" s="2034"/>
      <c r="I63" s="2845"/>
      <c r="J63" s="2034"/>
      <c r="K63" s="2845"/>
      <c r="L63" s="2034"/>
      <c r="M63" s="2845"/>
      <c r="N63" s="2035"/>
    </row>
    <row r="64" spans="1:14" hidden="1">
      <c r="A64" s="63">
        <v>1998.07</v>
      </c>
      <c r="B64" s="2033"/>
      <c r="C64" s="2845"/>
      <c r="D64" s="2034"/>
      <c r="E64" s="2845"/>
      <c r="F64" s="2034"/>
      <c r="G64" s="2845"/>
      <c r="H64" s="2034"/>
      <c r="I64" s="2845"/>
      <c r="J64" s="2034"/>
      <c r="K64" s="2845"/>
      <c r="L64" s="2034"/>
      <c r="M64" s="2845"/>
      <c r="N64" s="2035"/>
    </row>
    <row r="65" spans="1:14" hidden="1">
      <c r="A65" s="63">
        <v>1998.08</v>
      </c>
      <c r="B65" s="2033"/>
      <c r="C65" s="2845"/>
      <c r="D65" s="2034"/>
      <c r="E65" s="2845"/>
      <c r="F65" s="2034"/>
      <c r="G65" s="2845"/>
      <c r="H65" s="2034"/>
      <c r="I65" s="2845"/>
      <c r="J65" s="2034"/>
      <c r="K65" s="2845"/>
      <c r="L65" s="2034"/>
      <c r="M65" s="2845"/>
      <c r="N65" s="2035"/>
    </row>
    <row r="66" spans="1:14" hidden="1">
      <c r="A66" s="63">
        <v>1998.09</v>
      </c>
      <c r="B66" s="2033"/>
      <c r="C66" s="2845"/>
      <c r="D66" s="2034"/>
      <c r="E66" s="2845"/>
      <c r="F66" s="2034"/>
      <c r="G66" s="2845"/>
      <c r="H66" s="2034"/>
      <c r="I66" s="2845"/>
      <c r="J66" s="2034"/>
      <c r="K66" s="2845"/>
      <c r="L66" s="2034"/>
      <c r="M66" s="2845"/>
      <c r="N66" s="2035"/>
    </row>
    <row r="67" spans="1:14" hidden="1">
      <c r="A67" s="63">
        <v>1998.1</v>
      </c>
      <c r="B67" s="2033"/>
      <c r="C67" s="2845"/>
      <c r="D67" s="2034"/>
      <c r="E67" s="2845"/>
      <c r="F67" s="2034"/>
      <c r="G67" s="2845"/>
      <c r="H67" s="2034"/>
      <c r="I67" s="2845"/>
      <c r="J67" s="2034"/>
      <c r="K67" s="2845"/>
      <c r="L67" s="2034"/>
      <c r="M67" s="2845"/>
      <c r="N67" s="2035"/>
    </row>
    <row r="68" spans="1:14" hidden="1">
      <c r="A68" s="63">
        <v>1998.11</v>
      </c>
      <c r="B68" s="2033"/>
      <c r="C68" s="2845"/>
      <c r="D68" s="2034"/>
      <c r="E68" s="2845"/>
      <c r="F68" s="2034"/>
      <c r="G68" s="2845"/>
      <c r="H68" s="2034"/>
      <c r="I68" s="2845"/>
      <c r="J68" s="2034"/>
      <c r="K68" s="2845"/>
      <c r="L68" s="2034"/>
      <c r="M68" s="2845"/>
      <c r="N68" s="2035"/>
    </row>
    <row r="69" spans="1:14" hidden="1">
      <c r="A69" s="63">
        <v>1998.12</v>
      </c>
      <c r="B69" s="2033"/>
      <c r="C69" s="2845"/>
      <c r="D69" s="2034"/>
      <c r="E69" s="2845"/>
      <c r="F69" s="2034"/>
      <c r="G69" s="2845"/>
      <c r="H69" s="2034"/>
      <c r="I69" s="2845"/>
      <c r="J69" s="2034"/>
      <c r="K69" s="2845"/>
      <c r="L69" s="2034"/>
      <c r="M69" s="2845"/>
      <c r="N69" s="2035"/>
    </row>
    <row r="70" spans="1:14" hidden="1">
      <c r="A70" s="63">
        <v>1999.01</v>
      </c>
      <c r="B70" s="2033"/>
      <c r="C70" s="2845"/>
      <c r="D70" s="2034"/>
      <c r="E70" s="2845"/>
      <c r="F70" s="2034"/>
      <c r="G70" s="2845"/>
      <c r="H70" s="2034"/>
      <c r="I70" s="2845"/>
      <c r="J70" s="2034"/>
      <c r="K70" s="2845"/>
      <c r="L70" s="2034"/>
      <c r="M70" s="2845"/>
      <c r="N70" s="2035"/>
    </row>
    <row r="71" spans="1:14" hidden="1">
      <c r="A71" s="63">
        <v>1999.02</v>
      </c>
      <c r="B71" s="2033"/>
      <c r="C71" s="2845"/>
      <c r="D71" s="2034"/>
      <c r="E71" s="2845"/>
      <c r="F71" s="2034"/>
      <c r="G71" s="2845"/>
      <c r="H71" s="2034"/>
      <c r="I71" s="2845"/>
      <c r="J71" s="2034"/>
      <c r="K71" s="2845"/>
      <c r="L71" s="2034"/>
      <c r="M71" s="2845"/>
      <c r="N71" s="2035"/>
    </row>
    <row r="72" spans="1:14" hidden="1">
      <c r="A72" s="63">
        <v>1999.03</v>
      </c>
      <c r="B72" s="2033"/>
      <c r="C72" s="2845"/>
      <c r="D72" s="2034"/>
      <c r="E72" s="2845"/>
      <c r="F72" s="2034"/>
      <c r="G72" s="2845"/>
      <c r="H72" s="2034"/>
      <c r="I72" s="2845"/>
      <c r="J72" s="2034"/>
      <c r="K72" s="2845"/>
      <c r="L72" s="2034"/>
      <c r="M72" s="2845"/>
      <c r="N72" s="2035"/>
    </row>
    <row r="73" spans="1:14" hidden="1">
      <c r="A73" s="63">
        <v>1999.04</v>
      </c>
      <c r="B73" s="2033"/>
      <c r="C73" s="2845"/>
      <c r="D73" s="2034"/>
      <c r="E73" s="2845"/>
      <c r="F73" s="2034"/>
      <c r="G73" s="2845"/>
      <c r="H73" s="2034"/>
      <c r="I73" s="2845"/>
      <c r="J73" s="2034"/>
      <c r="K73" s="2845"/>
      <c r="L73" s="2034"/>
      <c r="M73" s="2845"/>
      <c r="N73" s="2035"/>
    </row>
    <row r="74" spans="1:14" hidden="1">
      <c r="A74" s="63">
        <v>1999.05</v>
      </c>
      <c r="B74" s="2033"/>
      <c r="C74" s="2845"/>
      <c r="D74" s="2034"/>
      <c r="E74" s="2845"/>
      <c r="F74" s="2034"/>
      <c r="G74" s="2845"/>
      <c r="H74" s="2034"/>
      <c r="I74" s="2845"/>
      <c r="J74" s="2034"/>
      <c r="K74" s="2845"/>
      <c r="L74" s="2034"/>
      <c r="M74" s="2845"/>
      <c r="N74" s="2035"/>
    </row>
    <row r="75" spans="1:14" hidden="1">
      <c r="A75" s="63">
        <v>1999.06</v>
      </c>
      <c r="B75" s="2033"/>
      <c r="C75" s="2845"/>
      <c r="D75" s="2034"/>
      <c r="E75" s="2845"/>
      <c r="F75" s="2034"/>
      <c r="G75" s="2845"/>
      <c r="H75" s="2034"/>
      <c r="I75" s="2845"/>
      <c r="J75" s="2034"/>
      <c r="K75" s="2845"/>
      <c r="L75" s="2034"/>
      <c r="M75" s="2845"/>
      <c r="N75" s="2035"/>
    </row>
    <row r="76" spans="1:14" hidden="1">
      <c r="A76" s="63">
        <v>1999.07</v>
      </c>
      <c r="B76" s="2033"/>
      <c r="C76" s="2845"/>
      <c r="D76" s="2034"/>
      <c r="E76" s="2845"/>
      <c r="F76" s="2034"/>
      <c r="G76" s="2845"/>
      <c r="H76" s="2034"/>
      <c r="I76" s="2845"/>
      <c r="J76" s="2034"/>
      <c r="K76" s="2845"/>
      <c r="L76" s="2034"/>
      <c r="M76" s="2845"/>
      <c r="N76" s="2035"/>
    </row>
    <row r="77" spans="1:14" hidden="1">
      <c r="A77" s="63">
        <v>1999.08</v>
      </c>
      <c r="B77" s="2033"/>
      <c r="C77" s="2845"/>
      <c r="D77" s="2034"/>
      <c r="E77" s="2845"/>
      <c r="F77" s="2034"/>
      <c r="G77" s="2845"/>
      <c r="H77" s="2034"/>
      <c r="I77" s="2845"/>
      <c r="J77" s="2034"/>
      <c r="K77" s="2845"/>
      <c r="L77" s="2034"/>
      <c r="M77" s="2845"/>
      <c r="N77" s="2035"/>
    </row>
    <row r="78" spans="1:14" hidden="1">
      <c r="A78" s="63">
        <v>1999.09</v>
      </c>
      <c r="B78" s="2033"/>
      <c r="C78" s="2845"/>
      <c r="D78" s="2034"/>
      <c r="E78" s="2845"/>
      <c r="F78" s="2034"/>
      <c r="G78" s="2845"/>
      <c r="H78" s="2034"/>
      <c r="I78" s="2845"/>
      <c r="J78" s="2034"/>
      <c r="K78" s="2845"/>
      <c r="L78" s="2034"/>
      <c r="M78" s="2845"/>
      <c r="N78" s="2035"/>
    </row>
    <row r="79" spans="1:14" hidden="1">
      <c r="A79" s="63">
        <v>1999.1</v>
      </c>
      <c r="B79" s="2033"/>
      <c r="C79" s="2845"/>
      <c r="D79" s="2034"/>
      <c r="E79" s="2845"/>
      <c r="F79" s="2034"/>
      <c r="G79" s="2845"/>
      <c r="H79" s="2034"/>
      <c r="I79" s="2845"/>
      <c r="J79" s="2034"/>
      <c r="K79" s="2845"/>
      <c r="L79" s="2034"/>
      <c r="M79" s="2845"/>
      <c r="N79" s="2035"/>
    </row>
    <row r="80" spans="1:14" hidden="1">
      <c r="A80" s="63">
        <v>1999.11</v>
      </c>
      <c r="B80" s="2033"/>
      <c r="C80" s="2845"/>
      <c r="D80" s="2034"/>
      <c r="E80" s="2845"/>
      <c r="F80" s="2034"/>
      <c r="G80" s="2845"/>
      <c r="H80" s="2034"/>
      <c r="I80" s="2845"/>
      <c r="J80" s="2034"/>
      <c r="K80" s="2845"/>
      <c r="L80" s="2034"/>
      <c r="M80" s="2845"/>
      <c r="N80" s="2035"/>
    </row>
    <row r="81" spans="1:14" hidden="1">
      <c r="A81" s="63">
        <v>1999.12</v>
      </c>
      <c r="B81" s="2033"/>
      <c r="C81" s="2845"/>
      <c r="D81" s="2034"/>
      <c r="E81" s="2845"/>
      <c r="F81" s="2034"/>
      <c r="G81" s="2845"/>
      <c r="H81" s="2034"/>
      <c r="I81" s="2845"/>
      <c r="J81" s="2034"/>
      <c r="K81" s="2845"/>
      <c r="L81" s="2034"/>
      <c r="M81" s="2845"/>
      <c r="N81" s="2035"/>
    </row>
    <row r="82" spans="1:14" hidden="1">
      <c r="A82" s="63">
        <v>2000.01</v>
      </c>
      <c r="B82" s="2033"/>
      <c r="C82" s="2845"/>
      <c r="D82" s="2034"/>
      <c r="E82" s="2845"/>
      <c r="F82" s="2034"/>
      <c r="G82" s="2845"/>
      <c r="H82" s="2034"/>
      <c r="I82" s="2845"/>
      <c r="J82" s="2034"/>
      <c r="K82" s="2845"/>
      <c r="L82" s="2034"/>
      <c r="M82" s="2845"/>
      <c r="N82" s="2035"/>
    </row>
    <row r="83" spans="1:14" hidden="1">
      <c r="A83" s="63">
        <v>2000.02</v>
      </c>
      <c r="B83" s="2033"/>
      <c r="C83" s="2845"/>
      <c r="D83" s="2034"/>
      <c r="E83" s="2845"/>
      <c r="F83" s="2034"/>
      <c r="G83" s="2845"/>
      <c r="H83" s="2034"/>
      <c r="I83" s="2845"/>
      <c r="J83" s="2034"/>
      <c r="K83" s="2845"/>
      <c r="L83" s="2034"/>
      <c r="M83" s="2845"/>
      <c r="N83" s="2035"/>
    </row>
    <row r="84" spans="1:14" hidden="1">
      <c r="A84" s="63">
        <v>2000.03</v>
      </c>
      <c r="B84" s="2033"/>
      <c r="C84" s="2845"/>
      <c r="D84" s="2034"/>
      <c r="E84" s="2845"/>
      <c r="F84" s="2034"/>
      <c r="G84" s="2845"/>
      <c r="H84" s="2034"/>
      <c r="I84" s="2845"/>
      <c r="J84" s="2034"/>
      <c r="K84" s="2845"/>
      <c r="L84" s="2034"/>
      <c r="M84" s="2845"/>
      <c r="N84" s="2035"/>
    </row>
    <row r="85" spans="1:14" hidden="1">
      <c r="A85" s="63">
        <v>2000.04</v>
      </c>
      <c r="B85" s="2033"/>
      <c r="C85" s="2845"/>
      <c r="D85" s="2034"/>
      <c r="E85" s="2845"/>
      <c r="F85" s="2034"/>
      <c r="G85" s="2845"/>
      <c r="H85" s="2034"/>
      <c r="I85" s="2845"/>
      <c r="J85" s="2034"/>
      <c r="K85" s="2845"/>
      <c r="L85" s="2034"/>
      <c r="M85" s="2845"/>
      <c r="N85" s="2035"/>
    </row>
    <row r="86" spans="1:14" hidden="1">
      <c r="A86" s="63">
        <v>2000.05</v>
      </c>
      <c r="B86" s="2033"/>
      <c r="C86" s="2845"/>
      <c r="D86" s="2034"/>
      <c r="E86" s="2845"/>
      <c r="F86" s="2034"/>
      <c r="G86" s="2845"/>
      <c r="H86" s="2034"/>
      <c r="I86" s="2845"/>
      <c r="J86" s="2034"/>
      <c r="K86" s="2845"/>
      <c r="L86" s="2034"/>
      <c r="M86" s="2845"/>
      <c r="N86" s="2035"/>
    </row>
    <row r="87" spans="1:14" hidden="1">
      <c r="A87" s="63">
        <v>2000.06</v>
      </c>
      <c r="B87" s="2033"/>
      <c r="C87" s="2845"/>
      <c r="D87" s="2034"/>
      <c r="E87" s="2845"/>
      <c r="F87" s="2034"/>
      <c r="G87" s="2845"/>
      <c r="H87" s="2034"/>
      <c r="I87" s="2845"/>
      <c r="J87" s="2034"/>
      <c r="K87" s="2845"/>
      <c r="L87" s="2034"/>
      <c r="M87" s="2845"/>
      <c r="N87" s="2035"/>
    </row>
    <row r="88" spans="1:14" hidden="1">
      <c r="A88" s="63">
        <v>2000.07</v>
      </c>
      <c r="B88" s="2033"/>
      <c r="C88" s="2845"/>
      <c r="D88" s="2034"/>
      <c r="E88" s="2845"/>
      <c r="F88" s="2034"/>
      <c r="G88" s="2845"/>
      <c r="H88" s="2034"/>
      <c r="I88" s="2845"/>
      <c r="J88" s="2034"/>
      <c r="K88" s="2845"/>
      <c r="L88" s="2034"/>
      <c r="M88" s="2845"/>
      <c r="N88" s="2035"/>
    </row>
    <row r="89" spans="1:14" hidden="1">
      <c r="A89" s="63">
        <v>2000.08</v>
      </c>
      <c r="B89" s="2033"/>
      <c r="C89" s="2845"/>
      <c r="D89" s="2034"/>
      <c r="E89" s="2845"/>
      <c r="F89" s="2034"/>
      <c r="G89" s="2845"/>
      <c r="H89" s="2034"/>
      <c r="I89" s="2845"/>
      <c r="J89" s="2034"/>
      <c r="K89" s="2845"/>
      <c r="L89" s="2034"/>
      <c r="M89" s="2845"/>
      <c r="N89" s="2035"/>
    </row>
    <row r="90" spans="1:14" hidden="1">
      <c r="A90" s="63">
        <v>2000.09</v>
      </c>
      <c r="B90" s="2033"/>
      <c r="C90" s="2845"/>
      <c r="D90" s="2034"/>
      <c r="E90" s="2845"/>
      <c r="F90" s="2034"/>
      <c r="G90" s="2845"/>
      <c r="H90" s="2034"/>
      <c r="I90" s="2845"/>
      <c r="J90" s="2034"/>
      <c r="K90" s="2845"/>
      <c r="L90" s="2034"/>
      <c r="M90" s="2845"/>
      <c r="N90" s="2035"/>
    </row>
    <row r="91" spans="1:14" hidden="1">
      <c r="A91" s="63">
        <v>2000.1</v>
      </c>
      <c r="B91" s="2033"/>
      <c r="C91" s="2845"/>
      <c r="D91" s="2034"/>
      <c r="E91" s="2845"/>
      <c r="F91" s="2034"/>
      <c r="G91" s="2845"/>
      <c r="H91" s="2034"/>
      <c r="I91" s="2845"/>
      <c r="J91" s="2034"/>
      <c r="K91" s="2845"/>
      <c r="L91" s="2034"/>
      <c r="M91" s="2845"/>
      <c r="N91" s="2035"/>
    </row>
    <row r="92" spans="1:14" hidden="1">
      <c r="A92" s="63">
        <v>2000.11</v>
      </c>
      <c r="B92" s="2033"/>
      <c r="C92" s="2845"/>
      <c r="D92" s="2034"/>
      <c r="E92" s="2845"/>
      <c r="F92" s="2034"/>
      <c r="G92" s="2845"/>
      <c r="H92" s="2034"/>
      <c r="I92" s="2845"/>
      <c r="J92" s="2034"/>
      <c r="K92" s="2845"/>
      <c r="L92" s="2034"/>
      <c r="M92" s="2845"/>
      <c r="N92" s="2035"/>
    </row>
    <row r="93" spans="1:14" hidden="1">
      <c r="A93" s="63">
        <v>2000.12</v>
      </c>
      <c r="B93" s="2033"/>
      <c r="C93" s="2845"/>
      <c r="D93" s="2034"/>
      <c r="E93" s="2845"/>
      <c r="F93" s="2034"/>
      <c r="G93" s="2845"/>
      <c r="H93" s="2034"/>
      <c r="I93" s="2845"/>
      <c r="J93" s="2034"/>
      <c r="K93" s="2845"/>
      <c r="L93" s="2034"/>
      <c r="M93" s="2845"/>
      <c r="N93" s="2035"/>
    </row>
    <row r="94" spans="1:14" hidden="1">
      <c r="A94" s="63">
        <v>2001.01</v>
      </c>
      <c r="B94" s="2033"/>
      <c r="C94" s="2845"/>
      <c r="D94" s="2034"/>
      <c r="E94" s="2845"/>
      <c r="F94" s="2034"/>
      <c r="G94" s="2845"/>
      <c r="H94" s="2034"/>
      <c r="I94" s="2845"/>
      <c r="J94" s="2034"/>
      <c r="K94" s="2845"/>
      <c r="L94" s="2034"/>
      <c r="M94" s="2845"/>
      <c r="N94" s="2035"/>
    </row>
    <row r="95" spans="1:14" hidden="1">
      <c r="A95" s="63">
        <v>2001.02</v>
      </c>
      <c r="B95" s="2033"/>
      <c r="C95" s="2845"/>
      <c r="D95" s="2034"/>
      <c r="E95" s="2845"/>
      <c r="F95" s="2034"/>
      <c r="G95" s="2845"/>
      <c r="H95" s="2034"/>
      <c r="I95" s="2845"/>
      <c r="J95" s="2034"/>
      <c r="K95" s="2845"/>
      <c r="L95" s="2034"/>
      <c r="M95" s="2845"/>
      <c r="N95" s="2035"/>
    </row>
    <row r="96" spans="1:14" hidden="1">
      <c r="A96" s="63">
        <v>2001.03</v>
      </c>
      <c r="B96" s="2033"/>
      <c r="C96" s="2845"/>
      <c r="D96" s="2034"/>
      <c r="E96" s="2845"/>
      <c r="F96" s="2034"/>
      <c r="G96" s="2845"/>
      <c r="H96" s="2034"/>
      <c r="I96" s="2845"/>
      <c r="J96" s="2034"/>
      <c r="K96" s="2845"/>
      <c r="L96" s="2034"/>
      <c r="M96" s="2845"/>
      <c r="N96" s="2035"/>
    </row>
    <row r="97" spans="1:14" hidden="1">
      <c r="A97" s="63">
        <v>2001.04</v>
      </c>
      <c r="B97" s="2033"/>
      <c r="C97" s="2845"/>
      <c r="D97" s="2034"/>
      <c r="E97" s="2845"/>
      <c r="F97" s="2034"/>
      <c r="G97" s="2845"/>
      <c r="H97" s="2034"/>
      <c r="I97" s="2845"/>
      <c r="J97" s="2034"/>
      <c r="K97" s="2845"/>
      <c r="L97" s="2034"/>
      <c r="M97" s="2845"/>
      <c r="N97" s="2035"/>
    </row>
    <row r="98" spans="1:14" hidden="1">
      <c r="A98" s="63">
        <v>2001.05</v>
      </c>
      <c r="B98" s="2033"/>
      <c r="C98" s="2845"/>
      <c r="D98" s="2034"/>
      <c r="E98" s="2845"/>
      <c r="F98" s="2034"/>
      <c r="G98" s="2845"/>
      <c r="H98" s="2034"/>
      <c r="I98" s="2845"/>
      <c r="J98" s="2034"/>
      <c r="K98" s="2845"/>
      <c r="L98" s="2034"/>
      <c r="M98" s="2845"/>
      <c r="N98" s="2035"/>
    </row>
    <row r="99" spans="1:14" hidden="1">
      <c r="A99" s="63">
        <v>2001.06</v>
      </c>
      <c r="B99" s="2033"/>
      <c r="C99" s="2845"/>
      <c r="D99" s="2034"/>
      <c r="E99" s="2845"/>
      <c r="F99" s="2034"/>
      <c r="G99" s="2845"/>
      <c r="H99" s="2034"/>
      <c r="I99" s="2845"/>
      <c r="J99" s="2034"/>
      <c r="K99" s="2845"/>
      <c r="L99" s="2034"/>
      <c r="M99" s="2845"/>
      <c r="N99" s="2035"/>
    </row>
    <row r="100" spans="1:14" hidden="1">
      <c r="A100" s="63">
        <v>2001.07</v>
      </c>
      <c r="B100" s="2033"/>
      <c r="C100" s="2845"/>
      <c r="D100" s="2034"/>
      <c r="E100" s="2845"/>
      <c r="F100" s="2034"/>
      <c r="G100" s="2845"/>
      <c r="H100" s="2034"/>
      <c r="I100" s="2845"/>
      <c r="J100" s="2034"/>
      <c r="K100" s="2845"/>
      <c r="L100" s="2034"/>
      <c r="M100" s="2845"/>
      <c r="N100" s="2035"/>
    </row>
    <row r="101" spans="1:14" hidden="1">
      <c r="A101" s="63">
        <v>2001.08</v>
      </c>
      <c r="B101" s="2033"/>
      <c r="C101" s="2845"/>
      <c r="D101" s="2034"/>
      <c r="E101" s="2845"/>
      <c r="F101" s="2034"/>
      <c r="G101" s="2845"/>
      <c r="H101" s="2034"/>
      <c r="I101" s="2845"/>
      <c r="J101" s="2034"/>
      <c r="K101" s="2845"/>
      <c r="L101" s="2034"/>
      <c r="M101" s="2845"/>
      <c r="N101" s="2035"/>
    </row>
    <row r="102" spans="1:14" hidden="1">
      <c r="A102" s="63">
        <v>2001.09</v>
      </c>
      <c r="B102" s="2033"/>
      <c r="C102" s="2845"/>
      <c r="D102" s="2034"/>
      <c r="E102" s="2845"/>
      <c r="F102" s="2034"/>
      <c r="G102" s="2845"/>
      <c r="H102" s="2034"/>
      <c r="I102" s="2845"/>
      <c r="J102" s="2034"/>
      <c r="K102" s="2845"/>
      <c r="L102" s="2034"/>
      <c r="M102" s="2845"/>
      <c r="N102" s="2035"/>
    </row>
    <row r="103" spans="1:14" hidden="1">
      <c r="A103" s="63">
        <v>2001.1</v>
      </c>
      <c r="B103" s="2033"/>
      <c r="C103" s="2845"/>
      <c r="D103" s="2034"/>
      <c r="E103" s="2845"/>
      <c r="F103" s="2034"/>
      <c r="G103" s="2845"/>
      <c r="H103" s="2034"/>
      <c r="I103" s="2845"/>
      <c r="J103" s="2034"/>
      <c r="K103" s="2845"/>
      <c r="L103" s="2034"/>
      <c r="M103" s="2845"/>
      <c r="N103" s="2035"/>
    </row>
    <row r="104" spans="1:14" hidden="1">
      <c r="A104" s="63">
        <v>2001.11</v>
      </c>
      <c r="B104" s="2033"/>
      <c r="C104" s="2845"/>
      <c r="D104" s="2034"/>
      <c r="E104" s="2845"/>
      <c r="F104" s="2034"/>
      <c r="G104" s="2845"/>
      <c r="H104" s="2034"/>
      <c r="I104" s="2845"/>
      <c r="J104" s="2034"/>
      <c r="K104" s="2845"/>
      <c r="L104" s="2034"/>
      <c r="M104" s="2845"/>
      <c r="N104" s="2035"/>
    </row>
    <row r="105" spans="1:14" hidden="1">
      <c r="A105" s="63">
        <v>2001.12</v>
      </c>
      <c r="B105" s="2033"/>
      <c r="C105" s="2845"/>
      <c r="D105" s="2034"/>
      <c r="E105" s="2845"/>
      <c r="F105" s="2034"/>
      <c r="G105" s="2845"/>
      <c r="H105" s="2034"/>
      <c r="I105" s="2845"/>
      <c r="J105" s="2034"/>
      <c r="K105" s="2845"/>
      <c r="L105" s="2034"/>
      <c r="M105" s="2845"/>
      <c r="N105" s="2035"/>
    </row>
    <row r="106" spans="1:14">
      <c r="A106" s="63">
        <v>2002.01</v>
      </c>
      <c r="B106" s="2971">
        <v>48.161690777538603</v>
      </c>
      <c r="C106" s="3171">
        <v>64.1035050393685</v>
      </c>
      <c r="D106" s="2971">
        <v>64.107916126171304</v>
      </c>
      <c r="E106" s="3171">
        <v>26.4590948821096</v>
      </c>
      <c r="F106" s="2971">
        <v>66.877157258694893</v>
      </c>
      <c r="G106" s="3171">
        <v>53.2</v>
      </c>
      <c r="H106" s="2971">
        <v>82.832304046896098</v>
      </c>
      <c r="I106" s="3171">
        <v>57.748484242119297</v>
      </c>
      <c r="J106" s="2971">
        <v>40.087221783371298</v>
      </c>
      <c r="K106" s="3171">
        <v>32.0527827434844</v>
      </c>
      <c r="L106" s="2971">
        <v>61.840405399656298</v>
      </c>
      <c r="M106" s="3171">
        <v>6.77351276799424</v>
      </c>
      <c r="N106" s="2972">
        <v>23.175978838379802</v>
      </c>
    </row>
    <row r="107" spans="1:14">
      <c r="A107" s="63">
        <v>2002.02</v>
      </c>
      <c r="B107" s="2971">
        <v>51.117528037614697</v>
      </c>
      <c r="C107" s="3171">
        <v>65.050729839322898</v>
      </c>
      <c r="D107" s="2971">
        <v>64.132202138833904</v>
      </c>
      <c r="E107" s="3171">
        <v>28.3465918681262</v>
      </c>
      <c r="F107" s="2971">
        <v>81.066345151304404</v>
      </c>
      <c r="G107" s="3171">
        <v>52.1250413870359</v>
      </c>
      <c r="H107" s="2971">
        <v>79.530769984617194</v>
      </c>
      <c r="I107" s="3171">
        <v>61.103446557995703</v>
      </c>
      <c r="J107" s="2971">
        <v>46.692302547378802</v>
      </c>
      <c r="K107" s="3171">
        <v>34.034350048493401</v>
      </c>
      <c r="L107" s="2971">
        <v>75.511165915805904</v>
      </c>
      <c r="M107" s="3171">
        <v>13.276518887693699</v>
      </c>
      <c r="N107" s="2972">
        <v>24.9833161505614</v>
      </c>
    </row>
    <row r="108" spans="1:14">
      <c r="A108" s="63">
        <v>2002.03</v>
      </c>
      <c r="B108" s="2971">
        <v>50.306787426455301</v>
      </c>
      <c r="C108" s="3171">
        <v>62.169610337808997</v>
      </c>
      <c r="D108" s="2971">
        <v>59.699606665120598</v>
      </c>
      <c r="E108" s="3171">
        <v>30.376882726867201</v>
      </c>
      <c r="F108" s="2971">
        <v>68.041862439234905</v>
      </c>
      <c r="G108" s="3171">
        <v>48.699112873502003</v>
      </c>
      <c r="H108" s="2971">
        <v>79.740757154017203</v>
      </c>
      <c r="I108" s="3171">
        <v>55.768950996814702</v>
      </c>
      <c r="J108" s="2971">
        <v>48.581017579963302</v>
      </c>
      <c r="K108" s="3171">
        <v>31.297687770243499</v>
      </c>
      <c r="L108" s="2971">
        <v>78.765945074509304</v>
      </c>
      <c r="M108" s="3171">
        <v>17.110175481652099</v>
      </c>
      <c r="N108" s="2972">
        <v>30.4376208595524</v>
      </c>
    </row>
    <row r="109" spans="1:14">
      <c r="A109" s="63">
        <v>2002.04</v>
      </c>
      <c r="B109" s="2971">
        <v>55.097667653622999</v>
      </c>
      <c r="C109" s="3171">
        <v>65.078348335346206</v>
      </c>
      <c r="D109" s="2971">
        <v>64.118980007003898</v>
      </c>
      <c r="E109" s="3171">
        <v>44.399933217009497</v>
      </c>
      <c r="F109" s="2971">
        <v>77.276359568924704</v>
      </c>
      <c r="G109" s="3171">
        <v>47.354152010058598</v>
      </c>
      <c r="H109" s="2971">
        <v>83.220622421847906</v>
      </c>
      <c r="I109" s="3171">
        <v>64.009557280166902</v>
      </c>
      <c r="J109" s="2971">
        <v>51.4230117139588</v>
      </c>
      <c r="K109" s="3171">
        <v>35.5677333109955</v>
      </c>
      <c r="L109" s="2971">
        <v>89.650920864207905</v>
      </c>
      <c r="M109" s="3171">
        <v>26.109468226466198</v>
      </c>
      <c r="N109" s="2972">
        <v>31.2708386431873</v>
      </c>
    </row>
    <row r="110" spans="1:14">
      <c r="A110" s="63">
        <v>2002.05</v>
      </c>
      <c r="B110" s="2971">
        <v>55.182850953389902</v>
      </c>
      <c r="C110" s="3171">
        <v>65.740064424618197</v>
      </c>
      <c r="D110" s="2971">
        <v>64.751871059706801</v>
      </c>
      <c r="E110" s="3171">
        <v>37.9739397782065</v>
      </c>
      <c r="F110" s="2971">
        <v>79.125545898210603</v>
      </c>
      <c r="G110" s="3171">
        <v>47.131419189963303</v>
      </c>
      <c r="H110" s="2971">
        <v>82.689173523240498</v>
      </c>
      <c r="I110" s="3171">
        <v>60.280488493974097</v>
      </c>
      <c r="J110" s="2971">
        <v>54.358853124322202</v>
      </c>
      <c r="K110" s="3171">
        <v>37.597313336852899</v>
      </c>
      <c r="L110" s="2971">
        <v>88.821764682499804</v>
      </c>
      <c r="M110" s="3171">
        <v>23.834604823791299</v>
      </c>
      <c r="N110" s="2972">
        <v>35.978735585009503</v>
      </c>
    </row>
    <row r="111" spans="1:14">
      <c r="A111" s="63">
        <v>2002.06</v>
      </c>
      <c r="B111" s="2971">
        <v>55.370516159583502</v>
      </c>
      <c r="C111" s="3171">
        <v>66.548848106749404</v>
      </c>
      <c r="D111" s="2971">
        <v>57.826443618781902</v>
      </c>
      <c r="E111" s="3171">
        <v>41.257969148236803</v>
      </c>
      <c r="F111" s="2971">
        <v>78.5231377214253</v>
      </c>
      <c r="G111" s="3171">
        <v>47.643054984456498</v>
      </c>
      <c r="H111" s="2971">
        <v>81.508755126632195</v>
      </c>
      <c r="I111" s="3171">
        <v>62.832887927174198</v>
      </c>
      <c r="J111" s="2971">
        <v>55.246202842718198</v>
      </c>
      <c r="K111" s="3171">
        <v>34.842162397141301</v>
      </c>
      <c r="L111" s="2971">
        <v>85.013474513652</v>
      </c>
      <c r="M111" s="3171">
        <v>22.010695396159601</v>
      </c>
      <c r="N111" s="2972">
        <v>36.221500075709997</v>
      </c>
    </row>
    <row r="112" spans="1:14">
      <c r="A112" s="63">
        <v>2002.07</v>
      </c>
      <c r="B112" s="2971">
        <v>56.611092266197403</v>
      </c>
      <c r="C112" s="3171">
        <v>68.166195811949294</v>
      </c>
      <c r="D112" s="2971">
        <v>62.691632677415697</v>
      </c>
      <c r="E112" s="3171">
        <v>48.867540337984202</v>
      </c>
      <c r="F112" s="2971">
        <v>73.682909986601103</v>
      </c>
      <c r="G112" s="3171">
        <v>47.8256519009634</v>
      </c>
      <c r="H112" s="2971">
        <v>80.605313269935607</v>
      </c>
      <c r="I112" s="3171">
        <v>62.996418745510397</v>
      </c>
      <c r="J112" s="2971">
        <v>51.9035101449373</v>
      </c>
      <c r="K112" s="3171">
        <v>37.033324720392699</v>
      </c>
      <c r="L112" s="2971">
        <v>87.450362866342402</v>
      </c>
      <c r="M112" s="3171">
        <v>24.280957227660501</v>
      </c>
      <c r="N112" s="2972">
        <v>38.486039845689</v>
      </c>
    </row>
    <row r="113" spans="1:14">
      <c r="A113" s="63">
        <v>2002.08</v>
      </c>
      <c r="B113" s="2971">
        <v>56.859821717115899</v>
      </c>
      <c r="C113" s="3171">
        <v>68.806787400662202</v>
      </c>
      <c r="D113" s="2971">
        <v>59.083293082720203</v>
      </c>
      <c r="E113" s="3171">
        <v>56.433133342675397</v>
      </c>
      <c r="F113" s="2971">
        <v>81.417775868590397</v>
      </c>
      <c r="G113" s="3171">
        <v>44.529238414175701</v>
      </c>
      <c r="H113" s="2971">
        <v>77.407684557161005</v>
      </c>
      <c r="I113" s="3171">
        <v>61.683417175100303</v>
      </c>
      <c r="J113" s="2971">
        <v>53.385792616853301</v>
      </c>
      <c r="K113" s="3171">
        <v>41.036896553439</v>
      </c>
      <c r="L113" s="2971">
        <v>88.647856325982502</v>
      </c>
      <c r="M113" s="3171">
        <v>23.372913849342499</v>
      </c>
      <c r="N113" s="2972">
        <v>38.712380488376702</v>
      </c>
    </row>
    <row r="114" spans="1:14">
      <c r="A114" s="63">
        <v>2002.09</v>
      </c>
      <c r="B114" s="2971">
        <v>58.644970893340897</v>
      </c>
      <c r="C114" s="3171">
        <v>68.661752683948805</v>
      </c>
      <c r="D114" s="2971">
        <v>60.728696167296398</v>
      </c>
      <c r="E114" s="3171">
        <v>60.103419266518998</v>
      </c>
      <c r="F114" s="2971">
        <v>81.673395850027902</v>
      </c>
      <c r="G114" s="3171">
        <v>45.159271001646097</v>
      </c>
      <c r="H114" s="2971">
        <v>86.827799668531398</v>
      </c>
      <c r="I114" s="3171">
        <v>63.681454862015698</v>
      </c>
      <c r="J114" s="2971">
        <v>55.527975479542398</v>
      </c>
      <c r="K114" s="3171">
        <v>43.311366912697501</v>
      </c>
      <c r="L114" s="2971">
        <v>87.994058940542303</v>
      </c>
      <c r="M114" s="3171">
        <v>24.917559035286601</v>
      </c>
      <c r="N114" s="2972">
        <v>41.662717798925399</v>
      </c>
    </row>
    <row r="115" spans="1:14">
      <c r="A115" s="63">
        <v>2002.1</v>
      </c>
      <c r="B115" s="2971">
        <v>59.741126261354999</v>
      </c>
      <c r="C115" s="3171">
        <v>70.607137687395706</v>
      </c>
      <c r="D115" s="2971">
        <v>63.223995979505503</v>
      </c>
      <c r="E115" s="3171">
        <v>58.330043407178003</v>
      </c>
      <c r="F115" s="2971">
        <v>83.289982382483998</v>
      </c>
      <c r="G115" s="3171">
        <v>47.109607818015697</v>
      </c>
      <c r="H115" s="2971">
        <v>87.929487126247594</v>
      </c>
      <c r="I115" s="3171">
        <v>65.182532653857805</v>
      </c>
      <c r="J115" s="2971">
        <v>57.959185084381097</v>
      </c>
      <c r="K115" s="3171">
        <v>40.5229167119452</v>
      </c>
      <c r="L115" s="2971">
        <v>91.536430854567897</v>
      </c>
      <c r="M115" s="3171">
        <v>25.291322420815899</v>
      </c>
      <c r="N115" s="2972">
        <v>41.374679682128502</v>
      </c>
    </row>
    <row r="116" spans="1:14">
      <c r="A116" s="63">
        <v>2002.11</v>
      </c>
      <c r="B116" s="2971">
        <v>61.1949951383383</v>
      </c>
      <c r="C116" s="3171">
        <v>70.476782426118604</v>
      </c>
      <c r="D116" s="2971">
        <v>71.682303177044005</v>
      </c>
      <c r="E116" s="3171">
        <v>59.953123401198198</v>
      </c>
      <c r="F116" s="2971">
        <v>83.537298147091207</v>
      </c>
      <c r="G116" s="3171">
        <v>49.374929880700201</v>
      </c>
      <c r="H116" s="2971">
        <v>86.7893021263462</v>
      </c>
      <c r="I116" s="3171">
        <v>68.696970117152304</v>
      </c>
      <c r="J116" s="2971">
        <v>63.765306779201403</v>
      </c>
      <c r="K116" s="3171">
        <v>42.290365300805</v>
      </c>
      <c r="L116" s="2971">
        <v>85.783388630393205</v>
      </c>
      <c r="M116" s="3171">
        <v>25.0221680866401</v>
      </c>
      <c r="N116" s="2972">
        <v>45.229420857987201</v>
      </c>
    </row>
    <row r="117" spans="1:14">
      <c r="A117" s="63">
        <v>2002.12</v>
      </c>
      <c r="B117" s="2971">
        <v>59.979705505174699</v>
      </c>
      <c r="C117" s="3171">
        <v>70.893945221054096</v>
      </c>
      <c r="D117" s="2971">
        <v>74.321938989658506</v>
      </c>
      <c r="E117" s="3171">
        <v>57.661419095636099</v>
      </c>
      <c r="F117" s="2971">
        <v>82.591849056694201</v>
      </c>
      <c r="G117" s="3171">
        <v>50.9031997396918</v>
      </c>
      <c r="H117" s="2971">
        <v>88.547240404932197</v>
      </c>
      <c r="I117" s="3171">
        <v>64.439521469828605</v>
      </c>
      <c r="J117" s="2971">
        <v>64.004756712435693</v>
      </c>
      <c r="K117" s="3171">
        <v>42.395815655514703</v>
      </c>
      <c r="L117" s="2971">
        <v>84.528901277751302</v>
      </c>
      <c r="M117" s="3171">
        <v>18.260568275129401</v>
      </c>
      <c r="N117" s="2972">
        <v>44.337387967002698</v>
      </c>
    </row>
    <row r="118" spans="1:14">
      <c r="A118" s="63">
        <v>2003.01</v>
      </c>
      <c r="B118" s="2971">
        <v>58.817579862715299</v>
      </c>
      <c r="C118" s="3171">
        <v>67.522007181543401</v>
      </c>
      <c r="D118" s="2971">
        <v>71.855478999667994</v>
      </c>
      <c r="E118" s="3171">
        <v>67.865366830698406</v>
      </c>
      <c r="F118" s="2971">
        <v>74.548174960987396</v>
      </c>
      <c r="G118" s="3171">
        <v>50.402325565044698</v>
      </c>
      <c r="H118" s="2971">
        <v>88.220632500670504</v>
      </c>
      <c r="I118" s="3171">
        <v>66.858164434071696</v>
      </c>
      <c r="J118" s="2971">
        <v>58.022515804278299</v>
      </c>
      <c r="K118" s="3171">
        <v>41.8564097300371</v>
      </c>
      <c r="L118" s="2971">
        <v>81.265301103061205</v>
      </c>
      <c r="M118" s="3171">
        <v>13.6804711000319</v>
      </c>
      <c r="N118" s="2972">
        <v>44.500815615834902</v>
      </c>
    </row>
    <row r="119" spans="1:14">
      <c r="A119" s="63">
        <v>2003.02</v>
      </c>
      <c r="B119" s="2971">
        <v>61.1094290471286</v>
      </c>
      <c r="C119" s="3171">
        <v>67.269229360645795</v>
      </c>
      <c r="D119" s="2971">
        <v>66.910983178649005</v>
      </c>
      <c r="E119" s="3171">
        <v>72.3132931061336</v>
      </c>
      <c r="F119" s="2971">
        <v>83.949053011986393</v>
      </c>
      <c r="G119" s="3171">
        <v>51.066947281066703</v>
      </c>
      <c r="H119" s="2971">
        <v>85.964265906920602</v>
      </c>
      <c r="I119" s="3171">
        <v>67.9753430799434</v>
      </c>
      <c r="J119" s="2971">
        <v>59.724182994171201</v>
      </c>
      <c r="K119" s="3171">
        <v>44.952248674152997</v>
      </c>
      <c r="L119" s="2971">
        <v>91.929877327653998</v>
      </c>
      <c r="M119" s="3171">
        <v>16.827452757502801</v>
      </c>
      <c r="N119" s="2972">
        <v>49.614761634603603</v>
      </c>
    </row>
    <row r="120" spans="1:14">
      <c r="A120" s="63">
        <v>2003.03</v>
      </c>
      <c r="B120" s="2971">
        <v>61.804461970214597</v>
      </c>
      <c r="C120" s="3171">
        <v>62.532498250178101</v>
      </c>
      <c r="D120" s="2971">
        <v>64.361980176192702</v>
      </c>
      <c r="E120" s="3171">
        <v>75.977740369926394</v>
      </c>
      <c r="F120" s="2971">
        <v>85.453796725668894</v>
      </c>
      <c r="G120" s="3171">
        <v>54.107432065025399</v>
      </c>
      <c r="H120" s="2971">
        <v>86.564315413021106</v>
      </c>
      <c r="I120" s="3171">
        <v>67.952642314100999</v>
      </c>
      <c r="J120" s="2971">
        <v>56.468828040006699</v>
      </c>
      <c r="K120" s="3171">
        <v>45.743472681198803</v>
      </c>
      <c r="L120" s="2971">
        <v>95.806068896371201</v>
      </c>
      <c r="M120" s="3171">
        <v>21.3374855334167</v>
      </c>
      <c r="N120" s="2972">
        <v>55.851236163023401</v>
      </c>
    </row>
    <row r="121" spans="1:14">
      <c r="A121" s="63">
        <v>2003.04</v>
      </c>
      <c r="B121" s="2971">
        <v>63.190907964713901</v>
      </c>
      <c r="C121" s="3171">
        <v>64.931413642204006</v>
      </c>
      <c r="D121" s="2971">
        <v>72.639020241647799</v>
      </c>
      <c r="E121" s="3171">
        <v>76.526109046600695</v>
      </c>
      <c r="F121" s="2971">
        <v>80.455811833988506</v>
      </c>
      <c r="G121" s="3171">
        <v>58.058585231205598</v>
      </c>
      <c r="H121" s="2971">
        <v>88.219543308065994</v>
      </c>
      <c r="I121" s="3171">
        <v>67.005473222957406</v>
      </c>
      <c r="J121" s="2971">
        <v>53.689414004149199</v>
      </c>
      <c r="K121" s="3171">
        <v>45.0058862298742</v>
      </c>
      <c r="L121" s="2971">
        <v>94.769135489066699</v>
      </c>
      <c r="M121" s="3171">
        <v>24.660791363782401</v>
      </c>
      <c r="N121" s="2972">
        <v>59.245380752899898</v>
      </c>
    </row>
    <row r="122" spans="1:14">
      <c r="A122" s="63">
        <v>2003.05</v>
      </c>
      <c r="B122" s="2971">
        <v>64.165113525798404</v>
      </c>
      <c r="C122" s="3171">
        <v>65.259269643315506</v>
      </c>
      <c r="D122" s="2971">
        <v>68.045229839705996</v>
      </c>
      <c r="E122" s="3171">
        <v>79.972202095938499</v>
      </c>
      <c r="F122" s="2971">
        <v>87.3024303051847</v>
      </c>
      <c r="G122" s="3171">
        <v>61.096314883415801</v>
      </c>
      <c r="H122" s="2971">
        <v>88.381771542212107</v>
      </c>
      <c r="I122" s="3171">
        <v>76.480284040646595</v>
      </c>
      <c r="J122" s="2971">
        <v>54.3212887718581</v>
      </c>
      <c r="K122" s="3171">
        <v>37.3574064572189</v>
      </c>
      <c r="L122" s="2971">
        <v>95.670116800000002</v>
      </c>
      <c r="M122" s="3171">
        <v>22.194712227404199</v>
      </c>
      <c r="N122" s="2972">
        <v>55.120548512289403</v>
      </c>
    </row>
    <row r="123" spans="1:14">
      <c r="A123" s="63">
        <v>2003.06</v>
      </c>
      <c r="B123" s="2971">
        <v>64.268923452852903</v>
      </c>
      <c r="C123" s="3171">
        <v>66.110770252777598</v>
      </c>
      <c r="D123" s="2971">
        <v>67.037368878181397</v>
      </c>
      <c r="E123" s="3171">
        <v>77.117947040370794</v>
      </c>
      <c r="F123" s="2971">
        <v>88.005209792968699</v>
      </c>
      <c r="G123" s="3171">
        <v>61.024656935207403</v>
      </c>
      <c r="H123" s="2971">
        <v>90.2782042965231</v>
      </c>
      <c r="I123" s="3171">
        <v>74.166772100405296</v>
      </c>
      <c r="J123" s="2971">
        <v>58.376028520298597</v>
      </c>
      <c r="K123" s="3171">
        <v>41.966053850651598</v>
      </c>
      <c r="L123" s="2971">
        <v>92.888719104000003</v>
      </c>
      <c r="M123" s="3171">
        <v>21.758682681535099</v>
      </c>
      <c r="N123" s="2972">
        <v>55.608637122196498</v>
      </c>
    </row>
    <row r="124" spans="1:14">
      <c r="A124" s="63">
        <v>2003.07</v>
      </c>
      <c r="B124" s="2971">
        <v>65.9801371206037</v>
      </c>
      <c r="C124" s="3171">
        <v>68.8833147376141</v>
      </c>
      <c r="D124" s="2971">
        <v>67.075042855321001</v>
      </c>
      <c r="E124" s="3171">
        <v>75.378927016827902</v>
      </c>
      <c r="F124" s="2971">
        <v>85.212327592196104</v>
      </c>
      <c r="G124" s="3171">
        <v>62.576117877523401</v>
      </c>
      <c r="H124" s="2971">
        <v>87.433322393460998</v>
      </c>
      <c r="I124" s="3171">
        <v>78.341180375826298</v>
      </c>
      <c r="J124" s="2971">
        <v>65.475506800286297</v>
      </c>
      <c r="K124" s="3171">
        <v>47.458668590263301</v>
      </c>
      <c r="L124" s="2971">
        <v>93.767795743999997</v>
      </c>
      <c r="M124" s="3171">
        <v>18.617956969636399</v>
      </c>
      <c r="N124" s="2972">
        <v>56.485716484086602</v>
      </c>
    </row>
    <row r="125" spans="1:14">
      <c r="A125" s="63">
        <v>2003.08</v>
      </c>
      <c r="B125" s="2971">
        <v>66.222465384065998</v>
      </c>
      <c r="C125" s="3171">
        <v>68.497575943814695</v>
      </c>
      <c r="D125" s="2971">
        <v>59.058029384569998</v>
      </c>
      <c r="E125" s="3171">
        <v>76.628423819394001</v>
      </c>
      <c r="F125" s="2971">
        <v>86.794096226052204</v>
      </c>
      <c r="G125" s="3171">
        <v>65.2</v>
      </c>
      <c r="H125" s="2971">
        <v>87.976376411006598</v>
      </c>
      <c r="I125" s="3171">
        <v>73.709680622294101</v>
      </c>
      <c r="J125" s="2971">
        <v>65.043899999999994</v>
      </c>
      <c r="K125" s="3171">
        <v>50.509763740173497</v>
      </c>
      <c r="L125" s="2971">
        <v>94.685678800000005</v>
      </c>
      <c r="M125" s="3171">
        <v>23.830984921134501</v>
      </c>
      <c r="N125" s="2972">
        <v>58.623104020554401</v>
      </c>
    </row>
    <row r="126" spans="1:14">
      <c r="A126" s="63">
        <v>2003.09</v>
      </c>
      <c r="B126" s="2971">
        <v>67.421242128469402</v>
      </c>
      <c r="C126" s="3171">
        <v>73.134520987380199</v>
      </c>
      <c r="D126" s="2971">
        <v>71.278087377481299</v>
      </c>
      <c r="E126" s="3171">
        <v>76.814050658823405</v>
      </c>
      <c r="F126" s="2971">
        <v>82.440128187089002</v>
      </c>
      <c r="G126" s="3171">
        <v>71.427403805136095</v>
      </c>
      <c r="H126" s="2971">
        <v>84.549362473736693</v>
      </c>
      <c r="I126" s="3171">
        <v>75.611605267264096</v>
      </c>
      <c r="J126" s="2971">
        <v>59.806820584926903</v>
      </c>
      <c r="K126" s="3171">
        <v>53.047430031446801</v>
      </c>
      <c r="L126" s="2971">
        <v>91.512978399466604</v>
      </c>
      <c r="M126" s="3171">
        <v>25.979499405087601</v>
      </c>
      <c r="N126" s="2972">
        <v>56.033785856663698</v>
      </c>
    </row>
    <row r="127" spans="1:14">
      <c r="A127" s="63">
        <v>2003.1</v>
      </c>
      <c r="B127" s="2971">
        <v>69.541686990459397</v>
      </c>
      <c r="C127" s="3171">
        <v>74.166993037452997</v>
      </c>
      <c r="D127" s="2971">
        <v>68.110113321695906</v>
      </c>
      <c r="E127" s="3171">
        <v>76.232053303624497</v>
      </c>
      <c r="F127" s="2971">
        <v>86.334521906245897</v>
      </c>
      <c r="G127" s="3171">
        <v>76.717498506953305</v>
      </c>
      <c r="H127" s="2971">
        <v>86.320356321261499</v>
      </c>
      <c r="I127" s="3171">
        <v>77.439193049442807</v>
      </c>
      <c r="J127" s="2971">
        <v>64.117643419572502</v>
      </c>
      <c r="K127" s="3171">
        <v>55.591018793116199</v>
      </c>
      <c r="L127" s="2971">
        <v>96.503784272000004</v>
      </c>
      <c r="M127" s="3171">
        <v>26.317232897353701</v>
      </c>
      <c r="N127" s="2972">
        <v>58.795930559271</v>
      </c>
    </row>
    <row r="128" spans="1:14">
      <c r="A128" s="63">
        <v>2003.11</v>
      </c>
      <c r="B128" s="2971">
        <v>69.865373909694398</v>
      </c>
      <c r="C128" s="3171">
        <v>71.228257987409805</v>
      </c>
      <c r="D128" s="2971">
        <v>76.007386796804198</v>
      </c>
      <c r="E128" s="3171">
        <v>75.792748544182302</v>
      </c>
      <c r="F128" s="2971">
        <v>88.321195212934498</v>
      </c>
      <c r="G128" s="3171">
        <v>80.967374797372202</v>
      </c>
      <c r="H128" s="2971">
        <v>90.859942369290806</v>
      </c>
      <c r="I128" s="3171">
        <v>78.985986122155794</v>
      </c>
      <c r="J128" s="2971">
        <v>66.750557019943102</v>
      </c>
      <c r="K128" s="3171">
        <v>55.125854521538699</v>
      </c>
      <c r="L128" s="2971">
        <v>92.448982005866696</v>
      </c>
      <c r="M128" s="3171">
        <v>30.753476112312502</v>
      </c>
      <c r="N128" s="2972">
        <v>58.081299999999999</v>
      </c>
    </row>
    <row r="129" spans="1:14">
      <c r="A129" s="63">
        <v>2003.12</v>
      </c>
      <c r="B129" s="2971">
        <v>66.601366877273406</v>
      </c>
      <c r="C129" s="3171">
        <v>74.686129754377603</v>
      </c>
      <c r="D129" s="2971">
        <v>75.635763683971405</v>
      </c>
      <c r="E129" s="3171">
        <v>60.6390054035123</v>
      </c>
      <c r="F129" s="2971">
        <v>82.412221303506996</v>
      </c>
      <c r="G129" s="3171">
        <v>74.930735290721799</v>
      </c>
      <c r="H129" s="2971">
        <v>86.372645140740502</v>
      </c>
      <c r="I129" s="3171">
        <v>73.7086316353992</v>
      </c>
      <c r="J129" s="2971">
        <v>62.487948989876301</v>
      </c>
      <c r="K129" s="3171">
        <v>50.118862462484401</v>
      </c>
      <c r="L129" s="2971">
        <v>91.608812200000003</v>
      </c>
      <c r="M129" s="3171">
        <v>20.9123637563725</v>
      </c>
      <c r="N129" s="2972">
        <v>54.279899999999998</v>
      </c>
    </row>
    <row r="130" spans="1:14">
      <c r="A130" s="63">
        <v>2004.01</v>
      </c>
      <c r="B130" s="2971">
        <v>65.669840267303996</v>
      </c>
      <c r="C130" s="3171">
        <v>72.756127633869099</v>
      </c>
      <c r="D130" s="2971">
        <v>69.893110627545695</v>
      </c>
      <c r="E130" s="3171">
        <v>68.319335138507199</v>
      </c>
      <c r="F130" s="2971">
        <v>82.290808668684804</v>
      </c>
      <c r="G130" s="3171">
        <v>75.389991410782599</v>
      </c>
      <c r="H130" s="2971">
        <v>90.792165922187195</v>
      </c>
      <c r="I130" s="3171">
        <v>73.703168803550398</v>
      </c>
      <c r="J130" s="2971">
        <v>68.965898444998999</v>
      </c>
      <c r="K130" s="3171">
        <v>47.088389864524899</v>
      </c>
      <c r="L130" s="2971">
        <v>86.174567976000006</v>
      </c>
      <c r="M130" s="3171">
        <v>18.466105120897399</v>
      </c>
      <c r="N130" s="2972">
        <v>50.772272081098102</v>
      </c>
    </row>
    <row r="131" spans="1:14">
      <c r="A131" s="63">
        <v>2004.02</v>
      </c>
      <c r="B131" s="2971">
        <v>67.104843171392602</v>
      </c>
      <c r="C131" s="3171">
        <v>71.098310725553304</v>
      </c>
      <c r="D131" s="2971">
        <v>70.749795333531495</v>
      </c>
      <c r="E131" s="3171">
        <v>78.6952027979994</v>
      </c>
      <c r="F131" s="2971">
        <v>86.238793760156597</v>
      </c>
      <c r="G131" s="3171">
        <v>78.390804597701205</v>
      </c>
      <c r="H131" s="2971">
        <v>82.093296982613495</v>
      </c>
      <c r="I131" s="3171">
        <v>74.555196143952799</v>
      </c>
      <c r="J131" s="2971">
        <v>64.962089356838206</v>
      </c>
      <c r="K131" s="3171">
        <v>49.068137972491002</v>
      </c>
      <c r="L131" s="2971">
        <v>94.752447870069005</v>
      </c>
      <c r="M131" s="3171">
        <v>23.204189572965799</v>
      </c>
      <c r="N131" s="2972">
        <v>55.1071756484695</v>
      </c>
    </row>
    <row r="132" spans="1:14">
      <c r="A132" s="63">
        <v>2004.03</v>
      </c>
      <c r="B132" s="2971">
        <v>71.039879533712707</v>
      </c>
      <c r="C132" s="3171">
        <v>74.572738309068995</v>
      </c>
      <c r="D132" s="2971">
        <v>83.099207402261399</v>
      </c>
      <c r="E132" s="3171">
        <v>77.693272534266598</v>
      </c>
      <c r="F132" s="2971">
        <v>86.630299009305105</v>
      </c>
      <c r="G132" s="3171">
        <v>74.022222222222197</v>
      </c>
      <c r="H132" s="2971">
        <v>91.292687436411001</v>
      </c>
      <c r="I132" s="3171">
        <v>79.268315413572907</v>
      </c>
      <c r="J132" s="2971">
        <v>65.482768564896404</v>
      </c>
      <c r="K132" s="3171">
        <v>50.409379531407602</v>
      </c>
      <c r="L132" s="2971">
        <v>93.092694399999999</v>
      </c>
      <c r="M132" s="3171">
        <v>34.036288116347897</v>
      </c>
      <c r="N132" s="2972">
        <v>61.8403093120858</v>
      </c>
    </row>
    <row r="133" spans="1:14">
      <c r="A133" s="63">
        <v>2004.04</v>
      </c>
      <c r="B133" s="2971">
        <v>68.392055548120098</v>
      </c>
      <c r="C133" s="3171">
        <v>72.808476574791896</v>
      </c>
      <c r="D133" s="2971">
        <v>56.730177087202101</v>
      </c>
      <c r="E133" s="3171">
        <v>80.404815655882999</v>
      </c>
      <c r="F133" s="2971">
        <v>84.8477342945625</v>
      </c>
      <c r="G133" s="3171">
        <v>71.583209876543194</v>
      </c>
      <c r="H133" s="2971">
        <v>85.080517782305805</v>
      </c>
      <c r="I133" s="3171">
        <v>74.338069147130199</v>
      </c>
      <c r="J133" s="2971">
        <v>63.058795319483998</v>
      </c>
      <c r="K133" s="3171">
        <v>48.3724330228074</v>
      </c>
      <c r="L133" s="2971">
        <v>90.8186424362667</v>
      </c>
      <c r="M133" s="3171">
        <v>32.5587747409743</v>
      </c>
      <c r="N133" s="2972">
        <v>61.151505146734003</v>
      </c>
    </row>
    <row r="134" spans="1:14">
      <c r="A134" s="63">
        <v>2004.05</v>
      </c>
      <c r="B134" s="2971">
        <v>68.917114461902401</v>
      </c>
      <c r="C134" s="3171">
        <v>71.233942431592794</v>
      </c>
      <c r="D134" s="2971">
        <v>63.175239541145899</v>
      </c>
      <c r="E134" s="3171">
        <v>79.609871126905404</v>
      </c>
      <c r="F134" s="2971">
        <v>77.160724720413896</v>
      </c>
      <c r="G134" s="3171">
        <v>66.785185185185199</v>
      </c>
      <c r="H134" s="2971">
        <v>86.698733736444396</v>
      </c>
      <c r="I134" s="3171">
        <v>76.721123094180001</v>
      </c>
      <c r="J134" s="2971">
        <v>64.900599396477105</v>
      </c>
      <c r="K134" s="3171">
        <v>50.636743360985399</v>
      </c>
      <c r="L134" s="2971">
        <v>93.524847432000001</v>
      </c>
      <c r="M134" s="3171">
        <v>32.997866888102401</v>
      </c>
      <c r="N134" s="2972">
        <v>64.246373493215501</v>
      </c>
    </row>
    <row r="135" spans="1:14">
      <c r="A135" s="63">
        <v>2004.06</v>
      </c>
      <c r="B135" s="2971">
        <v>70.844509150540901</v>
      </c>
      <c r="C135" s="3171">
        <v>73.475303133207206</v>
      </c>
      <c r="D135" s="2971">
        <v>59.270167371449503</v>
      </c>
      <c r="E135" s="3171">
        <v>83.606911616479294</v>
      </c>
      <c r="F135" s="2971">
        <v>81.732092599198197</v>
      </c>
      <c r="G135" s="3171">
        <v>73.075802469135795</v>
      </c>
      <c r="H135" s="2971">
        <v>89.618468930743802</v>
      </c>
      <c r="I135" s="3171">
        <v>79.567755289736894</v>
      </c>
      <c r="J135" s="2971">
        <v>63.705379502066201</v>
      </c>
      <c r="K135" s="3171">
        <v>52.239953220631797</v>
      </c>
      <c r="L135" s="2971">
        <v>91.750298034133294</v>
      </c>
      <c r="M135" s="3171">
        <v>35.616212014625297</v>
      </c>
      <c r="N135" s="2972">
        <v>64.174230987693306</v>
      </c>
    </row>
    <row r="136" spans="1:14">
      <c r="A136" s="63">
        <v>2004.07</v>
      </c>
      <c r="B136" s="2971">
        <v>71.456338038664995</v>
      </c>
      <c r="C136" s="3171">
        <v>74.819382180038801</v>
      </c>
      <c r="D136" s="2971">
        <v>59.897914652693501</v>
      </c>
      <c r="E136" s="3171">
        <v>81.2332943698365</v>
      </c>
      <c r="F136" s="2971">
        <v>83.807418356181103</v>
      </c>
      <c r="G136" s="3171">
        <v>71.614814814814807</v>
      </c>
      <c r="H136" s="2971">
        <v>91.734118545210904</v>
      </c>
      <c r="I136" s="3171">
        <v>80.862602124957107</v>
      </c>
      <c r="J136" s="2971">
        <v>66.366850077472407</v>
      </c>
      <c r="K136" s="3171">
        <v>52.425438578603803</v>
      </c>
      <c r="L136" s="2971">
        <v>94.480300008</v>
      </c>
      <c r="M136" s="3171">
        <v>32.522371200131801</v>
      </c>
      <c r="N136" s="2972">
        <v>64.368971707163098</v>
      </c>
    </row>
    <row r="137" spans="1:14">
      <c r="A137" s="63">
        <v>2004.08</v>
      </c>
      <c r="B137" s="2971">
        <v>71.479216363106502</v>
      </c>
      <c r="C137" s="3171">
        <v>73.5830854731214</v>
      </c>
      <c r="D137" s="2971">
        <v>60.242206631733403</v>
      </c>
      <c r="E137" s="3171">
        <v>81.328523117998898</v>
      </c>
      <c r="F137" s="2971">
        <v>86.961851049003002</v>
      </c>
      <c r="G137" s="3171">
        <v>68.3986013986014</v>
      </c>
      <c r="H137" s="2971">
        <v>89.178684026812107</v>
      </c>
      <c r="I137" s="3171">
        <v>79.191016746120795</v>
      </c>
      <c r="J137" s="2971">
        <v>71.005171680372598</v>
      </c>
      <c r="K137" s="3171">
        <v>52.892113058941298</v>
      </c>
      <c r="L137" s="2971">
        <v>93.861718632000006</v>
      </c>
      <c r="M137" s="3171">
        <v>36.1499431422301</v>
      </c>
      <c r="N137" s="2972">
        <v>66.758412290943497</v>
      </c>
    </row>
    <row r="138" spans="1:14">
      <c r="A138" s="63">
        <v>2004.09</v>
      </c>
      <c r="B138" s="2971">
        <v>71.810514222883995</v>
      </c>
      <c r="C138" s="3171">
        <v>75.393963079424495</v>
      </c>
      <c r="D138" s="2971">
        <v>67.2487512924735</v>
      </c>
      <c r="E138" s="3171">
        <v>84.200008591097998</v>
      </c>
      <c r="F138" s="2971">
        <v>82.149079007111396</v>
      </c>
      <c r="G138" s="3171">
        <v>72.029836829836796</v>
      </c>
      <c r="H138" s="2971">
        <v>92.590981421375204</v>
      </c>
      <c r="I138" s="3171">
        <v>76.879506775446899</v>
      </c>
      <c r="J138" s="2971">
        <v>71.478064646464603</v>
      </c>
      <c r="K138" s="3171">
        <v>57.402981083102297</v>
      </c>
      <c r="L138" s="2971">
        <v>92.258909449599997</v>
      </c>
      <c r="M138" s="3171">
        <v>39.046120910520003</v>
      </c>
      <c r="N138" s="2972">
        <v>63.064545276112298</v>
      </c>
    </row>
    <row r="139" spans="1:14">
      <c r="A139" s="63">
        <v>2004.1</v>
      </c>
      <c r="B139" s="2971">
        <v>70.628199762880001</v>
      </c>
      <c r="C139" s="3171">
        <v>72.783205988795302</v>
      </c>
      <c r="D139" s="2971">
        <v>58.686592960189998</v>
      </c>
      <c r="E139" s="3171">
        <v>79.4831694213335</v>
      </c>
      <c r="F139" s="2971">
        <v>85.637645258210895</v>
      </c>
      <c r="G139" s="3171">
        <v>69.069930069930095</v>
      </c>
      <c r="H139" s="2971">
        <v>93.717721216372198</v>
      </c>
      <c r="I139" s="3171">
        <v>77.718409809965394</v>
      </c>
      <c r="J139" s="2971">
        <v>65.802713861013203</v>
      </c>
      <c r="K139" s="3171">
        <v>56.877882879483401</v>
      </c>
      <c r="L139" s="2971">
        <v>98.127802740645194</v>
      </c>
      <c r="M139" s="3171">
        <v>38.590309721460002</v>
      </c>
      <c r="N139" s="2972">
        <v>60.816125012622301</v>
      </c>
    </row>
    <row r="140" spans="1:14">
      <c r="A140" s="63">
        <v>2004.11</v>
      </c>
      <c r="B140" s="2971">
        <v>70.425364025325905</v>
      </c>
      <c r="C140" s="3171">
        <v>70.721313671544607</v>
      </c>
      <c r="D140" s="2971">
        <v>74.101690958313995</v>
      </c>
      <c r="E140" s="3171">
        <v>78.765740249716401</v>
      </c>
      <c r="F140" s="2971">
        <v>86.216645626837106</v>
      </c>
      <c r="G140" s="3171">
        <v>73.496736596736596</v>
      </c>
      <c r="H140" s="2971">
        <v>83.153613223659505</v>
      </c>
      <c r="I140" s="3171">
        <v>74.8784843111697</v>
      </c>
      <c r="J140" s="2971">
        <v>66.860093785663906</v>
      </c>
      <c r="K140" s="3171">
        <v>57.0170760700125</v>
      </c>
      <c r="L140" s="2971">
        <v>97.844244802162194</v>
      </c>
      <c r="M140" s="3171">
        <v>45.744270168399296</v>
      </c>
      <c r="N140" s="2972">
        <v>62.306890817292498</v>
      </c>
    </row>
    <row r="141" spans="1:14">
      <c r="A141" s="63">
        <v>2004.12</v>
      </c>
      <c r="B141" s="2971">
        <v>68.517193491133895</v>
      </c>
      <c r="C141" s="3171">
        <v>74.141086096765207</v>
      </c>
      <c r="D141" s="2971">
        <v>64.578072279665193</v>
      </c>
      <c r="E141" s="3171">
        <v>61.012675891831599</v>
      </c>
      <c r="F141" s="2971">
        <v>81.249796731758806</v>
      </c>
      <c r="G141" s="3171">
        <v>74.689044289044304</v>
      </c>
      <c r="H141" s="2971">
        <v>91.149901435674195</v>
      </c>
      <c r="I141" s="3171">
        <v>75.312111501962306</v>
      </c>
      <c r="J141" s="2971">
        <v>62.505646597764503</v>
      </c>
      <c r="K141" s="3171">
        <v>54.306583947629797</v>
      </c>
      <c r="L141" s="2971">
        <v>93.974916163487407</v>
      </c>
      <c r="M141" s="3171">
        <v>34.952000779955803</v>
      </c>
      <c r="N141" s="2972">
        <v>55.9583104054907</v>
      </c>
    </row>
    <row r="142" spans="1:14">
      <c r="A142" s="63">
        <v>2005.01</v>
      </c>
      <c r="B142" s="2971">
        <v>68.318735992250197</v>
      </c>
      <c r="C142" s="3171">
        <v>70.236657041125795</v>
      </c>
      <c r="D142" s="2971">
        <v>60.6758683792225</v>
      </c>
      <c r="E142" s="3171">
        <v>63.309770260812698</v>
      </c>
      <c r="F142" s="2971">
        <v>80.267482547444601</v>
      </c>
      <c r="G142" s="3171">
        <v>77</v>
      </c>
      <c r="H142" s="2971">
        <v>84.759776794847994</v>
      </c>
      <c r="I142" s="3171">
        <v>74.045599182084104</v>
      </c>
      <c r="J142" s="2971">
        <v>62.775639479738501</v>
      </c>
      <c r="K142" s="3171">
        <v>55.840598708904302</v>
      </c>
      <c r="L142" s="2971">
        <v>85.376807052024603</v>
      </c>
      <c r="M142" s="3171">
        <v>33.043882599841503</v>
      </c>
      <c r="N142" s="2972">
        <v>51.847507331378303</v>
      </c>
    </row>
    <row r="143" spans="1:14">
      <c r="A143" s="63">
        <v>2005.02</v>
      </c>
      <c r="B143" s="2971">
        <v>72.308496459725404</v>
      </c>
      <c r="C143" s="3171">
        <v>72.334652828673995</v>
      </c>
      <c r="D143" s="2971">
        <v>65.115322492285301</v>
      </c>
      <c r="E143" s="3171">
        <v>77.000424619597695</v>
      </c>
      <c r="F143" s="2971">
        <v>86.384053175150399</v>
      </c>
      <c r="G143" s="3171">
        <v>81.103867256342895</v>
      </c>
      <c r="H143" s="2971">
        <v>92.010741808638898</v>
      </c>
      <c r="I143" s="3171">
        <v>77.639102286377394</v>
      </c>
      <c r="J143" s="2971">
        <v>63.7384429926867</v>
      </c>
      <c r="K143" s="3171">
        <v>57.324362882730199</v>
      </c>
      <c r="L143" s="2971">
        <v>95.215014065375499</v>
      </c>
      <c r="M143" s="3171">
        <v>21.8575178566776</v>
      </c>
      <c r="N143" s="2972">
        <v>59.415584415584398</v>
      </c>
    </row>
    <row r="144" spans="1:14">
      <c r="A144" s="63">
        <v>2005.03</v>
      </c>
      <c r="B144" s="2971">
        <v>73.160305765733497</v>
      </c>
      <c r="C144" s="3171">
        <v>69.290257795139695</v>
      </c>
      <c r="D144" s="2971">
        <v>60.951253740019197</v>
      </c>
      <c r="E144" s="3171">
        <v>76.657231673577002</v>
      </c>
      <c r="F144" s="2971">
        <v>84.975728842559107</v>
      </c>
      <c r="G144" s="3171">
        <v>78.584551591128204</v>
      </c>
      <c r="H144" s="2971">
        <v>90.210347305274794</v>
      </c>
      <c r="I144" s="3171">
        <v>76.043793122300997</v>
      </c>
      <c r="J144" s="2971">
        <v>67.4250166675657</v>
      </c>
      <c r="K144" s="3171">
        <v>57.425808247039903</v>
      </c>
      <c r="L144" s="2971">
        <v>96.160147276351594</v>
      </c>
      <c r="M144" s="3171">
        <v>42.868237056137502</v>
      </c>
      <c r="N144" s="2972">
        <v>61.994134897360702</v>
      </c>
    </row>
    <row r="145" spans="1:14">
      <c r="A145" s="63">
        <v>2005.04</v>
      </c>
      <c r="B145" s="2971">
        <v>72.866326268040694</v>
      </c>
      <c r="C145" s="3171">
        <v>67.817813125539203</v>
      </c>
      <c r="D145" s="2971">
        <v>59.625096698705804</v>
      </c>
      <c r="E145" s="3171">
        <v>78.066525482358799</v>
      </c>
      <c r="F145" s="2971">
        <v>82.648795257609706</v>
      </c>
      <c r="G145" s="3171">
        <v>80.139517465429606</v>
      </c>
      <c r="H145" s="2971">
        <v>83.217504793546397</v>
      </c>
      <c r="I145" s="3171">
        <v>74.033244648463807</v>
      </c>
      <c r="J145" s="2971">
        <v>68.103546386877099</v>
      </c>
      <c r="K145" s="3171">
        <v>61.568504061587298</v>
      </c>
      <c r="L145" s="2971">
        <v>97.620594054572393</v>
      </c>
      <c r="M145" s="3171">
        <v>43.734508393910197</v>
      </c>
      <c r="N145" s="2972">
        <v>66.091954022988503</v>
      </c>
    </row>
    <row r="146" spans="1:14">
      <c r="A146" s="63">
        <v>2005.05</v>
      </c>
      <c r="B146" s="2971">
        <v>72.520698762256202</v>
      </c>
      <c r="C146" s="3171">
        <v>67.344641052453497</v>
      </c>
      <c r="D146" s="2971">
        <v>61.5465097891258</v>
      </c>
      <c r="E146" s="3171">
        <v>77.924238143240601</v>
      </c>
      <c r="F146" s="2971">
        <v>82.074905706880102</v>
      </c>
      <c r="G146" s="3171">
        <v>77.640179782217601</v>
      </c>
      <c r="H146" s="2971">
        <v>82.313400791983398</v>
      </c>
      <c r="I146" s="3171">
        <v>77.388108270005603</v>
      </c>
      <c r="J146" s="2971">
        <v>65.538446966270797</v>
      </c>
      <c r="K146" s="3171">
        <v>59.359940741912297</v>
      </c>
      <c r="L146" s="2971">
        <v>98.5237267556993</v>
      </c>
      <c r="M146" s="3171">
        <v>40.915637021342</v>
      </c>
      <c r="N146" s="2972">
        <v>64.349276974416</v>
      </c>
    </row>
    <row r="147" spans="1:14">
      <c r="A147" s="63">
        <v>2005.06</v>
      </c>
      <c r="B147" s="2971">
        <v>73.070211282229195</v>
      </c>
      <c r="C147" s="3171">
        <v>69.688757073792203</v>
      </c>
      <c r="D147" s="2971">
        <v>60.489736119976399</v>
      </c>
      <c r="E147" s="3171">
        <v>82.170517584756197</v>
      </c>
      <c r="F147" s="2971">
        <v>78.864762789728999</v>
      </c>
      <c r="G147" s="3171">
        <v>77.711336532220898</v>
      </c>
      <c r="H147" s="2971">
        <v>84.561690172847904</v>
      </c>
      <c r="I147" s="3171">
        <v>78.601429502707205</v>
      </c>
      <c r="J147" s="2971">
        <v>68.108731880063701</v>
      </c>
      <c r="K147" s="3171">
        <v>58.782665096969303</v>
      </c>
      <c r="L147" s="2971">
        <v>93.3300796105449</v>
      </c>
      <c r="M147" s="3171">
        <v>42.117823054810103</v>
      </c>
      <c r="N147" s="2972">
        <v>64.885057471264403</v>
      </c>
    </row>
    <row r="148" spans="1:14">
      <c r="A148" s="63">
        <v>2005.07</v>
      </c>
      <c r="B148" s="2971">
        <v>72.116858062621006</v>
      </c>
      <c r="C148" s="3171">
        <v>68.731147819347399</v>
      </c>
      <c r="D148" s="2971">
        <v>59.665415939991703</v>
      </c>
      <c r="E148" s="3171">
        <v>80.180535481695998</v>
      </c>
      <c r="F148" s="2971">
        <v>81.0621318210666</v>
      </c>
      <c r="G148" s="3171">
        <v>74.574607011586494</v>
      </c>
      <c r="H148" s="2971">
        <v>83.417452077623807</v>
      </c>
      <c r="I148" s="3171">
        <v>78.0770659622371</v>
      </c>
      <c r="J148" s="2971">
        <v>67.902503986085804</v>
      </c>
      <c r="K148" s="3171">
        <v>61.9503686386849</v>
      </c>
      <c r="L148" s="2971">
        <v>93.420361101335203</v>
      </c>
      <c r="M148" s="3171">
        <v>42.507780647514601</v>
      </c>
      <c r="N148" s="2972">
        <v>61.012235817575103</v>
      </c>
    </row>
    <row r="149" spans="1:14">
      <c r="A149" s="63">
        <v>2005.08</v>
      </c>
      <c r="B149" s="2971">
        <v>74.314661902584703</v>
      </c>
      <c r="C149" s="3171">
        <v>71.521262487349503</v>
      </c>
      <c r="D149" s="2971">
        <v>55.409652941218603</v>
      </c>
      <c r="E149" s="3171">
        <v>82.729113274900996</v>
      </c>
      <c r="F149" s="2971">
        <v>81.598975460694902</v>
      </c>
      <c r="G149" s="3171">
        <v>75.407490937853893</v>
      </c>
      <c r="H149" s="2971">
        <v>90.480078482722703</v>
      </c>
      <c r="I149" s="3171">
        <v>77.672219647508498</v>
      </c>
      <c r="J149" s="2971">
        <v>68.335215975018997</v>
      </c>
      <c r="K149" s="3171">
        <v>62.984666403438901</v>
      </c>
      <c r="L149" s="2971">
        <v>95.158526997636997</v>
      </c>
      <c r="M149" s="3171">
        <v>45.952823599714598</v>
      </c>
      <c r="N149" s="2972">
        <v>63.7931034482759</v>
      </c>
    </row>
    <row r="150" spans="1:14">
      <c r="A150" s="63">
        <v>2005.09</v>
      </c>
      <c r="B150" s="2971">
        <v>75.747818819954105</v>
      </c>
      <c r="C150" s="3171">
        <v>75.828248531140702</v>
      </c>
      <c r="D150" s="2971">
        <v>58.524049536935898</v>
      </c>
      <c r="E150" s="3171">
        <v>84.812736802873403</v>
      </c>
      <c r="F150" s="2971">
        <v>76.050555940763999</v>
      </c>
      <c r="G150" s="3171">
        <v>78.960771440696504</v>
      </c>
      <c r="H150" s="2971">
        <v>93.6103122232186</v>
      </c>
      <c r="I150" s="3171">
        <v>79.312726266303002</v>
      </c>
      <c r="J150" s="2971">
        <v>70.686166028768397</v>
      </c>
      <c r="K150" s="3171">
        <v>67.251165217096002</v>
      </c>
      <c r="L150" s="2971">
        <v>87.694163163281601</v>
      </c>
      <c r="M150" s="3171">
        <v>47.127962620393802</v>
      </c>
      <c r="N150" s="2972">
        <v>66.321839080459796</v>
      </c>
    </row>
    <row r="151" spans="1:14">
      <c r="A151" s="63">
        <v>2005.1</v>
      </c>
      <c r="B151" s="2971">
        <v>74.000191245929599</v>
      </c>
      <c r="C151" s="3171">
        <v>74.010043998939096</v>
      </c>
      <c r="D151" s="2971">
        <v>57.073918818585902</v>
      </c>
      <c r="E151" s="3171">
        <v>81.333090904865998</v>
      </c>
      <c r="F151" s="2971">
        <v>78.6382260705672</v>
      </c>
      <c r="G151" s="3171">
        <v>77.571432353763399</v>
      </c>
      <c r="H151" s="2971">
        <v>89.848579513304799</v>
      </c>
      <c r="I151" s="3171">
        <v>77.574512207696998</v>
      </c>
      <c r="J151" s="2971">
        <v>66.573507855002106</v>
      </c>
      <c r="K151" s="3171">
        <v>64.438324071876394</v>
      </c>
      <c r="L151" s="2971">
        <v>92.356085738461999</v>
      </c>
      <c r="M151" s="3171">
        <v>44.559277942142899</v>
      </c>
      <c r="N151" s="2972">
        <v>61.512791991101203</v>
      </c>
    </row>
    <row r="152" spans="1:14">
      <c r="A152" s="63">
        <v>2005.11</v>
      </c>
      <c r="B152" s="2971">
        <v>74.776075799346501</v>
      </c>
      <c r="C152" s="3171">
        <v>73.253773658294094</v>
      </c>
      <c r="D152" s="2971">
        <v>66.194322663495598</v>
      </c>
      <c r="E152" s="3171">
        <v>79.054873628959498</v>
      </c>
      <c r="F152" s="2971">
        <v>80.446490286982097</v>
      </c>
      <c r="G152" s="3171">
        <v>78.264575630185305</v>
      </c>
      <c r="H152" s="2971">
        <v>91.080544491050304</v>
      </c>
      <c r="I152" s="3171">
        <v>74.359134831974799</v>
      </c>
      <c r="J152" s="2971">
        <v>67.904119897824501</v>
      </c>
      <c r="K152" s="3171">
        <v>63.993870036865303</v>
      </c>
      <c r="L152" s="2971">
        <v>96.695739082399896</v>
      </c>
      <c r="M152" s="3171">
        <v>53.528738384526399</v>
      </c>
      <c r="N152" s="2972">
        <v>61.781609195402297</v>
      </c>
    </row>
    <row r="153" spans="1:14">
      <c r="A153" s="63">
        <v>2005.12</v>
      </c>
      <c r="B153" s="2971">
        <v>70.975469603590398</v>
      </c>
      <c r="C153" s="3171">
        <v>73.479828170716303</v>
      </c>
      <c r="D153" s="2971">
        <v>66.160879415215703</v>
      </c>
      <c r="E153" s="3171">
        <v>71.010152871423301</v>
      </c>
      <c r="F153" s="2971">
        <v>74.419052398459002</v>
      </c>
      <c r="G153" s="3171">
        <v>72.083412137488196</v>
      </c>
      <c r="H153" s="2971">
        <v>92.5755882144949</v>
      </c>
      <c r="I153" s="3171">
        <v>71.713761474273596</v>
      </c>
      <c r="J153" s="2971">
        <v>63.745645138597602</v>
      </c>
      <c r="K153" s="3171">
        <v>62.002303549518103</v>
      </c>
      <c r="L153" s="2971">
        <v>93.397331305624803</v>
      </c>
      <c r="M153" s="3171">
        <v>33.864642207479903</v>
      </c>
      <c r="N153" s="2972">
        <v>56.507230255839801</v>
      </c>
    </row>
    <row r="154" spans="1:14">
      <c r="A154" s="63">
        <v>2006.01</v>
      </c>
      <c r="B154" s="2971">
        <v>67.517537544902098</v>
      </c>
      <c r="C154" s="3171">
        <v>69.872455907700996</v>
      </c>
      <c r="D154" s="2971">
        <v>65.435262270719505</v>
      </c>
      <c r="E154" s="3171">
        <v>66.437823408009294</v>
      </c>
      <c r="F154" s="2971">
        <v>77.886157439211004</v>
      </c>
      <c r="G154" s="3171">
        <v>70.049116205114501</v>
      </c>
      <c r="H154" s="2971">
        <v>91.277413780425704</v>
      </c>
      <c r="I154" s="3171">
        <v>74.002518721118093</v>
      </c>
      <c r="J154" s="2971">
        <v>64.222044121258193</v>
      </c>
      <c r="K154" s="3171">
        <v>59.9409014292495</v>
      </c>
      <c r="L154" s="2971">
        <v>82.794851008593099</v>
      </c>
      <c r="M154" s="3171">
        <v>18.030854920495401</v>
      </c>
      <c r="N154" s="2972">
        <v>53.170189098998897</v>
      </c>
    </row>
    <row r="155" spans="1:14">
      <c r="A155" s="63">
        <v>2006.02</v>
      </c>
      <c r="B155" s="2971">
        <v>73.521538114939702</v>
      </c>
      <c r="C155" s="3171">
        <v>71.576835412477706</v>
      </c>
      <c r="D155" s="2971">
        <v>74.484998266063897</v>
      </c>
      <c r="E155" s="3171">
        <v>77.704091275017106</v>
      </c>
      <c r="F155" s="2971">
        <v>78.151704908615997</v>
      </c>
      <c r="G155" s="3171">
        <v>76.439113522319303</v>
      </c>
      <c r="H155" s="2971">
        <v>94.170076450522501</v>
      </c>
      <c r="I155" s="3171">
        <v>74.858704429042703</v>
      </c>
      <c r="J155" s="2971">
        <v>61.562807348918199</v>
      </c>
      <c r="K155" s="3171">
        <v>61.893970568135899</v>
      </c>
      <c r="L155" s="2971">
        <v>96.651869880006998</v>
      </c>
      <c r="M155" s="3171">
        <v>47.340932933971899</v>
      </c>
      <c r="N155" s="2972">
        <v>59.236453201970399</v>
      </c>
    </row>
    <row r="156" spans="1:14">
      <c r="A156" s="63">
        <v>2006.03</v>
      </c>
      <c r="B156" s="2971">
        <v>74.018181576553303</v>
      </c>
      <c r="C156" s="3171">
        <v>70.109867861887906</v>
      </c>
      <c r="D156" s="2971">
        <v>67.887767144575605</v>
      </c>
      <c r="E156" s="3171">
        <v>79.531182601677003</v>
      </c>
      <c r="F156" s="2971">
        <v>78.883072918914394</v>
      </c>
      <c r="G156" s="3171">
        <v>75.222710373077305</v>
      </c>
      <c r="H156" s="2971">
        <v>92.8473639329154</v>
      </c>
      <c r="I156" s="3171">
        <v>74.625037545096504</v>
      </c>
      <c r="J156" s="2971">
        <v>64.966643275557203</v>
      </c>
      <c r="K156" s="3171">
        <v>61.319465729271499</v>
      </c>
      <c r="L156" s="2971">
        <v>97.800115886275407</v>
      </c>
      <c r="M156" s="3171">
        <v>51.988989367699098</v>
      </c>
      <c r="N156" s="2972">
        <v>62.471264367816097</v>
      </c>
    </row>
    <row r="157" spans="1:14">
      <c r="A157" s="63">
        <v>2006.04</v>
      </c>
      <c r="B157" s="2971">
        <v>73.488354619557697</v>
      </c>
      <c r="C157" s="3171">
        <v>65.3041590804322</v>
      </c>
      <c r="D157" s="2971">
        <v>59.52001644512</v>
      </c>
      <c r="E157" s="3171">
        <v>80.914311602256703</v>
      </c>
      <c r="F157" s="2971">
        <v>78.433033343240496</v>
      </c>
      <c r="G157" s="3171">
        <v>74.810633308134697</v>
      </c>
      <c r="H157" s="2971">
        <v>93.169552894696494</v>
      </c>
      <c r="I157" s="3171">
        <v>76.4766619516746</v>
      </c>
      <c r="J157" s="2971">
        <v>63.420064197628299</v>
      </c>
      <c r="K157" s="3171">
        <v>64.527485994095898</v>
      </c>
      <c r="L157" s="2971">
        <v>96.325503518333207</v>
      </c>
      <c r="M157" s="3171">
        <v>50.601798260796201</v>
      </c>
      <c r="N157" s="2972">
        <v>65.245901639344297</v>
      </c>
    </row>
    <row r="158" spans="1:14">
      <c r="A158" s="63">
        <v>2006.05</v>
      </c>
      <c r="B158" s="2971">
        <v>72.885808895912305</v>
      </c>
      <c r="C158" s="3171">
        <v>67.318021509487494</v>
      </c>
      <c r="D158" s="2971">
        <v>68.040998027603294</v>
      </c>
      <c r="E158" s="3171">
        <v>79.402752668253598</v>
      </c>
      <c r="F158" s="2971">
        <v>79.4249833454423</v>
      </c>
      <c r="G158" s="3171">
        <v>72.450962160486398</v>
      </c>
      <c r="H158" s="2971">
        <v>92.322264595325805</v>
      </c>
      <c r="I158" s="3171">
        <v>74.798955481927905</v>
      </c>
      <c r="J158" s="2971">
        <v>61.157583840368403</v>
      </c>
      <c r="K158" s="3171">
        <v>64.671324341767402</v>
      </c>
      <c r="L158" s="2971">
        <v>95.823459206735706</v>
      </c>
      <c r="M158" s="3171">
        <v>46.3604643730731</v>
      </c>
      <c r="N158" s="2972">
        <v>64.3574828133263</v>
      </c>
    </row>
    <row r="159" spans="1:14">
      <c r="A159" s="63">
        <v>2006.06</v>
      </c>
      <c r="B159" s="2971">
        <v>74.758492584040297</v>
      </c>
      <c r="C159" s="3171">
        <v>69.391533134446505</v>
      </c>
      <c r="D159" s="2971">
        <v>60.091166319834002</v>
      </c>
      <c r="E159" s="3171">
        <v>81.518961469783804</v>
      </c>
      <c r="F159" s="2971">
        <v>77.151127964875201</v>
      </c>
      <c r="G159" s="3171">
        <v>73.900396714456605</v>
      </c>
      <c r="H159" s="2971">
        <v>94.605823357380302</v>
      </c>
      <c r="I159" s="3171">
        <v>76.289045837952202</v>
      </c>
      <c r="J159" s="2971">
        <v>64.929642124490101</v>
      </c>
      <c r="K159" s="3171">
        <v>67.067520459776105</v>
      </c>
      <c r="L159" s="2971">
        <v>97.835609203977896</v>
      </c>
      <c r="M159" s="3171">
        <v>54.251793732265803</v>
      </c>
      <c r="N159" s="2972">
        <v>63.879781420764999</v>
      </c>
    </row>
    <row r="160" spans="1:14">
      <c r="A160" s="63">
        <v>2006.07</v>
      </c>
      <c r="B160" s="2971">
        <v>73.713858166517596</v>
      </c>
      <c r="C160" s="3171">
        <v>69.061811043328305</v>
      </c>
      <c r="D160" s="2971">
        <v>66.679148420376904</v>
      </c>
      <c r="E160" s="3171">
        <v>82.533507553585594</v>
      </c>
      <c r="F160" s="2971">
        <v>79.410316553705499</v>
      </c>
      <c r="G160" s="3171">
        <v>72.544407081587707</v>
      </c>
      <c r="H160" s="2971">
        <v>92.197346651448797</v>
      </c>
      <c r="I160" s="3171">
        <v>76.656125160605001</v>
      </c>
      <c r="J160" s="2971">
        <v>64.619140503975899</v>
      </c>
      <c r="K160" s="3171">
        <v>63.385487090842098</v>
      </c>
      <c r="L160" s="2971">
        <v>93.987298093825999</v>
      </c>
      <c r="M160" s="3171">
        <v>55.123901030939997</v>
      </c>
      <c r="N160" s="2972">
        <v>61.396086726599698</v>
      </c>
    </row>
    <row r="161" spans="1:14">
      <c r="A161" s="63">
        <v>2006.08</v>
      </c>
      <c r="B161" s="2971">
        <v>74.5587994517997</v>
      </c>
      <c r="C161" s="3171">
        <v>72.561339639920405</v>
      </c>
      <c r="D161" s="2971">
        <v>66.123990498931306</v>
      </c>
      <c r="E161" s="3171">
        <v>83.586034928822798</v>
      </c>
      <c r="F161" s="2971">
        <v>78.0405350256312</v>
      </c>
      <c r="G161" s="3171">
        <v>71.715862114490093</v>
      </c>
      <c r="H161" s="2971">
        <v>97.070962717086104</v>
      </c>
      <c r="I161" s="3171">
        <v>72.300593576243102</v>
      </c>
      <c r="J161" s="2971">
        <v>64.813709062068796</v>
      </c>
      <c r="K161" s="3171">
        <v>66.646630061128505</v>
      </c>
      <c r="L161" s="2971">
        <v>91.269288594253595</v>
      </c>
      <c r="M161" s="3171">
        <v>60.588814606049297</v>
      </c>
      <c r="N161" s="2972">
        <v>62.799167533818903</v>
      </c>
    </row>
    <row r="162" spans="1:14">
      <c r="A162" s="63">
        <v>2006.09</v>
      </c>
      <c r="B162" s="2971">
        <v>76.040316486755202</v>
      </c>
      <c r="C162" s="3171">
        <v>74.697257907389996</v>
      </c>
      <c r="D162" s="2971">
        <v>67.962646239663599</v>
      </c>
      <c r="E162" s="3171">
        <v>85.757906974282093</v>
      </c>
      <c r="F162" s="2971">
        <v>78.979479163007497</v>
      </c>
      <c r="G162" s="3171">
        <v>75.191609965125295</v>
      </c>
      <c r="H162" s="2971">
        <v>86.539943922961896</v>
      </c>
      <c r="I162" s="3171">
        <v>77.890141263327706</v>
      </c>
      <c r="J162" s="2971">
        <v>63.753959898480602</v>
      </c>
      <c r="K162" s="3171">
        <v>69.493164868003404</v>
      </c>
      <c r="L162" s="2971">
        <v>96.563533244305205</v>
      </c>
      <c r="M162" s="3171">
        <v>61.004547333608897</v>
      </c>
      <c r="N162" s="2972">
        <v>64.126984126984098</v>
      </c>
    </row>
    <row r="163" spans="1:14">
      <c r="A163" s="63">
        <v>2006.1</v>
      </c>
      <c r="B163" s="2971">
        <v>75.246914907725198</v>
      </c>
      <c r="C163" s="3171">
        <v>74.417483297679993</v>
      </c>
      <c r="D163" s="2971">
        <v>64.462367775305495</v>
      </c>
      <c r="E163" s="3171">
        <v>81.928185697908702</v>
      </c>
      <c r="F163" s="2971">
        <v>80.185500236746194</v>
      </c>
      <c r="G163" s="3171">
        <v>75.082540488715793</v>
      </c>
      <c r="H163" s="2971">
        <v>87.371928597005805</v>
      </c>
      <c r="I163" s="3171">
        <v>80.172984750411203</v>
      </c>
      <c r="J163" s="2971">
        <v>62.8394283612663</v>
      </c>
      <c r="K163" s="3171">
        <v>67.148844813253007</v>
      </c>
      <c r="L163" s="2971">
        <v>94.741950251476496</v>
      </c>
      <c r="M163" s="3171">
        <v>56.469615543613102</v>
      </c>
      <c r="N163" s="2972">
        <v>60.931899641577097</v>
      </c>
    </row>
    <row r="164" spans="1:14">
      <c r="A164" s="63">
        <v>2006.11</v>
      </c>
      <c r="B164" s="2971">
        <v>76.182692165426104</v>
      </c>
      <c r="C164" s="3171">
        <v>76.973042222275097</v>
      </c>
      <c r="D164" s="2971">
        <v>72.363034529997506</v>
      </c>
      <c r="E164" s="3171">
        <v>83.968209222299095</v>
      </c>
      <c r="F164" s="2971">
        <v>81.304828717779003</v>
      </c>
      <c r="G164" s="3171">
        <v>78.316521026762899</v>
      </c>
      <c r="H164" s="2971">
        <v>95.732408888991202</v>
      </c>
      <c r="I164" s="3171">
        <v>79.330502112088396</v>
      </c>
      <c r="J164" s="2971">
        <v>66.112363761618894</v>
      </c>
      <c r="K164" s="3171">
        <v>71.988185771192093</v>
      </c>
      <c r="L164" s="2971">
        <v>84.191625503554704</v>
      </c>
      <c r="M164" s="3171">
        <v>62.065384615384602</v>
      </c>
      <c r="N164" s="2972">
        <v>59.788359788359799</v>
      </c>
    </row>
    <row r="165" spans="1:14">
      <c r="A165" s="63">
        <v>2006.12</v>
      </c>
      <c r="B165" s="2971">
        <v>72.178499760311894</v>
      </c>
      <c r="C165" s="3171">
        <v>73.101392649416695</v>
      </c>
      <c r="D165" s="2971">
        <v>61.765017786770201</v>
      </c>
      <c r="E165" s="3171">
        <v>73.994587760504203</v>
      </c>
      <c r="F165" s="2971">
        <v>77.612504894964005</v>
      </c>
      <c r="G165" s="3171">
        <v>71.296357925002596</v>
      </c>
      <c r="H165" s="2971">
        <v>95.8398852229261</v>
      </c>
      <c r="I165" s="3171">
        <v>79.950478090825897</v>
      </c>
      <c r="J165" s="2971">
        <v>64.451658082761</v>
      </c>
      <c r="K165" s="3171">
        <v>64.481023177140301</v>
      </c>
      <c r="L165" s="2971">
        <v>77.988365443843406</v>
      </c>
      <c r="M165" s="3171">
        <v>49.264267990074401</v>
      </c>
      <c r="N165" s="2972">
        <v>56.323604710701503</v>
      </c>
    </row>
    <row r="166" spans="1:14">
      <c r="A166" s="63">
        <v>2007.01</v>
      </c>
      <c r="B166" s="2971">
        <v>67.464813607056399</v>
      </c>
      <c r="C166" s="3171">
        <v>72.628133447833605</v>
      </c>
      <c r="D166" s="2971">
        <v>61.9545295270227</v>
      </c>
      <c r="E166" s="3171">
        <v>68.396296545206397</v>
      </c>
      <c r="F166" s="2971">
        <v>79.009114937599406</v>
      </c>
      <c r="G166" s="3171">
        <v>67.437596781793303</v>
      </c>
      <c r="H166" s="2971">
        <v>91.182087870670799</v>
      </c>
      <c r="I166" s="3171">
        <v>78.104827324739205</v>
      </c>
      <c r="J166" s="2971">
        <v>64.806875341793202</v>
      </c>
      <c r="K166" s="3171">
        <v>63.803356329764704</v>
      </c>
      <c r="L166" s="2971">
        <v>68.035003435827505</v>
      </c>
      <c r="M166" s="3171">
        <v>21.162531017369702</v>
      </c>
      <c r="N166" s="2972">
        <v>53.517665130568403</v>
      </c>
    </row>
    <row r="167" spans="1:14">
      <c r="A167" s="63">
        <v>2007.02</v>
      </c>
      <c r="B167" s="2971">
        <v>73.8349669346252</v>
      </c>
      <c r="C167" s="3171">
        <v>71.962704482482295</v>
      </c>
      <c r="D167" s="2971">
        <v>70.865939075485002</v>
      </c>
      <c r="E167" s="3171">
        <v>75.390302702700893</v>
      </c>
      <c r="F167" s="2971">
        <v>82.550893577797396</v>
      </c>
      <c r="G167" s="3171">
        <v>73.805935117221907</v>
      </c>
      <c r="H167" s="2971">
        <v>96.434714719608607</v>
      </c>
      <c r="I167" s="3171">
        <v>77.9891386223767</v>
      </c>
      <c r="J167" s="2971">
        <v>65.417080067761304</v>
      </c>
      <c r="K167" s="3171">
        <v>67.944649562730802</v>
      </c>
      <c r="L167" s="2971">
        <v>89.573664342724996</v>
      </c>
      <c r="M167" s="3171">
        <v>45.270408163265301</v>
      </c>
      <c r="N167" s="2972">
        <v>60.170068027210903</v>
      </c>
    </row>
    <row r="168" spans="1:14">
      <c r="A168" s="63">
        <v>2007.03</v>
      </c>
      <c r="B168" s="2971">
        <v>73.078269035902295</v>
      </c>
      <c r="C168" s="3171">
        <v>71.192481136696401</v>
      </c>
      <c r="D168" s="2971">
        <v>73.802560303986198</v>
      </c>
      <c r="E168" s="3171">
        <v>72.855134565910603</v>
      </c>
      <c r="F168" s="2971">
        <v>81.858420547434804</v>
      </c>
      <c r="G168" s="3171">
        <v>69.621002381634298</v>
      </c>
      <c r="H168" s="2971">
        <v>98.568211558486198</v>
      </c>
      <c r="I168" s="3171">
        <v>73.123657818152907</v>
      </c>
      <c r="J168" s="2971">
        <v>65.084661146850905</v>
      </c>
      <c r="K168" s="3171">
        <v>64.001439908403995</v>
      </c>
      <c r="L168" s="2971">
        <v>92.678335033104403</v>
      </c>
      <c r="M168" s="3171">
        <v>51.711981566820299</v>
      </c>
      <c r="N168" s="2972">
        <v>57.7377904566845</v>
      </c>
    </row>
    <row r="169" spans="1:14">
      <c r="A169" s="63">
        <v>2007.04</v>
      </c>
      <c r="B169" s="2971">
        <v>73.605078300078006</v>
      </c>
      <c r="C169" s="3171">
        <v>66.8071050750914</v>
      </c>
      <c r="D169" s="2971">
        <v>67.488677715102597</v>
      </c>
      <c r="E169" s="3171">
        <v>80.007306276305798</v>
      </c>
      <c r="F169" s="2971">
        <v>78.338413530224699</v>
      </c>
      <c r="G169" s="3171">
        <v>74.522878997934797</v>
      </c>
      <c r="H169" s="2971">
        <v>95.068243680769996</v>
      </c>
      <c r="I169" s="3171">
        <v>76.583820274535995</v>
      </c>
      <c r="J169" s="2971">
        <v>68.426554387981398</v>
      </c>
      <c r="K169" s="3171">
        <v>63.694817733946103</v>
      </c>
      <c r="L169" s="2971">
        <v>94.738345595338103</v>
      </c>
      <c r="M169" s="3171">
        <v>49.436904761904799</v>
      </c>
      <c r="N169" s="2972">
        <v>62.917611489040098</v>
      </c>
    </row>
    <row r="170" spans="1:14">
      <c r="A170" s="63">
        <v>2007.05</v>
      </c>
      <c r="B170" s="2971">
        <v>72.364984741987698</v>
      </c>
      <c r="C170" s="3171">
        <v>68.251861151714607</v>
      </c>
      <c r="D170" s="2971">
        <v>68.432993434713794</v>
      </c>
      <c r="E170" s="3171">
        <v>78.528800307247707</v>
      </c>
      <c r="F170" s="2971">
        <v>77.898036311645299</v>
      </c>
      <c r="G170" s="3171">
        <v>73.951524291568305</v>
      </c>
      <c r="H170" s="2971">
        <v>94.748874941040199</v>
      </c>
      <c r="I170" s="3171">
        <v>72.719379727735898</v>
      </c>
      <c r="J170" s="2971">
        <v>59.8800035675199</v>
      </c>
      <c r="K170" s="3171">
        <v>70.199696474883595</v>
      </c>
      <c r="L170" s="2971">
        <v>87.830898307046098</v>
      </c>
      <c r="M170" s="3171">
        <v>52.248847926267302</v>
      </c>
      <c r="N170" s="2972">
        <v>61.936459171482198</v>
      </c>
    </row>
    <row r="171" spans="1:14">
      <c r="A171" s="63">
        <v>2007.06</v>
      </c>
      <c r="B171" s="2971">
        <v>72.793919268983799</v>
      </c>
      <c r="C171" s="3171">
        <v>67.652368699152802</v>
      </c>
      <c r="D171" s="2971">
        <v>62.8348639211369</v>
      </c>
      <c r="E171" s="3171">
        <v>80.325302515391499</v>
      </c>
      <c r="F171" s="2971">
        <v>78.598670789090093</v>
      </c>
      <c r="G171" s="3171">
        <v>77.797785790531094</v>
      </c>
      <c r="H171" s="2971">
        <v>98.355864655220302</v>
      </c>
      <c r="I171" s="3171">
        <v>66.667586156012803</v>
      </c>
      <c r="J171" s="2971">
        <v>69.802418128821202</v>
      </c>
      <c r="K171" s="3171">
        <v>69.5631114436882</v>
      </c>
      <c r="L171" s="2971">
        <v>89.959262698035801</v>
      </c>
      <c r="M171" s="3171">
        <v>56.634523809523799</v>
      </c>
      <c r="N171" s="2972">
        <v>61.844293272864697</v>
      </c>
    </row>
    <row r="172" spans="1:14">
      <c r="A172" s="63">
        <v>2007.07</v>
      </c>
      <c r="B172" s="2971">
        <v>69.3044857385418</v>
      </c>
      <c r="C172" s="3171">
        <v>66.593264083434207</v>
      </c>
      <c r="D172" s="2971">
        <v>67.886348340103098</v>
      </c>
      <c r="E172" s="3171">
        <v>79.103006495770998</v>
      </c>
      <c r="F172" s="2971">
        <v>78.734343104823395</v>
      </c>
      <c r="G172" s="3171">
        <v>77.604646126205395</v>
      </c>
      <c r="H172" s="2971">
        <v>99.312288602687403</v>
      </c>
      <c r="I172" s="3171">
        <v>63.008387855734597</v>
      </c>
      <c r="J172" s="2971">
        <v>65.864684717240706</v>
      </c>
      <c r="K172" s="3171">
        <v>66.738538632983904</v>
      </c>
      <c r="L172" s="2971">
        <v>71.585243231157193</v>
      </c>
      <c r="M172" s="3171">
        <v>50.649769585253502</v>
      </c>
      <c r="N172" s="2972">
        <v>61.604856996562098</v>
      </c>
    </row>
    <row r="173" spans="1:14">
      <c r="A173" s="63">
        <v>2007.08</v>
      </c>
      <c r="B173" s="2971">
        <v>75.759354998895304</v>
      </c>
      <c r="C173" s="3171">
        <v>72.212185139860196</v>
      </c>
      <c r="D173" s="2971">
        <v>69.508649911205893</v>
      </c>
      <c r="E173" s="3171">
        <v>83.738660740726402</v>
      </c>
      <c r="F173" s="2971">
        <v>78.471202096730295</v>
      </c>
      <c r="G173" s="3171">
        <v>79.255808809741595</v>
      </c>
      <c r="H173" s="2971">
        <v>96.510799732732096</v>
      </c>
      <c r="I173" s="3171">
        <v>68.895261558346505</v>
      </c>
      <c r="J173" s="2971">
        <v>66.154351140457095</v>
      </c>
      <c r="K173" s="3171">
        <v>68.388529167838797</v>
      </c>
      <c r="L173" s="2971">
        <v>93.604392354666203</v>
      </c>
      <c r="M173" s="3171">
        <v>61.669354838709701</v>
      </c>
      <c r="N173" s="2972">
        <v>69.368249091751395</v>
      </c>
    </row>
    <row r="174" spans="1:14">
      <c r="A174" s="63">
        <v>2007.09</v>
      </c>
      <c r="B174" s="2971">
        <v>78.407124788501505</v>
      </c>
      <c r="C174" s="3171">
        <v>74.745128089845494</v>
      </c>
      <c r="D174" s="2971">
        <v>67.036491217300096</v>
      </c>
      <c r="E174" s="3171">
        <v>88.5294055958299</v>
      </c>
      <c r="F174" s="2971">
        <v>81.104565206716998</v>
      </c>
      <c r="G174" s="3171">
        <v>80.555959717090303</v>
      </c>
      <c r="H174" s="2971">
        <v>96.1947783642578</v>
      </c>
      <c r="I174" s="3171">
        <v>79.423108488134801</v>
      </c>
      <c r="J174" s="2971">
        <v>72.338541794678093</v>
      </c>
      <c r="K174" s="3171">
        <v>69.805319106247495</v>
      </c>
      <c r="L174" s="2971">
        <v>94.065426197930506</v>
      </c>
      <c r="M174" s="3171">
        <v>59.375</v>
      </c>
      <c r="N174" s="2972">
        <v>69.2567397329302</v>
      </c>
    </row>
    <row r="175" spans="1:14">
      <c r="A175" s="63">
        <v>2007.1</v>
      </c>
      <c r="B175" s="2971">
        <v>77.436618810411602</v>
      </c>
      <c r="C175" s="3171">
        <v>77.767543608267701</v>
      </c>
      <c r="D175" s="2971">
        <v>73.155585464535903</v>
      </c>
      <c r="E175" s="3171">
        <v>82.800565209564695</v>
      </c>
      <c r="F175" s="2971">
        <v>80.6253914067793</v>
      </c>
      <c r="G175" s="3171">
        <v>76.571575779057397</v>
      </c>
      <c r="H175" s="2971">
        <v>93.148447090454397</v>
      </c>
      <c r="I175" s="3171">
        <v>76.986390834778703</v>
      </c>
      <c r="J175" s="2971">
        <v>71.759324293745607</v>
      </c>
      <c r="K175" s="3171">
        <v>70.220371212268404</v>
      </c>
      <c r="L175" s="2971">
        <v>95.151498985714099</v>
      </c>
      <c r="M175" s="3171">
        <v>63.686635944700498</v>
      </c>
      <c r="N175" s="2972">
        <v>62.409479921000703</v>
      </c>
    </row>
    <row r="176" spans="1:14">
      <c r="A176" s="63">
        <v>2007.11</v>
      </c>
      <c r="B176" s="2971">
        <v>79.274832082342698</v>
      </c>
      <c r="C176" s="3171">
        <v>80.850457721726997</v>
      </c>
      <c r="D176" s="2971">
        <v>80.669891145663996</v>
      </c>
      <c r="E176" s="3171">
        <v>85.703699896186905</v>
      </c>
      <c r="F176" s="2971">
        <v>80.589417989417996</v>
      </c>
      <c r="G176" s="3171">
        <v>77.977149617680595</v>
      </c>
      <c r="H176" s="2971">
        <v>94.751422810334503</v>
      </c>
      <c r="I176" s="3171">
        <v>74.881068176612004</v>
      </c>
      <c r="J176" s="2971">
        <v>72.399961167211302</v>
      </c>
      <c r="K176" s="3171">
        <v>75.266343265002902</v>
      </c>
      <c r="L176" s="2971">
        <v>95.763004894760996</v>
      </c>
      <c r="M176" s="3171">
        <v>70.758333333333297</v>
      </c>
      <c r="N176" s="2972">
        <v>65.079365079365104</v>
      </c>
    </row>
    <row r="177" spans="1:14">
      <c r="A177" s="63">
        <v>2007.12</v>
      </c>
      <c r="B177" s="2971">
        <v>74.520201287564504</v>
      </c>
      <c r="C177" s="3171">
        <v>76.065658005999893</v>
      </c>
      <c r="D177" s="2971">
        <v>61.091863413238897</v>
      </c>
      <c r="E177" s="3171">
        <v>74.762695216923404</v>
      </c>
      <c r="F177" s="2971">
        <v>77.436251920122899</v>
      </c>
      <c r="G177" s="3171">
        <v>73.030727604611698</v>
      </c>
      <c r="H177" s="2971">
        <v>93.750814119065495</v>
      </c>
      <c r="I177" s="3171">
        <v>73.809335490048696</v>
      </c>
      <c r="J177" s="2971">
        <v>65.231229551861205</v>
      </c>
      <c r="K177" s="3171">
        <v>68.969031799301206</v>
      </c>
      <c r="L177" s="2971">
        <v>92.554782109909297</v>
      </c>
      <c r="M177" s="3171">
        <v>58.38133640553</v>
      </c>
      <c r="N177" s="2972">
        <v>58.761855996879</v>
      </c>
    </row>
    <row r="178" spans="1:14">
      <c r="A178" s="63">
        <f t="shared" ref="A178:A209" si="0">A166+1</f>
        <v>2008.01</v>
      </c>
      <c r="B178" s="2971">
        <v>70.634394993806694</v>
      </c>
      <c r="C178" s="3171">
        <v>74.570265677170497</v>
      </c>
      <c r="D178" s="2971">
        <v>67.940674722432107</v>
      </c>
      <c r="E178" s="3171">
        <v>69.229061078113702</v>
      </c>
      <c r="F178" s="2971">
        <v>76.990271377368103</v>
      </c>
      <c r="G178" s="3171">
        <v>69.642552817455595</v>
      </c>
      <c r="H178" s="2971">
        <v>93.959947115854305</v>
      </c>
      <c r="I178" s="3171">
        <v>73.018420270068006</v>
      </c>
      <c r="J178" s="2971">
        <v>65.279011367873295</v>
      </c>
      <c r="K178" s="3171">
        <v>65.217614331299004</v>
      </c>
      <c r="L178" s="2971">
        <v>80.202591162319294</v>
      </c>
      <c r="M178" s="3171">
        <v>47.497695852534598</v>
      </c>
      <c r="N178" s="2972">
        <v>52.593080242849801</v>
      </c>
    </row>
    <row r="179" spans="1:14">
      <c r="A179" s="63">
        <f t="shared" si="0"/>
        <v>2008.02</v>
      </c>
      <c r="B179" s="2971">
        <v>72.399947139723807</v>
      </c>
      <c r="C179" s="3171">
        <v>73.399190505031498</v>
      </c>
      <c r="D179" s="2971">
        <v>69.823962813026398</v>
      </c>
      <c r="E179" s="3171">
        <v>75.382397963926294</v>
      </c>
      <c r="F179" s="2971">
        <v>79.314176245210703</v>
      </c>
      <c r="G179" s="3171">
        <v>72.455671344794396</v>
      </c>
      <c r="H179" s="2971">
        <v>92.588746525962193</v>
      </c>
      <c r="I179" s="3171">
        <v>76.063479540379902</v>
      </c>
      <c r="J179" s="2971">
        <v>68.131217761276204</v>
      </c>
      <c r="K179" s="3171">
        <v>66.740224228322504</v>
      </c>
      <c r="L179" s="2971">
        <v>88.068253577852602</v>
      </c>
      <c r="M179" s="3171">
        <v>41.424876847290598</v>
      </c>
      <c r="N179" s="2972">
        <v>57.049026507154601</v>
      </c>
    </row>
    <row r="180" spans="1:14">
      <c r="A180" s="63">
        <f t="shared" si="0"/>
        <v>2008.03</v>
      </c>
      <c r="B180" s="2971">
        <v>71.727549060816401</v>
      </c>
      <c r="C180" s="3171">
        <v>59.585121584638799</v>
      </c>
      <c r="D180" s="2971">
        <v>64.848027457468305</v>
      </c>
      <c r="E180" s="3171">
        <v>76.549781219829697</v>
      </c>
      <c r="F180" s="2971">
        <v>76.435739887352796</v>
      </c>
      <c r="G180" s="3171">
        <v>70.394175647188604</v>
      </c>
      <c r="H180" s="2971">
        <v>94.784936537991001</v>
      </c>
      <c r="I180" s="3171">
        <v>75.059803227760995</v>
      </c>
      <c r="J180" s="2971">
        <v>70.367498612515803</v>
      </c>
      <c r="K180" s="3171">
        <v>65.705303526073806</v>
      </c>
      <c r="L180" s="2971">
        <v>94.963691005276402</v>
      </c>
      <c r="M180" s="3171">
        <v>57.132488479262697</v>
      </c>
      <c r="N180" s="2972">
        <v>59.7322800087777</v>
      </c>
    </row>
    <row r="181" spans="1:14">
      <c r="A181" s="63">
        <f t="shared" si="0"/>
        <v>2008.04</v>
      </c>
      <c r="B181" s="2971">
        <v>76.5007110128237</v>
      </c>
      <c r="C181" s="3171">
        <v>72.908147161041796</v>
      </c>
      <c r="D181" s="2971">
        <v>70.801658855944794</v>
      </c>
      <c r="E181" s="3171">
        <v>83.333490262506004</v>
      </c>
      <c r="F181" s="2971">
        <v>74.357142857142904</v>
      </c>
      <c r="G181" s="3171">
        <v>76.642236154456796</v>
      </c>
      <c r="H181" s="2971">
        <v>94.205590314948196</v>
      </c>
      <c r="I181" s="3171">
        <v>72.642026858965295</v>
      </c>
      <c r="J181" s="2971">
        <v>74.089699085561307</v>
      </c>
      <c r="K181" s="3171">
        <v>70.260494136586701</v>
      </c>
      <c r="L181" s="2971">
        <v>97.706134370054698</v>
      </c>
      <c r="M181" s="3171">
        <v>65.026190476190493</v>
      </c>
      <c r="N181" s="2972">
        <v>65.296044343663397</v>
      </c>
    </row>
    <row r="182" spans="1:14">
      <c r="A182" s="63">
        <f t="shared" si="0"/>
        <v>2008.05</v>
      </c>
      <c r="B182" s="2971">
        <v>74.858752864383604</v>
      </c>
      <c r="C182" s="3171">
        <v>69.230170482419894</v>
      </c>
      <c r="D182" s="2971">
        <v>64.2768920601373</v>
      </c>
      <c r="E182" s="3171">
        <v>83.133653934685498</v>
      </c>
      <c r="F182" s="2971">
        <v>75.548387096774206</v>
      </c>
      <c r="G182" s="3171">
        <v>75.197515293451602</v>
      </c>
      <c r="H182" s="2971">
        <v>95.8582472556987</v>
      </c>
      <c r="I182" s="3171">
        <v>70.258564633986794</v>
      </c>
      <c r="J182" s="2971">
        <v>68.182043743956896</v>
      </c>
      <c r="K182" s="3171">
        <v>70.821327726955502</v>
      </c>
      <c r="L182" s="2971">
        <v>95.647679515490694</v>
      </c>
      <c r="M182" s="3171">
        <v>64.538018433179701</v>
      </c>
      <c r="N182" s="2972">
        <v>64.735571648014002</v>
      </c>
    </row>
    <row r="183" spans="1:14">
      <c r="A183" s="63">
        <f t="shared" si="0"/>
        <v>2008.06</v>
      </c>
      <c r="B183" s="2971">
        <v>71.839057351274505</v>
      </c>
      <c r="C183" s="3171">
        <v>58.767160835181798</v>
      </c>
      <c r="D183" s="2971">
        <v>62.583615999598798</v>
      </c>
      <c r="E183" s="3171">
        <v>83.575507859967303</v>
      </c>
      <c r="F183" s="2971">
        <v>75.8322751322751</v>
      </c>
      <c r="G183" s="3171">
        <v>78.238064521856202</v>
      </c>
      <c r="H183" s="2971">
        <v>91.083250392875399</v>
      </c>
      <c r="I183" s="3171">
        <v>67.662898966891305</v>
      </c>
      <c r="J183" s="2971">
        <v>69.971656864256801</v>
      </c>
      <c r="K183" s="3171">
        <v>68.606478261275697</v>
      </c>
      <c r="L183" s="2971">
        <v>97.269409686697401</v>
      </c>
      <c r="M183" s="3171">
        <v>61.0107142857143</v>
      </c>
      <c r="N183" s="2972">
        <v>64.167296548248899</v>
      </c>
    </row>
    <row r="184" spans="1:14">
      <c r="A184" s="63">
        <f t="shared" si="0"/>
        <v>2008.07</v>
      </c>
      <c r="B184" s="2971">
        <v>73.226918610610298</v>
      </c>
      <c r="C184" s="3171">
        <v>71.309499895469003</v>
      </c>
      <c r="D184" s="2971">
        <v>65.9408677331391</v>
      </c>
      <c r="E184" s="3171">
        <v>76.491311747462703</v>
      </c>
      <c r="F184" s="2971">
        <v>75.646697388632901</v>
      </c>
      <c r="G184" s="3171">
        <v>76.2838451645502</v>
      </c>
      <c r="H184" s="2971">
        <v>91.764464544482905</v>
      </c>
      <c r="I184" s="3171">
        <v>62.277585236303899</v>
      </c>
      <c r="J184" s="2971">
        <v>59.349873592426</v>
      </c>
      <c r="K184" s="3171">
        <v>69.452945970158197</v>
      </c>
      <c r="L184" s="2971">
        <v>98.4904475639336</v>
      </c>
      <c r="M184" s="3171">
        <v>71.6347926267281</v>
      </c>
      <c r="N184" s="2972">
        <v>59.888328091093101</v>
      </c>
    </row>
    <row r="185" spans="1:14">
      <c r="A185" s="63">
        <f t="shared" si="0"/>
        <v>2008.08</v>
      </c>
      <c r="B185" s="2971">
        <v>76.361793236303299</v>
      </c>
      <c r="C185" s="3171">
        <v>74.174710086271702</v>
      </c>
      <c r="D185" s="2971">
        <v>63.076489494077698</v>
      </c>
      <c r="E185" s="3171">
        <v>78.135589694290402</v>
      </c>
      <c r="F185" s="2971">
        <v>74.659498207885306</v>
      </c>
      <c r="G185" s="3171">
        <v>80.494107421726895</v>
      </c>
      <c r="H185" s="2971">
        <v>95.551596665724901</v>
      </c>
      <c r="I185" s="3171">
        <v>74.888530436328907</v>
      </c>
      <c r="J185" s="2971">
        <v>61.751031112012903</v>
      </c>
      <c r="K185" s="3171">
        <v>71.4743940275455</v>
      </c>
      <c r="L185" s="2971">
        <v>97.050602188735496</v>
      </c>
      <c r="M185" s="3171">
        <v>66.908986175115203</v>
      </c>
      <c r="N185" s="2972">
        <v>61.290322580645203</v>
      </c>
    </row>
    <row r="186" spans="1:14">
      <c r="A186" s="63">
        <f t="shared" si="0"/>
        <v>2008.09</v>
      </c>
      <c r="B186" s="2971">
        <v>79.235337181298505</v>
      </c>
      <c r="C186" s="3171">
        <v>79.012142924387604</v>
      </c>
      <c r="D186" s="2971">
        <v>75.229010357979803</v>
      </c>
      <c r="E186" s="3171">
        <v>76.458626730891794</v>
      </c>
      <c r="F186" s="2971">
        <v>78.141269841269803</v>
      </c>
      <c r="G186" s="3171">
        <v>83.662667413320406</v>
      </c>
      <c r="H186" s="2971">
        <v>95.592244581942097</v>
      </c>
      <c r="I186" s="3171">
        <v>78.228275674665397</v>
      </c>
      <c r="J186" s="2971">
        <v>65.270373846562094</v>
      </c>
      <c r="K186" s="3171">
        <v>77.545645710336501</v>
      </c>
      <c r="L186" s="2971">
        <v>94.137488217880403</v>
      </c>
      <c r="M186" s="3171">
        <v>74.933333333333294</v>
      </c>
      <c r="N186" s="2972">
        <v>63.5</v>
      </c>
    </row>
    <row r="187" spans="1:14">
      <c r="A187" s="63">
        <f t="shared" si="0"/>
        <v>2008.1</v>
      </c>
      <c r="B187" s="2971">
        <v>76.893844383027897</v>
      </c>
      <c r="C187" s="3171">
        <v>82.056670979854104</v>
      </c>
      <c r="D187" s="2971">
        <v>72.735805330622995</v>
      </c>
      <c r="E187" s="3171">
        <v>73.278455315028197</v>
      </c>
      <c r="F187" s="2971">
        <v>73.485919098822293</v>
      </c>
      <c r="G187" s="3171">
        <v>80.112423953503097</v>
      </c>
      <c r="H187" s="2971">
        <v>92.196249921463803</v>
      </c>
      <c r="I187" s="3171">
        <v>75.577420578404599</v>
      </c>
      <c r="J187" s="2971">
        <v>63.736628449785698</v>
      </c>
      <c r="K187" s="3171">
        <v>76.0636699147895</v>
      </c>
      <c r="L187" s="2971">
        <v>90.162755438415601</v>
      </c>
      <c r="M187" s="3171">
        <v>66.903225806451601</v>
      </c>
      <c r="N187" s="2972">
        <v>59.447004608294897</v>
      </c>
    </row>
    <row r="188" spans="1:14">
      <c r="A188" s="63">
        <f t="shared" si="0"/>
        <v>2008.11</v>
      </c>
      <c r="B188" s="2971">
        <v>78.213792943651697</v>
      </c>
      <c r="C188" s="3171">
        <v>87.038533369329002</v>
      </c>
      <c r="D188" s="2971">
        <v>74.311066510558007</v>
      </c>
      <c r="E188" s="3171">
        <v>84.447466162540096</v>
      </c>
      <c r="F188" s="2971">
        <v>87.759404144015093</v>
      </c>
      <c r="G188" s="3171">
        <v>83.279595791682894</v>
      </c>
      <c r="H188" s="2971">
        <v>82.998877280846003</v>
      </c>
      <c r="I188" s="3171">
        <v>82.2047506334182</v>
      </c>
      <c r="J188" s="2971">
        <v>74.625627729344799</v>
      </c>
      <c r="K188" s="3171">
        <v>78.920492127819003</v>
      </c>
      <c r="L188" s="2971">
        <v>79.676181658483202</v>
      </c>
      <c r="M188" s="3171">
        <v>53.172606057007101</v>
      </c>
      <c r="N188" s="2972">
        <v>64.820999999999998</v>
      </c>
    </row>
    <row r="189" spans="1:14">
      <c r="A189" s="63">
        <f t="shared" si="0"/>
        <v>2008.12</v>
      </c>
      <c r="B189" s="2971">
        <v>76.135442792667007</v>
      </c>
      <c r="C189" s="3171">
        <v>87.3725866578297</v>
      </c>
      <c r="D189" s="2971">
        <v>71.250940252461504</v>
      </c>
      <c r="E189" s="3171">
        <v>78.748923124058393</v>
      </c>
      <c r="F189" s="2971">
        <v>89.746400919092693</v>
      </c>
      <c r="G189" s="3171">
        <v>84.4225111177537</v>
      </c>
      <c r="H189" s="2971">
        <v>92.819140681455494</v>
      </c>
      <c r="I189" s="3171">
        <v>83.958463451043698</v>
      </c>
      <c r="J189" s="2971">
        <v>69.148006396699003</v>
      </c>
      <c r="K189" s="3171">
        <v>73.797770365062505</v>
      </c>
      <c r="L189" s="2971">
        <v>67.290895523804295</v>
      </c>
      <c r="M189" s="3171">
        <v>34.184111849666699</v>
      </c>
      <c r="N189" s="2972">
        <v>63.248847926267302</v>
      </c>
    </row>
    <row r="190" spans="1:14">
      <c r="A190" s="63">
        <f t="shared" si="0"/>
        <v>2009.01</v>
      </c>
      <c r="B190" s="2971">
        <v>64.914751776764902</v>
      </c>
      <c r="C190" s="3171">
        <v>77.894032721573595</v>
      </c>
      <c r="D190" s="2971">
        <v>69.3179763444504</v>
      </c>
      <c r="E190" s="3171">
        <v>62.103500113027202</v>
      </c>
      <c r="F190" s="2971">
        <v>82.203572997554602</v>
      </c>
      <c r="G190" s="3171">
        <v>74.209718067861402</v>
      </c>
      <c r="H190" s="2971">
        <v>92.648418108561501</v>
      </c>
      <c r="I190" s="3171">
        <v>75.2561145258056</v>
      </c>
      <c r="J190" s="2971">
        <v>62.714246990821003</v>
      </c>
      <c r="K190" s="3171">
        <v>65.782005766015402</v>
      </c>
      <c r="L190" s="2971">
        <v>60.816340488657701</v>
      </c>
      <c r="M190" s="3171">
        <v>22.360670058807798</v>
      </c>
      <c r="N190" s="2972">
        <v>50</v>
      </c>
    </row>
    <row r="191" spans="1:14">
      <c r="A191" s="63">
        <f t="shared" si="0"/>
        <v>2009.02</v>
      </c>
      <c r="B191" s="2971">
        <v>71.326358616775707</v>
      </c>
      <c r="C191" s="3171">
        <v>84.721352689696005</v>
      </c>
      <c r="D191" s="2971">
        <v>78.422553437037493</v>
      </c>
      <c r="E191" s="3171">
        <v>67.2867901270521</v>
      </c>
      <c r="F191" s="2971">
        <v>88.479034010025302</v>
      </c>
      <c r="G191" s="3171">
        <v>80.944026497584005</v>
      </c>
      <c r="H191" s="2971">
        <v>87.552788698187101</v>
      </c>
      <c r="I191" s="3171">
        <v>86.997865719540798</v>
      </c>
      <c r="J191" s="2971">
        <v>73.966841755643003</v>
      </c>
      <c r="K191" s="3171">
        <v>70.858713526301798</v>
      </c>
      <c r="L191" s="2971">
        <v>64.678064897829699</v>
      </c>
      <c r="M191" s="3171">
        <v>23.3203380344418</v>
      </c>
      <c r="N191" s="2972">
        <v>61.632691517513699</v>
      </c>
    </row>
    <row r="192" spans="1:14">
      <c r="A192" s="63">
        <f t="shared" si="0"/>
        <v>2009.03</v>
      </c>
      <c r="B192" s="2971">
        <v>68.206723847285602</v>
      </c>
      <c r="C192" s="3171">
        <v>72.228296443991098</v>
      </c>
      <c r="D192" s="2971">
        <v>72.926597112527503</v>
      </c>
      <c r="E192" s="3171">
        <v>61.852449066529502</v>
      </c>
      <c r="F192" s="2971">
        <v>82.5484776706529</v>
      </c>
      <c r="G192" s="3171">
        <v>72.681851891675393</v>
      </c>
      <c r="H192" s="2971">
        <v>89.101492937429796</v>
      </c>
      <c r="I192" s="3171">
        <v>78.0479523704673</v>
      </c>
      <c r="J192" s="2971">
        <v>69.618544057734695</v>
      </c>
      <c r="K192" s="3171">
        <v>67.664624169257294</v>
      </c>
      <c r="L192" s="2971">
        <v>56.559918731347402</v>
      </c>
      <c r="M192" s="3171">
        <v>46.835108602789099</v>
      </c>
      <c r="N192" s="2972">
        <v>61.1668082573077</v>
      </c>
    </row>
    <row r="193" spans="1:14">
      <c r="A193" s="63">
        <f t="shared" si="0"/>
        <v>2009.04</v>
      </c>
      <c r="B193" s="2971">
        <v>73.101701983529594</v>
      </c>
      <c r="C193" s="3171">
        <v>79.9864906686295</v>
      </c>
      <c r="D193" s="2971">
        <v>75.364112230549793</v>
      </c>
      <c r="E193" s="3171">
        <v>72.616607961520799</v>
      </c>
      <c r="F193" s="2971">
        <v>79.420990696410698</v>
      </c>
      <c r="G193" s="3171">
        <v>82.292822908576298</v>
      </c>
      <c r="H193" s="2971">
        <v>91.758883526777197</v>
      </c>
      <c r="I193" s="3171">
        <v>80.305160616145997</v>
      </c>
      <c r="J193" s="2971">
        <v>75.640746332681104</v>
      </c>
      <c r="K193" s="3171">
        <v>70.781569597926094</v>
      </c>
      <c r="L193" s="2971">
        <v>64.085015262227103</v>
      </c>
      <c r="M193" s="3171">
        <v>45.467754557600998</v>
      </c>
      <c r="N193" s="2972">
        <v>68.427484214950994</v>
      </c>
    </row>
    <row r="194" spans="1:14">
      <c r="A194" s="63">
        <f t="shared" si="0"/>
        <v>2009.05</v>
      </c>
      <c r="B194" s="2971">
        <v>70.423623537718896</v>
      </c>
      <c r="C194" s="3171">
        <v>72.472611897708106</v>
      </c>
      <c r="D194" s="2971">
        <v>67.269296617377805</v>
      </c>
      <c r="E194" s="3171">
        <v>72.352117220200896</v>
      </c>
      <c r="F194" s="2971">
        <v>80.692605891605098</v>
      </c>
      <c r="G194" s="3171">
        <v>81.188300492424503</v>
      </c>
      <c r="H194" s="2971">
        <v>90.681514272247398</v>
      </c>
      <c r="I194" s="3171">
        <v>78.331748636952597</v>
      </c>
      <c r="J194" s="2971">
        <v>73.010121587870202</v>
      </c>
      <c r="K194" s="3171">
        <v>71.060424685149499</v>
      </c>
      <c r="L194" s="2971">
        <v>58.897354979685304</v>
      </c>
      <c r="M194" s="3171">
        <v>51.160025721209102</v>
      </c>
      <c r="N194" s="2972">
        <v>63.680701479722799</v>
      </c>
    </row>
    <row r="195" spans="1:14">
      <c r="A195" s="63">
        <f t="shared" si="0"/>
        <v>2009.06</v>
      </c>
      <c r="B195" s="2971">
        <v>69.650930391029803</v>
      </c>
      <c r="C195" s="3171">
        <v>68.799946676004495</v>
      </c>
      <c r="D195" s="2971">
        <v>66.547624602213304</v>
      </c>
      <c r="E195" s="3171">
        <v>72.434380221152793</v>
      </c>
      <c r="F195" s="2971">
        <v>77.733353681009902</v>
      </c>
      <c r="G195" s="3171">
        <v>80.786440565540204</v>
      </c>
      <c r="H195" s="2971">
        <v>89.992680143797998</v>
      </c>
      <c r="I195" s="3171">
        <v>79.042725315741507</v>
      </c>
      <c r="J195" s="2971">
        <v>64.427263525437795</v>
      </c>
      <c r="K195" s="3171">
        <v>68.040678400315201</v>
      </c>
      <c r="L195" s="2971">
        <v>66.223358691497495</v>
      </c>
      <c r="M195" s="3171">
        <v>53.708948738123503</v>
      </c>
      <c r="N195" s="2972">
        <v>59.7439996274218</v>
      </c>
    </row>
    <row r="196" spans="1:14">
      <c r="A196" s="63">
        <f t="shared" si="0"/>
        <v>2009.07</v>
      </c>
      <c r="B196" s="2971">
        <v>70.473810542436397</v>
      </c>
      <c r="C196" s="3171">
        <v>71.919791424152095</v>
      </c>
      <c r="D196" s="2971">
        <v>64.508729398940602</v>
      </c>
      <c r="E196" s="3171">
        <v>69.761987501624006</v>
      </c>
      <c r="F196" s="2971">
        <v>75.354534781428598</v>
      </c>
      <c r="G196" s="3171">
        <v>75.870548817725407</v>
      </c>
      <c r="H196" s="2971">
        <v>81.030225983426803</v>
      </c>
      <c r="I196" s="3171">
        <v>82.737188088549502</v>
      </c>
      <c r="J196" s="2971">
        <v>65.008216808883404</v>
      </c>
      <c r="K196" s="3171">
        <v>67.557021960041595</v>
      </c>
      <c r="L196" s="2971">
        <v>73.170564609208697</v>
      </c>
      <c r="M196" s="3171">
        <v>54.593250766224799</v>
      </c>
      <c r="N196" s="2972">
        <v>59.547131696337502</v>
      </c>
    </row>
    <row r="197" spans="1:14">
      <c r="A197" s="63">
        <f t="shared" si="0"/>
        <v>2009.08</v>
      </c>
      <c r="B197" s="2971">
        <v>73.631460025567705</v>
      </c>
      <c r="C197" s="3171">
        <v>75.523547591148599</v>
      </c>
      <c r="D197" s="2971">
        <v>61.061436667892799</v>
      </c>
      <c r="E197" s="3171">
        <v>75.906812277177096</v>
      </c>
      <c r="F197" s="2971">
        <v>78.845859957184302</v>
      </c>
      <c r="G197" s="3171">
        <v>83.522436045293503</v>
      </c>
      <c r="H197" s="2971">
        <v>84.566006460420397</v>
      </c>
      <c r="I197" s="3171">
        <v>82.918145841074207</v>
      </c>
      <c r="J197" s="2971">
        <v>65.650274476986297</v>
      </c>
      <c r="K197" s="3171">
        <v>73.397012013396704</v>
      </c>
      <c r="L197" s="2971">
        <v>76.4590409755954</v>
      </c>
      <c r="M197" s="3171">
        <v>56.146583065952797</v>
      </c>
      <c r="N197" s="2972">
        <v>64.176314272121701</v>
      </c>
    </row>
    <row r="198" spans="1:14">
      <c r="A198" s="63">
        <f t="shared" si="0"/>
        <v>2009.09</v>
      </c>
      <c r="B198" s="2971">
        <v>77.811595091630494</v>
      </c>
      <c r="C198" s="3171">
        <v>81.090157323570594</v>
      </c>
      <c r="D198" s="2971">
        <v>71.861858419697498</v>
      </c>
      <c r="E198" s="3171">
        <v>81.2</v>
      </c>
      <c r="F198" s="2971">
        <v>85.752662726875499</v>
      </c>
      <c r="G198" s="3171">
        <v>89.149804654323106</v>
      </c>
      <c r="H198" s="2971">
        <v>80.583453377101506</v>
      </c>
      <c r="I198" s="3171">
        <v>85.692154152795496</v>
      </c>
      <c r="J198" s="2971">
        <v>68.689240824673007</v>
      </c>
      <c r="K198" s="3171">
        <v>79.164840950283605</v>
      </c>
      <c r="L198" s="2971">
        <v>78.294014916763501</v>
      </c>
      <c r="M198" s="3171">
        <v>66.3603025534442</v>
      </c>
      <c r="N198" s="2972">
        <v>68.164189611146796</v>
      </c>
    </row>
    <row r="199" spans="1:14">
      <c r="A199" s="63">
        <f t="shared" si="0"/>
        <v>2009.1</v>
      </c>
      <c r="B199" s="2971">
        <v>75.654485727121596</v>
      </c>
      <c r="C199" s="3171">
        <v>82.422020808223493</v>
      </c>
      <c r="D199" s="2971">
        <v>68.164178777836298</v>
      </c>
      <c r="E199" s="3171">
        <v>84.011267231199795</v>
      </c>
      <c r="F199" s="2971">
        <v>78.011706849520095</v>
      </c>
      <c r="G199" s="3171">
        <v>80.8178040228687</v>
      </c>
      <c r="H199" s="2971">
        <v>75.709233679210698</v>
      </c>
      <c r="I199" s="3171">
        <v>82.0363608021907</v>
      </c>
      <c r="J199" s="2971">
        <v>66.800813866863507</v>
      </c>
      <c r="K199" s="3171">
        <v>76.574514568345094</v>
      </c>
      <c r="L199" s="2971">
        <v>81.933227193205099</v>
      </c>
      <c r="M199" s="3171">
        <v>66.476957027639799</v>
      </c>
      <c r="N199" s="2972">
        <v>61.705683214471698</v>
      </c>
    </row>
    <row r="200" spans="1:14">
      <c r="A200" s="63">
        <f t="shared" si="0"/>
        <v>2009.11</v>
      </c>
      <c r="B200" s="2971">
        <v>78.4379122348804</v>
      </c>
      <c r="C200" s="3171">
        <v>82.859409245737595</v>
      </c>
      <c r="D200" s="2971">
        <v>74.468341925564502</v>
      </c>
      <c r="E200" s="3171">
        <v>91.744672994118105</v>
      </c>
      <c r="F200" s="2971">
        <v>92.990208314579903</v>
      </c>
      <c r="G200" s="3171">
        <v>81.879948367356903</v>
      </c>
      <c r="H200" s="2971">
        <v>88.994278714226496</v>
      </c>
      <c r="I200" s="3171">
        <v>82.297081046493005</v>
      </c>
      <c r="J200" s="2971">
        <v>77.066575946228696</v>
      </c>
      <c r="K200" s="3171">
        <v>74.477065252614693</v>
      </c>
      <c r="L200" s="2971">
        <v>84.214024514291594</v>
      </c>
      <c r="M200" s="3171">
        <v>70.461130504256005</v>
      </c>
      <c r="N200" s="2972">
        <v>60.378455045739798</v>
      </c>
    </row>
    <row r="201" spans="1:14">
      <c r="A201" s="63">
        <f t="shared" si="0"/>
        <v>2009.12</v>
      </c>
      <c r="B201" s="2971">
        <v>79.766375689356195</v>
      </c>
      <c r="C201" s="3171">
        <v>78.351587911419799</v>
      </c>
      <c r="D201" s="2971">
        <v>59.576667291456097</v>
      </c>
      <c r="E201" s="3171">
        <v>91.433229536305106</v>
      </c>
      <c r="F201" s="2971">
        <v>90.460492971616404</v>
      </c>
      <c r="G201" s="3171">
        <v>85.493270908556397</v>
      </c>
      <c r="H201" s="2971">
        <v>89.863854289929904</v>
      </c>
      <c r="I201" s="3171">
        <v>91.434199486142305</v>
      </c>
      <c r="J201" s="2971">
        <v>87.781085108516805</v>
      </c>
      <c r="K201" s="3171">
        <v>75.372074734351102</v>
      </c>
      <c r="L201" s="2971">
        <v>92.971003379799001</v>
      </c>
      <c r="M201" s="3171">
        <v>66.960138323726397</v>
      </c>
      <c r="N201" s="2972">
        <v>58.022584201189602</v>
      </c>
    </row>
    <row r="202" spans="1:14">
      <c r="A202" s="63">
        <f t="shared" si="0"/>
        <v>2010.01</v>
      </c>
      <c r="B202" s="2971">
        <v>66.634651429655705</v>
      </c>
      <c r="C202" s="3171">
        <v>71.415585631257301</v>
      </c>
      <c r="D202" s="2971">
        <v>66.2696425141867</v>
      </c>
      <c r="E202" s="3171">
        <v>73.400215195931096</v>
      </c>
      <c r="F202" s="2971">
        <v>70.815370689600698</v>
      </c>
      <c r="G202" s="3171">
        <v>75.623075880153905</v>
      </c>
      <c r="H202" s="2971">
        <v>92.483797188039404</v>
      </c>
      <c r="I202" s="3171">
        <v>77.359907912337903</v>
      </c>
      <c r="J202" s="2971">
        <v>83.418972458011396</v>
      </c>
      <c r="K202" s="3171">
        <v>65.299784185935096</v>
      </c>
      <c r="L202" s="2971">
        <v>69.017230071458201</v>
      </c>
      <c r="M202" s="3171">
        <v>37.404220683089498</v>
      </c>
      <c r="N202" s="2972">
        <v>45.467923930854496</v>
      </c>
    </row>
    <row r="203" spans="1:14">
      <c r="A203" s="63">
        <f t="shared" si="0"/>
        <v>2010.02</v>
      </c>
      <c r="B203" s="2973">
        <v>76.901659064497593</v>
      </c>
      <c r="C203" s="3171">
        <v>75.8760035395632</v>
      </c>
      <c r="D203" s="2971">
        <v>71.679005804487602</v>
      </c>
      <c r="E203" s="3171">
        <v>84.423316889561406</v>
      </c>
      <c r="F203" s="2971">
        <v>83.472415500189697</v>
      </c>
      <c r="G203" s="3171">
        <v>83.921562546681102</v>
      </c>
      <c r="H203" s="2971">
        <v>92.294801364382494</v>
      </c>
      <c r="I203" s="3171">
        <v>89.181252574019297</v>
      </c>
      <c r="J203" s="2971">
        <v>84.613940384972693</v>
      </c>
      <c r="K203" s="3171">
        <v>71.679042218009499</v>
      </c>
      <c r="L203" s="2971">
        <v>90.134477340588404</v>
      </c>
      <c r="M203" s="3171">
        <v>56.702477682865002</v>
      </c>
      <c r="N203" s="2972">
        <v>56.948606962182602</v>
      </c>
    </row>
    <row r="204" spans="1:14">
      <c r="A204" s="63">
        <f t="shared" si="0"/>
        <v>2010.03</v>
      </c>
      <c r="B204" s="2973">
        <v>75.279359218374594</v>
      </c>
      <c r="C204" s="3171">
        <v>70.775709902165005</v>
      </c>
      <c r="D204" s="2971">
        <v>75.261973311325605</v>
      </c>
      <c r="E204" s="3171">
        <v>81.234869368127093</v>
      </c>
      <c r="F204" s="2971">
        <v>85.689346577146097</v>
      </c>
      <c r="G204" s="3171">
        <v>76.931337521490804</v>
      </c>
      <c r="H204" s="2971">
        <v>91.973566394020594</v>
      </c>
      <c r="I204" s="3171">
        <v>85.930290496557504</v>
      </c>
      <c r="J204" s="2971">
        <v>78.823673971480105</v>
      </c>
      <c r="K204" s="3171">
        <v>71.418640189789897</v>
      </c>
      <c r="L204" s="2971">
        <v>86.458025011655195</v>
      </c>
      <c r="M204" s="3171">
        <v>64.840741367711502</v>
      </c>
      <c r="N204" s="2972">
        <v>57.007465295810697</v>
      </c>
    </row>
    <row r="205" spans="1:14">
      <c r="A205" s="63">
        <f t="shared" si="0"/>
        <v>2010.04</v>
      </c>
      <c r="B205" s="2973">
        <v>79.495008697287801</v>
      </c>
      <c r="C205" s="3171">
        <v>77.667525413928701</v>
      </c>
      <c r="D205" s="2971">
        <v>75.516362199273701</v>
      </c>
      <c r="E205" s="3171">
        <v>88.452208204075205</v>
      </c>
      <c r="F205" s="2971">
        <v>82.442862537542396</v>
      </c>
      <c r="G205" s="3171">
        <v>85.5632825132178</v>
      </c>
      <c r="H205" s="2971">
        <v>88.011417356174903</v>
      </c>
      <c r="I205" s="3171">
        <v>83.028321484830599</v>
      </c>
      <c r="J205" s="2971">
        <v>81.376660649216603</v>
      </c>
      <c r="K205" s="3171">
        <v>75.433119576193405</v>
      </c>
      <c r="L205" s="2971">
        <v>89.794743662109795</v>
      </c>
      <c r="M205" s="3171">
        <v>70.788346117880593</v>
      </c>
      <c r="N205" s="2972">
        <v>69.180186541315507</v>
      </c>
    </row>
    <row r="206" spans="1:14">
      <c r="A206" s="63">
        <f t="shared" si="0"/>
        <v>2010.05</v>
      </c>
      <c r="B206" s="2973">
        <v>76.7311878152437</v>
      </c>
      <c r="C206" s="3171">
        <v>71.519969564164199</v>
      </c>
      <c r="D206" s="2971">
        <v>65.724311867890407</v>
      </c>
      <c r="E206" s="3171">
        <v>89.5279716239001</v>
      </c>
      <c r="F206" s="2971">
        <v>79.433013994760501</v>
      </c>
      <c r="G206" s="3171">
        <v>86.735273055820102</v>
      </c>
      <c r="H206" s="2971">
        <v>86.709316115307203</v>
      </c>
      <c r="I206" s="3171">
        <v>75.932530963710704</v>
      </c>
      <c r="J206" s="2971">
        <v>76.730284967500907</v>
      </c>
      <c r="K206" s="3171">
        <v>74.845415809763196</v>
      </c>
      <c r="L206" s="2971">
        <v>87.824097733463702</v>
      </c>
      <c r="M206" s="3171">
        <v>71.779532766261099</v>
      </c>
      <c r="N206" s="2972">
        <v>69.348283911418093</v>
      </c>
    </row>
    <row r="207" spans="1:14">
      <c r="A207" s="63">
        <f t="shared" si="0"/>
        <v>2010.06</v>
      </c>
      <c r="B207" s="2973">
        <v>75.023125001453494</v>
      </c>
      <c r="C207" s="3171">
        <v>67.971756764492895</v>
      </c>
      <c r="D207" s="2971">
        <v>61.148814358649297</v>
      </c>
      <c r="E207" s="3171">
        <v>85.674640239251403</v>
      </c>
      <c r="F207" s="2971">
        <v>75.003206624896393</v>
      </c>
      <c r="G207" s="3171">
        <v>85.509776712489995</v>
      </c>
      <c r="H207" s="2971">
        <v>85.151044068857601</v>
      </c>
      <c r="I207" s="3171">
        <v>77.276141858054501</v>
      </c>
      <c r="J207" s="2971">
        <v>68.022400880239204</v>
      </c>
      <c r="K207" s="3171">
        <v>71.103491924854296</v>
      </c>
      <c r="L207" s="2971">
        <v>84.259441390827604</v>
      </c>
      <c r="M207" s="3171">
        <v>78.924762132764201</v>
      </c>
      <c r="N207" s="2972">
        <v>64.881983595380007</v>
      </c>
    </row>
    <row r="208" spans="1:14">
      <c r="A208" s="63">
        <f t="shared" si="0"/>
        <v>2010.07</v>
      </c>
      <c r="B208" s="2973">
        <v>75.185646995692906</v>
      </c>
      <c r="C208" s="3171">
        <v>71.658137575628402</v>
      </c>
      <c r="D208" s="2971">
        <v>65.677335779539007</v>
      </c>
      <c r="E208" s="3171">
        <v>79.033886016055007</v>
      </c>
      <c r="F208" s="2971">
        <v>72.340353390171401</v>
      </c>
      <c r="G208" s="3171">
        <v>80.306467806246005</v>
      </c>
      <c r="H208" s="2971">
        <v>85.847984987936698</v>
      </c>
      <c r="I208" s="3171">
        <v>80.546763843726495</v>
      </c>
      <c r="J208" s="2971">
        <v>67.742082991832206</v>
      </c>
      <c r="K208" s="3171">
        <v>74.941375636784201</v>
      </c>
      <c r="L208" s="2971">
        <v>86.826310651977295</v>
      </c>
      <c r="M208" s="3171">
        <v>67.739312612743305</v>
      </c>
      <c r="N208" s="2972">
        <v>66.0377690512383</v>
      </c>
    </row>
    <row r="209" spans="1:14">
      <c r="A209" s="63">
        <f t="shared" si="0"/>
        <v>2010.08</v>
      </c>
      <c r="B209" s="2973">
        <v>79.149573090797503</v>
      </c>
      <c r="C209" s="3171">
        <v>77.075664536997493</v>
      </c>
      <c r="D209" s="2971">
        <v>63.375687686356102</v>
      </c>
      <c r="E209" s="3171">
        <v>76.358854765611397</v>
      </c>
      <c r="F209" s="2971">
        <v>75.692025558896901</v>
      </c>
      <c r="G209" s="3171">
        <v>85.113158804519799</v>
      </c>
      <c r="H209" s="2971">
        <v>90.149441515503497</v>
      </c>
      <c r="I209" s="3171">
        <v>76.975533133034403</v>
      </c>
      <c r="J209" s="2971">
        <v>68.844912551549797</v>
      </c>
      <c r="K209" s="3171">
        <v>76.268631252185202</v>
      </c>
      <c r="L209" s="2971">
        <v>93.000135271996498</v>
      </c>
      <c r="M209" s="3171">
        <v>84.127721526191095</v>
      </c>
      <c r="N209" s="2972">
        <v>67.497956086625607</v>
      </c>
    </row>
    <row r="210" spans="1:14">
      <c r="A210" s="63">
        <f t="shared" ref="A210:A241" si="1">A198+1</f>
        <v>2010.09</v>
      </c>
      <c r="B210" s="2973">
        <v>82.286748270506607</v>
      </c>
      <c r="C210" s="3171">
        <v>82.154268236128004</v>
      </c>
      <c r="D210" s="2971">
        <v>70.423839483676005</v>
      </c>
      <c r="E210" s="3171">
        <v>81.509561331337096</v>
      </c>
      <c r="F210" s="2971">
        <v>83.694598821430503</v>
      </c>
      <c r="G210" s="3171">
        <v>89.801647049530899</v>
      </c>
      <c r="H210" s="2971">
        <v>85.919562117606603</v>
      </c>
      <c r="I210" s="3171">
        <v>84.540793876955604</v>
      </c>
      <c r="J210" s="2971">
        <v>76.1566195363433</v>
      </c>
      <c r="K210" s="3171">
        <v>84.150909842576297</v>
      </c>
      <c r="L210" s="2971">
        <v>88.730135112001705</v>
      </c>
      <c r="M210" s="3171">
        <v>81.444108515023302</v>
      </c>
      <c r="N210" s="2972">
        <v>72.832337177097301</v>
      </c>
    </row>
    <row r="211" spans="1:14">
      <c r="A211" s="63">
        <f t="shared" si="1"/>
        <v>2010.1</v>
      </c>
      <c r="B211" s="2973">
        <v>79.228207819093697</v>
      </c>
      <c r="C211" s="3171">
        <v>84.030747498529394</v>
      </c>
      <c r="D211" s="2971">
        <v>63.047395459976102</v>
      </c>
      <c r="E211" s="3171">
        <v>81.993817603536002</v>
      </c>
      <c r="F211" s="2971">
        <v>73.877086386495606</v>
      </c>
      <c r="G211" s="3171">
        <v>80.225773991830593</v>
      </c>
      <c r="H211" s="2971">
        <v>77.9358770440532</v>
      </c>
      <c r="I211" s="3171">
        <v>86.943464924676803</v>
      </c>
      <c r="J211" s="2971">
        <v>76.030834383416902</v>
      </c>
      <c r="K211" s="3171">
        <v>81.008431189804298</v>
      </c>
      <c r="L211" s="2971">
        <v>88.280467145104495</v>
      </c>
      <c r="M211" s="3171">
        <v>67.743502058571806</v>
      </c>
      <c r="N211" s="2972">
        <v>69.331311356234295</v>
      </c>
    </row>
    <row r="212" spans="1:14">
      <c r="A212" s="63">
        <f t="shared" si="1"/>
        <v>2010.11</v>
      </c>
      <c r="B212" s="2973">
        <v>83.441166193758605</v>
      </c>
      <c r="C212" s="3171">
        <v>80.339841990263594</v>
      </c>
      <c r="D212" s="2971">
        <v>71.204296296296306</v>
      </c>
      <c r="E212" s="3171">
        <v>90.123857060886806</v>
      </c>
      <c r="F212" s="2971">
        <v>88.805648940423794</v>
      </c>
      <c r="G212" s="3171">
        <v>80.891609225887294</v>
      </c>
      <c r="H212" s="2971">
        <v>85.353656509695298</v>
      </c>
      <c r="I212" s="3171">
        <v>87.073588766648001</v>
      </c>
      <c r="J212" s="2971">
        <v>83.608491064786307</v>
      </c>
      <c r="K212" s="3171">
        <v>85.031377566352305</v>
      </c>
      <c r="L212" s="2971">
        <v>90.247169924203305</v>
      </c>
      <c r="M212" s="3171">
        <v>84.196396344876007</v>
      </c>
      <c r="N212" s="2972">
        <v>76.275517951653697</v>
      </c>
    </row>
    <row r="213" spans="1:14">
      <c r="A213" s="63">
        <f t="shared" si="1"/>
        <v>2010.12</v>
      </c>
      <c r="B213" s="2973">
        <v>82.907578939687497</v>
      </c>
      <c r="C213" s="3171">
        <v>80.404911771000101</v>
      </c>
      <c r="D213" s="2971">
        <v>68.421111111111102</v>
      </c>
      <c r="E213" s="3171">
        <v>89.872472602290401</v>
      </c>
      <c r="F213" s="2971">
        <v>90.641413957559607</v>
      </c>
      <c r="G213" s="3171">
        <v>82.270677496897406</v>
      </c>
      <c r="H213" s="2971">
        <v>79.529511046587999</v>
      </c>
      <c r="I213" s="3171">
        <v>92.921077785957195</v>
      </c>
      <c r="J213" s="2971">
        <v>88.135424646331501</v>
      </c>
      <c r="K213" s="3171">
        <v>82.521555687929094</v>
      </c>
      <c r="L213" s="2971">
        <v>94.548176667408001</v>
      </c>
      <c r="M213" s="3171">
        <v>74.094824952953303</v>
      </c>
      <c r="N213" s="2972">
        <v>72.956848696069898</v>
      </c>
    </row>
    <row r="214" spans="1:14">
      <c r="A214" s="63">
        <f t="shared" si="1"/>
        <v>2011.01</v>
      </c>
      <c r="B214" s="2973">
        <v>69.595499066231497</v>
      </c>
      <c r="C214" s="3171">
        <v>69.400000000000006</v>
      </c>
      <c r="D214" s="2971">
        <v>71.099999999999994</v>
      </c>
      <c r="E214" s="3171">
        <v>76.238814598560396</v>
      </c>
      <c r="F214" s="2971">
        <v>70.673739948221495</v>
      </c>
      <c r="G214" s="3171">
        <v>74.710260870118205</v>
      </c>
      <c r="H214" s="2971">
        <v>86.472350370816798</v>
      </c>
      <c r="I214" s="3171">
        <v>82.032858086439703</v>
      </c>
      <c r="J214" s="2971">
        <v>77.438629827962103</v>
      </c>
      <c r="K214" s="3171">
        <v>74.323107285472702</v>
      </c>
      <c r="L214" s="2971">
        <v>71.515338908982798</v>
      </c>
      <c r="M214" s="3171">
        <v>45.819573914131396</v>
      </c>
      <c r="N214" s="2972">
        <v>57.141700306971899</v>
      </c>
    </row>
    <row r="215" spans="1:14">
      <c r="A215" s="63">
        <f t="shared" si="1"/>
        <v>2011.02</v>
      </c>
      <c r="B215" s="2973">
        <v>80.396051624987905</v>
      </c>
      <c r="C215" s="3171">
        <v>78.435034961883701</v>
      </c>
      <c r="D215" s="2971">
        <v>77.900000000000006</v>
      </c>
      <c r="E215" s="3171">
        <v>88.629440393545195</v>
      </c>
      <c r="F215" s="2971">
        <v>83.305470669189305</v>
      </c>
      <c r="G215" s="3171">
        <v>84.740373713803194</v>
      </c>
      <c r="H215" s="2971">
        <v>88.972188515264705</v>
      </c>
      <c r="I215" s="3171">
        <v>90.539278005301497</v>
      </c>
      <c r="J215" s="2971">
        <v>89.823015909575403</v>
      </c>
      <c r="K215" s="3171">
        <v>77.641996009926501</v>
      </c>
      <c r="L215" s="2971">
        <v>91.088070719771906</v>
      </c>
      <c r="M215" s="3171">
        <v>59.4</v>
      </c>
      <c r="N215" s="2972">
        <v>70.400000000000006</v>
      </c>
    </row>
    <row r="216" spans="1:14">
      <c r="A216" s="63">
        <f t="shared" si="1"/>
        <v>2011.03</v>
      </c>
      <c r="B216" s="2973">
        <v>76.227537182587199</v>
      </c>
      <c r="C216" s="3171">
        <v>70.955298644158702</v>
      </c>
      <c r="D216" s="2971">
        <v>61.8</v>
      </c>
      <c r="E216" s="3171">
        <v>79.592386616435206</v>
      </c>
      <c r="F216" s="2971">
        <v>79.862471009900204</v>
      </c>
      <c r="G216" s="3171">
        <v>74.542544068568503</v>
      </c>
      <c r="H216" s="2971">
        <v>85.627390312833199</v>
      </c>
      <c r="I216" s="3171">
        <v>81.620900567046505</v>
      </c>
      <c r="J216" s="2971">
        <v>84.446393745360297</v>
      </c>
      <c r="K216" s="3171">
        <v>74.908795670328203</v>
      </c>
      <c r="L216" s="2971">
        <v>84.7543873781554</v>
      </c>
      <c r="M216" s="3171">
        <v>74.1565391798853</v>
      </c>
      <c r="N216" s="2972">
        <v>65.8220792924037</v>
      </c>
    </row>
    <row r="217" spans="1:14">
      <c r="A217" s="63">
        <f t="shared" si="1"/>
        <v>2011.04</v>
      </c>
      <c r="B217" s="2973">
        <v>80.949716367118</v>
      </c>
      <c r="C217" s="3171">
        <v>76.875591371291904</v>
      </c>
      <c r="D217" s="2971">
        <v>75.8</v>
      </c>
      <c r="E217" s="3171">
        <v>80.986780654013799</v>
      </c>
      <c r="F217" s="2971">
        <v>82.690191125154996</v>
      </c>
      <c r="G217" s="3171">
        <v>78.440390900705694</v>
      </c>
      <c r="H217" s="2971">
        <v>83.698857905722306</v>
      </c>
      <c r="I217" s="3171">
        <v>83.767666377940898</v>
      </c>
      <c r="J217" s="2971">
        <v>88.399370216790501</v>
      </c>
      <c r="K217" s="3171">
        <v>82.516221658728696</v>
      </c>
      <c r="L217" s="2971">
        <v>90.332008178648806</v>
      </c>
      <c r="M217" s="3171">
        <v>76.203735220438503</v>
      </c>
      <c r="N217" s="2972">
        <v>76.811760818983899</v>
      </c>
    </row>
    <row r="218" spans="1:14">
      <c r="A218" s="63">
        <f t="shared" si="1"/>
        <v>2011.05</v>
      </c>
      <c r="B218" s="2973">
        <v>78.170168577487004</v>
      </c>
      <c r="C218" s="3171">
        <v>70.000436847194905</v>
      </c>
      <c r="D218" s="2971">
        <v>74.356783662539996</v>
      </c>
      <c r="E218" s="3171">
        <v>83.802249872229893</v>
      </c>
      <c r="F218" s="2971">
        <v>81.339406330634802</v>
      </c>
      <c r="G218" s="3171">
        <v>82.395788296423405</v>
      </c>
      <c r="H218" s="2971">
        <v>79.425733561621399</v>
      </c>
      <c r="I218" s="3171">
        <v>74.231648484730798</v>
      </c>
      <c r="J218" s="2971">
        <v>82.807630685709597</v>
      </c>
      <c r="K218" s="3171">
        <v>84.178743727571003</v>
      </c>
      <c r="L218" s="2971">
        <v>88.364428020946306</v>
      </c>
      <c r="M218" s="3171">
        <v>81.648155726717704</v>
      </c>
      <c r="N218" s="2972">
        <v>76.318256359157104</v>
      </c>
    </row>
    <row r="219" spans="1:14">
      <c r="A219" s="63">
        <f t="shared" si="1"/>
        <v>2011.06</v>
      </c>
      <c r="B219" s="2973">
        <v>76.1469065009357</v>
      </c>
      <c r="C219" s="3171">
        <v>65.970068433040296</v>
      </c>
      <c r="D219" s="2971">
        <v>68.829851851851799</v>
      </c>
      <c r="E219" s="3171">
        <v>81.108224329402702</v>
      </c>
      <c r="F219" s="2971">
        <v>79.121596452328205</v>
      </c>
      <c r="G219" s="3171">
        <v>75.551073383833</v>
      </c>
      <c r="H219" s="2971">
        <v>84.384684672237896</v>
      </c>
      <c r="I219" s="3171">
        <v>76.480732922238403</v>
      </c>
      <c r="J219" s="2971">
        <v>72.976277618503801</v>
      </c>
      <c r="K219" s="3171">
        <v>77.429024548332293</v>
      </c>
      <c r="L219" s="2971">
        <v>84.821548674801505</v>
      </c>
      <c r="M219" s="3171">
        <v>83.986014760467199</v>
      </c>
      <c r="N219" s="2972">
        <v>72.047096139784998</v>
      </c>
    </row>
    <row r="220" spans="1:14">
      <c r="A220" s="63">
        <f t="shared" si="1"/>
        <v>2011.07</v>
      </c>
      <c r="B220" s="2973">
        <v>75.724146795700406</v>
      </c>
      <c r="C220" s="3171">
        <v>67.598989541060604</v>
      </c>
      <c r="D220" s="2971">
        <v>65.327407407407406</v>
      </c>
      <c r="E220" s="3171">
        <v>73.971625069413605</v>
      </c>
      <c r="F220" s="2971">
        <v>79.165188470066497</v>
      </c>
      <c r="G220" s="3171">
        <v>79.184696675556495</v>
      </c>
      <c r="H220" s="2971">
        <v>86.094343669019807</v>
      </c>
      <c r="I220" s="3171">
        <v>77.971237217619503</v>
      </c>
      <c r="J220" s="2971">
        <v>71.034014794525802</v>
      </c>
      <c r="K220" s="3171">
        <v>79.838777576887097</v>
      </c>
      <c r="L220" s="2971">
        <v>88.071099404000293</v>
      </c>
      <c r="M220" s="3171">
        <v>71.903660149856606</v>
      </c>
      <c r="N220" s="2972">
        <v>70.807832751779898</v>
      </c>
    </row>
    <row r="221" spans="1:14">
      <c r="A221" s="63">
        <f t="shared" si="1"/>
        <v>2011.08</v>
      </c>
      <c r="B221" s="2973">
        <v>78.059847407217106</v>
      </c>
      <c r="C221" s="3171">
        <v>72.191849442208706</v>
      </c>
      <c r="D221" s="2971">
        <v>62.546531612903202</v>
      </c>
      <c r="E221" s="3171">
        <v>72.862826619647606</v>
      </c>
      <c r="F221" s="2971">
        <v>79.552318862400597</v>
      </c>
      <c r="G221" s="3171">
        <v>81.258700930501703</v>
      </c>
      <c r="H221" s="2971">
        <v>75.450415512465398</v>
      </c>
      <c r="I221" s="3171">
        <v>77.328822219707007</v>
      </c>
      <c r="J221" s="2971">
        <v>71.285988214621</v>
      </c>
      <c r="K221" s="3171">
        <v>82.954776606507593</v>
      </c>
      <c r="L221" s="2971">
        <v>87.918714807287401</v>
      </c>
      <c r="M221" s="3171">
        <v>87.589414377327998</v>
      </c>
      <c r="N221" s="2972">
        <v>74.107767070759607</v>
      </c>
    </row>
    <row r="222" spans="1:14">
      <c r="A222" s="63">
        <f t="shared" si="1"/>
        <v>2011.09</v>
      </c>
      <c r="B222" s="2973">
        <v>83.653628692709304</v>
      </c>
      <c r="C222" s="3171">
        <v>79.342518001185695</v>
      </c>
      <c r="D222" s="2971">
        <v>68.796145185185196</v>
      </c>
      <c r="E222" s="3171">
        <v>73.906136690208896</v>
      </c>
      <c r="F222" s="2971">
        <v>89.1347477448234</v>
      </c>
      <c r="G222" s="3171">
        <v>90.879266814125302</v>
      </c>
      <c r="H222" s="2971">
        <v>87.466114235723595</v>
      </c>
      <c r="I222" s="3171">
        <v>86.168032866819303</v>
      </c>
      <c r="J222" s="2971">
        <v>77.7078121753228</v>
      </c>
      <c r="K222" s="3171">
        <v>90.096588230269703</v>
      </c>
      <c r="L222" s="2971">
        <v>84.932204885565</v>
      </c>
      <c r="M222" s="3171">
        <v>87.308084328104997</v>
      </c>
      <c r="N222" s="2972">
        <v>78.857604413978507</v>
      </c>
    </row>
    <row r="223" spans="1:14">
      <c r="A223" s="63">
        <f t="shared" si="1"/>
        <v>2011.1</v>
      </c>
      <c r="B223" s="2973">
        <v>80.036986572055497</v>
      </c>
      <c r="C223" s="3171">
        <v>83.008161946939893</v>
      </c>
      <c r="D223" s="2971">
        <v>58.275734767025099</v>
      </c>
      <c r="E223" s="3171">
        <v>71.178097819418099</v>
      </c>
      <c r="F223" s="2971">
        <v>81.634180457077605</v>
      </c>
      <c r="G223" s="3171">
        <v>82.472095663601905</v>
      </c>
      <c r="H223" s="2971">
        <v>77.296398891966803</v>
      </c>
      <c r="I223" s="3171">
        <v>83.774666814950706</v>
      </c>
      <c r="J223" s="2971">
        <v>76.542067447985303</v>
      </c>
      <c r="K223" s="3171">
        <v>83.962358351970806</v>
      </c>
      <c r="L223" s="2971">
        <v>86.4727044918329</v>
      </c>
      <c r="M223" s="3171">
        <v>74.653339268546205</v>
      </c>
      <c r="N223" s="2972">
        <v>74.120131442819996</v>
      </c>
    </row>
    <row r="224" spans="1:14">
      <c r="A224" s="63">
        <f t="shared" si="1"/>
        <v>2011.11</v>
      </c>
      <c r="B224" s="2973">
        <v>84.100708697195898</v>
      </c>
      <c r="C224" s="3171">
        <v>85.143023757950203</v>
      </c>
      <c r="D224" s="2971">
        <v>58.387522962962997</v>
      </c>
      <c r="E224" s="3171">
        <v>78.035565426385702</v>
      </c>
      <c r="F224" s="2971">
        <v>89.338482834066397</v>
      </c>
      <c r="G224" s="3171">
        <v>86.311347044021801</v>
      </c>
      <c r="H224" s="2971">
        <v>77.501120110803299</v>
      </c>
      <c r="I224" s="3171">
        <v>89.173274927763302</v>
      </c>
      <c r="J224" s="2971">
        <v>85.672082171709704</v>
      </c>
      <c r="K224" s="3171">
        <v>86.313548615873401</v>
      </c>
      <c r="L224" s="2971">
        <v>84.644863554341498</v>
      </c>
      <c r="M224" s="3171">
        <v>84.2805927412209</v>
      </c>
      <c r="N224" s="2972">
        <v>79.833009559559599</v>
      </c>
    </row>
    <row r="225" spans="1:14">
      <c r="A225" s="63">
        <f t="shared" si="1"/>
        <v>2011.12</v>
      </c>
      <c r="B225" s="2973">
        <v>81.958017955796507</v>
      </c>
      <c r="C225" s="3171">
        <v>84.044294917355103</v>
      </c>
      <c r="D225" s="2971">
        <v>59.800051111111102</v>
      </c>
      <c r="E225" s="3171">
        <v>77.958146599195601</v>
      </c>
      <c r="F225" s="2971">
        <v>87.8315301248753</v>
      </c>
      <c r="G225" s="3171">
        <v>85.150151209288794</v>
      </c>
      <c r="H225" s="2971">
        <v>87.402932640200106</v>
      </c>
      <c r="I225" s="3171">
        <v>91.388950045906796</v>
      </c>
      <c r="J225" s="2971">
        <v>83.713916558771999</v>
      </c>
      <c r="K225" s="3171">
        <v>84.365630390650907</v>
      </c>
      <c r="L225" s="2971">
        <v>83.144300244312205</v>
      </c>
      <c r="M225" s="3171">
        <v>58.683101362739002</v>
      </c>
      <c r="N225" s="2972">
        <v>80.8631211857018</v>
      </c>
    </row>
    <row r="226" spans="1:14">
      <c r="A226" s="63">
        <f t="shared" si="1"/>
        <v>2012.01</v>
      </c>
      <c r="B226" s="2973">
        <v>67.641832268171399</v>
      </c>
      <c r="C226" s="3171">
        <v>66.510693505503099</v>
      </c>
      <c r="D226" s="2971">
        <v>71.606520161290305</v>
      </c>
      <c r="E226" s="3171">
        <v>64.636966002032395</v>
      </c>
      <c r="F226" s="2971">
        <v>70.806492811672996</v>
      </c>
      <c r="G226" s="3171">
        <v>77.2981087919039</v>
      </c>
      <c r="H226" s="2971">
        <v>82.494622253759204</v>
      </c>
      <c r="I226" s="3171">
        <v>77.039365164344005</v>
      </c>
      <c r="J226" s="2971">
        <v>76.756770594779198</v>
      </c>
      <c r="K226" s="3171">
        <v>74.406096703464002</v>
      </c>
      <c r="L226" s="2971">
        <v>67.282097230638797</v>
      </c>
      <c r="M226" s="3171">
        <v>41.420894818374698</v>
      </c>
      <c r="N226" s="2972">
        <v>62.1583297618497</v>
      </c>
    </row>
    <row r="227" spans="1:14">
      <c r="A227" s="63">
        <f t="shared" si="1"/>
        <v>2012.02</v>
      </c>
      <c r="B227" s="2973">
        <v>75.270823246216494</v>
      </c>
      <c r="C227" s="3171">
        <v>73.1752038598013</v>
      </c>
      <c r="D227" s="2971">
        <v>69.209822988505707</v>
      </c>
      <c r="E227" s="3171">
        <v>79.781170475072599</v>
      </c>
      <c r="F227" s="2971">
        <v>78.180747921815794</v>
      </c>
      <c r="G227" s="3171">
        <v>85.500114995375299</v>
      </c>
      <c r="H227" s="2971">
        <v>81.179452003927807</v>
      </c>
      <c r="I227" s="3171">
        <v>81.706029840062797</v>
      </c>
      <c r="J227" s="2971">
        <v>86.339122931166798</v>
      </c>
      <c r="K227" s="3171">
        <v>72.0995632379136</v>
      </c>
      <c r="L227" s="2971">
        <v>86.880171579505102</v>
      </c>
      <c r="M227" s="3171">
        <v>62.250926159618999</v>
      </c>
      <c r="N227" s="2972">
        <v>62.3307862889706</v>
      </c>
    </row>
    <row r="228" spans="1:14">
      <c r="A228" s="63">
        <f t="shared" si="1"/>
        <v>2012.03</v>
      </c>
      <c r="B228" s="2973">
        <v>75.263468850170298</v>
      </c>
      <c r="C228" s="3171">
        <v>68.470577464228199</v>
      </c>
      <c r="D228" s="2971">
        <v>75.8</v>
      </c>
      <c r="E228" s="3171">
        <v>77.983084803521606</v>
      </c>
      <c r="F228" s="2971">
        <v>80.4215083069694</v>
      </c>
      <c r="G228" s="3171">
        <v>79.909607241505498</v>
      </c>
      <c r="H228" s="2971">
        <v>82.4612252703065</v>
      </c>
      <c r="I228" s="3171">
        <v>83.095356403424603</v>
      </c>
      <c r="J228" s="2971">
        <v>82.044554058865302</v>
      </c>
      <c r="K228" s="3171">
        <v>76.697652649745706</v>
      </c>
      <c r="L228" s="2971">
        <v>85.8</v>
      </c>
      <c r="M228" s="3171">
        <v>70.374555681711101</v>
      </c>
      <c r="N228" s="2972">
        <v>62.440049932965202</v>
      </c>
    </row>
    <row r="229" spans="1:14">
      <c r="A229" s="63">
        <f t="shared" si="1"/>
        <v>2012.04</v>
      </c>
      <c r="B229" s="2973">
        <v>78.871169005672201</v>
      </c>
      <c r="C229" s="3171">
        <v>75.476944333287804</v>
      </c>
      <c r="D229" s="2971">
        <v>91.2</v>
      </c>
      <c r="E229" s="3171">
        <v>81.248655534465001</v>
      </c>
      <c r="F229" s="2971">
        <v>86.493939916912197</v>
      </c>
      <c r="G229" s="3171">
        <v>87.617916636088196</v>
      </c>
      <c r="H229" s="2971">
        <v>83.112965900382207</v>
      </c>
      <c r="I229" s="3171">
        <v>83.255714893370296</v>
      </c>
      <c r="J229" s="2971">
        <v>87.515408713999605</v>
      </c>
      <c r="K229" s="3171">
        <v>77.5011085328631</v>
      </c>
      <c r="L229" s="2971">
        <v>89.741387603014005</v>
      </c>
      <c r="M229" s="3171">
        <v>58.600672384517203</v>
      </c>
      <c r="N229" s="2972">
        <v>75.653817757989003</v>
      </c>
    </row>
    <row r="230" spans="1:14">
      <c r="A230" s="63">
        <f t="shared" si="1"/>
        <v>2012.05</v>
      </c>
      <c r="B230" s="2973">
        <v>73.141299355907606</v>
      </c>
      <c r="C230" s="3171">
        <v>72.261078891062695</v>
      </c>
      <c r="D230" s="2971">
        <v>72.646577638301494</v>
      </c>
      <c r="E230" s="3171">
        <v>85.600522048869195</v>
      </c>
      <c r="F230" s="2971">
        <v>83.128873269908695</v>
      </c>
      <c r="G230" s="3171">
        <v>82.725371449609099</v>
      </c>
      <c r="H230" s="2971">
        <v>82.046782769154902</v>
      </c>
      <c r="I230" s="3171">
        <v>68.086798709354497</v>
      </c>
      <c r="J230" s="2971">
        <v>77.957828397178304</v>
      </c>
      <c r="K230" s="3171">
        <v>82.299479193074802</v>
      </c>
      <c r="L230" s="2971">
        <v>81.256160947053999</v>
      </c>
      <c r="M230" s="3171">
        <v>64.339775148798594</v>
      </c>
      <c r="N230" s="2972">
        <v>64.013369920949501</v>
      </c>
    </row>
    <row r="231" spans="1:14">
      <c r="A231" s="63">
        <f t="shared" si="1"/>
        <v>2012.06</v>
      </c>
      <c r="B231" s="2973">
        <v>71.962143156343501</v>
      </c>
      <c r="C231" s="3171">
        <v>66.280659691895494</v>
      </c>
      <c r="D231" s="2971">
        <v>63.901234567901199</v>
      </c>
      <c r="E231" s="3171">
        <v>84.760086123291501</v>
      </c>
      <c r="F231" s="2971">
        <v>84.841093865484098</v>
      </c>
      <c r="G231" s="3171">
        <v>74.424836601307206</v>
      </c>
      <c r="H231" s="2971">
        <v>85.872576177285296</v>
      </c>
      <c r="I231" s="3171">
        <v>75.370377840365705</v>
      </c>
      <c r="J231" s="2971">
        <v>77.2683016035311</v>
      </c>
      <c r="K231" s="3171">
        <v>77.933691935145603</v>
      </c>
      <c r="L231" s="2971">
        <v>83.422417845020703</v>
      </c>
      <c r="M231" s="3171">
        <v>58.071374335611203</v>
      </c>
      <c r="N231" s="2972">
        <v>61.986986986986999</v>
      </c>
    </row>
    <row r="232" spans="1:14">
      <c r="A232" s="63">
        <f t="shared" si="1"/>
        <v>2012.07</v>
      </c>
      <c r="B232" s="2973">
        <v>71.314511690103302</v>
      </c>
      <c r="C232" s="3171">
        <v>66.937527017599706</v>
      </c>
      <c r="D232" s="2971">
        <v>69.533581600807295</v>
      </c>
      <c r="E232" s="3171">
        <v>81.871014910271597</v>
      </c>
      <c r="F232" s="2971">
        <v>82.827919487872293</v>
      </c>
      <c r="G232" s="3171">
        <v>76.761543327008198</v>
      </c>
      <c r="H232" s="2971">
        <v>87.813174508263103</v>
      </c>
      <c r="I232" s="3171">
        <v>72.049498156481704</v>
      </c>
      <c r="J232" s="2971">
        <v>76.565674582140105</v>
      </c>
      <c r="K232" s="3171">
        <v>77.305679904445896</v>
      </c>
      <c r="L232" s="2971">
        <v>64.639596424049302</v>
      </c>
      <c r="M232" s="3171">
        <v>70.0290593413674</v>
      </c>
      <c r="N232" s="2972">
        <v>63.891250078684998</v>
      </c>
    </row>
    <row r="233" spans="1:14">
      <c r="A233" s="63">
        <f t="shared" si="1"/>
        <v>2012.08</v>
      </c>
      <c r="B233" s="2973">
        <v>74.0181221511979</v>
      </c>
      <c r="C233" s="3171">
        <v>71.406978414950302</v>
      </c>
      <c r="D233" s="2971">
        <v>69.026284348865005</v>
      </c>
      <c r="E233" s="3171">
        <v>78.029454717436195</v>
      </c>
      <c r="F233" s="2971">
        <v>81.823954239380797</v>
      </c>
      <c r="G233" s="3171">
        <v>83.303186085415604</v>
      </c>
      <c r="H233" s="2971">
        <v>87.391654007684707</v>
      </c>
      <c r="I233" s="3171">
        <v>69.347868671328698</v>
      </c>
      <c r="J233" s="2971">
        <v>74.621361125632603</v>
      </c>
      <c r="K233" s="3171">
        <v>76.524389845511905</v>
      </c>
      <c r="L233" s="2971">
        <v>70.4237495699834</v>
      </c>
      <c r="M233" s="3171">
        <v>81.471099619345196</v>
      </c>
      <c r="N233" s="2972">
        <v>65.572140327788205</v>
      </c>
    </row>
    <row r="234" spans="1:14">
      <c r="A234" s="63">
        <f t="shared" si="1"/>
        <v>2012.09</v>
      </c>
      <c r="B234" s="2973">
        <v>75.843105143114499</v>
      </c>
      <c r="C234" s="3171">
        <v>75.513148861758907</v>
      </c>
      <c r="D234" s="2971">
        <v>63.555118200860903</v>
      </c>
      <c r="E234" s="3171">
        <v>79.062634010591694</v>
      </c>
      <c r="F234" s="2971">
        <v>86.416532614524002</v>
      </c>
      <c r="G234" s="3171">
        <v>84.539969834087501</v>
      </c>
      <c r="H234" s="2971">
        <v>90.786162464643297</v>
      </c>
      <c r="I234" s="3171">
        <v>75.012289153330101</v>
      </c>
      <c r="J234" s="2971">
        <v>76.416141340883797</v>
      </c>
      <c r="K234" s="3171">
        <v>78.058174375267399</v>
      </c>
      <c r="L234" s="2971">
        <v>74.683906389866706</v>
      </c>
      <c r="M234" s="3171">
        <v>73.139895194541396</v>
      </c>
      <c r="N234" s="2972">
        <v>65.591397849462396</v>
      </c>
    </row>
    <row r="235" spans="1:14">
      <c r="A235" s="63">
        <f t="shared" si="1"/>
        <v>2012.1</v>
      </c>
      <c r="B235" s="2973">
        <v>76.400000000000006</v>
      </c>
      <c r="C235" s="3171">
        <v>75</v>
      </c>
      <c r="D235" s="2971">
        <v>71.2</v>
      </c>
      <c r="E235" s="3171">
        <v>78.3</v>
      </c>
      <c r="F235" s="2971">
        <v>82.2</v>
      </c>
      <c r="G235" s="3171">
        <v>79.900000000000006</v>
      </c>
      <c r="H235" s="2971">
        <v>88.3</v>
      </c>
      <c r="I235" s="3171">
        <v>78.099999999999994</v>
      </c>
      <c r="J235" s="2971">
        <v>75.400000000000006</v>
      </c>
      <c r="K235" s="3171">
        <v>83.1</v>
      </c>
      <c r="L235" s="2971">
        <v>75.3</v>
      </c>
      <c r="M235" s="3171">
        <v>80.5</v>
      </c>
      <c r="N235" s="2972">
        <v>63.3</v>
      </c>
    </row>
    <row r="236" spans="1:14">
      <c r="A236" s="63">
        <f t="shared" si="1"/>
        <v>2012.11</v>
      </c>
      <c r="B236" s="2973">
        <v>78.5</v>
      </c>
      <c r="C236" s="3171">
        <v>78.2</v>
      </c>
      <c r="D236" s="2971">
        <v>71.900000000000006</v>
      </c>
      <c r="E236" s="3171">
        <v>82.5</v>
      </c>
      <c r="F236" s="2971">
        <v>80.7</v>
      </c>
      <c r="G236" s="3171">
        <v>78</v>
      </c>
      <c r="H236" s="2971">
        <v>83.4</v>
      </c>
      <c r="I236" s="3171">
        <v>83</v>
      </c>
      <c r="J236" s="2971">
        <v>79.900000000000006</v>
      </c>
      <c r="K236" s="3171">
        <v>82.6</v>
      </c>
      <c r="L236" s="2971">
        <v>74.5</v>
      </c>
      <c r="M236" s="3171">
        <v>82.8</v>
      </c>
      <c r="N236" s="2972">
        <v>69.3</v>
      </c>
    </row>
    <row r="237" spans="1:14">
      <c r="A237" s="63">
        <f t="shared" si="1"/>
        <v>2012.12</v>
      </c>
      <c r="B237" s="2973">
        <v>75.8</v>
      </c>
      <c r="C237" s="3171">
        <v>78.8</v>
      </c>
      <c r="D237" s="2971">
        <v>62.6</v>
      </c>
      <c r="E237" s="3171">
        <v>71.8</v>
      </c>
      <c r="F237" s="2971">
        <v>76.2</v>
      </c>
      <c r="G237" s="3171">
        <v>73.3</v>
      </c>
      <c r="H237" s="2971">
        <v>87.2</v>
      </c>
      <c r="I237" s="3171">
        <v>82</v>
      </c>
      <c r="J237" s="2971">
        <v>77.5</v>
      </c>
      <c r="K237" s="3171">
        <v>76.099999999999994</v>
      </c>
      <c r="L237" s="2971">
        <v>68.900000000000006</v>
      </c>
      <c r="M237" s="3171">
        <v>66.3</v>
      </c>
      <c r="N237" s="2972">
        <v>72.5</v>
      </c>
    </row>
    <row r="238" spans="1:14">
      <c r="A238" s="63">
        <f t="shared" si="1"/>
        <v>2013.01</v>
      </c>
      <c r="B238" s="2973">
        <v>65.599999999999994</v>
      </c>
      <c r="C238" s="3171">
        <v>66</v>
      </c>
      <c r="D238" s="2971">
        <v>74.3</v>
      </c>
      <c r="E238" s="3171">
        <v>63.6</v>
      </c>
      <c r="F238" s="2971">
        <v>75</v>
      </c>
      <c r="G238" s="3171">
        <v>68.7</v>
      </c>
      <c r="H238" s="2971">
        <v>84</v>
      </c>
      <c r="I238" s="3171">
        <v>78</v>
      </c>
      <c r="J238" s="2971">
        <v>76.3</v>
      </c>
      <c r="K238" s="3171">
        <v>73.2</v>
      </c>
      <c r="L238" s="2971">
        <v>60.4</v>
      </c>
      <c r="M238" s="3171">
        <v>42.3</v>
      </c>
      <c r="N238" s="2972">
        <v>54.4</v>
      </c>
    </row>
    <row r="239" spans="1:14">
      <c r="A239" s="63">
        <f t="shared" si="1"/>
        <v>2013.02</v>
      </c>
      <c r="B239" s="2973">
        <v>71.5</v>
      </c>
      <c r="C239" s="3171">
        <v>70.7</v>
      </c>
      <c r="D239" s="2971">
        <v>70.7</v>
      </c>
      <c r="E239" s="3171">
        <v>70</v>
      </c>
      <c r="F239" s="2971">
        <v>77</v>
      </c>
      <c r="G239" s="3171">
        <v>73.3</v>
      </c>
      <c r="H239" s="2971">
        <v>84.2</v>
      </c>
      <c r="I239" s="3171">
        <v>84.3</v>
      </c>
      <c r="J239" s="2971">
        <v>77.099999999999994</v>
      </c>
      <c r="K239" s="3171">
        <v>78.900000000000006</v>
      </c>
      <c r="L239" s="2971">
        <v>65.900000000000006</v>
      </c>
      <c r="M239" s="3171">
        <v>61.4</v>
      </c>
      <c r="N239" s="2972">
        <v>58.6</v>
      </c>
    </row>
    <row r="240" spans="1:14">
      <c r="A240" s="63">
        <f t="shared" si="1"/>
        <v>2013.03</v>
      </c>
      <c r="B240" s="2973">
        <v>72.7</v>
      </c>
      <c r="C240" s="3171">
        <v>66.2</v>
      </c>
      <c r="D240" s="2971">
        <v>71.099999999999994</v>
      </c>
      <c r="E240" s="3171">
        <v>68.5</v>
      </c>
      <c r="F240" s="2971">
        <v>79</v>
      </c>
      <c r="G240" s="3171">
        <v>67</v>
      </c>
      <c r="H240" s="2971">
        <v>88.3</v>
      </c>
      <c r="I240" s="3171">
        <v>78.400000000000006</v>
      </c>
      <c r="J240" s="2971">
        <v>74.7</v>
      </c>
      <c r="K240" s="3171">
        <v>81.099999999999994</v>
      </c>
      <c r="L240" s="2971">
        <v>83.5</v>
      </c>
      <c r="M240" s="3171">
        <v>80.900000000000006</v>
      </c>
      <c r="N240" s="2972">
        <v>51.6</v>
      </c>
    </row>
    <row r="241" spans="1:14">
      <c r="A241" s="63">
        <f t="shared" si="1"/>
        <v>2013.04</v>
      </c>
      <c r="B241" s="2973">
        <v>75.900000000000006</v>
      </c>
      <c r="C241" s="3171">
        <v>70.3</v>
      </c>
      <c r="D241" s="2971">
        <v>66.8</v>
      </c>
      <c r="E241" s="3171">
        <v>75.599999999999994</v>
      </c>
      <c r="F241" s="2971">
        <v>79.8</v>
      </c>
      <c r="G241" s="3171">
        <v>72.5</v>
      </c>
      <c r="H241" s="2971">
        <v>76.3</v>
      </c>
      <c r="I241" s="3171">
        <v>81.7</v>
      </c>
      <c r="J241" s="2971">
        <v>76</v>
      </c>
      <c r="K241" s="3171">
        <v>82.2</v>
      </c>
      <c r="L241" s="2971">
        <v>83.8</v>
      </c>
      <c r="M241" s="3171">
        <v>79</v>
      </c>
      <c r="N241" s="2972">
        <v>68.2</v>
      </c>
    </row>
    <row r="242" spans="1:14">
      <c r="A242" s="63">
        <f t="shared" ref="A242:A305" si="2">A230+1</f>
        <v>2013.05</v>
      </c>
      <c r="B242" s="2973">
        <v>73.3</v>
      </c>
      <c r="C242" s="3171">
        <v>68</v>
      </c>
      <c r="D242" s="2971">
        <v>70.2</v>
      </c>
      <c r="E242" s="3171">
        <v>78</v>
      </c>
      <c r="F242" s="2971">
        <v>80.099999999999994</v>
      </c>
      <c r="G242" s="3171">
        <v>74.5</v>
      </c>
      <c r="H242" s="2971">
        <v>77.2</v>
      </c>
      <c r="I242" s="3171">
        <v>72.7</v>
      </c>
      <c r="J242" s="2971">
        <v>72.2</v>
      </c>
      <c r="K242" s="3171">
        <v>84.2</v>
      </c>
      <c r="L242" s="2971">
        <v>81</v>
      </c>
      <c r="M242" s="3171">
        <v>81.8</v>
      </c>
      <c r="N242" s="2972">
        <v>61.8</v>
      </c>
    </row>
    <row r="243" spans="1:14">
      <c r="A243" s="63">
        <f t="shared" si="2"/>
        <v>2013.06</v>
      </c>
      <c r="B243" s="2973">
        <v>71.5</v>
      </c>
      <c r="C243" s="3171">
        <v>66.8</v>
      </c>
      <c r="D243" s="2971">
        <v>55.4</v>
      </c>
      <c r="E243" s="3171">
        <v>80.599999999999994</v>
      </c>
      <c r="F243" s="2971">
        <v>81.5</v>
      </c>
      <c r="G243" s="3171">
        <v>76.5</v>
      </c>
      <c r="H243" s="2971">
        <v>84.2</v>
      </c>
      <c r="I243" s="3171">
        <v>70.3</v>
      </c>
      <c r="J243" s="2971">
        <v>74.900000000000006</v>
      </c>
      <c r="K243" s="3171">
        <v>82.8</v>
      </c>
      <c r="L243" s="2971">
        <v>75.8</v>
      </c>
      <c r="M243" s="3171">
        <v>67.5</v>
      </c>
      <c r="N243" s="2972">
        <v>63</v>
      </c>
    </row>
    <row r="244" spans="1:14">
      <c r="A244" s="63">
        <f t="shared" si="2"/>
        <v>2013.07</v>
      </c>
      <c r="B244" s="2973">
        <v>71.099999999999994</v>
      </c>
      <c r="C244" s="3171">
        <v>68.400000000000006</v>
      </c>
      <c r="D244" s="2971">
        <v>65.5</v>
      </c>
      <c r="E244" s="3171">
        <v>78</v>
      </c>
      <c r="F244" s="2971">
        <v>80.8</v>
      </c>
      <c r="G244" s="3171">
        <v>73.3</v>
      </c>
      <c r="H244" s="2971">
        <v>84</v>
      </c>
      <c r="I244" s="3171">
        <v>65.8</v>
      </c>
      <c r="J244" s="2971">
        <v>74.900000000000006</v>
      </c>
      <c r="K244" s="3171">
        <v>78.7</v>
      </c>
      <c r="L244" s="2971">
        <v>81.2</v>
      </c>
      <c r="M244" s="3171">
        <v>72.2</v>
      </c>
      <c r="N244" s="2972">
        <v>58.1</v>
      </c>
    </row>
    <row r="245" spans="1:14">
      <c r="A245" s="63">
        <f t="shared" si="2"/>
        <v>2013.08</v>
      </c>
      <c r="B245" s="2973">
        <v>73</v>
      </c>
      <c r="C245" s="3171">
        <v>69.599999999999994</v>
      </c>
      <c r="D245" s="2971">
        <v>63.4</v>
      </c>
      <c r="E245" s="3171">
        <v>77.599999999999994</v>
      </c>
      <c r="F245" s="2971">
        <v>81</v>
      </c>
      <c r="G245" s="3171">
        <v>72.900000000000006</v>
      </c>
      <c r="H245" s="2971">
        <v>86.7</v>
      </c>
      <c r="I245" s="3171">
        <v>69.8</v>
      </c>
      <c r="J245" s="2971">
        <v>75.2</v>
      </c>
      <c r="K245" s="3171">
        <v>81.8</v>
      </c>
      <c r="L245" s="2971">
        <v>83.5</v>
      </c>
      <c r="M245" s="3171">
        <v>71.099999999999994</v>
      </c>
      <c r="N245" s="2972">
        <v>62</v>
      </c>
    </row>
    <row r="246" spans="1:14">
      <c r="A246" s="63">
        <f t="shared" si="2"/>
        <v>2013.09</v>
      </c>
      <c r="B246" s="2973">
        <v>75.2</v>
      </c>
      <c r="C246" s="3171">
        <v>72.5</v>
      </c>
      <c r="D246" s="2971">
        <v>64.2</v>
      </c>
      <c r="E246" s="3171">
        <v>84.2</v>
      </c>
      <c r="F246" s="2971">
        <v>80.599999999999994</v>
      </c>
      <c r="G246" s="3171">
        <v>76.8</v>
      </c>
      <c r="H246" s="2971">
        <v>89.2</v>
      </c>
      <c r="I246" s="3171">
        <v>72.5</v>
      </c>
      <c r="J246" s="2971">
        <v>76.7</v>
      </c>
      <c r="K246" s="3171">
        <v>85.6</v>
      </c>
      <c r="L246" s="2971">
        <v>83.8</v>
      </c>
      <c r="M246" s="3171">
        <v>75.3</v>
      </c>
      <c r="N246" s="2972">
        <v>61.8</v>
      </c>
    </row>
    <row r="247" spans="1:14">
      <c r="A247" s="63">
        <f t="shared" si="2"/>
        <v>2013.1</v>
      </c>
      <c r="B247" s="2973">
        <v>75.400000000000006</v>
      </c>
      <c r="C247" s="3171">
        <v>73.8</v>
      </c>
      <c r="D247" s="2971">
        <v>67.099999999999994</v>
      </c>
      <c r="E247" s="3171">
        <v>81.599999999999994</v>
      </c>
      <c r="F247" s="2971">
        <v>82</v>
      </c>
      <c r="G247" s="3171">
        <v>75.599999999999994</v>
      </c>
      <c r="H247" s="2971">
        <v>85</v>
      </c>
      <c r="I247" s="3171">
        <v>75.900000000000006</v>
      </c>
      <c r="J247" s="2971">
        <v>76.599999999999994</v>
      </c>
      <c r="K247" s="3171">
        <v>87.7</v>
      </c>
      <c r="L247" s="2971">
        <v>83.7</v>
      </c>
      <c r="M247" s="3171">
        <v>75.2</v>
      </c>
      <c r="N247" s="2972">
        <v>60.1</v>
      </c>
    </row>
    <row r="248" spans="1:14">
      <c r="A248" s="63">
        <f t="shared" si="2"/>
        <v>2013.11</v>
      </c>
      <c r="B248" s="2973">
        <v>75.3</v>
      </c>
      <c r="C248" s="3171">
        <v>73</v>
      </c>
      <c r="D248" s="2971">
        <v>68.3</v>
      </c>
      <c r="E248" s="3171">
        <v>83.7</v>
      </c>
      <c r="F248" s="2971">
        <v>80</v>
      </c>
      <c r="G248" s="3171">
        <v>75.400000000000006</v>
      </c>
      <c r="H248" s="2971">
        <v>85.2</v>
      </c>
      <c r="I248" s="3171">
        <v>78.400000000000006</v>
      </c>
      <c r="J248" s="2971">
        <v>78.5</v>
      </c>
      <c r="K248" s="3171">
        <v>88.3</v>
      </c>
      <c r="L248" s="2971">
        <v>85.4</v>
      </c>
      <c r="M248" s="3171">
        <v>64.3</v>
      </c>
      <c r="N248" s="2972">
        <v>63.9</v>
      </c>
    </row>
    <row r="249" spans="1:14">
      <c r="A249" s="63">
        <f t="shared" si="2"/>
        <v>2013.12</v>
      </c>
      <c r="B249" s="2973">
        <v>72.099999999999994</v>
      </c>
      <c r="C249" s="3171">
        <v>79</v>
      </c>
      <c r="D249" s="2971">
        <v>63</v>
      </c>
      <c r="E249" s="3171">
        <v>75.7</v>
      </c>
      <c r="F249" s="2971">
        <v>77.099999999999994</v>
      </c>
      <c r="G249" s="3171">
        <v>72.900000000000006</v>
      </c>
      <c r="H249" s="2971">
        <v>86</v>
      </c>
      <c r="I249" s="3171">
        <v>78</v>
      </c>
      <c r="J249" s="2971">
        <v>71.900000000000006</v>
      </c>
      <c r="K249" s="3171">
        <v>80.099999999999994</v>
      </c>
      <c r="L249" s="2971">
        <v>81.400000000000006</v>
      </c>
      <c r="M249" s="3171">
        <v>44.8</v>
      </c>
      <c r="N249" s="2972">
        <v>59.7</v>
      </c>
    </row>
    <row r="250" spans="1:14">
      <c r="A250" s="63">
        <f t="shared" si="2"/>
        <v>2014.01</v>
      </c>
      <c r="B250" s="2973">
        <v>63.7</v>
      </c>
      <c r="C250" s="3171">
        <v>64.2</v>
      </c>
      <c r="D250" s="2971">
        <v>72.599999999999994</v>
      </c>
      <c r="E250" s="3171">
        <v>68</v>
      </c>
      <c r="F250" s="2971">
        <v>73.400000000000006</v>
      </c>
      <c r="G250" s="3171">
        <v>70.7</v>
      </c>
      <c r="H250" s="2971">
        <v>85.1</v>
      </c>
      <c r="I250" s="3171">
        <v>71.599999999999994</v>
      </c>
      <c r="J250" s="2971">
        <v>70.599999999999994</v>
      </c>
      <c r="K250" s="3171">
        <v>72.900000000000006</v>
      </c>
      <c r="L250" s="2971">
        <v>72</v>
      </c>
      <c r="M250" s="3171">
        <v>34.6</v>
      </c>
      <c r="N250" s="2972">
        <v>48.2</v>
      </c>
    </row>
    <row r="251" spans="1:14">
      <c r="A251" s="63">
        <f t="shared" si="2"/>
        <v>2014.02</v>
      </c>
      <c r="B251" s="2973">
        <v>70.14</v>
      </c>
      <c r="C251" s="3171">
        <v>70.099999999999994</v>
      </c>
      <c r="D251" s="2971">
        <v>74</v>
      </c>
      <c r="E251" s="3171">
        <v>76.2</v>
      </c>
      <c r="F251" s="2971">
        <v>78.400000000000006</v>
      </c>
      <c r="G251" s="3171">
        <v>77.2</v>
      </c>
      <c r="H251" s="2971">
        <v>84.9</v>
      </c>
      <c r="I251" s="3171">
        <v>77.8</v>
      </c>
      <c r="J251" s="2971">
        <v>68.5</v>
      </c>
      <c r="K251" s="3171">
        <v>74.5</v>
      </c>
      <c r="L251" s="2971">
        <v>74.099999999999994</v>
      </c>
      <c r="M251" s="3171">
        <v>58.2</v>
      </c>
      <c r="N251" s="2972">
        <v>53.5</v>
      </c>
    </row>
    <row r="252" spans="1:14">
      <c r="A252" s="63">
        <f t="shared" si="2"/>
        <v>2014.03</v>
      </c>
      <c r="B252" s="2973">
        <v>67.900000000000006</v>
      </c>
      <c r="C252" s="3171">
        <v>65.8</v>
      </c>
      <c r="D252" s="2971">
        <v>62</v>
      </c>
      <c r="E252" s="3171">
        <v>72.900000000000006</v>
      </c>
      <c r="F252" s="2971">
        <v>77.599999999999994</v>
      </c>
      <c r="G252" s="3171">
        <v>72.7</v>
      </c>
      <c r="H252" s="2971">
        <v>70</v>
      </c>
      <c r="I252" s="3171">
        <v>76.400000000000006</v>
      </c>
      <c r="J252" s="2971">
        <v>68.099999999999994</v>
      </c>
      <c r="K252" s="3171">
        <v>77</v>
      </c>
      <c r="L252" s="2971">
        <v>82.8</v>
      </c>
      <c r="M252" s="3171">
        <v>57.3</v>
      </c>
      <c r="N252" s="2972">
        <v>50.7</v>
      </c>
    </row>
    <row r="253" spans="1:14">
      <c r="A253" s="63">
        <f t="shared" si="2"/>
        <v>2014.04</v>
      </c>
      <c r="B253" s="2973">
        <v>73</v>
      </c>
      <c r="C253" s="3171">
        <v>72.599999999999994</v>
      </c>
      <c r="D253" s="2971">
        <v>69.7</v>
      </c>
      <c r="E253" s="3171">
        <v>77.5</v>
      </c>
      <c r="F253" s="2971">
        <v>77.3</v>
      </c>
      <c r="G253" s="3171">
        <v>77</v>
      </c>
      <c r="H253" s="2971">
        <v>81.7</v>
      </c>
      <c r="I253" s="3171">
        <v>81.5</v>
      </c>
      <c r="J253" s="2971">
        <v>70.2</v>
      </c>
      <c r="K253" s="3171">
        <v>81.7</v>
      </c>
      <c r="L253" s="2971">
        <v>89.2</v>
      </c>
      <c r="M253" s="3171">
        <v>59.7</v>
      </c>
      <c r="N253" s="2972">
        <v>53.7</v>
      </c>
    </row>
    <row r="254" spans="1:14">
      <c r="A254" s="63">
        <f t="shared" si="2"/>
        <v>2014.05</v>
      </c>
      <c r="B254" s="2973">
        <v>70.8</v>
      </c>
      <c r="C254" s="3171">
        <v>69.900000000000006</v>
      </c>
      <c r="D254" s="2971">
        <v>67.3</v>
      </c>
      <c r="E254" s="3171">
        <v>76</v>
      </c>
      <c r="F254" s="2971">
        <v>77.2</v>
      </c>
      <c r="G254" s="3171">
        <v>74.5</v>
      </c>
      <c r="H254" s="2971">
        <v>88.5</v>
      </c>
      <c r="I254" s="3171">
        <v>78.099999999999994</v>
      </c>
      <c r="J254" s="2971">
        <v>69.7</v>
      </c>
      <c r="K254" s="3171">
        <v>83.4</v>
      </c>
      <c r="L254" s="2971">
        <v>84.6</v>
      </c>
      <c r="M254" s="3171">
        <v>50</v>
      </c>
      <c r="N254" s="2972">
        <v>53.4</v>
      </c>
    </row>
    <row r="255" spans="1:14">
      <c r="A255" s="63">
        <f t="shared" si="2"/>
        <v>2014.06</v>
      </c>
      <c r="B255" s="2973">
        <v>71.099999999999994</v>
      </c>
      <c r="C255" s="3171">
        <v>68.2</v>
      </c>
      <c r="D255" s="2971">
        <v>65.599999999999994</v>
      </c>
      <c r="E255" s="3171">
        <v>78.8</v>
      </c>
      <c r="F255" s="2971">
        <v>76.8</v>
      </c>
      <c r="G255" s="3171">
        <v>75.599999999999994</v>
      </c>
      <c r="H255" s="2971">
        <v>88.1</v>
      </c>
      <c r="I255" s="3171">
        <v>73.2</v>
      </c>
      <c r="J255" s="2971">
        <v>70.2</v>
      </c>
      <c r="K255" s="3171">
        <v>81.5</v>
      </c>
      <c r="L255" s="2971">
        <v>85.2</v>
      </c>
      <c r="M255" s="3171">
        <v>51.7</v>
      </c>
      <c r="N255" s="2972">
        <v>60.7</v>
      </c>
    </row>
    <row r="256" spans="1:14">
      <c r="A256" s="63">
        <f t="shared" si="2"/>
        <v>2014.07</v>
      </c>
      <c r="B256" s="2973">
        <v>70.7</v>
      </c>
      <c r="C256" s="3171">
        <v>67.8</v>
      </c>
      <c r="D256" s="2971">
        <v>67.7</v>
      </c>
      <c r="E256" s="3171">
        <v>82.9</v>
      </c>
      <c r="F256" s="2971">
        <v>84.1</v>
      </c>
      <c r="G256" s="3171">
        <v>76</v>
      </c>
      <c r="H256" s="2971">
        <v>86.6</v>
      </c>
      <c r="I256" s="3171">
        <v>74</v>
      </c>
      <c r="J256" s="2971">
        <v>70.5</v>
      </c>
      <c r="K256" s="3171">
        <v>81.5</v>
      </c>
      <c r="L256" s="2971">
        <v>83.3</v>
      </c>
      <c r="M256" s="3171">
        <v>48.4</v>
      </c>
      <c r="N256" s="2972">
        <v>60.2</v>
      </c>
    </row>
    <row r="257" spans="1:14">
      <c r="A257" s="63">
        <f t="shared" si="2"/>
        <v>2014.08</v>
      </c>
      <c r="B257" s="2973">
        <v>71</v>
      </c>
      <c r="C257" s="3171">
        <v>73.400000000000006</v>
      </c>
      <c r="D257" s="2971">
        <v>65.400000000000006</v>
      </c>
      <c r="E257" s="3171">
        <v>80.2</v>
      </c>
      <c r="F257" s="2971">
        <v>80.400000000000006</v>
      </c>
      <c r="G257" s="3171">
        <v>73</v>
      </c>
      <c r="H257" s="2971">
        <v>84.2</v>
      </c>
      <c r="I257" s="3171">
        <v>72.900000000000006</v>
      </c>
      <c r="J257" s="2971">
        <v>73</v>
      </c>
      <c r="K257" s="3171">
        <v>80.8</v>
      </c>
      <c r="L257" s="2971">
        <v>81.900000000000006</v>
      </c>
      <c r="M257" s="3171">
        <v>44.8</v>
      </c>
      <c r="N257" s="2972">
        <v>62.8</v>
      </c>
    </row>
    <row r="258" spans="1:14">
      <c r="A258" s="63">
        <f t="shared" si="2"/>
        <v>2014.09</v>
      </c>
      <c r="B258" s="2973">
        <v>73.3</v>
      </c>
      <c r="C258" s="3171">
        <v>72.2</v>
      </c>
      <c r="D258" s="2971">
        <v>68.099999999999994</v>
      </c>
      <c r="E258" s="3171">
        <v>81.3</v>
      </c>
      <c r="F258" s="2971">
        <v>81.099999999999994</v>
      </c>
      <c r="G258" s="3171">
        <v>73.099999999999994</v>
      </c>
      <c r="H258" s="2971">
        <v>85.7</v>
      </c>
      <c r="I258" s="3171">
        <v>76.8</v>
      </c>
      <c r="J258" s="2971">
        <v>71.7</v>
      </c>
      <c r="K258" s="3171">
        <v>87.8</v>
      </c>
      <c r="L258" s="2971">
        <v>84.4</v>
      </c>
      <c r="M258" s="3171">
        <v>58.3</v>
      </c>
      <c r="N258" s="2972">
        <v>61.7</v>
      </c>
    </row>
    <row r="259" spans="1:14">
      <c r="A259" s="63">
        <f t="shared" si="2"/>
        <v>2014.1</v>
      </c>
      <c r="B259" s="2973">
        <v>74.099999999999994</v>
      </c>
      <c r="C259" s="3171">
        <v>75.7</v>
      </c>
      <c r="D259" s="2971">
        <v>64.099999999999994</v>
      </c>
      <c r="E259" s="3171">
        <v>74.5</v>
      </c>
      <c r="F259" s="2971">
        <v>82.3</v>
      </c>
      <c r="G259" s="3171">
        <v>73.7</v>
      </c>
      <c r="H259" s="2971">
        <v>87.5</v>
      </c>
      <c r="I259" s="3171">
        <v>77.099999999999994</v>
      </c>
      <c r="J259" s="2971">
        <v>72.900000000000006</v>
      </c>
      <c r="K259" s="3171">
        <v>87.6</v>
      </c>
      <c r="L259" s="2971">
        <v>84.6</v>
      </c>
      <c r="M259" s="3171">
        <v>59.6</v>
      </c>
      <c r="N259" s="2972">
        <v>60</v>
      </c>
    </row>
    <row r="260" spans="1:14">
      <c r="A260" s="63">
        <f t="shared" si="2"/>
        <v>2014.11</v>
      </c>
      <c r="B260" s="2973">
        <v>73.2</v>
      </c>
      <c r="C260" s="3171">
        <v>74.7</v>
      </c>
      <c r="D260" s="2971">
        <v>62.7</v>
      </c>
      <c r="E260" s="3171">
        <v>76.2</v>
      </c>
      <c r="F260" s="2971">
        <v>77.2</v>
      </c>
      <c r="G260" s="3171">
        <v>72.900000000000006</v>
      </c>
      <c r="H260" s="2971">
        <v>81.5</v>
      </c>
      <c r="I260" s="3171">
        <v>79.099999999999994</v>
      </c>
      <c r="J260" s="2971">
        <v>75.900000000000006</v>
      </c>
      <c r="K260" s="3171">
        <v>86.3</v>
      </c>
      <c r="L260" s="2971">
        <v>83.7</v>
      </c>
      <c r="M260" s="3171">
        <v>55.2</v>
      </c>
      <c r="N260" s="2972">
        <v>61.6</v>
      </c>
    </row>
    <row r="261" spans="1:14">
      <c r="A261" s="63">
        <f t="shared" si="2"/>
        <v>2014.12</v>
      </c>
      <c r="B261" s="2973">
        <v>70.599999999999994</v>
      </c>
      <c r="C261" s="3171">
        <v>79.5</v>
      </c>
      <c r="D261" s="2971">
        <v>62.2</v>
      </c>
      <c r="E261" s="3171">
        <v>67.599999999999994</v>
      </c>
      <c r="F261" s="2971">
        <v>76</v>
      </c>
      <c r="G261" s="3171">
        <v>71.3</v>
      </c>
      <c r="H261" s="2971">
        <v>87.1</v>
      </c>
      <c r="I261" s="3171">
        <v>72.900000000000006</v>
      </c>
      <c r="J261" s="2971">
        <v>68.3</v>
      </c>
      <c r="K261" s="3171">
        <v>78.8</v>
      </c>
      <c r="L261" s="2971">
        <v>83.2</v>
      </c>
      <c r="M261" s="3171">
        <v>40.1</v>
      </c>
      <c r="N261" s="2972">
        <v>58.7</v>
      </c>
    </row>
    <row r="262" spans="1:14">
      <c r="A262" s="63">
        <f t="shared" si="2"/>
        <v>2015.01</v>
      </c>
      <c r="B262" s="2973">
        <v>62.7</v>
      </c>
      <c r="C262" s="3171">
        <v>65</v>
      </c>
      <c r="D262" s="2971">
        <v>65.900000000000006</v>
      </c>
      <c r="E262" s="3171">
        <v>59.7</v>
      </c>
      <c r="F262" s="2971">
        <v>74.8</v>
      </c>
      <c r="G262" s="3171">
        <v>66.8</v>
      </c>
      <c r="H262" s="2971">
        <v>88.3</v>
      </c>
      <c r="I262" s="3171">
        <v>71.599999999999994</v>
      </c>
      <c r="J262" s="2971">
        <v>63</v>
      </c>
      <c r="K262" s="3171">
        <v>77.3</v>
      </c>
      <c r="L262" s="2971">
        <v>69.400000000000006</v>
      </c>
      <c r="M262" s="3171">
        <v>24.7</v>
      </c>
      <c r="N262" s="2972">
        <v>51.6</v>
      </c>
    </row>
    <row r="263" spans="1:14">
      <c r="A263" s="63">
        <f t="shared" si="2"/>
        <v>2015.02</v>
      </c>
      <c r="B263" s="2973">
        <v>68.8</v>
      </c>
      <c r="C263" s="3171">
        <v>68.2</v>
      </c>
      <c r="D263" s="2971">
        <v>61.7</v>
      </c>
      <c r="E263" s="3171">
        <v>65.2</v>
      </c>
      <c r="F263" s="2971">
        <v>81.7</v>
      </c>
      <c r="G263" s="3171">
        <v>73.5</v>
      </c>
      <c r="H263" s="2971">
        <v>86.1</v>
      </c>
      <c r="I263" s="3171">
        <v>72.599999999999994</v>
      </c>
      <c r="J263" s="2971">
        <v>72.099999999999994</v>
      </c>
      <c r="K263" s="3171">
        <v>80.8</v>
      </c>
      <c r="L263" s="2971">
        <v>73.8</v>
      </c>
      <c r="M263" s="3171">
        <v>49.5</v>
      </c>
      <c r="N263" s="2972">
        <v>58.7</v>
      </c>
    </row>
    <row r="264" spans="1:14">
      <c r="A264" s="63">
        <f t="shared" si="2"/>
        <v>2015.03</v>
      </c>
      <c r="B264" s="2973">
        <v>67.099999999999994</v>
      </c>
      <c r="C264" s="3171">
        <v>63</v>
      </c>
      <c r="D264" s="2971">
        <v>60.5</v>
      </c>
      <c r="E264" s="3171">
        <v>63.9</v>
      </c>
      <c r="F264" s="2971">
        <v>76.8</v>
      </c>
      <c r="G264" s="3171">
        <v>66.2</v>
      </c>
      <c r="H264" s="2971">
        <v>87.3</v>
      </c>
      <c r="I264" s="3171">
        <v>73.7</v>
      </c>
      <c r="J264" s="2971">
        <v>68.900000000000006</v>
      </c>
      <c r="K264" s="3171">
        <v>83.1</v>
      </c>
      <c r="L264" s="2971">
        <v>75.900000000000006</v>
      </c>
      <c r="M264" s="3171">
        <v>51.5</v>
      </c>
      <c r="N264" s="2972">
        <v>53.6</v>
      </c>
    </row>
    <row r="265" spans="1:14">
      <c r="A265" s="63">
        <f t="shared" si="2"/>
        <v>2015.04</v>
      </c>
      <c r="B265" s="2973">
        <v>71.8</v>
      </c>
      <c r="C265" s="3171">
        <v>75.3</v>
      </c>
      <c r="D265" s="2971">
        <v>62.6</v>
      </c>
      <c r="E265" s="3171">
        <v>71.5</v>
      </c>
      <c r="F265" s="2971">
        <v>81.099999999999994</v>
      </c>
      <c r="G265" s="3171">
        <v>76.599999999999994</v>
      </c>
      <c r="H265" s="2971">
        <v>88.3</v>
      </c>
      <c r="I265" s="3171">
        <v>81.5</v>
      </c>
      <c r="J265" s="2971">
        <v>73.900000000000006</v>
      </c>
      <c r="K265" s="3171">
        <v>85.8</v>
      </c>
      <c r="L265" s="2971">
        <v>71.5</v>
      </c>
      <c r="M265" s="3171">
        <v>47.4</v>
      </c>
      <c r="N265" s="2972">
        <v>58.8</v>
      </c>
    </row>
    <row r="266" spans="1:14">
      <c r="A266" s="63">
        <f t="shared" si="2"/>
        <v>2015.05</v>
      </c>
      <c r="B266" s="2973">
        <v>69.3</v>
      </c>
      <c r="C266" s="3171">
        <v>66.8</v>
      </c>
      <c r="D266" s="2971">
        <v>61.8</v>
      </c>
      <c r="E266" s="3171">
        <v>73.3</v>
      </c>
      <c r="F266" s="2971">
        <v>80.5</v>
      </c>
      <c r="G266" s="3171">
        <v>76.099999999999994</v>
      </c>
      <c r="H266" s="2971">
        <v>86</v>
      </c>
      <c r="I266" s="3171">
        <v>81</v>
      </c>
      <c r="J266" s="2971">
        <v>73</v>
      </c>
      <c r="K266" s="3171">
        <v>83.5</v>
      </c>
      <c r="L266" s="2971">
        <v>72.7</v>
      </c>
      <c r="M266" s="3171">
        <v>45.5</v>
      </c>
      <c r="N266" s="2972">
        <v>56.4</v>
      </c>
    </row>
    <row r="267" spans="1:14">
      <c r="A267" s="63">
        <f t="shared" si="2"/>
        <v>2015.06</v>
      </c>
      <c r="B267" s="2973">
        <v>71</v>
      </c>
      <c r="C267" s="3171">
        <v>70</v>
      </c>
      <c r="D267" s="2971">
        <v>62.1</v>
      </c>
      <c r="E267" s="3171">
        <v>74.2</v>
      </c>
      <c r="F267" s="2971">
        <v>79.3</v>
      </c>
      <c r="G267" s="3171">
        <v>81.5</v>
      </c>
      <c r="H267" s="2971">
        <v>84.9</v>
      </c>
      <c r="I267" s="3171">
        <v>75.099999999999994</v>
      </c>
      <c r="J267" s="2971">
        <v>75.900000000000006</v>
      </c>
      <c r="K267" s="3171">
        <v>83.7</v>
      </c>
      <c r="L267" s="2971">
        <v>79.400000000000006</v>
      </c>
      <c r="M267" s="3171">
        <v>55.2</v>
      </c>
      <c r="N267" s="2972">
        <v>55.4</v>
      </c>
    </row>
    <row r="268" spans="1:14">
      <c r="A268" s="63">
        <f t="shared" si="2"/>
        <v>2015.07</v>
      </c>
      <c r="B268" s="2973">
        <v>71.099999999999994</v>
      </c>
      <c r="C268" s="3171">
        <v>73.599999999999994</v>
      </c>
      <c r="D268" s="2971">
        <v>65</v>
      </c>
      <c r="E268" s="3171">
        <v>72.2</v>
      </c>
      <c r="F268" s="2971">
        <v>88</v>
      </c>
      <c r="G268" s="3171">
        <v>77.5</v>
      </c>
      <c r="H268" s="2971">
        <v>90.8</v>
      </c>
      <c r="I268" s="3171">
        <v>74.400000000000006</v>
      </c>
      <c r="J268" s="2971">
        <v>76.3</v>
      </c>
      <c r="K268" s="3171">
        <v>81.2</v>
      </c>
      <c r="L268" s="2971">
        <v>74.5</v>
      </c>
      <c r="M268" s="3171">
        <v>44.7</v>
      </c>
      <c r="N268" s="2972">
        <v>60.6</v>
      </c>
    </row>
    <row r="269" spans="1:14">
      <c r="A269" s="63">
        <f t="shared" si="2"/>
        <v>2015.08</v>
      </c>
      <c r="B269" s="2973">
        <v>71.2</v>
      </c>
      <c r="C269" s="3171">
        <v>74</v>
      </c>
      <c r="D269" s="2971">
        <v>59</v>
      </c>
      <c r="E269" s="3171">
        <v>74.5</v>
      </c>
      <c r="F269" s="2971">
        <v>85.8</v>
      </c>
      <c r="G269" s="3171">
        <v>76.2</v>
      </c>
      <c r="H269" s="2971">
        <v>85.8</v>
      </c>
      <c r="I269" s="3171">
        <v>70.400000000000006</v>
      </c>
      <c r="J269" s="2971">
        <v>75.099999999999994</v>
      </c>
      <c r="K269" s="3171">
        <v>83.2</v>
      </c>
      <c r="L269" s="2971">
        <v>81.5</v>
      </c>
      <c r="M269" s="3171">
        <v>48.1</v>
      </c>
      <c r="N269" s="2972">
        <v>61</v>
      </c>
    </row>
    <row r="270" spans="1:14">
      <c r="A270" s="63">
        <f t="shared" si="2"/>
        <v>2015.09</v>
      </c>
      <c r="B270" s="2973">
        <v>73.599999999999994</v>
      </c>
      <c r="C270" s="3171">
        <v>76.900000000000006</v>
      </c>
      <c r="D270" s="2971">
        <v>65.7</v>
      </c>
      <c r="E270" s="3171">
        <v>77.5</v>
      </c>
      <c r="F270" s="2971">
        <v>86.5</v>
      </c>
      <c r="G270" s="3171">
        <v>78.7</v>
      </c>
      <c r="H270" s="2971">
        <v>83</v>
      </c>
      <c r="I270" s="3171">
        <v>76.7</v>
      </c>
      <c r="J270" s="2971">
        <v>77.400000000000006</v>
      </c>
      <c r="K270" s="3171">
        <v>91.8</v>
      </c>
      <c r="L270" s="2971">
        <v>79.8</v>
      </c>
      <c r="M270" s="3171">
        <v>52.5</v>
      </c>
      <c r="N270" s="2972">
        <v>61.3</v>
      </c>
    </row>
    <row r="271" spans="1:14">
      <c r="A271" s="63">
        <f t="shared" si="2"/>
        <v>2015.1</v>
      </c>
      <c r="B271" s="2974">
        <v>74.3363636363636</v>
      </c>
      <c r="C271" s="3172">
        <v>79.776153846153804</v>
      </c>
      <c r="D271" s="2975">
        <v>81.608345978755693</v>
      </c>
      <c r="E271" s="3172">
        <v>83.484924623115603</v>
      </c>
      <c r="F271" s="2975">
        <v>92.862566844919797</v>
      </c>
      <c r="G271" s="3172">
        <v>64.322005988023903</v>
      </c>
      <c r="H271" s="2975">
        <v>84.328992072480204</v>
      </c>
      <c r="I271" s="3172">
        <v>71.177513966480404</v>
      </c>
      <c r="J271" s="2975">
        <v>68.040000000000006</v>
      </c>
      <c r="K271" s="3172">
        <v>71.621216041397204</v>
      </c>
      <c r="L271" s="2975">
        <v>79.480115273775198</v>
      </c>
      <c r="M271" s="3172">
        <v>49.224291497975699</v>
      </c>
      <c r="N271" s="2976">
        <v>60.697674418604599</v>
      </c>
    </row>
    <row r="272" spans="1:14">
      <c r="A272" s="63">
        <f t="shared" si="2"/>
        <v>2015.11</v>
      </c>
      <c r="B272" s="2974">
        <v>73.4334928229665</v>
      </c>
      <c r="C272" s="3172">
        <v>78.722307692307695</v>
      </c>
      <c r="D272" s="2975">
        <v>79.825948406676801</v>
      </c>
      <c r="E272" s="3172">
        <v>85.389949748743703</v>
      </c>
      <c r="F272" s="2975">
        <v>87.108021390374304</v>
      </c>
      <c r="G272" s="3172">
        <v>63.623802395209601</v>
      </c>
      <c r="H272" s="2975">
        <v>78.546432616081503</v>
      </c>
      <c r="I272" s="3172">
        <v>73.023882681564203</v>
      </c>
      <c r="J272" s="2975">
        <v>70.84</v>
      </c>
      <c r="K272" s="3172">
        <v>70.558344113842196</v>
      </c>
      <c r="L272" s="2975">
        <v>78.634582132564802</v>
      </c>
      <c r="M272" s="3172">
        <v>45.590283400809703</v>
      </c>
      <c r="N272" s="2976">
        <v>62.316279069767397</v>
      </c>
    </row>
    <row r="273" spans="1:14">
      <c r="A273" s="63">
        <f t="shared" si="2"/>
        <v>2015.12</v>
      </c>
      <c r="B273" s="2974">
        <v>70.825199362041502</v>
      </c>
      <c r="C273" s="3172">
        <v>83.780769230769195</v>
      </c>
      <c r="D273" s="2975">
        <v>79.189377845219994</v>
      </c>
      <c r="E273" s="3172">
        <v>75.752763819095506</v>
      </c>
      <c r="F273" s="2975">
        <v>85.754010695187205</v>
      </c>
      <c r="G273" s="3172">
        <v>62.227395209580799</v>
      </c>
      <c r="H273" s="2975">
        <v>83.943488108720302</v>
      </c>
      <c r="I273" s="3172">
        <v>67.300139664804504</v>
      </c>
      <c r="J273" s="2975">
        <v>63.746666666666698</v>
      </c>
      <c r="K273" s="3172">
        <v>64.426390685640399</v>
      </c>
      <c r="L273" s="2975">
        <v>78.164841498559099</v>
      </c>
      <c r="M273" s="3172">
        <v>33.119028340081002</v>
      </c>
      <c r="N273" s="2976">
        <v>59.3825581395349</v>
      </c>
    </row>
    <row r="274" spans="1:14">
      <c r="A274" s="63">
        <f t="shared" si="2"/>
        <v>2016.01</v>
      </c>
      <c r="B274" s="2977">
        <v>62.9</v>
      </c>
      <c r="C274" s="3173">
        <v>68.5</v>
      </c>
      <c r="D274" s="2978">
        <v>83.9</v>
      </c>
      <c r="E274" s="3173">
        <v>66.900000000000006</v>
      </c>
      <c r="F274" s="2978">
        <v>84.4</v>
      </c>
      <c r="G274" s="3173">
        <v>58.3</v>
      </c>
      <c r="H274" s="2978">
        <v>85.1</v>
      </c>
      <c r="I274" s="3173">
        <v>66.099999999999994</v>
      </c>
      <c r="J274" s="2978">
        <v>58.8</v>
      </c>
      <c r="K274" s="3173">
        <v>63.2</v>
      </c>
      <c r="L274" s="2978">
        <v>65.2</v>
      </c>
      <c r="M274" s="3173">
        <v>20.399999999999999</v>
      </c>
      <c r="N274" s="2979">
        <v>52.2</v>
      </c>
    </row>
    <row r="275" spans="1:14">
      <c r="A275" s="63">
        <f t="shared" si="2"/>
        <v>2016.02</v>
      </c>
      <c r="B275" s="2973">
        <v>64.2</v>
      </c>
      <c r="C275" s="3174">
        <v>66.8</v>
      </c>
      <c r="D275" s="2980">
        <v>81.3</v>
      </c>
      <c r="E275" s="3174">
        <v>72.2</v>
      </c>
      <c r="F275" s="2980">
        <v>79</v>
      </c>
      <c r="G275" s="3174">
        <v>53.6</v>
      </c>
      <c r="H275" s="2980">
        <v>86.8</v>
      </c>
      <c r="I275" s="3174">
        <v>66.8</v>
      </c>
      <c r="J275" s="2980">
        <v>53.6</v>
      </c>
      <c r="K275" s="3174">
        <v>73.099999999999994</v>
      </c>
      <c r="L275" s="2980">
        <v>70.7</v>
      </c>
      <c r="M275" s="3174">
        <v>43.1</v>
      </c>
      <c r="N275" s="2981">
        <v>51.1</v>
      </c>
    </row>
    <row r="276" spans="1:14">
      <c r="A276" s="63">
        <f t="shared" si="2"/>
        <v>2016.03</v>
      </c>
      <c r="B276" s="2973">
        <v>64.8</v>
      </c>
      <c r="C276" s="3174">
        <v>67.2</v>
      </c>
      <c r="D276" s="2980">
        <v>84.1</v>
      </c>
      <c r="E276" s="3174">
        <v>73.5</v>
      </c>
      <c r="F276" s="2980">
        <v>81.400000000000006</v>
      </c>
      <c r="G276" s="3174">
        <v>55</v>
      </c>
      <c r="H276" s="2980">
        <v>83.4</v>
      </c>
      <c r="I276" s="3174">
        <v>66.3</v>
      </c>
      <c r="J276" s="2980">
        <v>56.2</v>
      </c>
      <c r="K276" s="3174">
        <v>75.400000000000006</v>
      </c>
      <c r="L276" s="2980">
        <v>63.6</v>
      </c>
      <c r="M276" s="3174">
        <v>55.5</v>
      </c>
      <c r="N276" s="2981">
        <v>53.1</v>
      </c>
    </row>
    <row r="277" spans="1:14">
      <c r="A277" s="63">
        <f t="shared" si="2"/>
        <v>2016.04</v>
      </c>
      <c r="B277" s="2973">
        <v>64.8</v>
      </c>
      <c r="C277" s="3174">
        <v>63.5</v>
      </c>
      <c r="D277" s="2980">
        <v>81.400000000000006</v>
      </c>
      <c r="E277" s="3174">
        <v>74.400000000000006</v>
      </c>
      <c r="F277" s="2980">
        <v>83.8</v>
      </c>
      <c r="G277" s="3174">
        <v>58.5</v>
      </c>
      <c r="H277" s="2980">
        <v>82</v>
      </c>
      <c r="I277" s="3174">
        <v>67.900000000000006</v>
      </c>
      <c r="J277" s="2980">
        <v>60.2</v>
      </c>
      <c r="K277" s="3174">
        <v>75.400000000000006</v>
      </c>
      <c r="L277" s="2980">
        <v>65.2</v>
      </c>
      <c r="M277" s="3174">
        <v>54.6</v>
      </c>
      <c r="N277" s="2981">
        <v>53.2</v>
      </c>
    </row>
    <row r="278" spans="1:14">
      <c r="A278" s="63">
        <f t="shared" si="2"/>
        <v>2016.05</v>
      </c>
      <c r="B278" s="2973">
        <v>65</v>
      </c>
      <c r="C278" s="3174">
        <v>64.5</v>
      </c>
      <c r="D278" s="2980">
        <v>79</v>
      </c>
      <c r="E278" s="3174">
        <v>73.3</v>
      </c>
      <c r="F278" s="2980">
        <v>74.599999999999994</v>
      </c>
      <c r="G278" s="3174">
        <v>61.1</v>
      </c>
      <c r="H278" s="2980">
        <v>80.900000000000006</v>
      </c>
      <c r="I278" s="3174">
        <v>65.3</v>
      </c>
      <c r="J278" s="2980">
        <v>60.4</v>
      </c>
      <c r="K278" s="3174">
        <v>72.900000000000006</v>
      </c>
      <c r="L278" s="2980">
        <v>73.5</v>
      </c>
      <c r="M278" s="3174">
        <v>47.5</v>
      </c>
      <c r="N278" s="2981">
        <v>56</v>
      </c>
    </row>
    <row r="279" spans="1:14">
      <c r="A279" s="63">
        <f t="shared" si="2"/>
        <v>2016.06</v>
      </c>
      <c r="B279" s="2973">
        <v>64.900000000000006</v>
      </c>
      <c r="C279" s="3174">
        <v>62.7</v>
      </c>
      <c r="D279" s="2980">
        <v>69.099999999999994</v>
      </c>
      <c r="E279" s="3174">
        <v>73.900000000000006</v>
      </c>
      <c r="F279" s="2980">
        <v>79</v>
      </c>
      <c r="G279" s="3174">
        <v>58.9</v>
      </c>
      <c r="H279" s="2980">
        <v>86.1</v>
      </c>
      <c r="I279" s="3174">
        <v>64.599999999999994</v>
      </c>
      <c r="J279" s="2980">
        <v>62</v>
      </c>
      <c r="K279" s="3174">
        <v>71.5</v>
      </c>
      <c r="L279" s="2980">
        <v>73.3</v>
      </c>
      <c r="M279" s="3174">
        <v>50.7</v>
      </c>
      <c r="N279" s="2981">
        <v>54.8</v>
      </c>
    </row>
    <row r="280" spans="1:14">
      <c r="A280" s="63">
        <f t="shared" si="2"/>
        <v>2016.07</v>
      </c>
      <c r="B280" s="2973">
        <v>62</v>
      </c>
      <c r="C280" s="3171">
        <v>61.7</v>
      </c>
      <c r="D280" s="2971">
        <v>72.8</v>
      </c>
      <c r="E280" s="3171">
        <v>71.900000000000006</v>
      </c>
      <c r="F280" s="2971">
        <v>83.8</v>
      </c>
      <c r="G280" s="3171">
        <v>54.3</v>
      </c>
      <c r="H280" s="2971">
        <v>84.5</v>
      </c>
      <c r="I280" s="3171">
        <v>60.6</v>
      </c>
      <c r="J280" s="2971">
        <v>58.2</v>
      </c>
      <c r="K280" s="3171">
        <v>66.400000000000006</v>
      </c>
      <c r="L280" s="2971">
        <v>68.5</v>
      </c>
      <c r="M280" s="3171">
        <v>45</v>
      </c>
      <c r="N280" s="2981">
        <v>51.1</v>
      </c>
    </row>
    <row r="281" spans="1:14">
      <c r="A281" s="63">
        <f t="shared" si="2"/>
        <v>2016.08</v>
      </c>
      <c r="B281" s="2973">
        <v>63.6</v>
      </c>
      <c r="C281" s="3171">
        <v>68.400000000000006</v>
      </c>
      <c r="D281" s="2971">
        <v>73.400000000000006</v>
      </c>
      <c r="E281" s="3171">
        <v>74</v>
      </c>
      <c r="F281" s="2971">
        <v>91.8</v>
      </c>
      <c r="G281" s="3171">
        <v>51.8</v>
      </c>
      <c r="H281" s="2971">
        <v>80.2</v>
      </c>
      <c r="I281" s="3171">
        <v>59.1</v>
      </c>
      <c r="J281" s="2971">
        <v>56.6</v>
      </c>
      <c r="K281" s="3171">
        <v>73.099999999999994</v>
      </c>
      <c r="L281" s="2971">
        <v>66.599999999999994</v>
      </c>
      <c r="M281" s="3171">
        <v>51.4</v>
      </c>
      <c r="N281" s="2981">
        <v>51.2</v>
      </c>
    </row>
    <row r="282" spans="1:14">
      <c r="A282" s="63">
        <f t="shared" si="2"/>
        <v>2016.09</v>
      </c>
      <c r="B282" s="2973">
        <v>63.9</v>
      </c>
      <c r="C282" s="3171">
        <v>65.7</v>
      </c>
      <c r="D282" s="2971">
        <v>80.8</v>
      </c>
      <c r="E282" s="3171">
        <v>69.099999999999994</v>
      </c>
      <c r="F282" s="2971">
        <v>80.3</v>
      </c>
      <c r="G282" s="3171">
        <v>53.5</v>
      </c>
      <c r="H282" s="2971">
        <v>81.3</v>
      </c>
      <c r="I282" s="3171">
        <v>68.5</v>
      </c>
      <c r="J282" s="2971">
        <v>55.2</v>
      </c>
      <c r="K282" s="3171">
        <v>70.7</v>
      </c>
      <c r="L282" s="2971">
        <v>65.3</v>
      </c>
      <c r="M282" s="3171">
        <v>51.4</v>
      </c>
      <c r="N282" s="2972">
        <v>51.9</v>
      </c>
    </row>
    <row r="283" spans="1:14">
      <c r="A283" s="63">
        <f t="shared" si="2"/>
        <v>2016.1</v>
      </c>
      <c r="B283" s="2973">
        <v>65.400000000000006</v>
      </c>
      <c r="C283" s="3171">
        <v>65.7</v>
      </c>
      <c r="D283" s="2971">
        <v>57</v>
      </c>
      <c r="E283" s="3171">
        <v>59</v>
      </c>
      <c r="F283" s="2971">
        <v>86</v>
      </c>
      <c r="G283" s="3171">
        <v>60.2</v>
      </c>
      <c r="H283" s="2971">
        <v>84.5</v>
      </c>
      <c r="I283" s="3171">
        <v>70.3</v>
      </c>
      <c r="J283" s="2971">
        <v>52.8</v>
      </c>
      <c r="K283" s="3171">
        <v>70.7</v>
      </c>
      <c r="L283" s="2971">
        <v>72.8</v>
      </c>
      <c r="M283" s="3171">
        <v>44.1</v>
      </c>
      <c r="N283" s="2972">
        <v>55.7</v>
      </c>
    </row>
    <row r="284" spans="1:14">
      <c r="A284" s="63">
        <f t="shared" si="2"/>
        <v>2016.11</v>
      </c>
      <c r="B284" s="2973">
        <v>68.400000000000006</v>
      </c>
      <c r="C284" s="3171">
        <v>69</v>
      </c>
      <c r="D284" s="2971">
        <v>73.3</v>
      </c>
      <c r="E284" s="3171">
        <v>58.8</v>
      </c>
      <c r="F284" s="2971">
        <v>88.2</v>
      </c>
      <c r="G284" s="3171">
        <v>58.9</v>
      </c>
      <c r="H284" s="2971">
        <v>83.2</v>
      </c>
      <c r="I284" s="3171">
        <v>74.3</v>
      </c>
      <c r="J284" s="2971">
        <v>62.6</v>
      </c>
      <c r="K284" s="3171">
        <v>72.2</v>
      </c>
      <c r="L284" s="2971">
        <v>71.599999999999994</v>
      </c>
      <c r="M284" s="3171">
        <v>56.3</v>
      </c>
      <c r="N284" s="2972">
        <v>57.2</v>
      </c>
    </row>
    <row r="285" spans="1:14">
      <c r="A285" s="63">
        <f t="shared" si="2"/>
        <v>2016.12</v>
      </c>
      <c r="B285" s="2973">
        <v>63.6</v>
      </c>
      <c r="C285" s="3171">
        <v>66.900000000000006</v>
      </c>
      <c r="D285" s="2971">
        <v>75.5</v>
      </c>
      <c r="E285" s="3171">
        <v>48.9</v>
      </c>
      <c r="F285" s="2971">
        <v>76.7</v>
      </c>
      <c r="G285" s="3171">
        <v>58.6</v>
      </c>
      <c r="H285" s="2971">
        <v>84.4</v>
      </c>
      <c r="I285" s="3171">
        <v>65.099999999999994</v>
      </c>
      <c r="J285" s="2971">
        <v>62.9</v>
      </c>
      <c r="K285" s="3171">
        <v>69.599999999999994</v>
      </c>
      <c r="L285" s="2971">
        <v>62.8</v>
      </c>
      <c r="M285" s="3171">
        <v>45</v>
      </c>
      <c r="N285" s="2972">
        <v>54.7</v>
      </c>
    </row>
    <row r="286" spans="1:14">
      <c r="A286" s="63">
        <f t="shared" si="2"/>
        <v>2017.01</v>
      </c>
      <c r="B286" s="2973">
        <v>60.6</v>
      </c>
      <c r="C286" s="3171">
        <v>65.099999999999994</v>
      </c>
      <c r="D286" s="2971">
        <v>80.3</v>
      </c>
      <c r="E286" s="3171">
        <v>57.5</v>
      </c>
      <c r="F286" s="2971">
        <v>80</v>
      </c>
      <c r="G286" s="3171">
        <v>54</v>
      </c>
      <c r="H286" s="2971">
        <v>85</v>
      </c>
      <c r="I286" s="3171">
        <v>68.5</v>
      </c>
      <c r="J286" s="2971">
        <v>58.5</v>
      </c>
      <c r="K286" s="3171">
        <v>53.3</v>
      </c>
      <c r="L286" s="2971">
        <v>58.4</v>
      </c>
      <c r="M286" s="3171">
        <v>30.7</v>
      </c>
      <c r="N286" s="2972">
        <v>47.3</v>
      </c>
    </row>
    <row r="287" spans="1:14">
      <c r="A287" s="63">
        <f t="shared" si="2"/>
        <v>2017.02</v>
      </c>
      <c r="B287" s="2973">
        <v>60</v>
      </c>
      <c r="C287" s="3171">
        <v>62.4</v>
      </c>
      <c r="D287" s="2971">
        <v>78.3</v>
      </c>
      <c r="E287" s="3171">
        <v>53.9</v>
      </c>
      <c r="F287" s="2971">
        <v>85</v>
      </c>
      <c r="G287" s="3171">
        <v>47.6</v>
      </c>
      <c r="H287" s="2971">
        <v>81.599999999999994</v>
      </c>
      <c r="I287" s="3171">
        <v>68.8</v>
      </c>
      <c r="J287" s="2971">
        <v>54.1</v>
      </c>
      <c r="K287" s="3171">
        <v>68.7</v>
      </c>
      <c r="L287" s="2971">
        <v>65.7</v>
      </c>
      <c r="M287" s="3171">
        <v>31.5</v>
      </c>
      <c r="N287" s="2972">
        <v>42.1</v>
      </c>
    </row>
    <row r="288" spans="1:14">
      <c r="A288" s="63">
        <f t="shared" si="2"/>
        <v>2017.03</v>
      </c>
      <c r="B288" s="2973">
        <v>65.7</v>
      </c>
      <c r="C288" s="3171">
        <v>70.2</v>
      </c>
      <c r="D288" s="2971">
        <v>76</v>
      </c>
      <c r="E288" s="3171">
        <v>57.3</v>
      </c>
      <c r="F288" s="2971">
        <v>87.7</v>
      </c>
      <c r="G288" s="3171">
        <v>55.5</v>
      </c>
      <c r="H288" s="2971">
        <v>79.900000000000006</v>
      </c>
      <c r="I288" s="3171">
        <v>67.3</v>
      </c>
      <c r="J288" s="2971">
        <v>55</v>
      </c>
      <c r="K288" s="3171">
        <v>75.599999999999994</v>
      </c>
      <c r="L288" s="2971">
        <v>75.599999999999994</v>
      </c>
      <c r="M288" s="3171">
        <v>48.2</v>
      </c>
      <c r="N288" s="2972">
        <v>50.5</v>
      </c>
    </row>
    <row r="289" spans="1:14">
      <c r="A289" s="63">
        <f t="shared" si="2"/>
        <v>2017.04</v>
      </c>
      <c r="B289" s="2973">
        <v>64.5</v>
      </c>
      <c r="C289" s="3171">
        <v>64.3</v>
      </c>
      <c r="D289" s="2971">
        <v>62.4</v>
      </c>
      <c r="E289" s="3171">
        <v>54.9</v>
      </c>
      <c r="F289" s="2971">
        <v>79.599999999999994</v>
      </c>
      <c r="G289" s="3171">
        <v>56</v>
      </c>
      <c r="H289" s="2971">
        <v>82.4</v>
      </c>
      <c r="I289" s="3171">
        <v>68.599999999999994</v>
      </c>
      <c r="J289" s="2971">
        <v>57.9</v>
      </c>
      <c r="K289" s="3171">
        <v>71</v>
      </c>
      <c r="L289" s="2971">
        <v>73.599999999999994</v>
      </c>
      <c r="M289" s="3171">
        <v>46.5</v>
      </c>
      <c r="N289" s="2972">
        <v>54.5</v>
      </c>
    </row>
    <row r="290" spans="1:14">
      <c r="A290" s="63">
        <f t="shared" si="2"/>
        <v>2017.05</v>
      </c>
      <c r="B290" s="2973">
        <v>65.8</v>
      </c>
      <c r="C290" s="3171">
        <v>65</v>
      </c>
      <c r="D290" s="2971">
        <v>71.7</v>
      </c>
      <c r="E290" s="3171">
        <v>61.4</v>
      </c>
      <c r="F290" s="2971">
        <v>71.8</v>
      </c>
      <c r="G290" s="3171">
        <v>54.6</v>
      </c>
      <c r="H290" s="2971">
        <v>80.599999999999994</v>
      </c>
      <c r="I290" s="3171">
        <v>66.900000000000006</v>
      </c>
      <c r="J290" s="2971">
        <v>64</v>
      </c>
      <c r="K290" s="3171">
        <v>72.400000000000006</v>
      </c>
      <c r="L290" s="2971">
        <v>75.2</v>
      </c>
      <c r="M290" s="3171">
        <v>54.5</v>
      </c>
      <c r="N290" s="2972">
        <v>58.8</v>
      </c>
    </row>
    <row r="291" spans="1:14">
      <c r="A291" s="63">
        <f t="shared" si="2"/>
        <v>2017.06</v>
      </c>
      <c r="B291" s="2973">
        <v>67.099999999999994</v>
      </c>
      <c r="C291" s="3171">
        <v>64.3</v>
      </c>
      <c r="D291" s="2971">
        <v>76.099999999999994</v>
      </c>
      <c r="E291" s="3171">
        <v>66.2</v>
      </c>
      <c r="F291" s="2971">
        <v>77</v>
      </c>
      <c r="G291" s="3171">
        <v>63.1</v>
      </c>
      <c r="H291" s="2971">
        <v>86.4</v>
      </c>
      <c r="I291" s="3171">
        <v>67.5</v>
      </c>
      <c r="J291" s="2971">
        <v>65.8</v>
      </c>
      <c r="K291" s="3171">
        <v>76.7</v>
      </c>
      <c r="L291" s="2971">
        <v>73.7</v>
      </c>
      <c r="M291" s="3171">
        <v>55</v>
      </c>
      <c r="N291" s="2972">
        <v>58.6</v>
      </c>
    </row>
    <row r="292" spans="1:14">
      <c r="A292" s="63">
        <f t="shared" si="2"/>
        <v>2017.07</v>
      </c>
      <c r="B292" s="2973">
        <v>65.099999999999994</v>
      </c>
      <c r="C292" s="3171">
        <v>63.9</v>
      </c>
      <c r="D292" s="2971">
        <v>83.1</v>
      </c>
      <c r="E292" s="3171">
        <v>65.5</v>
      </c>
      <c r="F292" s="2971">
        <v>81.599999999999994</v>
      </c>
      <c r="G292" s="3171">
        <v>59.1</v>
      </c>
      <c r="H292" s="2971">
        <v>84.4</v>
      </c>
      <c r="I292" s="3171">
        <v>59.1</v>
      </c>
      <c r="J292" s="2971">
        <v>65</v>
      </c>
      <c r="K292" s="3171">
        <v>72.3</v>
      </c>
      <c r="L292" s="2971">
        <v>75.900000000000006</v>
      </c>
      <c r="M292" s="3171">
        <v>45.5</v>
      </c>
      <c r="N292" s="2972">
        <v>59.2</v>
      </c>
    </row>
    <row r="293" spans="1:14">
      <c r="A293" s="63">
        <f t="shared" si="2"/>
        <v>2017.08</v>
      </c>
      <c r="B293" s="2973">
        <v>67.3</v>
      </c>
      <c r="C293" s="3171">
        <v>65.900000000000006</v>
      </c>
      <c r="D293" s="2971">
        <v>77</v>
      </c>
      <c r="E293" s="3171">
        <v>69.099999999999994</v>
      </c>
      <c r="F293" s="2971">
        <v>88</v>
      </c>
      <c r="G293" s="3171">
        <v>54.1</v>
      </c>
      <c r="H293" s="2971">
        <v>85.3</v>
      </c>
      <c r="I293" s="3171">
        <v>62.3</v>
      </c>
      <c r="J293" s="2971">
        <v>60.1</v>
      </c>
      <c r="K293" s="3171">
        <v>77.099999999999994</v>
      </c>
      <c r="L293" s="2971">
        <v>79.5</v>
      </c>
      <c r="M293" s="3171">
        <v>55.1</v>
      </c>
      <c r="N293" s="2972">
        <v>61.1</v>
      </c>
    </row>
    <row r="294" spans="1:14">
      <c r="A294" s="63">
        <f t="shared" si="2"/>
        <v>2017.09</v>
      </c>
      <c r="B294" s="2973">
        <v>66.3</v>
      </c>
      <c r="C294" s="3171">
        <v>63.8</v>
      </c>
      <c r="D294" s="2971">
        <v>77.3</v>
      </c>
      <c r="E294" s="3171">
        <v>68.3</v>
      </c>
      <c r="F294" s="2971">
        <v>82.5</v>
      </c>
      <c r="G294" s="3171">
        <v>63</v>
      </c>
      <c r="H294" s="2971">
        <v>85.7</v>
      </c>
      <c r="I294" s="3171">
        <v>64</v>
      </c>
      <c r="J294" s="2971">
        <v>56.9</v>
      </c>
      <c r="K294" s="3171">
        <v>74.7</v>
      </c>
      <c r="L294" s="2971">
        <v>81</v>
      </c>
      <c r="M294" s="3171">
        <v>57.1</v>
      </c>
      <c r="N294" s="2972">
        <v>54.7</v>
      </c>
    </row>
    <row r="295" spans="1:14">
      <c r="A295" s="63">
        <f t="shared" si="2"/>
        <v>2017.1</v>
      </c>
      <c r="B295" s="2973">
        <v>68.3</v>
      </c>
      <c r="C295" s="3171">
        <v>66.3</v>
      </c>
      <c r="D295" s="2971">
        <v>71.599999999999994</v>
      </c>
      <c r="E295" s="3171">
        <v>62.5</v>
      </c>
      <c r="F295" s="2971">
        <v>86.8</v>
      </c>
      <c r="G295" s="3171">
        <v>61.6</v>
      </c>
      <c r="H295" s="2971">
        <v>73.400000000000006</v>
      </c>
      <c r="I295" s="3171">
        <v>70.900000000000006</v>
      </c>
      <c r="J295" s="2971">
        <v>55.5</v>
      </c>
      <c r="K295" s="3171">
        <v>77.2</v>
      </c>
      <c r="L295" s="2971">
        <v>82.9</v>
      </c>
      <c r="M295" s="3171">
        <v>52.9</v>
      </c>
      <c r="N295" s="2972">
        <v>62.3</v>
      </c>
    </row>
    <row r="296" spans="1:14">
      <c r="A296" s="63">
        <f t="shared" si="2"/>
        <v>2017.11</v>
      </c>
      <c r="B296" s="2973">
        <v>69.2</v>
      </c>
      <c r="C296" s="3171">
        <v>67.7</v>
      </c>
      <c r="D296" s="2971">
        <v>70.5</v>
      </c>
      <c r="E296" s="3171">
        <v>60.9</v>
      </c>
      <c r="F296" s="2971">
        <v>82.7</v>
      </c>
      <c r="G296" s="3171">
        <v>62.9</v>
      </c>
      <c r="H296" s="2971">
        <v>79</v>
      </c>
      <c r="I296" s="3171">
        <v>71</v>
      </c>
      <c r="J296" s="2971">
        <v>59.9</v>
      </c>
      <c r="K296" s="3171">
        <v>80.599999999999994</v>
      </c>
      <c r="L296" s="2971">
        <v>83.1</v>
      </c>
      <c r="M296" s="3171">
        <v>55</v>
      </c>
      <c r="N296" s="2972">
        <v>61.2</v>
      </c>
    </row>
    <row r="297" spans="1:14">
      <c r="A297" s="63">
        <f t="shared" si="2"/>
        <v>2017.12</v>
      </c>
      <c r="B297" s="2973">
        <v>64</v>
      </c>
      <c r="C297" s="3171">
        <v>61.2</v>
      </c>
      <c r="D297" s="2971">
        <v>61.8</v>
      </c>
      <c r="E297" s="3171">
        <v>55.7</v>
      </c>
      <c r="F297" s="2971">
        <v>72.8</v>
      </c>
      <c r="G297" s="3171">
        <v>57.8</v>
      </c>
      <c r="H297" s="2971">
        <v>86.3</v>
      </c>
      <c r="I297" s="3171">
        <v>68.900000000000006</v>
      </c>
      <c r="J297" s="2971">
        <v>61.5</v>
      </c>
      <c r="K297" s="3171">
        <v>76.7</v>
      </c>
      <c r="L297" s="2971">
        <v>73.3</v>
      </c>
      <c r="M297" s="3171">
        <v>38.299999999999997</v>
      </c>
      <c r="N297" s="2972">
        <v>55.6</v>
      </c>
    </row>
    <row r="298" spans="1:14">
      <c r="A298" s="63">
        <f t="shared" si="2"/>
        <v>2018.01</v>
      </c>
      <c r="B298" s="2973">
        <v>61.6</v>
      </c>
      <c r="C298" s="3171">
        <v>62.7</v>
      </c>
      <c r="D298" s="2971">
        <v>77.8</v>
      </c>
      <c r="E298" s="3171">
        <v>57.2</v>
      </c>
      <c r="F298" s="2971">
        <v>73.5</v>
      </c>
      <c r="G298" s="3171">
        <v>59.5</v>
      </c>
      <c r="H298" s="2971">
        <v>81.7</v>
      </c>
      <c r="I298" s="3171">
        <v>70.8</v>
      </c>
      <c r="J298" s="2971">
        <v>58.2</v>
      </c>
      <c r="K298" s="3171">
        <v>67.599999999999994</v>
      </c>
      <c r="L298" s="2971">
        <v>67.400000000000006</v>
      </c>
      <c r="M298" s="3171">
        <v>25.6</v>
      </c>
      <c r="N298" s="2972">
        <v>48.6</v>
      </c>
    </row>
    <row r="299" spans="1:14">
      <c r="A299" s="63">
        <f t="shared" si="2"/>
        <v>2018.02</v>
      </c>
      <c r="B299" s="2973">
        <v>64.400000000000006</v>
      </c>
      <c r="C299" s="3171">
        <v>61.4</v>
      </c>
      <c r="D299" s="2971">
        <v>71.5</v>
      </c>
      <c r="E299" s="3171">
        <v>48.3</v>
      </c>
      <c r="F299" s="2971">
        <v>77.2</v>
      </c>
      <c r="G299" s="3171">
        <v>51.2</v>
      </c>
      <c r="H299" s="2971">
        <v>82.8</v>
      </c>
      <c r="I299" s="3171">
        <v>73</v>
      </c>
      <c r="J299" s="2971">
        <v>53.3</v>
      </c>
      <c r="K299" s="3171">
        <v>74.2</v>
      </c>
      <c r="L299" s="2971">
        <v>86.2</v>
      </c>
      <c r="M299" s="3171">
        <v>50.4</v>
      </c>
      <c r="N299" s="2972">
        <v>46.2</v>
      </c>
    </row>
    <row r="300" spans="1:14">
      <c r="A300" s="63">
        <f t="shared" si="2"/>
        <v>2018.03</v>
      </c>
      <c r="B300" s="2973">
        <v>66.8</v>
      </c>
      <c r="C300" s="3171">
        <v>63.3</v>
      </c>
      <c r="D300" s="2971">
        <v>74.400000000000006</v>
      </c>
      <c r="E300" s="3171">
        <v>53.6</v>
      </c>
      <c r="F300" s="2971">
        <v>72.8</v>
      </c>
      <c r="G300" s="3171">
        <v>56.8</v>
      </c>
      <c r="H300" s="2971">
        <v>78.599999999999994</v>
      </c>
      <c r="I300" s="3171">
        <v>71.900000000000006</v>
      </c>
      <c r="J300" s="2971">
        <v>56.7</v>
      </c>
      <c r="K300" s="3171">
        <v>76.099999999999994</v>
      </c>
      <c r="L300" s="2971">
        <v>88</v>
      </c>
      <c r="M300" s="3171">
        <v>58.2</v>
      </c>
      <c r="N300" s="2972">
        <v>54.3</v>
      </c>
    </row>
    <row r="301" spans="1:14">
      <c r="A301" s="63">
        <f t="shared" si="2"/>
        <v>2018.04</v>
      </c>
      <c r="B301" s="2973">
        <v>67.599999999999994</v>
      </c>
      <c r="C301" s="3171">
        <v>65</v>
      </c>
      <c r="D301" s="2971">
        <v>69.2</v>
      </c>
      <c r="E301" s="3171">
        <v>52.3</v>
      </c>
      <c r="F301" s="2971">
        <v>73.099999999999994</v>
      </c>
      <c r="G301" s="3171">
        <v>58.6</v>
      </c>
      <c r="H301" s="2971">
        <v>78.400000000000006</v>
      </c>
      <c r="I301" s="3171">
        <v>72.400000000000006</v>
      </c>
      <c r="J301" s="2971">
        <v>61.8</v>
      </c>
      <c r="K301" s="3171">
        <v>74.2</v>
      </c>
      <c r="L301" s="2971">
        <v>88.6</v>
      </c>
      <c r="M301" s="3171">
        <v>55.8</v>
      </c>
      <c r="N301" s="2972">
        <v>55.4</v>
      </c>
    </row>
    <row r="302" spans="1:14">
      <c r="A302" s="63">
        <f t="shared" si="2"/>
        <v>2018.05</v>
      </c>
      <c r="B302" s="2973">
        <v>65.099999999999994</v>
      </c>
      <c r="C302" s="3171">
        <v>61.5</v>
      </c>
      <c r="D302" s="2971">
        <v>79.5</v>
      </c>
      <c r="E302" s="3171">
        <v>59.9</v>
      </c>
      <c r="F302" s="2971">
        <v>70.5</v>
      </c>
      <c r="G302" s="3171">
        <v>62.1</v>
      </c>
      <c r="H302" s="2971">
        <v>77.5</v>
      </c>
      <c r="I302" s="3171">
        <v>65.599999999999994</v>
      </c>
      <c r="J302" s="2971">
        <v>62.4</v>
      </c>
      <c r="K302" s="3171">
        <v>72.900000000000006</v>
      </c>
      <c r="L302" s="2971">
        <v>82</v>
      </c>
      <c r="M302" s="3171">
        <v>55.2</v>
      </c>
      <c r="N302" s="2972">
        <v>54.9</v>
      </c>
    </row>
    <row r="303" spans="1:14">
      <c r="A303" s="63">
        <f t="shared" si="2"/>
        <v>2018.06</v>
      </c>
      <c r="B303" s="2973">
        <v>61.8</v>
      </c>
      <c r="C303" s="3171">
        <v>59.1</v>
      </c>
      <c r="D303" s="2971">
        <v>68</v>
      </c>
      <c r="E303" s="3171">
        <v>55.4</v>
      </c>
      <c r="F303" s="2971">
        <v>71.7</v>
      </c>
      <c r="G303" s="3171">
        <v>60.1</v>
      </c>
      <c r="H303" s="2971">
        <v>68.7</v>
      </c>
      <c r="I303" s="3171">
        <v>61.8</v>
      </c>
      <c r="J303" s="2971">
        <v>54.8</v>
      </c>
      <c r="K303" s="3171">
        <v>70.599999999999994</v>
      </c>
      <c r="L303" s="2971">
        <v>80.5</v>
      </c>
      <c r="M303" s="3171">
        <v>47.7</v>
      </c>
      <c r="N303" s="2972">
        <v>53.6</v>
      </c>
    </row>
    <row r="304" spans="1:14">
      <c r="A304" s="63">
        <f t="shared" si="2"/>
        <v>2018.07</v>
      </c>
      <c r="B304" s="2973">
        <v>60.1</v>
      </c>
      <c r="C304" s="3171">
        <v>58.9</v>
      </c>
      <c r="D304" s="2971">
        <v>73</v>
      </c>
      <c r="E304" s="3171">
        <v>53.6</v>
      </c>
      <c r="F304" s="2971">
        <v>73.8</v>
      </c>
      <c r="G304" s="3171">
        <v>58.6</v>
      </c>
      <c r="H304" s="2971">
        <v>66.2</v>
      </c>
      <c r="I304" s="3171">
        <v>50.8</v>
      </c>
      <c r="J304" s="2971">
        <v>54.3</v>
      </c>
      <c r="K304" s="3171">
        <v>71.400000000000006</v>
      </c>
      <c r="L304" s="2971">
        <v>86.3</v>
      </c>
      <c r="M304" s="3171">
        <v>48.1</v>
      </c>
      <c r="N304" s="2972">
        <v>51.1</v>
      </c>
    </row>
    <row r="305" spans="1:14">
      <c r="A305" s="63">
        <f t="shared" si="2"/>
        <v>2018.08</v>
      </c>
      <c r="B305" s="2973">
        <v>63</v>
      </c>
      <c r="C305" s="3171">
        <v>61.7</v>
      </c>
      <c r="D305" s="2971">
        <v>76.7</v>
      </c>
      <c r="E305" s="3171">
        <v>53.4</v>
      </c>
      <c r="F305" s="2971">
        <v>76.099999999999994</v>
      </c>
      <c r="G305" s="3171">
        <v>53.9</v>
      </c>
      <c r="H305" s="2971">
        <v>78.099999999999994</v>
      </c>
      <c r="I305" s="3171">
        <v>54.1</v>
      </c>
      <c r="J305" s="2971">
        <v>57.6</v>
      </c>
      <c r="K305" s="3171">
        <v>72.099999999999994</v>
      </c>
      <c r="L305" s="2971">
        <v>85.2</v>
      </c>
      <c r="M305" s="3171">
        <v>57.3</v>
      </c>
      <c r="N305" s="2972">
        <v>53.9</v>
      </c>
    </row>
    <row r="306" spans="1:14">
      <c r="A306" s="63">
        <f t="shared" ref="A306:A369" si="3">A294+1</f>
        <v>2018.09</v>
      </c>
      <c r="B306" s="2973">
        <v>61.1</v>
      </c>
      <c r="C306" s="3171">
        <v>59.4</v>
      </c>
      <c r="D306" s="2971">
        <v>66.5</v>
      </c>
      <c r="E306" s="3171">
        <v>49.1</v>
      </c>
      <c r="F306" s="2971">
        <v>73.8</v>
      </c>
      <c r="G306" s="3171">
        <v>50.7</v>
      </c>
      <c r="H306" s="2971">
        <v>75.7</v>
      </c>
      <c r="I306" s="3171">
        <v>63.2</v>
      </c>
      <c r="J306" s="2971">
        <v>52.4</v>
      </c>
      <c r="K306" s="3171">
        <v>74.099999999999994</v>
      </c>
      <c r="L306" s="2971">
        <v>84.3</v>
      </c>
      <c r="M306" s="3171">
        <v>44.8</v>
      </c>
      <c r="N306" s="2972">
        <v>46</v>
      </c>
    </row>
    <row r="307" spans="1:14">
      <c r="A307" s="63">
        <f t="shared" si="3"/>
        <v>2018.1</v>
      </c>
      <c r="B307" s="2973">
        <v>64.8</v>
      </c>
      <c r="C307" s="3171">
        <v>66.599999999999994</v>
      </c>
      <c r="D307" s="2971">
        <v>71.400000000000006</v>
      </c>
      <c r="E307" s="3171">
        <v>47.4</v>
      </c>
      <c r="F307" s="2971">
        <v>76.5</v>
      </c>
      <c r="G307" s="3171">
        <v>59.5</v>
      </c>
      <c r="H307" s="2971">
        <v>78.8</v>
      </c>
      <c r="I307" s="3171">
        <v>69.099999999999994</v>
      </c>
      <c r="J307" s="2971">
        <v>52.1</v>
      </c>
      <c r="K307" s="3171">
        <v>73.7</v>
      </c>
      <c r="L307" s="2971">
        <v>83.9</v>
      </c>
      <c r="M307" s="3171">
        <v>45.9</v>
      </c>
      <c r="N307" s="2972">
        <v>49.2</v>
      </c>
    </row>
    <row r="308" spans="1:14">
      <c r="A308" s="63">
        <f t="shared" si="3"/>
        <v>2018.11</v>
      </c>
      <c r="B308" s="2973">
        <v>63.3</v>
      </c>
      <c r="C308" s="3171">
        <v>63.5</v>
      </c>
      <c r="D308" s="2971">
        <v>74.599999999999994</v>
      </c>
      <c r="E308" s="3171">
        <v>43.9</v>
      </c>
      <c r="F308" s="2971">
        <v>76.099999999999994</v>
      </c>
      <c r="G308" s="3171">
        <v>56.1</v>
      </c>
      <c r="H308" s="2971">
        <v>73.2</v>
      </c>
      <c r="I308" s="3171">
        <v>70</v>
      </c>
      <c r="J308" s="2971">
        <v>51.6</v>
      </c>
      <c r="K308" s="3171">
        <v>72.7</v>
      </c>
      <c r="L308" s="2971">
        <v>88</v>
      </c>
      <c r="M308" s="3171">
        <v>44.4</v>
      </c>
      <c r="N308" s="2972">
        <v>44.5</v>
      </c>
    </row>
    <row r="309" spans="1:14">
      <c r="A309" s="63">
        <f t="shared" si="3"/>
        <v>2018.12</v>
      </c>
      <c r="B309" s="2973">
        <v>56.6</v>
      </c>
      <c r="C309" s="3171">
        <v>58.9</v>
      </c>
      <c r="D309" s="2971">
        <v>56</v>
      </c>
      <c r="E309" s="3171">
        <v>32.299999999999997</v>
      </c>
      <c r="F309" s="2971">
        <v>66.8</v>
      </c>
      <c r="G309" s="3171">
        <v>48.9</v>
      </c>
      <c r="H309" s="2971">
        <v>77.400000000000006</v>
      </c>
      <c r="I309" s="3171">
        <v>66.400000000000006</v>
      </c>
      <c r="J309" s="2971">
        <v>47.2</v>
      </c>
      <c r="K309" s="3171">
        <v>61.5</v>
      </c>
      <c r="L309" s="2971">
        <v>69.400000000000006</v>
      </c>
      <c r="M309" s="3171">
        <v>25.6</v>
      </c>
      <c r="N309" s="2972">
        <v>42.8</v>
      </c>
    </row>
    <row r="310" spans="1:14">
      <c r="A310" s="63">
        <f t="shared" si="3"/>
        <v>2019.01</v>
      </c>
      <c r="B310" s="2973">
        <v>56.2</v>
      </c>
      <c r="C310" s="3171">
        <v>57.5</v>
      </c>
      <c r="D310" s="2971">
        <v>83.9</v>
      </c>
      <c r="E310" s="3171">
        <v>31.4</v>
      </c>
      <c r="F310" s="2971">
        <v>67.400000000000006</v>
      </c>
      <c r="G310" s="3171">
        <v>56.7</v>
      </c>
      <c r="H310" s="2971">
        <v>76.599999999999994</v>
      </c>
      <c r="I310" s="3171">
        <v>68.900000000000006</v>
      </c>
      <c r="J310" s="2971">
        <v>48.4</v>
      </c>
      <c r="K310" s="3171">
        <v>57.1</v>
      </c>
      <c r="L310" s="2971">
        <v>71.7</v>
      </c>
      <c r="M310" s="3171">
        <v>15.7</v>
      </c>
      <c r="N310" s="2972">
        <v>38.4</v>
      </c>
    </row>
    <row r="311" spans="1:14">
      <c r="A311" s="63">
        <f t="shared" si="3"/>
        <v>2019.02</v>
      </c>
      <c r="B311" s="2973">
        <v>58.5</v>
      </c>
      <c r="C311" s="3171">
        <v>57.6</v>
      </c>
      <c r="D311" s="2971">
        <v>72.900000000000006</v>
      </c>
      <c r="E311" s="3171">
        <v>43.2</v>
      </c>
      <c r="F311" s="2971">
        <v>71.7</v>
      </c>
      <c r="G311" s="3171">
        <v>52.1</v>
      </c>
      <c r="H311" s="2971">
        <v>71.7</v>
      </c>
      <c r="I311" s="3171">
        <v>69.400000000000006</v>
      </c>
      <c r="J311" s="2971">
        <v>50.8</v>
      </c>
      <c r="K311" s="3171">
        <v>67.5</v>
      </c>
      <c r="L311" s="2971">
        <v>68.7</v>
      </c>
      <c r="M311" s="3171">
        <v>42.1</v>
      </c>
      <c r="N311" s="2972">
        <v>42</v>
      </c>
    </row>
    <row r="312" spans="1:14">
      <c r="A312" s="63">
        <f t="shared" si="3"/>
        <v>2019.03</v>
      </c>
      <c r="B312" s="2973">
        <v>58.8</v>
      </c>
      <c r="C312" s="3171">
        <v>55.7</v>
      </c>
      <c r="D312" s="2971">
        <v>63.8</v>
      </c>
      <c r="E312" s="3171">
        <v>49.8</v>
      </c>
      <c r="F312" s="2971">
        <v>71.099999999999994</v>
      </c>
      <c r="G312" s="3171">
        <v>58.1</v>
      </c>
      <c r="H312" s="2971">
        <v>76.599999999999994</v>
      </c>
      <c r="I312" s="3171">
        <v>69.599999999999994</v>
      </c>
      <c r="J312" s="2971">
        <v>48.7</v>
      </c>
      <c r="K312" s="3171">
        <v>62.4</v>
      </c>
      <c r="L312" s="2971">
        <v>74.7</v>
      </c>
      <c r="M312" s="3171">
        <v>35</v>
      </c>
      <c r="N312" s="2972">
        <v>43.1</v>
      </c>
    </row>
    <row r="313" spans="1:14">
      <c r="A313" s="63">
        <f t="shared" si="3"/>
        <v>2019.04</v>
      </c>
      <c r="B313" s="2973">
        <v>61.6</v>
      </c>
      <c r="C313" s="3171">
        <v>60.7</v>
      </c>
      <c r="D313" s="2971">
        <v>58.6</v>
      </c>
      <c r="E313" s="3171">
        <v>49.5</v>
      </c>
      <c r="F313" s="2971">
        <v>68.400000000000006</v>
      </c>
      <c r="G313" s="3171">
        <v>59.8</v>
      </c>
      <c r="H313" s="2971">
        <v>72.099999999999994</v>
      </c>
      <c r="I313" s="3171">
        <v>70.5</v>
      </c>
      <c r="J313" s="2971">
        <v>51.5</v>
      </c>
      <c r="K313" s="3171">
        <v>67.2</v>
      </c>
      <c r="L313" s="2971">
        <v>82</v>
      </c>
      <c r="M313" s="3171">
        <v>37.6</v>
      </c>
      <c r="N313" s="2972">
        <v>46.7</v>
      </c>
    </row>
    <row r="314" spans="1:14">
      <c r="A314" s="63">
        <f t="shared" si="3"/>
        <v>2019.05</v>
      </c>
      <c r="B314" s="2973">
        <v>62</v>
      </c>
      <c r="C314" s="3171">
        <v>60.5</v>
      </c>
      <c r="D314" s="2971">
        <v>70.8</v>
      </c>
      <c r="E314" s="3171">
        <v>54.6</v>
      </c>
      <c r="F314" s="2971">
        <v>64.8</v>
      </c>
      <c r="G314" s="3171">
        <v>63.8</v>
      </c>
      <c r="H314" s="2971">
        <v>78.3</v>
      </c>
      <c r="I314" s="3171">
        <v>70.8</v>
      </c>
      <c r="J314" s="2971">
        <v>50.9</v>
      </c>
      <c r="K314" s="3171">
        <v>64.8</v>
      </c>
      <c r="L314" s="2971">
        <v>77.5</v>
      </c>
      <c r="M314" s="3171">
        <v>36.6</v>
      </c>
      <c r="N314" s="2972">
        <v>49.9</v>
      </c>
    </row>
    <row r="315" spans="1:14">
      <c r="A315" s="63">
        <f t="shared" si="3"/>
        <v>2019.06</v>
      </c>
      <c r="B315" s="2973">
        <v>59.1</v>
      </c>
      <c r="C315" s="3171">
        <v>59.8</v>
      </c>
      <c r="D315" s="2971">
        <v>54.6</v>
      </c>
      <c r="E315" s="3171">
        <v>53.5</v>
      </c>
      <c r="F315" s="2971">
        <v>68.7</v>
      </c>
      <c r="G315" s="3171">
        <v>59.1</v>
      </c>
      <c r="H315" s="2971">
        <v>73.8</v>
      </c>
      <c r="I315" s="3171">
        <v>57.2</v>
      </c>
      <c r="J315" s="2971">
        <v>50.1</v>
      </c>
      <c r="K315" s="3171">
        <v>67.099999999999994</v>
      </c>
      <c r="L315" s="2971">
        <v>80.2</v>
      </c>
      <c r="M315" s="3171">
        <v>34</v>
      </c>
      <c r="N315" s="2972">
        <v>48.2</v>
      </c>
    </row>
    <row r="316" spans="1:14">
      <c r="A316" s="63">
        <f t="shared" si="3"/>
        <v>2019.07</v>
      </c>
      <c r="B316" s="2973">
        <v>58.7</v>
      </c>
      <c r="C316" s="3171">
        <v>63.9</v>
      </c>
      <c r="D316" s="2971">
        <v>68.900000000000006</v>
      </c>
      <c r="E316" s="3171">
        <v>60.6</v>
      </c>
      <c r="F316" s="2971">
        <v>72.900000000000006</v>
      </c>
      <c r="G316" s="3171">
        <v>58.1</v>
      </c>
      <c r="H316" s="2971">
        <v>75.099999999999994</v>
      </c>
      <c r="I316" s="3171">
        <v>47.5</v>
      </c>
      <c r="J316" s="2971">
        <v>51.6</v>
      </c>
      <c r="K316" s="3171">
        <v>67.2</v>
      </c>
      <c r="L316" s="2971">
        <v>79.3</v>
      </c>
      <c r="M316" s="3171">
        <v>30</v>
      </c>
      <c r="N316" s="2972">
        <v>48.5</v>
      </c>
    </row>
    <row r="317" spans="1:14">
      <c r="A317" s="63">
        <f t="shared" si="3"/>
        <v>2019.08</v>
      </c>
      <c r="B317" s="2973">
        <v>60.5</v>
      </c>
      <c r="C317" s="3171">
        <v>63.3</v>
      </c>
      <c r="D317" s="2971">
        <v>64.599999999999994</v>
      </c>
      <c r="E317" s="3171">
        <v>58.8</v>
      </c>
      <c r="F317" s="2971">
        <v>73.400000000000006</v>
      </c>
      <c r="G317" s="3171">
        <v>57.9</v>
      </c>
      <c r="H317" s="2971">
        <v>79.8</v>
      </c>
      <c r="I317" s="3171">
        <v>51.6</v>
      </c>
      <c r="J317" s="2971">
        <v>50.2</v>
      </c>
      <c r="K317" s="3171">
        <v>71.900000000000006</v>
      </c>
      <c r="L317" s="2971">
        <v>81.8</v>
      </c>
      <c r="M317" s="3171">
        <v>43.5</v>
      </c>
      <c r="N317" s="2972">
        <v>47.5</v>
      </c>
    </row>
    <row r="318" spans="1:14">
      <c r="A318" s="63">
        <f t="shared" si="3"/>
        <v>2019.09</v>
      </c>
      <c r="B318" s="2973">
        <v>57.7</v>
      </c>
      <c r="C318" s="3171">
        <v>61.6</v>
      </c>
      <c r="D318" s="2971">
        <v>69.2</v>
      </c>
      <c r="E318" s="3171">
        <v>57.8</v>
      </c>
      <c r="F318" s="2971">
        <v>73.099999999999994</v>
      </c>
      <c r="G318" s="3171">
        <v>57.5</v>
      </c>
      <c r="H318" s="2971">
        <v>77</v>
      </c>
      <c r="I318" s="3171">
        <v>47.7</v>
      </c>
      <c r="J318" s="2971">
        <v>51.3</v>
      </c>
      <c r="K318" s="3171">
        <v>75.400000000000006</v>
      </c>
      <c r="L318" s="2971">
        <v>79.099999999999994</v>
      </c>
      <c r="M318" s="3171">
        <v>37.4</v>
      </c>
      <c r="N318" s="2972">
        <v>40</v>
      </c>
    </row>
    <row r="319" spans="1:14">
      <c r="A319" s="63">
        <f t="shared" si="3"/>
        <v>2019.1</v>
      </c>
      <c r="B319" s="2973">
        <v>62.1</v>
      </c>
      <c r="C319" s="3171">
        <v>64.400000000000006</v>
      </c>
      <c r="D319" s="2971">
        <v>73.099999999999994</v>
      </c>
      <c r="E319" s="3171">
        <v>51.4</v>
      </c>
      <c r="F319" s="2971">
        <v>75.099999999999994</v>
      </c>
      <c r="G319" s="3171">
        <v>61.3</v>
      </c>
      <c r="H319" s="2971">
        <v>80.8</v>
      </c>
      <c r="I319" s="3171">
        <v>63.7</v>
      </c>
      <c r="J319" s="2971">
        <v>53.4</v>
      </c>
      <c r="K319" s="3171">
        <v>72.2</v>
      </c>
      <c r="L319" s="2971">
        <v>73.099999999999994</v>
      </c>
      <c r="M319" s="3171">
        <v>43.2</v>
      </c>
      <c r="N319" s="2972">
        <v>47.3</v>
      </c>
    </row>
    <row r="320" spans="1:14">
      <c r="A320" s="63">
        <f t="shared" si="3"/>
        <v>2019.11</v>
      </c>
      <c r="B320" s="2973">
        <v>60.7</v>
      </c>
      <c r="C320" s="3171">
        <v>59.7</v>
      </c>
      <c r="D320" s="2971">
        <v>69.7</v>
      </c>
      <c r="E320" s="3171">
        <v>51.6</v>
      </c>
      <c r="F320" s="2971">
        <v>74.599999999999994</v>
      </c>
      <c r="G320" s="3171">
        <v>59.3</v>
      </c>
      <c r="H320" s="2971">
        <v>78.7</v>
      </c>
      <c r="I320" s="3171">
        <v>68.7</v>
      </c>
      <c r="J320" s="2971">
        <v>54.7</v>
      </c>
      <c r="K320" s="3171">
        <v>71.099999999999994</v>
      </c>
      <c r="L320" s="2971">
        <v>73.599999999999994</v>
      </c>
      <c r="M320" s="3171">
        <v>38.700000000000003</v>
      </c>
      <c r="N320" s="2972">
        <v>42.3</v>
      </c>
    </row>
    <row r="321" spans="1:14">
      <c r="A321" s="63">
        <f t="shared" si="3"/>
        <v>2019.12</v>
      </c>
      <c r="B321" s="2973">
        <v>56.9</v>
      </c>
      <c r="C321" s="3171">
        <v>63.3</v>
      </c>
      <c r="D321" s="2971">
        <v>50.1</v>
      </c>
      <c r="E321" s="3171">
        <v>41.1</v>
      </c>
      <c r="F321" s="2971">
        <v>68.099999999999994</v>
      </c>
      <c r="G321" s="3171">
        <v>49.3</v>
      </c>
      <c r="H321" s="2971">
        <v>78.599999999999994</v>
      </c>
      <c r="I321" s="3171">
        <v>68.8</v>
      </c>
      <c r="J321" s="2971">
        <v>44.7</v>
      </c>
      <c r="K321" s="3171">
        <v>57.2</v>
      </c>
      <c r="L321" s="2971">
        <v>66.099999999999994</v>
      </c>
      <c r="M321" s="3171">
        <v>21.1</v>
      </c>
      <c r="N321" s="2972">
        <v>40</v>
      </c>
    </row>
    <row r="322" spans="1:14">
      <c r="A322" s="63">
        <f t="shared" si="3"/>
        <v>2020.01</v>
      </c>
      <c r="B322" s="2973">
        <v>56.1</v>
      </c>
      <c r="C322" s="3171">
        <v>58.6</v>
      </c>
      <c r="D322" s="2971">
        <v>67.3</v>
      </c>
      <c r="E322" s="3171">
        <v>44.4</v>
      </c>
      <c r="F322" s="2971">
        <v>67.900000000000006</v>
      </c>
      <c r="G322" s="3171">
        <v>51.9</v>
      </c>
      <c r="H322" s="2971">
        <v>80.7</v>
      </c>
      <c r="I322" s="3171">
        <v>73.8</v>
      </c>
      <c r="J322" s="2971">
        <v>45.1</v>
      </c>
      <c r="K322" s="3171">
        <v>54.4</v>
      </c>
      <c r="L322" s="2971">
        <v>61.5</v>
      </c>
      <c r="M322" s="3171">
        <v>26.3</v>
      </c>
      <c r="N322" s="2972">
        <v>34.6</v>
      </c>
    </row>
    <row r="323" spans="1:14">
      <c r="A323" s="63">
        <f t="shared" si="3"/>
        <v>2020.02</v>
      </c>
      <c r="B323" s="2973">
        <v>59.4</v>
      </c>
      <c r="C323" s="3171">
        <v>60.2</v>
      </c>
      <c r="D323" s="2971">
        <v>58.2</v>
      </c>
      <c r="E323" s="3171">
        <v>43.9</v>
      </c>
      <c r="F323" s="2971">
        <v>73.7</v>
      </c>
      <c r="G323" s="3171">
        <v>53.6</v>
      </c>
      <c r="H323" s="2971">
        <v>80.099999999999994</v>
      </c>
      <c r="I323" s="3171">
        <v>71.400000000000006</v>
      </c>
      <c r="J323" s="2971">
        <v>47</v>
      </c>
      <c r="K323" s="3171">
        <v>62.4</v>
      </c>
      <c r="L323" s="2971">
        <v>72.900000000000006</v>
      </c>
      <c r="M323" s="3171">
        <v>37.5</v>
      </c>
      <c r="N323" s="2972">
        <v>39.799999999999997</v>
      </c>
    </row>
    <row r="324" spans="1:14">
      <c r="A324" s="63">
        <f t="shared" si="3"/>
        <v>2020.03</v>
      </c>
      <c r="B324" s="2973">
        <v>51.6</v>
      </c>
      <c r="C324" s="3171">
        <v>55.6</v>
      </c>
      <c r="D324" s="2971">
        <v>53.6</v>
      </c>
      <c r="E324" s="3171">
        <v>28.7</v>
      </c>
      <c r="F324" s="2971">
        <v>68.900000000000006</v>
      </c>
      <c r="G324" s="3171">
        <v>50.4</v>
      </c>
      <c r="H324" s="2971">
        <v>70.8</v>
      </c>
      <c r="I324" s="3171">
        <v>68.5</v>
      </c>
      <c r="J324" s="2971">
        <v>39.799999999999997</v>
      </c>
      <c r="K324" s="3171">
        <v>42.1</v>
      </c>
      <c r="L324" s="2971">
        <v>58.5</v>
      </c>
      <c r="M324" s="3171">
        <v>25.9</v>
      </c>
      <c r="N324" s="2972">
        <v>30.4</v>
      </c>
    </row>
    <row r="325" spans="1:14">
      <c r="A325" s="63">
        <f t="shared" si="3"/>
        <v>2020.04</v>
      </c>
      <c r="B325" s="2973">
        <v>42</v>
      </c>
      <c r="C325" s="3171">
        <v>59.7</v>
      </c>
      <c r="D325" s="2971">
        <v>0</v>
      </c>
      <c r="E325" s="3171">
        <v>4.2</v>
      </c>
      <c r="F325" s="2971">
        <v>59.9</v>
      </c>
      <c r="G325" s="3171">
        <v>57.6</v>
      </c>
      <c r="H325" s="2971">
        <v>46.2</v>
      </c>
      <c r="I325" s="3171">
        <v>69.3</v>
      </c>
      <c r="J325" s="2971">
        <v>31.7</v>
      </c>
      <c r="K325" s="3171">
        <v>22.5</v>
      </c>
      <c r="L325" s="2971">
        <v>25.1</v>
      </c>
      <c r="M325" s="3171">
        <v>0</v>
      </c>
      <c r="N325" s="2972">
        <v>20.100000000000001</v>
      </c>
    </row>
    <row r="326" spans="1:14">
      <c r="A326" s="63">
        <f t="shared" si="3"/>
        <v>2020.05</v>
      </c>
      <c r="B326" s="2973">
        <v>46.4</v>
      </c>
      <c r="C326" s="3171">
        <v>57</v>
      </c>
      <c r="D326" s="2971">
        <v>62.2</v>
      </c>
      <c r="E326" s="3171">
        <v>17.8</v>
      </c>
      <c r="F326" s="2971">
        <v>65</v>
      </c>
      <c r="G326" s="3171">
        <v>54.3</v>
      </c>
      <c r="H326" s="2971">
        <v>57</v>
      </c>
      <c r="I326" s="3171">
        <v>63</v>
      </c>
      <c r="J326" s="2971">
        <v>36.4</v>
      </c>
      <c r="K326" s="3171">
        <v>38.5</v>
      </c>
      <c r="L326" s="2971">
        <v>39</v>
      </c>
      <c r="M326" s="3171">
        <v>6.2</v>
      </c>
      <c r="N326" s="2972">
        <v>31.7</v>
      </c>
    </row>
    <row r="327" spans="1:14">
      <c r="A327" s="63">
        <f t="shared" si="3"/>
        <v>2020.06</v>
      </c>
      <c r="B327" s="2973">
        <v>53.3</v>
      </c>
      <c r="C327" s="3171">
        <v>60.1</v>
      </c>
      <c r="D327" s="2971">
        <v>97.1</v>
      </c>
      <c r="E327" s="3171">
        <v>37.799999999999997</v>
      </c>
      <c r="F327" s="2971">
        <v>68.099999999999994</v>
      </c>
      <c r="G327" s="3171">
        <v>52.5</v>
      </c>
      <c r="H327" s="2971">
        <v>67.3</v>
      </c>
      <c r="I327" s="3171">
        <v>59.8</v>
      </c>
      <c r="J327" s="2971">
        <v>46.6</v>
      </c>
      <c r="K327" s="3171">
        <v>61.8</v>
      </c>
      <c r="L327" s="2971">
        <v>48.4</v>
      </c>
      <c r="M327" s="3171">
        <v>23</v>
      </c>
      <c r="N327" s="2972">
        <v>43.1</v>
      </c>
    </row>
    <row r="328" spans="1:14">
      <c r="A328" s="63">
        <f t="shared" si="3"/>
        <v>2020.07</v>
      </c>
      <c r="B328" s="2973">
        <v>56.8</v>
      </c>
      <c r="C328" s="3171">
        <v>59.5</v>
      </c>
      <c r="D328" s="2971">
        <v>79.5</v>
      </c>
      <c r="E328" s="3171">
        <v>43.1</v>
      </c>
      <c r="F328" s="2971">
        <v>65</v>
      </c>
      <c r="G328" s="3171">
        <v>51.6</v>
      </c>
      <c r="H328" s="2971">
        <v>68.099999999999994</v>
      </c>
      <c r="I328" s="3171">
        <v>68.7</v>
      </c>
      <c r="J328" s="2971">
        <v>47.3</v>
      </c>
      <c r="K328" s="3171">
        <v>67.5</v>
      </c>
      <c r="L328" s="2971">
        <v>61</v>
      </c>
      <c r="M328" s="3171">
        <v>29.8</v>
      </c>
      <c r="N328" s="2972">
        <v>44.6</v>
      </c>
    </row>
    <row r="329" spans="1:14">
      <c r="A329" s="63">
        <f t="shared" si="3"/>
        <v>2020.08</v>
      </c>
      <c r="B329" s="2973">
        <v>58.4</v>
      </c>
      <c r="C329" s="3171">
        <v>60.6</v>
      </c>
      <c r="D329" s="2971">
        <v>61.5</v>
      </c>
      <c r="E329" s="3171">
        <v>42.3</v>
      </c>
      <c r="F329" s="2971">
        <v>65</v>
      </c>
      <c r="G329" s="3171">
        <v>50.3</v>
      </c>
      <c r="H329" s="2971">
        <v>69.099999999999994</v>
      </c>
      <c r="I329" s="3171">
        <v>71.099999999999994</v>
      </c>
      <c r="J329" s="2971">
        <v>48.6</v>
      </c>
      <c r="K329" s="3171">
        <v>70.400000000000006</v>
      </c>
      <c r="L329" s="2971">
        <v>62.9</v>
      </c>
      <c r="M329" s="3171">
        <v>35.4</v>
      </c>
      <c r="N329" s="2972">
        <v>46.9</v>
      </c>
    </row>
    <row r="330" spans="1:14">
      <c r="A330" s="63">
        <f t="shared" si="3"/>
        <v>2020.09</v>
      </c>
      <c r="B330" s="2973">
        <v>60.8</v>
      </c>
      <c r="C330" s="3171">
        <v>64.7</v>
      </c>
      <c r="D330" s="2971">
        <v>64.099999999999994</v>
      </c>
      <c r="E330" s="3171">
        <v>48.5</v>
      </c>
      <c r="F330" s="2971">
        <v>71.2</v>
      </c>
      <c r="G330" s="3171">
        <v>57.1</v>
      </c>
      <c r="H330" s="2971">
        <v>59.5</v>
      </c>
      <c r="I330" s="3171">
        <v>69.8</v>
      </c>
      <c r="J330" s="2971">
        <v>52.8</v>
      </c>
      <c r="K330" s="3171">
        <v>77.8</v>
      </c>
      <c r="L330" s="2971">
        <v>68.7</v>
      </c>
      <c r="M330" s="3171">
        <v>46.2</v>
      </c>
      <c r="N330" s="2972">
        <v>44.7</v>
      </c>
    </row>
    <row r="331" spans="1:14">
      <c r="A331" s="63">
        <f t="shared" si="3"/>
        <v>2020.1</v>
      </c>
      <c r="B331" s="2973">
        <v>61.8</v>
      </c>
      <c r="C331" s="3171">
        <v>63.7</v>
      </c>
      <c r="D331" s="2971">
        <v>54.5</v>
      </c>
      <c r="E331" s="3171">
        <v>48</v>
      </c>
      <c r="F331" s="2971">
        <v>66.099999999999994</v>
      </c>
      <c r="G331" s="3171">
        <v>55.7</v>
      </c>
      <c r="H331" s="2971">
        <v>64.3</v>
      </c>
      <c r="I331" s="3171">
        <v>69.3</v>
      </c>
      <c r="J331" s="2971">
        <v>54.2</v>
      </c>
      <c r="K331" s="3171">
        <v>77.599999999999994</v>
      </c>
      <c r="L331" s="2971">
        <v>71.3</v>
      </c>
      <c r="M331" s="3171">
        <v>40.299999999999997</v>
      </c>
      <c r="N331" s="2972">
        <v>54</v>
      </c>
    </row>
    <row r="332" spans="1:14">
      <c r="A332" s="63">
        <f t="shared" si="3"/>
        <v>2020.11</v>
      </c>
      <c r="B332" s="2973">
        <v>63.3</v>
      </c>
      <c r="C332" s="3171">
        <v>65.3</v>
      </c>
      <c r="D332" s="2971">
        <v>59.1</v>
      </c>
      <c r="E332" s="3171">
        <v>49.1</v>
      </c>
      <c r="F332" s="2971">
        <v>71.5</v>
      </c>
      <c r="G332" s="3171">
        <v>56.1</v>
      </c>
      <c r="H332" s="2971">
        <v>69.7</v>
      </c>
      <c r="I332" s="3171">
        <v>68.7</v>
      </c>
      <c r="J332" s="2971">
        <v>57.2</v>
      </c>
      <c r="K332" s="3171">
        <v>80.099999999999994</v>
      </c>
      <c r="L332" s="2971">
        <v>75</v>
      </c>
      <c r="M332" s="3171">
        <v>46.9</v>
      </c>
      <c r="N332" s="2972">
        <v>49.9</v>
      </c>
    </row>
    <row r="333" spans="1:14">
      <c r="A333" s="63">
        <f t="shared" si="3"/>
        <v>2020.12</v>
      </c>
      <c r="B333" s="2973">
        <v>58.4</v>
      </c>
      <c r="C333" s="3171">
        <v>56.9</v>
      </c>
      <c r="D333" s="2971">
        <v>46.7</v>
      </c>
      <c r="E333" s="3171">
        <v>42.4</v>
      </c>
      <c r="F333" s="2971">
        <v>62.6</v>
      </c>
      <c r="G333" s="3171">
        <v>52.1</v>
      </c>
      <c r="H333" s="2971">
        <v>72</v>
      </c>
      <c r="I333" s="3171">
        <v>63.7</v>
      </c>
      <c r="J333" s="2971">
        <v>49.5</v>
      </c>
      <c r="K333" s="3171">
        <v>69.2</v>
      </c>
      <c r="L333" s="2971">
        <v>73.5</v>
      </c>
      <c r="M333" s="3171">
        <v>41</v>
      </c>
      <c r="N333" s="2972">
        <v>49.7</v>
      </c>
    </row>
    <row r="334" spans="1:14">
      <c r="A334" s="63">
        <f t="shared" si="3"/>
        <v>2021.01</v>
      </c>
      <c r="B334" s="2973">
        <v>56.8</v>
      </c>
      <c r="C334" s="3171">
        <v>60</v>
      </c>
      <c r="D334" s="2971">
        <v>49.3</v>
      </c>
      <c r="E334" s="3171">
        <v>43</v>
      </c>
      <c r="F334" s="2971">
        <v>58.8</v>
      </c>
      <c r="G334" s="3171">
        <v>49.2</v>
      </c>
      <c r="H334" s="2971">
        <v>77.5</v>
      </c>
      <c r="I334" s="3171">
        <v>62.9</v>
      </c>
      <c r="J334" s="2971">
        <v>52.6</v>
      </c>
      <c r="K334" s="3171">
        <v>71.7</v>
      </c>
      <c r="L334" s="2971">
        <v>67.7</v>
      </c>
      <c r="M334" s="3171">
        <v>31.4</v>
      </c>
      <c r="N334" s="2972">
        <v>41.4</v>
      </c>
    </row>
    <row r="335" spans="1:14">
      <c r="A335" s="63">
        <f t="shared" si="3"/>
        <v>2021.02</v>
      </c>
      <c r="B335" s="2973">
        <v>57.9</v>
      </c>
      <c r="C335" s="3171">
        <v>62.8</v>
      </c>
      <c r="D335" s="2971">
        <v>56.7</v>
      </c>
      <c r="E335" s="3171">
        <v>49.8</v>
      </c>
      <c r="F335" s="2971">
        <v>69.099999999999994</v>
      </c>
      <c r="G335" s="3171">
        <v>53.5</v>
      </c>
      <c r="H335" s="2971">
        <v>77.3</v>
      </c>
      <c r="I335" s="3171">
        <v>55.5</v>
      </c>
      <c r="J335" s="2971">
        <v>50.6</v>
      </c>
      <c r="K335" s="3171">
        <v>75.3</v>
      </c>
      <c r="L335" s="2971">
        <v>67.099999999999994</v>
      </c>
      <c r="M335" s="3171">
        <v>33.4</v>
      </c>
      <c r="N335" s="2972">
        <v>46.3</v>
      </c>
    </row>
    <row r="336" spans="1:14">
      <c r="A336" s="63">
        <f t="shared" si="3"/>
        <v>2021.03</v>
      </c>
      <c r="B336" s="2973">
        <v>64.2</v>
      </c>
      <c r="C336" s="3171">
        <v>63.9</v>
      </c>
      <c r="D336" s="2971">
        <v>68.8</v>
      </c>
      <c r="E336" s="3171">
        <v>50.7</v>
      </c>
      <c r="F336" s="2971">
        <v>71.7</v>
      </c>
      <c r="G336" s="3171">
        <v>57.7</v>
      </c>
      <c r="H336" s="2971">
        <v>73.8</v>
      </c>
      <c r="I336" s="3171">
        <v>70.3</v>
      </c>
      <c r="J336" s="2971">
        <v>56.1</v>
      </c>
      <c r="K336" s="3171">
        <v>77.400000000000006</v>
      </c>
      <c r="L336" s="2971">
        <v>76.3</v>
      </c>
      <c r="M336" s="3171">
        <v>54.8</v>
      </c>
      <c r="N336" s="2972">
        <v>50.3</v>
      </c>
    </row>
    <row r="337" spans="1:14">
      <c r="A337" s="63">
        <f t="shared" si="3"/>
        <v>2021.04</v>
      </c>
      <c r="B337" s="2973">
        <v>63.2</v>
      </c>
      <c r="C337" s="3171">
        <v>64.8</v>
      </c>
      <c r="D337" s="2971">
        <v>65.7</v>
      </c>
      <c r="E337" s="3171">
        <v>52.4</v>
      </c>
      <c r="F337" s="2971">
        <v>73</v>
      </c>
      <c r="G337" s="3171">
        <v>55.9</v>
      </c>
      <c r="H337" s="2971">
        <v>73.099999999999994</v>
      </c>
      <c r="I337" s="3171">
        <v>75.400000000000006</v>
      </c>
      <c r="J337" s="2971">
        <v>52.1</v>
      </c>
      <c r="K337" s="3171">
        <v>74.7</v>
      </c>
      <c r="L337" s="2971">
        <v>66</v>
      </c>
      <c r="M337" s="3171">
        <v>39.1</v>
      </c>
      <c r="N337" s="2972">
        <v>53.7</v>
      </c>
    </row>
    <row r="338" spans="1:14">
      <c r="A338" s="63">
        <f t="shared" si="3"/>
        <v>2021.05</v>
      </c>
      <c r="B338" s="2973">
        <v>61.1</v>
      </c>
      <c r="C338" s="3171">
        <v>59.1</v>
      </c>
      <c r="D338" s="2971">
        <v>52.3</v>
      </c>
      <c r="E338" s="3171">
        <v>52.3</v>
      </c>
      <c r="F338" s="2971">
        <v>74</v>
      </c>
      <c r="G338" s="3171">
        <v>50.2</v>
      </c>
      <c r="H338" s="2971">
        <v>75.400000000000006</v>
      </c>
      <c r="I338" s="3171">
        <v>71.7</v>
      </c>
      <c r="J338" s="2971">
        <v>50.5</v>
      </c>
      <c r="K338" s="3171">
        <v>68.900000000000006</v>
      </c>
      <c r="L338" s="2971">
        <v>71.2</v>
      </c>
      <c r="M338" s="3171">
        <v>44.6</v>
      </c>
      <c r="N338" s="2972">
        <v>49.8</v>
      </c>
    </row>
    <row r="339" spans="1:14">
      <c r="A339" s="63">
        <f t="shared" si="3"/>
        <v>2021.06</v>
      </c>
      <c r="B339" s="2973">
        <v>64.5</v>
      </c>
      <c r="C339" s="3171">
        <v>63.2</v>
      </c>
      <c r="D339" s="2971">
        <v>64.2</v>
      </c>
      <c r="E339" s="3171">
        <v>62.1</v>
      </c>
      <c r="F339" s="2971">
        <v>72.5</v>
      </c>
      <c r="G339" s="3171">
        <v>59.8</v>
      </c>
      <c r="H339" s="2971">
        <v>73.599999999999994</v>
      </c>
      <c r="I339" s="3171">
        <v>69.599999999999994</v>
      </c>
      <c r="J339" s="2971">
        <v>54.3</v>
      </c>
      <c r="K339" s="3171">
        <v>74.2</v>
      </c>
      <c r="L339" s="2971">
        <v>74.8</v>
      </c>
      <c r="M339" s="3171">
        <v>51.9</v>
      </c>
      <c r="N339" s="2972">
        <v>56</v>
      </c>
    </row>
    <row r="340" spans="1:14">
      <c r="A340" s="63">
        <f t="shared" si="3"/>
        <v>2021.07</v>
      </c>
      <c r="B340" s="2973">
        <v>63.7</v>
      </c>
      <c r="C340" s="3171">
        <v>62.2</v>
      </c>
      <c r="D340" s="2971">
        <v>55.7</v>
      </c>
      <c r="E340" s="3171">
        <v>58.4</v>
      </c>
      <c r="F340" s="2971">
        <v>77.7</v>
      </c>
      <c r="G340" s="3171">
        <v>56.5</v>
      </c>
      <c r="H340" s="2971">
        <v>72.099999999999994</v>
      </c>
      <c r="I340" s="3171">
        <v>70.2</v>
      </c>
      <c r="J340" s="2971">
        <v>52.4</v>
      </c>
      <c r="K340" s="3171">
        <v>77.2</v>
      </c>
      <c r="L340" s="2971">
        <v>77.400000000000006</v>
      </c>
      <c r="M340" s="3171">
        <v>41.1</v>
      </c>
      <c r="N340" s="2972">
        <v>54.8</v>
      </c>
    </row>
    <row r="341" spans="1:14">
      <c r="A341" s="63">
        <f t="shared" si="3"/>
        <v>2021.08</v>
      </c>
      <c r="B341" s="2973">
        <v>64</v>
      </c>
      <c r="C341" s="3171">
        <v>65.7</v>
      </c>
      <c r="D341" s="2971">
        <v>60.7</v>
      </c>
      <c r="E341" s="3171">
        <v>54.4</v>
      </c>
      <c r="F341" s="2971">
        <v>72.400000000000006</v>
      </c>
      <c r="G341" s="3171">
        <v>57.4</v>
      </c>
      <c r="H341" s="2971">
        <v>75.400000000000006</v>
      </c>
      <c r="I341" s="3171">
        <v>63.5</v>
      </c>
      <c r="J341" s="2971">
        <v>56</v>
      </c>
      <c r="K341" s="3171">
        <v>79.8</v>
      </c>
      <c r="L341" s="2971">
        <v>76.599999999999994</v>
      </c>
      <c r="M341" s="3171">
        <v>47.7</v>
      </c>
      <c r="N341" s="2972">
        <v>55.3</v>
      </c>
    </row>
    <row r="342" spans="1:14">
      <c r="A342" s="63">
        <f t="shared" si="3"/>
        <v>2021.09</v>
      </c>
      <c r="B342" s="2973">
        <v>66.3</v>
      </c>
      <c r="C342" s="3171">
        <v>68.5</v>
      </c>
      <c r="D342" s="2971">
        <v>66.099999999999994</v>
      </c>
      <c r="E342" s="3171">
        <v>60.6</v>
      </c>
      <c r="F342" s="2971">
        <v>78.5</v>
      </c>
      <c r="G342" s="3171">
        <v>60.1</v>
      </c>
      <c r="H342" s="2971">
        <v>75.8</v>
      </c>
      <c r="I342" s="3171">
        <v>64.900000000000006</v>
      </c>
      <c r="J342" s="2971">
        <v>60</v>
      </c>
      <c r="K342" s="3171">
        <v>79.099999999999994</v>
      </c>
      <c r="L342" s="2971">
        <v>80.099999999999994</v>
      </c>
      <c r="M342" s="3171">
        <v>55</v>
      </c>
      <c r="N342" s="2972">
        <v>53.6</v>
      </c>
    </row>
    <row r="343" spans="1:14">
      <c r="A343" s="63">
        <f t="shared" si="3"/>
        <v>2021.1</v>
      </c>
      <c r="B343" s="2973">
        <v>64.3</v>
      </c>
      <c r="C343" s="3171">
        <v>63.7</v>
      </c>
      <c r="D343" s="2971">
        <v>59.9</v>
      </c>
      <c r="E343" s="3171">
        <v>54.8</v>
      </c>
      <c r="F343" s="2971">
        <v>75.400000000000006</v>
      </c>
      <c r="G343" s="3171">
        <v>56.4</v>
      </c>
      <c r="H343" s="2971">
        <v>77.400000000000006</v>
      </c>
      <c r="I343" s="3171">
        <v>64.2</v>
      </c>
      <c r="J343" s="2971">
        <v>55.2</v>
      </c>
      <c r="K343" s="3171">
        <v>78.599999999999994</v>
      </c>
      <c r="L343" s="2971">
        <v>80.2</v>
      </c>
      <c r="M343" s="3171">
        <v>50.8</v>
      </c>
      <c r="N343" s="2972">
        <v>54.7</v>
      </c>
    </row>
    <row r="344" spans="1:14">
      <c r="A344" s="63">
        <f t="shared" si="3"/>
        <v>2021.11</v>
      </c>
      <c r="B344" s="2973">
        <v>68.400000000000006</v>
      </c>
      <c r="C344" s="3171">
        <v>66.599999999999994</v>
      </c>
      <c r="D344" s="2971">
        <v>62.9</v>
      </c>
      <c r="E344" s="3171">
        <v>59.1</v>
      </c>
      <c r="F344" s="2971">
        <v>79.5</v>
      </c>
      <c r="G344" s="3171">
        <v>62.7</v>
      </c>
      <c r="H344" s="2971">
        <v>77.5</v>
      </c>
      <c r="I344" s="3171">
        <v>73.599999999999994</v>
      </c>
      <c r="J344" s="2971">
        <v>60.1</v>
      </c>
      <c r="K344" s="3171">
        <v>81.5</v>
      </c>
      <c r="L344" s="2971">
        <v>83.1</v>
      </c>
      <c r="M344" s="3171">
        <v>60.2</v>
      </c>
      <c r="N344" s="2972">
        <v>54.1</v>
      </c>
    </row>
    <row r="345" spans="1:14">
      <c r="A345" s="63">
        <f t="shared" si="3"/>
        <v>2021.12</v>
      </c>
      <c r="B345" s="2973">
        <v>64</v>
      </c>
      <c r="C345" s="3171">
        <v>65.3</v>
      </c>
      <c r="D345" s="2971">
        <v>53</v>
      </c>
      <c r="E345" s="3171">
        <v>47.4</v>
      </c>
      <c r="F345" s="2971">
        <v>70</v>
      </c>
      <c r="G345" s="3171">
        <v>56.1</v>
      </c>
      <c r="H345" s="2971">
        <v>79.2</v>
      </c>
      <c r="I345" s="3171">
        <v>70.8</v>
      </c>
      <c r="J345" s="2971">
        <v>51.5</v>
      </c>
      <c r="K345" s="3171">
        <v>70.2</v>
      </c>
      <c r="L345" s="2971">
        <v>77.3</v>
      </c>
      <c r="M345" s="3171">
        <v>49.8</v>
      </c>
      <c r="N345" s="2972">
        <v>51.9</v>
      </c>
    </row>
    <row r="346" spans="1:14">
      <c r="A346" s="63">
        <f t="shared" si="3"/>
        <v>2022.01</v>
      </c>
      <c r="B346" s="2973">
        <v>57.5</v>
      </c>
      <c r="C346" s="3171">
        <v>58.5</v>
      </c>
      <c r="D346" s="2971">
        <v>50.6</v>
      </c>
      <c r="E346" s="3171">
        <v>38.1</v>
      </c>
      <c r="F346" s="2971">
        <v>69.8</v>
      </c>
      <c r="G346" s="3171">
        <v>56.3</v>
      </c>
      <c r="H346" s="2971">
        <v>77.2</v>
      </c>
      <c r="I346" s="3171">
        <v>73.099999999999994</v>
      </c>
      <c r="J346" s="2971">
        <v>46.8</v>
      </c>
      <c r="K346" s="3171">
        <v>67.900000000000006</v>
      </c>
      <c r="L346" s="2971">
        <v>65.3</v>
      </c>
      <c r="M346" s="3171">
        <v>22.5</v>
      </c>
      <c r="N346" s="2972">
        <v>41.1</v>
      </c>
    </row>
    <row r="347" spans="1:14">
      <c r="A347" s="63">
        <f t="shared" si="3"/>
        <v>2022.02</v>
      </c>
      <c r="B347" s="2973">
        <v>64</v>
      </c>
      <c r="C347" s="3171">
        <v>65.400000000000006</v>
      </c>
      <c r="D347" s="2971">
        <v>66.400000000000006</v>
      </c>
      <c r="E347" s="3171">
        <v>58.1</v>
      </c>
      <c r="F347" s="2971">
        <v>77.900000000000006</v>
      </c>
      <c r="G347" s="3171">
        <v>63.6</v>
      </c>
      <c r="H347" s="2971">
        <v>69.099999999999994</v>
      </c>
      <c r="I347" s="3171">
        <v>71.900000000000006</v>
      </c>
      <c r="J347" s="2971">
        <v>54.7</v>
      </c>
      <c r="K347" s="3171">
        <v>76.099999999999994</v>
      </c>
      <c r="L347" s="2971">
        <v>65.599999999999994</v>
      </c>
      <c r="M347" s="3171">
        <v>51.6</v>
      </c>
      <c r="N347" s="2972">
        <v>52.3</v>
      </c>
    </row>
    <row r="348" spans="1:14">
      <c r="A348" s="63">
        <f t="shared" si="3"/>
        <v>2022.03</v>
      </c>
      <c r="B348" s="2973">
        <v>66.7</v>
      </c>
      <c r="C348" s="3171">
        <v>64.400000000000006</v>
      </c>
      <c r="D348" s="2971">
        <v>66.3</v>
      </c>
      <c r="E348" s="3171">
        <v>53.4</v>
      </c>
      <c r="F348" s="2971">
        <v>77.400000000000006</v>
      </c>
      <c r="G348" s="3171">
        <v>64.599999999999994</v>
      </c>
      <c r="H348" s="2971">
        <v>71.900000000000006</v>
      </c>
      <c r="I348" s="3171">
        <v>75.900000000000006</v>
      </c>
      <c r="J348" s="2971">
        <v>59.7</v>
      </c>
      <c r="K348" s="3171">
        <v>76.5</v>
      </c>
      <c r="L348" s="2971">
        <v>76.099999999999994</v>
      </c>
      <c r="M348" s="3171">
        <v>59.5</v>
      </c>
      <c r="N348" s="2972">
        <v>53.8</v>
      </c>
    </row>
    <row r="349" spans="1:14">
      <c r="A349" s="63">
        <f t="shared" si="3"/>
        <v>2022.04</v>
      </c>
      <c r="B349" s="2973">
        <v>67.099999999999994</v>
      </c>
      <c r="C349" s="3171">
        <v>66</v>
      </c>
      <c r="D349" s="2971">
        <v>58.8</v>
      </c>
      <c r="E349" s="3171">
        <v>55</v>
      </c>
      <c r="F349" s="2971">
        <v>76.400000000000006</v>
      </c>
      <c r="G349" s="3171">
        <v>58.9</v>
      </c>
      <c r="H349" s="2971">
        <v>81.400000000000006</v>
      </c>
      <c r="I349" s="3171">
        <v>73.3</v>
      </c>
      <c r="J349" s="2971">
        <v>59.9</v>
      </c>
      <c r="K349" s="3171">
        <v>79.400000000000006</v>
      </c>
      <c r="L349" s="2971">
        <v>68.7</v>
      </c>
      <c r="M349" s="3171">
        <v>56.9</v>
      </c>
      <c r="N349" s="2972">
        <v>61.1</v>
      </c>
    </row>
    <row r="350" spans="1:14">
      <c r="A350" s="63">
        <f t="shared" si="3"/>
        <v>2022.05</v>
      </c>
      <c r="B350" s="2973">
        <v>68</v>
      </c>
      <c r="C350" s="3171">
        <v>64.8</v>
      </c>
      <c r="D350" s="2971">
        <v>61.5</v>
      </c>
      <c r="E350" s="3171">
        <v>59.5</v>
      </c>
      <c r="F350" s="2971">
        <v>78</v>
      </c>
      <c r="G350" s="3171">
        <v>61.7</v>
      </c>
      <c r="H350" s="2971">
        <v>81.3</v>
      </c>
      <c r="I350" s="3171">
        <v>74.3</v>
      </c>
      <c r="J350" s="2971">
        <v>55.4</v>
      </c>
      <c r="K350" s="3171">
        <v>81.400000000000006</v>
      </c>
      <c r="L350" s="2971">
        <v>81.8</v>
      </c>
      <c r="M350" s="3171">
        <v>57.1</v>
      </c>
      <c r="N350" s="2972">
        <v>57.1</v>
      </c>
    </row>
    <row r="351" spans="1:14">
      <c r="A351" s="63">
        <f t="shared" si="3"/>
        <v>2022.06</v>
      </c>
      <c r="B351" s="2973">
        <v>69.5</v>
      </c>
      <c r="C351" s="3171">
        <v>65.400000000000006</v>
      </c>
      <c r="D351" s="2971">
        <v>55.9</v>
      </c>
      <c r="E351" s="3171">
        <v>67.599999999999994</v>
      </c>
      <c r="F351" s="2971">
        <v>78.400000000000006</v>
      </c>
      <c r="G351" s="3171">
        <v>64.099999999999994</v>
      </c>
      <c r="H351" s="2971">
        <v>81.2</v>
      </c>
      <c r="I351" s="3171">
        <v>73.3</v>
      </c>
      <c r="J351" s="2971">
        <v>55.6</v>
      </c>
      <c r="K351" s="3171">
        <v>82.7</v>
      </c>
      <c r="L351" s="2971">
        <v>87.2</v>
      </c>
      <c r="M351" s="3171">
        <v>59.8</v>
      </c>
      <c r="N351" s="2972">
        <v>59.8</v>
      </c>
    </row>
    <row r="352" spans="1:14">
      <c r="A352" s="63">
        <f t="shared" si="3"/>
        <v>2022.07</v>
      </c>
      <c r="B352" s="2973">
        <v>67.900000000000006</v>
      </c>
      <c r="C352" s="3171">
        <v>63.6</v>
      </c>
      <c r="D352" s="2971">
        <v>65.099999999999994</v>
      </c>
      <c r="E352" s="3171">
        <v>63.8</v>
      </c>
      <c r="F352" s="2971">
        <v>81.400000000000006</v>
      </c>
      <c r="G352" s="3171">
        <v>64.099999999999994</v>
      </c>
      <c r="H352" s="2971">
        <v>78.3</v>
      </c>
      <c r="I352" s="3171">
        <v>68.900000000000006</v>
      </c>
      <c r="J352" s="2971">
        <v>53.8</v>
      </c>
      <c r="K352" s="3171">
        <v>81.099999999999994</v>
      </c>
      <c r="L352" s="2971">
        <v>84.4</v>
      </c>
      <c r="M352" s="3171">
        <v>54</v>
      </c>
      <c r="N352" s="2972">
        <v>63.2</v>
      </c>
    </row>
    <row r="353" spans="1:14">
      <c r="A353" s="63">
        <f t="shared" si="3"/>
        <v>2022.08</v>
      </c>
      <c r="B353" s="2973">
        <v>69.599999999999994</v>
      </c>
      <c r="C353" s="3171">
        <v>67.400000000000006</v>
      </c>
      <c r="D353" s="2971">
        <v>64.099999999999994</v>
      </c>
      <c r="E353" s="3171">
        <v>64.5</v>
      </c>
      <c r="F353" s="2971">
        <v>77.599999999999994</v>
      </c>
      <c r="G353" s="3171">
        <v>65.2</v>
      </c>
      <c r="H353" s="2971">
        <v>80.7</v>
      </c>
      <c r="I353" s="3171">
        <v>69.400000000000006</v>
      </c>
      <c r="J353" s="2971">
        <v>57</v>
      </c>
      <c r="K353" s="3171">
        <v>83.8</v>
      </c>
      <c r="L353" s="2971">
        <v>83.3</v>
      </c>
      <c r="M353" s="3171">
        <v>65.3</v>
      </c>
      <c r="N353" s="2972">
        <v>61.9</v>
      </c>
    </row>
    <row r="354" spans="1:14">
      <c r="A354" s="63">
        <f t="shared" si="3"/>
        <v>2022.09</v>
      </c>
      <c r="B354" s="2973">
        <v>68.599999999999994</v>
      </c>
      <c r="C354" s="3171">
        <v>68.599999999999994</v>
      </c>
      <c r="D354" s="2971">
        <v>63.5</v>
      </c>
      <c r="E354" s="3171">
        <v>62.6</v>
      </c>
      <c r="F354" s="2971">
        <v>78.5</v>
      </c>
      <c r="G354" s="3171">
        <v>65.900000000000006</v>
      </c>
      <c r="H354" s="2971">
        <v>77.900000000000006</v>
      </c>
      <c r="I354" s="3171">
        <v>69.8</v>
      </c>
      <c r="J354" s="2971">
        <v>55.3</v>
      </c>
      <c r="K354" s="3171">
        <v>83.3</v>
      </c>
      <c r="L354" s="2971">
        <v>81.400000000000006</v>
      </c>
      <c r="M354" s="3171">
        <v>65.599999999999994</v>
      </c>
      <c r="N354" s="2972">
        <v>56.3</v>
      </c>
    </row>
    <row r="355" spans="1:14">
      <c r="A355" s="63">
        <f t="shared" si="3"/>
        <v>2022.1</v>
      </c>
      <c r="B355" s="2973">
        <v>66.7</v>
      </c>
      <c r="C355" s="3171">
        <v>62.5</v>
      </c>
      <c r="D355" s="2971">
        <v>57.5</v>
      </c>
      <c r="E355" s="3171">
        <v>53</v>
      </c>
      <c r="F355" s="2971">
        <v>75.2</v>
      </c>
      <c r="G355" s="3171">
        <v>56.2</v>
      </c>
      <c r="H355" s="2971">
        <v>72.400000000000006</v>
      </c>
      <c r="I355" s="3171">
        <v>71.3</v>
      </c>
      <c r="J355" s="2971">
        <v>56.9</v>
      </c>
      <c r="K355" s="3171">
        <v>79.8</v>
      </c>
      <c r="L355" s="2971">
        <v>89.6</v>
      </c>
      <c r="M355" s="3171">
        <v>62.3</v>
      </c>
      <c r="N355" s="2972">
        <v>54.8</v>
      </c>
    </row>
    <row r="356" spans="1:14">
      <c r="A356" s="63">
        <f t="shared" si="3"/>
        <v>2022.11</v>
      </c>
      <c r="B356" s="2973">
        <v>68.900000000000006</v>
      </c>
      <c r="C356" s="3171">
        <v>68.2</v>
      </c>
      <c r="D356" s="2971">
        <v>65.7</v>
      </c>
      <c r="E356" s="3171">
        <v>56.3</v>
      </c>
      <c r="F356" s="2971">
        <v>73.400000000000006</v>
      </c>
      <c r="G356" s="3171">
        <v>59.2</v>
      </c>
      <c r="H356" s="2971">
        <v>79</v>
      </c>
      <c r="I356" s="3171">
        <v>74.400000000000006</v>
      </c>
      <c r="J356" s="2971">
        <v>56.6</v>
      </c>
      <c r="K356" s="3171">
        <v>80.7</v>
      </c>
      <c r="L356" s="2971">
        <v>86.8</v>
      </c>
      <c r="M356" s="3171">
        <v>66.2</v>
      </c>
      <c r="N356" s="2972">
        <v>54.3</v>
      </c>
    </row>
    <row r="357" spans="1:14">
      <c r="A357" s="63">
        <f t="shared" si="3"/>
        <v>2022.12</v>
      </c>
      <c r="B357" s="2973">
        <v>63.8</v>
      </c>
      <c r="C357" s="3171">
        <v>63.9</v>
      </c>
      <c r="D357" s="2971">
        <v>52.6</v>
      </c>
      <c r="E357" s="3171">
        <v>43.7</v>
      </c>
      <c r="F357" s="2971">
        <v>67.599999999999994</v>
      </c>
      <c r="G357" s="3171">
        <v>51.6</v>
      </c>
      <c r="H357" s="2971">
        <v>85.1</v>
      </c>
      <c r="I357" s="3171">
        <v>70.599999999999994</v>
      </c>
      <c r="J357" s="2971">
        <v>47.2</v>
      </c>
      <c r="K357" s="3171">
        <v>69.8</v>
      </c>
      <c r="L357" s="2971">
        <v>81.3</v>
      </c>
      <c r="M357" s="3171">
        <v>44.9</v>
      </c>
      <c r="N357" s="2972">
        <v>54.6</v>
      </c>
    </row>
    <row r="358" spans="1:14">
      <c r="A358" s="63">
        <f t="shared" si="3"/>
        <v>2023.01</v>
      </c>
      <c r="B358" s="2973">
        <v>62</v>
      </c>
      <c r="C358" s="3171">
        <v>60.4</v>
      </c>
      <c r="D358" s="2971">
        <v>55.7</v>
      </c>
      <c r="E358" s="3171">
        <v>41</v>
      </c>
      <c r="F358" s="2971">
        <v>76.400000000000006</v>
      </c>
      <c r="G358" s="3171">
        <v>57.9</v>
      </c>
      <c r="H358" s="2971">
        <v>84.1</v>
      </c>
      <c r="I358" s="3171">
        <v>72.099999999999994</v>
      </c>
      <c r="J358" s="2971">
        <v>52.2</v>
      </c>
      <c r="K358" s="3171">
        <v>68.3</v>
      </c>
      <c r="L358" s="2971">
        <v>81.7</v>
      </c>
      <c r="M358" s="3171">
        <v>31</v>
      </c>
      <c r="N358" s="2972">
        <v>45.3</v>
      </c>
    </row>
    <row r="359" spans="1:14">
      <c r="A359" s="63">
        <f t="shared" si="3"/>
        <v>2023.02</v>
      </c>
      <c r="B359" s="2973">
        <v>65</v>
      </c>
      <c r="C359" s="3171">
        <v>59.3</v>
      </c>
      <c r="D359" s="2971">
        <v>51.7</v>
      </c>
      <c r="E359" s="3171">
        <v>52.4</v>
      </c>
      <c r="F359" s="2971">
        <v>77.2</v>
      </c>
      <c r="G359" s="3171">
        <v>59.6</v>
      </c>
      <c r="H359" s="2971">
        <v>86</v>
      </c>
      <c r="I359" s="3171">
        <v>74.2</v>
      </c>
      <c r="J359" s="2971">
        <v>53.7</v>
      </c>
      <c r="K359" s="3171">
        <v>74.400000000000006</v>
      </c>
      <c r="L359" s="2971">
        <v>74.5</v>
      </c>
      <c r="M359" s="3171">
        <v>60.5</v>
      </c>
      <c r="N359" s="2972">
        <v>52.2</v>
      </c>
    </row>
    <row r="360" spans="1:14">
      <c r="A360" s="63">
        <f t="shared" si="3"/>
        <v>2023.03</v>
      </c>
      <c r="B360" s="2973">
        <v>67.3</v>
      </c>
      <c r="C360" s="3171">
        <v>61.3</v>
      </c>
      <c r="D360" s="2971">
        <v>61.3</v>
      </c>
      <c r="E360" s="3171">
        <v>52.5</v>
      </c>
      <c r="F360" s="2971">
        <v>76.900000000000006</v>
      </c>
      <c r="G360" s="3171">
        <v>62.5</v>
      </c>
      <c r="H360" s="2971">
        <v>85.1</v>
      </c>
      <c r="I360" s="3171">
        <v>72.099999999999994</v>
      </c>
      <c r="J360" s="2971">
        <v>58</v>
      </c>
      <c r="K360" s="3171">
        <v>76.3</v>
      </c>
      <c r="L360" s="2971">
        <v>77.2</v>
      </c>
      <c r="M360" s="3171">
        <v>72.5</v>
      </c>
      <c r="N360" s="2972">
        <v>57.3</v>
      </c>
    </row>
    <row r="361" spans="1:14">
      <c r="A361" s="63">
        <f t="shared" si="3"/>
        <v>2023.04</v>
      </c>
      <c r="B361" s="2973">
        <v>68.900000000000006</v>
      </c>
      <c r="C361" s="3171">
        <v>62.7</v>
      </c>
      <c r="D361" s="2971">
        <v>63.3</v>
      </c>
      <c r="E361" s="3171">
        <v>53.9</v>
      </c>
      <c r="F361" s="2971">
        <v>74.599999999999994</v>
      </c>
      <c r="G361" s="3171">
        <v>60.6</v>
      </c>
      <c r="H361" s="2971">
        <v>86.8</v>
      </c>
      <c r="I361" s="3171">
        <v>77</v>
      </c>
      <c r="J361" s="2971">
        <v>56.8</v>
      </c>
      <c r="K361" s="3171">
        <v>72.3</v>
      </c>
      <c r="L361" s="2971">
        <v>82</v>
      </c>
      <c r="M361" s="3171">
        <v>66.599999999999994</v>
      </c>
      <c r="N361" s="2972">
        <v>61</v>
      </c>
    </row>
    <row r="362" spans="1:14">
      <c r="A362" s="63">
        <f t="shared" si="3"/>
        <v>2023.05</v>
      </c>
      <c r="B362" s="2973">
        <v>67.8</v>
      </c>
      <c r="C362" s="3171">
        <v>64.599999999999994</v>
      </c>
      <c r="D362" s="2971">
        <v>65.5</v>
      </c>
      <c r="E362" s="3171">
        <v>58</v>
      </c>
      <c r="F362" s="2971">
        <v>78.7</v>
      </c>
      <c r="G362" s="3171">
        <v>58.1</v>
      </c>
      <c r="H362" s="2971">
        <v>83.1</v>
      </c>
      <c r="I362" s="3171">
        <v>74.5</v>
      </c>
      <c r="J362" s="2971">
        <v>55.9</v>
      </c>
      <c r="K362" s="3171">
        <v>72.7</v>
      </c>
      <c r="L362" s="2971">
        <v>81.7</v>
      </c>
      <c r="M362" s="3171">
        <v>62.4</v>
      </c>
      <c r="N362" s="2972">
        <v>56.3</v>
      </c>
    </row>
    <row r="363" spans="1:14">
      <c r="A363" s="63">
        <f t="shared" si="3"/>
        <v>2023.06</v>
      </c>
      <c r="B363" s="2973">
        <v>68.599999999999994</v>
      </c>
      <c r="C363" s="3171">
        <v>64.2</v>
      </c>
      <c r="D363" s="2971">
        <v>56.8</v>
      </c>
      <c r="E363" s="3171">
        <v>64.400000000000006</v>
      </c>
      <c r="F363" s="2971">
        <v>77.400000000000006</v>
      </c>
      <c r="G363" s="3171">
        <v>61.2</v>
      </c>
      <c r="H363" s="2971">
        <v>82.4</v>
      </c>
      <c r="I363" s="3171">
        <v>74.7</v>
      </c>
      <c r="J363" s="2971">
        <v>55.4</v>
      </c>
      <c r="K363" s="3171">
        <v>74.400000000000006</v>
      </c>
      <c r="L363" s="2971">
        <v>81</v>
      </c>
      <c r="M363" s="3171">
        <v>64.900000000000006</v>
      </c>
      <c r="N363" s="2972">
        <v>60.1</v>
      </c>
    </row>
    <row r="364" spans="1:14">
      <c r="A364" s="63">
        <f t="shared" si="3"/>
        <v>2023.07</v>
      </c>
      <c r="B364" s="2973">
        <v>65</v>
      </c>
      <c r="C364" s="3171">
        <v>61.3</v>
      </c>
      <c r="D364" s="2971">
        <v>59.1</v>
      </c>
      <c r="E364" s="3171">
        <v>63.2</v>
      </c>
      <c r="F364" s="2971">
        <v>77.400000000000006</v>
      </c>
      <c r="G364" s="3171">
        <v>60.2</v>
      </c>
      <c r="H364" s="2971">
        <v>82.3</v>
      </c>
      <c r="I364" s="3171">
        <v>73.599999999999994</v>
      </c>
      <c r="J364" s="2971">
        <v>55.4</v>
      </c>
      <c r="K364" s="3171">
        <v>71.7</v>
      </c>
      <c r="L364" s="2971">
        <v>66.5</v>
      </c>
      <c r="M364" s="3171">
        <v>57.9</v>
      </c>
      <c r="N364" s="2972">
        <v>56.5</v>
      </c>
    </row>
    <row r="365" spans="1:14">
      <c r="A365" s="63">
        <f t="shared" si="3"/>
        <v>2023.08</v>
      </c>
      <c r="B365" s="2973">
        <v>67.900000000000006</v>
      </c>
      <c r="C365" s="3171">
        <v>64.5</v>
      </c>
      <c r="D365" s="2971">
        <v>59.7</v>
      </c>
      <c r="E365" s="3171">
        <v>59.3</v>
      </c>
      <c r="F365" s="2971">
        <v>79.8</v>
      </c>
      <c r="G365" s="3171">
        <v>60</v>
      </c>
      <c r="H365" s="2971">
        <v>72.2</v>
      </c>
      <c r="I365" s="3171">
        <v>70.400000000000006</v>
      </c>
      <c r="J365" s="2971">
        <v>57.1</v>
      </c>
      <c r="K365" s="3171">
        <v>77.8</v>
      </c>
      <c r="L365" s="2971">
        <v>78.7</v>
      </c>
      <c r="M365" s="3171">
        <v>74.3</v>
      </c>
      <c r="N365" s="2972">
        <v>61.2</v>
      </c>
    </row>
    <row r="366" spans="1:14">
      <c r="A366" s="63">
        <f t="shared" si="3"/>
        <v>2023.09</v>
      </c>
      <c r="B366" s="2973">
        <v>67.900000000000006</v>
      </c>
      <c r="C366" s="3171">
        <v>62.4</v>
      </c>
      <c r="D366" s="2971">
        <v>52.6</v>
      </c>
      <c r="E366" s="3171">
        <v>59.1</v>
      </c>
      <c r="F366" s="2971">
        <v>77.400000000000006</v>
      </c>
      <c r="G366" s="3171">
        <v>62.4</v>
      </c>
      <c r="H366" s="2971">
        <v>82</v>
      </c>
      <c r="I366" s="3171">
        <v>75.5</v>
      </c>
      <c r="J366" s="2971">
        <v>60</v>
      </c>
      <c r="K366" s="3171">
        <v>76.3</v>
      </c>
      <c r="L366" s="2971">
        <v>85</v>
      </c>
      <c r="M366" s="3171">
        <v>68.599999999999994</v>
      </c>
      <c r="N366" s="2972">
        <v>51</v>
      </c>
    </row>
    <row r="367" spans="1:14">
      <c r="A367" s="63">
        <f t="shared" si="3"/>
        <v>2023.1</v>
      </c>
      <c r="B367" s="2973">
        <v>65.3</v>
      </c>
      <c r="C367" s="3171">
        <v>59.6</v>
      </c>
      <c r="D367" s="2971">
        <v>48.2</v>
      </c>
      <c r="E367" s="3171">
        <v>55.8</v>
      </c>
      <c r="F367" s="2971">
        <v>76.400000000000006</v>
      </c>
      <c r="G367" s="3171">
        <v>56.4</v>
      </c>
      <c r="H367" s="2971">
        <v>72.099999999999994</v>
      </c>
      <c r="I367" s="3171">
        <v>70.7</v>
      </c>
      <c r="J367" s="2971">
        <v>57.8</v>
      </c>
      <c r="K367" s="3171">
        <v>72.900000000000006</v>
      </c>
      <c r="L367" s="2971">
        <v>84.5</v>
      </c>
      <c r="M367" s="3171">
        <v>61</v>
      </c>
      <c r="N367" s="2972">
        <v>55.4</v>
      </c>
    </row>
    <row r="368" spans="1:14">
      <c r="A368" s="63">
        <f t="shared" si="3"/>
        <v>2023.11</v>
      </c>
      <c r="B368" s="2973">
        <v>66.400000000000006</v>
      </c>
      <c r="C368" s="3171">
        <v>65.2</v>
      </c>
      <c r="D368" s="2971">
        <v>56.2</v>
      </c>
      <c r="E368" s="3171">
        <v>59.1</v>
      </c>
      <c r="F368" s="2971">
        <v>72.7</v>
      </c>
      <c r="G368" s="3171">
        <v>54.8</v>
      </c>
      <c r="H368" s="2971">
        <v>84.7</v>
      </c>
      <c r="I368" s="3171">
        <v>71.400000000000006</v>
      </c>
      <c r="J368" s="2971">
        <v>56.8</v>
      </c>
      <c r="K368" s="3171">
        <v>74.3</v>
      </c>
      <c r="L368" s="2971">
        <v>79.400000000000006</v>
      </c>
      <c r="M368" s="3171">
        <v>68.3</v>
      </c>
      <c r="N368" s="2972">
        <v>50.3</v>
      </c>
    </row>
    <row r="369" spans="1:14">
      <c r="A369" s="63">
        <f t="shared" si="3"/>
        <v>2023.12</v>
      </c>
      <c r="B369" s="2973">
        <v>54.9</v>
      </c>
      <c r="C369" s="3171">
        <v>57.4</v>
      </c>
      <c r="D369" s="2971">
        <v>44</v>
      </c>
      <c r="E369" s="3171">
        <v>39.9</v>
      </c>
      <c r="F369" s="2971">
        <v>67.3</v>
      </c>
      <c r="G369" s="3171">
        <v>44.2</v>
      </c>
      <c r="H369" s="2971">
        <v>85</v>
      </c>
      <c r="I369" s="3171">
        <v>58.2</v>
      </c>
      <c r="J369" s="2971">
        <v>46.5</v>
      </c>
      <c r="K369" s="3171">
        <v>60.8</v>
      </c>
      <c r="L369" s="2971">
        <v>64.5</v>
      </c>
      <c r="M369" s="3171">
        <v>42.6</v>
      </c>
      <c r="N369" s="2972">
        <v>37.9</v>
      </c>
    </row>
    <row r="370" spans="1:14">
      <c r="A370" s="63">
        <f t="shared" ref="A370:A433" si="4">A358+1</f>
        <v>2024.01</v>
      </c>
      <c r="B370" s="2973">
        <v>54.6</v>
      </c>
      <c r="C370" s="3171">
        <v>57.7</v>
      </c>
      <c r="D370" s="2971">
        <v>50.5</v>
      </c>
      <c r="E370" s="3171">
        <v>36.700000000000003</v>
      </c>
      <c r="F370" s="2971">
        <v>69.8</v>
      </c>
      <c r="G370" s="3171">
        <v>53.9</v>
      </c>
      <c r="H370" s="2971">
        <v>83.5</v>
      </c>
      <c r="I370" s="3171">
        <v>57.1</v>
      </c>
      <c r="J370" s="2971">
        <v>43.5</v>
      </c>
      <c r="K370" s="3171">
        <v>57</v>
      </c>
      <c r="L370" s="2971">
        <v>76.3</v>
      </c>
      <c r="M370" s="3171">
        <v>25.7</v>
      </c>
      <c r="N370" s="2972">
        <v>33.4</v>
      </c>
    </row>
    <row r="371" spans="1:14">
      <c r="A371" s="63">
        <f t="shared" si="4"/>
        <v>2024.02</v>
      </c>
      <c r="B371" s="2973">
        <v>57.6</v>
      </c>
      <c r="C371" s="3171">
        <v>58.1</v>
      </c>
      <c r="D371" s="2971">
        <v>52.2</v>
      </c>
      <c r="E371" s="3171">
        <v>45.6</v>
      </c>
      <c r="F371" s="2971">
        <v>75.400000000000006</v>
      </c>
      <c r="G371" s="3171">
        <v>51.3</v>
      </c>
      <c r="H371" s="2971">
        <v>79.2</v>
      </c>
      <c r="I371" s="3171">
        <v>67.8</v>
      </c>
      <c r="J371" s="2971">
        <v>45.9</v>
      </c>
      <c r="K371" s="3171">
        <v>59.6</v>
      </c>
      <c r="L371" s="2971">
        <v>66.5</v>
      </c>
      <c r="M371" s="3171">
        <v>47.3</v>
      </c>
      <c r="N371" s="2972">
        <v>37.299999999999997</v>
      </c>
    </row>
    <row r="372" spans="1:14">
      <c r="A372" s="63">
        <f t="shared" si="4"/>
        <v>2024.03</v>
      </c>
      <c r="B372" s="2973">
        <v>53.4</v>
      </c>
      <c r="C372" s="3171">
        <v>54.5</v>
      </c>
      <c r="D372" s="2971">
        <v>50.5</v>
      </c>
      <c r="E372" s="3171">
        <v>38.5</v>
      </c>
      <c r="F372" s="2971">
        <v>63.5</v>
      </c>
      <c r="G372" s="3171">
        <v>48.3</v>
      </c>
      <c r="H372" s="2971">
        <v>80</v>
      </c>
      <c r="I372" s="3171">
        <v>64.900000000000006</v>
      </c>
      <c r="J372" s="2971">
        <v>44.1</v>
      </c>
      <c r="K372" s="3171">
        <v>47.2</v>
      </c>
      <c r="L372" s="2971">
        <v>50</v>
      </c>
      <c r="M372" s="3171">
        <v>50.8</v>
      </c>
      <c r="N372" s="2972">
        <v>38</v>
      </c>
    </row>
    <row r="373" spans="1:14">
      <c r="A373" s="63">
        <f t="shared" si="4"/>
        <v>2024.04</v>
      </c>
      <c r="B373" s="2973">
        <v>56.6</v>
      </c>
      <c r="C373" s="3171">
        <v>57.9</v>
      </c>
      <c r="D373" s="2971">
        <v>52</v>
      </c>
      <c r="E373" s="3171">
        <v>37.700000000000003</v>
      </c>
      <c r="F373" s="2971">
        <v>69.5</v>
      </c>
      <c r="G373" s="3171">
        <v>49.9</v>
      </c>
      <c r="H373" s="2971">
        <v>82.2</v>
      </c>
      <c r="I373" s="3171">
        <v>63.3</v>
      </c>
      <c r="J373" s="2971">
        <v>42.4</v>
      </c>
      <c r="K373" s="3171">
        <v>42.7</v>
      </c>
      <c r="L373" s="2971">
        <v>63.7</v>
      </c>
      <c r="M373" s="3171">
        <v>52.6</v>
      </c>
      <c r="N373" s="2972">
        <v>44.5</v>
      </c>
    </row>
    <row r="374" spans="1:14">
      <c r="A374" s="63">
        <f t="shared" si="4"/>
        <v>2024.05</v>
      </c>
      <c r="B374" s="2973">
        <v>56.8</v>
      </c>
      <c r="C374" s="3171">
        <v>59.4</v>
      </c>
      <c r="D374" s="2971">
        <v>53</v>
      </c>
      <c r="E374" s="3171">
        <v>41.4</v>
      </c>
      <c r="F374" s="2971">
        <v>60.5</v>
      </c>
      <c r="G374" s="3171">
        <v>46</v>
      </c>
      <c r="H374" s="2971">
        <v>84.1</v>
      </c>
      <c r="I374" s="3171">
        <v>67.7</v>
      </c>
      <c r="J374" s="2971">
        <v>41.6</v>
      </c>
      <c r="K374" s="3171">
        <v>47.2</v>
      </c>
      <c r="L374" s="2971">
        <v>61.3</v>
      </c>
      <c r="M374" s="3171">
        <v>45.5</v>
      </c>
      <c r="N374" s="2972">
        <v>45.3</v>
      </c>
    </row>
    <row r="375" spans="1:14">
      <c r="A375" s="63">
        <f t="shared" si="4"/>
        <v>2024.06</v>
      </c>
      <c r="B375" s="2973">
        <v>54.5</v>
      </c>
      <c r="C375" s="3171">
        <v>59.4</v>
      </c>
      <c r="D375" s="2971">
        <v>35.4</v>
      </c>
      <c r="E375" s="3171">
        <v>43.9</v>
      </c>
      <c r="F375" s="2971">
        <v>60.4</v>
      </c>
      <c r="G375" s="3171">
        <v>41.3</v>
      </c>
      <c r="H375" s="2971">
        <v>80.8</v>
      </c>
      <c r="I375" s="3171">
        <v>66.3</v>
      </c>
      <c r="J375" s="2971">
        <v>39.4</v>
      </c>
      <c r="K375" s="3171">
        <v>46.8</v>
      </c>
      <c r="L375" s="2971">
        <v>56.6</v>
      </c>
      <c r="M375" s="3171">
        <v>39</v>
      </c>
      <c r="N375" s="2972">
        <v>42</v>
      </c>
    </row>
    <row r="376" spans="1:14">
      <c r="A376" s="63">
        <f t="shared" si="4"/>
        <v>2024.07</v>
      </c>
      <c r="B376" s="2973">
        <v>59.7</v>
      </c>
      <c r="C376" s="3171">
        <v>65.400000000000006</v>
      </c>
      <c r="D376" s="2971">
        <v>47.9</v>
      </c>
      <c r="E376" s="3171">
        <v>49</v>
      </c>
      <c r="F376" s="2971">
        <v>60.3</v>
      </c>
      <c r="G376" s="3171">
        <v>48.8</v>
      </c>
      <c r="H376" s="2971">
        <v>83.1</v>
      </c>
      <c r="I376" s="3171">
        <v>65.7</v>
      </c>
      <c r="J376" s="2971">
        <v>44</v>
      </c>
      <c r="K376" s="3171">
        <v>52.3</v>
      </c>
      <c r="L376" s="2971">
        <v>61.5</v>
      </c>
      <c r="M376" s="3171">
        <v>52.2</v>
      </c>
      <c r="N376" s="2972">
        <v>51.1</v>
      </c>
    </row>
    <row r="377" spans="1:14">
      <c r="A377" s="63">
        <f t="shared" si="4"/>
        <v>2024.08</v>
      </c>
      <c r="B377" s="2973">
        <v>61.3</v>
      </c>
      <c r="C377" s="3171">
        <v>64.5</v>
      </c>
      <c r="D377" s="2971">
        <v>54.4</v>
      </c>
      <c r="E377" s="3171">
        <v>50.4</v>
      </c>
      <c r="F377" s="2971">
        <v>65.5</v>
      </c>
      <c r="G377" s="3171">
        <v>51.4</v>
      </c>
      <c r="H377" s="2971">
        <v>82</v>
      </c>
      <c r="I377" s="3171">
        <v>64.400000000000006</v>
      </c>
      <c r="J377" s="2971">
        <v>48.7</v>
      </c>
      <c r="K377" s="3171">
        <v>61.7</v>
      </c>
      <c r="L377" s="2971">
        <v>66.8</v>
      </c>
      <c r="M377" s="3171">
        <v>59.9</v>
      </c>
      <c r="N377" s="2972">
        <v>50.8</v>
      </c>
    </row>
    <row r="378" spans="1:14">
      <c r="A378" s="63">
        <f t="shared" si="4"/>
        <v>2024.09</v>
      </c>
      <c r="B378" s="2973">
        <v>62.4</v>
      </c>
      <c r="C378" s="3171">
        <v>68.2</v>
      </c>
      <c r="D378" s="2971">
        <v>48.7</v>
      </c>
      <c r="E378" s="3171">
        <v>51.3</v>
      </c>
      <c r="F378" s="2971">
        <v>68.3</v>
      </c>
      <c r="G378" s="3171">
        <v>56.1</v>
      </c>
      <c r="H378" s="2971">
        <v>80.8</v>
      </c>
      <c r="I378" s="3171">
        <v>65.7</v>
      </c>
      <c r="J378" s="2971">
        <v>49.9</v>
      </c>
      <c r="K378" s="3171">
        <v>64.2</v>
      </c>
      <c r="L378" s="2971">
        <v>72.400000000000006</v>
      </c>
      <c r="M378" s="3171">
        <v>59.6</v>
      </c>
      <c r="N378" s="2972">
        <v>43.9</v>
      </c>
    </row>
    <row r="379" spans="1:14">
      <c r="A379" s="63">
        <f t="shared" si="4"/>
        <v>2024.1</v>
      </c>
      <c r="B379" s="2973">
        <v>63.2</v>
      </c>
      <c r="C379" s="3171">
        <v>69.5</v>
      </c>
      <c r="D379" s="2971">
        <v>48.9</v>
      </c>
      <c r="E379" s="3171">
        <v>47.8</v>
      </c>
      <c r="F379" s="2971">
        <v>72.900000000000006</v>
      </c>
      <c r="G379" s="3171">
        <v>57.8</v>
      </c>
      <c r="H379" s="2971">
        <v>81.5</v>
      </c>
      <c r="I379" s="3171">
        <v>63.5</v>
      </c>
      <c r="J379" s="2971">
        <v>48.9</v>
      </c>
      <c r="K379" s="3171">
        <v>63.1</v>
      </c>
      <c r="L379" s="2971">
        <v>68.900000000000006</v>
      </c>
      <c r="M379" s="3171">
        <v>61.2</v>
      </c>
      <c r="N379" s="2972">
        <v>50.7</v>
      </c>
    </row>
    <row r="380" spans="1:14">
      <c r="A380" s="63">
        <f t="shared" si="4"/>
        <v>2024.11</v>
      </c>
      <c r="B380" s="2973">
        <v>62.3</v>
      </c>
      <c r="C380" s="3171">
        <v>66.900000000000006</v>
      </c>
      <c r="D380" s="2971">
        <v>47.6</v>
      </c>
      <c r="E380" s="3171">
        <v>48.2</v>
      </c>
      <c r="F380" s="2971">
        <v>68.599999999999994</v>
      </c>
      <c r="G380" s="3171">
        <v>53</v>
      </c>
      <c r="H380" s="2971">
        <v>82.1</v>
      </c>
      <c r="I380" s="3171">
        <v>66.099999999999994</v>
      </c>
      <c r="J380" s="2971">
        <v>46.8</v>
      </c>
      <c r="K380" s="3171">
        <v>60.6</v>
      </c>
      <c r="L380" s="2971">
        <v>67.2</v>
      </c>
      <c r="M380" s="3171">
        <v>64.7</v>
      </c>
      <c r="N380" s="2972">
        <v>50</v>
      </c>
    </row>
    <row r="381" spans="1:14">
      <c r="A381" s="63">
        <f t="shared" si="4"/>
        <v>2024.12</v>
      </c>
      <c r="B381" s="2973">
        <v>56.7</v>
      </c>
      <c r="C381" s="3171">
        <v>65.900000000000006</v>
      </c>
      <c r="D381" s="2971">
        <v>37.200000000000003</v>
      </c>
      <c r="E381" s="3171">
        <v>43.1</v>
      </c>
      <c r="F381" s="2971">
        <v>57.7</v>
      </c>
      <c r="G381" s="3171">
        <v>48.1</v>
      </c>
      <c r="H381" s="2971">
        <v>83.4</v>
      </c>
      <c r="I381" s="3171">
        <v>64</v>
      </c>
      <c r="J381" s="2971">
        <v>42</v>
      </c>
      <c r="K381" s="3171">
        <v>50.9</v>
      </c>
      <c r="L381" s="2971">
        <v>52.4</v>
      </c>
      <c r="M381" s="3171">
        <v>44.2</v>
      </c>
      <c r="N381" s="2972">
        <v>45.7</v>
      </c>
    </row>
    <row r="382" spans="1:14">
      <c r="A382" s="63">
        <f t="shared" si="4"/>
        <v>2025.01</v>
      </c>
      <c r="B382" s="2973">
        <v>55</v>
      </c>
      <c r="C382" s="3171">
        <v>61</v>
      </c>
      <c r="D382" s="2971">
        <v>40.799999999999997</v>
      </c>
      <c r="E382" s="3171">
        <v>33.9</v>
      </c>
      <c r="F382" s="2971">
        <v>67.3</v>
      </c>
      <c r="G382" s="3171">
        <v>52.1</v>
      </c>
      <c r="H382" s="2971">
        <v>84.6</v>
      </c>
      <c r="I382" s="3171">
        <v>66</v>
      </c>
      <c r="J382" s="2971">
        <v>39.6</v>
      </c>
      <c r="K382" s="3171">
        <v>43.3</v>
      </c>
      <c r="L382" s="2971">
        <v>59.3</v>
      </c>
      <c r="M382" s="3171">
        <v>34.799999999999997</v>
      </c>
      <c r="N382" s="2972">
        <v>38.1</v>
      </c>
    </row>
    <row r="383" spans="1:14">
      <c r="A383" s="63">
        <f t="shared" si="4"/>
        <v>2025.02</v>
      </c>
      <c r="B383" s="2973">
        <v>58.6</v>
      </c>
      <c r="C383" s="3171">
        <v>62.4</v>
      </c>
      <c r="D383" s="2971">
        <v>49.9</v>
      </c>
      <c r="E383" s="3171">
        <v>46.4</v>
      </c>
      <c r="F383" s="2971">
        <v>68.8</v>
      </c>
      <c r="G383" s="3171">
        <v>52.8</v>
      </c>
      <c r="H383" s="2971">
        <v>73.900000000000006</v>
      </c>
      <c r="I383" s="3171">
        <v>63.4</v>
      </c>
      <c r="J383" s="2971">
        <v>46.3</v>
      </c>
      <c r="K383" s="3171">
        <v>55</v>
      </c>
      <c r="L383" s="2971">
        <v>67.3</v>
      </c>
      <c r="M383" s="3171">
        <v>54.6</v>
      </c>
      <c r="N383" s="2972">
        <v>44</v>
      </c>
    </row>
    <row r="384" spans="1:14">
      <c r="A384" s="63">
        <f t="shared" si="4"/>
        <v>2025.03</v>
      </c>
      <c r="B384" s="2973">
        <v>54.4</v>
      </c>
      <c r="C384" s="3171">
        <v>57.6</v>
      </c>
      <c r="D384" s="2971">
        <v>41.2</v>
      </c>
      <c r="E384" s="3171">
        <v>41</v>
      </c>
      <c r="F384" s="2971">
        <v>68.2</v>
      </c>
      <c r="G384" s="3171">
        <v>48.9</v>
      </c>
      <c r="H384" s="2971">
        <v>76</v>
      </c>
      <c r="I384" s="3171">
        <v>53.8</v>
      </c>
      <c r="J384" s="2971">
        <v>42</v>
      </c>
      <c r="K384" s="3171">
        <v>51.7</v>
      </c>
      <c r="L384" s="2971">
        <v>64.3</v>
      </c>
      <c r="M384" s="3171">
        <v>48.9</v>
      </c>
      <c r="N384" s="2972">
        <v>42.8</v>
      </c>
    </row>
    <row r="385" spans="1:14">
      <c r="A385" s="63">
        <f t="shared" si="4"/>
        <v>2025.04</v>
      </c>
      <c r="B385" s="2973">
        <v>58.3</v>
      </c>
      <c r="C385" s="3171">
        <v>61.5</v>
      </c>
      <c r="D385" s="2971">
        <v>45.7</v>
      </c>
      <c r="E385" s="3171">
        <v>42.6</v>
      </c>
      <c r="F385" s="2971">
        <v>67</v>
      </c>
      <c r="G385" s="3171">
        <v>53.8</v>
      </c>
      <c r="H385" s="2971">
        <v>84.2</v>
      </c>
      <c r="I385" s="3171">
        <v>56.5</v>
      </c>
      <c r="J385" s="2971">
        <v>45.2</v>
      </c>
      <c r="K385" s="3171">
        <v>56.2</v>
      </c>
      <c r="L385" s="2971">
        <v>63.9</v>
      </c>
      <c r="M385" s="3171">
        <v>56.8</v>
      </c>
      <c r="N385" s="2972">
        <v>49.3</v>
      </c>
    </row>
    <row r="386" spans="1:14">
      <c r="A386" s="63">
        <f t="shared" si="4"/>
        <v>2025.05</v>
      </c>
      <c r="B386" s="2973" t="e">
        <v>#N/A</v>
      </c>
      <c r="C386" s="3171" t="e">
        <v>#N/A</v>
      </c>
      <c r="D386" s="2971" t="e">
        <v>#N/A</v>
      </c>
      <c r="E386" s="3171" t="e">
        <v>#N/A</v>
      </c>
      <c r="F386" s="2971" t="e">
        <v>#N/A</v>
      </c>
      <c r="G386" s="3171" t="e">
        <v>#N/A</v>
      </c>
      <c r="H386" s="2971" t="e">
        <v>#N/A</v>
      </c>
      <c r="I386" s="3171" t="e">
        <v>#N/A</v>
      </c>
      <c r="J386" s="2971" t="e">
        <v>#N/A</v>
      </c>
      <c r="K386" s="3171" t="e">
        <v>#N/A</v>
      </c>
      <c r="L386" s="2971" t="e">
        <v>#N/A</v>
      </c>
      <c r="M386" s="3171" t="e">
        <v>#N/A</v>
      </c>
      <c r="N386" s="2972" t="e">
        <v>#N/A</v>
      </c>
    </row>
    <row r="387" spans="1:14">
      <c r="A387" s="63">
        <f t="shared" si="4"/>
        <v>2025.06</v>
      </c>
      <c r="B387" s="2973" t="e">
        <v>#N/A</v>
      </c>
      <c r="C387" s="3171" t="e">
        <v>#N/A</v>
      </c>
      <c r="D387" s="2971" t="e">
        <v>#N/A</v>
      </c>
      <c r="E387" s="3171" t="e">
        <v>#N/A</v>
      </c>
      <c r="F387" s="2971" t="e">
        <v>#N/A</v>
      </c>
      <c r="G387" s="3171" t="e">
        <v>#N/A</v>
      </c>
      <c r="H387" s="2971" t="e">
        <v>#N/A</v>
      </c>
      <c r="I387" s="3171" t="e">
        <v>#N/A</v>
      </c>
      <c r="J387" s="2971" t="e">
        <v>#N/A</v>
      </c>
      <c r="K387" s="3171" t="e">
        <v>#N/A</v>
      </c>
      <c r="L387" s="2971" t="e">
        <v>#N/A</v>
      </c>
      <c r="M387" s="3171" t="e">
        <v>#N/A</v>
      </c>
      <c r="N387" s="2972" t="e">
        <v>#N/A</v>
      </c>
    </row>
    <row r="388" spans="1:14">
      <c r="A388" s="63">
        <f t="shared" si="4"/>
        <v>2025.07</v>
      </c>
      <c r="B388" s="2973" t="e">
        <v>#N/A</v>
      </c>
      <c r="C388" s="3171" t="e">
        <v>#N/A</v>
      </c>
      <c r="D388" s="2971" t="e">
        <v>#N/A</v>
      </c>
      <c r="E388" s="3171" t="e">
        <v>#N/A</v>
      </c>
      <c r="F388" s="2971" t="e">
        <v>#N/A</v>
      </c>
      <c r="G388" s="3171" t="e">
        <v>#N/A</v>
      </c>
      <c r="H388" s="2971" t="e">
        <v>#N/A</v>
      </c>
      <c r="I388" s="3171" t="e">
        <v>#N/A</v>
      </c>
      <c r="J388" s="2971" t="e">
        <v>#N/A</v>
      </c>
      <c r="K388" s="3171" t="e">
        <v>#N/A</v>
      </c>
      <c r="L388" s="2971" t="e">
        <v>#N/A</v>
      </c>
      <c r="M388" s="3171" t="e">
        <v>#N/A</v>
      </c>
      <c r="N388" s="2972" t="e">
        <v>#N/A</v>
      </c>
    </row>
    <row r="389" spans="1:14">
      <c r="A389" s="63">
        <f t="shared" si="4"/>
        <v>2025.08</v>
      </c>
      <c r="B389" s="2973" t="e">
        <v>#N/A</v>
      </c>
      <c r="C389" s="3171" t="e">
        <v>#N/A</v>
      </c>
      <c r="D389" s="2971" t="e">
        <v>#N/A</v>
      </c>
      <c r="E389" s="3171" t="e">
        <v>#N/A</v>
      </c>
      <c r="F389" s="2971" t="e">
        <v>#N/A</v>
      </c>
      <c r="G389" s="3171" t="e">
        <v>#N/A</v>
      </c>
      <c r="H389" s="2971" t="e">
        <v>#N/A</v>
      </c>
      <c r="I389" s="3171" t="e">
        <v>#N/A</v>
      </c>
      <c r="J389" s="2971" t="e">
        <v>#N/A</v>
      </c>
      <c r="K389" s="3171" t="e">
        <v>#N/A</v>
      </c>
      <c r="L389" s="2971" t="e">
        <v>#N/A</v>
      </c>
      <c r="M389" s="3171" t="e">
        <v>#N/A</v>
      </c>
      <c r="N389" s="2972" t="e">
        <v>#N/A</v>
      </c>
    </row>
    <row r="390" spans="1:14">
      <c r="A390" s="63">
        <f t="shared" si="4"/>
        <v>2025.09</v>
      </c>
      <c r="B390" s="2973" t="e">
        <v>#N/A</v>
      </c>
      <c r="C390" s="3171" t="e">
        <v>#N/A</v>
      </c>
      <c r="D390" s="2971" t="e">
        <v>#N/A</v>
      </c>
      <c r="E390" s="3171" t="e">
        <v>#N/A</v>
      </c>
      <c r="F390" s="2971" t="e">
        <v>#N/A</v>
      </c>
      <c r="G390" s="3171" t="e">
        <v>#N/A</v>
      </c>
      <c r="H390" s="2971" t="e">
        <v>#N/A</v>
      </c>
      <c r="I390" s="3171" t="e">
        <v>#N/A</v>
      </c>
      <c r="J390" s="2971" t="e">
        <v>#N/A</v>
      </c>
      <c r="K390" s="3171" t="e">
        <v>#N/A</v>
      </c>
      <c r="L390" s="2971" t="e">
        <v>#N/A</v>
      </c>
      <c r="M390" s="3171" t="e">
        <v>#N/A</v>
      </c>
      <c r="N390" s="2972" t="e">
        <v>#N/A</v>
      </c>
    </row>
    <row r="391" spans="1:14">
      <c r="A391" s="63">
        <f t="shared" si="4"/>
        <v>2025.1</v>
      </c>
      <c r="B391" s="2973" t="e">
        <v>#N/A</v>
      </c>
      <c r="C391" s="3171" t="e">
        <v>#N/A</v>
      </c>
      <c r="D391" s="2971" t="e">
        <v>#N/A</v>
      </c>
      <c r="E391" s="3171" t="e">
        <v>#N/A</v>
      </c>
      <c r="F391" s="2971" t="e">
        <v>#N/A</v>
      </c>
      <c r="G391" s="3171" t="e">
        <v>#N/A</v>
      </c>
      <c r="H391" s="2971" t="e">
        <v>#N/A</v>
      </c>
      <c r="I391" s="3171" t="e">
        <v>#N/A</v>
      </c>
      <c r="J391" s="2971" t="e">
        <v>#N/A</v>
      </c>
      <c r="K391" s="3171" t="e">
        <v>#N/A</v>
      </c>
      <c r="L391" s="2971" t="e">
        <v>#N/A</v>
      </c>
      <c r="M391" s="3171" t="e">
        <v>#N/A</v>
      </c>
      <c r="N391" s="2972" t="e">
        <v>#N/A</v>
      </c>
    </row>
    <row r="392" spans="1:14">
      <c r="A392" s="63">
        <f t="shared" si="4"/>
        <v>2025.11</v>
      </c>
      <c r="B392" s="2973" t="e">
        <v>#N/A</v>
      </c>
      <c r="C392" s="3171" t="e">
        <v>#N/A</v>
      </c>
      <c r="D392" s="2971" t="e">
        <v>#N/A</v>
      </c>
      <c r="E392" s="3171" t="e">
        <v>#N/A</v>
      </c>
      <c r="F392" s="2971" t="e">
        <v>#N/A</v>
      </c>
      <c r="G392" s="3171" t="e">
        <v>#N/A</v>
      </c>
      <c r="H392" s="2971" t="e">
        <v>#N/A</v>
      </c>
      <c r="I392" s="3171" t="e">
        <v>#N/A</v>
      </c>
      <c r="J392" s="2971" t="e">
        <v>#N/A</v>
      </c>
      <c r="K392" s="3171" t="e">
        <v>#N/A</v>
      </c>
      <c r="L392" s="2971" t="e">
        <v>#N/A</v>
      </c>
      <c r="M392" s="3171" t="e">
        <v>#N/A</v>
      </c>
      <c r="N392" s="2972" t="e">
        <v>#N/A</v>
      </c>
    </row>
    <row r="393" spans="1:14">
      <c r="A393" s="63">
        <f t="shared" si="4"/>
        <v>2025.12</v>
      </c>
      <c r="B393" s="2973" t="e">
        <v>#N/A</v>
      </c>
      <c r="C393" s="3171" t="e">
        <v>#N/A</v>
      </c>
      <c r="D393" s="2971" t="e">
        <v>#N/A</v>
      </c>
      <c r="E393" s="3171" t="e">
        <v>#N/A</v>
      </c>
      <c r="F393" s="2971" t="e">
        <v>#N/A</v>
      </c>
      <c r="G393" s="3171" t="e">
        <v>#N/A</v>
      </c>
      <c r="H393" s="2971" t="e">
        <v>#N/A</v>
      </c>
      <c r="I393" s="3171" t="e">
        <v>#N/A</v>
      </c>
      <c r="J393" s="2971" t="e">
        <v>#N/A</v>
      </c>
      <c r="K393" s="3171" t="e">
        <v>#N/A</v>
      </c>
      <c r="L393" s="2971" t="e">
        <v>#N/A</v>
      </c>
      <c r="M393" s="3171" t="e">
        <v>#N/A</v>
      </c>
      <c r="N393" s="2972" t="e">
        <v>#N/A</v>
      </c>
    </row>
    <row r="394" spans="1:14">
      <c r="A394" s="63">
        <f t="shared" si="4"/>
        <v>2026.01</v>
      </c>
      <c r="B394" s="2973" t="e">
        <v>#N/A</v>
      </c>
      <c r="C394" s="3171" t="e">
        <v>#N/A</v>
      </c>
      <c r="D394" s="2971" t="e">
        <v>#N/A</v>
      </c>
      <c r="E394" s="3171" t="e">
        <v>#N/A</v>
      </c>
      <c r="F394" s="2971" t="e">
        <v>#N/A</v>
      </c>
      <c r="G394" s="3171" t="e">
        <v>#N/A</v>
      </c>
      <c r="H394" s="2971" t="e">
        <v>#N/A</v>
      </c>
      <c r="I394" s="3171" t="e">
        <v>#N/A</v>
      </c>
      <c r="J394" s="2971" t="e">
        <v>#N/A</v>
      </c>
      <c r="K394" s="3171" t="e">
        <v>#N/A</v>
      </c>
      <c r="L394" s="2971" t="e">
        <v>#N/A</v>
      </c>
      <c r="M394" s="3171" t="e">
        <v>#N/A</v>
      </c>
      <c r="N394" s="2972" t="e">
        <v>#N/A</v>
      </c>
    </row>
    <row r="395" spans="1:14">
      <c r="A395" s="63">
        <f t="shared" si="4"/>
        <v>2026.02</v>
      </c>
      <c r="B395" s="2973" t="e">
        <v>#N/A</v>
      </c>
      <c r="C395" s="3171" t="e">
        <v>#N/A</v>
      </c>
      <c r="D395" s="2971" t="e">
        <v>#N/A</v>
      </c>
      <c r="E395" s="3171" t="e">
        <v>#N/A</v>
      </c>
      <c r="F395" s="2971" t="e">
        <v>#N/A</v>
      </c>
      <c r="G395" s="3171" t="e">
        <v>#N/A</v>
      </c>
      <c r="H395" s="2971" t="e">
        <v>#N/A</v>
      </c>
      <c r="I395" s="3171" t="e">
        <v>#N/A</v>
      </c>
      <c r="J395" s="2971" t="e">
        <v>#N/A</v>
      </c>
      <c r="K395" s="3171" t="e">
        <v>#N/A</v>
      </c>
      <c r="L395" s="2971" t="e">
        <v>#N/A</v>
      </c>
      <c r="M395" s="3171" t="e">
        <v>#N/A</v>
      </c>
      <c r="N395" s="2972" t="e">
        <v>#N/A</v>
      </c>
    </row>
    <row r="396" spans="1:14">
      <c r="A396" s="63">
        <f t="shared" si="4"/>
        <v>2026.03</v>
      </c>
      <c r="B396" s="2973" t="e">
        <v>#N/A</v>
      </c>
      <c r="C396" s="3171" t="e">
        <v>#N/A</v>
      </c>
      <c r="D396" s="2971" t="e">
        <v>#N/A</v>
      </c>
      <c r="E396" s="3171" t="e">
        <v>#N/A</v>
      </c>
      <c r="F396" s="2971" t="e">
        <v>#N/A</v>
      </c>
      <c r="G396" s="3171" t="e">
        <v>#N/A</v>
      </c>
      <c r="H396" s="2971" t="e">
        <v>#N/A</v>
      </c>
      <c r="I396" s="3171" t="e">
        <v>#N/A</v>
      </c>
      <c r="J396" s="2971" t="e">
        <v>#N/A</v>
      </c>
      <c r="K396" s="3171" t="e">
        <v>#N/A</v>
      </c>
      <c r="L396" s="2971" t="e">
        <v>#N/A</v>
      </c>
      <c r="M396" s="3171" t="e">
        <v>#N/A</v>
      </c>
      <c r="N396" s="2972" t="e">
        <v>#N/A</v>
      </c>
    </row>
    <row r="397" spans="1:14">
      <c r="A397" s="63">
        <f t="shared" si="4"/>
        <v>2026.04</v>
      </c>
      <c r="B397" s="2973" t="e">
        <v>#N/A</v>
      </c>
      <c r="C397" s="3171" t="e">
        <v>#N/A</v>
      </c>
      <c r="D397" s="2971" t="e">
        <v>#N/A</v>
      </c>
      <c r="E397" s="3171" t="e">
        <v>#N/A</v>
      </c>
      <c r="F397" s="2971" t="e">
        <v>#N/A</v>
      </c>
      <c r="G397" s="3171" t="e">
        <v>#N/A</v>
      </c>
      <c r="H397" s="2971" t="e">
        <v>#N/A</v>
      </c>
      <c r="I397" s="3171" t="e">
        <v>#N/A</v>
      </c>
      <c r="J397" s="2971" t="e">
        <v>#N/A</v>
      </c>
      <c r="K397" s="3171" t="e">
        <v>#N/A</v>
      </c>
      <c r="L397" s="2971" t="e">
        <v>#N/A</v>
      </c>
      <c r="M397" s="3171" t="e">
        <v>#N/A</v>
      </c>
      <c r="N397" s="2972" t="e">
        <v>#N/A</v>
      </c>
    </row>
    <row r="398" spans="1:14">
      <c r="A398" s="63">
        <f t="shared" si="4"/>
        <v>2026.05</v>
      </c>
      <c r="B398" s="2973" t="e">
        <v>#N/A</v>
      </c>
      <c r="C398" s="3171" t="e">
        <v>#N/A</v>
      </c>
      <c r="D398" s="2971" t="e">
        <v>#N/A</v>
      </c>
      <c r="E398" s="3171" t="e">
        <v>#N/A</v>
      </c>
      <c r="F398" s="2971" t="e">
        <v>#N/A</v>
      </c>
      <c r="G398" s="3171" t="e">
        <v>#N/A</v>
      </c>
      <c r="H398" s="2971" t="e">
        <v>#N/A</v>
      </c>
      <c r="I398" s="3171" t="e">
        <v>#N/A</v>
      </c>
      <c r="J398" s="2971" t="e">
        <v>#N/A</v>
      </c>
      <c r="K398" s="3171" t="e">
        <v>#N/A</v>
      </c>
      <c r="L398" s="2971" t="e">
        <v>#N/A</v>
      </c>
      <c r="M398" s="3171" t="e">
        <v>#N/A</v>
      </c>
      <c r="N398" s="2972" t="e">
        <v>#N/A</v>
      </c>
    </row>
    <row r="399" spans="1:14">
      <c r="A399" s="63">
        <f t="shared" si="4"/>
        <v>2026.06</v>
      </c>
      <c r="B399" s="2973" t="e">
        <v>#N/A</v>
      </c>
      <c r="C399" s="3171" t="e">
        <v>#N/A</v>
      </c>
      <c r="D399" s="2971" t="e">
        <v>#N/A</v>
      </c>
      <c r="E399" s="3171" t="e">
        <v>#N/A</v>
      </c>
      <c r="F399" s="2971" t="e">
        <v>#N/A</v>
      </c>
      <c r="G399" s="3171" t="e">
        <v>#N/A</v>
      </c>
      <c r="H399" s="2971" t="e">
        <v>#N/A</v>
      </c>
      <c r="I399" s="3171" t="e">
        <v>#N/A</v>
      </c>
      <c r="J399" s="2971" t="e">
        <v>#N/A</v>
      </c>
      <c r="K399" s="3171" t="e">
        <v>#N/A</v>
      </c>
      <c r="L399" s="2971" t="e">
        <v>#N/A</v>
      </c>
      <c r="M399" s="3171" t="e">
        <v>#N/A</v>
      </c>
      <c r="N399" s="2972" t="e">
        <v>#N/A</v>
      </c>
    </row>
    <row r="400" spans="1:14">
      <c r="A400" s="63">
        <f t="shared" si="4"/>
        <v>2026.07</v>
      </c>
      <c r="B400" s="2973" t="e">
        <v>#N/A</v>
      </c>
      <c r="C400" s="3171" t="e">
        <v>#N/A</v>
      </c>
      <c r="D400" s="2971" t="e">
        <v>#N/A</v>
      </c>
      <c r="E400" s="3171" t="e">
        <v>#N/A</v>
      </c>
      <c r="F400" s="2971" t="e">
        <v>#N/A</v>
      </c>
      <c r="G400" s="3171" t="e">
        <v>#N/A</v>
      </c>
      <c r="H400" s="2971" t="e">
        <v>#N/A</v>
      </c>
      <c r="I400" s="3171" t="e">
        <v>#N/A</v>
      </c>
      <c r="J400" s="2971" t="e">
        <v>#N/A</v>
      </c>
      <c r="K400" s="3171" t="e">
        <v>#N/A</v>
      </c>
      <c r="L400" s="2971" t="e">
        <v>#N/A</v>
      </c>
      <c r="M400" s="3171" t="e">
        <v>#N/A</v>
      </c>
      <c r="N400" s="2972" t="e">
        <v>#N/A</v>
      </c>
    </row>
    <row r="401" spans="1:14">
      <c r="A401" s="63">
        <f t="shared" si="4"/>
        <v>2026.08</v>
      </c>
      <c r="B401" s="2973" t="e">
        <v>#N/A</v>
      </c>
      <c r="C401" s="3171" t="e">
        <v>#N/A</v>
      </c>
      <c r="D401" s="2971" t="e">
        <v>#N/A</v>
      </c>
      <c r="E401" s="3171" t="e">
        <v>#N/A</v>
      </c>
      <c r="F401" s="2971" t="e">
        <v>#N/A</v>
      </c>
      <c r="G401" s="3171" t="e">
        <v>#N/A</v>
      </c>
      <c r="H401" s="2971" t="e">
        <v>#N/A</v>
      </c>
      <c r="I401" s="3171" t="e">
        <v>#N/A</v>
      </c>
      <c r="J401" s="2971" t="e">
        <v>#N/A</v>
      </c>
      <c r="K401" s="3171" t="e">
        <v>#N/A</v>
      </c>
      <c r="L401" s="2971" t="e">
        <v>#N/A</v>
      </c>
      <c r="M401" s="3171" t="e">
        <v>#N/A</v>
      </c>
      <c r="N401" s="2972" t="e">
        <v>#N/A</v>
      </c>
    </row>
    <row r="402" spans="1:14">
      <c r="A402" s="63">
        <f t="shared" si="4"/>
        <v>2026.09</v>
      </c>
      <c r="B402" s="2973" t="e">
        <v>#N/A</v>
      </c>
      <c r="C402" s="3171" t="e">
        <v>#N/A</v>
      </c>
      <c r="D402" s="2971" t="e">
        <v>#N/A</v>
      </c>
      <c r="E402" s="3171" t="e">
        <v>#N/A</v>
      </c>
      <c r="F402" s="2971" t="e">
        <v>#N/A</v>
      </c>
      <c r="G402" s="3171" t="e">
        <v>#N/A</v>
      </c>
      <c r="H402" s="2971" t="e">
        <v>#N/A</v>
      </c>
      <c r="I402" s="3171" t="e">
        <v>#N/A</v>
      </c>
      <c r="J402" s="2971" t="e">
        <v>#N/A</v>
      </c>
      <c r="K402" s="3171" t="e">
        <v>#N/A</v>
      </c>
      <c r="L402" s="2971" t="e">
        <v>#N/A</v>
      </c>
      <c r="M402" s="3171" t="e">
        <v>#N/A</v>
      </c>
      <c r="N402" s="2972" t="e">
        <v>#N/A</v>
      </c>
    </row>
    <row r="403" spans="1:14">
      <c r="A403" s="63">
        <f t="shared" si="4"/>
        <v>2026.1</v>
      </c>
      <c r="B403" s="2973" t="e">
        <v>#N/A</v>
      </c>
      <c r="C403" s="3171" t="e">
        <v>#N/A</v>
      </c>
      <c r="D403" s="2971" t="e">
        <v>#N/A</v>
      </c>
      <c r="E403" s="3171" t="e">
        <v>#N/A</v>
      </c>
      <c r="F403" s="2971" t="e">
        <v>#N/A</v>
      </c>
      <c r="G403" s="3171" t="e">
        <v>#N/A</v>
      </c>
      <c r="H403" s="2971" t="e">
        <v>#N/A</v>
      </c>
      <c r="I403" s="3171" t="e">
        <v>#N/A</v>
      </c>
      <c r="J403" s="2971" t="e">
        <v>#N/A</v>
      </c>
      <c r="K403" s="3171" t="e">
        <v>#N/A</v>
      </c>
      <c r="L403" s="2971" t="e">
        <v>#N/A</v>
      </c>
      <c r="M403" s="3171" t="e">
        <v>#N/A</v>
      </c>
      <c r="N403" s="2972" t="e">
        <v>#N/A</v>
      </c>
    </row>
    <row r="404" spans="1:14">
      <c r="A404" s="63">
        <f t="shared" si="4"/>
        <v>2026.11</v>
      </c>
      <c r="B404" s="2973" t="e">
        <v>#N/A</v>
      </c>
      <c r="C404" s="3171" t="e">
        <v>#N/A</v>
      </c>
      <c r="D404" s="2971" t="e">
        <v>#N/A</v>
      </c>
      <c r="E404" s="3171" t="e">
        <v>#N/A</v>
      </c>
      <c r="F404" s="2971" t="e">
        <v>#N/A</v>
      </c>
      <c r="G404" s="3171" t="e">
        <v>#N/A</v>
      </c>
      <c r="H404" s="2971" t="e">
        <v>#N/A</v>
      </c>
      <c r="I404" s="3171" t="e">
        <v>#N/A</v>
      </c>
      <c r="J404" s="2971" t="e">
        <v>#N/A</v>
      </c>
      <c r="K404" s="3171" t="e">
        <v>#N/A</v>
      </c>
      <c r="L404" s="2971" t="e">
        <v>#N/A</v>
      </c>
      <c r="M404" s="3171" t="e">
        <v>#N/A</v>
      </c>
      <c r="N404" s="2972" t="e">
        <v>#N/A</v>
      </c>
    </row>
    <row r="405" spans="1:14">
      <c r="A405" s="63">
        <f t="shared" si="4"/>
        <v>2026.12</v>
      </c>
      <c r="B405" s="2973" t="e">
        <v>#N/A</v>
      </c>
      <c r="C405" s="3171" t="e">
        <v>#N/A</v>
      </c>
      <c r="D405" s="2971" t="e">
        <v>#N/A</v>
      </c>
      <c r="E405" s="3171" t="e">
        <v>#N/A</v>
      </c>
      <c r="F405" s="2971" t="e">
        <v>#N/A</v>
      </c>
      <c r="G405" s="3171" t="e">
        <v>#N/A</v>
      </c>
      <c r="H405" s="2971" t="e">
        <v>#N/A</v>
      </c>
      <c r="I405" s="3171" t="e">
        <v>#N/A</v>
      </c>
      <c r="J405" s="2971" t="e">
        <v>#N/A</v>
      </c>
      <c r="K405" s="3171" t="e">
        <v>#N/A</v>
      </c>
      <c r="L405" s="2971" t="e">
        <v>#N/A</v>
      </c>
      <c r="M405" s="3171" t="e">
        <v>#N/A</v>
      </c>
      <c r="N405" s="2972" t="e">
        <v>#N/A</v>
      </c>
    </row>
    <row r="406" spans="1:14">
      <c r="A406" s="63">
        <f t="shared" si="4"/>
        <v>2027.01</v>
      </c>
      <c r="B406" s="2973" t="e">
        <v>#N/A</v>
      </c>
      <c r="C406" s="3171" t="e">
        <v>#N/A</v>
      </c>
      <c r="D406" s="2971" t="e">
        <v>#N/A</v>
      </c>
      <c r="E406" s="3171" t="e">
        <v>#N/A</v>
      </c>
      <c r="F406" s="2971" t="e">
        <v>#N/A</v>
      </c>
      <c r="G406" s="3171" t="e">
        <v>#N/A</v>
      </c>
      <c r="H406" s="2971" t="e">
        <v>#N/A</v>
      </c>
      <c r="I406" s="3171" t="e">
        <v>#N/A</v>
      </c>
      <c r="J406" s="2971" t="e">
        <v>#N/A</v>
      </c>
      <c r="K406" s="3171" t="e">
        <v>#N/A</v>
      </c>
      <c r="L406" s="2971" t="e">
        <v>#N/A</v>
      </c>
      <c r="M406" s="3171" t="e">
        <v>#N/A</v>
      </c>
      <c r="N406" s="2972" t="e">
        <v>#N/A</v>
      </c>
    </row>
    <row r="407" spans="1:14">
      <c r="A407" s="63">
        <f t="shared" si="4"/>
        <v>2027.02</v>
      </c>
      <c r="B407" s="2973" t="e">
        <v>#N/A</v>
      </c>
      <c r="C407" s="3171" t="e">
        <v>#N/A</v>
      </c>
      <c r="D407" s="2971" t="e">
        <v>#N/A</v>
      </c>
      <c r="E407" s="3171" t="e">
        <v>#N/A</v>
      </c>
      <c r="F407" s="2971" t="e">
        <v>#N/A</v>
      </c>
      <c r="G407" s="3171" t="e">
        <v>#N/A</v>
      </c>
      <c r="H407" s="2971" t="e">
        <v>#N/A</v>
      </c>
      <c r="I407" s="3171" t="e">
        <v>#N/A</v>
      </c>
      <c r="J407" s="2971" t="e">
        <v>#N/A</v>
      </c>
      <c r="K407" s="3171" t="e">
        <v>#N/A</v>
      </c>
      <c r="L407" s="2971" t="e">
        <v>#N/A</v>
      </c>
      <c r="M407" s="3171" t="e">
        <v>#N/A</v>
      </c>
      <c r="N407" s="2972" t="e">
        <v>#N/A</v>
      </c>
    </row>
    <row r="408" spans="1:14">
      <c r="A408" s="63">
        <f t="shared" si="4"/>
        <v>2027.03</v>
      </c>
      <c r="B408" s="2973" t="e">
        <v>#N/A</v>
      </c>
      <c r="C408" s="3171" t="e">
        <v>#N/A</v>
      </c>
      <c r="D408" s="2971" t="e">
        <v>#N/A</v>
      </c>
      <c r="E408" s="3171" t="e">
        <v>#N/A</v>
      </c>
      <c r="F408" s="2971" t="e">
        <v>#N/A</v>
      </c>
      <c r="G408" s="3171" t="e">
        <v>#N/A</v>
      </c>
      <c r="H408" s="2971" t="e">
        <v>#N/A</v>
      </c>
      <c r="I408" s="3171" t="e">
        <v>#N/A</v>
      </c>
      <c r="J408" s="2971" t="e">
        <v>#N/A</v>
      </c>
      <c r="K408" s="3171" t="e">
        <v>#N/A</v>
      </c>
      <c r="L408" s="2971" t="e">
        <v>#N/A</v>
      </c>
      <c r="M408" s="3171" t="e">
        <v>#N/A</v>
      </c>
      <c r="N408" s="2972" t="e">
        <v>#N/A</v>
      </c>
    </row>
    <row r="409" spans="1:14">
      <c r="A409" s="63">
        <f t="shared" si="4"/>
        <v>2027.04</v>
      </c>
      <c r="B409" s="2973" t="e">
        <v>#N/A</v>
      </c>
      <c r="C409" s="3171" t="e">
        <v>#N/A</v>
      </c>
      <c r="D409" s="2971" t="e">
        <v>#N/A</v>
      </c>
      <c r="E409" s="3171" t="e">
        <v>#N/A</v>
      </c>
      <c r="F409" s="2971" t="e">
        <v>#N/A</v>
      </c>
      <c r="G409" s="3171" t="e">
        <v>#N/A</v>
      </c>
      <c r="H409" s="2971" t="e">
        <v>#N/A</v>
      </c>
      <c r="I409" s="3171" t="e">
        <v>#N/A</v>
      </c>
      <c r="J409" s="2971" t="e">
        <v>#N/A</v>
      </c>
      <c r="K409" s="3171" t="e">
        <v>#N/A</v>
      </c>
      <c r="L409" s="2971" t="e">
        <v>#N/A</v>
      </c>
      <c r="M409" s="3171" t="e">
        <v>#N/A</v>
      </c>
      <c r="N409" s="2972" t="e">
        <v>#N/A</v>
      </c>
    </row>
    <row r="410" spans="1:14">
      <c r="A410" s="63">
        <f t="shared" si="4"/>
        <v>2027.05</v>
      </c>
      <c r="B410" s="2973" t="e">
        <v>#N/A</v>
      </c>
      <c r="C410" s="3171" t="e">
        <v>#N/A</v>
      </c>
      <c r="D410" s="2971" t="e">
        <v>#N/A</v>
      </c>
      <c r="E410" s="3171" t="e">
        <v>#N/A</v>
      </c>
      <c r="F410" s="2971" t="e">
        <v>#N/A</v>
      </c>
      <c r="G410" s="3171" t="e">
        <v>#N/A</v>
      </c>
      <c r="H410" s="2971" t="e">
        <v>#N/A</v>
      </c>
      <c r="I410" s="3171" t="e">
        <v>#N/A</v>
      </c>
      <c r="J410" s="2971" t="e">
        <v>#N/A</v>
      </c>
      <c r="K410" s="3171" t="e">
        <v>#N/A</v>
      </c>
      <c r="L410" s="2971" t="e">
        <v>#N/A</v>
      </c>
      <c r="M410" s="3171" t="e">
        <v>#N/A</v>
      </c>
      <c r="N410" s="2972" t="e">
        <v>#N/A</v>
      </c>
    </row>
    <row r="411" spans="1:14">
      <c r="A411" s="63">
        <f t="shared" si="4"/>
        <v>2027.06</v>
      </c>
      <c r="B411" s="2973" t="e">
        <v>#N/A</v>
      </c>
      <c r="C411" s="3171" t="e">
        <v>#N/A</v>
      </c>
      <c r="D411" s="2971" t="e">
        <v>#N/A</v>
      </c>
      <c r="E411" s="3171" t="e">
        <v>#N/A</v>
      </c>
      <c r="F411" s="2971" t="e">
        <v>#N/A</v>
      </c>
      <c r="G411" s="3171" t="e">
        <v>#N/A</v>
      </c>
      <c r="H411" s="2971" t="e">
        <v>#N/A</v>
      </c>
      <c r="I411" s="3171" t="e">
        <v>#N/A</v>
      </c>
      <c r="J411" s="2971" t="e">
        <v>#N/A</v>
      </c>
      <c r="K411" s="3171" t="e">
        <v>#N/A</v>
      </c>
      <c r="L411" s="2971" t="e">
        <v>#N/A</v>
      </c>
      <c r="M411" s="3171" t="e">
        <v>#N/A</v>
      </c>
      <c r="N411" s="2972" t="e">
        <v>#N/A</v>
      </c>
    </row>
    <row r="412" spans="1:14">
      <c r="A412" s="63">
        <f t="shared" si="4"/>
        <v>2027.07</v>
      </c>
      <c r="B412" s="2973" t="e">
        <v>#N/A</v>
      </c>
      <c r="C412" s="3171" t="e">
        <v>#N/A</v>
      </c>
      <c r="D412" s="2971" t="e">
        <v>#N/A</v>
      </c>
      <c r="E412" s="3171" t="e">
        <v>#N/A</v>
      </c>
      <c r="F412" s="2971" t="e">
        <v>#N/A</v>
      </c>
      <c r="G412" s="3171" t="e">
        <v>#N/A</v>
      </c>
      <c r="H412" s="2971" t="e">
        <v>#N/A</v>
      </c>
      <c r="I412" s="3171" t="e">
        <v>#N/A</v>
      </c>
      <c r="J412" s="2971" t="e">
        <v>#N/A</v>
      </c>
      <c r="K412" s="3171" t="e">
        <v>#N/A</v>
      </c>
      <c r="L412" s="2971" t="e">
        <v>#N/A</v>
      </c>
      <c r="M412" s="3171" t="e">
        <v>#N/A</v>
      </c>
      <c r="N412" s="2972" t="e">
        <v>#N/A</v>
      </c>
    </row>
    <row r="413" spans="1:14">
      <c r="A413" s="63">
        <f t="shared" si="4"/>
        <v>2027.08</v>
      </c>
      <c r="B413" s="2973" t="e">
        <v>#N/A</v>
      </c>
      <c r="C413" s="3171" t="e">
        <v>#N/A</v>
      </c>
      <c r="D413" s="2971" t="e">
        <v>#N/A</v>
      </c>
      <c r="E413" s="3171" t="e">
        <v>#N/A</v>
      </c>
      <c r="F413" s="2971" t="e">
        <v>#N/A</v>
      </c>
      <c r="G413" s="3171" t="e">
        <v>#N/A</v>
      </c>
      <c r="H413" s="2971" t="e">
        <v>#N/A</v>
      </c>
      <c r="I413" s="3171" t="e">
        <v>#N/A</v>
      </c>
      <c r="J413" s="2971" t="e">
        <v>#N/A</v>
      </c>
      <c r="K413" s="3171" t="e">
        <v>#N/A</v>
      </c>
      <c r="L413" s="2971" t="e">
        <v>#N/A</v>
      </c>
      <c r="M413" s="3171" t="e">
        <v>#N/A</v>
      </c>
      <c r="N413" s="2972" t="e">
        <v>#N/A</v>
      </c>
    </row>
    <row r="414" spans="1:14">
      <c r="A414" s="63">
        <f t="shared" si="4"/>
        <v>2027.09</v>
      </c>
      <c r="B414" s="2973" t="e">
        <v>#N/A</v>
      </c>
      <c r="C414" s="3171" t="e">
        <v>#N/A</v>
      </c>
      <c r="D414" s="2971" t="e">
        <v>#N/A</v>
      </c>
      <c r="E414" s="3171" t="e">
        <v>#N/A</v>
      </c>
      <c r="F414" s="2971" t="e">
        <v>#N/A</v>
      </c>
      <c r="G414" s="3171" t="e">
        <v>#N/A</v>
      </c>
      <c r="H414" s="2971" t="e">
        <v>#N/A</v>
      </c>
      <c r="I414" s="3171" t="e">
        <v>#N/A</v>
      </c>
      <c r="J414" s="2971" t="e">
        <v>#N/A</v>
      </c>
      <c r="K414" s="3171" t="e">
        <v>#N/A</v>
      </c>
      <c r="L414" s="2971" t="e">
        <v>#N/A</v>
      </c>
      <c r="M414" s="3171" t="e">
        <v>#N/A</v>
      </c>
      <c r="N414" s="2972" t="e">
        <v>#N/A</v>
      </c>
    </row>
    <row r="415" spans="1:14">
      <c r="A415" s="63">
        <f t="shared" si="4"/>
        <v>2027.1</v>
      </c>
      <c r="B415" s="2973" t="e">
        <v>#N/A</v>
      </c>
      <c r="C415" s="3171" t="e">
        <v>#N/A</v>
      </c>
      <c r="D415" s="2971" t="e">
        <v>#N/A</v>
      </c>
      <c r="E415" s="3171" t="e">
        <v>#N/A</v>
      </c>
      <c r="F415" s="2971" t="e">
        <v>#N/A</v>
      </c>
      <c r="G415" s="3171" t="e">
        <v>#N/A</v>
      </c>
      <c r="H415" s="2971" t="e">
        <v>#N/A</v>
      </c>
      <c r="I415" s="3171" t="e">
        <v>#N/A</v>
      </c>
      <c r="J415" s="2971" t="e">
        <v>#N/A</v>
      </c>
      <c r="K415" s="3171" t="e">
        <v>#N/A</v>
      </c>
      <c r="L415" s="2971" t="e">
        <v>#N/A</v>
      </c>
      <c r="M415" s="3171" t="e">
        <v>#N/A</v>
      </c>
      <c r="N415" s="2972" t="e">
        <v>#N/A</v>
      </c>
    </row>
    <row r="416" spans="1:14">
      <c r="A416" s="63">
        <f t="shared" si="4"/>
        <v>2027.11</v>
      </c>
      <c r="B416" s="2973" t="e">
        <v>#N/A</v>
      </c>
      <c r="C416" s="3171" t="e">
        <v>#N/A</v>
      </c>
      <c r="D416" s="2971" t="e">
        <v>#N/A</v>
      </c>
      <c r="E416" s="3171" t="e">
        <v>#N/A</v>
      </c>
      <c r="F416" s="2971" t="e">
        <v>#N/A</v>
      </c>
      <c r="G416" s="3171" t="e">
        <v>#N/A</v>
      </c>
      <c r="H416" s="2971" t="e">
        <v>#N/A</v>
      </c>
      <c r="I416" s="3171" t="e">
        <v>#N/A</v>
      </c>
      <c r="J416" s="2971" t="e">
        <v>#N/A</v>
      </c>
      <c r="K416" s="3171" t="e">
        <v>#N/A</v>
      </c>
      <c r="L416" s="2971" t="e">
        <v>#N/A</v>
      </c>
      <c r="M416" s="3171" t="e">
        <v>#N/A</v>
      </c>
      <c r="N416" s="2972" t="e">
        <v>#N/A</v>
      </c>
    </row>
    <row r="417" spans="1:14">
      <c r="A417" s="63">
        <f t="shared" si="4"/>
        <v>2027.12</v>
      </c>
      <c r="B417" s="2973" t="e">
        <v>#N/A</v>
      </c>
      <c r="C417" s="3171" t="e">
        <v>#N/A</v>
      </c>
      <c r="D417" s="2971" t="e">
        <v>#N/A</v>
      </c>
      <c r="E417" s="3171" t="e">
        <v>#N/A</v>
      </c>
      <c r="F417" s="2971" t="e">
        <v>#N/A</v>
      </c>
      <c r="G417" s="3171" t="e">
        <v>#N/A</v>
      </c>
      <c r="H417" s="2971" t="e">
        <v>#N/A</v>
      </c>
      <c r="I417" s="3171" t="e">
        <v>#N/A</v>
      </c>
      <c r="J417" s="2971" t="e">
        <v>#N/A</v>
      </c>
      <c r="K417" s="3171" t="e">
        <v>#N/A</v>
      </c>
      <c r="L417" s="2971" t="e">
        <v>#N/A</v>
      </c>
      <c r="M417" s="3171" t="e">
        <v>#N/A</v>
      </c>
      <c r="N417" s="2972" t="e">
        <v>#N/A</v>
      </c>
    </row>
    <row r="418" spans="1:14">
      <c r="A418" s="63">
        <f t="shared" si="4"/>
        <v>2028.01</v>
      </c>
      <c r="B418" s="2973" t="e">
        <v>#N/A</v>
      </c>
      <c r="C418" s="3171" t="e">
        <v>#N/A</v>
      </c>
      <c r="D418" s="2971" t="e">
        <v>#N/A</v>
      </c>
      <c r="E418" s="3171" t="e">
        <v>#N/A</v>
      </c>
      <c r="F418" s="2971" t="e">
        <v>#N/A</v>
      </c>
      <c r="G418" s="3171" t="e">
        <v>#N/A</v>
      </c>
      <c r="H418" s="2971" t="e">
        <v>#N/A</v>
      </c>
      <c r="I418" s="3171" t="e">
        <v>#N/A</v>
      </c>
      <c r="J418" s="2971" t="e">
        <v>#N/A</v>
      </c>
      <c r="K418" s="3171" t="e">
        <v>#N/A</v>
      </c>
      <c r="L418" s="2971" t="e">
        <v>#N/A</v>
      </c>
      <c r="M418" s="3171" t="e">
        <v>#N/A</v>
      </c>
      <c r="N418" s="2972" t="e">
        <v>#N/A</v>
      </c>
    </row>
    <row r="419" spans="1:14">
      <c r="A419" s="63">
        <f t="shared" si="4"/>
        <v>2028.02</v>
      </c>
      <c r="B419" s="2973" t="e">
        <v>#N/A</v>
      </c>
      <c r="C419" s="3171" t="e">
        <v>#N/A</v>
      </c>
      <c r="D419" s="2971" t="e">
        <v>#N/A</v>
      </c>
      <c r="E419" s="3171" t="e">
        <v>#N/A</v>
      </c>
      <c r="F419" s="2971" t="e">
        <v>#N/A</v>
      </c>
      <c r="G419" s="3171" t="e">
        <v>#N/A</v>
      </c>
      <c r="H419" s="2971" t="e">
        <v>#N/A</v>
      </c>
      <c r="I419" s="3171" t="e">
        <v>#N/A</v>
      </c>
      <c r="J419" s="2971" t="e">
        <v>#N/A</v>
      </c>
      <c r="K419" s="3171" t="e">
        <v>#N/A</v>
      </c>
      <c r="L419" s="2971" t="e">
        <v>#N/A</v>
      </c>
      <c r="M419" s="3171" t="e">
        <v>#N/A</v>
      </c>
      <c r="N419" s="2972" t="e">
        <v>#N/A</v>
      </c>
    </row>
    <row r="420" spans="1:14">
      <c r="A420" s="63">
        <f t="shared" si="4"/>
        <v>2028.03</v>
      </c>
      <c r="B420" s="2973" t="e">
        <v>#N/A</v>
      </c>
      <c r="C420" s="3171" t="e">
        <v>#N/A</v>
      </c>
      <c r="D420" s="2971" t="e">
        <v>#N/A</v>
      </c>
      <c r="E420" s="3171" t="e">
        <v>#N/A</v>
      </c>
      <c r="F420" s="2971" t="e">
        <v>#N/A</v>
      </c>
      <c r="G420" s="3171" t="e">
        <v>#N/A</v>
      </c>
      <c r="H420" s="2971" t="e">
        <v>#N/A</v>
      </c>
      <c r="I420" s="3171" t="e">
        <v>#N/A</v>
      </c>
      <c r="J420" s="2971" t="e">
        <v>#N/A</v>
      </c>
      <c r="K420" s="3171" t="e">
        <v>#N/A</v>
      </c>
      <c r="L420" s="2971" t="e">
        <v>#N/A</v>
      </c>
      <c r="M420" s="3171" t="e">
        <v>#N/A</v>
      </c>
      <c r="N420" s="2972" t="e">
        <v>#N/A</v>
      </c>
    </row>
    <row r="421" spans="1:14">
      <c r="A421" s="63">
        <f t="shared" si="4"/>
        <v>2028.04</v>
      </c>
      <c r="B421" s="2973" t="e">
        <v>#N/A</v>
      </c>
      <c r="C421" s="3171" t="e">
        <v>#N/A</v>
      </c>
      <c r="D421" s="2971" t="e">
        <v>#N/A</v>
      </c>
      <c r="E421" s="3171" t="e">
        <v>#N/A</v>
      </c>
      <c r="F421" s="2971" t="e">
        <v>#N/A</v>
      </c>
      <c r="G421" s="3171" t="e">
        <v>#N/A</v>
      </c>
      <c r="H421" s="2971" t="e">
        <v>#N/A</v>
      </c>
      <c r="I421" s="3171" t="e">
        <v>#N/A</v>
      </c>
      <c r="J421" s="2971" t="e">
        <v>#N/A</v>
      </c>
      <c r="K421" s="3171" t="e">
        <v>#N/A</v>
      </c>
      <c r="L421" s="2971" t="e">
        <v>#N/A</v>
      </c>
      <c r="M421" s="3171" t="e">
        <v>#N/A</v>
      </c>
      <c r="N421" s="2972" t="e">
        <v>#N/A</v>
      </c>
    </row>
    <row r="422" spans="1:14">
      <c r="A422" s="63">
        <f t="shared" si="4"/>
        <v>2028.05</v>
      </c>
      <c r="B422" s="2973" t="e">
        <v>#N/A</v>
      </c>
      <c r="C422" s="3171" t="e">
        <v>#N/A</v>
      </c>
      <c r="D422" s="2971" t="e">
        <v>#N/A</v>
      </c>
      <c r="E422" s="3171" t="e">
        <v>#N/A</v>
      </c>
      <c r="F422" s="2971" t="e">
        <v>#N/A</v>
      </c>
      <c r="G422" s="3171" t="e">
        <v>#N/A</v>
      </c>
      <c r="H422" s="2971" t="e">
        <v>#N/A</v>
      </c>
      <c r="I422" s="3171" t="e">
        <v>#N/A</v>
      </c>
      <c r="J422" s="2971" t="e">
        <v>#N/A</v>
      </c>
      <c r="K422" s="3171" t="e">
        <v>#N/A</v>
      </c>
      <c r="L422" s="2971" t="e">
        <v>#N/A</v>
      </c>
      <c r="M422" s="3171" t="e">
        <v>#N/A</v>
      </c>
      <c r="N422" s="2972" t="e">
        <v>#N/A</v>
      </c>
    </row>
    <row r="423" spans="1:14">
      <c r="A423" s="63">
        <f t="shared" si="4"/>
        <v>2028.06</v>
      </c>
      <c r="B423" s="2973" t="e">
        <v>#N/A</v>
      </c>
      <c r="C423" s="3171" t="e">
        <v>#N/A</v>
      </c>
      <c r="D423" s="2971" t="e">
        <v>#N/A</v>
      </c>
      <c r="E423" s="3171" t="e">
        <v>#N/A</v>
      </c>
      <c r="F423" s="2971" t="e">
        <v>#N/A</v>
      </c>
      <c r="G423" s="3171" t="e">
        <v>#N/A</v>
      </c>
      <c r="H423" s="2971" t="e">
        <v>#N/A</v>
      </c>
      <c r="I423" s="3171" t="e">
        <v>#N/A</v>
      </c>
      <c r="J423" s="2971" t="e">
        <v>#N/A</v>
      </c>
      <c r="K423" s="3171" t="e">
        <v>#N/A</v>
      </c>
      <c r="L423" s="2971" t="e">
        <v>#N/A</v>
      </c>
      <c r="M423" s="3171" t="e">
        <v>#N/A</v>
      </c>
      <c r="N423" s="2972" t="e">
        <v>#N/A</v>
      </c>
    </row>
    <row r="424" spans="1:14">
      <c r="A424" s="63">
        <f t="shared" si="4"/>
        <v>2028.07</v>
      </c>
      <c r="B424" s="2973" t="e">
        <v>#N/A</v>
      </c>
      <c r="C424" s="3171" t="e">
        <v>#N/A</v>
      </c>
      <c r="D424" s="2971" t="e">
        <v>#N/A</v>
      </c>
      <c r="E424" s="3171" t="e">
        <v>#N/A</v>
      </c>
      <c r="F424" s="2971" t="e">
        <v>#N/A</v>
      </c>
      <c r="G424" s="3171" t="e">
        <v>#N/A</v>
      </c>
      <c r="H424" s="2971" t="e">
        <v>#N/A</v>
      </c>
      <c r="I424" s="3171" t="e">
        <v>#N/A</v>
      </c>
      <c r="J424" s="2971" t="e">
        <v>#N/A</v>
      </c>
      <c r="K424" s="3171" t="e">
        <v>#N/A</v>
      </c>
      <c r="L424" s="2971" t="e">
        <v>#N/A</v>
      </c>
      <c r="M424" s="3171" t="e">
        <v>#N/A</v>
      </c>
      <c r="N424" s="2972" t="e">
        <v>#N/A</v>
      </c>
    </row>
    <row r="425" spans="1:14">
      <c r="A425" s="63">
        <f t="shared" si="4"/>
        <v>2028.08</v>
      </c>
      <c r="B425" s="2973" t="e">
        <v>#N/A</v>
      </c>
      <c r="C425" s="3171" t="e">
        <v>#N/A</v>
      </c>
      <c r="D425" s="2971" t="e">
        <v>#N/A</v>
      </c>
      <c r="E425" s="3171" t="e">
        <v>#N/A</v>
      </c>
      <c r="F425" s="2971" t="e">
        <v>#N/A</v>
      </c>
      <c r="G425" s="3171" t="e">
        <v>#N/A</v>
      </c>
      <c r="H425" s="2971" t="e">
        <v>#N/A</v>
      </c>
      <c r="I425" s="3171" t="e">
        <v>#N/A</v>
      </c>
      <c r="J425" s="2971" t="e">
        <v>#N/A</v>
      </c>
      <c r="K425" s="3171" t="e">
        <v>#N/A</v>
      </c>
      <c r="L425" s="2971" t="e">
        <v>#N/A</v>
      </c>
      <c r="M425" s="3171" t="e">
        <v>#N/A</v>
      </c>
      <c r="N425" s="2972" t="e">
        <v>#N/A</v>
      </c>
    </row>
    <row r="426" spans="1:14">
      <c r="A426" s="63">
        <f t="shared" si="4"/>
        <v>2028.09</v>
      </c>
      <c r="B426" s="2973" t="e">
        <v>#N/A</v>
      </c>
      <c r="C426" s="3171" t="e">
        <v>#N/A</v>
      </c>
      <c r="D426" s="2971" t="e">
        <v>#N/A</v>
      </c>
      <c r="E426" s="3171" t="e">
        <v>#N/A</v>
      </c>
      <c r="F426" s="2971" t="e">
        <v>#N/A</v>
      </c>
      <c r="G426" s="3171" t="e">
        <v>#N/A</v>
      </c>
      <c r="H426" s="2971" t="e">
        <v>#N/A</v>
      </c>
      <c r="I426" s="3171" t="e">
        <v>#N/A</v>
      </c>
      <c r="J426" s="2971" t="e">
        <v>#N/A</v>
      </c>
      <c r="K426" s="3171" t="e">
        <v>#N/A</v>
      </c>
      <c r="L426" s="2971" t="e">
        <v>#N/A</v>
      </c>
      <c r="M426" s="3171" t="e">
        <v>#N/A</v>
      </c>
      <c r="N426" s="2972" t="e">
        <v>#N/A</v>
      </c>
    </row>
    <row r="427" spans="1:14">
      <c r="A427" s="63">
        <f t="shared" si="4"/>
        <v>2028.1</v>
      </c>
      <c r="B427" s="2973" t="e">
        <v>#N/A</v>
      </c>
      <c r="C427" s="3171" t="e">
        <v>#N/A</v>
      </c>
      <c r="D427" s="2971" t="e">
        <v>#N/A</v>
      </c>
      <c r="E427" s="3171" t="e">
        <v>#N/A</v>
      </c>
      <c r="F427" s="2971" t="e">
        <v>#N/A</v>
      </c>
      <c r="G427" s="3171" t="e">
        <v>#N/A</v>
      </c>
      <c r="H427" s="2971" t="e">
        <v>#N/A</v>
      </c>
      <c r="I427" s="3171" t="e">
        <v>#N/A</v>
      </c>
      <c r="J427" s="2971" t="e">
        <v>#N/A</v>
      </c>
      <c r="K427" s="3171" t="e">
        <v>#N/A</v>
      </c>
      <c r="L427" s="2971" t="e">
        <v>#N/A</v>
      </c>
      <c r="M427" s="3171" t="e">
        <v>#N/A</v>
      </c>
      <c r="N427" s="2972" t="e">
        <v>#N/A</v>
      </c>
    </row>
    <row r="428" spans="1:14">
      <c r="A428" s="63">
        <f t="shared" si="4"/>
        <v>2028.11</v>
      </c>
      <c r="B428" s="2973" t="e">
        <v>#N/A</v>
      </c>
      <c r="C428" s="3171" t="e">
        <v>#N/A</v>
      </c>
      <c r="D428" s="2971" t="e">
        <v>#N/A</v>
      </c>
      <c r="E428" s="3171" t="e">
        <v>#N/A</v>
      </c>
      <c r="F428" s="2971" t="e">
        <v>#N/A</v>
      </c>
      <c r="G428" s="3171" t="e">
        <v>#N/A</v>
      </c>
      <c r="H428" s="2971" t="e">
        <v>#N/A</v>
      </c>
      <c r="I428" s="3171" t="e">
        <v>#N/A</v>
      </c>
      <c r="J428" s="2971" t="e">
        <v>#N/A</v>
      </c>
      <c r="K428" s="3171" t="e">
        <v>#N/A</v>
      </c>
      <c r="L428" s="2971" t="e">
        <v>#N/A</v>
      </c>
      <c r="M428" s="3171" t="e">
        <v>#N/A</v>
      </c>
      <c r="N428" s="2972" t="e">
        <v>#N/A</v>
      </c>
    </row>
    <row r="429" spans="1:14">
      <c r="A429" s="63">
        <f t="shared" si="4"/>
        <v>2028.12</v>
      </c>
      <c r="B429" s="2973" t="e">
        <v>#N/A</v>
      </c>
      <c r="C429" s="3171" t="e">
        <v>#N/A</v>
      </c>
      <c r="D429" s="2971" t="e">
        <v>#N/A</v>
      </c>
      <c r="E429" s="3171" t="e">
        <v>#N/A</v>
      </c>
      <c r="F429" s="2971" t="e">
        <v>#N/A</v>
      </c>
      <c r="G429" s="3171" t="e">
        <v>#N/A</v>
      </c>
      <c r="H429" s="2971" t="e">
        <v>#N/A</v>
      </c>
      <c r="I429" s="3171" t="e">
        <v>#N/A</v>
      </c>
      <c r="J429" s="2971" t="e">
        <v>#N/A</v>
      </c>
      <c r="K429" s="3171" t="e">
        <v>#N/A</v>
      </c>
      <c r="L429" s="2971" t="e">
        <v>#N/A</v>
      </c>
      <c r="M429" s="3171" t="e">
        <v>#N/A</v>
      </c>
      <c r="N429" s="2972" t="e">
        <v>#N/A</v>
      </c>
    </row>
    <row r="430" spans="1:14">
      <c r="A430" s="63">
        <f t="shared" si="4"/>
        <v>2029.01</v>
      </c>
      <c r="B430" s="2973" t="e">
        <v>#N/A</v>
      </c>
      <c r="C430" s="3171" t="e">
        <v>#N/A</v>
      </c>
      <c r="D430" s="2971" t="e">
        <v>#N/A</v>
      </c>
      <c r="E430" s="3171" t="e">
        <v>#N/A</v>
      </c>
      <c r="F430" s="2971" t="e">
        <v>#N/A</v>
      </c>
      <c r="G430" s="3171" t="e">
        <v>#N/A</v>
      </c>
      <c r="H430" s="2971" t="e">
        <v>#N/A</v>
      </c>
      <c r="I430" s="3171" t="e">
        <v>#N/A</v>
      </c>
      <c r="J430" s="2971" t="e">
        <v>#N/A</v>
      </c>
      <c r="K430" s="3171" t="e">
        <v>#N/A</v>
      </c>
      <c r="L430" s="2971" t="e">
        <v>#N/A</v>
      </c>
      <c r="M430" s="3171" t="e">
        <v>#N/A</v>
      </c>
      <c r="N430" s="2972" t="e">
        <v>#N/A</v>
      </c>
    </row>
    <row r="431" spans="1:14">
      <c r="A431" s="63">
        <f t="shared" si="4"/>
        <v>2029.02</v>
      </c>
      <c r="B431" s="2973" t="e">
        <v>#N/A</v>
      </c>
      <c r="C431" s="3171" t="e">
        <v>#N/A</v>
      </c>
      <c r="D431" s="2971" t="e">
        <v>#N/A</v>
      </c>
      <c r="E431" s="3171" t="e">
        <v>#N/A</v>
      </c>
      <c r="F431" s="2971" t="e">
        <v>#N/A</v>
      </c>
      <c r="G431" s="3171" t="e">
        <v>#N/A</v>
      </c>
      <c r="H431" s="2971" t="e">
        <v>#N/A</v>
      </c>
      <c r="I431" s="3171" t="e">
        <v>#N/A</v>
      </c>
      <c r="J431" s="2971" t="e">
        <v>#N/A</v>
      </c>
      <c r="K431" s="3171" t="e">
        <v>#N/A</v>
      </c>
      <c r="L431" s="2971" t="e">
        <v>#N/A</v>
      </c>
      <c r="M431" s="3171" t="e">
        <v>#N/A</v>
      </c>
      <c r="N431" s="2972" t="e">
        <v>#N/A</v>
      </c>
    </row>
    <row r="432" spans="1:14">
      <c r="A432" s="63">
        <f t="shared" si="4"/>
        <v>2029.03</v>
      </c>
      <c r="B432" s="2973" t="e">
        <v>#N/A</v>
      </c>
      <c r="C432" s="3171" t="e">
        <v>#N/A</v>
      </c>
      <c r="D432" s="2971" t="e">
        <v>#N/A</v>
      </c>
      <c r="E432" s="3171" t="e">
        <v>#N/A</v>
      </c>
      <c r="F432" s="2971" t="e">
        <v>#N/A</v>
      </c>
      <c r="G432" s="3171" t="e">
        <v>#N/A</v>
      </c>
      <c r="H432" s="2971" t="e">
        <v>#N/A</v>
      </c>
      <c r="I432" s="3171" t="e">
        <v>#N/A</v>
      </c>
      <c r="J432" s="2971" t="e">
        <v>#N/A</v>
      </c>
      <c r="K432" s="3171" t="e">
        <v>#N/A</v>
      </c>
      <c r="L432" s="2971" t="e">
        <v>#N/A</v>
      </c>
      <c r="M432" s="3171" t="e">
        <v>#N/A</v>
      </c>
      <c r="N432" s="2972" t="e">
        <v>#N/A</v>
      </c>
    </row>
    <row r="433" spans="1:14">
      <c r="A433" s="63">
        <f t="shared" si="4"/>
        <v>2029.04</v>
      </c>
      <c r="B433" s="2973" t="e">
        <v>#N/A</v>
      </c>
      <c r="C433" s="3171" t="e">
        <v>#N/A</v>
      </c>
      <c r="D433" s="2971" t="e">
        <v>#N/A</v>
      </c>
      <c r="E433" s="3171" t="e">
        <v>#N/A</v>
      </c>
      <c r="F433" s="2971" t="e">
        <v>#N/A</v>
      </c>
      <c r="G433" s="3171" t="e">
        <v>#N/A</v>
      </c>
      <c r="H433" s="2971" t="e">
        <v>#N/A</v>
      </c>
      <c r="I433" s="3171" t="e">
        <v>#N/A</v>
      </c>
      <c r="J433" s="2971" t="e">
        <v>#N/A</v>
      </c>
      <c r="K433" s="3171" t="e">
        <v>#N/A</v>
      </c>
      <c r="L433" s="2971" t="e">
        <v>#N/A</v>
      </c>
      <c r="M433" s="3171" t="e">
        <v>#N/A</v>
      </c>
      <c r="N433" s="2972" t="e">
        <v>#N/A</v>
      </c>
    </row>
    <row r="434" spans="1:14">
      <c r="A434" s="63">
        <f t="shared" ref="A434:A453" si="5">A422+1</f>
        <v>2029.05</v>
      </c>
      <c r="B434" s="2973" t="e">
        <v>#N/A</v>
      </c>
      <c r="C434" s="3171" t="e">
        <v>#N/A</v>
      </c>
      <c r="D434" s="2971" t="e">
        <v>#N/A</v>
      </c>
      <c r="E434" s="3171" t="e">
        <v>#N/A</v>
      </c>
      <c r="F434" s="2971" t="e">
        <v>#N/A</v>
      </c>
      <c r="G434" s="3171" t="e">
        <v>#N/A</v>
      </c>
      <c r="H434" s="2971" t="e">
        <v>#N/A</v>
      </c>
      <c r="I434" s="3171" t="e">
        <v>#N/A</v>
      </c>
      <c r="J434" s="2971" t="e">
        <v>#N/A</v>
      </c>
      <c r="K434" s="3171" t="e">
        <v>#N/A</v>
      </c>
      <c r="L434" s="2971" t="e">
        <v>#N/A</v>
      </c>
      <c r="M434" s="3171" t="e">
        <v>#N/A</v>
      </c>
      <c r="N434" s="2972" t="e">
        <v>#N/A</v>
      </c>
    </row>
    <row r="435" spans="1:14">
      <c r="A435" s="63">
        <f t="shared" si="5"/>
        <v>2029.06</v>
      </c>
      <c r="B435" s="2973" t="e">
        <v>#N/A</v>
      </c>
      <c r="C435" s="3171" t="e">
        <v>#N/A</v>
      </c>
      <c r="D435" s="2971" t="e">
        <v>#N/A</v>
      </c>
      <c r="E435" s="3171" t="e">
        <v>#N/A</v>
      </c>
      <c r="F435" s="2971" t="e">
        <v>#N/A</v>
      </c>
      <c r="G435" s="3171" t="e">
        <v>#N/A</v>
      </c>
      <c r="H435" s="2971" t="e">
        <v>#N/A</v>
      </c>
      <c r="I435" s="3171" t="e">
        <v>#N/A</v>
      </c>
      <c r="J435" s="2971" t="e">
        <v>#N/A</v>
      </c>
      <c r="K435" s="3171" t="e">
        <v>#N/A</v>
      </c>
      <c r="L435" s="2971" t="e">
        <v>#N/A</v>
      </c>
      <c r="M435" s="3171" t="e">
        <v>#N/A</v>
      </c>
      <c r="N435" s="2972" t="e">
        <v>#N/A</v>
      </c>
    </row>
    <row r="436" spans="1:14">
      <c r="A436" s="63">
        <f t="shared" si="5"/>
        <v>2029.07</v>
      </c>
      <c r="B436" s="2973" t="e">
        <v>#N/A</v>
      </c>
      <c r="C436" s="3171" t="e">
        <v>#N/A</v>
      </c>
      <c r="D436" s="2971" t="e">
        <v>#N/A</v>
      </c>
      <c r="E436" s="3171" t="e">
        <v>#N/A</v>
      </c>
      <c r="F436" s="2971" t="e">
        <v>#N/A</v>
      </c>
      <c r="G436" s="3171" t="e">
        <v>#N/A</v>
      </c>
      <c r="H436" s="2971" t="e">
        <v>#N/A</v>
      </c>
      <c r="I436" s="3171" t="e">
        <v>#N/A</v>
      </c>
      <c r="J436" s="2971" t="e">
        <v>#N/A</v>
      </c>
      <c r="K436" s="3171" t="e">
        <v>#N/A</v>
      </c>
      <c r="L436" s="2971" t="e">
        <v>#N/A</v>
      </c>
      <c r="M436" s="3171" t="e">
        <v>#N/A</v>
      </c>
      <c r="N436" s="2972" t="e">
        <v>#N/A</v>
      </c>
    </row>
    <row r="437" spans="1:14">
      <c r="A437" s="63">
        <f t="shared" si="5"/>
        <v>2029.08</v>
      </c>
      <c r="B437" s="2973" t="e">
        <v>#N/A</v>
      </c>
      <c r="C437" s="3171" t="e">
        <v>#N/A</v>
      </c>
      <c r="D437" s="2971" t="e">
        <v>#N/A</v>
      </c>
      <c r="E437" s="3171" t="e">
        <v>#N/A</v>
      </c>
      <c r="F437" s="2971" t="e">
        <v>#N/A</v>
      </c>
      <c r="G437" s="3171" t="e">
        <v>#N/A</v>
      </c>
      <c r="H437" s="2971" t="e">
        <v>#N/A</v>
      </c>
      <c r="I437" s="3171" t="e">
        <v>#N/A</v>
      </c>
      <c r="J437" s="2971" t="e">
        <v>#N/A</v>
      </c>
      <c r="K437" s="3171" t="e">
        <v>#N/A</v>
      </c>
      <c r="L437" s="2971" t="e">
        <v>#N/A</v>
      </c>
      <c r="M437" s="3171" t="e">
        <v>#N/A</v>
      </c>
      <c r="N437" s="2972" t="e">
        <v>#N/A</v>
      </c>
    </row>
    <row r="438" spans="1:14">
      <c r="A438" s="63">
        <f t="shared" si="5"/>
        <v>2029.09</v>
      </c>
      <c r="B438" s="2973" t="e">
        <v>#N/A</v>
      </c>
      <c r="C438" s="3171" t="e">
        <v>#N/A</v>
      </c>
      <c r="D438" s="2971" t="e">
        <v>#N/A</v>
      </c>
      <c r="E438" s="3171" t="e">
        <v>#N/A</v>
      </c>
      <c r="F438" s="2971" t="e">
        <v>#N/A</v>
      </c>
      <c r="G438" s="3171" t="e">
        <v>#N/A</v>
      </c>
      <c r="H438" s="2971" t="e">
        <v>#N/A</v>
      </c>
      <c r="I438" s="3171" t="e">
        <v>#N/A</v>
      </c>
      <c r="J438" s="2971" t="e">
        <v>#N/A</v>
      </c>
      <c r="K438" s="3171" t="e">
        <v>#N/A</v>
      </c>
      <c r="L438" s="2971" t="e">
        <v>#N/A</v>
      </c>
      <c r="M438" s="3171" t="e">
        <v>#N/A</v>
      </c>
      <c r="N438" s="2972" t="e">
        <v>#N/A</v>
      </c>
    </row>
    <row r="439" spans="1:14">
      <c r="A439" s="63">
        <f t="shared" si="5"/>
        <v>2029.1</v>
      </c>
      <c r="B439" s="2973" t="e">
        <v>#N/A</v>
      </c>
      <c r="C439" s="3171" t="e">
        <v>#N/A</v>
      </c>
      <c r="D439" s="2971" t="e">
        <v>#N/A</v>
      </c>
      <c r="E439" s="3171" t="e">
        <v>#N/A</v>
      </c>
      <c r="F439" s="2971" t="e">
        <v>#N/A</v>
      </c>
      <c r="G439" s="3171" t="e">
        <v>#N/A</v>
      </c>
      <c r="H439" s="2971" t="e">
        <v>#N/A</v>
      </c>
      <c r="I439" s="3171" t="e">
        <v>#N/A</v>
      </c>
      <c r="J439" s="2971" t="e">
        <v>#N/A</v>
      </c>
      <c r="K439" s="3171" t="e">
        <v>#N/A</v>
      </c>
      <c r="L439" s="2971" t="e">
        <v>#N/A</v>
      </c>
      <c r="M439" s="3171" t="e">
        <v>#N/A</v>
      </c>
      <c r="N439" s="2972" t="e">
        <v>#N/A</v>
      </c>
    </row>
    <row r="440" spans="1:14">
      <c r="A440" s="63">
        <f t="shared" si="5"/>
        <v>2029.11</v>
      </c>
      <c r="B440" s="2973" t="e">
        <v>#N/A</v>
      </c>
      <c r="C440" s="3171" t="e">
        <v>#N/A</v>
      </c>
      <c r="D440" s="2971" t="e">
        <v>#N/A</v>
      </c>
      <c r="E440" s="3171" t="e">
        <v>#N/A</v>
      </c>
      <c r="F440" s="2971" t="e">
        <v>#N/A</v>
      </c>
      <c r="G440" s="3171" t="e">
        <v>#N/A</v>
      </c>
      <c r="H440" s="2971" t="e">
        <v>#N/A</v>
      </c>
      <c r="I440" s="3171" t="e">
        <v>#N/A</v>
      </c>
      <c r="J440" s="2971" t="e">
        <v>#N/A</v>
      </c>
      <c r="K440" s="3171" t="e">
        <v>#N/A</v>
      </c>
      <c r="L440" s="2971" t="e">
        <v>#N/A</v>
      </c>
      <c r="M440" s="3171" t="e">
        <v>#N/A</v>
      </c>
      <c r="N440" s="2972" t="e">
        <v>#N/A</v>
      </c>
    </row>
    <row r="441" spans="1:14">
      <c r="A441" s="63">
        <f t="shared" si="5"/>
        <v>2029.12</v>
      </c>
      <c r="B441" s="2973" t="e">
        <v>#N/A</v>
      </c>
      <c r="C441" s="3171" t="e">
        <v>#N/A</v>
      </c>
      <c r="D441" s="2971" t="e">
        <v>#N/A</v>
      </c>
      <c r="E441" s="3171" t="e">
        <v>#N/A</v>
      </c>
      <c r="F441" s="2971" t="e">
        <v>#N/A</v>
      </c>
      <c r="G441" s="3171" t="e">
        <v>#N/A</v>
      </c>
      <c r="H441" s="2971" t="e">
        <v>#N/A</v>
      </c>
      <c r="I441" s="3171" t="e">
        <v>#N/A</v>
      </c>
      <c r="J441" s="2971" t="e">
        <v>#N/A</v>
      </c>
      <c r="K441" s="3171" t="e">
        <v>#N/A</v>
      </c>
      <c r="L441" s="2971" t="e">
        <v>#N/A</v>
      </c>
      <c r="M441" s="3171" t="e">
        <v>#N/A</v>
      </c>
      <c r="N441" s="2972" t="e">
        <v>#N/A</v>
      </c>
    </row>
    <row r="442" spans="1:14">
      <c r="A442" s="63">
        <f t="shared" si="5"/>
        <v>2030.01</v>
      </c>
      <c r="B442" s="2973" t="e">
        <v>#N/A</v>
      </c>
      <c r="C442" s="3171" t="e">
        <v>#N/A</v>
      </c>
      <c r="D442" s="2971" t="e">
        <v>#N/A</v>
      </c>
      <c r="E442" s="3171" t="e">
        <v>#N/A</v>
      </c>
      <c r="F442" s="2971" t="e">
        <v>#N/A</v>
      </c>
      <c r="G442" s="3171" t="e">
        <v>#N/A</v>
      </c>
      <c r="H442" s="2971" t="e">
        <v>#N/A</v>
      </c>
      <c r="I442" s="3171" t="e">
        <v>#N/A</v>
      </c>
      <c r="J442" s="2971" t="e">
        <v>#N/A</v>
      </c>
      <c r="K442" s="3171" t="e">
        <v>#N/A</v>
      </c>
      <c r="L442" s="2971" t="e">
        <v>#N/A</v>
      </c>
      <c r="M442" s="3171" t="e">
        <v>#N/A</v>
      </c>
      <c r="N442" s="2972" t="e">
        <v>#N/A</v>
      </c>
    </row>
    <row r="443" spans="1:14">
      <c r="A443" s="63">
        <f t="shared" si="5"/>
        <v>2030.02</v>
      </c>
      <c r="B443" s="2973" t="e">
        <v>#N/A</v>
      </c>
      <c r="C443" s="3171" t="e">
        <v>#N/A</v>
      </c>
      <c r="D443" s="2971" t="e">
        <v>#N/A</v>
      </c>
      <c r="E443" s="3171" t="e">
        <v>#N/A</v>
      </c>
      <c r="F443" s="2971" t="e">
        <v>#N/A</v>
      </c>
      <c r="G443" s="3171" t="e">
        <v>#N/A</v>
      </c>
      <c r="H443" s="2971" t="e">
        <v>#N/A</v>
      </c>
      <c r="I443" s="3171" t="e">
        <v>#N/A</v>
      </c>
      <c r="J443" s="2971" t="e">
        <v>#N/A</v>
      </c>
      <c r="K443" s="3171" t="e">
        <v>#N/A</v>
      </c>
      <c r="L443" s="2971" t="e">
        <v>#N/A</v>
      </c>
      <c r="M443" s="3171" t="e">
        <v>#N/A</v>
      </c>
      <c r="N443" s="2972" t="e">
        <v>#N/A</v>
      </c>
    </row>
    <row r="444" spans="1:14">
      <c r="A444" s="63">
        <f t="shared" si="5"/>
        <v>2030.03</v>
      </c>
      <c r="B444" s="2973" t="e">
        <v>#N/A</v>
      </c>
      <c r="C444" s="3171" t="e">
        <v>#N/A</v>
      </c>
      <c r="D444" s="2971" t="e">
        <v>#N/A</v>
      </c>
      <c r="E444" s="3171" t="e">
        <v>#N/A</v>
      </c>
      <c r="F444" s="2971" t="e">
        <v>#N/A</v>
      </c>
      <c r="G444" s="3171" t="e">
        <v>#N/A</v>
      </c>
      <c r="H444" s="2971" t="e">
        <v>#N/A</v>
      </c>
      <c r="I444" s="3171" t="e">
        <v>#N/A</v>
      </c>
      <c r="J444" s="2971" t="e">
        <v>#N/A</v>
      </c>
      <c r="K444" s="3171" t="e">
        <v>#N/A</v>
      </c>
      <c r="L444" s="2971" t="e">
        <v>#N/A</v>
      </c>
      <c r="M444" s="3171" t="e">
        <v>#N/A</v>
      </c>
      <c r="N444" s="2972" t="e">
        <v>#N/A</v>
      </c>
    </row>
    <row r="445" spans="1:14">
      <c r="A445" s="63">
        <f t="shared" si="5"/>
        <v>2030.04</v>
      </c>
      <c r="B445" s="2973" t="e">
        <v>#N/A</v>
      </c>
      <c r="C445" s="3171" t="e">
        <v>#N/A</v>
      </c>
      <c r="D445" s="2971" t="e">
        <v>#N/A</v>
      </c>
      <c r="E445" s="3171" t="e">
        <v>#N/A</v>
      </c>
      <c r="F445" s="2971" t="e">
        <v>#N/A</v>
      </c>
      <c r="G445" s="3171" t="e">
        <v>#N/A</v>
      </c>
      <c r="H445" s="2971" t="e">
        <v>#N/A</v>
      </c>
      <c r="I445" s="3171" t="e">
        <v>#N/A</v>
      </c>
      <c r="J445" s="2971" t="e">
        <v>#N/A</v>
      </c>
      <c r="K445" s="3171" t="e">
        <v>#N/A</v>
      </c>
      <c r="L445" s="2971" t="e">
        <v>#N/A</v>
      </c>
      <c r="M445" s="3171" t="e">
        <v>#N/A</v>
      </c>
      <c r="N445" s="2972" t="e">
        <v>#N/A</v>
      </c>
    </row>
    <row r="446" spans="1:14">
      <c r="A446" s="63">
        <f t="shared" si="5"/>
        <v>2030.05</v>
      </c>
      <c r="B446" s="2973" t="e">
        <v>#N/A</v>
      </c>
      <c r="C446" s="3171" t="e">
        <v>#N/A</v>
      </c>
      <c r="D446" s="2971" t="e">
        <v>#N/A</v>
      </c>
      <c r="E446" s="3171" t="e">
        <v>#N/A</v>
      </c>
      <c r="F446" s="2971" t="e">
        <v>#N/A</v>
      </c>
      <c r="G446" s="3171" t="e">
        <v>#N/A</v>
      </c>
      <c r="H446" s="2971" t="e">
        <v>#N/A</v>
      </c>
      <c r="I446" s="3171" t="e">
        <v>#N/A</v>
      </c>
      <c r="J446" s="2971" t="e">
        <v>#N/A</v>
      </c>
      <c r="K446" s="3171" t="e">
        <v>#N/A</v>
      </c>
      <c r="L446" s="2971" t="e">
        <v>#N/A</v>
      </c>
      <c r="M446" s="3171" t="e">
        <v>#N/A</v>
      </c>
      <c r="N446" s="2972" t="e">
        <v>#N/A</v>
      </c>
    </row>
    <row r="447" spans="1:14">
      <c r="A447" s="63">
        <f t="shared" si="5"/>
        <v>2030.06</v>
      </c>
      <c r="B447" s="2973" t="e">
        <v>#N/A</v>
      </c>
      <c r="C447" s="3171" t="e">
        <v>#N/A</v>
      </c>
      <c r="D447" s="2971" t="e">
        <v>#N/A</v>
      </c>
      <c r="E447" s="3171" t="e">
        <v>#N/A</v>
      </c>
      <c r="F447" s="2971" t="e">
        <v>#N/A</v>
      </c>
      <c r="G447" s="3171" t="e">
        <v>#N/A</v>
      </c>
      <c r="H447" s="2971" t="e">
        <v>#N/A</v>
      </c>
      <c r="I447" s="3171" t="e">
        <v>#N/A</v>
      </c>
      <c r="J447" s="2971" t="e">
        <v>#N/A</v>
      </c>
      <c r="K447" s="3171" t="e">
        <v>#N/A</v>
      </c>
      <c r="L447" s="2971" t="e">
        <v>#N/A</v>
      </c>
      <c r="M447" s="3171" t="e">
        <v>#N/A</v>
      </c>
      <c r="N447" s="2972" t="e">
        <v>#N/A</v>
      </c>
    </row>
    <row r="448" spans="1:14">
      <c r="A448" s="63">
        <f t="shared" si="5"/>
        <v>2030.07</v>
      </c>
      <c r="B448" s="2973" t="e">
        <v>#N/A</v>
      </c>
      <c r="C448" s="3171" t="e">
        <v>#N/A</v>
      </c>
      <c r="D448" s="2971" t="e">
        <v>#N/A</v>
      </c>
      <c r="E448" s="3171" t="e">
        <v>#N/A</v>
      </c>
      <c r="F448" s="2971" t="e">
        <v>#N/A</v>
      </c>
      <c r="G448" s="3171" t="e">
        <v>#N/A</v>
      </c>
      <c r="H448" s="2971" t="e">
        <v>#N/A</v>
      </c>
      <c r="I448" s="3171" t="e">
        <v>#N/A</v>
      </c>
      <c r="J448" s="2971" t="e">
        <v>#N/A</v>
      </c>
      <c r="K448" s="3171" t="e">
        <v>#N/A</v>
      </c>
      <c r="L448" s="2971" t="e">
        <v>#N/A</v>
      </c>
      <c r="M448" s="3171" t="e">
        <v>#N/A</v>
      </c>
      <c r="N448" s="2972" t="e">
        <v>#N/A</v>
      </c>
    </row>
    <row r="449" spans="1:14">
      <c r="A449" s="63">
        <f t="shared" si="5"/>
        <v>2030.08</v>
      </c>
      <c r="B449" s="2973" t="e">
        <v>#N/A</v>
      </c>
      <c r="C449" s="3171" t="e">
        <v>#N/A</v>
      </c>
      <c r="D449" s="2971" t="e">
        <v>#N/A</v>
      </c>
      <c r="E449" s="3171" t="e">
        <v>#N/A</v>
      </c>
      <c r="F449" s="2971" t="e">
        <v>#N/A</v>
      </c>
      <c r="G449" s="3171" t="e">
        <v>#N/A</v>
      </c>
      <c r="H449" s="2971" t="e">
        <v>#N/A</v>
      </c>
      <c r="I449" s="3171" t="e">
        <v>#N/A</v>
      </c>
      <c r="J449" s="2971" t="e">
        <v>#N/A</v>
      </c>
      <c r="K449" s="3171" t="e">
        <v>#N/A</v>
      </c>
      <c r="L449" s="2971" t="e">
        <v>#N/A</v>
      </c>
      <c r="M449" s="3171" t="e">
        <v>#N/A</v>
      </c>
      <c r="N449" s="2972" t="e">
        <v>#N/A</v>
      </c>
    </row>
    <row r="450" spans="1:14">
      <c r="A450" s="63">
        <f t="shared" si="5"/>
        <v>2030.09</v>
      </c>
      <c r="B450" s="2973" t="e">
        <v>#N/A</v>
      </c>
      <c r="C450" s="3171" t="e">
        <v>#N/A</v>
      </c>
      <c r="D450" s="2971" t="e">
        <v>#N/A</v>
      </c>
      <c r="E450" s="3171" t="e">
        <v>#N/A</v>
      </c>
      <c r="F450" s="2971" t="e">
        <v>#N/A</v>
      </c>
      <c r="G450" s="3171" t="e">
        <v>#N/A</v>
      </c>
      <c r="H450" s="2971" t="e">
        <v>#N/A</v>
      </c>
      <c r="I450" s="3171" t="e">
        <v>#N/A</v>
      </c>
      <c r="J450" s="2971" t="e">
        <v>#N/A</v>
      </c>
      <c r="K450" s="3171" t="e">
        <v>#N/A</v>
      </c>
      <c r="L450" s="2971" t="e">
        <v>#N/A</v>
      </c>
      <c r="M450" s="3171" t="e">
        <v>#N/A</v>
      </c>
      <c r="N450" s="2972" t="e">
        <v>#N/A</v>
      </c>
    </row>
    <row r="451" spans="1:14">
      <c r="A451" s="63">
        <f t="shared" si="5"/>
        <v>2030.1</v>
      </c>
      <c r="B451" s="2973" t="e">
        <v>#N/A</v>
      </c>
      <c r="C451" s="3171" t="e">
        <v>#N/A</v>
      </c>
      <c r="D451" s="2971" t="e">
        <v>#N/A</v>
      </c>
      <c r="E451" s="3171" t="e">
        <v>#N/A</v>
      </c>
      <c r="F451" s="2971" t="e">
        <v>#N/A</v>
      </c>
      <c r="G451" s="3171" t="e">
        <v>#N/A</v>
      </c>
      <c r="H451" s="2971" t="e">
        <v>#N/A</v>
      </c>
      <c r="I451" s="3171" t="e">
        <v>#N/A</v>
      </c>
      <c r="J451" s="2971" t="e">
        <v>#N/A</v>
      </c>
      <c r="K451" s="3171" t="e">
        <v>#N/A</v>
      </c>
      <c r="L451" s="2971" t="e">
        <v>#N/A</v>
      </c>
      <c r="M451" s="3171" t="e">
        <v>#N/A</v>
      </c>
      <c r="N451" s="2972" t="e">
        <v>#N/A</v>
      </c>
    </row>
    <row r="452" spans="1:14">
      <c r="A452" s="63">
        <f t="shared" si="5"/>
        <v>2030.11</v>
      </c>
      <c r="B452" s="2973" t="e">
        <v>#N/A</v>
      </c>
      <c r="C452" s="3171" t="e">
        <v>#N/A</v>
      </c>
      <c r="D452" s="2971" t="e">
        <v>#N/A</v>
      </c>
      <c r="E452" s="3171" t="e">
        <v>#N/A</v>
      </c>
      <c r="F452" s="2971" t="e">
        <v>#N/A</v>
      </c>
      <c r="G452" s="3171" t="e">
        <v>#N/A</v>
      </c>
      <c r="H452" s="2971" t="e">
        <v>#N/A</v>
      </c>
      <c r="I452" s="3171" t="e">
        <v>#N/A</v>
      </c>
      <c r="J452" s="2971" t="e">
        <v>#N/A</v>
      </c>
      <c r="K452" s="3171" t="e">
        <v>#N/A</v>
      </c>
      <c r="L452" s="2971" t="e">
        <v>#N/A</v>
      </c>
      <c r="M452" s="3171" t="e">
        <v>#N/A</v>
      </c>
      <c r="N452" s="2972" t="e">
        <v>#N/A</v>
      </c>
    </row>
    <row r="453" spans="1:14">
      <c r="A453" s="63">
        <f t="shared" si="5"/>
        <v>2030.12</v>
      </c>
      <c r="B453" s="2973" t="e">
        <v>#N/A</v>
      </c>
      <c r="C453" s="3171" t="e">
        <v>#N/A</v>
      </c>
      <c r="D453" s="2971" t="e">
        <v>#N/A</v>
      </c>
      <c r="E453" s="3171" t="e">
        <v>#N/A</v>
      </c>
      <c r="F453" s="2971" t="e">
        <v>#N/A</v>
      </c>
      <c r="G453" s="3171" t="e">
        <v>#N/A</v>
      </c>
      <c r="H453" s="2971" t="e">
        <v>#N/A</v>
      </c>
      <c r="I453" s="3171" t="e">
        <v>#N/A</v>
      </c>
      <c r="J453" s="2971" t="e">
        <v>#N/A</v>
      </c>
      <c r="K453" s="3171" t="e">
        <v>#N/A</v>
      </c>
      <c r="L453" s="2971" t="e">
        <v>#N/A</v>
      </c>
      <c r="M453" s="3171" t="e">
        <v>#N/A</v>
      </c>
      <c r="N453" s="2972" t="e">
        <v>#N/A</v>
      </c>
    </row>
  </sheetData>
  <phoneticPr fontId="0" type="noConversion"/>
  <hyperlinks>
    <hyperlink ref="A5" location="INDICE!A13" display="VOLVER AL INDICE" xr:uid="{00000000-0004-0000-1D00-000000000000}"/>
  </hyperlinks>
  <printOptions gridLines="1"/>
  <pageMargins left="0.39370078740157483" right="0.39370078740157483" top="0.59055118110236227" bottom="0.59055118110236227" header="0" footer="0"/>
  <pageSetup paperSize="9" scale="20"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53">
    <pageSetUpPr autoPageBreaks="0" fitToPage="1"/>
  </sheetPr>
  <dimension ref="A1:U453"/>
  <sheetViews>
    <sheetView zoomScale="130" zoomScaleNormal="130" workbookViewId="0">
      <pane xSplit="1" ySplit="9" topLeftCell="B376" activePane="bottomRight" state="frozen"/>
      <selection pane="topRight" activeCell="B1" sqref="B1"/>
      <selection pane="bottomLeft" activeCell="A10" sqref="A10"/>
      <selection pane="bottomRight" activeCell="A4" sqref="A4"/>
    </sheetView>
  </sheetViews>
  <sheetFormatPr baseColWidth="10" defaultColWidth="11.42578125" defaultRowHeight="12.75"/>
  <cols>
    <col min="1" max="1" width="10.5703125" style="24" customWidth="1"/>
    <col min="2" max="4" width="15.140625" style="24" customWidth="1"/>
    <col min="5" max="20" width="14.85546875" style="24" customWidth="1"/>
    <col min="21" max="16384" width="11.42578125" style="9"/>
  </cols>
  <sheetData>
    <row r="1" spans="1:21" s="13" customFormat="1" ht="4.5" customHeight="1">
      <c r="A1" s="446"/>
      <c r="B1" s="145"/>
      <c r="C1" s="145">
        <v>0.8544026657363164</v>
      </c>
      <c r="D1" s="145"/>
      <c r="E1" s="2442">
        <v>0.86308581949998553</v>
      </c>
      <c r="F1" s="145">
        <v>0.94822681585435242</v>
      </c>
      <c r="G1" s="145">
        <v>0.86864621487411864</v>
      </c>
      <c r="H1" s="145">
        <v>0.93042729873694474</v>
      </c>
      <c r="I1" s="145">
        <v>0.86880344046162417</v>
      </c>
      <c r="J1" s="145">
        <v>0.94234423835026948</v>
      </c>
      <c r="K1" s="145">
        <v>0.88163337276193698</v>
      </c>
      <c r="L1" s="145">
        <v>0.8551881413911061</v>
      </c>
      <c r="M1" s="145">
        <v>0.74891407459184178</v>
      </c>
      <c r="N1" s="145">
        <v>0.94073377234242694</v>
      </c>
      <c r="O1" s="145">
        <v>0.60044132437341435</v>
      </c>
      <c r="P1" s="145">
        <v>0.88331419485911145</v>
      </c>
      <c r="Q1" s="145"/>
      <c r="R1" s="145">
        <v>0.8544026657363164</v>
      </c>
      <c r="S1" s="145">
        <v>0.86308581949998553</v>
      </c>
      <c r="T1" s="146"/>
      <c r="U1" s="2036"/>
    </row>
    <row r="2" spans="1:21" s="13" customFormat="1" ht="17.25" customHeight="1">
      <c r="A2" s="94" t="s">
        <v>105</v>
      </c>
      <c r="B2" s="1709" t="s">
        <v>970</v>
      </c>
      <c r="C2" s="2379"/>
      <c r="D2" s="2379"/>
      <c r="E2" s="2379" t="s">
        <v>971</v>
      </c>
      <c r="F2" s="2379"/>
      <c r="G2" s="2379"/>
      <c r="H2" s="2379"/>
      <c r="I2" s="2379"/>
      <c r="J2" s="2379"/>
      <c r="K2" s="2379"/>
      <c r="L2" s="2379"/>
      <c r="M2" s="2379"/>
      <c r="N2" s="2379"/>
      <c r="O2" s="2379"/>
      <c r="P2" s="2379"/>
      <c r="Q2" s="2379"/>
      <c r="R2" s="2379"/>
      <c r="S2" s="2379"/>
      <c r="T2" s="1882"/>
      <c r="U2" s="2036"/>
    </row>
    <row r="3" spans="1:21" s="13" customFormat="1">
      <c r="A3" s="94" t="s">
        <v>109</v>
      </c>
      <c r="B3" s="1709" t="s">
        <v>132</v>
      </c>
      <c r="C3" s="2379"/>
      <c r="D3" s="2379"/>
      <c r="E3" s="1788" t="s">
        <v>132</v>
      </c>
      <c r="F3" s="2379"/>
      <c r="G3" s="2379"/>
      <c r="H3" s="2379"/>
      <c r="I3" s="2379"/>
      <c r="J3" s="2379"/>
      <c r="K3" s="2379"/>
      <c r="L3" s="2379"/>
      <c r="M3" s="2379"/>
      <c r="N3" s="2379"/>
      <c r="O3" s="2379"/>
      <c r="P3" s="2379"/>
      <c r="Q3" s="2379"/>
      <c r="R3" s="2379"/>
      <c r="S3" s="2379"/>
      <c r="T3" s="1882"/>
      <c r="U3" s="2036"/>
    </row>
    <row r="4" spans="1:21" s="13" customFormat="1" ht="56.25">
      <c r="A4" s="1901" t="s">
        <v>137</v>
      </c>
      <c r="B4" s="811" t="s">
        <v>215</v>
      </c>
      <c r="C4" s="814" t="s">
        <v>216</v>
      </c>
      <c r="D4" s="811" t="s">
        <v>972</v>
      </c>
      <c r="E4" s="2440" t="s">
        <v>911</v>
      </c>
      <c r="F4" s="814" t="s">
        <v>973</v>
      </c>
      <c r="G4" s="811" t="s">
        <v>948</v>
      </c>
      <c r="H4" s="814" t="s">
        <v>974</v>
      </c>
      <c r="I4" s="811" t="s">
        <v>975</v>
      </c>
      <c r="J4" s="814" t="s">
        <v>976</v>
      </c>
      <c r="K4" s="811" t="s">
        <v>977</v>
      </c>
      <c r="L4" s="814" t="s">
        <v>978</v>
      </c>
      <c r="M4" s="811" t="s">
        <v>979</v>
      </c>
      <c r="N4" s="814" t="s">
        <v>954</v>
      </c>
      <c r="O4" s="843" t="s">
        <v>980</v>
      </c>
      <c r="P4" s="814" t="s">
        <v>981</v>
      </c>
      <c r="Q4" s="811" t="s">
        <v>982</v>
      </c>
      <c r="R4" s="814" t="s">
        <v>983</v>
      </c>
      <c r="S4" s="811" t="s">
        <v>984</v>
      </c>
      <c r="T4" s="2037" t="s">
        <v>985</v>
      </c>
      <c r="U4" s="2036"/>
    </row>
    <row r="5" spans="1:21" s="13" customFormat="1" ht="22.5">
      <c r="A5" s="1900" t="s">
        <v>123</v>
      </c>
      <c r="B5" s="8" t="s">
        <v>154</v>
      </c>
      <c r="C5" s="1318" t="s">
        <v>154</v>
      </c>
      <c r="D5" s="8" t="s">
        <v>154</v>
      </c>
      <c r="E5" s="6" t="s">
        <v>154</v>
      </c>
      <c r="F5" s="1318" t="s">
        <v>154</v>
      </c>
      <c r="G5" s="8" t="s">
        <v>154</v>
      </c>
      <c r="H5" s="1318" t="s">
        <v>154</v>
      </c>
      <c r="I5" s="8" t="s">
        <v>154</v>
      </c>
      <c r="J5" s="1318" t="s">
        <v>154</v>
      </c>
      <c r="K5" s="8" t="s">
        <v>154</v>
      </c>
      <c r="L5" s="1318" t="s">
        <v>154</v>
      </c>
      <c r="M5" s="8" t="s">
        <v>154</v>
      </c>
      <c r="N5" s="1318" t="s">
        <v>154</v>
      </c>
      <c r="O5" s="8" t="s">
        <v>154</v>
      </c>
      <c r="P5" s="1318" t="s">
        <v>154</v>
      </c>
      <c r="Q5" s="8" t="s">
        <v>154</v>
      </c>
      <c r="R5" s="1318" t="s">
        <v>154</v>
      </c>
      <c r="S5" s="8" t="s">
        <v>154</v>
      </c>
      <c r="T5" s="2038" t="s">
        <v>154</v>
      </c>
      <c r="U5" s="2036"/>
    </row>
    <row r="6" spans="1:21" s="13" customFormat="1" ht="3" hidden="1" customHeight="1">
      <c r="A6" s="446"/>
      <c r="B6" s="170"/>
      <c r="C6" s="3167"/>
      <c r="D6" s="170"/>
      <c r="E6" s="3175" t="s">
        <v>925</v>
      </c>
      <c r="F6" s="3332"/>
      <c r="G6" s="3176"/>
      <c r="H6" s="3332"/>
      <c r="I6" s="3176"/>
      <c r="J6" s="3332" t="s">
        <v>926</v>
      </c>
      <c r="K6" s="3176" t="s">
        <v>927</v>
      </c>
      <c r="L6" s="3332"/>
      <c r="M6" s="3176"/>
      <c r="N6" s="3332"/>
      <c r="O6" s="3176"/>
      <c r="P6" s="3332"/>
      <c r="Q6" s="3176"/>
      <c r="R6" s="3332"/>
      <c r="S6" s="3176"/>
      <c r="T6" s="3333"/>
      <c r="U6" s="2036"/>
    </row>
    <row r="7" spans="1:21" ht="16.5" customHeight="1">
      <c r="A7" s="1900" t="s">
        <v>986</v>
      </c>
      <c r="B7" s="70"/>
      <c r="C7" s="870"/>
      <c r="D7" s="70"/>
      <c r="E7" s="2443">
        <v>24.46</v>
      </c>
      <c r="F7" s="1689">
        <v>0.69</v>
      </c>
      <c r="G7" s="2039">
        <v>2.93</v>
      </c>
      <c r="H7" s="1689">
        <v>6.12</v>
      </c>
      <c r="I7" s="2039">
        <v>9.4</v>
      </c>
      <c r="J7" s="1689">
        <v>4.17</v>
      </c>
      <c r="K7" s="2039">
        <v>12.71</v>
      </c>
      <c r="L7" s="1689">
        <v>4.93</v>
      </c>
      <c r="M7" s="2039">
        <v>3.68</v>
      </c>
      <c r="N7" s="1689">
        <v>9.0500000000000007</v>
      </c>
      <c r="O7" s="2039">
        <v>5.15</v>
      </c>
      <c r="P7" s="1689">
        <v>4.58</v>
      </c>
      <c r="Q7" s="2039">
        <v>3.36</v>
      </c>
      <c r="R7" s="1689">
        <v>3.95</v>
      </c>
      <c r="S7" s="2039">
        <v>0.57999999999999996</v>
      </c>
      <c r="T7" s="2040">
        <v>4.22</v>
      </c>
      <c r="U7" s="201"/>
    </row>
    <row r="8" spans="1:21" s="13" customFormat="1" ht="14.25" customHeight="1" thickBot="1">
      <c r="A8" s="447" t="s">
        <v>141</v>
      </c>
      <c r="B8" s="2837" t="s">
        <v>987</v>
      </c>
      <c r="C8" s="3330" t="s">
        <v>988</v>
      </c>
      <c r="D8" s="2837" t="s">
        <v>989</v>
      </c>
      <c r="E8" s="2836" t="s">
        <v>990</v>
      </c>
      <c r="F8" s="3330" t="s">
        <v>991</v>
      </c>
      <c r="G8" s="2837" t="s">
        <v>992</v>
      </c>
      <c r="H8" s="3330" t="s">
        <v>993</v>
      </c>
      <c r="I8" s="2837" t="s">
        <v>994</v>
      </c>
      <c r="J8" s="3330" t="s">
        <v>995</v>
      </c>
      <c r="K8" s="2837" t="s">
        <v>996</v>
      </c>
      <c r="L8" s="3330" t="s">
        <v>997</v>
      </c>
      <c r="M8" s="2837" t="s">
        <v>998</v>
      </c>
      <c r="N8" s="3330" t="s">
        <v>999</v>
      </c>
      <c r="O8" s="2837" t="s">
        <v>1000</v>
      </c>
      <c r="P8" s="3330" t="s">
        <v>1001</v>
      </c>
      <c r="Q8" s="2837" t="s">
        <v>1002</v>
      </c>
      <c r="R8" s="3330" t="s">
        <v>1003</v>
      </c>
      <c r="S8" s="2837" t="s">
        <v>1004</v>
      </c>
      <c r="T8" s="3334" t="s">
        <v>1005</v>
      </c>
      <c r="U8" s="2036"/>
    </row>
    <row r="9" spans="1:21" s="14" customFormat="1" ht="4.9000000000000004" hidden="1" customHeight="1" thickBot="1">
      <c r="A9" s="448"/>
      <c r="B9" s="1946"/>
      <c r="C9" s="2026"/>
      <c r="D9" s="2041"/>
      <c r="E9" s="443">
        <v>24.46</v>
      </c>
      <c r="F9" s="842">
        <v>0.69</v>
      </c>
      <c r="G9" s="443">
        <v>2.93</v>
      </c>
      <c r="H9" s="842">
        <v>6.12</v>
      </c>
      <c r="I9" s="443">
        <v>9.4</v>
      </c>
      <c r="J9" s="842">
        <v>4.17</v>
      </c>
      <c r="K9" s="443">
        <v>12.71</v>
      </c>
      <c r="L9" s="842">
        <v>4.93</v>
      </c>
      <c r="M9" s="443">
        <v>3.68</v>
      </c>
      <c r="N9" s="842">
        <v>9.0500000000000007</v>
      </c>
      <c r="O9" s="443">
        <v>5.15</v>
      </c>
      <c r="P9" s="842">
        <v>4.58</v>
      </c>
      <c r="Q9" s="443">
        <v>3.36</v>
      </c>
      <c r="R9" s="842">
        <v>3.95</v>
      </c>
      <c r="S9" s="443">
        <v>0.57999999999999996</v>
      </c>
      <c r="T9" s="845">
        <v>4.22</v>
      </c>
      <c r="U9" s="444">
        <f>SUM(E9:T9)</f>
        <v>99.98</v>
      </c>
    </row>
    <row r="10" spans="1:21" s="14" customFormat="1">
      <c r="A10" s="67">
        <v>1994.01</v>
      </c>
      <c r="B10" s="2847">
        <v>76.246694525567776</v>
      </c>
      <c r="C10" s="653">
        <v>80.572637291960589</v>
      </c>
      <c r="D10" s="840"/>
      <c r="E10" s="440"/>
      <c r="F10" s="844"/>
      <c r="G10" s="840"/>
      <c r="H10" s="844"/>
      <c r="I10" s="840"/>
      <c r="J10" s="844"/>
      <c r="K10" s="840"/>
      <c r="L10" s="844"/>
      <c r="M10" s="840"/>
      <c r="N10" s="844"/>
      <c r="O10" s="840"/>
      <c r="P10" s="844"/>
      <c r="Q10" s="2848"/>
      <c r="R10" s="2849"/>
      <c r="S10" s="2848"/>
      <c r="T10" s="2850"/>
      <c r="U10" s="2042"/>
    </row>
    <row r="11" spans="1:21">
      <c r="A11" s="63">
        <v>1994.02</v>
      </c>
      <c r="B11" s="837">
        <v>65.001082999205195</v>
      </c>
      <c r="C11" s="2843">
        <v>80.555718427173844</v>
      </c>
      <c r="D11" s="441"/>
      <c r="E11" s="442"/>
      <c r="F11" s="2844"/>
      <c r="G11" s="441"/>
      <c r="H11" s="2844"/>
      <c r="I11" s="441"/>
      <c r="J11" s="2844"/>
      <c r="K11" s="441"/>
      <c r="L11" s="2844"/>
      <c r="M11" s="441"/>
      <c r="N11" s="2844"/>
      <c r="O11" s="441"/>
      <c r="P11" s="2844"/>
      <c r="Q11" s="2034"/>
      <c r="R11" s="2845"/>
      <c r="S11" s="2034"/>
      <c r="T11" s="2846"/>
      <c r="U11" s="201"/>
    </row>
    <row r="12" spans="1:21">
      <c r="A12" s="63">
        <v>1994.03</v>
      </c>
      <c r="B12" s="837">
        <v>80.498715075094012</v>
      </c>
      <c r="C12" s="2843">
        <v>80.337603651013495</v>
      </c>
      <c r="D12" s="441"/>
      <c r="E12" s="442"/>
      <c r="F12" s="2844"/>
      <c r="G12" s="441"/>
      <c r="H12" s="2844"/>
      <c r="I12" s="441"/>
      <c r="J12" s="2844"/>
      <c r="K12" s="441"/>
      <c r="L12" s="2844"/>
      <c r="M12" s="441"/>
      <c r="N12" s="2844"/>
      <c r="O12" s="441"/>
      <c r="P12" s="2844"/>
      <c r="Q12" s="2034"/>
      <c r="R12" s="2845"/>
      <c r="S12" s="2034"/>
      <c r="T12" s="2846"/>
      <c r="U12" s="201"/>
    </row>
    <row r="13" spans="1:21">
      <c r="A13" s="63">
        <v>1994.04</v>
      </c>
      <c r="B13" s="837">
        <v>78.626170745497291</v>
      </c>
      <c r="C13" s="2843">
        <v>81.215891514894452</v>
      </c>
      <c r="D13" s="441"/>
      <c r="E13" s="442"/>
      <c r="F13" s="2844"/>
      <c r="G13" s="441"/>
      <c r="H13" s="2844"/>
      <c r="I13" s="441"/>
      <c r="J13" s="2844"/>
      <c r="K13" s="441"/>
      <c r="L13" s="2844"/>
      <c r="M13" s="441"/>
      <c r="N13" s="2844"/>
      <c r="O13" s="441"/>
      <c r="P13" s="2844"/>
      <c r="Q13" s="2034"/>
      <c r="R13" s="2845"/>
      <c r="S13" s="2034"/>
      <c r="T13" s="2846"/>
      <c r="U13" s="201"/>
    </row>
    <row r="14" spans="1:21">
      <c r="A14" s="63">
        <v>1994.05</v>
      </c>
      <c r="B14" s="837">
        <v>80.9746103190799</v>
      </c>
      <c r="C14" s="2843">
        <v>81.605819065738572</v>
      </c>
      <c r="D14" s="441"/>
      <c r="E14" s="442"/>
      <c r="F14" s="2844"/>
      <c r="G14" s="441"/>
      <c r="H14" s="2844"/>
      <c r="I14" s="441"/>
      <c r="J14" s="2844"/>
      <c r="K14" s="441"/>
      <c r="L14" s="2844"/>
      <c r="M14" s="441"/>
      <c r="N14" s="2844"/>
      <c r="O14" s="441"/>
      <c r="P14" s="2844"/>
      <c r="Q14" s="2034"/>
      <c r="R14" s="2845"/>
      <c r="S14" s="2034"/>
      <c r="T14" s="2846"/>
      <c r="U14" s="201"/>
    </row>
    <row r="15" spans="1:21">
      <c r="A15" s="63">
        <v>1994.06</v>
      </c>
      <c r="B15" s="837">
        <v>78.036474464906064</v>
      </c>
      <c r="C15" s="2843">
        <v>80.396413212303671</v>
      </c>
      <c r="D15" s="441"/>
      <c r="E15" s="442"/>
      <c r="F15" s="2844"/>
      <c r="G15" s="441"/>
      <c r="H15" s="2844"/>
      <c r="I15" s="441"/>
      <c r="J15" s="2844"/>
      <c r="K15" s="441"/>
      <c r="L15" s="2844"/>
      <c r="M15" s="441"/>
      <c r="N15" s="2844"/>
      <c r="O15" s="441"/>
      <c r="P15" s="2844"/>
      <c r="Q15" s="2034"/>
      <c r="R15" s="2845"/>
      <c r="S15" s="2034"/>
      <c r="T15" s="2846"/>
      <c r="U15" s="201"/>
    </row>
    <row r="16" spans="1:21">
      <c r="A16" s="63">
        <v>1994.07</v>
      </c>
      <c r="B16" s="837">
        <v>82.009165197310125</v>
      </c>
      <c r="C16" s="2843">
        <v>80.389008773844623</v>
      </c>
      <c r="D16" s="441"/>
      <c r="E16" s="442"/>
      <c r="F16" s="2844"/>
      <c r="G16" s="441"/>
      <c r="H16" s="2844"/>
      <c r="I16" s="441"/>
      <c r="J16" s="2844"/>
      <c r="K16" s="441"/>
      <c r="L16" s="2844"/>
      <c r="M16" s="441"/>
      <c r="N16" s="2844"/>
      <c r="O16" s="441"/>
      <c r="P16" s="2844"/>
      <c r="Q16" s="2034"/>
      <c r="R16" s="2845"/>
      <c r="S16" s="2034"/>
      <c r="T16" s="2846"/>
      <c r="U16" s="201"/>
    </row>
    <row r="17" spans="1:20">
      <c r="A17" s="63">
        <v>1994.08</v>
      </c>
      <c r="B17" s="837">
        <v>86.706044344475373</v>
      </c>
      <c r="C17" s="2843">
        <v>82.843986568359782</v>
      </c>
      <c r="D17" s="441"/>
      <c r="E17" s="442"/>
      <c r="F17" s="2844"/>
      <c r="G17" s="441"/>
      <c r="H17" s="2844"/>
      <c r="I17" s="441"/>
      <c r="J17" s="2844"/>
      <c r="K17" s="441"/>
      <c r="L17" s="2844"/>
      <c r="M17" s="441"/>
      <c r="N17" s="2844"/>
      <c r="O17" s="441"/>
      <c r="P17" s="2844"/>
      <c r="Q17" s="2034"/>
      <c r="R17" s="2845"/>
      <c r="S17" s="2034"/>
      <c r="T17" s="2846"/>
    </row>
    <row r="18" spans="1:20">
      <c r="A18" s="63">
        <v>1994.09</v>
      </c>
      <c r="B18" s="837">
        <v>86.819845381080697</v>
      </c>
      <c r="C18" s="2843">
        <v>82.697688100526321</v>
      </c>
      <c r="D18" s="441"/>
      <c r="E18" s="442"/>
      <c r="F18" s="2844"/>
      <c r="G18" s="441"/>
      <c r="H18" s="2844"/>
      <c r="I18" s="441"/>
      <c r="J18" s="2844"/>
      <c r="K18" s="441"/>
      <c r="L18" s="2844"/>
      <c r="M18" s="441"/>
      <c r="N18" s="2844"/>
      <c r="O18" s="441"/>
      <c r="P18" s="2844"/>
      <c r="Q18" s="2034"/>
      <c r="R18" s="2845"/>
      <c r="S18" s="2034"/>
      <c r="T18" s="2846"/>
    </row>
    <row r="19" spans="1:20">
      <c r="A19" s="63">
        <v>1994.1</v>
      </c>
      <c r="B19" s="837">
        <v>83.219594404839512</v>
      </c>
      <c r="C19" s="2843">
        <v>81.682504481831955</v>
      </c>
      <c r="D19" s="441"/>
      <c r="E19" s="442"/>
      <c r="F19" s="2844"/>
      <c r="G19" s="441"/>
      <c r="H19" s="2844"/>
      <c r="I19" s="441"/>
      <c r="J19" s="2844"/>
      <c r="K19" s="441"/>
      <c r="L19" s="2844"/>
      <c r="M19" s="441"/>
      <c r="N19" s="2844"/>
      <c r="O19" s="441"/>
      <c r="P19" s="2844"/>
      <c r="Q19" s="2034"/>
      <c r="R19" s="2845"/>
      <c r="S19" s="2034"/>
      <c r="T19" s="2846"/>
    </row>
    <row r="20" spans="1:20">
      <c r="A20" s="63">
        <v>1994.11</v>
      </c>
      <c r="B20" s="837">
        <v>84.336913673328155</v>
      </c>
      <c r="C20" s="2843">
        <v>83.447330938326814</v>
      </c>
      <c r="D20" s="441"/>
      <c r="E20" s="442"/>
      <c r="F20" s="2844"/>
      <c r="G20" s="441"/>
      <c r="H20" s="2844"/>
      <c r="I20" s="441"/>
      <c r="J20" s="2844"/>
      <c r="K20" s="441"/>
      <c r="L20" s="2844"/>
      <c r="M20" s="441"/>
      <c r="N20" s="2844"/>
      <c r="O20" s="441"/>
      <c r="P20" s="2844"/>
      <c r="Q20" s="2034"/>
      <c r="R20" s="2845"/>
      <c r="S20" s="2034"/>
      <c r="T20" s="2846"/>
    </row>
    <row r="21" spans="1:20">
      <c r="A21" s="63">
        <v>1994.12</v>
      </c>
      <c r="B21" s="837">
        <v>79.453814648081476</v>
      </c>
      <c r="C21" s="2843">
        <v>83.699438799809101</v>
      </c>
      <c r="D21" s="441"/>
      <c r="E21" s="442"/>
      <c r="F21" s="2844"/>
      <c r="G21" s="441"/>
      <c r="H21" s="2844"/>
      <c r="I21" s="441"/>
      <c r="J21" s="2844"/>
      <c r="K21" s="441"/>
      <c r="L21" s="2844"/>
      <c r="M21" s="441"/>
      <c r="N21" s="2844"/>
      <c r="O21" s="441"/>
      <c r="P21" s="2844"/>
      <c r="Q21" s="2034"/>
      <c r="R21" s="2845"/>
      <c r="S21" s="2034"/>
      <c r="T21" s="2846"/>
    </row>
    <row r="22" spans="1:20">
      <c r="A22" s="63">
        <v>1995.01</v>
      </c>
      <c r="B22" s="837">
        <v>71.208412268586557</v>
      </c>
      <c r="C22" s="2843">
        <v>81.43767302503052</v>
      </c>
      <c r="D22" s="441"/>
      <c r="E22" s="442"/>
      <c r="F22" s="2844"/>
      <c r="G22" s="441"/>
      <c r="H22" s="2844"/>
      <c r="I22" s="441"/>
      <c r="J22" s="2844"/>
      <c r="K22" s="441"/>
      <c r="L22" s="2844"/>
      <c r="M22" s="441"/>
      <c r="N22" s="2844"/>
      <c r="O22" s="441"/>
      <c r="P22" s="2844"/>
      <c r="Q22" s="2034"/>
      <c r="R22" s="2845"/>
      <c r="S22" s="2034"/>
      <c r="T22" s="2846"/>
    </row>
    <row r="23" spans="1:20">
      <c r="A23" s="63">
        <v>1995.02</v>
      </c>
      <c r="B23" s="837">
        <v>72.263658244381389</v>
      </c>
      <c r="C23" s="2843">
        <v>81.512242186191457</v>
      </c>
      <c r="D23" s="441"/>
      <c r="E23" s="442"/>
      <c r="F23" s="2844"/>
      <c r="G23" s="441"/>
      <c r="H23" s="2844"/>
      <c r="I23" s="441"/>
      <c r="J23" s="2844"/>
      <c r="K23" s="441"/>
      <c r="L23" s="2844"/>
      <c r="M23" s="441"/>
      <c r="N23" s="2844"/>
      <c r="O23" s="441"/>
      <c r="P23" s="2844"/>
      <c r="Q23" s="2034"/>
      <c r="R23" s="2845"/>
      <c r="S23" s="2034"/>
      <c r="T23" s="2846"/>
    </row>
    <row r="24" spans="1:20">
      <c r="A24" s="63">
        <v>1995.03</v>
      </c>
      <c r="B24" s="837">
        <v>81.233249038637467</v>
      </c>
      <c r="C24" s="2843">
        <v>81.39192296110005</v>
      </c>
      <c r="D24" s="441"/>
      <c r="E24" s="442"/>
      <c r="F24" s="2844"/>
      <c r="G24" s="441"/>
      <c r="H24" s="2844"/>
      <c r="I24" s="441"/>
      <c r="J24" s="2844"/>
      <c r="K24" s="441"/>
      <c r="L24" s="2844"/>
      <c r="M24" s="441"/>
      <c r="N24" s="2844"/>
      <c r="O24" s="441"/>
      <c r="P24" s="2844"/>
      <c r="Q24" s="2034"/>
      <c r="R24" s="2845"/>
      <c r="S24" s="2034"/>
      <c r="T24" s="2846"/>
    </row>
    <row r="25" spans="1:20">
      <c r="A25" s="63">
        <v>1995.04</v>
      </c>
      <c r="B25" s="837">
        <v>70.763553670947573</v>
      </c>
      <c r="C25" s="2843">
        <v>79.488748474207</v>
      </c>
      <c r="D25" s="441"/>
      <c r="E25" s="442"/>
      <c r="F25" s="2844"/>
      <c r="G25" s="441"/>
      <c r="H25" s="2844"/>
      <c r="I25" s="441"/>
      <c r="J25" s="2844"/>
      <c r="K25" s="441"/>
      <c r="L25" s="2844"/>
      <c r="M25" s="441"/>
      <c r="N25" s="2844"/>
      <c r="O25" s="441"/>
      <c r="P25" s="2844"/>
      <c r="Q25" s="2034"/>
      <c r="R25" s="2845"/>
      <c r="S25" s="2034"/>
      <c r="T25" s="2846"/>
    </row>
    <row r="26" spans="1:20">
      <c r="A26" s="63">
        <v>1995.05</v>
      </c>
      <c r="B26" s="837">
        <v>78.036474464906078</v>
      </c>
      <c r="C26" s="2843">
        <v>77.705831774899806</v>
      </c>
      <c r="D26" s="441"/>
      <c r="E26" s="442"/>
      <c r="F26" s="2844"/>
      <c r="G26" s="441"/>
      <c r="H26" s="2844"/>
      <c r="I26" s="441"/>
      <c r="J26" s="2844"/>
      <c r="K26" s="441"/>
      <c r="L26" s="2844"/>
      <c r="M26" s="441"/>
      <c r="N26" s="2844"/>
      <c r="O26" s="441"/>
      <c r="P26" s="2844"/>
      <c r="Q26" s="2034"/>
      <c r="R26" s="2845"/>
      <c r="S26" s="2034"/>
      <c r="T26" s="2846"/>
    </row>
    <row r="27" spans="1:20">
      <c r="A27" s="63">
        <v>1995.06</v>
      </c>
      <c r="B27" s="837">
        <v>77.229521659886501</v>
      </c>
      <c r="C27" s="2843">
        <v>78.174362587461786</v>
      </c>
      <c r="D27" s="441"/>
      <c r="E27" s="442"/>
      <c r="F27" s="2844"/>
      <c r="G27" s="441"/>
      <c r="H27" s="2844"/>
      <c r="I27" s="441"/>
      <c r="J27" s="2844"/>
      <c r="K27" s="441"/>
      <c r="L27" s="2844"/>
      <c r="M27" s="441"/>
      <c r="N27" s="2844"/>
      <c r="O27" s="441"/>
      <c r="P27" s="2844"/>
      <c r="Q27" s="2034"/>
      <c r="R27" s="2845"/>
      <c r="S27" s="2034"/>
      <c r="T27" s="2846"/>
    </row>
    <row r="28" spans="1:20">
      <c r="A28" s="63">
        <v>1995.07</v>
      </c>
      <c r="B28" s="837">
        <v>79.515887940775301</v>
      </c>
      <c r="C28" s="2843">
        <v>77.162269414171519</v>
      </c>
      <c r="D28" s="441"/>
      <c r="E28" s="442"/>
      <c r="F28" s="2844"/>
      <c r="G28" s="441"/>
      <c r="H28" s="2844"/>
      <c r="I28" s="441"/>
      <c r="J28" s="2844"/>
      <c r="K28" s="441"/>
      <c r="L28" s="2844"/>
      <c r="M28" s="441"/>
      <c r="N28" s="2844"/>
      <c r="O28" s="441"/>
      <c r="P28" s="2844"/>
      <c r="Q28" s="2034"/>
      <c r="R28" s="2845"/>
      <c r="S28" s="2034"/>
      <c r="T28" s="2846"/>
    </row>
    <row r="29" spans="1:20">
      <c r="A29" s="63">
        <v>1995.08</v>
      </c>
      <c r="B29" s="837">
        <v>79.288285867564639</v>
      </c>
      <c r="C29" s="2843">
        <v>75.377578977922482</v>
      </c>
      <c r="D29" s="441"/>
      <c r="E29" s="442"/>
      <c r="F29" s="2844"/>
      <c r="G29" s="441"/>
      <c r="H29" s="2844"/>
      <c r="I29" s="441"/>
      <c r="J29" s="2844"/>
      <c r="K29" s="441"/>
      <c r="L29" s="2844"/>
      <c r="M29" s="441"/>
      <c r="N29" s="2844"/>
      <c r="O29" s="441"/>
      <c r="P29" s="2844"/>
      <c r="Q29" s="2034"/>
      <c r="R29" s="2845"/>
      <c r="S29" s="2034"/>
      <c r="T29" s="2846"/>
    </row>
    <row r="30" spans="1:20">
      <c r="A30" s="63">
        <v>1995.09</v>
      </c>
      <c r="B30" s="837">
        <v>76.091511293833236</v>
      </c>
      <c r="C30" s="2843">
        <v>75.4705561983276</v>
      </c>
      <c r="D30" s="441"/>
      <c r="E30" s="442"/>
      <c r="F30" s="2844"/>
      <c r="G30" s="441"/>
      <c r="H30" s="2844"/>
      <c r="I30" s="441"/>
      <c r="J30" s="2844"/>
      <c r="K30" s="441"/>
      <c r="L30" s="2844"/>
      <c r="M30" s="441"/>
      <c r="N30" s="2844"/>
      <c r="O30" s="441"/>
      <c r="P30" s="2844"/>
      <c r="Q30" s="2034"/>
      <c r="R30" s="2845"/>
      <c r="S30" s="2034"/>
      <c r="T30" s="2846"/>
    </row>
    <row r="31" spans="1:20">
      <c r="A31" s="63">
        <v>1995.1</v>
      </c>
      <c r="B31" s="837">
        <v>79.029647148007086</v>
      </c>
      <c r="C31" s="2843">
        <v>75.923062114058155</v>
      </c>
      <c r="D31" s="441"/>
      <c r="E31" s="442"/>
      <c r="F31" s="2844"/>
      <c r="G31" s="441"/>
      <c r="H31" s="2844"/>
      <c r="I31" s="441"/>
      <c r="J31" s="2844"/>
      <c r="K31" s="441"/>
      <c r="L31" s="2844"/>
      <c r="M31" s="441"/>
      <c r="N31" s="2844"/>
      <c r="O31" s="441"/>
      <c r="P31" s="2844"/>
      <c r="Q31" s="2034"/>
      <c r="R31" s="2845"/>
      <c r="S31" s="2034"/>
      <c r="T31" s="2846"/>
    </row>
    <row r="32" spans="1:20">
      <c r="A32" s="63">
        <v>1995.11</v>
      </c>
      <c r="B32" s="837">
        <v>76.950191842764312</v>
      </c>
      <c r="C32" s="2843">
        <v>75.979903163675715</v>
      </c>
      <c r="D32" s="441"/>
      <c r="E32" s="442"/>
      <c r="F32" s="2844"/>
      <c r="G32" s="441"/>
      <c r="H32" s="2844"/>
      <c r="I32" s="441"/>
      <c r="J32" s="2844"/>
      <c r="K32" s="441"/>
      <c r="L32" s="2844"/>
      <c r="M32" s="441"/>
      <c r="N32" s="2844"/>
      <c r="O32" s="441"/>
      <c r="P32" s="2844"/>
      <c r="Q32" s="2034"/>
      <c r="R32" s="2845"/>
      <c r="S32" s="2034"/>
      <c r="T32" s="2846"/>
    </row>
    <row r="33" spans="1:20">
      <c r="A33" s="63">
        <v>1995.12</v>
      </c>
      <c r="B33" s="837">
        <v>71.094611231981233</v>
      </c>
      <c r="C33" s="2843">
        <v>76.289465981734566</v>
      </c>
      <c r="D33" s="441"/>
      <c r="E33" s="442"/>
      <c r="F33" s="2844"/>
      <c r="G33" s="441"/>
      <c r="H33" s="2844"/>
      <c r="I33" s="441"/>
      <c r="J33" s="2844"/>
      <c r="K33" s="441"/>
      <c r="L33" s="2844"/>
      <c r="M33" s="441"/>
      <c r="N33" s="2844"/>
      <c r="O33" s="441"/>
      <c r="P33" s="2844"/>
      <c r="Q33" s="2034"/>
      <c r="R33" s="2845"/>
      <c r="S33" s="2034"/>
      <c r="T33" s="2846"/>
    </row>
    <row r="34" spans="1:20">
      <c r="A34" s="63">
        <v>1996.01</v>
      </c>
      <c r="B34" s="837">
        <v>69.263449097513742</v>
      </c>
      <c r="C34" s="2843">
        <v>78.495941525909501</v>
      </c>
      <c r="D34" s="441"/>
      <c r="E34" s="442"/>
      <c r="F34" s="2844"/>
      <c r="G34" s="441"/>
      <c r="H34" s="2844"/>
      <c r="I34" s="441"/>
      <c r="J34" s="2844"/>
      <c r="K34" s="441"/>
      <c r="L34" s="2844"/>
      <c r="M34" s="441"/>
      <c r="N34" s="2844"/>
      <c r="O34" s="441"/>
      <c r="P34" s="2844"/>
      <c r="Q34" s="2034"/>
      <c r="R34" s="2845"/>
      <c r="S34" s="2034"/>
      <c r="T34" s="2846"/>
    </row>
    <row r="35" spans="1:20">
      <c r="A35" s="63">
        <v>1996.02</v>
      </c>
      <c r="B35" s="837">
        <v>71.539469829620245</v>
      </c>
      <c r="C35" s="2843">
        <v>79.656834984834404</v>
      </c>
      <c r="D35" s="441"/>
      <c r="E35" s="442"/>
      <c r="F35" s="2844"/>
      <c r="G35" s="441"/>
      <c r="H35" s="2844"/>
      <c r="I35" s="441"/>
      <c r="J35" s="2844"/>
      <c r="K35" s="441"/>
      <c r="L35" s="2844"/>
      <c r="M35" s="441"/>
      <c r="N35" s="2844"/>
      <c r="O35" s="441"/>
      <c r="P35" s="2844"/>
      <c r="Q35" s="2034"/>
      <c r="R35" s="2845"/>
      <c r="S35" s="2034"/>
      <c r="T35" s="2846"/>
    </row>
    <row r="36" spans="1:20">
      <c r="A36" s="63">
        <v>1996.03</v>
      </c>
      <c r="B36" s="837">
        <v>76.960537391546637</v>
      </c>
      <c r="C36" s="2843">
        <v>79.3900630741296</v>
      </c>
      <c r="D36" s="441"/>
      <c r="E36" s="442"/>
      <c r="F36" s="2844"/>
      <c r="G36" s="441"/>
      <c r="H36" s="2844"/>
      <c r="I36" s="441"/>
      <c r="J36" s="2844"/>
      <c r="K36" s="441"/>
      <c r="L36" s="2844"/>
      <c r="M36" s="441"/>
      <c r="N36" s="2844"/>
      <c r="O36" s="441"/>
      <c r="P36" s="2844"/>
      <c r="Q36" s="2034"/>
      <c r="R36" s="2845"/>
      <c r="S36" s="2034"/>
      <c r="T36" s="2846"/>
    </row>
    <row r="37" spans="1:20">
      <c r="A37" s="63">
        <v>1996.04</v>
      </c>
      <c r="B37" s="837">
        <v>78.71928068453802</v>
      </c>
      <c r="C37" s="2843">
        <v>80.457721589492351</v>
      </c>
      <c r="D37" s="441"/>
      <c r="E37" s="442"/>
      <c r="F37" s="2844"/>
      <c r="G37" s="441"/>
      <c r="H37" s="2844"/>
      <c r="I37" s="441"/>
      <c r="J37" s="2844"/>
      <c r="K37" s="441"/>
      <c r="L37" s="2844"/>
      <c r="M37" s="441"/>
      <c r="N37" s="2844"/>
      <c r="O37" s="441"/>
      <c r="P37" s="2844"/>
      <c r="Q37" s="2034"/>
      <c r="R37" s="2845"/>
      <c r="S37" s="2034"/>
      <c r="T37" s="2846"/>
    </row>
    <row r="38" spans="1:20">
      <c r="A38" s="63">
        <v>1996.05</v>
      </c>
      <c r="B38" s="837">
        <v>81.409123367936601</v>
      </c>
      <c r="C38" s="2843">
        <v>81.247451169779737</v>
      </c>
      <c r="D38" s="441"/>
      <c r="E38" s="442"/>
      <c r="F38" s="2844"/>
      <c r="G38" s="441"/>
      <c r="H38" s="2844"/>
      <c r="I38" s="441"/>
      <c r="J38" s="2844"/>
      <c r="K38" s="441"/>
      <c r="L38" s="2844"/>
      <c r="M38" s="441"/>
      <c r="N38" s="2844"/>
      <c r="O38" s="441"/>
      <c r="P38" s="2844"/>
      <c r="Q38" s="2034"/>
      <c r="R38" s="2845"/>
      <c r="S38" s="2034"/>
      <c r="T38" s="2846"/>
    </row>
    <row r="39" spans="1:20">
      <c r="A39" s="63">
        <v>1996.06</v>
      </c>
      <c r="B39" s="837">
        <v>77.281249403798</v>
      </c>
      <c r="C39" s="2843">
        <v>81.128081202662017</v>
      </c>
      <c r="D39" s="441"/>
      <c r="E39" s="442"/>
      <c r="F39" s="2844"/>
      <c r="G39" s="441"/>
      <c r="H39" s="2844"/>
      <c r="I39" s="441"/>
      <c r="J39" s="2844"/>
      <c r="K39" s="441"/>
      <c r="L39" s="2844"/>
      <c r="M39" s="441"/>
      <c r="N39" s="2844"/>
      <c r="O39" s="441"/>
      <c r="P39" s="2844"/>
      <c r="Q39" s="2034"/>
      <c r="R39" s="2845"/>
      <c r="S39" s="2034"/>
      <c r="T39" s="2846"/>
    </row>
    <row r="40" spans="1:20">
      <c r="A40" s="63">
        <v>1996.07</v>
      </c>
      <c r="B40" s="837">
        <v>86.468096722482414</v>
      </c>
      <c r="C40" s="2843">
        <v>82.047735610201826</v>
      </c>
      <c r="D40" s="441"/>
      <c r="E40" s="442"/>
      <c r="F40" s="2844"/>
      <c r="G40" s="441"/>
      <c r="H40" s="2844"/>
      <c r="I40" s="441"/>
      <c r="J40" s="2844"/>
      <c r="K40" s="441"/>
      <c r="L40" s="2844"/>
      <c r="M40" s="441"/>
      <c r="N40" s="2844"/>
      <c r="O40" s="441"/>
      <c r="P40" s="2844"/>
      <c r="Q40" s="2034"/>
      <c r="R40" s="2845"/>
      <c r="S40" s="2034"/>
      <c r="T40" s="2846"/>
    </row>
    <row r="41" spans="1:20">
      <c r="A41" s="63">
        <v>1996.08</v>
      </c>
      <c r="B41" s="837">
        <v>85.288704161299947</v>
      </c>
      <c r="C41" s="2843">
        <v>82.401907535551246</v>
      </c>
      <c r="D41" s="441"/>
      <c r="E41" s="442"/>
      <c r="F41" s="2844"/>
      <c r="G41" s="441"/>
      <c r="H41" s="2844"/>
      <c r="I41" s="441"/>
      <c r="J41" s="2844"/>
      <c r="K41" s="441"/>
      <c r="L41" s="2844"/>
      <c r="M41" s="441"/>
      <c r="N41" s="2844"/>
      <c r="O41" s="441"/>
      <c r="P41" s="2844"/>
      <c r="Q41" s="2034"/>
      <c r="R41" s="2845"/>
      <c r="S41" s="2034"/>
      <c r="T41" s="2846"/>
    </row>
    <row r="42" spans="1:20">
      <c r="A42" s="63">
        <v>1996.09</v>
      </c>
      <c r="B42" s="837">
        <v>81.647070989929546</v>
      </c>
      <c r="C42" s="2843">
        <v>80.885959132458538</v>
      </c>
      <c r="D42" s="441"/>
      <c r="E42" s="442"/>
      <c r="F42" s="2844"/>
      <c r="G42" s="441"/>
      <c r="H42" s="2844"/>
      <c r="I42" s="441"/>
      <c r="J42" s="2844"/>
      <c r="K42" s="441"/>
      <c r="L42" s="2844"/>
      <c r="M42" s="441"/>
      <c r="N42" s="2844"/>
      <c r="O42" s="441"/>
      <c r="P42" s="2844"/>
      <c r="Q42" s="2034"/>
      <c r="R42" s="2845"/>
      <c r="S42" s="2034"/>
      <c r="T42" s="2846"/>
    </row>
    <row r="43" spans="1:20">
      <c r="A43" s="63">
        <v>1996.1</v>
      </c>
      <c r="B43" s="837">
        <v>87.388850564107301</v>
      </c>
      <c r="C43" s="2843">
        <v>82.944613171755776</v>
      </c>
      <c r="D43" s="441"/>
      <c r="E43" s="442"/>
      <c r="F43" s="2844"/>
      <c r="G43" s="441"/>
      <c r="H43" s="2844"/>
      <c r="I43" s="441"/>
      <c r="J43" s="2844"/>
      <c r="K43" s="441"/>
      <c r="L43" s="2844"/>
      <c r="M43" s="441"/>
      <c r="N43" s="2844"/>
      <c r="O43" s="441"/>
      <c r="P43" s="2844"/>
      <c r="Q43" s="2034"/>
      <c r="R43" s="2845"/>
      <c r="S43" s="2034"/>
      <c r="T43" s="2846"/>
    </row>
    <row r="44" spans="1:20">
      <c r="A44" s="63">
        <v>1996.11</v>
      </c>
      <c r="B44" s="837">
        <v>82.505751538860636</v>
      </c>
      <c r="C44" s="2843">
        <v>82.625187214522228</v>
      </c>
      <c r="D44" s="441"/>
      <c r="E44" s="442"/>
      <c r="F44" s="2844"/>
      <c r="G44" s="441"/>
      <c r="H44" s="2844"/>
      <c r="I44" s="441"/>
      <c r="J44" s="2844"/>
      <c r="K44" s="441"/>
      <c r="L44" s="2844"/>
      <c r="M44" s="441"/>
      <c r="N44" s="2844"/>
      <c r="O44" s="441"/>
      <c r="P44" s="2844"/>
      <c r="Q44" s="2034"/>
      <c r="R44" s="2845"/>
      <c r="S44" s="2034"/>
      <c r="T44" s="2846"/>
    </row>
    <row r="45" spans="1:20">
      <c r="A45" s="63">
        <v>1996.12</v>
      </c>
      <c r="B45" s="837">
        <v>78.688244038191101</v>
      </c>
      <c r="C45" s="2843">
        <v>83.210852958042821</v>
      </c>
      <c r="D45" s="441"/>
      <c r="E45" s="442"/>
      <c r="F45" s="2844"/>
      <c r="G45" s="441"/>
      <c r="H45" s="2844"/>
      <c r="I45" s="441"/>
      <c r="J45" s="2844"/>
      <c r="K45" s="441"/>
      <c r="L45" s="2844"/>
      <c r="M45" s="441"/>
      <c r="N45" s="2844"/>
      <c r="O45" s="441"/>
      <c r="P45" s="2844"/>
      <c r="Q45" s="2034"/>
      <c r="R45" s="2845"/>
      <c r="S45" s="2034"/>
      <c r="T45" s="2846"/>
    </row>
    <row r="46" spans="1:20">
      <c r="A46" s="63">
        <v>1997.01</v>
      </c>
      <c r="B46" s="837">
        <v>74.529333427705595</v>
      </c>
      <c r="C46" s="2843">
        <v>83.809320989738993</v>
      </c>
      <c r="D46" s="441"/>
      <c r="E46" s="442"/>
      <c r="F46" s="2844"/>
      <c r="G46" s="441"/>
      <c r="H46" s="2844"/>
      <c r="I46" s="441"/>
      <c r="J46" s="2844"/>
      <c r="K46" s="441"/>
      <c r="L46" s="2844"/>
      <c r="M46" s="441"/>
      <c r="N46" s="2844"/>
      <c r="O46" s="441"/>
      <c r="P46" s="2844"/>
      <c r="Q46" s="2034"/>
      <c r="R46" s="2845"/>
      <c r="S46" s="2034"/>
      <c r="T46" s="2846"/>
    </row>
    <row r="47" spans="1:20">
      <c r="A47" s="63">
        <v>1997.02</v>
      </c>
      <c r="B47" s="837">
        <v>74.094820378848894</v>
      </c>
      <c r="C47" s="2843">
        <v>84.545022173312418</v>
      </c>
      <c r="D47" s="441"/>
      <c r="E47" s="442"/>
      <c r="F47" s="2844"/>
      <c r="G47" s="441"/>
      <c r="H47" s="2844"/>
      <c r="I47" s="441"/>
      <c r="J47" s="2844"/>
      <c r="K47" s="441"/>
      <c r="L47" s="2844"/>
      <c r="M47" s="441"/>
      <c r="N47" s="2844"/>
      <c r="O47" s="441"/>
      <c r="P47" s="2844"/>
      <c r="Q47" s="2034"/>
      <c r="R47" s="2845"/>
      <c r="S47" s="2034"/>
      <c r="T47" s="2846"/>
    </row>
    <row r="48" spans="1:20">
      <c r="A48" s="63">
        <v>1997.03</v>
      </c>
      <c r="B48" s="837">
        <v>81.584997697235735</v>
      </c>
      <c r="C48" s="2843">
        <v>84.419226839974371</v>
      </c>
      <c r="D48" s="441"/>
      <c r="E48" s="442"/>
      <c r="F48" s="2844"/>
      <c r="G48" s="441"/>
      <c r="H48" s="2844"/>
      <c r="I48" s="441"/>
      <c r="J48" s="2844"/>
      <c r="K48" s="441"/>
      <c r="L48" s="2844"/>
      <c r="M48" s="441"/>
      <c r="N48" s="2844"/>
      <c r="O48" s="441"/>
      <c r="P48" s="2844"/>
      <c r="Q48" s="2034"/>
      <c r="R48" s="2845"/>
      <c r="S48" s="2034"/>
      <c r="T48" s="2846"/>
    </row>
    <row r="49" spans="1:20">
      <c r="A49" s="63">
        <v>1997.04</v>
      </c>
      <c r="B49" s="837">
        <v>87.037101905509033</v>
      </c>
      <c r="C49" s="2843">
        <v>86.402326722414628</v>
      </c>
      <c r="D49" s="441"/>
      <c r="E49" s="442"/>
      <c r="F49" s="2844"/>
      <c r="G49" s="441"/>
      <c r="H49" s="2844"/>
      <c r="I49" s="441"/>
      <c r="J49" s="2844"/>
      <c r="K49" s="441"/>
      <c r="L49" s="2844"/>
      <c r="M49" s="441"/>
      <c r="N49" s="2844"/>
      <c r="O49" s="441"/>
      <c r="P49" s="2844"/>
      <c r="Q49" s="2034"/>
      <c r="R49" s="2845"/>
      <c r="S49" s="2034"/>
      <c r="T49" s="2846"/>
    </row>
    <row r="50" spans="1:20">
      <c r="A50" s="63">
        <v>1997.05</v>
      </c>
      <c r="B50" s="837">
        <v>86.995719710379831</v>
      </c>
      <c r="C50" s="2843">
        <v>88.106462381015135</v>
      </c>
      <c r="D50" s="441"/>
      <c r="E50" s="442"/>
      <c r="F50" s="2844"/>
      <c r="G50" s="441"/>
      <c r="H50" s="2844"/>
      <c r="I50" s="441"/>
      <c r="J50" s="2844"/>
      <c r="K50" s="441"/>
      <c r="L50" s="2844"/>
      <c r="M50" s="441"/>
      <c r="N50" s="2844"/>
      <c r="O50" s="441"/>
      <c r="P50" s="2844"/>
      <c r="Q50" s="2034"/>
      <c r="R50" s="2845"/>
      <c r="S50" s="2034"/>
      <c r="T50" s="2846"/>
    </row>
    <row r="51" spans="1:20">
      <c r="A51" s="63">
        <v>1997.06</v>
      </c>
      <c r="B51" s="837">
        <v>85.464578490599095</v>
      </c>
      <c r="C51" s="2843">
        <v>88.283089358491594</v>
      </c>
      <c r="D51" s="441"/>
      <c r="E51" s="442"/>
      <c r="F51" s="2844"/>
      <c r="G51" s="441"/>
      <c r="H51" s="2844"/>
      <c r="I51" s="441"/>
      <c r="J51" s="2844"/>
      <c r="K51" s="441"/>
      <c r="L51" s="2844"/>
      <c r="M51" s="441"/>
      <c r="N51" s="2844"/>
      <c r="O51" s="441"/>
      <c r="P51" s="2844"/>
      <c r="Q51" s="2034"/>
      <c r="R51" s="2845"/>
      <c r="S51" s="2034"/>
      <c r="T51" s="2846"/>
    </row>
    <row r="52" spans="1:20">
      <c r="A52" s="63">
        <v>1997.07</v>
      </c>
      <c r="B52" s="837">
        <v>94.072075077474594</v>
      </c>
      <c r="C52" s="2843">
        <v>89.776427489162074</v>
      </c>
      <c r="D52" s="441"/>
      <c r="E52" s="442"/>
      <c r="F52" s="2844"/>
      <c r="G52" s="441"/>
      <c r="H52" s="2844"/>
      <c r="I52" s="441"/>
      <c r="J52" s="2844"/>
      <c r="K52" s="441"/>
      <c r="L52" s="2844"/>
      <c r="M52" s="441"/>
      <c r="N52" s="2844"/>
      <c r="O52" s="441"/>
      <c r="P52" s="2844"/>
      <c r="Q52" s="2034"/>
      <c r="R52" s="2845"/>
      <c r="S52" s="2034"/>
      <c r="T52" s="2846"/>
    </row>
    <row r="53" spans="1:20">
      <c r="A53" s="63">
        <v>1997.08</v>
      </c>
      <c r="B53" s="837">
        <v>91.289122455035269</v>
      </c>
      <c r="C53" s="2843">
        <v>89.583056747289149</v>
      </c>
      <c r="D53" s="441"/>
      <c r="E53" s="442"/>
      <c r="F53" s="2844"/>
      <c r="G53" s="441"/>
      <c r="H53" s="2844"/>
      <c r="I53" s="441"/>
      <c r="J53" s="2844"/>
      <c r="K53" s="441"/>
      <c r="L53" s="2844"/>
      <c r="M53" s="441"/>
      <c r="N53" s="2844"/>
      <c r="O53" s="441"/>
      <c r="P53" s="2844"/>
      <c r="Q53" s="2034"/>
      <c r="R53" s="2845"/>
      <c r="S53" s="2034"/>
      <c r="T53" s="2846"/>
    </row>
    <row r="54" spans="1:20">
      <c r="A54" s="63">
        <v>1997.09</v>
      </c>
      <c r="B54" s="837">
        <v>93.699635321311703</v>
      </c>
      <c r="C54" s="2843">
        <v>91.557212650305033</v>
      </c>
      <c r="D54" s="441"/>
      <c r="E54" s="442"/>
      <c r="F54" s="2844"/>
      <c r="G54" s="441"/>
      <c r="H54" s="2844"/>
      <c r="I54" s="441"/>
      <c r="J54" s="2844"/>
      <c r="K54" s="441"/>
      <c r="L54" s="2844"/>
      <c r="M54" s="441"/>
      <c r="N54" s="2844"/>
      <c r="O54" s="441"/>
      <c r="P54" s="2844"/>
      <c r="Q54" s="2034"/>
      <c r="R54" s="2845"/>
      <c r="S54" s="2034"/>
      <c r="T54" s="2846"/>
    </row>
    <row r="55" spans="1:20">
      <c r="A55" s="63">
        <v>1997.1</v>
      </c>
      <c r="B55" s="837">
        <v>98.01372916353175</v>
      </c>
      <c r="C55" s="2843">
        <v>90.88406032083968</v>
      </c>
      <c r="D55" s="441"/>
      <c r="E55" s="442"/>
      <c r="F55" s="2844"/>
      <c r="G55" s="441"/>
      <c r="H55" s="2844"/>
      <c r="I55" s="441"/>
      <c r="J55" s="2844"/>
      <c r="K55" s="441"/>
      <c r="L55" s="2844"/>
      <c r="M55" s="441"/>
      <c r="N55" s="2844"/>
      <c r="O55" s="441"/>
      <c r="P55" s="2844"/>
      <c r="Q55" s="2034"/>
      <c r="R55" s="2845"/>
      <c r="S55" s="2034"/>
      <c r="T55" s="2846"/>
    </row>
    <row r="56" spans="1:20">
      <c r="A56" s="63">
        <v>1997.11</v>
      </c>
      <c r="B56" s="837">
        <v>89.757981235254547</v>
      </c>
      <c r="C56" s="2843">
        <v>90.834572414982233</v>
      </c>
      <c r="D56" s="441"/>
      <c r="E56" s="442"/>
      <c r="F56" s="2844"/>
      <c r="G56" s="441"/>
      <c r="H56" s="2844"/>
      <c r="I56" s="441"/>
      <c r="J56" s="2844"/>
      <c r="K56" s="441"/>
      <c r="L56" s="2844"/>
      <c r="M56" s="441"/>
      <c r="N56" s="2844"/>
      <c r="O56" s="441"/>
      <c r="P56" s="2844"/>
      <c r="Q56" s="2034"/>
      <c r="R56" s="2845"/>
      <c r="S56" s="2034"/>
      <c r="T56" s="2846"/>
    </row>
    <row r="57" spans="1:20">
      <c r="A57" s="63">
        <v>1997.12</v>
      </c>
      <c r="B57" s="837">
        <v>87.306086173848911</v>
      </c>
      <c r="C57" s="2843">
        <v>90.953416638221483</v>
      </c>
      <c r="D57" s="441"/>
      <c r="E57" s="442"/>
      <c r="F57" s="2844"/>
      <c r="G57" s="441"/>
      <c r="H57" s="2844"/>
      <c r="I57" s="441"/>
      <c r="J57" s="2844"/>
      <c r="K57" s="441"/>
      <c r="L57" s="2844"/>
      <c r="M57" s="441"/>
      <c r="N57" s="2844"/>
      <c r="O57" s="441"/>
      <c r="P57" s="2844"/>
      <c r="Q57" s="2034"/>
      <c r="R57" s="2845"/>
      <c r="S57" s="2034"/>
      <c r="T57" s="2846"/>
    </row>
    <row r="58" spans="1:20">
      <c r="A58" s="63">
        <v>1998.01</v>
      </c>
      <c r="B58" s="837">
        <v>79.898673245720474</v>
      </c>
      <c r="C58" s="2843">
        <v>90.002219087093806</v>
      </c>
      <c r="D58" s="441"/>
      <c r="E58" s="442"/>
      <c r="F58" s="2844"/>
      <c r="G58" s="441"/>
      <c r="H58" s="2844"/>
      <c r="I58" s="441"/>
      <c r="J58" s="2844"/>
      <c r="K58" s="441"/>
      <c r="L58" s="2844"/>
      <c r="M58" s="441"/>
      <c r="N58" s="2844"/>
      <c r="O58" s="441"/>
      <c r="P58" s="2844"/>
      <c r="Q58" s="2034"/>
      <c r="R58" s="2845"/>
      <c r="S58" s="2034"/>
      <c r="T58" s="2846"/>
    </row>
    <row r="59" spans="1:20">
      <c r="A59" s="63">
        <v>1998.02</v>
      </c>
      <c r="B59" s="837">
        <v>79.215867026088517</v>
      </c>
      <c r="C59" s="2843">
        <v>90.615400067702168</v>
      </c>
      <c r="D59" s="441"/>
      <c r="E59" s="442"/>
      <c r="F59" s="2844"/>
      <c r="G59" s="441"/>
      <c r="H59" s="2844"/>
      <c r="I59" s="441"/>
      <c r="J59" s="2844"/>
      <c r="K59" s="441"/>
      <c r="L59" s="2844"/>
      <c r="M59" s="441"/>
      <c r="N59" s="2844"/>
      <c r="O59" s="441"/>
      <c r="P59" s="2844"/>
      <c r="Q59" s="2034"/>
      <c r="R59" s="2845"/>
      <c r="S59" s="2034"/>
      <c r="T59" s="2846"/>
    </row>
    <row r="60" spans="1:20">
      <c r="A60" s="63">
        <v>1998.03</v>
      </c>
      <c r="B60" s="837">
        <v>90.326986418281166</v>
      </c>
      <c r="C60" s="2843">
        <v>92.23852677996986</v>
      </c>
      <c r="D60" s="441"/>
      <c r="E60" s="442"/>
      <c r="F60" s="2844"/>
      <c r="G60" s="441"/>
      <c r="H60" s="2844"/>
      <c r="I60" s="441"/>
      <c r="J60" s="2844"/>
      <c r="K60" s="441"/>
      <c r="L60" s="2844"/>
      <c r="M60" s="441"/>
      <c r="N60" s="2844"/>
      <c r="O60" s="441"/>
      <c r="P60" s="2844"/>
      <c r="Q60" s="2034"/>
      <c r="R60" s="2845"/>
      <c r="S60" s="2034"/>
      <c r="T60" s="2846"/>
    </row>
    <row r="61" spans="1:20">
      <c r="A61" s="63">
        <v>1998.04</v>
      </c>
      <c r="B61" s="837">
        <v>90.213185381675828</v>
      </c>
      <c r="C61" s="2843">
        <v>92.541570191378227</v>
      </c>
      <c r="D61" s="441"/>
      <c r="E61" s="442"/>
      <c r="F61" s="2844"/>
      <c r="G61" s="441"/>
      <c r="H61" s="2844"/>
      <c r="I61" s="441"/>
      <c r="J61" s="2844"/>
      <c r="K61" s="441"/>
      <c r="L61" s="2844"/>
      <c r="M61" s="441"/>
      <c r="N61" s="2844"/>
      <c r="O61" s="441"/>
      <c r="P61" s="2844"/>
      <c r="Q61" s="2034"/>
      <c r="R61" s="2845"/>
      <c r="S61" s="2034"/>
      <c r="T61" s="2846"/>
    </row>
    <row r="62" spans="1:20">
      <c r="A62" s="63">
        <v>1998.05</v>
      </c>
      <c r="B62" s="837">
        <v>88.599279771636674</v>
      </c>
      <c r="C62" s="2843">
        <v>91.894204011044494</v>
      </c>
      <c r="D62" s="441"/>
      <c r="E62" s="442"/>
      <c r="F62" s="2844"/>
      <c r="G62" s="441"/>
      <c r="H62" s="2844"/>
      <c r="I62" s="441"/>
      <c r="J62" s="2844"/>
      <c r="K62" s="441"/>
      <c r="L62" s="2844"/>
      <c r="M62" s="441"/>
      <c r="N62" s="2844"/>
      <c r="O62" s="441"/>
      <c r="P62" s="2844"/>
      <c r="Q62" s="2034"/>
      <c r="R62" s="2845"/>
      <c r="S62" s="2034"/>
      <c r="T62" s="2846"/>
    </row>
    <row r="63" spans="1:20">
      <c r="A63" s="63">
        <v>1998.06</v>
      </c>
      <c r="B63" s="837">
        <v>92.840954772380599</v>
      </c>
      <c r="C63" s="2843">
        <v>93.474999176840598</v>
      </c>
      <c r="D63" s="441"/>
      <c r="E63" s="442"/>
      <c r="F63" s="2844"/>
      <c r="G63" s="441"/>
      <c r="H63" s="2844"/>
      <c r="I63" s="441"/>
      <c r="J63" s="2844"/>
      <c r="K63" s="441"/>
      <c r="L63" s="2844"/>
      <c r="M63" s="441"/>
      <c r="N63" s="2844"/>
      <c r="O63" s="441"/>
      <c r="P63" s="2844"/>
      <c r="Q63" s="2034"/>
      <c r="R63" s="2845"/>
      <c r="S63" s="2034"/>
      <c r="T63" s="2846"/>
    </row>
    <row r="64" spans="1:20">
      <c r="A64" s="63">
        <v>1998.07</v>
      </c>
      <c r="B64" s="837">
        <v>96.141184833935043</v>
      </c>
      <c r="C64" s="2843">
        <v>92.254977007893316</v>
      </c>
      <c r="D64" s="441"/>
      <c r="E64" s="442"/>
      <c r="F64" s="2844"/>
      <c r="G64" s="441"/>
      <c r="H64" s="2844"/>
      <c r="I64" s="441"/>
      <c r="J64" s="2844"/>
      <c r="K64" s="441"/>
      <c r="L64" s="2844"/>
      <c r="M64" s="441"/>
      <c r="N64" s="2844"/>
      <c r="O64" s="441"/>
      <c r="P64" s="2844"/>
      <c r="Q64" s="2034"/>
      <c r="R64" s="2845"/>
      <c r="S64" s="2034"/>
      <c r="T64" s="2846"/>
    </row>
    <row r="65" spans="1:20">
      <c r="A65" s="63">
        <v>1998.08</v>
      </c>
      <c r="B65" s="837">
        <v>93.792745260352419</v>
      </c>
      <c r="C65" s="2843">
        <v>92.160119823942537</v>
      </c>
      <c r="D65" s="441"/>
      <c r="E65" s="442"/>
      <c r="F65" s="2844"/>
      <c r="G65" s="441"/>
      <c r="H65" s="2844"/>
      <c r="I65" s="441"/>
      <c r="J65" s="2844"/>
      <c r="K65" s="441"/>
      <c r="L65" s="2844"/>
      <c r="M65" s="441"/>
      <c r="N65" s="2844"/>
      <c r="O65" s="441"/>
      <c r="P65" s="2844"/>
      <c r="Q65" s="2034"/>
      <c r="R65" s="2845"/>
      <c r="S65" s="2034"/>
      <c r="T65" s="2846"/>
    </row>
    <row r="66" spans="1:20">
      <c r="A66" s="63">
        <v>1998.09</v>
      </c>
      <c r="B66" s="837">
        <v>92.903028065074423</v>
      </c>
      <c r="C66" s="2843">
        <v>90.166261078839298</v>
      </c>
      <c r="D66" s="441"/>
      <c r="E66" s="442"/>
      <c r="F66" s="2844"/>
      <c r="G66" s="441"/>
      <c r="H66" s="2844"/>
      <c r="I66" s="441"/>
      <c r="J66" s="2844"/>
      <c r="K66" s="441"/>
      <c r="L66" s="2844"/>
      <c r="M66" s="441"/>
      <c r="N66" s="2844"/>
      <c r="O66" s="441"/>
      <c r="P66" s="2844"/>
      <c r="Q66" s="2034"/>
      <c r="R66" s="2845"/>
      <c r="S66" s="2034"/>
      <c r="T66" s="2846"/>
    </row>
    <row r="67" spans="1:20">
      <c r="A67" s="63">
        <v>1998.1</v>
      </c>
      <c r="B67" s="837">
        <v>92.603007150387668</v>
      </c>
      <c r="C67" s="2843">
        <v>89.152927568034698</v>
      </c>
      <c r="D67" s="441"/>
      <c r="E67" s="442"/>
      <c r="F67" s="2844"/>
      <c r="G67" s="441"/>
      <c r="H67" s="2844"/>
      <c r="I67" s="441"/>
      <c r="J67" s="2844"/>
      <c r="K67" s="441"/>
      <c r="L67" s="2844"/>
      <c r="M67" s="441"/>
      <c r="N67" s="2844"/>
      <c r="O67" s="441"/>
      <c r="P67" s="2844"/>
      <c r="Q67" s="2034"/>
      <c r="R67" s="2845"/>
      <c r="S67" s="2034"/>
      <c r="T67" s="2846"/>
    </row>
    <row r="68" spans="1:20">
      <c r="A68" s="63">
        <v>1998.11</v>
      </c>
      <c r="B68" s="837">
        <v>87.740599222705598</v>
      </c>
      <c r="C68" s="2843">
        <v>87.634319938094848</v>
      </c>
      <c r="D68" s="441"/>
      <c r="E68" s="442"/>
      <c r="F68" s="2844"/>
      <c r="G68" s="441"/>
      <c r="H68" s="2844"/>
      <c r="I68" s="441"/>
      <c r="J68" s="2844"/>
      <c r="K68" s="441"/>
      <c r="L68" s="2844"/>
      <c r="M68" s="441"/>
      <c r="N68" s="2844"/>
      <c r="O68" s="441"/>
      <c r="P68" s="2844"/>
      <c r="Q68" s="2034"/>
      <c r="R68" s="2845"/>
      <c r="S68" s="2034"/>
      <c r="T68" s="2846"/>
    </row>
    <row r="69" spans="1:20">
      <c r="A69" s="63">
        <v>1998.12</v>
      </c>
      <c r="B69" s="837">
        <v>82.112620685133166</v>
      </c>
      <c r="C69" s="2843">
        <v>85.694633993432035</v>
      </c>
      <c r="D69" s="441"/>
      <c r="E69" s="442"/>
      <c r="F69" s="2844"/>
      <c r="G69" s="441"/>
      <c r="H69" s="2844"/>
      <c r="I69" s="441"/>
      <c r="J69" s="2844"/>
      <c r="K69" s="441"/>
      <c r="L69" s="2844"/>
      <c r="M69" s="441"/>
      <c r="N69" s="2844"/>
      <c r="O69" s="441"/>
      <c r="P69" s="2844"/>
      <c r="Q69" s="2034"/>
      <c r="R69" s="2845"/>
      <c r="S69" s="2034"/>
      <c r="T69" s="2846"/>
    </row>
    <row r="70" spans="1:20">
      <c r="A70" s="63">
        <v>1999.01</v>
      </c>
      <c r="B70" s="837">
        <v>75.801835927928778</v>
      </c>
      <c r="C70" s="2843">
        <v>86.188621024152852</v>
      </c>
      <c r="D70" s="441"/>
      <c r="E70" s="442"/>
      <c r="F70" s="2844"/>
      <c r="G70" s="441"/>
      <c r="H70" s="2844"/>
      <c r="I70" s="441"/>
      <c r="J70" s="2844"/>
      <c r="K70" s="441"/>
      <c r="L70" s="2844"/>
      <c r="M70" s="441"/>
      <c r="N70" s="2844"/>
      <c r="O70" s="441"/>
      <c r="P70" s="2844"/>
      <c r="Q70" s="2034"/>
      <c r="R70" s="2845"/>
      <c r="S70" s="2034"/>
      <c r="T70" s="2846"/>
    </row>
    <row r="71" spans="1:20">
      <c r="A71" s="63">
        <v>1999.02</v>
      </c>
      <c r="B71" s="837">
        <v>73.008537756707156</v>
      </c>
      <c r="C71" s="2843">
        <v>84.729888190104617</v>
      </c>
      <c r="D71" s="441"/>
      <c r="E71" s="442"/>
      <c r="F71" s="2844"/>
      <c r="G71" s="441"/>
      <c r="H71" s="2844"/>
      <c r="I71" s="441"/>
      <c r="J71" s="2844"/>
      <c r="K71" s="441"/>
      <c r="L71" s="2844"/>
      <c r="M71" s="441"/>
      <c r="N71" s="2844"/>
      <c r="O71" s="441"/>
      <c r="P71" s="2844"/>
      <c r="Q71" s="2034"/>
      <c r="R71" s="2845"/>
      <c r="S71" s="2034"/>
      <c r="T71" s="2846"/>
    </row>
    <row r="72" spans="1:20">
      <c r="A72" s="63">
        <v>1999.03</v>
      </c>
      <c r="B72" s="837">
        <v>83.167866660927999</v>
      </c>
      <c r="C72" s="2843">
        <v>83.860181205467242</v>
      </c>
      <c r="D72" s="441"/>
      <c r="E72" s="442"/>
      <c r="F72" s="2844"/>
      <c r="G72" s="441"/>
      <c r="H72" s="2844"/>
      <c r="I72" s="441"/>
      <c r="J72" s="2844"/>
      <c r="K72" s="441"/>
      <c r="L72" s="2844"/>
      <c r="M72" s="441"/>
      <c r="N72" s="2844"/>
      <c r="O72" s="441"/>
      <c r="P72" s="2844"/>
      <c r="Q72" s="2034"/>
      <c r="R72" s="2845"/>
      <c r="S72" s="2034"/>
      <c r="T72" s="2846"/>
    </row>
    <row r="73" spans="1:20">
      <c r="A73" s="63">
        <v>1999.04</v>
      </c>
      <c r="B73" s="837">
        <v>80.840118184909983</v>
      </c>
      <c r="C73" s="2843">
        <v>83.347053767815552</v>
      </c>
      <c r="D73" s="441"/>
      <c r="E73" s="442"/>
      <c r="F73" s="2844"/>
      <c r="G73" s="441"/>
      <c r="H73" s="2844"/>
      <c r="I73" s="441"/>
      <c r="J73" s="2844"/>
      <c r="K73" s="441"/>
      <c r="L73" s="2844"/>
      <c r="M73" s="441"/>
      <c r="N73" s="2844"/>
      <c r="O73" s="441"/>
      <c r="P73" s="2844"/>
      <c r="Q73" s="2034"/>
      <c r="R73" s="2845"/>
      <c r="S73" s="2034"/>
      <c r="T73" s="2846"/>
    </row>
    <row r="74" spans="1:20">
      <c r="A74" s="63">
        <v>1999.05</v>
      </c>
      <c r="B74" s="837">
        <v>80.622861660481647</v>
      </c>
      <c r="C74" s="2843">
        <v>83.040038436664773</v>
      </c>
      <c r="D74" s="441"/>
      <c r="E74" s="442"/>
      <c r="F74" s="2844"/>
      <c r="G74" s="441"/>
      <c r="H74" s="2844"/>
      <c r="I74" s="441"/>
      <c r="J74" s="2844"/>
      <c r="K74" s="441"/>
      <c r="L74" s="2844"/>
      <c r="M74" s="441"/>
      <c r="N74" s="2844"/>
      <c r="O74" s="441"/>
      <c r="P74" s="2844"/>
      <c r="Q74" s="2034"/>
      <c r="R74" s="2845"/>
      <c r="S74" s="2034"/>
      <c r="T74" s="2846"/>
    </row>
    <row r="75" spans="1:20">
      <c r="A75" s="63">
        <v>1999.06</v>
      </c>
      <c r="B75" s="837">
        <v>80.829772636127686</v>
      </c>
      <c r="C75" s="2843">
        <v>82.396951097287527</v>
      </c>
      <c r="D75" s="441"/>
      <c r="E75" s="442"/>
      <c r="F75" s="2844"/>
      <c r="G75" s="441"/>
      <c r="H75" s="2844"/>
      <c r="I75" s="441"/>
      <c r="J75" s="2844"/>
      <c r="K75" s="441"/>
      <c r="L75" s="2844"/>
      <c r="M75" s="441"/>
      <c r="N75" s="2844"/>
      <c r="O75" s="441"/>
      <c r="P75" s="2844"/>
      <c r="Q75" s="2034"/>
      <c r="R75" s="2845"/>
      <c r="S75" s="2034"/>
      <c r="T75" s="2846"/>
    </row>
    <row r="76" spans="1:20">
      <c r="A76" s="63">
        <v>1999.07</v>
      </c>
      <c r="B76" s="837">
        <v>82.53678818520757</v>
      </c>
      <c r="C76" s="2843">
        <v>83.497396595979509</v>
      </c>
      <c r="D76" s="441"/>
      <c r="E76" s="442"/>
      <c r="F76" s="2844"/>
      <c r="G76" s="441"/>
      <c r="H76" s="2844"/>
      <c r="I76" s="441"/>
      <c r="J76" s="2844"/>
      <c r="K76" s="441"/>
      <c r="L76" s="2844"/>
      <c r="M76" s="441"/>
      <c r="N76" s="2844"/>
      <c r="O76" s="441"/>
      <c r="P76" s="2844"/>
      <c r="Q76" s="2034"/>
      <c r="R76" s="2845"/>
      <c r="S76" s="2034"/>
      <c r="T76" s="2846"/>
    </row>
    <row r="77" spans="1:20">
      <c r="A77" s="63">
        <v>1999.08</v>
      </c>
      <c r="B77" s="837">
        <v>86.726735442039981</v>
      </c>
      <c r="C77" s="2843">
        <v>84.44318005436493</v>
      </c>
      <c r="D77" s="441"/>
      <c r="E77" s="442"/>
      <c r="F77" s="2844"/>
      <c r="G77" s="441"/>
      <c r="H77" s="2844"/>
      <c r="I77" s="441"/>
      <c r="J77" s="2844"/>
      <c r="K77" s="441"/>
      <c r="L77" s="2844"/>
      <c r="M77" s="441"/>
      <c r="N77" s="2844"/>
      <c r="O77" s="441"/>
      <c r="P77" s="2844"/>
      <c r="Q77" s="2034"/>
      <c r="R77" s="2845"/>
      <c r="S77" s="2034"/>
      <c r="T77" s="2846"/>
    </row>
    <row r="78" spans="1:20">
      <c r="A78" s="63">
        <v>1999.09</v>
      </c>
      <c r="B78" s="837">
        <v>88.744117454588931</v>
      </c>
      <c r="C78" s="2843">
        <v>85.595974855867965</v>
      </c>
      <c r="D78" s="441"/>
      <c r="E78" s="442"/>
      <c r="F78" s="2844"/>
      <c r="G78" s="441"/>
      <c r="H78" s="2844"/>
      <c r="I78" s="441"/>
      <c r="J78" s="2844"/>
      <c r="K78" s="441"/>
      <c r="L78" s="2844"/>
      <c r="M78" s="441"/>
      <c r="N78" s="2844"/>
      <c r="O78" s="441"/>
      <c r="P78" s="2844"/>
      <c r="Q78" s="2034"/>
      <c r="R78" s="2845"/>
      <c r="S78" s="2034"/>
      <c r="T78" s="2846"/>
    </row>
    <row r="79" spans="1:20">
      <c r="A79" s="63">
        <v>1999.1</v>
      </c>
      <c r="B79" s="837">
        <v>88.092347881303908</v>
      </c>
      <c r="C79" s="2843">
        <v>85.862646268507618</v>
      </c>
      <c r="D79" s="441"/>
      <c r="E79" s="442"/>
      <c r="F79" s="2844"/>
      <c r="G79" s="441"/>
      <c r="H79" s="2844"/>
      <c r="I79" s="441"/>
      <c r="J79" s="2844"/>
      <c r="K79" s="441"/>
      <c r="L79" s="2844"/>
      <c r="M79" s="441"/>
      <c r="N79" s="2844"/>
      <c r="O79" s="441"/>
      <c r="P79" s="2844"/>
      <c r="Q79" s="2034"/>
      <c r="R79" s="2845"/>
      <c r="S79" s="2034"/>
      <c r="T79" s="2846"/>
    </row>
    <row r="80" spans="1:20">
      <c r="A80" s="63">
        <v>1999.11</v>
      </c>
      <c r="B80" s="837">
        <v>88.77515410093585</v>
      </c>
      <c r="C80" s="2843">
        <v>87.491695721032698</v>
      </c>
      <c r="D80" s="441"/>
      <c r="E80" s="442"/>
      <c r="F80" s="2844"/>
      <c r="G80" s="441"/>
      <c r="H80" s="2844"/>
      <c r="I80" s="441"/>
      <c r="J80" s="2844"/>
      <c r="K80" s="441"/>
      <c r="L80" s="2844"/>
      <c r="M80" s="441"/>
      <c r="N80" s="2844"/>
      <c r="O80" s="441"/>
      <c r="P80" s="2844"/>
      <c r="Q80" s="2034"/>
      <c r="R80" s="2845"/>
      <c r="S80" s="2034"/>
      <c r="T80" s="2846"/>
    </row>
    <row r="81" spans="1:20">
      <c r="A81" s="63">
        <v>1999.12</v>
      </c>
      <c r="B81" s="837">
        <v>87.523342698277276</v>
      </c>
      <c r="C81" s="2843">
        <v>87.204469165201232</v>
      </c>
      <c r="D81" s="441"/>
      <c r="E81" s="442"/>
      <c r="F81" s="2844"/>
      <c r="G81" s="441"/>
      <c r="H81" s="2844"/>
      <c r="I81" s="441"/>
      <c r="J81" s="2844"/>
      <c r="K81" s="441"/>
      <c r="L81" s="2844"/>
      <c r="M81" s="441"/>
      <c r="N81" s="2844"/>
      <c r="O81" s="441"/>
      <c r="P81" s="2844"/>
      <c r="Q81" s="2034"/>
      <c r="R81" s="2845"/>
      <c r="S81" s="2034"/>
      <c r="T81" s="2846"/>
    </row>
    <row r="82" spans="1:20">
      <c r="A82" s="63">
        <v>2000.01</v>
      </c>
      <c r="B82" s="837">
        <v>77.001919586675868</v>
      </c>
      <c r="C82" s="2843">
        <v>86.990454510573613</v>
      </c>
      <c r="D82" s="441"/>
      <c r="E82" s="442"/>
      <c r="F82" s="2844"/>
      <c r="G82" s="441"/>
      <c r="H82" s="2844"/>
      <c r="I82" s="441"/>
      <c r="J82" s="2844"/>
      <c r="K82" s="441"/>
      <c r="L82" s="2844"/>
      <c r="M82" s="441"/>
      <c r="N82" s="2844"/>
      <c r="O82" s="441"/>
      <c r="P82" s="2844"/>
      <c r="Q82" s="2034"/>
      <c r="R82" s="2845"/>
      <c r="S82" s="2034"/>
      <c r="T82" s="2846"/>
    </row>
    <row r="83" spans="1:20">
      <c r="A83" s="63">
        <v>2000.02</v>
      </c>
      <c r="B83" s="837">
        <v>75.543197208371225</v>
      </c>
      <c r="C83" s="2843">
        <v>85.734792597037199</v>
      </c>
      <c r="D83" s="441"/>
      <c r="E83" s="442"/>
      <c r="F83" s="2844"/>
      <c r="G83" s="441"/>
      <c r="H83" s="2844"/>
      <c r="I83" s="441"/>
      <c r="J83" s="2844"/>
      <c r="K83" s="441"/>
      <c r="L83" s="2844"/>
      <c r="M83" s="441"/>
      <c r="N83" s="2844"/>
      <c r="O83" s="441"/>
      <c r="P83" s="2844"/>
      <c r="Q83" s="2034"/>
      <c r="R83" s="2845"/>
      <c r="S83" s="2034"/>
      <c r="T83" s="2846"/>
    </row>
    <row r="84" spans="1:20">
      <c r="A84" s="63">
        <v>2000.03</v>
      </c>
      <c r="B84" s="837">
        <v>86.602588856652361</v>
      </c>
      <c r="C84" s="2843">
        <v>86.5361276251205</v>
      </c>
      <c r="D84" s="441"/>
      <c r="E84" s="442"/>
      <c r="F84" s="2844"/>
      <c r="G84" s="441"/>
      <c r="H84" s="2844"/>
      <c r="I84" s="441"/>
      <c r="J84" s="2844"/>
      <c r="K84" s="441"/>
      <c r="L84" s="2844"/>
      <c r="M84" s="441"/>
      <c r="N84" s="2844"/>
      <c r="O84" s="441"/>
      <c r="P84" s="2844"/>
      <c r="Q84" s="2034"/>
      <c r="R84" s="2845"/>
      <c r="S84" s="2034"/>
      <c r="T84" s="2846"/>
    </row>
    <row r="85" spans="1:20">
      <c r="A85" s="63">
        <v>2000.04</v>
      </c>
      <c r="B85" s="837">
        <v>79.39174135538768</v>
      </c>
      <c r="C85" s="2843">
        <v>83.998178915185875</v>
      </c>
      <c r="D85" s="441"/>
      <c r="E85" s="442"/>
      <c r="F85" s="2844"/>
      <c r="G85" s="441"/>
      <c r="H85" s="2844"/>
      <c r="I85" s="441"/>
      <c r="J85" s="2844"/>
      <c r="K85" s="441"/>
      <c r="L85" s="2844"/>
      <c r="M85" s="441"/>
      <c r="N85" s="2844"/>
      <c r="O85" s="441"/>
      <c r="P85" s="2844"/>
      <c r="Q85" s="2034"/>
      <c r="R85" s="2845"/>
      <c r="S85" s="2034"/>
      <c r="T85" s="2846"/>
    </row>
    <row r="86" spans="1:20">
      <c r="A86" s="63">
        <v>2000.05</v>
      </c>
      <c r="B86" s="837">
        <v>83.302358795097945</v>
      </c>
      <c r="C86" s="2843">
        <v>83.861807690880426</v>
      </c>
      <c r="D86" s="441"/>
      <c r="E86" s="442"/>
      <c r="F86" s="2844"/>
      <c r="G86" s="441"/>
      <c r="H86" s="2844"/>
      <c r="I86" s="441"/>
      <c r="J86" s="2844"/>
      <c r="K86" s="441"/>
      <c r="L86" s="2844"/>
      <c r="M86" s="441"/>
      <c r="N86" s="2844"/>
      <c r="O86" s="441"/>
      <c r="P86" s="2844"/>
      <c r="Q86" s="2034"/>
      <c r="R86" s="2845"/>
      <c r="S86" s="2034"/>
      <c r="T86" s="2846"/>
    </row>
    <row r="87" spans="1:20">
      <c r="A87" s="63">
        <v>2000.06</v>
      </c>
      <c r="B87" s="837">
        <v>81.326358977678211</v>
      </c>
      <c r="C87" s="2843">
        <v>82.5346846531924</v>
      </c>
      <c r="D87" s="441"/>
      <c r="E87" s="442"/>
      <c r="F87" s="2844"/>
      <c r="G87" s="441"/>
      <c r="H87" s="2844"/>
      <c r="I87" s="441"/>
      <c r="J87" s="2844"/>
      <c r="K87" s="441"/>
      <c r="L87" s="2844"/>
      <c r="M87" s="441"/>
      <c r="N87" s="2844"/>
      <c r="O87" s="441"/>
      <c r="P87" s="2844"/>
      <c r="Q87" s="2034"/>
      <c r="R87" s="2845"/>
      <c r="S87" s="2034"/>
      <c r="T87" s="2846"/>
    </row>
    <row r="88" spans="1:20">
      <c r="A88" s="63">
        <v>2000.07</v>
      </c>
      <c r="B88" s="837">
        <v>84.978337697830924</v>
      </c>
      <c r="C88" s="2843">
        <v>83.618569777919276</v>
      </c>
      <c r="D88" s="441"/>
      <c r="E88" s="442"/>
      <c r="F88" s="2844"/>
      <c r="G88" s="441"/>
      <c r="H88" s="2844"/>
      <c r="I88" s="441"/>
      <c r="J88" s="2844"/>
      <c r="K88" s="441"/>
      <c r="L88" s="2844"/>
      <c r="M88" s="441"/>
      <c r="N88" s="2844"/>
      <c r="O88" s="441"/>
      <c r="P88" s="2844"/>
      <c r="Q88" s="2034"/>
      <c r="R88" s="2845"/>
      <c r="S88" s="2034"/>
      <c r="T88" s="2846"/>
    </row>
    <row r="89" spans="1:20">
      <c r="A89" s="63">
        <v>2000.08</v>
      </c>
      <c r="B89" s="837">
        <v>85.961164832149635</v>
      </c>
      <c r="C89" s="2843">
        <v>83.102511476572502</v>
      </c>
      <c r="D89" s="441"/>
      <c r="E89" s="442"/>
      <c r="F89" s="2844"/>
      <c r="G89" s="441"/>
      <c r="H89" s="2844"/>
      <c r="I89" s="441"/>
      <c r="J89" s="2844"/>
      <c r="K89" s="441"/>
      <c r="L89" s="2844"/>
      <c r="M89" s="441"/>
      <c r="N89" s="2844"/>
      <c r="O89" s="441"/>
      <c r="P89" s="2844"/>
      <c r="Q89" s="2034"/>
      <c r="R89" s="2845"/>
      <c r="S89" s="2034"/>
      <c r="T89" s="2846"/>
    </row>
    <row r="90" spans="1:20">
      <c r="A90" s="63">
        <v>2000.09</v>
      </c>
      <c r="B90" s="837">
        <v>86.106002515101864</v>
      </c>
      <c r="C90" s="2843">
        <v>84.111855504411892</v>
      </c>
      <c r="D90" s="441"/>
      <c r="E90" s="442"/>
      <c r="F90" s="2844"/>
      <c r="G90" s="441"/>
      <c r="H90" s="2844"/>
      <c r="I90" s="441"/>
      <c r="J90" s="2844"/>
      <c r="K90" s="441"/>
      <c r="L90" s="2844"/>
      <c r="M90" s="441"/>
      <c r="N90" s="2844"/>
      <c r="O90" s="441"/>
      <c r="P90" s="2844"/>
      <c r="Q90" s="2034"/>
      <c r="R90" s="2845"/>
      <c r="S90" s="2034"/>
      <c r="T90" s="2846"/>
    </row>
    <row r="91" spans="1:20">
      <c r="A91" s="63">
        <v>2000.1</v>
      </c>
      <c r="B91" s="837">
        <v>86.219803551707187</v>
      </c>
      <c r="C91" s="2843">
        <v>83.405901827314381</v>
      </c>
      <c r="D91" s="441"/>
      <c r="E91" s="442"/>
      <c r="F91" s="2844"/>
      <c r="G91" s="441"/>
      <c r="H91" s="2844"/>
      <c r="I91" s="441"/>
      <c r="J91" s="2844"/>
      <c r="K91" s="441"/>
      <c r="L91" s="2844"/>
      <c r="M91" s="441"/>
      <c r="N91" s="2844"/>
      <c r="O91" s="441"/>
      <c r="P91" s="2844"/>
      <c r="Q91" s="2034"/>
      <c r="R91" s="2845"/>
      <c r="S91" s="2034"/>
      <c r="T91" s="2846"/>
    </row>
    <row r="92" spans="1:20">
      <c r="A92" s="63">
        <v>2000.11</v>
      </c>
      <c r="B92" s="837">
        <v>83.612725258567011</v>
      </c>
      <c r="C92" s="2843">
        <v>82.57387384801973</v>
      </c>
      <c r="D92" s="441"/>
      <c r="E92" s="442"/>
      <c r="F92" s="2844"/>
      <c r="G92" s="441"/>
      <c r="H92" s="2844"/>
      <c r="I92" s="441"/>
      <c r="J92" s="2844"/>
      <c r="K92" s="441"/>
      <c r="L92" s="2844"/>
      <c r="M92" s="441"/>
      <c r="N92" s="2844"/>
      <c r="O92" s="441"/>
      <c r="P92" s="2844"/>
      <c r="Q92" s="2034"/>
      <c r="R92" s="2845"/>
      <c r="S92" s="2034"/>
      <c r="T92" s="2846"/>
    </row>
    <row r="93" spans="1:20">
      <c r="A93" s="63">
        <v>2000.12</v>
      </c>
      <c r="B93" s="837">
        <v>83.829981782995375</v>
      </c>
      <c r="C93" s="2843">
        <v>83.204803235873172</v>
      </c>
      <c r="D93" s="441"/>
      <c r="E93" s="442"/>
      <c r="F93" s="2844"/>
      <c r="G93" s="441"/>
      <c r="H93" s="2844"/>
      <c r="I93" s="441"/>
      <c r="J93" s="2844"/>
      <c r="K93" s="441"/>
      <c r="L93" s="2844"/>
      <c r="M93" s="441"/>
      <c r="N93" s="2844"/>
      <c r="O93" s="441"/>
      <c r="P93" s="2844"/>
      <c r="Q93" s="2034"/>
      <c r="R93" s="2845"/>
      <c r="S93" s="2034"/>
      <c r="T93" s="2846"/>
    </row>
    <row r="94" spans="1:20">
      <c r="A94" s="63">
        <v>2001.01</v>
      </c>
      <c r="B94" s="837">
        <v>75.915636964534116</v>
      </c>
      <c r="C94" s="2843">
        <v>83.422382128316897</v>
      </c>
      <c r="D94" s="441"/>
      <c r="E94" s="442"/>
      <c r="F94" s="2844"/>
      <c r="G94" s="441"/>
      <c r="H94" s="2844"/>
      <c r="I94" s="441"/>
      <c r="J94" s="2844"/>
      <c r="K94" s="441"/>
      <c r="L94" s="2844"/>
      <c r="M94" s="441"/>
      <c r="N94" s="2844"/>
      <c r="O94" s="441"/>
      <c r="P94" s="2844"/>
      <c r="Q94" s="2034"/>
      <c r="R94" s="2845"/>
      <c r="S94" s="2034"/>
      <c r="T94" s="2846"/>
    </row>
    <row r="95" spans="1:20">
      <c r="A95" s="63">
        <v>2001.02</v>
      </c>
      <c r="B95" s="837">
        <v>71.322213305191909</v>
      </c>
      <c r="C95" s="2843">
        <v>82.311459988253347</v>
      </c>
      <c r="D95" s="441"/>
      <c r="E95" s="442"/>
      <c r="F95" s="2844"/>
      <c r="G95" s="441"/>
      <c r="H95" s="2844"/>
      <c r="I95" s="441"/>
      <c r="J95" s="2844"/>
      <c r="K95" s="441"/>
      <c r="L95" s="2844"/>
      <c r="M95" s="441"/>
      <c r="N95" s="2844"/>
      <c r="O95" s="441"/>
      <c r="P95" s="2844"/>
      <c r="Q95" s="2034"/>
      <c r="R95" s="2845"/>
      <c r="S95" s="2034"/>
      <c r="T95" s="2846"/>
    </row>
    <row r="96" spans="1:20">
      <c r="A96" s="63">
        <v>2001.03</v>
      </c>
      <c r="B96" s="837">
        <v>79.45381464808149</v>
      </c>
      <c r="C96" s="2843">
        <v>81.217052237836938</v>
      </c>
      <c r="D96" s="441"/>
      <c r="E96" s="442"/>
      <c r="F96" s="2844"/>
      <c r="G96" s="441"/>
      <c r="H96" s="2844"/>
      <c r="I96" s="441"/>
      <c r="J96" s="2844"/>
      <c r="K96" s="441"/>
      <c r="L96" s="2844"/>
      <c r="M96" s="441"/>
      <c r="N96" s="2844"/>
      <c r="O96" s="441"/>
      <c r="P96" s="2844"/>
      <c r="Q96" s="2034"/>
      <c r="R96" s="2845"/>
      <c r="S96" s="2034"/>
      <c r="T96" s="2846"/>
    </row>
    <row r="97" spans="1:20">
      <c r="A97" s="63">
        <v>2001.04</v>
      </c>
      <c r="B97" s="837">
        <v>78.212348794205226</v>
      </c>
      <c r="C97" s="2843">
        <v>81.757674553064504</v>
      </c>
      <c r="D97" s="441"/>
      <c r="E97" s="442"/>
      <c r="F97" s="2844"/>
      <c r="G97" s="441"/>
      <c r="H97" s="2844"/>
      <c r="I97" s="441"/>
      <c r="J97" s="2844"/>
      <c r="K97" s="441"/>
      <c r="L97" s="2844"/>
      <c r="M97" s="441"/>
      <c r="N97" s="2844"/>
      <c r="O97" s="441"/>
      <c r="P97" s="2844"/>
      <c r="Q97" s="2034"/>
      <c r="R97" s="2845"/>
      <c r="S97" s="2034"/>
      <c r="T97" s="2846"/>
    </row>
    <row r="98" spans="1:20">
      <c r="A98" s="63">
        <v>2001.05</v>
      </c>
      <c r="B98" s="837">
        <v>80.653898306828566</v>
      </c>
      <c r="C98" s="2843">
        <v>81.041818647914511</v>
      </c>
      <c r="D98" s="441"/>
      <c r="E98" s="442"/>
      <c r="F98" s="2844"/>
      <c r="G98" s="441"/>
      <c r="H98" s="2844"/>
      <c r="I98" s="441"/>
      <c r="J98" s="2844"/>
      <c r="K98" s="441"/>
      <c r="L98" s="2844"/>
      <c r="M98" s="441"/>
      <c r="N98" s="2844"/>
      <c r="O98" s="441"/>
      <c r="P98" s="2844"/>
      <c r="Q98" s="2034"/>
      <c r="R98" s="2845"/>
      <c r="S98" s="2034"/>
      <c r="T98" s="2846"/>
    </row>
    <row r="99" spans="1:20">
      <c r="A99" s="63">
        <v>2001.06</v>
      </c>
      <c r="B99" s="837">
        <v>79.795217757897476</v>
      </c>
      <c r="C99" s="2843">
        <v>81.416838226289556</v>
      </c>
      <c r="D99" s="441"/>
      <c r="E99" s="442"/>
      <c r="F99" s="2844"/>
      <c r="G99" s="441"/>
      <c r="H99" s="2844"/>
      <c r="I99" s="441"/>
      <c r="J99" s="2844"/>
      <c r="K99" s="441"/>
      <c r="L99" s="2844"/>
      <c r="M99" s="441"/>
      <c r="N99" s="2844"/>
      <c r="O99" s="441"/>
      <c r="P99" s="2844"/>
      <c r="Q99" s="2034"/>
      <c r="R99" s="2845"/>
      <c r="S99" s="2034"/>
      <c r="T99" s="2846"/>
    </row>
    <row r="100" spans="1:20">
      <c r="A100" s="63">
        <v>2001.07</v>
      </c>
      <c r="B100" s="837">
        <v>81.191866843508294</v>
      </c>
      <c r="C100" s="2843">
        <v>79.244007294869903</v>
      </c>
      <c r="D100" s="441"/>
      <c r="E100" s="442"/>
      <c r="F100" s="2844"/>
      <c r="G100" s="441"/>
      <c r="H100" s="2844"/>
      <c r="I100" s="441"/>
      <c r="J100" s="2844"/>
      <c r="K100" s="441"/>
      <c r="L100" s="2844"/>
      <c r="M100" s="441"/>
      <c r="N100" s="2844"/>
      <c r="O100" s="441"/>
      <c r="P100" s="2844"/>
      <c r="Q100" s="2034"/>
      <c r="R100" s="2845"/>
      <c r="S100" s="2034"/>
      <c r="T100" s="2846"/>
    </row>
    <row r="101" spans="1:20">
      <c r="A101" s="63">
        <v>2001.08</v>
      </c>
      <c r="B101" s="837">
        <v>79.27794031878237</v>
      </c>
      <c r="C101" s="2843">
        <v>76.539169308246215</v>
      </c>
      <c r="D101" s="441"/>
      <c r="E101" s="442"/>
      <c r="F101" s="2844"/>
      <c r="G101" s="441"/>
      <c r="H101" s="2844"/>
      <c r="I101" s="441"/>
      <c r="J101" s="2844"/>
      <c r="K101" s="441"/>
      <c r="L101" s="2844"/>
      <c r="M101" s="441"/>
      <c r="N101" s="2844"/>
      <c r="O101" s="441"/>
      <c r="P101" s="2844"/>
      <c r="Q101" s="2034"/>
      <c r="R101" s="2845"/>
      <c r="S101" s="2034"/>
      <c r="T101" s="2846"/>
    </row>
    <row r="102" spans="1:20">
      <c r="A102" s="63">
        <v>2001.09</v>
      </c>
      <c r="B102" s="837">
        <v>75.812181476711103</v>
      </c>
      <c r="C102" s="2843">
        <v>75.249525313247915</v>
      </c>
      <c r="D102" s="441"/>
      <c r="E102" s="442"/>
      <c r="F102" s="2844"/>
      <c r="G102" s="441"/>
      <c r="H102" s="2844"/>
      <c r="I102" s="441"/>
      <c r="J102" s="2844"/>
      <c r="K102" s="441"/>
      <c r="L102" s="2844"/>
      <c r="M102" s="441"/>
      <c r="N102" s="2844"/>
      <c r="O102" s="441"/>
      <c r="P102" s="2844"/>
      <c r="Q102" s="2034"/>
      <c r="R102" s="2845"/>
      <c r="S102" s="2034"/>
      <c r="T102" s="2846"/>
    </row>
    <row r="103" spans="1:20">
      <c r="A103" s="63">
        <v>2001.1</v>
      </c>
      <c r="B103" s="837">
        <v>77.560579220920189</v>
      </c>
      <c r="C103" s="2843">
        <v>73.971945027345001</v>
      </c>
      <c r="D103" s="441"/>
      <c r="E103" s="442"/>
      <c r="F103" s="2844"/>
      <c r="G103" s="441"/>
      <c r="H103" s="2844"/>
      <c r="I103" s="441"/>
      <c r="J103" s="2844"/>
      <c r="K103" s="441"/>
      <c r="L103" s="2844"/>
      <c r="M103" s="441"/>
      <c r="N103" s="2844"/>
      <c r="O103" s="441"/>
      <c r="P103" s="2844"/>
      <c r="Q103" s="2034"/>
      <c r="R103" s="2845"/>
      <c r="S103" s="2034"/>
      <c r="T103" s="2846"/>
    </row>
    <row r="104" spans="1:20">
      <c r="A104" s="63">
        <v>2001.11</v>
      </c>
      <c r="B104" s="837">
        <v>73.887909403202883</v>
      </c>
      <c r="C104" s="2843">
        <v>72.318771337592437</v>
      </c>
      <c r="D104" s="441"/>
      <c r="E104" s="442"/>
      <c r="F104" s="2844"/>
      <c r="G104" s="441"/>
      <c r="H104" s="2844"/>
      <c r="I104" s="441"/>
      <c r="J104" s="2844"/>
      <c r="K104" s="441"/>
      <c r="L104" s="2844"/>
      <c r="M104" s="441"/>
      <c r="N104" s="2844"/>
      <c r="O104" s="441"/>
      <c r="P104" s="2844"/>
      <c r="Q104" s="2034"/>
      <c r="R104" s="2845"/>
      <c r="S104" s="2034"/>
      <c r="T104" s="2846"/>
    </row>
    <row r="105" spans="1:20">
      <c r="A105" s="63">
        <v>2001.12</v>
      </c>
      <c r="B105" s="837">
        <v>65.528705987102654</v>
      </c>
      <c r="C105" s="2843">
        <v>69.787530922900118</v>
      </c>
      <c r="D105" s="441"/>
      <c r="E105" s="442"/>
      <c r="F105" s="2844"/>
      <c r="G105" s="441"/>
      <c r="H105" s="2844"/>
      <c r="I105" s="441"/>
      <c r="J105" s="2844"/>
      <c r="K105" s="441"/>
      <c r="L105" s="2844"/>
      <c r="M105" s="441"/>
      <c r="N105" s="2844"/>
      <c r="O105" s="441"/>
      <c r="P105" s="2844"/>
      <c r="Q105" s="2034"/>
      <c r="R105" s="2845"/>
      <c r="S105" s="2034"/>
      <c r="T105" s="2846"/>
    </row>
    <row r="106" spans="1:20">
      <c r="A106" s="63">
        <v>2002.01</v>
      </c>
      <c r="B106" s="837">
        <v>60.749062449678995</v>
      </c>
      <c r="C106" s="2843">
        <v>67.637442720745938</v>
      </c>
      <c r="D106" s="841"/>
      <c r="E106" s="442"/>
      <c r="F106" s="2844"/>
      <c r="G106" s="441"/>
      <c r="H106" s="2844"/>
      <c r="I106" s="441"/>
      <c r="J106" s="2844"/>
      <c r="K106" s="441"/>
      <c r="L106" s="2844"/>
      <c r="M106" s="441"/>
      <c r="N106" s="2844"/>
      <c r="O106" s="441"/>
      <c r="P106" s="2844"/>
      <c r="Q106" s="2034"/>
      <c r="R106" s="2845"/>
      <c r="S106" s="2034"/>
      <c r="T106" s="2846"/>
    </row>
    <row r="107" spans="1:20">
      <c r="A107" s="63">
        <v>2002.02</v>
      </c>
      <c r="B107" s="837">
        <v>59.269648973809765</v>
      </c>
      <c r="C107" s="2843">
        <v>68.616702317294738</v>
      </c>
      <c r="D107" s="441"/>
      <c r="E107" s="442"/>
      <c r="F107" s="2844"/>
      <c r="G107" s="441"/>
      <c r="H107" s="2844"/>
      <c r="I107" s="441"/>
      <c r="J107" s="2844"/>
      <c r="K107" s="441"/>
      <c r="L107" s="2844"/>
      <c r="M107" s="441"/>
      <c r="N107" s="2844"/>
      <c r="O107" s="441"/>
      <c r="P107" s="2844"/>
      <c r="Q107" s="2034"/>
      <c r="R107" s="2845"/>
      <c r="S107" s="2034"/>
      <c r="T107" s="2846"/>
    </row>
    <row r="108" spans="1:20">
      <c r="A108" s="63">
        <v>2002.03</v>
      </c>
      <c r="B108" s="837">
        <v>61.731889583997706</v>
      </c>
      <c r="C108" s="2843">
        <v>67.91116625527259</v>
      </c>
      <c r="D108" s="441"/>
      <c r="E108" s="442"/>
      <c r="F108" s="2844"/>
      <c r="G108" s="441"/>
      <c r="H108" s="2844"/>
      <c r="I108" s="441"/>
      <c r="J108" s="2844"/>
      <c r="K108" s="441"/>
      <c r="L108" s="2844"/>
      <c r="M108" s="441"/>
      <c r="N108" s="2844"/>
      <c r="O108" s="441"/>
      <c r="P108" s="2844"/>
      <c r="Q108" s="2034"/>
      <c r="R108" s="2845"/>
      <c r="S108" s="2034"/>
      <c r="T108" s="2846"/>
    </row>
    <row r="109" spans="1:20">
      <c r="A109" s="63">
        <v>2002.04</v>
      </c>
      <c r="B109" s="837">
        <v>66.428768731162933</v>
      </c>
      <c r="C109" s="2843">
        <v>68.521721100859324</v>
      </c>
      <c r="D109" s="441"/>
      <c r="E109" s="442"/>
      <c r="F109" s="2844"/>
      <c r="G109" s="441"/>
      <c r="H109" s="2844"/>
      <c r="I109" s="441"/>
      <c r="J109" s="2844"/>
      <c r="K109" s="441"/>
      <c r="L109" s="2844"/>
      <c r="M109" s="441"/>
      <c r="N109" s="2844"/>
      <c r="O109" s="441"/>
      <c r="P109" s="2844"/>
      <c r="Q109" s="2034"/>
      <c r="R109" s="2845"/>
      <c r="S109" s="2034"/>
      <c r="T109" s="2846"/>
    </row>
    <row r="110" spans="1:20">
      <c r="A110" s="63">
        <v>2002.05</v>
      </c>
      <c r="B110" s="837">
        <v>68.839281597439367</v>
      </c>
      <c r="C110" s="2843">
        <v>68.923898441547124</v>
      </c>
      <c r="D110" s="441"/>
      <c r="E110" s="442"/>
      <c r="F110" s="2844"/>
      <c r="G110" s="441"/>
      <c r="H110" s="2844"/>
      <c r="I110" s="441"/>
      <c r="J110" s="2844"/>
      <c r="K110" s="441"/>
      <c r="L110" s="2844"/>
      <c r="M110" s="441"/>
      <c r="N110" s="2844"/>
      <c r="O110" s="441"/>
      <c r="P110" s="2844"/>
      <c r="Q110" s="2034"/>
      <c r="R110" s="2845"/>
      <c r="S110" s="2034"/>
      <c r="T110" s="2846"/>
    </row>
    <row r="111" spans="1:20">
      <c r="A111" s="63">
        <v>2002.06</v>
      </c>
      <c r="B111" s="837">
        <v>67.235721536182496</v>
      </c>
      <c r="C111" s="2843">
        <v>69.569941852637641</v>
      </c>
      <c r="D111" s="441"/>
      <c r="E111" s="442"/>
      <c r="F111" s="2844"/>
      <c r="G111" s="441"/>
      <c r="H111" s="2844"/>
      <c r="I111" s="441"/>
      <c r="J111" s="2844"/>
      <c r="K111" s="441"/>
      <c r="L111" s="2844"/>
      <c r="M111" s="441"/>
      <c r="N111" s="2844"/>
      <c r="O111" s="441"/>
      <c r="P111" s="2844"/>
      <c r="Q111" s="2034"/>
      <c r="R111" s="2845"/>
      <c r="S111" s="2034"/>
      <c r="T111" s="2846"/>
    </row>
    <row r="112" spans="1:20">
      <c r="A112" s="63">
        <v>2002.07</v>
      </c>
      <c r="B112" s="837">
        <v>71.280831110062692</v>
      </c>
      <c r="C112" s="2843">
        <v>68.647879264219924</v>
      </c>
      <c r="D112" s="441"/>
      <c r="E112" s="442"/>
      <c r="F112" s="2844"/>
      <c r="G112" s="441"/>
      <c r="H112" s="2844"/>
      <c r="I112" s="441"/>
      <c r="J112" s="2844"/>
      <c r="K112" s="441"/>
      <c r="L112" s="2844"/>
      <c r="M112" s="441"/>
      <c r="N112" s="2844"/>
      <c r="O112" s="441"/>
      <c r="P112" s="2844"/>
      <c r="Q112" s="2034"/>
      <c r="R112" s="2845"/>
      <c r="S112" s="2034"/>
      <c r="T112" s="2846"/>
    </row>
    <row r="113" spans="1:20">
      <c r="A113" s="63">
        <v>2002.08</v>
      </c>
      <c r="B113" s="837">
        <v>72.574024707850484</v>
      </c>
      <c r="C113" s="2843">
        <v>70.54749091781845</v>
      </c>
      <c r="D113" s="441"/>
      <c r="E113" s="442"/>
      <c r="F113" s="2844"/>
      <c r="G113" s="441"/>
      <c r="H113" s="2844"/>
      <c r="I113" s="441"/>
      <c r="J113" s="2844"/>
      <c r="K113" s="441"/>
      <c r="L113" s="2844"/>
      <c r="M113" s="441"/>
      <c r="N113" s="2844"/>
      <c r="O113" s="441"/>
      <c r="P113" s="2844"/>
      <c r="Q113" s="2034"/>
      <c r="R113" s="2845"/>
      <c r="S113" s="2034"/>
      <c r="T113" s="2846"/>
    </row>
    <row r="114" spans="1:20">
      <c r="A114" s="63">
        <v>2002.09</v>
      </c>
      <c r="B114" s="837">
        <v>72.346422634639836</v>
      </c>
      <c r="C114" s="2843">
        <v>71.494734153611958</v>
      </c>
      <c r="D114" s="441"/>
      <c r="E114" s="442"/>
      <c r="F114" s="2844"/>
      <c r="G114" s="441"/>
      <c r="H114" s="2844"/>
      <c r="I114" s="441"/>
      <c r="J114" s="2844"/>
      <c r="K114" s="441"/>
      <c r="L114" s="2844"/>
      <c r="M114" s="441"/>
      <c r="N114" s="2844"/>
      <c r="O114" s="441"/>
      <c r="P114" s="2844"/>
      <c r="Q114" s="2034"/>
      <c r="R114" s="2845"/>
      <c r="S114" s="2034"/>
      <c r="T114" s="2846"/>
    </row>
    <row r="115" spans="1:20">
      <c r="A115" s="63">
        <v>2002.1</v>
      </c>
      <c r="B115" s="837">
        <v>74.301731354494962</v>
      </c>
      <c r="C115" s="2843">
        <v>72.229804858552711</v>
      </c>
      <c r="D115" s="441"/>
      <c r="E115" s="442"/>
      <c r="F115" s="2844"/>
      <c r="G115" s="441"/>
      <c r="H115" s="2844"/>
      <c r="I115" s="441"/>
      <c r="J115" s="2844"/>
      <c r="K115" s="441"/>
      <c r="L115" s="2844"/>
      <c r="M115" s="441"/>
      <c r="N115" s="2844"/>
      <c r="O115" s="441"/>
      <c r="P115" s="2844"/>
      <c r="Q115" s="2034"/>
      <c r="R115" s="2845"/>
      <c r="S115" s="2034"/>
      <c r="T115" s="2846"/>
    </row>
    <row r="116" spans="1:20">
      <c r="A116" s="63">
        <v>2002.11</v>
      </c>
      <c r="B116" s="837">
        <v>74.363804647188772</v>
      </c>
      <c r="C116" s="2843">
        <v>73.829143594064533</v>
      </c>
      <c r="D116" s="441"/>
      <c r="E116" s="442"/>
      <c r="F116" s="2844"/>
      <c r="G116" s="441"/>
      <c r="H116" s="2844"/>
      <c r="I116" s="441"/>
      <c r="J116" s="2844"/>
      <c r="K116" s="441"/>
      <c r="L116" s="2844"/>
      <c r="M116" s="441"/>
      <c r="N116" s="2844"/>
      <c r="O116" s="441"/>
      <c r="P116" s="2844"/>
      <c r="Q116" s="2034"/>
      <c r="R116" s="2845"/>
      <c r="S116" s="2034"/>
      <c r="T116" s="2846"/>
    </row>
    <row r="117" spans="1:20">
      <c r="A117" s="63">
        <v>2002.12</v>
      </c>
      <c r="B117" s="837">
        <v>72.574024707850484</v>
      </c>
      <c r="C117" s="2843">
        <v>76.413550319714389</v>
      </c>
      <c r="D117" s="441"/>
      <c r="E117" s="442"/>
      <c r="F117" s="2844"/>
      <c r="G117" s="441"/>
      <c r="H117" s="2844"/>
      <c r="I117" s="441"/>
      <c r="J117" s="2844"/>
      <c r="K117" s="441"/>
      <c r="L117" s="2844"/>
      <c r="M117" s="441"/>
      <c r="N117" s="2844"/>
      <c r="O117" s="441"/>
      <c r="P117" s="2844"/>
      <c r="Q117" s="2034"/>
      <c r="R117" s="2845"/>
      <c r="S117" s="2034"/>
      <c r="T117" s="2846"/>
    </row>
    <row r="118" spans="1:20">
      <c r="A118" s="63">
        <v>2003.01</v>
      </c>
      <c r="B118" s="837">
        <v>71.736035256484001</v>
      </c>
      <c r="C118" s="2843">
        <v>78.406751367907333</v>
      </c>
      <c r="D118" s="441"/>
      <c r="E118" s="442"/>
      <c r="F118" s="2844"/>
      <c r="G118" s="441"/>
      <c r="H118" s="2844"/>
      <c r="I118" s="441"/>
      <c r="J118" s="2844"/>
      <c r="K118" s="441"/>
      <c r="L118" s="2844"/>
      <c r="M118" s="441"/>
      <c r="N118" s="2844"/>
      <c r="O118" s="441"/>
      <c r="P118" s="2844"/>
      <c r="Q118" s="2034"/>
      <c r="R118" s="2845"/>
      <c r="S118" s="2034"/>
      <c r="T118" s="2846"/>
    </row>
    <row r="119" spans="1:20">
      <c r="A119" s="63">
        <v>2003.02</v>
      </c>
      <c r="B119" s="837">
        <v>69.428977878030594</v>
      </c>
      <c r="C119" s="2843">
        <v>78.876945517657489</v>
      </c>
      <c r="D119" s="441"/>
      <c r="E119" s="442"/>
      <c r="F119" s="2844"/>
      <c r="G119" s="441"/>
      <c r="H119" s="2844"/>
      <c r="I119" s="441"/>
      <c r="J119" s="2844"/>
      <c r="K119" s="441"/>
      <c r="L119" s="2844"/>
      <c r="M119" s="441"/>
      <c r="N119" s="2844"/>
      <c r="O119" s="441"/>
      <c r="P119" s="2844"/>
      <c r="Q119" s="2034"/>
      <c r="R119" s="2845"/>
      <c r="S119" s="2034"/>
      <c r="T119" s="2846"/>
    </row>
    <row r="120" spans="1:20">
      <c r="A120" s="63">
        <v>2003.03</v>
      </c>
      <c r="B120" s="837">
        <v>76.908809647635138</v>
      </c>
      <c r="C120" s="2843">
        <v>78.835057939154396</v>
      </c>
      <c r="D120" s="441"/>
      <c r="E120" s="442"/>
      <c r="F120" s="2844"/>
      <c r="G120" s="441"/>
      <c r="H120" s="2844"/>
      <c r="I120" s="441"/>
      <c r="J120" s="2844"/>
      <c r="K120" s="441"/>
      <c r="L120" s="2844"/>
      <c r="M120" s="441"/>
      <c r="N120" s="2844"/>
      <c r="O120" s="441"/>
      <c r="P120" s="2844"/>
      <c r="Q120" s="2034"/>
      <c r="R120" s="2845"/>
      <c r="S120" s="2034"/>
      <c r="T120" s="2846"/>
    </row>
    <row r="121" spans="1:20">
      <c r="A121" s="63">
        <v>2003.04</v>
      </c>
      <c r="B121" s="837">
        <v>76.526024342689951</v>
      </c>
      <c r="C121" s="2843">
        <v>78.461301892501382</v>
      </c>
      <c r="D121" s="441"/>
      <c r="E121" s="442"/>
      <c r="F121" s="2844"/>
      <c r="G121" s="441"/>
      <c r="H121" s="2844"/>
      <c r="I121" s="441"/>
      <c r="J121" s="2844"/>
      <c r="K121" s="441"/>
      <c r="L121" s="2844"/>
      <c r="M121" s="441"/>
      <c r="N121" s="2844"/>
      <c r="O121" s="441"/>
      <c r="P121" s="2844"/>
      <c r="Q121" s="2034"/>
      <c r="R121" s="2845"/>
      <c r="S121" s="2034"/>
      <c r="T121" s="2846"/>
    </row>
    <row r="122" spans="1:20">
      <c r="A122" s="63">
        <v>2003.05</v>
      </c>
      <c r="B122" s="837">
        <v>77.901982330736146</v>
      </c>
      <c r="C122" s="2843">
        <v>79.106113550154092</v>
      </c>
      <c r="D122" s="441"/>
      <c r="E122" s="442"/>
      <c r="F122" s="2844"/>
      <c r="G122" s="441"/>
      <c r="H122" s="2844"/>
      <c r="I122" s="441"/>
      <c r="J122" s="2844"/>
      <c r="K122" s="441"/>
      <c r="L122" s="2844"/>
      <c r="M122" s="441"/>
      <c r="N122" s="2844"/>
      <c r="O122" s="441"/>
      <c r="P122" s="2844"/>
      <c r="Q122" s="2034"/>
      <c r="R122" s="2845"/>
      <c r="S122" s="2034"/>
      <c r="T122" s="2846"/>
    </row>
    <row r="123" spans="1:20">
      <c r="A123" s="63">
        <v>2003.06</v>
      </c>
      <c r="B123" s="837">
        <v>77.964055623429957</v>
      </c>
      <c r="C123" s="2843">
        <v>80.1754842469729</v>
      </c>
      <c r="D123" s="441"/>
      <c r="E123" s="442"/>
      <c r="F123" s="2844"/>
      <c r="G123" s="441"/>
      <c r="H123" s="2844"/>
      <c r="I123" s="441"/>
      <c r="J123" s="2844"/>
      <c r="K123" s="441"/>
      <c r="L123" s="2844"/>
      <c r="M123" s="441"/>
      <c r="N123" s="2844"/>
      <c r="O123" s="441"/>
      <c r="P123" s="2844"/>
      <c r="Q123" s="2034"/>
      <c r="R123" s="2845"/>
      <c r="S123" s="2034"/>
      <c r="T123" s="2846"/>
    </row>
    <row r="124" spans="1:20">
      <c r="A124" s="63">
        <v>2003.07</v>
      </c>
      <c r="B124" s="837">
        <v>83.333395441444836</v>
      </c>
      <c r="C124" s="2843">
        <v>81.301220487123871</v>
      </c>
      <c r="D124" s="441"/>
      <c r="E124" s="442"/>
      <c r="F124" s="2844"/>
      <c r="G124" s="441"/>
      <c r="H124" s="2844"/>
      <c r="I124" s="441"/>
      <c r="J124" s="2844"/>
      <c r="K124" s="441"/>
      <c r="L124" s="2844"/>
      <c r="M124" s="441"/>
      <c r="N124" s="2844"/>
      <c r="O124" s="441"/>
      <c r="P124" s="2844"/>
      <c r="Q124" s="2034"/>
      <c r="R124" s="2845"/>
      <c r="S124" s="2034"/>
      <c r="T124" s="2846"/>
    </row>
    <row r="125" spans="1:20">
      <c r="A125" s="63">
        <v>2003.08</v>
      </c>
      <c r="B125" s="837">
        <v>83.467887575614768</v>
      </c>
      <c r="C125" s="2843">
        <v>82.545849237173513</v>
      </c>
      <c r="D125" s="441"/>
      <c r="E125" s="442"/>
      <c r="F125" s="2844"/>
      <c r="G125" s="441"/>
      <c r="H125" s="2844"/>
      <c r="I125" s="441"/>
      <c r="J125" s="2844"/>
      <c r="K125" s="441"/>
      <c r="L125" s="2844"/>
      <c r="M125" s="441"/>
      <c r="N125" s="2844"/>
      <c r="O125" s="441"/>
      <c r="P125" s="2844"/>
      <c r="Q125" s="2034"/>
      <c r="R125" s="2845"/>
      <c r="S125" s="2034"/>
      <c r="T125" s="2846"/>
    </row>
    <row r="126" spans="1:20">
      <c r="A126" s="63">
        <v>2003.09</v>
      </c>
      <c r="B126" s="837">
        <v>83.364432087791741</v>
      </c>
      <c r="C126" s="2843">
        <v>82.232740878550203</v>
      </c>
      <c r="D126" s="441"/>
      <c r="E126" s="442"/>
      <c r="F126" s="2844"/>
      <c r="G126" s="441"/>
      <c r="H126" s="2844"/>
      <c r="I126" s="441"/>
      <c r="J126" s="2844"/>
      <c r="K126" s="441"/>
      <c r="L126" s="2844"/>
      <c r="M126" s="441"/>
      <c r="N126" s="2844"/>
      <c r="O126" s="441"/>
      <c r="P126" s="2844"/>
      <c r="Q126" s="2034"/>
      <c r="R126" s="2845"/>
      <c r="S126" s="2034"/>
      <c r="T126" s="2846"/>
    </row>
    <row r="127" spans="1:20">
      <c r="A127" s="63">
        <v>2003.1</v>
      </c>
      <c r="B127" s="837">
        <v>87.119866295767466</v>
      </c>
      <c r="C127" s="2843">
        <v>83.750480079845047</v>
      </c>
      <c r="D127" s="441"/>
      <c r="E127" s="442"/>
      <c r="F127" s="2844"/>
      <c r="G127" s="441"/>
      <c r="H127" s="2844"/>
      <c r="I127" s="441"/>
      <c r="J127" s="2844"/>
      <c r="K127" s="441"/>
      <c r="L127" s="2844"/>
      <c r="M127" s="441"/>
      <c r="N127" s="2844"/>
      <c r="O127" s="441"/>
      <c r="P127" s="2844"/>
      <c r="Q127" s="2034"/>
      <c r="R127" s="2845"/>
      <c r="S127" s="2034"/>
      <c r="T127" s="2846"/>
    </row>
    <row r="128" spans="1:20">
      <c r="A128" s="63">
        <v>2003.11</v>
      </c>
      <c r="B128" s="837">
        <v>85.009374344177814</v>
      </c>
      <c r="C128" s="2843">
        <v>85.395880143663874</v>
      </c>
      <c r="D128" s="441"/>
      <c r="E128" s="442"/>
      <c r="F128" s="2844"/>
      <c r="G128" s="441"/>
      <c r="H128" s="2844"/>
      <c r="I128" s="441"/>
      <c r="J128" s="2844"/>
      <c r="K128" s="441"/>
      <c r="L128" s="2844"/>
      <c r="M128" s="441"/>
      <c r="N128" s="2844"/>
      <c r="O128" s="441"/>
      <c r="P128" s="2844"/>
      <c r="Q128" s="2034"/>
      <c r="R128" s="2845"/>
      <c r="S128" s="2034"/>
      <c r="T128" s="2846"/>
    </row>
    <row r="129" spans="1:20">
      <c r="A129" s="63">
        <v>2003.12</v>
      </c>
      <c r="B129" s="837">
        <v>81.688453185058776</v>
      </c>
      <c r="C129" s="2843">
        <v>85.00298314765196</v>
      </c>
      <c r="D129" s="441"/>
      <c r="E129" s="442"/>
      <c r="F129" s="2844"/>
      <c r="G129" s="441"/>
      <c r="H129" s="2844"/>
      <c r="I129" s="441"/>
      <c r="J129" s="2844"/>
      <c r="K129" s="441"/>
      <c r="L129" s="2844"/>
      <c r="M129" s="441"/>
      <c r="N129" s="2844"/>
      <c r="O129" s="441"/>
      <c r="P129" s="2844"/>
      <c r="Q129" s="2034"/>
      <c r="R129" s="2845"/>
      <c r="S129" s="2034"/>
      <c r="T129" s="2846"/>
    </row>
    <row r="130" spans="1:20">
      <c r="A130" s="63">
        <v>2004.01</v>
      </c>
      <c r="B130" s="837">
        <v>80.540097270223214</v>
      </c>
      <c r="C130" s="2843">
        <v>87.673323864363894</v>
      </c>
      <c r="D130" s="441"/>
      <c r="E130" s="442"/>
      <c r="F130" s="2844"/>
      <c r="G130" s="441"/>
      <c r="H130" s="2844"/>
      <c r="I130" s="441"/>
      <c r="J130" s="2844"/>
      <c r="K130" s="441"/>
      <c r="L130" s="2844"/>
      <c r="M130" s="441"/>
      <c r="N130" s="2844"/>
      <c r="O130" s="441"/>
      <c r="P130" s="2844"/>
      <c r="Q130" s="2034"/>
      <c r="R130" s="2845"/>
      <c r="S130" s="2034"/>
      <c r="T130" s="2846"/>
    </row>
    <row r="131" spans="1:20">
      <c r="A131" s="63">
        <v>2004.02</v>
      </c>
      <c r="B131" s="837">
        <v>79.091720440700911</v>
      </c>
      <c r="C131" s="2843">
        <v>87.95015632381849</v>
      </c>
      <c r="D131" s="441"/>
      <c r="E131" s="442"/>
      <c r="F131" s="2844"/>
      <c r="G131" s="441"/>
      <c r="H131" s="2844"/>
      <c r="I131" s="441"/>
      <c r="J131" s="2844"/>
      <c r="K131" s="441"/>
      <c r="L131" s="2844"/>
      <c r="M131" s="441"/>
      <c r="N131" s="2844"/>
      <c r="O131" s="441"/>
      <c r="P131" s="2844"/>
      <c r="Q131" s="2034"/>
      <c r="R131" s="2845"/>
      <c r="S131" s="2034"/>
      <c r="T131" s="2846"/>
    </row>
    <row r="132" spans="1:20">
      <c r="A132" s="63">
        <v>2004.03</v>
      </c>
      <c r="B132" s="837">
        <v>89.023447271711092</v>
      </c>
      <c r="C132" s="2843">
        <v>88.693401811781769</v>
      </c>
      <c r="D132" s="441"/>
      <c r="E132" s="442"/>
      <c r="F132" s="2844"/>
      <c r="G132" s="441"/>
      <c r="H132" s="2844"/>
      <c r="I132" s="441"/>
      <c r="J132" s="2844"/>
      <c r="K132" s="441"/>
      <c r="L132" s="2844"/>
      <c r="M132" s="441"/>
      <c r="N132" s="2844"/>
      <c r="O132" s="441"/>
      <c r="P132" s="2844"/>
      <c r="Q132" s="2034"/>
      <c r="R132" s="2845"/>
      <c r="S132" s="2034"/>
      <c r="T132" s="2846"/>
    </row>
    <row r="133" spans="1:20">
      <c r="A133" s="63">
        <v>2004.04</v>
      </c>
      <c r="B133" s="837">
        <v>83.281667697533337</v>
      </c>
      <c r="C133" s="2843">
        <v>88.777188808615506</v>
      </c>
      <c r="D133" s="441"/>
      <c r="E133" s="442"/>
      <c r="F133" s="2844"/>
      <c r="G133" s="441"/>
      <c r="H133" s="2844"/>
      <c r="I133" s="441"/>
      <c r="J133" s="2844"/>
      <c r="K133" s="441"/>
      <c r="L133" s="2844"/>
      <c r="M133" s="441"/>
      <c r="N133" s="2844"/>
      <c r="O133" s="441"/>
      <c r="P133" s="2844"/>
      <c r="Q133" s="2034"/>
      <c r="R133" s="2845"/>
      <c r="S133" s="2034"/>
      <c r="T133" s="2846"/>
    </row>
    <row r="134" spans="1:20">
      <c r="A134" s="63">
        <v>2004.05</v>
      </c>
      <c r="B134" s="837">
        <v>86.654316600563874</v>
      </c>
      <c r="C134" s="2843">
        <v>88.998237382558756</v>
      </c>
      <c r="D134" s="441"/>
      <c r="E134" s="442"/>
      <c r="F134" s="2844"/>
      <c r="G134" s="441"/>
      <c r="H134" s="2844"/>
      <c r="I134" s="441"/>
      <c r="J134" s="2844"/>
      <c r="K134" s="441"/>
      <c r="L134" s="2844"/>
      <c r="M134" s="441"/>
      <c r="N134" s="2844"/>
      <c r="O134" s="441"/>
      <c r="P134" s="2844"/>
      <c r="Q134" s="2034"/>
      <c r="R134" s="2845"/>
      <c r="S134" s="2034"/>
      <c r="T134" s="2846"/>
    </row>
    <row r="135" spans="1:20">
      <c r="A135" s="63">
        <v>2004.06</v>
      </c>
      <c r="B135" s="837">
        <v>86.943991966468332</v>
      </c>
      <c r="C135" s="2843">
        <v>89.171328281714693</v>
      </c>
      <c r="D135" s="441"/>
      <c r="E135" s="442"/>
      <c r="F135" s="2844"/>
      <c r="G135" s="441"/>
      <c r="H135" s="2844"/>
      <c r="I135" s="441"/>
      <c r="J135" s="2844"/>
      <c r="K135" s="441"/>
      <c r="L135" s="2844"/>
      <c r="M135" s="441"/>
      <c r="N135" s="2844"/>
      <c r="O135" s="441"/>
      <c r="P135" s="2844"/>
      <c r="Q135" s="2034"/>
      <c r="R135" s="2845"/>
      <c r="S135" s="2034"/>
      <c r="T135" s="2846"/>
    </row>
    <row r="136" spans="1:20">
      <c r="A136" s="63">
        <v>2004.07</v>
      </c>
      <c r="B136" s="837">
        <v>91.278776906252986</v>
      </c>
      <c r="C136" s="2843">
        <v>90.655106828030213</v>
      </c>
      <c r="D136" s="441"/>
      <c r="E136" s="442"/>
      <c r="F136" s="2844"/>
      <c r="G136" s="441"/>
      <c r="H136" s="2844"/>
      <c r="I136" s="441"/>
      <c r="J136" s="2844"/>
      <c r="K136" s="441"/>
      <c r="L136" s="2844"/>
      <c r="M136" s="441"/>
      <c r="N136" s="2844"/>
      <c r="O136" s="441"/>
      <c r="P136" s="2844"/>
      <c r="Q136" s="2034"/>
      <c r="R136" s="2845"/>
      <c r="S136" s="2034"/>
      <c r="T136" s="2846"/>
    </row>
    <row r="137" spans="1:20">
      <c r="A137" s="63">
        <v>2004.08</v>
      </c>
      <c r="B137" s="837">
        <v>92.396096174741629</v>
      </c>
      <c r="C137" s="2843">
        <v>90.903226137424028</v>
      </c>
      <c r="D137" s="441"/>
      <c r="E137" s="442"/>
      <c r="F137" s="2844"/>
      <c r="G137" s="441"/>
      <c r="H137" s="2844"/>
      <c r="I137" s="441"/>
      <c r="J137" s="2844"/>
      <c r="K137" s="441"/>
      <c r="L137" s="2844"/>
      <c r="M137" s="441"/>
      <c r="N137" s="2844"/>
      <c r="O137" s="441"/>
      <c r="P137" s="2844"/>
      <c r="Q137" s="2034"/>
      <c r="R137" s="2845"/>
      <c r="S137" s="2034"/>
      <c r="T137" s="2846"/>
    </row>
    <row r="138" spans="1:20">
      <c r="A138" s="63">
        <v>2004.09</v>
      </c>
      <c r="B138" s="837">
        <v>92.137457455184077</v>
      </c>
      <c r="C138" s="2843">
        <v>90.918441855103367</v>
      </c>
      <c r="D138" s="441"/>
      <c r="E138" s="442"/>
      <c r="F138" s="2844"/>
      <c r="G138" s="441"/>
      <c r="H138" s="2844"/>
      <c r="I138" s="441"/>
      <c r="J138" s="2844"/>
      <c r="K138" s="441"/>
      <c r="L138" s="2844"/>
      <c r="M138" s="441"/>
      <c r="N138" s="2844"/>
      <c r="O138" s="441"/>
      <c r="P138" s="2844"/>
      <c r="Q138" s="2034"/>
      <c r="R138" s="2845"/>
      <c r="S138" s="2034"/>
      <c r="T138" s="2846"/>
    </row>
    <row r="139" spans="1:20">
      <c r="A139" s="63">
        <v>2004.1</v>
      </c>
      <c r="B139" s="837">
        <v>93.854818553046243</v>
      </c>
      <c r="C139" s="2843">
        <v>92.097400388014549</v>
      </c>
      <c r="D139" s="441"/>
      <c r="E139" s="442"/>
      <c r="F139" s="2844"/>
      <c r="G139" s="441"/>
      <c r="H139" s="2844"/>
      <c r="I139" s="441"/>
      <c r="J139" s="2844"/>
      <c r="K139" s="441"/>
      <c r="L139" s="2844"/>
      <c r="M139" s="441"/>
      <c r="N139" s="2844"/>
      <c r="O139" s="441"/>
      <c r="P139" s="2844"/>
      <c r="Q139" s="2034"/>
      <c r="R139" s="2845"/>
      <c r="S139" s="2034"/>
      <c r="T139" s="2846"/>
    </row>
    <row r="140" spans="1:20">
      <c r="A140" s="63">
        <v>2004.11</v>
      </c>
      <c r="B140" s="837">
        <v>91.982274223449522</v>
      </c>
      <c r="C140" s="2843">
        <v>92.255459318896669</v>
      </c>
      <c r="D140" s="441"/>
      <c r="E140" s="442"/>
      <c r="F140" s="2844"/>
      <c r="G140" s="441"/>
      <c r="H140" s="2844"/>
      <c r="I140" s="441"/>
      <c r="J140" s="2844"/>
      <c r="K140" s="441"/>
      <c r="L140" s="2844"/>
      <c r="M140" s="441"/>
      <c r="N140" s="2844"/>
      <c r="O140" s="441"/>
      <c r="P140" s="2844"/>
      <c r="Q140" s="2034"/>
      <c r="R140" s="2845"/>
      <c r="S140" s="2034"/>
      <c r="T140" s="2846"/>
    </row>
    <row r="141" spans="1:20">
      <c r="A141" s="63">
        <v>2004.12</v>
      </c>
      <c r="B141" s="837">
        <v>89.592452454737696</v>
      </c>
      <c r="C141" s="2843">
        <v>92.619031970350193</v>
      </c>
      <c r="D141" s="441"/>
      <c r="E141" s="442"/>
      <c r="F141" s="2844"/>
      <c r="G141" s="441"/>
      <c r="H141" s="2844"/>
      <c r="I141" s="441"/>
      <c r="J141" s="2844"/>
      <c r="K141" s="441"/>
      <c r="L141" s="2844"/>
      <c r="M141" s="441"/>
      <c r="N141" s="2844"/>
      <c r="O141" s="441"/>
      <c r="P141" s="2844"/>
      <c r="Q141" s="2034"/>
      <c r="R141" s="2845"/>
      <c r="S141" s="2034"/>
      <c r="T141" s="2846"/>
    </row>
    <row r="142" spans="1:20">
      <c r="A142" s="63">
        <v>2005.01</v>
      </c>
      <c r="B142" s="837">
        <v>86.830190929863008</v>
      </c>
      <c r="C142" s="2843">
        <v>93.547064187163073</v>
      </c>
      <c r="D142" s="441"/>
      <c r="E142" s="442"/>
      <c r="F142" s="2844"/>
      <c r="G142" s="441"/>
      <c r="H142" s="2844"/>
      <c r="I142" s="441"/>
      <c r="J142" s="2844"/>
      <c r="K142" s="441"/>
      <c r="L142" s="2844"/>
      <c r="M142" s="441"/>
      <c r="N142" s="2844"/>
      <c r="O142" s="441"/>
      <c r="P142" s="2844"/>
      <c r="Q142" s="2034"/>
      <c r="R142" s="2845"/>
      <c r="S142" s="2034"/>
      <c r="T142" s="2846"/>
    </row>
    <row r="143" spans="1:20">
      <c r="A143" s="63">
        <v>2005.02</v>
      </c>
      <c r="B143" s="837">
        <v>83.819636234213036</v>
      </c>
      <c r="C143" s="2843">
        <v>93.619549476743131</v>
      </c>
      <c r="D143" s="441"/>
      <c r="E143" s="442"/>
      <c r="F143" s="2844"/>
      <c r="G143" s="441"/>
      <c r="H143" s="2844"/>
      <c r="I143" s="441"/>
      <c r="J143" s="2844"/>
      <c r="K143" s="441"/>
      <c r="L143" s="2844"/>
      <c r="M143" s="441"/>
      <c r="N143" s="2844"/>
      <c r="O143" s="441"/>
      <c r="P143" s="2844"/>
      <c r="Q143" s="2034"/>
      <c r="R143" s="2845"/>
      <c r="S143" s="2034"/>
      <c r="T143" s="2846"/>
    </row>
    <row r="144" spans="1:20">
      <c r="A144" s="63">
        <v>2005.03</v>
      </c>
      <c r="B144" s="837">
        <v>95.623907394819938</v>
      </c>
      <c r="C144" s="2843">
        <v>95.211604999787738</v>
      </c>
      <c r="D144" s="441"/>
      <c r="E144" s="442"/>
      <c r="F144" s="2844"/>
      <c r="G144" s="441"/>
      <c r="H144" s="2844"/>
      <c r="I144" s="441"/>
      <c r="J144" s="2844"/>
      <c r="K144" s="441"/>
      <c r="L144" s="2844"/>
      <c r="M144" s="441"/>
      <c r="N144" s="2844"/>
      <c r="O144" s="441"/>
      <c r="P144" s="2844"/>
      <c r="Q144" s="2034"/>
      <c r="R144" s="2845"/>
      <c r="S144" s="2034"/>
      <c r="T144" s="2846"/>
    </row>
    <row r="145" spans="1:20">
      <c r="A145" s="63">
        <v>2005.04</v>
      </c>
      <c r="B145" s="837">
        <v>94.434169284855159</v>
      </c>
      <c r="C145" s="2843">
        <v>96.671552942132749</v>
      </c>
      <c r="D145" s="441"/>
      <c r="E145" s="442"/>
      <c r="F145" s="2844"/>
      <c r="G145" s="441"/>
      <c r="H145" s="2844"/>
      <c r="I145" s="441"/>
      <c r="J145" s="2844"/>
      <c r="K145" s="441"/>
      <c r="L145" s="2844"/>
      <c r="M145" s="441"/>
      <c r="N145" s="2844"/>
      <c r="O145" s="441"/>
      <c r="P145" s="2844"/>
      <c r="Q145" s="2034"/>
      <c r="R145" s="2845"/>
      <c r="S145" s="2034"/>
      <c r="T145" s="2846"/>
    </row>
    <row r="146" spans="1:20">
      <c r="A146" s="63">
        <v>2005.05</v>
      </c>
      <c r="B146" s="837">
        <v>96.151530382717326</v>
      </c>
      <c r="C146" s="2843">
        <v>97.746018741760366</v>
      </c>
      <c r="D146" s="441"/>
      <c r="E146" s="442"/>
      <c r="F146" s="2844"/>
      <c r="G146" s="441"/>
      <c r="H146" s="2844"/>
      <c r="I146" s="441"/>
      <c r="J146" s="2844"/>
      <c r="K146" s="441"/>
      <c r="L146" s="2844"/>
      <c r="M146" s="441"/>
      <c r="N146" s="2844"/>
      <c r="O146" s="441"/>
      <c r="P146" s="2844"/>
      <c r="Q146" s="2034"/>
      <c r="R146" s="2845"/>
      <c r="S146" s="2034"/>
      <c r="T146" s="2846"/>
    </row>
    <row r="147" spans="1:20">
      <c r="A147" s="63">
        <v>2005.06</v>
      </c>
      <c r="B147" s="837">
        <v>94.051383979909957</v>
      </c>
      <c r="C147" s="2843">
        <v>96.975329559861549</v>
      </c>
      <c r="D147" s="441"/>
      <c r="E147" s="442"/>
      <c r="F147" s="2844"/>
      <c r="G147" s="441"/>
      <c r="H147" s="2844"/>
      <c r="I147" s="441"/>
      <c r="J147" s="2844"/>
      <c r="K147" s="441"/>
      <c r="L147" s="2844"/>
      <c r="M147" s="441"/>
      <c r="N147" s="2844"/>
      <c r="O147" s="441"/>
      <c r="P147" s="2844"/>
      <c r="Q147" s="2034"/>
      <c r="R147" s="2845"/>
      <c r="S147" s="2034"/>
      <c r="T147" s="2846"/>
    </row>
    <row r="148" spans="1:20">
      <c r="A148" s="63">
        <v>2005.07</v>
      </c>
      <c r="B148" s="837">
        <v>96.244640321758041</v>
      </c>
      <c r="C148" s="2843">
        <v>97.193094717045426</v>
      </c>
      <c r="D148" s="441"/>
      <c r="E148" s="442"/>
      <c r="F148" s="2844"/>
      <c r="G148" s="441"/>
      <c r="H148" s="2844"/>
      <c r="I148" s="441"/>
      <c r="J148" s="2844"/>
      <c r="K148" s="441"/>
      <c r="L148" s="2844"/>
      <c r="M148" s="441"/>
      <c r="N148" s="2844"/>
      <c r="O148" s="441"/>
      <c r="P148" s="2844"/>
      <c r="Q148" s="2034"/>
      <c r="R148" s="2845"/>
      <c r="S148" s="2034"/>
      <c r="T148" s="2846"/>
    </row>
    <row r="149" spans="1:20">
      <c r="A149" s="63">
        <v>2005.08</v>
      </c>
      <c r="B149" s="837">
        <v>99.555215932094768</v>
      </c>
      <c r="C149" s="2843">
        <v>97.387327615182954</v>
      </c>
      <c r="D149" s="441"/>
      <c r="E149" s="442"/>
      <c r="F149" s="2844"/>
      <c r="G149" s="441"/>
      <c r="H149" s="2844"/>
      <c r="I149" s="441"/>
      <c r="J149" s="2844"/>
      <c r="K149" s="441"/>
      <c r="L149" s="2844"/>
      <c r="M149" s="441"/>
      <c r="N149" s="2844"/>
      <c r="O149" s="441"/>
      <c r="P149" s="2844"/>
      <c r="Q149" s="2034"/>
      <c r="R149" s="2845"/>
      <c r="S149" s="2034"/>
      <c r="T149" s="2846"/>
    </row>
    <row r="150" spans="1:20">
      <c r="A150" s="63">
        <v>2005.09</v>
      </c>
      <c r="B150" s="837">
        <v>99.824200200434618</v>
      </c>
      <c r="C150" s="2843">
        <v>97.945516276040834</v>
      </c>
      <c r="D150" s="441"/>
      <c r="E150" s="442"/>
      <c r="F150" s="2844"/>
      <c r="G150" s="441"/>
      <c r="H150" s="2844"/>
      <c r="I150" s="441"/>
      <c r="J150" s="2844"/>
      <c r="K150" s="441"/>
      <c r="L150" s="2844"/>
      <c r="M150" s="441"/>
      <c r="N150" s="2844"/>
      <c r="O150" s="441"/>
      <c r="P150" s="2844"/>
      <c r="Q150" s="2034"/>
      <c r="R150" s="2845"/>
      <c r="S150" s="2034"/>
      <c r="T150" s="2846"/>
    </row>
    <row r="151" spans="1:20">
      <c r="A151" s="63">
        <v>2005.1</v>
      </c>
      <c r="B151" s="837">
        <v>101.23119483482772</v>
      </c>
      <c r="C151" s="2843">
        <v>99.131271639225858</v>
      </c>
      <c r="D151" s="441"/>
      <c r="E151" s="442"/>
      <c r="F151" s="2844"/>
      <c r="G151" s="441"/>
      <c r="H151" s="2844"/>
      <c r="I151" s="441"/>
      <c r="J151" s="2844"/>
      <c r="K151" s="441"/>
      <c r="L151" s="2844"/>
      <c r="M151" s="441"/>
      <c r="N151" s="2844"/>
      <c r="O151" s="441"/>
      <c r="P151" s="2844"/>
      <c r="Q151" s="2034"/>
      <c r="R151" s="2845"/>
      <c r="S151" s="2034"/>
      <c r="T151" s="2846"/>
    </row>
    <row r="152" spans="1:20">
      <c r="A152" s="63">
        <v>2005.11</v>
      </c>
      <c r="B152" s="837">
        <v>100.91048282257637</v>
      </c>
      <c r="C152" s="2843">
        <v>98.961634025395625</v>
      </c>
      <c r="D152" s="441"/>
      <c r="E152" s="442"/>
      <c r="F152" s="2844"/>
      <c r="G152" s="441"/>
      <c r="H152" s="2844"/>
      <c r="I152" s="441"/>
      <c r="J152" s="2844"/>
      <c r="K152" s="441"/>
      <c r="L152" s="2844"/>
      <c r="M152" s="441"/>
      <c r="N152" s="2844"/>
      <c r="O152" s="441"/>
      <c r="P152" s="2844"/>
      <c r="Q152" s="2034"/>
      <c r="R152" s="2845"/>
      <c r="S152" s="2034"/>
      <c r="T152" s="2846"/>
    </row>
    <row r="153" spans="1:20">
      <c r="A153" s="63">
        <v>2005.12</v>
      </c>
      <c r="B153" s="837">
        <v>96.679153370614728</v>
      </c>
      <c r="C153" s="2843">
        <v>99.906837886650166</v>
      </c>
      <c r="D153" s="441"/>
      <c r="E153" s="442"/>
      <c r="F153" s="2844"/>
      <c r="G153" s="441"/>
      <c r="H153" s="2844"/>
      <c r="I153" s="441"/>
      <c r="J153" s="2844"/>
      <c r="K153" s="441"/>
      <c r="L153" s="2844"/>
      <c r="M153" s="441"/>
      <c r="N153" s="2844"/>
      <c r="O153" s="441"/>
      <c r="P153" s="2844"/>
      <c r="Q153" s="2034"/>
      <c r="R153" s="2845"/>
      <c r="S153" s="2034"/>
      <c r="T153" s="2846"/>
    </row>
    <row r="154" spans="1:20">
      <c r="A154" s="63">
        <v>2006.01</v>
      </c>
      <c r="B154" s="837">
        <v>89.551070259608466</v>
      </c>
      <c r="C154" s="2843">
        <v>100.25030650243176</v>
      </c>
      <c r="D154" s="441"/>
      <c r="E154" s="442"/>
      <c r="F154" s="2844"/>
      <c r="G154" s="441"/>
      <c r="H154" s="2844"/>
      <c r="I154" s="441"/>
      <c r="J154" s="2844"/>
      <c r="K154" s="441"/>
      <c r="L154" s="2844"/>
      <c r="M154" s="441"/>
      <c r="N154" s="2844"/>
      <c r="O154" s="441"/>
      <c r="P154" s="2844"/>
      <c r="Q154" s="2034"/>
      <c r="R154" s="2845"/>
      <c r="S154" s="2034"/>
      <c r="T154" s="2846"/>
    </row>
    <row r="155" spans="1:20">
      <c r="A155" s="63">
        <v>2006.02</v>
      </c>
      <c r="B155" s="837">
        <v>92.489206113782316</v>
      </c>
      <c r="C155" s="2843">
        <v>102.85441691434436</v>
      </c>
      <c r="D155" s="441"/>
      <c r="E155" s="442"/>
      <c r="F155" s="2844"/>
      <c r="G155" s="441"/>
      <c r="H155" s="2844"/>
      <c r="I155" s="441"/>
      <c r="J155" s="2844"/>
      <c r="K155" s="441"/>
      <c r="L155" s="2844"/>
      <c r="M155" s="441"/>
      <c r="N155" s="2844"/>
      <c r="O155" s="441"/>
      <c r="P155" s="2844"/>
      <c r="Q155" s="2034"/>
      <c r="R155" s="2845"/>
      <c r="S155" s="2034"/>
      <c r="T155" s="2846"/>
    </row>
    <row r="156" spans="1:20">
      <c r="A156" s="63">
        <v>2006.03</v>
      </c>
      <c r="B156" s="837">
        <v>103.39341453032891</v>
      </c>
      <c r="C156" s="2843">
        <v>103.50485254075079</v>
      </c>
      <c r="D156" s="441"/>
      <c r="E156" s="442"/>
      <c r="F156" s="2844"/>
      <c r="G156" s="441"/>
      <c r="H156" s="2844"/>
      <c r="I156" s="441"/>
      <c r="J156" s="2844"/>
      <c r="K156" s="441"/>
      <c r="L156" s="2844"/>
      <c r="M156" s="441"/>
      <c r="N156" s="2844"/>
      <c r="O156" s="441"/>
      <c r="P156" s="2844"/>
      <c r="Q156" s="2034"/>
      <c r="R156" s="2845"/>
      <c r="S156" s="2034"/>
      <c r="T156" s="2846"/>
    </row>
    <row r="157" spans="1:20">
      <c r="A157" s="63">
        <v>2006.04</v>
      </c>
      <c r="B157" s="837">
        <v>101.78985446907207</v>
      </c>
      <c r="C157" s="2843">
        <v>104.85026751763405</v>
      </c>
      <c r="D157" s="441"/>
      <c r="E157" s="442"/>
      <c r="F157" s="2844"/>
      <c r="G157" s="441"/>
      <c r="H157" s="2844"/>
      <c r="I157" s="441"/>
      <c r="J157" s="2844"/>
      <c r="K157" s="441"/>
      <c r="L157" s="2844"/>
      <c r="M157" s="441"/>
      <c r="N157" s="2844"/>
      <c r="O157" s="441"/>
      <c r="P157" s="2844"/>
      <c r="Q157" s="2034"/>
      <c r="R157" s="2845"/>
      <c r="S157" s="2034"/>
      <c r="T157" s="2846"/>
    </row>
    <row r="158" spans="1:20">
      <c r="A158" s="63">
        <v>2006.05</v>
      </c>
      <c r="B158" s="837">
        <v>103.53825221328114</v>
      </c>
      <c r="C158" s="2843">
        <v>104.51798393844687</v>
      </c>
      <c r="D158" s="441"/>
      <c r="E158" s="442"/>
      <c r="F158" s="2844"/>
      <c r="G158" s="441"/>
      <c r="H158" s="2844"/>
      <c r="I158" s="441"/>
      <c r="J158" s="2844"/>
      <c r="K158" s="441"/>
      <c r="L158" s="2844"/>
      <c r="M158" s="441"/>
      <c r="N158" s="2844"/>
      <c r="O158" s="441"/>
      <c r="P158" s="2844"/>
      <c r="Q158" s="2034"/>
      <c r="R158" s="2845"/>
      <c r="S158" s="2034"/>
      <c r="T158" s="2846"/>
    </row>
    <row r="159" spans="1:20">
      <c r="A159" s="63">
        <v>2006.06</v>
      </c>
      <c r="B159" s="837">
        <v>103.21754020102976</v>
      </c>
      <c r="C159" s="2843">
        <v>106.87993929359746</v>
      </c>
      <c r="D159" s="441"/>
      <c r="E159" s="442"/>
      <c r="F159" s="2844"/>
      <c r="G159" s="441"/>
      <c r="H159" s="2844"/>
      <c r="I159" s="441"/>
      <c r="J159" s="2844"/>
      <c r="K159" s="441"/>
      <c r="L159" s="2844"/>
      <c r="M159" s="441"/>
      <c r="N159" s="2844"/>
      <c r="O159" s="441"/>
      <c r="P159" s="2844"/>
      <c r="Q159" s="2034"/>
      <c r="R159" s="2845"/>
      <c r="S159" s="2034"/>
      <c r="T159" s="2846"/>
    </row>
    <row r="160" spans="1:20">
      <c r="A160" s="63">
        <v>2006.07</v>
      </c>
      <c r="B160" s="837">
        <v>105.60736196974159</v>
      </c>
      <c r="C160" s="2843">
        <v>107.42439656070002</v>
      </c>
      <c r="D160" s="441"/>
      <c r="E160" s="442"/>
      <c r="F160" s="2844"/>
      <c r="G160" s="441"/>
      <c r="H160" s="2844"/>
      <c r="I160" s="441"/>
      <c r="J160" s="2844"/>
      <c r="K160" s="441"/>
      <c r="L160" s="2844"/>
      <c r="M160" s="441"/>
      <c r="N160" s="2844"/>
      <c r="O160" s="441"/>
      <c r="P160" s="2844"/>
      <c r="Q160" s="2034"/>
      <c r="R160" s="2845"/>
      <c r="S160" s="2034"/>
      <c r="T160" s="2846"/>
    </row>
    <row r="161" spans="1:20">
      <c r="A161" s="63">
        <v>2006.08</v>
      </c>
      <c r="B161" s="837">
        <v>107.74889056767817</v>
      </c>
      <c r="C161" s="2843">
        <v>105.43391616969686</v>
      </c>
      <c r="D161" s="441"/>
      <c r="E161" s="442"/>
      <c r="F161" s="2844"/>
      <c r="G161" s="441"/>
      <c r="H161" s="2844"/>
      <c r="I161" s="441"/>
      <c r="J161" s="2844"/>
      <c r="K161" s="441"/>
      <c r="L161" s="2844"/>
      <c r="M161" s="441"/>
      <c r="N161" s="2844"/>
      <c r="O161" s="441"/>
      <c r="P161" s="2844"/>
      <c r="Q161" s="2034"/>
      <c r="R161" s="2845"/>
      <c r="S161" s="2034"/>
      <c r="T161" s="2846"/>
    </row>
    <row r="162" spans="1:20">
      <c r="A162" s="63">
        <v>2006.09</v>
      </c>
      <c r="B162" s="837">
        <v>108.7834454459084</v>
      </c>
      <c r="C162" s="2843">
        <v>106.81941489783146</v>
      </c>
      <c r="D162" s="441"/>
      <c r="E162" s="442"/>
      <c r="F162" s="2844"/>
      <c r="G162" s="441"/>
      <c r="H162" s="2844"/>
      <c r="I162" s="441"/>
      <c r="J162" s="2844"/>
      <c r="K162" s="441"/>
      <c r="L162" s="2844"/>
      <c r="M162" s="441"/>
      <c r="N162" s="2844"/>
      <c r="O162" s="441"/>
      <c r="P162" s="2844"/>
      <c r="Q162" s="2034"/>
      <c r="R162" s="2845"/>
      <c r="S162" s="2034"/>
      <c r="T162" s="2846"/>
    </row>
    <row r="163" spans="1:20">
      <c r="A163" s="63">
        <v>2006.1</v>
      </c>
      <c r="B163" s="837">
        <v>110.05594794613157</v>
      </c>
      <c r="C163" s="2843">
        <v>106.8779370839348</v>
      </c>
      <c r="D163" s="441"/>
      <c r="E163" s="442"/>
      <c r="F163" s="2844"/>
      <c r="G163" s="441"/>
      <c r="H163" s="2844"/>
      <c r="I163" s="441"/>
      <c r="J163" s="2844"/>
      <c r="K163" s="441"/>
      <c r="L163" s="2844"/>
      <c r="M163" s="441"/>
      <c r="N163" s="2844"/>
      <c r="O163" s="441"/>
      <c r="P163" s="2844"/>
      <c r="Q163" s="2034"/>
      <c r="R163" s="2845"/>
      <c r="S163" s="2034"/>
      <c r="T163" s="2846"/>
    </row>
    <row r="164" spans="1:20">
      <c r="A164" s="63">
        <v>2006.11</v>
      </c>
      <c r="B164" s="837">
        <v>109.80765477535633</v>
      </c>
      <c r="C164" s="2843">
        <v>107.2970794964189</v>
      </c>
      <c r="D164" s="441"/>
      <c r="E164" s="442"/>
      <c r="F164" s="2844"/>
      <c r="G164" s="441"/>
      <c r="H164" s="2844"/>
      <c r="I164" s="441"/>
      <c r="J164" s="2844"/>
      <c r="K164" s="441"/>
      <c r="L164" s="2844"/>
      <c r="M164" s="441"/>
      <c r="N164" s="2844"/>
      <c r="O164" s="441"/>
      <c r="P164" s="2844"/>
      <c r="Q164" s="2034"/>
      <c r="R164" s="2845"/>
      <c r="S164" s="2034"/>
      <c r="T164" s="2846"/>
    </row>
    <row r="165" spans="1:20">
      <c r="A165" s="63">
        <v>2006.12</v>
      </c>
      <c r="B165" s="837">
        <v>105.45217873800708</v>
      </c>
      <c r="C165" s="2843">
        <v>108.56001617395684</v>
      </c>
      <c r="D165" s="441"/>
      <c r="E165" s="442"/>
      <c r="F165" s="2844"/>
      <c r="G165" s="441"/>
      <c r="H165" s="2844"/>
      <c r="I165" s="441"/>
      <c r="J165" s="2844"/>
      <c r="K165" s="441"/>
      <c r="L165" s="2844"/>
      <c r="M165" s="441"/>
      <c r="N165" s="2844"/>
      <c r="O165" s="441"/>
      <c r="P165" s="2844"/>
      <c r="Q165" s="2034"/>
      <c r="R165" s="2845"/>
      <c r="S165" s="2034"/>
      <c r="T165" s="2846"/>
    </row>
    <row r="166" spans="1:20">
      <c r="A166" s="63">
        <v>2007.01</v>
      </c>
      <c r="B166" s="837">
        <v>95.065247760575588</v>
      </c>
      <c r="C166" s="2843">
        <v>109.26630047491919</v>
      </c>
      <c r="D166" s="441"/>
      <c r="E166" s="442"/>
      <c r="F166" s="2844"/>
      <c r="G166" s="441"/>
      <c r="H166" s="2844"/>
      <c r="I166" s="441"/>
      <c r="J166" s="2844"/>
      <c r="K166" s="441"/>
      <c r="L166" s="2844"/>
      <c r="M166" s="441"/>
      <c r="N166" s="2844"/>
      <c r="O166" s="441"/>
      <c r="P166" s="2844"/>
      <c r="Q166" s="2034"/>
      <c r="R166" s="2845"/>
      <c r="S166" s="2034"/>
      <c r="T166" s="2846"/>
    </row>
    <row r="167" spans="1:20">
      <c r="A167" s="63">
        <v>2007.02</v>
      </c>
      <c r="B167" s="837">
        <v>98.820681968551312</v>
      </c>
      <c r="C167" s="2843">
        <v>110.10143167437994</v>
      </c>
      <c r="D167" s="441"/>
      <c r="E167" s="442"/>
      <c r="F167" s="2844"/>
      <c r="G167" s="441"/>
      <c r="H167" s="2844"/>
      <c r="I167" s="441"/>
      <c r="J167" s="2844"/>
      <c r="K167" s="441"/>
      <c r="L167" s="2844"/>
      <c r="M167" s="441"/>
      <c r="N167" s="2844"/>
      <c r="O167" s="441"/>
      <c r="P167" s="2844"/>
      <c r="Q167" s="2034"/>
      <c r="R167" s="2845"/>
      <c r="S167" s="2034"/>
      <c r="T167" s="2846"/>
    </row>
    <row r="168" spans="1:20">
      <c r="A168" s="63">
        <v>2007.03</v>
      </c>
      <c r="B168" s="837">
        <v>110.63529867794051</v>
      </c>
      <c r="C168" s="2843">
        <v>111.68337423185771</v>
      </c>
      <c r="D168" s="441"/>
      <c r="E168" s="442"/>
      <c r="F168" s="2844"/>
      <c r="G168" s="441"/>
      <c r="H168" s="2844"/>
      <c r="I168" s="441"/>
      <c r="J168" s="2844"/>
      <c r="K168" s="441"/>
      <c r="L168" s="2844"/>
      <c r="M168" s="441"/>
      <c r="N168" s="2844"/>
      <c r="O168" s="441"/>
      <c r="P168" s="2844"/>
      <c r="Q168" s="2034"/>
      <c r="R168" s="2845"/>
      <c r="S168" s="2034"/>
      <c r="T168" s="2846"/>
    </row>
    <row r="169" spans="1:20">
      <c r="A169" s="63">
        <v>2007.04</v>
      </c>
      <c r="B169" s="837">
        <v>108.62826221417386</v>
      </c>
      <c r="C169" s="2843">
        <v>110.80058785935016</v>
      </c>
      <c r="D169" s="441"/>
      <c r="E169" s="442"/>
      <c r="F169" s="2844"/>
      <c r="G169" s="441"/>
      <c r="H169" s="2844"/>
      <c r="I169" s="441"/>
      <c r="J169" s="2844"/>
      <c r="K169" s="441"/>
      <c r="L169" s="2844"/>
      <c r="M169" s="441"/>
      <c r="N169" s="2844"/>
      <c r="O169" s="441"/>
      <c r="P169" s="2844"/>
      <c r="Q169" s="2034"/>
      <c r="R169" s="2845"/>
      <c r="S169" s="2034"/>
      <c r="T169" s="2846"/>
    </row>
    <row r="170" spans="1:20">
      <c r="A170" s="63">
        <v>2007.05</v>
      </c>
      <c r="B170" s="837">
        <v>110.76979081211043</v>
      </c>
      <c r="C170" s="2843">
        <v>111.67982026978747</v>
      </c>
      <c r="D170" s="441"/>
      <c r="E170" s="442"/>
      <c r="F170" s="2844"/>
      <c r="G170" s="441"/>
      <c r="H170" s="2844"/>
      <c r="I170" s="441"/>
      <c r="J170" s="2844"/>
      <c r="K170" s="441"/>
      <c r="L170" s="2844"/>
      <c r="M170" s="441"/>
      <c r="N170" s="2844"/>
      <c r="O170" s="441"/>
      <c r="P170" s="2844"/>
      <c r="Q170" s="2034"/>
      <c r="R170" s="2845"/>
      <c r="S170" s="2034"/>
      <c r="T170" s="2846"/>
    </row>
    <row r="171" spans="1:20">
      <c r="A171" s="63">
        <v>2007.06</v>
      </c>
      <c r="B171" s="837">
        <v>108.61791666539156</v>
      </c>
      <c r="C171" s="2843">
        <v>113.91598937735091</v>
      </c>
      <c r="D171" s="441"/>
      <c r="E171" s="442"/>
      <c r="F171" s="2844"/>
      <c r="G171" s="441"/>
      <c r="H171" s="2844"/>
      <c r="I171" s="441"/>
      <c r="J171" s="2844"/>
      <c r="K171" s="441"/>
      <c r="L171" s="2844"/>
      <c r="M171" s="441"/>
      <c r="N171" s="2844"/>
      <c r="O171" s="441"/>
      <c r="P171" s="2844"/>
      <c r="Q171" s="2034"/>
      <c r="R171" s="2845"/>
      <c r="S171" s="2034"/>
      <c r="T171" s="2846"/>
    </row>
    <row r="172" spans="1:20">
      <c r="A172" s="63">
        <v>2007.07</v>
      </c>
      <c r="B172" s="837">
        <v>107.66612617741974</v>
      </c>
      <c r="C172" s="2843">
        <v>114.25112003612811</v>
      </c>
      <c r="D172" s="441"/>
      <c r="E172" s="442"/>
      <c r="F172" s="2844"/>
      <c r="G172" s="441"/>
      <c r="H172" s="2844"/>
      <c r="I172" s="441"/>
      <c r="J172" s="2844"/>
      <c r="K172" s="441"/>
      <c r="L172" s="2844"/>
      <c r="M172" s="441"/>
      <c r="N172" s="2844"/>
      <c r="O172" s="441"/>
      <c r="P172" s="2844"/>
      <c r="Q172" s="2034"/>
      <c r="R172" s="2845"/>
      <c r="S172" s="2034"/>
      <c r="T172" s="2846"/>
    </row>
    <row r="173" spans="1:20">
      <c r="A173" s="63">
        <v>2007.08</v>
      </c>
      <c r="B173" s="837">
        <v>118.65309898422475</v>
      </c>
      <c r="C173" s="2843">
        <v>115.7630780922963</v>
      </c>
      <c r="D173" s="441"/>
      <c r="E173" s="442"/>
      <c r="F173" s="2844"/>
      <c r="G173" s="441"/>
      <c r="H173" s="2844"/>
      <c r="I173" s="441"/>
      <c r="J173" s="2844"/>
      <c r="K173" s="441"/>
      <c r="L173" s="2844"/>
      <c r="M173" s="441"/>
      <c r="N173" s="2844"/>
      <c r="O173" s="441"/>
      <c r="P173" s="2844"/>
      <c r="Q173" s="2034"/>
      <c r="R173" s="2845"/>
      <c r="S173" s="2034"/>
      <c r="T173" s="2846"/>
    </row>
    <row r="174" spans="1:20">
      <c r="A174" s="63">
        <v>2007.09</v>
      </c>
      <c r="B174" s="837">
        <v>118.27031367927957</v>
      </c>
      <c r="C174" s="2843">
        <v>116.35766812000749</v>
      </c>
      <c r="D174" s="441"/>
      <c r="E174" s="442"/>
      <c r="F174" s="2844"/>
      <c r="G174" s="441"/>
      <c r="H174" s="2844"/>
      <c r="I174" s="441"/>
      <c r="J174" s="2844"/>
      <c r="K174" s="441"/>
      <c r="L174" s="2844"/>
      <c r="M174" s="441"/>
      <c r="N174" s="2844"/>
      <c r="O174" s="441"/>
      <c r="P174" s="2844"/>
      <c r="Q174" s="2034"/>
      <c r="R174" s="2845"/>
      <c r="S174" s="2034"/>
      <c r="T174" s="2846"/>
    </row>
    <row r="175" spans="1:20">
      <c r="A175" s="63">
        <v>2007.1</v>
      </c>
      <c r="B175" s="837">
        <v>120.88773752120204</v>
      </c>
      <c r="C175" s="2843">
        <v>116.63036607775095</v>
      </c>
      <c r="D175" s="441"/>
      <c r="E175" s="442"/>
      <c r="F175" s="2844"/>
      <c r="G175" s="441"/>
      <c r="H175" s="2844"/>
      <c r="I175" s="441"/>
      <c r="J175" s="2844"/>
      <c r="K175" s="441"/>
      <c r="L175" s="2844"/>
      <c r="M175" s="441"/>
      <c r="N175" s="2844"/>
      <c r="O175" s="441"/>
      <c r="P175" s="2844"/>
      <c r="Q175" s="2034"/>
      <c r="R175" s="2845"/>
      <c r="S175" s="2034"/>
      <c r="T175" s="2846"/>
    </row>
    <row r="176" spans="1:20">
      <c r="A176" s="63">
        <v>2007.11</v>
      </c>
      <c r="B176" s="837">
        <v>121.29121392371182</v>
      </c>
      <c r="C176" s="2843">
        <v>118.10035367784388</v>
      </c>
      <c r="D176" s="441"/>
      <c r="E176" s="442"/>
      <c r="F176" s="2844"/>
      <c r="G176" s="441"/>
      <c r="H176" s="2844"/>
      <c r="I176" s="441"/>
      <c r="J176" s="2844"/>
      <c r="K176" s="441"/>
      <c r="L176" s="2844"/>
      <c r="M176" s="441"/>
      <c r="N176" s="2844"/>
      <c r="O176" s="441"/>
      <c r="P176" s="2844"/>
      <c r="Q176" s="2034"/>
      <c r="R176" s="2845"/>
      <c r="S176" s="2034"/>
      <c r="T176" s="2846"/>
    </row>
    <row r="177" spans="1:20">
      <c r="A177" s="63">
        <v>2007.12</v>
      </c>
      <c r="B177" s="837">
        <v>116.02532959351997</v>
      </c>
      <c r="C177" s="2843">
        <v>117.90888001750777</v>
      </c>
      <c r="D177" s="441"/>
      <c r="E177" s="442"/>
      <c r="F177" s="2844"/>
      <c r="G177" s="441"/>
      <c r="H177" s="2844"/>
      <c r="I177" s="441"/>
      <c r="J177" s="2844"/>
      <c r="K177" s="441"/>
      <c r="L177" s="2844"/>
      <c r="M177" s="441"/>
      <c r="N177" s="2844"/>
      <c r="O177" s="441"/>
      <c r="P177" s="2844"/>
      <c r="Q177" s="2034"/>
      <c r="R177" s="2845"/>
      <c r="S177" s="2034"/>
      <c r="T177" s="2846"/>
    </row>
    <row r="178" spans="1:20">
      <c r="A178" s="63">
        <v>2008.01</v>
      </c>
      <c r="B178" s="837">
        <v>107.65578062863743</v>
      </c>
      <c r="C178" s="2843">
        <v>118.25198885411235</v>
      </c>
      <c r="D178" s="441"/>
      <c r="E178" s="442"/>
      <c r="F178" s="2844"/>
      <c r="G178" s="441"/>
      <c r="H178" s="2844"/>
      <c r="I178" s="441"/>
      <c r="J178" s="2844"/>
      <c r="K178" s="441"/>
      <c r="L178" s="2844"/>
      <c r="M178" s="441"/>
      <c r="N178" s="2844"/>
      <c r="O178" s="441"/>
      <c r="P178" s="2844"/>
      <c r="Q178" s="2034"/>
      <c r="R178" s="2845"/>
      <c r="S178" s="2034"/>
      <c r="T178" s="2846"/>
    </row>
    <row r="179" spans="1:20">
      <c r="A179" s="63">
        <v>2008.02</v>
      </c>
      <c r="B179" s="837">
        <v>104.15898514021926</v>
      </c>
      <c r="C179" s="2843">
        <v>118.30917211350102</v>
      </c>
      <c r="D179" s="441"/>
      <c r="E179" s="442"/>
      <c r="F179" s="2844"/>
      <c r="G179" s="441"/>
      <c r="H179" s="2844"/>
      <c r="I179" s="441"/>
      <c r="J179" s="2844"/>
      <c r="K179" s="441"/>
      <c r="L179" s="2844"/>
      <c r="M179" s="441"/>
      <c r="N179" s="2844"/>
      <c r="O179" s="441"/>
      <c r="P179" s="2844"/>
      <c r="Q179" s="2034"/>
      <c r="R179" s="2845"/>
      <c r="S179" s="2034"/>
      <c r="T179" s="2846"/>
    </row>
    <row r="180" spans="1:20">
      <c r="A180" s="63">
        <v>2008.03</v>
      </c>
      <c r="B180" s="837">
        <v>113.52170678820281</v>
      </c>
      <c r="C180" s="2843">
        <v>117.64065197511695</v>
      </c>
      <c r="D180" s="441"/>
      <c r="E180" s="442"/>
      <c r="F180" s="2844"/>
      <c r="G180" s="441"/>
      <c r="H180" s="2844"/>
      <c r="I180" s="441"/>
      <c r="J180" s="2844"/>
      <c r="K180" s="441"/>
      <c r="L180" s="2844"/>
      <c r="M180" s="441"/>
      <c r="N180" s="2844"/>
      <c r="O180" s="441"/>
      <c r="P180" s="2844"/>
      <c r="Q180" s="2034"/>
      <c r="R180" s="2845"/>
      <c r="S180" s="2034"/>
      <c r="T180" s="2846"/>
    </row>
    <row r="181" spans="1:20">
      <c r="A181" s="63">
        <v>2008.04</v>
      </c>
      <c r="B181" s="837">
        <v>117.95994721581046</v>
      </c>
      <c r="C181" s="2843">
        <v>119.10008242704303</v>
      </c>
      <c r="D181" s="441"/>
      <c r="E181" s="442"/>
      <c r="F181" s="2844"/>
      <c r="G181" s="441"/>
      <c r="H181" s="2844"/>
      <c r="I181" s="441"/>
      <c r="J181" s="2844"/>
      <c r="K181" s="441"/>
      <c r="L181" s="2844"/>
      <c r="M181" s="441"/>
      <c r="N181" s="2844"/>
      <c r="O181" s="441"/>
      <c r="P181" s="2844"/>
      <c r="Q181" s="2034"/>
      <c r="R181" s="2845"/>
      <c r="S181" s="2034"/>
      <c r="T181" s="2846"/>
    </row>
    <row r="182" spans="1:20">
      <c r="A182" s="63">
        <v>2008.05</v>
      </c>
      <c r="B182" s="837">
        <v>118.43584245979638</v>
      </c>
      <c r="C182" s="2843">
        <v>119.8779579989049</v>
      </c>
      <c r="D182" s="441"/>
      <c r="E182" s="442"/>
      <c r="F182" s="2844"/>
      <c r="G182" s="441"/>
      <c r="H182" s="2844"/>
      <c r="I182" s="441"/>
      <c r="J182" s="2844"/>
      <c r="K182" s="441"/>
      <c r="L182" s="2844"/>
      <c r="M182" s="441"/>
      <c r="N182" s="2844"/>
      <c r="O182" s="441"/>
      <c r="P182" s="2844"/>
      <c r="Q182" s="2034"/>
      <c r="R182" s="2845"/>
      <c r="S182" s="2034"/>
      <c r="T182" s="2846"/>
    </row>
    <row r="183" spans="1:20">
      <c r="A183" s="63">
        <v>2008.06</v>
      </c>
      <c r="B183" s="837">
        <v>110.49046099498823</v>
      </c>
      <c r="C183" s="2843">
        <v>120.26404205876464</v>
      </c>
      <c r="D183" s="441"/>
      <c r="E183" s="442"/>
      <c r="F183" s="2844"/>
      <c r="G183" s="441"/>
      <c r="H183" s="2844"/>
      <c r="I183" s="441"/>
      <c r="J183" s="2844"/>
      <c r="K183" s="441"/>
      <c r="L183" s="2844"/>
      <c r="M183" s="441"/>
      <c r="N183" s="2844"/>
      <c r="O183" s="441"/>
      <c r="P183" s="2844"/>
      <c r="Q183" s="2034"/>
      <c r="R183" s="2845"/>
      <c r="S183" s="2034"/>
      <c r="T183" s="2846"/>
    </row>
    <row r="184" spans="1:20">
      <c r="A184" s="63">
        <v>2008.07</v>
      </c>
      <c r="B184" s="837">
        <v>118.33238697197334</v>
      </c>
      <c r="C184" s="2843">
        <v>120.62670438234321</v>
      </c>
      <c r="D184" s="441"/>
      <c r="E184" s="442"/>
      <c r="F184" s="2844"/>
      <c r="G184" s="441"/>
      <c r="H184" s="2844"/>
      <c r="I184" s="441"/>
      <c r="J184" s="2844"/>
      <c r="K184" s="441"/>
      <c r="L184" s="2844"/>
      <c r="M184" s="441"/>
      <c r="N184" s="2844"/>
      <c r="O184" s="441"/>
      <c r="P184" s="2844"/>
      <c r="Q184" s="2034"/>
      <c r="R184" s="2845"/>
      <c r="S184" s="2034"/>
      <c r="T184" s="2846"/>
    </row>
    <row r="185" spans="1:20">
      <c r="A185" s="63">
        <v>2008.08</v>
      </c>
      <c r="B185" s="837">
        <v>123.32928703382534</v>
      </c>
      <c r="C185" s="2843">
        <v>121.67246158695301</v>
      </c>
      <c r="D185" s="441"/>
      <c r="E185" s="442"/>
      <c r="F185" s="2844"/>
      <c r="G185" s="441"/>
      <c r="H185" s="2844"/>
      <c r="I185" s="441"/>
      <c r="J185" s="2844"/>
      <c r="K185" s="441"/>
      <c r="L185" s="2844"/>
      <c r="M185" s="441"/>
      <c r="N185" s="2844"/>
      <c r="O185" s="441"/>
      <c r="P185" s="2844"/>
      <c r="Q185" s="2034"/>
      <c r="R185" s="2845"/>
      <c r="S185" s="2034"/>
      <c r="T185" s="2846"/>
    </row>
    <row r="186" spans="1:20">
      <c r="A186" s="63">
        <v>2008.09</v>
      </c>
      <c r="B186" s="837">
        <v>125.25355910733356</v>
      </c>
      <c r="C186" s="2843">
        <v>120.80380383522389</v>
      </c>
      <c r="D186" s="441"/>
      <c r="E186" s="442"/>
      <c r="F186" s="2844"/>
      <c r="G186" s="441"/>
      <c r="H186" s="2844"/>
      <c r="I186" s="441"/>
      <c r="J186" s="2844"/>
      <c r="K186" s="441"/>
      <c r="L186" s="2844"/>
      <c r="M186" s="441"/>
      <c r="N186" s="2844"/>
      <c r="O186" s="441"/>
      <c r="P186" s="2844"/>
      <c r="Q186" s="2034"/>
      <c r="R186" s="2845"/>
      <c r="S186" s="2034"/>
      <c r="T186" s="2846"/>
    </row>
    <row r="187" spans="1:20">
      <c r="A187" s="63">
        <v>2008.1</v>
      </c>
      <c r="B187" s="837">
        <v>124.001747704675</v>
      </c>
      <c r="C187" s="2843">
        <v>119.52367560960481</v>
      </c>
      <c r="D187" s="441"/>
      <c r="E187" s="442"/>
      <c r="F187" s="2844"/>
      <c r="G187" s="441"/>
      <c r="H187" s="2844"/>
      <c r="I187" s="441"/>
      <c r="J187" s="2844"/>
      <c r="K187" s="441"/>
      <c r="L187" s="2844"/>
      <c r="M187" s="441"/>
      <c r="N187" s="2844"/>
      <c r="O187" s="441"/>
      <c r="P187" s="2844"/>
      <c r="Q187" s="2034"/>
      <c r="R187" s="2845"/>
      <c r="S187" s="2034"/>
      <c r="T187" s="2846"/>
    </row>
    <row r="188" spans="1:20">
      <c r="A188" s="63">
        <v>2008.11</v>
      </c>
      <c r="B188" s="837">
        <v>120.68082654555599</v>
      </c>
      <c r="C188" s="2843">
        <v>118.44426042165458</v>
      </c>
      <c r="D188" s="441"/>
      <c r="E188" s="442"/>
      <c r="F188" s="2844"/>
      <c r="G188" s="441"/>
      <c r="H188" s="2844"/>
      <c r="I188" s="441"/>
      <c r="J188" s="2844"/>
      <c r="K188" s="441"/>
      <c r="L188" s="2844"/>
      <c r="M188" s="441"/>
      <c r="N188" s="2844"/>
      <c r="O188" s="441"/>
      <c r="P188" s="2844"/>
      <c r="Q188" s="2034"/>
      <c r="R188" s="2845"/>
      <c r="S188" s="2034"/>
      <c r="T188" s="2846"/>
    </row>
    <row r="189" spans="1:20">
      <c r="A189" s="63">
        <v>2008.12</v>
      </c>
      <c r="B189" s="837">
        <v>118.12547599632732</v>
      </c>
      <c r="C189" s="2843">
        <v>116.47621093377123</v>
      </c>
      <c r="D189" s="441"/>
      <c r="E189" s="442"/>
      <c r="F189" s="2844"/>
      <c r="G189" s="441"/>
      <c r="H189" s="2844"/>
      <c r="I189" s="441"/>
      <c r="J189" s="2844"/>
      <c r="K189" s="441"/>
      <c r="L189" s="2844"/>
      <c r="M189" s="441"/>
      <c r="N189" s="2844"/>
      <c r="O189" s="441"/>
      <c r="P189" s="2844"/>
      <c r="Q189" s="2034"/>
      <c r="R189" s="2845"/>
      <c r="S189" s="2034"/>
      <c r="T189" s="2846"/>
    </row>
    <row r="190" spans="1:20">
      <c r="A190" s="63">
        <v>2009.01</v>
      </c>
      <c r="B190" s="837">
        <v>102.0795298349765</v>
      </c>
      <c r="C190" s="2843">
        <v>116.65854703641835</v>
      </c>
      <c r="D190" s="441"/>
      <c r="E190" s="442"/>
      <c r="F190" s="2844"/>
      <c r="G190" s="441"/>
      <c r="H190" s="2844"/>
      <c r="I190" s="441"/>
      <c r="J190" s="2844"/>
      <c r="K190" s="441"/>
      <c r="L190" s="2844"/>
      <c r="M190" s="441"/>
      <c r="N190" s="2844"/>
      <c r="O190" s="441"/>
      <c r="P190" s="2844"/>
      <c r="Q190" s="2034"/>
      <c r="R190" s="2845"/>
      <c r="S190" s="2034"/>
      <c r="T190" s="2846"/>
    </row>
    <row r="191" spans="1:20">
      <c r="A191" s="63">
        <v>2009.02</v>
      </c>
      <c r="B191" s="837">
        <v>102.13125757888801</v>
      </c>
      <c r="C191" s="2843">
        <v>114.93814750765863</v>
      </c>
      <c r="D191" s="441"/>
      <c r="E191" s="442"/>
      <c r="F191" s="2844"/>
      <c r="G191" s="441"/>
      <c r="H191" s="2844"/>
      <c r="I191" s="441"/>
      <c r="J191" s="2844"/>
      <c r="K191" s="441"/>
      <c r="L191" s="2844"/>
      <c r="M191" s="441"/>
      <c r="N191" s="2844"/>
      <c r="O191" s="441"/>
      <c r="P191" s="2844"/>
      <c r="Q191" s="2034"/>
      <c r="R191" s="2845"/>
      <c r="S191" s="2034"/>
      <c r="T191" s="2846"/>
    </row>
    <row r="192" spans="1:20">
      <c r="A192" s="63">
        <v>2009.03</v>
      </c>
      <c r="B192" s="837">
        <v>111.94918337329287</v>
      </c>
      <c r="C192" s="2843">
        <v>115.64660432797652</v>
      </c>
      <c r="D192" s="441"/>
      <c r="E192" s="442"/>
      <c r="F192" s="2844"/>
      <c r="G192" s="441"/>
      <c r="H192" s="2844"/>
      <c r="I192" s="441"/>
      <c r="J192" s="2844"/>
      <c r="K192" s="441"/>
      <c r="L192" s="2844"/>
      <c r="M192" s="441"/>
      <c r="N192" s="2844"/>
      <c r="O192" s="441"/>
      <c r="P192" s="2844"/>
      <c r="Q192" s="2034"/>
      <c r="R192" s="2845"/>
      <c r="S192" s="2034"/>
      <c r="T192" s="2846"/>
    </row>
    <row r="193" spans="1:20">
      <c r="A193" s="63">
        <v>2009.04</v>
      </c>
      <c r="B193" s="837">
        <v>115.84945526422084</v>
      </c>
      <c r="C193" s="2843">
        <v>116.44683629937693</v>
      </c>
      <c r="D193" s="441"/>
      <c r="E193" s="442"/>
      <c r="F193" s="2844"/>
      <c r="G193" s="441"/>
      <c r="H193" s="2844"/>
      <c r="I193" s="441"/>
      <c r="J193" s="2844"/>
      <c r="K193" s="441"/>
      <c r="L193" s="2844"/>
      <c r="M193" s="441"/>
      <c r="N193" s="2844"/>
      <c r="O193" s="441"/>
      <c r="P193" s="2844"/>
      <c r="Q193" s="2034"/>
      <c r="R193" s="2845"/>
      <c r="S193" s="2034"/>
      <c r="T193" s="2846"/>
    </row>
    <row r="194" spans="1:20">
      <c r="A194" s="63">
        <v>2009.05</v>
      </c>
      <c r="B194" s="837">
        <v>115.84945526422084</v>
      </c>
      <c r="C194" s="2843">
        <v>117.39741872486817</v>
      </c>
      <c r="D194" s="441"/>
      <c r="E194" s="442"/>
      <c r="F194" s="2844"/>
      <c r="G194" s="441"/>
      <c r="H194" s="2844"/>
      <c r="I194" s="441"/>
      <c r="J194" s="2844"/>
      <c r="K194" s="441"/>
      <c r="L194" s="2844"/>
      <c r="M194" s="441"/>
      <c r="N194" s="2844"/>
      <c r="O194" s="441"/>
      <c r="P194" s="2844"/>
      <c r="Q194" s="2034"/>
      <c r="R194" s="2845"/>
      <c r="S194" s="2034"/>
      <c r="T194" s="2846"/>
    </row>
    <row r="195" spans="1:20">
      <c r="A195" s="63">
        <v>2009.06</v>
      </c>
      <c r="B195" s="837">
        <v>110.66633532428739</v>
      </c>
      <c r="C195" s="2843">
        <v>117.72511162298088</v>
      </c>
      <c r="D195" s="441"/>
      <c r="E195" s="442"/>
      <c r="F195" s="2844"/>
      <c r="G195" s="441"/>
      <c r="H195" s="2844"/>
      <c r="I195" s="441"/>
      <c r="J195" s="2844"/>
      <c r="K195" s="441"/>
      <c r="L195" s="2844"/>
      <c r="M195" s="441"/>
      <c r="N195" s="2844"/>
      <c r="O195" s="441"/>
      <c r="P195" s="2844"/>
      <c r="Q195" s="2034"/>
      <c r="R195" s="2845"/>
      <c r="S195" s="2034"/>
      <c r="T195" s="2846"/>
    </row>
    <row r="196" spans="1:20">
      <c r="A196" s="63">
        <v>2009.07</v>
      </c>
      <c r="B196" s="837">
        <v>115.89083745935004</v>
      </c>
      <c r="C196" s="2843">
        <v>119.14382637922029</v>
      </c>
      <c r="D196" s="441"/>
      <c r="E196" s="442"/>
      <c r="F196" s="2844"/>
      <c r="G196" s="441"/>
      <c r="H196" s="2844"/>
      <c r="I196" s="441"/>
      <c r="J196" s="2844"/>
      <c r="K196" s="441"/>
      <c r="L196" s="2844"/>
      <c r="M196" s="441"/>
      <c r="N196" s="2844"/>
      <c r="O196" s="441"/>
      <c r="P196" s="2844"/>
      <c r="Q196" s="2034"/>
      <c r="R196" s="2845"/>
      <c r="S196" s="2034"/>
      <c r="T196" s="2846"/>
    </row>
    <row r="197" spans="1:20">
      <c r="A197" s="63">
        <v>2009.08</v>
      </c>
      <c r="B197" s="837">
        <v>121.08430294806578</v>
      </c>
      <c r="C197" s="2843">
        <v>119.85183517577777</v>
      </c>
      <c r="D197" s="441"/>
      <c r="E197" s="442"/>
      <c r="F197" s="2844"/>
      <c r="G197" s="441"/>
      <c r="H197" s="2844"/>
      <c r="I197" s="441"/>
      <c r="J197" s="2844"/>
      <c r="K197" s="441"/>
      <c r="L197" s="2844"/>
      <c r="M197" s="441"/>
      <c r="N197" s="2844"/>
      <c r="O197" s="441"/>
      <c r="P197" s="2844"/>
      <c r="Q197" s="2034"/>
      <c r="R197" s="2845"/>
      <c r="S197" s="2034"/>
      <c r="T197" s="2846"/>
    </row>
    <row r="198" spans="1:20">
      <c r="A198" s="63">
        <v>2009.09</v>
      </c>
      <c r="B198" s="837">
        <v>124.97422929021143</v>
      </c>
      <c r="C198" s="2843">
        <v>120.27588954571326</v>
      </c>
      <c r="D198" s="441"/>
      <c r="E198" s="442"/>
      <c r="F198" s="2844"/>
      <c r="G198" s="441"/>
      <c r="H198" s="2844"/>
      <c r="I198" s="441"/>
      <c r="J198" s="2844"/>
      <c r="K198" s="441"/>
      <c r="L198" s="2844"/>
      <c r="M198" s="441"/>
      <c r="N198" s="2844"/>
      <c r="O198" s="441"/>
      <c r="P198" s="2844"/>
      <c r="Q198" s="2034"/>
      <c r="R198" s="2845"/>
      <c r="S198" s="2034"/>
      <c r="T198" s="2846"/>
    </row>
    <row r="199" spans="1:20">
      <c r="A199" s="63">
        <v>2009.1</v>
      </c>
      <c r="B199" s="837">
        <v>125.62599886349648</v>
      </c>
      <c r="C199" s="2843">
        <v>122.07553528626947</v>
      </c>
      <c r="D199" s="441"/>
      <c r="E199" s="442"/>
      <c r="F199" s="2844"/>
      <c r="G199" s="441"/>
      <c r="H199" s="2844"/>
      <c r="I199" s="441"/>
      <c r="J199" s="2844"/>
      <c r="K199" s="441"/>
      <c r="L199" s="2844"/>
      <c r="M199" s="441"/>
      <c r="N199" s="2844"/>
      <c r="O199" s="441"/>
      <c r="P199" s="2844"/>
      <c r="Q199" s="2034"/>
      <c r="R199" s="2845"/>
      <c r="S199" s="2034"/>
      <c r="T199" s="2846"/>
    </row>
    <row r="200" spans="1:20">
      <c r="A200" s="63">
        <v>2009.11</v>
      </c>
      <c r="B200" s="837">
        <v>125.60530776593187</v>
      </c>
      <c r="C200" s="2843">
        <v>121.58065379451038</v>
      </c>
      <c r="D200" s="441"/>
      <c r="E200" s="442"/>
      <c r="F200" s="2844"/>
      <c r="G200" s="441"/>
      <c r="H200" s="2844"/>
      <c r="I200" s="441"/>
      <c r="J200" s="2844"/>
      <c r="K200" s="441"/>
      <c r="L200" s="2844"/>
      <c r="M200" s="441"/>
      <c r="N200" s="2844"/>
      <c r="O200" s="441"/>
      <c r="P200" s="2844"/>
      <c r="Q200" s="2034"/>
      <c r="R200" s="2845"/>
      <c r="S200" s="2034"/>
      <c r="T200" s="2846"/>
    </row>
    <row r="201" spans="1:20">
      <c r="A201" s="63">
        <v>2009.12</v>
      </c>
      <c r="B201" s="837">
        <v>131.11948526689898</v>
      </c>
      <c r="C201" s="2843">
        <v>123.61785902065135</v>
      </c>
      <c r="D201" s="441"/>
      <c r="E201" s="442"/>
      <c r="F201" s="2844"/>
      <c r="G201" s="441"/>
      <c r="H201" s="2844"/>
      <c r="I201" s="441"/>
      <c r="J201" s="2844"/>
      <c r="K201" s="441"/>
      <c r="L201" s="2844"/>
      <c r="M201" s="441"/>
      <c r="N201" s="2844"/>
      <c r="O201" s="441"/>
      <c r="P201" s="2844"/>
      <c r="Q201" s="2034"/>
      <c r="R201" s="2845"/>
      <c r="S201" s="2034"/>
      <c r="T201" s="2846"/>
    </row>
    <row r="202" spans="1:20">
      <c r="A202" s="63">
        <v>2010.01</v>
      </c>
      <c r="B202" s="837">
        <v>107.35575971395066</v>
      </c>
      <c r="C202" s="2843">
        <v>124.37842094346436</v>
      </c>
      <c r="D202" s="441"/>
      <c r="E202" s="442"/>
      <c r="F202" s="2844"/>
      <c r="G202" s="441"/>
      <c r="H202" s="2844"/>
      <c r="I202" s="441"/>
      <c r="J202" s="2844"/>
      <c r="K202" s="441"/>
      <c r="L202" s="2844"/>
      <c r="M202" s="441"/>
      <c r="N202" s="2844"/>
      <c r="O202" s="441"/>
      <c r="P202" s="2844"/>
      <c r="Q202" s="2034"/>
      <c r="R202" s="2845"/>
      <c r="S202" s="2034"/>
      <c r="T202" s="2846"/>
    </row>
    <row r="203" spans="1:20">
      <c r="A203" s="63">
        <v>2010.02</v>
      </c>
      <c r="B203" s="837">
        <v>113.35617800768597</v>
      </c>
      <c r="C203" s="2843">
        <v>126.61697193721795</v>
      </c>
      <c r="D203" s="441"/>
      <c r="E203" s="442"/>
      <c r="F203" s="2844"/>
      <c r="G203" s="441"/>
      <c r="H203" s="2844"/>
      <c r="I203" s="441"/>
      <c r="J203" s="2844"/>
      <c r="K203" s="441"/>
      <c r="L203" s="2844"/>
      <c r="M203" s="441"/>
      <c r="N203" s="2844"/>
      <c r="O203" s="441"/>
      <c r="P203" s="2844"/>
      <c r="Q203" s="2034"/>
      <c r="R203" s="2845"/>
      <c r="S203" s="2034"/>
      <c r="T203" s="2846"/>
    </row>
    <row r="204" spans="1:20">
      <c r="A204" s="63">
        <v>2010.03</v>
      </c>
      <c r="B204" s="837">
        <v>123.81552782659358</v>
      </c>
      <c r="C204" s="2843">
        <v>127.15480530523485</v>
      </c>
      <c r="D204" s="441"/>
      <c r="E204" s="442"/>
      <c r="F204" s="2844"/>
      <c r="G204" s="441"/>
      <c r="H204" s="2844"/>
      <c r="I204" s="441"/>
      <c r="J204" s="2844"/>
      <c r="K204" s="441"/>
      <c r="L204" s="2844"/>
      <c r="M204" s="441"/>
      <c r="N204" s="2844"/>
      <c r="O204" s="441"/>
      <c r="P204" s="2844"/>
      <c r="Q204" s="2034"/>
      <c r="R204" s="2845"/>
      <c r="S204" s="2034"/>
      <c r="T204" s="2846"/>
    </row>
    <row r="205" spans="1:20">
      <c r="A205" s="63">
        <v>2010.04</v>
      </c>
      <c r="B205" s="837">
        <v>127.6226897784808</v>
      </c>
      <c r="C205" s="2843">
        <v>127.7913211551265</v>
      </c>
      <c r="D205" s="441"/>
      <c r="E205" s="442"/>
      <c r="F205" s="2844"/>
      <c r="G205" s="441"/>
      <c r="H205" s="2844"/>
      <c r="I205" s="441"/>
      <c r="J205" s="2844"/>
      <c r="K205" s="441"/>
      <c r="L205" s="2844"/>
      <c r="M205" s="441"/>
      <c r="N205" s="2844"/>
      <c r="O205" s="441"/>
      <c r="P205" s="2844"/>
      <c r="Q205" s="2034"/>
      <c r="R205" s="2845"/>
      <c r="S205" s="2034"/>
      <c r="T205" s="2846"/>
    </row>
    <row r="206" spans="1:20">
      <c r="A206" s="63">
        <v>2010.05</v>
      </c>
      <c r="B206" s="837">
        <v>127.68476307117461</v>
      </c>
      <c r="C206" s="2843">
        <v>129.0580119334748</v>
      </c>
      <c r="D206" s="441"/>
      <c r="E206" s="442"/>
      <c r="F206" s="2844"/>
      <c r="G206" s="441"/>
      <c r="H206" s="2844"/>
      <c r="I206" s="441"/>
      <c r="J206" s="2844"/>
      <c r="K206" s="441"/>
      <c r="L206" s="2844"/>
      <c r="M206" s="441"/>
      <c r="N206" s="2844"/>
      <c r="O206" s="441"/>
      <c r="P206" s="2844"/>
      <c r="Q206" s="2034"/>
      <c r="R206" s="2845"/>
      <c r="S206" s="2034"/>
      <c r="T206" s="2846"/>
    </row>
    <row r="207" spans="1:20">
      <c r="A207" s="63">
        <v>2010.06</v>
      </c>
      <c r="B207" s="837">
        <v>121.47743380179324</v>
      </c>
      <c r="C207" s="2843">
        <v>129.6316827092289</v>
      </c>
      <c r="D207" s="441"/>
      <c r="E207" s="442"/>
      <c r="F207" s="2844"/>
      <c r="G207" s="441"/>
      <c r="H207" s="2844"/>
      <c r="I207" s="441"/>
      <c r="J207" s="2844"/>
      <c r="K207" s="441"/>
      <c r="L207" s="2844"/>
      <c r="M207" s="441"/>
      <c r="N207" s="2844"/>
      <c r="O207" s="441"/>
      <c r="P207" s="2844"/>
      <c r="Q207" s="2034"/>
      <c r="R207" s="2845"/>
      <c r="S207" s="2034"/>
      <c r="T207" s="2846"/>
    </row>
    <row r="208" spans="1:20">
      <c r="A208" s="63">
        <v>2010.07</v>
      </c>
      <c r="B208" s="837">
        <v>124.71559057065384</v>
      </c>
      <c r="C208" s="2843">
        <v>129.86159483212381</v>
      </c>
      <c r="D208" s="441"/>
      <c r="E208" s="442"/>
      <c r="F208" s="2844"/>
      <c r="G208" s="441"/>
      <c r="H208" s="2844"/>
      <c r="I208" s="441"/>
      <c r="J208" s="2844"/>
      <c r="K208" s="441"/>
      <c r="L208" s="2844"/>
      <c r="M208" s="441"/>
      <c r="N208" s="2844"/>
      <c r="O208" s="441"/>
      <c r="P208" s="2844"/>
      <c r="Q208" s="2034"/>
      <c r="R208" s="2845"/>
      <c r="S208" s="2034"/>
      <c r="T208" s="2846"/>
    </row>
    <row r="209" spans="1:20">
      <c r="A209" s="63">
        <v>2010.08</v>
      </c>
      <c r="B209" s="837">
        <v>133.28170496240014</v>
      </c>
      <c r="C209" s="2843">
        <v>132.00104938933239</v>
      </c>
      <c r="D209" s="441"/>
      <c r="E209" s="442"/>
      <c r="F209" s="2844"/>
      <c r="G209" s="441"/>
      <c r="H209" s="2844"/>
      <c r="I209" s="441"/>
      <c r="J209" s="2844"/>
      <c r="K209" s="441"/>
      <c r="L209" s="2844"/>
      <c r="M209" s="441"/>
      <c r="N209" s="2844"/>
      <c r="O209" s="441"/>
      <c r="P209" s="2844"/>
      <c r="Q209" s="2034"/>
      <c r="R209" s="2845"/>
      <c r="S209" s="2034"/>
      <c r="T209" s="2846"/>
    </row>
    <row r="210" spans="1:20">
      <c r="A210" s="63">
        <v>2010.09</v>
      </c>
      <c r="B210" s="837">
        <v>137.55441660949097</v>
      </c>
      <c r="C210" s="2843">
        <v>133.26414980076876</v>
      </c>
      <c r="D210" s="441"/>
      <c r="E210" s="442"/>
      <c r="F210" s="2844"/>
      <c r="G210" s="441"/>
      <c r="H210" s="2844"/>
      <c r="I210" s="441"/>
      <c r="J210" s="2844"/>
      <c r="K210" s="441"/>
      <c r="L210" s="2844"/>
      <c r="M210" s="441"/>
      <c r="N210" s="2844"/>
      <c r="O210" s="441"/>
      <c r="P210" s="2844"/>
      <c r="Q210" s="2034"/>
      <c r="R210" s="2845"/>
      <c r="S210" s="2034"/>
      <c r="T210" s="2846"/>
    </row>
    <row r="211" spans="1:20">
      <c r="A211" s="63">
        <v>2010.1</v>
      </c>
      <c r="B211" s="837">
        <v>136.11638532875097</v>
      </c>
      <c r="C211" s="2843">
        <v>133.65050135174286</v>
      </c>
      <c r="D211" s="441"/>
      <c r="E211" s="442"/>
      <c r="F211" s="2844"/>
      <c r="G211" s="441"/>
      <c r="H211" s="2844"/>
      <c r="I211" s="441"/>
      <c r="J211" s="2844"/>
      <c r="K211" s="441"/>
      <c r="L211" s="2844"/>
      <c r="M211" s="441"/>
      <c r="N211" s="2844"/>
      <c r="O211" s="441"/>
      <c r="P211" s="2844"/>
      <c r="Q211" s="2034"/>
      <c r="R211" s="2845"/>
      <c r="S211" s="2034"/>
      <c r="T211" s="2846"/>
    </row>
    <row r="212" spans="1:20">
      <c r="A212" s="63">
        <v>2010.11</v>
      </c>
      <c r="B212" s="837">
        <v>141.63056282971809</v>
      </c>
      <c r="C212" s="2843">
        <v>135.97409140665604</v>
      </c>
      <c r="D212" s="441"/>
      <c r="E212" s="442"/>
      <c r="F212" s="2844"/>
      <c r="G212" s="441"/>
      <c r="H212" s="2844"/>
      <c r="I212" s="441"/>
      <c r="J212" s="2844"/>
      <c r="K212" s="441"/>
      <c r="L212" s="2844"/>
      <c r="M212" s="441"/>
      <c r="N212" s="2844"/>
      <c r="O212" s="441"/>
      <c r="P212" s="2844"/>
      <c r="Q212" s="2034"/>
      <c r="R212" s="2845"/>
      <c r="S212" s="2034"/>
      <c r="T212" s="2846"/>
    </row>
    <row r="213" spans="1:20">
      <c r="A213" s="63">
        <v>2010.12</v>
      </c>
      <c r="B213" s="837">
        <v>144.96182953761942</v>
      </c>
      <c r="C213" s="2843">
        <v>136.14201710172208</v>
      </c>
      <c r="D213" s="441"/>
      <c r="E213" s="442"/>
      <c r="F213" s="2844"/>
      <c r="G213" s="441"/>
      <c r="H213" s="2844"/>
      <c r="I213" s="441"/>
      <c r="J213" s="2844"/>
      <c r="K213" s="441"/>
      <c r="L213" s="2844"/>
      <c r="M213" s="441"/>
      <c r="N213" s="2844"/>
      <c r="O213" s="441"/>
      <c r="P213" s="2844"/>
      <c r="Q213" s="2034"/>
      <c r="R213" s="2845"/>
      <c r="S213" s="2034"/>
      <c r="T213" s="2846"/>
    </row>
    <row r="214" spans="1:20">
      <c r="A214" s="63">
        <v>2011.01</v>
      </c>
      <c r="B214" s="837">
        <v>118.44618800857869</v>
      </c>
      <c r="C214" s="2843">
        <v>136.83953551153817</v>
      </c>
      <c r="D214" s="441"/>
      <c r="E214" s="442"/>
      <c r="F214" s="2844"/>
      <c r="G214" s="441"/>
      <c r="H214" s="2844"/>
      <c r="I214" s="441"/>
      <c r="J214" s="2844"/>
      <c r="K214" s="441"/>
      <c r="L214" s="2844"/>
      <c r="M214" s="441"/>
      <c r="N214" s="2844"/>
      <c r="O214" s="441"/>
      <c r="P214" s="2844"/>
      <c r="Q214" s="2034"/>
      <c r="R214" s="2845"/>
      <c r="S214" s="2034"/>
      <c r="T214" s="2846"/>
    </row>
    <row r="215" spans="1:20">
      <c r="A215" s="63">
        <v>2011.02</v>
      </c>
      <c r="B215" s="837">
        <v>123.51550691190681</v>
      </c>
      <c r="C215" s="2843">
        <v>137.26688819008015</v>
      </c>
      <c r="D215" s="441"/>
      <c r="E215" s="442"/>
      <c r="F215" s="2844"/>
      <c r="G215" s="441"/>
      <c r="H215" s="2844"/>
      <c r="I215" s="441"/>
      <c r="J215" s="2844"/>
      <c r="K215" s="441"/>
      <c r="L215" s="2844"/>
      <c r="M215" s="441"/>
      <c r="N215" s="2844"/>
      <c r="O215" s="441"/>
      <c r="P215" s="2844"/>
      <c r="Q215" s="2034"/>
      <c r="R215" s="2845"/>
      <c r="S215" s="2034"/>
      <c r="T215" s="2846"/>
    </row>
    <row r="216" spans="1:20">
      <c r="A216" s="63">
        <v>2011.03</v>
      </c>
      <c r="B216" s="837">
        <v>134.32660538941269</v>
      </c>
      <c r="C216" s="2843">
        <v>137.98995547720813</v>
      </c>
      <c r="D216" s="441"/>
      <c r="E216" s="442"/>
      <c r="F216" s="2844"/>
      <c r="G216" s="441"/>
      <c r="H216" s="2844"/>
      <c r="I216" s="441"/>
      <c r="J216" s="2844"/>
      <c r="K216" s="441"/>
      <c r="L216" s="2844"/>
      <c r="M216" s="441"/>
      <c r="N216" s="2844"/>
      <c r="O216" s="441"/>
      <c r="P216" s="2844"/>
      <c r="Q216" s="2034"/>
      <c r="R216" s="2845"/>
      <c r="S216" s="2034"/>
      <c r="T216" s="2846"/>
    </row>
    <row r="217" spans="1:20">
      <c r="A217" s="63">
        <v>2011.04</v>
      </c>
      <c r="B217" s="837">
        <v>138.11307624373532</v>
      </c>
      <c r="C217" s="2843">
        <v>138.95902125140432</v>
      </c>
      <c r="D217" s="441"/>
      <c r="E217" s="442"/>
      <c r="F217" s="2844"/>
      <c r="G217" s="441"/>
      <c r="H217" s="2844"/>
      <c r="I217" s="441"/>
      <c r="J217" s="2844"/>
      <c r="K217" s="441"/>
      <c r="L217" s="2844"/>
      <c r="M217" s="441"/>
      <c r="N217" s="2844"/>
      <c r="O217" s="441"/>
      <c r="P217" s="2844"/>
      <c r="Q217" s="2034"/>
      <c r="R217" s="2845"/>
      <c r="S217" s="2034"/>
      <c r="T217" s="2846"/>
    </row>
    <row r="218" spans="1:20">
      <c r="A218" s="63">
        <v>2011.05</v>
      </c>
      <c r="B218" s="837">
        <v>139.30281435370009</v>
      </c>
      <c r="C218" s="2843">
        <v>139.89464405076214</v>
      </c>
      <c r="D218" s="441"/>
      <c r="E218" s="442"/>
      <c r="F218" s="2844"/>
      <c r="G218" s="441"/>
      <c r="H218" s="2844"/>
      <c r="I218" s="441"/>
      <c r="J218" s="2844"/>
      <c r="K218" s="441"/>
      <c r="L218" s="2844"/>
      <c r="M218" s="441"/>
      <c r="N218" s="2844"/>
      <c r="O218" s="441"/>
      <c r="P218" s="2844"/>
      <c r="Q218" s="2034"/>
      <c r="R218" s="2845"/>
      <c r="S218" s="2034"/>
      <c r="T218" s="2846"/>
    </row>
    <row r="219" spans="1:20">
      <c r="A219" s="63">
        <v>2011.06</v>
      </c>
      <c r="B219" s="837">
        <v>131.38846953523884</v>
      </c>
      <c r="C219" s="2843">
        <v>140.00411761475269</v>
      </c>
      <c r="D219" s="441"/>
      <c r="E219" s="442"/>
      <c r="F219" s="2844"/>
      <c r="G219" s="441"/>
      <c r="H219" s="2844"/>
      <c r="I219" s="441"/>
      <c r="J219" s="2844"/>
      <c r="K219" s="441"/>
      <c r="L219" s="2844"/>
      <c r="M219" s="441"/>
      <c r="N219" s="2844"/>
      <c r="O219" s="441"/>
      <c r="P219" s="2844"/>
      <c r="Q219" s="2034"/>
      <c r="R219" s="2845"/>
      <c r="S219" s="2034"/>
      <c r="T219" s="2846"/>
    </row>
    <row r="220" spans="1:20">
      <c r="A220" s="63">
        <v>2011.07</v>
      </c>
      <c r="B220" s="837">
        <v>133.5196525843931</v>
      </c>
      <c r="C220" s="2843">
        <v>139.99805819496794</v>
      </c>
      <c r="D220" s="441"/>
      <c r="E220" s="442"/>
      <c r="F220" s="2844"/>
      <c r="G220" s="441"/>
      <c r="H220" s="2844"/>
      <c r="I220" s="441"/>
      <c r="J220" s="2844"/>
      <c r="K220" s="441"/>
      <c r="L220" s="2844"/>
      <c r="M220" s="441"/>
      <c r="N220" s="2844"/>
      <c r="O220" s="441"/>
      <c r="P220" s="2844"/>
      <c r="Q220" s="2034"/>
      <c r="R220" s="2845"/>
      <c r="S220" s="2034"/>
      <c r="T220" s="2846"/>
    </row>
    <row r="221" spans="1:20">
      <c r="A221" s="63">
        <v>2011.08</v>
      </c>
      <c r="B221" s="837">
        <v>140.18218600019577</v>
      </c>
      <c r="C221" s="2843">
        <v>138.69517510342652</v>
      </c>
      <c r="D221" s="441"/>
      <c r="E221" s="442"/>
      <c r="F221" s="2844"/>
      <c r="G221" s="441"/>
      <c r="H221" s="2844"/>
      <c r="I221" s="441"/>
      <c r="J221" s="2844"/>
      <c r="K221" s="441"/>
      <c r="L221" s="2844"/>
      <c r="M221" s="441"/>
      <c r="N221" s="2844"/>
      <c r="O221" s="441"/>
      <c r="P221" s="2844"/>
      <c r="Q221" s="2034"/>
      <c r="R221" s="2845"/>
      <c r="S221" s="2034"/>
      <c r="T221" s="2846"/>
    </row>
    <row r="222" spans="1:20">
      <c r="A222" s="63">
        <v>2011.09</v>
      </c>
      <c r="B222" s="837">
        <v>144.55835313510963</v>
      </c>
      <c r="C222" s="2843">
        <v>140.87749423853504</v>
      </c>
      <c r="D222" s="441"/>
      <c r="E222" s="442"/>
      <c r="F222" s="2844"/>
      <c r="G222" s="441"/>
      <c r="H222" s="2844"/>
      <c r="I222" s="441"/>
      <c r="J222" s="2844"/>
      <c r="K222" s="441"/>
      <c r="L222" s="2844"/>
      <c r="M222" s="441"/>
      <c r="N222" s="2844"/>
      <c r="O222" s="441"/>
      <c r="P222" s="2844"/>
      <c r="Q222" s="2034"/>
      <c r="R222" s="2845"/>
      <c r="S222" s="2034"/>
      <c r="T222" s="2846"/>
    </row>
    <row r="223" spans="1:20">
      <c r="A223" s="63">
        <v>2011.1</v>
      </c>
      <c r="B223" s="837">
        <v>141.72367276875883</v>
      </c>
      <c r="C223" s="2843">
        <v>139.12084220555946</v>
      </c>
      <c r="D223" s="441"/>
      <c r="E223" s="442"/>
      <c r="F223" s="2844"/>
      <c r="G223" s="441"/>
      <c r="H223" s="2844"/>
      <c r="I223" s="441"/>
      <c r="J223" s="2844"/>
      <c r="K223" s="441"/>
      <c r="L223" s="2844"/>
      <c r="M223" s="441"/>
      <c r="N223" s="2844"/>
      <c r="O223" s="441"/>
      <c r="P223" s="2844"/>
      <c r="Q223" s="2034"/>
      <c r="R223" s="2845"/>
      <c r="S223" s="2034"/>
      <c r="T223" s="2846"/>
    </row>
    <row r="224" spans="1:20">
      <c r="A224" s="63">
        <v>2011.11</v>
      </c>
      <c r="B224" s="837">
        <v>147.25854136729055</v>
      </c>
      <c r="C224" s="2843">
        <v>141.30032334503807</v>
      </c>
      <c r="D224" s="441"/>
      <c r="E224" s="442"/>
      <c r="F224" s="2844"/>
      <c r="G224" s="441"/>
      <c r="H224" s="2844"/>
      <c r="I224" s="441"/>
      <c r="J224" s="2844"/>
      <c r="K224" s="441"/>
      <c r="L224" s="2844"/>
      <c r="M224" s="441"/>
      <c r="N224" s="2844"/>
      <c r="O224" s="441"/>
      <c r="P224" s="2844"/>
      <c r="Q224" s="2034"/>
      <c r="R224" s="2845"/>
      <c r="S224" s="2034"/>
      <c r="T224" s="2846"/>
    </row>
    <row r="225" spans="1:20">
      <c r="A225" s="63">
        <v>2011.12</v>
      </c>
      <c r="B225" s="837">
        <v>147.99307533083402</v>
      </c>
      <c r="C225" s="2843">
        <v>142.26449654582609</v>
      </c>
      <c r="D225" s="441"/>
      <c r="E225" s="442"/>
      <c r="F225" s="2844"/>
      <c r="G225" s="441"/>
      <c r="H225" s="2844"/>
      <c r="I225" s="441"/>
      <c r="J225" s="2844"/>
      <c r="K225" s="441"/>
      <c r="L225" s="2844"/>
      <c r="M225" s="441"/>
      <c r="N225" s="2844"/>
      <c r="O225" s="441"/>
      <c r="P225" s="2844"/>
      <c r="Q225" s="2034"/>
      <c r="R225" s="2845"/>
      <c r="S225" s="2034"/>
      <c r="T225" s="2846"/>
    </row>
    <row r="226" spans="1:20">
      <c r="A226" s="63">
        <v>2012.01</v>
      </c>
      <c r="B226" s="837">
        <v>121.08430294806581</v>
      </c>
      <c r="C226" s="2843">
        <v>139.30549980950468</v>
      </c>
      <c r="D226" s="441"/>
      <c r="E226" s="442"/>
      <c r="F226" s="2844"/>
      <c r="G226" s="441"/>
      <c r="H226" s="2844"/>
      <c r="I226" s="441"/>
      <c r="J226" s="2844"/>
      <c r="K226" s="441"/>
      <c r="L226" s="2844"/>
      <c r="M226" s="441"/>
      <c r="N226" s="2844"/>
      <c r="O226" s="441"/>
      <c r="P226" s="2844"/>
      <c r="Q226" s="2034"/>
      <c r="R226" s="2845"/>
      <c r="S226" s="2034"/>
      <c r="T226" s="2846"/>
    </row>
    <row r="227" spans="1:20">
      <c r="A227" s="63">
        <v>2012.02</v>
      </c>
      <c r="B227" s="837">
        <v>126.89850136371967</v>
      </c>
      <c r="C227" s="2843">
        <v>139.34282813143756</v>
      </c>
      <c r="D227" s="441"/>
      <c r="E227" s="442"/>
      <c r="F227" s="2844"/>
      <c r="G227" s="441"/>
      <c r="H227" s="2844"/>
      <c r="I227" s="441"/>
      <c r="J227" s="2844"/>
      <c r="K227" s="441"/>
      <c r="L227" s="2844"/>
      <c r="M227" s="441"/>
      <c r="N227" s="2844"/>
      <c r="O227" s="441"/>
      <c r="P227" s="2844"/>
      <c r="Q227" s="2034"/>
      <c r="R227" s="2845"/>
      <c r="S227" s="2034"/>
      <c r="T227" s="2846"/>
    </row>
    <row r="228" spans="1:20">
      <c r="A228" s="63">
        <v>2012.03</v>
      </c>
      <c r="B228" s="837">
        <v>137.26474124358657</v>
      </c>
      <c r="C228" s="2843">
        <v>138.34147591373107</v>
      </c>
      <c r="D228" s="441"/>
      <c r="E228" s="442"/>
      <c r="F228" s="2844"/>
      <c r="G228" s="441"/>
      <c r="H228" s="2844"/>
      <c r="I228" s="441"/>
      <c r="J228" s="2844"/>
      <c r="K228" s="441"/>
      <c r="L228" s="2844"/>
      <c r="M228" s="441"/>
      <c r="N228" s="2844"/>
      <c r="O228" s="441"/>
      <c r="P228" s="2844"/>
      <c r="Q228" s="2034"/>
      <c r="R228" s="2845"/>
      <c r="S228" s="2034"/>
      <c r="T228" s="2846"/>
    </row>
    <row r="229" spans="1:20">
      <c r="A229" s="63">
        <v>2012.04</v>
      </c>
      <c r="B229" s="837">
        <v>137.43027002410341</v>
      </c>
      <c r="C229" s="2843">
        <v>138.13930903756204</v>
      </c>
      <c r="D229" s="441"/>
      <c r="E229" s="442"/>
      <c r="F229" s="2844"/>
      <c r="G229" s="441"/>
      <c r="H229" s="2844"/>
      <c r="I229" s="441"/>
      <c r="J229" s="2844"/>
      <c r="K229" s="441"/>
      <c r="L229" s="2844"/>
      <c r="M229" s="441"/>
      <c r="N229" s="2844"/>
      <c r="O229" s="441"/>
      <c r="P229" s="2844"/>
      <c r="Q229" s="2034"/>
      <c r="R229" s="2845"/>
      <c r="S229" s="2034"/>
      <c r="T229" s="2846"/>
    </row>
    <row r="230" spans="1:20">
      <c r="A230" s="63">
        <v>2012.05</v>
      </c>
      <c r="B230" s="837">
        <v>132.61958984033285</v>
      </c>
      <c r="C230" s="2843">
        <v>136.35572311990455</v>
      </c>
      <c r="D230" s="441"/>
      <c r="E230" s="442"/>
      <c r="F230" s="2844"/>
      <c r="G230" s="441"/>
      <c r="H230" s="2844"/>
      <c r="I230" s="441"/>
      <c r="J230" s="2844"/>
      <c r="K230" s="441"/>
      <c r="L230" s="2844"/>
      <c r="M230" s="441"/>
      <c r="N230" s="2844"/>
      <c r="O230" s="441"/>
      <c r="P230" s="2844"/>
      <c r="Q230" s="2034"/>
      <c r="R230" s="2845"/>
      <c r="S230" s="2034"/>
      <c r="T230" s="2846"/>
    </row>
    <row r="231" spans="1:20">
      <c r="A231" s="63">
        <v>2012.06</v>
      </c>
      <c r="B231" s="837">
        <v>125.22252246098672</v>
      </c>
      <c r="C231" s="2843">
        <v>134.32519154005988</v>
      </c>
      <c r="D231" s="441"/>
      <c r="E231" s="442"/>
      <c r="F231" s="2844"/>
      <c r="G231" s="441"/>
      <c r="H231" s="2844"/>
      <c r="I231" s="441"/>
      <c r="J231" s="2844"/>
      <c r="K231" s="441"/>
      <c r="L231" s="2844"/>
      <c r="M231" s="441"/>
      <c r="N231" s="2844"/>
      <c r="O231" s="441"/>
      <c r="P231" s="2844"/>
      <c r="Q231" s="2034"/>
      <c r="R231" s="2845"/>
      <c r="S231" s="2034"/>
      <c r="T231" s="2846"/>
    </row>
    <row r="232" spans="1:20">
      <c r="A232" s="63">
        <v>2012.07</v>
      </c>
      <c r="B232" s="837">
        <v>130.70566331560693</v>
      </c>
      <c r="C232" s="2843">
        <v>135.77714933832135</v>
      </c>
      <c r="D232" s="441"/>
      <c r="E232" s="442"/>
      <c r="F232" s="2844"/>
      <c r="G232" s="441"/>
      <c r="H232" s="2844"/>
      <c r="I232" s="441"/>
      <c r="J232" s="2844"/>
      <c r="K232" s="441"/>
      <c r="L232" s="2844"/>
      <c r="M232" s="441"/>
      <c r="N232" s="2844"/>
      <c r="O232" s="441"/>
      <c r="P232" s="2844"/>
      <c r="Q232" s="2034"/>
      <c r="R232" s="2845"/>
      <c r="S232" s="2034"/>
      <c r="T232" s="2846"/>
    </row>
    <row r="233" spans="1:20">
      <c r="A233" s="63">
        <v>2012.08</v>
      </c>
      <c r="B233" s="837">
        <v>138.8269191097142</v>
      </c>
      <c r="C233" s="2843">
        <v>137.29591796113598</v>
      </c>
      <c r="D233" s="441"/>
      <c r="E233" s="442"/>
      <c r="F233" s="2844"/>
      <c r="G233" s="441"/>
      <c r="H233" s="2844"/>
      <c r="I233" s="441"/>
      <c r="J233" s="2844"/>
      <c r="K233" s="441"/>
      <c r="L233" s="2844"/>
      <c r="M233" s="441"/>
      <c r="N233" s="2844"/>
      <c r="O233" s="441"/>
      <c r="P233" s="2844"/>
      <c r="Q233" s="2034"/>
      <c r="R233" s="2845"/>
      <c r="S233" s="2034"/>
      <c r="T233" s="2846"/>
    </row>
    <row r="234" spans="1:20">
      <c r="A234" s="63">
        <v>2012.09</v>
      </c>
      <c r="B234" s="837">
        <v>138.20618618277607</v>
      </c>
      <c r="C234" s="2843">
        <v>136.99313343621864</v>
      </c>
      <c r="D234" s="441"/>
      <c r="E234" s="442"/>
      <c r="F234" s="2844"/>
      <c r="G234" s="441"/>
      <c r="H234" s="2844"/>
      <c r="I234" s="441"/>
      <c r="J234" s="2844"/>
      <c r="K234" s="441"/>
      <c r="L234" s="2844"/>
      <c r="M234" s="441"/>
      <c r="N234" s="2844"/>
      <c r="O234" s="441"/>
      <c r="P234" s="2844"/>
      <c r="Q234" s="2034"/>
      <c r="R234" s="2845"/>
      <c r="S234" s="2034"/>
      <c r="T234" s="2846"/>
    </row>
    <row r="235" spans="1:20">
      <c r="A235" s="63">
        <v>2012.1</v>
      </c>
      <c r="B235" s="837">
        <v>144.72388191562646</v>
      </c>
      <c r="C235" s="2843">
        <v>139.60640978763271</v>
      </c>
      <c r="D235" s="441"/>
      <c r="E235" s="442"/>
      <c r="F235" s="2844"/>
      <c r="G235" s="441"/>
      <c r="H235" s="2844"/>
      <c r="I235" s="441"/>
      <c r="J235" s="2844"/>
      <c r="K235" s="441"/>
      <c r="L235" s="2844"/>
      <c r="M235" s="441"/>
      <c r="N235" s="2844"/>
      <c r="O235" s="441"/>
      <c r="P235" s="2844"/>
      <c r="Q235" s="2034"/>
      <c r="R235" s="2845"/>
      <c r="S235" s="2034"/>
      <c r="T235" s="2846"/>
    </row>
    <row r="236" spans="1:20">
      <c r="A236" s="63">
        <v>2012.11</v>
      </c>
      <c r="B236" s="837">
        <v>145.11701276935398</v>
      </c>
      <c r="C236" s="2843">
        <v>139.2705296761479</v>
      </c>
      <c r="D236" s="441"/>
      <c r="E236" s="442"/>
      <c r="F236" s="2844"/>
      <c r="G236" s="441"/>
      <c r="H236" s="2844"/>
      <c r="I236" s="441"/>
      <c r="J236" s="2844"/>
      <c r="K236" s="441"/>
      <c r="L236" s="2844"/>
      <c r="M236" s="441"/>
      <c r="N236" s="2844"/>
      <c r="O236" s="441"/>
      <c r="P236" s="2844"/>
      <c r="Q236" s="2034"/>
      <c r="R236" s="2845"/>
      <c r="S236" s="2034"/>
      <c r="T236" s="2846"/>
    </row>
    <row r="237" spans="1:20">
      <c r="A237" s="63">
        <v>2012.12</v>
      </c>
      <c r="B237" s="837">
        <v>143.17204959828112</v>
      </c>
      <c r="C237" s="2843">
        <v>138.80738115017809</v>
      </c>
      <c r="D237" s="441"/>
      <c r="E237" s="442"/>
      <c r="F237" s="2844"/>
      <c r="G237" s="441"/>
      <c r="H237" s="2844"/>
      <c r="I237" s="441"/>
      <c r="J237" s="2844"/>
      <c r="K237" s="441"/>
      <c r="L237" s="2844"/>
      <c r="M237" s="441"/>
      <c r="N237" s="2844"/>
      <c r="O237" s="441"/>
      <c r="P237" s="2844"/>
      <c r="Q237" s="2034"/>
      <c r="R237" s="2845"/>
      <c r="S237" s="2034"/>
      <c r="T237" s="2846"/>
    </row>
    <row r="238" spans="1:20">
      <c r="A238" s="63">
        <v>2013.01</v>
      </c>
      <c r="B238" s="837">
        <v>121.27052282614721</v>
      </c>
      <c r="C238" s="2843">
        <v>138.61831742236271</v>
      </c>
      <c r="D238" s="441"/>
      <c r="E238" s="442"/>
      <c r="F238" s="2844"/>
      <c r="G238" s="441"/>
      <c r="H238" s="2844"/>
      <c r="I238" s="441"/>
      <c r="J238" s="2844"/>
      <c r="K238" s="441"/>
      <c r="L238" s="2844"/>
      <c r="M238" s="441"/>
      <c r="N238" s="2844"/>
      <c r="O238" s="441"/>
      <c r="P238" s="2844"/>
      <c r="Q238" s="2034"/>
      <c r="R238" s="2845"/>
      <c r="S238" s="2034"/>
      <c r="T238" s="2846"/>
    </row>
    <row r="239" spans="1:20">
      <c r="A239" s="63">
        <v>2013.02</v>
      </c>
      <c r="B239" s="837">
        <v>121.37397831397023</v>
      </c>
      <c r="C239" s="2843">
        <v>139.54162222606121</v>
      </c>
      <c r="D239" s="441"/>
      <c r="E239" s="442"/>
      <c r="F239" s="2844"/>
      <c r="G239" s="441"/>
      <c r="H239" s="2844"/>
      <c r="I239" s="441"/>
      <c r="J239" s="2844"/>
      <c r="K239" s="441"/>
      <c r="L239" s="2844"/>
      <c r="M239" s="441"/>
      <c r="N239" s="2844"/>
      <c r="O239" s="441"/>
      <c r="P239" s="2844"/>
      <c r="Q239" s="2034"/>
      <c r="R239" s="2845"/>
      <c r="S239" s="2034"/>
      <c r="T239" s="2846"/>
    </row>
    <row r="240" spans="1:20">
      <c r="A240" s="63">
        <v>2013.03</v>
      </c>
      <c r="B240" s="837">
        <v>137.5854532558379</v>
      </c>
      <c r="C240" s="2843">
        <v>139.6587645604549</v>
      </c>
      <c r="D240" s="441"/>
      <c r="E240" s="442"/>
      <c r="F240" s="2844"/>
      <c r="G240" s="441"/>
      <c r="H240" s="2844"/>
      <c r="I240" s="441"/>
      <c r="J240" s="2844"/>
      <c r="K240" s="441"/>
      <c r="L240" s="2844"/>
      <c r="M240" s="441"/>
      <c r="N240" s="2844"/>
      <c r="O240" s="441"/>
      <c r="P240" s="2844"/>
      <c r="Q240" s="2034"/>
      <c r="R240" s="2845"/>
      <c r="S240" s="2034"/>
      <c r="T240" s="2846"/>
    </row>
    <row r="241" spans="1:20">
      <c r="A241" s="63">
        <v>2013.04</v>
      </c>
      <c r="B241" s="837">
        <v>139.72698185377445</v>
      </c>
      <c r="C241" s="2843">
        <v>139.94879678984879</v>
      </c>
      <c r="D241" s="441"/>
      <c r="E241" s="442"/>
      <c r="F241" s="2844"/>
      <c r="G241" s="441"/>
      <c r="H241" s="2844"/>
      <c r="I241" s="441"/>
      <c r="J241" s="2844"/>
      <c r="K241" s="441"/>
      <c r="L241" s="2844"/>
      <c r="M241" s="441"/>
      <c r="N241" s="2844"/>
      <c r="O241" s="441"/>
      <c r="P241" s="2844"/>
      <c r="Q241" s="2034"/>
      <c r="R241" s="2845"/>
      <c r="S241" s="2034"/>
      <c r="T241" s="2846"/>
    </row>
    <row r="242" spans="1:20">
      <c r="A242" s="63">
        <v>2013.05</v>
      </c>
      <c r="B242" s="837">
        <v>139.47868868299918</v>
      </c>
      <c r="C242" s="2843">
        <v>139.9597710942196</v>
      </c>
      <c r="D242" s="441"/>
      <c r="E242" s="442"/>
      <c r="F242" s="2844"/>
      <c r="G242" s="441"/>
      <c r="H242" s="2844"/>
      <c r="I242" s="441"/>
      <c r="J242" s="2844"/>
      <c r="K242" s="441"/>
      <c r="L242" s="2844"/>
      <c r="M242" s="441"/>
      <c r="N242" s="2844"/>
      <c r="O242" s="441"/>
      <c r="P242" s="2844"/>
      <c r="Q242" s="2034"/>
      <c r="R242" s="2845"/>
      <c r="S242" s="2034"/>
      <c r="T242" s="2846"/>
    </row>
    <row r="243" spans="1:20">
      <c r="A243" s="63">
        <v>2013.06</v>
      </c>
      <c r="B243" s="837">
        <v>130.01251154719262</v>
      </c>
      <c r="C243" s="2843">
        <v>138.85036943187242</v>
      </c>
      <c r="D243" s="441"/>
      <c r="E243" s="442"/>
      <c r="F243" s="2844"/>
      <c r="G243" s="441"/>
      <c r="H243" s="2844"/>
      <c r="I243" s="441"/>
      <c r="J243" s="2844"/>
      <c r="K243" s="441"/>
      <c r="L243" s="2844"/>
      <c r="M243" s="441"/>
      <c r="N243" s="2844"/>
      <c r="O243" s="441"/>
      <c r="P243" s="2844"/>
      <c r="Q243" s="2034"/>
      <c r="R243" s="2845"/>
      <c r="S243" s="2034"/>
      <c r="T243" s="2846"/>
    </row>
    <row r="244" spans="1:20">
      <c r="A244" s="63">
        <v>2013.07</v>
      </c>
      <c r="B244" s="837">
        <v>134.38867868210647</v>
      </c>
      <c r="C244" s="2843">
        <v>137.58724898830346</v>
      </c>
      <c r="D244" s="441"/>
      <c r="E244" s="442"/>
      <c r="F244" s="2844"/>
      <c r="G244" s="441"/>
      <c r="H244" s="2844"/>
      <c r="I244" s="441"/>
      <c r="J244" s="2844"/>
      <c r="K244" s="441"/>
      <c r="L244" s="2844"/>
      <c r="M244" s="441"/>
      <c r="N244" s="2844"/>
      <c r="O244" s="441"/>
      <c r="P244" s="2844"/>
      <c r="Q244" s="2034"/>
      <c r="R244" s="2845"/>
      <c r="S244" s="2034"/>
      <c r="T244" s="2846"/>
    </row>
    <row r="245" spans="1:20">
      <c r="A245" s="63">
        <v>2013.08</v>
      </c>
      <c r="B245" s="837">
        <v>138.20618618277601</v>
      </c>
      <c r="C245" s="2843">
        <v>137.55226406217324</v>
      </c>
      <c r="D245" s="441"/>
      <c r="E245" s="442"/>
      <c r="F245" s="2844"/>
      <c r="G245" s="441"/>
      <c r="H245" s="2844"/>
      <c r="I245" s="441"/>
      <c r="J245" s="2844"/>
      <c r="K245" s="441"/>
      <c r="L245" s="2844"/>
      <c r="M245" s="441"/>
      <c r="N245" s="2844"/>
      <c r="O245" s="441"/>
      <c r="P245" s="2844"/>
      <c r="Q245" s="2034"/>
      <c r="R245" s="2845"/>
      <c r="S245" s="2034"/>
      <c r="T245" s="2846"/>
    </row>
    <row r="246" spans="1:20">
      <c r="A246" s="63">
        <v>2013.09</v>
      </c>
      <c r="B246" s="837">
        <v>137.95789301200074</v>
      </c>
      <c r="C246" s="2843">
        <v>136.49927128956341</v>
      </c>
      <c r="D246" s="441"/>
      <c r="E246" s="442"/>
      <c r="F246" s="2844"/>
      <c r="G246" s="441"/>
      <c r="H246" s="2844"/>
      <c r="I246" s="441"/>
      <c r="J246" s="2844"/>
      <c r="K246" s="441"/>
      <c r="L246" s="2844"/>
      <c r="M246" s="441"/>
      <c r="N246" s="2844"/>
      <c r="O246" s="441"/>
      <c r="P246" s="2844"/>
      <c r="Q246" s="2034"/>
      <c r="R246" s="2845"/>
      <c r="S246" s="2034"/>
      <c r="T246" s="2846"/>
    </row>
    <row r="247" spans="1:20">
      <c r="A247" s="63">
        <v>2013.1</v>
      </c>
      <c r="B247" s="837">
        <v>144.05142124477678</v>
      </c>
      <c r="C247" s="2843">
        <v>135.59700970010766</v>
      </c>
      <c r="D247" s="441"/>
      <c r="E247" s="442"/>
      <c r="F247" s="2844"/>
      <c r="G247" s="441"/>
      <c r="H247" s="2844"/>
      <c r="I247" s="441"/>
      <c r="J247" s="2844"/>
      <c r="K247" s="441"/>
      <c r="L247" s="2844"/>
      <c r="M247" s="441"/>
      <c r="N247" s="2844"/>
      <c r="O247" s="441"/>
      <c r="P247" s="2844"/>
      <c r="Q247" s="2034"/>
      <c r="R247" s="2845"/>
      <c r="S247" s="2034"/>
      <c r="T247" s="2846"/>
    </row>
    <row r="248" spans="1:20">
      <c r="A248" s="63">
        <v>2013.11</v>
      </c>
      <c r="B248" s="837">
        <v>138.36136941451053</v>
      </c>
      <c r="C248" s="2843">
        <v>133.92159401476039</v>
      </c>
      <c r="D248" s="441"/>
      <c r="E248" s="442"/>
      <c r="F248" s="2844"/>
      <c r="G248" s="441"/>
      <c r="H248" s="2844"/>
      <c r="I248" s="441"/>
      <c r="J248" s="2844"/>
      <c r="K248" s="441"/>
      <c r="L248" s="2844"/>
      <c r="M248" s="441"/>
      <c r="N248" s="2844"/>
      <c r="O248" s="441"/>
      <c r="P248" s="2844"/>
      <c r="Q248" s="2034"/>
      <c r="R248" s="2845"/>
      <c r="S248" s="2034"/>
      <c r="T248" s="2846"/>
    </row>
    <row r="249" spans="1:20">
      <c r="A249" s="63">
        <v>2013.12</v>
      </c>
      <c r="B249" s="837">
        <v>135.38185136520747</v>
      </c>
      <c r="C249" s="2843">
        <v>134.70295742448488</v>
      </c>
      <c r="D249" s="441"/>
      <c r="E249" s="442"/>
      <c r="F249" s="2844"/>
      <c r="G249" s="441"/>
      <c r="H249" s="2844"/>
      <c r="I249" s="441"/>
      <c r="J249" s="2844"/>
      <c r="K249" s="441"/>
      <c r="L249" s="2844"/>
      <c r="M249" s="441"/>
      <c r="N249" s="2844"/>
      <c r="O249" s="441"/>
      <c r="P249" s="2844"/>
      <c r="Q249" s="2034"/>
      <c r="R249" s="2845"/>
      <c r="S249" s="2034"/>
      <c r="T249" s="2846"/>
    </row>
    <row r="250" spans="1:20">
      <c r="A250" s="63">
        <v>2014.01</v>
      </c>
      <c r="B250" s="837">
        <v>118.1254759963273</v>
      </c>
      <c r="C250" s="2843">
        <v>134.67995002681982</v>
      </c>
      <c r="D250" s="441"/>
      <c r="E250" s="442"/>
      <c r="F250" s="2844"/>
      <c r="G250" s="441"/>
      <c r="H250" s="2844"/>
      <c r="I250" s="441"/>
      <c r="J250" s="2844"/>
      <c r="K250" s="441"/>
      <c r="L250" s="2844"/>
      <c r="M250" s="441"/>
      <c r="N250" s="2844"/>
      <c r="O250" s="441"/>
      <c r="P250" s="2844"/>
      <c r="Q250" s="2034"/>
      <c r="R250" s="2845"/>
      <c r="S250" s="2034"/>
      <c r="T250" s="2846"/>
    </row>
    <row r="251" spans="1:20">
      <c r="A251" s="63">
        <v>2014.02</v>
      </c>
      <c r="B251" s="837">
        <v>120.71186319190286</v>
      </c>
      <c r="C251" s="2843">
        <v>135.0546907101494</v>
      </c>
      <c r="D251" s="441"/>
      <c r="E251" s="442"/>
      <c r="F251" s="2844"/>
      <c r="G251" s="441"/>
      <c r="H251" s="2844"/>
      <c r="I251" s="441"/>
      <c r="J251" s="2844"/>
      <c r="K251" s="441"/>
      <c r="L251" s="2844"/>
      <c r="M251" s="441"/>
      <c r="N251" s="2844"/>
      <c r="O251" s="441"/>
      <c r="P251" s="2844"/>
      <c r="Q251" s="2034"/>
      <c r="R251" s="2845"/>
      <c r="S251" s="2034"/>
      <c r="T251" s="2846"/>
    </row>
    <row r="252" spans="1:20">
      <c r="A252" s="63">
        <v>2014.03</v>
      </c>
      <c r="B252" s="837">
        <v>129.42281526660136</v>
      </c>
      <c r="C252" s="2843">
        <v>135.73506236881829</v>
      </c>
      <c r="D252" s="441"/>
      <c r="E252" s="442"/>
      <c r="F252" s="2844"/>
      <c r="G252" s="441"/>
      <c r="H252" s="2844"/>
      <c r="I252" s="441"/>
      <c r="J252" s="2844"/>
      <c r="K252" s="441"/>
      <c r="L252" s="2844"/>
      <c r="M252" s="441"/>
      <c r="N252" s="2844"/>
      <c r="O252" s="441"/>
      <c r="P252" s="2844"/>
      <c r="Q252" s="2034"/>
      <c r="R252" s="2845"/>
      <c r="S252" s="2034"/>
      <c r="T252" s="2846"/>
    </row>
    <row r="253" spans="1:20">
      <c r="A253" s="63">
        <v>2014.04</v>
      </c>
      <c r="B253" s="837">
        <v>134.07831221863739</v>
      </c>
      <c r="C253" s="2843">
        <v>134.90933729369797</v>
      </c>
      <c r="D253" s="441"/>
      <c r="E253" s="442"/>
      <c r="F253" s="2844"/>
      <c r="G253" s="441"/>
      <c r="H253" s="2844"/>
      <c r="I253" s="441"/>
      <c r="J253" s="2844"/>
      <c r="K253" s="441"/>
      <c r="L253" s="2844"/>
      <c r="M253" s="441"/>
      <c r="N253" s="2844"/>
      <c r="O253" s="441"/>
      <c r="P253" s="2844"/>
      <c r="Q253" s="2034"/>
      <c r="R253" s="2845"/>
      <c r="S253" s="2034"/>
      <c r="T253" s="2846"/>
    </row>
    <row r="254" spans="1:20">
      <c r="A254" s="63">
        <v>2014.05</v>
      </c>
      <c r="B254" s="837">
        <v>132.58855319398586</v>
      </c>
      <c r="C254" s="2843">
        <v>134.35469575907339</v>
      </c>
      <c r="D254" s="441"/>
      <c r="E254" s="442"/>
      <c r="F254" s="2844"/>
      <c r="G254" s="441"/>
      <c r="H254" s="2844"/>
      <c r="I254" s="441"/>
      <c r="J254" s="2844"/>
      <c r="K254" s="441"/>
      <c r="L254" s="2844"/>
      <c r="M254" s="441"/>
      <c r="N254" s="2844"/>
      <c r="O254" s="441"/>
      <c r="P254" s="2844"/>
      <c r="Q254" s="2034"/>
      <c r="R254" s="2845"/>
      <c r="S254" s="2034"/>
      <c r="T254" s="2846"/>
    </row>
    <row r="255" spans="1:20">
      <c r="A255" s="63">
        <v>2014.06</v>
      </c>
      <c r="B255" s="837">
        <v>129.5676529495536</v>
      </c>
      <c r="C255" s="2843">
        <v>135.9905957836344</v>
      </c>
      <c r="D255" s="441"/>
      <c r="E255" s="442"/>
      <c r="F255" s="2844"/>
      <c r="G255" s="441"/>
      <c r="H255" s="2844"/>
      <c r="I255" s="441"/>
      <c r="J255" s="2844"/>
      <c r="K255" s="441"/>
      <c r="L255" s="2844"/>
      <c r="M255" s="441"/>
      <c r="N255" s="2844"/>
      <c r="O255" s="441"/>
      <c r="P255" s="2844"/>
      <c r="Q255" s="2034"/>
      <c r="R255" s="2845"/>
      <c r="S255" s="2034"/>
      <c r="T255" s="2846"/>
    </row>
    <row r="256" spans="1:20">
      <c r="A256" s="63">
        <v>2014.07</v>
      </c>
      <c r="B256" s="837">
        <v>133.42654264535236</v>
      </c>
      <c r="C256" s="2843">
        <v>135.44675774113819</v>
      </c>
      <c r="D256" s="441"/>
      <c r="E256" s="442"/>
      <c r="F256" s="2844"/>
      <c r="G256" s="441"/>
      <c r="H256" s="2844"/>
      <c r="I256" s="441"/>
      <c r="J256" s="2844"/>
      <c r="K256" s="441"/>
      <c r="L256" s="2844"/>
      <c r="M256" s="441"/>
      <c r="N256" s="2844"/>
      <c r="O256" s="441"/>
      <c r="P256" s="2844"/>
      <c r="Q256" s="2034"/>
      <c r="R256" s="2845"/>
      <c r="S256" s="2034"/>
      <c r="T256" s="2846"/>
    </row>
    <row r="257" spans="1:20">
      <c r="A257" s="63">
        <v>2014.08</v>
      </c>
      <c r="B257" s="837">
        <v>134.1403855113312</v>
      </c>
      <c r="C257" s="2843">
        <v>134.3346366113802</v>
      </c>
      <c r="D257" s="441"/>
      <c r="E257" s="442"/>
      <c r="F257" s="2844"/>
      <c r="G257" s="441"/>
      <c r="H257" s="2844"/>
      <c r="I257" s="441"/>
      <c r="J257" s="2844"/>
      <c r="K257" s="441"/>
      <c r="L257" s="2844"/>
      <c r="M257" s="441"/>
      <c r="N257" s="2844"/>
      <c r="O257" s="441"/>
      <c r="P257" s="2844"/>
      <c r="Q257" s="2034"/>
      <c r="R257" s="2845"/>
      <c r="S257" s="2034"/>
      <c r="T257" s="2846"/>
    </row>
    <row r="258" spans="1:20">
      <c r="A258" s="63">
        <v>2014.09</v>
      </c>
      <c r="B258" s="837">
        <v>135.61979898720043</v>
      </c>
      <c r="C258" s="2843">
        <v>133.95589421870966</v>
      </c>
      <c r="D258" s="441"/>
      <c r="E258" s="442"/>
      <c r="F258" s="2844"/>
      <c r="G258" s="441"/>
      <c r="H258" s="2844"/>
      <c r="I258" s="441"/>
      <c r="J258" s="2844"/>
      <c r="K258" s="441"/>
      <c r="L258" s="2844"/>
      <c r="M258" s="441"/>
      <c r="N258" s="2844"/>
      <c r="O258" s="441"/>
      <c r="P258" s="2844"/>
      <c r="Q258" s="2034"/>
      <c r="R258" s="2845"/>
      <c r="S258" s="2034"/>
      <c r="T258" s="2846"/>
    </row>
    <row r="259" spans="1:20">
      <c r="A259" s="63">
        <v>2014.1</v>
      </c>
      <c r="B259" s="837">
        <v>141.40296075650741</v>
      </c>
      <c r="C259" s="2843">
        <v>133.59963269918239</v>
      </c>
      <c r="D259" s="441"/>
      <c r="E259" s="442"/>
      <c r="F259" s="2844"/>
      <c r="G259" s="441"/>
      <c r="H259" s="2844"/>
      <c r="I259" s="441"/>
      <c r="J259" s="2844"/>
      <c r="K259" s="441"/>
      <c r="L259" s="2844"/>
      <c r="M259" s="441"/>
      <c r="N259" s="2844"/>
      <c r="O259" s="441"/>
      <c r="P259" s="2844"/>
      <c r="Q259" s="2034"/>
      <c r="R259" s="2845"/>
      <c r="S259" s="2034"/>
      <c r="T259" s="2846"/>
    </row>
    <row r="260" spans="1:20">
      <c r="A260" s="63">
        <v>2014.11</v>
      </c>
      <c r="B260" s="837">
        <v>135.45427020668359</v>
      </c>
      <c r="C260" s="2843">
        <v>132.07246922298893</v>
      </c>
      <c r="D260" s="441"/>
      <c r="E260" s="442"/>
      <c r="F260" s="2844"/>
      <c r="G260" s="441"/>
      <c r="H260" s="2844"/>
      <c r="I260" s="441"/>
      <c r="J260" s="2844"/>
      <c r="K260" s="441"/>
      <c r="L260" s="2844"/>
      <c r="M260" s="441"/>
      <c r="N260" s="2844"/>
      <c r="O260" s="441"/>
      <c r="P260" s="2844"/>
      <c r="Q260" s="2034"/>
      <c r="R260" s="2845"/>
      <c r="S260" s="2034"/>
      <c r="T260" s="2846"/>
    </row>
    <row r="261" spans="1:20">
      <c r="A261" s="63">
        <v>2014.12</v>
      </c>
      <c r="B261" s="837">
        <v>132.21611343782297</v>
      </c>
      <c r="C261" s="2843">
        <v>132.2402657198011</v>
      </c>
      <c r="D261" s="441"/>
      <c r="E261" s="442"/>
      <c r="F261" s="2844"/>
      <c r="G261" s="441"/>
      <c r="H261" s="2844"/>
      <c r="I261" s="441"/>
      <c r="J261" s="2844"/>
      <c r="K261" s="441"/>
      <c r="L261" s="2844"/>
      <c r="M261" s="441"/>
      <c r="N261" s="2844"/>
      <c r="O261" s="441"/>
      <c r="P261" s="2844"/>
      <c r="Q261" s="2034"/>
      <c r="R261" s="2845"/>
      <c r="S261" s="2034"/>
      <c r="T261" s="2846"/>
    </row>
    <row r="262" spans="1:20">
      <c r="A262" s="63">
        <v>2015.01</v>
      </c>
      <c r="B262" s="837">
        <v>115.66323538613933</v>
      </c>
      <c r="C262" s="2843">
        <v>131.83691757107886</v>
      </c>
      <c r="D262" s="441"/>
      <c r="E262" s="442"/>
      <c r="F262" s="2844"/>
      <c r="G262" s="441"/>
      <c r="H262" s="2844"/>
      <c r="I262" s="441"/>
      <c r="J262" s="2844"/>
      <c r="K262" s="441"/>
      <c r="L262" s="2844"/>
      <c r="M262" s="441"/>
      <c r="N262" s="2844"/>
      <c r="O262" s="441"/>
      <c r="P262" s="2844"/>
      <c r="Q262" s="2034"/>
      <c r="R262" s="2845"/>
      <c r="S262" s="2034"/>
      <c r="T262" s="2846"/>
    </row>
    <row r="263" spans="1:20">
      <c r="A263" s="63">
        <v>2015.02</v>
      </c>
      <c r="B263" s="837">
        <v>118.14616709389189</v>
      </c>
      <c r="C263" s="2843">
        <v>132.59450148037854</v>
      </c>
      <c r="D263" s="441"/>
      <c r="E263" s="442"/>
      <c r="F263" s="2844"/>
      <c r="G263" s="441"/>
      <c r="H263" s="2844"/>
      <c r="I263" s="441"/>
      <c r="J263" s="2844"/>
      <c r="K263" s="441"/>
      <c r="L263" s="2844"/>
      <c r="M263" s="441"/>
      <c r="N263" s="2844"/>
      <c r="O263" s="441"/>
      <c r="P263" s="2844"/>
      <c r="Q263" s="2034"/>
      <c r="R263" s="2845"/>
      <c r="S263" s="2034"/>
      <c r="T263" s="2846"/>
    </row>
    <row r="264" spans="1:20">
      <c r="A264" s="63">
        <v>2015.03</v>
      </c>
      <c r="B264" s="837">
        <v>127.35370551014091</v>
      </c>
      <c r="C264" s="2843">
        <v>133.51419476230654</v>
      </c>
      <c r="D264" s="441"/>
      <c r="E264" s="442"/>
      <c r="F264" s="2844"/>
      <c r="G264" s="441"/>
      <c r="H264" s="2844"/>
      <c r="I264" s="441"/>
      <c r="J264" s="2844"/>
      <c r="K264" s="441"/>
      <c r="L264" s="2844"/>
      <c r="M264" s="441"/>
      <c r="N264" s="2844"/>
      <c r="O264" s="441"/>
      <c r="P264" s="2844"/>
      <c r="Q264" s="2034"/>
      <c r="R264" s="2845"/>
      <c r="S264" s="2034"/>
      <c r="T264" s="2846"/>
    </row>
    <row r="265" spans="1:20">
      <c r="A265" s="63">
        <v>2015.04</v>
      </c>
      <c r="B265" s="837">
        <v>132.00920246217694</v>
      </c>
      <c r="C265" s="2843">
        <v>133.49295446850573</v>
      </c>
      <c r="D265" s="441"/>
      <c r="E265" s="442"/>
      <c r="F265" s="2844"/>
      <c r="G265" s="441"/>
      <c r="H265" s="2844"/>
      <c r="I265" s="441"/>
      <c r="J265" s="2844"/>
      <c r="K265" s="441"/>
      <c r="L265" s="2844"/>
      <c r="M265" s="441"/>
      <c r="N265" s="2844"/>
      <c r="O265" s="441"/>
      <c r="P265" s="2844"/>
      <c r="Q265" s="2034"/>
      <c r="R265" s="2845"/>
      <c r="S265" s="2034"/>
      <c r="T265" s="2846"/>
    </row>
    <row r="266" spans="1:20">
      <c r="A266" s="63">
        <v>2015.05</v>
      </c>
      <c r="B266" s="837">
        <v>131.38846953523881</v>
      </c>
      <c r="C266" s="2843">
        <v>134.20503422929022</v>
      </c>
      <c r="D266" s="441"/>
      <c r="E266" s="442"/>
      <c r="F266" s="2844"/>
      <c r="G266" s="441"/>
      <c r="H266" s="2844"/>
      <c r="I266" s="441"/>
      <c r="J266" s="2844"/>
      <c r="K266" s="441"/>
      <c r="L266" s="2844"/>
      <c r="M266" s="441"/>
      <c r="N266" s="2844"/>
      <c r="O266" s="441"/>
      <c r="P266" s="2844"/>
      <c r="Q266" s="2034"/>
      <c r="R266" s="2845"/>
      <c r="S266" s="2034"/>
      <c r="T266" s="2846"/>
    </row>
    <row r="267" spans="1:20">
      <c r="A267" s="63">
        <v>2015.06</v>
      </c>
      <c r="B267" s="837">
        <v>130.76773660830068</v>
      </c>
      <c r="C267" s="2843">
        <v>135.18598923918583</v>
      </c>
      <c r="D267" s="441"/>
      <c r="E267" s="442"/>
      <c r="F267" s="2844"/>
      <c r="G267" s="441"/>
      <c r="H267" s="2844"/>
      <c r="I267" s="441"/>
      <c r="J267" s="2844"/>
      <c r="K267" s="441"/>
      <c r="L267" s="2844"/>
      <c r="M267" s="441"/>
      <c r="N267" s="2844"/>
      <c r="O267" s="441"/>
      <c r="P267" s="2844"/>
      <c r="Q267" s="2034"/>
      <c r="R267" s="2845"/>
      <c r="S267" s="2034"/>
      <c r="T267" s="2846"/>
    </row>
    <row r="268" spans="1:20">
      <c r="A268" s="63">
        <v>2015.07</v>
      </c>
      <c r="B268" s="837">
        <v>134.28522319428345</v>
      </c>
      <c r="C268" s="2843">
        <v>135.20257226893227</v>
      </c>
      <c r="D268" s="441"/>
      <c r="E268" s="442"/>
      <c r="F268" s="2844"/>
      <c r="G268" s="441"/>
      <c r="H268" s="2844"/>
      <c r="I268" s="441"/>
      <c r="J268" s="2844"/>
      <c r="K268" s="441"/>
      <c r="L268" s="2844"/>
      <c r="M268" s="441"/>
      <c r="N268" s="2844"/>
      <c r="O268" s="441"/>
      <c r="P268" s="2844"/>
      <c r="Q268" s="2034"/>
      <c r="R268" s="2845"/>
      <c r="S268" s="2034"/>
      <c r="T268" s="2846"/>
    </row>
    <row r="269" spans="1:20">
      <c r="A269" s="63">
        <v>2015.08</v>
      </c>
      <c r="B269" s="837">
        <v>134.90595612122158</v>
      </c>
      <c r="C269" s="2843">
        <v>135.2293910298373</v>
      </c>
      <c r="D269" s="441"/>
      <c r="E269" s="442"/>
      <c r="F269" s="2844"/>
      <c r="G269" s="441"/>
      <c r="H269" s="2844"/>
      <c r="I269" s="441"/>
      <c r="J269" s="2844"/>
      <c r="K269" s="441"/>
      <c r="L269" s="2844"/>
      <c r="M269" s="441"/>
      <c r="N269" s="2844"/>
      <c r="O269" s="441"/>
      <c r="P269" s="2844"/>
      <c r="Q269" s="2034"/>
      <c r="R269" s="2845"/>
      <c r="S269" s="2034"/>
      <c r="T269" s="2846"/>
    </row>
    <row r="270" spans="1:20">
      <c r="A270" s="63">
        <v>2015.09</v>
      </c>
      <c r="B270" s="837">
        <v>135.94051099945182</v>
      </c>
      <c r="C270" s="2843">
        <v>135.26800384715526</v>
      </c>
      <c r="D270" s="441"/>
      <c r="E270" s="442"/>
      <c r="F270" s="2844"/>
      <c r="G270" s="441"/>
      <c r="H270" s="2844"/>
      <c r="I270" s="441"/>
      <c r="J270" s="2844"/>
      <c r="K270" s="441"/>
      <c r="L270" s="2844"/>
      <c r="M270" s="441"/>
      <c r="N270" s="2844"/>
      <c r="O270" s="441"/>
      <c r="P270" s="2844"/>
      <c r="Q270" s="2034"/>
      <c r="R270" s="2845"/>
      <c r="S270" s="2034"/>
      <c r="T270" s="2846"/>
    </row>
    <row r="271" spans="1:20">
      <c r="A271" s="63">
        <v>2015.1</v>
      </c>
      <c r="B271" s="837">
        <v>138.76556248980708</v>
      </c>
      <c r="C271" s="2843">
        <v>134.95497858514335</v>
      </c>
      <c r="D271" s="441"/>
      <c r="E271" s="442"/>
      <c r="F271" s="2844"/>
      <c r="G271" s="441"/>
      <c r="H271" s="2844"/>
      <c r="I271" s="441"/>
      <c r="J271" s="2844"/>
      <c r="K271" s="441"/>
      <c r="L271" s="2844"/>
      <c r="M271" s="441"/>
      <c r="N271" s="2844"/>
      <c r="O271" s="441"/>
      <c r="P271" s="2844"/>
      <c r="Q271" s="2034"/>
      <c r="R271" s="2845"/>
      <c r="S271" s="2034"/>
      <c r="T271" s="2846"/>
    </row>
    <row r="272" spans="1:20">
      <c r="A272" s="63">
        <v>2015.11</v>
      </c>
      <c r="B272" s="837">
        <v>138.78532021505498</v>
      </c>
      <c r="C272" s="2843">
        <v>134.35378049960596</v>
      </c>
      <c r="D272" s="441"/>
      <c r="E272" s="442"/>
      <c r="F272" s="2844"/>
      <c r="G272" s="441"/>
      <c r="H272" s="2844"/>
      <c r="I272" s="441"/>
      <c r="J272" s="2844"/>
      <c r="K272" s="441"/>
      <c r="L272" s="2844"/>
      <c r="M272" s="441"/>
      <c r="N272" s="2844"/>
      <c r="O272" s="441"/>
      <c r="P272" s="2844"/>
      <c r="Q272" s="2034"/>
      <c r="R272" s="2845"/>
      <c r="S272" s="2034"/>
      <c r="T272" s="2846"/>
    </row>
    <row r="273" spans="1:20" ht="13.5" thickBot="1">
      <c r="A273" s="63">
        <v>2015.12</v>
      </c>
      <c r="B273" s="837">
        <v>137.94333541700342</v>
      </c>
      <c r="C273" s="2843">
        <v>132.80709898702847</v>
      </c>
      <c r="D273" s="441"/>
      <c r="E273" s="442"/>
      <c r="F273" s="2844"/>
      <c r="G273" s="441"/>
      <c r="H273" s="2844"/>
      <c r="I273" s="441"/>
      <c r="J273" s="2844"/>
      <c r="K273" s="441"/>
      <c r="L273" s="2844"/>
      <c r="M273" s="441"/>
      <c r="N273" s="2844"/>
      <c r="O273" s="441"/>
      <c r="P273" s="2844"/>
      <c r="Q273" s="2034"/>
      <c r="R273" s="2845"/>
      <c r="S273" s="2034"/>
      <c r="T273" s="2846"/>
    </row>
    <row r="274" spans="1:20">
      <c r="A274" s="63">
        <v>2016.01</v>
      </c>
      <c r="B274" s="209">
        <v>117.1</v>
      </c>
      <c r="C274" s="654">
        <v>134.4</v>
      </c>
      <c r="D274" s="772">
        <v>133.69999999999999</v>
      </c>
      <c r="E274" s="209">
        <v>130.69999999999999</v>
      </c>
      <c r="F274" s="654">
        <v>106.2</v>
      </c>
      <c r="G274" s="771">
        <v>84.3</v>
      </c>
      <c r="H274" s="654">
        <v>85.1</v>
      </c>
      <c r="I274" s="771">
        <v>112.1</v>
      </c>
      <c r="J274" s="654">
        <v>116.1</v>
      </c>
      <c r="K274" s="771">
        <v>137.19999999999999</v>
      </c>
      <c r="L274" s="654">
        <v>119.1</v>
      </c>
      <c r="M274" s="771">
        <v>162.69999999999999</v>
      </c>
      <c r="N274" s="654">
        <v>94.8</v>
      </c>
      <c r="O274" s="771">
        <v>109.1</v>
      </c>
      <c r="P274" s="654">
        <v>118.3</v>
      </c>
      <c r="Q274" s="771">
        <v>133.30000000000001</v>
      </c>
      <c r="R274" s="654">
        <v>63.3</v>
      </c>
      <c r="S274" s="771">
        <v>130.19999999999999</v>
      </c>
      <c r="T274" s="846">
        <v>110.1</v>
      </c>
    </row>
    <row r="275" spans="1:20">
      <c r="A275" s="63">
        <v>2016.02</v>
      </c>
      <c r="B275" s="839">
        <v>118.9</v>
      </c>
      <c r="C275" s="2839">
        <v>133.9</v>
      </c>
      <c r="D275" s="439">
        <v>132.69999999999999</v>
      </c>
      <c r="E275" s="839">
        <v>129.30000000000001</v>
      </c>
      <c r="F275" s="2839">
        <v>127.9</v>
      </c>
      <c r="G275" s="839">
        <v>97</v>
      </c>
      <c r="H275" s="2839">
        <v>102.3</v>
      </c>
      <c r="I275" s="839">
        <v>110.4</v>
      </c>
      <c r="J275" s="2839">
        <v>111.3</v>
      </c>
      <c r="K275" s="839">
        <v>133.69999999999999</v>
      </c>
      <c r="L275" s="2839">
        <v>113.9</v>
      </c>
      <c r="M275" s="839">
        <v>159.80000000000001</v>
      </c>
      <c r="N275" s="2839">
        <v>80.099999999999994</v>
      </c>
      <c r="O275" s="839">
        <v>105.9</v>
      </c>
      <c r="P275" s="2839">
        <v>132.19999999999999</v>
      </c>
      <c r="Q275" s="839">
        <v>157.30000000000001</v>
      </c>
      <c r="R275" s="2839">
        <v>113.1</v>
      </c>
      <c r="S275" s="839">
        <v>143.30000000000001</v>
      </c>
      <c r="T275" s="3177">
        <v>104.8</v>
      </c>
    </row>
    <row r="276" spans="1:20">
      <c r="A276" s="63">
        <v>2016.03</v>
      </c>
      <c r="B276" s="839">
        <v>136.80000000000001</v>
      </c>
      <c r="C276" s="2839">
        <v>130.6</v>
      </c>
      <c r="D276" s="439">
        <v>131.5</v>
      </c>
      <c r="E276" s="839">
        <v>141.69999999999999</v>
      </c>
      <c r="F276" s="2839">
        <v>148.6</v>
      </c>
      <c r="G276" s="839">
        <v>119.3</v>
      </c>
      <c r="H276" s="2839">
        <v>135</v>
      </c>
      <c r="I276" s="839">
        <v>118</v>
      </c>
      <c r="J276" s="2839">
        <v>115.3</v>
      </c>
      <c r="K276" s="839">
        <v>148.30000000000001</v>
      </c>
      <c r="L276" s="2839">
        <v>136.6</v>
      </c>
      <c r="M276" s="839">
        <v>171.8</v>
      </c>
      <c r="N276" s="2839">
        <v>100.9</v>
      </c>
      <c r="O276" s="839">
        <v>124.9</v>
      </c>
      <c r="P276" s="2839">
        <v>156.5</v>
      </c>
      <c r="Q276" s="839">
        <v>187.6</v>
      </c>
      <c r="R276" s="2839">
        <v>151.30000000000001</v>
      </c>
      <c r="S276" s="839">
        <v>174.8</v>
      </c>
      <c r="T276" s="3177">
        <v>130.6</v>
      </c>
    </row>
    <row r="277" spans="1:20">
      <c r="A277" s="63">
        <v>2016.04</v>
      </c>
      <c r="B277" s="839">
        <v>132.1</v>
      </c>
      <c r="C277" s="2839">
        <v>130.6</v>
      </c>
      <c r="D277" s="439">
        <v>130.30000000000001</v>
      </c>
      <c r="E277" s="839">
        <v>135.5</v>
      </c>
      <c r="F277" s="2839">
        <v>117.3</v>
      </c>
      <c r="G277" s="839">
        <v>123.2</v>
      </c>
      <c r="H277" s="2839">
        <v>137.9</v>
      </c>
      <c r="I277" s="839">
        <v>115.1</v>
      </c>
      <c r="J277" s="2839">
        <v>111</v>
      </c>
      <c r="K277" s="839">
        <v>147.80000000000001</v>
      </c>
      <c r="L277" s="2839">
        <v>130.9</v>
      </c>
      <c r="M277" s="839">
        <v>158.69999999999999</v>
      </c>
      <c r="N277" s="2839">
        <v>101.2</v>
      </c>
      <c r="O277" s="839">
        <v>114</v>
      </c>
      <c r="P277" s="2839">
        <v>136.6</v>
      </c>
      <c r="Q277" s="839">
        <v>175.2</v>
      </c>
      <c r="R277" s="2839">
        <v>140.19999999999999</v>
      </c>
      <c r="S277" s="839">
        <v>172.2</v>
      </c>
      <c r="T277" s="3177">
        <v>137.5</v>
      </c>
    </row>
    <row r="278" spans="1:20">
      <c r="A278" s="63">
        <v>2016.05</v>
      </c>
      <c r="B278" s="839">
        <v>132.1</v>
      </c>
      <c r="C278" s="2839">
        <v>128.69999999999999</v>
      </c>
      <c r="D278" s="439">
        <v>129</v>
      </c>
      <c r="E278" s="839">
        <v>139.6</v>
      </c>
      <c r="F278" s="2839">
        <v>85.5</v>
      </c>
      <c r="G278" s="839">
        <v>134.9</v>
      </c>
      <c r="H278" s="2839">
        <v>125.6</v>
      </c>
      <c r="I278" s="839">
        <v>112.8</v>
      </c>
      <c r="J278" s="2839">
        <v>111.7</v>
      </c>
      <c r="K278" s="839">
        <v>147.19999999999999</v>
      </c>
      <c r="L278" s="2839">
        <v>125</v>
      </c>
      <c r="M278" s="839">
        <v>167.4</v>
      </c>
      <c r="N278" s="2839">
        <v>102.5</v>
      </c>
      <c r="O278" s="839">
        <v>115.3</v>
      </c>
      <c r="P278" s="2839">
        <v>147</v>
      </c>
      <c r="Q278" s="839">
        <v>161.6</v>
      </c>
      <c r="R278" s="2839">
        <v>136.19999999999999</v>
      </c>
      <c r="S278" s="839">
        <v>160.69999999999999</v>
      </c>
      <c r="T278" s="3177">
        <v>136.30000000000001</v>
      </c>
    </row>
    <row r="279" spans="1:20">
      <c r="A279" s="63">
        <v>2016.06</v>
      </c>
      <c r="B279" s="839">
        <v>125</v>
      </c>
      <c r="C279" s="2839">
        <v>124.6</v>
      </c>
      <c r="D279" s="439">
        <v>128</v>
      </c>
      <c r="E279" s="839">
        <v>134</v>
      </c>
      <c r="F279" s="2839">
        <v>54.5</v>
      </c>
      <c r="G279" s="839">
        <v>130.6</v>
      </c>
      <c r="H279" s="2839">
        <v>112.1</v>
      </c>
      <c r="I279" s="839">
        <v>107.3</v>
      </c>
      <c r="J279" s="2839">
        <v>113.3</v>
      </c>
      <c r="K279" s="839">
        <v>135.80000000000001</v>
      </c>
      <c r="L279" s="2839">
        <v>114.3</v>
      </c>
      <c r="M279" s="839">
        <v>156.69999999999999</v>
      </c>
      <c r="N279" s="2839">
        <v>93</v>
      </c>
      <c r="O279" s="839">
        <v>111.5</v>
      </c>
      <c r="P279" s="2839">
        <v>147.19999999999999</v>
      </c>
      <c r="Q279" s="839">
        <v>149.9</v>
      </c>
      <c r="R279" s="2839">
        <v>133.69999999999999</v>
      </c>
      <c r="S279" s="839">
        <v>152.1</v>
      </c>
      <c r="T279" s="3177">
        <v>131.5</v>
      </c>
    </row>
    <row r="280" spans="1:20">
      <c r="A280" s="63">
        <v>2016.07</v>
      </c>
      <c r="B280" s="839">
        <v>126.8</v>
      </c>
      <c r="C280" s="2839">
        <v>126.8</v>
      </c>
      <c r="D280" s="439">
        <v>127.4</v>
      </c>
      <c r="E280" s="839">
        <v>137.30000000000001</v>
      </c>
      <c r="F280" s="2839">
        <v>58.9</v>
      </c>
      <c r="G280" s="839">
        <v>124.2</v>
      </c>
      <c r="H280" s="2839">
        <v>108.4</v>
      </c>
      <c r="I280" s="839">
        <v>109.1</v>
      </c>
      <c r="J280" s="2839">
        <v>115.4</v>
      </c>
      <c r="K280" s="839">
        <v>145.6</v>
      </c>
      <c r="L280" s="2839">
        <v>118.3</v>
      </c>
      <c r="M280" s="839">
        <v>160.5</v>
      </c>
      <c r="N280" s="2839">
        <v>95.5</v>
      </c>
      <c r="O280" s="839">
        <v>113.6</v>
      </c>
      <c r="P280" s="2839">
        <v>136.9</v>
      </c>
      <c r="Q280" s="839">
        <v>144.4</v>
      </c>
      <c r="R280" s="2839">
        <v>129.1</v>
      </c>
      <c r="S280" s="839">
        <v>154.19999999999999</v>
      </c>
      <c r="T280" s="3177">
        <v>131.9</v>
      </c>
    </row>
    <row r="281" spans="1:20">
      <c r="A281" s="63">
        <v>2016.08</v>
      </c>
      <c r="B281" s="839">
        <v>133.69999999999999</v>
      </c>
      <c r="C281" s="2839">
        <v>124.4</v>
      </c>
      <c r="D281" s="439">
        <v>127.2</v>
      </c>
      <c r="E281" s="839">
        <v>151.5</v>
      </c>
      <c r="F281" s="2839">
        <v>66</v>
      </c>
      <c r="G281" s="839">
        <v>121.5</v>
      </c>
      <c r="H281" s="2839">
        <v>128.19999999999999</v>
      </c>
      <c r="I281" s="839">
        <v>115.6</v>
      </c>
      <c r="J281" s="2839">
        <v>112</v>
      </c>
      <c r="K281" s="839">
        <v>145.1</v>
      </c>
      <c r="L281" s="2839">
        <v>128.19999999999999</v>
      </c>
      <c r="M281" s="839">
        <v>177.6</v>
      </c>
      <c r="N281" s="2839">
        <v>76.099999999999994</v>
      </c>
      <c r="O281" s="839">
        <v>118.7</v>
      </c>
      <c r="P281" s="2839">
        <v>148.4</v>
      </c>
      <c r="Q281" s="839">
        <v>161.6</v>
      </c>
      <c r="R281" s="2839">
        <v>146.19999999999999</v>
      </c>
      <c r="S281" s="839">
        <v>174.6</v>
      </c>
      <c r="T281" s="3177">
        <v>140.80000000000001</v>
      </c>
    </row>
    <row r="282" spans="1:20">
      <c r="A282" s="63">
        <v>2016.09</v>
      </c>
      <c r="B282" s="839">
        <v>135.5</v>
      </c>
      <c r="C282" s="2839">
        <v>128.6</v>
      </c>
      <c r="D282" s="439">
        <v>127.4</v>
      </c>
      <c r="E282" s="839">
        <v>146.9</v>
      </c>
      <c r="F282" s="2839">
        <v>69.400000000000006</v>
      </c>
      <c r="G282" s="839">
        <v>107.8</v>
      </c>
      <c r="H282" s="2839">
        <v>128.19999999999999</v>
      </c>
      <c r="I282" s="839">
        <v>112.3</v>
      </c>
      <c r="J282" s="2839">
        <v>115.7</v>
      </c>
      <c r="K282" s="839">
        <v>153.5</v>
      </c>
      <c r="L282" s="2839">
        <v>133.6</v>
      </c>
      <c r="M282" s="839">
        <v>174.2</v>
      </c>
      <c r="N282" s="2839">
        <v>95.4</v>
      </c>
      <c r="O282" s="839">
        <v>121.4</v>
      </c>
      <c r="P282" s="2839">
        <v>159.6</v>
      </c>
      <c r="Q282" s="839">
        <v>165.6</v>
      </c>
      <c r="R282" s="2839">
        <v>141.1</v>
      </c>
      <c r="S282" s="839">
        <v>184.4</v>
      </c>
      <c r="T282" s="3177">
        <v>137.1</v>
      </c>
    </row>
    <row r="283" spans="1:20">
      <c r="A283" s="63">
        <v>2016.1</v>
      </c>
      <c r="B283" s="839">
        <v>133.30000000000001</v>
      </c>
      <c r="C283" s="2839">
        <v>127.5</v>
      </c>
      <c r="D283" s="439">
        <v>127.8</v>
      </c>
      <c r="E283" s="839">
        <v>144.69999999999999</v>
      </c>
      <c r="F283" s="2839">
        <v>46.4</v>
      </c>
      <c r="G283" s="839">
        <v>92.9</v>
      </c>
      <c r="H283" s="2839">
        <v>123</v>
      </c>
      <c r="I283" s="839">
        <v>116.2</v>
      </c>
      <c r="J283" s="2839">
        <v>117.1</v>
      </c>
      <c r="K283" s="839">
        <v>150.6</v>
      </c>
      <c r="L283" s="2839">
        <v>129.5</v>
      </c>
      <c r="M283" s="839">
        <v>169.3</v>
      </c>
      <c r="N283" s="2839">
        <v>98.4</v>
      </c>
      <c r="O283" s="839">
        <v>114.8</v>
      </c>
      <c r="P283" s="2839">
        <v>163.4</v>
      </c>
      <c r="Q283" s="839">
        <v>153.69999999999999</v>
      </c>
      <c r="R283" s="2839">
        <v>137.19999999999999</v>
      </c>
      <c r="S283" s="839">
        <v>172.2</v>
      </c>
      <c r="T283" s="3177">
        <v>140</v>
      </c>
    </row>
    <row r="284" spans="1:20">
      <c r="A284" s="63">
        <v>2016.11</v>
      </c>
      <c r="B284" s="839">
        <v>134.69999999999999</v>
      </c>
      <c r="C284" s="2839">
        <v>131</v>
      </c>
      <c r="D284" s="439">
        <v>128.1</v>
      </c>
      <c r="E284" s="839">
        <v>143.80000000000001</v>
      </c>
      <c r="F284" s="2839">
        <v>63</v>
      </c>
      <c r="G284" s="839">
        <v>97.2</v>
      </c>
      <c r="H284" s="2839">
        <v>110.7</v>
      </c>
      <c r="I284" s="839">
        <v>114.2</v>
      </c>
      <c r="J284" s="2839">
        <v>111.3</v>
      </c>
      <c r="K284" s="839">
        <v>151.30000000000001</v>
      </c>
      <c r="L284" s="2839">
        <v>130.69999999999999</v>
      </c>
      <c r="M284" s="839">
        <v>177.6</v>
      </c>
      <c r="N284" s="2839">
        <v>100</v>
      </c>
      <c r="O284" s="839">
        <v>120.9</v>
      </c>
      <c r="P284" s="2839">
        <v>161.4</v>
      </c>
      <c r="Q284" s="839">
        <v>169.3</v>
      </c>
      <c r="R284" s="2839">
        <v>162.5</v>
      </c>
      <c r="S284" s="839">
        <v>178.8</v>
      </c>
      <c r="T284" s="3177">
        <v>144.1</v>
      </c>
    </row>
    <row r="285" spans="1:20">
      <c r="A285" s="63">
        <v>2016.12</v>
      </c>
      <c r="B285" s="839">
        <v>124.1</v>
      </c>
      <c r="C285" s="2839">
        <v>130.5</v>
      </c>
      <c r="D285" s="439">
        <v>128.5</v>
      </c>
      <c r="E285" s="839">
        <v>139.19999999999999</v>
      </c>
      <c r="F285" s="2839">
        <v>67.099999999999994</v>
      </c>
      <c r="G285" s="839">
        <v>75.099999999999994</v>
      </c>
      <c r="H285" s="2839">
        <v>108.3</v>
      </c>
      <c r="I285" s="839">
        <v>105.8</v>
      </c>
      <c r="J285" s="2839">
        <v>121.4</v>
      </c>
      <c r="K285" s="839">
        <v>132.5</v>
      </c>
      <c r="L285" s="2839">
        <v>114.7</v>
      </c>
      <c r="M285" s="839">
        <v>160.5</v>
      </c>
      <c r="N285" s="2839">
        <v>92.9</v>
      </c>
      <c r="O285" s="839">
        <v>113.5</v>
      </c>
      <c r="P285" s="2839">
        <v>153.19999999999999</v>
      </c>
      <c r="Q285" s="839">
        <v>125.6</v>
      </c>
      <c r="R285" s="2839">
        <v>135</v>
      </c>
      <c r="S285" s="839">
        <v>163.30000000000001</v>
      </c>
      <c r="T285" s="3177">
        <v>131.4</v>
      </c>
    </row>
    <row r="286" spans="1:20">
      <c r="A286" s="63">
        <v>2017.01</v>
      </c>
      <c r="B286" s="839">
        <v>115.7</v>
      </c>
      <c r="C286" s="2839">
        <v>129.19999999999999</v>
      </c>
      <c r="D286" s="439">
        <v>128.80000000000001</v>
      </c>
      <c r="E286" s="839">
        <v>131.4</v>
      </c>
      <c r="F286" s="2839">
        <v>99.6</v>
      </c>
      <c r="G286" s="839">
        <v>72.900000000000006</v>
      </c>
      <c r="H286" s="2839">
        <v>82.7</v>
      </c>
      <c r="I286" s="839">
        <v>106.3</v>
      </c>
      <c r="J286" s="2839">
        <v>117.6</v>
      </c>
      <c r="K286" s="839">
        <v>139.69999999999999</v>
      </c>
      <c r="L286" s="2839">
        <v>120.9</v>
      </c>
      <c r="M286" s="839">
        <v>153</v>
      </c>
      <c r="N286" s="2839">
        <v>89.1</v>
      </c>
      <c r="O286" s="839">
        <v>103.4</v>
      </c>
      <c r="P286" s="2839">
        <v>116.6</v>
      </c>
      <c r="Q286" s="839">
        <v>105.6</v>
      </c>
      <c r="R286" s="2839">
        <v>92.7</v>
      </c>
      <c r="S286" s="839">
        <v>164.7</v>
      </c>
      <c r="T286" s="3177">
        <v>107.5</v>
      </c>
    </row>
    <row r="287" spans="1:20">
      <c r="A287" s="63">
        <v>2017.02</v>
      </c>
      <c r="B287" s="839">
        <v>109.4</v>
      </c>
      <c r="C287" s="2839">
        <v>124.8</v>
      </c>
      <c r="D287" s="439">
        <v>129.30000000000001</v>
      </c>
      <c r="E287" s="839">
        <v>118.8</v>
      </c>
      <c r="F287" s="2839">
        <v>107.6</v>
      </c>
      <c r="G287" s="839">
        <v>81.099999999999994</v>
      </c>
      <c r="H287" s="2839">
        <v>85.4</v>
      </c>
      <c r="I287" s="839">
        <v>100.6</v>
      </c>
      <c r="J287" s="2839">
        <v>101.4</v>
      </c>
      <c r="K287" s="839">
        <v>127.7</v>
      </c>
      <c r="L287" s="2839">
        <v>105.4</v>
      </c>
      <c r="M287" s="839">
        <v>148</v>
      </c>
      <c r="N287" s="2839">
        <v>79.900000000000006</v>
      </c>
      <c r="O287" s="839">
        <v>95.6</v>
      </c>
      <c r="P287" s="2839">
        <v>127.4</v>
      </c>
      <c r="Q287" s="839">
        <v>131.4</v>
      </c>
      <c r="R287" s="2839">
        <v>103.2</v>
      </c>
      <c r="S287" s="839">
        <v>157.9</v>
      </c>
      <c r="T287" s="3177">
        <v>96.6</v>
      </c>
    </row>
    <row r="288" spans="1:20">
      <c r="A288" s="63">
        <v>2017.03</v>
      </c>
      <c r="B288" s="839">
        <v>135.69999999999999</v>
      </c>
      <c r="C288" s="2839">
        <v>129</v>
      </c>
      <c r="D288" s="439">
        <v>130</v>
      </c>
      <c r="E288" s="839">
        <v>144.1</v>
      </c>
      <c r="F288" s="2839">
        <v>163.30000000000001</v>
      </c>
      <c r="G288" s="839">
        <v>101</v>
      </c>
      <c r="H288" s="2839">
        <v>121.7</v>
      </c>
      <c r="I288" s="839">
        <v>116.8</v>
      </c>
      <c r="J288" s="2839">
        <v>113.3</v>
      </c>
      <c r="K288" s="839">
        <v>145.9</v>
      </c>
      <c r="L288" s="2839">
        <v>130.6</v>
      </c>
      <c r="M288" s="839">
        <v>182.7</v>
      </c>
      <c r="N288" s="2839">
        <v>104.1</v>
      </c>
      <c r="O288" s="839">
        <v>122.3</v>
      </c>
      <c r="P288" s="2839">
        <v>154.6</v>
      </c>
      <c r="Q288" s="839">
        <v>166.6</v>
      </c>
      <c r="R288" s="2839">
        <v>153.30000000000001</v>
      </c>
      <c r="S288" s="839">
        <v>196.6</v>
      </c>
      <c r="T288" s="3177">
        <v>140.4</v>
      </c>
    </row>
    <row r="289" spans="1:20">
      <c r="A289" s="63">
        <v>2017.04</v>
      </c>
      <c r="B289" s="839">
        <v>127.1</v>
      </c>
      <c r="C289" s="2839">
        <v>129</v>
      </c>
      <c r="D289" s="439">
        <v>130.9</v>
      </c>
      <c r="E289" s="839">
        <v>131.4</v>
      </c>
      <c r="F289" s="2839">
        <v>117.5</v>
      </c>
      <c r="G289" s="839">
        <v>99.1</v>
      </c>
      <c r="H289" s="2839">
        <v>106.8</v>
      </c>
      <c r="I289" s="839">
        <v>105.8</v>
      </c>
      <c r="J289" s="2839">
        <v>112.5</v>
      </c>
      <c r="K289" s="839">
        <v>145.69999999999999</v>
      </c>
      <c r="L289" s="2839">
        <v>124.2</v>
      </c>
      <c r="M289" s="839">
        <v>160.69999999999999</v>
      </c>
      <c r="N289" s="2839">
        <v>104</v>
      </c>
      <c r="O289" s="839">
        <v>111.4</v>
      </c>
      <c r="P289" s="2839">
        <v>164.5</v>
      </c>
      <c r="Q289" s="839">
        <v>147.5</v>
      </c>
      <c r="R289" s="2839">
        <v>134.30000000000001</v>
      </c>
      <c r="S289" s="839">
        <v>182.1</v>
      </c>
      <c r="T289" s="3177">
        <v>129</v>
      </c>
    </row>
    <row r="290" spans="1:20">
      <c r="A290" s="63">
        <v>2017.05</v>
      </c>
      <c r="B290" s="839">
        <v>137.30000000000001</v>
      </c>
      <c r="C290" s="2839">
        <v>131.4</v>
      </c>
      <c r="D290" s="439">
        <v>132</v>
      </c>
      <c r="E290" s="839">
        <v>145.30000000000001</v>
      </c>
      <c r="F290" s="2839">
        <v>96</v>
      </c>
      <c r="G290" s="839">
        <v>120.9</v>
      </c>
      <c r="H290" s="2839">
        <v>110.6</v>
      </c>
      <c r="I290" s="839">
        <v>114.5</v>
      </c>
      <c r="J290" s="2839">
        <v>114.1</v>
      </c>
      <c r="K290" s="839">
        <v>150.9</v>
      </c>
      <c r="L290" s="2839">
        <v>131.6</v>
      </c>
      <c r="M290" s="839">
        <v>172.5</v>
      </c>
      <c r="N290" s="2839">
        <v>110.6</v>
      </c>
      <c r="O290" s="839">
        <v>125.3</v>
      </c>
      <c r="P290" s="2839">
        <v>163.9</v>
      </c>
      <c r="Q290" s="839">
        <v>170.5</v>
      </c>
      <c r="R290" s="2839">
        <v>157.19999999999999</v>
      </c>
      <c r="S290" s="839">
        <v>216.9</v>
      </c>
      <c r="T290" s="3177">
        <v>144.6</v>
      </c>
    </row>
    <row r="291" spans="1:20">
      <c r="A291" s="63">
        <v>2017.06</v>
      </c>
      <c r="B291" s="839">
        <v>134.5</v>
      </c>
      <c r="C291" s="2839">
        <v>133</v>
      </c>
      <c r="D291" s="439">
        <v>133.19999999999999</v>
      </c>
      <c r="E291" s="839">
        <v>139.30000000000001</v>
      </c>
      <c r="F291" s="2839">
        <v>78.900000000000006</v>
      </c>
      <c r="G291" s="839">
        <v>125.6</v>
      </c>
      <c r="H291" s="2839">
        <v>98.1</v>
      </c>
      <c r="I291" s="839">
        <v>112.7</v>
      </c>
      <c r="J291" s="2839">
        <v>115.6</v>
      </c>
      <c r="K291" s="839">
        <v>147.9</v>
      </c>
      <c r="L291" s="2839">
        <v>125.7</v>
      </c>
      <c r="M291" s="839">
        <v>180.9</v>
      </c>
      <c r="N291" s="2839">
        <v>107.2</v>
      </c>
      <c r="O291" s="839">
        <v>118.2</v>
      </c>
      <c r="P291" s="2839">
        <v>174.8</v>
      </c>
      <c r="Q291" s="839">
        <v>167.2</v>
      </c>
      <c r="R291" s="2839">
        <v>159.1</v>
      </c>
      <c r="S291" s="839">
        <v>212.4</v>
      </c>
      <c r="T291" s="3177">
        <v>146.4</v>
      </c>
    </row>
    <row r="292" spans="1:20">
      <c r="A292" s="63">
        <v>2017.07</v>
      </c>
      <c r="B292" s="839">
        <v>135.5</v>
      </c>
      <c r="C292" s="2839">
        <v>134.69999999999999</v>
      </c>
      <c r="D292" s="439">
        <v>134.30000000000001</v>
      </c>
      <c r="E292" s="839">
        <v>143.80000000000001</v>
      </c>
      <c r="F292" s="2839">
        <v>70.8</v>
      </c>
      <c r="G292" s="839">
        <v>120.2</v>
      </c>
      <c r="H292" s="2839">
        <v>104</v>
      </c>
      <c r="I292" s="839">
        <v>118.2</v>
      </c>
      <c r="J292" s="2839">
        <v>111.3</v>
      </c>
      <c r="K292" s="839">
        <v>141.5</v>
      </c>
      <c r="L292" s="2839">
        <v>128.69999999999999</v>
      </c>
      <c r="M292" s="839">
        <v>177.7</v>
      </c>
      <c r="N292" s="2839">
        <v>117.3</v>
      </c>
      <c r="O292" s="839">
        <v>125.5</v>
      </c>
      <c r="P292" s="2839">
        <v>168.8</v>
      </c>
      <c r="Q292" s="839">
        <v>168.8</v>
      </c>
      <c r="R292" s="2839">
        <v>138.4</v>
      </c>
      <c r="S292" s="839">
        <v>194.3</v>
      </c>
      <c r="T292" s="3177">
        <v>148.19999999999999</v>
      </c>
    </row>
    <row r="293" spans="1:20">
      <c r="A293" s="63">
        <v>2017.08</v>
      </c>
      <c r="B293" s="839">
        <v>143</v>
      </c>
      <c r="C293" s="2839">
        <v>133.5</v>
      </c>
      <c r="D293" s="439">
        <v>135.1</v>
      </c>
      <c r="E293" s="839">
        <v>153.19999999999999</v>
      </c>
      <c r="F293" s="2839">
        <v>69.3</v>
      </c>
      <c r="G293" s="839">
        <v>117.1</v>
      </c>
      <c r="H293" s="2839">
        <v>108.2</v>
      </c>
      <c r="I293" s="839">
        <v>121.9</v>
      </c>
      <c r="J293" s="2839">
        <v>117.2</v>
      </c>
      <c r="K293" s="839">
        <v>142.5</v>
      </c>
      <c r="L293" s="2839">
        <v>135.5</v>
      </c>
      <c r="M293" s="839">
        <v>191</v>
      </c>
      <c r="N293" s="2839">
        <v>113.8</v>
      </c>
      <c r="O293" s="839">
        <v>138.1</v>
      </c>
      <c r="P293" s="2839">
        <v>181.2</v>
      </c>
      <c r="Q293" s="839">
        <v>209.8</v>
      </c>
      <c r="R293" s="2839">
        <v>162.4</v>
      </c>
      <c r="S293" s="839">
        <v>213</v>
      </c>
      <c r="T293" s="3177">
        <v>151.80000000000001</v>
      </c>
    </row>
    <row r="294" spans="1:20">
      <c r="A294" s="63">
        <v>2017.09</v>
      </c>
      <c r="B294" s="839">
        <v>140.5</v>
      </c>
      <c r="C294" s="2839">
        <v>136.4</v>
      </c>
      <c r="D294" s="439">
        <v>135.6</v>
      </c>
      <c r="E294" s="839">
        <v>143.9</v>
      </c>
      <c r="F294" s="2839">
        <v>62.2</v>
      </c>
      <c r="G294" s="839">
        <v>107.1</v>
      </c>
      <c r="H294" s="2839">
        <v>113.1</v>
      </c>
      <c r="I294" s="839">
        <v>124</v>
      </c>
      <c r="J294" s="2839">
        <v>118.2</v>
      </c>
      <c r="K294" s="839">
        <v>145.69999999999999</v>
      </c>
      <c r="L294" s="2839">
        <v>136.9</v>
      </c>
      <c r="M294" s="839">
        <v>188.1</v>
      </c>
      <c r="N294" s="2839">
        <v>114.2</v>
      </c>
      <c r="O294" s="839">
        <v>134.80000000000001</v>
      </c>
      <c r="P294" s="2839">
        <v>182.2</v>
      </c>
      <c r="Q294" s="839">
        <v>193.8</v>
      </c>
      <c r="R294" s="2839">
        <v>164.3</v>
      </c>
      <c r="S294" s="839">
        <v>201.3</v>
      </c>
      <c r="T294" s="3177">
        <v>147.1</v>
      </c>
    </row>
    <row r="295" spans="1:20">
      <c r="A295" s="63">
        <v>2017.1</v>
      </c>
      <c r="B295" s="839">
        <v>142.9</v>
      </c>
      <c r="C295" s="2839">
        <v>134.5</v>
      </c>
      <c r="D295" s="439">
        <v>135.80000000000001</v>
      </c>
      <c r="E295" s="839">
        <v>146.5</v>
      </c>
      <c r="F295" s="2839">
        <v>59.5</v>
      </c>
      <c r="G295" s="839">
        <v>103.7</v>
      </c>
      <c r="H295" s="2839">
        <v>117.9</v>
      </c>
      <c r="I295" s="839">
        <v>122.1</v>
      </c>
      <c r="J295" s="2839">
        <v>111</v>
      </c>
      <c r="K295" s="839">
        <v>155.5</v>
      </c>
      <c r="L295" s="2839">
        <v>138</v>
      </c>
      <c r="M295" s="839">
        <v>197.9</v>
      </c>
      <c r="N295" s="2839">
        <v>95</v>
      </c>
      <c r="O295" s="839">
        <v>137.9</v>
      </c>
      <c r="P295" s="2839">
        <v>209.4</v>
      </c>
      <c r="Q295" s="839">
        <v>201.9</v>
      </c>
      <c r="R295" s="2839">
        <v>162.19999999999999</v>
      </c>
      <c r="S295" s="839">
        <v>207.2</v>
      </c>
      <c r="T295" s="3177">
        <v>160.1</v>
      </c>
    </row>
    <row r="296" spans="1:20">
      <c r="A296" s="63">
        <v>2017.11</v>
      </c>
      <c r="B296" s="839">
        <v>141.5</v>
      </c>
      <c r="C296" s="2839">
        <v>138.1</v>
      </c>
      <c r="D296" s="439">
        <v>135.6</v>
      </c>
      <c r="E296" s="839">
        <v>143.80000000000001</v>
      </c>
      <c r="F296" s="2839">
        <v>58.7</v>
      </c>
      <c r="G296" s="839">
        <v>101.9</v>
      </c>
      <c r="H296" s="2839">
        <v>104.3</v>
      </c>
      <c r="I296" s="839">
        <v>126.4</v>
      </c>
      <c r="J296" s="2839">
        <v>114</v>
      </c>
      <c r="K296" s="839">
        <v>148.9</v>
      </c>
      <c r="L296" s="2839">
        <v>132.5</v>
      </c>
      <c r="M296" s="839">
        <v>200</v>
      </c>
      <c r="N296" s="2839">
        <v>112</v>
      </c>
      <c r="O296" s="839">
        <v>146.6</v>
      </c>
      <c r="P296" s="2839">
        <v>189.3</v>
      </c>
      <c r="Q296" s="839">
        <v>191.3</v>
      </c>
      <c r="R296" s="2839">
        <v>163.30000000000001</v>
      </c>
      <c r="S296" s="839">
        <v>204.2</v>
      </c>
      <c r="T296" s="3177">
        <v>156.69999999999999</v>
      </c>
    </row>
    <row r="297" spans="1:20">
      <c r="A297" s="63">
        <v>2017.12</v>
      </c>
      <c r="B297" s="839">
        <v>126.4</v>
      </c>
      <c r="C297" s="2839">
        <v>136.4</v>
      </c>
      <c r="D297" s="439">
        <v>135.30000000000001</v>
      </c>
      <c r="E297" s="839">
        <v>128.5</v>
      </c>
      <c r="F297" s="2839">
        <v>51.4</v>
      </c>
      <c r="G297" s="839">
        <v>88</v>
      </c>
      <c r="H297" s="2839">
        <v>101.7</v>
      </c>
      <c r="I297" s="839">
        <v>110.7</v>
      </c>
      <c r="J297" s="2839">
        <v>122.4</v>
      </c>
      <c r="K297" s="839">
        <v>138.4</v>
      </c>
      <c r="L297" s="2839">
        <v>113</v>
      </c>
      <c r="M297" s="839">
        <v>177.1</v>
      </c>
      <c r="N297" s="2839">
        <v>110.7</v>
      </c>
      <c r="O297" s="839">
        <v>127.8</v>
      </c>
      <c r="P297" s="2839">
        <v>152.4</v>
      </c>
      <c r="Q297" s="839">
        <v>146.9</v>
      </c>
      <c r="R297" s="2839">
        <v>133.30000000000001</v>
      </c>
      <c r="S297" s="839">
        <v>182.3</v>
      </c>
      <c r="T297" s="3177">
        <v>137</v>
      </c>
    </row>
    <row r="298" spans="1:20">
      <c r="A298" s="63">
        <v>2018.01</v>
      </c>
      <c r="B298" s="839">
        <v>120.5</v>
      </c>
      <c r="C298" s="2839">
        <v>131.5</v>
      </c>
      <c r="D298" s="439">
        <v>134.69999999999999</v>
      </c>
      <c r="E298" s="839">
        <v>132.4</v>
      </c>
      <c r="F298" s="2839">
        <v>109.3</v>
      </c>
      <c r="G298" s="839">
        <v>76.5</v>
      </c>
      <c r="H298" s="2839">
        <v>79.5</v>
      </c>
      <c r="I298" s="839">
        <v>111.4</v>
      </c>
      <c r="J298" s="2839">
        <v>117.2</v>
      </c>
      <c r="K298" s="839">
        <v>142.9</v>
      </c>
      <c r="L298" s="2839">
        <v>114.8</v>
      </c>
      <c r="M298" s="839">
        <v>178</v>
      </c>
      <c r="N298" s="2839">
        <v>105.5</v>
      </c>
      <c r="O298" s="839">
        <v>117.9</v>
      </c>
      <c r="P298" s="2839">
        <v>120.4</v>
      </c>
      <c r="Q298" s="839">
        <v>117.8</v>
      </c>
      <c r="R298" s="2839">
        <v>86</v>
      </c>
      <c r="S298" s="839">
        <v>193.1</v>
      </c>
      <c r="T298" s="3177">
        <v>116.2</v>
      </c>
    </row>
    <row r="299" spans="1:20">
      <c r="A299" s="63">
        <v>2018.02</v>
      </c>
      <c r="B299" s="839">
        <v>116.5</v>
      </c>
      <c r="C299" s="2839">
        <v>130.6</v>
      </c>
      <c r="D299" s="439">
        <v>133.9</v>
      </c>
      <c r="E299" s="839">
        <v>121.9</v>
      </c>
      <c r="F299" s="2839">
        <v>112.7</v>
      </c>
      <c r="G299" s="839">
        <v>72.900000000000006</v>
      </c>
      <c r="H299" s="2839">
        <v>83.3</v>
      </c>
      <c r="I299" s="839">
        <v>105.7</v>
      </c>
      <c r="J299" s="2839">
        <v>107.1</v>
      </c>
      <c r="K299" s="839">
        <v>123</v>
      </c>
      <c r="L299" s="2839">
        <v>105.6</v>
      </c>
      <c r="M299" s="839">
        <v>168.3</v>
      </c>
      <c r="N299" s="2839">
        <v>105.7</v>
      </c>
      <c r="O299" s="839">
        <v>105</v>
      </c>
      <c r="P299" s="2839">
        <v>142.9</v>
      </c>
      <c r="Q299" s="839">
        <v>146.4</v>
      </c>
      <c r="R299" s="2839">
        <v>141.9</v>
      </c>
      <c r="S299" s="839">
        <v>166.5</v>
      </c>
      <c r="T299" s="3177">
        <v>99</v>
      </c>
    </row>
    <row r="300" spans="1:20">
      <c r="A300" s="63">
        <v>2018.03</v>
      </c>
      <c r="B300" s="839">
        <v>137.9</v>
      </c>
      <c r="C300" s="2839">
        <v>133.80000000000001</v>
      </c>
      <c r="D300" s="439">
        <v>132.80000000000001</v>
      </c>
      <c r="E300" s="839">
        <v>142.80000000000001</v>
      </c>
      <c r="F300" s="2839">
        <v>127.5</v>
      </c>
      <c r="G300" s="839">
        <v>101.7</v>
      </c>
      <c r="H300" s="2839">
        <v>109.7</v>
      </c>
      <c r="I300" s="839">
        <v>118.5</v>
      </c>
      <c r="J300" s="2839">
        <v>119.8</v>
      </c>
      <c r="K300" s="839">
        <v>142.30000000000001</v>
      </c>
      <c r="L300" s="2839">
        <v>126.9</v>
      </c>
      <c r="M300" s="839">
        <v>192.5</v>
      </c>
      <c r="N300" s="2839">
        <v>119.3</v>
      </c>
      <c r="O300" s="839">
        <v>127.5</v>
      </c>
      <c r="P300" s="2839">
        <v>162.80000000000001</v>
      </c>
      <c r="Q300" s="839">
        <v>175.1</v>
      </c>
      <c r="R300" s="2839">
        <v>176.3</v>
      </c>
      <c r="S300" s="839">
        <v>201.9</v>
      </c>
      <c r="T300" s="3177">
        <v>140.80000000000001</v>
      </c>
    </row>
    <row r="301" spans="1:20">
      <c r="A301" s="63">
        <v>2018.04</v>
      </c>
      <c r="B301" s="839">
        <v>132.1</v>
      </c>
      <c r="C301" s="2839">
        <v>133</v>
      </c>
      <c r="D301" s="439">
        <v>131.4</v>
      </c>
      <c r="E301" s="839">
        <v>136.4</v>
      </c>
      <c r="F301" s="2839">
        <v>103.1</v>
      </c>
      <c r="G301" s="839">
        <v>109.6</v>
      </c>
      <c r="H301" s="2839">
        <v>110.9</v>
      </c>
      <c r="I301" s="839">
        <v>111.8</v>
      </c>
      <c r="J301" s="2839">
        <v>110.4</v>
      </c>
      <c r="K301" s="839">
        <v>139.19999999999999</v>
      </c>
      <c r="L301" s="2839">
        <v>125</v>
      </c>
      <c r="M301" s="839">
        <v>180.4</v>
      </c>
      <c r="N301" s="2839">
        <v>113.3</v>
      </c>
      <c r="O301" s="839">
        <v>124.5</v>
      </c>
      <c r="P301" s="2839">
        <v>153.9</v>
      </c>
      <c r="Q301" s="839">
        <v>162.1</v>
      </c>
      <c r="R301" s="2839">
        <v>163.6</v>
      </c>
      <c r="S301" s="839">
        <v>186.9</v>
      </c>
      <c r="T301" s="3177">
        <v>134.19999999999999</v>
      </c>
    </row>
    <row r="302" spans="1:20">
      <c r="A302" s="63">
        <v>2018.05</v>
      </c>
      <c r="B302" s="839">
        <v>135.9</v>
      </c>
      <c r="C302" s="2839">
        <v>130.69999999999999</v>
      </c>
      <c r="D302" s="439">
        <v>129.6</v>
      </c>
      <c r="E302" s="839">
        <v>144.4</v>
      </c>
      <c r="F302" s="2839">
        <v>95.9</v>
      </c>
      <c r="G302" s="839">
        <v>118.4</v>
      </c>
      <c r="H302" s="2839">
        <v>112.3</v>
      </c>
      <c r="I302" s="839">
        <v>118</v>
      </c>
      <c r="J302" s="2839">
        <v>108.6</v>
      </c>
      <c r="K302" s="839">
        <v>142.9</v>
      </c>
      <c r="L302" s="2839">
        <v>127.1</v>
      </c>
      <c r="M302" s="839">
        <v>178.4</v>
      </c>
      <c r="N302" s="2839">
        <v>109.5</v>
      </c>
      <c r="O302" s="839">
        <v>130.19999999999999</v>
      </c>
      <c r="P302" s="2839">
        <v>145.30000000000001</v>
      </c>
      <c r="Q302" s="839">
        <v>168.4</v>
      </c>
      <c r="R302" s="2839">
        <v>170.5</v>
      </c>
      <c r="S302" s="839">
        <v>191.5</v>
      </c>
      <c r="T302" s="3177">
        <v>145.19999999999999</v>
      </c>
    </row>
    <row r="303" spans="1:20">
      <c r="A303" s="63">
        <v>2018.06</v>
      </c>
      <c r="B303" s="839">
        <v>123.7</v>
      </c>
      <c r="C303" s="2839">
        <v>124.8</v>
      </c>
      <c r="D303" s="439">
        <v>127.6</v>
      </c>
      <c r="E303" s="839">
        <v>132.19999999999999</v>
      </c>
      <c r="F303" s="2839">
        <v>64.7</v>
      </c>
      <c r="G303" s="839">
        <v>121</v>
      </c>
      <c r="H303" s="2839">
        <v>93.5</v>
      </c>
      <c r="I303" s="839">
        <v>110.8</v>
      </c>
      <c r="J303" s="2839">
        <v>99.3</v>
      </c>
      <c r="K303" s="839">
        <v>133.5</v>
      </c>
      <c r="L303" s="2839">
        <v>110.8</v>
      </c>
      <c r="M303" s="839">
        <v>173.6</v>
      </c>
      <c r="N303" s="2839">
        <v>105</v>
      </c>
      <c r="O303" s="839">
        <v>122.1</v>
      </c>
      <c r="P303" s="2839">
        <v>135.80000000000001</v>
      </c>
      <c r="Q303" s="839">
        <v>130.30000000000001</v>
      </c>
      <c r="R303" s="2839">
        <v>149.6</v>
      </c>
      <c r="S303" s="839">
        <v>132.69999999999999</v>
      </c>
      <c r="T303" s="3177">
        <v>123.7</v>
      </c>
    </row>
    <row r="304" spans="1:20">
      <c r="A304" s="63">
        <v>2018.07</v>
      </c>
      <c r="B304" s="839">
        <v>126.8</v>
      </c>
      <c r="C304" s="2839">
        <v>123.3</v>
      </c>
      <c r="D304" s="439">
        <v>125.4</v>
      </c>
      <c r="E304" s="839">
        <v>143</v>
      </c>
      <c r="F304" s="2839">
        <v>60.2</v>
      </c>
      <c r="G304" s="839">
        <v>115.3</v>
      </c>
      <c r="H304" s="2839">
        <v>93.1</v>
      </c>
      <c r="I304" s="839">
        <v>114.4</v>
      </c>
      <c r="J304" s="2839">
        <v>102.4</v>
      </c>
      <c r="K304" s="839">
        <v>127.8</v>
      </c>
      <c r="L304" s="2839">
        <v>113.2</v>
      </c>
      <c r="M304" s="839">
        <v>177.2</v>
      </c>
      <c r="N304" s="2839">
        <v>112.1</v>
      </c>
      <c r="O304" s="839">
        <v>124.5</v>
      </c>
      <c r="P304" s="2839">
        <v>128.30000000000001</v>
      </c>
      <c r="Q304" s="839">
        <v>130.30000000000001</v>
      </c>
      <c r="R304" s="2839">
        <v>152.4</v>
      </c>
      <c r="S304" s="839">
        <v>112.1</v>
      </c>
      <c r="T304" s="3177">
        <v>128.9</v>
      </c>
    </row>
    <row r="305" spans="1:20">
      <c r="A305" s="63">
        <v>2018.08</v>
      </c>
      <c r="B305" s="839">
        <v>134.19999999999999</v>
      </c>
      <c r="C305" s="2839">
        <v>124.1</v>
      </c>
      <c r="D305" s="439">
        <v>123.1</v>
      </c>
      <c r="E305" s="839">
        <v>150.19999999999999</v>
      </c>
      <c r="F305" s="2839">
        <v>64.599999999999994</v>
      </c>
      <c r="G305" s="839">
        <v>102.7</v>
      </c>
      <c r="H305" s="2839">
        <v>102.6</v>
      </c>
      <c r="I305" s="839">
        <v>118</v>
      </c>
      <c r="J305" s="2839">
        <v>111.6</v>
      </c>
      <c r="K305" s="839">
        <v>130.19999999999999</v>
      </c>
      <c r="L305" s="2839">
        <v>118.3</v>
      </c>
      <c r="M305" s="839">
        <v>188.6</v>
      </c>
      <c r="N305" s="2839">
        <v>119.1</v>
      </c>
      <c r="O305" s="839">
        <v>129.69999999999999</v>
      </c>
      <c r="P305" s="2839">
        <v>148.9</v>
      </c>
      <c r="Q305" s="839">
        <v>141.6</v>
      </c>
      <c r="R305" s="2839">
        <v>181.6</v>
      </c>
      <c r="S305" s="839">
        <v>124.3</v>
      </c>
      <c r="T305" s="3177">
        <v>136.1</v>
      </c>
    </row>
    <row r="306" spans="1:20">
      <c r="A306" s="63">
        <v>2018.09</v>
      </c>
      <c r="B306" s="839">
        <v>122.8</v>
      </c>
      <c r="C306" s="2839">
        <v>122.2</v>
      </c>
      <c r="D306" s="439">
        <v>121.1</v>
      </c>
      <c r="E306" s="839">
        <v>134.9</v>
      </c>
      <c r="F306" s="2839">
        <v>52.5</v>
      </c>
      <c r="G306" s="839">
        <v>80.599999999999994</v>
      </c>
      <c r="H306" s="2839">
        <v>106.5</v>
      </c>
      <c r="I306" s="839">
        <v>105.5</v>
      </c>
      <c r="J306" s="2839">
        <v>103.8</v>
      </c>
      <c r="K306" s="839">
        <v>138.9</v>
      </c>
      <c r="L306" s="2839">
        <v>110</v>
      </c>
      <c r="M306" s="839">
        <v>182.5</v>
      </c>
      <c r="N306" s="2839">
        <v>108.2</v>
      </c>
      <c r="O306" s="839">
        <v>120.5</v>
      </c>
      <c r="P306" s="2839">
        <v>127.7</v>
      </c>
      <c r="Q306" s="839">
        <v>110.2</v>
      </c>
      <c r="R306" s="2839">
        <v>140.19999999999999</v>
      </c>
      <c r="S306" s="839">
        <v>115.9</v>
      </c>
      <c r="T306" s="3177">
        <v>111.6</v>
      </c>
    </row>
    <row r="307" spans="1:20">
      <c r="A307" s="63">
        <v>2018.1</v>
      </c>
      <c r="B307" s="839">
        <v>131</v>
      </c>
      <c r="C307" s="2839">
        <v>120.3</v>
      </c>
      <c r="D307" s="439">
        <v>119.4</v>
      </c>
      <c r="E307" s="839">
        <v>148.69999999999999</v>
      </c>
      <c r="F307" s="2839">
        <v>59.1</v>
      </c>
      <c r="G307" s="839">
        <v>81.599999999999994</v>
      </c>
      <c r="H307" s="2839">
        <v>108</v>
      </c>
      <c r="I307" s="839">
        <v>116.5</v>
      </c>
      <c r="J307" s="2839">
        <v>109.6</v>
      </c>
      <c r="K307" s="839">
        <v>143.1</v>
      </c>
      <c r="L307" s="2839">
        <v>115.3</v>
      </c>
      <c r="M307" s="839">
        <v>189.1</v>
      </c>
      <c r="N307" s="2839">
        <v>108.5</v>
      </c>
      <c r="O307" s="839">
        <v>127.7</v>
      </c>
      <c r="P307" s="2839">
        <v>131.30000000000001</v>
      </c>
      <c r="Q307" s="839">
        <v>131.1</v>
      </c>
      <c r="R307" s="2839">
        <v>160.30000000000001</v>
      </c>
      <c r="S307" s="839">
        <v>133.30000000000001</v>
      </c>
      <c r="T307" s="3177">
        <v>115.4</v>
      </c>
    </row>
    <row r="308" spans="1:20">
      <c r="A308" s="63">
        <v>2018.11</v>
      </c>
      <c r="B308" s="839">
        <v>121.7</v>
      </c>
      <c r="C308" s="2839">
        <v>117.6</v>
      </c>
      <c r="D308" s="439">
        <v>118.2</v>
      </c>
      <c r="E308" s="839">
        <v>134.4</v>
      </c>
      <c r="F308" s="2839">
        <v>60</v>
      </c>
      <c r="G308" s="839">
        <v>70.2</v>
      </c>
      <c r="H308" s="2839">
        <v>89.3</v>
      </c>
      <c r="I308" s="839">
        <v>110.6</v>
      </c>
      <c r="J308" s="2839">
        <v>105.3</v>
      </c>
      <c r="K308" s="839">
        <v>140.30000000000001</v>
      </c>
      <c r="L308" s="2839">
        <v>109.9</v>
      </c>
      <c r="M308" s="839">
        <v>178.8</v>
      </c>
      <c r="N308" s="2839">
        <v>101.8</v>
      </c>
      <c r="O308" s="839">
        <v>125.4</v>
      </c>
      <c r="P308" s="2839">
        <v>115.5</v>
      </c>
      <c r="Q308" s="839">
        <v>121.2</v>
      </c>
      <c r="R308" s="2839">
        <v>150</v>
      </c>
      <c r="S308" s="839">
        <v>114.5</v>
      </c>
      <c r="T308" s="3177">
        <v>110.6</v>
      </c>
    </row>
    <row r="309" spans="1:20">
      <c r="A309" s="63">
        <v>2018.12</v>
      </c>
      <c r="B309" s="839">
        <v>107.7</v>
      </c>
      <c r="C309" s="2839">
        <v>116.7</v>
      </c>
      <c r="D309" s="439">
        <v>117.7</v>
      </c>
      <c r="E309" s="839">
        <v>125.3</v>
      </c>
      <c r="F309" s="2839">
        <v>46.1</v>
      </c>
      <c r="G309" s="839">
        <v>55.7</v>
      </c>
      <c r="H309" s="2839">
        <v>90.1</v>
      </c>
      <c r="I309" s="839">
        <v>93.7</v>
      </c>
      <c r="J309" s="2839">
        <v>113.2</v>
      </c>
      <c r="K309" s="839">
        <v>123</v>
      </c>
      <c r="L309" s="2839">
        <v>92.9</v>
      </c>
      <c r="M309" s="839">
        <v>149.30000000000001</v>
      </c>
      <c r="N309" s="2839">
        <v>87.1</v>
      </c>
      <c r="O309" s="839">
        <v>110.4</v>
      </c>
      <c r="P309" s="2839">
        <v>109</v>
      </c>
      <c r="Q309" s="839">
        <v>100</v>
      </c>
      <c r="R309" s="2839">
        <v>99</v>
      </c>
      <c r="S309" s="839">
        <v>81.3</v>
      </c>
      <c r="T309" s="3177">
        <v>94.1</v>
      </c>
    </row>
    <row r="310" spans="1:20">
      <c r="A310" s="63">
        <v>2019.01</v>
      </c>
      <c r="B310" s="839">
        <v>107</v>
      </c>
      <c r="C310" s="2839">
        <v>118.1</v>
      </c>
      <c r="D310" s="439">
        <v>117.8</v>
      </c>
      <c r="E310" s="839">
        <v>129.1</v>
      </c>
      <c r="F310" s="2839">
        <v>115.7</v>
      </c>
      <c r="G310" s="839">
        <v>53.5</v>
      </c>
      <c r="H310" s="2839">
        <v>72</v>
      </c>
      <c r="I310" s="839">
        <v>103.9</v>
      </c>
      <c r="J310" s="2839">
        <v>111.5</v>
      </c>
      <c r="K310" s="839">
        <v>132.1</v>
      </c>
      <c r="L310" s="2839">
        <v>98.9</v>
      </c>
      <c r="M310" s="839">
        <v>144.80000000000001</v>
      </c>
      <c r="N310" s="2839">
        <v>89.4</v>
      </c>
      <c r="O310" s="839">
        <v>112.4</v>
      </c>
      <c r="P310" s="2839">
        <v>66.3</v>
      </c>
      <c r="Q310" s="839">
        <v>87.4</v>
      </c>
      <c r="R310" s="2839">
        <v>69.900000000000006</v>
      </c>
      <c r="S310" s="839">
        <v>79</v>
      </c>
      <c r="T310" s="3177">
        <v>99</v>
      </c>
    </row>
    <row r="311" spans="1:20">
      <c r="A311" s="63">
        <v>2019.02</v>
      </c>
      <c r="B311" s="839">
        <v>106.7</v>
      </c>
      <c r="C311" s="2839">
        <v>120</v>
      </c>
      <c r="D311" s="439">
        <v>118.3</v>
      </c>
      <c r="E311" s="839">
        <v>121.4</v>
      </c>
      <c r="F311" s="2839">
        <v>124.5</v>
      </c>
      <c r="G311" s="839">
        <v>66.2</v>
      </c>
      <c r="H311" s="2839">
        <v>79.8</v>
      </c>
      <c r="I311" s="839">
        <v>101.8</v>
      </c>
      <c r="J311" s="2839">
        <v>97.9</v>
      </c>
      <c r="K311" s="839">
        <v>120.8</v>
      </c>
      <c r="L311" s="2839">
        <v>99.6</v>
      </c>
      <c r="M311" s="839">
        <v>160.5</v>
      </c>
      <c r="N311" s="2839">
        <v>69.7</v>
      </c>
      <c r="O311" s="839">
        <v>102.7</v>
      </c>
      <c r="P311" s="2839">
        <v>98.8</v>
      </c>
      <c r="Q311" s="839">
        <v>106.6</v>
      </c>
      <c r="R311" s="2839">
        <v>126.3</v>
      </c>
      <c r="S311" s="839">
        <v>96.4</v>
      </c>
      <c r="T311" s="3177">
        <v>99.5</v>
      </c>
    </row>
    <row r="312" spans="1:20">
      <c r="A312" s="63">
        <v>2019.03</v>
      </c>
      <c r="B312" s="839">
        <v>118.4</v>
      </c>
      <c r="C312" s="2839">
        <v>118</v>
      </c>
      <c r="D312" s="439">
        <v>119</v>
      </c>
      <c r="E312" s="839">
        <v>130.6</v>
      </c>
      <c r="F312" s="2839">
        <v>121.7</v>
      </c>
      <c r="G312" s="839">
        <v>81.900000000000006</v>
      </c>
      <c r="H312" s="2839">
        <v>92.9</v>
      </c>
      <c r="I312" s="839">
        <v>108.6</v>
      </c>
      <c r="J312" s="2839">
        <v>112.2</v>
      </c>
      <c r="K312" s="839">
        <v>133.1</v>
      </c>
      <c r="L312" s="2839">
        <v>105.8</v>
      </c>
      <c r="M312" s="839">
        <v>170.6</v>
      </c>
      <c r="N312" s="2839">
        <v>101</v>
      </c>
      <c r="O312" s="839">
        <v>115.4</v>
      </c>
      <c r="P312" s="2839">
        <v>119.6</v>
      </c>
      <c r="Q312" s="839">
        <v>118.8</v>
      </c>
      <c r="R312" s="2839">
        <v>122.8</v>
      </c>
      <c r="S312" s="839">
        <v>93.4</v>
      </c>
      <c r="T312" s="3177">
        <v>101</v>
      </c>
    </row>
    <row r="313" spans="1:20">
      <c r="A313" s="63">
        <v>2019.04</v>
      </c>
      <c r="B313" s="839">
        <v>120.4</v>
      </c>
      <c r="C313" s="2839">
        <v>118.7</v>
      </c>
      <c r="D313" s="439">
        <v>119.5</v>
      </c>
      <c r="E313" s="839">
        <v>134.4</v>
      </c>
      <c r="F313" s="2839">
        <v>85</v>
      </c>
      <c r="G313" s="839">
        <v>90.1</v>
      </c>
      <c r="H313" s="2839">
        <v>91.5</v>
      </c>
      <c r="I313" s="839">
        <v>108.6</v>
      </c>
      <c r="J313" s="2839">
        <v>101.3</v>
      </c>
      <c r="K313" s="839">
        <v>137</v>
      </c>
      <c r="L313" s="2839">
        <v>108.4</v>
      </c>
      <c r="M313" s="839">
        <v>167.2</v>
      </c>
      <c r="N313" s="2839">
        <v>108</v>
      </c>
      <c r="O313" s="839">
        <v>116.3</v>
      </c>
      <c r="P313" s="2839">
        <v>118.1</v>
      </c>
      <c r="Q313" s="839">
        <v>122.5</v>
      </c>
      <c r="R313" s="2839">
        <v>126.6</v>
      </c>
      <c r="S313" s="839">
        <v>96.4</v>
      </c>
      <c r="T313" s="3177">
        <v>105.6</v>
      </c>
    </row>
    <row r="314" spans="1:20">
      <c r="A314" s="63">
        <v>2019.05</v>
      </c>
      <c r="B314" s="839">
        <v>126.5</v>
      </c>
      <c r="C314" s="2839">
        <v>120.9</v>
      </c>
      <c r="D314" s="439">
        <v>119.8</v>
      </c>
      <c r="E314" s="839">
        <v>142.69999999999999</v>
      </c>
      <c r="F314" s="2839">
        <v>82.3</v>
      </c>
      <c r="G314" s="839">
        <v>95.2</v>
      </c>
      <c r="H314" s="2839">
        <v>98.3</v>
      </c>
      <c r="I314" s="839">
        <v>113.6</v>
      </c>
      <c r="J314" s="2839">
        <v>111.7</v>
      </c>
      <c r="K314" s="839">
        <v>139.4</v>
      </c>
      <c r="L314" s="2839">
        <v>110.9</v>
      </c>
      <c r="M314" s="839">
        <v>170.2</v>
      </c>
      <c r="N314" s="2839">
        <v>113.1</v>
      </c>
      <c r="O314" s="839">
        <v>123.4</v>
      </c>
      <c r="P314" s="2839">
        <v>122.8</v>
      </c>
      <c r="Q314" s="839">
        <v>136.30000000000001</v>
      </c>
      <c r="R314" s="2839">
        <v>132.30000000000001</v>
      </c>
      <c r="S314" s="839">
        <v>104.6</v>
      </c>
      <c r="T314" s="3177">
        <v>112.8</v>
      </c>
    </row>
    <row r="315" spans="1:20">
      <c r="A315" s="63">
        <v>2019.06</v>
      </c>
      <c r="B315" s="839">
        <v>114.9</v>
      </c>
      <c r="C315" s="2839">
        <v>119</v>
      </c>
      <c r="D315" s="439">
        <v>119.7</v>
      </c>
      <c r="E315" s="839">
        <v>133.6</v>
      </c>
      <c r="F315" s="2839">
        <v>64.400000000000006</v>
      </c>
      <c r="G315" s="839">
        <v>98.9</v>
      </c>
      <c r="H315" s="2839">
        <v>80.5</v>
      </c>
      <c r="I315" s="839">
        <v>106.7</v>
      </c>
      <c r="J315" s="2839">
        <v>102.1</v>
      </c>
      <c r="K315" s="839">
        <v>119.4</v>
      </c>
      <c r="L315" s="2839">
        <v>103.6</v>
      </c>
      <c r="M315" s="839">
        <v>159.6</v>
      </c>
      <c r="N315" s="2839">
        <v>100</v>
      </c>
      <c r="O315" s="839">
        <v>107.4</v>
      </c>
      <c r="P315" s="2839">
        <v>122.7</v>
      </c>
      <c r="Q315" s="839">
        <v>120</v>
      </c>
      <c r="R315" s="2839">
        <v>106.7</v>
      </c>
      <c r="S315" s="839">
        <v>89.2</v>
      </c>
      <c r="T315" s="3177">
        <v>105.7</v>
      </c>
    </row>
    <row r="316" spans="1:20">
      <c r="A316" s="63">
        <v>2019.07</v>
      </c>
      <c r="B316" s="839">
        <v>124.6</v>
      </c>
      <c r="C316" s="2839">
        <v>118.4</v>
      </c>
      <c r="D316" s="439">
        <v>119.2</v>
      </c>
      <c r="E316" s="839">
        <v>149.4</v>
      </c>
      <c r="F316" s="2839">
        <v>61.2</v>
      </c>
      <c r="G316" s="839">
        <v>117.4</v>
      </c>
      <c r="H316" s="2839">
        <v>86</v>
      </c>
      <c r="I316" s="839">
        <v>111.6</v>
      </c>
      <c r="J316" s="2839">
        <v>107.2</v>
      </c>
      <c r="K316" s="839">
        <v>121.6</v>
      </c>
      <c r="L316" s="2839">
        <v>111.9</v>
      </c>
      <c r="M316" s="839">
        <v>169.2</v>
      </c>
      <c r="N316" s="2839">
        <v>107.1</v>
      </c>
      <c r="O316" s="839">
        <v>114.9</v>
      </c>
      <c r="P316" s="2839">
        <v>129.80000000000001</v>
      </c>
      <c r="Q316" s="839">
        <v>142.4</v>
      </c>
      <c r="R316" s="2839">
        <v>112.4</v>
      </c>
      <c r="S316" s="839">
        <v>93.3</v>
      </c>
      <c r="T316" s="3177">
        <v>128.80000000000001</v>
      </c>
    </row>
    <row r="317" spans="1:20">
      <c r="A317" s="63">
        <v>2019.08</v>
      </c>
      <c r="B317" s="839">
        <v>125.7</v>
      </c>
      <c r="C317" s="2839">
        <v>118.3</v>
      </c>
      <c r="D317" s="439">
        <v>118.5</v>
      </c>
      <c r="E317" s="839">
        <v>151.1</v>
      </c>
      <c r="F317" s="2839">
        <v>56.5</v>
      </c>
      <c r="G317" s="839">
        <v>104.3</v>
      </c>
      <c r="H317" s="2839">
        <v>90.6</v>
      </c>
      <c r="I317" s="839">
        <v>111</v>
      </c>
      <c r="J317" s="2839">
        <v>110.1</v>
      </c>
      <c r="K317" s="839">
        <v>124.3</v>
      </c>
      <c r="L317" s="2839">
        <v>108.6</v>
      </c>
      <c r="M317" s="839">
        <v>184.1</v>
      </c>
      <c r="N317" s="2839">
        <v>108.1</v>
      </c>
      <c r="O317" s="839">
        <v>114.3</v>
      </c>
      <c r="P317" s="2839">
        <v>127.6</v>
      </c>
      <c r="Q317" s="839">
        <v>137.9</v>
      </c>
      <c r="R317" s="2839">
        <v>131.30000000000001</v>
      </c>
      <c r="S317" s="839">
        <v>98.7</v>
      </c>
      <c r="T317" s="3177">
        <v>114.3</v>
      </c>
    </row>
    <row r="318" spans="1:20">
      <c r="A318" s="63">
        <v>2019.09</v>
      </c>
      <c r="B318" s="839">
        <v>116.7</v>
      </c>
      <c r="C318" s="2839">
        <v>114.7</v>
      </c>
      <c r="D318" s="439">
        <v>117.4</v>
      </c>
      <c r="E318" s="839">
        <v>136.30000000000001</v>
      </c>
      <c r="F318" s="2839">
        <v>58.2</v>
      </c>
      <c r="G318" s="839">
        <v>99.4</v>
      </c>
      <c r="H318" s="2839">
        <v>87.8</v>
      </c>
      <c r="I318" s="839">
        <v>109.8</v>
      </c>
      <c r="J318" s="2839">
        <v>101.5</v>
      </c>
      <c r="K318" s="839">
        <v>121.8</v>
      </c>
      <c r="L318" s="2839">
        <v>105.8</v>
      </c>
      <c r="M318" s="839">
        <v>175</v>
      </c>
      <c r="N318" s="2839">
        <v>98.9</v>
      </c>
      <c r="O318" s="839">
        <v>109.1</v>
      </c>
      <c r="P318" s="2839">
        <v>116.4</v>
      </c>
      <c r="Q318" s="839">
        <v>113.3</v>
      </c>
      <c r="R318" s="2839">
        <v>117.7</v>
      </c>
      <c r="S318" s="839">
        <v>92.9</v>
      </c>
      <c r="T318" s="3177">
        <v>95.9</v>
      </c>
    </row>
    <row r="319" spans="1:20">
      <c r="A319" s="63">
        <v>2019.1</v>
      </c>
      <c r="B319" s="839">
        <v>128.6</v>
      </c>
      <c r="C319" s="2839">
        <v>118.8</v>
      </c>
      <c r="D319" s="439">
        <v>116.1</v>
      </c>
      <c r="E319" s="839">
        <v>149.4</v>
      </c>
      <c r="F319" s="2839">
        <v>62.6</v>
      </c>
      <c r="G319" s="839">
        <v>94.3</v>
      </c>
      <c r="H319" s="2839">
        <v>98.8</v>
      </c>
      <c r="I319" s="839">
        <v>116.4</v>
      </c>
      <c r="J319" s="2839">
        <v>114</v>
      </c>
      <c r="K319" s="839">
        <v>141.30000000000001</v>
      </c>
      <c r="L319" s="2839">
        <v>115.3</v>
      </c>
      <c r="M319" s="839">
        <v>175.9</v>
      </c>
      <c r="N319" s="2839">
        <v>111.9</v>
      </c>
      <c r="O319" s="839">
        <v>116.8</v>
      </c>
      <c r="P319" s="2839">
        <v>133.1</v>
      </c>
      <c r="Q319" s="839">
        <v>123.1</v>
      </c>
      <c r="R319" s="2839">
        <v>134.1</v>
      </c>
      <c r="S319" s="839">
        <v>98.2</v>
      </c>
      <c r="T319" s="3177">
        <v>111.6</v>
      </c>
    </row>
    <row r="320" spans="1:20">
      <c r="A320" s="63">
        <v>2019.11</v>
      </c>
      <c r="B320" s="839">
        <v>116.5</v>
      </c>
      <c r="C320" s="2839">
        <v>114.8</v>
      </c>
      <c r="D320" s="439">
        <v>114.5</v>
      </c>
      <c r="E320" s="839">
        <v>132.19999999999999</v>
      </c>
      <c r="F320" s="2839">
        <v>56.1</v>
      </c>
      <c r="G320" s="839">
        <v>77.8</v>
      </c>
      <c r="H320" s="2839">
        <v>83.4</v>
      </c>
      <c r="I320" s="839">
        <v>108.7</v>
      </c>
      <c r="J320" s="2839">
        <v>109.1</v>
      </c>
      <c r="K320" s="839">
        <v>135.30000000000001</v>
      </c>
      <c r="L320" s="2839">
        <v>112.5</v>
      </c>
      <c r="M320" s="839">
        <v>168.3</v>
      </c>
      <c r="N320" s="2839">
        <v>96</v>
      </c>
      <c r="O320" s="839">
        <v>106.7</v>
      </c>
      <c r="P320" s="2839">
        <v>112.8</v>
      </c>
      <c r="Q320" s="839">
        <v>107.5</v>
      </c>
      <c r="R320" s="2839">
        <v>114.1</v>
      </c>
      <c r="S320" s="839">
        <v>87.3</v>
      </c>
      <c r="T320" s="3177">
        <v>109.9</v>
      </c>
    </row>
    <row r="321" spans="1:20">
      <c r="A321" s="63">
        <v>2019.12</v>
      </c>
      <c r="B321" s="839">
        <v>109.2</v>
      </c>
      <c r="C321" s="2839">
        <v>115.8</v>
      </c>
      <c r="D321" s="439">
        <v>112.5</v>
      </c>
      <c r="E321" s="839">
        <v>134.6</v>
      </c>
      <c r="F321" s="2839">
        <v>44.4</v>
      </c>
      <c r="G321" s="839">
        <v>61.3</v>
      </c>
      <c r="H321" s="2839">
        <v>84.2</v>
      </c>
      <c r="I321" s="839">
        <v>101.5</v>
      </c>
      <c r="J321" s="2839">
        <v>115.4</v>
      </c>
      <c r="K321" s="839">
        <v>121.4</v>
      </c>
      <c r="L321" s="2839">
        <v>94.9</v>
      </c>
      <c r="M321" s="839">
        <v>144</v>
      </c>
      <c r="N321" s="2839">
        <v>88</v>
      </c>
      <c r="O321" s="839">
        <v>92.8</v>
      </c>
      <c r="P321" s="2839">
        <v>118.9</v>
      </c>
      <c r="Q321" s="839">
        <v>96</v>
      </c>
      <c r="R321" s="2839">
        <v>82.8</v>
      </c>
      <c r="S321" s="839">
        <v>78.099999999999994</v>
      </c>
      <c r="T321" s="3177">
        <v>97</v>
      </c>
    </row>
    <row r="322" spans="1:20">
      <c r="A322" s="63">
        <v>2020.01</v>
      </c>
      <c r="B322" s="839">
        <v>107</v>
      </c>
      <c r="C322" s="2839">
        <v>117</v>
      </c>
      <c r="D322" s="439">
        <v>110.2</v>
      </c>
      <c r="E322" s="839">
        <v>135.1</v>
      </c>
      <c r="F322" s="2839">
        <v>107.5</v>
      </c>
      <c r="G322" s="839">
        <v>53.7</v>
      </c>
      <c r="H322" s="2839">
        <v>63.6</v>
      </c>
      <c r="I322" s="839">
        <v>100.3</v>
      </c>
      <c r="J322" s="2839">
        <v>116.1</v>
      </c>
      <c r="K322" s="839">
        <v>133.19999999999999</v>
      </c>
      <c r="L322" s="2839">
        <v>98.1</v>
      </c>
      <c r="M322" s="839">
        <v>133.4</v>
      </c>
      <c r="N322" s="2839">
        <v>85.9</v>
      </c>
      <c r="O322" s="839">
        <v>89.9</v>
      </c>
      <c r="P322" s="2839">
        <v>86.5</v>
      </c>
      <c r="Q322" s="839">
        <v>88.8</v>
      </c>
      <c r="R322" s="2839">
        <v>76.2</v>
      </c>
      <c r="S322" s="839">
        <v>75.599999999999994</v>
      </c>
      <c r="T322" s="3177">
        <v>93.4</v>
      </c>
    </row>
    <row r="323" spans="1:20">
      <c r="A323" s="63">
        <v>2020.02</v>
      </c>
      <c r="B323" s="839">
        <v>106</v>
      </c>
      <c r="C323" s="2839">
        <v>118.5</v>
      </c>
      <c r="D323" s="439">
        <v>107.9</v>
      </c>
      <c r="E323" s="839">
        <v>128.6</v>
      </c>
      <c r="F323" s="2839">
        <v>108.9</v>
      </c>
      <c r="G323" s="839">
        <v>61.2</v>
      </c>
      <c r="H323" s="2839">
        <v>70.7</v>
      </c>
      <c r="I323" s="839">
        <v>102</v>
      </c>
      <c r="J323" s="2839">
        <v>105.5</v>
      </c>
      <c r="K323" s="839">
        <v>123.9</v>
      </c>
      <c r="L323" s="2839">
        <v>94.6</v>
      </c>
      <c r="M323" s="839">
        <v>138.4</v>
      </c>
      <c r="N323" s="2839">
        <v>77.400000000000006</v>
      </c>
      <c r="O323" s="839">
        <v>89.4</v>
      </c>
      <c r="P323" s="2839">
        <v>108.7</v>
      </c>
      <c r="Q323" s="839">
        <v>96.5</v>
      </c>
      <c r="R323" s="2839">
        <v>108.5</v>
      </c>
      <c r="S323" s="839">
        <v>76.8</v>
      </c>
      <c r="T323" s="3177">
        <v>84.6</v>
      </c>
    </row>
    <row r="324" spans="1:20">
      <c r="A324" s="63">
        <v>2020.03</v>
      </c>
      <c r="B324" s="839">
        <v>98.9</v>
      </c>
      <c r="C324" s="2839">
        <v>95.6</v>
      </c>
      <c r="D324" s="439">
        <v>106</v>
      </c>
      <c r="E324" s="839">
        <v>128.69999999999999</v>
      </c>
      <c r="F324" s="2839">
        <v>92.4</v>
      </c>
      <c r="G324" s="839">
        <v>56.5</v>
      </c>
      <c r="H324" s="2839">
        <v>55</v>
      </c>
      <c r="I324" s="839">
        <v>99.4</v>
      </c>
      <c r="J324" s="2839">
        <v>101.2</v>
      </c>
      <c r="K324" s="839">
        <v>129.6</v>
      </c>
      <c r="L324" s="2839">
        <v>84.8</v>
      </c>
      <c r="M324" s="839">
        <v>101.3</v>
      </c>
      <c r="N324" s="2839">
        <v>72.2</v>
      </c>
      <c r="O324" s="839">
        <v>76.3</v>
      </c>
      <c r="P324" s="2839">
        <v>91.8</v>
      </c>
      <c r="Q324" s="839">
        <v>71.599999999999994</v>
      </c>
      <c r="R324" s="2839">
        <v>79.900000000000006</v>
      </c>
      <c r="S324" s="839">
        <v>68</v>
      </c>
      <c r="T324" s="3177">
        <v>74.599999999999994</v>
      </c>
    </row>
    <row r="325" spans="1:20">
      <c r="A325" s="63">
        <v>2020.04</v>
      </c>
      <c r="B325" s="839">
        <v>80.400000000000006</v>
      </c>
      <c r="C325" s="2839">
        <v>78.099999999999994</v>
      </c>
      <c r="D325" s="439">
        <v>104.8</v>
      </c>
      <c r="E325" s="839">
        <v>133.80000000000001</v>
      </c>
      <c r="F325" s="2839">
        <v>35</v>
      </c>
      <c r="G325" s="839">
        <v>39.200000000000003</v>
      </c>
      <c r="H325" s="2839">
        <v>19.899999999999999</v>
      </c>
      <c r="I325" s="839">
        <v>100</v>
      </c>
      <c r="J325" s="2839">
        <v>66.400000000000006</v>
      </c>
      <c r="K325" s="839">
        <v>122</v>
      </c>
      <c r="L325" s="2839">
        <v>66.5</v>
      </c>
      <c r="M325" s="839">
        <v>48.9</v>
      </c>
      <c r="N325" s="2839">
        <v>37.200000000000003</v>
      </c>
      <c r="O325" s="839">
        <v>44.2</v>
      </c>
      <c r="P325" s="2839">
        <v>65.2</v>
      </c>
      <c r="Q325" s="839">
        <v>30.7</v>
      </c>
      <c r="R325" s="2839">
        <v>14.5</v>
      </c>
      <c r="S325" s="839">
        <v>15.9</v>
      </c>
      <c r="T325" s="3177">
        <v>46.3</v>
      </c>
    </row>
    <row r="326" spans="1:20">
      <c r="A326" s="63">
        <v>2020.05</v>
      </c>
      <c r="B326" s="839">
        <v>93.4</v>
      </c>
      <c r="C326" s="2839">
        <v>94.3</v>
      </c>
      <c r="D326" s="439">
        <v>104.8</v>
      </c>
      <c r="E326" s="839">
        <v>135.80000000000001</v>
      </c>
      <c r="F326" s="2839">
        <v>93.5</v>
      </c>
      <c r="G326" s="839">
        <v>58.3</v>
      </c>
      <c r="H326" s="2839">
        <v>31.2</v>
      </c>
      <c r="I326" s="839">
        <v>103.1</v>
      </c>
      <c r="J326" s="2839">
        <v>79.900000000000006</v>
      </c>
      <c r="K326" s="839">
        <v>125.1</v>
      </c>
      <c r="L326" s="2839">
        <v>79.400000000000006</v>
      </c>
      <c r="M326" s="839">
        <v>88.1</v>
      </c>
      <c r="N326" s="2839">
        <v>51.3</v>
      </c>
      <c r="O326" s="839">
        <v>69.099999999999994</v>
      </c>
      <c r="P326" s="2839">
        <v>92.6</v>
      </c>
      <c r="Q326" s="839">
        <v>66.099999999999994</v>
      </c>
      <c r="R326" s="2839">
        <v>34.700000000000003</v>
      </c>
      <c r="S326" s="839">
        <v>26.9</v>
      </c>
      <c r="T326" s="3177">
        <v>86.5</v>
      </c>
    </row>
    <row r="327" spans="1:20">
      <c r="A327" s="63">
        <v>2020.06</v>
      </c>
      <c r="B327" s="839">
        <v>107.7</v>
      </c>
      <c r="C327" s="2839">
        <v>107.5</v>
      </c>
      <c r="D327" s="439">
        <v>105.9</v>
      </c>
      <c r="E327" s="839">
        <v>140.69999999999999</v>
      </c>
      <c r="F327" s="2839">
        <v>124</v>
      </c>
      <c r="G327" s="839">
        <v>85.7</v>
      </c>
      <c r="H327" s="2839">
        <v>50.2</v>
      </c>
      <c r="I327" s="839">
        <v>105.9</v>
      </c>
      <c r="J327" s="2839">
        <v>90.1</v>
      </c>
      <c r="K327" s="839">
        <v>129</v>
      </c>
      <c r="L327" s="2839">
        <v>97.5</v>
      </c>
      <c r="M327" s="839">
        <v>137.30000000000001</v>
      </c>
      <c r="N327" s="2839">
        <v>62</v>
      </c>
      <c r="O327" s="839">
        <v>89.2</v>
      </c>
      <c r="P327" s="2839">
        <v>120</v>
      </c>
      <c r="Q327" s="839">
        <v>101</v>
      </c>
      <c r="R327" s="2839">
        <v>72.900000000000006</v>
      </c>
      <c r="S327" s="839">
        <v>48.4</v>
      </c>
      <c r="T327" s="3177">
        <v>108.9</v>
      </c>
    </row>
    <row r="328" spans="1:20">
      <c r="A328" s="63">
        <v>2020.07</v>
      </c>
      <c r="B328" s="839">
        <v>116.4</v>
      </c>
      <c r="C328" s="2839">
        <v>109.7</v>
      </c>
      <c r="D328" s="439">
        <v>108</v>
      </c>
      <c r="E328" s="839">
        <v>148.5</v>
      </c>
      <c r="F328" s="2839">
        <v>97.2</v>
      </c>
      <c r="G328" s="839">
        <v>90.1</v>
      </c>
      <c r="H328" s="2839">
        <v>57.3</v>
      </c>
      <c r="I328" s="839">
        <v>110.7</v>
      </c>
      <c r="J328" s="2839">
        <v>99</v>
      </c>
      <c r="K328" s="839">
        <v>138.4</v>
      </c>
      <c r="L328" s="2839">
        <v>100.2</v>
      </c>
      <c r="M328" s="839">
        <v>157.4</v>
      </c>
      <c r="N328" s="2839">
        <v>75</v>
      </c>
      <c r="O328" s="839">
        <v>96.8</v>
      </c>
      <c r="P328" s="2839">
        <v>126.3</v>
      </c>
      <c r="Q328" s="839">
        <v>116.1</v>
      </c>
      <c r="R328" s="2839">
        <v>89.4</v>
      </c>
      <c r="S328" s="839">
        <v>52.8</v>
      </c>
      <c r="T328" s="3177">
        <v>121.4</v>
      </c>
    </row>
    <row r="329" spans="1:20">
      <c r="A329" s="63">
        <v>2020.08</v>
      </c>
      <c r="B329" s="839">
        <v>116.6</v>
      </c>
      <c r="C329" s="2839">
        <v>112</v>
      </c>
      <c r="D329" s="439">
        <v>110.8</v>
      </c>
      <c r="E329" s="839">
        <v>144</v>
      </c>
      <c r="F329" s="2839">
        <v>61.1</v>
      </c>
      <c r="G329" s="839">
        <v>84.9</v>
      </c>
      <c r="H329" s="2839">
        <v>61.1</v>
      </c>
      <c r="I329" s="839">
        <v>108.4</v>
      </c>
      <c r="J329" s="2839">
        <v>96.1</v>
      </c>
      <c r="K329" s="839">
        <v>138.19999999999999</v>
      </c>
      <c r="L329" s="2839">
        <v>104.7</v>
      </c>
      <c r="M329" s="839">
        <v>171.1</v>
      </c>
      <c r="N329" s="2839">
        <v>80.599999999999994</v>
      </c>
      <c r="O329" s="839">
        <v>101.3</v>
      </c>
      <c r="P329" s="2839">
        <v>134.1</v>
      </c>
      <c r="Q329" s="839">
        <v>97.7</v>
      </c>
      <c r="R329" s="2839">
        <v>108.9</v>
      </c>
      <c r="S329" s="839">
        <v>57</v>
      </c>
      <c r="T329" s="3177">
        <v>117</v>
      </c>
    </row>
    <row r="330" spans="1:20">
      <c r="A330" s="63">
        <v>2020.09</v>
      </c>
      <c r="B330" s="839">
        <v>121</v>
      </c>
      <c r="C330" s="2839">
        <v>114.9</v>
      </c>
      <c r="D330" s="439">
        <v>113.9</v>
      </c>
      <c r="E330" s="839">
        <v>145.30000000000001</v>
      </c>
      <c r="F330" s="2839">
        <v>62.7</v>
      </c>
      <c r="G330" s="839">
        <v>80.599999999999994</v>
      </c>
      <c r="H330" s="2839">
        <v>66.7</v>
      </c>
      <c r="I330" s="839">
        <v>117.9</v>
      </c>
      <c r="J330" s="2839">
        <v>81.7</v>
      </c>
      <c r="K330" s="839">
        <v>141.69999999999999</v>
      </c>
      <c r="L330" s="2839">
        <v>112.4</v>
      </c>
      <c r="M330" s="839">
        <v>184.1</v>
      </c>
      <c r="N330" s="2839">
        <v>82.8</v>
      </c>
      <c r="O330" s="839">
        <v>103.8</v>
      </c>
      <c r="P330" s="2839">
        <v>142.4</v>
      </c>
      <c r="Q330" s="839">
        <v>125.4</v>
      </c>
      <c r="R330" s="2839">
        <v>128.9</v>
      </c>
      <c r="S330" s="839">
        <v>64.900000000000006</v>
      </c>
      <c r="T330" s="3177">
        <v>111.1</v>
      </c>
    </row>
    <row r="331" spans="1:20">
      <c r="A331" s="63">
        <v>2020.1</v>
      </c>
      <c r="B331" s="839">
        <v>124.9</v>
      </c>
      <c r="C331" s="2839">
        <v>117.4</v>
      </c>
      <c r="D331" s="439">
        <v>116.8</v>
      </c>
      <c r="E331" s="839">
        <v>146.1</v>
      </c>
      <c r="F331" s="2839">
        <v>54.2</v>
      </c>
      <c r="G331" s="839">
        <v>82.7</v>
      </c>
      <c r="H331" s="2839">
        <v>75.2</v>
      </c>
      <c r="I331" s="839">
        <v>116.4</v>
      </c>
      <c r="J331" s="2839">
        <v>89.3</v>
      </c>
      <c r="K331" s="839">
        <v>140.30000000000001</v>
      </c>
      <c r="L331" s="2839">
        <v>119</v>
      </c>
      <c r="M331" s="839">
        <v>186.7</v>
      </c>
      <c r="N331" s="2839">
        <v>99.4</v>
      </c>
      <c r="O331" s="839">
        <v>101.8</v>
      </c>
      <c r="P331" s="2839">
        <v>167.3</v>
      </c>
      <c r="Q331" s="839">
        <v>128.19999999999999</v>
      </c>
      <c r="R331" s="2839">
        <v>122.2</v>
      </c>
      <c r="S331" s="839">
        <v>69.8</v>
      </c>
      <c r="T331" s="3177">
        <v>120.9</v>
      </c>
    </row>
    <row r="332" spans="1:20">
      <c r="A332" s="63">
        <v>2020.11</v>
      </c>
      <c r="B332" s="839">
        <v>121.6</v>
      </c>
      <c r="C332" s="2839">
        <v>121.6</v>
      </c>
      <c r="D332" s="439">
        <v>119.5</v>
      </c>
      <c r="E332" s="839">
        <v>138.4</v>
      </c>
      <c r="F332" s="2839">
        <v>55.1</v>
      </c>
      <c r="G332" s="839">
        <v>76.2</v>
      </c>
      <c r="H332" s="2839">
        <v>67.099999999999994</v>
      </c>
      <c r="I332" s="839">
        <v>114.6</v>
      </c>
      <c r="J332" s="2839">
        <v>91.6</v>
      </c>
      <c r="K332" s="839">
        <v>139.5</v>
      </c>
      <c r="L332" s="2839">
        <v>119.1</v>
      </c>
      <c r="M332" s="839">
        <v>194</v>
      </c>
      <c r="N332" s="2839">
        <v>97.3</v>
      </c>
      <c r="O332" s="839">
        <v>101.6</v>
      </c>
      <c r="P332" s="2839">
        <v>145.9</v>
      </c>
      <c r="Q332" s="839">
        <v>139.30000000000001</v>
      </c>
      <c r="R332" s="2839">
        <v>131.5</v>
      </c>
      <c r="S332" s="839">
        <v>74.7</v>
      </c>
      <c r="T332" s="3177">
        <v>110.8</v>
      </c>
    </row>
    <row r="333" spans="1:20">
      <c r="A333" s="63">
        <v>2020.12</v>
      </c>
      <c r="B333" s="839">
        <v>115.3</v>
      </c>
      <c r="C333" s="2839">
        <v>120</v>
      </c>
      <c r="D333" s="439">
        <v>121.6</v>
      </c>
      <c r="E333" s="839">
        <v>127.8</v>
      </c>
      <c r="F333" s="2839">
        <v>47.8</v>
      </c>
      <c r="G333" s="839">
        <v>66.099999999999994</v>
      </c>
      <c r="H333" s="2839">
        <v>82.1</v>
      </c>
      <c r="I333" s="839">
        <v>103.3</v>
      </c>
      <c r="J333" s="2839">
        <v>99.8</v>
      </c>
      <c r="K333" s="839">
        <v>131</v>
      </c>
      <c r="L333" s="2839">
        <v>107</v>
      </c>
      <c r="M333" s="839">
        <v>182.2</v>
      </c>
      <c r="N333" s="2839">
        <v>96.7</v>
      </c>
      <c r="O333" s="839">
        <v>92</v>
      </c>
      <c r="P333" s="2839">
        <v>159.9</v>
      </c>
      <c r="Q333" s="839">
        <v>121.6</v>
      </c>
      <c r="R333" s="2839">
        <v>116.3</v>
      </c>
      <c r="S333" s="839">
        <v>69.3</v>
      </c>
      <c r="T333" s="3177">
        <v>102.9</v>
      </c>
    </row>
    <row r="334" spans="1:20">
      <c r="A334" s="63">
        <f>A322+1</f>
        <v>2021.01</v>
      </c>
      <c r="B334" s="839">
        <v>111.8</v>
      </c>
      <c r="C334" s="2839">
        <v>128.1</v>
      </c>
      <c r="D334" s="439">
        <v>123.1</v>
      </c>
      <c r="E334" s="839">
        <v>137.6</v>
      </c>
      <c r="F334" s="2839">
        <v>87.7</v>
      </c>
      <c r="G334" s="839">
        <v>55.7</v>
      </c>
      <c r="H334" s="2839">
        <v>56.8</v>
      </c>
      <c r="I334" s="839">
        <v>104.2</v>
      </c>
      <c r="J334" s="2839">
        <v>106.6</v>
      </c>
      <c r="K334" s="839">
        <v>131.5</v>
      </c>
      <c r="L334" s="2839">
        <v>112.1</v>
      </c>
      <c r="M334" s="839">
        <v>175.4</v>
      </c>
      <c r="N334" s="2839">
        <v>99.2</v>
      </c>
      <c r="O334" s="839">
        <v>93</v>
      </c>
      <c r="P334" s="2839">
        <v>108.6</v>
      </c>
      <c r="Q334" s="839">
        <v>95.1</v>
      </c>
      <c r="R334" s="2839">
        <v>88.4</v>
      </c>
      <c r="S334" s="839">
        <v>60.8</v>
      </c>
      <c r="T334" s="3177">
        <v>87</v>
      </c>
    </row>
    <row r="335" spans="1:20">
      <c r="A335" s="63">
        <f t="shared" ref="A335:A398" si="0">A323+1</f>
        <v>2021.02</v>
      </c>
      <c r="B335" s="839">
        <v>107.8</v>
      </c>
      <c r="C335" s="2839">
        <v>124.3</v>
      </c>
      <c r="D335" s="439">
        <v>124.2</v>
      </c>
      <c r="E335" s="839">
        <v>130</v>
      </c>
      <c r="F335" s="2839">
        <v>106.6</v>
      </c>
      <c r="G335" s="839">
        <v>67</v>
      </c>
      <c r="H335" s="2839">
        <v>64.3</v>
      </c>
      <c r="I335" s="839">
        <v>97.6</v>
      </c>
      <c r="J335" s="2839">
        <v>94.3</v>
      </c>
      <c r="K335" s="839">
        <v>119.7</v>
      </c>
      <c r="L335" s="2839">
        <v>98.3</v>
      </c>
      <c r="M335" s="839">
        <v>158.19999999999999</v>
      </c>
      <c r="N335" s="2839">
        <v>90.9</v>
      </c>
      <c r="O335" s="839">
        <v>92</v>
      </c>
      <c r="P335" s="2839">
        <v>125</v>
      </c>
      <c r="Q335" s="839">
        <v>111.7</v>
      </c>
      <c r="R335" s="2839">
        <v>100.8</v>
      </c>
      <c r="S335" s="839">
        <v>60.1</v>
      </c>
      <c r="T335" s="3177">
        <v>83.6</v>
      </c>
    </row>
    <row r="336" spans="1:20">
      <c r="A336" s="63">
        <f t="shared" si="0"/>
        <v>2021.03</v>
      </c>
      <c r="B336" s="839">
        <v>131.6</v>
      </c>
      <c r="C336" s="2839">
        <v>125.6</v>
      </c>
      <c r="D336" s="439">
        <v>125</v>
      </c>
      <c r="E336" s="839">
        <v>150.5</v>
      </c>
      <c r="F336" s="2839">
        <v>127.8</v>
      </c>
      <c r="G336" s="839">
        <v>86.2</v>
      </c>
      <c r="H336" s="2839">
        <v>88.7</v>
      </c>
      <c r="I336" s="839">
        <v>113.1</v>
      </c>
      <c r="J336" s="2839">
        <v>107.1</v>
      </c>
      <c r="K336" s="839">
        <v>146.80000000000001</v>
      </c>
      <c r="L336" s="2839">
        <v>122.2</v>
      </c>
      <c r="M336" s="839">
        <v>186.8</v>
      </c>
      <c r="N336" s="2839">
        <v>103.1</v>
      </c>
      <c r="O336" s="839">
        <v>111.2</v>
      </c>
      <c r="P336" s="2839">
        <v>174</v>
      </c>
      <c r="Q336" s="839">
        <v>146.30000000000001</v>
      </c>
      <c r="R336" s="2839">
        <v>157.5</v>
      </c>
      <c r="S336" s="839">
        <v>77.3</v>
      </c>
      <c r="T336" s="3177">
        <v>111.6</v>
      </c>
    </row>
    <row r="337" spans="1:20">
      <c r="A337" s="63">
        <f t="shared" si="0"/>
        <v>2021.04</v>
      </c>
      <c r="B337" s="839">
        <v>125.5</v>
      </c>
      <c r="C337" s="2839">
        <v>122.6</v>
      </c>
      <c r="D337" s="439">
        <v>125.4</v>
      </c>
      <c r="E337" s="839">
        <v>143.5</v>
      </c>
      <c r="F337" s="2839">
        <v>120.7</v>
      </c>
      <c r="G337" s="839">
        <v>92.6</v>
      </c>
      <c r="H337" s="2839">
        <v>81</v>
      </c>
      <c r="I337" s="839">
        <v>111.9</v>
      </c>
      <c r="J337" s="2839">
        <v>99.8</v>
      </c>
      <c r="K337" s="839">
        <v>143.4</v>
      </c>
      <c r="L337" s="2839">
        <v>111.2</v>
      </c>
      <c r="M337" s="839">
        <v>179.2</v>
      </c>
      <c r="N337" s="2839">
        <v>99.8</v>
      </c>
      <c r="O337" s="839">
        <v>111.6</v>
      </c>
      <c r="P337" s="2839">
        <v>168.7</v>
      </c>
      <c r="Q337" s="839">
        <v>127.8</v>
      </c>
      <c r="R337" s="2839">
        <v>123.8</v>
      </c>
      <c r="S337" s="839">
        <v>76.3</v>
      </c>
      <c r="T337" s="3177">
        <v>113.1</v>
      </c>
    </row>
    <row r="338" spans="1:20">
      <c r="A338" s="63">
        <f t="shared" si="0"/>
        <v>2021.05</v>
      </c>
      <c r="B338" s="839">
        <v>121.7</v>
      </c>
      <c r="C338" s="2839">
        <v>122.4</v>
      </c>
      <c r="D338" s="439">
        <v>125.6</v>
      </c>
      <c r="E338" s="839">
        <v>141</v>
      </c>
      <c r="F338" s="2839">
        <v>80.7</v>
      </c>
      <c r="G338" s="839">
        <v>95.7</v>
      </c>
      <c r="H338" s="2839">
        <v>74.2</v>
      </c>
      <c r="I338" s="839">
        <v>108.1</v>
      </c>
      <c r="J338" s="2839">
        <v>103.9</v>
      </c>
      <c r="K338" s="839">
        <v>143.19999999999999</v>
      </c>
      <c r="L338" s="2839">
        <v>110.5</v>
      </c>
      <c r="M338" s="839">
        <v>166.3</v>
      </c>
      <c r="N338" s="2839">
        <v>95.2</v>
      </c>
      <c r="O338" s="839">
        <v>105.2</v>
      </c>
      <c r="P338" s="2839">
        <v>159.9</v>
      </c>
      <c r="Q338" s="839">
        <v>117.8</v>
      </c>
      <c r="R338" s="2839">
        <v>129.9</v>
      </c>
      <c r="S338" s="839">
        <v>70.400000000000006</v>
      </c>
      <c r="T338" s="3177">
        <v>98.3</v>
      </c>
    </row>
    <row r="339" spans="1:20">
      <c r="A339" s="63">
        <f t="shared" si="0"/>
        <v>2021.06</v>
      </c>
      <c r="B339" s="839">
        <v>128.6</v>
      </c>
      <c r="C339" s="2839">
        <v>126.9</v>
      </c>
      <c r="D339" s="439">
        <v>125.7</v>
      </c>
      <c r="E339" s="839">
        <v>149.5</v>
      </c>
      <c r="F339" s="2839">
        <v>66.3</v>
      </c>
      <c r="G339" s="839">
        <v>106</v>
      </c>
      <c r="H339" s="2839">
        <v>80</v>
      </c>
      <c r="I339" s="839">
        <v>112.9</v>
      </c>
      <c r="J339" s="2839">
        <v>100.3</v>
      </c>
      <c r="K339" s="839">
        <v>145</v>
      </c>
      <c r="L339" s="2839">
        <v>117.3</v>
      </c>
      <c r="M339" s="839">
        <v>179</v>
      </c>
      <c r="N339" s="2839">
        <v>100.6</v>
      </c>
      <c r="O339" s="839">
        <v>116</v>
      </c>
      <c r="P339" s="2839">
        <v>165.4</v>
      </c>
      <c r="Q339" s="839">
        <v>138</v>
      </c>
      <c r="R339" s="2839">
        <v>147.9</v>
      </c>
      <c r="S339" s="839">
        <v>102.7</v>
      </c>
      <c r="T339" s="3177">
        <v>100.2</v>
      </c>
    </row>
    <row r="340" spans="1:20">
      <c r="A340" s="63">
        <f t="shared" si="0"/>
        <v>2021.07</v>
      </c>
      <c r="B340" s="839">
        <v>131.1</v>
      </c>
      <c r="C340" s="2839">
        <v>126.7</v>
      </c>
      <c r="D340" s="439">
        <v>125.9</v>
      </c>
      <c r="E340" s="839">
        <v>152.30000000000001</v>
      </c>
      <c r="F340" s="2839">
        <v>56</v>
      </c>
      <c r="G340" s="839">
        <v>106.6</v>
      </c>
      <c r="H340" s="2839">
        <v>87.2</v>
      </c>
      <c r="I340" s="839">
        <v>116.5</v>
      </c>
      <c r="J340" s="2839">
        <v>105.3</v>
      </c>
      <c r="K340" s="839">
        <v>148.5</v>
      </c>
      <c r="L340" s="2839">
        <v>113.8</v>
      </c>
      <c r="M340" s="839">
        <v>188.9</v>
      </c>
      <c r="N340" s="2839">
        <v>105.6</v>
      </c>
      <c r="O340" s="839">
        <v>113</v>
      </c>
      <c r="P340" s="2839">
        <v>165</v>
      </c>
      <c r="Q340" s="839">
        <v>136.6</v>
      </c>
      <c r="R340" s="2839">
        <v>130.9</v>
      </c>
      <c r="S340" s="839">
        <v>99.1</v>
      </c>
      <c r="T340" s="3177">
        <v>115.5</v>
      </c>
    </row>
    <row r="341" spans="1:20">
      <c r="A341" s="63">
        <f t="shared" si="0"/>
        <v>2021.08</v>
      </c>
      <c r="B341" s="839">
        <v>133</v>
      </c>
      <c r="C341" s="2839">
        <v>125.4</v>
      </c>
      <c r="D341" s="439">
        <v>126.1</v>
      </c>
      <c r="E341" s="839">
        <v>155.30000000000001</v>
      </c>
      <c r="F341" s="2839">
        <v>59.5</v>
      </c>
      <c r="G341" s="839">
        <v>96</v>
      </c>
      <c r="H341" s="2839">
        <v>90.1</v>
      </c>
      <c r="I341" s="839">
        <v>117.7</v>
      </c>
      <c r="J341" s="2839">
        <v>108.9</v>
      </c>
      <c r="K341" s="839">
        <v>146.6</v>
      </c>
      <c r="L341" s="2839">
        <v>121.7</v>
      </c>
      <c r="M341" s="839">
        <v>197.7</v>
      </c>
      <c r="N341" s="2839">
        <v>104.4</v>
      </c>
      <c r="O341" s="839">
        <v>111.8</v>
      </c>
      <c r="P341" s="2839">
        <v>178.3</v>
      </c>
      <c r="Q341" s="839">
        <v>137.80000000000001</v>
      </c>
      <c r="R341" s="2839">
        <v>146.19999999999999</v>
      </c>
      <c r="S341" s="839">
        <v>107.1</v>
      </c>
      <c r="T341" s="3177">
        <v>102.5</v>
      </c>
    </row>
    <row r="342" spans="1:20">
      <c r="A342" s="63">
        <f t="shared" si="0"/>
        <v>2021.09</v>
      </c>
      <c r="B342" s="839">
        <v>132.80000000000001</v>
      </c>
      <c r="C342" s="2839">
        <v>126.8</v>
      </c>
      <c r="D342" s="439">
        <v>126.6</v>
      </c>
      <c r="E342" s="839">
        <v>152.80000000000001</v>
      </c>
      <c r="F342" s="2839">
        <v>64.7</v>
      </c>
      <c r="G342" s="839">
        <v>96.8</v>
      </c>
      <c r="H342" s="2839">
        <v>96.2</v>
      </c>
      <c r="I342" s="839">
        <v>115.5</v>
      </c>
      <c r="J342" s="2839">
        <v>103.8</v>
      </c>
      <c r="K342" s="839">
        <v>146.69999999999999</v>
      </c>
      <c r="L342" s="2839">
        <v>125.8</v>
      </c>
      <c r="M342" s="839">
        <v>190.5</v>
      </c>
      <c r="N342" s="2839">
        <v>100.5</v>
      </c>
      <c r="O342" s="839">
        <v>114.7</v>
      </c>
      <c r="P342" s="2839">
        <v>192.7</v>
      </c>
      <c r="Q342" s="839">
        <v>136.5</v>
      </c>
      <c r="R342" s="2839">
        <v>152.6</v>
      </c>
      <c r="S342" s="839">
        <v>114.9</v>
      </c>
      <c r="T342" s="3177">
        <v>96.3</v>
      </c>
    </row>
    <row r="343" spans="1:20">
      <c r="A343" s="63">
        <f t="shared" si="0"/>
        <v>2021.1</v>
      </c>
      <c r="B343" s="839">
        <v>130</v>
      </c>
      <c r="C343" s="2839">
        <v>126.2</v>
      </c>
      <c r="D343" s="439">
        <v>127.3</v>
      </c>
      <c r="E343" s="839">
        <v>145.30000000000001</v>
      </c>
      <c r="F343" s="2839">
        <v>59.5</v>
      </c>
      <c r="G343" s="839">
        <v>87.6</v>
      </c>
      <c r="H343" s="2839">
        <v>106</v>
      </c>
      <c r="I343" s="839">
        <v>114.6</v>
      </c>
      <c r="J343" s="2839">
        <v>109.2</v>
      </c>
      <c r="K343" s="839">
        <v>145.1</v>
      </c>
      <c r="L343" s="2839">
        <v>119.8</v>
      </c>
      <c r="M343" s="839">
        <v>195.4</v>
      </c>
      <c r="N343" s="2839">
        <v>104.8</v>
      </c>
      <c r="O343" s="839">
        <v>108</v>
      </c>
      <c r="P343" s="2839">
        <v>179.2</v>
      </c>
      <c r="Q343" s="839">
        <v>120.1</v>
      </c>
      <c r="R343" s="2839">
        <v>144.30000000000001</v>
      </c>
      <c r="S343" s="839">
        <v>112.5</v>
      </c>
      <c r="T343" s="3177">
        <v>106.4</v>
      </c>
    </row>
    <row r="344" spans="1:20">
      <c r="A344" s="63">
        <f t="shared" si="0"/>
        <v>2021.11</v>
      </c>
      <c r="B344" s="839">
        <v>133.6</v>
      </c>
      <c r="C344" s="2839">
        <v>130.6</v>
      </c>
      <c r="D344" s="439">
        <v>128.30000000000001</v>
      </c>
      <c r="E344" s="839">
        <v>148.9</v>
      </c>
      <c r="F344" s="2839">
        <v>58.6</v>
      </c>
      <c r="G344" s="839">
        <v>87.7</v>
      </c>
      <c r="H344" s="2839">
        <v>103.7</v>
      </c>
      <c r="I344" s="839">
        <v>118.7</v>
      </c>
      <c r="J344" s="2839">
        <v>108.3</v>
      </c>
      <c r="K344" s="839">
        <v>153.80000000000001</v>
      </c>
      <c r="L344" s="2839">
        <v>126.6</v>
      </c>
      <c r="M344" s="839">
        <v>196.5</v>
      </c>
      <c r="N344" s="2839">
        <v>101.3</v>
      </c>
      <c r="O344" s="839">
        <v>111.9</v>
      </c>
      <c r="P344" s="2839">
        <v>172.5</v>
      </c>
      <c r="Q344" s="839">
        <v>133.69999999999999</v>
      </c>
      <c r="R344" s="2839">
        <v>161.80000000000001</v>
      </c>
      <c r="S344" s="839">
        <v>124.3</v>
      </c>
      <c r="T344" s="3177">
        <v>111.4</v>
      </c>
    </row>
    <row r="345" spans="1:20">
      <c r="A345" s="63">
        <f t="shared" si="0"/>
        <v>2021.12</v>
      </c>
      <c r="B345" s="839">
        <v>127.3</v>
      </c>
      <c r="C345" s="2839">
        <v>131</v>
      </c>
      <c r="D345" s="439">
        <v>129.5</v>
      </c>
      <c r="E345" s="839">
        <v>144.1</v>
      </c>
      <c r="F345" s="2839">
        <v>54.3</v>
      </c>
      <c r="G345" s="839">
        <v>68.2</v>
      </c>
      <c r="H345" s="2839">
        <v>110.9</v>
      </c>
      <c r="I345" s="839">
        <v>103.8</v>
      </c>
      <c r="J345" s="2839">
        <v>115</v>
      </c>
      <c r="K345" s="839">
        <v>139.9</v>
      </c>
      <c r="L345" s="2839">
        <v>112.9</v>
      </c>
      <c r="M345" s="839">
        <v>185.2</v>
      </c>
      <c r="N345" s="2839">
        <v>102.8</v>
      </c>
      <c r="O345" s="839">
        <v>100.6</v>
      </c>
      <c r="P345" s="2839">
        <v>182.2</v>
      </c>
      <c r="Q345" s="839">
        <v>129.9</v>
      </c>
      <c r="R345" s="2839">
        <v>138.4</v>
      </c>
      <c r="S345" s="839">
        <v>114.7</v>
      </c>
      <c r="T345" s="3177">
        <v>115</v>
      </c>
    </row>
    <row r="346" spans="1:20">
      <c r="A346" s="63">
        <f t="shared" si="0"/>
        <v>2022.01</v>
      </c>
      <c r="B346" s="839">
        <v>110.5</v>
      </c>
      <c r="C346" s="2839">
        <v>126</v>
      </c>
      <c r="D346" s="439">
        <v>130.80000000000001</v>
      </c>
      <c r="E346" s="839">
        <v>131.6</v>
      </c>
      <c r="F346" s="2839">
        <v>82.8</v>
      </c>
      <c r="G346" s="839">
        <v>53.1</v>
      </c>
      <c r="H346" s="2839">
        <v>61.8</v>
      </c>
      <c r="I346" s="839">
        <v>107.3</v>
      </c>
      <c r="J346" s="2839">
        <v>110.8</v>
      </c>
      <c r="K346" s="839">
        <v>140.69999999999999</v>
      </c>
      <c r="L346" s="2839">
        <v>103.3</v>
      </c>
      <c r="M346" s="839">
        <v>160.4</v>
      </c>
      <c r="N346" s="2839">
        <v>95</v>
      </c>
      <c r="O346" s="839">
        <v>89</v>
      </c>
      <c r="P346" s="2839">
        <v>124</v>
      </c>
      <c r="Q346" s="839">
        <v>95.5</v>
      </c>
      <c r="R346" s="2839">
        <v>71.8</v>
      </c>
      <c r="S346" s="839">
        <v>91.6</v>
      </c>
      <c r="T346" s="3177">
        <v>78.8</v>
      </c>
    </row>
    <row r="347" spans="1:20">
      <c r="A347" s="63">
        <f t="shared" si="0"/>
        <v>2022.02</v>
      </c>
      <c r="B347" s="839">
        <v>116.9</v>
      </c>
      <c r="C347" s="2839">
        <v>132.69999999999999</v>
      </c>
      <c r="D347" s="439">
        <v>132</v>
      </c>
      <c r="E347" s="839">
        <v>136.19999999999999</v>
      </c>
      <c r="F347" s="2839">
        <v>116.3</v>
      </c>
      <c r="G347" s="839">
        <v>70.599999999999994</v>
      </c>
      <c r="H347" s="2839">
        <v>74.599999999999994</v>
      </c>
      <c r="I347" s="839">
        <v>107</v>
      </c>
      <c r="J347" s="2839">
        <v>90.1</v>
      </c>
      <c r="K347" s="839">
        <v>133.69999999999999</v>
      </c>
      <c r="L347" s="2839">
        <v>108</v>
      </c>
      <c r="M347" s="839">
        <v>166.9</v>
      </c>
      <c r="N347" s="2839">
        <v>92.2</v>
      </c>
      <c r="O347" s="839">
        <v>95.5</v>
      </c>
      <c r="P347" s="2839">
        <v>158.80000000000001</v>
      </c>
      <c r="Q347" s="839">
        <v>117.3</v>
      </c>
      <c r="R347" s="2839">
        <v>130.80000000000001</v>
      </c>
      <c r="S347" s="839">
        <v>92.5</v>
      </c>
      <c r="T347" s="3177">
        <v>86.3</v>
      </c>
    </row>
    <row r="348" spans="1:20">
      <c r="A348" s="63">
        <f t="shared" si="0"/>
        <v>2022.03</v>
      </c>
      <c r="B348" s="839">
        <v>136.1</v>
      </c>
      <c r="C348" s="2839">
        <v>130.9</v>
      </c>
      <c r="D348" s="439">
        <v>133</v>
      </c>
      <c r="E348" s="839">
        <v>154</v>
      </c>
      <c r="F348" s="2839">
        <v>156.1</v>
      </c>
      <c r="G348" s="839">
        <v>86.5</v>
      </c>
      <c r="H348" s="2839">
        <v>103.3</v>
      </c>
      <c r="I348" s="839">
        <v>122.7</v>
      </c>
      <c r="J348" s="2839">
        <v>103.9</v>
      </c>
      <c r="K348" s="839">
        <v>153.4</v>
      </c>
      <c r="L348" s="2839">
        <v>129</v>
      </c>
      <c r="M348" s="839">
        <v>185.8</v>
      </c>
      <c r="N348" s="2839">
        <v>103.9</v>
      </c>
      <c r="O348" s="839">
        <v>111.5</v>
      </c>
      <c r="P348" s="2839">
        <v>187.8</v>
      </c>
      <c r="Q348" s="839">
        <v>136.4</v>
      </c>
      <c r="R348" s="2839">
        <v>161.4</v>
      </c>
      <c r="S348" s="839">
        <v>114</v>
      </c>
      <c r="T348" s="3177">
        <v>106.8</v>
      </c>
    </row>
    <row r="349" spans="1:20">
      <c r="A349" s="63">
        <f t="shared" si="0"/>
        <v>2022.04</v>
      </c>
      <c r="B349" s="839">
        <v>131.1</v>
      </c>
      <c r="C349" s="2839">
        <v>131.19999999999999</v>
      </c>
      <c r="D349" s="439">
        <v>133.69999999999999</v>
      </c>
      <c r="E349" s="839">
        <v>148.69999999999999</v>
      </c>
      <c r="F349" s="2839">
        <v>99.6</v>
      </c>
      <c r="G349" s="839">
        <v>87.6</v>
      </c>
      <c r="H349" s="2839">
        <v>105</v>
      </c>
      <c r="I349" s="839">
        <v>114</v>
      </c>
      <c r="J349" s="2839">
        <v>109.1</v>
      </c>
      <c r="K349" s="839">
        <v>146</v>
      </c>
      <c r="L349" s="2839">
        <v>128</v>
      </c>
      <c r="M349" s="839">
        <v>190.7</v>
      </c>
      <c r="N349" s="2839">
        <v>79.3</v>
      </c>
      <c r="O349" s="839">
        <v>109.2</v>
      </c>
      <c r="P349" s="2839">
        <v>208.3</v>
      </c>
      <c r="Q349" s="839">
        <v>119.4</v>
      </c>
      <c r="R349" s="2839">
        <v>155.1</v>
      </c>
      <c r="S349" s="839">
        <v>114</v>
      </c>
      <c r="T349" s="3177">
        <v>112</v>
      </c>
    </row>
    <row r="350" spans="1:20">
      <c r="A350" s="63">
        <f t="shared" si="0"/>
        <v>2022.05</v>
      </c>
      <c r="B350" s="839">
        <v>136</v>
      </c>
      <c r="C350" s="2839">
        <v>134.5</v>
      </c>
      <c r="D350" s="439">
        <v>134</v>
      </c>
      <c r="E350" s="839">
        <v>154.19999999999999</v>
      </c>
      <c r="F350" s="2839">
        <v>66.900000000000006</v>
      </c>
      <c r="G350" s="839">
        <v>96.4</v>
      </c>
      <c r="H350" s="2839">
        <v>101.6</v>
      </c>
      <c r="I350" s="839">
        <v>120.2</v>
      </c>
      <c r="J350" s="2839">
        <v>116.6</v>
      </c>
      <c r="K350" s="839">
        <v>150.19999999999999</v>
      </c>
      <c r="L350" s="2839">
        <v>123.3</v>
      </c>
      <c r="M350" s="839">
        <v>199.8</v>
      </c>
      <c r="N350" s="2839">
        <v>101.1</v>
      </c>
      <c r="O350" s="839">
        <v>111.2</v>
      </c>
      <c r="P350" s="2839">
        <v>188.2</v>
      </c>
      <c r="Q350" s="839">
        <v>147.19999999999999</v>
      </c>
      <c r="R350" s="2839">
        <v>160.1</v>
      </c>
      <c r="S350" s="839">
        <v>115.3</v>
      </c>
      <c r="T350" s="3177">
        <v>109.1</v>
      </c>
    </row>
    <row r="351" spans="1:20">
      <c r="A351" s="63">
        <f t="shared" si="0"/>
        <v>2022.06</v>
      </c>
      <c r="B351" s="839">
        <v>137.69999999999999</v>
      </c>
      <c r="C351" s="2839">
        <v>136.5</v>
      </c>
      <c r="D351" s="439">
        <v>133.69999999999999</v>
      </c>
      <c r="E351" s="839">
        <v>154.69999999999999</v>
      </c>
      <c r="F351" s="2839">
        <v>54.7</v>
      </c>
      <c r="G351" s="839">
        <v>106.5</v>
      </c>
      <c r="H351" s="2839">
        <v>100.7</v>
      </c>
      <c r="I351" s="839">
        <v>114.3</v>
      </c>
      <c r="J351" s="2839">
        <v>113.5</v>
      </c>
      <c r="K351" s="839">
        <v>150</v>
      </c>
      <c r="L351" s="2839">
        <v>121.7</v>
      </c>
      <c r="M351" s="839">
        <v>197.1</v>
      </c>
      <c r="N351" s="2839">
        <v>109.1</v>
      </c>
      <c r="O351" s="839">
        <v>107.7</v>
      </c>
      <c r="P351" s="2839">
        <v>201.7</v>
      </c>
      <c r="Q351" s="839">
        <v>178.7</v>
      </c>
      <c r="R351" s="2839">
        <v>164.4</v>
      </c>
      <c r="S351" s="839">
        <v>114.6</v>
      </c>
      <c r="T351" s="3177">
        <v>109.1</v>
      </c>
    </row>
    <row r="352" spans="1:20">
      <c r="A352" s="63">
        <f t="shared" si="0"/>
        <v>2022.07</v>
      </c>
      <c r="B352" s="839">
        <v>137.80000000000001</v>
      </c>
      <c r="C352" s="2839">
        <v>136.6</v>
      </c>
      <c r="D352" s="439">
        <v>133</v>
      </c>
      <c r="E352" s="839">
        <v>157</v>
      </c>
      <c r="F352" s="2839">
        <v>65.400000000000006</v>
      </c>
      <c r="G352" s="839">
        <v>106.4</v>
      </c>
      <c r="H352" s="2839">
        <v>82.3</v>
      </c>
      <c r="I352" s="839">
        <v>118.4</v>
      </c>
      <c r="J352" s="2839">
        <v>114.5</v>
      </c>
      <c r="K352" s="839">
        <v>150.5</v>
      </c>
      <c r="L352" s="2839">
        <v>121.7</v>
      </c>
      <c r="M352" s="839">
        <v>199.3</v>
      </c>
      <c r="N352" s="2839">
        <v>109.4</v>
      </c>
      <c r="O352" s="839">
        <v>116</v>
      </c>
      <c r="P352" s="2839">
        <v>203</v>
      </c>
      <c r="Q352" s="839">
        <v>158</v>
      </c>
      <c r="R352" s="2839">
        <v>159.1</v>
      </c>
      <c r="S352" s="839">
        <v>114.8</v>
      </c>
      <c r="T352" s="3177">
        <v>118.5</v>
      </c>
    </row>
    <row r="353" spans="1:20">
      <c r="A353" s="63">
        <f t="shared" si="0"/>
        <v>2022.08</v>
      </c>
      <c r="B353" s="839">
        <v>142.69999999999999</v>
      </c>
      <c r="C353" s="2839">
        <v>132.4</v>
      </c>
      <c r="D353" s="439">
        <v>132</v>
      </c>
      <c r="E353" s="839">
        <v>164.2</v>
      </c>
      <c r="F353" s="2839">
        <v>63.9</v>
      </c>
      <c r="G353" s="839">
        <v>110.7</v>
      </c>
      <c r="H353" s="2839">
        <v>90.9</v>
      </c>
      <c r="I353" s="839">
        <v>123.5</v>
      </c>
      <c r="J353" s="2839">
        <v>117.1</v>
      </c>
      <c r="K353" s="839">
        <v>155.9</v>
      </c>
      <c r="L353" s="2839">
        <v>129.6</v>
      </c>
      <c r="M353" s="839">
        <v>210.4</v>
      </c>
      <c r="N353" s="2839">
        <v>112.4</v>
      </c>
      <c r="O353" s="839">
        <v>122.4</v>
      </c>
      <c r="P353" s="2839">
        <v>203.2</v>
      </c>
      <c r="Q353" s="839">
        <v>132.4</v>
      </c>
      <c r="R353" s="2839">
        <v>181.5</v>
      </c>
      <c r="S353" s="839">
        <v>121.5</v>
      </c>
      <c r="T353" s="3177">
        <v>111.9</v>
      </c>
    </row>
    <row r="354" spans="1:20">
      <c r="A354" s="63">
        <f t="shared" si="0"/>
        <v>2022.09</v>
      </c>
      <c r="B354" s="839">
        <v>137.9</v>
      </c>
      <c r="C354" s="2839">
        <v>130.9</v>
      </c>
      <c r="D354" s="439">
        <v>131.19999999999999</v>
      </c>
      <c r="E354" s="839">
        <v>157.69999999999999</v>
      </c>
      <c r="F354" s="2839">
        <v>62.1</v>
      </c>
      <c r="G354" s="839">
        <v>99</v>
      </c>
      <c r="H354" s="2839">
        <v>94.7</v>
      </c>
      <c r="I354" s="839">
        <v>119.3</v>
      </c>
      <c r="J354" s="2839">
        <v>110</v>
      </c>
      <c r="K354" s="839">
        <v>149.80000000000001</v>
      </c>
      <c r="L354" s="2839">
        <v>123.4</v>
      </c>
      <c r="M354" s="839">
        <v>206.5</v>
      </c>
      <c r="N354" s="2839">
        <v>106.7</v>
      </c>
      <c r="O354" s="839">
        <v>120.8</v>
      </c>
      <c r="P354" s="2839">
        <v>205.8</v>
      </c>
      <c r="Q354" s="839">
        <v>135.30000000000001</v>
      </c>
      <c r="R354" s="2839">
        <v>174.1</v>
      </c>
      <c r="S354" s="839">
        <v>122.8</v>
      </c>
      <c r="T354" s="3177">
        <v>99.7</v>
      </c>
    </row>
    <row r="355" spans="1:20">
      <c r="A355" s="63">
        <f t="shared" si="0"/>
        <v>2022.1</v>
      </c>
      <c r="B355" s="839">
        <v>133.9</v>
      </c>
      <c r="C355" s="2839">
        <v>129.6</v>
      </c>
      <c r="D355" s="439">
        <v>130.6</v>
      </c>
      <c r="E355" s="839">
        <v>149.30000000000001</v>
      </c>
      <c r="F355" s="2839">
        <v>58.7</v>
      </c>
      <c r="G355" s="839">
        <v>82.2</v>
      </c>
      <c r="H355" s="2839">
        <v>97.9</v>
      </c>
      <c r="I355" s="839">
        <v>113.8</v>
      </c>
      <c r="J355" s="2839">
        <v>112.6</v>
      </c>
      <c r="K355" s="839">
        <v>151.69999999999999</v>
      </c>
      <c r="L355" s="2839">
        <v>128.1</v>
      </c>
      <c r="M355" s="839">
        <v>202.6</v>
      </c>
      <c r="N355" s="2839">
        <v>111.3</v>
      </c>
      <c r="O355" s="839">
        <v>114.2</v>
      </c>
      <c r="P355" s="2839">
        <v>176.5</v>
      </c>
      <c r="Q355" s="839">
        <v>138.5</v>
      </c>
      <c r="R355" s="2839">
        <v>165.8</v>
      </c>
      <c r="S355" s="839">
        <v>111.4</v>
      </c>
      <c r="T355" s="3177">
        <v>100.5</v>
      </c>
    </row>
    <row r="356" spans="1:20">
      <c r="A356" s="63">
        <f t="shared" si="0"/>
        <v>2022.11</v>
      </c>
      <c r="B356" s="839">
        <v>134.1</v>
      </c>
      <c r="C356" s="2839">
        <v>129.30000000000001</v>
      </c>
      <c r="D356" s="439">
        <v>130.6</v>
      </c>
      <c r="E356" s="839">
        <v>150</v>
      </c>
      <c r="F356" s="2839">
        <v>62.9</v>
      </c>
      <c r="G356" s="839">
        <v>83</v>
      </c>
      <c r="H356" s="2839">
        <v>99.8</v>
      </c>
      <c r="I356" s="839">
        <v>111.5</v>
      </c>
      <c r="J356" s="2839">
        <v>113.4</v>
      </c>
      <c r="K356" s="839">
        <v>152.5</v>
      </c>
      <c r="L356" s="2839">
        <v>123.1</v>
      </c>
      <c r="M356" s="839">
        <v>202.6</v>
      </c>
      <c r="N356" s="2839">
        <v>106.3</v>
      </c>
      <c r="O356" s="839">
        <v>119.1</v>
      </c>
      <c r="P356" s="2839">
        <v>164.1</v>
      </c>
      <c r="Q356" s="839">
        <v>146.9</v>
      </c>
      <c r="R356" s="2839">
        <v>173.6</v>
      </c>
      <c r="S356" s="839">
        <v>122.2</v>
      </c>
      <c r="T356" s="3177">
        <v>108.3</v>
      </c>
    </row>
    <row r="357" spans="1:20">
      <c r="A357" s="63">
        <f t="shared" si="0"/>
        <v>2022.12</v>
      </c>
      <c r="B357" s="839">
        <v>123.4</v>
      </c>
      <c r="C357" s="2839">
        <v>129.69999999999999</v>
      </c>
      <c r="D357" s="439">
        <v>131</v>
      </c>
      <c r="E357" s="839">
        <v>142.1</v>
      </c>
      <c r="F357" s="2839">
        <v>57.3</v>
      </c>
      <c r="G357" s="839">
        <v>61.5</v>
      </c>
      <c r="H357" s="2839">
        <v>98.7</v>
      </c>
      <c r="I357" s="839">
        <v>100.4</v>
      </c>
      <c r="J357" s="2839">
        <v>120.6</v>
      </c>
      <c r="K357" s="839">
        <v>132.30000000000001</v>
      </c>
      <c r="L357" s="2839">
        <v>104.4</v>
      </c>
      <c r="M357" s="839">
        <v>182.1</v>
      </c>
      <c r="N357" s="2839">
        <v>104.5</v>
      </c>
      <c r="O357" s="839">
        <v>102.4</v>
      </c>
      <c r="P357" s="2839">
        <v>186.1</v>
      </c>
      <c r="Q357" s="839">
        <v>126.2</v>
      </c>
      <c r="R357" s="2839">
        <v>128.19999999999999</v>
      </c>
      <c r="S357" s="839">
        <v>100.4</v>
      </c>
      <c r="T357" s="3177">
        <v>96</v>
      </c>
    </row>
    <row r="358" spans="1:20">
      <c r="A358" s="63">
        <f t="shared" si="0"/>
        <v>2023.01</v>
      </c>
      <c r="B358" s="839">
        <v>117.4</v>
      </c>
      <c r="C358" s="2839">
        <v>130.5</v>
      </c>
      <c r="D358" s="439">
        <v>131.80000000000001</v>
      </c>
      <c r="E358" s="839">
        <v>143.5</v>
      </c>
      <c r="F358" s="2839">
        <v>87.2</v>
      </c>
      <c r="G358" s="839">
        <v>53.9</v>
      </c>
      <c r="H358" s="2839">
        <v>66</v>
      </c>
      <c r="I358" s="839">
        <v>108.7</v>
      </c>
      <c r="J358" s="2839">
        <v>120</v>
      </c>
      <c r="K358" s="839">
        <v>133.9</v>
      </c>
      <c r="L358" s="2839">
        <v>112.2</v>
      </c>
      <c r="M358" s="839">
        <v>172.3</v>
      </c>
      <c r="N358" s="2839">
        <v>104.9</v>
      </c>
      <c r="O358" s="839">
        <v>106.5</v>
      </c>
      <c r="P358" s="2839">
        <v>132.69999999999999</v>
      </c>
      <c r="Q358" s="839">
        <v>96.3</v>
      </c>
      <c r="R358" s="2839">
        <v>88.2</v>
      </c>
      <c r="S358" s="839">
        <v>88.9</v>
      </c>
      <c r="T358" s="3177">
        <v>85.7</v>
      </c>
    </row>
    <row r="359" spans="1:20">
      <c r="A359" s="63">
        <f t="shared" si="0"/>
        <v>2023.02</v>
      </c>
      <c r="B359" s="839">
        <v>115</v>
      </c>
      <c r="C359" s="2839">
        <v>129</v>
      </c>
      <c r="D359" s="439">
        <v>132.69999999999999</v>
      </c>
      <c r="E359" s="839">
        <v>127.8</v>
      </c>
      <c r="F359" s="2839">
        <v>106.2</v>
      </c>
      <c r="G359" s="839">
        <v>68.599999999999994</v>
      </c>
      <c r="H359" s="2839">
        <v>76.400000000000006</v>
      </c>
      <c r="I359" s="839">
        <v>102.4</v>
      </c>
      <c r="J359" s="2839">
        <v>110.6</v>
      </c>
      <c r="K359" s="839">
        <v>124.5</v>
      </c>
      <c r="L359" s="2839">
        <v>107.6</v>
      </c>
      <c r="M359" s="839">
        <v>171.6</v>
      </c>
      <c r="N359" s="2839">
        <v>93.2</v>
      </c>
      <c r="O359" s="839">
        <v>99.2</v>
      </c>
      <c r="P359" s="2839">
        <v>156.4</v>
      </c>
      <c r="Q359" s="839">
        <v>117.3</v>
      </c>
      <c r="R359" s="2839">
        <v>142.30000000000001</v>
      </c>
      <c r="S359" s="839">
        <v>100.5</v>
      </c>
      <c r="T359" s="3177">
        <v>88.8</v>
      </c>
    </row>
    <row r="360" spans="1:20">
      <c r="A360" s="63">
        <f t="shared" si="0"/>
        <v>2023.03</v>
      </c>
      <c r="B360" s="839">
        <v>140.6</v>
      </c>
      <c r="C360" s="2839">
        <v>134.80000000000001</v>
      </c>
      <c r="D360" s="439">
        <v>133.30000000000001</v>
      </c>
      <c r="E360" s="839">
        <v>154</v>
      </c>
      <c r="F360" s="2839">
        <v>158.1</v>
      </c>
      <c r="G360" s="839">
        <v>84.7</v>
      </c>
      <c r="H360" s="2839">
        <v>110.5</v>
      </c>
      <c r="I360" s="839">
        <v>118.3</v>
      </c>
      <c r="J360" s="2839">
        <v>121.7</v>
      </c>
      <c r="K360" s="839">
        <v>147.1</v>
      </c>
      <c r="L360" s="2839">
        <v>131.1</v>
      </c>
      <c r="M360" s="839">
        <v>195.6</v>
      </c>
      <c r="N360" s="2839">
        <v>112.3</v>
      </c>
      <c r="O360" s="839">
        <v>119.2</v>
      </c>
      <c r="P360" s="2839">
        <v>201.6</v>
      </c>
      <c r="Q360" s="839">
        <v>160.30000000000001</v>
      </c>
      <c r="R360" s="2839">
        <v>189.4</v>
      </c>
      <c r="S360" s="839">
        <v>125.3</v>
      </c>
      <c r="T360" s="3177">
        <v>116</v>
      </c>
    </row>
    <row r="361" spans="1:20">
      <c r="A361" s="63">
        <f t="shared" si="0"/>
        <v>2023.04</v>
      </c>
      <c r="B361" s="839">
        <v>133.4</v>
      </c>
      <c r="C361" s="2839">
        <v>136.80000000000001</v>
      </c>
      <c r="D361" s="439">
        <v>133.6</v>
      </c>
      <c r="E361" s="839">
        <v>146.9</v>
      </c>
      <c r="F361" s="2839">
        <v>99.3</v>
      </c>
      <c r="G361" s="839">
        <v>87.1</v>
      </c>
      <c r="H361" s="2839">
        <v>101.5</v>
      </c>
      <c r="I361" s="839">
        <v>110.9</v>
      </c>
      <c r="J361" s="2839">
        <v>121</v>
      </c>
      <c r="K361" s="839">
        <v>143.5</v>
      </c>
      <c r="L361" s="2839">
        <v>124.6</v>
      </c>
      <c r="M361" s="839">
        <v>180.6</v>
      </c>
      <c r="N361" s="2839">
        <v>108.6</v>
      </c>
      <c r="O361" s="839">
        <v>111.2</v>
      </c>
      <c r="P361" s="2839">
        <v>203.4</v>
      </c>
      <c r="Q361" s="839">
        <v>134.9</v>
      </c>
      <c r="R361" s="2839">
        <v>162.1</v>
      </c>
      <c r="S361" s="839">
        <v>117.8</v>
      </c>
      <c r="T361" s="3177">
        <v>117.6</v>
      </c>
    </row>
    <row r="362" spans="1:20">
      <c r="A362" s="63">
        <f t="shared" si="0"/>
        <v>2023.05</v>
      </c>
      <c r="B362" s="839">
        <v>137.30000000000001</v>
      </c>
      <c r="C362" s="2839">
        <v>133.6</v>
      </c>
      <c r="D362" s="439">
        <v>133.19999999999999</v>
      </c>
      <c r="E362" s="839">
        <v>154.4</v>
      </c>
      <c r="F362" s="2839">
        <v>74.900000000000006</v>
      </c>
      <c r="G362" s="839">
        <v>97.1</v>
      </c>
      <c r="H362" s="2839">
        <v>107.7</v>
      </c>
      <c r="I362" s="839">
        <v>113.3</v>
      </c>
      <c r="J362" s="2839">
        <v>121</v>
      </c>
      <c r="K362" s="839">
        <v>152.1</v>
      </c>
      <c r="L362" s="2839">
        <v>127.9</v>
      </c>
      <c r="M362" s="839">
        <v>189.3</v>
      </c>
      <c r="N362" s="2839">
        <v>110.9</v>
      </c>
      <c r="O362" s="839">
        <v>110.4</v>
      </c>
      <c r="P362" s="2839">
        <v>183.9</v>
      </c>
      <c r="Q362" s="839">
        <v>140.80000000000001</v>
      </c>
      <c r="R362" s="2839">
        <v>167.9</v>
      </c>
      <c r="S362" s="839">
        <v>120.5</v>
      </c>
      <c r="T362" s="3177">
        <v>120.7</v>
      </c>
    </row>
    <row r="363" spans="1:20">
      <c r="A363" s="63">
        <f t="shared" si="0"/>
        <v>2023.06</v>
      </c>
      <c r="B363" s="839">
        <v>134.30000000000001</v>
      </c>
      <c r="C363" s="2839">
        <v>132.6</v>
      </c>
      <c r="D363" s="439">
        <v>132.30000000000001</v>
      </c>
      <c r="E363" s="839">
        <v>148.4</v>
      </c>
      <c r="F363" s="2839">
        <v>60.7</v>
      </c>
      <c r="G363" s="839">
        <v>103.4</v>
      </c>
      <c r="H363" s="2839">
        <v>100</v>
      </c>
      <c r="I363" s="839">
        <v>110.1</v>
      </c>
      <c r="J363" s="2839">
        <v>116.5</v>
      </c>
      <c r="K363" s="839">
        <v>149.1</v>
      </c>
      <c r="L363" s="2839">
        <v>122.7</v>
      </c>
      <c r="M363" s="839">
        <v>190.5</v>
      </c>
      <c r="N363" s="2839">
        <v>112</v>
      </c>
      <c r="O363" s="839">
        <v>109.8</v>
      </c>
      <c r="P363" s="2839">
        <v>190.9</v>
      </c>
      <c r="Q363" s="839">
        <v>142.19999999999999</v>
      </c>
      <c r="R363" s="2839">
        <v>166.9</v>
      </c>
      <c r="S363" s="839">
        <v>117.5</v>
      </c>
      <c r="T363" s="3177">
        <v>108.9</v>
      </c>
    </row>
    <row r="364" spans="1:20">
      <c r="A364" s="63">
        <f t="shared" si="0"/>
        <v>2023.07</v>
      </c>
      <c r="B364" s="839">
        <v>132.4</v>
      </c>
      <c r="C364" s="2839">
        <v>130.19999999999999</v>
      </c>
      <c r="D364" s="439">
        <v>130.9</v>
      </c>
      <c r="E364" s="839">
        <v>147.69999999999999</v>
      </c>
      <c r="F364" s="2839">
        <v>65.5</v>
      </c>
      <c r="G364" s="839">
        <v>110.7</v>
      </c>
      <c r="H364" s="2839">
        <v>95.2</v>
      </c>
      <c r="I364" s="839">
        <v>113.2</v>
      </c>
      <c r="J364" s="2839">
        <v>118.6</v>
      </c>
      <c r="K364" s="839">
        <v>150.69999999999999</v>
      </c>
      <c r="L364" s="2839">
        <v>125.1</v>
      </c>
      <c r="M364" s="839">
        <v>191.6</v>
      </c>
      <c r="N364" s="2839">
        <v>98.6</v>
      </c>
      <c r="O364" s="839">
        <v>110.8</v>
      </c>
      <c r="P364" s="2839">
        <v>176.9</v>
      </c>
      <c r="Q364" s="839">
        <v>125.3</v>
      </c>
      <c r="R364" s="2839">
        <v>154.6</v>
      </c>
      <c r="S364" s="839">
        <v>110.3</v>
      </c>
      <c r="T364" s="3177">
        <v>119.4</v>
      </c>
    </row>
    <row r="365" spans="1:20">
      <c r="A365" s="63">
        <f t="shared" si="0"/>
        <v>2023.08</v>
      </c>
      <c r="B365" s="839">
        <v>138.4</v>
      </c>
      <c r="C365" s="2839">
        <v>128.30000000000001</v>
      </c>
      <c r="D365" s="439">
        <v>129.1</v>
      </c>
      <c r="E365" s="839">
        <v>152.80000000000001</v>
      </c>
      <c r="F365" s="2839">
        <v>65.400000000000006</v>
      </c>
      <c r="G365" s="839">
        <v>105</v>
      </c>
      <c r="H365" s="2839">
        <v>95.1</v>
      </c>
      <c r="I365" s="839">
        <v>122.4</v>
      </c>
      <c r="J365" s="2839">
        <v>109.3</v>
      </c>
      <c r="K365" s="839">
        <v>149</v>
      </c>
      <c r="L365" s="2839">
        <v>128.6</v>
      </c>
      <c r="M365" s="839">
        <v>208.6</v>
      </c>
      <c r="N365" s="2839">
        <v>105.7</v>
      </c>
      <c r="O365" s="839">
        <v>122.7</v>
      </c>
      <c r="P365" s="2839">
        <v>198.1</v>
      </c>
      <c r="Q365" s="839">
        <v>146.5</v>
      </c>
      <c r="R365" s="2839">
        <v>188.5</v>
      </c>
      <c r="S365" s="839">
        <v>117.7</v>
      </c>
      <c r="T365" s="3177">
        <v>108.8</v>
      </c>
    </row>
    <row r="366" spans="1:20">
      <c r="A366" s="63">
        <f t="shared" si="0"/>
        <v>2023.09</v>
      </c>
      <c r="B366" s="839">
        <v>133.6</v>
      </c>
      <c r="C366" s="2839">
        <v>129</v>
      </c>
      <c r="D366" s="439">
        <v>126.8</v>
      </c>
      <c r="E366" s="839">
        <v>142.6</v>
      </c>
      <c r="F366" s="2839">
        <v>58.4</v>
      </c>
      <c r="G366" s="839">
        <v>100.9</v>
      </c>
      <c r="H366" s="2839">
        <v>97.6</v>
      </c>
      <c r="I366" s="839">
        <v>116.3</v>
      </c>
      <c r="J366" s="2839">
        <v>117</v>
      </c>
      <c r="K366" s="839">
        <v>153.6</v>
      </c>
      <c r="L366" s="2839">
        <v>128.80000000000001</v>
      </c>
      <c r="M366" s="839">
        <v>200.6</v>
      </c>
      <c r="N366" s="2839">
        <v>105.5</v>
      </c>
      <c r="O366" s="839">
        <v>116.6</v>
      </c>
      <c r="P366" s="2839">
        <v>185.8</v>
      </c>
      <c r="Q366" s="839">
        <v>137.1</v>
      </c>
      <c r="R366" s="2839">
        <v>175.2</v>
      </c>
      <c r="S366" s="839">
        <v>125.3</v>
      </c>
      <c r="T366" s="3177">
        <v>94.4</v>
      </c>
    </row>
    <row r="367" spans="1:20">
      <c r="A367" s="63">
        <f t="shared" si="0"/>
        <v>2023.1</v>
      </c>
      <c r="B367" s="839">
        <v>133</v>
      </c>
      <c r="C367" s="2839">
        <v>126.2</v>
      </c>
      <c r="D367" s="439">
        <v>124.3</v>
      </c>
      <c r="E367" s="839">
        <v>146.4</v>
      </c>
      <c r="F367" s="2839">
        <v>54.3</v>
      </c>
      <c r="G367" s="839">
        <v>96.5</v>
      </c>
      <c r="H367" s="2839">
        <v>106.5</v>
      </c>
      <c r="I367" s="839">
        <v>111.6</v>
      </c>
      <c r="J367" s="2839">
        <v>106</v>
      </c>
      <c r="K367" s="839">
        <v>148.1</v>
      </c>
      <c r="L367" s="2839">
        <v>127.8</v>
      </c>
      <c r="M367" s="839">
        <v>197.8</v>
      </c>
      <c r="N367" s="2839">
        <v>109</v>
      </c>
      <c r="O367" s="839">
        <v>113.6</v>
      </c>
      <c r="P367" s="2839">
        <v>184.5</v>
      </c>
      <c r="Q367" s="839">
        <v>135.5</v>
      </c>
      <c r="R367" s="2839">
        <v>159.4</v>
      </c>
      <c r="S367" s="839">
        <v>121.7</v>
      </c>
      <c r="T367" s="3177">
        <v>104.6</v>
      </c>
    </row>
    <row r="368" spans="1:20">
      <c r="A368" s="63">
        <f t="shared" si="0"/>
        <v>2023.11</v>
      </c>
      <c r="B368" s="839">
        <v>127.6</v>
      </c>
      <c r="C368" s="2839">
        <v>123.1</v>
      </c>
      <c r="D368" s="439">
        <v>121.7</v>
      </c>
      <c r="E368" s="839">
        <v>139.69999999999999</v>
      </c>
      <c r="F368" s="2839">
        <v>59.4</v>
      </c>
      <c r="G368" s="839">
        <v>88.6</v>
      </c>
      <c r="H368" s="2839">
        <v>98.4</v>
      </c>
      <c r="I368" s="839">
        <v>111.5</v>
      </c>
      <c r="J368" s="2839">
        <v>115.8</v>
      </c>
      <c r="K368" s="839">
        <v>143.19999999999999</v>
      </c>
      <c r="L368" s="2839">
        <v>123.8</v>
      </c>
      <c r="M368" s="839">
        <v>194.6</v>
      </c>
      <c r="N368" s="2839">
        <v>98.9</v>
      </c>
      <c r="O368" s="839">
        <v>111.9</v>
      </c>
      <c r="P368" s="2839">
        <v>152.69999999999999</v>
      </c>
      <c r="Q368" s="839">
        <v>122.3</v>
      </c>
      <c r="R368" s="2839">
        <v>171.6</v>
      </c>
      <c r="S368" s="839">
        <v>134.80000000000001</v>
      </c>
      <c r="T368" s="3177">
        <v>101.6</v>
      </c>
    </row>
    <row r="369" spans="1:20">
      <c r="A369" s="63">
        <f t="shared" si="0"/>
        <v>2023.12</v>
      </c>
      <c r="B369" s="839">
        <v>107.5</v>
      </c>
      <c r="C369" s="2839">
        <v>116.6</v>
      </c>
      <c r="D369" s="439">
        <v>119.1</v>
      </c>
      <c r="E369" s="839">
        <v>131.19999999999999</v>
      </c>
      <c r="F369" s="2839">
        <v>51.2</v>
      </c>
      <c r="G369" s="839">
        <v>61.8</v>
      </c>
      <c r="H369" s="2839">
        <v>85.9</v>
      </c>
      <c r="I369" s="839">
        <v>92</v>
      </c>
      <c r="J369" s="2839">
        <v>121.1</v>
      </c>
      <c r="K369" s="839">
        <v>120.1</v>
      </c>
      <c r="L369" s="2839">
        <v>103.1</v>
      </c>
      <c r="M369" s="839">
        <v>165.1</v>
      </c>
      <c r="N369" s="2839">
        <v>77.8</v>
      </c>
      <c r="O369" s="839">
        <v>85.1</v>
      </c>
      <c r="P369" s="2839">
        <v>117.7</v>
      </c>
      <c r="Q369" s="839">
        <v>73</v>
      </c>
      <c r="R369" s="2839">
        <v>124.3</v>
      </c>
      <c r="S369" s="839">
        <v>112.3</v>
      </c>
      <c r="T369" s="3177">
        <v>70.599999999999994</v>
      </c>
    </row>
    <row r="370" spans="1:20">
      <c r="A370" s="63">
        <f t="shared" si="0"/>
        <v>2024.01</v>
      </c>
      <c r="B370" s="839">
        <v>102.9</v>
      </c>
      <c r="C370" s="2839">
        <v>113.2</v>
      </c>
      <c r="D370" s="439">
        <v>116.8</v>
      </c>
      <c r="E370" s="839">
        <v>134.30000000000001</v>
      </c>
      <c r="F370" s="2839">
        <v>99.5</v>
      </c>
      <c r="G370" s="839">
        <v>50.5</v>
      </c>
      <c r="H370" s="2839">
        <v>57.1</v>
      </c>
      <c r="I370" s="839">
        <v>99.4</v>
      </c>
      <c r="J370" s="2839">
        <v>118.6</v>
      </c>
      <c r="K370" s="839">
        <v>117.5</v>
      </c>
      <c r="L370" s="2839">
        <v>98.3</v>
      </c>
      <c r="M370" s="839">
        <v>145.6</v>
      </c>
      <c r="N370" s="2839">
        <v>85.6</v>
      </c>
      <c r="O370" s="839">
        <v>90.1</v>
      </c>
      <c r="P370" s="2839">
        <v>88.1</v>
      </c>
      <c r="Q370" s="839">
        <v>64.7</v>
      </c>
      <c r="R370" s="2839">
        <v>77.3</v>
      </c>
      <c r="S370" s="839">
        <v>96.7</v>
      </c>
      <c r="T370" s="3177">
        <v>64.5</v>
      </c>
    </row>
    <row r="371" spans="1:20">
      <c r="A371" s="63">
        <f t="shared" si="0"/>
        <v>2024.02</v>
      </c>
      <c r="B371" s="839">
        <v>103.7</v>
      </c>
      <c r="C371" s="2839">
        <v>113.5</v>
      </c>
      <c r="D371" s="439">
        <v>114.9</v>
      </c>
      <c r="E371" s="839">
        <v>126</v>
      </c>
      <c r="F371" s="2839">
        <v>124.4</v>
      </c>
      <c r="G371" s="839">
        <v>62.3</v>
      </c>
      <c r="H371" s="2839">
        <v>66.5</v>
      </c>
      <c r="I371" s="839">
        <v>96</v>
      </c>
      <c r="J371" s="2839">
        <v>109</v>
      </c>
      <c r="K371" s="839">
        <v>123.7</v>
      </c>
      <c r="L371" s="2839">
        <v>98.6</v>
      </c>
      <c r="M371" s="839">
        <v>139.69999999999999</v>
      </c>
      <c r="N371" s="2839">
        <v>71.599999999999994</v>
      </c>
      <c r="O371" s="839">
        <v>91.9</v>
      </c>
      <c r="P371" s="2839">
        <v>103.5</v>
      </c>
      <c r="Q371" s="839">
        <v>79.3</v>
      </c>
      <c r="R371" s="2839">
        <v>124.4</v>
      </c>
      <c r="S371" s="839">
        <v>99.2</v>
      </c>
      <c r="T371" s="3177">
        <v>63</v>
      </c>
    </row>
    <row r="372" spans="1:20">
      <c r="A372" s="63">
        <f t="shared" si="0"/>
        <v>2024.03</v>
      </c>
      <c r="B372" s="839">
        <v>110.4</v>
      </c>
      <c r="C372" s="2839">
        <v>110.9</v>
      </c>
      <c r="D372" s="439">
        <v>113.8</v>
      </c>
      <c r="E372" s="839">
        <v>132</v>
      </c>
      <c r="F372" s="2839">
        <v>126.4</v>
      </c>
      <c r="G372" s="839">
        <v>63.4</v>
      </c>
      <c r="H372" s="2839">
        <v>86.4</v>
      </c>
      <c r="I372" s="839">
        <v>94.5</v>
      </c>
      <c r="J372" s="2839">
        <v>116.6</v>
      </c>
      <c r="K372" s="839">
        <v>139.6</v>
      </c>
      <c r="L372" s="2839">
        <v>99.8</v>
      </c>
      <c r="M372" s="839">
        <v>125.5</v>
      </c>
      <c r="N372" s="2839">
        <v>73.7</v>
      </c>
      <c r="O372" s="839">
        <v>87.9</v>
      </c>
      <c r="P372" s="2839">
        <v>124.5</v>
      </c>
      <c r="Q372" s="839">
        <v>91.4</v>
      </c>
      <c r="R372" s="2839">
        <v>141.19999999999999</v>
      </c>
      <c r="S372" s="839">
        <v>104</v>
      </c>
      <c r="T372" s="3177">
        <v>69.8</v>
      </c>
    </row>
    <row r="373" spans="1:20">
      <c r="A373" s="63">
        <f t="shared" si="0"/>
        <v>2024.04</v>
      </c>
      <c r="B373" s="839">
        <v>111.3</v>
      </c>
      <c r="C373" s="2839">
        <v>111</v>
      </c>
      <c r="D373" s="439">
        <v>113.4</v>
      </c>
      <c r="E373" s="839">
        <v>134</v>
      </c>
      <c r="F373" s="2839">
        <v>73.599999999999994</v>
      </c>
      <c r="G373" s="839">
        <v>64.099999999999994</v>
      </c>
      <c r="H373" s="2839">
        <v>85.7</v>
      </c>
      <c r="I373" s="839">
        <v>95.4</v>
      </c>
      <c r="J373" s="2839">
        <v>116.9</v>
      </c>
      <c r="K373" s="839">
        <v>129</v>
      </c>
      <c r="L373" s="2839">
        <v>96.3</v>
      </c>
      <c r="M373" s="839">
        <v>117.1</v>
      </c>
      <c r="N373" s="2839">
        <v>87.6</v>
      </c>
      <c r="O373" s="839">
        <v>90.1</v>
      </c>
      <c r="P373" s="2839">
        <v>144.4</v>
      </c>
      <c r="Q373" s="839">
        <v>88.4</v>
      </c>
      <c r="R373" s="2839">
        <v>140.1</v>
      </c>
      <c r="S373" s="839">
        <v>112.3</v>
      </c>
      <c r="T373" s="3177">
        <v>77.099999999999994</v>
      </c>
    </row>
    <row r="374" spans="1:20">
      <c r="A374" s="63">
        <f t="shared" si="0"/>
        <v>2024.05</v>
      </c>
      <c r="B374" s="839">
        <v>116.7</v>
      </c>
      <c r="C374" s="2839">
        <v>112.7</v>
      </c>
      <c r="D374" s="439">
        <v>113.7</v>
      </c>
      <c r="E374" s="839">
        <v>143.80000000000001</v>
      </c>
      <c r="F374" s="2839">
        <v>63.9</v>
      </c>
      <c r="G374" s="839">
        <v>75.900000000000006</v>
      </c>
      <c r="H374" s="2839">
        <v>98.1</v>
      </c>
      <c r="I374" s="839">
        <v>92.6</v>
      </c>
      <c r="J374" s="2839">
        <v>124.1</v>
      </c>
      <c r="K374" s="839">
        <v>139</v>
      </c>
      <c r="L374" s="2839">
        <v>95</v>
      </c>
      <c r="M374" s="839">
        <v>128</v>
      </c>
      <c r="N374" s="2839">
        <v>83.1</v>
      </c>
      <c r="O374" s="839">
        <v>98.9</v>
      </c>
      <c r="P374" s="2839">
        <v>143</v>
      </c>
      <c r="Q374" s="839">
        <v>101.2</v>
      </c>
      <c r="R374" s="2839">
        <v>134.19999999999999</v>
      </c>
      <c r="S374" s="839">
        <v>108.1</v>
      </c>
      <c r="T374" s="3177">
        <v>80.5</v>
      </c>
    </row>
    <row r="375" spans="1:20">
      <c r="A375" s="63">
        <f t="shared" si="0"/>
        <v>2024.06</v>
      </c>
      <c r="B375" s="839">
        <v>107.1</v>
      </c>
      <c r="C375" s="2839">
        <v>111.7</v>
      </c>
      <c r="D375" s="439">
        <v>114.7</v>
      </c>
      <c r="E375" s="839">
        <v>136.1</v>
      </c>
      <c r="F375" s="2839">
        <v>39.299999999999997</v>
      </c>
      <c r="G375" s="839">
        <v>77.8</v>
      </c>
      <c r="H375" s="2839">
        <v>80.900000000000006</v>
      </c>
      <c r="I375" s="839">
        <v>83.5</v>
      </c>
      <c r="J375" s="2839">
        <v>114.9</v>
      </c>
      <c r="K375" s="839">
        <v>130.30000000000001</v>
      </c>
      <c r="L375" s="2839">
        <v>86.5</v>
      </c>
      <c r="M375" s="839">
        <v>122.6</v>
      </c>
      <c r="N375" s="2839">
        <v>77</v>
      </c>
      <c r="O375" s="839">
        <v>87</v>
      </c>
      <c r="P375" s="2839">
        <v>128.1</v>
      </c>
      <c r="Q375" s="839">
        <v>88.9</v>
      </c>
      <c r="R375" s="2839">
        <v>112.5</v>
      </c>
      <c r="S375" s="839">
        <v>100.9</v>
      </c>
      <c r="T375" s="3177">
        <v>69.8</v>
      </c>
    </row>
    <row r="376" spans="1:20">
      <c r="A376" s="63">
        <f t="shared" si="0"/>
        <v>2024.07</v>
      </c>
      <c r="B376" s="839">
        <v>125.1</v>
      </c>
      <c r="C376" s="2839">
        <v>117.9</v>
      </c>
      <c r="D376" s="439">
        <v>116</v>
      </c>
      <c r="E376" s="839">
        <v>156.69999999999999</v>
      </c>
      <c r="F376" s="2839">
        <v>54.1</v>
      </c>
      <c r="G376" s="839">
        <v>93.2</v>
      </c>
      <c r="H376" s="2839">
        <v>95.1</v>
      </c>
      <c r="I376" s="839">
        <v>93.9</v>
      </c>
      <c r="J376" s="2839">
        <v>121</v>
      </c>
      <c r="K376" s="839">
        <v>146.30000000000001</v>
      </c>
      <c r="L376" s="2839">
        <v>102.1</v>
      </c>
      <c r="M376" s="839">
        <v>142.9</v>
      </c>
      <c r="N376" s="2839">
        <v>88.9</v>
      </c>
      <c r="O376" s="839">
        <v>101.2</v>
      </c>
      <c r="P376" s="2839">
        <v>161.1</v>
      </c>
      <c r="Q376" s="839">
        <v>116.8</v>
      </c>
      <c r="R376" s="2839">
        <v>145.69999999999999</v>
      </c>
      <c r="S376" s="839">
        <v>114.2</v>
      </c>
      <c r="T376" s="3177">
        <v>97.1</v>
      </c>
    </row>
    <row r="377" spans="1:20">
      <c r="A377" s="63">
        <f t="shared" si="0"/>
        <v>2024.08</v>
      </c>
      <c r="B377" s="839">
        <v>128.9</v>
      </c>
      <c r="C377" s="2839">
        <v>120.8</v>
      </c>
      <c r="D377" s="439">
        <v>117.5</v>
      </c>
      <c r="E377" s="839">
        <v>155.4</v>
      </c>
      <c r="F377" s="2839">
        <v>60.6</v>
      </c>
      <c r="G377" s="839">
        <v>94.5</v>
      </c>
      <c r="H377" s="2839">
        <v>98.2</v>
      </c>
      <c r="I377" s="839">
        <v>101.2</v>
      </c>
      <c r="J377" s="2839">
        <v>122.8</v>
      </c>
      <c r="K377" s="839">
        <v>143.5</v>
      </c>
      <c r="L377" s="2839">
        <v>111</v>
      </c>
      <c r="M377" s="839">
        <v>162.30000000000001</v>
      </c>
      <c r="N377" s="2839">
        <v>94.4</v>
      </c>
      <c r="O377" s="839">
        <v>109.6</v>
      </c>
      <c r="P377" s="2839">
        <v>160.5</v>
      </c>
      <c r="Q377" s="839">
        <v>131</v>
      </c>
      <c r="R377" s="2839">
        <v>164.9</v>
      </c>
      <c r="S377" s="839">
        <v>128.1</v>
      </c>
      <c r="T377" s="3177">
        <v>98.3</v>
      </c>
    </row>
    <row r="378" spans="1:20">
      <c r="A378" s="63">
        <f t="shared" si="0"/>
        <v>2024.09</v>
      </c>
      <c r="B378" s="839">
        <v>125.4</v>
      </c>
      <c r="C378" s="2839">
        <v>122.4</v>
      </c>
      <c r="D378" s="439">
        <v>118.9</v>
      </c>
      <c r="E378" s="839">
        <v>152.4</v>
      </c>
      <c r="F378" s="2839">
        <v>56.9</v>
      </c>
      <c r="G378" s="839">
        <v>82.1</v>
      </c>
      <c r="H378" s="2839">
        <v>95.3</v>
      </c>
      <c r="I378" s="839">
        <v>102.9</v>
      </c>
      <c r="J378" s="2839">
        <v>117.6</v>
      </c>
      <c r="K378" s="839">
        <v>139.6</v>
      </c>
      <c r="L378" s="2839">
        <v>110.3</v>
      </c>
      <c r="M378" s="839">
        <v>163.19999999999999</v>
      </c>
      <c r="N378" s="2839">
        <v>90.3</v>
      </c>
      <c r="O378" s="839">
        <v>103</v>
      </c>
      <c r="P378" s="2839">
        <v>155.80000000000001</v>
      </c>
      <c r="Q378" s="839">
        <v>119.8</v>
      </c>
      <c r="R378" s="2839">
        <v>162.30000000000001</v>
      </c>
      <c r="S378" s="839">
        <v>115.7</v>
      </c>
      <c r="T378" s="3177">
        <v>93.5</v>
      </c>
    </row>
    <row r="379" spans="1:20">
      <c r="A379" s="63">
        <f t="shared" si="0"/>
        <v>2024.1</v>
      </c>
      <c r="B379" s="839">
        <v>130.4</v>
      </c>
      <c r="C379" s="2839">
        <v>121.6</v>
      </c>
      <c r="D379" s="439">
        <v>120</v>
      </c>
      <c r="E379" s="839">
        <v>156.80000000000001</v>
      </c>
      <c r="F379" s="2839">
        <v>58.1</v>
      </c>
      <c r="G379" s="839">
        <v>76.599999999999994</v>
      </c>
      <c r="H379" s="2839">
        <v>106.5</v>
      </c>
      <c r="I379" s="839">
        <v>111.2</v>
      </c>
      <c r="J379" s="2839">
        <v>119.3</v>
      </c>
      <c r="K379" s="839">
        <v>144.19999999999999</v>
      </c>
      <c r="L379" s="2839">
        <v>111.8</v>
      </c>
      <c r="M379" s="839">
        <v>164.5</v>
      </c>
      <c r="N379" s="2839">
        <v>96.7</v>
      </c>
      <c r="O379" s="839">
        <v>99.8</v>
      </c>
      <c r="P379" s="2839">
        <v>169.7</v>
      </c>
      <c r="Q379" s="839">
        <v>126.6</v>
      </c>
      <c r="R379" s="2839">
        <v>166.8</v>
      </c>
      <c r="S379" s="839">
        <v>130.5</v>
      </c>
      <c r="T379" s="3177">
        <v>100.5</v>
      </c>
    </row>
    <row r="380" spans="1:20">
      <c r="A380" s="63">
        <f t="shared" si="0"/>
        <v>2024.11</v>
      </c>
      <c r="B380" s="839">
        <v>125.6</v>
      </c>
      <c r="C380" s="2839">
        <v>122.9</v>
      </c>
      <c r="D380" s="439">
        <v>120.8</v>
      </c>
      <c r="E380" s="839">
        <v>151.69999999999999</v>
      </c>
      <c r="F380" s="2839">
        <v>52.9</v>
      </c>
      <c r="G380" s="839">
        <v>73.8</v>
      </c>
      <c r="H380" s="2839">
        <v>96.3</v>
      </c>
      <c r="I380" s="839">
        <v>103.2</v>
      </c>
      <c r="J380" s="2839">
        <v>117.7</v>
      </c>
      <c r="K380" s="839">
        <v>139.5</v>
      </c>
      <c r="L380" s="2839">
        <v>104.1</v>
      </c>
      <c r="M380" s="839">
        <v>155.6</v>
      </c>
      <c r="N380" s="2839">
        <v>92.3</v>
      </c>
      <c r="O380" s="839">
        <v>97.7</v>
      </c>
      <c r="P380" s="2839">
        <v>163.9</v>
      </c>
      <c r="Q380" s="839">
        <v>126.5</v>
      </c>
      <c r="R380" s="2839">
        <v>170.3</v>
      </c>
      <c r="S380" s="839">
        <v>131.1</v>
      </c>
      <c r="T380" s="3177">
        <v>99.1</v>
      </c>
    </row>
    <row r="381" spans="1:20">
      <c r="A381" s="63">
        <f t="shared" si="0"/>
        <v>2024.12</v>
      </c>
      <c r="B381" s="839">
        <v>116.9</v>
      </c>
      <c r="C381" s="2839">
        <v>122.8</v>
      </c>
      <c r="D381" s="439">
        <v>121.4</v>
      </c>
      <c r="E381" s="839">
        <v>142.4</v>
      </c>
      <c r="F381" s="2839">
        <v>46.4</v>
      </c>
      <c r="G381" s="839">
        <v>63.4</v>
      </c>
      <c r="H381" s="2839">
        <v>104.4</v>
      </c>
      <c r="I381" s="839">
        <v>92.1</v>
      </c>
      <c r="J381" s="2839">
        <v>128.19999999999999</v>
      </c>
      <c r="K381" s="839">
        <v>130</v>
      </c>
      <c r="L381" s="2839">
        <v>94.1</v>
      </c>
      <c r="M381" s="839">
        <v>142.19999999999999</v>
      </c>
      <c r="N381" s="2839">
        <v>80</v>
      </c>
      <c r="O381" s="839">
        <v>86</v>
      </c>
      <c r="P381" s="2839">
        <v>156.69999999999999</v>
      </c>
      <c r="Q381" s="839">
        <v>122.4</v>
      </c>
      <c r="R381" s="2839">
        <v>136.4</v>
      </c>
      <c r="S381" s="839">
        <v>121.9</v>
      </c>
      <c r="T381" s="3177">
        <v>94.3</v>
      </c>
    </row>
    <row r="382" spans="1:20">
      <c r="A382" s="63">
        <f t="shared" si="0"/>
        <v>2025.01</v>
      </c>
      <c r="B382" s="839">
        <v>110.7</v>
      </c>
      <c r="C382" s="2839">
        <v>121</v>
      </c>
      <c r="D382" s="439">
        <v>121.6</v>
      </c>
      <c r="E382" s="839">
        <v>144.69999999999999</v>
      </c>
      <c r="F382" s="2839">
        <v>111.2</v>
      </c>
      <c r="G382" s="839">
        <v>45.7</v>
      </c>
      <c r="H382" s="2839">
        <v>72.5</v>
      </c>
      <c r="I382" s="839">
        <v>100.4</v>
      </c>
      <c r="J382" s="2839">
        <v>128.4</v>
      </c>
      <c r="K382" s="839">
        <v>130.19999999999999</v>
      </c>
      <c r="L382" s="2839">
        <v>90.9</v>
      </c>
      <c r="M382" s="839">
        <v>122.2</v>
      </c>
      <c r="N382" s="2839">
        <v>83.9</v>
      </c>
      <c r="O382" s="839">
        <v>86.5</v>
      </c>
      <c r="P382" s="2839">
        <v>111.2</v>
      </c>
      <c r="Q382" s="839">
        <v>97.4</v>
      </c>
      <c r="R382" s="2839">
        <v>95</v>
      </c>
      <c r="S382" s="839">
        <v>124.7</v>
      </c>
      <c r="T382" s="3177">
        <v>84.3</v>
      </c>
    </row>
    <row r="383" spans="1:20">
      <c r="A383" s="63">
        <f t="shared" si="0"/>
        <v>2025.02</v>
      </c>
      <c r="B383" s="839">
        <v>109.4</v>
      </c>
      <c r="C383" s="2839">
        <v>120.9</v>
      </c>
      <c r="D383" s="439">
        <v>121.5</v>
      </c>
      <c r="E383" s="839">
        <v>138.5</v>
      </c>
      <c r="F383" s="2839">
        <v>151.19999999999999</v>
      </c>
      <c r="G383" s="839">
        <v>65.5</v>
      </c>
      <c r="H383" s="2839">
        <v>73.099999999999994</v>
      </c>
      <c r="I383" s="839">
        <v>96.6</v>
      </c>
      <c r="J383" s="2839">
        <v>100.9</v>
      </c>
      <c r="K383" s="839">
        <v>121.3</v>
      </c>
      <c r="L383" s="2839">
        <v>95</v>
      </c>
      <c r="M383" s="839">
        <v>131.19999999999999</v>
      </c>
      <c r="N383" s="2839">
        <v>63.8</v>
      </c>
      <c r="O383" s="839">
        <v>81.900000000000006</v>
      </c>
      <c r="P383" s="2839">
        <v>138.80000000000001</v>
      </c>
      <c r="Q383" s="839">
        <v>108.8</v>
      </c>
      <c r="R383" s="2839">
        <v>142.69999999999999</v>
      </c>
      <c r="S383" s="839">
        <v>129.9</v>
      </c>
      <c r="T383" s="3177">
        <v>83.2</v>
      </c>
    </row>
    <row r="384" spans="1:20">
      <c r="A384" s="63">
        <f t="shared" si="0"/>
        <v>2025.03</v>
      </c>
      <c r="B384" s="839">
        <v>116</v>
      </c>
      <c r="C384" s="2839">
        <v>116.3</v>
      </c>
      <c r="D384" s="439">
        <v>121.1</v>
      </c>
      <c r="E384" s="839">
        <v>140.4</v>
      </c>
      <c r="F384" s="2839">
        <v>121.8</v>
      </c>
      <c r="G384" s="839">
        <v>71.900000000000006</v>
      </c>
      <c r="H384" s="2839">
        <v>94.6</v>
      </c>
      <c r="I384" s="839">
        <v>97.7</v>
      </c>
      <c r="J384" s="2839">
        <v>113.1</v>
      </c>
      <c r="K384" s="839">
        <v>126.3</v>
      </c>
      <c r="L384" s="2839">
        <v>96.4</v>
      </c>
      <c r="M384" s="839">
        <v>138.80000000000001</v>
      </c>
      <c r="N384" s="2839">
        <v>89.2</v>
      </c>
      <c r="O384" s="839">
        <v>81.7</v>
      </c>
      <c r="P384" s="2839">
        <v>150.30000000000001</v>
      </c>
      <c r="Q384" s="839">
        <v>108.8</v>
      </c>
      <c r="R384" s="2839">
        <v>141</v>
      </c>
      <c r="S384" s="839">
        <v>132.9</v>
      </c>
      <c r="T384" s="3177">
        <v>92.7</v>
      </c>
    </row>
    <row r="385" spans="1:20">
      <c r="A385" s="63">
        <f t="shared" si="0"/>
        <v>2025.04</v>
      </c>
      <c r="B385" s="839">
        <v>120.8</v>
      </c>
      <c r="C385" s="2839">
        <v>118.9</v>
      </c>
      <c r="D385" s="439">
        <v>120.4</v>
      </c>
      <c r="E385" s="839">
        <v>143.69999999999999</v>
      </c>
      <c r="F385" s="2839">
        <v>92.5</v>
      </c>
      <c r="G385" s="839">
        <v>74.7</v>
      </c>
      <c r="H385" s="2839">
        <v>93.4</v>
      </c>
      <c r="I385" s="839">
        <v>100.3</v>
      </c>
      <c r="J385" s="2839">
        <v>121.1</v>
      </c>
      <c r="K385" s="839">
        <v>128.6</v>
      </c>
      <c r="L385" s="2839">
        <v>102.4</v>
      </c>
      <c r="M385" s="839">
        <v>149.1</v>
      </c>
      <c r="N385" s="2839">
        <v>93.8</v>
      </c>
      <c r="O385" s="839">
        <v>83.8</v>
      </c>
      <c r="P385" s="2839">
        <v>172.8</v>
      </c>
      <c r="Q385" s="839">
        <v>112.8</v>
      </c>
      <c r="R385" s="2839">
        <v>150.9</v>
      </c>
      <c r="S385" s="839">
        <v>141.19999999999999</v>
      </c>
      <c r="T385" s="3177">
        <v>105</v>
      </c>
    </row>
    <row r="386" spans="1:20">
      <c r="A386" s="63">
        <f t="shared" si="0"/>
        <v>2025.05</v>
      </c>
      <c r="B386" s="839" t="e">
        <v>#N/A</v>
      </c>
      <c r="C386" s="2839" t="e">
        <v>#N/A</v>
      </c>
      <c r="D386" s="439" t="e">
        <v>#N/A</v>
      </c>
      <c r="E386" s="839" t="e">
        <v>#N/A</v>
      </c>
      <c r="F386" s="2839" t="e">
        <v>#N/A</v>
      </c>
      <c r="G386" s="839" t="e">
        <v>#N/A</v>
      </c>
      <c r="H386" s="2839" t="e">
        <v>#N/A</v>
      </c>
      <c r="I386" s="839" t="e">
        <v>#N/A</v>
      </c>
      <c r="J386" s="2839" t="e">
        <v>#N/A</v>
      </c>
      <c r="K386" s="839" t="e">
        <v>#N/A</v>
      </c>
      <c r="L386" s="2839" t="e">
        <v>#N/A</v>
      </c>
      <c r="M386" s="839" t="e">
        <v>#N/A</v>
      </c>
      <c r="N386" s="2839" t="e">
        <v>#N/A</v>
      </c>
      <c r="O386" s="839" t="e">
        <v>#N/A</v>
      </c>
      <c r="P386" s="2839" t="e">
        <v>#N/A</v>
      </c>
      <c r="Q386" s="839" t="e">
        <v>#N/A</v>
      </c>
      <c r="R386" s="2839" t="e">
        <v>#N/A</v>
      </c>
      <c r="S386" s="839" t="e">
        <v>#N/A</v>
      </c>
      <c r="T386" s="3177" t="e">
        <v>#N/A</v>
      </c>
    </row>
    <row r="387" spans="1:20">
      <c r="A387" s="63">
        <f t="shared" si="0"/>
        <v>2025.06</v>
      </c>
      <c r="B387" s="839" t="e">
        <v>#N/A</v>
      </c>
      <c r="C387" s="2839" t="e">
        <v>#N/A</v>
      </c>
      <c r="D387" s="439" t="e">
        <v>#N/A</v>
      </c>
      <c r="E387" s="839" t="e">
        <v>#N/A</v>
      </c>
      <c r="F387" s="2839" t="e">
        <v>#N/A</v>
      </c>
      <c r="G387" s="839" t="e">
        <v>#N/A</v>
      </c>
      <c r="H387" s="2839" t="e">
        <v>#N/A</v>
      </c>
      <c r="I387" s="839" t="e">
        <v>#N/A</v>
      </c>
      <c r="J387" s="2839" t="e">
        <v>#N/A</v>
      </c>
      <c r="K387" s="839" t="e">
        <v>#N/A</v>
      </c>
      <c r="L387" s="2839" t="e">
        <v>#N/A</v>
      </c>
      <c r="M387" s="839" t="e">
        <v>#N/A</v>
      </c>
      <c r="N387" s="2839" t="e">
        <v>#N/A</v>
      </c>
      <c r="O387" s="839" t="e">
        <v>#N/A</v>
      </c>
      <c r="P387" s="2839" t="e">
        <v>#N/A</v>
      </c>
      <c r="Q387" s="839" t="e">
        <v>#N/A</v>
      </c>
      <c r="R387" s="2839" t="e">
        <v>#N/A</v>
      </c>
      <c r="S387" s="839" t="e">
        <v>#N/A</v>
      </c>
      <c r="T387" s="3177" t="e">
        <v>#N/A</v>
      </c>
    </row>
    <row r="388" spans="1:20">
      <c r="A388" s="63">
        <f t="shared" si="0"/>
        <v>2025.07</v>
      </c>
      <c r="B388" s="839" t="e">
        <v>#N/A</v>
      </c>
      <c r="C388" s="2839" t="e">
        <v>#N/A</v>
      </c>
      <c r="D388" s="439" t="e">
        <v>#N/A</v>
      </c>
      <c r="E388" s="839" t="e">
        <v>#N/A</v>
      </c>
      <c r="F388" s="2839" t="e">
        <v>#N/A</v>
      </c>
      <c r="G388" s="839" t="e">
        <v>#N/A</v>
      </c>
      <c r="H388" s="2839" t="e">
        <v>#N/A</v>
      </c>
      <c r="I388" s="839" t="e">
        <v>#N/A</v>
      </c>
      <c r="J388" s="2839" t="e">
        <v>#N/A</v>
      </c>
      <c r="K388" s="839" t="e">
        <v>#N/A</v>
      </c>
      <c r="L388" s="2839" t="e">
        <v>#N/A</v>
      </c>
      <c r="M388" s="839" t="e">
        <v>#N/A</v>
      </c>
      <c r="N388" s="2839" t="e">
        <v>#N/A</v>
      </c>
      <c r="O388" s="839" t="e">
        <v>#N/A</v>
      </c>
      <c r="P388" s="2839" t="e">
        <v>#N/A</v>
      </c>
      <c r="Q388" s="839" t="e">
        <v>#N/A</v>
      </c>
      <c r="R388" s="2839" t="e">
        <v>#N/A</v>
      </c>
      <c r="S388" s="839" t="e">
        <v>#N/A</v>
      </c>
      <c r="T388" s="3177" t="e">
        <v>#N/A</v>
      </c>
    </row>
    <row r="389" spans="1:20">
      <c r="A389" s="63">
        <f t="shared" si="0"/>
        <v>2025.08</v>
      </c>
      <c r="B389" s="839" t="e">
        <v>#N/A</v>
      </c>
      <c r="C389" s="2839" t="e">
        <v>#N/A</v>
      </c>
      <c r="D389" s="439" t="e">
        <v>#N/A</v>
      </c>
      <c r="E389" s="839" t="e">
        <v>#N/A</v>
      </c>
      <c r="F389" s="2839" t="e">
        <v>#N/A</v>
      </c>
      <c r="G389" s="839" t="e">
        <v>#N/A</v>
      </c>
      <c r="H389" s="2839" t="e">
        <v>#N/A</v>
      </c>
      <c r="I389" s="839" t="e">
        <v>#N/A</v>
      </c>
      <c r="J389" s="2839" t="e">
        <v>#N/A</v>
      </c>
      <c r="K389" s="839" t="e">
        <v>#N/A</v>
      </c>
      <c r="L389" s="2839" t="e">
        <v>#N/A</v>
      </c>
      <c r="M389" s="839" t="e">
        <v>#N/A</v>
      </c>
      <c r="N389" s="2839" t="e">
        <v>#N/A</v>
      </c>
      <c r="O389" s="839" t="e">
        <v>#N/A</v>
      </c>
      <c r="P389" s="2839" t="e">
        <v>#N/A</v>
      </c>
      <c r="Q389" s="839" t="e">
        <v>#N/A</v>
      </c>
      <c r="R389" s="2839" t="e">
        <v>#N/A</v>
      </c>
      <c r="S389" s="839" t="e">
        <v>#N/A</v>
      </c>
      <c r="T389" s="3177" t="e">
        <v>#N/A</v>
      </c>
    </row>
    <row r="390" spans="1:20">
      <c r="A390" s="63">
        <f t="shared" si="0"/>
        <v>2025.09</v>
      </c>
      <c r="B390" s="839" t="e">
        <v>#N/A</v>
      </c>
      <c r="C390" s="2839" t="e">
        <v>#N/A</v>
      </c>
      <c r="D390" s="439" t="e">
        <v>#N/A</v>
      </c>
      <c r="E390" s="839" t="e">
        <v>#N/A</v>
      </c>
      <c r="F390" s="2839" t="e">
        <v>#N/A</v>
      </c>
      <c r="G390" s="839" t="e">
        <v>#N/A</v>
      </c>
      <c r="H390" s="2839" t="e">
        <v>#N/A</v>
      </c>
      <c r="I390" s="839" t="e">
        <v>#N/A</v>
      </c>
      <c r="J390" s="2839" t="e">
        <v>#N/A</v>
      </c>
      <c r="K390" s="839" t="e">
        <v>#N/A</v>
      </c>
      <c r="L390" s="2839" t="e">
        <v>#N/A</v>
      </c>
      <c r="M390" s="839" t="e">
        <v>#N/A</v>
      </c>
      <c r="N390" s="2839" t="e">
        <v>#N/A</v>
      </c>
      <c r="O390" s="839" t="e">
        <v>#N/A</v>
      </c>
      <c r="P390" s="2839" t="e">
        <v>#N/A</v>
      </c>
      <c r="Q390" s="839" t="e">
        <v>#N/A</v>
      </c>
      <c r="R390" s="2839" t="e">
        <v>#N/A</v>
      </c>
      <c r="S390" s="839" t="e">
        <v>#N/A</v>
      </c>
      <c r="T390" s="3177" t="e">
        <v>#N/A</v>
      </c>
    </row>
    <row r="391" spans="1:20">
      <c r="A391" s="63">
        <f t="shared" si="0"/>
        <v>2025.1</v>
      </c>
      <c r="B391" s="839" t="e">
        <v>#N/A</v>
      </c>
      <c r="C391" s="2839" t="e">
        <v>#N/A</v>
      </c>
      <c r="D391" s="439" t="e">
        <v>#N/A</v>
      </c>
      <c r="E391" s="839" t="e">
        <v>#N/A</v>
      </c>
      <c r="F391" s="2839" t="e">
        <v>#N/A</v>
      </c>
      <c r="G391" s="839" t="e">
        <v>#N/A</v>
      </c>
      <c r="H391" s="2839" t="e">
        <v>#N/A</v>
      </c>
      <c r="I391" s="839" t="e">
        <v>#N/A</v>
      </c>
      <c r="J391" s="2839" t="e">
        <v>#N/A</v>
      </c>
      <c r="K391" s="839" t="e">
        <v>#N/A</v>
      </c>
      <c r="L391" s="2839" t="e">
        <v>#N/A</v>
      </c>
      <c r="M391" s="839" t="e">
        <v>#N/A</v>
      </c>
      <c r="N391" s="2839" t="e">
        <v>#N/A</v>
      </c>
      <c r="O391" s="839" t="e">
        <v>#N/A</v>
      </c>
      <c r="P391" s="2839" t="e">
        <v>#N/A</v>
      </c>
      <c r="Q391" s="839" t="e">
        <v>#N/A</v>
      </c>
      <c r="R391" s="2839" t="e">
        <v>#N/A</v>
      </c>
      <c r="S391" s="839" t="e">
        <v>#N/A</v>
      </c>
      <c r="T391" s="3177" t="e">
        <v>#N/A</v>
      </c>
    </row>
    <row r="392" spans="1:20">
      <c r="A392" s="63">
        <f t="shared" si="0"/>
        <v>2025.11</v>
      </c>
      <c r="B392" s="839" t="e">
        <v>#N/A</v>
      </c>
      <c r="C392" s="2839" t="e">
        <v>#N/A</v>
      </c>
      <c r="D392" s="439" t="e">
        <v>#N/A</v>
      </c>
      <c r="E392" s="839" t="e">
        <v>#N/A</v>
      </c>
      <c r="F392" s="2839" t="e">
        <v>#N/A</v>
      </c>
      <c r="G392" s="839" t="e">
        <v>#N/A</v>
      </c>
      <c r="H392" s="2839" t="e">
        <v>#N/A</v>
      </c>
      <c r="I392" s="839" t="e">
        <v>#N/A</v>
      </c>
      <c r="J392" s="2839" t="e">
        <v>#N/A</v>
      </c>
      <c r="K392" s="839" t="e">
        <v>#N/A</v>
      </c>
      <c r="L392" s="2839" t="e">
        <v>#N/A</v>
      </c>
      <c r="M392" s="839" t="e">
        <v>#N/A</v>
      </c>
      <c r="N392" s="2839" t="e">
        <v>#N/A</v>
      </c>
      <c r="O392" s="839" t="e">
        <v>#N/A</v>
      </c>
      <c r="P392" s="2839" t="e">
        <v>#N/A</v>
      </c>
      <c r="Q392" s="839" t="e">
        <v>#N/A</v>
      </c>
      <c r="R392" s="2839" t="e">
        <v>#N/A</v>
      </c>
      <c r="S392" s="839" t="e">
        <v>#N/A</v>
      </c>
      <c r="T392" s="3177" t="e">
        <v>#N/A</v>
      </c>
    </row>
    <row r="393" spans="1:20">
      <c r="A393" s="63">
        <f t="shared" si="0"/>
        <v>2025.12</v>
      </c>
      <c r="B393" s="839" t="e">
        <v>#N/A</v>
      </c>
      <c r="C393" s="2839" t="e">
        <v>#N/A</v>
      </c>
      <c r="D393" s="439" t="e">
        <v>#N/A</v>
      </c>
      <c r="E393" s="839" t="e">
        <v>#N/A</v>
      </c>
      <c r="F393" s="2839" t="e">
        <v>#N/A</v>
      </c>
      <c r="G393" s="839" t="e">
        <v>#N/A</v>
      </c>
      <c r="H393" s="2839" t="e">
        <v>#N/A</v>
      </c>
      <c r="I393" s="839" t="e">
        <v>#N/A</v>
      </c>
      <c r="J393" s="2839" t="e">
        <v>#N/A</v>
      </c>
      <c r="K393" s="839" t="e">
        <v>#N/A</v>
      </c>
      <c r="L393" s="2839" t="e">
        <v>#N/A</v>
      </c>
      <c r="M393" s="839" t="e">
        <v>#N/A</v>
      </c>
      <c r="N393" s="2839" t="e">
        <v>#N/A</v>
      </c>
      <c r="O393" s="839" t="e">
        <v>#N/A</v>
      </c>
      <c r="P393" s="2839" t="e">
        <v>#N/A</v>
      </c>
      <c r="Q393" s="839" t="e">
        <v>#N/A</v>
      </c>
      <c r="R393" s="2839" t="e">
        <v>#N/A</v>
      </c>
      <c r="S393" s="839" t="e">
        <v>#N/A</v>
      </c>
      <c r="T393" s="3177" t="e">
        <v>#N/A</v>
      </c>
    </row>
    <row r="394" spans="1:20">
      <c r="A394" s="63">
        <f t="shared" si="0"/>
        <v>2026.01</v>
      </c>
      <c r="B394" s="839" t="e">
        <v>#N/A</v>
      </c>
      <c r="C394" s="2839" t="e">
        <v>#N/A</v>
      </c>
      <c r="D394" s="439" t="e">
        <v>#N/A</v>
      </c>
      <c r="E394" s="839" t="e">
        <v>#N/A</v>
      </c>
      <c r="F394" s="2839" t="e">
        <v>#N/A</v>
      </c>
      <c r="G394" s="839" t="e">
        <v>#N/A</v>
      </c>
      <c r="H394" s="2839" t="e">
        <v>#N/A</v>
      </c>
      <c r="I394" s="839" t="e">
        <v>#N/A</v>
      </c>
      <c r="J394" s="2839" t="e">
        <v>#N/A</v>
      </c>
      <c r="K394" s="839" t="e">
        <v>#N/A</v>
      </c>
      <c r="L394" s="2839" t="e">
        <v>#N/A</v>
      </c>
      <c r="M394" s="839" t="e">
        <v>#N/A</v>
      </c>
      <c r="N394" s="2839" t="e">
        <v>#N/A</v>
      </c>
      <c r="O394" s="839" t="e">
        <v>#N/A</v>
      </c>
      <c r="P394" s="2839" t="e">
        <v>#N/A</v>
      </c>
      <c r="Q394" s="839" t="e">
        <v>#N/A</v>
      </c>
      <c r="R394" s="2839" t="e">
        <v>#N/A</v>
      </c>
      <c r="S394" s="839" t="e">
        <v>#N/A</v>
      </c>
      <c r="T394" s="3177" t="e">
        <v>#N/A</v>
      </c>
    </row>
    <row r="395" spans="1:20">
      <c r="A395" s="63">
        <f t="shared" si="0"/>
        <v>2026.02</v>
      </c>
      <c r="B395" s="839" t="e">
        <v>#N/A</v>
      </c>
      <c r="C395" s="2839" t="e">
        <v>#N/A</v>
      </c>
      <c r="D395" s="439" t="e">
        <v>#N/A</v>
      </c>
      <c r="E395" s="839" t="e">
        <v>#N/A</v>
      </c>
      <c r="F395" s="2839" t="e">
        <v>#N/A</v>
      </c>
      <c r="G395" s="839" t="e">
        <v>#N/A</v>
      </c>
      <c r="H395" s="2839" t="e">
        <v>#N/A</v>
      </c>
      <c r="I395" s="839" t="e">
        <v>#N/A</v>
      </c>
      <c r="J395" s="2839" t="e">
        <v>#N/A</v>
      </c>
      <c r="K395" s="839" t="e">
        <v>#N/A</v>
      </c>
      <c r="L395" s="2839" t="e">
        <v>#N/A</v>
      </c>
      <c r="M395" s="839" t="e">
        <v>#N/A</v>
      </c>
      <c r="N395" s="2839" t="e">
        <v>#N/A</v>
      </c>
      <c r="O395" s="839" t="e">
        <v>#N/A</v>
      </c>
      <c r="P395" s="2839" t="e">
        <v>#N/A</v>
      </c>
      <c r="Q395" s="839" t="e">
        <v>#N/A</v>
      </c>
      <c r="R395" s="2839" t="e">
        <v>#N/A</v>
      </c>
      <c r="S395" s="839" t="e">
        <v>#N/A</v>
      </c>
      <c r="T395" s="3177" t="e">
        <v>#N/A</v>
      </c>
    </row>
    <row r="396" spans="1:20">
      <c r="A396" s="63">
        <f t="shared" si="0"/>
        <v>2026.03</v>
      </c>
      <c r="B396" s="839" t="e">
        <v>#N/A</v>
      </c>
      <c r="C396" s="2839" t="e">
        <v>#N/A</v>
      </c>
      <c r="D396" s="439" t="e">
        <v>#N/A</v>
      </c>
      <c r="E396" s="839" t="e">
        <v>#N/A</v>
      </c>
      <c r="F396" s="2839" t="e">
        <v>#N/A</v>
      </c>
      <c r="G396" s="839" t="e">
        <v>#N/A</v>
      </c>
      <c r="H396" s="2839" t="e">
        <v>#N/A</v>
      </c>
      <c r="I396" s="839" t="e">
        <v>#N/A</v>
      </c>
      <c r="J396" s="2839" t="e">
        <v>#N/A</v>
      </c>
      <c r="K396" s="839" t="e">
        <v>#N/A</v>
      </c>
      <c r="L396" s="2839" t="e">
        <v>#N/A</v>
      </c>
      <c r="M396" s="839" t="e">
        <v>#N/A</v>
      </c>
      <c r="N396" s="2839" t="e">
        <v>#N/A</v>
      </c>
      <c r="O396" s="839" t="e">
        <v>#N/A</v>
      </c>
      <c r="P396" s="2839" t="e">
        <v>#N/A</v>
      </c>
      <c r="Q396" s="839" t="e">
        <v>#N/A</v>
      </c>
      <c r="R396" s="2839" t="e">
        <v>#N/A</v>
      </c>
      <c r="S396" s="839" t="e">
        <v>#N/A</v>
      </c>
      <c r="T396" s="3177" t="e">
        <v>#N/A</v>
      </c>
    </row>
    <row r="397" spans="1:20">
      <c r="A397" s="63">
        <f t="shared" si="0"/>
        <v>2026.04</v>
      </c>
      <c r="B397" s="839" t="e">
        <v>#N/A</v>
      </c>
      <c r="C397" s="2839" t="e">
        <v>#N/A</v>
      </c>
      <c r="D397" s="439" t="e">
        <v>#N/A</v>
      </c>
      <c r="E397" s="839" t="e">
        <v>#N/A</v>
      </c>
      <c r="F397" s="2839" t="e">
        <v>#N/A</v>
      </c>
      <c r="G397" s="839" t="e">
        <v>#N/A</v>
      </c>
      <c r="H397" s="2839" t="e">
        <v>#N/A</v>
      </c>
      <c r="I397" s="839" t="e">
        <v>#N/A</v>
      </c>
      <c r="J397" s="2839" t="e">
        <v>#N/A</v>
      </c>
      <c r="K397" s="839" t="e">
        <v>#N/A</v>
      </c>
      <c r="L397" s="2839" t="e">
        <v>#N/A</v>
      </c>
      <c r="M397" s="839" t="e">
        <v>#N/A</v>
      </c>
      <c r="N397" s="2839" t="e">
        <v>#N/A</v>
      </c>
      <c r="O397" s="839" t="e">
        <v>#N/A</v>
      </c>
      <c r="P397" s="2839" t="e">
        <v>#N/A</v>
      </c>
      <c r="Q397" s="839" t="e">
        <v>#N/A</v>
      </c>
      <c r="R397" s="2839" t="e">
        <v>#N/A</v>
      </c>
      <c r="S397" s="839" t="e">
        <v>#N/A</v>
      </c>
      <c r="T397" s="3177" t="e">
        <v>#N/A</v>
      </c>
    </row>
    <row r="398" spans="1:20">
      <c r="A398" s="63">
        <f t="shared" si="0"/>
        <v>2026.05</v>
      </c>
      <c r="B398" s="839" t="e">
        <v>#N/A</v>
      </c>
      <c r="C398" s="2839" t="e">
        <v>#N/A</v>
      </c>
      <c r="D398" s="439" t="e">
        <v>#N/A</v>
      </c>
      <c r="E398" s="839" t="e">
        <v>#N/A</v>
      </c>
      <c r="F398" s="2839" t="e">
        <v>#N/A</v>
      </c>
      <c r="G398" s="839" t="e">
        <v>#N/A</v>
      </c>
      <c r="H398" s="2839" t="e">
        <v>#N/A</v>
      </c>
      <c r="I398" s="839" t="e">
        <v>#N/A</v>
      </c>
      <c r="J398" s="2839" t="e">
        <v>#N/A</v>
      </c>
      <c r="K398" s="839" t="e">
        <v>#N/A</v>
      </c>
      <c r="L398" s="2839" t="e">
        <v>#N/A</v>
      </c>
      <c r="M398" s="839" t="e">
        <v>#N/A</v>
      </c>
      <c r="N398" s="2839" t="e">
        <v>#N/A</v>
      </c>
      <c r="O398" s="839" t="e">
        <v>#N/A</v>
      </c>
      <c r="P398" s="2839" t="e">
        <v>#N/A</v>
      </c>
      <c r="Q398" s="839" t="e">
        <v>#N/A</v>
      </c>
      <c r="R398" s="2839" t="e">
        <v>#N/A</v>
      </c>
      <c r="S398" s="839" t="e">
        <v>#N/A</v>
      </c>
      <c r="T398" s="3177" t="e">
        <v>#N/A</v>
      </c>
    </row>
    <row r="399" spans="1:20">
      <c r="A399" s="63">
        <f t="shared" ref="A399:A453" si="1">A387+1</f>
        <v>2026.06</v>
      </c>
      <c r="B399" s="839" t="e">
        <v>#N/A</v>
      </c>
      <c r="C399" s="2839" t="e">
        <v>#N/A</v>
      </c>
      <c r="D399" s="439" t="e">
        <v>#N/A</v>
      </c>
      <c r="E399" s="839" t="e">
        <v>#N/A</v>
      </c>
      <c r="F399" s="2839" t="e">
        <v>#N/A</v>
      </c>
      <c r="G399" s="839" t="e">
        <v>#N/A</v>
      </c>
      <c r="H399" s="2839" t="e">
        <v>#N/A</v>
      </c>
      <c r="I399" s="839" t="e">
        <v>#N/A</v>
      </c>
      <c r="J399" s="2839" t="e">
        <v>#N/A</v>
      </c>
      <c r="K399" s="839" t="e">
        <v>#N/A</v>
      </c>
      <c r="L399" s="2839" t="e">
        <v>#N/A</v>
      </c>
      <c r="M399" s="839" t="e">
        <v>#N/A</v>
      </c>
      <c r="N399" s="2839" t="e">
        <v>#N/A</v>
      </c>
      <c r="O399" s="839" t="e">
        <v>#N/A</v>
      </c>
      <c r="P399" s="2839" t="e">
        <v>#N/A</v>
      </c>
      <c r="Q399" s="839" t="e">
        <v>#N/A</v>
      </c>
      <c r="R399" s="2839" t="e">
        <v>#N/A</v>
      </c>
      <c r="S399" s="839" t="e">
        <v>#N/A</v>
      </c>
      <c r="T399" s="3177" t="e">
        <v>#N/A</v>
      </c>
    </row>
    <row r="400" spans="1:20">
      <c r="A400" s="63">
        <f t="shared" si="1"/>
        <v>2026.07</v>
      </c>
      <c r="B400" s="839" t="e">
        <v>#N/A</v>
      </c>
      <c r="C400" s="2839" t="e">
        <v>#N/A</v>
      </c>
      <c r="D400" s="439" t="e">
        <v>#N/A</v>
      </c>
      <c r="E400" s="839" t="e">
        <v>#N/A</v>
      </c>
      <c r="F400" s="2839" t="e">
        <v>#N/A</v>
      </c>
      <c r="G400" s="839" t="e">
        <v>#N/A</v>
      </c>
      <c r="H400" s="2839" t="e">
        <v>#N/A</v>
      </c>
      <c r="I400" s="839" t="e">
        <v>#N/A</v>
      </c>
      <c r="J400" s="2839" t="e">
        <v>#N/A</v>
      </c>
      <c r="K400" s="839" t="e">
        <v>#N/A</v>
      </c>
      <c r="L400" s="2839" t="e">
        <v>#N/A</v>
      </c>
      <c r="M400" s="839" t="e">
        <v>#N/A</v>
      </c>
      <c r="N400" s="2839" t="e">
        <v>#N/A</v>
      </c>
      <c r="O400" s="839" t="e">
        <v>#N/A</v>
      </c>
      <c r="P400" s="2839" t="e">
        <v>#N/A</v>
      </c>
      <c r="Q400" s="839" t="e">
        <v>#N/A</v>
      </c>
      <c r="R400" s="2839" t="e">
        <v>#N/A</v>
      </c>
      <c r="S400" s="839" t="e">
        <v>#N/A</v>
      </c>
      <c r="T400" s="3177" t="e">
        <v>#N/A</v>
      </c>
    </row>
    <row r="401" spans="1:20">
      <c r="A401" s="63">
        <f t="shared" si="1"/>
        <v>2026.08</v>
      </c>
      <c r="B401" s="839" t="e">
        <v>#N/A</v>
      </c>
      <c r="C401" s="2839" t="e">
        <v>#N/A</v>
      </c>
      <c r="D401" s="439" t="e">
        <v>#N/A</v>
      </c>
      <c r="E401" s="839" t="e">
        <v>#N/A</v>
      </c>
      <c r="F401" s="2839" t="e">
        <v>#N/A</v>
      </c>
      <c r="G401" s="839" t="e">
        <v>#N/A</v>
      </c>
      <c r="H401" s="2839" t="e">
        <v>#N/A</v>
      </c>
      <c r="I401" s="839" t="e">
        <v>#N/A</v>
      </c>
      <c r="J401" s="2839" t="e">
        <v>#N/A</v>
      </c>
      <c r="K401" s="839" t="e">
        <v>#N/A</v>
      </c>
      <c r="L401" s="2839" t="e">
        <v>#N/A</v>
      </c>
      <c r="M401" s="839" t="e">
        <v>#N/A</v>
      </c>
      <c r="N401" s="2839" t="e">
        <v>#N/A</v>
      </c>
      <c r="O401" s="839" t="e">
        <v>#N/A</v>
      </c>
      <c r="P401" s="2839" t="e">
        <v>#N/A</v>
      </c>
      <c r="Q401" s="839" t="e">
        <v>#N/A</v>
      </c>
      <c r="R401" s="2839" t="e">
        <v>#N/A</v>
      </c>
      <c r="S401" s="839" t="e">
        <v>#N/A</v>
      </c>
      <c r="T401" s="3177" t="e">
        <v>#N/A</v>
      </c>
    </row>
    <row r="402" spans="1:20">
      <c r="A402" s="63">
        <f t="shared" si="1"/>
        <v>2026.09</v>
      </c>
      <c r="B402" s="839" t="e">
        <v>#N/A</v>
      </c>
      <c r="C402" s="2839" t="e">
        <v>#N/A</v>
      </c>
      <c r="D402" s="439" t="e">
        <v>#N/A</v>
      </c>
      <c r="E402" s="839" t="e">
        <v>#N/A</v>
      </c>
      <c r="F402" s="2839" t="e">
        <v>#N/A</v>
      </c>
      <c r="G402" s="839" t="e">
        <v>#N/A</v>
      </c>
      <c r="H402" s="2839" t="e">
        <v>#N/A</v>
      </c>
      <c r="I402" s="839" t="e">
        <v>#N/A</v>
      </c>
      <c r="J402" s="2839" t="e">
        <v>#N/A</v>
      </c>
      <c r="K402" s="839" t="e">
        <v>#N/A</v>
      </c>
      <c r="L402" s="2839" t="e">
        <v>#N/A</v>
      </c>
      <c r="M402" s="839" t="e">
        <v>#N/A</v>
      </c>
      <c r="N402" s="2839" t="e">
        <v>#N/A</v>
      </c>
      <c r="O402" s="839" t="e">
        <v>#N/A</v>
      </c>
      <c r="P402" s="2839" t="e">
        <v>#N/A</v>
      </c>
      <c r="Q402" s="839" t="e">
        <v>#N/A</v>
      </c>
      <c r="R402" s="2839" t="e">
        <v>#N/A</v>
      </c>
      <c r="S402" s="839" t="e">
        <v>#N/A</v>
      </c>
      <c r="T402" s="3177" t="e">
        <v>#N/A</v>
      </c>
    </row>
    <row r="403" spans="1:20">
      <c r="A403" s="63">
        <f t="shared" si="1"/>
        <v>2026.1</v>
      </c>
      <c r="B403" s="839" t="e">
        <v>#N/A</v>
      </c>
      <c r="C403" s="2839" t="e">
        <v>#N/A</v>
      </c>
      <c r="D403" s="439" t="e">
        <v>#N/A</v>
      </c>
      <c r="E403" s="839" t="e">
        <v>#N/A</v>
      </c>
      <c r="F403" s="2839" t="e">
        <v>#N/A</v>
      </c>
      <c r="G403" s="839" t="e">
        <v>#N/A</v>
      </c>
      <c r="H403" s="2839" t="e">
        <v>#N/A</v>
      </c>
      <c r="I403" s="839" t="e">
        <v>#N/A</v>
      </c>
      <c r="J403" s="2839" t="e">
        <v>#N/A</v>
      </c>
      <c r="K403" s="839" t="e">
        <v>#N/A</v>
      </c>
      <c r="L403" s="2839" t="e">
        <v>#N/A</v>
      </c>
      <c r="M403" s="839" t="e">
        <v>#N/A</v>
      </c>
      <c r="N403" s="2839" t="e">
        <v>#N/A</v>
      </c>
      <c r="O403" s="839" t="e">
        <v>#N/A</v>
      </c>
      <c r="P403" s="2839" t="e">
        <v>#N/A</v>
      </c>
      <c r="Q403" s="839" t="e">
        <v>#N/A</v>
      </c>
      <c r="R403" s="2839" t="e">
        <v>#N/A</v>
      </c>
      <c r="S403" s="839" t="e">
        <v>#N/A</v>
      </c>
      <c r="T403" s="3177" t="e">
        <v>#N/A</v>
      </c>
    </row>
    <row r="404" spans="1:20">
      <c r="A404" s="63">
        <f t="shared" si="1"/>
        <v>2026.11</v>
      </c>
      <c r="B404" s="839" t="e">
        <v>#N/A</v>
      </c>
      <c r="C404" s="2839" t="e">
        <v>#N/A</v>
      </c>
      <c r="D404" s="439" t="e">
        <v>#N/A</v>
      </c>
      <c r="E404" s="839" t="e">
        <v>#N/A</v>
      </c>
      <c r="F404" s="2839" t="e">
        <v>#N/A</v>
      </c>
      <c r="G404" s="839" t="e">
        <v>#N/A</v>
      </c>
      <c r="H404" s="2839" t="e">
        <v>#N/A</v>
      </c>
      <c r="I404" s="839" t="e">
        <v>#N/A</v>
      </c>
      <c r="J404" s="2839" t="e">
        <v>#N/A</v>
      </c>
      <c r="K404" s="839" t="e">
        <v>#N/A</v>
      </c>
      <c r="L404" s="2839" t="e">
        <v>#N/A</v>
      </c>
      <c r="M404" s="839" t="e">
        <v>#N/A</v>
      </c>
      <c r="N404" s="2839" t="e">
        <v>#N/A</v>
      </c>
      <c r="O404" s="839" t="e">
        <v>#N/A</v>
      </c>
      <c r="P404" s="2839" t="e">
        <v>#N/A</v>
      </c>
      <c r="Q404" s="839" t="e">
        <v>#N/A</v>
      </c>
      <c r="R404" s="2839" t="e">
        <v>#N/A</v>
      </c>
      <c r="S404" s="839" t="e">
        <v>#N/A</v>
      </c>
      <c r="T404" s="3177" t="e">
        <v>#N/A</v>
      </c>
    </row>
    <row r="405" spans="1:20">
      <c r="A405" s="63">
        <f t="shared" si="1"/>
        <v>2026.12</v>
      </c>
      <c r="B405" s="839" t="e">
        <v>#N/A</v>
      </c>
      <c r="C405" s="2839" t="e">
        <v>#N/A</v>
      </c>
      <c r="D405" s="439" t="e">
        <v>#N/A</v>
      </c>
      <c r="E405" s="839" t="e">
        <v>#N/A</v>
      </c>
      <c r="F405" s="2839" t="e">
        <v>#N/A</v>
      </c>
      <c r="G405" s="839" t="e">
        <v>#N/A</v>
      </c>
      <c r="H405" s="2839" t="e">
        <v>#N/A</v>
      </c>
      <c r="I405" s="839" t="e">
        <v>#N/A</v>
      </c>
      <c r="J405" s="2839" t="e">
        <v>#N/A</v>
      </c>
      <c r="K405" s="839" t="e">
        <v>#N/A</v>
      </c>
      <c r="L405" s="2839" t="e">
        <v>#N/A</v>
      </c>
      <c r="M405" s="839" t="e">
        <v>#N/A</v>
      </c>
      <c r="N405" s="2839" t="e">
        <v>#N/A</v>
      </c>
      <c r="O405" s="839" t="e">
        <v>#N/A</v>
      </c>
      <c r="P405" s="2839" t="e">
        <v>#N/A</v>
      </c>
      <c r="Q405" s="839" t="e">
        <v>#N/A</v>
      </c>
      <c r="R405" s="2839" t="e">
        <v>#N/A</v>
      </c>
      <c r="S405" s="839" t="e">
        <v>#N/A</v>
      </c>
      <c r="T405" s="3177" t="e">
        <v>#N/A</v>
      </c>
    </row>
    <row r="406" spans="1:20">
      <c r="A406" s="63">
        <f t="shared" si="1"/>
        <v>2027.01</v>
      </c>
      <c r="B406" s="839" t="e">
        <v>#N/A</v>
      </c>
      <c r="C406" s="2839" t="e">
        <v>#N/A</v>
      </c>
      <c r="D406" s="439" t="e">
        <v>#N/A</v>
      </c>
      <c r="E406" s="839" t="e">
        <v>#N/A</v>
      </c>
      <c r="F406" s="2839" t="e">
        <v>#N/A</v>
      </c>
      <c r="G406" s="839" t="e">
        <v>#N/A</v>
      </c>
      <c r="H406" s="2839" t="e">
        <v>#N/A</v>
      </c>
      <c r="I406" s="839" t="e">
        <v>#N/A</v>
      </c>
      <c r="J406" s="2839" t="e">
        <v>#N/A</v>
      </c>
      <c r="K406" s="839" t="e">
        <v>#N/A</v>
      </c>
      <c r="L406" s="2839" t="e">
        <v>#N/A</v>
      </c>
      <c r="M406" s="839" t="e">
        <v>#N/A</v>
      </c>
      <c r="N406" s="2839" t="e">
        <v>#N/A</v>
      </c>
      <c r="O406" s="839" t="e">
        <v>#N/A</v>
      </c>
      <c r="P406" s="2839" t="e">
        <v>#N/A</v>
      </c>
      <c r="Q406" s="839" t="e">
        <v>#N/A</v>
      </c>
      <c r="R406" s="2839" t="e">
        <v>#N/A</v>
      </c>
      <c r="S406" s="839" t="e">
        <v>#N/A</v>
      </c>
      <c r="T406" s="3177" t="e">
        <v>#N/A</v>
      </c>
    </row>
    <row r="407" spans="1:20">
      <c r="A407" s="63">
        <f t="shared" si="1"/>
        <v>2027.02</v>
      </c>
      <c r="B407" s="839" t="e">
        <v>#N/A</v>
      </c>
      <c r="C407" s="2839" t="e">
        <v>#N/A</v>
      </c>
      <c r="D407" s="439" t="e">
        <v>#N/A</v>
      </c>
      <c r="E407" s="839" t="e">
        <v>#N/A</v>
      </c>
      <c r="F407" s="2839" t="e">
        <v>#N/A</v>
      </c>
      <c r="G407" s="839" t="e">
        <v>#N/A</v>
      </c>
      <c r="H407" s="2839" t="e">
        <v>#N/A</v>
      </c>
      <c r="I407" s="839" t="e">
        <v>#N/A</v>
      </c>
      <c r="J407" s="2839" t="e">
        <v>#N/A</v>
      </c>
      <c r="K407" s="839" t="e">
        <v>#N/A</v>
      </c>
      <c r="L407" s="2839" t="e">
        <v>#N/A</v>
      </c>
      <c r="M407" s="839" t="e">
        <v>#N/A</v>
      </c>
      <c r="N407" s="2839" t="e">
        <v>#N/A</v>
      </c>
      <c r="O407" s="839" t="e">
        <v>#N/A</v>
      </c>
      <c r="P407" s="2839" t="e">
        <v>#N/A</v>
      </c>
      <c r="Q407" s="839" t="e">
        <v>#N/A</v>
      </c>
      <c r="R407" s="2839" t="e">
        <v>#N/A</v>
      </c>
      <c r="S407" s="839" t="e">
        <v>#N/A</v>
      </c>
      <c r="T407" s="3177" t="e">
        <v>#N/A</v>
      </c>
    </row>
    <row r="408" spans="1:20">
      <c r="A408" s="63">
        <f t="shared" si="1"/>
        <v>2027.03</v>
      </c>
      <c r="B408" s="839" t="e">
        <v>#N/A</v>
      </c>
      <c r="C408" s="2839" t="e">
        <v>#N/A</v>
      </c>
      <c r="D408" s="439" t="e">
        <v>#N/A</v>
      </c>
      <c r="E408" s="839" t="e">
        <v>#N/A</v>
      </c>
      <c r="F408" s="2839" t="e">
        <v>#N/A</v>
      </c>
      <c r="G408" s="839" t="e">
        <v>#N/A</v>
      </c>
      <c r="H408" s="2839" t="e">
        <v>#N/A</v>
      </c>
      <c r="I408" s="839" t="e">
        <v>#N/A</v>
      </c>
      <c r="J408" s="2839" t="e">
        <v>#N/A</v>
      </c>
      <c r="K408" s="839" t="e">
        <v>#N/A</v>
      </c>
      <c r="L408" s="2839" t="e">
        <v>#N/A</v>
      </c>
      <c r="M408" s="839" t="e">
        <v>#N/A</v>
      </c>
      <c r="N408" s="2839" t="e">
        <v>#N/A</v>
      </c>
      <c r="O408" s="839" t="e">
        <v>#N/A</v>
      </c>
      <c r="P408" s="2839" t="e">
        <v>#N/A</v>
      </c>
      <c r="Q408" s="839" t="e">
        <v>#N/A</v>
      </c>
      <c r="R408" s="2839" t="e">
        <v>#N/A</v>
      </c>
      <c r="S408" s="839" t="e">
        <v>#N/A</v>
      </c>
      <c r="T408" s="3177" t="e">
        <v>#N/A</v>
      </c>
    </row>
    <row r="409" spans="1:20">
      <c r="A409" s="63">
        <f t="shared" si="1"/>
        <v>2027.04</v>
      </c>
      <c r="B409" s="839" t="e">
        <v>#N/A</v>
      </c>
      <c r="C409" s="2839" t="e">
        <v>#N/A</v>
      </c>
      <c r="D409" s="439" t="e">
        <v>#N/A</v>
      </c>
      <c r="E409" s="839" t="e">
        <v>#N/A</v>
      </c>
      <c r="F409" s="2839" t="e">
        <v>#N/A</v>
      </c>
      <c r="G409" s="839" t="e">
        <v>#N/A</v>
      </c>
      <c r="H409" s="2839" t="e">
        <v>#N/A</v>
      </c>
      <c r="I409" s="839" t="e">
        <v>#N/A</v>
      </c>
      <c r="J409" s="2839" t="e">
        <v>#N/A</v>
      </c>
      <c r="K409" s="839" t="e">
        <v>#N/A</v>
      </c>
      <c r="L409" s="2839" t="e">
        <v>#N/A</v>
      </c>
      <c r="M409" s="839" t="e">
        <v>#N/A</v>
      </c>
      <c r="N409" s="2839" t="e">
        <v>#N/A</v>
      </c>
      <c r="O409" s="839" t="e">
        <v>#N/A</v>
      </c>
      <c r="P409" s="2839" t="e">
        <v>#N/A</v>
      </c>
      <c r="Q409" s="839" t="e">
        <v>#N/A</v>
      </c>
      <c r="R409" s="2839" t="e">
        <v>#N/A</v>
      </c>
      <c r="S409" s="839" t="e">
        <v>#N/A</v>
      </c>
      <c r="T409" s="3177" t="e">
        <v>#N/A</v>
      </c>
    </row>
    <row r="410" spans="1:20">
      <c r="A410" s="63">
        <f t="shared" si="1"/>
        <v>2027.05</v>
      </c>
      <c r="B410" s="839" t="e">
        <v>#N/A</v>
      </c>
      <c r="C410" s="2839" t="e">
        <v>#N/A</v>
      </c>
      <c r="D410" s="439" t="e">
        <v>#N/A</v>
      </c>
      <c r="E410" s="839" t="e">
        <v>#N/A</v>
      </c>
      <c r="F410" s="2839" t="e">
        <v>#N/A</v>
      </c>
      <c r="G410" s="839" t="e">
        <v>#N/A</v>
      </c>
      <c r="H410" s="2839" t="e">
        <v>#N/A</v>
      </c>
      <c r="I410" s="839" t="e">
        <v>#N/A</v>
      </c>
      <c r="J410" s="2839" t="e">
        <v>#N/A</v>
      </c>
      <c r="K410" s="839" t="e">
        <v>#N/A</v>
      </c>
      <c r="L410" s="2839" t="e">
        <v>#N/A</v>
      </c>
      <c r="M410" s="839" t="e">
        <v>#N/A</v>
      </c>
      <c r="N410" s="2839" t="e">
        <v>#N/A</v>
      </c>
      <c r="O410" s="839" t="e">
        <v>#N/A</v>
      </c>
      <c r="P410" s="2839" t="e">
        <v>#N/A</v>
      </c>
      <c r="Q410" s="839" t="e">
        <v>#N/A</v>
      </c>
      <c r="R410" s="2839" t="e">
        <v>#N/A</v>
      </c>
      <c r="S410" s="839" t="e">
        <v>#N/A</v>
      </c>
      <c r="T410" s="3177" t="e">
        <v>#N/A</v>
      </c>
    </row>
    <row r="411" spans="1:20">
      <c r="A411" s="63">
        <f t="shared" si="1"/>
        <v>2027.06</v>
      </c>
      <c r="B411" s="839" t="e">
        <v>#N/A</v>
      </c>
      <c r="C411" s="2839" t="e">
        <v>#N/A</v>
      </c>
      <c r="D411" s="439" t="e">
        <v>#N/A</v>
      </c>
      <c r="E411" s="839" t="e">
        <v>#N/A</v>
      </c>
      <c r="F411" s="2839" t="e">
        <v>#N/A</v>
      </c>
      <c r="G411" s="839" t="e">
        <v>#N/A</v>
      </c>
      <c r="H411" s="2839" t="e">
        <v>#N/A</v>
      </c>
      <c r="I411" s="839" t="e">
        <v>#N/A</v>
      </c>
      <c r="J411" s="2839" t="e">
        <v>#N/A</v>
      </c>
      <c r="K411" s="839" t="e">
        <v>#N/A</v>
      </c>
      <c r="L411" s="2839" t="e">
        <v>#N/A</v>
      </c>
      <c r="M411" s="839" t="e">
        <v>#N/A</v>
      </c>
      <c r="N411" s="2839" t="e">
        <v>#N/A</v>
      </c>
      <c r="O411" s="839" t="e">
        <v>#N/A</v>
      </c>
      <c r="P411" s="2839" t="e">
        <v>#N/A</v>
      </c>
      <c r="Q411" s="839" t="e">
        <v>#N/A</v>
      </c>
      <c r="R411" s="2839" t="e">
        <v>#N/A</v>
      </c>
      <c r="S411" s="839" t="e">
        <v>#N/A</v>
      </c>
      <c r="T411" s="3177" t="e">
        <v>#N/A</v>
      </c>
    </row>
    <row r="412" spans="1:20">
      <c r="A412" s="63">
        <f t="shared" si="1"/>
        <v>2027.07</v>
      </c>
      <c r="B412" s="839" t="e">
        <v>#N/A</v>
      </c>
      <c r="C412" s="2839" t="e">
        <v>#N/A</v>
      </c>
      <c r="D412" s="439" t="e">
        <v>#N/A</v>
      </c>
      <c r="E412" s="839" t="e">
        <v>#N/A</v>
      </c>
      <c r="F412" s="2839" t="e">
        <v>#N/A</v>
      </c>
      <c r="G412" s="839" t="e">
        <v>#N/A</v>
      </c>
      <c r="H412" s="2839" t="e">
        <v>#N/A</v>
      </c>
      <c r="I412" s="839" t="e">
        <v>#N/A</v>
      </c>
      <c r="J412" s="2839" t="e">
        <v>#N/A</v>
      </c>
      <c r="K412" s="839" t="e">
        <v>#N/A</v>
      </c>
      <c r="L412" s="2839" t="e">
        <v>#N/A</v>
      </c>
      <c r="M412" s="839" t="e">
        <v>#N/A</v>
      </c>
      <c r="N412" s="2839" t="e">
        <v>#N/A</v>
      </c>
      <c r="O412" s="839" t="e">
        <v>#N/A</v>
      </c>
      <c r="P412" s="2839" t="e">
        <v>#N/A</v>
      </c>
      <c r="Q412" s="839" t="e">
        <v>#N/A</v>
      </c>
      <c r="R412" s="2839" t="e">
        <v>#N/A</v>
      </c>
      <c r="S412" s="839" t="e">
        <v>#N/A</v>
      </c>
      <c r="T412" s="3177" t="e">
        <v>#N/A</v>
      </c>
    </row>
    <row r="413" spans="1:20">
      <c r="A413" s="63">
        <f t="shared" si="1"/>
        <v>2027.08</v>
      </c>
      <c r="B413" s="839" t="e">
        <v>#N/A</v>
      </c>
      <c r="C413" s="2839" t="e">
        <v>#N/A</v>
      </c>
      <c r="D413" s="439" t="e">
        <v>#N/A</v>
      </c>
      <c r="E413" s="839" t="e">
        <v>#N/A</v>
      </c>
      <c r="F413" s="2839" t="e">
        <v>#N/A</v>
      </c>
      <c r="G413" s="839" t="e">
        <v>#N/A</v>
      </c>
      <c r="H413" s="2839" t="e">
        <v>#N/A</v>
      </c>
      <c r="I413" s="839" t="e">
        <v>#N/A</v>
      </c>
      <c r="J413" s="2839" t="e">
        <v>#N/A</v>
      </c>
      <c r="K413" s="839" t="e">
        <v>#N/A</v>
      </c>
      <c r="L413" s="2839" t="e">
        <v>#N/A</v>
      </c>
      <c r="M413" s="839" t="e">
        <v>#N/A</v>
      </c>
      <c r="N413" s="2839" t="e">
        <v>#N/A</v>
      </c>
      <c r="O413" s="839" t="e">
        <v>#N/A</v>
      </c>
      <c r="P413" s="2839" t="e">
        <v>#N/A</v>
      </c>
      <c r="Q413" s="839" t="e">
        <v>#N/A</v>
      </c>
      <c r="R413" s="2839" t="e">
        <v>#N/A</v>
      </c>
      <c r="S413" s="839" t="e">
        <v>#N/A</v>
      </c>
      <c r="T413" s="3177" t="e">
        <v>#N/A</v>
      </c>
    </row>
    <row r="414" spans="1:20">
      <c r="A414" s="63">
        <f t="shared" si="1"/>
        <v>2027.09</v>
      </c>
      <c r="B414" s="839" t="e">
        <v>#N/A</v>
      </c>
      <c r="C414" s="2839" t="e">
        <v>#N/A</v>
      </c>
      <c r="D414" s="439" t="e">
        <v>#N/A</v>
      </c>
      <c r="E414" s="839" t="e">
        <v>#N/A</v>
      </c>
      <c r="F414" s="2839" t="e">
        <v>#N/A</v>
      </c>
      <c r="G414" s="839" t="e">
        <v>#N/A</v>
      </c>
      <c r="H414" s="2839" t="e">
        <v>#N/A</v>
      </c>
      <c r="I414" s="839" t="e">
        <v>#N/A</v>
      </c>
      <c r="J414" s="2839" t="e">
        <v>#N/A</v>
      </c>
      <c r="K414" s="839" t="e">
        <v>#N/A</v>
      </c>
      <c r="L414" s="2839" t="e">
        <v>#N/A</v>
      </c>
      <c r="M414" s="839" t="e">
        <v>#N/A</v>
      </c>
      <c r="N414" s="2839" t="e">
        <v>#N/A</v>
      </c>
      <c r="O414" s="839" t="e">
        <v>#N/A</v>
      </c>
      <c r="P414" s="2839" t="e">
        <v>#N/A</v>
      </c>
      <c r="Q414" s="839" t="e">
        <v>#N/A</v>
      </c>
      <c r="R414" s="2839" t="e">
        <v>#N/A</v>
      </c>
      <c r="S414" s="839" t="e">
        <v>#N/A</v>
      </c>
      <c r="T414" s="3177" t="e">
        <v>#N/A</v>
      </c>
    </row>
    <row r="415" spans="1:20">
      <c r="A415" s="63">
        <f t="shared" si="1"/>
        <v>2027.1</v>
      </c>
      <c r="B415" s="839" t="e">
        <v>#N/A</v>
      </c>
      <c r="C415" s="2839" t="e">
        <v>#N/A</v>
      </c>
      <c r="D415" s="439" t="e">
        <v>#N/A</v>
      </c>
      <c r="E415" s="839" t="e">
        <v>#N/A</v>
      </c>
      <c r="F415" s="2839" t="e">
        <v>#N/A</v>
      </c>
      <c r="G415" s="839" t="e">
        <v>#N/A</v>
      </c>
      <c r="H415" s="2839" t="e">
        <v>#N/A</v>
      </c>
      <c r="I415" s="839" t="e">
        <v>#N/A</v>
      </c>
      <c r="J415" s="2839" t="e">
        <v>#N/A</v>
      </c>
      <c r="K415" s="839" t="e">
        <v>#N/A</v>
      </c>
      <c r="L415" s="2839" t="e">
        <v>#N/A</v>
      </c>
      <c r="M415" s="839" t="e">
        <v>#N/A</v>
      </c>
      <c r="N415" s="2839" t="e">
        <v>#N/A</v>
      </c>
      <c r="O415" s="839" t="e">
        <v>#N/A</v>
      </c>
      <c r="P415" s="2839" t="e">
        <v>#N/A</v>
      </c>
      <c r="Q415" s="839" t="e">
        <v>#N/A</v>
      </c>
      <c r="R415" s="2839" t="e">
        <v>#N/A</v>
      </c>
      <c r="S415" s="839" t="e">
        <v>#N/A</v>
      </c>
      <c r="T415" s="3177" t="e">
        <v>#N/A</v>
      </c>
    </row>
    <row r="416" spans="1:20">
      <c r="A416" s="63">
        <f t="shared" si="1"/>
        <v>2027.11</v>
      </c>
      <c r="B416" s="839" t="e">
        <v>#N/A</v>
      </c>
      <c r="C416" s="2839" t="e">
        <v>#N/A</v>
      </c>
      <c r="D416" s="439" t="e">
        <v>#N/A</v>
      </c>
      <c r="E416" s="839" t="e">
        <v>#N/A</v>
      </c>
      <c r="F416" s="2839" t="e">
        <v>#N/A</v>
      </c>
      <c r="G416" s="839" t="e">
        <v>#N/A</v>
      </c>
      <c r="H416" s="2839" t="e">
        <v>#N/A</v>
      </c>
      <c r="I416" s="839" t="e">
        <v>#N/A</v>
      </c>
      <c r="J416" s="2839" t="e">
        <v>#N/A</v>
      </c>
      <c r="K416" s="839" t="e">
        <v>#N/A</v>
      </c>
      <c r="L416" s="2839" t="e">
        <v>#N/A</v>
      </c>
      <c r="M416" s="839" t="e">
        <v>#N/A</v>
      </c>
      <c r="N416" s="2839" t="e">
        <v>#N/A</v>
      </c>
      <c r="O416" s="839" t="e">
        <v>#N/A</v>
      </c>
      <c r="P416" s="2839" t="e">
        <v>#N/A</v>
      </c>
      <c r="Q416" s="839" t="e">
        <v>#N/A</v>
      </c>
      <c r="R416" s="2839" t="e">
        <v>#N/A</v>
      </c>
      <c r="S416" s="839" t="e">
        <v>#N/A</v>
      </c>
      <c r="T416" s="3177" t="e">
        <v>#N/A</v>
      </c>
    </row>
    <row r="417" spans="1:20">
      <c r="A417" s="63">
        <f t="shared" si="1"/>
        <v>2027.12</v>
      </c>
      <c r="B417" s="839" t="e">
        <v>#N/A</v>
      </c>
      <c r="C417" s="2839" t="e">
        <v>#N/A</v>
      </c>
      <c r="D417" s="439" t="e">
        <v>#N/A</v>
      </c>
      <c r="E417" s="839" t="e">
        <v>#N/A</v>
      </c>
      <c r="F417" s="2839" t="e">
        <v>#N/A</v>
      </c>
      <c r="G417" s="839" t="e">
        <v>#N/A</v>
      </c>
      <c r="H417" s="2839" t="e">
        <v>#N/A</v>
      </c>
      <c r="I417" s="839" t="e">
        <v>#N/A</v>
      </c>
      <c r="J417" s="2839" t="e">
        <v>#N/A</v>
      </c>
      <c r="K417" s="839" t="e">
        <v>#N/A</v>
      </c>
      <c r="L417" s="2839" t="e">
        <v>#N/A</v>
      </c>
      <c r="M417" s="839" t="e">
        <v>#N/A</v>
      </c>
      <c r="N417" s="2839" t="e">
        <v>#N/A</v>
      </c>
      <c r="O417" s="839" t="e">
        <v>#N/A</v>
      </c>
      <c r="P417" s="2839" t="e">
        <v>#N/A</v>
      </c>
      <c r="Q417" s="839" t="e">
        <v>#N/A</v>
      </c>
      <c r="R417" s="2839" t="e">
        <v>#N/A</v>
      </c>
      <c r="S417" s="839" t="e">
        <v>#N/A</v>
      </c>
      <c r="T417" s="3177" t="e">
        <v>#N/A</v>
      </c>
    </row>
    <row r="418" spans="1:20">
      <c r="A418" s="63">
        <f t="shared" si="1"/>
        <v>2028.01</v>
      </c>
      <c r="B418" s="839" t="e">
        <v>#N/A</v>
      </c>
      <c r="C418" s="2839" t="e">
        <v>#N/A</v>
      </c>
      <c r="D418" s="439" t="e">
        <v>#N/A</v>
      </c>
      <c r="E418" s="839" t="e">
        <v>#N/A</v>
      </c>
      <c r="F418" s="2839" t="e">
        <v>#N/A</v>
      </c>
      <c r="G418" s="839" t="e">
        <v>#N/A</v>
      </c>
      <c r="H418" s="2839" t="e">
        <v>#N/A</v>
      </c>
      <c r="I418" s="839" t="e">
        <v>#N/A</v>
      </c>
      <c r="J418" s="2839" t="e">
        <v>#N/A</v>
      </c>
      <c r="K418" s="839" t="e">
        <v>#N/A</v>
      </c>
      <c r="L418" s="2839" t="e">
        <v>#N/A</v>
      </c>
      <c r="M418" s="839" t="e">
        <v>#N/A</v>
      </c>
      <c r="N418" s="2839" t="e">
        <v>#N/A</v>
      </c>
      <c r="O418" s="839" t="e">
        <v>#N/A</v>
      </c>
      <c r="P418" s="2839" t="e">
        <v>#N/A</v>
      </c>
      <c r="Q418" s="839" t="e">
        <v>#N/A</v>
      </c>
      <c r="R418" s="2839" t="e">
        <v>#N/A</v>
      </c>
      <c r="S418" s="839" t="e">
        <v>#N/A</v>
      </c>
      <c r="T418" s="3177" t="e">
        <v>#N/A</v>
      </c>
    </row>
    <row r="419" spans="1:20">
      <c r="A419" s="63">
        <f t="shared" si="1"/>
        <v>2028.02</v>
      </c>
      <c r="B419" s="839" t="e">
        <v>#N/A</v>
      </c>
      <c r="C419" s="2839" t="e">
        <v>#N/A</v>
      </c>
      <c r="D419" s="439" t="e">
        <v>#N/A</v>
      </c>
      <c r="E419" s="839" t="e">
        <v>#N/A</v>
      </c>
      <c r="F419" s="2839" t="e">
        <v>#N/A</v>
      </c>
      <c r="G419" s="839" t="e">
        <v>#N/A</v>
      </c>
      <c r="H419" s="2839" t="e">
        <v>#N/A</v>
      </c>
      <c r="I419" s="839" t="e">
        <v>#N/A</v>
      </c>
      <c r="J419" s="2839" t="e">
        <v>#N/A</v>
      </c>
      <c r="K419" s="839" t="e">
        <v>#N/A</v>
      </c>
      <c r="L419" s="2839" t="e">
        <v>#N/A</v>
      </c>
      <c r="M419" s="839" t="e">
        <v>#N/A</v>
      </c>
      <c r="N419" s="2839" t="e">
        <v>#N/A</v>
      </c>
      <c r="O419" s="839" t="e">
        <v>#N/A</v>
      </c>
      <c r="P419" s="2839" t="e">
        <v>#N/A</v>
      </c>
      <c r="Q419" s="839" t="e">
        <v>#N/A</v>
      </c>
      <c r="R419" s="2839" t="e">
        <v>#N/A</v>
      </c>
      <c r="S419" s="839" t="e">
        <v>#N/A</v>
      </c>
      <c r="T419" s="3177" t="e">
        <v>#N/A</v>
      </c>
    </row>
    <row r="420" spans="1:20">
      <c r="A420" s="63">
        <f t="shared" si="1"/>
        <v>2028.03</v>
      </c>
      <c r="B420" s="839" t="e">
        <v>#N/A</v>
      </c>
      <c r="C420" s="2839" t="e">
        <v>#N/A</v>
      </c>
      <c r="D420" s="439" t="e">
        <v>#N/A</v>
      </c>
      <c r="E420" s="839" t="e">
        <v>#N/A</v>
      </c>
      <c r="F420" s="2839" t="e">
        <v>#N/A</v>
      </c>
      <c r="G420" s="839" t="e">
        <v>#N/A</v>
      </c>
      <c r="H420" s="2839" t="e">
        <v>#N/A</v>
      </c>
      <c r="I420" s="839" t="e">
        <v>#N/A</v>
      </c>
      <c r="J420" s="2839" t="e">
        <v>#N/A</v>
      </c>
      <c r="K420" s="839" t="e">
        <v>#N/A</v>
      </c>
      <c r="L420" s="2839" t="e">
        <v>#N/A</v>
      </c>
      <c r="M420" s="839" t="e">
        <v>#N/A</v>
      </c>
      <c r="N420" s="2839" t="e">
        <v>#N/A</v>
      </c>
      <c r="O420" s="839" t="e">
        <v>#N/A</v>
      </c>
      <c r="P420" s="2839" t="e">
        <v>#N/A</v>
      </c>
      <c r="Q420" s="839" t="e">
        <v>#N/A</v>
      </c>
      <c r="R420" s="2839" t="e">
        <v>#N/A</v>
      </c>
      <c r="S420" s="839" t="e">
        <v>#N/A</v>
      </c>
      <c r="T420" s="3177" t="e">
        <v>#N/A</v>
      </c>
    </row>
    <row r="421" spans="1:20">
      <c r="A421" s="63">
        <f t="shared" si="1"/>
        <v>2028.04</v>
      </c>
      <c r="B421" s="839" t="e">
        <v>#N/A</v>
      </c>
      <c r="C421" s="2839" t="e">
        <v>#N/A</v>
      </c>
      <c r="D421" s="439" t="e">
        <v>#N/A</v>
      </c>
      <c r="E421" s="839" t="e">
        <v>#N/A</v>
      </c>
      <c r="F421" s="2839" t="e">
        <v>#N/A</v>
      </c>
      <c r="G421" s="839" t="e">
        <v>#N/A</v>
      </c>
      <c r="H421" s="2839" t="e">
        <v>#N/A</v>
      </c>
      <c r="I421" s="839" t="e">
        <v>#N/A</v>
      </c>
      <c r="J421" s="2839" t="e">
        <v>#N/A</v>
      </c>
      <c r="K421" s="839" t="e">
        <v>#N/A</v>
      </c>
      <c r="L421" s="2839" t="e">
        <v>#N/A</v>
      </c>
      <c r="M421" s="839" t="e">
        <v>#N/A</v>
      </c>
      <c r="N421" s="2839" t="e">
        <v>#N/A</v>
      </c>
      <c r="O421" s="839" t="e">
        <v>#N/A</v>
      </c>
      <c r="P421" s="2839" t="e">
        <v>#N/A</v>
      </c>
      <c r="Q421" s="839" t="e">
        <v>#N/A</v>
      </c>
      <c r="R421" s="2839" t="e">
        <v>#N/A</v>
      </c>
      <c r="S421" s="839" t="e">
        <v>#N/A</v>
      </c>
      <c r="T421" s="3177" t="e">
        <v>#N/A</v>
      </c>
    </row>
    <row r="422" spans="1:20">
      <c r="A422" s="63">
        <f t="shared" si="1"/>
        <v>2028.05</v>
      </c>
      <c r="B422" s="839" t="e">
        <v>#N/A</v>
      </c>
      <c r="C422" s="2839" t="e">
        <v>#N/A</v>
      </c>
      <c r="D422" s="439" t="e">
        <v>#N/A</v>
      </c>
      <c r="E422" s="839" t="e">
        <v>#N/A</v>
      </c>
      <c r="F422" s="2839" t="e">
        <v>#N/A</v>
      </c>
      <c r="G422" s="839" t="e">
        <v>#N/A</v>
      </c>
      <c r="H422" s="2839" t="e">
        <v>#N/A</v>
      </c>
      <c r="I422" s="839" t="e">
        <v>#N/A</v>
      </c>
      <c r="J422" s="2839" t="e">
        <v>#N/A</v>
      </c>
      <c r="K422" s="839" t="e">
        <v>#N/A</v>
      </c>
      <c r="L422" s="2839" t="e">
        <v>#N/A</v>
      </c>
      <c r="M422" s="839" t="e">
        <v>#N/A</v>
      </c>
      <c r="N422" s="2839" t="e">
        <v>#N/A</v>
      </c>
      <c r="O422" s="839" t="e">
        <v>#N/A</v>
      </c>
      <c r="P422" s="2839" t="e">
        <v>#N/A</v>
      </c>
      <c r="Q422" s="839" t="e">
        <v>#N/A</v>
      </c>
      <c r="R422" s="2839" t="e">
        <v>#N/A</v>
      </c>
      <c r="S422" s="839" t="e">
        <v>#N/A</v>
      </c>
      <c r="T422" s="3177" t="e">
        <v>#N/A</v>
      </c>
    </row>
    <row r="423" spans="1:20">
      <c r="A423" s="63">
        <f t="shared" si="1"/>
        <v>2028.06</v>
      </c>
      <c r="B423" s="839" t="e">
        <v>#N/A</v>
      </c>
      <c r="C423" s="2839" t="e">
        <v>#N/A</v>
      </c>
      <c r="D423" s="439" t="e">
        <v>#N/A</v>
      </c>
      <c r="E423" s="839" t="e">
        <v>#N/A</v>
      </c>
      <c r="F423" s="2839" t="e">
        <v>#N/A</v>
      </c>
      <c r="G423" s="839" t="e">
        <v>#N/A</v>
      </c>
      <c r="H423" s="2839" t="e">
        <v>#N/A</v>
      </c>
      <c r="I423" s="839" t="e">
        <v>#N/A</v>
      </c>
      <c r="J423" s="2839" t="e">
        <v>#N/A</v>
      </c>
      <c r="K423" s="839" t="e">
        <v>#N/A</v>
      </c>
      <c r="L423" s="2839" t="e">
        <v>#N/A</v>
      </c>
      <c r="M423" s="839" t="e">
        <v>#N/A</v>
      </c>
      <c r="N423" s="2839" t="e">
        <v>#N/A</v>
      </c>
      <c r="O423" s="839" t="e">
        <v>#N/A</v>
      </c>
      <c r="P423" s="2839" t="e">
        <v>#N/A</v>
      </c>
      <c r="Q423" s="839" t="e">
        <v>#N/A</v>
      </c>
      <c r="R423" s="2839" t="e">
        <v>#N/A</v>
      </c>
      <c r="S423" s="839" t="e">
        <v>#N/A</v>
      </c>
      <c r="T423" s="3177" t="e">
        <v>#N/A</v>
      </c>
    </row>
    <row r="424" spans="1:20">
      <c r="A424" s="63">
        <f t="shared" si="1"/>
        <v>2028.07</v>
      </c>
      <c r="B424" s="839" t="e">
        <v>#N/A</v>
      </c>
      <c r="C424" s="2839" t="e">
        <v>#N/A</v>
      </c>
      <c r="D424" s="439" t="e">
        <v>#N/A</v>
      </c>
      <c r="E424" s="839" t="e">
        <v>#N/A</v>
      </c>
      <c r="F424" s="2839" t="e">
        <v>#N/A</v>
      </c>
      <c r="G424" s="839" t="e">
        <v>#N/A</v>
      </c>
      <c r="H424" s="2839" t="e">
        <v>#N/A</v>
      </c>
      <c r="I424" s="839" t="e">
        <v>#N/A</v>
      </c>
      <c r="J424" s="2839" t="e">
        <v>#N/A</v>
      </c>
      <c r="K424" s="839" t="e">
        <v>#N/A</v>
      </c>
      <c r="L424" s="2839" t="e">
        <v>#N/A</v>
      </c>
      <c r="M424" s="839" t="e">
        <v>#N/A</v>
      </c>
      <c r="N424" s="2839" t="e">
        <v>#N/A</v>
      </c>
      <c r="O424" s="839" t="e">
        <v>#N/A</v>
      </c>
      <c r="P424" s="2839" t="e">
        <v>#N/A</v>
      </c>
      <c r="Q424" s="839" t="e">
        <v>#N/A</v>
      </c>
      <c r="R424" s="2839" t="e">
        <v>#N/A</v>
      </c>
      <c r="S424" s="839" t="e">
        <v>#N/A</v>
      </c>
      <c r="T424" s="3177" t="e">
        <v>#N/A</v>
      </c>
    </row>
    <row r="425" spans="1:20">
      <c r="A425" s="63">
        <f t="shared" si="1"/>
        <v>2028.08</v>
      </c>
      <c r="B425" s="839" t="e">
        <v>#N/A</v>
      </c>
      <c r="C425" s="2839" t="e">
        <v>#N/A</v>
      </c>
      <c r="D425" s="439" t="e">
        <v>#N/A</v>
      </c>
      <c r="E425" s="839" t="e">
        <v>#N/A</v>
      </c>
      <c r="F425" s="2839" t="e">
        <v>#N/A</v>
      </c>
      <c r="G425" s="839" t="e">
        <v>#N/A</v>
      </c>
      <c r="H425" s="2839" t="e">
        <v>#N/A</v>
      </c>
      <c r="I425" s="839" t="e">
        <v>#N/A</v>
      </c>
      <c r="J425" s="2839" t="e">
        <v>#N/A</v>
      </c>
      <c r="K425" s="839" t="e">
        <v>#N/A</v>
      </c>
      <c r="L425" s="2839" t="e">
        <v>#N/A</v>
      </c>
      <c r="M425" s="839" t="e">
        <v>#N/A</v>
      </c>
      <c r="N425" s="2839" t="e">
        <v>#N/A</v>
      </c>
      <c r="O425" s="839" t="e">
        <v>#N/A</v>
      </c>
      <c r="P425" s="2839" t="e">
        <v>#N/A</v>
      </c>
      <c r="Q425" s="839" t="e">
        <v>#N/A</v>
      </c>
      <c r="R425" s="2839" t="e">
        <v>#N/A</v>
      </c>
      <c r="S425" s="839" t="e">
        <v>#N/A</v>
      </c>
      <c r="T425" s="3177" t="e">
        <v>#N/A</v>
      </c>
    </row>
    <row r="426" spans="1:20">
      <c r="A426" s="63">
        <f t="shared" si="1"/>
        <v>2028.09</v>
      </c>
      <c r="B426" s="839" t="e">
        <v>#N/A</v>
      </c>
      <c r="C426" s="2839" t="e">
        <v>#N/A</v>
      </c>
      <c r="D426" s="439" t="e">
        <v>#N/A</v>
      </c>
      <c r="E426" s="839" t="e">
        <v>#N/A</v>
      </c>
      <c r="F426" s="2839" t="e">
        <v>#N/A</v>
      </c>
      <c r="G426" s="839" t="e">
        <v>#N/A</v>
      </c>
      <c r="H426" s="2839" t="e">
        <v>#N/A</v>
      </c>
      <c r="I426" s="839" t="e">
        <v>#N/A</v>
      </c>
      <c r="J426" s="2839" t="e">
        <v>#N/A</v>
      </c>
      <c r="K426" s="839" t="e">
        <v>#N/A</v>
      </c>
      <c r="L426" s="2839" t="e">
        <v>#N/A</v>
      </c>
      <c r="M426" s="839" t="e">
        <v>#N/A</v>
      </c>
      <c r="N426" s="2839" t="e">
        <v>#N/A</v>
      </c>
      <c r="O426" s="839" t="e">
        <v>#N/A</v>
      </c>
      <c r="P426" s="2839" t="e">
        <v>#N/A</v>
      </c>
      <c r="Q426" s="839" t="e">
        <v>#N/A</v>
      </c>
      <c r="R426" s="2839" t="e">
        <v>#N/A</v>
      </c>
      <c r="S426" s="839" t="e">
        <v>#N/A</v>
      </c>
      <c r="T426" s="3177" t="e">
        <v>#N/A</v>
      </c>
    </row>
    <row r="427" spans="1:20">
      <c r="A427" s="63">
        <f t="shared" si="1"/>
        <v>2028.1</v>
      </c>
      <c r="B427" s="839" t="e">
        <v>#N/A</v>
      </c>
      <c r="C427" s="2839" t="e">
        <v>#N/A</v>
      </c>
      <c r="D427" s="439" t="e">
        <v>#N/A</v>
      </c>
      <c r="E427" s="839" t="e">
        <v>#N/A</v>
      </c>
      <c r="F427" s="2839" t="e">
        <v>#N/A</v>
      </c>
      <c r="G427" s="839" t="e">
        <v>#N/A</v>
      </c>
      <c r="H427" s="2839" t="e">
        <v>#N/A</v>
      </c>
      <c r="I427" s="839" t="e">
        <v>#N/A</v>
      </c>
      <c r="J427" s="2839" t="e">
        <v>#N/A</v>
      </c>
      <c r="K427" s="839" t="e">
        <v>#N/A</v>
      </c>
      <c r="L427" s="2839" t="e">
        <v>#N/A</v>
      </c>
      <c r="M427" s="839" t="e">
        <v>#N/A</v>
      </c>
      <c r="N427" s="2839" t="e">
        <v>#N/A</v>
      </c>
      <c r="O427" s="839" t="e">
        <v>#N/A</v>
      </c>
      <c r="P427" s="2839" t="e">
        <v>#N/A</v>
      </c>
      <c r="Q427" s="839" t="e">
        <v>#N/A</v>
      </c>
      <c r="R427" s="2839" t="e">
        <v>#N/A</v>
      </c>
      <c r="S427" s="839" t="e">
        <v>#N/A</v>
      </c>
      <c r="T427" s="3177" t="e">
        <v>#N/A</v>
      </c>
    </row>
    <row r="428" spans="1:20">
      <c r="A428" s="63">
        <f t="shared" si="1"/>
        <v>2028.11</v>
      </c>
      <c r="B428" s="839" t="e">
        <v>#N/A</v>
      </c>
      <c r="C428" s="2839" t="e">
        <v>#N/A</v>
      </c>
      <c r="D428" s="439" t="e">
        <v>#N/A</v>
      </c>
      <c r="E428" s="839" t="e">
        <v>#N/A</v>
      </c>
      <c r="F428" s="2839" t="e">
        <v>#N/A</v>
      </c>
      <c r="G428" s="839" t="e">
        <v>#N/A</v>
      </c>
      <c r="H428" s="2839" t="e">
        <v>#N/A</v>
      </c>
      <c r="I428" s="839" t="e">
        <v>#N/A</v>
      </c>
      <c r="J428" s="2839" t="e">
        <v>#N/A</v>
      </c>
      <c r="K428" s="839" t="e">
        <v>#N/A</v>
      </c>
      <c r="L428" s="2839" t="e">
        <v>#N/A</v>
      </c>
      <c r="M428" s="839" t="e">
        <v>#N/A</v>
      </c>
      <c r="N428" s="2839" t="e">
        <v>#N/A</v>
      </c>
      <c r="O428" s="839" t="e">
        <v>#N/A</v>
      </c>
      <c r="P428" s="2839" t="e">
        <v>#N/A</v>
      </c>
      <c r="Q428" s="839" t="e">
        <v>#N/A</v>
      </c>
      <c r="R428" s="2839" t="e">
        <v>#N/A</v>
      </c>
      <c r="S428" s="839" t="e">
        <v>#N/A</v>
      </c>
      <c r="T428" s="3177" t="e">
        <v>#N/A</v>
      </c>
    </row>
    <row r="429" spans="1:20">
      <c r="A429" s="63">
        <f t="shared" si="1"/>
        <v>2028.12</v>
      </c>
      <c r="B429" s="839" t="e">
        <v>#N/A</v>
      </c>
      <c r="C429" s="2839" t="e">
        <v>#N/A</v>
      </c>
      <c r="D429" s="439" t="e">
        <v>#N/A</v>
      </c>
      <c r="E429" s="839" t="e">
        <v>#N/A</v>
      </c>
      <c r="F429" s="2839" t="e">
        <v>#N/A</v>
      </c>
      <c r="G429" s="839" t="e">
        <v>#N/A</v>
      </c>
      <c r="H429" s="2839" t="e">
        <v>#N/A</v>
      </c>
      <c r="I429" s="839" t="e">
        <v>#N/A</v>
      </c>
      <c r="J429" s="2839" t="e">
        <v>#N/A</v>
      </c>
      <c r="K429" s="839" t="e">
        <v>#N/A</v>
      </c>
      <c r="L429" s="2839" t="e">
        <v>#N/A</v>
      </c>
      <c r="M429" s="839" t="e">
        <v>#N/A</v>
      </c>
      <c r="N429" s="2839" t="e">
        <v>#N/A</v>
      </c>
      <c r="O429" s="839" t="e">
        <v>#N/A</v>
      </c>
      <c r="P429" s="2839" t="e">
        <v>#N/A</v>
      </c>
      <c r="Q429" s="839" t="e">
        <v>#N/A</v>
      </c>
      <c r="R429" s="2839" t="e">
        <v>#N/A</v>
      </c>
      <c r="S429" s="839" t="e">
        <v>#N/A</v>
      </c>
      <c r="T429" s="3177" t="e">
        <v>#N/A</v>
      </c>
    </row>
    <row r="430" spans="1:20">
      <c r="A430" s="63">
        <f t="shared" si="1"/>
        <v>2029.01</v>
      </c>
      <c r="B430" s="839" t="e">
        <v>#N/A</v>
      </c>
      <c r="C430" s="2839" t="e">
        <v>#N/A</v>
      </c>
      <c r="D430" s="439" t="e">
        <v>#N/A</v>
      </c>
      <c r="E430" s="839" t="e">
        <v>#N/A</v>
      </c>
      <c r="F430" s="2839" t="e">
        <v>#N/A</v>
      </c>
      <c r="G430" s="839" t="e">
        <v>#N/A</v>
      </c>
      <c r="H430" s="2839" t="e">
        <v>#N/A</v>
      </c>
      <c r="I430" s="839" t="e">
        <v>#N/A</v>
      </c>
      <c r="J430" s="2839" t="e">
        <v>#N/A</v>
      </c>
      <c r="K430" s="839" t="e">
        <v>#N/A</v>
      </c>
      <c r="L430" s="2839" t="e">
        <v>#N/A</v>
      </c>
      <c r="M430" s="839" t="e">
        <v>#N/A</v>
      </c>
      <c r="N430" s="2839" t="e">
        <v>#N/A</v>
      </c>
      <c r="O430" s="839" t="e">
        <v>#N/A</v>
      </c>
      <c r="P430" s="2839" t="e">
        <v>#N/A</v>
      </c>
      <c r="Q430" s="839" t="e">
        <v>#N/A</v>
      </c>
      <c r="R430" s="2839" t="e">
        <v>#N/A</v>
      </c>
      <c r="S430" s="839" t="e">
        <v>#N/A</v>
      </c>
      <c r="T430" s="3177" t="e">
        <v>#N/A</v>
      </c>
    </row>
    <row r="431" spans="1:20">
      <c r="A431" s="63">
        <f t="shared" si="1"/>
        <v>2029.02</v>
      </c>
      <c r="B431" s="839" t="e">
        <v>#N/A</v>
      </c>
      <c r="C431" s="2839" t="e">
        <v>#N/A</v>
      </c>
      <c r="D431" s="439" t="e">
        <v>#N/A</v>
      </c>
      <c r="E431" s="839" t="e">
        <v>#N/A</v>
      </c>
      <c r="F431" s="2839" t="e">
        <v>#N/A</v>
      </c>
      <c r="G431" s="839" t="e">
        <v>#N/A</v>
      </c>
      <c r="H431" s="2839" t="e">
        <v>#N/A</v>
      </c>
      <c r="I431" s="839" t="e">
        <v>#N/A</v>
      </c>
      <c r="J431" s="2839" t="e">
        <v>#N/A</v>
      </c>
      <c r="K431" s="839" t="e">
        <v>#N/A</v>
      </c>
      <c r="L431" s="2839" t="e">
        <v>#N/A</v>
      </c>
      <c r="M431" s="839" t="e">
        <v>#N/A</v>
      </c>
      <c r="N431" s="2839" t="e">
        <v>#N/A</v>
      </c>
      <c r="O431" s="839" t="e">
        <v>#N/A</v>
      </c>
      <c r="P431" s="2839" t="e">
        <v>#N/A</v>
      </c>
      <c r="Q431" s="839" t="e">
        <v>#N/A</v>
      </c>
      <c r="R431" s="2839" t="e">
        <v>#N/A</v>
      </c>
      <c r="S431" s="839" t="e">
        <v>#N/A</v>
      </c>
      <c r="T431" s="3177" t="e">
        <v>#N/A</v>
      </c>
    </row>
    <row r="432" spans="1:20">
      <c r="A432" s="63">
        <f t="shared" si="1"/>
        <v>2029.03</v>
      </c>
      <c r="B432" s="839" t="e">
        <v>#N/A</v>
      </c>
      <c r="C432" s="2839" t="e">
        <v>#N/A</v>
      </c>
      <c r="D432" s="439" t="e">
        <v>#N/A</v>
      </c>
      <c r="E432" s="839" t="e">
        <v>#N/A</v>
      </c>
      <c r="F432" s="2839" t="e">
        <v>#N/A</v>
      </c>
      <c r="G432" s="839" t="e">
        <v>#N/A</v>
      </c>
      <c r="H432" s="2839" t="e">
        <v>#N/A</v>
      </c>
      <c r="I432" s="839" t="e">
        <v>#N/A</v>
      </c>
      <c r="J432" s="2839" t="e">
        <v>#N/A</v>
      </c>
      <c r="K432" s="839" t="e">
        <v>#N/A</v>
      </c>
      <c r="L432" s="2839" t="e">
        <v>#N/A</v>
      </c>
      <c r="M432" s="839" t="e">
        <v>#N/A</v>
      </c>
      <c r="N432" s="2839" t="e">
        <v>#N/A</v>
      </c>
      <c r="O432" s="839" t="e">
        <v>#N/A</v>
      </c>
      <c r="P432" s="2839" t="e">
        <v>#N/A</v>
      </c>
      <c r="Q432" s="839" t="e">
        <v>#N/A</v>
      </c>
      <c r="R432" s="2839" t="e">
        <v>#N/A</v>
      </c>
      <c r="S432" s="839" t="e">
        <v>#N/A</v>
      </c>
      <c r="T432" s="3177" t="e">
        <v>#N/A</v>
      </c>
    </row>
    <row r="433" spans="1:20">
      <c r="A433" s="63">
        <f t="shared" si="1"/>
        <v>2029.04</v>
      </c>
      <c r="B433" s="839" t="e">
        <v>#N/A</v>
      </c>
      <c r="C433" s="2839" t="e">
        <v>#N/A</v>
      </c>
      <c r="D433" s="439" t="e">
        <v>#N/A</v>
      </c>
      <c r="E433" s="839" t="e">
        <v>#N/A</v>
      </c>
      <c r="F433" s="2839" t="e">
        <v>#N/A</v>
      </c>
      <c r="G433" s="839" t="e">
        <v>#N/A</v>
      </c>
      <c r="H433" s="2839" t="e">
        <v>#N/A</v>
      </c>
      <c r="I433" s="839" t="e">
        <v>#N/A</v>
      </c>
      <c r="J433" s="2839" t="e">
        <v>#N/A</v>
      </c>
      <c r="K433" s="839" t="e">
        <v>#N/A</v>
      </c>
      <c r="L433" s="2839" t="e">
        <v>#N/A</v>
      </c>
      <c r="M433" s="839" t="e">
        <v>#N/A</v>
      </c>
      <c r="N433" s="2839" t="e">
        <v>#N/A</v>
      </c>
      <c r="O433" s="839" t="e">
        <v>#N/A</v>
      </c>
      <c r="P433" s="2839" t="e">
        <v>#N/A</v>
      </c>
      <c r="Q433" s="839" t="e">
        <v>#N/A</v>
      </c>
      <c r="R433" s="2839" t="e">
        <v>#N/A</v>
      </c>
      <c r="S433" s="839" t="e">
        <v>#N/A</v>
      </c>
      <c r="T433" s="3177" t="e">
        <v>#N/A</v>
      </c>
    </row>
    <row r="434" spans="1:20">
      <c r="A434" s="63">
        <f t="shared" si="1"/>
        <v>2029.05</v>
      </c>
      <c r="B434" s="839" t="e">
        <v>#N/A</v>
      </c>
      <c r="C434" s="2839" t="e">
        <v>#N/A</v>
      </c>
      <c r="D434" s="439" t="e">
        <v>#N/A</v>
      </c>
      <c r="E434" s="839" t="e">
        <v>#N/A</v>
      </c>
      <c r="F434" s="2839" t="e">
        <v>#N/A</v>
      </c>
      <c r="G434" s="839" t="e">
        <v>#N/A</v>
      </c>
      <c r="H434" s="2839" t="e">
        <v>#N/A</v>
      </c>
      <c r="I434" s="839" t="e">
        <v>#N/A</v>
      </c>
      <c r="J434" s="2839" t="e">
        <v>#N/A</v>
      </c>
      <c r="K434" s="839" t="e">
        <v>#N/A</v>
      </c>
      <c r="L434" s="2839" t="e">
        <v>#N/A</v>
      </c>
      <c r="M434" s="839" t="e">
        <v>#N/A</v>
      </c>
      <c r="N434" s="2839" t="e">
        <v>#N/A</v>
      </c>
      <c r="O434" s="839" t="e">
        <v>#N/A</v>
      </c>
      <c r="P434" s="2839" t="e">
        <v>#N/A</v>
      </c>
      <c r="Q434" s="839" t="e">
        <v>#N/A</v>
      </c>
      <c r="R434" s="2839" t="e">
        <v>#N/A</v>
      </c>
      <c r="S434" s="839" t="e">
        <v>#N/A</v>
      </c>
      <c r="T434" s="3177" t="e">
        <v>#N/A</v>
      </c>
    </row>
    <row r="435" spans="1:20">
      <c r="A435" s="63">
        <f t="shared" si="1"/>
        <v>2029.06</v>
      </c>
      <c r="B435" s="839" t="e">
        <v>#N/A</v>
      </c>
      <c r="C435" s="2839" t="e">
        <v>#N/A</v>
      </c>
      <c r="D435" s="439" t="e">
        <v>#N/A</v>
      </c>
      <c r="E435" s="839" t="e">
        <v>#N/A</v>
      </c>
      <c r="F435" s="2839" t="e">
        <v>#N/A</v>
      </c>
      <c r="G435" s="839" t="e">
        <v>#N/A</v>
      </c>
      <c r="H435" s="2839" t="e">
        <v>#N/A</v>
      </c>
      <c r="I435" s="839" t="e">
        <v>#N/A</v>
      </c>
      <c r="J435" s="2839" t="e">
        <v>#N/A</v>
      </c>
      <c r="K435" s="839" t="e">
        <v>#N/A</v>
      </c>
      <c r="L435" s="2839" t="e">
        <v>#N/A</v>
      </c>
      <c r="M435" s="839" t="e">
        <v>#N/A</v>
      </c>
      <c r="N435" s="2839" t="e">
        <v>#N/A</v>
      </c>
      <c r="O435" s="839" t="e">
        <v>#N/A</v>
      </c>
      <c r="P435" s="2839" t="e">
        <v>#N/A</v>
      </c>
      <c r="Q435" s="839" t="e">
        <v>#N/A</v>
      </c>
      <c r="R435" s="2839" t="e">
        <v>#N/A</v>
      </c>
      <c r="S435" s="839" t="e">
        <v>#N/A</v>
      </c>
      <c r="T435" s="3177" t="e">
        <v>#N/A</v>
      </c>
    </row>
    <row r="436" spans="1:20">
      <c r="A436" s="63">
        <f t="shared" si="1"/>
        <v>2029.07</v>
      </c>
      <c r="B436" s="839" t="e">
        <v>#N/A</v>
      </c>
      <c r="C436" s="2839" t="e">
        <v>#N/A</v>
      </c>
      <c r="D436" s="439" t="e">
        <v>#N/A</v>
      </c>
      <c r="E436" s="839" t="e">
        <v>#N/A</v>
      </c>
      <c r="F436" s="2839" t="e">
        <v>#N/A</v>
      </c>
      <c r="G436" s="839" t="e">
        <v>#N/A</v>
      </c>
      <c r="H436" s="2839" t="e">
        <v>#N/A</v>
      </c>
      <c r="I436" s="839" t="e">
        <v>#N/A</v>
      </c>
      <c r="J436" s="2839" t="e">
        <v>#N/A</v>
      </c>
      <c r="K436" s="839" t="e">
        <v>#N/A</v>
      </c>
      <c r="L436" s="2839" t="e">
        <v>#N/A</v>
      </c>
      <c r="M436" s="839" t="e">
        <v>#N/A</v>
      </c>
      <c r="N436" s="2839" t="e">
        <v>#N/A</v>
      </c>
      <c r="O436" s="839" t="e">
        <v>#N/A</v>
      </c>
      <c r="P436" s="2839" t="e">
        <v>#N/A</v>
      </c>
      <c r="Q436" s="839" t="e">
        <v>#N/A</v>
      </c>
      <c r="R436" s="2839" t="e">
        <v>#N/A</v>
      </c>
      <c r="S436" s="839" t="e">
        <v>#N/A</v>
      </c>
      <c r="T436" s="3177" t="e">
        <v>#N/A</v>
      </c>
    </row>
    <row r="437" spans="1:20">
      <c r="A437" s="63">
        <f t="shared" si="1"/>
        <v>2029.08</v>
      </c>
      <c r="B437" s="839" t="e">
        <v>#N/A</v>
      </c>
      <c r="C437" s="2839" t="e">
        <v>#N/A</v>
      </c>
      <c r="D437" s="439" t="e">
        <v>#N/A</v>
      </c>
      <c r="E437" s="839" t="e">
        <v>#N/A</v>
      </c>
      <c r="F437" s="2839" t="e">
        <v>#N/A</v>
      </c>
      <c r="G437" s="839" t="e">
        <v>#N/A</v>
      </c>
      <c r="H437" s="2839" t="e">
        <v>#N/A</v>
      </c>
      <c r="I437" s="839" t="e">
        <v>#N/A</v>
      </c>
      <c r="J437" s="2839" t="e">
        <v>#N/A</v>
      </c>
      <c r="K437" s="839" t="e">
        <v>#N/A</v>
      </c>
      <c r="L437" s="2839" t="e">
        <v>#N/A</v>
      </c>
      <c r="M437" s="839" t="e">
        <v>#N/A</v>
      </c>
      <c r="N437" s="2839" t="e">
        <v>#N/A</v>
      </c>
      <c r="O437" s="839" t="e">
        <v>#N/A</v>
      </c>
      <c r="P437" s="2839" t="e">
        <v>#N/A</v>
      </c>
      <c r="Q437" s="839" t="e">
        <v>#N/A</v>
      </c>
      <c r="R437" s="2839" t="e">
        <v>#N/A</v>
      </c>
      <c r="S437" s="839" t="e">
        <v>#N/A</v>
      </c>
      <c r="T437" s="3177" t="e">
        <v>#N/A</v>
      </c>
    </row>
    <row r="438" spans="1:20">
      <c r="A438" s="63">
        <f t="shared" si="1"/>
        <v>2029.09</v>
      </c>
      <c r="B438" s="839" t="e">
        <v>#N/A</v>
      </c>
      <c r="C438" s="2839" t="e">
        <v>#N/A</v>
      </c>
      <c r="D438" s="439" t="e">
        <v>#N/A</v>
      </c>
      <c r="E438" s="839" t="e">
        <v>#N/A</v>
      </c>
      <c r="F438" s="2839" t="e">
        <v>#N/A</v>
      </c>
      <c r="G438" s="839" t="e">
        <v>#N/A</v>
      </c>
      <c r="H438" s="2839" t="e">
        <v>#N/A</v>
      </c>
      <c r="I438" s="839" t="e">
        <v>#N/A</v>
      </c>
      <c r="J438" s="2839" t="e">
        <v>#N/A</v>
      </c>
      <c r="K438" s="839" t="e">
        <v>#N/A</v>
      </c>
      <c r="L438" s="2839" t="e">
        <v>#N/A</v>
      </c>
      <c r="M438" s="839" t="e">
        <v>#N/A</v>
      </c>
      <c r="N438" s="2839" t="e">
        <v>#N/A</v>
      </c>
      <c r="O438" s="839" t="e">
        <v>#N/A</v>
      </c>
      <c r="P438" s="2839" t="e">
        <v>#N/A</v>
      </c>
      <c r="Q438" s="839" t="e">
        <v>#N/A</v>
      </c>
      <c r="R438" s="2839" t="e">
        <v>#N/A</v>
      </c>
      <c r="S438" s="839" t="e">
        <v>#N/A</v>
      </c>
      <c r="T438" s="3177" t="e">
        <v>#N/A</v>
      </c>
    </row>
    <row r="439" spans="1:20">
      <c r="A439" s="63">
        <f t="shared" si="1"/>
        <v>2029.1</v>
      </c>
      <c r="B439" s="839" t="e">
        <v>#N/A</v>
      </c>
      <c r="C439" s="2839" t="e">
        <v>#N/A</v>
      </c>
      <c r="D439" s="439" t="e">
        <v>#N/A</v>
      </c>
      <c r="E439" s="839" t="e">
        <v>#N/A</v>
      </c>
      <c r="F439" s="2839" t="e">
        <v>#N/A</v>
      </c>
      <c r="G439" s="839" t="e">
        <v>#N/A</v>
      </c>
      <c r="H439" s="2839" t="e">
        <v>#N/A</v>
      </c>
      <c r="I439" s="839" t="e">
        <v>#N/A</v>
      </c>
      <c r="J439" s="2839" t="e">
        <v>#N/A</v>
      </c>
      <c r="K439" s="839" t="e">
        <v>#N/A</v>
      </c>
      <c r="L439" s="2839" t="e">
        <v>#N/A</v>
      </c>
      <c r="M439" s="839" t="e">
        <v>#N/A</v>
      </c>
      <c r="N439" s="2839" t="e">
        <v>#N/A</v>
      </c>
      <c r="O439" s="839" t="e">
        <v>#N/A</v>
      </c>
      <c r="P439" s="2839" t="e">
        <v>#N/A</v>
      </c>
      <c r="Q439" s="839" t="e">
        <v>#N/A</v>
      </c>
      <c r="R439" s="2839" t="e">
        <v>#N/A</v>
      </c>
      <c r="S439" s="839" t="e">
        <v>#N/A</v>
      </c>
      <c r="T439" s="3177" t="e">
        <v>#N/A</v>
      </c>
    </row>
    <row r="440" spans="1:20">
      <c r="A440" s="63">
        <f t="shared" si="1"/>
        <v>2029.11</v>
      </c>
      <c r="B440" s="839" t="e">
        <v>#N/A</v>
      </c>
      <c r="C440" s="2839" t="e">
        <v>#N/A</v>
      </c>
      <c r="D440" s="439" t="e">
        <v>#N/A</v>
      </c>
      <c r="E440" s="839" t="e">
        <v>#N/A</v>
      </c>
      <c r="F440" s="2839" t="e">
        <v>#N/A</v>
      </c>
      <c r="G440" s="839" t="e">
        <v>#N/A</v>
      </c>
      <c r="H440" s="2839" t="e">
        <v>#N/A</v>
      </c>
      <c r="I440" s="839" t="e">
        <v>#N/A</v>
      </c>
      <c r="J440" s="2839" t="e">
        <v>#N/A</v>
      </c>
      <c r="K440" s="839" t="e">
        <v>#N/A</v>
      </c>
      <c r="L440" s="2839" t="e">
        <v>#N/A</v>
      </c>
      <c r="M440" s="839" t="e">
        <v>#N/A</v>
      </c>
      <c r="N440" s="2839" t="e">
        <v>#N/A</v>
      </c>
      <c r="O440" s="839" t="e">
        <v>#N/A</v>
      </c>
      <c r="P440" s="2839" t="e">
        <v>#N/A</v>
      </c>
      <c r="Q440" s="839" t="e">
        <v>#N/A</v>
      </c>
      <c r="R440" s="2839" t="e">
        <v>#N/A</v>
      </c>
      <c r="S440" s="839" t="e">
        <v>#N/A</v>
      </c>
      <c r="T440" s="3177" t="e">
        <v>#N/A</v>
      </c>
    </row>
    <row r="441" spans="1:20">
      <c r="A441" s="63">
        <f t="shared" si="1"/>
        <v>2029.12</v>
      </c>
      <c r="B441" s="839" t="e">
        <v>#N/A</v>
      </c>
      <c r="C441" s="2839" t="e">
        <v>#N/A</v>
      </c>
      <c r="D441" s="439" t="e">
        <v>#N/A</v>
      </c>
      <c r="E441" s="839" t="e">
        <v>#N/A</v>
      </c>
      <c r="F441" s="2839" t="e">
        <v>#N/A</v>
      </c>
      <c r="G441" s="839" t="e">
        <v>#N/A</v>
      </c>
      <c r="H441" s="2839" t="e">
        <v>#N/A</v>
      </c>
      <c r="I441" s="839" t="e">
        <v>#N/A</v>
      </c>
      <c r="J441" s="2839" t="e">
        <v>#N/A</v>
      </c>
      <c r="K441" s="839" t="e">
        <v>#N/A</v>
      </c>
      <c r="L441" s="2839" t="e">
        <v>#N/A</v>
      </c>
      <c r="M441" s="839" t="e">
        <v>#N/A</v>
      </c>
      <c r="N441" s="2839" t="e">
        <v>#N/A</v>
      </c>
      <c r="O441" s="839" t="e">
        <v>#N/A</v>
      </c>
      <c r="P441" s="2839" t="e">
        <v>#N/A</v>
      </c>
      <c r="Q441" s="839" t="e">
        <v>#N/A</v>
      </c>
      <c r="R441" s="2839" t="e">
        <v>#N/A</v>
      </c>
      <c r="S441" s="839" t="e">
        <v>#N/A</v>
      </c>
      <c r="T441" s="3177" t="e">
        <v>#N/A</v>
      </c>
    </row>
    <row r="442" spans="1:20">
      <c r="A442" s="63">
        <f t="shared" si="1"/>
        <v>2030.01</v>
      </c>
      <c r="B442" s="839" t="e">
        <v>#N/A</v>
      </c>
      <c r="C442" s="2839" t="e">
        <v>#N/A</v>
      </c>
      <c r="D442" s="439" t="e">
        <v>#N/A</v>
      </c>
      <c r="E442" s="839" t="e">
        <v>#N/A</v>
      </c>
      <c r="F442" s="2839" t="e">
        <v>#N/A</v>
      </c>
      <c r="G442" s="839" t="e">
        <v>#N/A</v>
      </c>
      <c r="H442" s="2839" t="e">
        <v>#N/A</v>
      </c>
      <c r="I442" s="839" t="e">
        <v>#N/A</v>
      </c>
      <c r="J442" s="2839" t="e">
        <v>#N/A</v>
      </c>
      <c r="K442" s="839" t="e">
        <v>#N/A</v>
      </c>
      <c r="L442" s="2839" t="e">
        <v>#N/A</v>
      </c>
      <c r="M442" s="839" t="e">
        <v>#N/A</v>
      </c>
      <c r="N442" s="2839" t="e">
        <v>#N/A</v>
      </c>
      <c r="O442" s="839" t="e">
        <v>#N/A</v>
      </c>
      <c r="P442" s="2839" t="e">
        <v>#N/A</v>
      </c>
      <c r="Q442" s="839" t="e">
        <v>#N/A</v>
      </c>
      <c r="R442" s="2839" t="e">
        <v>#N/A</v>
      </c>
      <c r="S442" s="839" t="e">
        <v>#N/A</v>
      </c>
      <c r="T442" s="3177" t="e">
        <v>#N/A</v>
      </c>
    </row>
    <row r="443" spans="1:20">
      <c r="A443" s="63">
        <f t="shared" si="1"/>
        <v>2030.02</v>
      </c>
      <c r="B443" s="839" t="e">
        <v>#N/A</v>
      </c>
      <c r="C443" s="2839" t="e">
        <v>#N/A</v>
      </c>
      <c r="D443" s="439" t="e">
        <v>#N/A</v>
      </c>
      <c r="E443" s="839" t="e">
        <v>#N/A</v>
      </c>
      <c r="F443" s="2839" t="e">
        <v>#N/A</v>
      </c>
      <c r="G443" s="839" t="e">
        <v>#N/A</v>
      </c>
      <c r="H443" s="2839" t="e">
        <v>#N/A</v>
      </c>
      <c r="I443" s="839" t="e">
        <v>#N/A</v>
      </c>
      <c r="J443" s="2839" t="e">
        <v>#N/A</v>
      </c>
      <c r="K443" s="839" t="e">
        <v>#N/A</v>
      </c>
      <c r="L443" s="2839" t="e">
        <v>#N/A</v>
      </c>
      <c r="M443" s="839" t="e">
        <v>#N/A</v>
      </c>
      <c r="N443" s="2839" t="e">
        <v>#N/A</v>
      </c>
      <c r="O443" s="839" t="e">
        <v>#N/A</v>
      </c>
      <c r="P443" s="2839" t="e">
        <v>#N/A</v>
      </c>
      <c r="Q443" s="839" t="e">
        <v>#N/A</v>
      </c>
      <c r="R443" s="2839" t="e">
        <v>#N/A</v>
      </c>
      <c r="S443" s="839" t="e">
        <v>#N/A</v>
      </c>
      <c r="T443" s="3177" t="e">
        <v>#N/A</v>
      </c>
    </row>
    <row r="444" spans="1:20">
      <c r="A444" s="63">
        <f t="shared" si="1"/>
        <v>2030.03</v>
      </c>
      <c r="B444" s="839" t="e">
        <v>#N/A</v>
      </c>
      <c r="C444" s="2839" t="e">
        <v>#N/A</v>
      </c>
      <c r="D444" s="439" t="e">
        <v>#N/A</v>
      </c>
      <c r="E444" s="839" t="e">
        <v>#N/A</v>
      </c>
      <c r="F444" s="2839" t="e">
        <v>#N/A</v>
      </c>
      <c r="G444" s="839" t="e">
        <v>#N/A</v>
      </c>
      <c r="H444" s="2839" t="e">
        <v>#N/A</v>
      </c>
      <c r="I444" s="839" t="e">
        <v>#N/A</v>
      </c>
      <c r="J444" s="2839" t="e">
        <v>#N/A</v>
      </c>
      <c r="K444" s="839" t="e">
        <v>#N/A</v>
      </c>
      <c r="L444" s="2839" t="e">
        <v>#N/A</v>
      </c>
      <c r="M444" s="839" t="e">
        <v>#N/A</v>
      </c>
      <c r="N444" s="2839" t="e">
        <v>#N/A</v>
      </c>
      <c r="O444" s="839" t="e">
        <v>#N/A</v>
      </c>
      <c r="P444" s="2839" t="e">
        <v>#N/A</v>
      </c>
      <c r="Q444" s="839" t="e">
        <v>#N/A</v>
      </c>
      <c r="R444" s="2839" t="e">
        <v>#N/A</v>
      </c>
      <c r="S444" s="839" t="e">
        <v>#N/A</v>
      </c>
      <c r="T444" s="3177" t="e">
        <v>#N/A</v>
      </c>
    </row>
    <row r="445" spans="1:20">
      <c r="A445" s="63">
        <f t="shared" si="1"/>
        <v>2030.04</v>
      </c>
      <c r="B445" s="839" t="e">
        <v>#N/A</v>
      </c>
      <c r="C445" s="2839" t="e">
        <v>#N/A</v>
      </c>
      <c r="D445" s="439" t="e">
        <v>#N/A</v>
      </c>
      <c r="E445" s="839" t="e">
        <v>#N/A</v>
      </c>
      <c r="F445" s="2839" t="e">
        <v>#N/A</v>
      </c>
      <c r="G445" s="839" t="e">
        <v>#N/A</v>
      </c>
      <c r="H445" s="2839" t="e">
        <v>#N/A</v>
      </c>
      <c r="I445" s="839" t="e">
        <v>#N/A</v>
      </c>
      <c r="J445" s="2839" t="e">
        <v>#N/A</v>
      </c>
      <c r="K445" s="839" t="e">
        <v>#N/A</v>
      </c>
      <c r="L445" s="2839" t="e">
        <v>#N/A</v>
      </c>
      <c r="M445" s="839" t="e">
        <v>#N/A</v>
      </c>
      <c r="N445" s="2839" t="e">
        <v>#N/A</v>
      </c>
      <c r="O445" s="839" t="e">
        <v>#N/A</v>
      </c>
      <c r="P445" s="2839" t="e">
        <v>#N/A</v>
      </c>
      <c r="Q445" s="839" t="e">
        <v>#N/A</v>
      </c>
      <c r="R445" s="2839" t="e">
        <v>#N/A</v>
      </c>
      <c r="S445" s="839" t="e">
        <v>#N/A</v>
      </c>
      <c r="T445" s="3177" t="e">
        <v>#N/A</v>
      </c>
    </row>
    <row r="446" spans="1:20">
      <c r="A446" s="63">
        <f t="shared" si="1"/>
        <v>2030.05</v>
      </c>
      <c r="B446" s="839" t="e">
        <v>#N/A</v>
      </c>
      <c r="C446" s="2839" t="e">
        <v>#N/A</v>
      </c>
      <c r="D446" s="439" t="e">
        <v>#N/A</v>
      </c>
      <c r="E446" s="839" t="e">
        <v>#N/A</v>
      </c>
      <c r="F446" s="2839" t="e">
        <v>#N/A</v>
      </c>
      <c r="G446" s="839" t="e">
        <v>#N/A</v>
      </c>
      <c r="H446" s="2839" t="e">
        <v>#N/A</v>
      </c>
      <c r="I446" s="839" t="e">
        <v>#N/A</v>
      </c>
      <c r="J446" s="2839" t="e">
        <v>#N/A</v>
      </c>
      <c r="K446" s="839" t="e">
        <v>#N/A</v>
      </c>
      <c r="L446" s="2839" t="e">
        <v>#N/A</v>
      </c>
      <c r="M446" s="839" t="e">
        <v>#N/A</v>
      </c>
      <c r="N446" s="2839" t="e">
        <v>#N/A</v>
      </c>
      <c r="O446" s="839" t="e">
        <v>#N/A</v>
      </c>
      <c r="P446" s="2839" t="e">
        <v>#N/A</v>
      </c>
      <c r="Q446" s="839" t="e">
        <v>#N/A</v>
      </c>
      <c r="R446" s="2839" t="e">
        <v>#N/A</v>
      </c>
      <c r="S446" s="839" t="e">
        <v>#N/A</v>
      </c>
      <c r="T446" s="3177" t="e">
        <v>#N/A</v>
      </c>
    </row>
    <row r="447" spans="1:20">
      <c r="A447" s="63">
        <f t="shared" si="1"/>
        <v>2030.06</v>
      </c>
      <c r="B447" s="839" t="e">
        <v>#N/A</v>
      </c>
      <c r="C447" s="2839" t="e">
        <v>#N/A</v>
      </c>
      <c r="D447" s="439" t="e">
        <v>#N/A</v>
      </c>
      <c r="E447" s="839" t="e">
        <v>#N/A</v>
      </c>
      <c r="F447" s="2839" t="e">
        <v>#N/A</v>
      </c>
      <c r="G447" s="839" t="e">
        <v>#N/A</v>
      </c>
      <c r="H447" s="2839" t="e">
        <v>#N/A</v>
      </c>
      <c r="I447" s="839" t="e">
        <v>#N/A</v>
      </c>
      <c r="J447" s="2839" t="e">
        <v>#N/A</v>
      </c>
      <c r="K447" s="839" t="e">
        <v>#N/A</v>
      </c>
      <c r="L447" s="2839" t="e">
        <v>#N/A</v>
      </c>
      <c r="M447" s="839" t="e">
        <v>#N/A</v>
      </c>
      <c r="N447" s="2839" t="e">
        <v>#N/A</v>
      </c>
      <c r="O447" s="839" t="e">
        <v>#N/A</v>
      </c>
      <c r="P447" s="2839" t="e">
        <v>#N/A</v>
      </c>
      <c r="Q447" s="839" t="e">
        <v>#N/A</v>
      </c>
      <c r="R447" s="2839" t="e">
        <v>#N/A</v>
      </c>
      <c r="S447" s="839" t="e">
        <v>#N/A</v>
      </c>
      <c r="T447" s="3177" t="e">
        <v>#N/A</v>
      </c>
    </row>
    <row r="448" spans="1:20">
      <c r="A448" s="63">
        <f t="shared" si="1"/>
        <v>2030.07</v>
      </c>
      <c r="B448" s="839" t="e">
        <v>#N/A</v>
      </c>
      <c r="C448" s="2839" t="e">
        <v>#N/A</v>
      </c>
      <c r="D448" s="439" t="e">
        <v>#N/A</v>
      </c>
      <c r="E448" s="839" t="e">
        <v>#N/A</v>
      </c>
      <c r="F448" s="2839" t="e">
        <v>#N/A</v>
      </c>
      <c r="G448" s="839" t="e">
        <v>#N/A</v>
      </c>
      <c r="H448" s="2839" t="e">
        <v>#N/A</v>
      </c>
      <c r="I448" s="839" t="e">
        <v>#N/A</v>
      </c>
      <c r="J448" s="2839" t="e">
        <v>#N/A</v>
      </c>
      <c r="K448" s="839" t="e">
        <v>#N/A</v>
      </c>
      <c r="L448" s="2839" t="e">
        <v>#N/A</v>
      </c>
      <c r="M448" s="839" t="e">
        <v>#N/A</v>
      </c>
      <c r="N448" s="2839" t="e">
        <v>#N/A</v>
      </c>
      <c r="O448" s="839" t="e">
        <v>#N/A</v>
      </c>
      <c r="P448" s="2839" t="e">
        <v>#N/A</v>
      </c>
      <c r="Q448" s="839" t="e">
        <v>#N/A</v>
      </c>
      <c r="R448" s="2839" t="e">
        <v>#N/A</v>
      </c>
      <c r="S448" s="839" t="e">
        <v>#N/A</v>
      </c>
      <c r="T448" s="3177" t="e">
        <v>#N/A</v>
      </c>
    </row>
    <row r="449" spans="1:20">
      <c r="A449" s="63">
        <f t="shared" si="1"/>
        <v>2030.08</v>
      </c>
      <c r="B449" s="839" t="e">
        <v>#N/A</v>
      </c>
      <c r="C449" s="2839" t="e">
        <v>#N/A</v>
      </c>
      <c r="D449" s="439" t="e">
        <v>#N/A</v>
      </c>
      <c r="E449" s="839" t="e">
        <v>#N/A</v>
      </c>
      <c r="F449" s="2839" t="e">
        <v>#N/A</v>
      </c>
      <c r="G449" s="839" t="e">
        <v>#N/A</v>
      </c>
      <c r="H449" s="2839" t="e">
        <v>#N/A</v>
      </c>
      <c r="I449" s="839" t="e">
        <v>#N/A</v>
      </c>
      <c r="J449" s="2839" t="e">
        <v>#N/A</v>
      </c>
      <c r="K449" s="839" t="e">
        <v>#N/A</v>
      </c>
      <c r="L449" s="2839" t="e">
        <v>#N/A</v>
      </c>
      <c r="M449" s="839" t="e">
        <v>#N/A</v>
      </c>
      <c r="N449" s="2839" t="e">
        <v>#N/A</v>
      </c>
      <c r="O449" s="839" t="e">
        <v>#N/A</v>
      </c>
      <c r="P449" s="2839" t="e">
        <v>#N/A</v>
      </c>
      <c r="Q449" s="839" t="e">
        <v>#N/A</v>
      </c>
      <c r="R449" s="2839" t="e">
        <v>#N/A</v>
      </c>
      <c r="S449" s="839" t="e">
        <v>#N/A</v>
      </c>
      <c r="T449" s="3177" t="e">
        <v>#N/A</v>
      </c>
    </row>
    <row r="450" spans="1:20">
      <c r="A450" s="63">
        <f t="shared" si="1"/>
        <v>2030.09</v>
      </c>
      <c r="B450" s="839" t="e">
        <v>#N/A</v>
      </c>
      <c r="C450" s="2839" t="e">
        <v>#N/A</v>
      </c>
      <c r="D450" s="439" t="e">
        <v>#N/A</v>
      </c>
      <c r="E450" s="839" t="e">
        <v>#N/A</v>
      </c>
      <c r="F450" s="2839" t="e">
        <v>#N/A</v>
      </c>
      <c r="G450" s="839" t="e">
        <v>#N/A</v>
      </c>
      <c r="H450" s="2839" t="e">
        <v>#N/A</v>
      </c>
      <c r="I450" s="839" t="e">
        <v>#N/A</v>
      </c>
      <c r="J450" s="2839" t="e">
        <v>#N/A</v>
      </c>
      <c r="K450" s="839" t="e">
        <v>#N/A</v>
      </c>
      <c r="L450" s="2839" t="e">
        <v>#N/A</v>
      </c>
      <c r="M450" s="839" t="e">
        <v>#N/A</v>
      </c>
      <c r="N450" s="2839" t="e">
        <v>#N/A</v>
      </c>
      <c r="O450" s="839" t="e">
        <v>#N/A</v>
      </c>
      <c r="P450" s="2839" t="e">
        <v>#N/A</v>
      </c>
      <c r="Q450" s="839" t="e">
        <v>#N/A</v>
      </c>
      <c r="R450" s="2839" t="e">
        <v>#N/A</v>
      </c>
      <c r="S450" s="839" t="e">
        <v>#N/A</v>
      </c>
      <c r="T450" s="3177" t="e">
        <v>#N/A</v>
      </c>
    </row>
    <row r="451" spans="1:20">
      <c r="A451" s="63">
        <f t="shared" si="1"/>
        <v>2030.1</v>
      </c>
      <c r="B451" s="839" t="e">
        <v>#N/A</v>
      </c>
      <c r="C451" s="2839" t="e">
        <v>#N/A</v>
      </c>
      <c r="D451" s="439" t="e">
        <v>#N/A</v>
      </c>
      <c r="E451" s="839" t="e">
        <v>#N/A</v>
      </c>
      <c r="F451" s="2839" t="e">
        <v>#N/A</v>
      </c>
      <c r="G451" s="839" t="e">
        <v>#N/A</v>
      </c>
      <c r="H451" s="2839" t="e">
        <v>#N/A</v>
      </c>
      <c r="I451" s="839" t="e">
        <v>#N/A</v>
      </c>
      <c r="J451" s="2839" t="e">
        <v>#N/A</v>
      </c>
      <c r="K451" s="839" t="e">
        <v>#N/A</v>
      </c>
      <c r="L451" s="2839" t="e">
        <v>#N/A</v>
      </c>
      <c r="M451" s="839" t="e">
        <v>#N/A</v>
      </c>
      <c r="N451" s="2839" t="e">
        <v>#N/A</v>
      </c>
      <c r="O451" s="839" t="e">
        <v>#N/A</v>
      </c>
      <c r="P451" s="2839" t="e">
        <v>#N/A</v>
      </c>
      <c r="Q451" s="839" t="e">
        <v>#N/A</v>
      </c>
      <c r="R451" s="2839" t="e">
        <v>#N/A</v>
      </c>
      <c r="S451" s="839" t="e">
        <v>#N/A</v>
      </c>
      <c r="T451" s="3177" t="e">
        <v>#N/A</v>
      </c>
    </row>
    <row r="452" spans="1:20">
      <c r="A452" s="63">
        <f t="shared" si="1"/>
        <v>2030.11</v>
      </c>
      <c r="B452" s="839" t="e">
        <v>#N/A</v>
      </c>
      <c r="C452" s="2839" t="e">
        <v>#N/A</v>
      </c>
      <c r="D452" s="439" t="e">
        <v>#N/A</v>
      </c>
      <c r="E452" s="839" t="e">
        <v>#N/A</v>
      </c>
      <c r="F452" s="2839" t="e">
        <v>#N/A</v>
      </c>
      <c r="G452" s="839" t="e">
        <v>#N/A</v>
      </c>
      <c r="H452" s="2839" t="e">
        <v>#N/A</v>
      </c>
      <c r="I452" s="839" t="e">
        <v>#N/A</v>
      </c>
      <c r="J452" s="2839" t="e">
        <v>#N/A</v>
      </c>
      <c r="K452" s="839" t="e">
        <v>#N/A</v>
      </c>
      <c r="L452" s="2839" t="e">
        <v>#N/A</v>
      </c>
      <c r="M452" s="839" t="e">
        <v>#N/A</v>
      </c>
      <c r="N452" s="2839" t="e">
        <v>#N/A</v>
      </c>
      <c r="O452" s="839" t="e">
        <v>#N/A</v>
      </c>
      <c r="P452" s="2839" t="e">
        <v>#N/A</v>
      </c>
      <c r="Q452" s="839" t="e">
        <v>#N/A</v>
      </c>
      <c r="R452" s="2839" t="e">
        <v>#N/A</v>
      </c>
      <c r="S452" s="839" t="e">
        <v>#N/A</v>
      </c>
      <c r="T452" s="3177" t="e">
        <v>#N/A</v>
      </c>
    </row>
    <row r="453" spans="1:20">
      <c r="A453" s="63">
        <f t="shared" si="1"/>
        <v>2030.12</v>
      </c>
      <c r="B453" s="839" t="e">
        <v>#N/A</v>
      </c>
      <c r="C453" s="2839" t="e">
        <v>#N/A</v>
      </c>
      <c r="D453" s="439" t="e">
        <v>#N/A</v>
      </c>
      <c r="E453" s="839" t="e">
        <v>#N/A</v>
      </c>
      <c r="F453" s="2839" t="e">
        <v>#N/A</v>
      </c>
      <c r="G453" s="839" t="e">
        <v>#N/A</v>
      </c>
      <c r="H453" s="2839" t="e">
        <v>#N/A</v>
      </c>
      <c r="I453" s="839" t="e">
        <v>#N/A</v>
      </c>
      <c r="J453" s="2839" t="e">
        <v>#N/A</v>
      </c>
      <c r="K453" s="839" t="e">
        <v>#N/A</v>
      </c>
      <c r="L453" s="2839" t="e">
        <v>#N/A</v>
      </c>
      <c r="M453" s="839" t="e">
        <v>#N/A</v>
      </c>
      <c r="N453" s="2839" t="e">
        <v>#N/A</v>
      </c>
      <c r="O453" s="839" t="e">
        <v>#N/A</v>
      </c>
      <c r="P453" s="2839" t="e">
        <v>#N/A</v>
      </c>
      <c r="Q453" s="839" t="e">
        <v>#N/A</v>
      </c>
      <c r="R453" s="2839" t="e">
        <v>#N/A</v>
      </c>
      <c r="S453" s="839" t="e">
        <v>#N/A</v>
      </c>
      <c r="T453" s="3177" t="e">
        <v>#N/A</v>
      </c>
    </row>
  </sheetData>
  <hyperlinks>
    <hyperlink ref="A4" location="INDICE!A13" display="VOLVER AL INDICE" xr:uid="{00000000-0004-0000-1E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59"/>
  <dimension ref="A1:V333"/>
  <sheetViews>
    <sheetView zoomScale="130" zoomScaleNormal="130" workbookViewId="0">
      <pane xSplit="1" ySplit="9" topLeftCell="B10" activePane="bottomRight" state="frozen"/>
      <selection pane="topRight" activeCell="A5" sqref="A5"/>
      <selection pane="bottomLeft" activeCell="A5" sqref="A5"/>
      <selection pane="bottomRight" activeCell="A6" sqref="A6:XFD6"/>
    </sheetView>
  </sheetViews>
  <sheetFormatPr baseColWidth="10" defaultColWidth="11.42578125" defaultRowHeight="11.25"/>
  <cols>
    <col min="1" max="1" width="12.7109375" style="472" customWidth="1"/>
    <col min="2" max="2" width="19.28515625" style="469" customWidth="1"/>
    <col min="3" max="18" width="16.28515625" style="469" customWidth="1"/>
    <col min="19" max="19" width="17" style="469" bestFit="1" customWidth="1"/>
    <col min="20" max="16384" width="11.42578125" style="469"/>
  </cols>
  <sheetData>
    <row r="1" spans="1:22" ht="4.5" customHeight="1">
      <c r="A1" s="468"/>
      <c r="C1" s="1304"/>
      <c r="S1" s="470"/>
    </row>
    <row r="2" spans="1:22" ht="33.75">
      <c r="A2" s="2043" t="s">
        <v>105</v>
      </c>
      <c r="B2" s="2044" t="s">
        <v>1006</v>
      </c>
      <c r="C2" s="847" t="s">
        <v>1007</v>
      </c>
      <c r="D2" s="2045"/>
      <c r="E2" s="2045"/>
      <c r="F2" s="2045"/>
      <c r="G2" s="2045"/>
      <c r="H2" s="2045"/>
      <c r="I2" s="2045"/>
      <c r="J2" s="2045"/>
      <c r="K2" s="2045"/>
      <c r="L2" s="2045"/>
      <c r="M2" s="2045"/>
      <c r="N2" s="2045"/>
      <c r="O2" s="2045"/>
      <c r="P2" s="2045"/>
      <c r="Q2" s="2045"/>
      <c r="R2" s="2045"/>
      <c r="S2" s="2046"/>
    </row>
    <row r="3" spans="1:22" s="471" customFormat="1" ht="20.25" customHeight="1">
      <c r="A3" s="2043" t="s">
        <v>109</v>
      </c>
      <c r="B3" s="2044" t="s">
        <v>1008</v>
      </c>
      <c r="C3" s="2047"/>
      <c r="D3" s="2045"/>
      <c r="E3" s="2045"/>
      <c r="F3" s="2045"/>
      <c r="G3" s="2045"/>
      <c r="H3" s="2045"/>
      <c r="I3" s="2045"/>
      <c r="J3" s="2045"/>
      <c r="K3" s="2045"/>
      <c r="L3" s="2045"/>
      <c r="M3" s="2045"/>
      <c r="N3" s="2045"/>
      <c r="O3" s="2045"/>
      <c r="P3" s="2045"/>
      <c r="Q3" s="2045"/>
      <c r="R3" s="2045"/>
      <c r="S3" s="2046"/>
    </row>
    <row r="4" spans="1:22" ht="0.75" hidden="1" customHeight="1">
      <c r="B4" s="848"/>
      <c r="S4" s="470"/>
    </row>
    <row r="5" spans="1:22" s="473" customFormat="1" ht="33.75">
      <c r="A5" s="1901" t="s">
        <v>137</v>
      </c>
      <c r="B5" s="2048" t="s">
        <v>945</v>
      </c>
      <c r="C5" s="849" t="s">
        <v>1009</v>
      </c>
      <c r="D5" s="853" t="s">
        <v>1010</v>
      </c>
      <c r="E5" s="849" t="s">
        <v>1011</v>
      </c>
      <c r="F5" s="853" t="s">
        <v>911</v>
      </c>
      <c r="G5" s="849" t="s">
        <v>1012</v>
      </c>
      <c r="H5" s="853" t="s">
        <v>1013</v>
      </c>
      <c r="I5" s="849" t="s">
        <v>950</v>
      </c>
      <c r="J5" s="853" t="s">
        <v>977</v>
      </c>
      <c r="K5" s="1277" t="s">
        <v>1014</v>
      </c>
      <c r="L5" s="1278" t="s">
        <v>1015</v>
      </c>
      <c r="M5" s="849" t="s">
        <v>1016</v>
      </c>
      <c r="N5" s="853" t="s">
        <v>1017</v>
      </c>
      <c r="O5" s="849" t="s">
        <v>1018</v>
      </c>
      <c r="P5" s="853" t="s">
        <v>1019</v>
      </c>
      <c r="Q5" s="849" t="s">
        <v>1020</v>
      </c>
      <c r="R5" s="853" t="s">
        <v>1021</v>
      </c>
      <c r="S5" s="1279" t="s">
        <v>1022</v>
      </c>
      <c r="V5" s="473" t="s">
        <v>5</v>
      </c>
    </row>
    <row r="6" spans="1:22" ht="2.25" hidden="1" customHeight="1">
      <c r="A6" s="474"/>
      <c r="B6" s="848"/>
      <c r="D6" s="3178"/>
      <c r="F6" s="3178"/>
      <c r="H6" s="3178"/>
      <c r="J6" s="3178"/>
      <c r="L6" s="3178"/>
      <c r="N6" s="3178"/>
      <c r="P6" s="3178"/>
      <c r="R6" s="3178"/>
      <c r="S6" s="470"/>
    </row>
    <row r="7" spans="1:22" s="473" customFormat="1" ht="22.5">
      <c r="A7" s="2049" t="s">
        <v>123</v>
      </c>
      <c r="B7" s="2048" t="s">
        <v>154</v>
      </c>
      <c r="C7" s="849" t="s">
        <v>154</v>
      </c>
      <c r="D7" s="853" t="s">
        <v>154</v>
      </c>
      <c r="E7" s="849" t="s">
        <v>154</v>
      </c>
      <c r="F7" s="853" t="s">
        <v>154</v>
      </c>
      <c r="G7" s="849" t="s">
        <v>154</v>
      </c>
      <c r="H7" s="853" t="s">
        <v>154</v>
      </c>
      <c r="I7" s="849" t="s">
        <v>154</v>
      </c>
      <c r="J7" s="853" t="s">
        <v>154</v>
      </c>
      <c r="K7" s="849" t="s">
        <v>154</v>
      </c>
      <c r="L7" s="853" t="s">
        <v>154</v>
      </c>
      <c r="M7" s="849" t="s">
        <v>154</v>
      </c>
      <c r="N7" s="853" t="s">
        <v>154</v>
      </c>
      <c r="O7" s="849" t="s">
        <v>154</v>
      </c>
      <c r="P7" s="853" t="s">
        <v>154</v>
      </c>
      <c r="Q7" s="849" t="s">
        <v>154</v>
      </c>
      <c r="R7" s="853" t="s">
        <v>154</v>
      </c>
      <c r="S7" s="859" t="s">
        <v>154</v>
      </c>
    </row>
    <row r="8" spans="1:22" ht="13.15" customHeight="1">
      <c r="A8" s="2049" t="s">
        <v>141</v>
      </c>
      <c r="B8" s="2050" t="s">
        <v>1023</v>
      </c>
      <c r="C8" s="850" t="s">
        <v>1024</v>
      </c>
      <c r="D8" s="854" t="s">
        <v>1025</v>
      </c>
      <c r="E8" s="850" t="s">
        <v>1026</v>
      </c>
      <c r="F8" s="854" t="s">
        <v>1027</v>
      </c>
      <c r="G8" s="850" t="s">
        <v>1028</v>
      </c>
      <c r="H8" s="854" t="s">
        <v>1029</v>
      </c>
      <c r="I8" s="850" t="s">
        <v>1030</v>
      </c>
      <c r="J8" s="854" t="s">
        <v>1031</v>
      </c>
      <c r="K8" s="850" t="s">
        <v>1032</v>
      </c>
      <c r="L8" s="854" t="s">
        <v>1033</v>
      </c>
      <c r="M8" s="850" t="s">
        <v>1034</v>
      </c>
      <c r="N8" s="854" t="s">
        <v>1035</v>
      </c>
      <c r="O8" s="850" t="s">
        <v>1036</v>
      </c>
      <c r="P8" s="854" t="s">
        <v>1037</v>
      </c>
      <c r="Q8" s="850" t="s">
        <v>1038</v>
      </c>
      <c r="R8" s="854" t="s">
        <v>1039</v>
      </c>
      <c r="S8" s="860" t="s">
        <v>1040</v>
      </c>
    </row>
    <row r="9" spans="1:22" s="471" customFormat="1" ht="13.15" customHeight="1">
      <c r="A9" s="475" t="s">
        <v>457</v>
      </c>
      <c r="B9" s="2050"/>
      <c r="C9" s="2444">
        <v>0.05</v>
      </c>
      <c r="D9" s="855">
        <v>0.17</v>
      </c>
      <c r="E9" s="856">
        <v>0.06</v>
      </c>
      <c r="F9" s="855">
        <v>7.0000000000000007E-2</v>
      </c>
      <c r="G9" s="856">
        <v>0.06</v>
      </c>
      <c r="H9" s="855">
        <v>0.04</v>
      </c>
      <c r="I9" s="856">
        <v>0.01</v>
      </c>
      <c r="J9" s="855">
        <v>0.06</v>
      </c>
      <c r="K9" s="856">
        <v>0.04</v>
      </c>
      <c r="L9" s="855">
        <v>0.09</v>
      </c>
      <c r="M9" s="856">
        <v>0.09</v>
      </c>
      <c r="N9" s="855">
        <v>0.02</v>
      </c>
      <c r="O9" s="856">
        <v>7.0000000000000007E-2</v>
      </c>
      <c r="P9" s="855">
        <v>0.02</v>
      </c>
      <c r="Q9" s="856">
        <v>0.01</v>
      </c>
      <c r="R9" s="855">
        <v>0.02</v>
      </c>
      <c r="S9" s="861">
        <v>0.12</v>
      </c>
    </row>
    <row r="10" spans="1:22" ht="13.15" customHeight="1">
      <c r="A10" s="476">
        <v>2004.01</v>
      </c>
      <c r="B10" s="477">
        <v>84.742834462855939</v>
      </c>
      <c r="C10" s="851">
        <v>93.426951894696302</v>
      </c>
      <c r="D10" s="3179">
        <v>101.38748754745619</v>
      </c>
      <c r="E10" s="857">
        <v>80.82231389758995</v>
      </c>
      <c r="F10" s="3179">
        <v>83.410612468084452</v>
      </c>
      <c r="G10" s="857">
        <v>108.85119478432681</v>
      </c>
      <c r="H10" s="3179">
        <v>79.744765100431124</v>
      </c>
      <c r="I10" s="857">
        <v>40.441820225035428</v>
      </c>
      <c r="J10" s="3179">
        <v>90.840309311584932</v>
      </c>
      <c r="K10" s="857">
        <v>113.36828658931331</v>
      </c>
      <c r="L10" s="3179">
        <v>67.871713039768878</v>
      </c>
      <c r="M10" s="857">
        <v>45.277611586446838</v>
      </c>
      <c r="N10" s="3179">
        <v>93.194885743053746</v>
      </c>
      <c r="O10" s="857">
        <v>82.295763974024112</v>
      </c>
      <c r="P10" s="3179">
        <v>79.632991778183353</v>
      </c>
      <c r="Q10" s="857">
        <v>104.60247866277902</v>
      </c>
      <c r="R10" s="3179">
        <v>70.5294320944123</v>
      </c>
      <c r="S10" s="862">
        <v>85.769950899597433</v>
      </c>
    </row>
    <row r="11" spans="1:22" ht="13.15" customHeight="1">
      <c r="A11" s="476">
        <v>2004.02</v>
      </c>
      <c r="B11" s="478">
        <v>80.101973281648526</v>
      </c>
      <c r="C11" s="852">
        <v>92.111555481089582</v>
      </c>
      <c r="D11" s="3180">
        <v>70.605229615781241</v>
      </c>
      <c r="E11" s="858">
        <v>70.541262069152722</v>
      </c>
      <c r="F11" s="3180">
        <v>78.053072456369392</v>
      </c>
      <c r="G11" s="858">
        <v>95.650024469272537</v>
      </c>
      <c r="H11" s="3180">
        <v>70.462137282174439</v>
      </c>
      <c r="I11" s="858">
        <v>68.279398121467921</v>
      </c>
      <c r="J11" s="3180">
        <v>87.695757110119615</v>
      </c>
      <c r="K11" s="858">
        <v>93.285365134903898</v>
      </c>
      <c r="L11" s="3180">
        <v>55.312171100137526</v>
      </c>
      <c r="M11" s="858">
        <v>86.940692813747859</v>
      </c>
      <c r="N11" s="3180">
        <v>91.638388054905462</v>
      </c>
      <c r="O11" s="858">
        <v>83.929376174387485</v>
      </c>
      <c r="P11" s="3180">
        <v>86.322531473494479</v>
      </c>
      <c r="Q11" s="858">
        <v>103.24909950888221</v>
      </c>
      <c r="R11" s="3180">
        <v>88.652070547247405</v>
      </c>
      <c r="S11" s="480">
        <v>86.371000269264982</v>
      </c>
    </row>
    <row r="12" spans="1:22" ht="13.15" customHeight="1">
      <c r="A12" s="476">
        <v>2004.03</v>
      </c>
      <c r="B12" s="478">
        <v>100.56814021350024</v>
      </c>
      <c r="C12" s="852">
        <v>103.90516504888845</v>
      </c>
      <c r="D12" s="3180">
        <v>78.815561075674225</v>
      </c>
      <c r="E12" s="858">
        <v>79.347947402471092</v>
      </c>
      <c r="F12" s="3180">
        <v>107.59136962026547</v>
      </c>
      <c r="G12" s="858">
        <v>105.57703503712985</v>
      </c>
      <c r="H12" s="3180">
        <v>90.030449955611729</v>
      </c>
      <c r="I12" s="858">
        <v>99.81608978920498</v>
      </c>
      <c r="J12" s="3180">
        <v>113.4930967076899</v>
      </c>
      <c r="K12" s="858">
        <v>107.09136070909572</v>
      </c>
      <c r="L12" s="3180">
        <v>94.495663059122734</v>
      </c>
      <c r="M12" s="858">
        <v>127.43478981588109</v>
      </c>
      <c r="N12" s="3180">
        <v>96.84422182515975</v>
      </c>
      <c r="O12" s="858">
        <v>111.30911524078174</v>
      </c>
      <c r="P12" s="3180">
        <v>111.76882887767167</v>
      </c>
      <c r="Q12" s="858">
        <v>102.26632264119773</v>
      </c>
      <c r="R12" s="3180">
        <v>101.347165789652</v>
      </c>
      <c r="S12" s="480">
        <v>103.97864805805601</v>
      </c>
    </row>
    <row r="13" spans="1:22" ht="13.15" customHeight="1">
      <c r="A13" s="476">
        <v>2004.04</v>
      </c>
      <c r="B13" s="478">
        <v>97.865164221083603</v>
      </c>
      <c r="C13" s="852">
        <v>82.296320186025312</v>
      </c>
      <c r="D13" s="3180">
        <v>106.60080910185421</v>
      </c>
      <c r="E13" s="858">
        <v>91.36537162592208</v>
      </c>
      <c r="F13" s="3180">
        <v>101.46604456658982</v>
      </c>
      <c r="G13" s="858">
        <v>108.29482702344858</v>
      </c>
      <c r="H13" s="3180">
        <v>96.355893402581614</v>
      </c>
      <c r="I13" s="858">
        <v>61.241585361964752</v>
      </c>
      <c r="J13" s="3180">
        <v>84.06899324243156</v>
      </c>
      <c r="K13" s="858">
        <v>98.84526473597208</v>
      </c>
      <c r="L13" s="3180">
        <v>110.42894611193172</v>
      </c>
      <c r="M13" s="858">
        <v>85.27835051729231</v>
      </c>
      <c r="N13" s="3180">
        <v>99.740962613373327</v>
      </c>
      <c r="O13" s="858">
        <v>91.975594311210898</v>
      </c>
      <c r="P13" s="3180">
        <v>107.8707914745162</v>
      </c>
      <c r="Q13" s="858">
        <v>101.70906445271184</v>
      </c>
      <c r="R13" s="3180">
        <v>93.212850533808407</v>
      </c>
      <c r="S13" s="480">
        <v>101.66905483427453</v>
      </c>
    </row>
    <row r="14" spans="1:22" ht="13.15" customHeight="1">
      <c r="A14" s="476">
        <v>2004.05</v>
      </c>
      <c r="B14" s="478">
        <v>104.23990840025316</v>
      </c>
      <c r="C14" s="852">
        <v>100.89911852875947</v>
      </c>
      <c r="D14" s="3180">
        <v>123.13407729785327</v>
      </c>
      <c r="E14" s="858">
        <v>88.306235405077501</v>
      </c>
      <c r="F14" s="3180">
        <v>97.611196154461553</v>
      </c>
      <c r="G14" s="858">
        <v>96.245781880378971</v>
      </c>
      <c r="H14" s="3180">
        <v>87.124925767582894</v>
      </c>
      <c r="I14" s="858">
        <v>94.308155313118249</v>
      </c>
      <c r="J14" s="3180">
        <v>89.018075463597413</v>
      </c>
      <c r="K14" s="858">
        <v>102.96083350230732</v>
      </c>
      <c r="L14" s="3180">
        <v>104.69913197738438</v>
      </c>
      <c r="M14" s="858">
        <v>117.49722959902334</v>
      </c>
      <c r="N14" s="3180">
        <v>103.53661030755049</v>
      </c>
      <c r="O14" s="858">
        <v>99.559061861734776</v>
      </c>
      <c r="P14" s="3180">
        <v>98.42817294444454</v>
      </c>
      <c r="Q14" s="858">
        <v>100.31014212886438</v>
      </c>
      <c r="R14" s="3180">
        <v>99.692542133641098</v>
      </c>
      <c r="S14" s="480">
        <v>104.47640222022406</v>
      </c>
    </row>
    <row r="15" spans="1:22" ht="13.15" customHeight="1">
      <c r="A15" s="476">
        <v>2004.06</v>
      </c>
      <c r="B15" s="478">
        <v>105.5587001034846</v>
      </c>
      <c r="C15" s="852">
        <v>106.22206890505262</v>
      </c>
      <c r="D15" s="3180">
        <v>116.64713486500055</v>
      </c>
      <c r="E15" s="858">
        <v>95.160228988716923</v>
      </c>
      <c r="F15" s="3180">
        <v>105.66869376361058</v>
      </c>
      <c r="G15" s="858">
        <v>98.351023578334761</v>
      </c>
      <c r="H15" s="3180">
        <v>108.98722943500803</v>
      </c>
      <c r="I15" s="858">
        <v>61.738901956175702</v>
      </c>
      <c r="J15" s="3180">
        <v>87.285392305734732</v>
      </c>
      <c r="K15" s="858">
        <v>97.276333481900124</v>
      </c>
      <c r="L15" s="3180">
        <v>123.79281812542088</v>
      </c>
      <c r="M15" s="858">
        <v>129.39951851039154</v>
      </c>
      <c r="N15" s="3180">
        <v>93.38624014716487</v>
      </c>
      <c r="O15" s="858">
        <v>92.172780908515378</v>
      </c>
      <c r="P15" s="3180">
        <v>100.11094750678603</v>
      </c>
      <c r="Q15" s="858">
        <v>99.945990412645799</v>
      </c>
      <c r="R15" s="3180">
        <v>105.8882022048</v>
      </c>
      <c r="S15" s="480">
        <v>95.246954350833917</v>
      </c>
    </row>
    <row r="16" spans="1:22" ht="13.15" customHeight="1">
      <c r="A16" s="476">
        <v>2004.07</v>
      </c>
      <c r="B16" s="478">
        <v>103.5934893634787</v>
      </c>
      <c r="C16" s="852">
        <v>100.01276419319559</v>
      </c>
      <c r="D16" s="3180">
        <v>110.01624525512264</v>
      </c>
      <c r="E16" s="858">
        <v>107.89646344477123</v>
      </c>
      <c r="F16" s="3180">
        <v>105.50454433935225</v>
      </c>
      <c r="G16" s="858">
        <v>110.25096552847336</v>
      </c>
      <c r="H16" s="3180">
        <v>107.79111094425562</v>
      </c>
      <c r="I16" s="858">
        <v>113.98938279657644</v>
      </c>
      <c r="J16" s="3180">
        <v>92.444476093187319</v>
      </c>
      <c r="K16" s="858">
        <v>93.937101989555472</v>
      </c>
      <c r="L16" s="3180">
        <v>130.59785812527329</v>
      </c>
      <c r="M16" s="858">
        <v>90.010388344818224</v>
      </c>
      <c r="N16" s="3180">
        <v>97.686801875999336</v>
      </c>
      <c r="O16" s="858">
        <v>87.6524197227683</v>
      </c>
      <c r="P16" s="3180">
        <v>120.01558353746223</v>
      </c>
      <c r="Q16" s="858">
        <v>99.792025314823761</v>
      </c>
      <c r="R16" s="3180">
        <v>79.886904338998406</v>
      </c>
      <c r="S16" s="480">
        <v>97.800726344050005</v>
      </c>
    </row>
    <row r="17" spans="1:19" ht="13.15" customHeight="1">
      <c r="A17" s="476">
        <v>2004.08</v>
      </c>
      <c r="B17" s="478">
        <v>110.6972012408787</v>
      </c>
      <c r="C17" s="852">
        <v>102.85234988955158</v>
      </c>
      <c r="D17" s="3180">
        <v>109.24753764997774</v>
      </c>
      <c r="E17" s="858">
        <v>109.93939729409919</v>
      </c>
      <c r="F17" s="3180">
        <v>104.18166640462411</v>
      </c>
      <c r="G17" s="858">
        <v>97.514279856823507</v>
      </c>
      <c r="H17" s="3180">
        <v>108.57157749710841</v>
      </c>
      <c r="I17" s="858">
        <v>149.02838144499069</v>
      </c>
      <c r="J17" s="3180">
        <v>96.181737886196004</v>
      </c>
      <c r="K17" s="858">
        <v>101.64539747942716</v>
      </c>
      <c r="L17" s="3180">
        <v>174.21803062160618</v>
      </c>
      <c r="M17" s="858">
        <v>92.084532281322836</v>
      </c>
      <c r="N17" s="3180">
        <v>105.84313432507116</v>
      </c>
      <c r="O17" s="858">
        <v>105.85350946135974</v>
      </c>
      <c r="P17" s="3180">
        <v>112.55610021032552</v>
      </c>
      <c r="Q17" s="858">
        <v>99.020356549182907</v>
      </c>
      <c r="R17" s="3180">
        <v>121.68019507178499</v>
      </c>
      <c r="S17" s="480">
        <v>103.10307995102012</v>
      </c>
    </row>
    <row r="18" spans="1:19" ht="13.15" customHeight="1">
      <c r="A18" s="476">
        <v>2004.09</v>
      </c>
      <c r="B18" s="478">
        <v>106.51706061280431</v>
      </c>
      <c r="C18" s="852">
        <v>106.57211918141529</v>
      </c>
      <c r="D18" s="3180">
        <v>101.6241545143838</v>
      </c>
      <c r="E18" s="858">
        <v>116.58608646925589</v>
      </c>
      <c r="F18" s="3180">
        <v>96.753367600242882</v>
      </c>
      <c r="G18" s="858">
        <v>123.33245402506506</v>
      </c>
      <c r="H18" s="3180">
        <v>115.98881915403841</v>
      </c>
      <c r="I18" s="858">
        <v>181.51555478672435</v>
      </c>
      <c r="J18" s="3180">
        <v>107.54652189925766</v>
      </c>
      <c r="K18" s="858">
        <v>103.12284751580442</v>
      </c>
      <c r="L18" s="3180">
        <v>72.229289176505105</v>
      </c>
      <c r="M18" s="858">
        <v>126.00608175871562</v>
      </c>
      <c r="N18" s="3180">
        <v>93.623438104402481</v>
      </c>
      <c r="O18" s="858">
        <v>106.10806283863</v>
      </c>
      <c r="P18" s="3180">
        <v>99.633382099406091</v>
      </c>
      <c r="Q18" s="858">
        <v>98.142313105938626</v>
      </c>
      <c r="R18" s="3180">
        <v>117.180969726643</v>
      </c>
      <c r="S18" s="480">
        <v>108.38834543431764</v>
      </c>
    </row>
    <row r="19" spans="1:19" ht="13.15" customHeight="1">
      <c r="A19" s="476">
        <v>2004.1</v>
      </c>
      <c r="B19" s="478">
        <v>104.51621750629869</v>
      </c>
      <c r="C19" s="852">
        <v>93.517931620491026</v>
      </c>
      <c r="D19" s="3180">
        <v>104.07713313021448</v>
      </c>
      <c r="E19" s="858">
        <v>115.72097444395185</v>
      </c>
      <c r="F19" s="3180">
        <v>99.841503930066267</v>
      </c>
      <c r="G19" s="858">
        <v>84.176355117855223</v>
      </c>
      <c r="H19" s="3180">
        <v>108.47861946841009</v>
      </c>
      <c r="I19" s="858">
        <v>81.482876046372056</v>
      </c>
      <c r="J19" s="3180">
        <v>108.37787716213327</v>
      </c>
      <c r="K19" s="858">
        <v>97.177673543190309</v>
      </c>
      <c r="L19" s="3180">
        <v>87.109012749929391</v>
      </c>
      <c r="M19" s="858">
        <v>132.05258223542435</v>
      </c>
      <c r="N19" s="3180">
        <v>108.69985187028848</v>
      </c>
      <c r="O19" s="858">
        <v>106.53511711618053</v>
      </c>
      <c r="P19" s="3180">
        <v>88.122785184242417</v>
      </c>
      <c r="Q19" s="858">
        <v>97.473437366059258</v>
      </c>
      <c r="R19" s="3180">
        <v>114.358677754615</v>
      </c>
      <c r="S19" s="480">
        <v>111.84448239442737</v>
      </c>
    </row>
    <row r="20" spans="1:19" ht="13.15" customHeight="1">
      <c r="A20" s="476">
        <v>2004.11</v>
      </c>
      <c r="B20" s="478">
        <v>102.7734875886256</v>
      </c>
      <c r="C20" s="852">
        <v>114.43156760034104</v>
      </c>
      <c r="D20" s="3180">
        <v>96.51768034911791</v>
      </c>
      <c r="E20" s="858">
        <v>128.06693651358788</v>
      </c>
      <c r="F20" s="3180">
        <v>104.52948100479351</v>
      </c>
      <c r="G20" s="858">
        <v>89.464673362010458</v>
      </c>
      <c r="H20" s="3180">
        <v>119.44180751198982</v>
      </c>
      <c r="I20" s="858">
        <v>132.20855395533718</v>
      </c>
      <c r="J20" s="3180">
        <v>131.56605005195055</v>
      </c>
      <c r="K20" s="858">
        <v>101.84428407942731</v>
      </c>
      <c r="L20" s="3180">
        <v>83.405865105175295</v>
      </c>
      <c r="M20" s="858">
        <v>82.221913616968621</v>
      </c>
      <c r="N20" s="3180">
        <v>103.62391233543475</v>
      </c>
      <c r="O20" s="858">
        <v>109.35301811629601</v>
      </c>
      <c r="P20" s="3180">
        <v>98.829201361877864</v>
      </c>
      <c r="Q20" s="858">
        <v>97.288298543375376</v>
      </c>
      <c r="R20" s="3180">
        <v>112.595394813265</v>
      </c>
      <c r="S20" s="480">
        <v>101.42377031743509</v>
      </c>
    </row>
    <row r="21" spans="1:19" ht="13.15" customHeight="1">
      <c r="A21" s="476">
        <v>2004.12</v>
      </c>
      <c r="B21" s="478">
        <v>98.825823005087869</v>
      </c>
      <c r="C21" s="852">
        <v>103.75208747049368</v>
      </c>
      <c r="D21" s="3180">
        <v>81.326949597563754</v>
      </c>
      <c r="E21" s="858">
        <v>116.24678244540368</v>
      </c>
      <c r="F21" s="3180">
        <v>115.38844769153955</v>
      </c>
      <c r="G21" s="858">
        <v>82.291385336881007</v>
      </c>
      <c r="H21" s="3180">
        <v>107.02266448080775</v>
      </c>
      <c r="I21" s="858">
        <v>115.94930020303229</v>
      </c>
      <c r="J21" s="3180">
        <v>111.48171276611693</v>
      </c>
      <c r="K21" s="858">
        <v>89.445251239103001</v>
      </c>
      <c r="L21" s="3180">
        <v>95.839500807744614</v>
      </c>
      <c r="M21" s="858">
        <v>85.796308919967416</v>
      </c>
      <c r="N21" s="3180">
        <v>112.181552797596</v>
      </c>
      <c r="O21" s="858">
        <v>123.25618027411102</v>
      </c>
      <c r="P21" s="3180">
        <v>96.708683551589559</v>
      </c>
      <c r="Q21" s="858">
        <v>96.200471313538998</v>
      </c>
      <c r="R21" s="3180">
        <v>94.9755949911317</v>
      </c>
      <c r="S21" s="480">
        <v>99.927584926498881</v>
      </c>
    </row>
    <row r="22" spans="1:19" ht="13.15" customHeight="1">
      <c r="A22" s="476">
        <f>A10+1</f>
        <v>2005.01</v>
      </c>
      <c r="B22" s="478">
        <v>97.837254608816465</v>
      </c>
      <c r="C22" s="852">
        <v>93.305655022155378</v>
      </c>
      <c r="D22" s="3180">
        <v>102.88341035496632</v>
      </c>
      <c r="E22" s="858">
        <v>105.51867580977384</v>
      </c>
      <c r="F22" s="3180">
        <v>106.07143252564575</v>
      </c>
      <c r="G22" s="858">
        <v>100.65085848347711</v>
      </c>
      <c r="H22" s="3180">
        <v>91.961401534967351</v>
      </c>
      <c r="I22" s="858">
        <v>76.141201621995307</v>
      </c>
      <c r="J22" s="3180">
        <v>124.03812964534968</v>
      </c>
      <c r="K22" s="858">
        <v>96.8375083927953</v>
      </c>
      <c r="L22" s="3180">
        <v>50.041359131235339</v>
      </c>
      <c r="M22" s="858">
        <v>117.34180784274629</v>
      </c>
      <c r="N22" s="3180">
        <v>87.97184186944807</v>
      </c>
      <c r="O22" s="858">
        <v>118.56983564460192</v>
      </c>
      <c r="P22" s="3180">
        <v>84.807628815267933</v>
      </c>
      <c r="Q22" s="858">
        <v>91.905112227809525</v>
      </c>
      <c r="R22" s="3180">
        <v>61.213158780650701</v>
      </c>
      <c r="S22" s="480">
        <v>94.167089502651748</v>
      </c>
    </row>
    <row r="23" spans="1:19" ht="13.15" customHeight="1">
      <c r="A23" s="476">
        <f t="shared" ref="A23:A86" si="0">A11+1</f>
        <v>2005.02</v>
      </c>
      <c r="B23" s="478">
        <v>92.590869919756955</v>
      </c>
      <c r="C23" s="852">
        <v>90.446541698667247</v>
      </c>
      <c r="D23" s="3180">
        <v>95.043601896719238</v>
      </c>
      <c r="E23" s="858">
        <v>96.286319025857736</v>
      </c>
      <c r="F23" s="3180">
        <v>105.09314755914161</v>
      </c>
      <c r="G23" s="858">
        <v>97.773693474425514</v>
      </c>
      <c r="H23" s="3180">
        <v>97.56031053688767</v>
      </c>
      <c r="I23" s="858">
        <v>87.784902074349318</v>
      </c>
      <c r="J23" s="3180">
        <v>108.80561547181547</v>
      </c>
      <c r="K23" s="858">
        <v>80.41491486347509</v>
      </c>
      <c r="L23" s="3180">
        <v>96.851958851328348</v>
      </c>
      <c r="M23" s="858">
        <v>75.424450358465123</v>
      </c>
      <c r="N23" s="3180">
        <v>93.115792714272274</v>
      </c>
      <c r="O23" s="858">
        <v>90.582110727138243</v>
      </c>
      <c r="P23" s="3180">
        <v>96.007353456911034</v>
      </c>
      <c r="Q23" s="858">
        <v>85.973550737772456</v>
      </c>
      <c r="R23" s="3180">
        <v>85.823768197389299</v>
      </c>
      <c r="S23" s="480">
        <v>85.226758063909827</v>
      </c>
    </row>
    <row r="24" spans="1:19" ht="13.15" customHeight="1">
      <c r="A24" s="476">
        <f t="shared" si="0"/>
        <v>2005.03</v>
      </c>
      <c r="B24" s="478">
        <v>100.64660100145447</v>
      </c>
      <c r="C24" s="852">
        <v>85.769565664759938</v>
      </c>
      <c r="D24" s="3180">
        <v>101.45575115717949</v>
      </c>
      <c r="E24" s="858">
        <v>88.694769225309344</v>
      </c>
      <c r="F24" s="3180">
        <v>123.1042168481458</v>
      </c>
      <c r="G24" s="858">
        <v>97.83782158194046</v>
      </c>
      <c r="H24" s="3180">
        <v>128.85873407381553</v>
      </c>
      <c r="I24" s="858">
        <v>112.95393189476944</v>
      </c>
      <c r="J24" s="3180">
        <v>118.29599041094161</v>
      </c>
      <c r="K24" s="858">
        <v>90.223305577717539</v>
      </c>
      <c r="L24" s="3180">
        <v>58.006636318383748</v>
      </c>
      <c r="M24" s="858">
        <v>121.55462084701729</v>
      </c>
      <c r="N24" s="3180">
        <v>96.156096713035396</v>
      </c>
      <c r="O24" s="858">
        <v>108.29151960008268</v>
      </c>
      <c r="P24" s="3180">
        <v>111.651843264422</v>
      </c>
      <c r="Q24" s="858">
        <v>94.830887246632543</v>
      </c>
      <c r="R24" s="3180">
        <v>116.420400305485</v>
      </c>
      <c r="S24" s="480">
        <v>93.106152524530827</v>
      </c>
    </row>
    <row r="25" spans="1:19" ht="13.15" customHeight="1">
      <c r="A25" s="476">
        <f t="shared" si="0"/>
        <v>2005.04</v>
      </c>
      <c r="B25" s="478">
        <v>111.02704505921889</v>
      </c>
      <c r="C25" s="852">
        <v>79.833534058261009</v>
      </c>
      <c r="D25" s="3180">
        <v>114.41058157182304</v>
      </c>
      <c r="E25" s="858">
        <v>82.108709241733692</v>
      </c>
      <c r="F25" s="3180">
        <v>111.35172902786606</v>
      </c>
      <c r="G25" s="858">
        <v>111.77917646055204</v>
      </c>
      <c r="H25" s="3180">
        <v>95.441213666967073</v>
      </c>
      <c r="I25" s="858">
        <v>119.26799765547773</v>
      </c>
      <c r="J25" s="3180">
        <v>112.50124571023491</v>
      </c>
      <c r="K25" s="858">
        <v>97.942352297531571</v>
      </c>
      <c r="L25" s="3180">
        <v>146.17906538563503</v>
      </c>
      <c r="M25" s="858">
        <v>110.98080707759298</v>
      </c>
      <c r="N25" s="3180">
        <v>97.915860942710026</v>
      </c>
      <c r="O25" s="858">
        <v>130.31582044945907</v>
      </c>
      <c r="P25" s="3180">
        <v>125.58422433387267</v>
      </c>
      <c r="Q25" s="858">
        <v>102.28064608444367</v>
      </c>
      <c r="R25" s="3180">
        <v>99.733642326262597</v>
      </c>
      <c r="S25" s="480">
        <v>106.57173534899597</v>
      </c>
    </row>
    <row r="26" spans="1:19" ht="13.15" customHeight="1">
      <c r="A26" s="476">
        <f t="shared" si="0"/>
        <v>2005.05</v>
      </c>
      <c r="B26" s="478">
        <v>108.48793467800114</v>
      </c>
      <c r="C26" s="852">
        <v>89.264982408283444</v>
      </c>
      <c r="D26" s="3180">
        <v>138.23214761916563</v>
      </c>
      <c r="E26" s="858">
        <v>77.41267476968325</v>
      </c>
      <c r="F26" s="3180">
        <v>109.42812396445794</v>
      </c>
      <c r="G26" s="858">
        <v>108.44337379955341</v>
      </c>
      <c r="H26" s="3180">
        <v>110.64927021636917</v>
      </c>
      <c r="I26" s="858">
        <v>111.672380899974</v>
      </c>
      <c r="J26" s="3180">
        <v>112.6667983523909</v>
      </c>
      <c r="K26" s="858">
        <v>102.90101362628673</v>
      </c>
      <c r="L26" s="3180">
        <v>88.234461300350318</v>
      </c>
      <c r="M26" s="858">
        <v>123.24531134770758</v>
      </c>
      <c r="N26" s="3180">
        <v>98.224199418742415</v>
      </c>
      <c r="O26" s="858">
        <v>119.47482638183722</v>
      </c>
      <c r="P26" s="3180">
        <v>123.67221014337234</v>
      </c>
      <c r="Q26" s="858">
        <v>97.593002522544083</v>
      </c>
      <c r="R26" s="3180">
        <v>96.199587369510795</v>
      </c>
      <c r="S26" s="480">
        <v>89.163693991631092</v>
      </c>
    </row>
    <row r="27" spans="1:19" ht="13.15" customHeight="1">
      <c r="A27" s="476">
        <f t="shared" si="0"/>
        <v>2005.06</v>
      </c>
      <c r="B27" s="478">
        <v>121.73032628704118</v>
      </c>
      <c r="C27" s="852">
        <v>93.848967764088925</v>
      </c>
      <c r="D27" s="3180">
        <v>135.29770279597358</v>
      </c>
      <c r="E27" s="858">
        <v>91.536643725668455</v>
      </c>
      <c r="F27" s="3180">
        <v>109.08676396998939</v>
      </c>
      <c r="G27" s="858">
        <v>83.283746170808058</v>
      </c>
      <c r="H27" s="3180">
        <v>93.906178849611706</v>
      </c>
      <c r="I27" s="858">
        <v>106.40322230073616</v>
      </c>
      <c r="J27" s="3180">
        <v>103.72911709950486</v>
      </c>
      <c r="K27" s="858">
        <v>87.286285768731247</v>
      </c>
      <c r="L27" s="3180">
        <v>179.18473665561845</v>
      </c>
      <c r="M27" s="858">
        <v>197.15675383839141</v>
      </c>
      <c r="N27" s="3180">
        <v>101.65329433277542</v>
      </c>
      <c r="O27" s="858">
        <v>119.03934332882285</v>
      </c>
      <c r="P27" s="3180">
        <v>112.3510555373631</v>
      </c>
      <c r="Q27" s="858">
        <v>107.12753409702034</v>
      </c>
      <c r="R27" s="3180">
        <v>104.177365001423</v>
      </c>
      <c r="S27" s="480">
        <v>101.25232537418465</v>
      </c>
    </row>
    <row r="28" spans="1:19" ht="13.15" customHeight="1">
      <c r="A28" s="476">
        <f t="shared" si="0"/>
        <v>2005.07</v>
      </c>
      <c r="B28" s="478">
        <v>113.38937899451507</v>
      </c>
      <c r="C28" s="852">
        <v>93.808851790376409</v>
      </c>
      <c r="D28" s="3180">
        <v>145.73283433623953</v>
      </c>
      <c r="E28" s="858">
        <v>85.746996772793906</v>
      </c>
      <c r="F28" s="3180">
        <v>114.62391628940289</v>
      </c>
      <c r="G28" s="858">
        <v>90.820789576288405</v>
      </c>
      <c r="H28" s="3180">
        <v>98.456654508017465</v>
      </c>
      <c r="I28" s="858">
        <v>138.53497489913889</v>
      </c>
      <c r="J28" s="3180">
        <v>100.29296693708936</v>
      </c>
      <c r="K28" s="858">
        <v>94.163171789644309</v>
      </c>
      <c r="L28" s="3180">
        <v>74.987851277086676</v>
      </c>
      <c r="M28" s="858">
        <v>167.01740644475828</v>
      </c>
      <c r="N28" s="3180">
        <v>116.01079204550629</v>
      </c>
      <c r="O28" s="858">
        <v>117.12948345501061</v>
      </c>
      <c r="P28" s="3180">
        <v>139.70410605604454</v>
      </c>
      <c r="Q28" s="858">
        <v>98.683980854948487</v>
      </c>
      <c r="R28" s="3180">
        <v>117.46819851362</v>
      </c>
      <c r="S28" s="480">
        <v>97.577146050727748</v>
      </c>
    </row>
    <row r="29" spans="1:19" ht="13.15" customHeight="1">
      <c r="A29" s="476">
        <f t="shared" si="0"/>
        <v>2005.08</v>
      </c>
      <c r="B29" s="478">
        <v>129.54895112852287</v>
      </c>
      <c r="C29" s="852">
        <v>100.24150092799061</v>
      </c>
      <c r="D29" s="3180">
        <v>134.7576486035714</v>
      </c>
      <c r="E29" s="858">
        <v>97.594868276438049</v>
      </c>
      <c r="F29" s="3180">
        <v>119.01583298148856</v>
      </c>
      <c r="G29" s="858">
        <v>123.40429185223506</v>
      </c>
      <c r="H29" s="3180">
        <v>100.49487602544106</v>
      </c>
      <c r="I29" s="858">
        <v>195.75256135967859</v>
      </c>
      <c r="J29" s="3180">
        <v>109.29537768887371</v>
      </c>
      <c r="K29" s="858">
        <v>98.430066735713154</v>
      </c>
      <c r="L29" s="3180">
        <v>211.10640954655128</v>
      </c>
      <c r="M29" s="858">
        <v>161.73253048636917</v>
      </c>
      <c r="N29" s="3180">
        <v>117.28022768521153</v>
      </c>
      <c r="O29" s="858">
        <v>119.80668066584452</v>
      </c>
      <c r="P29" s="3180">
        <v>155.57184022190452</v>
      </c>
      <c r="Q29" s="858">
        <v>119.86631907024153</v>
      </c>
      <c r="R29" s="3180">
        <v>129.15314225137001</v>
      </c>
      <c r="S29" s="480">
        <v>102.75498351495071</v>
      </c>
    </row>
    <row r="30" spans="1:19" ht="13.15" customHeight="1">
      <c r="A30" s="476">
        <f t="shared" si="0"/>
        <v>2005.09</v>
      </c>
      <c r="B30" s="478">
        <v>120.827596638958</v>
      </c>
      <c r="C30" s="852">
        <v>111.20161149257142</v>
      </c>
      <c r="D30" s="3180">
        <v>137.9753577272848</v>
      </c>
      <c r="E30" s="858">
        <v>100.00247647067133</v>
      </c>
      <c r="F30" s="3180">
        <v>112.68854998083673</v>
      </c>
      <c r="G30" s="858">
        <v>81.813558643441823</v>
      </c>
      <c r="H30" s="3180">
        <v>107.03840095798293</v>
      </c>
      <c r="I30" s="858">
        <v>222.58050312190508</v>
      </c>
      <c r="J30" s="3180">
        <v>123.76058639066308</v>
      </c>
      <c r="K30" s="858">
        <v>104.55483651656755</v>
      </c>
      <c r="L30" s="3180">
        <v>110.62437550090826</v>
      </c>
      <c r="M30" s="858">
        <v>163.29095860622212</v>
      </c>
      <c r="N30" s="3180">
        <v>119.77535018171392</v>
      </c>
      <c r="O30" s="858">
        <v>110.03376487903496</v>
      </c>
      <c r="P30" s="3180">
        <v>134.94606257349849</v>
      </c>
      <c r="Q30" s="858">
        <v>106.13519623118285</v>
      </c>
      <c r="R30" s="3180">
        <v>110.593028915099</v>
      </c>
      <c r="S30" s="480">
        <v>114.19418619425589</v>
      </c>
    </row>
    <row r="31" spans="1:19" ht="13.15" customHeight="1">
      <c r="A31" s="476">
        <f t="shared" si="0"/>
        <v>2005.1</v>
      </c>
      <c r="B31" s="478">
        <v>127.366177268993</v>
      </c>
      <c r="C31" s="852">
        <v>105.57606822607929</v>
      </c>
      <c r="D31" s="3180">
        <v>118.19214811185081</v>
      </c>
      <c r="E31" s="858">
        <v>95.798342948898849</v>
      </c>
      <c r="F31" s="3180">
        <v>115.39206483601353</v>
      </c>
      <c r="G31" s="858">
        <v>96.664422797174353</v>
      </c>
      <c r="H31" s="3180">
        <v>93.504021303953735</v>
      </c>
      <c r="I31" s="858">
        <v>120.56778473888906</v>
      </c>
      <c r="J31" s="3180">
        <v>130.25171718235268</v>
      </c>
      <c r="K31" s="858">
        <v>103.29696114374947</v>
      </c>
      <c r="L31" s="3180">
        <v>179.69521977071071</v>
      </c>
      <c r="M31" s="858">
        <v>230.93251598556279</v>
      </c>
      <c r="N31" s="3180">
        <v>118.27122501874609</v>
      </c>
      <c r="O31" s="858">
        <v>106.78757953342758</v>
      </c>
      <c r="P31" s="3180">
        <v>132.15927091031855</v>
      </c>
      <c r="Q31" s="858">
        <v>117.67520641974839</v>
      </c>
      <c r="R31" s="3180">
        <v>120.431283495382</v>
      </c>
      <c r="S31" s="480">
        <v>105.15656056133595</v>
      </c>
    </row>
    <row r="32" spans="1:19" ht="13.15" customHeight="1">
      <c r="A32" s="476">
        <f t="shared" si="0"/>
        <v>2005.11</v>
      </c>
      <c r="B32" s="478">
        <v>120.21562685941974</v>
      </c>
      <c r="C32" s="852">
        <v>109.1519478315815</v>
      </c>
      <c r="D32" s="3180">
        <v>100.2395904302136</v>
      </c>
      <c r="E32" s="858">
        <v>106.44264167383285</v>
      </c>
      <c r="F32" s="3180">
        <v>120.73229208318851</v>
      </c>
      <c r="G32" s="858">
        <v>98.069318820164426</v>
      </c>
      <c r="H32" s="3180">
        <v>80.755237619925467</v>
      </c>
      <c r="I32" s="858">
        <v>123.63515103365879</v>
      </c>
      <c r="J32" s="3180">
        <v>128.74429673797277</v>
      </c>
      <c r="K32" s="858">
        <v>105.82364482251936</v>
      </c>
      <c r="L32" s="3180">
        <v>149.42899595852492</v>
      </c>
      <c r="M32" s="858">
        <v>192.88953258023747</v>
      </c>
      <c r="N32" s="3180">
        <v>116.3804341308639</v>
      </c>
      <c r="O32" s="858">
        <v>120.32150128214562</v>
      </c>
      <c r="P32" s="3180">
        <v>128.82559379064432</v>
      </c>
      <c r="Q32" s="858">
        <v>109.73495790023273</v>
      </c>
      <c r="R32" s="3180">
        <v>101.919881968607</v>
      </c>
      <c r="S32" s="480">
        <v>110.1824605639974</v>
      </c>
    </row>
    <row r="33" spans="1:19" ht="13.15" customHeight="1">
      <c r="A33" s="476">
        <f t="shared" si="0"/>
        <v>2005.12</v>
      </c>
      <c r="B33" s="478">
        <v>116.02112953800398</v>
      </c>
      <c r="C33" s="852">
        <v>100.18930154676129</v>
      </c>
      <c r="D33" s="3180">
        <v>129.20686737849783</v>
      </c>
      <c r="E33" s="858">
        <v>118.78231087218262</v>
      </c>
      <c r="F33" s="3180">
        <v>123.70693576650422</v>
      </c>
      <c r="G33" s="858">
        <v>93.495331358987599</v>
      </c>
      <c r="H33" s="3180">
        <v>75.914671746107203</v>
      </c>
      <c r="I33" s="858">
        <v>144.33228508210274</v>
      </c>
      <c r="J33" s="3180">
        <v>121.08670565214574</v>
      </c>
      <c r="K33" s="858">
        <v>120.28294269320762</v>
      </c>
      <c r="L33" s="3180">
        <v>110.98307169850241</v>
      </c>
      <c r="M33" s="858">
        <v>147.32352797888711</v>
      </c>
      <c r="N33" s="3180">
        <v>94.537137558550498</v>
      </c>
      <c r="O33" s="858">
        <v>99.30120818017194</v>
      </c>
      <c r="P33" s="3180">
        <v>136.91431194201553</v>
      </c>
      <c r="Q33" s="858">
        <v>106.53428200480306</v>
      </c>
      <c r="R33" s="3180">
        <v>115.89980892449699</v>
      </c>
      <c r="S33" s="480">
        <v>105.29974696952709</v>
      </c>
    </row>
    <row r="34" spans="1:19" ht="13.15" customHeight="1">
      <c r="A34" s="476">
        <f t="shared" si="0"/>
        <v>2006.01</v>
      </c>
      <c r="B34" s="478">
        <v>113.91261484514283</v>
      </c>
      <c r="C34" s="852">
        <v>100.57278372538578</v>
      </c>
      <c r="D34" s="3180">
        <v>130.20321928215472</v>
      </c>
      <c r="E34" s="858">
        <v>99.103802539179782</v>
      </c>
      <c r="F34" s="3180">
        <v>110.71583626800169</v>
      </c>
      <c r="G34" s="858">
        <v>107.51969349267617</v>
      </c>
      <c r="H34" s="3180">
        <v>95.430573954858417</v>
      </c>
      <c r="I34" s="858">
        <v>69.059436056958646</v>
      </c>
      <c r="J34" s="3180">
        <v>114.96581201194152</v>
      </c>
      <c r="K34" s="858">
        <v>98.180464813554778</v>
      </c>
      <c r="L34" s="3180">
        <v>83.700514612370128</v>
      </c>
      <c r="M34" s="858">
        <v>191.56388267310888</v>
      </c>
      <c r="N34" s="3180">
        <v>84.050363987398413</v>
      </c>
      <c r="O34" s="858">
        <v>97.110440364242521</v>
      </c>
      <c r="P34" s="3180">
        <v>131.64389181660522</v>
      </c>
      <c r="Q34" s="858">
        <v>108.51871047363167</v>
      </c>
      <c r="R34" s="3180">
        <v>107.84059990423</v>
      </c>
      <c r="S34" s="480">
        <v>102.85015411947414</v>
      </c>
    </row>
    <row r="35" spans="1:19" ht="13.15" customHeight="1">
      <c r="A35" s="476">
        <f t="shared" si="0"/>
        <v>2006.02</v>
      </c>
      <c r="B35" s="478">
        <v>103.10940953242357</v>
      </c>
      <c r="C35" s="852">
        <v>89.357824440082922</v>
      </c>
      <c r="D35" s="3180">
        <v>104.91042404612365</v>
      </c>
      <c r="E35" s="858">
        <v>96.874429947696953</v>
      </c>
      <c r="F35" s="3180">
        <v>104.34578750281327</v>
      </c>
      <c r="G35" s="858">
        <v>98.091444807683899</v>
      </c>
      <c r="H35" s="3180">
        <v>86.937009814561989</v>
      </c>
      <c r="I35" s="858">
        <v>89.934170182998727</v>
      </c>
      <c r="J35" s="3180">
        <v>122.96719096454446</v>
      </c>
      <c r="K35" s="858">
        <v>88.10406809233352</v>
      </c>
      <c r="L35" s="3180">
        <v>107.42571377192792</v>
      </c>
      <c r="M35" s="858">
        <v>118.93282666494639</v>
      </c>
      <c r="N35" s="3180">
        <v>82.919070553681848</v>
      </c>
      <c r="O35" s="858">
        <v>101.53136092400965</v>
      </c>
      <c r="P35" s="3180">
        <v>124.60883080736124</v>
      </c>
      <c r="Q35" s="858">
        <v>99.98676195925411</v>
      </c>
      <c r="R35" s="3180">
        <v>130.52016468644399</v>
      </c>
      <c r="S35" s="480">
        <v>93.827326998834053</v>
      </c>
    </row>
    <row r="36" spans="1:19" ht="13.15" customHeight="1">
      <c r="A36" s="476">
        <f t="shared" si="0"/>
        <v>2006.03</v>
      </c>
      <c r="B36" s="478">
        <v>115.31435066090879</v>
      </c>
      <c r="C36" s="852">
        <v>97.614147651753385</v>
      </c>
      <c r="D36" s="3180">
        <v>120.68418538437533</v>
      </c>
      <c r="E36" s="858">
        <v>106.48798687834396</v>
      </c>
      <c r="F36" s="3180">
        <v>129.01804417600181</v>
      </c>
      <c r="G36" s="858">
        <v>123.16268666761398</v>
      </c>
      <c r="H36" s="3180">
        <v>97.962714334099289</v>
      </c>
      <c r="I36" s="858">
        <v>114.85888654205449</v>
      </c>
      <c r="J36" s="3180">
        <v>109.50471762165009</v>
      </c>
      <c r="K36" s="858">
        <v>110.9007373132378</v>
      </c>
      <c r="L36" s="3180">
        <v>72.106427010809483</v>
      </c>
      <c r="M36" s="858">
        <v>124.97512434488222</v>
      </c>
      <c r="N36" s="3180">
        <v>106.58050210515373</v>
      </c>
      <c r="O36" s="858">
        <v>109.67283411084472</v>
      </c>
      <c r="P36" s="3180">
        <v>146.86914638003867</v>
      </c>
      <c r="Q36" s="858">
        <v>108.43246681910749</v>
      </c>
      <c r="R36" s="3180">
        <v>136.57590182163199</v>
      </c>
      <c r="S36" s="480">
        <v>137.09361762414255</v>
      </c>
    </row>
    <row r="37" spans="1:19" ht="13.15" customHeight="1">
      <c r="A37" s="476">
        <f t="shared" si="0"/>
        <v>2006.04</v>
      </c>
      <c r="B37" s="478">
        <v>129.33982938854163</v>
      </c>
      <c r="C37" s="852">
        <v>65.111996596955066</v>
      </c>
      <c r="D37" s="3180">
        <v>153.317099455479</v>
      </c>
      <c r="E37" s="858">
        <v>92.758186506301271</v>
      </c>
      <c r="F37" s="3180">
        <v>116.02576677307762</v>
      </c>
      <c r="G37" s="858">
        <v>97.707170642960847</v>
      </c>
      <c r="H37" s="3180">
        <v>86.813030118609632</v>
      </c>
      <c r="I37" s="858">
        <v>95.834679687166613</v>
      </c>
      <c r="J37" s="3180">
        <v>115.63250739824564</v>
      </c>
      <c r="K37" s="858">
        <v>100.45719776310705</v>
      </c>
      <c r="L37" s="3180">
        <v>131.11101254253691</v>
      </c>
      <c r="M37" s="858">
        <v>199.36510461096097</v>
      </c>
      <c r="N37" s="3180">
        <v>112.47055602957903</v>
      </c>
      <c r="O37" s="858">
        <v>116.55896660073329</v>
      </c>
      <c r="P37" s="3180">
        <v>150.91036765898113</v>
      </c>
      <c r="Q37" s="858">
        <v>123.05938447441808</v>
      </c>
      <c r="R37" s="3180">
        <v>145.417935717728</v>
      </c>
      <c r="S37" s="480">
        <v>149.35984132197143</v>
      </c>
    </row>
    <row r="38" spans="1:19" ht="13.15" customHeight="1">
      <c r="A38" s="476">
        <f t="shared" si="0"/>
        <v>2006.05</v>
      </c>
      <c r="B38" s="478">
        <v>142.99332041653884</v>
      </c>
      <c r="C38" s="852">
        <v>76.145509900084306</v>
      </c>
      <c r="D38" s="3180">
        <v>169.943324880023</v>
      </c>
      <c r="E38" s="858">
        <v>83.070534470609928</v>
      </c>
      <c r="F38" s="3180">
        <v>119.51728744185907</v>
      </c>
      <c r="G38" s="858">
        <v>107.25984702062208</v>
      </c>
      <c r="H38" s="3180">
        <v>112.06312887349006</v>
      </c>
      <c r="I38" s="858">
        <v>116.36172388915831</v>
      </c>
      <c r="J38" s="3180">
        <v>137.68793856271637</v>
      </c>
      <c r="K38" s="858">
        <v>110.3876520254947</v>
      </c>
      <c r="L38" s="3180">
        <v>280.51461601985471</v>
      </c>
      <c r="M38" s="858">
        <v>126.98735909451061</v>
      </c>
      <c r="N38" s="3180">
        <v>105.98357216072618</v>
      </c>
      <c r="O38" s="858">
        <v>128.12092717978393</v>
      </c>
      <c r="P38" s="3180">
        <v>160.69202681611563</v>
      </c>
      <c r="Q38" s="858">
        <v>134.82472257220709</v>
      </c>
      <c r="R38" s="3180">
        <v>140.12786010951601</v>
      </c>
      <c r="S38" s="480">
        <v>144.9981851686602</v>
      </c>
    </row>
    <row r="39" spans="1:19" ht="13.15" customHeight="1">
      <c r="A39" s="476">
        <f t="shared" si="0"/>
        <v>2006.06</v>
      </c>
      <c r="B39" s="478">
        <v>120.75813663312113</v>
      </c>
      <c r="C39" s="852">
        <v>110.17533986806549</v>
      </c>
      <c r="D39" s="3180">
        <v>158.39252851823596</v>
      </c>
      <c r="E39" s="858">
        <v>87.809172206045417</v>
      </c>
      <c r="F39" s="3180">
        <v>124.86898868718016</v>
      </c>
      <c r="G39" s="858">
        <v>87.63762164204077</v>
      </c>
      <c r="H39" s="3180">
        <v>75.395973082500959</v>
      </c>
      <c r="I39" s="858">
        <v>108.14625315146434</v>
      </c>
      <c r="J39" s="3180">
        <v>126.85731691155927</v>
      </c>
      <c r="K39" s="858">
        <v>115.09178526397797</v>
      </c>
      <c r="L39" s="3180">
        <v>95.063380094845613</v>
      </c>
      <c r="M39" s="858">
        <v>107.7766944215299</v>
      </c>
      <c r="N39" s="3180">
        <v>84.820548904298988</v>
      </c>
      <c r="O39" s="858">
        <v>124.14451538227812</v>
      </c>
      <c r="P39" s="3180">
        <v>155.87224332456159</v>
      </c>
      <c r="Q39" s="858">
        <v>108.81776195616283</v>
      </c>
      <c r="R39" s="3180">
        <v>123.270270821458</v>
      </c>
      <c r="S39" s="480">
        <v>141.78665994898719</v>
      </c>
    </row>
    <row r="40" spans="1:19" ht="13.15" customHeight="1">
      <c r="A40" s="476">
        <f t="shared" si="0"/>
        <v>2006.07</v>
      </c>
      <c r="B40" s="478">
        <v>127.30115459378318</v>
      </c>
      <c r="C40" s="852">
        <v>113.37194954495718</v>
      </c>
      <c r="D40" s="3180">
        <v>158.1367477405858</v>
      </c>
      <c r="E40" s="858">
        <v>97.711677366250782</v>
      </c>
      <c r="F40" s="3180">
        <v>124.75062104846491</v>
      </c>
      <c r="G40" s="858">
        <v>94.915059278691913</v>
      </c>
      <c r="H40" s="3180">
        <v>57.95887963094583</v>
      </c>
      <c r="I40" s="858">
        <v>135.03642287519463</v>
      </c>
      <c r="J40" s="3180">
        <v>125.45926977056743</v>
      </c>
      <c r="K40" s="858">
        <v>105.71156043847711</v>
      </c>
      <c r="L40" s="3180">
        <v>139.76875409920922</v>
      </c>
      <c r="M40" s="858">
        <v>121.62640771276946</v>
      </c>
      <c r="N40" s="3180">
        <v>107.78008505356827</v>
      </c>
      <c r="O40" s="858">
        <v>109.88686649625718</v>
      </c>
      <c r="P40" s="3180">
        <v>174.25279637479068</v>
      </c>
      <c r="Q40" s="858">
        <v>116.63873363207186</v>
      </c>
      <c r="R40" s="3180">
        <v>135.029267973852</v>
      </c>
      <c r="S40" s="480">
        <v>147.79081939289932</v>
      </c>
    </row>
    <row r="41" spans="1:19" ht="13.15" customHeight="1">
      <c r="A41" s="476">
        <f t="shared" si="0"/>
        <v>2006.08</v>
      </c>
      <c r="B41" s="478">
        <v>137.74598848647858</v>
      </c>
      <c r="C41" s="852">
        <v>118.91784938678757</v>
      </c>
      <c r="D41" s="3180">
        <v>143.95714944818519</v>
      </c>
      <c r="E41" s="858">
        <v>107.55270714361664</v>
      </c>
      <c r="F41" s="3180">
        <v>124.81054240079465</v>
      </c>
      <c r="G41" s="858">
        <v>144.35911352007955</v>
      </c>
      <c r="H41" s="3180">
        <v>65.87436879933415</v>
      </c>
      <c r="I41" s="858">
        <v>169.84191657009015</v>
      </c>
      <c r="J41" s="3180">
        <v>145.79105587788527</v>
      </c>
      <c r="K41" s="858">
        <v>125.9304357375582</v>
      </c>
      <c r="L41" s="3180">
        <v>133.10485936837793</v>
      </c>
      <c r="M41" s="858">
        <v>193.25024814554749</v>
      </c>
      <c r="N41" s="3180">
        <v>106.86483094638737</v>
      </c>
      <c r="O41" s="858">
        <v>117.77049333974895</v>
      </c>
      <c r="P41" s="3180">
        <v>182.05959599056501</v>
      </c>
      <c r="Q41" s="858">
        <v>127.37488346930532</v>
      </c>
      <c r="R41" s="3180">
        <v>160.49930733714399</v>
      </c>
      <c r="S41" s="480">
        <v>141.12840271415905</v>
      </c>
    </row>
    <row r="42" spans="1:19" ht="13.15" customHeight="1">
      <c r="A42" s="476">
        <f t="shared" si="0"/>
        <v>2006.09</v>
      </c>
      <c r="B42" s="478">
        <v>141.72344589609389</v>
      </c>
      <c r="C42" s="852">
        <v>124.4673352271312</v>
      </c>
      <c r="D42" s="3180">
        <v>157.28404621565096</v>
      </c>
      <c r="E42" s="858">
        <v>103.89399191850325</v>
      </c>
      <c r="F42" s="3180">
        <v>120.69779820688019</v>
      </c>
      <c r="G42" s="858">
        <v>114.71583468582176</v>
      </c>
      <c r="H42" s="3180">
        <v>64.569349185801642</v>
      </c>
      <c r="I42" s="858">
        <v>192.36142274862513</v>
      </c>
      <c r="J42" s="3180">
        <v>157.13529808798424</v>
      </c>
      <c r="K42" s="858">
        <v>130.83093251823519</v>
      </c>
      <c r="L42" s="3180">
        <v>177.4631998354977</v>
      </c>
      <c r="M42" s="858">
        <v>162.70377510426971</v>
      </c>
      <c r="N42" s="3180">
        <v>105.6514945691501</v>
      </c>
      <c r="O42" s="858">
        <v>125.13467069986417</v>
      </c>
      <c r="P42" s="3180">
        <v>166.41730902537392</v>
      </c>
      <c r="Q42" s="858">
        <v>130.69326065270661</v>
      </c>
      <c r="R42" s="3180">
        <v>123.107690849126</v>
      </c>
      <c r="S42" s="480">
        <v>156.76522829662497</v>
      </c>
    </row>
    <row r="43" spans="1:19" ht="13.15" customHeight="1">
      <c r="A43" s="476">
        <f t="shared" si="0"/>
        <v>2006.1</v>
      </c>
      <c r="B43" s="478">
        <v>131.97878222564543</v>
      </c>
      <c r="C43" s="852">
        <v>131.59797483224207</v>
      </c>
      <c r="D43" s="3180">
        <v>140.00361797131532</v>
      </c>
      <c r="E43" s="858">
        <v>129.0688399196124</v>
      </c>
      <c r="F43" s="3180">
        <v>122.94705142610822</v>
      </c>
      <c r="G43" s="858">
        <v>102.58135237290263</v>
      </c>
      <c r="H43" s="3180">
        <v>61.372974818260211</v>
      </c>
      <c r="I43" s="858">
        <v>148.84806058274694</v>
      </c>
      <c r="J43" s="3180">
        <v>145.54584008423384</v>
      </c>
      <c r="K43" s="858">
        <v>130.07240733291144</v>
      </c>
      <c r="L43" s="3180">
        <v>110.0660079122683</v>
      </c>
      <c r="M43" s="858">
        <v>165.87224653134527</v>
      </c>
      <c r="N43" s="3180">
        <v>118.22878031347996</v>
      </c>
      <c r="O43" s="858">
        <v>131.43683331680069</v>
      </c>
      <c r="P43" s="3180">
        <v>147.36901054739806</v>
      </c>
      <c r="Q43" s="858">
        <v>125.7160517601088</v>
      </c>
      <c r="R43" s="3180">
        <v>98.313760763171899</v>
      </c>
      <c r="S43" s="480">
        <v>150.79888434201084</v>
      </c>
    </row>
    <row r="44" spans="1:19" ht="13.15" customHeight="1">
      <c r="A44" s="476">
        <f t="shared" si="0"/>
        <v>2006.11</v>
      </c>
      <c r="B44" s="478">
        <v>131.89951073650968</v>
      </c>
      <c r="C44" s="852">
        <v>109.13285432476131</v>
      </c>
      <c r="D44" s="3180">
        <v>137.33154284810323</v>
      </c>
      <c r="E44" s="858">
        <v>83.512049612681054</v>
      </c>
      <c r="F44" s="3180">
        <v>123.72289305062465</v>
      </c>
      <c r="G44" s="858">
        <v>102.37800329394518</v>
      </c>
      <c r="H44" s="3180">
        <v>108.12971898168624</v>
      </c>
      <c r="I44" s="858">
        <v>125.11567838388439</v>
      </c>
      <c r="J44" s="3180">
        <v>170.09901699892976</v>
      </c>
      <c r="K44" s="858">
        <v>131.72720401906167</v>
      </c>
      <c r="L44" s="3180">
        <v>130.6448136575184</v>
      </c>
      <c r="M44" s="858">
        <v>121.22252922649892</v>
      </c>
      <c r="N44" s="3180">
        <v>105.59053359489732</v>
      </c>
      <c r="O44" s="858">
        <v>154.27492971184631</v>
      </c>
      <c r="P44" s="3180">
        <v>153.35374312397406</v>
      </c>
      <c r="Q44" s="858">
        <v>123.36256015937224</v>
      </c>
      <c r="R44" s="3180">
        <v>161.522960793431</v>
      </c>
      <c r="S44" s="480">
        <v>156.29510404773717</v>
      </c>
    </row>
    <row r="45" spans="1:19" ht="13.15" customHeight="1">
      <c r="A45" s="476">
        <f t="shared" si="0"/>
        <v>2006.12</v>
      </c>
      <c r="B45" s="478">
        <v>128.21023653764493</v>
      </c>
      <c r="C45" s="852">
        <v>95.7239277768698</v>
      </c>
      <c r="D45" s="3180">
        <v>135.62786122839179</v>
      </c>
      <c r="E45" s="858">
        <v>121.7745284113487</v>
      </c>
      <c r="F45" s="3180">
        <v>131.43407273928875</v>
      </c>
      <c r="G45" s="858">
        <v>161.27602571460511</v>
      </c>
      <c r="H45" s="3180">
        <v>94.238452008354301</v>
      </c>
      <c r="I45" s="858">
        <v>122.73362710950704</v>
      </c>
      <c r="J45" s="3180">
        <v>133.74125455354638</v>
      </c>
      <c r="K45" s="858">
        <v>106.99229347476781</v>
      </c>
      <c r="L45" s="3180">
        <v>83.768538045696374</v>
      </c>
      <c r="M45" s="858">
        <v>160.09728723308407</v>
      </c>
      <c r="N45" s="3180">
        <v>80.375885544643182</v>
      </c>
      <c r="O45" s="858">
        <v>135.83949583819532</v>
      </c>
      <c r="P45" s="3180">
        <v>150.92594307915624</v>
      </c>
      <c r="Q45" s="858">
        <v>125.10120583235468</v>
      </c>
      <c r="R45" s="3180">
        <v>154.43031927955701</v>
      </c>
      <c r="S45" s="480">
        <v>136.73001808383046</v>
      </c>
    </row>
    <row r="46" spans="1:19" ht="13.15" customHeight="1">
      <c r="A46" s="476">
        <f t="shared" si="0"/>
        <v>2007.01</v>
      </c>
      <c r="B46" s="478">
        <v>119.93914723367149</v>
      </c>
      <c r="C46" s="852">
        <v>98.253805277273031</v>
      </c>
      <c r="D46" s="3180">
        <v>127.9270730953377</v>
      </c>
      <c r="E46" s="858">
        <v>94.750322745044585</v>
      </c>
      <c r="F46" s="3180">
        <v>117.07068325471768</v>
      </c>
      <c r="G46" s="858">
        <v>95.897663860662959</v>
      </c>
      <c r="H46" s="3180">
        <v>79.109313282892074</v>
      </c>
      <c r="I46" s="858">
        <v>91.518715294990329</v>
      </c>
      <c r="J46" s="3180">
        <v>142.01813927319475</v>
      </c>
      <c r="K46" s="858">
        <v>119.26962030811137</v>
      </c>
      <c r="L46" s="3180">
        <v>93.36496469016393</v>
      </c>
      <c r="M46" s="858">
        <v>135.96252420650902</v>
      </c>
      <c r="N46" s="3180">
        <v>113.92925312770861</v>
      </c>
      <c r="O46" s="858">
        <v>132.46574921418249</v>
      </c>
      <c r="P46" s="3180">
        <v>150.40855130839665</v>
      </c>
      <c r="Q46" s="858">
        <v>107.17273011702204</v>
      </c>
      <c r="R46" s="3180">
        <v>132.36407630137899</v>
      </c>
      <c r="S46" s="480">
        <v>141.96925104272879</v>
      </c>
    </row>
    <row r="47" spans="1:19" ht="13.15" customHeight="1">
      <c r="A47" s="476">
        <f t="shared" si="0"/>
        <v>2007.02</v>
      </c>
      <c r="B47" s="478">
        <v>113.90164068166482</v>
      </c>
      <c r="C47" s="852">
        <v>100.15503861140861</v>
      </c>
      <c r="D47" s="3180">
        <v>106.72427719596243</v>
      </c>
      <c r="E47" s="858">
        <v>67.373031660104814</v>
      </c>
      <c r="F47" s="3180">
        <v>118.78765428895902</v>
      </c>
      <c r="G47" s="858">
        <v>102.61764582255665</v>
      </c>
      <c r="H47" s="3180">
        <v>87.372461647809885</v>
      </c>
      <c r="I47" s="858">
        <v>107.38505465826633</v>
      </c>
      <c r="J47" s="3180">
        <v>123.526663187097</v>
      </c>
      <c r="K47" s="858">
        <v>115.81590379008318</v>
      </c>
      <c r="L47" s="3180">
        <v>94.007095848866101</v>
      </c>
      <c r="M47" s="858">
        <v>134.08905643442247</v>
      </c>
      <c r="N47" s="3180">
        <v>94.690247494642549</v>
      </c>
      <c r="O47" s="858">
        <v>150.27058998337162</v>
      </c>
      <c r="P47" s="3180">
        <v>147.57938518657681</v>
      </c>
      <c r="Q47" s="858">
        <v>107.96083852303464</v>
      </c>
      <c r="R47" s="3180">
        <v>119.56938635190799</v>
      </c>
      <c r="S47" s="480">
        <v>132.59537513187033</v>
      </c>
    </row>
    <row r="48" spans="1:19" ht="13.15" customHeight="1">
      <c r="A48" s="476">
        <f t="shared" si="0"/>
        <v>2007.03</v>
      </c>
      <c r="B48" s="478">
        <v>130.79617233377326</v>
      </c>
      <c r="C48" s="852">
        <v>111.75550613707556</v>
      </c>
      <c r="D48" s="3180">
        <v>130.6310837159682</v>
      </c>
      <c r="E48" s="858">
        <v>66.536954506673098</v>
      </c>
      <c r="F48" s="3180">
        <v>133.26552939060721</v>
      </c>
      <c r="G48" s="858">
        <v>117.98271288055618</v>
      </c>
      <c r="H48" s="3180">
        <v>91.310543566637776</v>
      </c>
      <c r="I48" s="858">
        <v>109.98002495880883</v>
      </c>
      <c r="J48" s="3180">
        <v>157.54322361912259</v>
      </c>
      <c r="K48" s="858">
        <v>123.64354345588461</v>
      </c>
      <c r="L48" s="3180">
        <v>131.20392741239493</v>
      </c>
      <c r="M48" s="858">
        <v>124.13739241607554</v>
      </c>
      <c r="N48" s="3180">
        <v>104.60531152033812</v>
      </c>
      <c r="O48" s="858">
        <v>158.16816207793647</v>
      </c>
      <c r="P48" s="3180">
        <v>178.43624751698007</v>
      </c>
      <c r="Q48" s="858">
        <v>117.07352573462302</v>
      </c>
      <c r="R48" s="3180">
        <v>132.74898010577601</v>
      </c>
      <c r="S48" s="480">
        <v>161.74224713733625</v>
      </c>
    </row>
    <row r="49" spans="1:19" ht="13.15" customHeight="1">
      <c r="A49" s="476">
        <f t="shared" si="0"/>
        <v>2007.04</v>
      </c>
      <c r="B49" s="478">
        <v>127.41354669425496</v>
      </c>
      <c r="C49" s="852">
        <v>104.24940722359922</v>
      </c>
      <c r="D49" s="3180">
        <v>161.67547390898056</v>
      </c>
      <c r="E49" s="858">
        <v>53.287093433282756</v>
      </c>
      <c r="F49" s="3180">
        <v>126.76460419988828</v>
      </c>
      <c r="G49" s="858">
        <v>113.38694705570023</v>
      </c>
      <c r="H49" s="3180">
        <v>88.508792145326794</v>
      </c>
      <c r="I49" s="858">
        <v>140.22956647386093</v>
      </c>
      <c r="J49" s="3180">
        <v>135.67501879288284</v>
      </c>
      <c r="K49" s="858">
        <v>121.38292839668226</v>
      </c>
      <c r="L49" s="3180">
        <v>118.85639382374727</v>
      </c>
      <c r="M49" s="858">
        <v>110.83073673885713</v>
      </c>
      <c r="N49" s="3180">
        <v>107.52107579946032</v>
      </c>
      <c r="O49" s="858">
        <v>130.72348949354136</v>
      </c>
      <c r="P49" s="3180">
        <v>166.3915980637895</v>
      </c>
      <c r="Q49" s="858">
        <v>112.18486812508614</v>
      </c>
      <c r="R49" s="3180">
        <v>180.677136235803</v>
      </c>
      <c r="S49" s="480">
        <v>144.92111143483115</v>
      </c>
    </row>
    <row r="50" spans="1:19" ht="13.15" customHeight="1">
      <c r="A50" s="476">
        <f t="shared" si="0"/>
        <v>2007.05</v>
      </c>
      <c r="B50" s="478">
        <v>145.13185586363497</v>
      </c>
      <c r="C50" s="852">
        <v>107.38976064357371</v>
      </c>
      <c r="D50" s="3180">
        <v>177.7015731645659</v>
      </c>
      <c r="E50" s="858">
        <v>60.448550839791153</v>
      </c>
      <c r="F50" s="3180">
        <v>138.10438878928377</v>
      </c>
      <c r="G50" s="858">
        <v>132.12476499138509</v>
      </c>
      <c r="H50" s="3180">
        <v>107.26549598531143</v>
      </c>
      <c r="I50" s="858">
        <v>116.9442101075838</v>
      </c>
      <c r="J50" s="3180">
        <v>147.41162109560418</v>
      </c>
      <c r="K50" s="858">
        <v>135.01999888322737</v>
      </c>
      <c r="L50" s="3180">
        <v>120.38288531529619</v>
      </c>
      <c r="M50" s="858">
        <v>182.18385375945951</v>
      </c>
      <c r="N50" s="3180">
        <v>116.10353289312587</v>
      </c>
      <c r="O50" s="858">
        <v>167.95860822891044</v>
      </c>
      <c r="P50" s="3180">
        <v>188.14133851361316</v>
      </c>
      <c r="Q50" s="858">
        <v>135.47322266037366</v>
      </c>
      <c r="R50" s="3180">
        <v>162.00030534222199</v>
      </c>
      <c r="S50" s="480">
        <v>156.81177149732537</v>
      </c>
    </row>
    <row r="51" spans="1:19" ht="13.15" customHeight="1">
      <c r="A51" s="476">
        <f t="shared" si="0"/>
        <v>2007.06</v>
      </c>
      <c r="B51" s="478">
        <v>137.47081884172104</v>
      </c>
      <c r="C51" s="852">
        <v>102.47754198996819</v>
      </c>
      <c r="D51" s="3180">
        <v>169.69882243789237</v>
      </c>
      <c r="E51" s="858">
        <v>50.504638525969078</v>
      </c>
      <c r="F51" s="3180">
        <v>142.46149348806486</v>
      </c>
      <c r="G51" s="858">
        <v>107.31188518405554</v>
      </c>
      <c r="H51" s="3180">
        <v>92.37882285115127</v>
      </c>
      <c r="I51" s="858">
        <v>149.87590893541352</v>
      </c>
      <c r="J51" s="3180">
        <v>149.78283219141488</v>
      </c>
      <c r="K51" s="858">
        <v>102.992543168621</v>
      </c>
      <c r="L51" s="3180">
        <v>108.23428676292657</v>
      </c>
      <c r="M51" s="858">
        <v>163.05487211880478</v>
      </c>
      <c r="N51" s="3180">
        <v>101.97433301970403</v>
      </c>
      <c r="O51" s="858">
        <v>154.90929889227706</v>
      </c>
      <c r="P51" s="3180">
        <v>198.50859453176059</v>
      </c>
      <c r="Q51" s="858">
        <v>124.23646390082936</v>
      </c>
      <c r="R51" s="3180">
        <v>169.360513326275</v>
      </c>
      <c r="S51" s="480">
        <v>160.87474541290615</v>
      </c>
    </row>
    <row r="52" spans="1:19" ht="13.15" customHeight="1">
      <c r="A52" s="476">
        <f t="shared" si="0"/>
        <v>2007.07</v>
      </c>
      <c r="B52" s="478">
        <v>162.30093078534722</v>
      </c>
      <c r="C52" s="852">
        <v>115.69420879503902</v>
      </c>
      <c r="D52" s="3180">
        <v>148.36828454884358</v>
      </c>
      <c r="E52" s="858">
        <v>55.793988852969719</v>
      </c>
      <c r="F52" s="3180">
        <v>135.26983809906628</v>
      </c>
      <c r="G52" s="858">
        <v>108.40604859500729</v>
      </c>
      <c r="H52" s="3180">
        <v>109.36700427521248</v>
      </c>
      <c r="I52" s="858">
        <v>139.72299208927589</v>
      </c>
      <c r="J52" s="3180">
        <v>153.33390981215928</v>
      </c>
      <c r="K52" s="858">
        <v>136.85854858583502</v>
      </c>
      <c r="L52" s="3180">
        <v>386.75160073241267</v>
      </c>
      <c r="M52" s="858">
        <v>187.34504229532104</v>
      </c>
      <c r="N52" s="3180">
        <v>105.50166802069811</v>
      </c>
      <c r="O52" s="858">
        <v>164.34074817698388</v>
      </c>
      <c r="P52" s="3180">
        <v>208.57744233904933</v>
      </c>
      <c r="Q52" s="858">
        <v>152.0474594325978</v>
      </c>
      <c r="R52" s="3180">
        <v>158.55483118700201</v>
      </c>
      <c r="S52" s="480">
        <v>145.79881687265635</v>
      </c>
    </row>
    <row r="53" spans="1:19" ht="13.15" customHeight="1">
      <c r="A53" s="476">
        <f t="shared" si="0"/>
        <v>2007.08</v>
      </c>
      <c r="B53" s="478">
        <v>150.84209756584488</v>
      </c>
      <c r="C53" s="852">
        <v>123.73421949127288</v>
      </c>
      <c r="D53" s="3180">
        <v>158.63738711833037</v>
      </c>
      <c r="E53" s="858">
        <v>67.031961839558136</v>
      </c>
      <c r="F53" s="3180">
        <v>141.17128839088613</v>
      </c>
      <c r="G53" s="858">
        <v>109.88795319097335</v>
      </c>
      <c r="H53" s="3180">
        <v>111.05971439918056</v>
      </c>
      <c r="I53" s="858">
        <v>180.18405288423133</v>
      </c>
      <c r="J53" s="3180">
        <v>192.05733117337959</v>
      </c>
      <c r="K53" s="858">
        <v>141.63403701379249</v>
      </c>
      <c r="L53" s="3180">
        <v>153.17862661458352</v>
      </c>
      <c r="M53" s="858">
        <v>184.81985442856376</v>
      </c>
      <c r="N53" s="3180">
        <v>122.34914216077743</v>
      </c>
      <c r="O53" s="858">
        <v>169.12431990163122</v>
      </c>
      <c r="P53" s="3180">
        <v>198.13443769717276</v>
      </c>
      <c r="Q53" s="858">
        <v>139.86431010986621</v>
      </c>
      <c r="R53" s="3180">
        <v>215.233509069685</v>
      </c>
      <c r="S53" s="480">
        <v>156.56356380771317</v>
      </c>
    </row>
    <row r="54" spans="1:19" ht="13.15" customHeight="1">
      <c r="A54" s="476">
        <f t="shared" si="0"/>
        <v>2007.09</v>
      </c>
      <c r="B54" s="478">
        <v>158.88505024351664</v>
      </c>
      <c r="C54" s="852">
        <v>103.92403236067324</v>
      </c>
      <c r="D54" s="3180">
        <v>185.25040056640989</v>
      </c>
      <c r="E54" s="858">
        <v>65.165928430602648</v>
      </c>
      <c r="F54" s="3180">
        <v>126.37934501971252</v>
      </c>
      <c r="G54" s="858">
        <v>109.58205347828978</v>
      </c>
      <c r="H54" s="3180">
        <v>127.64148660463775</v>
      </c>
      <c r="I54" s="858">
        <v>290.32589254225741</v>
      </c>
      <c r="J54" s="3180">
        <v>167.15412092275312</v>
      </c>
      <c r="K54" s="858">
        <v>142.73229432461932</v>
      </c>
      <c r="L54" s="3180">
        <v>248.01633668615634</v>
      </c>
      <c r="M54" s="858">
        <v>168.75081075039375</v>
      </c>
      <c r="N54" s="3180">
        <v>101.87441627222282</v>
      </c>
      <c r="O54" s="858">
        <v>181.6923190789561</v>
      </c>
      <c r="P54" s="3180">
        <v>179.40313740472473</v>
      </c>
      <c r="Q54" s="858">
        <v>139.03614802553139</v>
      </c>
      <c r="R54" s="3180">
        <v>141.58498377657401</v>
      </c>
      <c r="S54" s="480">
        <v>155.05527643553674</v>
      </c>
    </row>
    <row r="55" spans="1:19" ht="13.15" customHeight="1">
      <c r="A55" s="476">
        <f t="shared" si="0"/>
        <v>2007.1</v>
      </c>
      <c r="B55" s="478">
        <v>157.43084160085434</v>
      </c>
      <c r="C55" s="852">
        <v>98.935645917209058</v>
      </c>
      <c r="D55" s="3180">
        <v>189.48761186142548</v>
      </c>
      <c r="E55" s="858">
        <v>76.396152736253796</v>
      </c>
      <c r="F55" s="3180">
        <v>145.89818171637913</v>
      </c>
      <c r="G55" s="858">
        <v>114.82570520486559</v>
      </c>
      <c r="H55" s="3180">
        <v>95.717561026898522</v>
      </c>
      <c r="I55" s="858">
        <v>135.10562934227192</v>
      </c>
      <c r="J55" s="3180">
        <v>197.63153628058316</v>
      </c>
      <c r="K55" s="858">
        <v>148.66214377105348</v>
      </c>
      <c r="L55" s="3180">
        <v>170.73000535868132</v>
      </c>
      <c r="M55" s="858">
        <v>155.98526055918182</v>
      </c>
      <c r="N55" s="3180">
        <v>116.61311422381219</v>
      </c>
      <c r="O55" s="858">
        <v>175.24620281509169</v>
      </c>
      <c r="P55" s="3180">
        <v>201.97566392931654</v>
      </c>
      <c r="Q55" s="858">
        <v>142.81718614260691</v>
      </c>
      <c r="R55" s="3180">
        <v>189.952029807793</v>
      </c>
      <c r="S55" s="480">
        <v>182.99493276789525</v>
      </c>
    </row>
    <row r="56" spans="1:19" ht="13.15" customHeight="1">
      <c r="A56" s="476">
        <f t="shared" si="0"/>
        <v>2007.11</v>
      </c>
      <c r="B56" s="478">
        <v>162.09233325380276</v>
      </c>
      <c r="C56" s="852">
        <v>107.4630923077232</v>
      </c>
      <c r="D56" s="3180">
        <v>179.33016481358172</v>
      </c>
      <c r="E56" s="858">
        <v>63.444138826056246</v>
      </c>
      <c r="F56" s="3180">
        <v>138.77249158759875</v>
      </c>
      <c r="G56" s="858">
        <v>105.83789414967092</v>
      </c>
      <c r="H56" s="3180">
        <v>92.281489320472588</v>
      </c>
      <c r="I56" s="858">
        <v>134.35696397699269</v>
      </c>
      <c r="J56" s="3180">
        <v>199.8913073717323</v>
      </c>
      <c r="K56" s="858">
        <v>145.31439588787435</v>
      </c>
      <c r="L56" s="3180">
        <v>184.98261427360927</v>
      </c>
      <c r="M56" s="858">
        <v>235.21075102323366</v>
      </c>
      <c r="N56" s="3180">
        <v>125.06420977763172</v>
      </c>
      <c r="O56" s="858">
        <v>190.94822737390237</v>
      </c>
      <c r="P56" s="3180">
        <v>188.21289226524311</v>
      </c>
      <c r="Q56" s="858">
        <v>146.01867721733862</v>
      </c>
      <c r="R56" s="3180">
        <v>227.466845627005</v>
      </c>
      <c r="S56" s="480">
        <v>165.84354622462772</v>
      </c>
    </row>
    <row r="57" spans="1:19" ht="13.15" customHeight="1">
      <c r="A57" s="476">
        <f t="shared" si="0"/>
        <v>2007.12</v>
      </c>
      <c r="B57" s="478">
        <v>145.85788637941005</v>
      </c>
      <c r="C57" s="852">
        <v>107.09007443074147</v>
      </c>
      <c r="D57" s="3180">
        <v>188.06250512904569</v>
      </c>
      <c r="E57" s="858">
        <v>79.768442191796723</v>
      </c>
      <c r="F57" s="3180">
        <v>149.02817344334733</v>
      </c>
      <c r="G57" s="858">
        <v>95.09057791294893</v>
      </c>
      <c r="H57" s="3180">
        <v>85.167937586611487</v>
      </c>
      <c r="I57" s="858">
        <v>116.43709405805237</v>
      </c>
      <c r="J57" s="3180">
        <v>146.89057803533956</v>
      </c>
      <c r="K57" s="858">
        <v>127.48044230911989</v>
      </c>
      <c r="L57" s="3180">
        <v>167.6424990766601</v>
      </c>
      <c r="M57" s="858">
        <v>182.75498926988612</v>
      </c>
      <c r="N57" s="3180">
        <v>102.51628756350611</v>
      </c>
      <c r="O57" s="858">
        <v>165.7557270312054</v>
      </c>
      <c r="P57" s="3180">
        <v>142.63963057259582</v>
      </c>
      <c r="Q57" s="858">
        <v>127.98687998513289</v>
      </c>
      <c r="R57" s="3180">
        <v>147.762660038262</v>
      </c>
      <c r="S57" s="480">
        <v>141.68556451825415</v>
      </c>
    </row>
    <row r="58" spans="1:19" ht="13.15" customHeight="1">
      <c r="A58" s="476">
        <f t="shared" si="0"/>
        <v>2008.01</v>
      </c>
      <c r="B58" s="478">
        <v>142.49023195578852</v>
      </c>
      <c r="C58" s="852">
        <v>106.60041515233806</v>
      </c>
      <c r="D58" s="3180">
        <v>154.4847039800504</v>
      </c>
      <c r="E58" s="858">
        <v>83.749621190589465</v>
      </c>
      <c r="F58" s="3180">
        <v>142.56465234655761</v>
      </c>
      <c r="G58" s="858">
        <v>80.751774794282056</v>
      </c>
      <c r="H58" s="3180">
        <v>92.932371155863194</v>
      </c>
      <c r="I58" s="858">
        <v>76.613441100258683</v>
      </c>
      <c r="J58" s="3180">
        <v>156.0291986992288</v>
      </c>
      <c r="K58" s="858">
        <v>134.89762693581403</v>
      </c>
      <c r="L58" s="3180">
        <v>226.12127341104863</v>
      </c>
      <c r="M58" s="858">
        <v>140.33157851612333</v>
      </c>
      <c r="N58" s="3180">
        <v>117.86242619090528</v>
      </c>
      <c r="O58" s="858">
        <v>160.24341636081115</v>
      </c>
      <c r="P58" s="3180">
        <v>137.83212028537736</v>
      </c>
      <c r="Q58" s="858">
        <v>130.15530503624572</v>
      </c>
      <c r="R58" s="3180">
        <v>163.809781266274</v>
      </c>
      <c r="S58" s="480">
        <v>150.84262234007019</v>
      </c>
    </row>
    <row r="59" spans="1:19" ht="13.15" customHeight="1">
      <c r="A59" s="476">
        <f t="shared" si="0"/>
        <v>2008.02</v>
      </c>
      <c r="B59" s="478">
        <v>130.73448207332279</v>
      </c>
      <c r="C59" s="852">
        <v>104.74085483582145</v>
      </c>
      <c r="D59" s="3180">
        <v>114.42554020630153</v>
      </c>
      <c r="E59" s="858">
        <v>71.278955265706571</v>
      </c>
      <c r="F59" s="3180">
        <v>149.66463941026092</v>
      </c>
      <c r="G59" s="858">
        <v>94.935096593243102</v>
      </c>
      <c r="H59" s="3180">
        <v>90.300662580618294</v>
      </c>
      <c r="I59" s="858">
        <v>79.881881474975941</v>
      </c>
      <c r="J59" s="3180">
        <v>168.3754395513125</v>
      </c>
      <c r="K59" s="858">
        <v>128.76377107477691</v>
      </c>
      <c r="L59" s="3180">
        <v>134.05864521882162</v>
      </c>
      <c r="M59" s="858">
        <v>176.23409790581624</v>
      </c>
      <c r="N59" s="3180">
        <v>118.1112917884231</v>
      </c>
      <c r="O59" s="858">
        <v>143.36048684439612</v>
      </c>
      <c r="P59" s="3180">
        <v>159.13707051607568</v>
      </c>
      <c r="Q59" s="858">
        <v>118.9219653089477</v>
      </c>
      <c r="R59" s="3180">
        <v>161.62827207583501</v>
      </c>
      <c r="S59" s="480">
        <v>147.96215723884612</v>
      </c>
    </row>
    <row r="60" spans="1:19" ht="13.15" customHeight="1">
      <c r="A60" s="476">
        <f t="shared" si="0"/>
        <v>2008.03</v>
      </c>
      <c r="B60" s="478">
        <v>119.57185744286606</v>
      </c>
      <c r="C60" s="852">
        <v>75.124672823476203</v>
      </c>
      <c r="D60" s="3180">
        <v>68.436227616399464</v>
      </c>
      <c r="E60" s="858">
        <v>58.122548312908002</v>
      </c>
      <c r="F60" s="3180">
        <v>144.85745571827007</v>
      </c>
      <c r="G60" s="858">
        <v>76.479300695597999</v>
      </c>
      <c r="H60" s="3180">
        <v>96.046283857613304</v>
      </c>
      <c r="I60" s="858">
        <v>115.18360523557664</v>
      </c>
      <c r="J60" s="3180">
        <v>154.05264867766886</v>
      </c>
      <c r="K60" s="858">
        <v>116.77330563468396</v>
      </c>
      <c r="L60" s="3180">
        <v>183.7312796863861</v>
      </c>
      <c r="M60" s="858">
        <v>141.31159924533915</v>
      </c>
      <c r="N60" s="3180">
        <v>95.709396313330984</v>
      </c>
      <c r="O60" s="858">
        <v>149.9857383027981</v>
      </c>
      <c r="P60" s="3180">
        <v>166.41012345982287</v>
      </c>
      <c r="Q60" s="858">
        <v>109.43564008922371</v>
      </c>
      <c r="R60" s="3180">
        <v>138.64231017962899</v>
      </c>
      <c r="S60" s="480">
        <v>148.06662133494012</v>
      </c>
    </row>
    <row r="61" spans="1:19" ht="13.15" customHeight="1">
      <c r="A61" s="476">
        <f t="shared" si="0"/>
        <v>2008.04</v>
      </c>
      <c r="B61" s="478">
        <v>161.92863585672586</v>
      </c>
      <c r="C61" s="852">
        <v>92.171721327916643</v>
      </c>
      <c r="D61" s="3180">
        <v>158.20578302589729</v>
      </c>
      <c r="E61" s="858">
        <v>82.678940524912704</v>
      </c>
      <c r="F61" s="3180">
        <v>164.23171228800223</v>
      </c>
      <c r="G61" s="858">
        <v>115.9134620986452</v>
      </c>
      <c r="H61" s="3180">
        <v>108.79156658843772</v>
      </c>
      <c r="I61" s="858">
        <v>131.62645876912012</v>
      </c>
      <c r="J61" s="3180">
        <v>174.30893639710129</v>
      </c>
      <c r="K61" s="858">
        <v>128.93690423093048</v>
      </c>
      <c r="L61" s="3180">
        <v>207.8848786567811</v>
      </c>
      <c r="M61" s="858">
        <v>278.05425066151076</v>
      </c>
      <c r="N61" s="3180">
        <v>105.1103178114906</v>
      </c>
      <c r="O61" s="858">
        <v>161.60031006757947</v>
      </c>
      <c r="P61" s="3180">
        <v>201.33688166716169</v>
      </c>
      <c r="Q61" s="858">
        <v>141.8712160230867</v>
      </c>
      <c r="R61" s="3180">
        <v>188.660738448334</v>
      </c>
      <c r="S61" s="480">
        <v>161.9521613366357</v>
      </c>
    </row>
    <row r="62" spans="1:19" ht="13.15" customHeight="1">
      <c r="A62" s="476">
        <f t="shared" si="0"/>
        <v>2008.05</v>
      </c>
      <c r="B62" s="478">
        <v>168.53622647591021</v>
      </c>
      <c r="C62" s="852">
        <v>94.739466357728077</v>
      </c>
      <c r="D62" s="3180">
        <v>181.86321961160084</v>
      </c>
      <c r="E62" s="858">
        <v>80.877897428200171</v>
      </c>
      <c r="F62" s="3180">
        <v>159.39545991335302</v>
      </c>
      <c r="G62" s="858">
        <v>100.36695112219336</v>
      </c>
      <c r="H62" s="3180">
        <v>109.47188025651596</v>
      </c>
      <c r="I62" s="858">
        <v>115.45909432138515</v>
      </c>
      <c r="J62" s="3180">
        <v>159.08013464564405</v>
      </c>
      <c r="K62" s="858">
        <v>126.50854493690808</v>
      </c>
      <c r="L62" s="3180">
        <v>267.82075403624572</v>
      </c>
      <c r="M62" s="858">
        <v>249.90709137193133</v>
      </c>
      <c r="N62" s="3180">
        <v>150.09523757847606</v>
      </c>
      <c r="O62" s="858">
        <v>181.97140128378899</v>
      </c>
      <c r="P62" s="3180">
        <v>204.72087997372347</v>
      </c>
      <c r="Q62" s="858">
        <v>151.81108189642941</v>
      </c>
      <c r="R62" s="3180">
        <v>145.20569904828099</v>
      </c>
      <c r="S62" s="480">
        <v>167.92592055093843</v>
      </c>
    </row>
    <row r="63" spans="1:19" ht="13.15" customHeight="1">
      <c r="A63" s="476">
        <f t="shared" si="0"/>
        <v>2008.06</v>
      </c>
      <c r="B63" s="478">
        <v>134.65963652621645</v>
      </c>
      <c r="C63" s="852">
        <v>89.53036522384906</v>
      </c>
      <c r="D63" s="3180">
        <v>103.75593800655123</v>
      </c>
      <c r="E63" s="858">
        <v>58.389543369513603</v>
      </c>
      <c r="F63" s="3180">
        <v>148.92626997110972</v>
      </c>
      <c r="G63" s="858">
        <v>94.047525615046652</v>
      </c>
      <c r="H63" s="3180">
        <v>103.98220070076304</v>
      </c>
      <c r="I63" s="858">
        <v>137.48974098167849</v>
      </c>
      <c r="J63" s="3180">
        <v>153.11124308467114</v>
      </c>
      <c r="K63" s="858">
        <v>125.18288074848678</v>
      </c>
      <c r="L63" s="3180">
        <v>271.34344945204123</v>
      </c>
      <c r="M63" s="858">
        <v>118.21091756332365</v>
      </c>
      <c r="N63" s="3180">
        <v>115.76433234860383</v>
      </c>
      <c r="O63" s="858">
        <v>150.00329283756153</v>
      </c>
      <c r="P63" s="3180">
        <v>169.46018207366842</v>
      </c>
      <c r="Q63" s="858">
        <v>122.00055499409484</v>
      </c>
      <c r="R63" s="3180">
        <v>105.01193581112101</v>
      </c>
      <c r="S63" s="480">
        <v>153.45791554610145</v>
      </c>
    </row>
    <row r="64" spans="1:19" ht="13.15" customHeight="1">
      <c r="A64" s="476">
        <f t="shared" si="0"/>
        <v>2008.07</v>
      </c>
      <c r="B64" s="478">
        <v>163.20453578385644</v>
      </c>
      <c r="C64" s="852">
        <v>112.06351544486469</v>
      </c>
      <c r="D64" s="3180">
        <v>188.94761702868394</v>
      </c>
      <c r="E64" s="858">
        <v>77.256796667482774</v>
      </c>
      <c r="F64" s="3180">
        <v>172.55691449827935</v>
      </c>
      <c r="G64" s="858">
        <v>97.094089988919691</v>
      </c>
      <c r="H64" s="3180">
        <v>128.55227494950677</v>
      </c>
      <c r="I64" s="858">
        <v>193.50684644212231</v>
      </c>
      <c r="J64" s="3180">
        <v>172.44926687758405</v>
      </c>
      <c r="K64" s="858">
        <v>122.22526155311269</v>
      </c>
      <c r="L64" s="3180">
        <v>135.6047005628196</v>
      </c>
      <c r="M64" s="858">
        <v>236.10829789872295</v>
      </c>
      <c r="N64" s="3180">
        <v>138.82035026560982</v>
      </c>
      <c r="O64" s="858">
        <v>186.39226563693791</v>
      </c>
      <c r="P64" s="3180">
        <v>214.97872262420259</v>
      </c>
      <c r="Q64" s="858">
        <v>136.85283022577104</v>
      </c>
      <c r="R64" s="3180">
        <v>194.703214426459</v>
      </c>
      <c r="S64" s="480">
        <v>178.03389917556737</v>
      </c>
    </row>
    <row r="65" spans="1:19" ht="13.15" customHeight="1">
      <c r="A65" s="476">
        <f t="shared" si="0"/>
        <v>2008.08</v>
      </c>
      <c r="B65" s="478">
        <v>152.65301950186779</v>
      </c>
      <c r="C65" s="852">
        <v>116.50354217726694</v>
      </c>
      <c r="D65" s="3180">
        <v>164.83228002088865</v>
      </c>
      <c r="E65" s="858">
        <v>71.274028805472483</v>
      </c>
      <c r="F65" s="3180">
        <v>158.17416746091988</v>
      </c>
      <c r="G65" s="858">
        <v>90.010477147368789</v>
      </c>
      <c r="H65" s="3180">
        <v>106.28257741171946</v>
      </c>
      <c r="I65" s="858">
        <v>219.17440242988081</v>
      </c>
      <c r="J65" s="3180">
        <v>192.39896128950068</v>
      </c>
      <c r="K65" s="858">
        <v>124.16565854142827</v>
      </c>
      <c r="L65" s="3180">
        <v>127.22918850879931</v>
      </c>
      <c r="M65" s="858">
        <v>179.14872559497354</v>
      </c>
      <c r="N65" s="3180">
        <v>119.56597240839922</v>
      </c>
      <c r="O65" s="858">
        <v>202.404619135519</v>
      </c>
      <c r="P65" s="3180">
        <v>191.69065508700564</v>
      </c>
      <c r="Q65" s="858">
        <v>134.70529620010171</v>
      </c>
      <c r="R65" s="3180">
        <v>178.44598483033599</v>
      </c>
      <c r="S65" s="480">
        <v>178.61219397991601</v>
      </c>
    </row>
    <row r="66" spans="1:19" ht="13.15" customHeight="1">
      <c r="A66" s="476">
        <f t="shared" si="0"/>
        <v>2008.09</v>
      </c>
      <c r="B66" s="478">
        <v>165.51394778700356</v>
      </c>
      <c r="C66" s="852">
        <v>132.10360356720133</v>
      </c>
      <c r="D66" s="3180">
        <v>173.22235253316609</v>
      </c>
      <c r="E66" s="858">
        <v>75.374569112863725</v>
      </c>
      <c r="F66" s="3180">
        <v>164.17948728012888</v>
      </c>
      <c r="G66" s="858">
        <v>87.147655985037105</v>
      </c>
      <c r="H66" s="3180">
        <v>110.00209614286661</v>
      </c>
      <c r="I66" s="858">
        <v>240.64636660834543</v>
      </c>
      <c r="J66" s="3180">
        <v>191.38775484668082</v>
      </c>
      <c r="K66" s="858">
        <v>129.87067383782372</v>
      </c>
      <c r="L66" s="3180">
        <v>189.91182528779731</v>
      </c>
      <c r="M66" s="858">
        <v>233.40892965634916</v>
      </c>
      <c r="N66" s="3180">
        <v>123.5695113509689</v>
      </c>
      <c r="O66" s="858">
        <v>193.67461758791123</v>
      </c>
      <c r="P66" s="3180">
        <v>171.17832560421743</v>
      </c>
      <c r="Q66" s="858">
        <v>145.64007602320362</v>
      </c>
      <c r="R66" s="3180">
        <v>224.78768100152399</v>
      </c>
      <c r="S66" s="480">
        <v>172.44084016609153</v>
      </c>
    </row>
    <row r="67" spans="1:19" ht="13.15" customHeight="1">
      <c r="A67" s="476">
        <f t="shared" si="0"/>
        <v>2008.1</v>
      </c>
      <c r="B67" s="478">
        <v>145.24555929027821</v>
      </c>
      <c r="C67" s="852">
        <v>125.32322793518756</v>
      </c>
      <c r="D67" s="3180">
        <v>148.85473696769779</v>
      </c>
      <c r="E67" s="858">
        <v>85.700223736439995</v>
      </c>
      <c r="F67" s="3180">
        <v>162.35778008046179</v>
      </c>
      <c r="G67" s="858">
        <v>68.772137859483678</v>
      </c>
      <c r="H67" s="3180">
        <v>119.39829580648666</v>
      </c>
      <c r="I67" s="858">
        <v>122.8480594886171</v>
      </c>
      <c r="J67" s="3180">
        <v>184.26460233497508</v>
      </c>
      <c r="K67" s="858">
        <v>110.9235245630221</v>
      </c>
      <c r="L67" s="3180">
        <v>156.35171503678413</v>
      </c>
      <c r="M67" s="858">
        <v>151.42758797067634</v>
      </c>
      <c r="N67" s="3180">
        <v>122.37124416190731</v>
      </c>
      <c r="O67" s="858">
        <v>178.93774412299783</v>
      </c>
      <c r="P67" s="3180">
        <v>171.21696669907993</v>
      </c>
      <c r="Q67" s="858">
        <v>132.45863855467709</v>
      </c>
      <c r="R67" s="3180">
        <v>186.12073468658599</v>
      </c>
      <c r="S67" s="480">
        <v>167.11108592982353</v>
      </c>
    </row>
    <row r="68" spans="1:19" ht="13.15" customHeight="1">
      <c r="A68" s="476">
        <f t="shared" si="0"/>
        <v>2008.11</v>
      </c>
      <c r="B68" s="478">
        <v>130.87069114371144</v>
      </c>
      <c r="C68" s="852">
        <v>110.8707014233126</v>
      </c>
      <c r="D68" s="3180">
        <v>131.17517436529312</v>
      </c>
      <c r="E68" s="858">
        <v>75.760340959734592</v>
      </c>
      <c r="F68" s="3180">
        <v>147.72685330123915</v>
      </c>
      <c r="G68" s="858">
        <v>62.385758529203855</v>
      </c>
      <c r="H68" s="3180">
        <v>93.796807528940974</v>
      </c>
      <c r="I68" s="858">
        <v>111.32562797376852</v>
      </c>
      <c r="J68" s="3180">
        <v>159.51230530969951</v>
      </c>
      <c r="K68" s="858">
        <v>96.068913244487703</v>
      </c>
      <c r="L68" s="3180">
        <v>201.69442505598983</v>
      </c>
      <c r="M68" s="858">
        <v>194.0010299545269</v>
      </c>
      <c r="N68" s="3180">
        <v>145.5795216542453</v>
      </c>
      <c r="O68" s="858">
        <v>91.958755219518366</v>
      </c>
      <c r="P68" s="3180">
        <v>108.55661783223856</v>
      </c>
      <c r="Q68" s="858">
        <v>111.4210139678337</v>
      </c>
      <c r="R68" s="3180">
        <v>108.973886393787</v>
      </c>
      <c r="S68" s="480">
        <v>131.1948265362374</v>
      </c>
    </row>
    <row r="69" spans="1:19" ht="13.15" customHeight="1">
      <c r="A69" s="476">
        <f t="shared" si="0"/>
        <v>2008.12</v>
      </c>
      <c r="B69" s="478">
        <v>125.32353043377519</v>
      </c>
      <c r="C69" s="852">
        <v>140.52084820178609</v>
      </c>
      <c r="D69" s="3180">
        <v>122.9731532578882</v>
      </c>
      <c r="E69" s="858">
        <v>89.437397103908296</v>
      </c>
      <c r="F69" s="3180">
        <v>161.0816851191735</v>
      </c>
      <c r="G69" s="858">
        <v>66.940946598125265</v>
      </c>
      <c r="H69" s="3180">
        <v>109.69530004134845</v>
      </c>
      <c r="I69" s="858">
        <v>144.33785754143577</v>
      </c>
      <c r="J69" s="3180">
        <v>152.92263409956465</v>
      </c>
      <c r="K69" s="858">
        <v>105.99247548877523</v>
      </c>
      <c r="L69" s="3180">
        <v>135.82626364752187</v>
      </c>
      <c r="M69" s="858">
        <v>200.42121283669735</v>
      </c>
      <c r="N69" s="3180">
        <v>126.23765158724429</v>
      </c>
      <c r="O69" s="858">
        <v>108.48132989323418</v>
      </c>
      <c r="P69" s="3180">
        <v>122.54729525777101</v>
      </c>
      <c r="Q69" s="858">
        <v>110.90886325494141</v>
      </c>
      <c r="R69" s="3180">
        <v>65.027221673466897</v>
      </c>
      <c r="S69" s="480">
        <v>100.78689560485698</v>
      </c>
    </row>
    <row r="70" spans="1:19" ht="13.15" customHeight="1">
      <c r="A70" s="476">
        <f t="shared" si="0"/>
        <v>2009.01</v>
      </c>
      <c r="B70" s="478">
        <v>109.14688414488694</v>
      </c>
      <c r="C70" s="852">
        <v>113.10608670391547</v>
      </c>
      <c r="D70" s="3180">
        <v>130.81860088389504</v>
      </c>
      <c r="E70" s="858">
        <v>83.668044253785169</v>
      </c>
      <c r="F70" s="3180">
        <v>159.77798575217605</v>
      </c>
      <c r="G70" s="858">
        <v>62.586130422919041</v>
      </c>
      <c r="H70" s="3180">
        <v>82.473401646946627</v>
      </c>
      <c r="I70" s="858">
        <v>95.563694972623111</v>
      </c>
      <c r="J70" s="3180">
        <v>149.54602501045173</v>
      </c>
      <c r="K70" s="858">
        <v>91.623259733003167</v>
      </c>
      <c r="L70" s="3180">
        <v>101.24014777239088</v>
      </c>
      <c r="M70" s="858">
        <v>118.00511226186654</v>
      </c>
      <c r="N70" s="3180">
        <v>99.9298516130075</v>
      </c>
      <c r="O70" s="858">
        <v>104.81462038566082</v>
      </c>
      <c r="P70" s="3180">
        <v>95.140086656076335</v>
      </c>
      <c r="Q70" s="858">
        <v>94.994239684292808</v>
      </c>
      <c r="R70" s="3180">
        <v>83.493130250074998</v>
      </c>
      <c r="S70" s="480">
        <v>89.889499334102737</v>
      </c>
    </row>
    <row r="71" spans="1:19" ht="13.15" customHeight="1">
      <c r="A71" s="476">
        <f t="shared" si="0"/>
        <v>2009.02</v>
      </c>
      <c r="B71" s="478">
        <v>103.14239846389842</v>
      </c>
      <c r="C71" s="852">
        <v>109.76617061183588</v>
      </c>
      <c r="D71" s="3180">
        <v>111.82279716670405</v>
      </c>
      <c r="E71" s="858">
        <v>79.666682008991899</v>
      </c>
      <c r="F71" s="3180">
        <v>164.14976542358585</v>
      </c>
      <c r="G71" s="858">
        <v>51.731842996858582</v>
      </c>
      <c r="H71" s="3180">
        <v>87.309002123536885</v>
      </c>
      <c r="I71" s="858">
        <v>67.950519780735036</v>
      </c>
      <c r="J71" s="3180">
        <v>112.79605722836548</v>
      </c>
      <c r="K71" s="858">
        <v>98.894497865571864</v>
      </c>
      <c r="L71" s="3180">
        <v>136.51233497138978</v>
      </c>
      <c r="M71" s="858">
        <v>105.79528085807124</v>
      </c>
      <c r="N71" s="3180">
        <v>102.55556217807528</v>
      </c>
      <c r="O71" s="858">
        <v>73.424807582324362</v>
      </c>
      <c r="P71" s="3180">
        <v>129.88198826863993</v>
      </c>
      <c r="Q71" s="858">
        <v>96.092003989247345</v>
      </c>
      <c r="R71" s="3180">
        <v>81.301344686385704</v>
      </c>
      <c r="S71" s="480">
        <v>84.366076413464128</v>
      </c>
    </row>
    <row r="72" spans="1:19" ht="13.15" customHeight="1">
      <c r="A72" s="476">
        <f t="shared" si="0"/>
        <v>2009.03</v>
      </c>
      <c r="B72" s="478">
        <v>111.31110270497732</v>
      </c>
      <c r="C72" s="852">
        <v>90.457517739207418</v>
      </c>
      <c r="D72" s="3180">
        <v>114.56598516334961</v>
      </c>
      <c r="E72" s="858">
        <v>96.372202635108579</v>
      </c>
      <c r="F72" s="3180">
        <v>184.47644510157076</v>
      </c>
      <c r="G72" s="858">
        <v>101.46583919733803</v>
      </c>
      <c r="H72" s="3180">
        <v>105.33660904152532</v>
      </c>
      <c r="I72" s="858">
        <v>99.672044212610928</v>
      </c>
      <c r="J72" s="3180">
        <v>172.78366829368889</v>
      </c>
      <c r="K72" s="858">
        <v>107.40478486585118</v>
      </c>
      <c r="L72" s="3180">
        <v>92.59785285158803</v>
      </c>
      <c r="M72" s="858">
        <v>72.962909117120518</v>
      </c>
      <c r="N72" s="3180">
        <v>146.147975581064</v>
      </c>
      <c r="O72" s="858">
        <v>99.791497154699428</v>
      </c>
      <c r="P72" s="3180">
        <v>161.09855657940057</v>
      </c>
      <c r="Q72" s="858">
        <v>98.61955526359101</v>
      </c>
      <c r="R72" s="3180">
        <v>107.211606457513</v>
      </c>
      <c r="S72" s="480">
        <v>93.413699404171012</v>
      </c>
    </row>
    <row r="73" spans="1:19" ht="13.15" customHeight="1">
      <c r="A73" s="476">
        <f t="shared" si="0"/>
        <v>2009.04</v>
      </c>
      <c r="B73" s="478">
        <v>129.93968417939433</v>
      </c>
      <c r="C73" s="852">
        <v>98.976749801467051</v>
      </c>
      <c r="D73" s="3180">
        <v>174.30441978677121</v>
      </c>
      <c r="E73" s="858">
        <v>89.986025442554336</v>
      </c>
      <c r="F73" s="3180">
        <v>171.06977792746605</v>
      </c>
      <c r="G73" s="858">
        <v>70.805107758863187</v>
      </c>
      <c r="H73" s="3180">
        <v>107.58748218501165</v>
      </c>
      <c r="I73" s="858">
        <v>152.12527500228515</v>
      </c>
      <c r="J73" s="3180">
        <v>162.99503931879403</v>
      </c>
      <c r="K73" s="858">
        <v>108.93720290823738</v>
      </c>
      <c r="L73" s="3180">
        <v>173.14318486077076</v>
      </c>
      <c r="M73" s="858">
        <v>103.90853018963868</v>
      </c>
      <c r="N73" s="3180">
        <v>123.93450336885155</v>
      </c>
      <c r="O73" s="858">
        <v>96.685397934252819</v>
      </c>
      <c r="P73" s="3180">
        <v>169.31594255095311</v>
      </c>
      <c r="Q73" s="858">
        <v>114.42218879520297</v>
      </c>
      <c r="R73" s="3180">
        <v>98.107073195667894</v>
      </c>
      <c r="S73" s="480">
        <v>107.49382676010782</v>
      </c>
    </row>
    <row r="74" spans="1:19" ht="13.15" customHeight="1">
      <c r="A74" s="476">
        <f t="shared" si="0"/>
        <v>2009.05</v>
      </c>
      <c r="B74" s="478">
        <v>125.65691830905142</v>
      </c>
      <c r="C74" s="852">
        <v>108.39976147449971</v>
      </c>
      <c r="D74" s="3180">
        <v>195.7832974677317</v>
      </c>
      <c r="E74" s="858">
        <v>80.266177871706645</v>
      </c>
      <c r="F74" s="3180">
        <v>175.42060174057409</v>
      </c>
      <c r="G74" s="858">
        <v>81.686092088865024</v>
      </c>
      <c r="H74" s="3180">
        <v>98.514200828368416</v>
      </c>
      <c r="I74" s="858">
        <v>113.6153298361989</v>
      </c>
      <c r="J74" s="3180">
        <v>185.74277603196126</v>
      </c>
      <c r="K74" s="858">
        <v>107.45678422749143</v>
      </c>
      <c r="L74" s="3180">
        <v>95.167721319639114</v>
      </c>
      <c r="M74" s="858">
        <v>106.81245982408633</v>
      </c>
      <c r="N74" s="3180">
        <v>123.17780352419173</v>
      </c>
      <c r="O74" s="858">
        <v>82.442167252036114</v>
      </c>
      <c r="P74" s="3180">
        <v>154.32904517504701</v>
      </c>
      <c r="Q74" s="858">
        <v>106.48865577437709</v>
      </c>
      <c r="R74" s="3180">
        <v>81.735157014402702</v>
      </c>
      <c r="S74" s="480">
        <v>100.54050185860297</v>
      </c>
    </row>
    <row r="75" spans="1:19" ht="13.15" customHeight="1">
      <c r="A75" s="476">
        <f t="shared" si="0"/>
        <v>2009.06</v>
      </c>
      <c r="B75" s="478">
        <v>139.45267314434594</v>
      </c>
      <c r="C75" s="852">
        <v>113.56312796283434</v>
      </c>
      <c r="D75" s="3180">
        <v>167.41282254741091</v>
      </c>
      <c r="E75" s="858">
        <v>79.08024660397912</v>
      </c>
      <c r="F75" s="3180">
        <v>178.51954485560455</v>
      </c>
      <c r="G75" s="858">
        <v>90.43343868805529</v>
      </c>
      <c r="H75" s="3180">
        <v>95.393110913649366</v>
      </c>
      <c r="I75" s="858">
        <v>116.67313921664102</v>
      </c>
      <c r="J75" s="3180">
        <v>184.25623055877375</v>
      </c>
      <c r="K75" s="858">
        <v>116.20277734231192</v>
      </c>
      <c r="L75" s="3180">
        <v>149.15042549757541</v>
      </c>
      <c r="M75" s="858">
        <v>182.02984637703972</v>
      </c>
      <c r="N75" s="3180">
        <v>114.48782199067865</v>
      </c>
      <c r="O75" s="858">
        <v>122.09316873298432</v>
      </c>
      <c r="P75" s="3180">
        <v>198.34309344922593</v>
      </c>
      <c r="Q75" s="858">
        <v>121.41741622501168</v>
      </c>
      <c r="R75" s="3180">
        <v>125.003639027284</v>
      </c>
      <c r="S75" s="480">
        <v>111.8252539302691</v>
      </c>
    </row>
    <row r="76" spans="1:19" ht="13.15" customHeight="1">
      <c r="A76" s="476">
        <f t="shared" si="0"/>
        <v>2009.07</v>
      </c>
      <c r="B76" s="478">
        <v>128.29833616662745</v>
      </c>
      <c r="C76" s="852">
        <v>114.96879218981599</v>
      </c>
      <c r="D76" s="3180">
        <v>147.0621345763642</v>
      </c>
      <c r="E76" s="858">
        <v>83.227445018264845</v>
      </c>
      <c r="F76" s="3180">
        <v>182.52404132132128</v>
      </c>
      <c r="G76" s="858">
        <v>84.919360545832987</v>
      </c>
      <c r="H76" s="3180">
        <v>100.05442787674714</v>
      </c>
      <c r="I76" s="858">
        <v>192.339747423821</v>
      </c>
      <c r="J76" s="3180">
        <v>172.61703776067705</v>
      </c>
      <c r="K76" s="858">
        <v>125.24001865544453</v>
      </c>
      <c r="L76" s="3180">
        <v>133.29135735676957</v>
      </c>
      <c r="M76" s="858">
        <v>95.223744714853737</v>
      </c>
      <c r="N76" s="3180">
        <v>123.44341053886907</v>
      </c>
      <c r="O76" s="858">
        <v>120.97337196386991</v>
      </c>
      <c r="P76" s="3180">
        <v>215.22648392024831</v>
      </c>
      <c r="Q76" s="858">
        <v>114.40575689927179</v>
      </c>
      <c r="R76" s="3180">
        <v>90.621586194063397</v>
      </c>
      <c r="S76" s="480">
        <v>114.70594194102212</v>
      </c>
    </row>
    <row r="77" spans="1:19" ht="13.15" customHeight="1">
      <c r="A77" s="476">
        <f t="shared" si="0"/>
        <v>2009.08</v>
      </c>
      <c r="B77" s="478">
        <v>128.34695092922627</v>
      </c>
      <c r="C77" s="852">
        <v>107.35918577657255</v>
      </c>
      <c r="D77" s="3180">
        <v>116.13029029990429</v>
      </c>
      <c r="E77" s="858">
        <v>83.893569322386213</v>
      </c>
      <c r="F77" s="3180">
        <v>171.93156292643073</v>
      </c>
      <c r="G77" s="858">
        <v>93.639595368483612</v>
      </c>
      <c r="H77" s="3180">
        <v>87.463546972601819</v>
      </c>
      <c r="I77" s="858">
        <v>211.00013346971679</v>
      </c>
      <c r="J77" s="3180">
        <v>198.95740843534651</v>
      </c>
      <c r="K77" s="858">
        <v>116.41494088122266</v>
      </c>
      <c r="L77" s="3180">
        <v>167.42569239656191</v>
      </c>
      <c r="M77" s="858">
        <v>123.33011509391974</v>
      </c>
      <c r="N77" s="3180">
        <v>109.8119869264727</v>
      </c>
      <c r="O77" s="858">
        <v>105.92660935290594</v>
      </c>
      <c r="P77" s="3180">
        <v>209.79827505928804</v>
      </c>
      <c r="Q77" s="858">
        <v>114.99354028147592</v>
      </c>
      <c r="R77" s="3180">
        <v>83.6673495294811</v>
      </c>
      <c r="S77" s="480">
        <v>121.2859106735128</v>
      </c>
    </row>
    <row r="78" spans="1:19" ht="13.15" customHeight="1">
      <c r="A78" s="476">
        <f t="shared" si="0"/>
        <v>2009.09</v>
      </c>
      <c r="B78" s="478">
        <v>133.26523742368161</v>
      </c>
      <c r="C78" s="852">
        <v>105.28929479449961</v>
      </c>
      <c r="D78" s="3180">
        <v>122.28084153597277</v>
      </c>
      <c r="E78" s="858">
        <v>86.808029172340824</v>
      </c>
      <c r="F78" s="3180">
        <v>167.87508715502963</v>
      </c>
      <c r="G78" s="858">
        <v>88.430798864129244</v>
      </c>
      <c r="H78" s="3180">
        <v>105.79023100715284</v>
      </c>
      <c r="I78" s="858">
        <v>237.3032322492885</v>
      </c>
      <c r="J78" s="3180">
        <v>230.0305737212496</v>
      </c>
      <c r="K78" s="858">
        <v>134.70791584382928</v>
      </c>
      <c r="L78" s="3180">
        <v>164.81481804177616</v>
      </c>
      <c r="M78" s="858">
        <v>106.06429511235605</v>
      </c>
      <c r="N78" s="3180">
        <v>140.09856467040981</v>
      </c>
      <c r="O78" s="858">
        <v>121.82051384803337</v>
      </c>
      <c r="P78" s="3180">
        <v>180.34741060344143</v>
      </c>
      <c r="Q78" s="858">
        <v>118.64029541601997</v>
      </c>
      <c r="R78" s="3180">
        <v>98.9201326638686</v>
      </c>
      <c r="S78" s="480">
        <v>130.80499989540883</v>
      </c>
    </row>
    <row r="79" spans="1:19" ht="13.15" customHeight="1">
      <c r="A79" s="476">
        <f t="shared" si="0"/>
        <v>2009.1</v>
      </c>
      <c r="B79" s="478">
        <v>133.60119707203228</v>
      </c>
      <c r="C79" s="852">
        <v>124.98904159683235</v>
      </c>
      <c r="D79" s="3180">
        <v>127.29073753339537</v>
      </c>
      <c r="E79" s="858">
        <v>88.356071808020374</v>
      </c>
      <c r="F79" s="3180">
        <v>181.32868717011786</v>
      </c>
      <c r="G79" s="858">
        <v>96.096200668949535</v>
      </c>
      <c r="H79" s="3180">
        <v>148.10152410308899</v>
      </c>
      <c r="I79" s="858">
        <v>128.11626897427243</v>
      </c>
      <c r="J79" s="3180">
        <v>183.72262303481966</v>
      </c>
      <c r="K79" s="858">
        <v>124.78915837019237</v>
      </c>
      <c r="L79" s="3180">
        <v>154.12721043715004</v>
      </c>
      <c r="M79" s="858">
        <v>101.9296957855655</v>
      </c>
      <c r="N79" s="3180">
        <v>128.93603882752947</v>
      </c>
      <c r="O79" s="858">
        <v>144.90721782390617</v>
      </c>
      <c r="P79" s="3180">
        <v>158.95159513935715</v>
      </c>
      <c r="Q79" s="858">
        <v>121.25218964116047</v>
      </c>
      <c r="R79" s="3180">
        <v>86.125124405570304</v>
      </c>
      <c r="S79" s="480">
        <v>138.40479955645463</v>
      </c>
    </row>
    <row r="80" spans="1:19" ht="13.15" customHeight="1">
      <c r="A80" s="476">
        <f t="shared" si="0"/>
        <v>2009.11</v>
      </c>
      <c r="B80" s="478">
        <v>124.6694414711022</v>
      </c>
      <c r="C80" s="852">
        <v>108.04813357833389</v>
      </c>
      <c r="D80" s="3180">
        <v>121.78863123003754</v>
      </c>
      <c r="E80" s="858">
        <v>73.52527849977109</v>
      </c>
      <c r="F80" s="3180">
        <v>177.28412437610024</v>
      </c>
      <c r="G80" s="858">
        <v>106.95099720567633</v>
      </c>
      <c r="H80" s="3180">
        <v>124.50911345040963</v>
      </c>
      <c r="I80" s="858">
        <v>136.3059082670627</v>
      </c>
      <c r="J80" s="3180">
        <v>183.47489338399538</v>
      </c>
      <c r="K80" s="858">
        <v>125.05298713776092</v>
      </c>
      <c r="L80" s="3180">
        <v>86.799902637678088</v>
      </c>
      <c r="M80" s="858">
        <v>111.76258993634926</v>
      </c>
      <c r="N80" s="3180">
        <v>117.42169691862598</v>
      </c>
      <c r="O80" s="858">
        <v>169.32386848463764</v>
      </c>
      <c r="P80" s="3180">
        <v>141.55017601130189</v>
      </c>
      <c r="Q80" s="858">
        <v>109.50961267115002</v>
      </c>
      <c r="R80" s="3180">
        <v>85.514597716672796</v>
      </c>
      <c r="S80" s="480">
        <v>124.82454416097889</v>
      </c>
    </row>
    <row r="81" spans="1:19" ht="13.15" customHeight="1">
      <c r="A81" s="476">
        <f t="shared" si="0"/>
        <v>2009.12</v>
      </c>
      <c r="B81" s="478">
        <v>127.89619857411274</v>
      </c>
      <c r="C81" s="852">
        <v>109.71850769427887</v>
      </c>
      <c r="D81" s="3180">
        <v>105.03519805276569</v>
      </c>
      <c r="E81" s="858">
        <v>73.9909393085332</v>
      </c>
      <c r="F81" s="3180">
        <v>190.29431626930597</v>
      </c>
      <c r="G81" s="858">
        <v>89.070934961977272</v>
      </c>
      <c r="H81" s="3180">
        <v>115.37882120370374</v>
      </c>
      <c r="I81" s="858">
        <v>129.76314520348834</v>
      </c>
      <c r="J81" s="3180">
        <v>186.82911543379177</v>
      </c>
      <c r="K81" s="858">
        <v>121.41610096331601</v>
      </c>
      <c r="L81" s="3180">
        <v>103.88655907974639</v>
      </c>
      <c r="M81" s="858">
        <v>138.58514070000817</v>
      </c>
      <c r="N81" s="3180">
        <v>129.97893360454117</v>
      </c>
      <c r="O81" s="858">
        <v>185.7931628248368</v>
      </c>
      <c r="P81" s="3180">
        <v>152.20860863036904</v>
      </c>
      <c r="Q81" s="858">
        <v>112.88047614733225</v>
      </c>
      <c r="R81" s="3180">
        <v>84.9570705619346</v>
      </c>
      <c r="S81" s="480">
        <v>131.83098740375272</v>
      </c>
    </row>
    <row r="82" spans="1:19" ht="13.15" customHeight="1">
      <c r="A82" s="476">
        <f t="shared" si="0"/>
        <v>2010.01</v>
      </c>
      <c r="B82" s="478">
        <v>118.0199889096416</v>
      </c>
      <c r="C82" s="852">
        <v>106.62892540585203</v>
      </c>
      <c r="D82" s="3180">
        <v>88.691940130439889</v>
      </c>
      <c r="E82" s="858">
        <v>62.082218312340125</v>
      </c>
      <c r="F82" s="3180">
        <v>178.58641755734763</v>
      </c>
      <c r="G82" s="858">
        <v>81.891140497356091</v>
      </c>
      <c r="H82" s="3180">
        <v>98.563840234879137</v>
      </c>
      <c r="I82" s="858">
        <v>81.638734048862787</v>
      </c>
      <c r="J82" s="3180">
        <v>189.98396155344457</v>
      </c>
      <c r="K82" s="858">
        <v>106.38662335064939</v>
      </c>
      <c r="L82" s="3180">
        <v>80.872687784407091</v>
      </c>
      <c r="M82" s="858">
        <v>202.82850629781814</v>
      </c>
      <c r="N82" s="3180">
        <v>88.019145402253869</v>
      </c>
      <c r="O82" s="858">
        <v>140.70779217929629</v>
      </c>
      <c r="P82" s="3180">
        <v>156.63497250321799</v>
      </c>
      <c r="Q82" s="858">
        <v>109.08025297493182</v>
      </c>
      <c r="R82" s="3180">
        <v>56.7984398056198</v>
      </c>
      <c r="S82" s="480">
        <v>110.8136095058854</v>
      </c>
    </row>
    <row r="83" spans="1:19" ht="13.15" customHeight="1">
      <c r="A83" s="476">
        <f t="shared" si="0"/>
        <v>2010.02</v>
      </c>
      <c r="B83" s="478">
        <v>107.46191519227992</v>
      </c>
      <c r="C83" s="852">
        <v>75.443616579717954</v>
      </c>
      <c r="D83" s="3180">
        <v>68.513157736574598</v>
      </c>
      <c r="E83" s="858">
        <v>58.923589569343207</v>
      </c>
      <c r="F83" s="3180">
        <v>177.1811323291536</v>
      </c>
      <c r="G83" s="858">
        <v>106.99031922186849</v>
      </c>
      <c r="H83" s="3180">
        <v>102.44549358822577</v>
      </c>
      <c r="I83" s="858">
        <v>78.717455001324595</v>
      </c>
      <c r="J83" s="3180">
        <v>160.42733549961582</v>
      </c>
      <c r="K83" s="858">
        <v>93.247337724426245</v>
      </c>
      <c r="L83" s="3180">
        <v>129.3896916231337</v>
      </c>
      <c r="M83" s="858">
        <v>89.397041029060205</v>
      </c>
      <c r="N83" s="3180">
        <v>103.51871772357778</v>
      </c>
      <c r="O83" s="858">
        <v>158.78882221159276</v>
      </c>
      <c r="P83" s="3180">
        <v>152.55386245920633</v>
      </c>
      <c r="Q83" s="858">
        <v>101.38373154881502</v>
      </c>
      <c r="R83" s="3180">
        <v>72.513782373542</v>
      </c>
      <c r="S83" s="480">
        <v>107.63443354281705</v>
      </c>
    </row>
    <row r="84" spans="1:19" ht="13.15" customHeight="1">
      <c r="A84" s="476">
        <f t="shared" si="0"/>
        <v>2010.03</v>
      </c>
      <c r="B84" s="478">
        <v>119.42021127382955</v>
      </c>
      <c r="C84" s="852">
        <v>71.718866245975192</v>
      </c>
      <c r="D84" s="3180">
        <v>92.128448963231591</v>
      </c>
      <c r="E84" s="858">
        <v>70.13908375979851</v>
      </c>
      <c r="F84" s="3180">
        <v>185.80359514985741</v>
      </c>
      <c r="G84" s="858">
        <v>96.667317505925553</v>
      </c>
      <c r="H84" s="3180">
        <v>113.19186809725801</v>
      </c>
      <c r="I84" s="858">
        <v>98.396713623707129</v>
      </c>
      <c r="J84" s="3180">
        <v>166.77591147982594</v>
      </c>
      <c r="K84" s="858">
        <v>108.3079991808689</v>
      </c>
      <c r="L84" s="3180">
        <v>153.03393503085221</v>
      </c>
      <c r="M84" s="858">
        <v>85.988669684229421</v>
      </c>
      <c r="N84" s="3180">
        <v>119.35650989804815</v>
      </c>
      <c r="O84" s="858">
        <v>154.46371775482132</v>
      </c>
      <c r="P84" s="3180">
        <v>188.12988025039309</v>
      </c>
      <c r="Q84" s="858">
        <v>107.53013306459738</v>
      </c>
      <c r="R84" s="3180">
        <v>89.1618576579002</v>
      </c>
      <c r="S84" s="480">
        <v>130.61526456000277</v>
      </c>
    </row>
    <row r="85" spans="1:19" ht="13.15" customHeight="1">
      <c r="A85" s="476">
        <f t="shared" si="0"/>
        <v>2010.04</v>
      </c>
      <c r="B85" s="478">
        <v>158.97504683390764</v>
      </c>
      <c r="C85" s="852">
        <v>67.661623869445236</v>
      </c>
      <c r="D85" s="3180">
        <v>192.61687509080173</v>
      </c>
      <c r="E85" s="858">
        <v>58.099262488727092</v>
      </c>
      <c r="F85" s="3180">
        <v>181.11426948702245</v>
      </c>
      <c r="G85" s="858">
        <v>104.61170096110828</v>
      </c>
      <c r="H85" s="3180">
        <v>106.39266399583539</v>
      </c>
      <c r="I85" s="858">
        <v>150.93382593548034</v>
      </c>
      <c r="J85" s="3180">
        <v>153.74453575817864</v>
      </c>
      <c r="K85" s="858">
        <v>132.40076740551598</v>
      </c>
      <c r="L85" s="3180">
        <v>297.48010090639798</v>
      </c>
      <c r="M85" s="858">
        <v>169.10569233886858</v>
      </c>
      <c r="N85" s="3180">
        <v>113.15816194359866</v>
      </c>
      <c r="O85" s="858">
        <v>177.11149750543211</v>
      </c>
      <c r="P85" s="3180">
        <v>204.63670743355044</v>
      </c>
      <c r="Q85" s="858">
        <v>135.2661167425035</v>
      </c>
      <c r="R85" s="3180">
        <v>77.452073833290697</v>
      </c>
      <c r="S85" s="480">
        <v>139.77378421271561</v>
      </c>
    </row>
    <row r="86" spans="1:19" ht="13.15" customHeight="1">
      <c r="A86" s="476">
        <f t="shared" si="0"/>
        <v>2010.05</v>
      </c>
      <c r="B86" s="478">
        <v>142.40250058448601</v>
      </c>
      <c r="C86" s="852">
        <v>64.13566766004098</v>
      </c>
      <c r="D86" s="3180">
        <v>208.72221949332669</v>
      </c>
      <c r="E86" s="858">
        <v>60.090455340361387</v>
      </c>
      <c r="F86" s="3180">
        <v>173.36587350020534</v>
      </c>
      <c r="G86" s="858">
        <v>117.4686489312172</v>
      </c>
      <c r="H86" s="3180">
        <v>110.56853192915304</v>
      </c>
      <c r="I86" s="858">
        <v>125.87207034212926</v>
      </c>
      <c r="J86" s="3180">
        <v>161.46967299775613</v>
      </c>
      <c r="K86" s="858">
        <v>102.60043087579422</v>
      </c>
      <c r="L86" s="3180">
        <v>118.59303395857337</v>
      </c>
      <c r="M86" s="858">
        <v>144.49916841138304</v>
      </c>
      <c r="N86" s="3180">
        <v>104.28733849922421</v>
      </c>
      <c r="O86" s="858">
        <v>196.81287036818199</v>
      </c>
      <c r="P86" s="3180">
        <v>164.33493327076093</v>
      </c>
      <c r="Q86" s="858">
        <v>120.76072604047532</v>
      </c>
      <c r="R86" s="3180">
        <v>76.070032604936998</v>
      </c>
      <c r="S86" s="480">
        <v>135.06113989378886</v>
      </c>
    </row>
    <row r="87" spans="1:19" ht="13.15" customHeight="1">
      <c r="A87" s="476">
        <f t="shared" ref="A87:A150" si="1">A75+1</f>
        <v>2010.06</v>
      </c>
      <c r="B87" s="478">
        <v>144.85020803952594</v>
      </c>
      <c r="C87" s="852">
        <v>63.58024497143581</v>
      </c>
      <c r="D87" s="3180">
        <v>180.59321967244449</v>
      </c>
      <c r="E87" s="858">
        <v>59.512544020144837</v>
      </c>
      <c r="F87" s="3180">
        <v>181.71914073817524</v>
      </c>
      <c r="G87" s="858">
        <v>107.75737127484538</v>
      </c>
      <c r="H87" s="3180">
        <v>106.66235285247332</v>
      </c>
      <c r="I87" s="858">
        <v>147.78499268455721</v>
      </c>
      <c r="J87" s="3180">
        <v>165.11259819248767</v>
      </c>
      <c r="K87" s="858">
        <v>123.80365910460633</v>
      </c>
      <c r="L87" s="3180">
        <v>149.83570121978144</v>
      </c>
      <c r="M87" s="858">
        <v>164.46352869224674</v>
      </c>
      <c r="N87" s="3180">
        <v>103.1821377441526</v>
      </c>
      <c r="O87" s="858">
        <v>194.65362491328773</v>
      </c>
      <c r="P87" s="3180">
        <v>192.82616179396589</v>
      </c>
      <c r="Q87" s="858">
        <v>127.68912547594462</v>
      </c>
      <c r="R87" s="3180">
        <v>74.308673400573795</v>
      </c>
      <c r="S87" s="480">
        <v>141.98409344956724</v>
      </c>
    </row>
    <row r="88" spans="1:19" ht="13.15" customHeight="1">
      <c r="A88" s="476">
        <f t="shared" si="1"/>
        <v>2010.07</v>
      </c>
      <c r="B88" s="478">
        <v>146.72916028229062</v>
      </c>
      <c r="C88" s="852">
        <v>62.819080537355632</v>
      </c>
      <c r="D88" s="3180">
        <v>172.64460495626454</v>
      </c>
      <c r="E88" s="858">
        <v>65.887130279785083</v>
      </c>
      <c r="F88" s="3180">
        <v>179.76382409949107</v>
      </c>
      <c r="G88" s="858">
        <v>108.67656664801061</v>
      </c>
      <c r="H88" s="3180">
        <v>110.01970037528014</v>
      </c>
      <c r="I88" s="858">
        <v>166.52897141146252</v>
      </c>
      <c r="J88" s="3180">
        <v>167.48150393370224</v>
      </c>
      <c r="K88" s="858">
        <v>127.41727956367667</v>
      </c>
      <c r="L88" s="3180">
        <v>172.14134210192873</v>
      </c>
      <c r="M88" s="858">
        <v>145.36878811167003</v>
      </c>
      <c r="N88" s="3180">
        <v>123.00673499426637</v>
      </c>
      <c r="O88" s="858">
        <v>176.41227319397152</v>
      </c>
      <c r="P88" s="3180">
        <v>229.97212754385083</v>
      </c>
      <c r="Q88" s="858">
        <v>132.27384578324774</v>
      </c>
      <c r="R88" s="3180">
        <v>89.294919679396003</v>
      </c>
      <c r="S88" s="480">
        <v>154.75596815567195</v>
      </c>
    </row>
    <row r="89" spans="1:19" ht="13.15" customHeight="1">
      <c r="A89" s="476">
        <f t="shared" si="1"/>
        <v>2010.08</v>
      </c>
      <c r="B89" s="478">
        <v>150.0534689220475</v>
      </c>
      <c r="C89" s="852">
        <v>72.850132126106004</v>
      </c>
      <c r="D89" s="3180">
        <v>199.99047277446905</v>
      </c>
      <c r="E89" s="858">
        <v>80.354708066988664</v>
      </c>
      <c r="F89" s="3180">
        <v>194.77396148369903</v>
      </c>
      <c r="G89" s="858">
        <v>105.99703404189876</v>
      </c>
      <c r="H89" s="3180">
        <v>133.8820342685525</v>
      </c>
      <c r="I89" s="858">
        <v>172.82779796467449</v>
      </c>
      <c r="J89" s="3180">
        <v>148.86643830020913</v>
      </c>
      <c r="K89" s="858">
        <v>111.61056809813633</v>
      </c>
      <c r="L89" s="3180">
        <v>131.24543996476487</v>
      </c>
      <c r="M89" s="858">
        <v>137.26376876816624</v>
      </c>
      <c r="N89" s="3180">
        <v>122.74105399795921</v>
      </c>
      <c r="O89" s="858">
        <v>204.35867681193474</v>
      </c>
      <c r="P89" s="3180">
        <v>216.82787303633791</v>
      </c>
      <c r="Q89" s="858">
        <v>127.59633609781</v>
      </c>
      <c r="R89" s="3180">
        <v>89.792839187326905</v>
      </c>
      <c r="S89" s="480">
        <v>155.70732655250109</v>
      </c>
    </row>
    <row r="90" spans="1:19" ht="13.15" customHeight="1">
      <c r="A90" s="476">
        <f t="shared" si="1"/>
        <v>2010.09</v>
      </c>
      <c r="B90" s="478">
        <v>158.8442720750827</v>
      </c>
      <c r="C90" s="852">
        <v>66.930363912394725</v>
      </c>
      <c r="D90" s="3180">
        <v>193.96980047585672</v>
      </c>
      <c r="E90" s="858">
        <v>75.027768483459013</v>
      </c>
      <c r="F90" s="3180">
        <v>181.91622407781892</v>
      </c>
      <c r="G90" s="858">
        <v>100.23355682983214</v>
      </c>
      <c r="H90" s="3180">
        <v>110.83836341539553</v>
      </c>
      <c r="I90" s="858">
        <v>301.79376665139262</v>
      </c>
      <c r="J90" s="3180">
        <v>180.00281519603539</v>
      </c>
      <c r="K90" s="858">
        <v>134.13462193885672</v>
      </c>
      <c r="L90" s="3180">
        <v>135.75014847233584</v>
      </c>
      <c r="M90" s="858">
        <v>195.71463694022759</v>
      </c>
      <c r="N90" s="3180">
        <v>109.82109826960068</v>
      </c>
      <c r="O90" s="858">
        <v>229.0239557906157</v>
      </c>
      <c r="P90" s="3180">
        <v>208.80045709045049</v>
      </c>
      <c r="Q90" s="858">
        <v>139.20078554309362</v>
      </c>
      <c r="R90" s="3180">
        <v>84.849130366040697</v>
      </c>
      <c r="S90" s="480">
        <v>164.40589031108613</v>
      </c>
    </row>
    <row r="91" spans="1:19" ht="13.15" customHeight="1">
      <c r="A91" s="476">
        <f t="shared" si="1"/>
        <v>2010.1</v>
      </c>
      <c r="B91" s="478">
        <v>149.34554529704124</v>
      </c>
      <c r="C91" s="852">
        <v>54.801787374465974</v>
      </c>
      <c r="D91" s="3180">
        <v>186.51488005712773</v>
      </c>
      <c r="E91" s="858">
        <v>75.435052539014535</v>
      </c>
      <c r="F91" s="3180">
        <v>183.87894516985142</v>
      </c>
      <c r="G91" s="858">
        <v>116.54294548139394</v>
      </c>
      <c r="H91" s="3180">
        <v>115.6474702259847</v>
      </c>
      <c r="I91" s="858">
        <v>136.11265085525579</v>
      </c>
      <c r="J91" s="3180">
        <v>162.6417940599224</v>
      </c>
      <c r="K91" s="858">
        <v>122.1540369360505</v>
      </c>
      <c r="L91" s="3180">
        <v>177.58058258968879</v>
      </c>
      <c r="M91" s="858">
        <v>124.57065209602665</v>
      </c>
      <c r="N91" s="3180">
        <v>109.68155881843104</v>
      </c>
      <c r="O91" s="858">
        <v>207.37847193915474</v>
      </c>
      <c r="P91" s="3180">
        <v>163.73153519660079</v>
      </c>
      <c r="Q91" s="858">
        <v>131.42131094737374</v>
      </c>
      <c r="R91" s="3180">
        <v>79.363607865040606</v>
      </c>
      <c r="S91" s="480">
        <v>167.13495494211068</v>
      </c>
    </row>
    <row r="92" spans="1:19" ht="13.15" customHeight="1">
      <c r="A92" s="476">
        <f t="shared" si="1"/>
        <v>2010.11</v>
      </c>
      <c r="B92" s="478">
        <v>156.332053643986</v>
      </c>
      <c r="C92" s="852">
        <v>54.382581211865514</v>
      </c>
      <c r="D92" s="3180">
        <v>159.3971907743809</v>
      </c>
      <c r="E92" s="858">
        <v>77.076252445585197</v>
      </c>
      <c r="F92" s="3180">
        <v>190.48526909977448</v>
      </c>
      <c r="G92" s="858">
        <v>104.63937239783591</v>
      </c>
      <c r="H92" s="3180">
        <v>114.63739952223089</v>
      </c>
      <c r="I92" s="858">
        <v>144.85325560836708</v>
      </c>
      <c r="J92" s="3180">
        <v>186.61104296124464</v>
      </c>
      <c r="K92" s="858">
        <v>125.66537476134621</v>
      </c>
      <c r="L92" s="3180">
        <v>152.23628002240417</v>
      </c>
      <c r="M92" s="858">
        <v>196.51434177333664</v>
      </c>
      <c r="N92" s="3180">
        <v>131.02521498263013</v>
      </c>
      <c r="O92" s="858">
        <v>199.87897299798342</v>
      </c>
      <c r="P92" s="3180">
        <v>187.99602447980828</v>
      </c>
      <c r="Q92" s="858">
        <v>139.84305508669968</v>
      </c>
      <c r="R92" s="3180">
        <v>75.1466434761941</v>
      </c>
      <c r="S92" s="480">
        <v>210.11780749088888</v>
      </c>
    </row>
    <row r="93" spans="1:19" ht="13.15" customHeight="1">
      <c r="A93" s="476">
        <f t="shared" si="1"/>
        <v>2010.12</v>
      </c>
      <c r="B93" s="478">
        <v>145.7565055533106</v>
      </c>
      <c r="C93" s="852">
        <v>58.535656877702714</v>
      </c>
      <c r="D93" s="3180">
        <v>137.37790274305445</v>
      </c>
      <c r="E93" s="858">
        <v>77.400279928990201</v>
      </c>
      <c r="F93" s="3180">
        <v>186.68396616104164</v>
      </c>
      <c r="G93" s="858">
        <v>85.052797857621073</v>
      </c>
      <c r="H93" s="3180">
        <v>123.93345151438007</v>
      </c>
      <c r="I93" s="858">
        <v>142.76039981533975</v>
      </c>
      <c r="J93" s="3180">
        <v>187.55289780526817</v>
      </c>
      <c r="K93" s="858">
        <v>123.20143123770778</v>
      </c>
      <c r="L93" s="3180">
        <v>151.02406985517928</v>
      </c>
      <c r="M93" s="858">
        <v>220.89119680096786</v>
      </c>
      <c r="N93" s="3180">
        <v>126.3176240466707</v>
      </c>
      <c r="O93" s="858">
        <v>215.35722912655791</v>
      </c>
      <c r="P93" s="3180">
        <v>171.67496794429127</v>
      </c>
      <c r="Q93" s="858">
        <v>127.21748206141555</v>
      </c>
      <c r="R93" s="3180">
        <v>86.922666500082101</v>
      </c>
      <c r="S93" s="480">
        <v>139.62513000757244</v>
      </c>
    </row>
    <row r="94" spans="1:19" ht="13.15" customHeight="1">
      <c r="A94" s="476">
        <f t="shared" si="1"/>
        <v>2011.01</v>
      </c>
      <c r="B94" s="478">
        <v>135.24534619567027</v>
      </c>
      <c r="C94" s="852">
        <v>60.393400466766366</v>
      </c>
      <c r="D94" s="3180">
        <v>118.59021399602854</v>
      </c>
      <c r="E94" s="858">
        <v>71.617873817912667</v>
      </c>
      <c r="F94" s="3180">
        <v>169.56417557525234</v>
      </c>
      <c r="G94" s="858">
        <v>86.528435745777998</v>
      </c>
      <c r="H94" s="3180">
        <v>119.37409007019392</v>
      </c>
      <c r="I94" s="858">
        <v>93.931148149216057</v>
      </c>
      <c r="J94" s="3180">
        <v>137.63135144790127</v>
      </c>
      <c r="K94" s="858">
        <v>113.79104125758462</v>
      </c>
      <c r="L94" s="3180">
        <v>288.32332060494014</v>
      </c>
      <c r="M94" s="858">
        <v>133.99070174424543</v>
      </c>
      <c r="N94" s="3180">
        <v>93.800666464104452</v>
      </c>
      <c r="O94" s="858">
        <v>192.36470876507457</v>
      </c>
      <c r="P94" s="3180">
        <v>191.14049738041322</v>
      </c>
      <c r="Q94" s="858">
        <v>121.23308559707343</v>
      </c>
      <c r="R94" s="3180">
        <v>79.262524612698698</v>
      </c>
      <c r="S94" s="480">
        <v>105.70298123558133</v>
      </c>
    </row>
    <row r="95" spans="1:19" ht="13.15" customHeight="1">
      <c r="A95" s="476">
        <f t="shared" si="1"/>
        <v>2011.02</v>
      </c>
      <c r="B95" s="478">
        <v>122.1398040283902</v>
      </c>
      <c r="C95" s="852">
        <v>56.230310271766101</v>
      </c>
      <c r="D95" s="3180">
        <v>98.791214710867266</v>
      </c>
      <c r="E95" s="858">
        <v>62.879548098788575</v>
      </c>
      <c r="F95" s="3180">
        <v>166.574215133222</v>
      </c>
      <c r="G95" s="858">
        <v>104.69691079251598</v>
      </c>
      <c r="H95" s="3180">
        <v>126.65578327971494</v>
      </c>
      <c r="I95" s="858">
        <v>119.33330978544332</v>
      </c>
      <c r="J95" s="3180">
        <v>152.17328992160148</v>
      </c>
      <c r="K95" s="858">
        <v>108.32367117143863</v>
      </c>
      <c r="L95" s="3180">
        <v>90.913918323268248</v>
      </c>
      <c r="M95" s="858">
        <v>168.80730612884031</v>
      </c>
      <c r="N95" s="3180">
        <v>94.622424815692256</v>
      </c>
      <c r="O95" s="858">
        <v>181.82267182433353</v>
      </c>
      <c r="P95" s="3180">
        <v>174.34471092746168</v>
      </c>
      <c r="Q95" s="858">
        <v>115.03236116701305</v>
      </c>
      <c r="R95" s="3180">
        <v>76.4050540014712</v>
      </c>
      <c r="S95" s="480">
        <v>140.26332347678891</v>
      </c>
    </row>
    <row r="96" spans="1:19" ht="13.15" customHeight="1">
      <c r="A96" s="476">
        <f t="shared" si="1"/>
        <v>2011.03</v>
      </c>
      <c r="B96" s="478">
        <v>136.55318411154283</v>
      </c>
      <c r="C96" s="852">
        <v>60.586428357312656</v>
      </c>
      <c r="D96" s="3180">
        <v>150.72812785714743</v>
      </c>
      <c r="E96" s="858">
        <v>66.013314850522207</v>
      </c>
      <c r="F96" s="3180">
        <v>185.46768462621341</v>
      </c>
      <c r="G96" s="858">
        <v>91.298541945722846</v>
      </c>
      <c r="H96" s="3180">
        <v>128.44112117877955</v>
      </c>
      <c r="I96" s="858">
        <v>104.54801054536755</v>
      </c>
      <c r="J96" s="3180">
        <v>188.8222807987317</v>
      </c>
      <c r="K96" s="858">
        <v>107.52241781348488</v>
      </c>
      <c r="L96" s="3180">
        <v>112.19895837284206</v>
      </c>
      <c r="M96" s="858">
        <v>154.3190182778834</v>
      </c>
      <c r="N96" s="3180">
        <v>103.89962074258297</v>
      </c>
      <c r="O96" s="858">
        <v>176.31215663926267</v>
      </c>
      <c r="P96" s="3180">
        <v>203.56125576399819</v>
      </c>
      <c r="Q96" s="858">
        <v>120.10504697592172</v>
      </c>
      <c r="R96" s="3180">
        <v>76.206154742662704</v>
      </c>
      <c r="S96" s="480">
        <v>152.96876928948893</v>
      </c>
    </row>
    <row r="97" spans="1:19" ht="13.15" customHeight="1">
      <c r="A97" s="476">
        <f t="shared" si="1"/>
        <v>2011.04</v>
      </c>
      <c r="B97" s="478">
        <v>150.81612237695902</v>
      </c>
      <c r="C97" s="852">
        <v>69.541750028223916</v>
      </c>
      <c r="D97" s="3180">
        <v>196.11399013709558</v>
      </c>
      <c r="E97" s="858">
        <v>64.632686252898694</v>
      </c>
      <c r="F97" s="3180">
        <v>176.36173617628586</v>
      </c>
      <c r="G97" s="858">
        <v>98.682508758998736</v>
      </c>
      <c r="H97" s="3180">
        <v>112.03485354167971</v>
      </c>
      <c r="I97" s="858">
        <v>147.21669183534641</v>
      </c>
      <c r="J97" s="3180">
        <v>179.24992889064546</v>
      </c>
      <c r="K97" s="858">
        <v>116.91109708529682</v>
      </c>
      <c r="L97" s="3180">
        <v>88.246223420784048</v>
      </c>
      <c r="M97" s="858">
        <v>202.47733886877677</v>
      </c>
      <c r="N97" s="3180">
        <v>98.247470336428592</v>
      </c>
      <c r="O97" s="858">
        <v>220.64729850107048</v>
      </c>
      <c r="P97" s="3180">
        <v>256.60668157287535</v>
      </c>
      <c r="Q97" s="858">
        <v>131.70663495677175</v>
      </c>
      <c r="R97" s="3180">
        <v>73.158791908509301</v>
      </c>
      <c r="S97" s="480">
        <v>155.59806631207681</v>
      </c>
    </row>
    <row r="98" spans="1:19" ht="13.15" customHeight="1">
      <c r="A98" s="476">
        <f t="shared" si="1"/>
        <v>2011.05</v>
      </c>
      <c r="B98" s="478">
        <v>166.04795154153862</v>
      </c>
      <c r="C98" s="852">
        <v>73.32301520833208</v>
      </c>
      <c r="D98" s="3180">
        <v>207.77662009950757</v>
      </c>
      <c r="E98" s="858">
        <v>65.779474097196569</v>
      </c>
      <c r="F98" s="3180">
        <v>177.45537061666263</v>
      </c>
      <c r="G98" s="858">
        <v>108.71703780537635</v>
      </c>
      <c r="H98" s="3180">
        <v>129.07345914074631</v>
      </c>
      <c r="I98" s="858">
        <v>122.90302816971494</v>
      </c>
      <c r="J98" s="3180">
        <v>175.04833683911622</v>
      </c>
      <c r="K98" s="858">
        <v>118.42590850796574</v>
      </c>
      <c r="L98" s="3180">
        <v>222.31290680009809</v>
      </c>
      <c r="M98" s="858">
        <v>171.57194681446401</v>
      </c>
      <c r="N98" s="3180">
        <v>110.230976576609</v>
      </c>
      <c r="O98" s="858">
        <v>254.07642170297996</v>
      </c>
      <c r="P98" s="3180">
        <v>245.55017915598651</v>
      </c>
      <c r="Q98" s="858">
        <v>150.09690253189635</v>
      </c>
      <c r="R98" s="3180">
        <v>22.0846778759154</v>
      </c>
      <c r="S98" s="480">
        <v>170.55847967943728</v>
      </c>
    </row>
    <row r="99" spans="1:19" ht="13.15" customHeight="1">
      <c r="A99" s="476">
        <f t="shared" si="1"/>
        <v>2011.06</v>
      </c>
      <c r="B99" s="478">
        <v>150.37683392939701</v>
      </c>
      <c r="C99" s="852">
        <v>64.217601066273645</v>
      </c>
      <c r="D99" s="3180">
        <v>170.89159545857044</v>
      </c>
      <c r="E99" s="858">
        <v>76.370633489213745</v>
      </c>
      <c r="F99" s="3180">
        <v>185.55257418480423</v>
      </c>
      <c r="G99" s="858">
        <v>83.476507194115968</v>
      </c>
      <c r="H99" s="3180">
        <v>128.48493233281985</v>
      </c>
      <c r="I99" s="858">
        <v>144.49540719091027</v>
      </c>
      <c r="J99" s="3180">
        <v>176.2358859272978</v>
      </c>
      <c r="K99" s="858">
        <v>133.10773420024563</v>
      </c>
      <c r="L99" s="3180">
        <v>149.41587559416399</v>
      </c>
      <c r="M99" s="858">
        <v>182.60814152140588</v>
      </c>
      <c r="N99" s="3180">
        <v>103.26164352333754</v>
      </c>
      <c r="O99" s="858">
        <v>195.85402002306685</v>
      </c>
      <c r="P99" s="3180">
        <v>262.76507092095682</v>
      </c>
      <c r="Q99" s="858">
        <v>136.52874286986403</v>
      </c>
      <c r="R99" s="3180">
        <v>62.5822447364826</v>
      </c>
      <c r="S99" s="480">
        <v>160.13491522766461</v>
      </c>
    </row>
    <row r="100" spans="1:19" ht="13.15" customHeight="1">
      <c r="A100" s="476">
        <f t="shared" si="1"/>
        <v>2011.07</v>
      </c>
      <c r="B100" s="478">
        <v>170.37806629458305</v>
      </c>
      <c r="C100" s="852">
        <v>69.398377515545022</v>
      </c>
      <c r="D100" s="3180">
        <v>163.01071011516811</v>
      </c>
      <c r="E100" s="858">
        <v>84.285800446895564</v>
      </c>
      <c r="F100" s="3180">
        <v>187.82814179591946</v>
      </c>
      <c r="G100" s="858">
        <v>108.17942233953481</v>
      </c>
      <c r="H100" s="3180">
        <v>117.08177985037383</v>
      </c>
      <c r="I100" s="858">
        <v>177.94563723750858</v>
      </c>
      <c r="J100" s="3180">
        <v>184.56726234828258</v>
      </c>
      <c r="K100" s="858">
        <v>126.2222493018416</v>
      </c>
      <c r="L100" s="3180">
        <v>150.55147139740617</v>
      </c>
      <c r="M100" s="858">
        <v>363.89059772232099</v>
      </c>
      <c r="N100" s="3180">
        <v>113.42761166568818</v>
      </c>
      <c r="O100" s="858">
        <v>227.13197203669324</v>
      </c>
      <c r="P100" s="3180">
        <v>265.62142096701911</v>
      </c>
      <c r="Q100" s="858">
        <v>150.29435330781965</v>
      </c>
      <c r="R100" s="3180">
        <v>71.108822631043793</v>
      </c>
      <c r="S100" s="480">
        <v>159.57875495400165</v>
      </c>
    </row>
    <row r="101" spans="1:19" ht="13.15" customHeight="1">
      <c r="A101" s="476">
        <f t="shared" si="1"/>
        <v>2011.08</v>
      </c>
      <c r="B101" s="478">
        <v>153.22523259427771</v>
      </c>
      <c r="C101" s="852">
        <v>70.891849010059133</v>
      </c>
      <c r="D101" s="3180">
        <v>152.84821749617092</v>
      </c>
      <c r="E101" s="858">
        <v>90.849758554781005</v>
      </c>
      <c r="F101" s="3180">
        <v>195.06380991710512</v>
      </c>
      <c r="G101" s="858">
        <v>119.21798317731125</v>
      </c>
      <c r="H101" s="3180">
        <v>129.57500255970015</v>
      </c>
      <c r="I101" s="858">
        <v>227.21825085683764</v>
      </c>
      <c r="J101" s="3180">
        <v>187.61897764195939</v>
      </c>
      <c r="K101" s="858">
        <v>142.8756781324966</v>
      </c>
      <c r="L101" s="3180">
        <v>139.63873217213327</v>
      </c>
      <c r="M101" s="858">
        <v>152.25900594499313</v>
      </c>
      <c r="N101" s="3180">
        <v>127.59167564395989</v>
      </c>
      <c r="O101" s="858">
        <v>207.63559377866019</v>
      </c>
      <c r="P101" s="3180">
        <v>277.74870228629362</v>
      </c>
      <c r="Q101" s="858">
        <v>139.28310773357654</v>
      </c>
      <c r="R101" s="3180">
        <v>78.842570270222495</v>
      </c>
      <c r="S101" s="480">
        <v>169.33146502168273</v>
      </c>
    </row>
    <row r="102" spans="1:19" ht="13.15" customHeight="1">
      <c r="A102" s="476">
        <f t="shared" si="1"/>
        <v>2011.09</v>
      </c>
      <c r="B102" s="478">
        <v>162.00381960224126</v>
      </c>
      <c r="C102" s="852">
        <v>70.427119243196699</v>
      </c>
      <c r="D102" s="3180">
        <v>194.90334985856819</v>
      </c>
      <c r="E102" s="858">
        <v>94.504910942719249</v>
      </c>
      <c r="F102" s="3180">
        <v>194.27589373445787</v>
      </c>
      <c r="G102" s="858">
        <v>93.104135312314838</v>
      </c>
      <c r="H102" s="3180">
        <v>147.33645718607971</v>
      </c>
      <c r="I102" s="858">
        <v>335.22360906603922</v>
      </c>
      <c r="J102" s="3180">
        <v>187.02530145292621</v>
      </c>
      <c r="K102" s="858">
        <v>149.27891181457349</v>
      </c>
      <c r="L102" s="3180">
        <v>128.6705812100565</v>
      </c>
      <c r="M102" s="858">
        <v>160.47637090686891</v>
      </c>
      <c r="N102" s="3180">
        <v>157.84316007584502</v>
      </c>
      <c r="O102" s="858">
        <v>229.81096864913749</v>
      </c>
      <c r="P102" s="3180">
        <v>219.54397322394834</v>
      </c>
      <c r="Q102" s="858">
        <v>139.4926280779182</v>
      </c>
      <c r="R102" s="3180">
        <v>90.909680206819004</v>
      </c>
      <c r="S102" s="480">
        <v>170.28957380651724</v>
      </c>
    </row>
    <row r="103" spans="1:19" ht="13.15" customHeight="1">
      <c r="A103" s="476">
        <f t="shared" si="1"/>
        <v>2011.1</v>
      </c>
      <c r="B103" s="478">
        <v>142.50243218233223</v>
      </c>
      <c r="C103" s="852">
        <v>71.861928009687091</v>
      </c>
      <c r="D103" s="3180">
        <v>170.98027879155009</v>
      </c>
      <c r="E103" s="858">
        <v>91.408113109401825</v>
      </c>
      <c r="F103" s="3180">
        <v>186.11095232152508</v>
      </c>
      <c r="G103" s="858">
        <v>87.022400911130958</v>
      </c>
      <c r="H103" s="3180">
        <v>120.86604223542517</v>
      </c>
      <c r="I103" s="858">
        <v>155.77966634619497</v>
      </c>
      <c r="J103" s="3180">
        <v>186.70675545632483</v>
      </c>
      <c r="K103" s="858">
        <v>126.20409276117891</v>
      </c>
      <c r="L103" s="3180">
        <v>118.33887546224304</v>
      </c>
      <c r="M103" s="858">
        <v>117.05131474956821</v>
      </c>
      <c r="N103" s="3180">
        <v>117.3010003195056</v>
      </c>
      <c r="O103" s="858">
        <v>175.46558528333861</v>
      </c>
      <c r="P103" s="3180">
        <v>214.61977925473283</v>
      </c>
      <c r="Q103" s="858">
        <v>123.62678771931913</v>
      </c>
      <c r="R103" s="3180">
        <v>90.212204433026301</v>
      </c>
      <c r="S103" s="480">
        <v>165.6165223051882</v>
      </c>
    </row>
    <row r="104" spans="1:19" ht="13.15" customHeight="1">
      <c r="A104" s="476">
        <f t="shared" si="1"/>
        <v>2011.11</v>
      </c>
      <c r="B104" s="478">
        <v>154.05336784179349</v>
      </c>
      <c r="C104" s="852">
        <v>74.698981441410936</v>
      </c>
      <c r="D104" s="3180">
        <v>154.35435016530923</v>
      </c>
      <c r="E104" s="858">
        <v>80.362538731629215</v>
      </c>
      <c r="F104" s="3180">
        <v>194.62495411237171</v>
      </c>
      <c r="G104" s="858">
        <v>93.192075025962723</v>
      </c>
      <c r="H104" s="3180">
        <v>112.7023664126675</v>
      </c>
      <c r="I104" s="858">
        <v>134.32944282823942</v>
      </c>
      <c r="J104" s="3180">
        <v>191.96975271501972</v>
      </c>
      <c r="K104" s="858">
        <v>144.07663739521942</v>
      </c>
      <c r="L104" s="3180">
        <v>140.12341416719858</v>
      </c>
      <c r="M104" s="858">
        <v>163.78547145573017</v>
      </c>
      <c r="N104" s="3180">
        <v>142.92691362959798</v>
      </c>
      <c r="O104" s="858">
        <v>289.15853453711907</v>
      </c>
      <c r="P104" s="3180">
        <v>203.1394649805676</v>
      </c>
      <c r="Q104" s="858">
        <v>135.90332339369115</v>
      </c>
      <c r="R104" s="3180">
        <v>91.399980172626798</v>
      </c>
      <c r="S104" s="480">
        <v>159.59923649188642</v>
      </c>
    </row>
    <row r="105" spans="1:19" ht="13.15" customHeight="1">
      <c r="A105" s="476">
        <f t="shared" si="1"/>
        <v>2011.12</v>
      </c>
      <c r="B105" s="478">
        <v>143.18771072735899</v>
      </c>
      <c r="C105" s="852">
        <v>73.408613529091312</v>
      </c>
      <c r="D105" s="3180">
        <v>143.80738502441835</v>
      </c>
      <c r="E105" s="858">
        <v>89.174172725316126</v>
      </c>
      <c r="F105" s="3180">
        <v>220.074473382246</v>
      </c>
      <c r="G105" s="858">
        <v>82.837312952867364</v>
      </c>
      <c r="H105" s="3180">
        <v>124.02441431870353</v>
      </c>
      <c r="I105" s="858">
        <v>111.30014169870299</v>
      </c>
      <c r="J105" s="3180">
        <v>184.55583867178711</v>
      </c>
      <c r="K105" s="858">
        <v>127.20516660883361</v>
      </c>
      <c r="L105" s="3180">
        <v>89.088387206030745</v>
      </c>
      <c r="M105" s="858">
        <v>174.64716463239</v>
      </c>
      <c r="N105" s="3180">
        <v>116.90323347842669</v>
      </c>
      <c r="O105" s="858">
        <v>221.59521132231811</v>
      </c>
      <c r="P105" s="3180">
        <v>186.18472632324986</v>
      </c>
      <c r="Q105" s="858">
        <v>127.41134779586766</v>
      </c>
      <c r="R105" s="3180">
        <v>99.149064728975006</v>
      </c>
      <c r="S105" s="480">
        <v>154.20626833466602</v>
      </c>
    </row>
    <row r="106" spans="1:19" ht="13.15" customHeight="1">
      <c r="A106" s="476">
        <f t="shared" si="1"/>
        <v>2012.01</v>
      </c>
      <c r="B106" s="478">
        <v>114.92012017282724</v>
      </c>
      <c r="C106" s="852">
        <v>79.01335178033365</v>
      </c>
      <c r="D106" s="3180">
        <v>125.88569436630817</v>
      </c>
      <c r="E106" s="858">
        <v>84.02328105205244</v>
      </c>
      <c r="F106" s="3180">
        <v>184.76881780831874</v>
      </c>
      <c r="G106" s="858">
        <v>71.764735719787993</v>
      </c>
      <c r="H106" s="3180">
        <v>122.42045126882037</v>
      </c>
      <c r="I106" s="858">
        <v>85.783943424792568</v>
      </c>
      <c r="J106" s="3180">
        <v>149.3510216739468</v>
      </c>
      <c r="K106" s="858">
        <v>110.22793689291385</v>
      </c>
      <c r="L106" s="3180">
        <v>63.857951506775258</v>
      </c>
      <c r="M106" s="858">
        <v>72.942697889956065</v>
      </c>
      <c r="N106" s="3180">
        <v>116.73333674908308</v>
      </c>
      <c r="O106" s="858">
        <v>184.94841975272695</v>
      </c>
      <c r="P106" s="3180">
        <v>185.79227930099245</v>
      </c>
      <c r="Q106" s="858">
        <v>98.633455219179055</v>
      </c>
      <c r="R106" s="3180">
        <v>75.880456194784202</v>
      </c>
      <c r="S106" s="480">
        <v>117.72850396053083</v>
      </c>
    </row>
    <row r="107" spans="1:19" ht="13.15" customHeight="1">
      <c r="A107" s="476">
        <f t="shared" si="1"/>
        <v>2012.02</v>
      </c>
      <c r="B107" s="478">
        <v>126.29799466650474</v>
      </c>
      <c r="C107" s="852">
        <v>66.382964643637621</v>
      </c>
      <c r="D107" s="3180">
        <v>113.43215628567609</v>
      </c>
      <c r="E107" s="858">
        <v>76.86017464714493</v>
      </c>
      <c r="F107" s="3180">
        <v>175.38969138173977</v>
      </c>
      <c r="G107" s="858">
        <v>49.602519387324129</v>
      </c>
      <c r="H107" s="3180">
        <v>92.220111229200114</v>
      </c>
      <c r="I107" s="858">
        <v>98.762546315310757</v>
      </c>
      <c r="J107" s="3180">
        <v>159.52251895544271</v>
      </c>
      <c r="K107" s="858">
        <v>95.777529642811913</v>
      </c>
      <c r="L107" s="3180">
        <v>80.570310226404899</v>
      </c>
      <c r="M107" s="858">
        <v>261.97917808079302</v>
      </c>
      <c r="N107" s="3180">
        <v>95.508264831125672</v>
      </c>
      <c r="O107" s="858">
        <v>177.33047708599284</v>
      </c>
      <c r="P107" s="3180">
        <v>168.3129898968163</v>
      </c>
      <c r="Q107" s="858">
        <v>118.48778513283791</v>
      </c>
      <c r="R107" s="3180">
        <v>81.093064739174196</v>
      </c>
      <c r="S107" s="480">
        <v>120.40955660239909</v>
      </c>
    </row>
    <row r="108" spans="1:19" ht="13.15" customHeight="1">
      <c r="A108" s="476">
        <f t="shared" si="1"/>
        <v>2012.03</v>
      </c>
      <c r="B108" s="478">
        <v>138.59839968479628</v>
      </c>
      <c r="C108" s="852">
        <v>72.098692121836692</v>
      </c>
      <c r="D108" s="3180">
        <v>122.48836290953157</v>
      </c>
      <c r="E108" s="858">
        <v>91.234419938873302</v>
      </c>
      <c r="F108" s="3180">
        <v>187.79542615379336</v>
      </c>
      <c r="G108" s="858">
        <v>87.374941270354327</v>
      </c>
      <c r="H108" s="3180">
        <v>124.78202961254989</v>
      </c>
      <c r="I108" s="858">
        <v>115.20030552753668</v>
      </c>
      <c r="J108" s="3180">
        <v>184.49416352448833</v>
      </c>
      <c r="K108" s="858">
        <v>113.81710674675277</v>
      </c>
      <c r="L108" s="3180">
        <v>108.11098698039849</v>
      </c>
      <c r="M108" s="858">
        <v>149.17562755530511</v>
      </c>
      <c r="N108" s="3180">
        <v>118.4716574018607</v>
      </c>
      <c r="O108" s="858">
        <v>209.34334578904623</v>
      </c>
      <c r="P108" s="3180">
        <v>251.70280339740438</v>
      </c>
      <c r="Q108" s="858">
        <v>123.4579148118586</v>
      </c>
      <c r="R108" s="3180">
        <v>80.932674922646896</v>
      </c>
      <c r="S108" s="480">
        <v>166.35294266152113</v>
      </c>
    </row>
    <row r="109" spans="1:19" ht="13.15" customHeight="1">
      <c r="A109" s="476">
        <f t="shared" si="1"/>
        <v>2012.04</v>
      </c>
      <c r="B109" s="478">
        <v>138.9871007113228</v>
      </c>
      <c r="C109" s="852">
        <v>61.450001733183157</v>
      </c>
      <c r="D109" s="3180">
        <v>188.32184748633355</v>
      </c>
      <c r="E109" s="858">
        <v>87.916655705760533</v>
      </c>
      <c r="F109" s="3180">
        <v>181.62654513109965</v>
      </c>
      <c r="G109" s="858">
        <v>60.150783036911562</v>
      </c>
      <c r="H109" s="3180">
        <v>107.52105910180055</v>
      </c>
      <c r="I109" s="858">
        <v>134.49678623854541</v>
      </c>
      <c r="J109" s="3180">
        <v>164.38670362479277</v>
      </c>
      <c r="K109" s="858">
        <v>103.30323326357278</v>
      </c>
      <c r="L109" s="3180">
        <v>98.350222665486868</v>
      </c>
      <c r="M109" s="858">
        <v>138.42442054223295</v>
      </c>
      <c r="N109" s="3180">
        <v>94.52800512410326</v>
      </c>
      <c r="O109" s="858">
        <v>196.05241391657054</v>
      </c>
      <c r="P109" s="3180">
        <v>232.53729731110207</v>
      </c>
      <c r="Q109" s="858">
        <v>115.61705803634821</v>
      </c>
      <c r="R109" s="3180">
        <v>80.124187581492393</v>
      </c>
      <c r="S109" s="480">
        <v>150.16141915402454</v>
      </c>
    </row>
    <row r="110" spans="1:19" ht="13.15" customHeight="1">
      <c r="A110" s="476">
        <f t="shared" si="1"/>
        <v>2012.05</v>
      </c>
      <c r="B110" s="478">
        <v>148.13745201389312</v>
      </c>
      <c r="C110" s="852">
        <v>75.034542148895738</v>
      </c>
      <c r="D110" s="3180">
        <v>194.43256839012</v>
      </c>
      <c r="E110" s="858">
        <v>89.579355166125197</v>
      </c>
      <c r="F110" s="3180">
        <v>188.89220426734445</v>
      </c>
      <c r="G110" s="858">
        <v>82.204244860076415</v>
      </c>
      <c r="H110" s="3180">
        <v>115.94342592058997</v>
      </c>
      <c r="I110" s="858">
        <v>126.27727371827794</v>
      </c>
      <c r="J110" s="3180">
        <v>190.06068630075242</v>
      </c>
      <c r="K110" s="858">
        <v>126.31933010859841</v>
      </c>
      <c r="L110" s="3180">
        <v>109.49375663780678</v>
      </c>
      <c r="M110" s="858">
        <v>146.80911911838626</v>
      </c>
      <c r="N110" s="3180">
        <v>110.97553700823279</v>
      </c>
      <c r="O110" s="858">
        <v>191.55246114353471</v>
      </c>
      <c r="P110" s="3180">
        <v>247.1687465167025</v>
      </c>
      <c r="Q110" s="858">
        <v>129.97973394326601</v>
      </c>
      <c r="R110" s="3180">
        <v>80.5576554140805</v>
      </c>
      <c r="S110" s="480">
        <v>154.78046830811562</v>
      </c>
    </row>
    <row r="111" spans="1:19" ht="13.15" customHeight="1">
      <c r="A111" s="476">
        <f t="shared" si="1"/>
        <v>2012.06</v>
      </c>
      <c r="B111" s="478">
        <v>146.56063035233777</v>
      </c>
      <c r="C111" s="852">
        <v>66.924590392960837</v>
      </c>
      <c r="D111" s="3180">
        <v>162.22858722672112</v>
      </c>
      <c r="E111" s="858">
        <v>83.545358709824569</v>
      </c>
      <c r="F111" s="3180">
        <v>172.60570813720727</v>
      </c>
      <c r="G111" s="858">
        <v>78.196993518535763</v>
      </c>
      <c r="H111" s="3180">
        <v>112.85546874656696</v>
      </c>
      <c r="I111" s="858">
        <v>108.03852878055662</v>
      </c>
      <c r="J111" s="3180">
        <v>178.1980219556782</v>
      </c>
      <c r="K111" s="858">
        <v>124.81695196933239</v>
      </c>
      <c r="L111" s="3180">
        <v>147.62544016586119</v>
      </c>
      <c r="M111" s="858">
        <v>168.40550609312305</v>
      </c>
      <c r="N111" s="3180">
        <v>113.34365644138101</v>
      </c>
      <c r="O111" s="858">
        <v>231.50149259345991</v>
      </c>
      <c r="P111" s="3180">
        <v>238.43192996658695</v>
      </c>
      <c r="Q111" s="858">
        <v>131.91815889449964</v>
      </c>
      <c r="R111" s="3180">
        <v>70.8622445054948</v>
      </c>
      <c r="S111" s="480">
        <v>150.41026525065041</v>
      </c>
    </row>
    <row r="112" spans="1:19" ht="13.15" customHeight="1">
      <c r="A112" s="476">
        <f t="shared" si="1"/>
        <v>2012.07</v>
      </c>
      <c r="B112" s="478">
        <v>140.60412143587473</v>
      </c>
      <c r="C112" s="852">
        <v>84.56938529716281</v>
      </c>
      <c r="D112" s="3180">
        <v>146.50189809934818</v>
      </c>
      <c r="E112" s="858">
        <v>91.479064394376991</v>
      </c>
      <c r="F112" s="3180">
        <v>192.5785351845671</v>
      </c>
      <c r="G112" s="858">
        <v>79.319353774610576</v>
      </c>
      <c r="H112" s="3180">
        <v>104.14809061055348</v>
      </c>
      <c r="I112" s="858">
        <v>193.55762008761153</v>
      </c>
      <c r="J112" s="3180">
        <v>194.93860573905525</v>
      </c>
      <c r="K112" s="858">
        <v>116.4262179302097</v>
      </c>
      <c r="L112" s="3180">
        <v>129.69230872069014</v>
      </c>
      <c r="M112" s="858">
        <v>125.63850470293086</v>
      </c>
      <c r="N112" s="3180">
        <v>116.04440063659814</v>
      </c>
      <c r="O112" s="858">
        <v>177.45600927921714</v>
      </c>
      <c r="P112" s="3180">
        <v>252.90401693026701</v>
      </c>
      <c r="Q112" s="858">
        <v>126.79802951658223</v>
      </c>
      <c r="R112" s="3180">
        <v>85.925678953336202</v>
      </c>
      <c r="S112" s="480">
        <v>155.06166951169374</v>
      </c>
    </row>
    <row r="113" spans="1:19" ht="13.15" customHeight="1">
      <c r="A113" s="476">
        <f t="shared" si="1"/>
        <v>2012.08</v>
      </c>
      <c r="B113" s="478">
        <v>158.14137386929278</v>
      </c>
      <c r="C113" s="852">
        <v>84.937439709723634</v>
      </c>
      <c r="D113" s="3180">
        <v>137.10152416316606</v>
      </c>
      <c r="E113" s="858">
        <v>98.49455954831059</v>
      </c>
      <c r="F113" s="3180">
        <v>206.53432021453719</v>
      </c>
      <c r="G113" s="858">
        <v>57.336170392972747</v>
      </c>
      <c r="H113" s="3180">
        <v>139.23273232373361</v>
      </c>
      <c r="I113" s="858">
        <v>203.73930476641252</v>
      </c>
      <c r="J113" s="3180">
        <v>206.95854741670016</v>
      </c>
      <c r="K113" s="858">
        <v>124.48020468023769</v>
      </c>
      <c r="L113" s="3180">
        <v>222.0253344021524</v>
      </c>
      <c r="M113" s="858">
        <v>179.90115826476421</v>
      </c>
      <c r="N113" s="3180">
        <v>115.28377375071905</v>
      </c>
      <c r="O113" s="858">
        <v>221.91693817436743</v>
      </c>
      <c r="P113" s="3180">
        <v>263.71920931040813</v>
      </c>
      <c r="Q113" s="858">
        <v>145.45799663169132</v>
      </c>
      <c r="R113" s="3180">
        <v>79.729480147950994</v>
      </c>
      <c r="S113" s="480">
        <v>157.49076846630649</v>
      </c>
    </row>
    <row r="114" spans="1:19" ht="13.15" customHeight="1">
      <c r="A114" s="476">
        <f t="shared" si="1"/>
        <v>2012.09</v>
      </c>
      <c r="B114" s="478">
        <v>140.09152263576769</v>
      </c>
      <c r="C114" s="852">
        <v>76.505536254722927</v>
      </c>
      <c r="D114" s="3180">
        <v>151.68001937499324</v>
      </c>
      <c r="E114" s="858">
        <v>105.00580414781533</v>
      </c>
      <c r="F114" s="3180">
        <v>192.43126048890909</v>
      </c>
      <c r="G114" s="858">
        <v>65.939431333080833</v>
      </c>
      <c r="H114" s="3180">
        <v>109.11819670540008</v>
      </c>
      <c r="I114" s="858">
        <v>256.59063190070339</v>
      </c>
      <c r="J114" s="3180">
        <v>217.19090120183901</v>
      </c>
      <c r="K114" s="858">
        <v>116.54036889149071</v>
      </c>
      <c r="L114" s="3180">
        <v>82.929815051532856</v>
      </c>
      <c r="M114" s="858">
        <v>138.3377945539066</v>
      </c>
      <c r="N114" s="3180">
        <v>130.16243936866977</v>
      </c>
      <c r="O114" s="858">
        <v>198.87496089003366</v>
      </c>
      <c r="P114" s="3180">
        <v>198.12107737086757</v>
      </c>
      <c r="Q114" s="858">
        <v>122.83009721596066</v>
      </c>
      <c r="R114" s="3180">
        <v>75.163929528093803</v>
      </c>
      <c r="S114" s="480">
        <v>150.88639867291187</v>
      </c>
    </row>
    <row r="115" spans="1:19" ht="13.15" customHeight="1">
      <c r="A115" s="476">
        <f t="shared" si="1"/>
        <v>2012.1</v>
      </c>
      <c r="B115" s="478">
        <v>142.03888147330966</v>
      </c>
      <c r="C115" s="852">
        <v>89.485967085917508</v>
      </c>
      <c r="D115" s="3180">
        <v>116.03650203611056</v>
      </c>
      <c r="E115" s="858">
        <v>107.8137040727474</v>
      </c>
      <c r="F115" s="3180">
        <v>214.130273329842</v>
      </c>
      <c r="G115" s="858">
        <v>51.527683255647318</v>
      </c>
      <c r="H115" s="3180">
        <v>113.44331001797184</v>
      </c>
      <c r="I115" s="858">
        <v>125.14258924571706</v>
      </c>
      <c r="J115" s="3180">
        <v>198.82115464257598</v>
      </c>
      <c r="K115" s="858">
        <v>131.77921651596645</v>
      </c>
      <c r="L115" s="3180">
        <v>108.23556441454468</v>
      </c>
      <c r="M115" s="858">
        <v>180.59858084056074</v>
      </c>
      <c r="N115" s="3180">
        <v>135.86320597673952</v>
      </c>
      <c r="O115" s="858">
        <v>205.61299080040598</v>
      </c>
      <c r="P115" s="3180">
        <v>222.23928749217907</v>
      </c>
      <c r="Q115" s="858">
        <v>128.73072847350423</v>
      </c>
      <c r="R115" s="3180">
        <v>68.745713709087198</v>
      </c>
      <c r="S115" s="480">
        <v>162.85070510949393</v>
      </c>
    </row>
    <row r="116" spans="1:19" ht="13.15" customHeight="1">
      <c r="A116" s="476">
        <f t="shared" si="1"/>
        <v>2012.11</v>
      </c>
      <c r="B116" s="478">
        <v>139.32828364005877</v>
      </c>
      <c r="C116" s="852">
        <v>92.14603172795141</v>
      </c>
      <c r="D116" s="3180">
        <v>109.04268746114725</v>
      </c>
      <c r="E116" s="858">
        <v>98.615848756337002</v>
      </c>
      <c r="F116" s="3180">
        <v>237.95461533512267</v>
      </c>
      <c r="G116" s="858">
        <v>55.872121973899432</v>
      </c>
      <c r="H116" s="3180">
        <v>105.8604783830954</v>
      </c>
      <c r="I116" s="858">
        <v>133.04223410131087</v>
      </c>
      <c r="J116" s="3180">
        <v>235.09355485986262</v>
      </c>
      <c r="K116" s="858">
        <v>135.63754418728078</v>
      </c>
      <c r="L116" s="3180">
        <v>113.50495970481911</v>
      </c>
      <c r="M116" s="858">
        <v>138.17040316130993</v>
      </c>
      <c r="N116" s="3180">
        <v>136.24951690503659</v>
      </c>
      <c r="O116" s="858">
        <v>235.28397330201</v>
      </c>
      <c r="P116" s="3180">
        <v>159.39729650916391</v>
      </c>
      <c r="Q116" s="858">
        <v>129.59546186851037</v>
      </c>
      <c r="R116" s="3180">
        <v>77.203736685794794</v>
      </c>
      <c r="S116" s="480">
        <v>141.27915282131394</v>
      </c>
    </row>
    <row r="117" spans="1:19" ht="13.15" customHeight="1">
      <c r="A117" s="476">
        <f t="shared" si="1"/>
        <v>2012.12</v>
      </c>
      <c r="B117" s="478">
        <v>146.45854440619036</v>
      </c>
      <c r="C117" s="852">
        <v>83.949476149173591</v>
      </c>
      <c r="D117" s="3180">
        <v>91.299550662208944</v>
      </c>
      <c r="E117" s="858">
        <v>86.396745437824023</v>
      </c>
      <c r="F117" s="3180">
        <v>221.02671534465583</v>
      </c>
      <c r="G117" s="858">
        <v>69.524727517965331</v>
      </c>
      <c r="H117" s="3180">
        <v>93.148207390902172</v>
      </c>
      <c r="I117" s="858">
        <v>129.86453765514818</v>
      </c>
      <c r="J117" s="3180">
        <v>199.92658654782312</v>
      </c>
      <c r="K117" s="858">
        <v>105.27415617636186</v>
      </c>
      <c r="L117" s="3180">
        <v>206.3263594007658</v>
      </c>
      <c r="M117" s="858">
        <v>203.85215682208306</v>
      </c>
      <c r="N117" s="3180">
        <v>165.44161733984336</v>
      </c>
      <c r="O117" s="858">
        <v>252.42984618624627</v>
      </c>
      <c r="P117" s="3180">
        <v>183.99418159581006</v>
      </c>
      <c r="Q117" s="858">
        <v>134.30543489656893</v>
      </c>
      <c r="R117" s="3180">
        <v>81.363683177810003</v>
      </c>
      <c r="S117" s="480">
        <v>134.00531240214724</v>
      </c>
    </row>
    <row r="118" spans="1:19" ht="13.15" customHeight="1">
      <c r="A118" s="476">
        <f t="shared" si="1"/>
        <v>2013.01</v>
      </c>
      <c r="B118" s="478">
        <v>110.62194718075331</v>
      </c>
      <c r="C118" s="852">
        <v>85.432859853384045</v>
      </c>
      <c r="D118" s="3180">
        <v>86.171528940134749</v>
      </c>
      <c r="E118" s="858">
        <v>90.683394388538147</v>
      </c>
      <c r="F118" s="3180">
        <v>185.82623252033483</v>
      </c>
      <c r="G118" s="858">
        <v>48.05821513197116</v>
      </c>
      <c r="H118" s="3180">
        <v>89.263002827625101</v>
      </c>
      <c r="I118" s="858">
        <v>92.531363338093101</v>
      </c>
      <c r="J118" s="3180">
        <v>163.17820275521152</v>
      </c>
      <c r="K118" s="858">
        <v>112.85232899623649</v>
      </c>
      <c r="L118" s="3180">
        <v>113.66960945425001</v>
      </c>
      <c r="M118" s="858">
        <v>80.700454925342186</v>
      </c>
      <c r="N118" s="3180">
        <v>122.87699873407291</v>
      </c>
      <c r="O118" s="858">
        <v>180.80249304387823</v>
      </c>
      <c r="P118" s="3180">
        <v>177.54908201880599</v>
      </c>
      <c r="Q118" s="858">
        <v>99.75643910718577</v>
      </c>
      <c r="R118" s="3180">
        <v>86.217678655269495</v>
      </c>
      <c r="S118" s="480">
        <v>102.32302685575705</v>
      </c>
    </row>
    <row r="119" spans="1:19" ht="13.15" customHeight="1">
      <c r="A119" s="476">
        <f t="shared" si="1"/>
        <v>2013.02</v>
      </c>
      <c r="B119" s="478">
        <v>111.94537087017669</v>
      </c>
      <c r="C119" s="852">
        <v>74.783609167947816</v>
      </c>
      <c r="D119" s="3180">
        <v>57.801113379474586</v>
      </c>
      <c r="E119" s="858">
        <v>76.346126200494055</v>
      </c>
      <c r="F119" s="3180">
        <v>184.15389594582066</v>
      </c>
      <c r="G119" s="858">
        <v>61.003220798944255</v>
      </c>
      <c r="H119" s="3180">
        <v>88.238048987428868</v>
      </c>
      <c r="I119" s="858">
        <v>99.686993557860802</v>
      </c>
      <c r="J119" s="3180">
        <v>164.57233299490943</v>
      </c>
      <c r="K119" s="858">
        <v>92.463528895812189</v>
      </c>
      <c r="L119" s="3180">
        <v>201.70075366975669</v>
      </c>
      <c r="M119" s="858">
        <v>101.81243717990792</v>
      </c>
      <c r="N119" s="3180">
        <v>99.352378296565149</v>
      </c>
      <c r="O119" s="858">
        <v>135.66362737881971</v>
      </c>
      <c r="P119" s="3180">
        <v>178.68060319672082</v>
      </c>
      <c r="Q119" s="858">
        <v>105.60807102481199</v>
      </c>
      <c r="R119" s="3180">
        <v>65.280829819967494</v>
      </c>
      <c r="S119" s="480">
        <v>116.83974359776101</v>
      </c>
    </row>
    <row r="120" spans="1:19" ht="13.15" customHeight="1">
      <c r="A120" s="476">
        <f t="shared" si="1"/>
        <v>2013.03</v>
      </c>
      <c r="B120" s="478">
        <v>133.92792537333767</v>
      </c>
      <c r="C120" s="852">
        <v>85.0730687078335</v>
      </c>
      <c r="D120" s="3180">
        <v>87.786408507545275</v>
      </c>
      <c r="E120" s="858">
        <v>81.449378295341887</v>
      </c>
      <c r="F120" s="3180">
        <v>210.49999662118233</v>
      </c>
      <c r="G120" s="858">
        <v>69.806931676861439</v>
      </c>
      <c r="H120" s="3180">
        <v>98.473877822223074</v>
      </c>
      <c r="I120" s="858">
        <v>95.76253905447993</v>
      </c>
      <c r="J120" s="3180">
        <v>213.3583869542959</v>
      </c>
      <c r="K120" s="858">
        <v>109.55015008318726</v>
      </c>
      <c r="L120" s="3180">
        <v>151.12274967169014</v>
      </c>
      <c r="M120" s="858">
        <v>182.8163367139735</v>
      </c>
      <c r="N120" s="3180">
        <v>107.43294268542348</v>
      </c>
      <c r="O120" s="858">
        <v>168.15811789267153</v>
      </c>
      <c r="P120" s="3180">
        <v>221.3426938937734</v>
      </c>
      <c r="Q120" s="858">
        <v>117.4397470455304</v>
      </c>
      <c r="R120" s="3180">
        <v>73.305356360603895</v>
      </c>
      <c r="S120" s="480">
        <v>144.29164478369344</v>
      </c>
    </row>
    <row r="121" spans="1:19" ht="13.15" customHeight="1">
      <c r="A121" s="476">
        <f t="shared" si="1"/>
        <v>2013.04</v>
      </c>
      <c r="B121" s="478">
        <v>138.81753682260899</v>
      </c>
      <c r="C121" s="852">
        <v>86.456399932603901</v>
      </c>
      <c r="D121" s="3180">
        <v>180.74417128942392</v>
      </c>
      <c r="E121" s="858">
        <v>76.576802514271009</v>
      </c>
      <c r="F121" s="3180">
        <v>191.07910001556724</v>
      </c>
      <c r="G121" s="858">
        <v>68.524605423575466</v>
      </c>
      <c r="H121" s="3180">
        <v>100.46590520244422</v>
      </c>
      <c r="I121" s="858">
        <v>144.02925605006064</v>
      </c>
      <c r="J121" s="3180">
        <v>190.11354361306746</v>
      </c>
      <c r="K121" s="858">
        <v>115.98609124576635</v>
      </c>
      <c r="L121" s="3180">
        <v>89.535826590193921</v>
      </c>
      <c r="M121" s="858">
        <v>115.61306351479324</v>
      </c>
      <c r="N121" s="3180">
        <v>126.46277194912962</v>
      </c>
      <c r="O121" s="858">
        <v>210.27969484758043</v>
      </c>
      <c r="P121" s="3180">
        <v>237.7240583592677</v>
      </c>
      <c r="Q121" s="858">
        <v>120.57342973218468</v>
      </c>
      <c r="R121" s="3180">
        <v>84.250699966363598</v>
      </c>
      <c r="S121" s="480">
        <v>135.5393335162839</v>
      </c>
    </row>
    <row r="122" spans="1:19" ht="13.15" customHeight="1">
      <c r="A122" s="476">
        <f t="shared" si="1"/>
        <v>2013.05</v>
      </c>
      <c r="B122" s="478">
        <v>155.05512957052352</v>
      </c>
      <c r="C122" s="852">
        <v>95.28745277335986</v>
      </c>
      <c r="D122" s="3180">
        <v>197.3689720821128</v>
      </c>
      <c r="E122" s="858">
        <v>87.47312542957286</v>
      </c>
      <c r="F122" s="3180">
        <v>196.38899300734997</v>
      </c>
      <c r="G122" s="858">
        <v>75.756436024081324</v>
      </c>
      <c r="H122" s="3180">
        <v>115.58921988876168</v>
      </c>
      <c r="I122" s="858">
        <v>148.58856649119025</v>
      </c>
      <c r="J122" s="3180">
        <v>199.29775177873245</v>
      </c>
      <c r="K122" s="858">
        <v>112.71003148488623</v>
      </c>
      <c r="L122" s="3180">
        <v>155.54279413061798</v>
      </c>
      <c r="M122" s="858">
        <v>161.5058699627622</v>
      </c>
      <c r="N122" s="3180">
        <v>137.90244198939209</v>
      </c>
      <c r="O122" s="858">
        <v>207.11893069379195</v>
      </c>
      <c r="P122" s="3180">
        <v>252.54795038240812</v>
      </c>
      <c r="Q122" s="858">
        <v>132.5167274550808</v>
      </c>
      <c r="R122" s="3180">
        <v>81.9509622866683</v>
      </c>
      <c r="S122" s="480">
        <v>137.61588789308303</v>
      </c>
    </row>
    <row r="123" spans="1:19" ht="13.15" customHeight="1">
      <c r="A123" s="476">
        <f t="shared" si="1"/>
        <v>2013.06</v>
      </c>
      <c r="B123" s="478">
        <v>170.53587206730421</v>
      </c>
      <c r="C123" s="852">
        <v>76.37243601064354</v>
      </c>
      <c r="D123" s="3180">
        <v>201.51263255197716</v>
      </c>
      <c r="E123" s="858">
        <v>78.540853159229698</v>
      </c>
      <c r="F123" s="3180">
        <v>179.48909316450872</v>
      </c>
      <c r="G123" s="858">
        <v>64.52372231780484</v>
      </c>
      <c r="H123" s="3180">
        <v>86.869161536080654</v>
      </c>
      <c r="I123" s="858">
        <v>121.98288908478609</v>
      </c>
      <c r="J123" s="3180">
        <v>206.42443795191153</v>
      </c>
      <c r="K123" s="858">
        <v>101.23614957630311</v>
      </c>
      <c r="L123" s="3180">
        <v>293.47334514378286</v>
      </c>
      <c r="M123" s="858">
        <v>257.42134961186446</v>
      </c>
      <c r="N123" s="3180">
        <v>134.81190904279688</v>
      </c>
      <c r="O123" s="858">
        <v>203.24239850203745</v>
      </c>
      <c r="P123" s="3180">
        <v>215.31575471502219</v>
      </c>
      <c r="Q123" s="858">
        <v>147.38572269275289</v>
      </c>
      <c r="R123" s="3180">
        <v>84.920036185479304</v>
      </c>
      <c r="S123" s="480">
        <v>138.26670322823304</v>
      </c>
    </row>
    <row r="124" spans="1:19" ht="13.15" customHeight="1">
      <c r="A124" s="476">
        <f t="shared" si="1"/>
        <v>2013.07</v>
      </c>
      <c r="B124" s="478">
        <v>157.19380675833031</v>
      </c>
      <c r="C124" s="852">
        <v>93.080340826069474</v>
      </c>
      <c r="D124" s="3180">
        <v>186.01424067938319</v>
      </c>
      <c r="E124" s="858">
        <v>97.294823978717105</v>
      </c>
      <c r="F124" s="3180">
        <v>198.33719590355227</v>
      </c>
      <c r="G124" s="858">
        <v>77.07772106965885</v>
      </c>
      <c r="H124" s="3180">
        <v>116.36915703506264</v>
      </c>
      <c r="I124" s="858">
        <v>132.68808265471364</v>
      </c>
      <c r="J124" s="3180">
        <v>179.06477622932493</v>
      </c>
      <c r="K124" s="858">
        <v>103.57320263855451</v>
      </c>
      <c r="L124" s="3180">
        <v>188.05846763259461</v>
      </c>
      <c r="M124" s="858">
        <v>197.95464848503087</v>
      </c>
      <c r="N124" s="3180">
        <v>132.01634431630561</v>
      </c>
      <c r="O124" s="858">
        <v>159.38166798026273</v>
      </c>
      <c r="P124" s="3180">
        <v>285.7769554314097</v>
      </c>
      <c r="Q124" s="858">
        <v>135.77676524288219</v>
      </c>
      <c r="R124" s="3180">
        <v>83.035078394905895</v>
      </c>
      <c r="S124" s="480">
        <v>150.60402152200425</v>
      </c>
    </row>
    <row r="125" spans="1:19" ht="13.15" customHeight="1">
      <c r="A125" s="476">
        <f t="shared" si="1"/>
        <v>2013.08</v>
      </c>
      <c r="B125" s="478">
        <v>148.90286581753733</v>
      </c>
      <c r="C125" s="852">
        <v>96.545516284778401</v>
      </c>
      <c r="D125" s="3180">
        <v>183.7010540643337</v>
      </c>
      <c r="E125" s="858">
        <v>97.877163012709829</v>
      </c>
      <c r="F125" s="3180">
        <v>186.95280528146736</v>
      </c>
      <c r="G125" s="858">
        <v>85.472979661382368</v>
      </c>
      <c r="H125" s="3180">
        <v>115.57524593432932</v>
      </c>
      <c r="I125" s="858">
        <v>234.77734452950648</v>
      </c>
      <c r="J125" s="3180">
        <v>191.00030914951375</v>
      </c>
      <c r="K125" s="858">
        <v>109.03663424501421</v>
      </c>
      <c r="L125" s="3180">
        <v>99.053111466121621</v>
      </c>
      <c r="M125" s="858">
        <v>146.06217249773022</v>
      </c>
      <c r="N125" s="3180">
        <v>125.34700271315242</v>
      </c>
      <c r="O125" s="858">
        <v>186.09635675496941</v>
      </c>
      <c r="P125" s="3180">
        <v>272.87337294690582</v>
      </c>
      <c r="Q125" s="858">
        <v>132.97733155860391</v>
      </c>
      <c r="R125" s="3180">
        <v>77.216809307209203</v>
      </c>
      <c r="S125" s="480">
        <v>158.5505284381249</v>
      </c>
    </row>
    <row r="126" spans="1:19" ht="13.15" customHeight="1">
      <c r="A126" s="476">
        <f t="shared" si="1"/>
        <v>2013.09</v>
      </c>
      <c r="B126" s="478">
        <v>151.95648895403713</v>
      </c>
      <c r="C126" s="852">
        <v>94.879368387762796</v>
      </c>
      <c r="D126" s="3180">
        <v>185.04893387823523</v>
      </c>
      <c r="E126" s="858">
        <v>96.954141562910351</v>
      </c>
      <c r="F126" s="3180">
        <v>165.31726022746491</v>
      </c>
      <c r="G126" s="858">
        <v>62.325126279904936</v>
      </c>
      <c r="H126" s="3180">
        <v>121.52578396780714</v>
      </c>
      <c r="I126" s="858">
        <v>267.63306522185559</v>
      </c>
      <c r="J126" s="3180">
        <v>206.91089839149819</v>
      </c>
      <c r="K126" s="858">
        <v>132.33168474587782</v>
      </c>
      <c r="L126" s="3180">
        <v>94.515696771537279</v>
      </c>
      <c r="M126" s="858">
        <v>182.28319431596563</v>
      </c>
      <c r="N126" s="3180">
        <v>140.13410655652478</v>
      </c>
      <c r="O126" s="858">
        <v>221.40697611077991</v>
      </c>
      <c r="P126" s="3180">
        <v>210.93889182065004</v>
      </c>
      <c r="Q126" s="858">
        <v>128.97768544740595</v>
      </c>
      <c r="R126" s="3180">
        <v>71.221730529102103</v>
      </c>
      <c r="S126" s="480">
        <v>153.76551867438224</v>
      </c>
    </row>
    <row r="127" spans="1:19" ht="13.15" customHeight="1">
      <c r="A127" s="476">
        <f t="shared" si="1"/>
        <v>2013.1</v>
      </c>
      <c r="B127" s="478">
        <v>155.52448024477729</v>
      </c>
      <c r="C127" s="852">
        <v>103.97734983941039</v>
      </c>
      <c r="D127" s="3180">
        <v>148.07421679008777</v>
      </c>
      <c r="E127" s="858">
        <v>102.22040723748668</v>
      </c>
      <c r="F127" s="3180">
        <v>232.48677193372401</v>
      </c>
      <c r="G127" s="858">
        <v>80.907099003308375</v>
      </c>
      <c r="H127" s="3180">
        <v>121.61498638380642</v>
      </c>
      <c r="I127" s="858">
        <v>155.31110009550605</v>
      </c>
      <c r="J127" s="3180">
        <v>224.20303926468236</v>
      </c>
      <c r="K127" s="858">
        <v>144.96103351323723</v>
      </c>
      <c r="L127" s="3180">
        <v>165.67884989659638</v>
      </c>
      <c r="M127" s="858">
        <v>160.71779523073079</v>
      </c>
      <c r="N127" s="3180">
        <v>135.60579183053378</v>
      </c>
      <c r="O127" s="858">
        <v>201.41930361559858</v>
      </c>
      <c r="P127" s="3180">
        <v>204.92225994958025</v>
      </c>
      <c r="Q127" s="858">
        <v>138.65180135344829</v>
      </c>
      <c r="R127" s="3180">
        <v>82.948850501320194</v>
      </c>
      <c r="S127" s="480">
        <v>154.47401655863791</v>
      </c>
    </row>
    <row r="128" spans="1:19" ht="13.15" customHeight="1">
      <c r="A128" s="476">
        <f t="shared" si="1"/>
        <v>2013.11</v>
      </c>
      <c r="B128" s="478">
        <v>145.44442973092745</v>
      </c>
      <c r="C128" s="852">
        <v>86.797283746799692</v>
      </c>
      <c r="D128" s="3180">
        <v>121.01107903545893</v>
      </c>
      <c r="E128" s="858">
        <v>93.785611196640517</v>
      </c>
      <c r="F128" s="3180">
        <v>209.40667808620893</v>
      </c>
      <c r="G128" s="858">
        <v>70.794736637396525</v>
      </c>
      <c r="H128" s="3180">
        <v>107.66090763634838</v>
      </c>
      <c r="I128" s="858">
        <v>168.33455575068007</v>
      </c>
      <c r="J128" s="3180">
        <v>216.49890416622912</v>
      </c>
      <c r="K128" s="858">
        <v>135.23770516709092</v>
      </c>
      <c r="L128" s="3180">
        <v>142.05324734623142</v>
      </c>
      <c r="M128" s="858">
        <v>205.98855152976114</v>
      </c>
      <c r="N128" s="3180">
        <v>166.86762699229322</v>
      </c>
      <c r="O128" s="858">
        <v>146.73805640078535</v>
      </c>
      <c r="P128" s="3180">
        <v>222.93201672159395</v>
      </c>
      <c r="Q128" s="858">
        <v>129.36710179806497</v>
      </c>
      <c r="R128" s="3180">
        <v>81.523078918150304</v>
      </c>
      <c r="S128" s="480">
        <v>155.04578031436003</v>
      </c>
    </row>
    <row r="129" spans="1:19" ht="13.15" customHeight="1">
      <c r="A129" s="476">
        <f t="shared" si="1"/>
        <v>2013.12</v>
      </c>
      <c r="B129" s="478">
        <v>172.82066635446895</v>
      </c>
      <c r="C129" s="852">
        <v>88.275815901631844</v>
      </c>
      <c r="D129" s="3180">
        <v>84.131278044657165</v>
      </c>
      <c r="E129" s="858">
        <v>96.684874893852992</v>
      </c>
      <c r="F129" s="3180">
        <v>229.94009993483564</v>
      </c>
      <c r="G129" s="858">
        <v>72.593153101243203</v>
      </c>
      <c r="H129" s="3180">
        <v>111.6411470623294</v>
      </c>
      <c r="I129" s="858">
        <v>170.17754210504677</v>
      </c>
      <c r="J129" s="3180">
        <v>272.40094278990335</v>
      </c>
      <c r="K129" s="858">
        <v>121.52559127817749</v>
      </c>
      <c r="L129" s="3180">
        <v>312.73262608159143</v>
      </c>
      <c r="M129" s="858">
        <v>345.23609633393608</v>
      </c>
      <c r="N129" s="3180">
        <v>142.32536277854734</v>
      </c>
      <c r="O129" s="858">
        <v>191.78099393883019</v>
      </c>
      <c r="P129" s="3180">
        <v>186.29471792701807</v>
      </c>
      <c r="Q129" s="858">
        <v>161.54889134557772</v>
      </c>
      <c r="R129" s="3180">
        <v>88.461176033444303</v>
      </c>
      <c r="S129" s="480">
        <v>149.60439084637579</v>
      </c>
    </row>
    <row r="130" spans="1:19" ht="13.15" customHeight="1">
      <c r="A130" s="476">
        <f t="shared" si="1"/>
        <v>2014.01</v>
      </c>
      <c r="B130" s="478">
        <v>120.8439266857701</v>
      </c>
      <c r="C130" s="852">
        <v>85.424378812880818</v>
      </c>
      <c r="D130" s="3180">
        <v>94.8085376406286</v>
      </c>
      <c r="E130" s="858">
        <v>100.14177944529698</v>
      </c>
      <c r="F130" s="3180">
        <v>265.63342446864982</v>
      </c>
      <c r="G130" s="858">
        <v>66.331236496031124</v>
      </c>
      <c r="H130" s="3180">
        <v>99.201767711750989</v>
      </c>
      <c r="I130" s="858">
        <v>96.162117271922753</v>
      </c>
      <c r="J130" s="3180">
        <v>240.8343118928793</v>
      </c>
      <c r="K130" s="858">
        <v>102.95472116609211</v>
      </c>
      <c r="L130" s="3180">
        <v>82.853123526834224</v>
      </c>
      <c r="M130" s="858">
        <v>92.667862246887722</v>
      </c>
      <c r="N130" s="3180">
        <v>210.54354351473785</v>
      </c>
      <c r="O130" s="858">
        <v>107.92490467668483</v>
      </c>
      <c r="P130" s="3180">
        <v>141.87120711590146</v>
      </c>
      <c r="Q130" s="858">
        <v>108.55868838244015</v>
      </c>
      <c r="R130" s="3180">
        <v>81.722734219177397</v>
      </c>
      <c r="S130" s="480">
        <v>123.32616480565216</v>
      </c>
    </row>
    <row r="131" spans="1:19" ht="13.15" customHeight="1">
      <c r="A131" s="476">
        <f t="shared" si="1"/>
        <v>2014.02</v>
      </c>
      <c r="B131" s="478">
        <v>118.10016537149856</v>
      </c>
      <c r="C131" s="852">
        <v>71.169822322428757</v>
      </c>
      <c r="D131" s="3180">
        <v>76.206525912050054</v>
      </c>
      <c r="E131" s="858">
        <v>88.036988286937984</v>
      </c>
      <c r="F131" s="3180">
        <v>233.69079608707588</v>
      </c>
      <c r="G131" s="858">
        <v>63.042684945841948</v>
      </c>
      <c r="H131" s="3180">
        <v>86.727212899121469</v>
      </c>
      <c r="I131" s="858">
        <v>104.5553741487319</v>
      </c>
      <c r="J131" s="3180">
        <v>228.05081462083706</v>
      </c>
      <c r="K131" s="858">
        <v>109.23299075873753</v>
      </c>
      <c r="L131" s="3180">
        <v>108.88233416388896</v>
      </c>
      <c r="M131" s="858">
        <v>118.93518304468193</v>
      </c>
      <c r="N131" s="3180">
        <v>193.28483853765147</v>
      </c>
      <c r="O131" s="858">
        <v>112.45887979792964</v>
      </c>
      <c r="P131" s="3180">
        <v>185.66381449664314</v>
      </c>
      <c r="Q131" s="858">
        <v>110.69615382510804</v>
      </c>
      <c r="R131" s="3180">
        <v>68.616464809771401</v>
      </c>
      <c r="S131" s="480">
        <v>120.89249129105778</v>
      </c>
    </row>
    <row r="132" spans="1:19" ht="13.15" customHeight="1">
      <c r="A132" s="476">
        <f t="shared" si="1"/>
        <v>2014.03</v>
      </c>
      <c r="B132" s="478">
        <v>131.58738278196262</v>
      </c>
      <c r="C132" s="852">
        <v>74.831780636592129</v>
      </c>
      <c r="D132" s="3180">
        <v>107.56344471827386</v>
      </c>
      <c r="E132" s="858">
        <v>86.150840886260283</v>
      </c>
      <c r="F132" s="3180">
        <v>243.95282685951486</v>
      </c>
      <c r="G132" s="858">
        <v>69.105772038051668</v>
      </c>
      <c r="H132" s="3180">
        <v>94.145160303686268</v>
      </c>
      <c r="I132" s="858">
        <v>94.883839357857752</v>
      </c>
      <c r="J132" s="3180">
        <v>261.34029648305022</v>
      </c>
      <c r="K132" s="858">
        <v>106.27970786060573</v>
      </c>
      <c r="L132" s="3180">
        <v>120.86238920393484</v>
      </c>
      <c r="M132" s="858">
        <v>122.77720912710525</v>
      </c>
      <c r="N132" s="3180">
        <v>192.93682514520947</v>
      </c>
      <c r="O132" s="858">
        <v>122.60028481447988</v>
      </c>
      <c r="P132" s="3180">
        <v>181.16408989861401</v>
      </c>
      <c r="Q132" s="858">
        <v>121.06760096917502</v>
      </c>
      <c r="R132" s="3180">
        <v>74.688964658359794</v>
      </c>
      <c r="S132" s="480">
        <v>144.1108965302993</v>
      </c>
    </row>
    <row r="133" spans="1:19" ht="13.15" customHeight="1">
      <c r="A133" s="476">
        <f t="shared" si="1"/>
        <v>2014.04</v>
      </c>
      <c r="B133" s="478">
        <v>146.79330752582555</v>
      </c>
      <c r="C133" s="852">
        <v>82.874017938933221</v>
      </c>
      <c r="D133" s="3180">
        <v>203.73096242934162</v>
      </c>
      <c r="E133" s="858">
        <v>85.832537660282853</v>
      </c>
      <c r="F133" s="3180">
        <v>240.89219019642226</v>
      </c>
      <c r="G133" s="858">
        <v>75.696019725802927</v>
      </c>
      <c r="H133" s="3180">
        <v>88.85260176917896</v>
      </c>
      <c r="I133" s="858">
        <v>104.80531618536317</v>
      </c>
      <c r="J133" s="3180">
        <v>220.48724846847816</v>
      </c>
      <c r="K133" s="858">
        <v>124.94431293020472</v>
      </c>
      <c r="L133" s="3180">
        <v>103.17077439671026</v>
      </c>
      <c r="M133" s="858">
        <v>151.52123745107568</v>
      </c>
      <c r="N133" s="3180">
        <v>181.28997447571322</v>
      </c>
      <c r="O133" s="858">
        <v>125.01548618014488</v>
      </c>
      <c r="P133" s="3180">
        <v>196.0792835330856</v>
      </c>
      <c r="Q133" s="858">
        <v>113.35730865167713</v>
      </c>
      <c r="R133" s="3180">
        <v>83.253284233259905</v>
      </c>
      <c r="S133" s="480">
        <v>136.59537925755626</v>
      </c>
    </row>
    <row r="134" spans="1:19" ht="13.15" customHeight="1">
      <c r="A134" s="476">
        <f t="shared" si="1"/>
        <v>2014.05</v>
      </c>
      <c r="B134" s="478">
        <v>155.40797865374003</v>
      </c>
      <c r="C134" s="852">
        <v>79.284323607319195</v>
      </c>
      <c r="D134" s="3180">
        <v>239.84543931565435</v>
      </c>
      <c r="E134" s="858">
        <v>84.343438160525679</v>
      </c>
      <c r="F134" s="3180">
        <v>257.12276596122814</v>
      </c>
      <c r="G134" s="858">
        <v>75.529705498962954</v>
      </c>
      <c r="H134" s="3180">
        <v>109.34048075214469</v>
      </c>
      <c r="I134" s="858">
        <v>173.15760173254262</v>
      </c>
      <c r="J134" s="3180">
        <v>247.26254811995412</v>
      </c>
      <c r="K134" s="858">
        <v>120.81248839985972</v>
      </c>
      <c r="L134" s="3180">
        <v>131.69899268368664</v>
      </c>
      <c r="M134" s="858">
        <v>131.90466323650355</v>
      </c>
      <c r="N134" s="3180">
        <v>184.15382915153862</v>
      </c>
      <c r="O134" s="858">
        <v>114.56214057264962</v>
      </c>
      <c r="P134" s="3180">
        <v>191.59144911337987</v>
      </c>
      <c r="Q134" s="858">
        <v>106.21594053829114</v>
      </c>
      <c r="R134" s="3180">
        <v>69.716698967610895</v>
      </c>
      <c r="S134" s="480">
        <v>128.03066630655536</v>
      </c>
    </row>
    <row r="135" spans="1:19" ht="13.15" customHeight="1">
      <c r="A135" s="476">
        <f t="shared" si="1"/>
        <v>2014.06</v>
      </c>
      <c r="B135" s="478">
        <v>150.95108551864246</v>
      </c>
      <c r="C135" s="852">
        <v>76.567451061116316</v>
      </c>
      <c r="D135" s="3180">
        <v>215.64492119485658</v>
      </c>
      <c r="E135" s="858">
        <v>83.266273057756365</v>
      </c>
      <c r="F135" s="3180">
        <v>230.53946160232175</v>
      </c>
      <c r="G135" s="858">
        <v>65.857978004318724</v>
      </c>
      <c r="H135" s="3180">
        <v>93.425376841911444</v>
      </c>
      <c r="I135" s="858">
        <v>82.541407336988925</v>
      </c>
      <c r="J135" s="3180">
        <v>258.98302435845022</v>
      </c>
      <c r="K135" s="858">
        <v>112.71592482852435</v>
      </c>
      <c r="L135" s="3180">
        <v>114.522402500404</v>
      </c>
      <c r="M135" s="858">
        <v>214.01001148576094</v>
      </c>
      <c r="N135" s="3180">
        <v>189.07976359919141</v>
      </c>
      <c r="O135" s="858">
        <v>130.14828878553519</v>
      </c>
      <c r="P135" s="3180">
        <v>185.56749990953338</v>
      </c>
      <c r="Q135" s="858">
        <v>64.696982331831833</v>
      </c>
      <c r="R135" s="3180">
        <v>63.405038369345696</v>
      </c>
      <c r="S135" s="480">
        <v>106.91374563077822</v>
      </c>
    </row>
    <row r="136" spans="1:19" ht="13.15" customHeight="1">
      <c r="A136" s="476">
        <f t="shared" si="1"/>
        <v>2014.07</v>
      </c>
      <c r="B136" s="478">
        <v>147.19114009920594</v>
      </c>
      <c r="C136" s="852">
        <v>87.562104345362272</v>
      </c>
      <c r="D136" s="3180">
        <v>195.50032996551352</v>
      </c>
      <c r="E136" s="858">
        <v>89.849832110490127</v>
      </c>
      <c r="F136" s="3180">
        <v>256.89745554203523</v>
      </c>
      <c r="G136" s="858">
        <v>67.39452489465215</v>
      </c>
      <c r="H136" s="3180">
        <v>108.74408786052577</v>
      </c>
      <c r="I136" s="858">
        <v>142.82002160732975</v>
      </c>
      <c r="J136" s="3180">
        <v>223.31220182374312</v>
      </c>
      <c r="K136" s="858">
        <v>117.02019005593343</v>
      </c>
      <c r="L136" s="3180">
        <v>120.23145975721492</v>
      </c>
      <c r="M136" s="858">
        <v>139.55647545174872</v>
      </c>
      <c r="N136" s="3180">
        <v>229.73653742676132</v>
      </c>
      <c r="O136" s="858">
        <v>102.20656372131801</v>
      </c>
      <c r="P136" s="3180">
        <v>228.51361342709893</v>
      </c>
      <c r="Q136" s="858">
        <v>146.60848283222191</v>
      </c>
      <c r="R136" s="3180">
        <v>84.5254632206764</v>
      </c>
      <c r="S136" s="480">
        <v>125.05119382963889</v>
      </c>
    </row>
    <row r="137" spans="1:19" ht="13.15" customHeight="1">
      <c r="A137" s="476">
        <f t="shared" si="1"/>
        <v>2014.08</v>
      </c>
      <c r="B137" s="478">
        <v>142.39521108767931</v>
      </c>
      <c r="C137" s="852">
        <v>76.516837573844256</v>
      </c>
      <c r="D137" s="3180">
        <v>176.05380834516694</v>
      </c>
      <c r="E137" s="858">
        <v>95.251068536368237</v>
      </c>
      <c r="F137" s="3180">
        <v>242.40750799447611</v>
      </c>
      <c r="G137" s="858">
        <v>72.145438010595441</v>
      </c>
      <c r="H137" s="3180">
        <v>106.91430368270453</v>
      </c>
      <c r="I137" s="858">
        <v>151.41601559680853</v>
      </c>
      <c r="J137" s="3180">
        <v>212.96589992798337</v>
      </c>
      <c r="K137" s="858">
        <v>102.25071194745721</v>
      </c>
      <c r="L137" s="3180">
        <v>156.265260586978</v>
      </c>
      <c r="M137" s="858">
        <v>115.37744823514232</v>
      </c>
      <c r="N137" s="3180">
        <v>185.2571190995485</v>
      </c>
      <c r="O137" s="858">
        <v>110.40142675294125</v>
      </c>
      <c r="P137" s="3180">
        <v>193.94476439777006</v>
      </c>
      <c r="Q137" s="858">
        <v>152.3715122196985</v>
      </c>
      <c r="R137" s="3180">
        <v>61.334974923567103</v>
      </c>
      <c r="S137" s="480">
        <v>134.76108440845218</v>
      </c>
    </row>
    <row r="138" spans="1:19" ht="13.15" customHeight="1">
      <c r="A138" s="476">
        <f t="shared" si="1"/>
        <v>2014.09</v>
      </c>
      <c r="B138" s="478">
        <v>157.06865802226014</v>
      </c>
      <c r="C138" s="852">
        <v>85.142610234861337</v>
      </c>
      <c r="D138" s="3180">
        <v>169.36023493366483</v>
      </c>
      <c r="E138" s="858">
        <v>100.75816967150099</v>
      </c>
      <c r="F138" s="3180">
        <v>252.56101511244981</v>
      </c>
      <c r="G138" s="858">
        <v>76.652038415512195</v>
      </c>
      <c r="H138" s="3180">
        <v>97.481426089544428</v>
      </c>
      <c r="I138" s="858">
        <v>190.57287534270665</v>
      </c>
      <c r="J138" s="3180">
        <v>342.88372381976075</v>
      </c>
      <c r="K138" s="858">
        <v>121.34157597937697</v>
      </c>
      <c r="L138" s="3180">
        <v>130.79312107128001</v>
      </c>
      <c r="M138" s="858">
        <v>156.21009929596963</v>
      </c>
      <c r="N138" s="3180">
        <v>215.71253588479632</v>
      </c>
      <c r="O138" s="858">
        <v>126.0822985374689</v>
      </c>
      <c r="P138" s="3180">
        <v>236.17577767678006</v>
      </c>
      <c r="Q138" s="858">
        <v>115.42321006939633</v>
      </c>
      <c r="R138" s="3180">
        <v>63.270757133759801</v>
      </c>
      <c r="S138" s="480">
        <v>144.84625390488199</v>
      </c>
    </row>
    <row r="139" spans="1:19" ht="13.15" customHeight="1">
      <c r="A139" s="476">
        <f t="shared" si="1"/>
        <v>2014.1</v>
      </c>
      <c r="B139" s="478">
        <v>151.30504809841989</v>
      </c>
      <c r="C139" s="852">
        <v>97.638669362754328</v>
      </c>
      <c r="D139" s="3180">
        <v>150.15192363142222</v>
      </c>
      <c r="E139" s="858">
        <v>109.00013653162266</v>
      </c>
      <c r="F139" s="3180">
        <v>278.87779931758621</v>
      </c>
      <c r="G139" s="858">
        <v>82.419176181773636</v>
      </c>
      <c r="H139" s="3180">
        <v>106.41827084862615</v>
      </c>
      <c r="I139" s="858">
        <v>116.97046913432719</v>
      </c>
      <c r="J139" s="3180">
        <v>246.99461942243389</v>
      </c>
      <c r="K139" s="858">
        <v>130.21545639557081</v>
      </c>
      <c r="L139" s="3180">
        <v>116.40813365928804</v>
      </c>
      <c r="M139" s="858">
        <v>160.61724082990361</v>
      </c>
      <c r="N139" s="3180">
        <v>217.35854319431795</v>
      </c>
      <c r="O139" s="858">
        <v>134.34201205008537</v>
      </c>
      <c r="P139" s="3180">
        <v>203.63776260798943</v>
      </c>
      <c r="Q139" s="858">
        <v>199.95768408794041</v>
      </c>
      <c r="R139" s="3180">
        <v>77.625760936039597</v>
      </c>
      <c r="S139" s="480">
        <v>148.08278544772929</v>
      </c>
    </row>
    <row r="140" spans="1:19" ht="13.15" customHeight="1">
      <c r="A140" s="476">
        <f t="shared" si="1"/>
        <v>2014.11</v>
      </c>
      <c r="B140" s="478">
        <v>149.13668719892021</v>
      </c>
      <c r="C140" s="852">
        <v>88.656391114955852</v>
      </c>
      <c r="D140" s="3180">
        <v>154.28080354578998</v>
      </c>
      <c r="E140" s="858">
        <v>85.872115987484221</v>
      </c>
      <c r="F140" s="3180">
        <v>246.95404303176315</v>
      </c>
      <c r="G140" s="858">
        <v>66.849887263973102</v>
      </c>
      <c r="H140" s="3180">
        <v>89.696278074173961</v>
      </c>
      <c r="I140" s="858">
        <v>113.33618212175824</v>
      </c>
      <c r="J140" s="3180">
        <v>229.24333886632979</v>
      </c>
      <c r="K140" s="858">
        <v>120.47782702616992</v>
      </c>
      <c r="L140" s="3180">
        <v>186.47279651891486</v>
      </c>
      <c r="M140" s="858">
        <v>154.2450795462546</v>
      </c>
      <c r="N140" s="3180">
        <v>207.04146561988259</v>
      </c>
      <c r="O140" s="858">
        <v>145.95831705382636</v>
      </c>
      <c r="P140" s="3180">
        <v>226.40296832983594</v>
      </c>
      <c r="Q140" s="858">
        <v>119.30862498616281</v>
      </c>
      <c r="R140" s="3180">
        <v>71.355333338454201</v>
      </c>
      <c r="S140" s="480">
        <v>134.74584220280687</v>
      </c>
    </row>
    <row r="141" spans="1:19" ht="13.15" customHeight="1">
      <c r="A141" s="476">
        <f t="shared" si="1"/>
        <v>2014.12</v>
      </c>
      <c r="B141" s="478">
        <v>141.78252678770036</v>
      </c>
      <c r="C141" s="852">
        <v>91.880269734913654</v>
      </c>
      <c r="D141" s="3180">
        <v>121.74274621237136</v>
      </c>
      <c r="E141" s="858">
        <v>90.057145294609413</v>
      </c>
      <c r="F141" s="3180">
        <v>261.70119325958598</v>
      </c>
      <c r="G141" s="858">
        <v>62.473544055952864</v>
      </c>
      <c r="H141" s="3180">
        <v>93.731649286681062</v>
      </c>
      <c r="I141" s="858">
        <v>120.10361283437751</v>
      </c>
      <c r="J141" s="3180">
        <v>306.0368434842801</v>
      </c>
      <c r="K141" s="858">
        <v>113.73743975181712</v>
      </c>
      <c r="L141" s="3180">
        <v>93.149496421331349</v>
      </c>
      <c r="M141" s="858">
        <v>171.36500095843323</v>
      </c>
      <c r="N141" s="3180">
        <v>217.33482992884822</v>
      </c>
      <c r="O141" s="858">
        <v>138.73615810577505</v>
      </c>
      <c r="P141" s="3180">
        <v>234.45724990036564</v>
      </c>
      <c r="Q141" s="858">
        <v>128.51331515345078</v>
      </c>
      <c r="R141" s="3180">
        <v>73.579394594851493</v>
      </c>
      <c r="S141" s="480">
        <v>125.19416780167835</v>
      </c>
    </row>
    <row r="142" spans="1:19" ht="13.15" customHeight="1">
      <c r="A142" s="476">
        <f t="shared" si="1"/>
        <v>2015.01</v>
      </c>
      <c r="B142" s="478">
        <v>110.45005424984539</v>
      </c>
      <c r="C142" s="852">
        <v>85.881797316102293</v>
      </c>
      <c r="D142" s="3180">
        <v>86.979829438919126</v>
      </c>
      <c r="E142" s="858">
        <v>86.556624936497968</v>
      </c>
      <c r="F142" s="3180">
        <v>259.06509929653566</v>
      </c>
      <c r="G142" s="858">
        <v>60.053572226767741</v>
      </c>
      <c r="H142" s="3180">
        <v>100.19457044527452</v>
      </c>
      <c r="I142" s="858">
        <v>89.976637905827872</v>
      </c>
      <c r="J142" s="3180">
        <v>202.90182033236951</v>
      </c>
      <c r="K142" s="858">
        <v>103.93710970717514</v>
      </c>
      <c r="L142" s="3180">
        <v>89.297231703719447</v>
      </c>
      <c r="M142" s="858">
        <v>96.152171535835834</v>
      </c>
      <c r="N142" s="3180">
        <v>225.06963530507502</v>
      </c>
      <c r="O142" s="858">
        <v>48.230328417213073</v>
      </c>
      <c r="P142" s="3180">
        <v>143.00878862638081</v>
      </c>
      <c r="Q142" s="858">
        <v>100.05244069483987</v>
      </c>
      <c r="R142" s="3180">
        <v>65.181133986644596</v>
      </c>
      <c r="S142" s="480">
        <v>108.23563281649767</v>
      </c>
    </row>
    <row r="143" spans="1:19" ht="13.15" customHeight="1">
      <c r="A143" s="476">
        <f t="shared" si="1"/>
        <v>2015.02</v>
      </c>
      <c r="B143" s="478">
        <v>114.12706525500859</v>
      </c>
      <c r="C143" s="852">
        <v>80.516358679872937</v>
      </c>
      <c r="D143" s="3180">
        <v>100.54380869093696</v>
      </c>
      <c r="E143" s="858">
        <v>85.299707114166623</v>
      </c>
      <c r="F143" s="3180">
        <v>212.61114327935732</v>
      </c>
      <c r="G143" s="858">
        <v>56.129610590938555</v>
      </c>
      <c r="H143" s="3180">
        <v>92.163427494514423</v>
      </c>
      <c r="I143" s="858">
        <v>104.066630145782</v>
      </c>
      <c r="J143" s="3180">
        <v>207.4676256858784</v>
      </c>
      <c r="K143" s="858">
        <v>95.507680886860811</v>
      </c>
      <c r="L143" s="3180">
        <v>90.036352857103225</v>
      </c>
      <c r="M143" s="858">
        <v>110.51103966258576</v>
      </c>
      <c r="N143" s="3180">
        <v>171.78184352828941</v>
      </c>
      <c r="O143" s="858">
        <v>113.95813952227769</v>
      </c>
      <c r="P143" s="3180">
        <v>179.74304180453157</v>
      </c>
      <c r="Q143" s="858">
        <v>118.13527887639017</v>
      </c>
      <c r="R143" s="3180">
        <v>63.955016463240703</v>
      </c>
      <c r="S143" s="480">
        <v>105.04735523199558</v>
      </c>
    </row>
    <row r="144" spans="1:19" ht="13.15" customHeight="1">
      <c r="A144" s="476">
        <f t="shared" si="1"/>
        <v>2015.03</v>
      </c>
      <c r="B144" s="478">
        <v>128.59440176114077</v>
      </c>
      <c r="C144" s="852">
        <v>85.777613011263185</v>
      </c>
      <c r="D144" s="3180">
        <v>118.07241967636222</v>
      </c>
      <c r="E144" s="858">
        <v>91.635862189128019</v>
      </c>
      <c r="F144" s="3180">
        <v>223.15786903372407</v>
      </c>
      <c r="G144" s="858">
        <v>59.604353210753835</v>
      </c>
      <c r="H144" s="3180">
        <v>88.289178692891738</v>
      </c>
      <c r="I144" s="858">
        <v>92.687101278995215</v>
      </c>
      <c r="J144" s="3180">
        <v>233.15851574449351</v>
      </c>
      <c r="K144" s="858">
        <v>105.38450397292637</v>
      </c>
      <c r="L144" s="3180">
        <v>103.20534846913681</v>
      </c>
      <c r="M144" s="858">
        <v>151.40201771579126</v>
      </c>
      <c r="N144" s="3180">
        <v>196.34523283704144</v>
      </c>
      <c r="O144" s="858">
        <v>118.97873883140765</v>
      </c>
      <c r="P144" s="3180">
        <v>201.42256747257207</v>
      </c>
      <c r="Q144" s="858">
        <v>127.24582631894512</v>
      </c>
      <c r="R144" s="3180">
        <v>63.644882446305701</v>
      </c>
      <c r="S144" s="480">
        <v>121.77994538748455</v>
      </c>
    </row>
    <row r="145" spans="1:19" ht="13.15" customHeight="1">
      <c r="A145" s="476">
        <f t="shared" si="1"/>
        <v>2015.04</v>
      </c>
      <c r="B145" s="478">
        <v>151.17783596266042</v>
      </c>
      <c r="C145" s="852">
        <v>87.491875785357294</v>
      </c>
      <c r="D145" s="3180">
        <v>223.26468339115212</v>
      </c>
      <c r="E145" s="858">
        <v>95.767969209661373</v>
      </c>
      <c r="F145" s="3180">
        <v>244.29158499376277</v>
      </c>
      <c r="G145" s="858">
        <v>73.306063432003313</v>
      </c>
      <c r="H145" s="3180">
        <v>91.430708211673306</v>
      </c>
      <c r="I145" s="858">
        <v>108.05778436854702</v>
      </c>
      <c r="J145" s="3180">
        <v>229.28485172870438</v>
      </c>
      <c r="K145" s="858">
        <v>107.90344717368401</v>
      </c>
      <c r="L145" s="3180">
        <v>94.491185187397065</v>
      </c>
      <c r="M145" s="858">
        <v>169.08912187995668</v>
      </c>
      <c r="N145" s="3180">
        <v>215.0743155635264</v>
      </c>
      <c r="O145" s="858">
        <v>95.737078551748723</v>
      </c>
      <c r="P145" s="3180">
        <v>239.20734596832401</v>
      </c>
      <c r="Q145" s="858">
        <v>152.70473984362852</v>
      </c>
      <c r="R145" s="3180">
        <v>74.899113003181498</v>
      </c>
      <c r="S145" s="480">
        <v>132.62856128972587</v>
      </c>
    </row>
    <row r="146" spans="1:19" ht="13.15" customHeight="1">
      <c r="A146" s="476">
        <f t="shared" si="1"/>
        <v>2015.05</v>
      </c>
      <c r="B146" s="478">
        <v>136.4839694898412</v>
      </c>
      <c r="C146" s="852">
        <v>81.407286453540692</v>
      </c>
      <c r="D146" s="3180">
        <v>185.14539332675727</v>
      </c>
      <c r="E146" s="858">
        <v>94.20885941239348</v>
      </c>
      <c r="F146" s="3180">
        <v>225.73392726785426</v>
      </c>
      <c r="G146" s="858">
        <v>58.657983444011911</v>
      </c>
      <c r="H146" s="3180">
        <v>96.34349724051566</v>
      </c>
      <c r="I146" s="858">
        <v>104.23890292647056</v>
      </c>
      <c r="J146" s="3180">
        <v>199.57234929752019</v>
      </c>
      <c r="K146" s="858">
        <v>101.85187079378203</v>
      </c>
      <c r="L146" s="3180">
        <v>88.768833149426513</v>
      </c>
      <c r="M146" s="858">
        <v>133.85689626245951</v>
      </c>
      <c r="N146" s="3180">
        <v>242.02756213673973</v>
      </c>
      <c r="O146" s="858">
        <v>85.871236545130287</v>
      </c>
      <c r="P146" s="3180">
        <v>263.59384822653294</v>
      </c>
      <c r="Q146" s="858">
        <v>118.86020016108002</v>
      </c>
      <c r="R146" s="3180">
        <v>68.217239743783196</v>
      </c>
      <c r="S146" s="480">
        <v>130.3982650989731</v>
      </c>
    </row>
    <row r="147" spans="1:19" ht="13.15" customHeight="1">
      <c r="A147" s="476">
        <f t="shared" si="1"/>
        <v>2015.06</v>
      </c>
      <c r="B147" s="478">
        <v>166.57966386147197</v>
      </c>
      <c r="C147" s="852">
        <v>83.131327370441483</v>
      </c>
      <c r="D147" s="3180">
        <v>235.20315769650685</v>
      </c>
      <c r="E147" s="858">
        <v>100.86406332720037</v>
      </c>
      <c r="F147" s="3180">
        <v>241.51615914302283</v>
      </c>
      <c r="G147" s="858">
        <v>73.362164517504851</v>
      </c>
      <c r="H147" s="3180">
        <v>105.23660368120241</v>
      </c>
      <c r="I147" s="858">
        <v>120.19610469463069</v>
      </c>
      <c r="J147" s="3180">
        <v>259.31708272337784</v>
      </c>
      <c r="K147" s="858">
        <v>112.87425390161791</v>
      </c>
      <c r="L147" s="3180">
        <v>120.74764368811866</v>
      </c>
      <c r="M147" s="858">
        <v>237.0306354309003</v>
      </c>
      <c r="N147" s="3180">
        <v>239.74693784527329</v>
      </c>
      <c r="O147" s="858">
        <v>116.41485317419539</v>
      </c>
      <c r="P147" s="3180">
        <v>248.88333310774277</v>
      </c>
      <c r="Q147" s="858">
        <v>152.87146132216722</v>
      </c>
      <c r="R147" s="3180">
        <v>70.627698230239403</v>
      </c>
      <c r="S147" s="480">
        <v>136.51812615105294</v>
      </c>
    </row>
    <row r="148" spans="1:19" ht="13.15" customHeight="1">
      <c r="A148" s="476">
        <f t="shared" si="1"/>
        <v>2015.07</v>
      </c>
      <c r="B148" s="478">
        <v>154.2599162709254</v>
      </c>
      <c r="C148" s="852">
        <v>81.635605261486191</v>
      </c>
      <c r="D148" s="3180">
        <v>248.86976980175208</v>
      </c>
      <c r="E148" s="858">
        <v>108.30285239874065</v>
      </c>
      <c r="F148" s="3180">
        <v>269.55347745552211</v>
      </c>
      <c r="G148" s="858">
        <v>69.144559769979153</v>
      </c>
      <c r="H148" s="3180">
        <v>92.13346586630378</v>
      </c>
      <c r="I148" s="858">
        <v>116.50943525042327</v>
      </c>
      <c r="J148" s="3180">
        <v>188.39901506244834</v>
      </c>
      <c r="K148" s="858">
        <v>107.39653537797496</v>
      </c>
      <c r="L148" s="3180">
        <v>109.41729069068658</v>
      </c>
      <c r="M148" s="858">
        <v>111.24439960575552</v>
      </c>
      <c r="N148" s="3180">
        <v>266.37395408115236</v>
      </c>
      <c r="O148" s="858">
        <v>98.250174712017099</v>
      </c>
      <c r="P148" s="3180">
        <v>302.3216286572096</v>
      </c>
      <c r="Q148" s="858">
        <v>164.7272105528013</v>
      </c>
      <c r="R148" s="3180">
        <v>67.712484177218499</v>
      </c>
      <c r="S148" s="480">
        <v>135.55855203909965</v>
      </c>
    </row>
    <row r="149" spans="1:19" ht="13.15" customHeight="1">
      <c r="A149" s="476">
        <f t="shared" si="1"/>
        <v>2015.08</v>
      </c>
      <c r="B149" s="478">
        <v>144.51754900842292</v>
      </c>
      <c r="C149" s="852">
        <v>75.441349948267998</v>
      </c>
      <c r="D149" s="3180">
        <v>217.37270283678333</v>
      </c>
      <c r="E149" s="858">
        <v>116.85033230386873</v>
      </c>
      <c r="F149" s="3180">
        <v>243.67626494628755</v>
      </c>
      <c r="G149" s="858">
        <v>65.725768866461465</v>
      </c>
      <c r="H149" s="3180">
        <v>96.068839765178012</v>
      </c>
      <c r="I149" s="858">
        <v>109.859546738175</v>
      </c>
      <c r="J149" s="3180">
        <v>181.43033834769227</v>
      </c>
      <c r="K149" s="858">
        <v>102.80630997579529</v>
      </c>
      <c r="L149" s="3180">
        <v>113.54146697429699</v>
      </c>
      <c r="M149" s="858">
        <v>116.99176946372781</v>
      </c>
      <c r="N149" s="3180">
        <v>218.31052703405456</v>
      </c>
      <c r="O149" s="858">
        <v>101.89739678856498</v>
      </c>
      <c r="P149" s="3180">
        <v>243.58697180162736</v>
      </c>
      <c r="Q149" s="858">
        <v>150.52533194102051</v>
      </c>
      <c r="R149" s="3180">
        <v>57.028292263000701</v>
      </c>
      <c r="S149" s="480">
        <v>131.78525968697119</v>
      </c>
    </row>
    <row r="150" spans="1:19" ht="13.15" customHeight="1">
      <c r="A150" s="476">
        <f t="shared" si="1"/>
        <v>2015.09</v>
      </c>
      <c r="B150" s="478">
        <v>157.644390268156</v>
      </c>
      <c r="C150" s="852">
        <v>82.51507552089366</v>
      </c>
      <c r="D150" s="3180">
        <v>194.43221223215625</v>
      </c>
      <c r="E150" s="858">
        <v>131.52239516624581</v>
      </c>
      <c r="F150" s="3180">
        <v>246.43672598370091</v>
      </c>
      <c r="G150" s="858">
        <v>73.661927823663248</v>
      </c>
      <c r="H150" s="3180">
        <v>101.80350166227736</v>
      </c>
      <c r="I150" s="858">
        <v>224.48855215259832</v>
      </c>
      <c r="J150" s="3180">
        <v>235.24666149958111</v>
      </c>
      <c r="K150" s="858">
        <v>120.51775575844729</v>
      </c>
      <c r="L150" s="3180">
        <v>121.53479353146699</v>
      </c>
      <c r="M150" s="858">
        <v>171.39138623842877</v>
      </c>
      <c r="N150" s="3180">
        <v>260.6618825246822</v>
      </c>
      <c r="O150" s="858">
        <v>111.66388191186452</v>
      </c>
      <c r="P150" s="3180">
        <v>259.27319976848844</v>
      </c>
      <c r="Q150" s="858">
        <v>167.21513095675323</v>
      </c>
      <c r="R150" s="3180">
        <v>63.882744678752502</v>
      </c>
      <c r="S150" s="480">
        <v>144.12885645932971</v>
      </c>
    </row>
    <row r="151" spans="1:19" ht="13.15" customHeight="1">
      <c r="A151" s="476">
        <f t="shared" ref="A151:A214" si="2">A139+1</f>
        <v>2015.1</v>
      </c>
      <c r="B151" s="478">
        <v>157.64343451460289</v>
      </c>
      <c r="C151" s="852">
        <v>79.505833855170593</v>
      </c>
      <c r="D151" s="3180">
        <v>196.2304537912496</v>
      </c>
      <c r="E151" s="858">
        <v>125.90154141555551</v>
      </c>
      <c r="F151" s="3180">
        <v>261.57970708001324</v>
      </c>
      <c r="G151" s="858">
        <v>66.772369275707106</v>
      </c>
      <c r="H151" s="3180">
        <v>118.52522487346251</v>
      </c>
      <c r="I151" s="858">
        <v>93.466278426291012</v>
      </c>
      <c r="J151" s="3180">
        <v>200.44521486700313</v>
      </c>
      <c r="K151" s="858">
        <v>123.46396150848025</v>
      </c>
      <c r="L151" s="3180">
        <v>112.11623561094611</v>
      </c>
      <c r="M151" s="858">
        <v>159.24723417536424</v>
      </c>
      <c r="N151" s="3180">
        <v>319.10636196669702</v>
      </c>
      <c r="O151" s="858">
        <v>113.87168227248003</v>
      </c>
      <c r="P151" s="3180">
        <v>315.33292950305736</v>
      </c>
      <c r="Q151" s="858">
        <v>154.29686352170268</v>
      </c>
      <c r="R151" s="3180">
        <v>64.583028042577794</v>
      </c>
      <c r="S151" s="480">
        <v>160.8549868206037</v>
      </c>
    </row>
    <row r="152" spans="1:19" ht="13.15" customHeight="1">
      <c r="A152" s="476">
        <f t="shared" si="2"/>
        <v>2015.11</v>
      </c>
      <c r="B152" s="478">
        <v>149.10027630272253</v>
      </c>
      <c r="C152" s="852">
        <v>70.316433100346771</v>
      </c>
      <c r="D152" s="3180">
        <v>157.34382139390434</v>
      </c>
      <c r="E152" s="858">
        <v>128.30064376068373</v>
      </c>
      <c r="F152" s="3180">
        <v>252.39846447114314</v>
      </c>
      <c r="G152" s="858">
        <v>66.819889054123735</v>
      </c>
      <c r="H152" s="3180">
        <v>106.92460410463934</v>
      </c>
      <c r="I152" s="858">
        <v>94.432526720242663</v>
      </c>
      <c r="J152" s="3180">
        <v>204.99221046575451</v>
      </c>
      <c r="K152" s="858">
        <v>122.31489561543707</v>
      </c>
      <c r="L152" s="3180">
        <v>107.60672829578726</v>
      </c>
      <c r="M152" s="858">
        <v>211.68894756751746</v>
      </c>
      <c r="N152" s="3180">
        <v>226.05321055181244</v>
      </c>
      <c r="O152" s="858">
        <v>93.206024235409146</v>
      </c>
      <c r="P152" s="3180">
        <v>298.36363731403827</v>
      </c>
      <c r="Q152" s="858">
        <v>145.96141598736719</v>
      </c>
      <c r="R152" s="3180">
        <v>79.296901052467305</v>
      </c>
      <c r="S152" s="480">
        <v>147.45432104774034</v>
      </c>
    </row>
    <row r="153" spans="1:19" ht="13.15" customHeight="1">
      <c r="A153" s="476">
        <f t="shared" si="2"/>
        <v>2015.12</v>
      </c>
      <c r="B153" s="478">
        <v>149.79117960881644</v>
      </c>
      <c r="C153" s="852">
        <v>68.189399597104043</v>
      </c>
      <c r="D153" s="3180">
        <v>137.92947270961861</v>
      </c>
      <c r="E153" s="858">
        <v>124.30352922497292</v>
      </c>
      <c r="F153" s="3180">
        <v>277.16939574259544</v>
      </c>
      <c r="G153" s="858">
        <v>50.513551813803296</v>
      </c>
      <c r="H153" s="3180">
        <v>120.00376602170968</v>
      </c>
      <c r="I153" s="858">
        <v>97.210508344707335</v>
      </c>
      <c r="J153" s="3180">
        <v>250.52685452213098</v>
      </c>
      <c r="K153" s="858">
        <v>102.24698231680235</v>
      </c>
      <c r="L153" s="3180">
        <v>105.62784024573686</v>
      </c>
      <c r="M153" s="858">
        <v>237.4525378090384</v>
      </c>
      <c r="N153" s="3180">
        <v>228.66995612201373</v>
      </c>
      <c r="O153" s="858">
        <v>103.7951149506974</v>
      </c>
      <c r="P153" s="3180">
        <v>308.00957530947727</v>
      </c>
      <c r="Q153" s="858">
        <v>127.3194413323089</v>
      </c>
      <c r="R153" s="3180">
        <v>89.744438029065805</v>
      </c>
      <c r="S153" s="480">
        <v>130.08853605133839</v>
      </c>
    </row>
    <row r="154" spans="1:19" ht="13.15" customHeight="1">
      <c r="A154" s="476">
        <f t="shared" si="2"/>
        <v>2016.01</v>
      </c>
      <c r="B154" s="478">
        <v>120.98622806543</v>
      </c>
      <c r="C154" s="852">
        <v>73.199630837037532</v>
      </c>
      <c r="D154" s="3180">
        <v>201.02439934330408</v>
      </c>
      <c r="E154" s="858">
        <v>105.97633935780317</v>
      </c>
      <c r="F154" s="3180">
        <v>245.55309721136061</v>
      </c>
      <c r="G154" s="858">
        <v>61.091235124247824</v>
      </c>
      <c r="H154" s="3180">
        <v>91.664832264985435</v>
      </c>
      <c r="I154" s="858">
        <v>66.766546528394869</v>
      </c>
      <c r="J154" s="3180">
        <v>163.65647033351942</v>
      </c>
      <c r="K154" s="858">
        <v>89.860876378688772</v>
      </c>
      <c r="L154" s="3180">
        <v>77.165566559189116</v>
      </c>
      <c r="M154" s="858">
        <v>79.768687457703223</v>
      </c>
      <c r="N154" s="3180">
        <v>205.71838144936453</v>
      </c>
      <c r="O154" s="858">
        <v>57.362308834803557</v>
      </c>
      <c r="P154" s="3180">
        <v>109.71843609873446</v>
      </c>
      <c r="Q154" s="858">
        <v>136.3646021368539</v>
      </c>
      <c r="R154" s="3180">
        <v>89.905754698729098</v>
      </c>
      <c r="S154" s="480">
        <v>91.343623030463476</v>
      </c>
    </row>
    <row r="155" spans="1:19" ht="13.15" customHeight="1">
      <c r="A155" s="476">
        <f t="shared" si="2"/>
        <v>2016.02</v>
      </c>
      <c r="B155" s="478">
        <v>123.6012594628489</v>
      </c>
      <c r="C155" s="852">
        <v>76.182315815320251</v>
      </c>
      <c r="D155" s="3180">
        <v>165.84798317391062</v>
      </c>
      <c r="E155" s="858">
        <v>110.0465869468611</v>
      </c>
      <c r="F155" s="3180">
        <v>242.83323393529338</v>
      </c>
      <c r="G155" s="858">
        <v>62.534391101486818</v>
      </c>
      <c r="H155" s="3180">
        <v>91.577524477377011</v>
      </c>
      <c r="I155" s="858">
        <v>70.113828441028346</v>
      </c>
      <c r="J155" s="3180">
        <v>184.0122620006216</v>
      </c>
      <c r="K155" s="858">
        <v>94.31791673948068</v>
      </c>
      <c r="L155" s="3180">
        <v>107.88193548293157</v>
      </c>
      <c r="M155" s="858">
        <v>97.233856537970624</v>
      </c>
      <c r="N155" s="3180">
        <v>180.45731579726032</v>
      </c>
      <c r="O155" s="858">
        <v>81.150493309165924</v>
      </c>
      <c r="P155" s="3180">
        <v>171.15031749039184</v>
      </c>
      <c r="Q155" s="858">
        <v>112.10104749987843</v>
      </c>
      <c r="R155" s="3180">
        <v>84.806464730216703</v>
      </c>
      <c r="S155" s="480">
        <v>92.513566786668065</v>
      </c>
    </row>
    <row r="156" spans="1:19" ht="13.15" customHeight="1">
      <c r="A156" s="476">
        <f t="shared" si="2"/>
        <v>2016.03</v>
      </c>
      <c r="B156" s="478">
        <v>143.34114896253465</v>
      </c>
      <c r="C156" s="852">
        <v>83.517673505567046</v>
      </c>
      <c r="D156" s="3180">
        <v>171.21783615338714</v>
      </c>
      <c r="E156" s="858">
        <v>122.29434605415423</v>
      </c>
      <c r="F156" s="3180">
        <v>268.87632491601909</v>
      </c>
      <c r="G156" s="858">
        <v>79.58712448495838</v>
      </c>
      <c r="H156" s="3180">
        <v>100.74379452151604</v>
      </c>
      <c r="I156" s="858">
        <v>94.143687219365162</v>
      </c>
      <c r="J156" s="3180">
        <v>209.89786855078489</v>
      </c>
      <c r="K156" s="858">
        <v>111.11524588822046</v>
      </c>
      <c r="L156" s="3180">
        <v>132.23404994841079</v>
      </c>
      <c r="M156" s="858">
        <v>158.40460596958852</v>
      </c>
      <c r="N156" s="3180">
        <v>253.94960397256949</v>
      </c>
      <c r="O156" s="858">
        <v>102.12095679490821</v>
      </c>
      <c r="P156" s="3180">
        <v>193.98472950698638</v>
      </c>
      <c r="Q156" s="858">
        <v>163.09179406381946</v>
      </c>
      <c r="R156" s="3180">
        <v>80.164122917763905</v>
      </c>
      <c r="S156" s="480">
        <v>97.711635275373609</v>
      </c>
    </row>
    <row r="157" spans="1:19" ht="13.15" customHeight="1">
      <c r="A157" s="476">
        <f t="shared" si="2"/>
        <v>2016.04</v>
      </c>
      <c r="B157" s="478">
        <v>133.42855272430782</v>
      </c>
      <c r="C157" s="852">
        <v>70.376651985609314</v>
      </c>
      <c r="D157" s="3180">
        <v>195.92528577595616</v>
      </c>
      <c r="E157" s="858">
        <v>90.227604669961863</v>
      </c>
      <c r="F157" s="3180">
        <v>251.98743545051479</v>
      </c>
      <c r="G157" s="858">
        <v>60.730097003807856</v>
      </c>
      <c r="H157" s="3180">
        <v>100.93790694875082</v>
      </c>
      <c r="I157" s="858">
        <v>107.42563726400701</v>
      </c>
      <c r="J157" s="3180">
        <v>163.53469498946785</v>
      </c>
      <c r="K157" s="858">
        <v>107.7695643949028</v>
      </c>
      <c r="L157" s="3180">
        <v>97.293537683917776</v>
      </c>
      <c r="M157" s="858">
        <v>141.00295566559709</v>
      </c>
      <c r="N157" s="3180">
        <v>195.1966232226483</v>
      </c>
      <c r="O157" s="858">
        <v>96.940171697699412</v>
      </c>
      <c r="P157" s="3180">
        <v>203.61972812014199</v>
      </c>
      <c r="Q157" s="858">
        <v>161.67125720548609</v>
      </c>
      <c r="R157" s="3180">
        <v>66.938427108305007</v>
      </c>
      <c r="S157" s="480">
        <v>96.136805965946735</v>
      </c>
    </row>
    <row r="158" spans="1:19" ht="13.15" customHeight="1">
      <c r="A158" s="476">
        <f t="shared" si="2"/>
        <v>2016.05</v>
      </c>
      <c r="B158" s="478">
        <v>139.38575423960134</v>
      </c>
      <c r="C158" s="852">
        <v>66.310563867750872</v>
      </c>
      <c r="D158" s="3180">
        <v>222.87148499914596</v>
      </c>
      <c r="E158" s="858">
        <v>80.347688975077418</v>
      </c>
      <c r="F158" s="3180">
        <v>254.88603657445273</v>
      </c>
      <c r="G158" s="858">
        <v>68.251985089799689</v>
      </c>
      <c r="H158" s="3180">
        <v>89.492559931896992</v>
      </c>
      <c r="I158" s="858">
        <v>92.588442736112469</v>
      </c>
      <c r="J158" s="3180">
        <v>177.73657166210091</v>
      </c>
      <c r="K158" s="858">
        <v>99.41583406983888</v>
      </c>
      <c r="L158" s="3180">
        <v>108.78788523008281</v>
      </c>
      <c r="M158" s="858">
        <v>149.10489871403783</v>
      </c>
      <c r="N158" s="3180">
        <v>276.05345386681972</v>
      </c>
      <c r="O158" s="858">
        <v>88.950614511158022</v>
      </c>
      <c r="P158" s="3180">
        <v>141.65833919759237</v>
      </c>
      <c r="Q158" s="858">
        <v>160.15626975631341</v>
      </c>
      <c r="R158" s="3180">
        <v>79.615176972577999</v>
      </c>
      <c r="S158" s="480">
        <v>97.739873517933518</v>
      </c>
    </row>
    <row r="159" spans="1:19" ht="13.15" customHeight="1">
      <c r="A159" s="476">
        <f t="shared" si="2"/>
        <v>2016.06</v>
      </c>
      <c r="B159" s="478">
        <v>141.30486640777463</v>
      </c>
      <c r="C159" s="852">
        <v>59.829070118346174</v>
      </c>
      <c r="D159" s="3180">
        <v>235.20315769650685</v>
      </c>
      <c r="E159" s="858">
        <v>88.204702320474922</v>
      </c>
      <c r="F159" s="3180">
        <v>247.80118150224706</v>
      </c>
      <c r="G159" s="858">
        <v>65.830732477837344</v>
      </c>
      <c r="H159" s="3180">
        <v>85.650987829385343</v>
      </c>
      <c r="I159" s="858">
        <v>91.098941981797495</v>
      </c>
      <c r="J159" s="3180">
        <v>203.72965559773212</v>
      </c>
      <c r="K159" s="858">
        <v>102.0003551858881</v>
      </c>
      <c r="L159" s="3180">
        <v>114.52674449572709</v>
      </c>
      <c r="M159" s="858">
        <v>124.10600507415627</v>
      </c>
      <c r="N159" s="3180">
        <v>211.11699028566758</v>
      </c>
      <c r="O159" s="858">
        <v>88.0354926472599</v>
      </c>
      <c r="P159" s="3180">
        <v>237.08954272401687</v>
      </c>
      <c r="Q159" s="858">
        <v>154.16303237033193</v>
      </c>
      <c r="R159" s="3180">
        <v>72.773753971275795</v>
      </c>
      <c r="S159" s="480">
        <v>95.709015771728644</v>
      </c>
    </row>
    <row r="160" spans="1:19" ht="13.15" customHeight="1">
      <c r="A160" s="476">
        <f t="shared" si="2"/>
        <v>2016.07</v>
      </c>
      <c r="B160" s="478">
        <v>141.77980004847339</v>
      </c>
      <c r="C160" s="852">
        <v>66.960993350323619</v>
      </c>
      <c r="D160" s="3180">
        <v>248.86976980175208</v>
      </c>
      <c r="E160" s="858">
        <v>88.764167577496593</v>
      </c>
      <c r="F160" s="3180">
        <v>238.72775893090198</v>
      </c>
      <c r="G160" s="858">
        <v>57.114215773340604</v>
      </c>
      <c r="H160" s="3180">
        <v>88.029903527702288</v>
      </c>
      <c r="I160" s="858">
        <v>98.079276064192356</v>
      </c>
      <c r="J160" s="3180">
        <v>186.65433823158725</v>
      </c>
      <c r="K160" s="858">
        <v>107.67180894019205</v>
      </c>
      <c r="L160" s="3180">
        <v>113.22784256089204</v>
      </c>
      <c r="M160" s="858">
        <v>145.44128399255771</v>
      </c>
      <c r="N160" s="3180">
        <v>195.97041543316917</v>
      </c>
      <c r="O160" s="858">
        <v>85.200613423594689</v>
      </c>
      <c r="P160" s="3180">
        <v>209.85209059505561</v>
      </c>
      <c r="Q160" s="858">
        <v>145.72654260237343</v>
      </c>
      <c r="R160" s="3180">
        <v>77.194023022035097</v>
      </c>
      <c r="S160" s="480">
        <v>87.242901106459087</v>
      </c>
    </row>
    <row r="161" spans="1:19" ht="13.15" customHeight="1">
      <c r="A161" s="476">
        <f t="shared" si="2"/>
        <v>2016.08</v>
      </c>
      <c r="B161" s="478">
        <v>154.16798057114357</v>
      </c>
      <c r="C161" s="852">
        <v>73.449839494004209</v>
      </c>
      <c r="D161" s="3180">
        <v>189.65524354304162</v>
      </c>
      <c r="E161" s="858">
        <v>103.90804934815127</v>
      </c>
      <c r="F161" s="3180">
        <v>255.73120207030337</v>
      </c>
      <c r="G161" s="858">
        <v>72.930045522873201</v>
      </c>
      <c r="H161" s="3180">
        <v>85.64895236288946</v>
      </c>
      <c r="I161" s="858">
        <v>91.921263627456483</v>
      </c>
      <c r="J161" s="3180">
        <v>200.25046326872553</v>
      </c>
      <c r="K161" s="858">
        <v>116.35987496536092</v>
      </c>
      <c r="L161" s="3180">
        <v>127.50331161584768</v>
      </c>
      <c r="M161" s="858">
        <v>260.18714107773019</v>
      </c>
      <c r="N161" s="3180">
        <v>249.29980019197552</v>
      </c>
      <c r="O161" s="858">
        <v>135.41904625337179</v>
      </c>
      <c r="P161" s="3180">
        <v>232.02009439091668</v>
      </c>
      <c r="Q161" s="858">
        <v>138.78524176327372</v>
      </c>
      <c r="R161" s="3180">
        <v>72.184160221484603</v>
      </c>
      <c r="S161" s="480">
        <v>100.5317433245507</v>
      </c>
    </row>
    <row r="162" spans="1:19" ht="13.15" customHeight="1">
      <c r="A162" s="476">
        <f t="shared" si="2"/>
        <v>2016.09</v>
      </c>
      <c r="B162" s="478">
        <v>156.78339949768142</v>
      </c>
      <c r="C162" s="852">
        <v>75.352150822622221</v>
      </c>
      <c r="D162" s="3180">
        <v>175.44127600713682</v>
      </c>
      <c r="E162" s="858">
        <v>100.85152034135905</v>
      </c>
      <c r="F162" s="3180">
        <v>232.73510364774035</v>
      </c>
      <c r="G162" s="858">
        <v>73.080239485240526</v>
      </c>
      <c r="H162" s="3180">
        <v>94.443964542190798</v>
      </c>
      <c r="I162" s="858">
        <v>140.43667787528685</v>
      </c>
      <c r="J162" s="3180">
        <v>228.13652971793633</v>
      </c>
      <c r="K162" s="858">
        <v>123.55117300587182</v>
      </c>
      <c r="L162" s="3180">
        <v>128.38319257712811</v>
      </c>
      <c r="M162" s="858">
        <v>280.2867452802189</v>
      </c>
      <c r="N162" s="3180">
        <v>261.12410011564168</v>
      </c>
      <c r="O162" s="858">
        <v>146.09813293002037</v>
      </c>
      <c r="P162" s="3180">
        <v>289.17748242642836</v>
      </c>
      <c r="Q162" s="858">
        <v>165.53256272547756</v>
      </c>
      <c r="R162" s="3180">
        <v>64.233417522015202</v>
      </c>
      <c r="S162" s="480">
        <v>95.160995790902007</v>
      </c>
    </row>
    <row r="163" spans="1:19" ht="13.15" customHeight="1">
      <c r="A163" s="476">
        <f t="shared" si="2"/>
        <v>2016.1</v>
      </c>
      <c r="B163" s="478">
        <v>144.46480453684669</v>
      </c>
      <c r="C163" s="852">
        <v>74.339495229661267</v>
      </c>
      <c r="D163" s="3180">
        <v>185.12010611132933</v>
      </c>
      <c r="E163" s="858">
        <v>97.736591916725942</v>
      </c>
      <c r="F163" s="3180">
        <v>233.52887516525195</v>
      </c>
      <c r="G163" s="858">
        <v>62.277496827753218</v>
      </c>
      <c r="H163" s="3180">
        <v>83.41939073729192</v>
      </c>
      <c r="I163" s="858">
        <v>97.860653897522212</v>
      </c>
      <c r="J163" s="3180">
        <v>203.78843096250938</v>
      </c>
      <c r="K163" s="858">
        <v>109.70656875543261</v>
      </c>
      <c r="L163" s="3180">
        <v>126.95121527442387</v>
      </c>
      <c r="M163" s="858">
        <v>209.93042201215201</v>
      </c>
      <c r="N163" s="3180">
        <v>229.61028375007362</v>
      </c>
      <c r="O163" s="858">
        <v>132.19427556652084</v>
      </c>
      <c r="P163" s="3180">
        <v>227.44187509852611</v>
      </c>
      <c r="Q163" s="858">
        <v>141.64442656111453</v>
      </c>
      <c r="R163" s="3180">
        <v>49.519760766224799</v>
      </c>
      <c r="S163" s="480">
        <v>94.08406192442574</v>
      </c>
    </row>
    <row r="164" spans="1:19" ht="13.15" customHeight="1">
      <c r="A164" s="476">
        <f t="shared" si="2"/>
        <v>2016.11</v>
      </c>
      <c r="B164" s="478">
        <v>155.38187959619393</v>
      </c>
      <c r="C164" s="852">
        <v>81.512149988719528</v>
      </c>
      <c r="D164" s="3180">
        <v>193.98422487338956</v>
      </c>
      <c r="E164" s="858">
        <v>108.38930509843588</v>
      </c>
      <c r="F164" s="3180">
        <v>243.07634100805072</v>
      </c>
      <c r="G164" s="858">
        <v>58.966768344430982</v>
      </c>
      <c r="H164" s="3180">
        <v>82.34503693012357</v>
      </c>
      <c r="I164" s="858">
        <v>85.31556201286817</v>
      </c>
      <c r="J164" s="3180">
        <v>225.96573107540715</v>
      </c>
      <c r="K164" s="858">
        <v>112.77008583194863</v>
      </c>
      <c r="L164" s="3180">
        <v>135.02668146422835</v>
      </c>
      <c r="M164" s="858">
        <v>298.76589695971262</v>
      </c>
      <c r="N164" s="3180">
        <v>209.6469356313473</v>
      </c>
      <c r="O164" s="858">
        <v>117.89514811672272</v>
      </c>
      <c r="P164" s="3180">
        <v>227.41309611048953</v>
      </c>
      <c r="Q164" s="858">
        <v>99.975420707700295</v>
      </c>
      <c r="R164" s="3180">
        <v>51.589445611219297</v>
      </c>
      <c r="S164" s="480">
        <v>92.999066259138289</v>
      </c>
    </row>
    <row r="165" spans="1:19" ht="13.15" customHeight="1">
      <c r="A165" s="476">
        <f t="shared" si="2"/>
        <v>2016.12</v>
      </c>
      <c r="B165" s="478">
        <v>152.43981071959189</v>
      </c>
      <c r="C165" s="852">
        <v>91.854018478797656</v>
      </c>
      <c r="D165" s="3180">
        <v>169.29713561441625</v>
      </c>
      <c r="E165" s="858">
        <v>91.885071034629505</v>
      </c>
      <c r="F165" s="3180">
        <v>263.56348495651343</v>
      </c>
      <c r="G165" s="858">
        <v>50.345877606910847</v>
      </c>
      <c r="H165" s="3180">
        <v>82.3045956961505</v>
      </c>
      <c r="I165" s="858">
        <v>106.66362895598823</v>
      </c>
      <c r="J165" s="3180">
        <v>250.14912600009697</v>
      </c>
      <c r="K165" s="858">
        <v>115.8317230322352</v>
      </c>
      <c r="L165" s="3180">
        <v>138.43657677741169</v>
      </c>
      <c r="M165" s="858">
        <v>263.5046855865678</v>
      </c>
      <c r="N165" s="3180">
        <v>252.19361668774084</v>
      </c>
      <c r="O165" s="858">
        <v>147.14646954539944</v>
      </c>
      <c r="P165" s="3180">
        <v>196.44456997174183</v>
      </c>
      <c r="Q165" s="858">
        <v>114.93652877714707</v>
      </c>
      <c r="R165" s="3180">
        <v>60.659208685792102</v>
      </c>
      <c r="S165" s="480">
        <v>86.005047069909409</v>
      </c>
    </row>
    <row r="166" spans="1:19" ht="13.15" customHeight="1">
      <c r="A166" s="476">
        <f t="shared" si="2"/>
        <v>2017.01</v>
      </c>
      <c r="B166" s="478">
        <v>124.57768143491808</v>
      </c>
      <c r="C166" s="852">
        <v>83.438743308314685</v>
      </c>
      <c r="D166" s="3180">
        <v>148.97399052590137</v>
      </c>
      <c r="E166" s="858">
        <v>78.219355763160721</v>
      </c>
      <c r="F166" s="3180">
        <v>242.35711933363299</v>
      </c>
      <c r="G166" s="858">
        <v>73.22281733272078</v>
      </c>
      <c r="H166" s="3180">
        <v>109.90991408757671</v>
      </c>
      <c r="I166" s="858">
        <v>60.140787273697214</v>
      </c>
      <c r="J166" s="3180">
        <v>177.72211428260275</v>
      </c>
      <c r="K166" s="858">
        <v>93.530150370319788</v>
      </c>
      <c r="L166" s="3180">
        <v>90.875003911966033</v>
      </c>
      <c r="M166" s="858">
        <v>140.70680980315083</v>
      </c>
      <c r="N166" s="3180">
        <v>225.78938233912038</v>
      </c>
      <c r="O166" s="858">
        <v>131.76213284228123</v>
      </c>
      <c r="P166" s="3180">
        <v>181.79211207137078</v>
      </c>
      <c r="Q166" s="858">
        <v>86.499312252979749</v>
      </c>
      <c r="R166" s="3180">
        <v>54.503491776308501</v>
      </c>
      <c r="S166" s="480">
        <v>79.9421050239457</v>
      </c>
    </row>
    <row r="167" spans="1:19" ht="13.15" customHeight="1">
      <c r="A167" s="476">
        <f t="shared" si="2"/>
        <v>2017.02</v>
      </c>
      <c r="B167" s="478">
        <v>125.05097000235143</v>
      </c>
      <c r="C167" s="852">
        <v>76.112361557931237</v>
      </c>
      <c r="D167" s="3180">
        <v>134.75094096192032</v>
      </c>
      <c r="E167" s="858">
        <v>64.868221719151762</v>
      </c>
      <c r="F167" s="3180">
        <v>228.62366618047338</v>
      </c>
      <c r="G167" s="858">
        <v>56.472487778745837</v>
      </c>
      <c r="H167" s="3180">
        <v>74.016586115713025</v>
      </c>
      <c r="I167" s="858">
        <v>75.014406522924631</v>
      </c>
      <c r="J167" s="3180">
        <v>171.81323870049994</v>
      </c>
      <c r="K167" s="858">
        <v>103.26268253239108</v>
      </c>
      <c r="L167" s="3180">
        <v>127.26393272011394</v>
      </c>
      <c r="M167" s="858">
        <v>209.29185550746823</v>
      </c>
      <c r="N167" s="3180">
        <v>218.51413070697456</v>
      </c>
      <c r="O167" s="858">
        <v>89.59899602337498</v>
      </c>
      <c r="P167" s="3180">
        <v>196.13016165799664</v>
      </c>
      <c r="Q167" s="858">
        <v>87.111256045089178</v>
      </c>
      <c r="R167" s="3180">
        <v>48.314002679524798</v>
      </c>
      <c r="S167" s="480">
        <v>84.259223766455975</v>
      </c>
    </row>
    <row r="168" spans="1:19" ht="13.15" customHeight="1">
      <c r="A168" s="476">
        <f t="shared" si="2"/>
        <v>2017.03</v>
      </c>
      <c r="B168" s="478">
        <v>151.42330914116499</v>
      </c>
      <c r="C168" s="852">
        <v>85.885147141326641</v>
      </c>
      <c r="D168" s="3180">
        <v>174.29883997867208</v>
      </c>
      <c r="E168" s="858">
        <v>96.86731666425608</v>
      </c>
      <c r="F168" s="3180">
        <v>264.25774616400747</v>
      </c>
      <c r="G168" s="858">
        <v>66.162718552451565</v>
      </c>
      <c r="H168" s="3180">
        <v>102.53988977123747</v>
      </c>
      <c r="I168" s="858">
        <v>83.59354270174596</v>
      </c>
      <c r="J168" s="3180">
        <v>215.19173275752766</v>
      </c>
      <c r="K168" s="858">
        <v>130.97865766014255</v>
      </c>
      <c r="L168" s="3180">
        <v>120.66855543590066</v>
      </c>
      <c r="M168" s="858">
        <v>248.25464619506255</v>
      </c>
      <c r="N168" s="3180">
        <v>260.63608997253692</v>
      </c>
      <c r="O168" s="858">
        <v>113.72353055356096</v>
      </c>
      <c r="P168" s="3180">
        <v>235.99333949808118</v>
      </c>
      <c r="Q168" s="858">
        <v>125.73667267722008</v>
      </c>
      <c r="R168" s="3180">
        <v>65.807119216951406</v>
      </c>
      <c r="S168" s="480">
        <v>103.65750805563096</v>
      </c>
    </row>
    <row r="169" spans="1:19" ht="13.15" customHeight="1">
      <c r="A169" s="476">
        <f t="shared" si="2"/>
        <v>2017.04</v>
      </c>
      <c r="B169" s="478">
        <v>148.40719016467267</v>
      </c>
      <c r="C169" s="852">
        <v>69.028639150859945</v>
      </c>
      <c r="D169" s="3180">
        <v>211.36503030384876</v>
      </c>
      <c r="E169" s="858">
        <v>87.700407678734081</v>
      </c>
      <c r="F169" s="3180">
        <v>245.57412108570571</v>
      </c>
      <c r="G169" s="858">
        <v>58.934117320169911</v>
      </c>
      <c r="H169" s="3180">
        <v>82.344392759846727</v>
      </c>
      <c r="I169" s="858">
        <v>75.229281665857627</v>
      </c>
      <c r="J169" s="3180">
        <v>176.13911447501198</v>
      </c>
      <c r="K169" s="858">
        <v>111.87864489043488</v>
      </c>
      <c r="L169" s="3180">
        <v>132.4909045073544</v>
      </c>
      <c r="M169" s="858">
        <v>230.91582807408523</v>
      </c>
      <c r="N169" s="3180">
        <v>218.04843434415514</v>
      </c>
      <c r="O169" s="858">
        <v>133.94805770762218</v>
      </c>
      <c r="P169" s="3180">
        <v>213.96229785230267</v>
      </c>
      <c r="Q169" s="858">
        <v>92.325553948978055</v>
      </c>
      <c r="R169" s="3180">
        <v>56.6062480022225</v>
      </c>
      <c r="S169" s="480">
        <v>95.639522808852902</v>
      </c>
    </row>
    <row r="170" spans="1:19" ht="13.15" customHeight="1">
      <c r="A170" s="476">
        <f t="shared" si="2"/>
        <v>2017.05</v>
      </c>
      <c r="B170" s="478">
        <v>167.69700711734936</v>
      </c>
      <c r="C170" s="852">
        <v>76.303578173264569</v>
      </c>
      <c r="D170" s="3180">
        <v>235.82037944772662</v>
      </c>
      <c r="E170" s="858">
        <v>96.692382381052539</v>
      </c>
      <c r="F170" s="3180">
        <v>264.47685030538389</v>
      </c>
      <c r="G170" s="858">
        <v>64.174764783397436</v>
      </c>
      <c r="H170" s="3180">
        <v>95.177375011603104</v>
      </c>
      <c r="I170" s="858">
        <v>78.372103950230169</v>
      </c>
      <c r="J170" s="3180">
        <v>197.91224670584324</v>
      </c>
      <c r="K170" s="858">
        <v>140.31281655370245</v>
      </c>
      <c r="L170" s="3180">
        <v>149.0033776387105</v>
      </c>
      <c r="M170" s="858">
        <v>247.64549444541649</v>
      </c>
      <c r="N170" s="3180">
        <v>259.94322984868563</v>
      </c>
      <c r="O170" s="858">
        <v>162.91462100479714</v>
      </c>
      <c r="P170" s="3180">
        <v>274.07879522274868</v>
      </c>
      <c r="Q170" s="858">
        <v>114.61636627142933</v>
      </c>
      <c r="R170" s="3180">
        <v>60.9286311516449</v>
      </c>
      <c r="S170" s="480">
        <v>113.21812195336049</v>
      </c>
    </row>
    <row r="171" spans="1:19" ht="13.15" customHeight="1">
      <c r="A171" s="476">
        <f t="shared" si="2"/>
        <v>2017.06</v>
      </c>
      <c r="B171" s="478">
        <v>152.58552268661452</v>
      </c>
      <c r="C171" s="852">
        <v>76.006635510417269</v>
      </c>
      <c r="D171" s="3180">
        <v>193.5085759127698</v>
      </c>
      <c r="E171" s="858">
        <v>96.739951409193353</v>
      </c>
      <c r="F171" s="3180">
        <v>253.51367710923822</v>
      </c>
      <c r="G171" s="858">
        <v>56.969700257553455</v>
      </c>
      <c r="H171" s="3180">
        <v>73.947750803065333</v>
      </c>
      <c r="I171" s="858">
        <v>90.251293890890949</v>
      </c>
      <c r="J171" s="3180">
        <v>204.13760389673001</v>
      </c>
      <c r="K171" s="858">
        <v>122.9261041843347</v>
      </c>
      <c r="L171" s="3180">
        <v>135.24342161293694</v>
      </c>
      <c r="M171" s="858">
        <v>220.33219331185978</v>
      </c>
      <c r="N171" s="3180">
        <v>257.3847510456888</v>
      </c>
      <c r="O171" s="858">
        <v>151.21865051195059</v>
      </c>
      <c r="P171" s="3180">
        <v>254.07119320107461</v>
      </c>
      <c r="Q171" s="858">
        <v>99.446462894341138</v>
      </c>
      <c r="R171" s="3180">
        <v>58.9089715619576</v>
      </c>
      <c r="S171" s="480">
        <v>106.46855303688083</v>
      </c>
    </row>
    <row r="172" spans="1:19" ht="13.15" customHeight="1">
      <c r="A172" s="476">
        <f t="shared" si="2"/>
        <v>2017.07</v>
      </c>
      <c r="B172" s="478">
        <v>155.17757918029437</v>
      </c>
      <c r="C172" s="852">
        <v>74.336886997150557</v>
      </c>
      <c r="D172" s="3180">
        <v>222.26595710107006</v>
      </c>
      <c r="E172" s="858">
        <v>98.62605198303919</v>
      </c>
      <c r="F172" s="3180">
        <v>269.76049281222714</v>
      </c>
      <c r="G172" s="858">
        <v>61.056653443925512</v>
      </c>
      <c r="H172" s="3180">
        <v>91.820744299961987</v>
      </c>
      <c r="I172" s="858">
        <v>103.92517019149224</v>
      </c>
      <c r="J172" s="3180">
        <v>198.44593501634526</v>
      </c>
      <c r="K172" s="858">
        <v>140.43894084349967</v>
      </c>
      <c r="L172" s="3180">
        <v>145.50604519664503</v>
      </c>
      <c r="M172" s="858">
        <v>166.24763811752652</v>
      </c>
      <c r="N172" s="3180">
        <v>264.32942550283684</v>
      </c>
      <c r="O172" s="858">
        <v>115.35031926894305</v>
      </c>
      <c r="P172" s="3180">
        <v>259.20901459866872</v>
      </c>
      <c r="Q172" s="858">
        <v>136.6389911536227</v>
      </c>
      <c r="R172" s="3180">
        <v>63.964262964135003</v>
      </c>
      <c r="S172" s="480">
        <v>113.24737820853851</v>
      </c>
    </row>
    <row r="173" spans="1:19" ht="13.15" customHeight="1">
      <c r="A173" s="476">
        <f t="shared" si="2"/>
        <v>2017.08</v>
      </c>
      <c r="B173" s="478">
        <v>156.60282431933535</v>
      </c>
      <c r="C173" s="852">
        <v>79.479520181487786</v>
      </c>
      <c r="D173" s="3180">
        <v>188.22408212527768</v>
      </c>
      <c r="E173" s="858">
        <v>104.50910859807053</v>
      </c>
      <c r="F173" s="3180">
        <v>267.77215622841169</v>
      </c>
      <c r="G173" s="858">
        <v>65.03436006586125</v>
      </c>
      <c r="H173" s="3180">
        <v>96.986210363712289</v>
      </c>
      <c r="I173" s="858">
        <v>113.20966475838833</v>
      </c>
      <c r="J173" s="3180">
        <v>209.63472922164038</v>
      </c>
      <c r="K173" s="858">
        <v>149.95980884135244</v>
      </c>
      <c r="L173" s="3180">
        <v>133.68934133576852</v>
      </c>
      <c r="M173" s="858">
        <v>195.8030886143965</v>
      </c>
      <c r="N173" s="3180">
        <v>286.85494352512353</v>
      </c>
      <c r="O173" s="858">
        <v>147.3989999846624</v>
      </c>
      <c r="P173" s="3180">
        <v>280.8539887095294</v>
      </c>
      <c r="Q173" s="858">
        <v>93.843048004135753</v>
      </c>
      <c r="R173" s="3180">
        <v>61.351867317629903</v>
      </c>
      <c r="S173" s="480">
        <v>118.72388738885564</v>
      </c>
    </row>
    <row r="174" spans="1:19" ht="13.15" customHeight="1">
      <c r="A174" s="476">
        <f t="shared" si="2"/>
        <v>2017.09</v>
      </c>
      <c r="B174" s="478">
        <v>159.17565224836719</v>
      </c>
      <c r="C174" s="852">
        <v>81.254074932883654</v>
      </c>
      <c r="D174" s="3180">
        <v>172.04744677033733</v>
      </c>
      <c r="E174" s="858">
        <v>97.392455665743228</v>
      </c>
      <c r="F174" s="3180">
        <v>255.80974719679821</v>
      </c>
      <c r="G174" s="858">
        <v>66.014875298243751</v>
      </c>
      <c r="H174" s="3180">
        <v>88.825066630728827</v>
      </c>
      <c r="I174" s="858">
        <v>149.85997131970979</v>
      </c>
      <c r="J174" s="3180">
        <v>210.55611842084897</v>
      </c>
      <c r="K174" s="858">
        <v>148.85527917568086</v>
      </c>
      <c r="L174" s="3180">
        <v>159.56643740364126</v>
      </c>
      <c r="M174" s="858">
        <v>211.51827710366416</v>
      </c>
      <c r="N174" s="3180">
        <v>269.29706405844286</v>
      </c>
      <c r="O174" s="858">
        <v>163.96775874651976</v>
      </c>
      <c r="P174" s="3180">
        <v>308.99618532842845</v>
      </c>
      <c r="Q174" s="858">
        <v>120.52044681360046</v>
      </c>
      <c r="R174" s="3180">
        <v>65.967809628955195</v>
      </c>
      <c r="S174" s="480">
        <v>124.07795732366252</v>
      </c>
    </row>
    <row r="175" spans="1:19" ht="13.15" customHeight="1">
      <c r="A175" s="476">
        <f t="shared" si="2"/>
        <v>2017.1</v>
      </c>
      <c r="B175" s="478">
        <v>162.82488588333706</v>
      </c>
      <c r="C175" s="852">
        <v>92.988599214938517</v>
      </c>
      <c r="D175" s="3180">
        <v>181.15642413249196</v>
      </c>
      <c r="E175" s="858">
        <v>100.51532222868558</v>
      </c>
      <c r="F175" s="3180">
        <v>274.44965470637419</v>
      </c>
      <c r="G175" s="858">
        <v>55.473600975816623</v>
      </c>
      <c r="H175" s="3180">
        <v>93.00485246966862</v>
      </c>
      <c r="I175" s="858">
        <v>75.155208996525914</v>
      </c>
      <c r="J175" s="3180">
        <v>219.34321223776931</v>
      </c>
      <c r="K175" s="858">
        <v>126.6168927592569</v>
      </c>
      <c r="L175" s="3180">
        <v>162.74666386171941</v>
      </c>
      <c r="M175" s="858">
        <v>257.53671210829191</v>
      </c>
      <c r="N175" s="3180">
        <v>272.99845497311247</v>
      </c>
      <c r="O175" s="858">
        <v>144.63893426079471</v>
      </c>
      <c r="P175" s="3180">
        <v>283.3593906131062</v>
      </c>
      <c r="Q175" s="858">
        <v>102.30246539349356</v>
      </c>
      <c r="R175" s="3180">
        <v>60.640786923074501</v>
      </c>
      <c r="S175" s="480">
        <v>121.6803806899058</v>
      </c>
    </row>
    <row r="176" spans="1:19" ht="13.15" customHeight="1">
      <c r="A176" s="476">
        <f t="shared" si="2"/>
        <v>2017.11</v>
      </c>
      <c r="B176" s="478">
        <v>153.55196009684514</v>
      </c>
      <c r="C176" s="852">
        <v>91.095894936147559</v>
      </c>
      <c r="D176" s="3180">
        <v>158.66219945647327</v>
      </c>
      <c r="E176" s="858">
        <v>104.58722057778071</v>
      </c>
      <c r="F176" s="3180">
        <v>268.24596024815128</v>
      </c>
      <c r="G176" s="858">
        <v>49.675548875966477</v>
      </c>
      <c r="H176" s="3180">
        <v>86.422787375258736</v>
      </c>
      <c r="I176" s="858">
        <v>85.354441168339463</v>
      </c>
      <c r="J176" s="3180">
        <v>215.86062326040525</v>
      </c>
      <c r="K176" s="858">
        <v>147.71947729702524</v>
      </c>
      <c r="L176" s="3180">
        <v>146.96759773439877</v>
      </c>
      <c r="M176" s="858">
        <v>215.46102471027868</v>
      </c>
      <c r="N176" s="3180">
        <v>246.43641755141101</v>
      </c>
      <c r="O176" s="858">
        <v>142.62756162963294</v>
      </c>
      <c r="P176" s="3180">
        <v>279.00545342386209</v>
      </c>
      <c r="Q176" s="858">
        <v>114.02256564603829</v>
      </c>
      <c r="R176" s="3180">
        <v>67.752730662141403</v>
      </c>
      <c r="S176" s="480">
        <v>123.03118330870545</v>
      </c>
    </row>
    <row r="177" spans="1:19" ht="13.15" customHeight="1">
      <c r="A177" s="476">
        <f t="shared" si="2"/>
        <v>2017.12</v>
      </c>
      <c r="B177" s="478">
        <v>150.31412898956916</v>
      </c>
      <c r="C177" s="852">
        <v>95.745492137307735</v>
      </c>
      <c r="D177" s="3180">
        <v>102.60768473134485</v>
      </c>
      <c r="E177" s="858">
        <v>88.60539775600364</v>
      </c>
      <c r="F177" s="3180">
        <v>267.61497249491316</v>
      </c>
      <c r="G177" s="858">
        <v>52.074827488911929</v>
      </c>
      <c r="H177" s="3180">
        <v>80.763763018498736</v>
      </c>
      <c r="I177" s="858">
        <v>86.463865427512189</v>
      </c>
      <c r="J177" s="3180">
        <v>225.4267810257098</v>
      </c>
      <c r="K177" s="858">
        <v>119.36658831934854</v>
      </c>
      <c r="L177" s="3180">
        <v>137.59248092627942</v>
      </c>
      <c r="M177" s="858">
        <v>323.481404784277</v>
      </c>
      <c r="N177" s="3180">
        <v>279.86023714492757</v>
      </c>
      <c r="O177" s="858">
        <v>161.87237202395133</v>
      </c>
      <c r="P177" s="3180">
        <v>228.20588988603237</v>
      </c>
      <c r="Q177" s="858">
        <v>110.61747389532005</v>
      </c>
      <c r="R177" s="3180">
        <v>45.483304901541899</v>
      </c>
      <c r="S177" s="480">
        <v>110.75695410401481</v>
      </c>
    </row>
    <row r="178" spans="1:19" ht="13.15" customHeight="1">
      <c r="A178" s="476">
        <f t="shared" si="2"/>
        <v>2018.01</v>
      </c>
      <c r="B178" s="478">
        <v>135.48946452003344</v>
      </c>
      <c r="C178" s="852">
        <v>101.22991931798158</v>
      </c>
      <c r="D178" s="3180">
        <v>144.06969536473767</v>
      </c>
      <c r="E178" s="858">
        <v>92.568419765117355</v>
      </c>
      <c r="F178" s="3180">
        <v>286.05763405984851</v>
      </c>
      <c r="G178" s="858">
        <v>48.764294352060858</v>
      </c>
      <c r="H178" s="3180">
        <v>89.620934017379923</v>
      </c>
      <c r="I178" s="858">
        <v>71.749747781318376</v>
      </c>
      <c r="J178" s="3180">
        <v>181.50890955011783</v>
      </c>
      <c r="K178" s="858">
        <v>92.413441676527825</v>
      </c>
      <c r="L178" s="3180">
        <v>108.89726819004805</v>
      </c>
      <c r="M178" s="858">
        <v>205.19781747673136</v>
      </c>
      <c r="N178" s="3180">
        <v>227.89635767464736</v>
      </c>
      <c r="O178" s="858">
        <v>105.92634438650751</v>
      </c>
      <c r="P178" s="3180">
        <v>211.70328661308974</v>
      </c>
      <c r="Q178" s="858">
        <v>95.398477071118862</v>
      </c>
      <c r="R178" s="3180">
        <v>44.048135742114397</v>
      </c>
      <c r="S178" s="480">
        <v>100.47790601805417</v>
      </c>
    </row>
    <row r="179" spans="1:19" ht="13.15" customHeight="1">
      <c r="A179" s="476">
        <f t="shared" si="2"/>
        <v>2018.02</v>
      </c>
      <c r="B179" s="478">
        <v>132.09837666790014</v>
      </c>
      <c r="C179" s="852">
        <v>88.828799249992571</v>
      </c>
      <c r="D179" s="3180">
        <v>119.91909871852882</v>
      </c>
      <c r="E179" s="858">
        <v>92.590408716858065</v>
      </c>
      <c r="F179" s="3180">
        <v>253.94122084985673</v>
      </c>
      <c r="G179" s="858">
        <v>56.201817360127038</v>
      </c>
      <c r="H179" s="3180">
        <v>89.422781694689562</v>
      </c>
      <c r="I179" s="858">
        <v>64.80788907563786</v>
      </c>
      <c r="J179" s="3180">
        <v>174.55995689926397</v>
      </c>
      <c r="K179" s="858">
        <v>76.661349804029911</v>
      </c>
      <c r="L179" s="3180">
        <v>107.66966561401921</v>
      </c>
      <c r="M179" s="858">
        <v>222.57755363375915</v>
      </c>
      <c r="N179" s="3180">
        <v>205.58153325144869</v>
      </c>
      <c r="O179" s="858">
        <v>145.24265865131696</v>
      </c>
      <c r="P179" s="3180">
        <v>216.69151835526191</v>
      </c>
      <c r="Q179" s="858">
        <v>82.163948359921676</v>
      </c>
      <c r="R179" s="3180">
        <v>48.123445118240099</v>
      </c>
      <c r="S179" s="480">
        <v>104.67680156585484</v>
      </c>
    </row>
    <row r="180" spans="1:19" ht="13.15" customHeight="1">
      <c r="A180" s="476">
        <f t="shared" si="2"/>
        <v>2018.03</v>
      </c>
      <c r="B180" s="478">
        <v>153.56599129315032</v>
      </c>
      <c r="C180" s="852">
        <v>111.47171133134665</v>
      </c>
      <c r="D180" s="3180">
        <v>158.78234340958625</v>
      </c>
      <c r="E180" s="858">
        <v>106.25307360941889</v>
      </c>
      <c r="F180" s="3180">
        <v>282.74025168768952</v>
      </c>
      <c r="G180" s="858">
        <v>62.291330414591364</v>
      </c>
      <c r="H180" s="3180">
        <v>91.366820301204385</v>
      </c>
      <c r="I180" s="858">
        <v>83.906270061176727</v>
      </c>
      <c r="J180" s="3180">
        <v>197.18661738917783</v>
      </c>
      <c r="K180" s="858">
        <v>108.94541035343175</v>
      </c>
      <c r="L180" s="3180">
        <v>136.43251306935136</v>
      </c>
      <c r="M180" s="858">
        <v>227.95272588563364</v>
      </c>
      <c r="N180" s="3180">
        <v>237.62555928585309</v>
      </c>
      <c r="O180" s="858">
        <v>162.5885466216489</v>
      </c>
      <c r="P180" s="3180">
        <v>253.60490247630727</v>
      </c>
      <c r="Q180" s="858">
        <v>125.70593544470358</v>
      </c>
      <c r="R180" s="3181"/>
      <c r="S180" s="480">
        <v>123.36340605611578</v>
      </c>
    </row>
    <row r="181" spans="1:19" ht="13.15" customHeight="1">
      <c r="A181" s="476">
        <f t="shared" si="2"/>
        <v>2018.04</v>
      </c>
      <c r="B181" s="478">
        <v>145.5035459908361</v>
      </c>
      <c r="C181" s="852">
        <v>92.634287015810088</v>
      </c>
      <c r="D181" s="3180">
        <v>176.01546200440063</v>
      </c>
      <c r="E181" s="858">
        <v>102.48509141601546</v>
      </c>
      <c r="F181" s="3180">
        <v>266.49592921108643</v>
      </c>
      <c r="G181" s="858">
        <v>63.596995284385123</v>
      </c>
      <c r="H181" s="3180">
        <v>89.07267672677493</v>
      </c>
      <c r="I181" s="858">
        <v>71.798507191274922</v>
      </c>
      <c r="J181" s="3180">
        <v>194.15000868469929</v>
      </c>
      <c r="K181" s="858">
        <v>100.06085986526469</v>
      </c>
      <c r="L181" s="3180">
        <v>109.49772257338088</v>
      </c>
      <c r="M181" s="858">
        <v>227.53444767660264</v>
      </c>
      <c r="N181" s="3180">
        <v>261.41445689176533</v>
      </c>
      <c r="O181" s="858">
        <v>89.416128064549724</v>
      </c>
      <c r="P181" s="3180">
        <v>230.66151287190138</v>
      </c>
      <c r="Q181" s="858">
        <v>105.35846485719443</v>
      </c>
      <c r="R181" s="3181"/>
      <c r="S181" s="480">
        <v>122.11520249802724</v>
      </c>
    </row>
    <row r="182" spans="1:19" ht="13.15" customHeight="1">
      <c r="A182" s="476">
        <f t="shared" si="2"/>
        <v>2018.05</v>
      </c>
      <c r="B182" s="478">
        <v>153.15778046086865</v>
      </c>
      <c r="C182" s="852">
        <v>101.47891913103012</v>
      </c>
      <c r="D182" s="3180">
        <v>193.32598559667517</v>
      </c>
      <c r="E182" s="858">
        <v>100.82170137867105</v>
      </c>
      <c r="F182" s="3180">
        <v>263.66103394106932</v>
      </c>
      <c r="G182" s="858">
        <v>73.334156017607967</v>
      </c>
      <c r="H182" s="3180">
        <v>89.723020558563249</v>
      </c>
      <c r="I182" s="858">
        <v>80.272343009731046</v>
      </c>
      <c r="J182" s="3180">
        <v>227.23683458670553</v>
      </c>
      <c r="K182" s="858">
        <v>115.08127754237887</v>
      </c>
      <c r="L182" s="3180">
        <v>128.23827665068251</v>
      </c>
      <c r="M182" s="858">
        <v>215.6487049454328</v>
      </c>
      <c r="N182" s="3180">
        <v>232.00268826919014</v>
      </c>
      <c r="O182" s="858">
        <v>92.085738041744662</v>
      </c>
      <c r="P182" s="3180">
        <v>253.17073289305262</v>
      </c>
      <c r="Q182" s="858">
        <v>93.802824617758986</v>
      </c>
      <c r="R182" s="3181"/>
      <c r="S182" s="480">
        <v>127.53423349303877</v>
      </c>
    </row>
    <row r="183" spans="1:19" ht="13.15" customHeight="1">
      <c r="A183" s="476">
        <f t="shared" si="2"/>
        <v>2018.06</v>
      </c>
      <c r="B183" s="478">
        <v>147.75607448056905</v>
      </c>
      <c r="C183" s="852">
        <v>93.005430039831893</v>
      </c>
      <c r="D183" s="3180">
        <v>169.11715712338929</v>
      </c>
      <c r="E183" s="858">
        <v>88.291769136397747</v>
      </c>
      <c r="F183" s="3180">
        <v>248.32669810975668</v>
      </c>
      <c r="G183" s="858">
        <v>65.463400130883088</v>
      </c>
      <c r="H183" s="3180">
        <v>86.772157293414551</v>
      </c>
      <c r="I183" s="858">
        <v>68.337448939850631</v>
      </c>
      <c r="J183" s="3180">
        <v>209.74363731819892</v>
      </c>
      <c r="K183" s="858">
        <v>104.37704934383949</v>
      </c>
      <c r="L183" s="3180">
        <v>128.77768168785087</v>
      </c>
      <c r="M183" s="858">
        <v>184.7702262707862</v>
      </c>
      <c r="N183" s="3180">
        <v>224.38788280131499</v>
      </c>
      <c r="O183" s="858">
        <v>176.91741631087697</v>
      </c>
      <c r="P183" s="3180">
        <v>246.3138514050238</v>
      </c>
      <c r="Q183" s="858">
        <v>166.84816919787784</v>
      </c>
      <c r="R183" s="3181"/>
      <c r="S183" s="480">
        <v>124.88957563612728</v>
      </c>
    </row>
    <row r="184" spans="1:19" ht="13.15" customHeight="1">
      <c r="A184" s="476">
        <f t="shared" si="2"/>
        <v>2018.07</v>
      </c>
      <c r="B184" s="478">
        <v>148.70914266072148</v>
      </c>
      <c r="C184" s="852">
        <v>101.15058912879269</v>
      </c>
      <c r="D184" s="3180">
        <v>177.55216489876284</v>
      </c>
      <c r="E184" s="858">
        <v>123.62366159983593</v>
      </c>
      <c r="F184" s="3180">
        <v>243.44358812457989</v>
      </c>
      <c r="G184" s="858">
        <v>80.110622712016607</v>
      </c>
      <c r="H184" s="3180">
        <v>92.415891274553374</v>
      </c>
      <c r="I184" s="858">
        <v>69.577048059185714</v>
      </c>
      <c r="J184" s="3180">
        <v>211.83664829616313</v>
      </c>
      <c r="K184" s="858">
        <v>96.077910475365186</v>
      </c>
      <c r="L184" s="3180">
        <v>123.99749924582015</v>
      </c>
      <c r="M184" s="858">
        <v>184.74599581129976</v>
      </c>
      <c r="N184" s="3180">
        <v>219.73735942152518</v>
      </c>
      <c r="O184" s="858">
        <v>141.28952837097799</v>
      </c>
      <c r="P184" s="3180">
        <v>256.10276111804791</v>
      </c>
      <c r="Q184" s="858">
        <v>129.30292124168142</v>
      </c>
      <c r="R184" s="3181"/>
      <c r="S184" s="480">
        <v>121.37551646367963</v>
      </c>
    </row>
    <row r="185" spans="1:19" ht="13.15" customHeight="1">
      <c r="A185" s="476">
        <f t="shared" si="2"/>
        <v>2018.08</v>
      </c>
      <c r="B185" s="478">
        <v>149.31628323712161</v>
      </c>
      <c r="C185" s="852">
        <v>104.20118519290973</v>
      </c>
      <c r="D185" s="3180">
        <v>156.26703715009521</v>
      </c>
      <c r="E185" s="858">
        <v>123.58449959106225</v>
      </c>
      <c r="F185" s="3180">
        <v>262.17141489023243</v>
      </c>
      <c r="G185" s="858">
        <v>74.739810303785632</v>
      </c>
      <c r="H185" s="3180">
        <v>98.602913349967466</v>
      </c>
      <c r="I185" s="858">
        <v>98.239573025281359</v>
      </c>
      <c r="J185" s="3180">
        <v>222.6895333971076</v>
      </c>
      <c r="K185" s="858">
        <v>96.853126786906401</v>
      </c>
      <c r="L185" s="3180">
        <v>121.57250937056752</v>
      </c>
      <c r="M185" s="858">
        <v>192.31707332761093</v>
      </c>
      <c r="N185" s="3180">
        <v>281.75442721908973</v>
      </c>
      <c r="O185" s="858">
        <v>142.3262962587979</v>
      </c>
      <c r="P185" s="3180">
        <v>225.39354016045752</v>
      </c>
      <c r="Q185" s="858">
        <v>131.50435382373669</v>
      </c>
      <c r="R185" s="3181"/>
      <c r="S185" s="480">
        <v>126.52174771703353</v>
      </c>
    </row>
    <row r="186" spans="1:19" ht="13.15" customHeight="1">
      <c r="A186" s="476">
        <f t="shared" si="2"/>
        <v>2018.09</v>
      </c>
      <c r="B186" s="478">
        <v>137.16908858787679</v>
      </c>
      <c r="C186" s="852">
        <v>99.281672955673201</v>
      </c>
      <c r="D186" s="3180">
        <v>149.83286545554162</v>
      </c>
      <c r="E186" s="858">
        <v>113.18540207436919</v>
      </c>
      <c r="F186" s="3180">
        <v>228.62605302692288</v>
      </c>
      <c r="G186" s="858">
        <v>86.154615929989902</v>
      </c>
      <c r="H186" s="3180">
        <v>100.4326849618953</v>
      </c>
      <c r="I186" s="858">
        <v>95.344162574996801</v>
      </c>
      <c r="J186" s="3180">
        <v>249.90763881038168</v>
      </c>
      <c r="K186" s="858">
        <v>105.562147867321</v>
      </c>
      <c r="L186" s="3180">
        <v>126.45893579955948</v>
      </c>
      <c r="M186" s="858">
        <v>149.27449729037616</v>
      </c>
      <c r="N186" s="3180">
        <v>199.1823508720621</v>
      </c>
      <c r="O186" s="858">
        <v>97.266235389205193</v>
      </c>
      <c r="P186" s="3180">
        <v>151.48838976807281</v>
      </c>
      <c r="Q186" s="858">
        <v>106.03128186140499</v>
      </c>
      <c r="R186" s="3181"/>
      <c r="S186" s="480">
        <v>122.85156577424797</v>
      </c>
    </row>
    <row r="187" spans="1:19" ht="13.15" customHeight="1">
      <c r="A187" s="476">
        <f t="shared" si="2"/>
        <v>2018.1</v>
      </c>
      <c r="B187" s="478">
        <v>141.50817799750021</v>
      </c>
      <c r="C187" s="852">
        <v>128.36642629598634</v>
      </c>
      <c r="D187" s="3180">
        <v>171.47587259814119</v>
      </c>
      <c r="E187" s="858">
        <v>118.06219805396196</v>
      </c>
      <c r="F187" s="3180">
        <v>238.93480581631934</v>
      </c>
      <c r="G187" s="858">
        <v>62.664280578158646</v>
      </c>
      <c r="H187" s="3180">
        <v>104.99223423498199</v>
      </c>
      <c r="I187" s="858">
        <v>52.711757120251839</v>
      </c>
      <c r="J187" s="3180">
        <v>202.46983663580878</v>
      </c>
      <c r="K187" s="858">
        <v>108.59738613660926</v>
      </c>
      <c r="L187" s="3180">
        <v>151.84278423645608</v>
      </c>
      <c r="M187" s="858">
        <v>188.22958460741987</v>
      </c>
      <c r="N187" s="3180">
        <v>247.21037003855361</v>
      </c>
      <c r="O187" s="858">
        <v>70.831090015442825</v>
      </c>
      <c r="P187" s="3180">
        <v>201.5863357059493</v>
      </c>
      <c r="Q187" s="858">
        <v>99.735808577099263</v>
      </c>
      <c r="R187" s="3181"/>
      <c r="S187" s="480">
        <v>96.641758192132471</v>
      </c>
    </row>
    <row r="188" spans="1:19" ht="13.15" customHeight="1">
      <c r="A188" s="476">
        <f t="shared" si="2"/>
        <v>2018.11</v>
      </c>
      <c r="B188" s="478">
        <v>127.75359729927749</v>
      </c>
      <c r="C188" s="852">
        <v>123.84406769107289</v>
      </c>
      <c r="D188" s="3180">
        <v>140.85163008306048</v>
      </c>
      <c r="E188" s="858">
        <v>103.19584181678668</v>
      </c>
      <c r="F188" s="3180">
        <v>228.79705804497664</v>
      </c>
      <c r="G188" s="858">
        <v>63.981096035054456</v>
      </c>
      <c r="H188" s="3180">
        <v>85.419999549084537</v>
      </c>
      <c r="I188" s="858">
        <v>57.211600009095214</v>
      </c>
      <c r="J188" s="3180">
        <v>202.56243088364192</v>
      </c>
      <c r="K188" s="858">
        <v>105.53917483068977</v>
      </c>
      <c r="L188" s="3180">
        <v>105.41330767819704</v>
      </c>
      <c r="M188" s="858">
        <v>157.71380578486256</v>
      </c>
      <c r="N188" s="3180">
        <v>194.99669263544936</v>
      </c>
      <c r="O188" s="858">
        <v>133.5190174335344</v>
      </c>
      <c r="P188" s="3180">
        <v>159.7597653809236</v>
      </c>
      <c r="Q188" s="858">
        <v>97.850373638377278</v>
      </c>
      <c r="R188" s="3181"/>
      <c r="S188" s="480">
        <v>84.073642617306533</v>
      </c>
    </row>
    <row r="189" spans="1:19" ht="13.15" customHeight="1">
      <c r="A189" s="476">
        <f t="shared" si="2"/>
        <v>2018.12</v>
      </c>
      <c r="B189" s="478">
        <v>125.23386085199452</v>
      </c>
      <c r="C189" s="852">
        <v>115.79225428695142</v>
      </c>
      <c r="D189" s="3180">
        <v>140.85163008306048</v>
      </c>
      <c r="E189" s="858">
        <v>105.67653228638962</v>
      </c>
      <c r="F189" s="3180">
        <v>228.13476562910191</v>
      </c>
      <c r="G189" s="858">
        <v>54.848795637797927</v>
      </c>
      <c r="H189" s="3180">
        <v>82.571683108079185</v>
      </c>
      <c r="I189" s="858">
        <v>57.31108216370432</v>
      </c>
      <c r="J189" s="3180">
        <v>237.19688406499642</v>
      </c>
      <c r="K189" s="858">
        <v>86.299983660364248</v>
      </c>
      <c r="L189" s="3180">
        <v>112.22719491248547</v>
      </c>
      <c r="M189" s="858">
        <v>163.17238737949043</v>
      </c>
      <c r="N189" s="3180">
        <v>192.39915056071791</v>
      </c>
      <c r="O189" s="858">
        <v>106.51323998335539</v>
      </c>
      <c r="P189" s="3180">
        <v>100.84582944519721</v>
      </c>
      <c r="Q189" s="858">
        <v>93.736957717534906</v>
      </c>
      <c r="R189" s="3181"/>
      <c r="S189" s="480">
        <v>79.139139406267475</v>
      </c>
    </row>
    <row r="190" spans="1:19" ht="13.15" customHeight="1">
      <c r="A190" s="476">
        <f t="shared" si="2"/>
        <v>2019.01</v>
      </c>
      <c r="B190" s="478">
        <v>114.99691046218017</v>
      </c>
      <c r="C190" s="852">
        <v>102.08954336930684</v>
      </c>
      <c r="D190" s="3180">
        <v>129.63508797027507</v>
      </c>
      <c r="E190" s="858">
        <v>98.528200780746545</v>
      </c>
      <c r="F190" s="3180">
        <v>234.97526062455856</v>
      </c>
      <c r="G190" s="858">
        <v>61.237525010813457</v>
      </c>
      <c r="H190" s="3180">
        <v>81.873114704655492</v>
      </c>
      <c r="I190" s="858">
        <v>42.089709464917789</v>
      </c>
      <c r="J190" s="3180">
        <v>173.99489731590879</v>
      </c>
      <c r="K190" s="858">
        <v>77.745182873805632</v>
      </c>
      <c r="L190" s="3180">
        <v>118.40371841788088</v>
      </c>
      <c r="M190" s="858">
        <v>159.41964583694141</v>
      </c>
      <c r="N190" s="3180">
        <v>167.6067179013759</v>
      </c>
      <c r="O190" s="858">
        <v>65.230683959172438</v>
      </c>
      <c r="P190" s="3180">
        <v>102.40657803802307</v>
      </c>
      <c r="Q190" s="858">
        <v>107.13209629116604</v>
      </c>
      <c r="R190" s="3181"/>
      <c r="S190" s="480">
        <v>74.084700179306893</v>
      </c>
    </row>
    <row r="191" spans="1:19" ht="13.15" customHeight="1">
      <c r="A191" s="476">
        <f t="shared" si="2"/>
        <v>2019.02</v>
      </c>
      <c r="B191" s="478">
        <v>114.59184430749318</v>
      </c>
      <c r="C191" s="852">
        <v>84.706456222434241</v>
      </c>
      <c r="D191" s="3180">
        <v>114.88183791755627</v>
      </c>
      <c r="E191" s="858">
        <v>86.138024947316623</v>
      </c>
      <c r="F191" s="3180">
        <v>223.62353068247052</v>
      </c>
      <c r="G191" s="858">
        <v>51.539266860840662</v>
      </c>
      <c r="H191" s="3180">
        <v>78.056381198397347</v>
      </c>
      <c r="I191" s="858">
        <v>49.832983180203854</v>
      </c>
      <c r="J191" s="3180">
        <v>199.53877503103473</v>
      </c>
      <c r="K191" s="858">
        <v>73.974823107890813</v>
      </c>
      <c r="L191" s="3180">
        <v>97.399947150268304</v>
      </c>
      <c r="M191" s="858">
        <v>186.64880515742888</v>
      </c>
      <c r="N191" s="3180">
        <v>169.86108185943579</v>
      </c>
      <c r="O191" s="858">
        <v>75.279414028599689</v>
      </c>
      <c r="P191" s="3180">
        <v>175.99185243615094</v>
      </c>
      <c r="Q191" s="858">
        <v>55.913278047942683</v>
      </c>
      <c r="R191" s="3181"/>
      <c r="S191" s="480">
        <v>82.384384919493058</v>
      </c>
    </row>
    <row r="192" spans="1:19" ht="13.15" customHeight="1">
      <c r="A192" s="476">
        <f t="shared" si="2"/>
        <v>2019.03</v>
      </c>
      <c r="B192" s="478">
        <v>127.55184023938995</v>
      </c>
      <c r="C192" s="852">
        <v>93.725833849567749</v>
      </c>
      <c r="D192" s="3180">
        <v>154.77390424663463</v>
      </c>
      <c r="E192" s="858">
        <v>83.442858014777073</v>
      </c>
      <c r="F192" s="3180">
        <v>205.23760949462121</v>
      </c>
      <c r="G192" s="858">
        <v>65.936505062465741</v>
      </c>
      <c r="H192" s="3180">
        <v>90.670732251396103</v>
      </c>
      <c r="I192" s="858">
        <v>50.238438398731525</v>
      </c>
      <c r="J192" s="3180">
        <v>201.12124653601322</v>
      </c>
      <c r="K192" s="858">
        <v>93.690408235579326</v>
      </c>
      <c r="L192" s="3180">
        <v>109.32591281383441</v>
      </c>
      <c r="M192" s="858">
        <v>184.60091486255087</v>
      </c>
      <c r="N192" s="3180">
        <v>203.4628974223308</v>
      </c>
      <c r="O192" s="858">
        <v>95.703386931409312</v>
      </c>
      <c r="P192" s="3180">
        <v>158.15216091284242</v>
      </c>
      <c r="Q192" s="858">
        <v>79.899411019935485</v>
      </c>
      <c r="R192" s="3181"/>
      <c r="S192" s="480">
        <v>101.38666838877461</v>
      </c>
    </row>
    <row r="193" spans="1:20" ht="13.15" customHeight="1">
      <c r="A193" s="476">
        <f t="shared" si="2"/>
        <v>2019.04</v>
      </c>
      <c r="B193" s="478">
        <v>134.1243385980585</v>
      </c>
      <c r="C193" s="852">
        <v>98.595695706490019</v>
      </c>
      <c r="D193" s="3180">
        <v>203.30695637346903</v>
      </c>
      <c r="E193" s="858">
        <v>91.0321052155806</v>
      </c>
      <c r="F193" s="3180">
        <v>228.51876043125407</v>
      </c>
      <c r="G193" s="858">
        <v>60.703733748053899</v>
      </c>
      <c r="H193" s="3180">
        <v>89.361865494109594</v>
      </c>
      <c r="I193" s="858">
        <v>57.796497015964256</v>
      </c>
      <c r="J193" s="3180">
        <v>194.36100659537982</v>
      </c>
      <c r="K193" s="858">
        <v>95.321901844833704</v>
      </c>
      <c r="L193" s="3180">
        <v>104.45136030358834</v>
      </c>
      <c r="M193" s="858">
        <v>163.2926606598088</v>
      </c>
      <c r="N193" s="3180">
        <v>193.87714113771335</v>
      </c>
      <c r="O193" s="858">
        <v>84.188011033511614</v>
      </c>
      <c r="P193" s="3180">
        <v>191.31418186676433</v>
      </c>
      <c r="Q193" s="858">
        <v>71.678442668433576</v>
      </c>
      <c r="R193" s="3181"/>
      <c r="S193" s="480">
        <v>95.984146781212871</v>
      </c>
    </row>
    <row r="194" spans="1:20" ht="13.15" customHeight="1">
      <c r="A194" s="476">
        <f t="shared" si="2"/>
        <v>2019.05</v>
      </c>
      <c r="B194" s="478">
        <v>144.7163505415356</v>
      </c>
      <c r="C194" s="852">
        <v>111.27453980042326</v>
      </c>
      <c r="D194" s="3180">
        <v>210.41005208365021</v>
      </c>
      <c r="E194" s="858">
        <v>90.350670458150148</v>
      </c>
      <c r="F194" s="3180">
        <v>247.42120987582649</v>
      </c>
      <c r="G194" s="858">
        <v>76.586222917861591</v>
      </c>
      <c r="H194" s="3180">
        <v>94.443073420981833</v>
      </c>
      <c r="I194" s="858">
        <v>77.874426470983181</v>
      </c>
      <c r="J194" s="3180">
        <v>210.12087103418389</v>
      </c>
      <c r="K194" s="858">
        <v>101.402039377647</v>
      </c>
      <c r="L194" s="3180">
        <v>137.21098995735881</v>
      </c>
      <c r="M194" s="858">
        <v>152.69669191377903</v>
      </c>
      <c r="N194" s="3180">
        <v>239.93323843957941</v>
      </c>
      <c r="O194" s="858">
        <v>109.41923434726743</v>
      </c>
      <c r="P194" s="3180">
        <v>186.7458424261896</v>
      </c>
      <c r="Q194" s="858">
        <v>73.3170035844296</v>
      </c>
      <c r="R194" s="3181"/>
      <c r="S194" s="480">
        <v>98.87969307366113</v>
      </c>
    </row>
    <row r="195" spans="1:20" s="566" customFormat="1" ht="13.15" customHeight="1">
      <c r="A195" s="476">
        <f t="shared" si="2"/>
        <v>2019.06</v>
      </c>
      <c r="B195" s="478">
        <v>136.40585467423767</v>
      </c>
      <c r="C195" s="852">
        <v>105.66754994930552</v>
      </c>
      <c r="D195" s="3180">
        <v>227.49055699098756</v>
      </c>
      <c r="E195" s="858">
        <v>79.770940138162175</v>
      </c>
      <c r="F195" s="3180">
        <v>225.197984051991</v>
      </c>
      <c r="G195" s="858">
        <v>58.574988804132033</v>
      </c>
      <c r="H195" s="3180">
        <v>80.70308201016924</v>
      </c>
      <c r="I195" s="858">
        <v>88.937009507962159</v>
      </c>
      <c r="J195" s="3180">
        <v>196.40098610072005</v>
      </c>
      <c r="K195" s="858">
        <v>95.642597938213598</v>
      </c>
      <c r="L195" s="3180">
        <v>113.14904565885828</v>
      </c>
      <c r="M195" s="858">
        <v>150.83334445757799</v>
      </c>
      <c r="N195" s="3180">
        <v>208.83850702374914</v>
      </c>
      <c r="O195" s="858">
        <v>65.592838264797933</v>
      </c>
      <c r="P195" s="3180">
        <v>173.46337132204678</v>
      </c>
      <c r="Q195" s="858">
        <v>88.847732067210316</v>
      </c>
      <c r="R195" s="3181"/>
      <c r="S195" s="480">
        <v>97.688578096985765</v>
      </c>
      <c r="T195" s="565"/>
    </row>
    <row r="196" spans="1:20" ht="13.15" customHeight="1">
      <c r="A196" s="476">
        <f t="shared" si="2"/>
        <v>2019.07</v>
      </c>
      <c r="B196" s="478">
        <v>148.34587210904201</v>
      </c>
      <c r="C196" s="852">
        <v>120.14282010731441</v>
      </c>
      <c r="D196" s="3180">
        <v>236.44199381383294</v>
      </c>
      <c r="E196" s="858">
        <v>90.702254642220481</v>
      </c>
      <c r="F196" s="3180">
        <v>231.48112675315505</v>
      </c>
      <c r="G196" s="858">
        <v>72.58003145803174</v>
      </c>
      <c r="H196" s="3180">
        <v>80.359714404100728</v>
      </c>
      <c r="I196" s="858">
        <v>56.905512926445994</v>
      </c>
      <c r="J196" s="3180">
        <v>196.54440805155008</v>
      </c>
      <c r="K196" s="858">
        <v>95.556391796219998</v>
      </c>
      <c r="L196" s="3180">
        <v>133.90317780520795</v>
      </c>
      <c r="M196" s="858">
        <v>165.94872788675619</v>
      </c>
      <c r="N196" s="3180">
        <v>265.06915784503576</v>
      </c>
      <c r="O196" s="858">
        <v>116.71128545531576</v>
      </c>
      <c r="P196" s="3180">
        <v>213.95902894755378</v>
      </c>
      <c r="Q196" s="858">
        <v>96.965750844611094</v>
      </c>
      <c r="R196" s="3181"/>
      <c r="S196" s="480">
        <v>92.811571320767939</v>
      </c>
    </row>
    <row r="197" spans="1:20" ht="13.15" customHeight="1">
      <c r="A197" s="476">
        <f t="shared" si="2"/>
        <v>2019.08</v>
      </c>
      <c r="B197" s="478">
        <v>148.1220351153589</v>
      </c>
      <c r="C197" s="852">
        <v>131.28910165448048</v>
      </c>
      <c r="D197" s="3180">
        <v>224.50357886813887</v>
      </c>
      <c r="E197" s="3180">
        <v>106.31478419050443</v>
      </c>
      <c r="F197" s="3180">
        <v>217.89552904798848</v>
      </c>
      <c r="G197" s="3180">
        <v>78.295931655442146</v>
      </c>
      <c r="H197" s="3180">
        <v>88.146551930722794</v>
      </c>
      <c r="I197" s="3180">
        <v>52.942885483525046</v>
      </c>
      <c r="J197" s="3180">
        <v>226.76365314375187</v>
      </c>
      <c r="K197" s="3180">
        <v>108.14039261854707</v>
      </c>
      <c r="L197" s="3180">
        <v>110.00803679865611</v>
      </c>
      <c r="M197" s="3180">
        <v>184.94438522155338</v>
      </c>
      <c r="N197" s="3180">
        <v>247.27086759296992</v>
      </c>
      <c r="O197" s="3180">
        <v>89.667186287445517</v>
      </c>
      <c r="P197" s="3180">
        <v>193.49325357565417</v>
      </c>
      <c r="Q197" s="858">
        <v>98.91127086202998</v>
      </c>
      <c r="R197" s="3181"/>
      <c r="S197" s="480">
        <v>103.8657233998829</v>
      </c>
    </row>
    <row r="198" spans="1:20" ht="13.15" customHeight="1">
      <c r="A198" s="476">
        <f t="shared" si="2"/>
        <v>2019.09</v>
      </c>
      <c r="B198" s="478">
        <v>138.57061217783962</v>
      </c>
      <c r="C198" s="3180">
        <v>147.25384681060288</v>
      </c>
      <c r="D198" s="3180">
        <v>164.00498443070302</v>
      </c>
      <c r="E198" s="3180">
        <v>106.67759280720176</v>
      </c>
      <c r="F198" s="3180">
        <v>221.73067694742289</v>
      </c>
      <c r="G198" s="3180">
        <v>69.204216936155163</v>
      </c>
      <c r="H198" s="3180">
        <v>70.406749382294066</v>
      </c>
      <c r="I198" s="3180">
        <v>91.854565811108742</v>
      </c>
      <c r="J198" s="3180">
        <v>242.43211952999462</v>
      </c>
      <c r="K198" s="3180">
        <v>108.38239138316568</v>
      </c>
      <c r="L198" s="3180">
        <v>125.89253919996484</v>
      </c>
      <c r="M198" s="3180">
        <v>181.58548941328806</v>
      </c>
      <c r="N198" s="3180">
        <v>244.42287492037971</v>
      </c>
      <c r="O198" s="3180">
        <v>82.499360980175723</v>
      </c>
      <c r="P198" s="3180">
        <v>189.29950943679276</v>
      </c>
      <c r="Q198" s="3180">
        <v>88.08952186811446</v>
      </c>
      <c r="R198" s="3181"/>
      <c r="S198" s="480">
        <v>92.869627849423253</v>
      </c>
    </row>
    <row r="199" spans="1:20" ht="13.15" customHeight="1">
      <c r="A199" s="476">
        <f t="shared" si="2"/>
        <v>2019.1</v>
      </c>
      <c r="B199" s="478">
        <v>151.55457322334681</v>
      </c>
      <c r="C199" s="3180">
        <v>157.20832411068341</v>
      </c>
      <c r="D199" s="3180">
        <v>211.52001837775094</v>
      </c>
      <c r="E199" s="3180">
        <v>128.44546098557282</v>
      </c>
      <c r="F199" s="3180">
        <v>242.52149826900302</v>
      </c>
      <c r="G199" s="3180">
        <v>75.686562784533265</v>
      </c>
      <c r="H199" s="3180">
        <v>76.774417637062413</v>
      </c>
      <c r="I199" s="3180">
        <v>64.766216138357862</v>
      </c>
      <c r="J199" s="3180">
        <v>228.60635976117325</v>
      </c>
      <c r="K199" s="3180">
        <v>118.49880560076727</v>
      </c>
      <c r="L199" s="3180">
        <v>114.36988395802507</v>
      </c>
      <c r="M199" s="3180">
        <v>222.22566927217517</v>
      </c>
      <c r="N199" s="3180">
        <v>253.41181654996137</v>
      </c>
      <c r="O199" s="3180">
        <v>65.780091188724199</v>
      </c>
      <c r="P199" s="3180">
        <v>163.92306640483167</v>
      </c>
      <c r="Q199" s="3180">
        <v>97.406155391157228</v>
      </c>
      <c r="R199" s="3181"/>
      <c r="S199" s="480">
        <v>100.81918339932389</v>
      </c>
    </row>
    <row r="200" spans="1:20" ht="13.15" customHeight="1">
      <c r="A200" s="476">
        <f t="shared" si="2"/>
        <v>2019.11</v>
      </c>
      <c r="B200" s="478">
        <v>131.13477004636684</v>
      </c>
      <c r="C200" s="3180">
        <v>145.7315579780014</v>
      </c>
      <c r="D200" s="3180">
        <v>157.11825468351432</v>
      </c>
      <c r="E200" s="3180">
        <v>107.35260740041591</v>
      </c>
      <c r="F200" s="3180">
        <v>224.77249044371547</v>
      </c>
      <c r="G200" s="3180">
        <v>56.844555367001121</v>
      </c>
      <c r="H200" s="3180">
        <v>82.263290928561688</v>
      </c>
      <c r="I200" s="3180">
        <v>58.251041157142495</v>
      </c>
      <c r="J200" s="3180">
        <v>205.48200580804956</v>
      </c>
      <c r="K200" s="3180">
        <v>95.371441065546492</v>
      </c>
      <c r="L200" s="3180">
        <v>106.67460489626939</v>
      </c>
      <c r="M200" s="3180">
        <v>160.54768477466152</v>
      </c>
      <c r="N200" s="3180">
        <v>189.70930094039224</v>
      </c>
      <c r="O200" s="3180">
        <v>94.606425971014986</v>
      </c>
      <c r="P200" s="3180">
        <v>221.55694179978664</v>
      </c>
      <c r="Q200" s="3180">
        <v>103.73302590695955</v>
      </c>
      <c r="R200" s="3181"/>
      <c r="S200" s="480">
        <v>92.7717135288853</v>
      </c>
    </row>
    <row r="201" spans="1:20" ht="13.15" customHeight="1">
      <c r="A201" s="476">
        <f t="shared" si="2"/>
        <v>2019.12</v>
      </c>
      <c r="B201" s="478">
        <v>127.64330175515747</v>
      </c>
      <c r="C201" s="3180">
        <v>125.31207583691028</v>
      </c>
      <c r="D201" s="3180">
        <v>139.34199519394508</v>
      </c>
      <c r="E201" s="3180">
        <v>96.714185084189197</v>
      </c>
      <c r="F201" s="3180">
        <v>226.82684594966648</v>
      </c>
      <c r="G201" s="3180">
        <v>58.796415552338637</v>
      </c>
      <c r="H201" s="3180">
        <v>81.59117852555471</v>
      </c>
      <c r="I201" s="3180">
        <v>47.277529113785938</v>
      </c>
      <c r="J201" s="3180">
        <v>234.13253804519735</v>
      </c>
      <c r="K201" s="3180">
        <v>107.03116185166891</v>
      </c>
      <c r="L201" s="3180">
        <v>88.134754402205601</v>
      </c>
      <c r="M201" s="3180">
        <v>145.50583263059252</v>
      </c>
      <c r="N201" s="3180">
        <v>197.02790649818701</v>
      </c>
      <c r="O201" s="3180">
        <v>139.42056635394286</v>
      </c>
      <c r="P201" s="3180">
        <v>201.3011653342769</v>
      </c>
      <c r="Q201" s="3180">
        <v>100.82243943098393</v>
      </c>
      <c r="R201" s="3181"/>
      <c r="S201" s="480">
        <v>85.946508630019707</v>
      </c>
    </row>
    <row r="202" spans="1:20" ht="13.15" customHeight="1">
      <c r="A202" s="476">
        <f t="shared" si="2"/>
        <v>2020.01</v>
      </c>
      <c r="B202" s="478">
        <v>107.54477067679773</v>
      </c>
      <c r="C202" s="3180">
        <v>103.38400627430946</v>
      </c>
      <c r="D202" s="3180">
        <v>118.84178023777403</v>
      </c>
      <c r="E202" s="3180">
        <v>100.08010520445472</v>
      </c>
      <c r="F202" s="3180">
        <v>218.56760519884881</v>
      </c>
      <c r="G202" s="3180">
        <v>60.882504436844371</v>
      </c>
      <c r="H202" s="3180">
        <v>81.205007372774958</v>
      </c>
      <c r="I202" s="3180">
        <v>21.459382594038448</v>
      </c>
      <c r="J202" s="3180">
        <v>190.37793541430739</v>
      </c>
      <c r="K202" s="3180">
        <v>77.115591551379609</v>
      </c>
      <c r="L202" s="3180">
        <v>71.588105019610168</v>
      </c>
      <c r="M202" s="3180">
        <v>146.34394803308979</v>
      </c>
      <c r="N202" s="3180">
        <v>198.23711712984766</v>
      </c>
      <c r="O202" s="3180">
        <v>62.03682037045035</v>
      </c>
      <c r="P202" s="3180">
        <v>148.45919616733116</v>
      </c>
      <c r="Q202" s="3180">
        <v>60.819996985444206</v>
      </c>
      <c r="R202" s="3181"/>
      <c r="S202" s="480">
        <v>64.439415040118732</v>
      </c>
    </row>
    <row r="203" spans="1:20" ht="13.15" customHeight="1">
      <c r="A203" s="476">
        <f t="shared" si="2"/>
        <v>2020.02</v>
      </c>
      <c r="B203" s="478">
        <v>107.12172557018545</v>
      </c>
      <c r="C203" s="3180">
        <v>80.140701077629174</v>
      </c>
      <c r="D203" s="3180">
        <v>139.59094961062289</v>
      </c>
      <c r="E203" s="3180">
        <v>90.388478761271699</v>
      </c>
      <c r="F203" s="3180">
        <v>212.10864836918762</v>
      </c>
      <c r="G203" s="3180">
        <v>48.078803218689728</v>
      </c>
      <c r="H203" s="3180">
        <v>71.127434554480516</v>
      </c>
      <c r="I203" s="3180">
        <v>34.779720993707024</v>
      </c>
      <c r="J203" s="3180">
        <v>176.11715884636206</v>
      </c>
      <c r="K203" s="3180">
        <v>84.735793083388955</v>
      </c>
      <c r="L203" s="3180">
        <v>77.238270059036509</v>
      </c>
      <c r="M203" s="3180">
        <v>139.82910553299408</v>
      </c>
      <c r="N203" s="3180">
        <v>183.97607885597606</v>
      </c>
      <c r="O203" s="3180">
        <v>59.546489089592569</v>
      </c>
      <c r="P203" s="3180">
        <v>145.27917887635829</v>
      </c>
      <c r="Q203" s="3180">
        <v>72.289762451688048</v>
      </c>
      <c r="R203" s="3181"/>
      <c r="S203" s="480">
        <v>67.666525458809545</v>
      </c>
    </row>
    <row r="204" spans="1:20" ht="13.15" customHeight="1">
      <c r="A204" s="476">
        <f t="shared" si="2"/>
        <v>2020.03</v>
      </c>
      <c r="B204" s="478">
        <v>100.77974665150822</v>
      </c>
      <c r="C204" s="3180">
        <v>90.621907729441489</v>
      </c>
      <c r="D204" s="3180">
        <v>145.48405799854359</v>
      </c>
      <c r="E204" s="3180">
        <v>97.681500974754584</v>
      </c>
      <c r="F204" s="3180">
        <v>205.29957544441649</v>
      </c>
      <c r="G204" s="3180">
        <v>47.259482057760991</v>
      </c>
      <c r="H204" s="3180">
        <v>63.693401838954514</v>
      </c>
      <c r="I204" s="3180">
        <v>23.660843241665681</v>
      </c>
      <c r="J204" s="3180">
        <v>147.46776100716065</v>
      </c>
      <c r="K204" s="3180">
        <v>63.121200142224296</v>
      </c>
      <c r="L204" s="3180">
        <v>60.258187912126033</v>
      </c>
      <c r="M204" s="3180">
        <v>152.16278164186227</v>
      </c>
      <c r="N204" s="3180">
        <v>188.02122547379915</v>
      </c>
      <c r="O204" s="3180">
        <v>35.87266258291897</v>
      </c>
      <c r="P204" s="3180">
        <v>121.72202358200609</v>
      </c>
      <c r="Q204" s="3180">
        <v>61.059579901830041</v>
      </c>
      <c r="R204" s="3181"/>
      <c r="S204" s="480">
        <v>50.613500032142703</v>
      </c>
    </row>
    <row r="205" spans="1:20" ht="13.15" customHeight="1">
      <c r="A205" s="476">
        <f t="shared" si="2"/>
        <v>2020.04</v>
      </c>
      <c r="B205" s="478">
        <v>102.10068282838235</v>
      </c>
      <c r="C205" s="3180">
        <v>96.369366096070081</v>
      </c>
      <c r="D205" s="3180">
        <v>195.94623973615819</v>
      </c>
      <c r="E205" s="3180">
        <v>105.05190350633315</v>
      </c>
      <c r="F205" s="3180">
        <v>229.26957284829481</v>
      </c>
      <c r="G205" s="3180">
        <v>22.890206229018546</v>
      </c>
      <c r="H205" s="3180">
        <v>66.65486480016142</v>
      </c>
      <c r="I205" s="3180">
        <v>21.043946225220765</v>
      </c>
      <c r="J205" s="3180">
        <v>137.63789591932283</v>
      </c>
      <c r="K205" s="3180">
        <v>44.288450999243075</v>
      </c>
      <c r="L205" s="3180">
        <v>49.435987306806169</v>
      </c>
      <c r="M205" s="3180">
        <v>170.8727975114646</v>
      </c>
      <c r="N205" s="3180">
        <v>70.803903128312612</v>
      </c>
      <c r="O205" s="3180">
        <v>17.593235761038258</v>
      </c>
      <c r="P205" s="3180">
        <v>46.005652401195718</v>
      </c>
      <c r="Q205" s="3180">
        <v>86.080079553104042</v>
      </c>
      <c r="R205" s="3181"/>
      <c r="S205" s="480">
        <v>33.018992116172981</v>
      </c>
    </row>
    <row r="206" spans="1:20" ht="13.15" customHeight="1">
      <c r="A206" s="476">
        <f t="shared" si="2"/>
        <v>2020.05</v>
      </c>
      <c r="B206" s="478">
        <v>125.4697516713824</v>
      </c>
      <c r="C206" s="3180">
        <v>102.5723776355463</v>
      </c>
      <c r="D206" s="3180">
        <v>213.2261931032088</v>
      </c>
      <c r="E206" s="3180">
        <v>102.45040969943925</v>
      </c>
      <c r="F206" s="3180">
        <v>222.31597440634076</v>
      </c>
      <c r="G206" s="3180">
        <v>34.423918968053933</v>
      </c>
      <c r="H206" s="3180">
        <v>76.891752855027491</v>
      </c>
      <c r="I206" s="3180">
        <v>25.034671028732273</v>
      </c>
      <c r="J206" s="3180">
        <v>174.20083158345082</v>
      </c>
      <c r="K206" s="3180">
        <v>76.211647239100003</v>
      </c>
      <c r="L206" s="3180">
        <v>102.65264872186674</v>
      </c>
      <c r="M206" s="3180">
        <v>182.34452512268069</v>
      </c>
      <c r="N206" s="3180">
        <v>168.21958782114623</v>
      </c>
      <c r="O206" s="3180">
        <v>38.463742870679326</v>
      </c>
      <c r="P206" s="3180">
        <v>144.76940664569142</v>
      </c>
      <c r="Q206" s="3180">
        <v>69.672880586640986</v>
      </c>
      <c r="R206" s="3181"/>
      <c r="S206" s="480">
        <v>71.531627076395679</v>
      </c>
    </row>
    <row r="207" spans="1:20" ht="13.15" customHeight="1">
      <c r="A207" s="476">
        <f t="shared" si="2"/>
        <v>2020.06</v>
      </c>
      <c r="B207" s="478">
        <v>135.57362146649717</v>
      </c>
      <c r="C207" s="3180">
        <v>102.76639606138262</v>
      </c>
      <c r="D207" s="3180">
        <v>187.86275987102928</v>
      </c>
      <c r="E207" s="3180">
        <v>113.2493051034086</v>
      </c>
      <c r="F207" s="3180">
        <v>233.24469864077741</v>
      </c>
      <c r="G207" s="3180">
        <v>51.461517968297244</v>
      </c>
      <c r="H207" s="3180">
        <v>76.080122404350192</v>
      </c>
      <c r="I207" s="3180">
        <v>25.257853776655612</v>
      </c>
      <c r="J207" s="3180">
        <v>183.49638901269083</v>
      </c>
      <c r="K207" s="3180">
        <v>114.69864327193551</v>
      </c>
      <c r="L207" s="3180">
        <v>106.37683909133955</v>
      </c>
      <c r="M207" s="3180">
        <v>212.65633722392158</v>
      </c>
      <c r="N207" s="3180">
        <v>208.12795743162931</v>
      </c>
      <c r="O207" s="3180">
        <v>61.395552942476314</v>
      </c>
      <c r="P207" s="3180">
        <v>228.06146811964325</v>
      </c>
      <c r="Q207" s="3180">
        <v>68.244582233971968</v>
      </c>
      <c r="R207" s="3181"/>
      <c r="S207" s="480">
        <v>91.063439131499493</v>
      </c>
    </row>
    <row r="208" spans="1:20" ht="13.15" customHeight="1">
      <c r="A208" s="476">
        <f t="shared" si="2"/>
        <v>2020.07</v>
      </c>
      <c r="B208" s="478">
        <v>131.97403558066543</v>
      </c>
      <c r="C208" s="3180">
        <v>107.96675430380384</v>
      </c>
      <c r="D208" s="3180">
        <v>177.69450936495105</v>
      </c>
      <c r="E208" s="3180">
        <v>128.03070783308695</v>
      </c>
      <c r="F208" s="3180">
        <v>225.33602039252531</v>
      </c>
      <c r="G208" s="3180">
        <v>48.305720616063617</v>
      </c>
      <c r="H208" s="3180">
        <v>76.5361571344542</v>
      </c>
      <c r="I208" s="3180">
        <v>32.803417513771421</v>
      </c>
      <c r="J208" s="3180">
        <v>175.12068158832642</v>
      </c>
      <c r="K208" s="3180">
        <v>95.605148313778173</v>
      </c>
      <c r="L208" s="3180">
        <v>114.86356446743505</v>
      </c>
      <c r="M208" s="3180">
        <v>182.31421156089627</v>
      </c>
      <c r="N208" s="3180">
        <v>206.54140350629743</v>
      </c>
      <c r="O208" s="3180">
        <v>66.790765963615371</v>
      </c>
      <c r="P208" s="3180">
        <v>233.42148280688031</v>
      </c>
      <c r="Q208" s="3180">
        <v>98.945689718606587</v>
      </c>
      <c r="R208" s="3181"/>
      <c r="S208" s="480">
        <v>91.280423042770678</v>
      </c>
    </row>
    <row r="209" spans="1:19" ht="13.15" customHeight="1">
      <c r="A209" s="476">
        <f t="shared" si="2"/>
        <v>2020.08</v>
      </c>
      <c r="B209" s="478">
        <v>135.32982150946225</v>
      </c>
      <c r="C209" s="3180">
        <v>95.510178307829719</v>
      </c>
      <c r="D209" s="3180">
        <v>181.83686392228157</v>
      </c>
      <c r="E209" s="3180">
        <v>122.15273181603004</v>
      </c>
      <c r="F209" s="3180">
        <v>225.38875400788757</v>
      </c>
      <c r="G209" s="3180">
        <v>40.904947874420166</v>
      </c>
      <c r="H209" s="3180">
        <v>74.304631097808723</v>
      </c>
      <c r="I209" s="3180">
        <v>34.416323728850884</v>
      </c>
      <c r="J209" s="3180">
        <v>184.17519845126358</v>
      </c>
      <c r="K209" s="3180">
        <v>98.557067128936851</v>
      </c>
      <c r="L209" s="3180">
        <v>116.23998875203516</v>
      </c>
      <c r="M209" s="3180">
        <v>226.11279294886515</v>
      </c>
      <c r="N209" s="3180">
        <v>213.85499844289231</v>
      </c>
      <c r="O209" s="3180">
        <v>80.172981492734905</v>
      </c>
      <c r="P209" s="3180">
        <v>205.4703426190394</v>
      </c>
      <c r="Q209" s="3180">
        <v>71.018024969050586</v>
      </c>
      <c r="R209" s="3181"/>
      <c r="S209" s="480">
        <v>86.447779266539257</v>
      </c>
    </row>
    <row r="210" spans="1:19" ht="13.15" customHeight="1">
      <c r="A210" s="476">
        <f t="shared" si="2"/>
        <v>2020.09</v>
      </c>
      <c r="B210" s="478">
        <v>141.04050646375956</v>
      </c>
      <c r="C210" s="3180">
        <v>101.56902931658986</v>
      </c>
      <c r="D210" s="3180">
        <v>172.52612307364916</v>
      </c>
      <c r="E210" s="3180">
        <v>131.83278200327354</v>
      </c>
      <c r="F210" s="3180">
        <v>244.80600480894583</v>
      </c>
      <c r="G210" s="3180">
        <v>39.070519425855224</v>
      </c>
      <c r="H210" s="3180">
        <v>79.054203567071184</v>
      </c>
      <c r="I210" s="3180">
        <v>67.257309550746712</v>
      </c>
      <c r="J210" s="3180">
        <v>203.69395332779544</v>
      </c>
      <c r="K210" s="3180">
        <v>106.91931978019315</v>
      </c>
      <c r="L210" s="3180">
        <v>117.58528756260409</v>
      </c>
      <c r="M210" s="3180">
        <v>227.99640660687382</v>
      </c>
      <c r="N210" s="3180">
        <v>223.91260380301222</v>
      </c>
      <c r="O210" s="3180">
        <v>90.032731269920916</v>
      </c>
      <c r="P210" s="3180">
        <v>244.35309323904903</v>
      </c>
      <c r="Q210" s="3180">
        <v>103.42579216486357</v>
      </c>
      <c r="R210" s="3181"/>
      <c r="S210" s="480">
        <v>90.852669483797271</v>
      </c>
    </row>
    <row r="211" spans="1:19" ht="13.15" customHeight="1">
      <c r="A211" s="476">
        <f t="shared" si="2"/>
        <v>2020.1</v>
      </c>
      <c r="B211" s="478">
        <v>142.69944585104375</v>
      </c>
      <c r="C211" s="3180">
        <v>115.57641413075559</v>
      </c>
      <c r="D211" s="3180">
        <v>160.7497006418115</v>
      </c>
      <c r="E211" s="3180">
        <v>137.9288330743768</v>
      </c>
      <c r="F211" s="3180">
        <v>252.6910903725948</v>
      </c>
      <c r="G211" s="3180">
        <v>48.154423540690296</v>
      </c>
      <c r="H211" s="3180">
        <v>68.52228526735577</v>
      </c>
      <c r="I211" s="3180">
        <v>48.851216572983731</v>
      </c>
      <c r="J211" s="3180">
        <v>196.75932878574494</v>
      </c>
      <c r="K211" s="3180">
        <v>129.522389832502</v>
      </c>
      <c r="L211" s="3180">
        <v>121.33027432849445</v>
      </c>
      <c r="M211" s="3180">
        <v>237.93331639672141</v>
      </c>
      <c r="N211" s="3180">
        <v>213.31785539275234</v>
      </c>
      <c r="O211" s="3180">
        <v>83.912875004835385</v>
      </c>
      <c r="P211" s="3180">
        <v>257.61794145350098</v>
      </c>
      <c r="Q211" s="3180">
        <v>84.311045442261673</v>
      </c>
      <c r="R211" s="3181"/>
      <c r="S211" s="480">
        <v>97.675818191116974</v>
      </c>
    </row>
    <row r="212" spans="1:19" ht="13.15" customHeight="1">
      <c r="A212" s="476">
        <f t="shared" si="2"/>
        <v>2020.11</v>
      </c>
      <c r="B212" s="478">
        <v>129.94696765750848</v>
      </c>
      <c r="C212" s="3180">
        <v>102.88554216491717</v>
      </c>
      <c r="D212" s="3180">
        <v>153.19375008069204</v>
      </c>
      <c r="E212" s="3180">
        <v>118.90973769331355</v>
      </c>
      <c r="F212" s="3180">
        <v>227.91851251425825</v>
      </c>
      <c r="G212" s="3180">
        <v>44.883031515531236</v>
      </c>
      <c r="H212" s="3180">
        <v>70.763276600425868</v>
      </c>
      <c r="I212" s="3180">
        <v>42.037920190498788</v>
      </c>
      <c r="J212" s="3180">
        <v>185.3266633517494</v>
      </c>
      <c r="K212" s="3180">
        <v>110.31724945264726</v>
      </c>
      <c r="L212" s="3180">
        <v>106.2345648271864</v>
      </c>
      <c r="M212" s="3180">
        <v>224.14979695471536</v>
      </c>
      <c r="N212" s="3180">
        <v>208.97019541498022</v>
      </c>
      <c r="O212" s="3180">
        <v>69.840337602489768</v>
      </c>
      <c r="P212" s="3180">
        <v>198.08861889561831</v>
      </c>
      <c r="Q212" s="3180">
        <v>82.350812268176</v>
      </c>
      <c r="R212" s="3181"/>
      <c r="S212" s="480">
        <v>87.808482391110246</v>
      </c>
    </row>
    <row r="213" spans="1:19" ht="13.15" customHeight="1">
      <c r="A213" s="476">
        <f t="shared" si="2"/>
        <v>2020.12</v>
      </c>
      <c r="B213" s="478">
        <v>111.46062854312962</v>
      </c>
      <c r="C213" s="3180">
        <v>77.307513941806789</v>
      </c>
      <c r="D213" s="3180">
        <v>32.6875249588823</v>
      </c>
      <c r="E213" s="3180">
        <v>137.40485521553893</v>
      </c>
      <c r="F213" s="3180">
        <v>240.1212891642821</v>
      </c>
      <c r="G213" s="3180">
        <v>38.574084099520284</v>
      </c>
      <c r="H213" s="3180">
        <v>63.639092876075608</v>
      </c>
      <c r="I213" s="3180">
        <v>44.958958876241979</v>
      </c>
      <c r="J213" s="3180">
        <v>214.22684037141505</v>
      </c>
      <c r="K213" s="3180">
        <v>98.212935279731155</v>
      </c>
      <c r="L213" s="3180">
        <v>92.64499303607586</v>
      </c>
      <c r="M213" s="3180">
        <v>228.6802819554845</v>
      </c>
      <c r="N213" s="3180">
        <v>186.50668860950131</v>
      </c>
      <c r="O213" s="3180">
        <v>69.126833118570403</v>
      </c>
      <c r="P213" s="3180">
        <v>223.76270106187781</v>
      </c>
      <c r="Q213" s="3180">
        <v>87.032909343904819</v>
      </c>
      <c r="R213" s="3181"/>
      <c r="S213" s="480">
        <v>95.238652119452539</v>
      </c>
    </row>
    <row r="214" spans="1:19" ht="13.15" customHeight="1">
      <c r="A214" s="476">
        <f t="shared" si="2"/>
        <v>2021.01</v>
      </c>
      <c r="B214" s="1157">
        <v>122.3147641238174</v>
      </c>
      <c r="C214" s="3180">
        <v>80.580419758001923</v>
      </c>
      <c r="D214" s="3180">
        <v>172.72681808623565</v>
      </c>
      <c r="E214" s="3180">
        <v>104.44601357147106</v>
      </c>
      <c r="F214" s="3180">
        <v>229.22209546003674</v>
      </c>
      <c r="G214" s="3180">
        <v>39.759424489588909</v>
      </c>
      <c r="H214" s="3180">
        <v>66.038474036829157</v>
      </c>
      <c r="I214" s="3180">
        <v>22.462191028404835</v>
      </c>
      <c r="J214" s="3180">
        <v>167.88386787242908</v>
      </c>
      <c r="K214" s="3180">
        <v>97.40447330334257</v>
      </c>
      <c r="L214" s="3180">
        <v>86.744918856430189</v>
      </c>
      <c r="M214" s="3180">
        <v>174.64901575312459</v>
      </c>
      <c r="N214" s="3180">
        <v>167.24813685371066</v>
      </c>
      <c r="O214" s="3180">
        <v>67.401259144459999</v>
      </c>
      <c r="P214" s="3180">
        <v>166.8340760476768</v>
      </c>
      <c r="Q214" s="3180">
        <v>77.972658998794145</v>
      </c>
      <c r="R214" s="3181"/>
      <c r="S214" s="480">
        <v>98.346287304165898</v>
      </c>
    </row>
    <row r="215" spans="1:19" ht="13.15" customHeight="1">
      <c r="A215" s="476">
        <f t="shared" ref="A215:A278" si="3">A203+1</f>
        <v>2021.02</v>
      </c>
      <c r="B215" s="1157">
        <v>119.52968110663346</v>
      </c>
      <c r="C215" s="3180">
        <v>69.491513143857844</v>
      </c>
      <c r="D215" s="3180">
        <v>150.86186517254444</v>
      </c>
      <c r="E215" s="3180">
        <v>98.038177537077232</v>
      </c>
      <c r="F215" s="3180">
        <v>215.18565230863103</v>
      </c>
      <c r="G215" s="3180">
        <v>52.746351935602725</v>
      </c>
      <c r="H215" s="3180">
        <v>57.882957543962377</v>
      </c>
      <c r="I215" s="3180">
        <v>38.892035230469688</v>
      </c>
      <c r="J215" s="3180">
        <v>172.65739560796098</v>
      </c>
      <c r="K215" s="3180">
        <v>82.028846130901144</v>
      </c>
      <c r="L215" s="3180">
        <v>100.70015230386083</v>
      </c>
      <c r="M215" s="3180">
        <v>198.94885322974241</v>
      </c>
      <c r="N215" s="3180">
        <v>163.72385362825909</v>
      </c>
      <c r="O215" s="3180">
        <v>60.132971073696552</v>
      </c>
      <c r="P215" s="3180">
        <v>193.13331166646492</v>
      </c>
      <c r="Q215" s="3180">
        <v>47.718248469075888</v>
      </c>
      <c r="R215" s="3181"/>
      <c r="S215" s="480">
        <v>92.367208008215357</v>
      </c>
    </row>
    <row r="216" spans="1:19" ht="13.15" customHeight="1">
      <c r="A216" s="476">
        <f t="shared" si="3"/>
        <v>2021.03</v>
      </c>
      <c r="B216" s="1157">
        <v>145.55853680347954</v>
      </c>
      <c r="C216" s="3180">
        <v>92.15623827421004</v>
      </c>
      <c r="D216" s="3180">
        <v>181.84814225780107</v>
      </c>
      <c r="E216" s="3180">
        <v>104.61537004793482</v>
      </c>
      <c r="F216" s="3180">
        <v>251.90966242953797</v>
      </c>
      <c r="G216" s="3180">
        <v>62.022982034980004</v>
      </c>
      <c r="H216" s="3180">
        <v>74.646871209426465</v>
      </c>
      <c r="I216" s="3180">
        <v>39.597247101052815</v>
      </c>
      <c r="J216" s="3180">
        <v>243.89154677896846</v>
      </c>
      <c r="K216" s="3180">
        <v>108.96982496476211</v>
      </c>
      <c r="L216" s="3180">
        <v>124.5793474041091</v>
      </c>
      <c r="M216" s="3180">
        <v>235.38847719481356</v>
      </c>
      <c r="N216" s="3180">
        <v>220.5392074969688</v>
      </c>
      <c r="O216" s="3180">
        <v>88.806206856178065</v>
      </c>
      <c r="P216" s="3180">
        <v>195.45956241157594</v>
      </c>
      <c r="Q216" s="3180">
        <v>100.83874643731232</v>
      </c>
      <c r="R216" s="3181"/>
      <c r="S216" s="480">
        <v>101.67360030081086</v>
      </c>
    </row>
    <row r="217" spans="1:19" ht="13.15" customHeight="1">
      <c r="A217" s="476">
        <f t="shared" si="3"/>
        <v>2021.04</v>
      </c>
      <c r="B217" s="1157">
        <v>147.45465442777561</v>
      </c>
      <c r="C217" s="3180">
        <v>79.785773080726969</v>
      </c>
      <c r="D217" s="3180">
        <v>230.93994687013577</v>
      </c>
      <c r="E217" s="3180">
        <v>107.08215162272326</v>
      </c>
      <c r="F217" s="3180">
        <v>251.72013221275759</v>
      </c>
      <c r="G217" s="3180">
        <v>53.835282154501343</v>
      </c>
      <c r="H217" s="3180">
        <v>61.988908437565264</v>
      </c>
      <c r="I217" s="3180">
        <v>39.711249086574242</v>
      </c>
      <c r="J217" s="3180">
        <v>201.9710445653098</v>
      </c>
      <c r="K217" s="3180">
        <v>104.16973244096137</v>
      </c>
      <c r="L217" s="3180">
        <v>131.44791491458687</v>
      </c>
      <c r="M217" s="3180">
        <v>241.33695644148753</v>
      </c>
      <c r="N217" s="3180">
        <v>206.45057185208753</v>
      </c>
      <c r="O217" s="3180">
        <v>91.293834753618469</v>
      </c>
      <c r="P217" s="3180">
        <v>196.04887933789698</v>
      </c>
      <c r="Q217" s="3180">
        <v>75.478327580755604</v>
      </c>
      <c r="R217" s="3181"/>
      <c r="S217" s="480">
        <v>78.954792769938877</v>
      </c>
    </row>
    <row r="218" spans="1:19" ht="13.15" customHeight="1">
      <c r="A218" s="476">
        <f t="shared" si="3"/>
        <v>2021.05</v>
      </c>
      <c r="B218" s="1157">
        <v>139.44964219565617</v>
      </c>
      <c r="C218" s="3180">
        <v>79.88054971303859</v>
      </c>
      <c r="D218" s="3180">
        <v>233.15898906342773</v>
      </c>
      <c r="E218" s="3180">
        <v>98.066423802296299</v>
      </c>
      <c r="F218" s="3180">
        <v>226.68838592134051</v>
      </c>
      <c r="G218" s="3180">
        <v>58.505866659023461</v>
      </c>
      <c r="H218" s="3180">
        <v>69.055459566873523</v>
      </c>
      <c r="I218" s="3180">
        <v>49.010949168566832</v>
      </c>
      <c r="J218" s="3180">
        <v>190.4371916623754</v>
      </c>
      <c r="K218" s="3180">
        <v>98.128846980054206</v>
      </c>
      <c r="L218" s="3180">
        <v>110.990550248178</v>
      </c>
      <c r="M218" s="3180">
        <v>205.26075731941143</v>
      </c>
      <c r="N218" s="3180">
        <v>191.1958478647592</v>
      </c>
      <c r="O218" s="3180">
        <v>68.3167294318297</v>
      </c>
      <c r="P218" s="3180">
        <v>180.022376428336</v>
      </c>
      <c r="Q218" s="3180">
        <v>72.911475375393948</v>
      </c>
      <c r="R218" s="3181"/>
      <c r="S218" s="480">
        <v>90.554325682716183</v>
      </c>
    </row>
    <row r="219" spans="1:19" ht="13.15" customHeight="1">
      <c r="A219" s="476">
        <f t="shared" si="3"/>
        <v>2021.06</v>
      </c>
      <c r="B219" s="1157">
        <v>151.23799810017925</v>
      </c>
      <c r="C219" s="3180">
        <v>68.684237609996387</v>
      </c>
      <c r="D219" s="3180">
        <v>224.480844118118</v>
      </c>
      <c r="E219" s="3180">
        <v>116.59835044890706</v>
      </c>
      <c r="F219" s="3180">
        <v>229.23243118690476</v>
      </c>
      <c r="G219" s="3180">
        <v>57.0250954710787</v>
      </c>
      <c r="H219" s="3180">
        <v>69.593377470709413</v>
      </c>
      <c r="I219" s="3180">
        <v>49.606320598040938</v>
      </c>
      <c r="J219" s="3180">
        <v>225.76577459185299</v>
      </c>
      <c r="K219" s="3180">
        <v>114.01655244776612</v>
      </c>
      <c r="L219" s="3180">
        <v>125.98437835261021</v>
      </c>
      <c r="M219" s="3180">
        <v>237.38867757611109</v>
      </c>
      <c r="N219" s="3180">
        <v>195.14397737222896</v>
      </c>
      <c r="O219" s="3180">
        <v>104.4879701848687</v>
      </c>
      <c r="P219" s="3180">
        <v>197.70847457882141</v>
      </c>
      <c r="Q219" s="3180">
        <v>78.424203085854799</v>
      </c>
      <c r="R219" s="3181"/>
      <c r="S219" s="480">
        <v>111.89710038586256</v>
      </c>
    </row>
    <row r="220" spans="1:19" ht="13.15" customHeight="1">
      <c r="A220" s="476">
        <f t="shared" si="3"/>
        <v>2021.07</v>
      </c>
      <c r="B220" s="1157">
        <v>152.8544308299879</v>
      </c>
      <c r="C220" s="3180">
        <v>96.466506472819901</v>
      </c>
      <c r="D220" s="3180">
        <v>204.35756300694078</v>
      </c>
      <c r="E220" s="3180">
        <v>105.74195734679827</v>
      </c>
      <c r="F220" s="3180">
        <v>269.02428278344445</v>
      </c>
      <c r="G220" s="3180">
        <v>58.898989674351384</v>
      </c>
      <c r="H220" s="3180">
        <v>80.262140676688929</v>
      </c>
      <c r="I220" s="3180">
        <v>53.622622820701046</v>
      </c>
      <c r="J220" s="3180">
        <v>240.8414156238407</v>
      </c>
      <c r="K220" s="3180">
        <v>108.71837596216625</v>
      </c>
      <c r="L220" s="3180">
        <v>123.48282173108888</v>
      </c>
      <c r="M220" s="3180">
        <v>280.05781348009901</v>
      </c>
      <c r="N220" s="3180">
        <v>192.42627598879713</v>
      </c>
      <c r="O220" s="3180">
        <v>79.369860111369064</v>
      </c>
      <c r="P220" s="3180">
        <v>176.09714955649449</v>
      </c>
      <c r="Q220" s="3180">
        <v>62.345739314429736</v>
      </c>
      <c r="R220" s="3181"/>
      <c r="S220" s="480">
        <v>103.65027262992309</v>
      </c>
    </row>
    <row r="221" spans="1:19" ht="13.15" customHeight="1">
      <c r="A221" s="476">
        <f t="shared" si="3"/>
        <v>2021.08</v>
      </c>
      <c r="B221" s="1157">
        <v>153.3286694113317</v>
      </c>
      <c r="C221" s="3180">
        <v>104.07823086279501</v>
      </c>
      <c r="D221" s="3180">
        <v>190.13006146841258</v>
      </c>
      <c r="E221" s="3180">
        <v>119.2960174264762</v>
      </c>
      <c r="F221" s="3180">
        <v>274.2391671156094</v>
      </c>
      <c r="G221" s="3180">
        <v>56.826156736423258</v>
      </c>
      <c r="H221" s="3180">
        <v>87.692558729667937</v>
      </c>
      <c r="I221" s="3180">
        <v>57.900869067959704</v>
      </c>
      <c r="J221" s="3180">
        <v>221.47617815322928</v>
      </c>
      <c r="K221" s="3180">
        <v>111.47535158105322</v>
      </c>
      <c r="L221" s="3180">
        <v>130.04608343327811</v>
      </c>
      <c r="M221" s="3180">
        <v>279.73899003681578</v>
      </c>
      <c r="N221" s="3180">
        <v>192.94152346910406</v>
      </c>
      <c r="O221" s="3180">
        <v>93.857327268050767</v>
      </c>
      <c r="P221" s="3180">
        <v>181.64682982162594</v>
      </c>
      <c r="Q221" s="3180">
        <v>87.330802370091575</v>
      </c>
      <c r="R221" s="3181"/>
      <c r="S221" s="480">
        <v>105.66631144881457</v>
      </c>
    </row>
    <row r="222" spans="1:19" ht="13.15" customHeight="1">
      <c r="A222" s="476">
        <f t="shared" si="3"/>
        <v>2021.09</v>
      </c>
      <c r="B222" s="1157">
        <v>155.43612573177754</v>
      </c>
      <c r="C222" s="3180">
        <v>96.470053079104318</v>
      </c>
      <c r="D222" s="3180">
        <v>192.43363181844018</v>
      </c>
      <c r="E222" s="3180">
        <v>113.20449031737662</v>
      </c>
      <c r="F222" s="3180">
        <v>277.48212683839762</v>
      </c>
      <c r="G222" s="3180">
        <v>51.121434949173434</v>
      </c>
      <c r="H222" s="3180">
        <v>76.38694447354797</v>
      </c>
      <c r="I222" s="3180">
        <v>52.061495794735244</v>
      </c>
      <c r="J222" s="3180">
        <v>245.34291689158798</v>
      </c>
      <c r="K222" s="3180">
        <v>124.3857204321627</v>
      </c>
      <c r="L222" s="3180">
        <v>142.82003149973426</v>
      </c>
      <c r="M222" s="3180">
        <v>269.51253500328102</v>
      </c>
      <c r="N222" s="3180">
        <v>182.27682944717901</v>
      </c>
      <c r="O222" s="3180">
        <v>104.08706289573362</v>
      </c>
      <c r="P222" s="3180">
        <v>189.9791646174134</v>
      </c>
      <c r="Q222" s="3180">
        <v>104.70542776188549</v>
      </c>
      <c r="R222" s="3181"/>
      <c r="S222" s="480">
        <v>105.68867533568546</v>
      </c>
    </row>
    <row r="223" spans="1:19" ht="13.15" customHeight="1">
      <c r="A223" s="476">
        <f t="shared" si="3"/>
        <v>2021.1</v>
      </c>
      <c r="B223" s="1157">
        <v>153.57143163461666</v>
      </c>
      <c r="C223" s="3180">
        <v>96.158256207534407</v>
      </c>
      <c r="D223" s="3180">
        <v>182.37573092147116</v>
      </c>
      <c r="E223" s="3180">
        <v>115.07162177421826</v>
      </c>
      <c r="F223" s="3180">
        <v>269.61936122332361</v>
      </c>
      <c r="G223" s="3180">
        <v>60.951656640591153</v>
      </c>
      <c r="H223" s="3180">
        <v>73.504546147331993</v>
      </c>
      <c r="I223" s="3180">
        <v>52.621975909382783</v>
      </c>
      <c r="J223" s="3180">
        <v>246.22749955521857</v>
      </c>
      <c r="K223" s="3180">
        <v>120.64099554889327</v>
      </c>
      <c r="L223" s="3180">
        <v>116.40373793891267</v>
      </c>
      <c r="M223" s="3180">
        <v>288.13581218679894</v>
      </c>
      <c r="N223" s="3180">
        <v>210.02825282190483</v>
      </c>
      <c r="O223" s="3180">
        <v>103.68667564211755</v>
      </c>
      <c r="P223" s="3180">
        <v>179.7880506228891</v>
      </c>
      <c r="Q223" s="3180">
        <v>77.41410845676269</v>
      </c>
      <c r="R223" s="3181"/>
      <c r="S223" s="480">
        <v>110.02789017936968</v>
      </c>
    </row>
    <row r="224" spans="1:19" ht="13.15" customHeight="1">
      <c r="A224" s="476">
        <f t="shared" si="3"/>
        <v>2021.11</v>
      </c>
      <c r="B224" s="1157">
        <v>148.53169976964318</v>
      </c>
      <c r="C224" s="3180">
        <v>93.926024490749256</v>
      </c>
      <c r="D224" s="3180">
        <v>149.32415316395154</v>
      </c>
      <c r="E224" s="3180">
        <v>133.50808373861594</v>
      </c>
      <c r="F224" s="3180">
        <v>287.69805792600886</v>
      </c>
      <c r="G224" s="3180">
        <v>51.571853181945571</v>
      </c>
      <c r="H224" s="3180">
        <v>79.748817470280528</v>
      </c>
      <c r="I224" s="3180">
        <v>42.940666014558843</v>
      </c>
      <c r="J224" s="3180">
        <v>250.12170726686614</v>
      </c>
      <c r="K224" s="3180">
        <v>120.7981488687622</v>
      </c>
      <c r="L224" s="3180">
        <v>129.51574217941433</v>
      </c>
      <c r="M224" s="3180">
        <v>247.39443556050665</v>
      </c>
      <c r="N224" s="3180">
        <v>221.72038160429938</v>
      </c>
      <c r="O224" s="3180">
        <v>102.57724687376249</v>
      </c>
      <c r="P224" s="3180">
        <v>215.19344631322582</v>
      </c>
      <c r="Q224" s="3180">
        <v>99.242159886973269</v>
      </c>
      <c r="R224" s="3181"/>
      <c r="S224" s="480">
        <v>107.40510989220368</v>
      </c>
    </row>
    <row r="225" spans="1:19" ht="13.15" customHeight="1">
      <c r="A225" s="476">
        <f t="shared" si="3"/>
        <v>2021.12</v>
      </c>
      <c r="B225" s="1157">
        <v>144.07646366077603</v>
      </c>
      <c r="C225" s="3180">
        <v>88.723305167685268</v>
      </c>
      <c r="D225" s="3180">
        <v>149.38677760591509</v>
      </c>
      <c r="E225" s="3180">
        <v>139.58546159678357</v>
      </c>
      <c r="F225" s="3180">
        <v>264.39937897150838</v>
      </c>
      <c r="G225" s="3180">
        <v>61.584149137844349</v>
      </c>
      <c r="H225" s="3180">
        <v>75.497356188146512</v>
      </c>
      <c r="I225" s="3180">
        <v>52.555176485304663</v>
      </c>
      <c r="J225" s="3180">
        <v>212.29810716899675</v>
      </c>
      <c r="K225" s="3180">
        <v>116.6672562089778</v>
      </c>
      <c r="L225" s="3180">
        <v>125.7132213835135</v>
      </c>
      <c r="M225" s="3180">
        <v>254.7215564068099</v>
      </c>
      <c r="N225" s="3180">
        <v>225.34027823526623</v>
      </c>
      <c r="O225" s="3180">
        <v>90.687061806010519</v>
      </c>
      <c r="P225" s="3180">
        <v>211.81621667631308</v>
      </c>
      <c r="Q225" s="3180">
        <v>102.26158389186762</v>
      </c>
      <c r="R225" s="3181"/>
      <c r="S225" s="480">
        <v>103.30602408122802</v>
      </c>
    </row>
    <row r="226" spans="1:19" ht="13.15" customHeight="1">
      <c r="A226" s="476">
        <f t="shared" si="3"/>
        <v>2022.01</v>
      </c>
      <c r="B226" s="1157">
        <v>117.93193453190685</v>
      </c>
      <c r="C226" s="3180">
        <v>79.008535667011898</v>
      </c>
      <c r="D226" s="3180">
        <v>128.34472766752299</v>
      </c>
      <c r="E226" s="3180">
        <v>107.3362020564123</v>
      </c>
      <c r="F226" s="3180">
        <v>243.72549154980527</v>
      </c>
      <c r="G226" s="3180">
        <v>53.805611790916799</v>
      </c>
      <c r="H226" s="3180">
        <v>73.017768534772316</v>
      </c>
      <c r="I226" s="3180">
        <v>44.056820333059292</v>
      </c>
      <c r="J226" s="3180">
        <v>182.30223867044171</v>
      </c>
      <c r="K226" s="3180">
        <v>86.162975599984691</v>
      </c>
      <c r="L226" s="3180">
        <v>90.95749928419275</v>
      </c>
      <c r="M226" s="3180">
        <v>192.01331276227171</v>
      </c>
      <c r="N226" s="3180">
        <v>161.28120390407179</v>
      </c>
      <c r="O226" s="3180">
        <v>66.320074781444575</v>
      </c>
      <c r="P226" s="3180">
        <v>166.79683718928032</v>
      </c>
      <c r="Q226" s="3180">
        <v>102.00190870539042</v>
      </c>
      <c r="R226" s="3181"/>
      <c r="S226" s="480">
        <v>83.791988411144757</v>
      </c>
    </row>
    <row r="227" spans="1:19" ht="13.15" customHeight="1">
      <c r="A227" s="476">
        <f t="shared" si="3"/>
        <v>2022.02</v>
      </c>
      <c r="B227" s="1157">
        <v>128.7855019642744</v>
      </c>
      <c r="C227" s="3180">
        <v>76.289032124629102</v>
      </c>
      <c r="D227" s="3180">
        <v>138.07781250153036</v>
      </c>
      <c r="E227" s="3180">
        <v>91.861584443015232</v>
      </c>
      <c r="F227" s="3180">
        <v>250.86127026417719</v>
      </c>
      <c r="G227" s="3180">
        <v>46.332505649671319</v>
      </c>
      <c r="H227" s="3180">
        <v>73.220601923967664</v>
      </c>
      <c r="I227" s="3180">
        <v>39.188161657854018</v>
      </c>
      <c r="J227" s="3180">
        <v>198.78049296070378</v>
      </c>
      <c r="K227" s="3180">
        <v>97.862088506217773</v>
      </c>
      <c r="L227" s="3180">
        <v>102.06301937731897</v>
      </c>
      <c r="M227" s="3180">
        <v>223.613691212361</v>
      </c>
      <c r="N227" s="3180">
        <v>202.98257232487512</v>
      </c>
      <c r="O227" s="3180">
        <v>106.25784953597355</v>
      </c>
      <c r="P227" s="3180">
        <v>148.01724221490076</v>
      </c>
      <c r="Q227" s="3180">
        <v>84.563233845287115</v>
      </c>
      <c r="R227" s="3181"/>
      <c r="S227" s="480">
        <v>100.6711393468652</v>
      </c>
    </row>
    <row r="228" spans="1:19" ht="13.15" customHeight="1">
      <c r="A228" s="476">
        <f t="shared" si="3"/>
        <v>2022.03</v>
      </c>
      <c r="B228" s="1157">
        <v>151.60425438383805</v>
      </c>
      <c r="C228" s="3180">
        <v>89.582692142903582</v>
      </c>
      <c r="D228" s="3180">
        <v>159.81015593337651</v>
      </c>
      <c r="E228" s="3180">
        <v>108.19561842602583</v>
      </c>
      <c r="F228" s="3180">
        <v>258.26583670355581</v>
      </c>
      <c r="G228" s="3180">
        <v>55.729342889333289</v>
      </c>
      <c r="H228" s="3180">
        <v>75.247890729981293</v>
      </c>
      <c r="I228" s="3180">
        <v>41.922026175303529</v>
      </c>
      <c r="J228" s="3180">
        <v>239.65616030244504</v>
      </c>
      <c r="K228" s="3180">
        <v>122.77590604135038</v>
      </c>
      <c r="L228" s="3180">
        <v>130.355936986769</v>
      </c>
      <c r="M228" s="3180">
        <v>300.64185053798678</v>
      </c>
      <c r="N228" s="3180">
        <v>235.1785012606303</v>
      </c>
      <c r="O228" s="3180">
        <v>113.75254590461499</v>
      </c>
      <c r="P228" s="3180">
        <v>213.69819803711795</v>
      </c>
      <c r="Q228" s="3180">
        <v>95.378884192879539</v>
      </c>
      <c r="R228" s="3181"/>
      <c r="S228" s="480">
        <v>106.2230147011859</v>
      </c>
    </row>
    <row r="229" spans="1:19" ht="13.15" customHeight="1">
      <c r="A229" s="476">
        <f t="shared" si="3"/>
        <v>2022.04</v>
      </c>
      <c r="B229" s="1157">
        <v>163.67836323353154</v>
      </c>
      <c r="C229" s="3180">
        <v>77.060724172434135</v>
      </c>
      <c r="D229" s="3180">
        <v>212.88451889662858</v>
      </c>
      <c r="E229" s="3180">
        <v>100.82881167358471</v>
      </c>
      <c r="F229" s="3180">
        <v>240.5824634737416</v>
      </c>
      <c r="G229" s="3180">
        <v>52.081515250083363</v>
      </c>
      <c r="H229" s="3180">
        <v>73.385525155342165</v>
      </c>
      <c r="I229" s="3180">
        <v>38.840594087291898</v>
      </c>
      <c r="J229" s="3180">
        <v>331.19199475063374</v>
      </c>
      <c r="K229" s="3180">
        <v>117.90059797669278</v>
      </c>
      <c r="L229" s="3180">
        <v>129.57671992691331</v>
      </c>
      <c r="M229" s="3180">
        <v>295.46739084284434</v>
      </c>
      <c r="N229" s="3180">
        <v>234.79661932824504</v>
      </c>
      <c r="O229" s="3180">
        <v>122.96723171622313</v>
      </c>
      <c r="P229" s="3180">
        <v>231.51530389895854</v>
      </c>
      <c r="Q229" s="3180">
        <v>93.650301080854476</v>
      </c>
      <c r="R229" s="3181"/>
      <c r="S229" s="480">
        <v>105.71751526395438</v>
      </c>
    </row>
    <row r="230" spans="1:19" ht="13.15" customHeight="1">
      <c r="A230" s="476">
        <f t="shared" si="3"/>
        <v>2022.05</v>
      </c>
      <c r="B230" s="1157">
        <v>168.00332228208134</v>
      </c>
      <c r="C230" s="3180">
        <v>85.823576622318356</v>
      </c>
      <c r="D230" s="3180">
        <v>224.89938908521273</v>
      </c>
      <c r="E230" s="3180">
        <v>132.44146459138602</v>
      </c>
      <c r="F230" s="3180">
        <v>259.40750240115426</v>
      </c>
      <c r="G230" s="3180">
        <v>68.392247928099152</v>
      </c>
      <c r="H230" s="3180">
        <v>86.930750313992704</v>
      </c>
      <c r="I230" s="3180">
        <v>36.620374250443803</v>
      </c>
      <c r="J230" s="3180">
        <v>293.6464358855697</v>
      </c>
      <c r="K230" s="3180">
        <v>131.11829182729858</v>
      </c>
      <c r="L230" s="3180">
        <v>126.19676570658302</v>
      </c>
      <c r="M230" s="3180">
        <v>295.59052709657021</v>
      </c>
      <c r="N230" s="3180">
        <v>199.18708584724459</v>
      </c>
      <c r="O230" s="3180">
        <v>122.48144149540755</v>
      </c>
      <c r="P230" s="3180">
        <v>212.22743071152337</v>
      </c>
      <c r="Q230" s="3180">
        <v>107.98434415507711</v>
      </c>
      <c r="R230" s="3181"/>
      <c r="S230" s="480">
        <v>109.49163342963526</v>
      </c>
    </row>
    <row r="231" spans="1:19" ht="13.15" customHeight="1">
      <c r="A231" s="476">
        <f t="shared" si="3"/>
        <v>2022.06</v>
      </c>
      <c r="B231" s="1157">
        <v>165.36652443613892</v>
      </c>
      <c r="C231" s="3180">
        <v>93.807090472358951</v>
      </c>
      <c r="D231" s="3180">
        <v>212.78384491220189</v>
      </c>
      <c r="E231" s="3180">
        <v>115.77537129946961</v>
      </c>
      <c r="F231" s="3180">
        <v>247.9834356524548</v>
      </c>
      <c r="G231" s="3180">
        <v>59.033593238708313</v>
      </c>
      <c r="H231" s="3180">
        <v>71.352352930504225</v>
      </c>
      <c r="I231" s="3180">
        <v>43.695958755719978</v>
      </c>
      <c r="J231" s="3180">
        <v>339.58570232511914</v>
      </c>
      <c r="K231" s="3180">
        <v>123.13904715741164</v>
      </c>
      <c r="L231" s="3180">
        <v>127.83668222487911</v>
      </c>
      <c r="M231" s="3180">
        <v>284.4503039134753</v>
      </c>
      <c r="N231" s="3180">
        <v>216.30278693216638</v>
      </c>
      <c r="O231" s="3180">
        <v>109.15948261927159</v>
      </c>
      <c r="P231" s="3180">
        <v>220.01145602562849</v>
      </c>
      <c r="Q231" s="3180">
        <v>118.30054421089859</v>
      </c>
      <c r="R231" s="3181"/>
      <c r="S231" s="480">
        <v>112.04622888306579</v>
      </c>
    </row>
    <row r="232" spans="1:19" ht="13.15" customHeight="1">
      <c r="A232" s="476">
        <f t="shared" si="3"/>
        <v>2022.07</v>
      </c>
      <c r="B232" s="1157">
        <v>157.92811805173369</v>
      </c>
      <c r="C232" s="3180">
        <v>104.04341059400157</v>
      </c>
      <c r="D232" s="3180">
        <v>184.12114238260477</v>
      </c>
      <c r="E232" s="3180">
        <v>115.46252332493151</v>
      </c>
      <c r="F232" s="3180">
        <v>267.34638322937508</v>
      </c>
      <c r="G232" s="3180">
        <v>52.495341439803546</v>
      </c>
      <c r="H232" s="3180">
        <v>73.975894224876257</v>
      </c>
      <c r="I232" s="3180">
        <v>53.145908222949608</v>
      </c>
      <c r="J232" s="3180">
        <v>294.10618007644223</v>
      </c>
      <c r="K232" s="3180">
        <v>109.07845189063642</v>
      </c>
      <c r="L232" s="3180">
        <v>124.38998553822886</v>
      </c>
      <c r="M232" s="3180">
        <v>295.59418188061579</v>
      </c>
      <c r="N232" s="3180">
        <v>201.21075704663636</v>
      </c>
      <c r="O232" s="3180">
        <v>82.162444547345018</v>
      </c>
      <c r="P232" s="3180">
        <v>206.41429220221895</v>
      </c>
      <c r="Q232" s="3180">
        <v>100.65830038554522</v>
      </c>
      <c r="R232" s="3181"/>
      <c r="S232" s="480">
        <v>119.61721896118203</v>
      </c>
    </row>
    <row r="233" spans="1:19" ht="13.15" customHeight="1">
      <c r="A233" s="476">
        <f t="shared" si="3"/>
        <v>2022.08</v>
      </c>
      <c r="B233" s="1157">
        <v>162.24175978716698</v>
      </c>
      <c r="C233" s="3180">
        <v>105.97607411523637</v>
      </c>
      <c r="D233" s="3180">
        <v>162.13390856801792</v>
      </c>
      <c r="E233" s="3180">
        <v>140.02775062037517</v>
      </c>
      <c r="F233" s="3180">
        <v>279.2104923079836</v>
      </c>
      <c r="G233" s="3180">
        <v>57.988979257559791</v>
      </c>
      <c r="H233" s="3180">
        <v>70.297626999734675</v>
      </c>
      <c r="I233" s="3180">
        <v>60.515073754174502</v>
      </c>
      <c r="J233" s="3180">
        <v>311.42671291709536</v>
      </c>
      <c r="K233" s="3180">
        <v>131.93455837006582</v>
      </c>
      <c r="L233" s="3180">
        <v>147.4347262142125</v>
      </c>
      <c r="M233" s="3180">
        <v>282.5586724701339</v>
      </c>
      <c r="N233" s="3180">
        <v>204.27396632815388</v>
      </c>
      <c r="O233" s="3180">
        <v>96.014255679378422</v>
      </c>
      <c r="P233" s="3180">
        <v>224.04670178243694</v>
      </c>
      <c r="Q233" s="3180">
        <v>119.88615647558834</v>
      </c>
      <c r="R233" s="3181"/>
      <c r="S233" s="480">
        <v>126.28904116061229</v>
      </c>
    </row>
    <row r="234" spans="1:19" ht="13.15" customHeight="1">
      <c r="A234" s="476">
        <f t="shared" si="3"/>
        <v>2022.09</v>
      </c>
      <c r="B234" s="1157">
        <v>160.82404882326082</v>
      </c>
      <c r="C234" s="3180">
        <v>100.36294509699604</v>
      </c>
      <c r="D234" s="3180">
        <v>157.81567133624384</v>
      </c>
      <c r="E234" s="3180">
        <v>146.94205606569506</v>
      </c>
      <c r="F234" s="3180">
        <v>250.81426301821634</v>
      </c>
      <c r="G234" s="3180">
        <v>51.704615781249402</v>
      </c>
      <c r="H234" s="3180">
        <v>69.366476326447071</v>
      </c>
      <c r="I234" s="3180">
        <v>55.31861097067906</v>
      </c>
      <c r="J234" s="3180">
        <v>361.08334479141172</v>
      </c>
      <c r="K234" s="3180">
        <v>144.52753236225016</v>
      </c>
      <c r="L234" s="3180">
        <v>132.20691836582458</v>
      </c>
      <c r="M234" s="3180">
        <v>272.0708640062341</v>
      </c>
      <c r="N234" s="3180">
        <v>205.80405140895991</v>
      </c>
      <c r="O234" s="3180">
        <v>114.18204408492097</v>
      </c>
      <c r="P234" s="3180">
        <v>175.17946082729242</v>
      </c>
      <c r="Q234" s="3180">
        <v>105.18809425207942</v>
      </c>
      <c r="R234" s="3181"/>
      <c r="S234" s="480">
        <v>129.47076950973852</v>
      </c>
    </row>
    <row r="235" spans="1:19" ht="13.15" customHeight="1">
      <c r="A235" s="476">
        <f t="shared" si="3"/>
        <v>2022.1</v>
      </c>
      <c r="B235" s="1157">
        <v>151.6536323128104</v>
      </c>
      <c r="C235" s="3180">
        <v>102.3332559958999</v>
      </c>
      <c r="D235" s="3180">
        <v>148.01990270061228</v>
      </c>
      <c r="E235" s="3180">
        <v>116.96919750104459</v>
      </c>
      <c r="F235" s="3180">
        <v>258.3808250656096</v>
      </c>
      <c r="G235" s="3180">
        <v>46.062116764601249</v>
      </c>
      <c r="H235" s="3180">
        <v>73.44333545547012</v>
      </c>
      <c r="I235" s="3180">
        <v>48.99815593116017</v>
      </c>
      <c r="J235" s="3180">
        <v>281.70806382657105</v>
      </c>
      <c r="K235" s="3180">
        <v>138.67733112479473</v>
      </c>
      <c r="L235" s="3180">
        <v>130.22819879339085</v>
      </c>
      <c r="M235" s="3180">
        <v>292.6838763955962</v>
      </c>
      <c r="N235" s="3180">
        <v>173.03616946637848</v>
      </c>
      <c r="O235" s="3180">
        <v>96.045155565563178</v>
      </c>
      <c r="P235" s="3180">
        <v>170.77474603126748</v>
      </c>
      <c r="Q235" s="3180">
        <v>120.24239498666735</v>
      </c>
      <c r="R235" s="3181"/>
      <c r="S235" s="480">
        <v>123.0949202664541</v>
      </c>
    </row>
    <row r="236" spans="1:19" ht="13.15" customHeight="1">
      <c r="A236" s="476">
        <f t="shared" si="3"/>
        <v>2022.11</v>
      </c>
      <c r="B236" s="1157">
        <v>153.33034670277428</v>
      </c>
      <c r="C236" s="3180">
        <v>100.48009634632606</v>
      </c>
      <c r="D236" s="3180">
        <v>172.1696089519117</v>
      </c>
      <c r="E236" s="3180">
        <v>108.76589180003637</v>
      </c>
      <c r="F236" s="3180">
        <v>258.82296468735973</v>
      </c>
      <c r="G236" s="3180">
        <v>50.724517895176426</v>
      </c>
      <c r="H236" s="3180">
        <v>87.018270665214516</v>
      </c>
      <c r="I236" s="3180">
        <v>42.799473969121273</v>
      </c>
      <c r="J236" s="3180">
        <v>298.95627659648596</v>
      </c>
      <c r="K236" s="3180">
        <v>108.05297018431243</v>
      </c>
      <c r="L236" s="3180">
        <v>126.6191916466217</v>
      </c>
      <c r="M236" s="3180">
        <v>255.476606488057</v>
      </c>
      <c r="N236" s="3180">
        <v>171.46559350377737</v>
      </c>
      <c r="O236" s="3180">
        <v>93.836833229289994</v>
      </c>
      <c r="P236" s="3180">
        <v>218.68762538317202</v>
      </c>
      <c r="Q236" s="3180">
        <v>106.04908714476728</v>
      </c>
      <c r="R236" s="3181"/>
      <c r="S236" s="480">
        <v>126.62914608040468</v>
      </c>
    </row>
    <row r="237" spans="1:19" ht="13.15" customHeight="1">
      <c r="A237" s="476">
        <f t="shared" si="3"/>
        <v>2022.12</v>
      </c>
      <c r="B237" s="1157">
        <v>139.95255647290026</v>
      </c>
      <c r="C237" s="3180">
        <v>106.78867968977508</v>
      </c>
      <c r="D237" s="3180">
        <v>135.11849598053479</v>
      </c>
      <c r="E237" s="3180">
        <v>112.01543735947799</v>
      </c>
      <c r="F237" s="3180">
        <v>245.16113082603573</v>
      </c>
      <c r="G237" s="3180">
        <v>45.377936287512675</v>
      </c>
      <c r="H237" s="3180">
        <v>78.713242586389441</v>
      </c>
      <c r="I237" s="3180">
        <v>47.276657377043222</v>
      </c>
      <c r="J237" s="3180">
        <v>288.97331022217708</v>
      </c>
      <c r="K237" s="3180">
        <v>102.54748547390193</v>
      </c>
      <c r="L237" s="3180">
        <v>123.27708519663982</v>
      </c>
      <c r="M237" s="3180">
        <v>242.358753656419</v>
      </c>
      <c r="N237" s="3180">
        <v>196.44257717243184</v>
      </c>
      <c r="O237" s="3180">
        <v>92.057063840195667</v>
      </c>
      <c r="P237" s="3180">
        <v>163.83003881933627</v>
      </c>
      <c r="Q237" s="3180">
        <v>88.300025327393726</v>
      </c>
      <c r="R237" s="3181"/>
      <c r="S237" s="480">
        <v>103.77985802037396</v>
      </c>
    </row>
    <row r="238" spans="1:19" ht="13.15" customHeight="1">
      <c r="A238" s="476">
        <f t="shared" si="3"/>
        <v>2023.01</v>
      </c>
      <c r="B238" s="1157">
        <v>123.85511973194583</v>
      </c>
      <c r="C238" s="3180">
        <v>106.34796425961011</v>
      </c>
      <c r="D238" s="3180">
        <v>92.271208947044201</v>
      </c>
      <c r="E238" s="3180">
        <v>115.80311386011145</v>
      </c>
      <c r="F238" s="3180">
        <v>238.76006690206304</v>
      </c>
      <c r="G238" s="3180">
        <v>38.848879271394722</v>
      </c>
      <c r="H238" s="3180">
        <v>79.60264772987361</v>
      </c>
      <c r="I238" s="3180">
        <v>51.31724724344857</v>
      </c>
      <c r="J238" s="3180">
        <v>310.27439271806503</v>
      </c>
      <c r="K238" s="3180">
        <v>105.62269599137299</v>
      </c>
      <c r="L238" s="3180">
        <v>80.678237685766845</v>
      </c>
      <c r="M238" s="3180">
        <v>209.96305959102784</v>
      </c>
      <c r="N238" s="3180">
        <v>174.01803489164058</v>
      </c>
      <c r="O238" s="3180">
        <v>65.603295783951552</v>
      </c>
      <c r="P238" s="3180">
        <v>191.03832177197575</v>
      </c>
      <c r="Q238" s="3180">
        <v>91.892631737445313</v>
      </c>
      <c r="R238" s="3181"/>
      <c r="S238" s="480">
        <v>89.714206006324076</v>
      </c>
    </row>
    <row r="239" spans="1:19" ht="13.15" customHeight="1">
      <c r="A239" s="476">
        <f t="shared" si="3"/>
        <v>2023.02</v>
      </c>
      <c r="B239" s="1157">
        <v>112.32084671172079</v>
      </c>
      <c r="C239" s="3180">
        <v>70.176899669127081</v>
      </c>
      <c r="D239" s="3180">
        <v>77.594651575858009</v>
      </c>
      <c r="E239" s="3180">
        <v>109.6594814489598</v>
      </c>
      <c r="F239" s="3180">
        <v>225.62690252168616</v>
      </c>
      <c r="G239" s="3180">
        <v>41.913119858090383</v>
      </c>
      <c r="H239" s="3180">
        <v>75.023342630833099</v>
      </c>
      <c r="I239" s="3180">
        <v>40.933381697072242</v>
      </c>
      <c r="J239" s="3180">
        <v>274.58024801494491</v>
      </c>
      <c r="K239" s="3180">
        <v>89.602569539147524</v>
      </c>
      <c r="L239" s="3180">
        <v>102.63066582386861</v>
      </c>
      <c r="M239" s="3180">
        <v>165.07336424273589</v>
      </c>
      <c r="N239" s="3180">
        <v>163.31134558290216</v>
      </c>
      <c r="O239" s="3180">
        <v>88.300086000096883</v>
      </c>
      <c r="P239" s="3180">
        <v>163.87585287896528</v>
      </c>
      <c r="Q239" s="3180">
        <v>97.748126691640763</v>
      </c>
      <c r="R239" s="3181"/>
      <c r="S239" s="480">
        <v>77.051251342575668</v>
      </c>
    </row>
    <row r="240" spans="1:19" ht="13.15" customHeight="1">
      <c r="A240" s="476">
        <f t="shared" si="3"/>
        <v>2023.03</v>
      </c>
      <c r="B240" s="1157">
        <v>145.31129517033168</v>
      </c>
      <c r="C240" s="3180">
        <v>92.410637292727174</v>
      </c>
      <c r="D240" s="3180">
        <v>118.52011023682576</v>
      </c>
      <c r="E240" s="3180">
        <v>118.09448781882452</v>
      </c>
      <c r="F240" s="3180">
        <v>277.95326366321842</v>
      </c>
      <c r="G240" s="3180">
        <v>51.716961147248796</v>
      </c>
      <c r="H240" s="3180">
        <v>88.030538849497958</v>
      </c>
      <c r="I240" s="3180">
        <v>41.076078653951697</v>
      </c>
      <c r="J240" s="3180">
        <v>304.80782725444931</v>
      </c>
      <c r="K240" s="3180">
        <v>139.9821399566261</v>
      </c>
      <c r="L240" s="3180">
        <v>117.7864722247931</v>
      </c>
      <c r="M240" s="3180">
        <v>223.78423898629615</v>
      </c>
      <c r="N240" s="3180">
        <v>237.03640969061317</v>
      </c>
      <c r="O240" s="3180">
        <v>116.71580034178723</v>
      </c>
      <c r="P240" s="3180">
        <v>252.25231240359574</v>
      </c>
      <c r="Q240" s="3180">
        <v>113.97780525094501</v>
      </c>
      <c r="R240" s="3181"/>
      <c r="S240" s="480">
        <v>106.64503017317946</v>
      </c>
    </row>
    <row r="241" spans="1:19" ht="13.15" customHeight="1">
      <c r="A241" s="476">
        <f t="shared" si="3"/>
        <v>2023.04</v>
      </c>
      <c r="B241" s="1157">
        <v>145.45404994593136</v>
      </c>
      <c r="C241" s="3180">
        <v>82.535787633857694</v>
      </c>
      <c r="D241" s="3180">
        <v>159.42835459621111</v>
      </c>
      <c r="E241" s="3180">
        <v>93.841831822303021</v>
      </c>
      <c r="F241" s="3180">
        <v>256.21394611956589</v>
      </c>
      <c r="G241" s="3180">
        <v>50.748327958702454</v>
      </c>
      <c r="H241" s="3180">
        <v>100.16016071345287</v>
      </c>
      <c r="I241" s="3180">
        <v>43.035633421389377</v>
      </c>
      <c r="J241" s="3180">
        <v>293.2364917477575</v>
      </c>
      <c r="K241" s="3180">
        <v>108.87027853053713</v>
      </c>
      <c r="L241" s="3180">
        <v>104.24040379693628</v>
      </c>
      <c r="M241" s="3180">
        <v>235.03200288577349</v>
      </c>
      <c r="N241" s="3180">
        <v>208.05332950338769</v>
      </c>
      <c r="O241" s="3180">
        <v>104.99420487859581</v>
      </c>
      <c r="P241" s="3180">
        <v>233.10685557610972</v>
      </c>
      <c r="Q241" s="3180">
        <v>87.957112777592812</v>
      </c>
      <c r="R241" s="3181"/>
      <c r="S241" s="480">
        <v>112.01608043094545</v>
      </c>
    </row>
    <row r="242" spans="1:19" ht="13.15" customHeight="1">
      <c r="A242" s="476">
        <f t="shared" si="3"/>
        <v>2023.05</v>
      </c>
      <c r="B242" s="1157">
        <v>148.68107059585338</v>
      </c>
      <c r="C242" s="3180">
        <v>96.448532654589101</v>
      </c>
      <c r="D242" s="3180">
        <v>185.79170131168524</v>
      </c>
      <c r="E242" s="3180">
        <v>106.19209742783745</v>
      </c>
      <c r="F242" s="3180">
        <v>253.95312655211885</v>
      </c>
      <c r="G242" s="3180">
        <v>47.881117422840781</v>
      </c>
      <c r="H242" s="3180">
        <v>83.189808918559265</v>
      </c>
      <c r="I242" s="3180">
        <v>48.993501822416995</v>
      </c>
      <c r="J242" s="3180">
        <v>317.62738105339253</v>
      </c>
      <c r="K242" s="3180">
        <v>105.30326036786832</v>
      </c>
      <c r="L242" s="3180">
        <v>100.43862536434658</v>
      </c>
      <c r="M242" s="3180">
        <v>200.16014788206439</v>
      </c>
      <c r="N242" s="3180">
        <v>212.57256181805275</v>
      </c>
      <c r="O242" s="3180">
        <v>107.42318737627515</v>
      </c>
      <c r="P242" s="3180">
        <v>246.30567575105945</v>
      </c>
      <c r="Q242" s="3180">
        <v>79.017947456406134</v>
      </c>
      <c r="R242" s="3181"/>
      <c r="S242" s="480">
        <v>110.06821493137518</v>
      </c>
    </row>
    <row r="243" spans="1:19" ht="13.15" customHeight="1">
      <c r="A243" s="476">
        <f t="shared" si="3"/>
        <v>2023.06</v>
      </c>
      <c r="B243" s="1157">
        <v>147.60981241528461</v>
      </c>
      <c r="C243" s="3180">
        <v>91.095431884962679</v>
      </c>
      <c r="D243" s="3180">
        <v>163.96610385299104</v>
      </c>
      <c r="E243" s="3180">
        <v>119.76156261328468</v>
      </c>
      <c r="F243" s="3180">
        <v>244.51505942286556</v>
      </c>
      <c r="G243" s="3180">
        <v>56.243699340526938</v>
      </c>
      <c r="H243" s="3180">
        <v>91.382817690769315</v>
      </c>
      <c r="I243" s="3180">
        <v>31.699670604548594</v>
      </c>
      <c r="J243" s="3180">
        <v>316.02800321830216</v>
      </c>
      <c r="K243" s="3180">
        <v>92.799583497843074</v>
      </c>
      <c r="L243" s="3180">
        <v>97.599985595778449</v>
      </c>
      <c r="M243" s="3180">
        <v>233.59949357027463</v>
      </c>
      <c r="N243" s="3180">
        <v>229.52885790210235</v>
      </c>
      <c r="O243" s="3180">
        <v>102.87289700179834</v>
      </c>
      <c r="P243" s="3180">
        <v>238.61840857601075</v>
      </c>
      <c r="Q243" s="3180">
        <v>83.289071283425784</v>
      </c>
      <c r="R243" s="3181"/>
      <c r="S243" s="480">
        <v>111.72380154266168</v>
      </c>
    </row>
    <row r="244" spans="1:19" ht="13.15" customHeight="1">
      <c r="A244" s="476">
        <f t="shared" si="3"/>
        <v>2023.07</v>
      </c>
      <c r="B244" s="1348" t="s">
        <v>356</v>
      </c>
      <c r="C244" s="1553" t="s">
        <v>356</v>
      </c>
      <c r="D244" s="3182" t="s">
        <v>356</v>
      </c>
      <c r="E244" s="1553" t="s">
        <v>356</v>
      </c>
      <c r="F244" s="3182" t="s">
        <v>356</v>
      </c>
      <c r="G244" s="1553" t="s">
        <v>356</v>
      </c>
      <c r="H244" s="3182" t="s">
        <v>356</v>
      </c>
      <c r="I244" s="1553" t="s">
        <v>356</v>
      </c>
      <c r="J244" s="3182" t="s">
        <v>356</v>
      </c>
      <c r="K244" s="1553" t="s">
        <v>356</v>
      </c>
      <c r="L244" s="3182" t="s">
        <v>356</v>
      </c>
      <c r="M244" s="1553" t="s">
        <v>356</v>
      </c>
      <c r="N244" s="3182" t="s">
        <v>356</v>
      </c>
      <c r="O244" s="1553" t="s">
        <v>356</v>
      </c>
      <c r="P244" s="3182" t="s">
        <v>356</v>
      </c>
      <c r="Q244" s="1553" t="s">
        <v>356</v>
      </c>
      <c r="R244" s="3182" t="s">
        <v>356</v>
      </c>
      <c r="S244" s="1554" t="s">
        <v>356</v>
      </c>
    </row>
    <row r="245" spans="1:19" ht="13.15" customHeight="1">
      <c r="A245" s="476">
        <f t="shared" si="3"/>
        <v>2023.08</v>
      </c>
      <c r="B245" s="1555"/>
      <c r="C245" s="1551"/>
      <c r="D245" s="3183"/>
      <c r="E245" s="1551"/>
      <c r="F245" s="3183"/>
      <c r="G245" s="1551"/>
      <c r="H245" s="3183"/>
      <c r="I245" s="1551"/>
      <c r="J245" s="3183"/>
      <c r="K245" s="1551"/>
      <c r="L245" s="3183"/>
      <c r="M245" s="1551"/>
      <c r="N245" s="3183"/>
      <c r="O245" s="1551"/>
      <c r="P245" s="3183"/>
      <c r="Q245" s="1551"/>
      <c r="R245" s="3183"/>
      <c r="S245" s="1552"/>
    </row>
    <row r="246" spans="1:19" ht="13.15" customHeight="1">
      <c r="A246" s="476">
        <f t="shared" si="3"/>
        <v>2023.09</v>
      </c>
      <c r="B246" s="1555"/>
      <c r="C246" s="1551"/>
      <c r="D246" s="3183"/>
      <c r="E246" s="1551"/>
      <c r="F246" s="3183"/>
      <c r="G246" s="1551"/>
      <c r="H246" s="3183"/>
      <c r="I246" s="1551"/>
      <c r="J246" s="3183"/>
      <c r="K246" s="1551"/>
      <c r="L246" s="3183"/>
      <c r="M246" s="1551"/>
      <c r="N246" s="3183"/>
      <c r="O246" s="1551"/>
      <c r="P246" s="3183"/>
      <c r="Q246" s="1551"/>
      <c r="R246" s="3183"/>
      <c r="S246" s="1552"/>
    </row>
    <row r="247" spans="1:19" ht="13.15" customHeight="1">
      <c r="A247" s="476">
        <f t="shared" si="3"/>
        <v>2023.1</v>
      </c>
      <c r="B247" s="1555"/>
      <c r="C247" s="1551"/>
      <c r="D247" s="3183"/>
      <c r="E247" s="1551"/>
      <c r="F247" s="3183"/>
      <c r="G247" s="1551"/>
      <c r="H247" s="3183"/>
      <c r="I247" s="1551"/>
      <c r="J247" s="3183"/>
      <c r="K247" s="1551"/>
      <c r="L247" s="3183"/>
      <c r="M247" s="1551"/>
      <c r="N247" s="3183"/>
      <c r="O247" s="1551"/>
      <c r="P247" s="3183"/>
      <c r="Q247" s="1551"/>
      <c r="R247" s="3183"/>
      <c r="S247" s="1552"/>
    </row>
    <row r="248" spans="1:19" ht="13.15" customHeight="1">
      <c r="A248" s="476">
        <f t="shared" si="3"/>
        <v>2023.11</v>
      </c>
      <c r="B248" s="1555"/>
      <c r="C248" s="1551"/>
      <c r="D248" s="3183"/>
      <c r="E248" s="1551"/>
      <c r="F248" s="3183"/>
      <c r="G248" s="1551"/>
      <c r="H248" s="3183"/>
      <c r="I248" s="1551"/>
      <c r="J248" s="3183"/>
      <c r="K248" s="1551"/>
      <c r="L248" s="3183"/>
      <c r="M248" s="1551"/>
      <c r="N248" s="3183"/>
      <c r="O248" s="1551"/>
      <c r="P248" s="3183"/>
      <c r="Q248" s="1551"/>
      <c r="R248" s="3183"/>
      <c r="S248" s="1552"/>
    </row>
    <row r="249" spans="1:19" ht="13.15" customHeight="1">
      <c r="A249" s="476">
        <f t="shared" si="3"/>
        <v>2023.12</v>
      </c>
      <c r="B249" s="1555"/>
      <c r="C249" s="1551"/>
      <c r="D249" s="3183"/>
      <c r="E249" s="1551"/>
      <c r="F249" s="3183"/>
      <c r="G249" s="1551"/>
      <c r="H249" s="3183"/>
      <c r="I249" s="1551"/>
      <c r="J249" s="3183"/>
      <c r="K249" s="1551"/>
      <c r="L249" s="3183"/>
      <c r="M249" s="1551"/>
      <c r="N249" s="3183"/>
      <c r="O249" s="1551"/>
      <c r="P249" s="3183"/>
      <c r="Q249" s="1551"/>
      <c r="R249" s="3183"/>
      <c r="S249" s="1552"/>
    </row>
    <row r="250" spans="1:19" ht="13.15" customHeight="1">
      <c r="A250" s="476">
        <f t="shared" si="3"/>
        <v>2024.01</v>
      </c>
      <c r="B250" s="1555"/>
      <c r="C250" s="1551"/>
      <c r="D250" s="3183"/>
      <c r="E250" s="1551"/>
      <c r="F250" s="3183"/>
      <c r="G250" s="1551"/>
      <c r="H250" s="3183"/>
      <c r="I250" s="1551"/>
      <c r="J250" s="3183"/>
      <c r="K250" s="1551"/>
      <c r="L250" s="3183"/>
      <c r="M250" s="1551"/>
      <c r="N250" s="3183"/>
      <c r="O250" s="1551"/>
      <c r="P250" s="3183"/>
      <c r="Q250" s="1551"/>
      <c r="R250" s="3183"/>
      <c r="S250" s="1552"/>
    </row>
    <row r="251" spans="1:19" ht="13.15" customHeight="1">
      <c r="A251" s="479">
        <f t="shared" si="3"/>
        <v>2024.02</v>
      </c>
      <c r="B251" s="1555"/>
      <c r="C251" s="1551"/>
      <c r="D251" s="3183"/>
      <c r="E251" s="1551"/>
      <c r="F251" s="3183"/>
      <c r="G251" s="1551"/>
      <c r="H251" s="3183"/>
      <c r="I251" s="1551"/>
      <c r="J251" s="3183"/>
      <c r="K251" s="1551"/>
      <c r="L251" s="3183"/>
      <c r="M251" s="1551"/>
      <c r="N251" s="3183"/>
      <c r="O251" s="1551"/>
      <c r="P251" s="3183"/>
      <c r="Q251" s="1551"/>
      <c r="R251" s="3183"/>
      <c r="S251" s="1552"/>
    </row>
    <row r="252" spans="1:19" ht="13.15" customHeight="1">
      <c r="A252" s="479">
        <f t="shared" si="3"/>
        <v>2024.03</v>
      </c>
      <c r="B252" s="1555"/>
      <c r="C252" s="1551"/>
      <c r="D252" s="3183"/>
      <c r="E252" s="1551"/>
      <c r="F252" s="3183"/>
      <c r="G252" s="1551"/>
      <c r="H252" s="3183"/>
      <c r="I252" s="1551"/>
      <c r="J252" s="3183"/>
      <c r="K252" s="1551"/>
      <c r="L252" s="3183"/>
      <c r="M252" s="1551"/>
      <c r="N252" s="3183"/>
      <c r="O252" s="1551"/>
      <c r="P252" s="3183"/>
      <c r="Q252" s="1551"/>
      <c r="R252" s="3183"/>
      <c r="S252" s="1552"/>
    </row>
    <row r="253" spans="1:19" ht="13.15" customHeight="1">
      <c r="A253" s="479">
        <f t="shared" si="3"/>
        <v>2024.04</v>
      </c>
      <c r="B253" s="1555"/>
      <c r="C253" s="1551"/>
      <c r="D253" s="3183"/>
      <c r="E253" s="1551"/>
      <c r="F253" s="3183"/>
      <c r="G253" s="1551"/>
      <c r="H253" s="3183"/>
      <c r="I253" s="1551"/>
      <c r="J253" s="3183"/>
      <c r="K253" s="1551"/>
      <c r="L253" s="3183"/>
      <c r="M253" s="1551"/>
      <c r="N253" s="3183"/>
      <c r="O253" s="1551"/>
      <c r="P253" s="3183"/>
      <c r="Q253" s="1551"/>
      <c r="R253" s="3183"/>
      <c r="S253" s="1552"/>
    </row>
    <row r="254" spans="1:19" ht="13.15" customHeight="1">
      <c r="A254" s="479">
        <f t="shared" si="3"/>
        <v>2024.05</v>
      </c>
      <c r="B254" s="1555"/>
      <c r="C254" s="1551"/>
      <c r="D254" s="3183"/>
      <c r="E254" s="1551"/>
      <c r="F254" s="3183"/>
      <c r="G254" s="1551"/>
      <c r="H254" s="3183"/>
      <c r="I254" s="1551"/>
      <c r="J254" s="3183"/>
      <c r="K254" s="1551"/>
      <c r="L254" s="3183"/>
      <c r="M254" s="1551"/>
      <c r="N254" s="3183"/>
      <c r="O254" s="1551"/>
      <c r="P254" s="3183"/>
      <c r="Q254" s="1551"/>
      <c r="R254" s="3183"/>
      <c r="S254" s="1552"/>
    </row>
    <row r="255" spans="1:19" ht="13.15" customHeight="1">
      <c r="A255" s="479">
        <f t="shared" si="3"/>
        <v>2024.06</v>
      </c>
      <c r="B255" s="1555"/>
      <c r="C255" s="1551"/>
      <c r="D255" s="3183"/>
      <c r="E255" s="1551"/>
      <c r="F255" s="3183"/>
      <c r="G255" s="1551"/>
      <c r="H255" s="3183"/>
      <c r="I255" s="1551"/>
      <c r="J255" s="3183"/>
      <c r="K255" s="1551"/>
      <c r="L255" s="3183"/>
      <c r="M255" s="1551"/>
      <c r="N255" s="3183"/>
      <c r="O255" s="1551"/>
      <c r="P255" s="3183"/>
      <c r="Q255" s="1551"/>
      <c r="R255" s="3183"/>
      <c r="S255" s="1552"/>
    </row>
    <row r="256" spans="1:19" ht="13.15" customHeight="1">
      <c r="A256" s="479">
        <f t="shared" si="3"/>
        <v>2024.07</v>
      </c>
      <c r="B256" s="1555"/>
      <c r="C256" s="1551"/>
      <c r="D256" s="3183"/>
      <c r="E256" s="1551"/>
      <c r="F256" s="3183"/>
      <c r="G256" s="1551"/>
      <c r="H256" s="3183"/>
      <c r="I256" s="1551"/>
      <c r="J256" s="3183"/>
      <c r="K256" s="1551"/>
      <c r="L256" s="3183"/>
      <c r="M256" s="1551"/>
      <c r="N256" s="3183"/>
      <c r="O256" s="1551"/>
      <c r="P256" s="3183"/>
      <c r="Q256" s="1551"/>
      <c r="R256" s="3183"/>
      <c r="S256" s="1552"/>
    </row>
    <row r="257" spans="1:19" ht="13.15" customHeight="1">
      <c r="A257" s="479">
        <f t="shared" si="3"/>
        <v>2024.08</v>
      </c>
      <c r="B257" s="1555"/>
      <c r="C257" s="1551"/>
      <c r="D257" s="3183"/>
      <c r="E257" s="1551"/>
      <c r="F257" s="3183"/>
      <c r="G257" s="1551"/>
      <c r="H257" s="3183"/>
      <c r="I257" s="1551"/>
      <c r="J257" s="3183"/>
      <c r="K257" s="1551"/>
      <c r="L257" s="3183"/>
      <c r="M257" s="1551"/>
      <c r="N257" s="3183"/>
      <c r="O257" s="1551"/>
      <c r="P257" s="3183"/>
      <c r="Q257" s="1551"/>
      <c r="R257" s="3183"/>
      <c r="S257" s="1552"/>
    </row>
    <row r="258" spans="1:19" ht="13.15" customHeight="1">
      <c r="A258" s="479">
        <f t="shared" si="3"/>
        <v>2024.09</v>
      </c>
      <c r="B258" s="1555"/>
      <c r="C258" s="1551"/>
      <c r="D258" s="3183"/>
      <c r="E258" s="1551"/>
      <c r="F258" s="3183"/>
      <c r="G258" s="1551"/>
      <c r="H258" s="3183"/>
      <c r="I258" s="1551"/>
      <c r="J258" s="3183"/>
      <c r="K258" s="1551"/>
      <c r="L258" s="3183"/>
      <c r="M258" s="1551"/>
      <c r="N258" s="3183"/>
      <c r="O258" s="1551"/>
      <c r="P258" s="3183"/>
      <c r="Q258" s="1551"/>
      <c r="R258" s="3183"/>
      <c r="S258" s="1552"/>
    </row>
    <row r="259" spans="1:19" ht="13.15" customHeight="1">
      <c r="A259" s="479">
        <f t="shared" si="3"/>
        <v>2024.1</v>
      </c>
      <c r="B259" s="1555"/>
      <c r="C259" s="1551"/>
      <c r="D259" s="3183"/>
      <c r="E259" s="1551"/>
      <c r="F259" s="3183"/>
      <c r="G259" s="1551"/>
      <c r="H259" s="3183"/>
      <c r="I259" s="1551"/>
      <c r="J259" s="3183"/>
      <c r="K259" s="1551"/>
      <c r="L259" s="3183"/>
      <c r="M259" s="1551"/>
      <c r="N259" s="3183"/>
      <c r="O259" s="1551"/>
      <c r="P259" s="3183"/>
      <c r="Q259" s="1551"/>
      <c r="R259" s="3183"/>
      <c r="S259" s="1552"/>
    </row>
    <row r="260" spans="1:19" ht="13.15" customHeight="1">
      <c r="A260" s="479">
        <f t="shared" si="3"/>
        <v>2024.11</v>
      </c>
      <c r="B260" s="1555"/>
      <c r="C260" s="1551"/>
      <c r="D260" s="3183"/>
      <c r="E260" s="1551"/>
      <c r="F260" s="3183"/>
      <c r="G260" s="1551"/>
      <c r="H260" s="3183"/>
      <c r="I260" s="1551"/>
      <c r="J260" s="3183"/>
      <c r="K260" s="1551"/>
      <c r="L260" s="3183"/>
      <c r="M260" s="1551"/>
      <c r="N260" s="3183"/>
      <c r="O260" s="1551"/>
      <c r="P260" s="3183"/>
      <c r="Q260" s="1551"/>
      <c r="R260" s="3183"/>
      <c r="S260" s="1552"/>
    </row>
    <row r="261" spans="1:19" ht="13.15" customHeight="1">
      <c r="A261" s="479">
        <f t="shared" si="3"/>
        <v>2024.12</v>
      </c>
      <c r="B261" s="1555"/>
      <c r="C261" s="1551"/>
      <c r="D261" s="3183"/>
      <c r="E261" s="1551"/>
      <c r="F261" s="3183"/>
      <c r="G261" s="1551"/>
      <c r="H261" s="3183"/>
      <c r="I261" s="1551"/>
      <c r="J261" s="3183"/>
      <c r="K261" s="1551"/>
      <c r="L261" s="3183"/>
      <c r="M261" s="1551"/>
      <c r="N261" s="3183"/>
      <c r="O261" s="1551"/>
      <c r="P261" s="3183"/>
      <c r="Q261" s="1551"/>
      <c r="R261" s="3183"/>
      <c r="S261" s="1552"/>
    </row>
    <row r="262" spans="1:19" ht="13.15" customHeight="1">
      <c r="A262" s="479">
        <f t="shared" si="3"/>
        <v>2025.01</v>
      </c>
      <c r="B262" s="1555"/>
      <c r="C262" s="1551"/>
      <c r="D262" s="3183"/>
      <c r="E262" s="1551"/>
      <c r="F262" s="3183"/>
      <c r="G262" s="1551"/>
      <c r="H262" s="3183"/>
      <c r="I262" s="1551"/>
      <c r="J262" s="3183"/>
      <c r="K262" s="1551"/>
      <c r="L262" s="3183"/>
      <c r="M262" s="1551"/>
      <c r="N262" s="3183"/>
      <c r="O262" s="1551"/>
      <c r="P262" s="3183"/>
      <c r="Q262" s="1551"/>
      <c r="R262" s="3183"/>
      <c r="S262" s="1552"/>
    </row>
    <row r="263" spans="1:19" ht="13.15" customHeight="1">
      <c r="A263" s="479">
        <f t="shared" si="3"/>
        <v>2025.02</v>
      </c>
      <c r="B263" s="1555"/>
      <c r="C263" s="1551"/>
      <c r="D263" s="3183"/>
      <c r="E263" s="1551"/>
      <c r="F263" s="3183"/>
      <c r="G263" s="1551"/>
      <c r="H263" s="3183"/>
      <c r="I263" s="1551"/>
      <c r="J263" s="3183"/>
      <c r="K263" s="1551"/>
      <c r="L263" s="3183"/>
      <c r="M263" s="1551"/>
      <c r="N263" s="3183"/>
      <c r="O263" s="1551"/>
      <c r="P263" s="3183"/>
      <c r="Q263" s="1551"/>
      <c r="R263" s="3183"/>
      <c r="S263" s="1552"/>
    </row>
    <row r="264" spans="1:19" ht="13.15" customHeight="1">
      <c r="A264" s="479">
        <f t="shared" si="3"/>
        <v>2025.03</v>
      </c>
      <c r="B264" s="1555"/>
      <c r="C264" s="1551"/>
      <c r="D264" s="3183"/>
      <c r="E264" s="1551"/>
      <c r="F264" s="3183"/>
      <c r="G264" s="1551"/>
      <c r="H264" s="3183"/>
      <c r="I264" s="1551"/>
      <c r="J264" s="3183"/>
      <c r="K264" s="1551"/>
      <c r="L264" s="3183"/>
      <c r="M264" s="1551"/>
      <c r="N264" s="3183"/>
      <c r="O264" s="1551"/>
      <c r="P264" s="3183"/>
      <c r="Q264" s="1551"/>
      <c r="R264" s="3183"/>
      <c r="S264" s="1552"/>
    </row>
    <row r="265" spans="1:19" ht="13.15" customHeight="1">
      <c r="A265" s="479">
        <f t="shared" si="3"/>
        <v>2025.04</v>
      </c>
      <c r="B265" s="1555"/>
      <c r="C265" s="1551"/>
      <c r="D265" s="3183"/>
      <c r="E265" s="1551"/>
      <c r="F265" s="3183"/>
      <c r="G265" s="1551"/>
      <c r="H265" s="3183"/>
      <c r="I265" s="1551"/>
      <c r="J265" s="3183"/>
      <c r="K265" s="1551"/>
      <c r="L265" s="3183"/>
      <c r="M265" s="1551"/>
      <c r="N265" s="3183"/>
      <c r="O265" s="1551"/>
      <c r="P265" s="3183"/>
      <c r="Q265" s="1551"/>
      <c r="R265" s="3183"/>
      <c r="S265" s="1552"/>
    </row>
    <row r="266" spans="1:19" ht="13.15" customHeight="1">
      <c r="A266" s="479">
        <f t="shared" si="3"/>
        <v>2025.05</v>
      </c>
      <c r="B266" s="1555"/>
      <c r="C266" s="1551"/>
      <c r="D266" s="3183"/>
      <c r="E266" s="1551"/>
      <c r="F266" s="3183"/>
      <c r="G266" s="1551"/>
      <c r="H266" s="3183"/>
      <c r="I266" s="1551"/>
      <c r="J266" s="3183"/>
      <c r="K266" s="1551"/>
      <c r="L266" s="3183"/>
      <c r="M266" s="1551"/>
      <c r="N266" s="3183"/>
      <c r="O266" s="1551"/>
      <c r="P266" s="3183"/>
      <c r="Q266" s="1551"/>
      <c r="R266" s="3183"/>
      <c r="S266" s="1552"/>
    </row>
    <row r="267" spans="1:19" ht="13.15" customHeight="1">
      <c r="A267" s="479">
        <f t="shared" si="3"/>
        <v>2025.06</v>
      </c>
      <c r="B267" s="1555"/>
      <c r="C267" s="1551"/>
      <c r="D267" s="3183"/>
      <c r="E267" s="1551"/>
      <c r="F267" s="3183"/>
      <c r="G267" s="1551"/>
      <c r="H267" s="3183"/>
      <c r="I267" s="1551"/>
      <c r="J267" s="3183"/>
      <c r="K267" s="1551"/>
      <c r="L267" s="3183"/>
      <c r="M267" s="1551"/>
      <c r="N267" s="3183"/>
      <c r="O267" s="1551"/>
      <c r="P267" s="3183"/>
      <c r="Q267" s="1551"/>
      <c r="R267" s="3183"/>
      <c r="S267" s="1552"/>
    </row>
    <row r="268" spans="1:19" ht="13.15" customHeight="1">
      <c r="A268" s="479">
        <f t="shared" si="3"/>
        <v>2025.07</v>
      </c>
      <c r="B268" s="1555"/>
      <c r="C268" s="1551"/>
      <c r="D268" s="3183"/>
      <c r="E268" s="1551"/>
      <c r="F268" s="3183"/>
      <c r="G268" s="1551"/>
      <c r="H268" s="3183"/>
      <c r="I268" s="1551"/>
      <c r="J268" s="3183"/>
      <c r="K268" s="1551"/>
      <c r="L268" s="3183"/>
      <c r="M268" s="1551"/>
      <c r="N268" s="3183"/>
      <c r="O268" s="1551"/>
      <c r="P268" s="3183"/>
      <c r="Q268" s="1551"/>
      <c r="R268" s="3183"/>
      <c r="S268" s="1552"/>
    </row>
    <row r="269" spans="1:19" ht="13.15" customHeight="1">
      <c r="A269" s="479">
        <f t="shared" si="3"/>
        <v>2025.08</v>
      </c>
      <c r="B269" s="1555"/>
      <c r="C269" s="1551"/>
      <c r="D269" s="3183"/>
      <c r="E269" s="1551"/>
      <c r="F269" s="3183"/>
      <c r="G269" s="1551"/>
      <c r="H269" s="3183"/>
      <c r="I269" s="1551"/>
      <c r="J269" s="3183"/>
      <c r="K269" s="1551"/>
      <c r="L269" s="3183"/>
      <c r="M269" s="1551"/>
      <c r="N269" s="3183"/>
      <c r="O269" s="1551"/>
      <c r="P269" s="3183"/>
      <c r="Q269" s="1551"/>
      <c r="R269" s="3183"/>
      <c r="S269" s="1552"/>
    </row>
    <row r="270" spans="1:19" ht="13.15" customHeight="1">
      <c r="A270" s="479">
        <f t="shared" si="3"/>
        <v>2025.09</v>
      </c>
      <c r="B270" s="1555"/>
      <c r="C270" s="1551"/>
      <c r="D270" s="3183"/>
      <c r="E270" s="1551"/>
      <c r="F270" s="3183"/>
      <c r="G270" s="1551"/>
      <c r="H270" s="3183"/>
      <c r="I270" s="1551"/>
      <c r="J270" s="3183"/>
      <c r="K270" s="1551"/>
      <c r="L270" s="3183"/>
      <c r="M270" s="1551"/>
      <c r="N270" s="3183"/>
      <c r="O270" s="1551"/>
      <c r="P270" s="3183"/>
      <c r="Q270" s="1551"/>
      <c r="R270" s="3183"/>
      <c r="S270" s="1552"/>
    </row>
    <row r="271" spans="1:19" ht="13.15" customHeight="1">
      <c r="A271" s="479">
        <f t="shared" si="3"/>
        <v>2025.1</v>
      </c>
      <c r="B271" s="1555"/>
      <c r="C271" s="1551"/>
      <c r="D271" s="3183"/>
      <c r="E271" s="1551"/>
      <c r="F271" s="3183"/>
      <c r="G271" s="1551"/>
      <c r="H271" s="3183"/>
      <c r="I271" s="1551"/>
      <c r="J271" s="3183"/>
      <c r="K271" s="1551"/>
      <c r="L271" s="3183"/>
      <c r="M271" s="1551"/>
      <c r="N271" s="3183"/>
      <c r="O271" s="1551"/>
      <c r="P271" s="3183"/>
      <c r="Q271" s="1551"/>
      <c r="R271" s="3183"/>
      <c r="S271" s="1552"/>
    </row>
    <row r="272" spans="1:19" ht="13.15" customHeight="1">
      <c r="A272" s="479">
        <f t="shared" si="3"/>
        <v>2025.11</v>
      </c>
      <c r="B272" s="1555"/>
      <c r="C272" s="1551"/>
      <c r="D272" s="3183"/>
      <c r="E272" s="1551"/>
      <c r="F272" s="3183"/>
      <c r="G272" s="1551"/>
      <c r="H272" s="3183"/>
      <c r="I272" s="1551"/>
      <c r="J272" s="3183"/>
      <c r="K272" s="1551"/>
      <c r="L272" s="3183"/>
      <c r="M272" s="1551"/>
      <c r="N272" s="3183"/>
      <c r="O272" s="1551"/>
      <c r="P272" s="3183"/>
      <c r="Q272" s="1551"/>
      <c r="R272" s="3183"/>
      <c r="S272" s="1552"/>
    </row>
    <row r="273" spans="1:19" ht="13.15" customHeight="1">
      <c r="A273" s="479">
        <f t="shared" si="3"/>
        <v>2025.12</v>
      </c>
      <c r="B273" s="1555"/>
      <c r="C273" s="1551"/>
      <c r="D273" s="3183"/>
      <c r="E273" s="1551"/>
      <c r="F273" s="3183"/>
      <c r="G273" s="1551"/>
      <c r="H273" s="3183"/>
      <c r="I273" s="1551"/>
      <c r="J273" s="3183"/>
      <c r="K273" s="1551"/>
      <c r="L273" s="3183"/>
      <c r="M273" s="1551"/>
      <c r="N273" s="3183"/>
      <c r="O273" s="1551"/>
      <c r="P273" s="3183"/>
      <c r="Q273" s="1551"/>
      <c r="R273" s="3183"/>
      <c r="S273" s="1552"/>
    </row>
    <row r="274" spans="1:19">
      <c r="A274" s="479">
        <f t="shared" si="3"/>
        <v>2026.01</v>
      </c>
      <c r="B274" s="1555"/>
      <c r="C274" s="1551"/>
      <c r="D274" s="3183"/>
      <c r="E274" s="1551"/>
      <c r="F274" s="3183"/>
      <c r="G274" s="1551"/>
      <c r="H274" s="3183"/>
      <c r="I274" s="1551"/>
      <c r="J274" s="3183"/>
      <c r="K274" s="1551"/>
      <c r="L274" s="3183"/>
      <c r="M274" s="1551"/>
      <c r="N274" s="3183"/>
      <c r="O274" s="1551"/>
      <c r="P274" s="3183"/>
      <c r="Q274" s="1551"/>
      <c r="R274" s="3183"/>
      <c r="S274" s="1552"/>
    </row>
    <row r="275" spans="1:19">
      <c r="A275" s="479">
        <f t="shared" si="3"/>
        <v>2026.02</v>
      </c>
      <c r="B275" s="1555"/>
      <c r="C275" s="1551"/>
      <c r="D275" s="3183"/>
      <c r="E275" s="1551"/>
      <c r="F275" s="3183"/>
      <c r="G275" s="1551"/>
      <c r="H275" s="3183"/>
      <c r="I275" s="1551"/>
      <c r="J275" s="3183"/>
      <c r="K275" s="1551"/>
      <c r="L275" s="3183"/>
      <c r="M275" s="1551"/>
      <c r="N275" s="3183"/>
      <c r="O275" s="1551"/>
      <c r="P275" s="3183"/>
      <c r="Q275" s="1551"/>
      <c r="R275" s="3183"/>
      <c r="S275" s="1552"/>
    </row>
    <row r="276" spans="1:19">
      <c r="A276" s="479">
        <f t="shared" si="3"/>
        <v>2026.03</v>
      </c>
      <c r="B276" s="1555"/>
      <c r="C276" s="1551"/>
      <c r="D276" s="3183"/>
      <c r="E276" s="1551"/>
      <c r="F276" s="3183"/>
      <c r="G276" s="1551"/>
      <c r="H276" s="3183"/>
      <c r="I276" s="1551"/>
      <c r="J276" s="3183"/>
      <c r="K276" s="1551"/>
      <c r="L276" s="3183"/>
      <c r="M276" s="1551"/>
      <c r="N276" s="3183"/>
      <c r="O276" s="1551"/>
      <c r="P276" s="3183"/>
      <c r="Q276" s="1551"/>
      <c r="R276" s="3183"/>
      <c r="S276" s="1552"/>
    </row>
    <row r="277" spans="1:19">
      <c r="A277" s="479">
        <f t="shared" si="3"/>
        <v>2026.04</v>
      </c>
      <c r="B277" s="1555"/>
      <c r="C277" s="1551"/>
      <c r="D277" s="3183"/>
      <c r="E277" s="1551"/>
      <c r="F277" s="3183"/>
      <c r="G277" s="1551"/>
      <c r="H277" s="3183"/>
      <c r="I277" s="1551"/>
      <c r="J277" s="3183"/>
      <c r="K277" s="1551"/>
      <c r="L277" s="3183"/>
      <c r="M277" s="1551"/>
      <c r="N277" s="3183"/>
      <c r="O277" s="1551"/>
      <c r="P277" s="3183"/>
      <c r="Q277" s="1551"/>
      <c r="R277" s="3183"/>
      <c r="S277" s="1552"/>
    </row>
    <row r="278" spans="1:19">
      <c r="A278" s="479">
        <f t="shared" si="3"/>
        <v>2026.05</v>
      </c>
      <c r="B278" s="1555"/>
      <c r="C278" s="1551"/>
      <c r="D278" s="3183"/>
      <c r="E278" s="1551"/>
      <c r="F278" s="3183"/>
      <c r="G278" s="1551"/>
      <c r="H278" s="3183"/>
      <c r="I278" s="1551"/>
      <c r="J278" s="3183"/>
      <c r="K278" s="1551"/>
      <c r="L278" s="3183"/>
      <c r="M278" s="1551"/>
      <c r="N278" s="3183"/>
      <c r="O278" s="1551"/>
      <c r="P278" s="3183"/>
      <c r="Q278" s="1551"/>
      <c r="R278" s="3183"/>
      <c r="S278" s="1552"/>
    </row>
    <row r="279" spans="1:19">
      <c r="A279" s="479">
        <f t="shared" ref="A279:A333" si="4">A267+1</f>
        <v>2026.06</v>
      </c>
      <c r="B279" s="1555"/>
      <c r="C279" s="1551"/>
      <c r="D279" s="3183"/>
      <c r="E279" s="1551"/>
      <c r="F279" s="3183"/>
      <c r="G279" s="1551"/>
      <c r="H279" s="3183"/>
      <c r="I279" s="1551"/>
      <c r="J279" s="3183"/>
      <c r="K279" s="1551"/>
      <c r="L279" s="3183"/>
      <c r="M279" s="1551"/>
      <c r="N279" s="3183"/>
      <c r="O279" s="1551"/>
      <c r="P279" s="3183"/>
      <c r="Q279" s="1551"/>
      <c r="R279" s="3183"/>
      <c r="S279" s="1552"/>
    </row>
    <row r="280" spans="1:19">
      <c r="A280" s="479">
        <f t="shared" si="4"/>
        <v>2026.07</v>
      </c>
      <c r="B280" s="1555"/>
      <c r="C280" s="1551"/>
      <c r="D280" s="3183"/>
      <c r="E280" s="1551"/>
      <c r="F280" s="3183"/>
      <c r="G280" s="1551"/>
      <c r="H280" s="3183"/>
      <c r="I280" s="1551"/>
      <c r="J280" s="3183"/>
      <c r="K280" s="1551"/>
      <c r="L280" s="3183"/>
      <c r="M280" s="1551"/>
      <c r="N280" s="3183"/>
      <c r="O280" s="1551"/>
      <c r="P280" s="3183"/>
      <c r="Q280" s="1551"/>
      <c r="R280" s="3183"/>
      <c r="S280" s="1552"/>
    </row>
    <row r="281" spans="1:19">
      <c r="A281" s="479">
        <f t="shared" si="4"/>
        <v>2026.08</v>
      </c>
      <c r="B281" s="1555"/>
      <c r="C281" s="1551"/>
      <c r="D281" s="3183"/>
      <c r="E281" s="1551"/>
      <c r="F281" s="3183"/>
      <c r="G281" s="1551"/>
      <c r="H281" s="3183"/>
      <c r="I281" s="1551"/>
      <c r="J281" s="3183"/>
      <c r="K281" s="1551"/>
      <c r="L281" s="3183"/>
      <c r="M281" s="1551"/>
      <c r="N281" s="3183"/>
      <c r="O281" s="1551"/>
      <c r="P281" s="3183"/>
      <c r="Q281" s="1551"/>
      <c r="R281" s="3183"/>
      <c r="S281" s="1552"/>
    </row>
    <row r="282" spans="1:19">
      <c r="A282" s="479">
        <f t="shared" si="4"/>
        <v>2026.09</v>
      </c>
      <c r="B282" s="1555"/>
      <c r="C282" s="1551"/>
      <c r="D282" s="3183"/>
      <c r="E282" s="1551"/>
      <c r="F282" s="3183"/>
      <c r="G282" s="1551"/>
      <c r="H282" s="3183"/>
      <c r="I282" s="1551"/>
      <c r="J282" s="3183"/>
      <c r="K282" s="1551"/>
      <c r="L282" s="3183"/>
      <c r="M282" s="1551"/>
      <c r="N282" s="3183"/>
      <c r="O282" s="1551"/>
      <c r="P282" s="3183"/>
      <c r="Q282" s="1551"/>
      <c r="R282" s="3183"/>
      <c r="S282" s="1552"/>
    </row>
    <row r="283" spans="1:19">
      <c r="A283" s="479">
        <f t="shared" si="4"/>
        <v>2026.1</v>
      </c>
      <c r="B283" s="1555"/>
      <c r="C283" s="1551"/>
      <c r="D283" s="3183"/>
      <c r="E283" s="1551"/>
      <c r="F283" s="3183"/>
      <c r="G283" s="1551"/>
      <c r="H283" s="3183"/>
      <c r="I283" s="1551"/>
      <c r="J283" s="3183"/>
      <c r="K283" s="1551"/>
      <c r="L283" s="3183"/>
      <c r="M283" s="1551"/>
      <c r="N283" s="3183"/>
      <c r="O283" s="1551"/>
      <c r="P283" s="3183"/>
      <c r="Q283" s="1551"/>
      <c r="R283" s="3183"/>
      <c r="S283" s="1552"/>
    </row>
    <row r="284" spans="1:19">
      <c r="A284" s="479">
        <f t="shared" si="4"/>
        <v>2026.11</v>
      </c>
      <c r="B284" s="1555"/>
      <c r="C284" s="1551"/>
      <c r="D284" s="3183"/>
      <c r="E284" s="1551"/>
      <c r="F284" s="3183"/>
      <c r="G284" s="1551"/>
      <c r="H284" s="3183"/>
      <c r="I284" s="1551"/>
      <c r="J284" s="3183"/>
      <c r="K284" s="1551"/>
      <c r="L284" s="3183"/>
      <c r="M284" s="1551"/>
      <c r="N284" s="3183"/>
      <c r="O284" s="1551"/>
      <c r="P284" s="3183"/>
      <c r="Q284" s="1551"/>
      <c r="R284" s="3183"/>
      <c r="S284" s="1552"/>
    </row>
    <row r="285" spans="1:19">
      <c r="A285" s="479">
        <f t="shared" si="4"/>
        <v>2026.12</v>
      </c>
      <c r="B285" s="1555"/>
      <c r="C285" s="1551"/>
      <c r="D285" s="3183"/>
      <c r="E285" s="1551"/>
      <c r="F285" s="3183"/>
      <c r="G285" s="1551"/>
      <c r="H285" s="3183"/>
      <c r="I285" s="1551"/>
      <c r="J285" s="3183"/>
      <c r="K285" s="1551"/>
      <c r="L285" s="3183"/>
      <c r="M285" s="1551"/>
      <c r="N285" s="3183"/>
      <c r="O285" s="1551"/>
      <c r="P285" s="3183"/>
      <c r="Q285" s="1551"/>
      <c r="R285" s="3183"/>
      <c r="S285" s="1552"/>
    </row>
    <row r="286" spans="1:19">
      <c r="A286" s="479">
        <f t="shared" si="4"/>
        <v>2027.01</v>
      </c>
      <c r="B286" s="1555"/>
      <c r="C286" s="1551"/>
      <c r="D286" s="3183"/>
      <c r="E286" s="1551"/>
      <c r="F286" s="3183"/>
      <c r="G286" s="1551"/>
      <c r="H286" s="3183"/>
      <c r="I286" s="1551"/>
      <c r="J286" s="3183"/>
      <c r="K286" s="1551"/>
      <c r="L286" s="3183"/>
      <c r="M286" s="1551"/>
      <c r="N286" s="3183"/>
      <c r="O286" s="1551"/>
      <c r="P286" s="3183"/>
      <c r="Q286" s="1551"/>
      <c r="R286" s="3183"/>
      <c r="S286" s="1552"/>
    </row>
    <row r="287" spans="1:19">
      <c r="A287" s="479">
        <f t="shared" si="4"/>
        <v>2027.02</v>
      </c>
      <c r="B287" s="1555"/>
      <c r="C287" s="1551"/>
      <c r="D287" s="3183"/>
      <c r="E287" s="1551"/>
      <c r="F287" s="3183"/>
      <c r="G287" s="1551"/>
      <c r="H287" s="3183"/>
      <c r="I287" s="1551"/>
      <c r="J287" s="3183"/>
      <c r="K287" s="1551"/>
      <c r="L287" s="3183"/>
      <c r="M287" s="1551"/>
      <c r="N287" s="3183"/>
      <c r="O287" s="1551"/>
      <c r="P287" s="3183"/>
      <c r="Q287" s="1551"/>
      <c r="R287" s="3183"/>
      <c r="S287" s="1552"/>
    </row>
    <row r="288" spans="1:19">
      <c r="A288" s="479">
        <f t="shared" si="4"/>
        <v>2027.03</v>
      </c>
      <c r="B288" s="1555"/>
      <c r="C288" s="1551"/>
      <c r="D288" s="3183"/>
      <c r="E288" s="1551"/>
      <c r="F288" s="3183"/>
      <c r="G288" s="1551"/>
      <c r="H288" s="3183"/>
      <c r="I288" s="1551"/>
      <c r="J288" s="3183"/>
      <c r="K288" s="1551"/>
      <c r="L288" s="3183"/>
      <c r="M288" s="1551"/>
      <c r="N288" s="3183"/>
      <c r="O288" s="1551"/>
      <c r="P288" s="3183"/>
      <c r="Q288" s="1551"/>
      <c r="R288" s="3183"/>
      <c r="S288" s="1552"/>
    </row>
    <row r="289" spans="1:19">
      <c r="A289" s="479">
        <f t="shared" si="4"/>
        <v>2027.04</v>
      </c>
      <c r="B289" s="1555"/>
      <c r="C289" s="1551"/>
      <c r="D289" s="3183"/>
      <c r="E289" s="1551"/>
      <c r="F289" s="3183"/>
      <c r="G289" s="1551"/>
      <c r="H289" s="3183"/>
      <c r="I289" s="1551"/>
      <c r="J289" s="3183"/>
      <c r="K289" s="1551"/>
      <c r="L289" s="3183"/>
      <c r="M289" s="1551"/>
      <c r="N289" s="3183"/>
      <c r="O289" s="1551"/>
      <c r="P289" s="3183"/>
      <c r="Q289" s="1551"/>
      <c r="R289" s="3183"/>
      <c r="S289" s="1552"/>
    </row>
    <row r="290" spans="1:19">
      <c r="A290" s="479">
        <f t="shared" si="4"/>
        <v>2027.05</v>
      </c>
      <c r="B290" s="1555"/>
      <c r="C290" s="1551"/>
      <c r="D290" s="3183"/>
      <c r="E290" s="1551"/>
      <c r="F290" s="3183"/>
      <c r="G290" s="1551"/>
      <c r="H290" s="3183"/>
      <c r="I290" s="1551"/>
      <c r="J290" s="3183"/>
      <c r="K290" s="1551"/>
      <c r="L290" s="3183"/>
      <c r="M290" s="1551"/>
      <c r="N290" s="3183"/>
      <c r="O290" s="1551"/>
      <c r="P290" s="3183"/>
      <c r="Q290" s="1551"/>
      <c r="R290" s="3183"/>
      <c r="S290" s="1552"/>
    </row>
    <row r="291" spans="1:19">
      <c r="A291" s="479">
        <f t="shared" si="4"/>
        <v>2027.06</v>
      </c>
      <c r="B291" s="1555"/>
      <c r="C291" s="1551"/>
      <c r="D291" s="3183"/>
      <c r="E291" s="1551"/>
      <c r="F291" s="3183"/>
      <c r="G291" s="1551"/>
      <c r="H291" s="3183"/>
      <c r="I291" s="1551"/>
      <c r="J291" s="3183"/>
      <c r="K291" s="1551"/>
      <c r="L291" s="3183"/>
      <c r="M291" s="1551"/>
      <c r="N291" s="3183"/>
      <c r="O291" s="1551"/>
      <c r="P291" s="3183"/>
      <c r="Q291" s="1551"/>
      <c r="R291" s="3183"/>
      <c r="S291" s="1552"/>
    </row>
    <row r="292" spans="1:19">
      <c r="A292" s="479">
        <f t="shared" si="4"/>
        <v>2027.07</v>
      </c>
      <c r="B292" s="1555"/>
      <c r="C292" s="1551"/>
      <c r="D292" s="3183"/>
      <c r="E292" s="1551"/>
      <c r="F292" s="3183"/>
      <c r="G292" s="1551"/>
      <c r="H292" s="3183"/>
      <c r="I292" s="1551"/>
      <c r="J292" s="3183"/>
      <c r="K292" s="1551"/>
      <c r="L292" s="3183"/>
      <c r="M292" s="1551"/>
      <c r="N292" s="3183"/>
      <c r="O292" s="1551"/>
      <c r="P292" s="3183"/>
      <c r="Q292" s="1551"/>
      <c r="R292" s="3183"/>
      <c r="S292" s="1552"/>
    </row>
    <row r="293" spans="1:19">
      <c r="A293" s="479">
        <f t="shared" si="4"/>
        <v>2027.08</v>
      </c>
      <c r="B293" s="1555"/>
      <c r="C293" s="1551"/>
      <c r="D293" s="3183"/>
      <c r="E293" s="1551"/>
      <c r="F293" s="3183"/>
      <c r="G293" s="1551"/>
      <c r="H293" s="3183"/>
      <c r="I293" s="1551"/>
      <c r="J293" s="3183"/>
      <c r="K293" s="1551"/>
      <c r="L293" s="3183"/>
      <c r="M293" s="1551"/>
      <c r="N293" s="3183"/>
      <c r="O293" s="1551"/>
      <c r="P293" s="3183"/>
      <c r="Q293" s="1551"/>
      <c r="R293" s="3183"/>
      <c r="S293" s="1552"/>
    </row>
    <row r="294" spans="1:19">
      <c r="A294" s="479">
        <f t="shared" si="4"/>
        <v>2027.09</v>
      </c>
      <c r="B294" s="1555"/>
      <c r="C294" s="1551"/>
      <c r="D294" s="3183"/>
      <c r="E294" s="1551"/>
      <c r="F294" s="3183"/>
      <c r="G294" s="1551"/>
      <c r="H294" s="3183"/>
      <c r="I294" s="1551"/>
      <c r="J294" s="3183"/>
      <c r="K294" s="1551"/>
      <c r="L294" s="3183"/>
      <c r="M294" s="1551"/>
      <c r="N294" s="3183"/>
      <c r="O294" s="1551"/>
      <c r="P294" s="3183"/>
      <c r="Q294" s="1551"/>
      <c r="R294" s="3183"/>
      <c r="S294" s="1552"/>
    </row>
    <row r="295" spans="1:19">
      <c r="A295" s="479">
        <f t="shared" si="4"/>
        <v>2027.1</v>
      </c>
      <c r="B295" s="1555"/>
      <c r="C295" s="1551"/>
      <c r="D295" s="3183"/>
      <c r="E295" s="1551"/>
      <c r="F295" s="3183"/>
      <c r="G295" s="1551"/>
      <c r="H295" s="3183"/>
      <c r="I295" s="1551"/>
      <c r="J295" s="3183"/>
      <c r="K295" s="1551"/>
      <c r="L295" s="3183"/>
      <c r="M295" s="1551"/>
      <c r="N295" s="3183"/>
      <c r="O295" s="1551"/>
      <c r="P295" s="3183"/>
      <c r="Q295" s="1551"/>
      <c r="R295" s="3183"/>
      <c r="S295" s="1552"/>
    </row>
    <row r="296" spans="1:19">
      <c r="A296" s="479">
        <f t="shared" si="4"/>
        <v>2027.11</v>
      </c>
      <c r="B296" s="1555"/>
      <c r="C296" s="1551"/>
      <c r="D296" s="3183"/>
      <c r="E296" s="1551"/>
      <c r="F296" s="3183"/>
      <c r="G296" s="1551"/>
      <c r="H296" s="3183"/>
      <c r="I296" s="1551"/>
      <c r="J296" s="3183"/>
      <c r="K296" s="1551"/>
      <c r="L296" s="3183"/>
      <c r="M296" s="1551"/>
      <c r="N296" s="3183"/>
      <c r="O296" s="1551"/>
      <c r="P296" s="3183"/>
      <c r="Q296" s="1551"/>
      <c r="R296" s="3183"/>
      <c r="S296" s="1552"/>
    </row>
    <row r="297" spans="1:19">
      <c r="A297" s="479">
        <f t="shared" si="4"/>
        <v>2027.12</v>
      </c>
      <c r="B297" s="1555"/>
      <c r="C297" s="1551"/>
      <c r="D297" s="3183"/>
      <c r="E297" s="1551"/>
      <c r="F297" s="3183"/>
      <c r="G297" s="1551"/>
      <c r="H297" s="3183"/>
      <c r="I297" s="1551"/>
      <c r="J297" s="3183"/>
      <c r="K297" s="1551"/>
      <c r="L297" s="3183"/>
      <c r="M297" s="1551"/>
      <c r="N297" s="3183"/>
      <c r="O297" s="1551"/>
      <c r="P297" s="3183"/>
      <c r="Q297" s="1551"/>
      <c r="R297" s="3183"/>
      <c r="S297" s="1552"/>
    </row>
    <row r="298" spans="1:19">
      <c r="A298" s="479">
        <f t="shared" si="4"/>
        <v>2028.01</v>
      </c>
      <c r="B298" s="1555"/>
      <c r="C298" s="1551"/>
      <c r="D298" s="3183"/>
      <c r="E298" s="1551"/>
      <c r="F298" s="3183"/>
      <c r="G298" s="1551"/>
      <c r="H298" s="3183"/>
      <c r="I298" s="1551"/>
      <c r="J298" s="3183"/>
      <c r="K298" s="1551"/>
      <c r="L298" s="3183"/>
      <c r="M298" s="1551"/>
      <c r="N298" s="3183"/>
      <c r="O298" s="1551"/>
      <c r="P298" s="3183"/>
      <c r="Q298" s="1551"/>
      <c r="R298" s="3183"/>
      <c r="S298" s="1552"/>
    </row>
    <row r="299" spans="1:19">
      <c r="A299" s="479">
        <f t="shared" si="4"/>
        <v>2028.02</v>
      </c>
      <c r="B299" s="1555"/>
      <c r="C299" s="1551"/>
      <c r="D299" s="3183"/>
      <c r="E299" s="1551"/>
      <c r="F299" s="3183"/>
      <c r="G299" s="1551"/>
      <c r="H299" s="3183"/>
      <c r="I299" s="1551"/>
      <c r="J299" s="3183"/>
      <c r="K299" s="1551"/>
      <c r="L299" s="3183"/>
      <c r="M299" s="1551"/>
      <c r="N299" s="3183"/>
      <c r="O299" s="1551"/>
      <c r="P299" s="3183"/>
      <c r="Q299" s="1551"/>
      <c r="R299" s="3183"/>
      <c r="S299" s="1552"/>
    </row>
    <row r="300" spans="1:19">
      <c r="A300" s="479">
        <f t="shared" si="4"/>
        <v>2028.03</v>
      </c>
      <c r="B300" s="1555"/>
      <c r="C300" s="1551"/>
      <c r="D300" s="3183"/>
      <c r="E300" s="1551"/>
      <c r="F300" s="3183"/>
      <c r="G300" s="1551"/>
      <c r="H300" s="3183"/>
      <c r="I300" s="1551"/>
      <c r="J300" s="3183"/>
      <c r="K300" s="1551"/>
      <c r="L300" s="3183"/>
      <c r="M300" s="1551"/>
      <c r="N300" s="3183"/>
      <c r="O300" s="1551"/>
      <c r="P300" s="3183"/>
      <c r="Q300" s="1551"/>
      <c r="R300" s="3183"/>
      <c r="S300" s="1552"/>
    </row>
    <row r="301" spans="1:19">
      <c r="A301" s="479">
        <f t="shared" si="4"/>
        <v>2028.04</v>
      </c>
      <c r="B301" s="1555"/>
      <c r="C301" s="1551"/>
      <c r="D301" s="3183"/>
      <c r="E301" s="1551"/>
      <c r="F301" s="3183"/>
      <c r="G301" s="1551"/>
      <c r="H301" s="3183"/>
      <c r="I301" s="1551"/>
      <c r="J301" s="3183"/>
      <c r="K301" s="1551"/>
      <c r="L301" s="3183"/>
      <c r="M301" s="1551"/>
      <c r="N301" s="3183"/>
      <c r="O301" s="1551"/>
      <c r="P301" s="3183"/>
      <c r="Q301" s="1551"/>
      <c r="R301" s="3183"/>
      <c r="S301" s="1552"/>
    </row>
    <row r="302" spans="1:19">
      <c r="A302" s="479">
        <f t="shared" si="4"/>
        <v>2028.05</v>
      </c>
      <c r="B302" s="1555"/>
      <c r="C302" s="1551"/>
      <c r="D302" s="3183"/>
      <c r="E302" s="1551"/>
      <c r="F302" s="3183"/>
      <c r="G302" s="1551"/>
      <c r="H302" s="3183"/>
      <c r="I302" s="1551"/>
      <c r="J302" s="3183"/>
      <c r="K302" s="1551"/>
      <c r="L302" s="3183"/>
      <c r="M302" s="1551"/>
      <c r="N302" s="3183"/>
      <c r="O302" s="1551"/>
      <c r="P302" s="3183"/>
      <c r="Q302" s="1551"/>
      <c r="R302" s="3183"/>
      <c r="S302" s="1552"/>
    </row>
    <row r="303" spans="1:19">
      <c r="A303" s="479">
        <f t="shared" si="4"/>
        <v>2028.06</v>
      </c>
      <c r="B303" s="1555"/>
      <c r="C303" s="1551"/>
      <c r="D303" s="3183"/>
      <c r="E303" s="1551"/>
      <c r="F303" s="3183"/>
      <c r="G303" s="1551"/>
      <c r="H303" s="3183"/>
      <c r="I303" s="1551"/>
      <c r="J303" s="3183"/>
      <c r="K303" s="1551"/>
      <c r="L303" s="3183"/>
      <c r="M303" s="1551"/>
      <c r="N303" s="3183"/>
      <c r="O303" s="1551"/>
      <c r="P303" s="3183"/>
      <c r="Q303" s="1551"/>
      <c r="R303" s="3183"/>
      <c r="S303" s="1552"/>
    </row>
    <row r="304" spans="1:19">
      <c r="A304" s="479">
        <f t="shared" si="4"/>
        <v>2028.07</v>
      </c>
      <c r="B304" s="1555"/>
      <c r="C304" s="1551"/>
      <c r="D304" s="3183"/>
      <c r="E304" s="1551"/>
      <c r="F304" s="3183"/>
      <c r="G304" s="1551"/>
      <c r="H304" s="3183"/>
      <c r="I304" s="1551"/>
      <c r="J304" s="3183"/>
      <c r="K304" s="1551"/>
      <c r="L304" s="3183"/>
      <c r="M304" s="1551"/>
      <c r="N304" s="3183"/>
      <c r="O304" s="1551"/>
      <c r="P304" s="3183"/>
      <c r="Q304" s="1551"/>
      <c r="R304" s="3183"/>
      <c r="S304" s="1552"/>
    </row>
    <row r="305" spans="1:19">
      <c r="A305" s="479">
        <f t="shared" si="4"/>
        <v>2028.08</v>
      </c>
      <c r="B305" s="1555"/>
      <c r="C305" s="1551"/>
      <c r="D305" s="3183"/>
      <c r="E305" s="1551"/>
      <c r="F305" s="3183"/>
      <c r="G305" s="1551"/>
      <c r="H305" s="3183"/>
      <c r="I305" s="1551"/>
      <c r="J305" s="3183"/>
      <c r="K305" s="1551"/>
      <c r="L305" s="3183"/>
      <c r="M305" s="1551"/>
      <c r="N305" s="3183"/>
      <c r="O305" s="1551"/>
      <c r="P305" s="3183"/>
      <c r="Q305" s="1551"/>
      <c r="R305" s="3183"/>
      <c r="S305" s="1552"/>
    </row>
    <row r="306" spans="1:19">
      <c r="A306" s="479">
        <f t="shared" si="4"/>
        <v>2028.09</v>
      </c>
      <c r="B306" s="1555"/>
      <c r="C306" s="1551"/>
      <c r="D306" s="3183"/>
      <c r="E306" s="1551"/>
      <c r="F306" s="3183"/>
      <c r="G306" s="1551"/>
      <c r="H306" s="3183"/>
      <c r="I306" s="1551"/>
      <c r="J306" s="3183"/>
      <c r="K306" s="1551"/>
      <c r="L306" s="3183"/>
      <c r="M306" s="1551"/>
      <c r="N306" s="3183"/>
      <c r="O306" s="1551"/>
      <c r="P306" s="3183"/>
      <c r="Q306" s="1551"/>
      <c r="R306" s="3183"/>
      <c r="S306" s="1552"/>
    </row>
    <row r="307" spans="1:19">
      <c r="A307" s="479">
        <f t="shared" si="4"/>
        <v>2028.1</v>
      </c>
      <c r="B307" s="1555"/>
      <c r="C307" s="1551"/>
      <c r="D307" s="3183"/>
      <c r="E307" s="1551"/>
      <c r="F307" s="3183"/>
      <c r="G307" s="1551"/>
      <c r="H307" s="3183"/>
      <c r="I307" s="1551"/>
      <c r="J307" s="3183"/>
      <c r="K307" s="1551"/>
      <c r="L307" s="3183"/>
      <c r="M307" s="1551"/>
      <c r="N307" s="3183"/>
      <c r="O307" s="1551"/>
      <c r="P307" s="3183"/>
      <c r="Q307" s="1551"/>
      <c r="R307" s="3183"/>
      <c r="S307" s="1552"/>
    </row>
    <row r="308" spans="1:19">
      <c r="A308" s="479">
        <f t="shared" si="4"/>
        <v>2028.11</v>
      </c>
      <c r="B308" s="1555"/>
      <c r="C308" s="1551"/>
      <c r="D308" s="3183"/>
      <c r="E308" s="1551"/>
      <c r="F308" s="3183"/>
      <c r="G308" s="1551"/>
      <c r="H308" s="3183"/>
      <c r="I308" s="1551"/>
      <c r="J308" s="3183"/>
      <c r="K308" s="1551"/>
      <c r="L308" s="3183"/>
      <c r="M308" s="1551"/>
      <c r="N308" s="3183"/>
      <c r="O308" s="1551"/>
      <c r="P308" s="3183"/>
      <c r="Q308" s="1551"/>
      <c r="R308" s="3183"/>
      <c r="S308" s="1552"/>
    </row>
    <row r="309" spans="1:19">
      <c r="A309" s="479">
        <f t="shared" si="4"/>
        <v>2028.12</v>
      </c>
      <c r="B309" s="1555"/>
      <c r="C309" s="1551"/>
      <c r="D309" s="3183"/>
      <c r="E309" s="1551"/>
      <c r="F309" s="3183"/>
      <c r="G309" s="1551"/>
      <c r="H309" s="3183"/>
      <c r="I309" s="1551"/>
      <c r="J309" s="3183"/>
      <c r="K309" s="1551"/>
      <c r="L309" s="3183"/>
      <c r="M309" s="1551"/>
      <c r="N309" s="3183"/>
      <c r="O309" s="1551"/>
      <c r="P309" s="3183"/>
      <c r="Q309" s="1551"/>
      <c r="R309" s="3183"/>
      <c r="S309" s="1552"/>
    </row>
    <row r="310" spans="1:19">
      <c r="A310" s="479">
        <f t="shared" si="4"/>
        <v>2029.01</v>
      </c>
      <c r="B310" s="1555"/>
      <c r="C310" s="1551"/>
      <c r="D310" s="3183"/>
      <c r="E310" s="1551"/>
      <c r="F310" s="3183"/>
      <c r="G310" s="1551"/>
      <c r="H310" s="3183"/>
      <c r="I310" s="1551"/>
      <c r="J310" s="3183"/>
      <c r="K310" s="1551"/>
      <c r="L310" s="3183"/>
      <c r="M310" s="1551"/>
      <c r="N310" s="3183"/>
      <c r="O310" s="1551"/>
      <c r="P310" s="3183"/>
      <c r="Q310" s="1551"/>
      <c r="R310" s="3183"/>
      <c r="S310" s="1552"/>
    </row>
    <row r="311" spans="1:19">
      <c r="A311" s="479">
        <f t="shared" si="4"/>
        <v>2029.02</v>
      </c>
      <c r="B311" s="1555"/>
      <c r="C311" s="1551"/>
      <c r="D311" s="3183"/>
      <c r="E311" s="1551"/>
      <c r="F311" s="3183"/>
      <c r="G311" s="1551"/>
      <c r="H311" s="3183"/>
      <c r="I311" s="1551"/>
      <c r="J311" s="3183"/>
      <c r="K311" s="1551"/>
      <c r="L311" s="3183"/>
      <c r="M311" s="1551"/>
      <c r="N311" s="3183"/>
      <c r="O311" s="1551"/>
      <c r="P311" s="3183"/>
      <c r="Q311" s="1551"/>
      <c r="R311" s="3183"/>
      <c r="S311" s="1552"/>
    </row>
    <row r="312" spans="1:19">
      <c r="A312" s="479">
        <f t="shared" si="4"/>
        <v>2029.03</v>
      </c>
      <c r="B312" s="1555"/>
      <c r="C312" s="1551"/>
      <c r="D312" s="3183"/>
      <c r="E312" s="1551"/>
      <c r="F312" s="3183"/>
      <c r="G312" s="1551"/>
      <c r="H312" s="3183"/>
      <c r="I312" s="1551"/>
      <c r="J312" s="3183"/>
      <c r="K312" s="1551"/>
      <c r="L312" s="3183"/>
      <c r="M312" s="1551"/>
      <c r="N312" s="3183"/>
      <c r="O312" s="1551"/>
      <c r="P312" s="3183"/>
      <c r="Q312" s="1551"/>
      <c r="R312" s="3183"/>
      <c r="S312" s="1552"/>
    </row>
    <row r="313" spans="1:19">
      <c r="A313" s="479">
        <f t="shared" si="4"/>
        <v>2029.04</v>
      </c>
      <c r="B313" s="1555"/>
      <c r="C313" s="1551"/>
      <c r="D313" s="3183"/>
      <c r="E313" s="1551"/>
      <c r="F313" s="3183"/>
      <c r="G313" s="1551"/>
      <c r="H313" s="3183"/>
      <c r="I313" s="1551"/>
      <c r="J313" s="3183"/>
      <c r="K313" s="1551"/>
      <c r="L313" s="3183"/>
      <c r="M313" s="1551"/>
      <c r="N313" s="3183"/>
      <c r="O313" s="1551"/>
      <c r="P313" s="3183"/>
      <c r="Q313" s="1551"/>
      <c r="R313" s="3183"/>
      <c r="S313" s="1552"/>
    </row>
    <row r="314" spans="1:19">
      <c r="A314" s="479">
        <f t="shared" si="4"/>
        <v>2029.05</v>
      </c>
      <c r="B314" s="1555"/>
      <c r="C314" s="1551"/>
      <c r="D314" s="3183"/>
      <c r="E314" s="1551"/>
      <c r="F314" s="3183"/>
      <c r="G314" s="1551"/>
      <c r="H314" s="3183"/>
      <c r="I314" s="1551"/>
      <c r="J314" s="3183"/>
      <c r="K314" s="1551"/>
      <c r="L314" s="3183"/>
      <c r="M314" s="1551"/>
      <c r="N314" s="3183"/>
      <c r="O314" s="1551"/>
      <c r="P314" s="3183"/>
      <c r="Q314" s="1551"/>
      <c r="R314" s="3183"/>
      <c r="S314" s="1552"/>
    </row>
    <row r="315" spans="1:19">
      <c r="A315" s="479">
        <f t="shared" si="4"/>
        <v>2029.06</v>
      </c>
      <c r="B315" s="1555"/>
      <c r="C315" s="1551"/>
      <c r="D315" s="3183"/>
      <c r="E315" s="1551"/>
      <c r="F315" s="3183"/>
      <c r="G315" s="1551"/>
      <c r="H315" s="3183"/>
      <c r="I315" s="1551"/>
      <c r="J315" s="3183"/>
      <c r="K315" s="1551"/>
      <c r="L315" s="3183"/>
      <c r="M315" s="1551"/>
      <c r="N315" s="3183"/>
      <c r="O315" s="1551"/>
      <c r="P315" s="3183"/>
      <c r="Q315" s="1551"/>
      <c r="R315" s="3183"/>
      <c r="S315" s="1552"/>
    </row>
    <row r="316" spans="1:19">
      <c r="A316" s="479">
        <f t="shared" si="4"/>
        <v>2029.07</v>
      </c>
      <c r="B316" s="1555"/>
      <c r="C316" s="1551"/>
      <c r="D316" s="3183"/>
      <c r="E316" s="1551"/>
      <c r="F316" s="3183"/>
      <c r="G316" s="1551"/>
      <c r="H316" s="3183"/>
      <c r="I316" s="1551"/>
      <c r="J316" s="3183"/>
      <c r="K316" s="1551"/>
      <c r="L316" s="3183"/>
      <c r="M316" s="1551"/>
      <c r="N316" s="3183"/>
      <c r="O316" s="1551"/>
      <c r="P316" s="3183"/>
      <c r="Q316" s="1551"/>
      <c r="R316" s="3183"/>
      <c r="S316" s="1552"/>
    </row>
    <row r="317" spans="1:19">
      <c r="A317" s="479">
        <f t="shared" si="4"/>
        <v>2029.08</v>
      </c>
      <c r="B317" s="1555"/>
      <c r="C317" s="1551"/>
      <c r="D317" s="3183"/>
      <c r="E317" s="1551"/>
      <c r="F317" s="3183"/>
      <c r="G317" s="1551"/>
      <c r="H317" s="3183"/>
      <c r="I317" s="1551"/>
      <c r="J317" s="3183"/>
      <c r="K317" s="1551"/>
      <c r="L317" s="3183"/>
      <c r="M317" s="1551"/>
      <c r="N317" s="3183"/>
      <c r="O317" s="1551"/>
      <c r="P317" s="3183"/>
      <c r="Q317" s="1551"/>
      <c r="R317" s="3183"/>
      <c r="S317" s="1552"/>
    </row>
    <row r="318" spans="1:19">
      <c r="A318" s="479">
        <f t="shared" si="4"/>
        <v>2029.09</v>
      </c>
      <c r="B318" s="1555"/>
      <c r="C318" s="1551"/>
      <c r="D318" s="3183"/>
      <c r="E318" s="1551"/>
      <c r="F318" s="3183"/>
      <c r="G318" s="1551"/>
      <c r="H318" s="3183"/>
      <c r="I318" s="1551"/>
      <c r="J318" s="3183"/>
      <c r="K318" s="1551"/>
      <c r="L318" s="3183"/>
      <c r="M318" s="1551"/>
      <c r="N318" s="3183"/>
      <c r="O318" s="1551"/>
      <c r="P318" s="3183"/>
      <c r="Q318" s="1551"/>
      <c r="R318" s="3183"/>
      <c r="S318" s="1552"/>
    </row>
    <row r="319" spans="1:19">
      <c r="A319" s="479">
        <f t="shared" si="4"/>
        <v>2029.1</v>
      </c>
      <c r="B319" s="1555"/>
      <c r="C319" s="1551"/>
      <c r="D319" s="3183"/>
      <c r="E319" s="1551"/>
      <c r="F319" s="3183"/>
      <c r="G319" s="1551"/>
      <c r="H319" s="3183"/>
      <c r="I319" s="1551"/>
      <c r="J319" s="3183"/>
      <c r="K319" s="1551"/>
      <c r="L319" s="3183"/>
      <c r="M319" s="1551"/>
      <c r="N319" s="3183"/>
      <c r="O319" s="1551"/>
      <c r="P319" s="3183"/>
      <c r="Q319" s="1551"/>
      <c r="R319" s="3183"/>
      <c r="S319" s="1552"/>
    </row>
    <row r="320" spans="1:19">
      <c r="A320" s="479">
        <f t="shared" si="4"/>
        <v>2029.11</v>
      </c>
      <c r="B320" s="1555"/>
      <c r="C320" s="1551"/>
      <c r="D320" s="3183"/>
      <c r="E320" s="1551"/>
      <c r="F320" s="3183"/>
      <c r="G320" s="1551"/>
      <c r="H320" s="3183"/>
      <c r="I320" s="1551"/>
      <c r="J320" s="3183"/>
      <c r="K320" s="1551"/>
      <c r="L320" s="3183"/>
      <c r="M320" s="1551"/>
      <c r="N320" s="3183"/>
      <c r="O320" s="1551"/>
      <c r="P320" s="3183"/>
      <c r="Q320" s="1551"/>
      <c r="R320" s="3183"/>
      <c r="S320" s="1552"/>
    </row>
    <row r="321" spans="1:19">
      <c r="A321" s="479">
        <f t="shared" si="4"/>
        <v>2029.12</v>
      </c>
      <c r="B321" s="1555"/>
      <c r="C321" s="1551"/>
      <c r="D321" s="3183"/>
      <c r="E321" s="1551"/>
      <c r="F321" s="3183"/>
      <c r="G321" s="1551"/>
      <c r="H321" s="3183"/>
      <c r="I321" s="1551"/>
      <c r="J321" s="3183"/>
      <c r="K321" s="1551"/>
      <c r="L321" s="3183"/>
      <c r="M321" s="1551"/>
      <c r="N321" s="3183"/>
      <c r="O321" s="1551"/>
      <c r="P321" s="3183"/>
      <c r="Q321" s="1551"/>
      <c r="R321" s="3183"/>
      <c r="S321" s="1552"/>
    </row>
    <row r="322" spans="1:19">
      <c r="A322" s="479">
        <f t="shared" si="4"/>
        <v>2030.01</v>
      </c>
      <c r="B322" s="1555"/>
      <c r="C322" s="1551"/>
      <c r="D322" s="3183"/>
      <c r="E322" s="1551"/>
      <c r="F322" s="3183"/>
      <c r="G322" s="1551"/>
      <c r="H322" s="3183"/>
      <c r="I322" s="1551"/>
      <c r="J322" s="3183"/>
      <c r="K322" s="1551"/>
      <c r="L322" s="3183"/>
      <c r="M322" s="1551"/>
      <c r="N322" s="3183"/>
      <c r="O322" s="1551"/>
      <c r="P322" s="3183"/>
      <c r="Q322" s="1551"/>
      <c r="R322" s="3183"/>
      <c r="S322" s="1552"/>
    </row>
    <row r="323" spans="1:19">
      <c r="A323" s="479">
        <f t="shared" si="4"/>
        <v>2030.02</v>
      </c>
      <c r="B323" s="1555"/>
      <c r="C323" s="1551"/>
      <c r="D323" s="3183"/>
      <c r="E323" s="1551"/>
      <c r="F323" s="3183"/>
      <c r="G323" s="1551"/>
      <c r="H323" s="3183"/>
      <c r="I323" s="1551"/>
      <c r="J323" s="3183"/>
      <c r="K323" s="1551"/>
      <c r="L323" s="3183"/>
      <c r="M323" s="1551"/>
      <c r="N323" s="3183"/>
      <c r="O323" s="1551"/>
      <c r="P323" s="3183"/>
      <c r="Q323" s="1551"/>
      <c r="R323" s="3183"/>
      <c r="S323" s="1552"/>
    </row>
    <row r="324" spans="1:19">
      <c r="A324" s="479">
        <f t="shared" si="4"/>
        <v>2030.03</v>
      </c>
      <c r="B324" s="1555"/>
      <c r="C324" s="1551"/>
      <c r="D324" s="3183"/>
      <c r="E324" s="1551"/>
      <c r="F324" s="3183"/>
      <c r="G324" s="1551"/>
      <c r="H324" s="3183"/>
      <c r="I324" s="1551"/>
      <c r="J324" s="3183"/>
      <c r="K324" s="1551"/>
      <c r="L324" s="3183"/>
      <c r="M324" s="1551"/>
      <c r="N324" s="3183"/>
      <c r="O324" s="1551"/>
      <c r="P324" s="3183"/>
      <c r="Q324" s="1551"/>
      <c r="R324" s="3183"/>
      <c r="S324" s="1552"/>
    </row>
    <row r="325" spans="1:19">
      <c r="A325" s="479">
        <f t="shared" si="4"/>
        <v>2030.04</v>
      </c>
      <c r="B325" s="1555"/>
      <c r="C325" s="1551"/>
      <c r="D325" s="3183"/>
      <c r="E325" s="1551"/>
      <c r="F325" s="3183"/>
      <c r="G325" s="1551"/>
      <c r="H325" s="3183"/>
      <c r="I325" s="1551"/>
      <c r="J325" s="3183"/>
      <c r="K325" s="1551"/>
      <c r="L325" s="3183"/>
      <c r="M325" s="1551"/>
      <c r="N325" s="3183"/>
      <c r="O325" s="1551"/>
      <c r="P325" s="3183"/>
      <c r="Q325" s="1551"/>
      <c r="R325" s="3183"/>
      <c r="S325" s="1552"/>
    </row>
    <row r="326" spans="1:19">
      <c r="A326" s="479">
        <f t="shared" si="4"/>
        <v>2030.05</v>
      </c>
      <c r="B326" s="1555"/>
      <c r="C326" s="1551"/>
      <c r="D326" s="3183"/>
      <c r="E326" s="1551"/>
      <c r="F326" s="3183"/>
      <c r="G326" s="1551"/>
      <c r="H326" s="3183"/>
      <c r="I326" s="1551"/>
      <c r="J326" s="3183"/>
      <c r="K326" s="1551"/>
      <c r="L326" s="3183"/>
      <c r="M326" s="1551"/>
      <c r="N326" s="3183"/>
      <c r="O326" s="1551"/>
      <c r="P326" s="3183"/>
      <c r="Q326" s="1551"/>
      <c r="R326" s="3183"/>
      <c r="S326" s="1552"/>
    </row>
    <row r="327" spans="1:19">
      <c r="A327" s="479">
        <f t="shared" si="4"/>
        <v>2030.06</v>
      </c>
      <c r="B327" s="1555"/>
      <c r="C327" s="1551"/>
      <c r="D327" s="3183"/>
      <c r="E327" s="1551"/>
      <c r="F327" s="3183"/>
      <c r="G327" s="1551"/>
      <c r="H327" s="3183"/>
      <c r="I327" s="1551"/>
      <c r="J327" s="3183"/>
      <c r="K327" s="1551"/>
      <c r="L327" s="3183"/>
      <c r="M327" s="1551"/>
      <c r="N327" s="3183"/>
      <c r="O327" s="1551"/>
      <c r="P327" s="3183"/>
      <c r="Q327" s="1551"/>
      <c r="R327" s="3183"/>
      <c r="S327" s="1552"/>
    </row>
    <row r="328" spans="1:19">
      <c r="A328" s="479">
        <f t="shared" si="4"/>
        <v>2030.07</v>
      </c>
      <c r="B328" s="1555"/>
      <c r="C328" s="1551"/>
      <c r="D328" s="3183"/>
      <c r="E328" s="1551"/>
      <c r="F328" s="3183"/>
      <c r="G328" s="1551"/>
      <c r="H328" s="3183"/>
      <c r="I328" s="1551"/>
      <c r="J328" s="3183"/>
      <c r="K328" s="1551"/>
      <c r="L328" s="3183"/>
      <c r="M328" s="1551"/>
      <c r="N328" s="3183"/>
      <c r="O328" s="1551"/>
      <c r="P328" s="3183"/>
      <c r="Q328" s="1551"/>
      <c r="R328" s="3183"/>
      <c r="S328" s="1552"/>
    </row>
    <row r="329" spans="1:19">
      <c r="A329" s="479">
        <f t="shared" si="4"/>
        <v>2030.08</v>
      </c>
      <c r="B329" s="1555"/>
      <c r="C329" s="1551"/>
      <c r="D329" s="3183"/>
      <c r="E329" s="1551"/>
      <c r="F329" s="3183"/>
      <c r="G329" s="1551"/>
      <c r="H329" s="3183"/>
      <c r="I329" s="1551"/>
      <c r="J329" s="3183"/>
      <c r="K329" s="1551"/>
      <c r="L329" s="3183"/>
      <c r="M329" s="1551"/>
      <c r="N329" s="3183"/>
      <c r="O329" s="1551"/>
      <c r="P329" s="3183"/>
      <c r="Q329" s="1551"/>
      <c r="R329" s="3183"/>
      <c r="S329" s="1552"/>
    </row>
    <row r="330" spans="1:19">
      <c r="A330" s="479">
        <f t="shared" si="4"/>
        <v>2030.09</v>
      </c>
      <c r="B330" s="1555"/>
      <c r="C330" s="1551"/>
      <c r="D330" s="3183"/>
      <c r="E330" s="1551"/>
      <c r="F330" s="3183"/>
      <c r="G330" s="1551"/>
      <c r="H330" s="3183"/>
      <c r="I330" s="1551"/>
      <c r="J330" s="3183"/>
      <c r="K330" s="1551"/>
      <c r="L330" s="3183"/>
      <c r="M330" s="1551"/>
      <c r="N330" s="3183"/>
      <c r="O330" s="1551"/>
      <c r="P330" s="3183"/>
      <c r="Q330" s="1551"/>
      <c r="R330" s="3183"/>
      <c r="S330" s="1552"/>
    </row>
    <row r="331" spans="1:19">
      <c r="A331" s="479">
        <f t="shared" si="4"/>
        <v>2030.1</v>
      </c>
      <c r="B331" s="1555"/>
      <c r="C331" s="1551"/>
      <c r="D331" s="3183"/>
      <c r="E331" s="1551"/>
      <c r="F331" s="3183"/>
      <c r="G331" s="1551"/>
      <c r="H331" s="3183"/>
      <c r="I331" s="1551"/>
      <c r="J331" s="3183"/>
      <c r="K331" s="1551"/>
      <c r="L331" s="3183"/>
      <c r="M331" s="1551"/>
      <c r="N331" s="3183"/>
      <c r="O331" s="1551"/>
      <c r="P331" s="3183"/>
      <c r="Q331" s="1551"/>
      <c r="R331" s="3183"/>
      <c r="S331" s="1552"/>
    </row>
    <row r="332" spans="1:19">
      <c r="A332" s="479">
        <f t="shared" si="4"/>
        <v>2030.11</v>
      </c>
      <c r="B332" s="1555"/>
      <c r="C332" s="1551"/>
      <c r="D332" s="3183"/>
      <c r="E332" s="1551"/>
      <c r="F332" s="3183"/>
      <c r="G332" s="1551"/>
      <c r="H332" s="3183"/>
      <c r="I332" s="1551"/>
      <c r="J332" s="3183"/>
      <c r="K332" s="1551"/>
      <c r="L332" s="3183"/>
      <c r="M332" s="1551"/>
      <c r="N332" s="3183"/>
      <c r="O332" s="1551"/>
      <c r="P332" s="3183"/>
      <c r="Q332" s="1551"/>
      <c r="R332" s="3183"/>
      <c r="S332" s="1552"/>
    </row>
    <row r="333" spans="1:19">
      <c r="A333" s="479">
        <f t="shared" si="4"/>
        <v>2030.12</v>
      </c>
      <c r="B333" s="1555"/>
      <c r="C333" s="1551"/>
      <c r="D333" s="3183"/>
      <c r="E333" s="1551"/>
      <c r="F333" s="3183"/>
      <c r="G333" s="1551"/>
      <c r="H333" s="3183"/>
      <c r="I333" s="1551"/>
      <c r="J333" s="3183"/>
      <c r="K333" s="1551"/>
      <c r="L333" s="3183"/>
      <c r="M333" s="1551"/>
      <c r="N333" s="3183"/>
      <c r="O333" s="1551"/>
      <c r="P333" s="3183"/>
      <c r="Q333" s="1551"/>
      <c r="R333" s="3183"/>
      <c r="S333" s="1552"/>
    </row>
  </sheetData>
  <hyperlinks>
    <hyperlink ref="A5" location="INDICE!A13" display="VOLVER AL INDICE" xr:uid="{00000000-0004-0000-1F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D180"/>
  <sheetViews>
    <sheetView zoomScale="130" zoomScaleNormal="130" workbookViewId="0">
      <pane xSplit="1" ySplit="9" topLeftCell="M134"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24" customWidth="1"/>
    <col min="2" max="7" width="11.42578125" style="24" customWidth="1"/>
    <col min="8" max="8" width="13.140625" style="24" bestFit="1" customWidth="1"/>
    <col min="9" max="9" width="14" style="24" bestFit="1" customWidth="1"/>
    <col min="10" max="10" width="13.140625" style="24" customWidth="1"/>
    <col min="11" max="11" width="12.5703125" style="24" customWidth="1"/>
    <col min="12" max="12" width="12" style="24" customWidth="1"/>
    <col min="13" max="13" width="12.42578125" style="24" customWidth="1"/>
    <col min="14" max="14" width="11.42578125" style="24" customWidth="1"/>
    <col min="15" max="15" width="13.7109375" style="24" customWidth="1"/>
    <col min="16" max="16" width="13.7109375" style="9" customWidth="1"/>
    <col min="17" max="16384" width="11.42578125" style="9"/>
  </cols>
  <sheetData>
    <row r="1" spans="1:16" ht="3.75" customHeight="1">
      <c r="A1" s="2373"/>
      <c r="B1" s="1926"/>
      <c r="C1" s="1926"/>
      <c r="D1" s="1926"/>
      <c r="E1" s="1926"/>
      <c r="F1" s="1926"/>
      <c r="G1" s="1926"/>
      <c r="H1" s="1926"/>
      <c r="I1" s="1315"/>
      <c r="J1" s="1926"/>
      <c r="K1" s="1926"/>
      <c r="L1" s="1926"/>
      <c r="M1" s="1926"/>
      <c r="N1" s="1926"/>
      <c r="O1" s="1926"/>
      <c r="P1" s="2051"/>
    </row>
    <row r="2" spans="1:16">
      <c r="A2" s="2373" t="s">
        <v>105</v>
      </c>
      <c r="B2" s="382" t="s">
        <v>1041</v>
      </c>
      <c r="C2" s="382"/>
      <c r="D2" s="382"/>
      <c r="E2" s="382"/>
      <c r="F2" s="382"/>
      <c r="G2" s="382"/>
      <c r="H2" s="382"/>
      <c r="I2" s="2379" t="s">
        <v>1042</v>
      </c>
      <c r="J2" s="382"/>
      <c r="K2" s="382"/>
      <c r="L2" s="382"/>
      <c r="M2" s="382"/>
      <c r="N2" s="382"/>
      <c r="O2" s="382"/>
      <c r="P2" s="1882" t="s">
        <v>1043</v>
      </c>
    </row>
    <row r="3" spans="1:16">
      <c r="A3" s="2373" t="s">
        <v>212</v>
      </c>
      <c r="B3" s="382" t="s">
        <v>1044</v>
      </c>
      <c r="C3" s="46"/>
      <c r="D3" s="46"/>
      <c r="E3" s="46"/>
      <c r="F3" s="46"/>
      <c r="G3" s="46"/>
      <c r="H3" s="46"/>
      <c r="I3" s="2379" t="s">
        <v>1044</v>
      </c>
      <c r="J3" s="46"/>
      <c r="K3" s="46"/>
      <c r="L3" s="46"/>
      <c r="M3" s="46"/>
      <c r="N3" s="46"/>
      <c r="O3" s="46"/>
      <c r="P3" s="1882" t="s">
        <v>1045</v>
      </c>
    </row>
    <row r="4" spans="1:16" ht="3.75" hidden="1" customHeight="1">
      <c r="A4" s="2373"/>
      <c r="B4" s="1926"/>
      <c r="C4" s="1926"/>
      <c r="D4" s="1926"/>
      <c r="E4" s="1926"/>
      <c r="F4" s="1926"/>
      <c r="G4" s="1926"/>
      <c r="H4" s="1926"/>
      <c r="I4" s="1927"/>
      <c r="J4" s="1926"/>
      <c r="K4" s="1926"/>
      <c r="L4" s="1926"/>
      <c r="M4" s="1926"/>
      <c r="N4" s="1926"/>
      <c r="O4" s="1926"/>
      <c r="P4" s="2052"/>
    </row>
    <row r="5" spans="1:16" ht="22.5">
      <c r="A5" s="2390" t="s">
        <v>137</v>
      </c>
      <c r="B5" s="176" t="s">
        <v>1046</v>
      </c>
      <c r="C5" s="122"/>
      <c r="D5" s="122"/>
      <c r="E5" s="122"/>
      <c r="F5" s="122"/>
      <c r="G5" s="122"/>
      <c r="H5" s="122"/>
      <c r="I5" s="2402" t="str">
        <f>B5</f>
        <v>Depósitos y préstamos. Sector privado y público no financiero. Total de residentes en el país y extranjeros.</v>
      </c>
      <c r="J5" s="122"/>
      <c r="K5" s="122"/>
      <c r="L5" s="122"/>
      <c r="M5" s="122"/>
      <c r="N5" s="123"/>
      <c r="O5" s="122"/>
      <c r="P5" s="2052"/>
    </row>
    <row r="6" spans="1:16" ht="22.5">
      <c r="A6" s="104"/>
      <c r="B6" s="1335" t="s">
        <v>1047</v>
      </c>
      <c r="C6" s="804" t="s">
        <v>1048</v>
      </c>
      <c r="D6" s="804" t="s">
        <v>1049</v>
      </c>
      <c r="E6" s="2053" t="s">
        <v>1050</v>
      </c>
      <c r="F6" s="1335" t="s">
        <v>1051</v>
      </c>
      <c r="G6" s="804" t="s">
        <v>1052</v>
      </c>
      <c r="H6" s="811" t="s">
        <v>1053</v>
      </c>
      <c r="I6" s="780" t="s">
        <v>1047</v>
      </c>
      <c r="J6" s="804" t="s">
        <v>1048</v>
      </c>
      <c r="K6" s="2053" t="s">
        <v>1049</v>
      </c>
      <c r="L6" s="2053" t="s">
        <v>1050</v>
      </c>
      <c r="M6" s="804" t="s">
        <v>1051</v>
      </c>
      <c r="N6" s="2053" t="s">
        <v>1052</v>
      </c>
      <c r="O6" s="2584" t="s">
        <v>1053</v>
      </c>
      <c r="P6" s="2054" t="s">
        <v>1054</v>
      </c>
    </row>
    <row r="7" spans="1:16" ht="33.75" customHeight="1">
      <c r="A7" s="2373" t="s">
        <v>123</v>
      </c>
      <c r="B7" s="176" t="s">
        <v>259</v>
      </c>
      <c r="C7" s="102"/>
      <c r="D7" s="102"/>
      <c r="E7" s="102"/>
      <c r="F7" s="102"/>
      <c r="G7" s="102"/>
      <c r="H7" s="125"/>
      <c r="I7" s="2402" t="s">
        <v>259</v>
      </c>
      <c r="J7" s="102"/>
      <c r="K7" s="102"/>
      <c r="L7" s="102"/>
      <c r="M7" s="102"/>
      <c r="N7" s="124"/>
      <c r="O7" s="102"/>
      <c r="P7" s="2054" t="s">
        <v>1055</v>
      </c>
    </row>
    <row r="8" spans="1:16" s="2617" customFormat="1" ht="14.25" customHeight="1">
      <c r="A8" s="105" t="s">
        <v>141</v>
      </c>
      <c r="B8" s="150" t="s">
        <v>1056</v>
      </c>
      <c r="C8" s="639" t="s">
        <v>1057</v>
      </c>
      <c r="D8" s="150" t="s">
        <v>1058</v>
      </c>
      <c r="E8" s="639" t="s">
        <v>1059</v>
      </c>
      <c r="F8" s="150" t="s">
        <v>1060</v>
      </c>
      <c r="G8" s="639" t="s">
        <v>1061</v>
      </c>
      <c r="H8" s="149" t="s">
        <v>1062</v>
      </c>
      <c r="I8" s="2400" t="s">
        <v>1063</v>
      </c>
      <c r="J8" s="639" t="s">
        <v>1064</v>
      </c>
      <c r="K8" s="150" t="s">
        <v>1065</v>
      </c>
      <c r="L8" s="639" t="s">
        <v>1066</v>
      </c>
      <c r="M8" s="150" t="s">
        <v>1067</v>
      </c>
      <c r="N8" s="639" t="s">
        <v>1068</v>
      </c>
      <c r="O8" s="149" t="s">
        <v>1069</v>
      </c>
      <c r="P8" s="1979" t="s">
        <v>1070</v>
      </c>
    </row>
    <row r="9" spans="1:16" s="2623" customFormat="1" hidden="1">
      <c r="A9" s="2373"/>
      <c r="B9" s="2618"/>
      <c r="C9" s="2619"/>
      <c r="D9" s="2620"/>
      <c r="E9" s="2619"/>
      <c r="F9" s="2620"/>
      <c r="G9" s="2619"/>
      <c r="H9" s="2621"/>
      <c r="I9" s="2618"/>
      <c r="J9" s="2619"/>
      <c r="K9" s="2620"/>
      <c r="L9" s="2619"/>
      <c r="M9" s="2620"/>
      <c r="N9" s="2619"/>
      <c r="O9" s="2621"/>
      <c r="P9" s="2622"/>
    </row>
    <row r="10" spans="1:16" s="2631" customFormat="1">
      <c r="A10" s="2624">
        <v>1991.1</v>
      </c>
      <c r="B10" s="2625">
        <f t="shared" ref="B10:B45" si="0">C10+D10</f>
        <v>586682.4</v>
      </c>
      <c r="C10" s="3335">
        <v>513214.1</v>
      </c>
      <c r="D10" s="2626">
        <v>73468.3</v>
      </c>
      <c r="E10" s="3336">
        <f>5410076/10</f>
        <v>541007.6</v>
      </c>
      <c r="F10" s="2626">
        <v>521120.9</v>
      </c>
      <c r="G10" s="3335">
        <v>19886.7</v>
      </c>
      <c r="H10" s="2627"/>
      <c r="I10" s="2628">
        <f>93330094/10</f>
        <v>9333009.4000000004</v>
      </c>
      <c r="J10" s="3335">
        <f>76729511/10</f>
        <v>7672951.0999999996</v>
      </c>
      <c r="K10" s="2626">
        <f>16600583/10</f>
        <v>1660058.3</v>
      </c>
      <c r="L10" s="3336">
        <f>119230533/10</f>
        <v>11923053.300000001</v>
      </c>
      <c r="M10" s="2626">
        <f>107577740/10</f>
        <v>10757774</v>
      </c>
      <c r="N10" s="3335">
        <f>11652793/10</f>
        <v>1165279.3</v>
      </c>
      <c r="O10" s="2629"/>
      <c r="P10" s="2630">
        <v>1</v>
      </c>
    </row>
    <row r="11" spans="1:16">
      <c r="A11" s="1872">
        <v>1991.2</v>
      </c>
      <c r="B11" s="181">
        <f t="shared" si="0"/>
        <v>766142.1</v>
      </c>
      <c r="C11" s="3162">
        <v>646805.1</v>
      </c>
      <c r="D11" s="180">
        <v>119337</v>
      </c>
      <c r="E11" s="3184">
        <f>7764797/10</f>
        <v>776479.7</v>
      </c>
      <c r="F11" s="180">
        <v>763198</v>
      </c>
      <c r="G11" s="3162">
        <v>13281.7</v>
      </c>
      <c r="H11" s="2055"/>
      <c r="I11" s="863">
        <f>115140210/10</f>
        <v>11514021</v>
      </c>
      <c r="J11" s="3162">
        <f>91751988/10</f>
        <v>9175198.8000000007</v>
      </c>
      <c r="K11" s="180">
        <f>23388222/10</f>
        <v>2338822.2000000002</v>
      </c>
      <c r="L11" s="3184">
        <f>153327998/10</f>
        <v>15332799.800000001</v>
      </c>
      <c r="M11" s="180">
        <f>138462539/10</f>
        <v>13846253.9</v>
      </c>
      <c r="N11" s="3162">
        <f>14865459/10</f>
        <v>1486545.9</v>
      </c>
      <c r="O11" s="2056"/>
      <c r="P11" s="2057">
        <v>1</v>
      </c>
    </row>
    <row r="12" spans="1:16">
      <c r="A12" s="1872">
        <v>1991.3</v>
      </c>
      <c r="B12" s="181">
        <f t="shared" si="0"/>
        <v>900071.5</v>
      </c>
      <c r="C12" s="3162">
        <v>791131.5</v>
      </c>
      <c r="D12" s="180">
        <v>108940</v>
      </c>
      <c r="E12" s="3184">
        <f>9539254/10</f>
        <v>953925.4</v>
      </c>
      <c r="F12" s="180">
        <v>940712.3</v>
      </c>
      <c r="G12" s="3162">
        <v>13213.1</v>
      </c>
      <c r="H12" s="2055"/>
      <c r="I12" s="863">
        <f>134505535/10</f>
        <v>13450553.5</v>
      </c>
      <c r="J12" s="3162">
        <f>110079732/10</f>
        <v>11007973.199999999</v>
      </c>
      <c r="K12" s="180">
        <f>24425803/10</f>
        <v>2442580.2999999998</v>
      </c>
      <c r="L12" s="3184">
        <f>173193569/10</f>
        <v>17319356.899999999</v>
      </c>
      <c r="M12" s="180">
        <f>158928316/10</f>
        <v>15892831.6</v>
      </c>
      <c r="N12" s="3162">
        <f>14265253/10</f>
        <v>1426525.3</v>
      </c>
      <c r="O12" s="2056"/>
      <c r="P12" s="2057">
        <v>1</v>
      </c>
    </row>
    <row r="13" spans="1:16">
      <c r="A13" s="1872">
        <v>1991.4</v>
      </c>
      <c r="B13" s="181">
        <f t="shared" si="0"/>
        <v>951440.1</v>
      </c>
      <c r="C13" s="3162">
        <v>847513.1</v>
      </c>
      <c r="D13" s="180">
        <v>103927</v>
      </c>
      <c r="E13" s="3184">
        <f>12240063/10</f>
        <v>1224006.3</v>
      </c>
      <c r="F13" s="180">
        <v>1202811</v>
      </c>
      <c r="G13" s="3162">
        <v>21195.3</v>
      </c>
      <c r="H13" s="2055"/>
      <c r="I13" s="863">
        <f>152114128/10</f>
        <v>15211412.800000001</v>
      </c>
      <c r="J13" s="3162">
        <f>121906493/10</f>
        <v>12190649.300000001</v>
      </c>
      <c r="K13" s="180">
        <f>30207635/10</f>
        <v>3020763.5</v>
      </c>
      <c r="L13" s="3184">
        <f>200124607/10</f>
        <v>20012460.699999999</v>
      </c>
      <c r="M13" s="180">
        <f>184138113/10</f>
        <v>18413811.300000001</v>
      </c>
      <c r="N13" s="3162">
        <f>15986494/10</f>
        <v>1598649.4</v>
      </c>
      <c r="O13" s="2056"/>
      <c r="P13" s="2057">
        <v>1</v>
      </c>
    </row>
    <row r="14" spans="1:16">
      <c r="A14" s="1872">
        <v>1992.1</v>
      </c>
      <c r="B14" s="181">
        <f t="shared" si="0"/>
        <v>1165881</v>
      </c>
      <c r="C14" s="3162">
        <v>1027907</v>
      </c>
      <c r="D14" s="180">
        <v>137974</v>
      </c>
      <c r="E14" s="3184">
        <v>1407007</v>
      </c>
      <c r="F14" s="180">
        <v>1393825</v>
      </c>
      <c r="G14" s="3162">
        <v>13182</v>
      </c>
      <c r="H14" s="2055"/>
      <c r="I14" s="863">
        <v>18541301</v>
      </c>
      <c r="J14" s="3162">
        <v>15028114</v>
      </c>
      <c r="K14" s="180">
        <v>3513187</v>
      </c>
      <c r="L14" s="3184">
        <v>22191597</v>
      </c>
      <c r="M14" s="180">
        <v>20394866</v>
      </c>
      <c r="N14" s="3162">
        <v>1796731</v>
      </c>
      <c r="O14" s="2056"/>
      <c r="P14" s="2057">
        <v>1</v>
      </c>
    </row>
    <row r="15" spans="1:16">
      <c r="A15" s="1872">
        <v>1992.2</v>
      </c>
      <c r="B15" s="181">
        <f t="shared" si="0"/>
        <v>1418664</v>
      </c>
      <c r="C15" s="3162">
        <v>1201186</v>
      </c>
      <c r="D15" s="180">
        <v>217478</v>
      </c>
      <c r="E15" s="3184">
        <v>1616382</v>
      </c>
      <c r="F15" s="180">
        <v>1603070</v>
      </c>
      <c r="G15" s="3162">
        <v>13312</v>
      </c>
      <c r="H15" s="2055"/>
      <c r="I15" s="863">
        <v>21947715</v>
      </c>
      <c r="J15" s="3162">
        <v>17590703</v>
      </c>
      <c r="K15" s="180">
        <v>4357012</v>
      </c>
      <c r="L15" s="3184">
        <v>26983785</v>
      </c>
      <c r="M15" s="180">
        <v>25210074</v>
      </c>
      <c r="N15" s="3162">
        <v>1773711</v>
      </c>
      <c r="O15" s="2056"/>
      <c r="P15" s="2057">
        <v>1</v>
      </c>
    </row>
    <row r="16" spans="1:16">
      <c r="A16" s="1872">
        <v>1992.3</v>
      </c>
      <c r="B16" s="181">
        <f t="shared" si="0"/>
        <v>1546817</v>
      </c>
      <c r="C16" s="3162">
        <v>1292944</v>
      </c>
      <c r="D16" s="180">
        <v>253873</v>
      </c>
      <c r="E16" s="3184">
        <v>1925665</v>
      </c>
      <c r="F16" s="180">
        <v>1913049</v>
      </c>
      <c r="G16" s="3162">
        <v>12616</v>
      </c>
      <c r="H16" s="2055"/>
      <c r="I16" s="863">
        <v>24668924</v>
      </c>
      <c r="J16" s="3162">
        <v>19567289</v>
      </c>
      <c r="K16" s="180">
        <v>5101635</v>
      </c>
      <c r="L16" s="3184">
        <v>30638013</v>
      </c>
      <c r="M16" s="180">
        <v>28302438</v>
      </c>
      <c r="N16" s="3162">
        <v>2335575</v>
      </c>
      <c r="O16" s="2056"/>
      <c r="P16" s="2057">
        <v>1</v>
      </c>
    </row>
    <row r="17" spans="1:16">
      <c r="A17" s="1872">
        <v>1992.4</v>
      </c>
      <c r="B17" s="181">
        <f t="shared" si="0"/>
        <v>1605820</v>
      </c>
      <c r="C17" s="3162">
        <v>1346040</v>
      </c>
      <c r="D17" s="180">
        <v>259780</v>
      </c>
      <c r="E17" s="3184">
        <v>2140351</v>
      </c>
      <c r="F17" s="180">
        <v>2127001</v>
      </c>
      <c r="G17" s="3162">
        <v>13350</v>
      </c>
      <c r="H17" s="2055"/>
      <c r="I17" s="863">
        <v>25359219</v>
      </c>
      <c r="J17" s="3162">
        <v>20389185</v>
      </c>
      <c r="K17" s="180">
        <v>4970034</v>
      </c>
      <c r="L17" s="3184">
        <v>33538840</v>
      </c>
      <c r="M17" s="180">
        <v>30886303</v>
      </c>
      <c r="N17" s="3162">
        <v>2652537</v>
      </c>
      <c r="O17" s="2056"/>
      <c r="P17" s="2057">
        <v>1</v>
      </c>
    </row>
    <row r="18" spans="1:16">
      <c r="A18" s="1872">
        <v>1993.1</v>
      </c>
      <c r="B18" s="181">
        <f t="shared" si="0"/>
        <v>1831203</v>
      </c>
      <c r="C18" s="3162">
        <v>1539283</v>
      </c>
      <c r="D18" s="180">
        <v>291920</v>
      </c>
      <c r="E18" s="3184">
        <v>2305045</v>
      </c>
      <c r="F18" s="180">
        <v>2292408</v>
      </c>
      <c r="G18" s="3162">
        <v>12637</v>
      </c>
      <c r="H18" s="2055"/>
      <c r="I18" s="863">
        <v>31382989</v>
      </c>
      <c r="J18" s="3162">
        <v>24167448</v>
      </c>
      <c r="K18" s="180">
        <v>7215541</v>
      </c>
      <c r="L18" s="3184">
        <v>38145445</v>
      </c>
      <c r="M18" s="180">
        <v>34257353</v>
      </c>
      <c r="N18" s="3162">
        <v>3888092</v>
      </c>
      <c r="O18" s="2056"/>
      <c r="P18" s="2057">
        <v>1</v>
      </c>
    </row>
    <row r="19" spans="1:16">
      <c r="A19" s="1872">
        <v>1993.2</v>
      </c>
      <c r="B19" s="181">
        <f t="shared" si="0"/>
        <v>2079997</v>
      </c>
      <c r="C19" s="3162">
        <v>1711967</v>
      </c>
      <c r="D19" s="180">
        <v>368030</v>
      </c>
      <c r="E19" s="3184">
        <v>2497008</v>
      </c>
      <c r="F19" s="180">
        <v>2434482</v>
      </c>
      <c r="G19" s="3162">
        <v>62526</v>
      </c>
      <c r="H19" s="2055"/>
      <c r="I19" s="863">
        <v>33050370</v>
      </c>
      <c r="J19" s="3162">
        <v>26485231</v>
      </c>
      <c r="K19" s="180">
        <v>6565139</v>
      </c>
      <c r="L19" s="3184">
        <v>39350344</v>
      </c>
      <c r="M19" s="180">
        <v>35826530</v>
      </c>
      <c r="N19" s="3162">
        <v>3523814</v>
      </c>
      <c r="O19" s="2056"/>
      <c r="P19" s="2057">
        <v>1</v>
      </c>
    </row>
    <row r="20" spans="1:16">
      <c r="A20" s="1872">
        <v>1993.3</v>
      </c>
      <c r="B20" s="181">
        <f t="shared" si="0"/>
        <v>2303085</v>
      </c>
      <c r="C20" s="3162">
        <v>1862498</v>
      </c>
      <c r="D20" s="180">
        <v>440587</v>
      </c>
      <c r="E20" s="3184">
        <v>2737026</v>
      </c>
      <c r="F20" s="180">
        <v>2593739</v>
      </c>
      <c r="G20" s="3162">
        <v>143287</v>
      </c>
      <c r="H20" s="2055"/>
      <c r="I20" s="863">
        <v>37562866</v>
      </c>
      <c r="J20" s="3162">
        <v>29993899</v>
      </c>
      <c r="K20" s="180">
        <v>7568967</v>
      </c>
      <c r="L20" s="3184">
        <v>42062740</v>
      </c>
      <c r="M20" s="180">
        <v>37654169</v>
      </c>
      <c r="N20" s="3162">
        <v>4408571</v>
      </c>
      <c r="O20" s="2056"/>
      <c r="P20" s="2057">
        <v>1</v>
      </c>
    </row>
    <row r="21" spans="1:16">
      <c r="A21" s="1872">
        <v>1993.4</v>
      </c>
      <c r="B21" s="181">
        <f t="shared" si="0"/>
        <v>2394880</v>
      </c>
      <c r="C21" s="3162">
        <v>1939782</v>
      </c>
      <c r="D21" s="180">
        <v>455098</v>
      </c>
      <c r="E21" s="3184">
        <v>2981317</v>
      </c>
      <c r="F21" s="180">
        <v>2873686</v>
      </c>
      <c r="G21" s="3162">
        <v>107631</v>
      </c>
      <c r="H21" s="2055"/>
      <c r="I21" s="863">
        <v>39951130</v>
      </c>
      <c r="J21" s="3162">
        <v>32226657</v>
      </c>
      <c r="K21" s="180">
        <v>7724473</v>
      </c>
      <c r="L21" s="3184">
        <v>44745723</v>
      </c>
      <c r="M21" s="180">
        <v>41000759</v>
      </c>
      <c r="N21" s="3162">
        <v>3744964</v>
      </c>
      <c r="O21" s="2056"/>
      <c r="P21" s="2057">
        <v>1</v>
      </c>
    </row>
    <row r="22" spans="1:16">
      <c r="A22" s="1872">
        <v>1994.1</v>
      </c>
      <c r="B22" s="181">
        <f t="shared" si="0"/>
        <v>2564869</v>
      </c>
      <c r="C22" s="3162">
        <v>2052402</v>
      </c>
      <c r="D22" s="180">
        <v>512467</v>
      </c>
      <c r="E22" s="3184">
        <v>3187436</v>
      </c>
      <c r="F22" s="180">
        <v>2555451</v>
      </c>
      <c r="G22" s="3162">
        <v>162446</v>
      </c>
      <c r="H22" s="2055"/>
      <c r="I22" s="863">
        <v>42338287</v>
      </c>
      <c r="J22" s="3162">
        <v>34264968</v>
      </c>
      <c r="K22" s="180">
        <v>8073319</v>
      </c>
      <c r="L22" s="3184">
        <v>47438781</v>
      </c>
      <c r="M22" s="180">
        <v>37022196</v>
      </c>
      <c r="N22" s="3162">
        <v>4455582</v>
      </c>
      <c r="O22" s="2056"/>
      <c r="P22" s="2057">
        <v>1</v>
      </c>
    </row>
    <row r="23" spans="1:16">
      <c r="A23" s="1872">
        <v>1994.2</v>
      </c>
      <c r="B23" s="181">
        <f t="shared" si="0"/>
        <v>2738138</v>
      </c>
      <c r="C23" s="3162">
        <v>2214901</v>
      </c>
      <c r="D23" s="180">
        <v>523237</v>
      </c>
      <c r="E23" s="3184">
        <v>3267657</v>
      </c>
      <c r="F23" s="180">
        <v>2630881</v>
      </c>
      <c r="G23" s="3162">
        <v>162330</v>
      </c>
      <c r="H23" s="2055"/>
      <c r="I23" s="863">
        <v>43889419</v>
      </c>
      <c r="J23" s="3162">
        <v>35309633</v>
      </c>
      <c r="K23" s="180">
        <v>8579786</v>
      </c>
      <c r="L23" s="3184">
        <v>49966418</v>
      </c>
      <c r="M23" s="180">
        <v>39128532</v>
      </c>
      <c r="N23" s="3162">
        <v>4584306</v>
      </c>
      <c r="O23" s="2056"/>
      <c r="P23" s="2057">
        <v>1</v>
      </c>
    </row>
    <row r="24" spans="1:16">
      <c r="A24" s="1872">
        <v>1994.3</v>
      </c>
      <c r="B24" s="181">
        <f t="shared" si="0"/>
        <v>2805755</v>
      </c>
      <c r="C24" s="3162">
        <v>2307498</v>
      </c>
      <c r="D24" s="180">
        <v>498257</v>
      </c>
      <c r="E24" s="3184">
        <v>3187436</v>
      </c>
      <c r="F24" s="180">
        <v>2805949</v>
      </c>
      <c r="G24" s="3162">
        <v>156737</v>
      </c>
      <c r="H24" s="2055"/>
      <c r="I24" s="863">
        <v>44708136</v>
      </c>
      <c r="J24" s="3162">
        <v>37544816</v>
      </c>
      <c r="K24" s="180">
        <v>7163320</v>
      </c>
      <c r="L24" s="3184">
        <v>51665046</v>
      </c>
      <c r="M24" s="180">
        <v>41123269</v>
      </c>
      <c r="N24" s="3162">
        <v>4438925</v>
      </c>
      <c r="O24" s="2056"/>
      <c r="P24" s="2057">
        <v>1</v>
      </c>
    </row>
    <row r="25" spans="1:16">
      <c r="A25" s="1872">
        <v>1994.4</v>
      </c>
      <c r="B25" s="181">
        <f t="shared" si="0"/>
        <v>2794374</v>
      </c>
      <c r="C25" s="3162">
        <v>2296783</v>
      </c>
      <c r="D25" s="180">
        <v>497591</v>
      </c>
      <c r="E25" s="3184">
        <v>3598005</v>
      </c>
      <c r="F25" s="180">
        <v>3012526</v>
      </c>
      <c r="G25" s="3162">
        <v>138956</v>
      </c>
      <c r="H25" s="2055"/>
      <c r="I25" s="863">
        <v>44503913</v>
      </c>
      <c r="J25" s="3162">
        <v>38517514</v>
      </c>
      <c r="K25" s="180">
        <v>5986399</v>
      </c>
      <c r="L25" s="3184">
        <v>53054206</v>
      </c>
      <c r="M25" s="180">
        <v>43280827</v>
      </c>
      <c r="N25" s="3162">
        <v>3753123</v>
      </c>
      <c r="O25" s="2056"/>
      <c r="P25" s="2057">
        <v>1</v>
      </c>
    </row>
    <row r="26" spans="1:16">
      <c r="A26" s="1872">
        <v>1995.1</v>
      </c>
      <c r="B26" s="181">
        <f t="shared" si="0"/>
        <v>2463812</v>
      </c>
      <c r="C26" s="3162">
        <v>1997322</v>
      </c>
      <c r="D26" s="180">
        <v>466490</v>
      </c>
      <c r="E26" s="3184">
        <v>3496524</v>
      </c>
      <c r="F26" s="180">
        <v>3365236</v>
      </c>
      <c r="G26" s="3162">
        <v>131288</v>
      </c>
      <c r="H26" s="2055"/>
      <c r="I26" s="863">
        <v>39222040</v>
      </c>
      <c r="J26" s="3162">
        <v>34064562</v>
      </c>
      <c r="K26" s="180">
        <v>5157478</v>
      </c>
      <c r="L26" s="3184">
        <v>52454616</v>
      </c>
      <c r="M26" s="180">
        <v>48893373</v>
      </c>
      <c r="N26" s="3162">
        <v>3561243</v>
      </c>
      <c r="O26" s="2056"/>
      <c r="P26" s="2057">
        <v>1</v>
      </c>
    </row>
    <row r="27" spans="1:16">
      <c r="A27" s="1872">
        <v>1995.2</v>
      </c>
      <c r="B27" s="181">
        <f t="shared" si="0"/>
        <v>2493499</v>
      </c>
      <c r="C27" s="3162">
        <v>2030269</v>
      </c>
      <c r="D27" s="180">
        <v>463230</v>
      </c>
      <c r="E27" s="3184">
        <v>3247937</v>
      </c>
      <c r="F27" s="180">
        <v>3126703</v>
      </c>
      <c r="G27" s="3162">
        <v>121234</v>
      </c>
      <c r="H27" s="2055"/>
      <c r="I27" s="863">
        <v>40058172</v>
      </c>
      <c r="J27" s="3162">
        <v>34768832</v>
      </c>
      <c r="K27" s="180">
        <v>5289340</v>
      </c>
      <c r="L27" s="3184">
        <v>52487929</v>
      </c>
      <c r="M27" s="180">
        <v>48613290</v>
      </c>
      <c r="N27" s="3162">
        <v>3874639</v>
      </c>
      <c r="O27" s="2056"/>
      <c r="P27" s="2057">
        <v>1</v>
      </c>
    </row>
    <row r="28" spans="1:16">
      <c r="A28" s="1872">
        <v>1995.3</v>
      </c>
      <c r="B28" s="181">
        <f t="shared" si="0"/>
        <v>2501315</v>
      </c>
      <c r="C28" s="3162">
        <v>2104252</v>
      </c>
      <c r="D28" s="180">
        <v>397063</v>
      </c>
      <c r="E28" s="3184">
        <v>2843516</v>
      </c>
      <c r="F28" s="180">
        <v>2722612</v>
      </c>
      <c r="G28" s="3162">
        <v>120904</v>
      </c>
      <c r="H28" s="2055"/>
      <c r="I28" s="863">
        <v>41627480</v>
      </c>
      <c r="J28" s="3162">
        <v>36376828</v>
      </c>
      <c r="K28" s="180">
        <v>5250652</v>
      </c>
      <c r="L28" s="3184">
        <v>51698965</v>
      </c>
      <c r="M28" s="180">
        <v>47620587</v>
      </c>
      <c r="N28" s="3162">
        <v>4078378</v>
      </c>
      <c r="O28" s="2056"/>
      <c r="P28" s="2057">
        <v>1</v>
      </c>
    </row>
    <row r="29" spans="1:16">
      <c r="A29" s="1872">
        <v>1995.4</v>
      </c>
      <c r="B29" s="181">
        <f t="shared" si="0"/>
        <v>2535290</v>
      </c>
      <c r="C29" s="3162">
        <v>2212343</v>
      </c>
      <c r="D29" s="180">
        <v>322947</v>
      </c>
      <c r="E29" s="3184">
        <v>2775722</v>
      </c>
      <c r="F29" s="180">
        <v>2678922</v>
      </c>
      <c r="G29" s="3162">
        <v>96800</v>
      </c>
      <c r="H29" s="2055"/>
      <c r="I29" s="863">
        <v>43320410</v>
      </c>
      <c r="J29" s="3162">
        <v>38152010</v>
      </c>
      <c r="K29" s="180">
        <v>5168400</v>
      </c>
      <c r="L29" s="3184">
        <v>53878895</v>
      </c>
      <c r="M29" s="180">
        <v>49797884</v>
      </c>
      <c r="N29" s="3162">
        <v>4081011</v>
      </c>
      <c r="O29" s="2056"/>
      <c r="P29" s="2057">
        <v>1</v>
      </c>
    </row>
    <row r="30" spans="1:16">
      <c r="A30" s="1872">
        <v>1996.1</v>
      </c>
      <c r="B30" s="181">
        <f t="shared" si="0"/>
        <v>2738865</v>
      </c>
      <c r="C30" s="3162">
        <v>2443100</v>
      </c>
      <c r="D30" s="180">
        <v>295765</v>
      </c>
      <c r="E30" s="3184">
        <v>2754556</v>
      </c>
      <c r="F30" s="180">
        <v>2693801</v>
      </c>
      <c r="G30" s="3162">
        <v>60755</v>
      </c>
      <c r="H30" s="2055"/>
      <c r="I30" s="863">
        <v>47524224</v>
      </c>
      <c r="J30" s="3162">
        <v>42122579</v>
      </c>
      <c r="K30" s="180">
        <v>5401645</v>
      </c>
      <c r="L30" s="3184">
        <v>53557277</v>
      </c>
      <c r="M30" s="180">
        <v>50046220</v>
      </c>
      <c r="N30" s="3162">
        <v>3511057</v>
      </c>
      <c r="O30" s="2056"/>
      <c r="P30" s="2057">
        <v>1</v>
      </c>
    </row>
    <row r="31" spans="1:16">
      <c r="A31" s="1872">
        <v>1996.2</v>
      </c>
      <c r="B31" s="181">
        <f t="shared" si="0"/>
        <v>2926912</v>
      </c>
      <c r="C31" s="3162">
        <v>2625061</v>
      </c>
      <c r="D31" s="180">
        <v>301851</v>
      </c>
      <c r="E31" s="3184">
        <v>2695476</v>
      </c>
      <c r="F31" s="180">
        <v>2678207</v>
      </c>
      <c r="G31" s="3162">
        <v>17269</v>
      </c>
      <c r="H31" s="2055"/>
      <c r="I31" s="863">
        <v>50476983</v>
      </c>
      <c r="J31" s="3162">
        <v>43927949</v>
      </c>
      <c r="K31" s="180">
        <v>6549034</v>
      </c>
      <c r="L31" s="3184">
        <v>55551900</v>
      </c>
      <c r="M31" s="180">
        <v>51713177</v>
      </c>
      <c r="N31" s="3162">
        <v>3838723</v>
      </c>
      <c r="O31" s="2056"/>
      <c r="P31" s="2057">
        <v>1</v>
      </c>
    </row>
    <row r="32" spans="1:16">
      <c r="A32" s="1872">
        <v>1996.3</v>
      </c>
      <c r="B32" s="181">
        <f t="shared" si="0"/>
        <v>2940661</v>
      </c>
      <c r="C32" s="3162">
        <v>2645245</v>
      </c>
      <c r="D32" s="180">
        <v>295416</v>
      </c>
      <c r="E32" s="3184">
        <v>2771932</v>
      </c>
      <c r="F32" s="180">
        <v>2752640</v>
      </c>
      <c r="G32" s="3162">
        <v>19292</v>
      </c>
      <c r="H32" s="2055"/>
      <c r="I32" s="863">
        <v>50796373</v>
      </c>
      <c r="J32" s="3162">
        <v>44789154</v>
      </c>
      <c r="K32" s="180">
        <v>6007219</v>
      </c>
      <c r="L32" s="3184">
        <v>55169063</v>
      </c>
      <c r="M32" s="180">
        <v>51342944</v>
      </c>
      <c r="N32" s="3162">
        <v>3826119</v>
      </c>
      <c r="O32" s="2056"/>
      <c r="P32" s="2057">
        <v>1</v>
      </c>
    </row>
    <row r="33" spans="1:16">
      <c r="A33" s="1872">
        <v>1996.4</v>
      </c>
      <c r="B33" s="181">
        <f t="shared" si="0"/>
        <v>2975891</v>
      </c>
      <c r="C33" s="3162">
        <v>2638488</v>
      </c>
      <c r="D33" s="180">
        <v>337403</v>
      </c>
      <c r="E33" s="3184">
        <v>2846469</v>
      </c>
      <c r="F33" s="180">
        <v>2843795</v>
      </c>
      <c r="G33" s="3162">
        <v>2674</v>
      </c>
      <c r="H33" s="2055"/>
      <c r="I33" s="863">
        <v>52914789</v>
      </c>
      <c r="J33" s="3162">
        <v>46175017</v>
      </c>
      <c r="K33" s="180">
        <v>6739772</v>
      </c>
      <c r="L33" s="3184">
        <v>58578603</v>
      </c>
      <c r="M33" s="180">
        <v>54777736</v>
      </c>
      <c r="N33" s="3162">
        <v>3800867</v>
      </c>
      <c r="O33" s="2056"/>
      <c r="P33" s="2057">
        <v>1</v>
      </c>
    </row>
    <row r="34" spans="1:16">
      <c r="A34" s="1872">
        <v>1997.1</v>
      </c>
      <c r="B34" s="181">
        <f t="shared" si="0"/>
        <v>3063661</v>
      </c>
      <c r="C34" s="3162">
        <v>2718068</v>
      </c>
      <c r="D34" s="180">
        <v>345593</v>
      </c>
      <c r="E34" s="3184">
        <v>2862011</v>
      </c>
      <c r="F34" s="180">
        <v>2551805</v>
      </c>
      <c r="G34" s="3162">
        <v>5681</v>
      </c>
      <c r="H34" s="2055"/>
      <c r="I34" s="863">
        <v>57215916</v>
      </c>
      <c r="J34" s="3162">
        <v>49612602</v>
      </c>
      <c r="K34" s="180">
        <v>7603314</v>
      </c>
      <c r="L34" s="3184">
        <v>60013238</v>
      </c>
      <c r="M34" s="180">
        <v>56285428</v>
      </c>
      <c r="N34" s="3162">
        <v>3727810</v>
      </c>
      <c r="O34" s="2056"/>
      <c r="P34" s="2057">
        <v>1</v>
      </c>
    </row>
    <row r="35" spans="1:16">
      <c r="A35" s="1872">
        <v>1997.2</v>
      </c>
      <c r="B35" s="181">
        <f t="shared" si="0"/>
        <v>3331201</v>
      </c>
      <c r="C35" s="3162">
        <v>2793700</v>
      </c>
      <c r="D35" s="180">
        <v>537501</v>
      </c>
      <c r="E35" s="3184">
        <v>2877429</v>
      </c>
      <c r="F35" s="180">
        <v>2558226</v>
      </c>
      <c r="G35" s="3162">
        <v>63245</v>
      </c>
      <c r="H35" s="2055"/>
      <c r="I35" s="863">
        <v>62688628</v>
      </c>
      <c r="J35" s="3162">
        <v>54132888</v>
      </c>
      <c r="K35" s="180">
        <v>8555740</v>
      </c>
      <c r="L35" s="3184">
        <v>62620457</v>
      </c>
      <c r="M35" s="180">
        <v>59175068</v>
      </c>
      <c r="N35" s="3162">
        <v>3445389</v>
      </c>
      <c r="O35" s="2056"/>
      <c r="P35" s="2057">
        <v>1</v>
      </c>
    </row>
    <row r="36" spans="1:16">
      <c r="A36" s="1872">
        <v>1997.3</v>
      </c>
      <c r="B36" s="181">
        <f t="shared" si="0"/>
        <v>3437594</v>
      </c>
      <c r="C36" s="3162">
        <v>2947545</v>
      </c>
      <c r="D36" s="180">
        <v>490049</v>
      </c>
      <c r="E36" s="3184">
        <v>2978894</v>
      </c>
      <c r="F36" s="180">
        <v>2640705</v>
      </c>
      <c r="G36" s="3162">
        <v>42235</v>
      </c>
      <c r="H36" s="2055"/>
      <c r="I36" s="863">
        <v>65525450</v>
      </c>
      <c r="J36" s="3162">
        <v>56946699</v>
      </c>
      <c r="K36" s="180">
        <v>8578751</v>
      </c>
      <c r="L36" s="3184">
        <v>65051990</v>
      </c>
      <c r="M36" s="180">
        <v>61409429</v>
      </c>
      <c r="N36" s="3162">
        <v>3642561</v>
      </c>
      <c r="O36" s="2056"/>
      <c r="P36" s="2057">
        <v>1</v>
      </c>
    </row>
    <row r="37" spans="1:16">
      <c r="A37" s="1872">
        <v>1997.4</v>
      </c>
      <c r="B37" s="181">
        <f t="shared" si="0"/>
        <v>3379940</v>
      </c>
      <c r="C37" s="3162">
        <v>2918255</v>
      </c>
      <c r="D37" s="180">
        <v>461685</v>
      </c>
      <c r="E37" s="3184">
        <v>3061549</v>
      </c>
      <c r="F37" s="180">
        <v>2729072</v>
      </c>
      <c r="G37" s="3162">
        <v>86090</v>
      </c>
      <c r="H37" s="2055"/>
      <c r="I37" s="863">
        <v>67199420</v>
      </c>
      <c r="J37" s="3162">
        <v>58607462</v>
      </c>
      <c r="K37" s="180">
        <v>8591958</v>
      </c>
      <c r="L37" s="3184">
        <v>67884574</v>
      </c>
      <c r="M37" s="180">
        <v>64121463</v>
      </c>
      <c r="N37" s="3162">
        <v>3763111</v>
      </c>
      <c r="O37" s="2056"/>
      <c r="P37" s="2057">
        <v>1</v>
      </c>
    </row>
    <row r="38" spans="1:16">
      <c r="A38" s="1872">
        <v>1998.1</v>
      </c>
      <c r="B38" s="181">
        <f t="shared" si="0"/>
        <v>3656031</v>
      </c>
      <c r="C38" s="3162">
        <v>3180928</v>
      </c>
      <c r="D38" s="180">
        <v>475103</v>
      </c>
      <c r="E38" s="3184">
        <v>3371891</v>
      </c>
      <c r="F38" s="180">
        <v>3285851</v>
      </c>
      <c r="G38" s="3162">
        <v>86040</v>
      </c>
      <c r="H38" s="2055"/>
      <c r="I38" s="863">
        <v>76273848</v>
      </c>
      <c r="J38" s="3162">
        <v>66150695</v>
      </c>
      <c r="K38" s="180">
        <v>10123153</v>
      </c>
      <c r="L38" s="3184">
        <v>74765471</v>
      </c>
      <c r="M38" s="180">
        <v>70961841</v>
      </c>
      <c r="N38" s="3162">
        <v>3803630</v>
      </c>
      <c r="O38" s="2056"/>
      <c r="P38" s="2057">
        <v>1</v>
      </c>
    </row>
    <row r="39" spans="1:16">
      <c r="A39" s="1872">
        <v>1998.2</v>
      </c>
      <c r="B39" s="181">
        <f t="shared" si="0"/>
        <v>3634307</v>
      </c>
      <c r="C39" s="3162">
        <v>3165370</v>
      </c>
      <c r="D39" s="180">
        <v>468937</v>
      </c>
      <c r="E39" s="3184">
        <v>3287664</v>
      </c>
      <c r="F39" s="180">
        <v>3201644</v>
      </c>
      <c r="G39" s="3162">
        <v>86020</v>
      </c>
      <c r="H39" s="2055"/>
      <c r="I39" s="863">
        <v>74954528</v>
      </c>
      <c r="J39" s="3162">
        <v>64666239</v>
      </c>
      <c r="K39" s="180">
        <v>10288289</v>
      </c>
      <c r="L39" s="3184">
        <v>72020050</v>
      </c>
      <c r="M39" s="180">
        <v>68298468</v>
      </c>
      <c r="N39" s="3162">
        <v>3721582</v>
      </c>
      <c r="O39" s="2056"/>
      <c r="P39" s="2057">
        <v>1</v>
      </c>
    </row>
    <row r="40" spans="1:16">
      <c r="A40" s="1872">
        <v>1998.3</v>
      </c>
      <c r="B40" s="181">
        <f t="shared" si="0"/>
        <v>3656031</v>
      </c>
      <c r="C40" s="3162">
        <v>3180928</v>
      </c>
      <c r="D40" s="180">
        <v>475103</v>
      </c>
      <c r="E40" s="3184">
        <v>3371891</v>
      </c>
      <c r="F40" s="180">
        <v>3285851</v>
      </c>
      <c r="G40" s="3162">
        <v>86040</v>
      </c>
      <c r="H40" s="2055"/>
      <c r="I40" s="863">
        <v>76273848</v>
      </c>
      <c r="J40" s="3162">
        <v>66150695</v>
      </c>
      <c r="K40" s="180">
        <v>10123153</v>
      </c>
      <c r="L40" s="3184">
        <v>74765471</v>
      </c>
      <c r="M40" s="180">
        <v>70961841</v>
      </c>
      <c r="N40" s="3162">
        <v>3803630</v>
      </c>
      <c r="O40" s="2056"/>
      <c r="P40" s="2057">
        <v>1</v>
      </c>
    </row>
    <row r="41" spans="1:16">
      <c r="A41" s="1872">
        <v>1998.4</v>
      </c>
      <c r="B41" s="181">
        <f t="shared" si="0"/>
        <v>3590947</v>
      </c>
      <c r="C41" s="3162">
        <v>3152461</v>
      </c>
      <c r="D41" s="180">
        <v>438486</v>
      </c>
      <c r="E41" s="3184">
        <v>3149036</v>
      </c>
      <c r="F41" s="180">
        <v>3019977</v>
      </c>
      <c r="G41" s="3162">
        <v>129059</v>
      </c>
      <c r="H41" s="2055"/>
      <c r="I41" s="863">
        <v>74716790</v>
      </c>
      <c r="J41" s="3162">
        <v>66114976</v>
      </c>
      <c r="K41" s="180">
        <v>8601814</v>
      </c>
      <c r="L41" s="3184">
        <v>75634508</v>
      </c>
      <c r="M41" s="180">
        <v>72349274</v>
      </c>
      <c r="N41" s="3162">
        <v>3285234</v>
      </c>
      <c r="O41" s="2056"/>
      <c r="P41" s="2057">
        <v>1</v>
      </c>
    </row>
    <row r="42" spans="1:16">
      <c r="A42" s="1872">
        <v>1999.1</v>
      </c>
      <c r="B42" s="181">
        <f t="shared" si="0"/>
        <v>3619023</v>
      </c>
      <c r="C42" s="3162">
        <v>3197121</v>
      </c>
      <c r="D42" s="180">
        <v>421902</v>
      </c>
      <c r="E42" s="3184">
        <v>3301550</v>
      </c>
      <c r="F42" s="180">
        <v>3161164</v>
      </c>
      <c r="G42" s="3162">
        <v>140386</v>
      </c>
      <c r="H42" s="2055"/>
      <c r="I42" s="863">
        <v>77498362</v>
      </c>
      <c r="J42" s="3162">
        <v>69122934</v>
      </c>
      <c r="K42" s="180">
        <v>8375428</v>
      </c>
      <c r="L42" s="3184">
        <v>75930351</v>
      </c>
      <c r="M42" s="180">
        <v>72471707</v>
      </c>
      <c r="N42" s="3162">
        <v>3458644</v>
      </c>
      <c r="O42" s="2056"/>
      <c r="P42" s="2057">
        <v>1</v>
      </c>
    </row>
    <row r="43" spans="1:16">
      <c r="A43" s="1872">
        <v>1999.2</v>
      </c>
      <c r="B43" s="181">
        <f t="shared" si="0"/>
        <v>3781972</v>
      </c>
      <c r="C43" s="3162">
        <v>3336091</v>
      </c>
      <c r="D43" s="180">
        <v>445881</v>
      </c>
      <c r="E43" s="3184">
        <v>3219363</v>
      </c>
      <c r="F43" s="180">
        <v>3069959</v>
      </c>
      <c r="G43" s="3162">
        <v>149404</v>
      </c>
      <c r="H43" s="2055"/>
      <c r="I43" s="863">
        <v>80252797</v>
      </c>
      <c r="J43" s="3162">
        <v>71112551</v>
      </c>
      <c r="K43" s="180">
        <v>9140246</v>
      </c>
      <c r="L43" s="3184">
        <v>75920707</v>
      </c>
      <c r="M43" s="180">
        <v>72514045</v>
      </c>
      <c r="N43" s="3162">
        <v>3406662</v>
      </c>
      <c r="O43" s="2056"/>
      <c r="P43" s="2057">
        <v>1</v>
      </c>
    </row>
    <row r="44" spans="1:16">
      <c r="A44" s="1872">
        <v>1999.3</v>
      </c>
      <c r="B44" s="181">
        <f t="shared" si="0"/>
        <v>3782504</v>
      </c>
      <c r="C44" s="3162">
        <v>3337728</v>
      </c>
      <c r="D44" s="180">
        <v>444776</v>
      </c>
      <c r="E44" s="3184">
        <v>3244474</v>
      </c>
      <c r="F44" s="180">
        <v>3058500</v>
      </c>
      <c r="G44" s="3162">
        <v>185974</v>
      </c>
      <c r="H44" s="2055"/>
      <c r="I44" s="863">
        <v>80815105</v>
      </c>
      <c r="J44" s="3162">
        <v>72062853</v>
      </c>
      <c r="K44" s="180">
        <v>8752252</v>
      </c>
      <c r="L44" s="3184">
        <v>76801690</v>
      </c>
      <c r="M44" s="180">
        <v>72821234</v>
      </c>
      <c r="N44" s="3162">
        <v>3980456</v>
      </c>
      <c r="O44" s="2056"/>
      <c r="P44" s="2057">
        <v>1</v>
      </c>
    </row>
    <row r="45" spans="1:16">
      <c r="A45" s="1872">
        <v>1999.4</v>
      </c>
      <c r="B45" s="181">
        <f t="shared" si="0"/>
        <v>3691797</v>
      </c>
      <c r="C45" s="3162">
        <v>3249145</v>
      </c>
      <c r="D45" s="180">
        <v>442652</v>
      </c>
      <c r="E45" s="3184">
        <v>3273001</v>
      </c>
      <c r="F45" s="180">
        <v>3167524</v>
      </c>
      <c r="G45" s="3162">
        <v>105477</v>
      </c>
      <c r="H45" s="2055"/>
      <c r="I45" s="863">
        <v>78722851</v>
      </c>
      <c r="J45" s="3162">
        <v>70593763</v>
      </c>
      <c r="K45" s="180">
        <v>8129088</v>
      </c>
      <c r="L45" s="3184">
        <v>77714645</v>
      </c>
      <c r="M45" s="180">
        <v>73735087</v>
      </c>
      <c r="N45" s="3162">
        <v>3979558</v>
      </c>
      <c r="O45" s="2056"/>
      <c r="P45" s="2057">
        <v>1</v>
      </c>
    </row>
    <row r="46" spans="1:16">
      <c r="A46" s="1872">
        <v>2000.1</v>
      </c>
      <c r="B46" s="181">
        <f t="shared" ref="B46:B93" si="1">C46+D46</f>
        <v>4108499.6244975058</v>
      </c>
      <c r="C46" s="3162">
        <v>3594341.0406489428</v>
      </c>
      <c r="D46" s="180">
        <v>514158.58384856291</v>
      </c>
      <c r="E46" s="3184">
        <f t="shared" ref="E46:E93" si="2">F46+G46</f>
        <v>3559600.2934395038</v>
      </c>
      <c r="F46" s="180">
        <v>3474730.2962215925</v>
      </c>
      <c r="G46" s="3162">
        <v>84869.997217911179</v>
      </c>
      <c r="H46" s="140">
        <v>230135.66307012684</v>
      </c>
      <c r="I46" s="863">
        <f t="shared" ref="I46:I109" si="3">J46+K46</f>
        <v>83379033</v>
      </c>
      <c r="J46" s="3162">
        <v>74105540</v>
      </c>
      <c r="K46" s="180">
        <v>9273493</v>
      </c>
      <c r="L46" s="3184">
        <f t="shared" ref="L46:L109" si="4">M46+N46</f>
        <v>77218936</v>
      </c>
      <c r="M46" s="180">
        <v>64734652</v>
      </c>
      <c r="N46" s="3162">
        <v>12484284</v>
      </c>
      <c r="O46" s="141">
        <v>3026382</v>
      </c>
      <c r="P46" s="2057">
        <v>1</v>
      </c>
    </row>
    <row r="47" spans="1:16">
      <c r="A47" s="1872">
        <v>2000.2</v>
      </c>
      <c r="B47" s="181">
        <f t="shared" si="1"/>
        <v>4178839.6468502712</v>
      </c>
      <c r="C47" s="3162">
        <v>3698042.9584356085</v>
      </c>
      <c r="D47" s="180">
        <v>480796.68841466238</v>
      </c>
      <c r="E47" s="3184">
        <f t="shared" si="2"/>
        <v>3627191.6725617321</v>
      </c>
      <c r="F47" s="180">
        <v>3462548.2597401659</v>
      </c>
      <c r="G47" s="3162">
        <v>164643.41282156619</v>
      </c>
      <c r="H47" s="180">
        <v>248769.27119925752</v>
      </c>
      <c r="I47" s="863">
        <f t="shared" si="3"/>
        <v>86467142.771832019</v>
      </c>
      <c r="J47" s="3162">
        <v>76246785.771832019</v>
      </c>
      <c r="K47" s="180">
        <v>10220357</v>
      </c>
      <c r="L47" s="3184">
        <f t="shared" si="4"/>
        <v>76770636.730175704</v>
      </c>
      <c r="M47" s="180">
        <v>63641842.844385192</v>
      </c>
      <c r="N47" s="3162">
        <v>13128793.885790516</v>
      </c>
      <c r="O47" s="2058">
        <v>3126717.5346245402</v>
      </c>
      <c r="P47" s="2057">
        <v>1</v>
      </c>
    </row>
    <row r="48" spans="1:16">
      <c r="A48" s="1872">
        <v>2000.3</v>
      </c>
      <c r="B48" s="181">
        <f t="shared" si="1"/>
        <v>4206234.8397670537</v>
      </c>
      <c r="C48" s="3162">
        <v>3765921.6030053301</v>
      </c>
      <c r="D48" s="180">
        <v>440313.2367617237</v>
      </c>
      <c r="E48" s="3184">
        <f t="shared" si="2"/>
        <v>3699036.3332922696</v>
      </c>
      <c r="F48" s="180">
        <v>3506476.3120165067</v>
      </c>
      <c r="G48" s="3162">
        <v>192560.02127576285</v>
      </c>
      <c r="H48" s="180">
        <v>244384.53265947435</v>
      </c>
      <c r="I48" s="863">
        <f t="shared" si="3"/>
        <v>87459254</v>
      </c>
      <c r="J48" s="3162">
        <v>77308564</v>
      </c>
      <c r="K48" s="180">
        <v>10150690</v>
      </c>
      <c r="L48" s="3184">
        <f t="shared" si="4"/>
        <v>77140601</v>
      </c>
      <c r="M48" s="180">
        <v>63350843</v>
      </c>
      <c r="N48" s="3162">
        <v>13789758</v>
      </c>
      <c r="O48" s="2058">
        <v>2952953</v>
      </c>
      <c r="P48" s="2057">
        <v>1</v>
      </c>
    </row>
    <row r="49" spans="1:16">
      <c r="A49" s="1872">
        <v>2000.4</v>
      </c>
      <c r="B49" s="181">
        <f t="shared" si="1"/>
        <v>4103797.1128751868</v>
      </c>
      <c r="C49" s="3162">
        <v>3744371.6590970913</v>
      </c>
      <c r="D49" s="180">
        <v>359425.45377809549</v>
      </c>
      <c r="E49" s="3184">
        <f t="shared" si="2"/>
        <v>3898364.5241348851</v>
      </c>
      <c r="F49" s="180">
        <v>3588348.7331438451</v>
      </c>
      <c r="G49" s="3162">
        <v>310015.79099103995</v>
      </c>
      <c r="H49" s="180">
        <v>242012.72315541084</v>
      </c>
      <c r="I49" s="863">
        <f t="shared" si="3"/>
        <v>85314116</v>
      </c>
      <c r="J49" s="3162">
        <v>76282082</v>
      </c>
      <c r="K49" s="180">
        <v>9032034</v>
      </c>
      <c r="L49" s="3184">
        <f t="shared" si="4"/>
        <v>77339021</v>
      </c>
      <c r="M49" s="180">
        <v>62378284</v>
      </c>
      <c r="N49" s="3162">
        <v>14960737</v>
      </c>
      <c r="O49" s="2058">
        <v>3223545</v>
      </c>
      <c r="P49" s="2057">
        <v>1</v>
      </c>
    </row>
    <row r="50" spans="1:16">
      <c r="A50" s="1872">
        <v>2001.1</v>
      </c>
      <c r="B50" s="181">
        <f t="shared" si="1"/>
        <v>3973514.9220002005</v>
      </c>
      <c r="C50" s="3162">
        <v>3615915.63690376</v>
      </c>
      <c r="D50" s="180">
        <v>357599.28509644023</v>
      </c>
      <c r="E50" s="3184">
        <f t="shared" si="2"/>
        <v>3702989.441921657</v>
      </c>
      <c r="F50" s="180">
        <v>3478633.9053927548</v>
      </c>
      <c r="G50" s="3162">
        <v>224355.53652890198</v>
      </c>
      <c r="H50" s="180">
        <v>234359.50147008905</v>
      </c>
      <c r="I50" s="863">
        <f t="shared" si="3"/>
        <v>82326209</v>
      </c>
      <c r="J50" s="3162">
        <v>74799860</v>
      </c>
      <c r="K50" s="180">
        <v>7526349</v>
      </c>
      <c r="L50" s="3184">
        <f t="shared" si="4"/>
        <v>73237667</v>
      </c>
      <c r="M50" s="180">
        <v>58469069</v>
      </c>
      <c r="N50" s="3162">
        <v>14768598</v>
      </c>
      <c r="O50" s="2058">
        <v>3029655</v>
      </c>
      <c r="P50" s="2057">
        <v>1</v>
      </c>
    </row>
    <row r="51" spans="1:16">
      <c r="A51" s="1872">
        <v>2001.2</v>
      </c>
      <c r="B51" s="181">
        <f t="shared" si="1"/>
        <v>4035386.935313954</v>
      </c>
      <c r="C51" s="3162">
        <v>3664146.7444849135</v>
      </c>
      <c r="D51" s="180">
        <v>371240.19082904072</v>
      </c>
      <c r="E51" s="3184">
        <f t="shared" si="2"/>
        <v>3683753.9341429309</v>
      </c>
      <c r="F51" s="180">
        <v>3449217.4127412206</v>
      </c>
      <c r="G51" s="3162">
        <v>234536.52140171034</v>
      </c>
      <c r="H51" s="180">
        <v>229535.56636252237</v>
      </c>
      <c r="I51" s="863">
        <f t="shared" si="3"/>
        <v>83564675</v>
      </c>
      <c r="J51" s="3162">
        <v>75572909</v>
      </c>
      <c r="K51" s="180">
        <v>7991766</v>
      </c>
      <c r="L51" s="3184">
        <f t="shared" si="4"/>
        <v>72322641</v>
      </c>
      <c r="M51" s="180">
        <v>57658986</v>
      </c>
      <c r="N51" s="3162">
        <v>14663655</v>
      </c>
      <c r="O51" s="2058">
        <v>2901441</v>
      </c>
      <c r="P51" s="2057">
        <v>1</v>
      </c>
    </row>
    <row r="52" spans="1:16">
      <c r="A52" s="1872">
        <v>2001.3</v>
      </c>
      <c r="B52" s="181">
        <f t="shared" si="1"/>
        <v>3749786.4286570232</v>
      </c>
      <c r="C52" s="3162">
        <v>3317898.5049480451</v>
      </c>
      <c r="D52" s="180">
        <v>431887.92370897834</v>
      </c>
      <c r="E52" s="3184">
        <f t="shared" si="2"/>
        <v>3705634.3976339181</v>
      </c>
      <c r="F52" s="180">
        <v>3503782.6516082739</v>
      </c>
      <c r="G52" s="3162">
        <v>201851.74602564445</v>
      </c>
      <c r="H52" s="180">
        <v>225206.88470720002</v>
      </c>
      <c r="I52" s="863">
        <f t="shared" si="3"/>
        <v>76450005</v>
      </c>
      <c r="J52" s="3162">
        <v>68530217</v>
      </c>
      <c r="K52" s="180">
        <v>7919787.9999999991</v>
      </c>
      <c r="L52" s="3184">
        <f t="shared" si="4"/>
        <v>68862208</v>
      </c>
      <c r="M52" s="180">
        <v>54288342</v>
      </c>
      <c r="N52" s="3162">
        <v>14573866</v>
      </c>
      <c r="O52" s="2058">
        <v>2861216</v>
      </c>
      <c r="P52" s="2057">
        <v>1</v>
      </c>
    </row>
    <row r="53" spans="1:16">
      <c r="A53" s="1872">
        <v>2001.4</v>
      </c>
      <c r="B53" s="181">
        <f t="shared" si="1"/>
        <v>3502560.6018752926</v>
      </c>
      <c r="C53" s="3162">
        <v>3197833.2697649803</v>
      </c>
      <c r="D53" s="180">
        <v>304727.33211031219</v>
      </c>
      <c r="E53" s="3184">
        <f t="shared" si="2"/>
        <v>3529731.5674519264</v>
      </c>
      <c r="F53" s="180">
        <v>3047238.8822851945</v>
      </c>
      <c r="G53" s="3162">
        <v>482492.68516673183</v>
      </c>
      <c r="H53" s="180">
        <v>175874.9671368062</v>
      </c>
      <c r="I53" s="863">
        <f t="shared" si="3"/>
        <v>66862038.000000007</v>
      </c>
      <c r="J53" s="3162">
        <v>60859420.000000007</v>
      </c>
      <c r="K53" s="180">
        <v>6002618</v>
      </c>
      <c r="L53" s="3184">
        <f t="shared" si="4"/>
        <v>72836507</v>
      </c>
      <c r="M53" s="180">
        <v>50500095</v>
      </c>
      <c r="N53" s="3162">
        <v>22336412</v>
      </c>
      <c r="O53" s="2058">
        <v>2555050</v>
      </c>
      <c r="P53" s="2057">
        <v>1</v>
      </c>
    </row>
    <row r="54" spans="1:16">
      <c r="A54" s="1872">
        <v>2002.1</v>
      </c>
      <c r="B54" s="181">
        <f t="shared" si="1"/>
        <v>2896801.6498595942</v>
      </c>
      <c r="C54" s="3162">
        <v>2631029.9524192209</v>
      </c>
      <c r="D54" s="180">
        <v>265771.69744037301</v>
      </c>
      <c r="E54" s="3184">
        <f t="shared" si="2"/>
        <v>2410445.3537452715</v>
      </c>
      <c r="F54" s="180">
        <v>2015784.2684584891</v>
      </c>
      <c r="G54" s="3162">
        <v>394661.08528678224</v>
      </c>
      <c r="H54" s="180">
        <v>157343.30479388608</v>
      </c>
      <c r="I54" s="863">
        <f t="shared" si="3"/>
        <v>71741916</v>
      </c>
      <c r="J54" s="3162">
        <v>65099739</v>
      </c>
      <c r="K54" s="180">
        <v>6642176.9999999991</v>
      </c>
      <c r="L54" s="3184">
        <f t="shared" si="4"/>
        <v>75315961</v>
      </c>
      <c r="M54" s="180">
        <v>45767811</v>
      </c>
      <c r="N54" s="3162">
        <v>29548150</v>
      </c>
      <c r="O54" s="2058">
        <v>2967224</v>
      </c>
      <c r="P54" s="2057">
        <v>2.8517000000000001</v>
      </c>
    </row>
    <row r="55" spans="1:16">
      <c r="A55" s="1872">
        <v>2002.2</v>
      </c>
      <c r="B55" s="181">
        <f t="shared" si="1"/>
        <v>3388641.1021278878</v>
      </c>
      <c r="C55" s="3162">
        <v>3106812.9721866064</v>
      </c>
      <c r="D55" s="180">
        <v>281828.12994128122</v>
      </c>
      <c r="E55" s="3184">
        <f t="shared" si="2"/>
        <v>2194875.0620314437</v>
      </c>
      <c r="F55" s="180">
        <v>1789486.5667922129</v>
      </c>
      <c r="G55" s="3162">
        <v>405388.4952392308</v>
      </c>
      <c r="H55" s="180">
        <v>187684.2903861432</v>
      </c>
      <c r="I55" s="863">
        <f t="shared" si="3"/>
        <v>65100647</v>
      </c>
      <c r="J55" s="3162">
        <v>56234515</v>
      </c>
      <c r="K55" s="180">
        <v>8866132</v>
      </c>
      <c r="L55" s="3184">
        <f t="shared" si="4"/>
        <v>73215685</v>
      </c>
      <c r="M55" s="180">
        <v>41531615</v>
      </c>
      <c r="N55" s="3162">
        <v>31684070.000000004</v>
      </c>
      <c r="O55" s="2058">
        <v>2911254</v>
      </c>
      <c r="P55" s="2057">
        <v>3.8037000000000001</v>
      </c>
    </row>
    <row r="56" spans="1:16">
      <c r="A56" s="1872">
        <v>2002.3</v>
      </c>
      <c r="B56" s="181">
        <f t="shared" si="1"/>
        <v>3259119.2030284549</v>
      </c>
      <c r="C56" s="3162">
        <v>2955455.9000315918</v>
      </c>
      <c r="D56" s="180">
        <v>303663.3029968632</v>
      </c>
      <c r="E56" s="3184">
        <f t="shared" si="2"/>
        <v>2112999.5213827863</v>
      </c>
      <c r="F56" s="180">
        <v>1635926.590540224</v>
      </c>
      <c r="G56" s="3162">
        <v>477072.93084256258</v>
      </c>
      <c r="H56" s="180">
        <v>201771.21229369356</v>
      </c>
      <c r="I56" s="863">
        <f t="shared" si="3"/>
        <v>67352997</v>
      </c>
      <c r="J56" s="3162">
        <v>58436622.000000007</v>
      </c>
      <c r="K56" s="180">
        <v>8916375</v>
      </c>
      <c r="L56" s="3184">
        <f t="shared" si="4"/>
        <v>70916005</v>
      </c>
      <c r="M56" s="180">
        <v>38127822</v>
      </c>
      <c r="N56" s="3162">
        <v>32788183.000000004</v>
      </c>
      <c r="O56" s="2058">
        <v>3557876</v>
      </c>
      <c r="P56" s="2057">
        <v>3.7267000000000001</v>
      </c>
    </row>
    <row r="57" spans="1:16">
      <c r="A57" s="1872">
        <v>2002.4</v>
      </c>
      <c r="B57" s="181">
        <f t="shared" si="1"/>
        <v>3496886.8664583932</v>
      </c>
      <c r="C57" s="3162">
        <v>3083639.5776042016</v>
      </c>
      <c r="D57" s="180">
        <v>413247.28885419155</v>
      </c>
      <c r="E57" s="3184">
        <f t="shared" si="2"/>
        <v>2006834.9329094591</v>
      </c>
      <c r="F57" s="180">
        <v>1495546.6375432278</v>
      </c>
      <c r="G57" s="3162">
        <v>511288.29536623141</v>
      </c>
      <c r="H57" s="180">
        <v>230641.39499200985</v>
      </c>
      <c r="I57" s="863">
        <f t="shared" si="3"/>
        <v>70025028.288528606</v>
      </c>
      <c r="J57" s="3162">
        <v>59394368.288528606</v>
      </c>
      <c r="K57" s="180">
        <v>10630660</v>
      </c>
      <c r="L57" s="3184">
        <f t="shared" si="4"/>
        <v>68388989.071573198</v>
      </c>
      <c r="M57" s="180">
        <v>35564800.301410735</v>
      </c>
      <c r="N57" s="3162">
        <v>32824188.770162467</v>
      </c>
      <c r="O57" s="2058">
        <v>3929678.2428484736</v>
      </c>
      <c r="P57" s="2057">
        <v>3.363</v>
      </c>
    </row>
    <row r="58" spans="1:16">
      <c r="A58" s="1872">
        <v>2003.1</v>
      </c>
      <c r="B58" s="181">
        <f t="shared" si="1"/>
        <v>3863014.9794029756</v>
      </c>
      <c r="C58" s="3162">
        <v>3365852.7377918405</v>
      </c>
      <c r="D58" s="180">
        <v>497162.24161113531</v>
      </c>
      <c r="E58" s="3184">
        <f t="shared" si="2"/>
        <v>1917002.6838554128</v>
      </c>
      <c r="F58" s="180">
        <v>1387106.1366547325</v>
      </c>
      <c r="G58" s="3162">
        <v>529896.54720068024</v>
      </c>
      <c r="H58" s="180">
        <v>237581.97596933998</v>
      </c>
      <c r="I58" s="863">
        <f t="shared" si="3"/>
        <v>73611355</v>
      </c>
      <c r="J58" s="3162">
        <v>62174859</v>
      </c>
      <c r="K58" s="180">
        <v>11436496</v>
      </c>
      <c r="L58" s="3184">
        <f t="shared" si="4"/>
        <v>65792966.999999993</v>
      </c>
      <c r="M58" s="180">
        <v>32263524.999999996</v>
      </c>
      <c r="N58" s="3162">
        <v>33529441.999999996</v>
      </c>
      <c r="O58" s="2058">
        <v>3846291</v>
      </c>
      <c r="P58" s="2057">
        <v>2.9624999999999901</v>
      </c>
    </row>
    <row r="59" spans="1:16">
      <c r="A59" s="1872">
        <v>2003.2</v>
      </c>
      <c r="B59" s="181">
        <f t="shared" si="1"/>
        <v>4573610.8686424419</v>
      </c>
      <c r="C59" s="3162">
        <v>3611533.284240677</v>
      </c>
      <c r="D59" s="180">
        <v>962077.58440176479</v>
      </c>
      <c r="E59" s="3184">
        <f t="shared" si="2"/>
        <v>2223228.1975680338</v>
      </c>
      <c r="F59" s="180">
        <v>1381532.2969357483</v>
      </c>
      <c r="G59" s="3162">
        <v>841695.90063228575</v>
      </c>
      <c r="H59" s="180">
        <v>257760.1531387557</v>
      </c>
      <c r="I59" s="863">
        <f t="shared" si="3"/>
        <v>83910990</v>
      </c>
      <c r="J59" s="3162">
        <v>69026896</v>
      </c>
      <c r="K59" s="180">
        <v>14884094.000000002</v>
      </c>
      <c r="L59" s="3184">
        <f t="shared" si="4"/>
        <v>65187474</v>
      </c>
      <c r="M59" s="180">
        <v>31039414</v>
      </c>
      <c r="N59" s="3162">
        <v>34148060</v>
      </c>
      <c r="O59" s="2058">
        <v>4228391</v>
      </c>
      <c r="P59" s="2057">
        <v>2.8075000000000001</v>
      </c>
    </row>
    <row r="60" spans="1:16">
      <c r="A60" s="1872">
        <v>2003.3</v>
      </c>
      <c r="B60" s="181">
        <f t="shared" si="1"/>
        <v>5221543.3047451871</v>
      </c>
      <c r="C60" s="3162">
        <v>4224058.5601910409</v>
      </c>
      <c r="D60" s="180">
        <v>997484.74455414584</v>
      </c>
      <c r="E60" s="3184">
        <f t="shared" si="2"/>
        <v>2190901.2503000293</v>
      </c>
      <c r="F60" s="180">
        <v>1380899.9785394603</v>
      </c>
      <c r="G60" s="3162">
        <v>810001.27176056872</v>
      </c>
      <c r="H60" s="180">
        <v>291378.59726622922</v>
      </c>
      <c r="I60" s="863">
        <f t="shared" si="3"/>
        <v>88269058</v>
      </c>
      <c r="J60" s="3162">
        <v>71245849</v>
      </c>
      <c r="K60" s="180">
        <v>17023209</v>
      </c>
      <c r="L60" s="3184">
        <f t="shared" si="4"/>
        <v>55733054</v>
      </c>
      <c r="M60" s="180">
        <v>30429823</v>
      </c>
      <c r="N60" s="3162">
        <v>25303230.999999996</v>
      </c>
      <c r="O60" s="2058">
        <v>4461037</v>
      </c>
      <c r="P60" s="2057">
        <v>2.911</v>
      </c>
    </row>
    <row r="61" spans="1:16">
      <c r="A61" s="1872">
        <v>2003.4</v>
      </c>
      <c r="B61" s="181">
        <f t="shared" si="1"/>
        <v>5092409.0046479404</v>
      </c>
      <c r="C61" s="3162">
        <v>4310145.696120264</v>
      </c>
      <c r="D61" s="180">
        <v>782263.30852767651</v>
      </c>
      <c r="E61" s="3184">
        <f t="shared" si="2"/>
        <v>2079214.0872681476</v>
      </c>
      <c r="F61" s="180">
        <v>1491335.8143714156</v>
      </c>
      <c r="G61" s="3162">
        <v>587878.27289673197</v>
      </c>
      <c r="H61" s="180">
        <v>354622.58074305864</v>
      </c>
      <c r="I61" s="863">
        <f t="shared" si="3"/>
        <v>92722729</v>
      </c>
      <c r="J61" s="3162">
        <v>74396803</v>
      </c>
      <c r="K61" s="180">
        <v>18325926</v>
      </c>
      <c r="L61" s="3184">
        <f t="shared" si="4"/>
        <v>54533911</v>
      </c>
      <c r="M61" s="180">
        <v>30981702</v>
      </c>
      <c r="N61" s="3162">
        <v>23552209</v>
      </c>
      <c r="O61" s="2058">
        <v>5295016</v>
      </c>
      <c r="P61" s="2057">
        <v>2.9329999999999901</v>
      </c>
    </row>
    <row r="62" spans="1:16">
      <c r="A62" s="1872">
        <v>2004.1</v>
      </c>
      <c r="B62" s="181">
        <f t="shared" si="1"/>
        <v>5481622.9638822842</v>
      </c>
      <c r="C62" s="3162">
        <v>4549069.4317293148</v>
      </c>
      <c r="D62" s="180">
        <v>932553.53215296939</v>
      </c>
      <c r="E62" s="3184">
        <f t="shared" si="2"/>
        <v>2085210.3822163031</v>
      </c>
      <c r="F62" s="180">
        <v>1505741.2111419414</v>
      </c>
      <c r="G62" s="3162">
        <v>579469.17107436177</v>
      </c>
      <c r="H62" s="180">
        <v>364187.32817083993</v>
      </c>
      <c r="I62" s="863">
        <f t="shared" si="3"/>
        <v>98608663</v>
      </c>
      <c r="J62" s="3162">
        <v>76007072</v>
      </c>
      <c r="K62" s="180">
        <v>22601591</v>
      </c>
      <c r="L62" s="3184">
        <f t="shared" si="4"/>
        <v>55663947</v>
      </c>
      <c r="M62" s="180">
        <v>31526471.000000004</v>
      </c>
      <c r="N62" s="3162">
        <v>24137476</v>
      </c>
      <c r="O62" s="2058">
        <v>4893571</v>
      </c>
      <c r="P62" s="2057">
        <v>2.855</v>
      </c>
    </row>
    <row r="63" spans="1:16">
      <c r="A63" s="1872">
        <v>2004.2</v>
      </c>
      <c r="B63" s="181">
        <f t="shared" si="1"/>
        <v>6115052.6686335765</v>
      </c>
      <c r="C63" s="3162">
        <v>4776458.9454735192</v>
      </c>
      <c r="D63" s="180">
        <v>1338593.7231600573</v>
      </c>
      <c r="E63" s="3184">
        <f t="shared" si="2"/>
        <v>2404892.440117843</v>
      </c>
      <c r="F63" s="180">
        <v>1823549.9178196788</v>
      </c>
      <c r="G63" s="3162">
        <v>581342.52229816432</v>
      </c>
      <c r="H63" s="180">
        <v>391855.92505127308</v>
      </c>
      <c r="I63" s="863">
        <f t="shared" si="3"/>
        <v>109977494</v>
      </c>
      <c r="J63" s="3162">
        <v>77559978</v>
      </c>
      <c r="K63" s="180">
        <v>32417516.000000004</v>
      </c>
      <c r="L63" s="3184">
        <f t="shared" si="4"/>
        <v>58266107</v>
      </c>
      <c r="M63" s="180">
        <v>34254112</v>
      </c>
      <c r="N63" s="3162">
        <v>24011995</v>
      </c>
      <c r="O63" s="2058">
        <v>5579614</v>
      </c>
      <c r="P63" s="2057">
        <v>2.9607000000000001</v>
      </c>
    </row>
    <row r="64" spans="1:16">
      <c r="A64" s="1872">
        <v>2004.3</v>
      </c>
      <c r="B64" s="181">
        <f t="shared" si="1"/>
        <v>6284541.420368596</v>
      </c>
      <c r="C64" s="3162">
        <v>4739153.4721039375</v>
      </c>
      <c r="D64" s="180">
        <v>1545387.9482646587</v>
      </c>
      <c r="E64" s="3184">
        <f t="shared" si="2"/>
        <v>2699365.3100418956</v>
      </c>
      <c r="F64" s="180">
        <v>2116055.2310833917</v>
      </c>
      <c r="G64" s="3162">
        <v>583310.0789585039</v>
      </c>
      <c r="H64" s="180">
        <v>339775.38983356481</v>
      </c>
      <c r="I64" s="863">
        <f t="shared" si="3"/>
        <v>112306208</v>
      </c>
      <c r="J64" s="3162">
        <v>77718342</v>
      </c>
      <c r="K64" s="180">
        <v>34587866</v>
      </c>
      <c r="L64" s="3184">
        <f t="shared" si="4"/>
        <v>60381416</v>
      </c>
      <c r="M64" s="180">
        <v>36752011</v>
      </c>
      <c r="N64" s="3162">
        <v>23629405</v>
      </c>
      <c r="O64" s="2058">
        <v>4991598</v>
      </c>
      <c r="P64" s="2057">
        <v>2.9824999999999902</v>
      </c>
    </row>
    <row r="65" spans="1:16">
      <c r="A65" s="1872">
        <v>2004.4</v>
      </c>
      <c r="B65" s="181">
        <f t="shared" si="1"/>
        <v>6641874.2979329471</v>
      </c>
      <c r="C65" s="3162">
        <v>4807681.4349163109</v>
      </c>
      <c r="D65" s="180">
        <v>1834192.8630166366</v>
      </c>
      <c r="E65" s="3184">
        <f t="shared" si="2"/>
        <v>2888719.4783734703</v>
      </c>
      <c r="F65" s="180">
        <v>2303046.4600202995</v>
      </c>
      <c r="G65" s="3162">
        <v>585673.01835317083</v>
      </c>
      <c r="H65" s="180">
        <v>342426.04008437216</v>
      </c>
      <c r="I65" s="863">
        <f t="shared" si="3"/>
        <v>116245745</v>
      </c>
      <c r="J65" s="3162">
        <v>82295992</v>
      </c>
      <c r="K65" s="180">
        <v>33949753</v>
      </c>
      <c r="L65" s="3184">
        <f t="shared" si="4"/>
        <v>59887733</v>
      </c>
      <c r="M65" s="180">
        <v>39168377</v>
      </c>
      <c r="N65" s="3162">
        <v>20719356</v>
      </c>
      <c r="O65" s="2058">
        <v>5246296</v>
      </c>
      <c r="P65" s="2057">
        <v>2.9738000000000002</v>
      </c>
    </row>
    <row r="66" spans="1:16">
      <c r="A66" s="1872">
        <v>2005.1</v>
      </c>
      <c r="B66" s="181">
        <f t="shared" si="1"/>
        <v>7351514.8985467739</v>
      </c>
      <c r="C66" s="3162">
        <v>5137843.1156531293</v>
      </c>
      <c r="D66" s="180">
        <v>2213671.7828936446</v>
      </c>
      <c r="E66" s="3184">
        <f t="shared" si="2"/>
        <v>2916398.4920264231</v>
      </c>
      <c r="F66" s="180">
        <v>2330179.3631868232</v>
      </c>
      <c r="G66" s="3162">
        <v>586219.12883960002</v>
      </c>
      <c r="H66" s="180">
        <v>400380.29356600228</v>
      </c>
      <c r="I66" s="863">
        <f t="shared" si="3"/>
        <v>121552094.99689856</v>
      </c>
      <c r="J66" s="3162">
        <v>88409478.996898562</v>
      </c>
      <c r="K66" s="180">
        <v>33142616</v>
      </c>
      <c r="L66" s="3184">
        <f t="shared" si="4"/>
        <v>61074583.378813565</v>
      </c>
      <c r="M66" s="180">
        <v>41584735.378813565</v>
      </c>
      <c r="N66" s="3162">
        <v>19489848</v>
      </c>
      <c r="O66" s="2058">
        <v>5577685</v>
      </c>
      <c r="P66" s="2057">
        <v>2.92329999999999</v>
      </c>
    </row>
    <row r="67" spans="1:16">
      <c r="A67" s="1872">
        <v>2005.2</v>
      </c>
      <c r="B67" s="181">
        <f t="shared" si="1"/>
        <v>8128077.4238085197</v>
      </c>
      <c r="C67" s="3162">
        <v>5674980.1440851595</v>
      </c>
      <c r="D67" s="180">
        <v>2453097.2797233602</v>
      </c>
      <c r="E67" s="3184">
        <f t="shared" si="2"/>
        <v>3125894.277635071</v>
      </c>
      <c r="F67" s="180">
        <v>2545096</v>
      </c>
      <c r="G67" s="3162">
        <v>580798.27763507096</v>
      </c>
      <c r="H67" s="180">
        <v>426067.52559485642</v>
      </c>
      <c r="I67" s="863">
        <f t="shared" si="3"/>
        <v>128623729.97438252</v>
      </c>
      <c r="J67" s="3162">
        <v>92500706.97438252</v>
      </c>
      <c r="K67" s="180">
        <v>36123023</v>
      </c>
      <c r="L67" s="3184">
        <f t="shared" si="4"/>
        <v>63186632.25130301</v>
      </c>
      <c r="M67" s="180">
        <v>45423922.147588417</v>
      </c>
      <c r="N67" s="3162">
        <v>17762710.103714593</v>
      </c>
      <c r="O67" s="2058">
        <v>6009704.1909824396</v>
      </c>
      <c r="P67" s="2057">
        <v>2.8908</v>
      </c>
    </row>
    <row r="68" spans="1:16">
      <c r="A68" s="1872">
        <v>2005.3</v>
      </c>
      <c r="B68" s="181">
        <f t="shared" si="1"/>
        <v>8245832.6747263884</v>
      </c>
      <c r="C68" s="3162">
        <v>5716664.1588665014</v>
      </c>
      <c r="D68" s="180">
        <v>2529168.515859887</v>
      </c>
      <c r="E68" s="3184">
        <f t="shared" si="2"/>
        <v>3373069.7556707147</v>
      </c>
      <c r="F68" s="180">
        <v>2788101.0716474685</v>
      </c>
      <c r="G68" s="3162">
        <v>584968.68402324629</v>
      </c>
      <c r="H68" s="180">
        <v>423596.39418870059</v>
      </c>
      <c r="I68" s="863">
        <f t="shared" si="3"/>
        <v>132689071.43956223</v>
      </c>
      <c r="J68" s="3162">
        <v>95126227.439562231</v>
      </c>
      <c r="K68" s="180">
        <v>37562844</v>
      </c>
      <c r="L68" s="3184">
        <f t="shared" si="4"/>
        <v>65366987.257662915</v>
      </c>
      <c r="M68" s="180">
        <v>48782420.673266277</v>
      </c>
      <c r="N68" s="3162">
        <v>16584566.58439664</v>
      </c>
      <c r="O68" s="2058">
        <v>5917425.1493408037</v>
      </c>
      <c r="P68" s="2057">
        <v>2.9125000000000001</v>
      </c>
    </row>
    <row r="69" spans="1:16">
      <c r="A69" s="1872">
        <v>2005.4</v>
      </c>
      <c r="B69" s="181">
        <f t="shared" si="1"/>
        <v>8445433.2997402474</v>
      </c>
      <c r="C69" s="3162">
        <v>6026199.8578728838</v>
      </c>
      <c r="D69" s="180">
        <v>2419233.4418673636</v>
      </c>
      <c r="E69" s="3184">
        <f t="shared" si="2"/>
        <v>3716545.1472201278</v>
      </c>
      <c r="F69" s="180">
        <v>3152037.4055170892</v>
      </c>
      <c r="G69" s="3162">
        <v>564507.74170303857</v>
      </c>
      <c r="H69" s="180">
        <v>479772.08585071471</v>
      </c>
      <c r="I69" s="863">
        <f t="shared" si="3"/>
        <v>136474325</v>
      </c>
      <c r="J69" s="3162">
        <v>100014754</v>
      </c>
      <c r="K69" s="180">
        <v>36459571</v>
      </c>
      <c r="L69" s="3184">
        <f t="shared" si="4"/>
        <v>70192456</v>
      </c>
      <c r="M69" s="180">
        <v>53921154</v>
      </c>
      <c r="N69" s="3162">
        <v>16271302</v>
      </c>
      <c r="O69" s="2058">
        <v>6098125</v>
      </c>
      <c r="P69" s="2057">
        <v>3.0314999999999901</v>
      </c>
    </row>
    <row r="70" spans="1:16">
      <c r="A70" s="1872">
        <v>2006.1</v>
      </c>
      <c r="B70" s="181">
        <f t="shared" si="1"/>
        <v>8723809.962664593</v>
      </c>
      <c r="C70" s="3162">
        <v>6303043</v>
      </c>
      <c r="D70" s="180">
        <v>2420766.9626645939</v>
      </c>
      <c r="E70" s="3184">
        <f t="shared" si="2"/>
        <v>4034600.224018801</v>
      </c>
      <c r="F70" s="180">
        <v>3472417</v>
      </c>
      <c r="G70" s="3162">
        <v>562183.22401880112</v>
      </c>
      <c r="H70" s="180">
        <v>451586.86223840091</v>
      </c>
      <c r="I70" s="863">
        <f t="shared" si="3"/>
        <v>143504776.81641495</v>
      </c>
      <c r="J70" s="3162">
        <v>104572395.80063033</v>
      </c>
      <c r="K70" s="180">
        <v>38932381.015784614</v>
      </c>
      <c r="L70" s="3184">
        <f t="shared" si="4"/>
        <v>72719652.405757606</v>
      </c>
      <c r="M70" s="180">
        <v>57324291.875309244</v>
      </c>
      <c r="N70" s="3162">
        <v>15395360.530448364</v>
      </c>
      <c r="O70" s="2058">
        <v>6155324.9999999991</v>
      </c>
      <c r="P70" s="2057">
        <v>3.0808</v>
      </c>
    </row>
    <row r="71" spans="1:16">
      <c r="A71" s="1872">
        <v>2006.2</v>
      </c>
      <c r="B71" s="181">
        <f t="shared" si="1"/>
        <v>9190147.6942306794</v>
      </c>
      <c r="C71" s="3162">
        <v>6724310.559611598</v>
      </c>
      <c r="D71" s="180">
        <v>2465837.1346190809</v>
      </c>
      <c r="E71" s="3184">
        <f t="shared" si="2"/>
        <v>4722973.9870362384</v>
      </c>
      <c r="F71" s="180">
        <v>4021155</v>
      </c>
      <c r="G71" s="3162">
        <v>701818.98703623831</v>
      </c>
      <c r="H71" s="180">
        <v>457438.19420701044</v>
      </c>
      <c r="I71" s="863">
        <f t="shared" si="3"/>
        <v>154800085.69753206</v>
      </c>
      <c r="J71" s="3162">
        <v>111091440.60834043</v>
      </c>
      <c r="K71" s="180">
        <v>43708645.089191645</v>
      </c>
      <c r="L71" s="3184">
        <f t="shared" si="4"/>
        <v>78291751.68250154</v>
      </c>
      <c r="M71" s="180">
        <v>63760420.168330565</v>
      </c>
      <c r="N71" s="3162">
        <v>14531331.51417098</v>
      </c>
      <c r="O71" s="2058">
        <v>6677798.6923659444</v>
      </c>
      <c r="P71" s="2057">
        <v>3.0848</v>
      </c>
    </row>
    <row r="72" spans="1:16">
      <c r="A72" s="1872">
        <v>2006.3</v>
      </c>
      <c r="B72" s="181">
        <f t="shared" si="1"/>
        <v>9627006.8181786332</v>
      </c>
      <c r="C72" s="3162">
        <v>7099260</v>
      </c>
      <c r="D72" s="180">
        <v>2527746.8181786328</v>
      </c>
      <c r="E72" s="3184">
        <f t="shared" si="2"/>
        <v>5201973.157882574</v>
      </c>
      <c r="F72" s="180">
        <v>4493267</v>
      </c>
      <c r="G72" s="3162">
        <v>708706.15788257413</v>
      </c>
      <c r="H72" s="180">
        <v>395566.97140382789</v>
      </c>
      <c r="I72" s="863">
        <f t="shared" si="3"/>
        <v>162828636.63240045</v>
      </c>
      <c r="J72" s="3162">
        <v>116439052.45312005</v>
      </c>
      <c r="K72" s="180">
        <v>46389584.179280385</v>
      </c>
      <c r="L72" s="3184">
        <f t="shared" si="4"/>
        <v>83822489.715925887</v>
      </c>
      <c r="M72" s="180">
        <v>69689474.314202279</v>
      </c>
      <c r="N72" s="3162">
        <v>14133015.401723605</v>
      </c>
      <c r="O72" s="2058">
        <v>5738863.0253539057</v>
      </c>
      <c r="P72" s="2057">
        <v>3.1042999999999901</v>
      </c>
    </row>
    <row r="73" spans="1:16">
      <c r="A73" s="1872">
        <v>2006.4</v>
      </c>
      <c r="B73" s="181">
        <f t="shared" si="1"/>
        <v>9829319.4431374911</v>
      </c>
      <c r="C73" s="3162">
        <v>7392546.5648944331</v>
      </c>
      <c r="D73" s="180">
        <v>2436772.8782430585</v>
      </c>
      <c r="E73" s="3184">
        <f t="shared" si="2"/>
        <v>5691426.7169489833</v>
      </c>
      <c r="F73" s="180">
        <v>4985216</v>
      </c>
      <c r="G73" s="3162">
        <v>706210.71694898338</v>
      </c>
      <c r="H73" s="180">
        <v>523695.09578805976</v>
      </c>
      <c r="I73" s="863">
        <f t="shared" si="3"/>
        <v>170886603</v>
      </c>
      <c r="J73" s="3162">
        <v>122865925.99999999</v>
      </c>
      <c r="K73" s="180">
        <v>48020677</v>
      </c>
      <c r="L73" s="3184">
        <f t="shared" si="4"/>
        <v>88861751</v>
      </c>
      <c r="M73" s="180">
        <v>75790855</v>
      </c>
      <c r="N73" s="3162">
        <v>13070896.000000002</v>
      </c>
      <c r="O73" s="2058">
        <v>6901939</v>
      </c>
      <c r="P73" s="2057">
        <v>3.0695000000000001</v>
      </c>
    </row>
    <row r="74" spans="1:16">
      <c r="A74" s="1872">
        <v>2007.1</v>
      </c>
      <c r="B74" s="181">
        <f>C74+D74</f>
        <v>10437689.04328577</v>
      </c>
      <c r="C74" s="3162">
        <v>7874879</v>
      </c>
      <c r="D74" s="180">
        <v>2562810.0432857708</v>
      </c>
      <c r="E74" s="3184">
        <f t="shared" si="2"/>
        <v>6028976.8970098319</v>
      </c>
      <c r="F74" s="180">
        <v>5318325.0307165254</v>
      </c>
      <c r="G74" s="3162">
        <v>710651.86629330623</v>
      </c>
      <c r="H74" s="180">
        <v>524925.83414309064</v>
      </c>
      <c r="I74" s="863">
        <f t="shared" si="3"/>
        <v>180842668</v>
      </c>
      <c r="J74" s="3162">
        <v>132424222</v>
      </c>
      <c r="K74" s="180">
        <v>48418446</v>
      </c>
      <c r="L74" s="3184">
        <f t="shared" si="4"/>
        <v>93513811</v>
      </c>
      <c r="M74" s="180">
        <v>80812425</v>
      </c>
      <c r="N74" s="3162">
        <v>12701386</v>
      </c>
      <c r="O74" s="2058">
        <v>7574995.7634199988</v>
      </c>
      <c r="P74" s="2057">
        <v>3.10069999999999</v>
      </c>
    </row>
    <row r="75" spans="1:16">
      <c r="A75" s="1872">
        <v>2007.2</v>
      </c>
      <c r="B75" s="181">
        <f t="shared" si="1"/>
        <v>11465574.634563724</v>
      </c>
      <c r="C75" s="3162">
        <v>8884120</v>
      </c>
      <c r="D75" s="180">
        <v>2581454.6345637236</v>
      </c>
      <c r="E75" s="3184">
        <f t="shared" si="2"/>
        <v>6353258.930245758</v>
      </c>
      <c r="F75" s="180">
        <v>5649786</v>
      </c>
      <c r="G75" s="3162">
        <v>703472.93024575792</v>
      </c>
      <c r="H75" s="180">
        <v>523279.96194790903</v>
      </c>
      <c r="I75" s="863">
        <f t="shared" si="3"/>
        <v>191885479</v>
      </c>
      <c r="J75" s="3185">
        <v>139490413</v>
      </c>
      <c r="K75" s="180">
        <v>52395066</v>
      </c>
      <c r="L75" s="3184">
        <f t="shared" si="4"/>
        <v>98043667</v>
      </c>
      <c r="M75" s="180">
        <v>87451070</v>
      </c>
      <c r="N75" s="3162">
        <v>10592597</v>
      </c>
      <c r="O75" s="2058">
        <v>6909017.3936856883</v>
      </c>
      <c r="P75" s="2057">
        <v>3.0908000000000002</v>
      </c>
    </row>
    <row r="76" spans="1:16">
      <c r="A76" s="1872">
        <v>2007.3</v>
      </c>
      <c r="B76" s="181">
        <f t="shared" si="1"/>
        <v>11729795.036557365</v>
      </c>
      <c r="C76" s="3162">
        <v>9151511</v>
      </c>
      <c r="D76" s="180">
        <v>2578284.0365573652</v>
      </c>
      <c r="E76" s="3184">
        <f t="shared" si="2"/>
        <v>7322602.1015265426</v>
      </c>
      <c r="F76" s="180">
        <v>6584816.9637546102</v>
      </c>
      <c r="G76" s="3162">
        <v>737785.13777193264</v>
      </c>
      <c r="H76" s="180">
        <v>534866.69182790723</v>
      </c>
      <c r="I76" s="863">
        <f t="shared" si="3"/>
        <v>205345765.19299483</v>
      </c>
      <c r="J76" s="3185">
        <v>145745876</v>
      </c>
      <c r="K76" s="180">
        <v>59599889.192994826</v>
      </c>
      <c r="L76" s="3184">
        <f t="shared" si="4"/>
        <v>108507117.83406174</v>
      </c>
      <c r="M76" s="180">
        <v>97827407</v>
      </c>
      <c r="N76" s="3162">
        <v>10679710.834061746</v>
      </c>
      <c r="O76" s="2058">
        <v>7360852.5149760731</v>
      </c>
      <c r="P76" s="2057">
        <v>3.1495000000000002</v>
      </c>
    </row>
    <row r="77" spans="1:16">
      <c r="A77" s="1872">
        <v>2007.4</v>
      </c>
      <c r="B77" s="181">
        <f t="shared" si="1"/>
        <v>11872722.519636599</v>
      </c>
      <c r="C77" s="3162">
        <v>9339724</v>
      </c>
      <c r="D77" s="180">
        <v>2532998.5196365993</v>
      </c>
      <c r="E77" s="3184">
        <f t="shared" si="2"/>
        <v>8130990.9094574051</v>
      </c>
      <c r="F77" s="180">
        <v>7376260</v>
      </c>
      <c r="G77" s="3162">
        <v>754730.90945740498</v>
      </c>
      <c r="H77" s="180">
        <v>765483.26515494008</v>
      </c>
      <c r="I77" s="863">
        <f t="shared" si="3"/>
        <v>206612533</v>
      </c>
      <c r="J77" s="3185">
        <v>153970308</v>
      </c>
      <c r="K77" s="180">
        <v>52642225</v>
      </c>
      <c r="L77" s="3184">
        <f t="shared" si="4"/>
        <v>118158487</v>
      </c>
      <c r="M77" s="180">
        <v>107566011</v>
      </c>
      <c r="N77" s="3162">
        <v>10592476</v>
      </c>
      <c r="O77" s="2058">
        <v>9744709</v>
      </c>
      <c r="P77" s="2057">
        <v>3.15099999999999</v>
      </c>
    </row>
    <row r="78" spans="1:16">
      <c r="A78" s="1872">
        <f t="shared" ref="A78:A141" si="5">A74+1</f>
        <v>2008.1</v>
      </c>
      <c r="B78" s="181">
        <f>C78+D78</f>
        <v>12506082.324709468</v>
      </c>
      <c r="C78" s="3162">
        <v>9857182</v>
      </c>
      <c r="D78" s="180">
        <v>2648900.3247094685</v>
      </c>
      <c r="E78" s="3184">
        <f t="shared" si="2"/>
        <v>8548938.5623338521</v>
      </c>
      <c r="F78" s="180">
        <v>7798394</v>
      </c>
      <c r="G78" s="3162">
        <v>750544.56233385263</v>
      </c>
      <c r="H78" s="180">
        <v>639613.92071446206</v>
      </c>
      <c r="I78" s="863">
        <f t="shared" si="3"/>
        <v>230095283</v>
      </c>
      <c r="J78" s="3162">
        <v>163103270</v>
      </c>
      <c r="K78" s="180">
        <v>66992013</v>
      </c>
      <c r="L78" s="3184">
        <f t="shared" si="4"/>
        <v>124115929</v>
      </c>
      <c r="M78" s="180">
        <v>112902792</v>
      </c>
      <c r="N78" s="3162">
        <v>11213137</v>
      </c>
      <c r="O78" s="2058">
        <v>9052485</v>
      </c>
      <c r="P78" s="2057">
        <v>3.16529999999999</v>
      </c>
    </row>
    <row r="79" spans="1:16">
      <c r="A79" s="1872">
        <f t="shared" si="5"/>
        <v>2008.2</v>
      </c>
      <c r="B79" s="181">
        <f t="shared" si="1"/>
        <v>12318059.333184026</v>
      </c>
      <c r="C79" s="3162">
        <v>9483459</v>
      </c>
      <c r="D79" s="180">
        <v>2834600.3331840253</v>
      </c>
      <c r="E79" s="3184">
        <f t="shared" si="2"/>
        <v>9071385.0631597321</v>
      </c>
      <c r="F79" s="180">
        <v>8363475</v>
      </c>
      <c r="G79" s="3162">
        <v>707910.06315973145</v>
      </c>
      <c r="H79" s="180">
        <v>690842.3451653677</v>
      </c>
      <c r="I79" s="863">
        <f t="shared" si="3"/>
        <v>232757233</v>
      </c>
      <c r="J79" s="3162">
        <v>162633918</v>
      </c>
      <c r="K79" s="180">
        <v>70123315</v>
      </c>
      <c r="L79" s="3184">
        <f t="shared" si="4"/>
        <v>131445309</v>
      </c>
      <c r="M79" s="180">
        <v>120431360</v>
      </c>
      <c r="N79" s="3162">
        <v>11013949</v>
      </c>
      <c r="O79" s="2058">
        <v>9942040</v>
      </c>
      <c r="P79" s="2057">
        <v>3.0242</v>
      </c>
    </row>
    <row r="80" spans="1:16">
      <c r="A80" s="1872">
        <f t="shared" si="5"/>
        <v>2008.3</v>
      </c>
      <c r="B80" s="181">
        <f t="shared" si="1"/>
        <v>13340924.864232587</v>
      </c>
      <c r="C80" s="3162">
        <v>10253499</v>
      </c>
      <c r="D80" s="180">
        <v>3087425.8642325872</v>
      </c>
      <c r="E80" s="3184">
        <f t="shared" si="2"/>
        <v>9535899.1329404879</v>
      </c>
      <c r="F80" s="180">
        <v>8837970</v>
      </c>
      <c r="G80" s="3162">
        <v>697929.13294048712</v>
      </c>
      <c r="H80" s="180">
        <v>681088.40412679804</v>
      </c>
      <c r="I80" s="863">
        <f t="shared" si="3"/>
        <v>247962670</v>
      </c>
      <c r="J80" s="3162">
        <v>171294293</v>
      </c>
      <c r="K80" s="180">
        <v>76668377</v>
      </c>
      <c r="L80" s="3184">
        <f t="shared" si="4"/>
        <v>137832065</v>
      </c>
      <c r="M80" s="180">
        <v>126688788</v>
      </c>
      <c r="N80" s="3162">
        <v>11143277</v>
      </c>
      <c r="O80" s="2058">
        <v>9742129</v>
      </c>
      <c r="P80" s="2057">
        <v>3.1301999999999901</v>
      </c>
    </row>
    <row r="81" spans="1:16">
      <c r="A81" s="1872">
        <f t="shared" si="5"/>
        <v>2008.4</v>
      </c>
      <c r="B81" s="181">
        <f t="shared" si="1"/>
        <v>12853563.428287048</v>
      </c>
      <c r="C81" s="3162">
        <v>10107911</v>
      </c>
      <c r="D81" s="180">
        <v>2745652.4282870488</v>
      </c>
      <c r="E81" s="3184">
        <f t="shared" si="2"/>
        <v>9921007.9981663134</v>
      </c>
      <c r="F81" s="180">
        <v>9229489</v>
      </c>
      <c r="G81" s="3162">
        <v>691518.99816631281</v>
      </c>
      <c r="H81" s="180">
        <v>980822.94960387342</v>
      </c>
      <c r="I81" s="863">
        <f t="shared" si="3"/>
        <v>237353517</v>
      </c>
      <c r="J81" s="3162">
        <v>166004190</v>
      </c>
      <c r="K81" s="180">
        <v>71349327</v>
      </c>
      <c r="L81" s="3184">
        <f t="shared" si="4"/>
        <v>141000992</v>
      </c>
      <c r="M81" s="180">
        <v>130134059</v>
      </c>
      <c r="N81" s="3162">
        <v>10866933</v>
      </c>
      <c r="O81" s="2058">
        <v>12924645</v>
      </c>
      <c r="P81" s="2057">
        <v>3.4537</v>
      </c>
    </row>
    <row r="82" spans="1:16">
      <c r="A82" s="1872">
        <f t="shared" si="5"/>
        <v>2009.1</v>
      </c>
      <c r="B82" s="181">
        <f t="shared" si="1"/>
        <v>12847767.443414461</v>
      </c>
      <c r="C82" s="3162">
        <f>10585607.2532627+84.2495114828411</f>
        <v>10585691.502774183</v>
      </c>
      <c r="D82" s="180">
        <v>2262075.9406402772</v>
      </c>
      <c r="E82" s="3184">
        <f t="shared" si="2"/>
        <v>9473766.1987274811</v>
      </c>
      <c r="F82" s="180">
        <f>9071563.29759356+1658.15652423057</f>
        <v>9073221.4541177899</v>
      </c>
      <c r="G82" s="3162">
        <v>400544.74460969109</v>
      </c>
      <c r="H82" s="180">
        <v>855996.68541391334</v>
      </c>
      <c r="I82" s="863">
        <f t="shared" si="3"/>
        <v>247679242</v>
      </c>
      <c r="J82" s="3162">
        <f>171064888+1080513</f>
        <v>172145401</v>
      </c>
      <c r="K82" s="180">
        <v>75533841</v>
      </c>
      <c r="L82" s="3184">
        <f t="shared" si="4"/>
        <v>141761458</v>
      </c>
      <c r="M82" s="180">
        <f>132203526+289699</f>
        <v>132493225</v>
      </c>
      <c r="N82" s="3162">
        <v>9268233</v>
      </c>
      <c r="O82" s="2058">
        <v>12091994</v>
      </c>
      <c r="P82" s="2057">
        <v>3.71349999999999</v>
      </c>
    </row>
    <row r="83" spans="1:16">
      <c r="A83" s="1872">
        <f t="shared" si="5"/>
        <v>2009.2</v>
      </c>
      <c r="B83" s="181">
        <f t="shared" si="1"/>
        <v>13918958.851633295</v>
      </c>
      <c r="C83" s="3162">
        <f>11428584.1237766+406.810875004645</f>
        <v>11428990.934651604</v>
      </c>
      <c r="D83" s="180">
        <v>2489967.9169816906</v>
      </c>
      <c r="E83" s="3184">
        <f t="shared" si="2"/>
        <v>9398138.0535042081</v>
      </c>
      <c r="F83" s="180">
        <f>9027058.15739694+1908.42630145224</f>
        <v>9028966.5836983919</v>
      </c>
      <c r="G83" s="3162">
        <v>369171.46980581636</v>
      </c>
      <c r="H83" s="180">
        <v>948464.8542923443</v>
      </c>
      <c r="I83" s="863">
        <f t="shared" si="3"/>
        <v>255020777</v>
      </c>
      <c r="J83" s="3162">
        <f>177397742+1261482</f>
        <v>178659224</v>
      </c>
      <c r="K83" s="180">
        <v>76361553</v>
      </c>
      <c r="L83" s="3184">
        <f t="shared" si="4"/>
        <v>146821780</v>
      </c>
      <c r="M83" s="180">
        <f>135212454+272348</f>
        <v>135484802</v>
      </c>
      <c r="N83" s="3162">
        <v>11336978</v>
      </c>
      <c r="O83" s="2058">
        <v>12290355</v>
      </c>
      <c r="P83" s="2057">
        <v>3.7951999999999901</v>
      </c>
    </row>
    <row r="84" spans="1:16">
      <c r="A84" s="1872">
        <f t="shared" si="5"/>
        <v>2009.3</v>
      </c>
      <c r="B84" s="181">
        <f t="shared" si="1"/>
        <v>14191683.928449403</v>
      </c>
      <c r="C84" s="3162">
        <f>11796421.4364778+65.5796037366596</f>
        <v>11796487.016081538</v>
      </c>
      <c r="D84" s="180">
        <v>2395196.9123678659</v>
      </c>
      <c r="E84" s="3184">
        <f t="shared" si="2"/>
        <v>9400131.2523862757</v>
      </c>
      <c r="F84" s="180">
        <f>9088559.73205634+867.126702792058</f>
        <v>9089426.8587591331</v>
      </c>
      <c r="G84" s="3162">
        <v>310704.39362714323</v>
      </c>
      <c r="H84" s="180">
        <v>787727.10448737501</v>
      </c>
      <c r="I84" s="863">
        <f t="shared" si="3"/>
        <v>267127280</v>
      </c>
      <c r="J84" s="3162">
        <f>183449678+931682</f>
        <v>184381360</v>
      </c>
      <c r="K84" s="180">
        <v>82745920</v>
      </c>
      <c r="L84" s="3184">
        <f t="shared" si="4"/>
        <v>151565301</v>
      </c>
      <c r="M84" s="180">
        <f>134712101+256732</f>
        <v>134968833</v>
      </c>
      <c r="N84" s="3162">
        <v>16596468</v>
      </c>
      <c r="O84" s="2058">
        <v>12042666</v>
      </c>
      <c r="P84" s="2057">
        <v>3.84269999999999</v>
      </c>
    </row>
    <row r="85" spans="1:16">
      <c r="A85" s="1872">
        <f t="shared" si="5"/>
        <v>2009.4</v>
      </c>
      <c r="B85" s="181">
        <f t="shared" si="1"/>
        <v>13896358.168917093</v>
      </c>
      <c r="C85" s="3162">
        <f>12255861.4540784+219.487105228339</f>
        <v>12256080.941183629</v>
      </c>
      <c r="D85" s="180">
        <v>1640277.2277334651</v>
      </c>
      <c r="E85" s="3184">
        <f t="shared" si="2"/>
        <v>10147813.256289346</v>
      </c>
      <c r="F85" s="180">
        <f>9835178.22867809+2578.48286436738</f>
        <v>9837756.7115424573</v>
      </c>
      <c r="G85" s="3162">
        <v>310056.54474688793</v>
      </c>
      <c r="H85" s="180">
        <v>1087268.0416182473</v>
      </c>
      <c r="I85" s="863">
        <f t="shared" si="3"/>
        <v>274453810</v>
      </c>
      <c r="J85" s="3162">
        <f>197370893+1417007</f>
        <v>198787900</v>
      </c>
      <c r="K85" s="180">
        <v>75665910</v>
      </c>
      <c r="L85" s="3184">
        <f t="shared" si="4"/>
        <v>160407137</v>
      </c>
      <c r="M85" s="180">
        <f>142084304+666192</f>
        <v>142750496</v>
      </c>
      <c r="N85" s="3162">
        <v>17656641</v>
      </c>
      <c r="O85" s="2058">
        <v>15562944</v>
      </c>
      <c r="P85" s="2057">
        <v>3.7967</v>
      </c>
    </row>
    <row r="86" spans="1:16">
      <c r="A86" s="1872">
        <f t="shared" si="5"/>
        <v>2010.1</v>
      </c>
      <c r="B86" s="181">
        <f t="shared" si="1"/>
        <v>14582353.905784428</v>
      </c>
      <c r="C86" s="3162">
        <f>12281177.5161082+301.698995933233</f>
        <v>12281479.215104133</v>
      </c>
      <c r="D86" s="180">
        <v>2300874.6906802943</v>
      </c>
      <c r="E86" s="3184">
        <f t="shared" si="2"/>
        <v>10579470.939297017</v>
      </c>
      <c r="F86" s="180">
        <f>10299684.8297117+614.589799019115</f>
        <v>10300299.419510718</v>
      </c>
      <c r="G86" s="3162">
        <v>279171.51978629798</v>
      </c>
      <c r="H86" s="180">
        <v>999595.0217055711</v>
      </c>
      <c r="I86" s="863">
        <f t="shared" si="3"/>
        <v>303797838</v>
      </c>
      <c r="J86" s="3162">
        <f>203342396+1019889</f>
        <v>204362285</v>
      </c>
      <c r="K86" s="180">
        <v>99435553</v>
      </c>
      <c r="L86" s="3184">
        <f t="shared" si="4"/>
        <v>166416109</v>
      </c>
      <c r="M86" s="180">
        <f>146505552+419745</f>
        <v>146925297</v>
      </c>
      <c r="N86" s="3162">
        <v>19490812</v>
      </c>
      <c r="O86" s="2058">
        <v>14923962</v>
      </c>
      <c r="P86" s="2057">
        <v>3.8763000000000001</v>
      </c>
    </row>
    <row r="87" spans="1:16">
      <c r="A87" s="1872">
        <f t="shared" si="5"/>
        <v>2010.2</v>
      </c>
      <c r="B87" s="181">
        <f t="shared" si="1"/>
        <v>16835244.144834742</v>
      </c>
      <c r="C87" s="3162">
        <f>13912485.2158089+123.272102870606</f>
        <v>13912608.48791177</v>
      </c>
      <c r="D87" s="180">
        <v>2922635.6569229704</v>
      </c>
      <c r="E87" s="3184">
        <f t="shared" si="2"/>
        <v>11006738.089440959</v>
      </c>
      <c r="F87" s="180">
        <f>10752102.9463588+134.277377111144</f>
        <v>10752237.223735912</v>
      </c>
      <c r="G87" s="3162">
        <v>254500.86570504704</v>
      </c>
      <c r="H87" s="180">
        <v>895303.42605199316</v>
      </c>
      <c r="I87" s="863">
        <f t="shared" si="3"/>
        <v>341625084</v>
      </c>
      <c r="J87" s="3162">
        <f>218223882+1153998</f>
        <v>219377880</v>
      </c>
      <c r="K87" s="180">
        <v>122247204</v>
      </c>
      <c r="L87" s="3184">
        <f t="shared" si="4"/>
        <v>180752116</v>
      </c>
      <c r="M87" s="180">
        <f>159573151+621494</f>
        <v>160194645</v>
      </c>
      <c r="N87" s="3162">
        <v>20557471</v>
      </c>
      <c r="O87" s="2058">
        <v>14632595</v>
      </c>
      <c r="P87" s="2057">
        <v>3.9318</v>
      </c>
    </row>
    <row r="88" spans="1:16">
      <c r="A88" s="1872">
        <f t="shared" si="5"/>
        <v>2010.3</v>
      </c>
      <c r="B88" s="181">
        <f t="shared" si="1"/>
        <v>18728309.598943103</v>
      </c>
      <c r="C88" s="3162">
        <f>14799899.5951336+368.302678477133</f>
        <v>14800267.897812078</v>
      </c>
      <c r="D88" s="180">
        <v>3928041.7011310267</v>
      </c>
      <c r="E88" s="3184">
        <f t="shared" si="2"/>
        <v>12152947.629677143</v>
      </c>
      <c r="F88" s="180">
        <f>12017412.07935+159.221847761698</f>
        <v>12017571.301197762</v>
      </c>
      <c r="G88" s="3162">
        <v>135376.32847938087</v>
      </c>
      <c r="H88" s="180">
        <v>1102476.6160703285</v>
      </c>
      <c r="I88" s="863">
        <f>J88+M88</f>
        <v>410010650</v>
      </c>
      <c r="J88" s="3162">
        <f>234230941+916501</f>
        <v>235147442</v>
      </c>
      <c r="K88" s="180">
        <v>131758981</v>
      </c>
      <c r="L88" s="3184">
        <f t="shared" si="4"/>
        <v>195581010</v>
      </c>
      <c r="M88" s="180">
        <f>174369682+493526</f>
        <v>174863208</v>
      </c>
      <c r="N88" s="3162">
        <v>20717802</v>
      </c>
      <c r="O88" s="2058">
        <v>15753461</v>
      </c>
      <c r="P88" s="2057">
        <v>3.9607000000000001</v>
      </c>
    </row>
    <row r="89" spans="1:16">
      <c r="A89" s="1872">
        <f t="shared" si="5"/>
        <v>2010.4</v>
      </c>
      <c r="B89" s="181">
        <f t="shared" si="1"/>
        <v>19693618.703896198</v>
      </c>
      <c r="C89" s="3162">
        <f>16017000.2614406+307.501537632352</f>
        <v>16017307.762978232</v>
      </c>
      <c r="D89" s="180">
        <v>3676310.9409179655</v>
      </c>
      <c r="E89" s="3184">
        <f t="shared" si="2"/>
        <v>14338762.99833009</v>
      </c>
      <c r="F89" s="180">
        <v>14202422.338109141</v>
      </c>
      <c r="G89" s="3162">
        <v>136340.66022094979</v>
      </c>
      <c r="H89" s="180">
        <v>844898.95603461214</v>
      </c>
      <c r="I89" s="863">
        <f t="shared" si="3"/>
        <v>382273932</v>
      </c>
      <c r="J89" s="3162">
        <f>255831822+1014569</f>
        <v>256846391</v>
      </c>
      <c r="K89" s="180">
        <v>125427541</v>
      </c>
      <c r="L89" s="3184">
        <f t="shared" si="4"/>
        <v>218123439</v>
      </c>
      <c r="M89" s="180">
        <f>195746155+421550</f>
        <v>196167705</v>
      </c>
      <c r="N89" s="3162">
        <v>21955734</v>
      </c>
      <c r="O89" s="2058">
        <v>14525339.999999998</v>
      </c>
      <c r="P89" s="2057">
        <v>3.9758</v>
      </c>
    </row>
    <row r="90" spans="1:16">
      <c r="A90" s="1872">
        <f t="shared" si="5"/>
        <v>2011.1</v>
      </c>
      <c r="B90" s="181">
        <f>C90+D90</f>
        <v>20352743.523719896</v>
      </c>
      <c r="C90" s="3162">
        <f>16483359.2370578+581.550871775975</f>
        <v>16483940.787929576</v>
      </c>
      <c r="D90" s="180">
        <v>3868802.7357903197</v>
      </c>
      <c r="E90" s="3184">
        <f t="shared" si="2"/>
        <v>15441116.10111125</v>
      </c>
      <c r="F90" s="180">
        <f>15305089.4235456+17.185628742515</f>
        <v>15305106.609174343</v>
      </c>
      <c r="G90" s="3162">
        <v>136009.49193690714</v>
      </c>
      <c r="H90" s="180">
        <v>1386241.2786914615</v>
      </c>
      <c r="I90" s="863">
        <f t="shared" si="3"/>
        <v>422059083</v>
      </c>
      <c r="J90" s="3162">
        <f>270596736+1247877</f>
        <v>271844613</v>
      </c>
      <c r="K90" s="180">
        <v>150214470</v>
      </c>
      <c r="L90" s="3184">
        <f t="shared" si="4"/>
        <v>231931277</v>
      </c>
      <c r="M90" s="180">
        <f>209319993+456174</f>
        <v>209776167</v>
      </c>
      <c r="N90" s="3162">
        <v>22155110</v>
      </c>
      <c r="O90" s="2058">
        <v>20363427</v>
      </c>
      <c r="P90" s="2057">
        <v>4.0519999999999898</v>
      </c>
    </row>
    <row r="91" spans="1:16">
      <c r="A91" s="1872">
        <f t="shared" si="5"/>
        <v>2011.2</v>
      </c>
      <c r="B91" s="181">
        <f t="shared" si="1"/>
        <v>22731133.494245581</v>
      </c>
      <c r="C91" s="3162">
        <f>18914446.8598411+260.738439337921</f>
        <v>18914707.598280437</v>
      </c>
      <c r="D91" s="180">
        <v>3816425.8959651459</v>
      </c>
      <c r="E91" s="3184">
        <f t="shared" si="2"/>
        <v>17076238.625057437</v>
      </c>
      <c r="F91" s="180">
        <f>16945808.6156443+1.38461538461538</f>
        <v>16945810.000259683</v>
      </c>
      <c r="G91" s="3162">
        <v>130428.62479775315</v>
      </c>
      <c r="H91" s="180">
        <v>1367348.8353973054</v>
      </c>
      <c r="I91" s="863">
        <f t="shared" si="3"/>
        <v>459440164</v>
      </c>
      <c r="J91" s="3162">
        <f>296443448+1546537</f>
        <v>297989985</v>
      </c>
      <c r="K91" s="180">
        <v>161450179.00000003</v>
      </c>
      <c r="L91" s="3184">
        <f t="shared" si="4"/>
        <v>261078634</v>
      </c>
      <c r="M91" s="180">
        <f>234888370+601892</f>
        <v>235490262</v>
      </c>
      <c r="N91" s="3162">
        <v>25588372</v>
      </c>
      <c r="O91" s="2058">
        <v>23534584</v>
      </c>
      <c r="P91" s="2057">
        <v>4.11099999999999</v>
      </c>
    </row>
    <row r="92" spans="1:16">
      <c r="A92" s="1872">
        <f t="shared" si="5"/>
        <v>2011.3</v>
      </c>
      <c r="B92" s="181">
        <f t="shared" si="1"/>
        <v>23064567.130770471</v>
      </c>
      <c r="C92" s="3162">
        <f>19324344.0756327+588.687996402006</f>
        <v>19324932.763629101</v>
      </c>
      <c r="D92" s="180">
        <v>3739634.3671413707</v>
      </c>
      <c r="E92" s="3184">
        <f t="shared" si="2"/>
        <v>19478426.936783142</v>
      </c>
      <c r="F92" s="180">
        <f>19347649.7634739+753.331236932591</f>
        <v>19348403.094710831</v>
      </c>
      <c r="G92" s="3162">
        <v>130023.84207231159</v>
      </c>
      <c r="H92" s="180">
        <v>1409864.4711417579</v>
      </c>
      <c r="I92" s="863">
        <f t="shared" si="3"/>
        <v>483322908</v>
      </c>
      <c r="J92" s="3162">
        <f>309942304+1483361</f>
        <v>311425665</v>
      </c>
      <c r="K92" s="180">
        <v>171897243.00000003</v>
      </c>
      <c r="L92" s="3184">
        <f t="shared" si="4"/>
        <v>290879490</v>
      </c>
      <c r="M92" s="180">
        <f>265242094+533445</f>
        <v>265775539</v>
      </c>
      <c r="N92" s="3162">
        <v>25103951</v>
      </c>
      <c r="O92" s="2058">
        <v>22715794</v>
      </c>
      <c r="P92" s="2057">
        <v>4.2045000000000003</v>
      </c>
    </row>
    <row r="93" spans="1:16">
      <c r="A93" s="1872">
        <f t="shared" si="5"/>
        <v>2011.4</v>
      </c>
      <c r="B93" s="181">
        <f t="shared" si="1"/>
        <v>22951257.956339136</v>
      </c>
      <c r="C93" s="3162">
        <f>19646241.5310774+740.338648402532</f>
        <v>19646981.869725801</v>
      </c>
      <c r="D93" s="180">
        <v>3304276.0866133361</v>
      </c>
      <c r="E93" s="3184">
        <f t="shared" si="2"/>
        <v>21023785.887702662</v>
      </c>
      <c r="F93" s="180">
        <f>20907363.1189492+570.599819109048</f>
        <v>20907933.71876831</v>
      </c>
      <c r="G93" s="3162">
        <v>115852.16893435302</v>
      </c>
      <c r="H93" s="180">
        <v>1637935.8898974133</v>
      </c>
      <c r="I93" s="863">
        <f t="shared" si="3"/>
        <v>470984695</v>
      </c>
      <c r="J93" s="3162">
        <f>324274293+2079367</f>
        <v>326353660</v>
      </c>
      <c r="K93" s="180">
        <v>144631035</v>
      </c>
      <c r="L93" s="3184">
        <f t="shared" si="4"/>
        <v>314723184</v>
      </c>
      <c r="M93" s="180">
        <f>286791658+290426</f>
        <v>287082084</v>
      </c>
      <c r="N93" s="3162">
        <v>27641100</v>
      </c>
      <c r="O93" s="2058">
        <v>26217442</v>
      </c>
      <c r="P93" s="2057">
        <v>4.3032000000000004</v>
      </c>
    </row>
    <row r="94" spans="1:16">
      <c r="A94" s="1872">
        <f t="shared" si="5"/>
        <v>2012.1</v>
      </c>
      <c r="B94" s="181">
        <f t="shared" ref="B94:B129" si="6">C94+D94</f>
        <v>23949599.844575953</v>
      </c>
      <c r="C94" s="3162">
        <f>20342646.2134846+271.061186583423</f>
        <v>20342917.274671182</v>
      </c>
      <c r="D94" s="180">
        <v>3606682.5699047698</v>
      </c>
      <c r="E94" s="3184">
        <f t="shared" ref="E94:E129" si="7">F94+G94</f>
        <v>21600382.090082891</v>
      </c>
      <c r="F94" s="180">
        <f>21485767.9705646+442.544053612121</f>
        <v>21486210.51461821</v>
      </c>
      <c r="G94" s="3162">
        <v>114171.57546468206</v>
      </c>
      <c r="H94" s="180">
        <v>1442561.5785591479</v>
      </c>
      <c r="I94" s="863">
        <f t="shared" si="3"/>
        <v>522441247</v>
      </c>
      <c r="J94" s="3162">
        <f>346361584+1534851</f>
        <v>347896435</v>
      </c>
      <c r="K94" s="180">
        <v>174544812</v>
      </c>
      <c r="L94" s="3184">
        <f t="shared" si="4"/>
        <v>328981385</v>
      </c>
      <c r="M94" s="180">
        <f>299427344+497857</f>
        <v>299925201</v>
      </c>
      <c r="N94" s="3162">
        <v>29056184</v>
      </c>
      <c r="O94" s="2058">
        <v>25597983</v>
      </c>
      <c r="P94" s="2057">
        <v>4.3784999999999901</v>
      </c>
    </row>
    <row r="95" spans="1:16">
      <c r="A95" s="1872">
        <f t="shared" si="5"/>
        <v>2012.2</v>
      </c>
      <c r="B95" s="181">
        <f t="shared" si="6"/>
        <v>26091624.040200569</v>
      </c>
      <c r="C95" s="3162">
        <f>22159855.8523574+743.689095949447</f>
        <v>22160599.541453347</v>
      </c>
      <c r="D95" s="180">
        <v>3931024.4987472235</v>
      </c>
      <c r="E95" s="3184">
        <f t="shared" si="7"/>
        <v>22398371.287864387</v>
      </c>
      <c r="F95" s="180">
        <f>22295939.2260098+1598.97428134357</f>
        <v>22297538.200291146</v>
      </c>
      <c r="G95" s="3162">
        <v>100833.08757324234</v>
      </c>
      <c r="H95" s="180">
        <v>1445606.725962504</v>
      </c>
      <c r="I95" s="863">
        <f t="shared" si="3"/>
        <v>548640613</v>
      </c>
      <c r="J95" s="3162">
        <f>364895490+1807573</f>
        <v>366703063</v>
      </c>
      <c r="K95" s="180">
        <v>181937550</v>
      </c>
      <c r="L95" s="3184">
        <f t="shared" si="4"/>
        <v>349470664</v>
      </c>
      <c r="M95" s="180">
        <f>318778971+627722</f>
        <v>319406693</v>
      </c>
      <c r="N95" s="3162">
        <v>30063971.000000004</v>
      </c>
      <c r="O95" s="2058">
        <v>25199158.000000004</v>
      </c>
      <c r="P95" s="2057">
        <v>4.5252999999999899</v>
      </c>
    </row>
    <row r="96" spans="1:16">
      <c r="A96" s="1872">
        <f t="shared" si="5"/>
        <v>2012.3</v>
      </c>
      <c r="B96" s="181">
        <f t="shared" si="6"/>
        <v>26920510.505722456</v>
      </c>
      <c r="C96" s="3162">
        <f>22938698.8676837+734.734286275877</f>
        <v>22939433.601969976</v>
      </c>
      <c r="D96" s="180">
        <v>3981076.9037524783</v>
      </c>
      <c r="E96" s="3184">
        <f t="shared" si="7"/>
        <v>24274588.815723035</v>
      </c>
      <c r="F96" s="180">
        <f>24172921.9526246+2274.53241805292</f>
        <v>24175196.485042654</v>
      </c>
      <c r="G96" s="3162">
        <v>99392.330680381827</v>
      </c>
      <c r="H96" s="180">
        <v>1493967.4983466337</v>
      </c>
      <c r="I96" s="863">
        <f t="shared" si="3"/>
        <v>593590881</v>
      </c>
      <c r="J96" s="3162">
        <f>381490793+1371527</f>
        <v>382862320</v>
      </c>
      <c r="K96" s="180">
        <v>210728561</v>
      </c>
      <c r="L96" s="3184">
        <f t="shared" si="4"/>
        <v>372293841</v>
      </c>
      <c r="M96" s="180">
        <f>339449758+713296</f>
        <v>340163054</v>
      </c>
      <c r="N96" s="3162">
        <v>32130787</v>
      </c>
      <c r="O96" s="2058">
        <v>23217255</v>
      </c>
      <c r="P96" s="2057">
        <v>4.6942000000000004</v>
      </c>
    </row>
    <row r="97" spans="1:16">
      <c r="A97" s="1872">
        <f t="shared" si="5"/>
        <v>2012.4</v>
      </c>
      <c r="B97" s="181">
        <f t="shared" si="6"/>
        <v>28840275.719403207</v>
      </c>
      <c r="C97" s="3162">
        <f>24976682.988288+864.454714706685</f>
        <v>24977547.443002708</v>
      </c>
      <c r="D97" s="180">
        <v>3862728.2764005009</v>
      </c>
      <c r="E97" s="3184">
        <f t="shared" si="7"/>
        <v>27947576.00526477</v>
      </c>
      <c r="F97" s="180">
        <f>27858940.8714433+1572.40257383185</f>
        <v>27860513.274017133</v>
      </c>
      <c r="G97" s="3162">
        <v>87062.731247636315</v>
      </c>
      <c r="H97" s="180">
        <v>2018300.8801810211</v>
      </c>
      <c r="I97" s="863">
        <f t="shared" si="3"/>
        <v>616142228</v>
      </c>
      <c r="J97" s="3162">
        <f>423136011+2347054</f>
        <v>425483065</v>
      </c>
      <c r="K97" s="180">
        <v>190659163</v>
      </c>
      <c r="L97" s="3184">
        <f t="shared" si="4"/>
        <v>413109624</v>
      </c>
      <c r="M97" s="180">
        <f>376538028+683094</f>
        <v>377221122</v>
      </c>
      <c r="N97" s="3162">
        <v>35888502</v>
      </c>
      <c r="O97" s="2058">
        <v>31467362.999999996</v>
      </c>
      <c r="P97" s="2057">
        <v>4.9173</v>
      </c>
    </row>
    <row r="98" spans="1:16">
      <c r="A98" s="1872">
        <f t="shared" si="5"/>
        <v>2013.1</v>
      </c>
      <c r="B98" s="181">
        <f t="shared" si="6"/>
        <v>30423859.648866542</v>
      </c>
      <c r="C98" s="3162">
        <f>25433671.5950305+1078.42970936149</f>
        <v>25434750.024739861</v>
      </c>
      <c r="D98" s="180">
        <v>4989109.6241266802</v>
      </c>
      <c r="E98" s="3184">
        <f t="shared" si="7"/>
        <v>29425479.866416879</v>
      </c>
      <c r="F98" s="180">
        <f>29339393.9741433+1132.02584130942</f>
        <v>29340525.999984611</v>
      </c>
      <c r="G98" s="3162">
        <v>84953.866432267794</v>
      </c>
      <c r="H98" s="180">
        <v>2194428.2283570301</v>
      </c>
      <c r="I98" s="863">
        <f t="shared" si="3"/>
        <v>666517138</v>
      </c>
      <c r="J98" s="3162">
        <f>441684951+909101</f>
        <v>442594052</v>
      </c>
      <c r="K98" s="180">
        <v>223923086</v>
      </c>
      <c r="L98" s="3184">
        <f t="shared" si="4"/>
        <v>428856052</v>
      </c>
      <c r="M98" s="180">
        <f>392029004+666431</f>
        <v>392695435</v>
      </c>
      <c r="N98" s="3162">
        <v>36160617</v>
      </c>
      <c r="O98" s="2058">
        <v>30495188</v>
      </c>
      <c r="P98" s="2057">
        <v>5.1223000000000001</v>
      </c>
    </row>
    <row r="99" spans="1:16">
      <c r="A99" s="1872">
        <f t="shared" si="5"/>
        <v>2013.2</v>
      </c>
      <c r="B99" s="181">
        <f t="shared" si="6"/>
        <v>33900743.200223118</v>
      </c>
      <c r="C99" s="3162">
        <f>28506762.526875+2486.94993174319</f>
        <v>28509249.476806745</v>
      </c>
      <c r="D99" s="180">
        <v>5391493.7234163759</v>
      </c>
      <c r="E99" s="3184">
        <f>F99+G99</f>
        <v>31624573.145354021</v>
      </c>
      <c r="F99" s="180">
        <f>31551689.6437598+1132.02584130942</f>
        <v>31552821.669601109</v>
      </c>
      <c r="G99" s="3162">
        <v>71751.475752914004</v>
      </c>
      <c r="H99" s="180">
        <v>1861601.1132024773</v>
      </c>
      <c r="I99" s="863">
        <f t="shared" si="3"/>
        <v>706467787</v>
      </c>
      <c r="J99" s="3162">
        <f>474232430+974106</f>
        <v>475206536</v>
      </c>
      <c r="K99" s="180">
        <v>231261251</v>
      </c>
      <c r="L99" s="3184">
        <f t="shared" si="4"/>
        <v>459982144</v>
      </c>
      <c r="M99" s="180">
        <f>421911603+711929</f>
        <v>422623532</v>
      </c>
      <c r="N99" s="3162">
        <v>37358612</v>
      </c>
      <c r="O99" s="2058">
        <v>27078974</v>
      </c>
      <c r="P99" s="2057">
        <v>5.3852000000000002</v>
      </c>
    </row>
    <row r="100" spans="1:16">
      <c r="A100" s="1872">
        <f t="shared" si="5"/>
        <v>2013.3</v>
      </c>
      <c r="B100" s="181">
        <f t="shared" si="6"/>
        <v>36421739.506601386</v>
      </c>
      <c r="C100" s="3162">
        <f>30217544.7304921+2625.79531627453</f>
        <v>30220170.525808375</v>
      </c>
      <c r="D100" s="180">
        <v>6201568.9807930104</v>
      </c>
      <c r="E100" s="3184">
        <f t="shared" si="7"/>
        <v>34257612.436453514</v>
      </c>
      <c r="F100" s="180">
        <f>34176886.6509443+4793.33367594847</f>
        <v>34181679.984620251</v>
      </c>
      <c r="G100" s="3162">
        <v>75932.451833260304</v>
      </c>
      <c r="H100" s="180">
        <v>1960519.8448089003</v>
      </c>
      <c r="I100" s="863">
        <f t="shared" si="3"/>
        <v>752131563</v>
      </c>
      <c r="J100" s="3162">
        <f>500101098+1251243</f>
        <v>501352341</v>
      </c>
      <c r="K100" s="180">
        <v>250779222</v>
      </c>
      <c r="L100" s="3184">
        <f t="shared" si="4"/>
        <v>491129341</v>
      </c>
      <c r="M100" s="180">
        <f>453476151+346392</f>
        <v>453822543</v>
      </c>
      <c r="N100" s="3162">
        <v>37306798</v>
      </c>
      <c r="O100" s="2058">
        <v>27500845</v>
      </c>
      <c r="P100" s="2057">
        <v>5.7915000000000001</v>
      </c>
    </row>
    <row r="101" spans="1:16">
      <c r="A101" s="1872">
        <f t="shared" si="5"/>
        <v>2013.4</v>
      </c>
      <c r="B101" s="181">
        <f t="shared" si="6"/>
        <v>37294877.542332053</v>
      </c>
      <c r="C101" s="3162">
        <f>32145082.0682862+2974.745108305</f>
        <v>32148056.813394506</v>
      </c>
      <c r="D101" s="180">
        <v>5146820.7289375504</v>
      </c>
      <c r="E101" s="3184">
        <f t="shared" si="7"/>
        <v>37115471.697590709</v>
      </c>
      <c r="F101" s="180">
        <f>37032818.2071702+3651.64846725506</f>
        <v>37036469.855637461</v>
      </c>
      <c r="G101" s="3162">
        <v>79001.841953250303</v>
      </c>
      <c r="H101" s="180">
        <v>2493684.8106475556</v>
      </c>
      <c r="I101" s="863">
        <f>J101+K101</f>
        <v>777021557</v>
      </c>
      <c r="J101" s="3162">
        <f>540811774+1445137</f>
        <v>542256911</v>
      </c>
      <c r="K101" s="180">
        <v>234764646</v>
      </c>
      <c r="L101" s="3184">
        <f>M101+N101</f>
        <v>537920691</v>
      </c>
      <c r="M101" s="180">
        <f>492894985+726661</f>
        <v>493621646</v>
      </c>
      <c r="N101" s="3162">
        <v>44299045</v>
      </c>
      <c r="O101" s="2058">
        <v>36138756</v>
      </c>
      <c r="P101" s="2057">
        <v>6.51799999999999</v>
      </c>
    </row>
    <row r="102" spans="1:16">
      <c r="A102" s="1872">
        <f t="shared" si="5"/>
        <v>2014.1</v>
      </c>
      <c r="B102" s="181">
        <f t="shared" si="6"/>
        <v>39075542.76679185</v>
      </c>
      <c r="C102" s="3162">
        <f>33267082.1752397+2172.82036308738</f>
        <v>33269254.995602787</v>
      </c>
      <c r="D102" s="180">
        <v>5806287.7711890601</v>
      </c>
      <c r="E102" s="3184">
        <f>F102+G102</f>
        <v>38671373.532402322</v>
      </c>
      <c r="F102" s="180">
        <f>38596638.8615171+3050.6918937432</f>
        <v>38599689.553410843</v>
      </c>
      <c r="G102" s="3162">
        <v>71683.978991481461</v>
      </c>
      <c r="H102" s="180">
        <v>2122261.960544168</v>
      </c>
      <c r="I102" s="863">
        <f t="shared" si="3"/>
        <v>841080659</v>
      </c>
      <c r="J102" s="3162">
        <f>570891576+1496155</f>
        <v>572387731</v>
      </c>
      <c r="K102" s="180">
        <v>268692928</v>
      </c>
      <c r="L102" s="3184">
        <f t="shared" si="4"/>
        <v>552199869</v>
      </c>
      <c r="M102" s="180">
        <f>507275383+350421</f>
        <v>507625804</v>
      </c>
      <c r="N102" s="3162">
        <v>44574065</v>
      </c>
      <c r="O102" s="2058">
        <v>32901965</v>
      </c>
      <c r="P102" s="2057">
        <v>8.0098000000000003</v>
      </c>
    </row>
    <row r="103" spans="1:16">
      <c r="A103" s="1872">
        <f t="shared" si="5"/>
        <v>2014.2</v>
      </c>
      <c r="B103" s="181">
        <f t="shared" si="6"/>
        <v>44162406.809413098</v>
      </c>
      <c r="C103" s="3162">
        <f>38236773.9040589+3041.78140027736</f>
        <v>38239815.685459182</v>
      </c>
      <c r="D103" s="180">
        <v>5922591.123953918</v>
      </c>
      <c r="E103" s="3184">
        <f t="shared" si="7"/>
        <v>39772364.344791718</v>
      </c>
      <c r="F103" s="180">
        <f>39661108.6566828+2333.42358761759</f>
        <v>39663442.080270417</v>
      </c>
      <c r="G103" s="3162">
        <v>108922.26452129819</v>
      </c>
      <c r="H103" s="180">
        <v>2269766.8769866219</v>
      </c>
      <c r="I103" s="863">
        <f t="shared" si="3"/>
        <v>888021150</v>
      </c>
      <c r="J103" s="3162">
        <f>625887369+2106083</f>
        <v>627993452</v>
      </c>
      <c r="K103" s="180">
        <v>260027698</v>
      </c>
      <c r="L103" s="3184">
        <f t="shared" si="4"/>
        <v>571181068</v>
      </c>
      <c r="M103" s="180">
        <f>525081872+760825</f>
        <v>525842697</v>
      </c>
      <c r="N103" s="3162">
        <v>45338371</v>
      </c>
      <c r="O103" s="2058">
        <v>33756331</v>
      </c>
      <c r="P103" s="2057">
        <v>8.1326999999999892</v>
      </c>
    </row>
    <row r="104" spans="1:16">
      <c r="A104" s="1872">
        <f t="shared" si="5"/>
        <v>2014.3</v>
      </c>
      <c r="B104" s="181">
        <f t="shared" si="6"/>
        <v>45058909.949172929</v>
      </c>
      <c r="C104" s="3162">
        <f>38655361.9855806+1637.55856814546</f>
        <v>38656999.544148743</v>
      </c>
      <c r="D104" s="180">
        <v>6401910.4050241839</v>
      </c>
      <c r="E104" s="3184">
        <f t="shared" si="7"/>
        <v>42223423.451547541</v>
      </c>
      <c r="F104" s="180">
        <f>42094366.01298+112.734487828903+2333.42358761759</f>
        <v>42096812.171055451</v>
      </c>
      <c r="G104" s="3162">
        <v>126611.28049208989</v>
      </c>
      <c r="H104" s="180">
        <v>2809458.7428416209</v>
      </c>
      <c r="I104" s="863">
        <f t="shared" si="3"/>
        <v>934853084</v>
      </c>
      <c r="J104" s="3162">
        <f>653046170+1751052</f>
        <v>654797222</v>
      </c>
      <c r="K104" s="180">
        <v>280055862</v>
      </c>
      <c r="L104" s="3184">
        <f t="shared" si="4"/>
        <v>598314725</v>
      </c>
      <c r="M104" s="180">
        <f>551929112+454090</f>
        <v>552383202</v>
      </c>
      <c r="N104" s="3162">
        <v>45931523</v>
      </c>
      <c r="O104" s="2058">
        <v>38184142</v>
      </c>
      <c r="P104" s="2057">
        <v>8.4642999999999908</v>
      </c>
    </row>
    <row r="105" spans="1:16">
      <c r="A105" s="1872">
        <f t="shared" si="5"/>
        <v>2014.4</v>
      </c>
      <c r="B105" s="181">
        <f t="shared" si="6"/>
        <v>48645209.316699237</v>
      </c>
      <c r="C105" s="3162">
        <f>42698058.7414726+5225.15427692143</f>
        <v>42703283.895749524</v>
      </c>
      <c r="D105" s="180">
        <v>5941925.4209497115</v>
      </c>
      <c r="E105" s="3184">
        <f t="shared" si="7"/>
        <v>44757160.348511316</v>
      </c>
      <c r="F105" s="180">
        <f>44661819.1610331+1089.03355258669</f>
        <v>44662908.194585688</v>
      </c>
      <c r="G105" s="3162">
        <v>94252.153925626088</v>
      </c>
      <c r="H105" s="180">
        <v>3177650.6102307779</v>
      </c>
      <c r="I105" s="863">
        <f t="shared" si="3"/>
        <v>1014709735</v>
      </c>
      <c r="J105" s="3162">
        <f>712149015+1392758</f>
        <v>713541773</v>
      </c>
      <c r="K105" s="180">
        <v>301167962</v>
      </c>
      <c r="L105" s="3184">
        <f t="shared" si="4"/>
        <v>638399610</v>
      </c>
      <c r="M105" s="180">
        <f>592658957+367095</f>
        <v>593026052</v>
      </c>
      <c r="N105" s="3162">
        <v>45373558</v>
      </c>
      <c r="O105" s="2058">
        <v>51063319</v>
      </c>
      <c r="P105" s="2057">
        <v>8.5519999999999907</v>
      </c>
    </row>
    <row r="106" spans="1:16">
      <c r="A106" s="1872">
        <f t="shared" si="5"/>
        <v>2015.1</v>
      </c>
      <c r="B106" s="181">
        <f t="shared" si="6"/>
        <v>52905631.004467286</v>
      </c>
      <c r="C106" s="3162">
        <f>45360882.5042985+3295.98683916622</f>
        <v>45364178.491137668</v>
      </c>
      <c r="D106" s="180">
        <v>7541452.5133296186</v>
      </c>
      <c r="E106" s="3184">
        <f t="shared" si="7"/>
        <v>48707549.248961702</v>
      </c>
      <c r="F106" s="180">
        <f>48622195.2262194+256.604861217218</f>
        <v>48622451.831080616</v>
      </c>
      <c r="G106" s="3162">
        <v>85097.417881088288</v>
      </c>
      <c r="H106" s="180">
        <v>2954266.0832827962</v>
      </c>
      <c r="I106" s="863">
        <f t="shared" si="3"/>
        <v>1099918767</v>
      </c>
      <c r="J106" s="3162">
        <f>770797765+1681684</f>
        <v>772479449</v>
      </c>
      <c r="K106" s="180">
        <v>327439318</v>
      </c>
      <c r="L106" s="3184">
        <f t="shared" si="4"/>
        <v>676729770</v>
      </c>
      <c r="M106" s="180">
        <f>622651179+1100034</f>
        <v>623751213</v>
      </c>
      <c r="N106" s="3162">
        <v>52978557</v>
      </c>
      <c r="O106" s="2058">
        <v>45884529</v>
      </c>
      <c r="P106" s="2057">
        <v>8.8196999999999903</v>
      </c>
    </row>
    <row r="107" spans="1:16">
      <c r="A107" s="1872">
        <f t="shared" si="5"/>
        <v>2015.2</v>
      </c>
      <c r="B107" s="181">
        <f t="shared" si="6"/>
        <v>62067850.704023436</v>
      </c>
      <c r="C107" s="3162">
        <f>52211151.0139863+3242.1258575827</f>
        <v>52214393.139843881</v>
      </c>
      <c r="D107" s="180">
        <v>9853457.5641795509</v>
      </c>
      <c r="E107" s="3184">
        <f t="shared" si="7"/>
        <v>52272703.610108599</v>
      </c>
      <c r="F107" s="180">
        <f>51746922.2448672+518.971923732469</f>
        <v>51747441.216790929</v>
      </c>
      <c r="G107" s="3162">
        <v>525262.39331767301</v>
      </c>
      <c r="H107" s="180">
        <v>3100608.8769606403</v>
      </c>
      <c r="I107" s="863">
        <f t="shared" si="3"/>
        <v>1194287349</v>
      </c>
      <c r="J107" s="3162">
        <f>864858625+2085376</f>
        <v>866944001</v>
      </c>
      <c r="K107" s="180">
        <v>327343348</v>
      </c>
      <c r="L107" s="3184">
        <f t="shared" si="4"/>
        <v>730082088</v>
      </c>
      <c r="M107" s="180">
        <f>672993804+2818991</f>
        <v>675812795</v>
      </c>
      <c r="N107" s="3162">
        <v>54269293</v>
      </c>
      <c r="O107" s="2058">
        <v>48422027</v>
      </c>
      <c r="P107" s="2057">
        <v>9.0864999999999903</v>
      </c>
    </row>
    <row r="108" spans="1:16">
      <c r="A108" s="1872">
        <f t="shared" si="5"/>
        <v>2015.3</v>
      </c>
      <c r="B108" s="181">
        <f t="shared" si="6"/>
        <v>63635324.028387427</v>
      </c>
      <c r="C108" s="3162">
        <f>54290718.9595369+2919.1775233472</f>
        <v>54293638.137060247</v>
      </c>
      <c r="D108" s="180">
        <v>9341685.8913271818</v>
      </c>
      <c r="E108" s="3184">
        <f t="shared" si="7"/>
        <v>57228728.974945307</v>
      </c>
      <c r="F108" s="180">
        <f>56660043.4840025+6612.06310519991</f>
        <v>56666655.547107704</v>
      </c>
      <c r="G108" s="3162">
        <v>562073.4278376007</v>
      </c>
      <c r="H108" s="180">
        <v>2658826.3998805159</v>
      </c>
      <c r="I108" s="863">
        <f t="shared" si="3"/>
        <v>1251447859</v>
      </c>
      <c r="J108" s="3162">
        <f>909023623+1540793</f>
        <v>910564416</v>
      </c>
      <c r="K108" s="180">
        <v>340883443</v>
      </c>
      <c r="L108" s="3184">
        <f t="shared" si="4"/>
        <v>773696867</v>
      </c>
      <c r="M108" s="180">
        <f>722796319+456187</f>
        <v>723252506</v>
      </c>
      <c r="N108" s="3162">
        <v>50444361</v>
      </c>
      <c r="O108" s="2058">
        <v>46673937.999999993</v>
      </c>
      <c r="P108" s="2057">
        <v>9.4192</v>
      </c>
    </row>
    <row r="109" spans="1:16">
      <c r="A109" s="1872">
        <f t="shared" si="5"/>
        <v>2015.4</v>
      </c>
      <c r="B109" s="181">
        <f t="shared" si="6"/>
        <v>68863325.837429166</v>
      </c>
      <c r="C109" s="3162">
        <f>62034063.560939+2891.28489375808</f>
        <v>62036954.845832758</v>
      </c>
      <c r="D109" s="180">
        <v>6826370.9915964101</v>
      </c>
      <c r="E109" s="3184">
        <f t="shared" si="7"/>
        <v>63496443.726997368</v>
      </c>
      <c r="F109" s="180">
        <f>63410357.3239343+7947.75934594197</f>
        <v>63418305.083280243</v>
      </c>
      <c r="G109" s="3162">
        <v>78138.643717125771</v>
      </c>
      <c r="H109" s="180">
        <v>4072558.2176210135</v>
      </c>
      <c r="I109" s="863">
        <f t="shared" si="3"/>
        <v>1387840817</v>
      </c>
      <c r="J109" s="3162">
        <f>1048727719+2153194</f>
        <v>1050880913</v>
      </c>
      <c r="K109" s="180">
        <v>336959904</v>
      </c>
      <c r="L109" s="3184">
        <f t="shared" si="4"/>
        <v>875925037</v>
      </c>
      <c r="M109" s="180">
        <f>812732000+300025</f>
        <v>813032025</v>
      </c>
      <c r="N109" s="3162">
        <v>62893012</v>
      </c>
      <c r="O109" s="2058">
        <v>73453133</v>
      </c>
      <c r="P109" s="2057">
        <v>13.005000000000001</v>
      </c>
    </row>
    <row r="110" spans="1:16">
      <c r="A110" s="1872">
        <f t="shared" si="5"/>
        <v>2016.1</v>
      </c>
      <c r="B110" s="181">
        <f t="shared" si="6"/>
        <v>80282788.385360539</v>
      </c>
      <c r="C110" s="3162">
        <f>67670758.5810491+5185.85581527518</f>
        <v>67675944.436864376</v>
      </c>
      <c r="D110" s="180">
        <v>12606843.948496163</v>
      </c>
      <c r="E110" s="3184">
        <f t="shared" si="7"/>
        <v>65984829.67689079</v>
      </c>
      <c r="F110" s="180">
        <f>65185654.4950392+8517.74476172131</f>
        <v>65194172.239800923</v>
      </c>
      <c r="G110" s="3162">
        <v>790657.4370898701</v>
      </c>
      <c r="H110" s="180">
        <v>3573111.9994604765</v>
      </c>
      <c r="I110" s="863">
        <f t="shared" ref="I110:I129" si="8">J110+K110</f>
        <v>1479443852</v>
      </c>
      <c r="J110" s="3162">
        <f>1106851829+2110925</f>
        <v>1108962754</v>
      </c>
      <c r="K110" s="180">
        <v>370481098.00000006</v>
      </c>
      <c r="L110" s="3184">
        <f t="shared" ref="L110:L129" si="9">M110+N110</f>
        <v>892713490</v>
      </c>
      <c r="M110" s="180">
        <f>831277243+675198</f>
        <v>831952441</v>
      </c>
      <c r="N110" s="3162">
        <v>60761049</v>
      </c>
      <c r="O110" s="2058">
        <v>70037557</v>
      </c>
      <c r="P110" s="2057">
        <v>14.5817</v>
      </c>
    </row>
    <row r="111" spans="1:16">
      <c r="A111" s="1872">
        <f t="shared" si="5"/>
        <v>2016.2</v>
      </c>
      <c r="B111" s="181">
        <f t="shared" si="6"/>
        <v>92804924.372775212</v>
      </c>
      <c r="C111" s="3162">
        <f>77370026.6360943+4974.58182051843</f>
        <v>77375001.21791482</v>
      </c>
      <c r="D111" s="180">
        <v>15429923.154860398</v>
      </c>
      <c r="E111" s="3184">
        <f t="shared" si="7"/>
        <v>70146204.256903112</v>
      </c>
      <c r="F111" s="180">
        <f>69353623.0897801+1580.34069283001</f>
        <v>69355203.43047294</v>
      </c>
      <c r="G111" s="3162">
        <v>791000.82643016987</v>
      </c>
      <c r="H111" s="180">
        <v>3368828.8634150024</v>
      </c>
      <c r="I111" s="863">
        <f t="shared" si="8"/>
        <v>1608113530</v>
      </c>
      <c r="J111" s="3162">
        <f>1183328995+2579638</f>
        <v>1185908633</v>
      </c>
      <c r="K111" s="180">
        <v>422204897</v>
      </c>
      <c r="L111" s="3184">
        <f t="shared" si="9"/>
        <v>958609127</v>
      </c>
      <c r="M111" s="180">
        <f>889843756+834527</f>
        <v>890678283</v>
      </c>
      <c r="N111" s="3162">
        <v>67930844</v>
      </c>
      <c r="O111" s="2058">
        <v>63294685</v>
      </c>
      <c r="P111" s="2057">
        <v>14.92</v>
      </c>
    </row>
    <row r="112" spans="1:16">
      <c r="A112" s="1872">
        <f t="shared" si="5"/>
        <v>2016.3</v>
      </c>
      <c r="B112" s="181">
        <f t="shared" si="6"/>
        <v>99313167.300612926</v>
      </c>
      <c r="C112" s="3162">
        <f>83321286.3121982+5164.91050772078</f>
        <v>83326451.22270593</v>
      </c>
      <c r="D112" s="180">
        <v>15986716.07790699</v>
      </c>
      <c r="E112" s="3184">
        <f t="shared" si="7"/>
        <v>73617117.830232427</v>
      </c>
      <c r="F112" s="180">
        <f>72869940.6335063+6966.96274383167</f>
        <v>72876907.596250132</v>
      </c>
      <c r="G112" s="3162">
        <v>740210.23398229224</v>
      </c>
      <c r="H112" s="180">
        <v>3762652.1779257562</v>
      </c>
      <c r="I112" s="863">
        <f t="shared" si="8"/>
        <v>1661746371</v>
      </c>
      <c r="J112" s="3162">
        <f>1247342540+3720677</f>
        <v>1251063217</v>
      </c>
      <c r="K112" s="180">
        <v>410683154</v>
      </c>
      <c r="L112" s="3184">
        <f t="shared" si="9"/>
        <v>1015359965</v>
      </c>
      <c r="M112" s="180">
        <f>947264340+1318451</f>
        <v>948582791</v>
      </c>
      <c r="N112" s="3162">
        <v>66777174</v>
      </c>
      <c r="O112" s="2058">
        <v>65495865</v>
      </c>
      <c r="P112" s="2057">
        <v>15.2632999999999</v>
      </c>
    </row>
    <row r="113" spans="1:16">
      <c r="A113" s="1872">
        <f t="shared" si="5"/>
        <v>2016.4</v>
      </c>
      <c r="B113" s="181">
        <f t="shared" si="6"/>
        <v>115001208.82813765</v>
      </c>
      <c r="C113" s="3162">
        <f>99286107.9424592+5287.70945636909</f>
        <v>99291395.651915565</v>
      </c>
      <c r="D113" s="180">
        <v>15709813.176222084</v>
      </c>
      <c r="E113" s="3184">
        <f t="shared" si="7"/>
        <v>83524037.994382203</v>
      </c>
      <c r="F113" s="180">
        <f>83383462.7159692+7575.58112636431</f>
        <v>83391038.297095567</v>
      </c>
      <c r="G113" s="3162">
        <v>132999.69728663226</v>
      </c>
      <c r="H113" s="180">
        <v>5145824.1611116873</v>
      </c>
      <c r="I113" s="863">
        <f t="shared" si="8"/>
        <v>1988654637</v>
      </c>
      <c r="J113" s="3162">
        <f>1510069447+3471631</f>
        <v>1513541078</v>
      </c>
      <c r="K113" s="180">
        <v>475113559</v>
      </c>
      <c r="L113" s="3184">
        <f t="shared" si="9"/>
        <v>1106277275</v>
      </c>
      <c r="M113" s="180">
        <f>1060617509+1674010</f>
        <v>1062291519</v>
      </c>
      <c r="N113" s="3162">
        <v>43985756.000000007</v>
      </c>
      <c r="O113" s="2058">
        <v>120652599</v>
      </c>
      <c r="P113" s="2057">
        <v>15.8501999999999</v>
      </c>
    </row>
    <row r="114" spans="1:16">
      <c r="A114" s="1872">
        <f t="shared" si="5"/>
        <v>2017.1</v>
      </c>
      <c r="B114" s="181">
        <f t="shared" si="6"/>
        <v>127346480.25499913</v>
      </c>
      <c r="C114" s="3162">
        <v>101412850.92552426</v>
      </c>
      <c r="D114" s="180">
        <v>25933629.329474874</v>
      </c>
      <c r="E114" s="3184">
        <f t="shared" si="7"/>
        <v>89048280.600410506</v>
      </c>
      <c r="F114" s="180">
        <v>88756896.855190009</v>
      </c>
      <c r="G114" s="3162">
        <v>291383.74522050406</v>
      </c>
      <c r="H114" s="180">
        <v>4673179.7441787161</v>
      </c>
      <c r="I114" s="863">
        <f t="shared" si="8"/>
        <v>2172185034</v>
      </c>
      <c r="J114" s="3162">
        <v>1536274828</v>
      </c>
      <c r="K114" s="180">
        <v>635910206</v>
      </c>
      <c r="L114" s="3184">
        <f t="shared" si="9"/>
        <v>1161680536</v>
      </c>
      <c r="M114" s="180">
        <v>1122833152</v>
      </c>
      <c r="N114" s="3162">
        <v>38847384</v>
      </c>
      <c r="O114" s="2058">
        <v>112141602</v>
      </c>
      <c r="P114" s="2057">
        <v>15.3818</v>
      </c>
    </row>
    <row r="115" spans="1:16">
      <c r="A115" s="1872">
        <f t="shared" si="5"/>
        <v>2017.2</v>
      </c>
      <c r="B115" s="181">
        <f t="shared" si="6"/>
        <v>135970136.33301803</v>
      </c>
      <c r="C115" s="3162">
        <v>111221805.70265301</v>
      </c>
      <c r="D115" s="180">
        <v>24748330.630365029</v>
      </c>
      <c r="E115" s="3184">
        <f t="shared" si="7"/>
        <v>95908609.212760165</v>
      </c>
      <c r="F115" s="180">
        <v>95613170.689912349</v>
      </c>
      <c r="G115" s="3162">
        <v>295438.52284782275</v>
      </c>
      <c r="H115" s="180">
        <v>5255639.6790866535</v>
      </c>
      <c r="I115" s="863">
        <f t="shared" si="8"/>
        <v>2173114507</v>
      </c>
      <c r="J115" s="3162">
        <v>1644529544.0000002</v>
      </c>
      <c r="K115" s="180">
        <v>528584962.99999994</v>
      </c>
      <c r="L115" s="3184">
        <f t="shared" si="9"/>
        <v>1288479115</v>
      </c>
      <c r="M115" s="180">
        <v>1251806144</v>
      </c>
      <c r="N115" s="3162">
        <v>36672971</v>
      </c>
      <c r="O115" s="2058">
        <v>93238465</v>
      </c>
      <c r="P115" s="2057">
        <v>16.598500000000001</v>
      </c>
    </row>
    <row r="116" spans="1:16">
      <c r="A116" s="1872">
        <f t="shared" si="5"/>
        <v>2017.3</v>
      </c>
      <c r="B116" s="181">
        <f t="shared" si="6"/>
        <v>138932636.70755723</v>
      </c>
      <c r="C116" s="3162">
        <v>114629762.10545391</v>
      </c>
      <c r="D116" s="180">
        <v>24302874.602103312</v>
      </c>
      <c r="E116" s="3184">
        <f t="shared" si="7"/>
        <v>110353018.87437564</v>
      </c>
      <c r="F116" s="180">
        <v>109357877.01932335</v>
      </c>
      <c r="G116" s="3162">
        <v>995141.85505229072</v>
      </c>
      <c r="H116" s="180">
        <v>5590110.9819066199</v>
      </c>
      <c r="I116" s="863">
        <f t="shared" si="8"/>
        <v>2294915295</v>
      </c>
      <c r="J116" s="3162">
        <v>1713898709</v>
      </c>
      <c r="K116" s="180">
        <v>581016586</v>
      </c>
      <c r="L116" s="3184">
        <f t="shared" si="9"/>
        <v>1452570194</v>
      </c>
      <c r="M116" s="180">
        <v>1418377060</v>
      </c>
      <c r="N116" s="3162">
        <v>34193134</v>
      </c>
      <c r="O116" s="2058">
        <v>92421238</v>
      </c>
      <c r="P116" s="2057">
        <v>17.318300000000001</v>
      </c>
    </row>
    <row r="117" spans="1:16">
      <c r="A117" s="1872">
        <f t="shared" si="5"/>
        <v>2017.4</v>
      </c>
      <c r="B117" s="181">
        <f>C117+D117</f>
        <v>149446478.77519566</v>
      </c>
      <c r="C117" s="3162">
        <v>129653020.23765101</v>
      </c>
      <c r="D117" s="180">
        <v>19793458.537544642</v>
      </c>
      <c r="E117" s="3184">
        <f t="shared" si="7"/>
        <v>126880560.64647692</v>
      </c>
      <c r="F117" s="180">
        <v>126672908.11299083</v>
      </c>
      <c r="G117" s="3162">
        <v>207652.53348609898</v>
      </c>
      <c r="H117" s="180">
        <v>7065203.3929790324</v>
      </c>
      <c r="I117" s="863">
        <f t="shared" si="8"/>
        <v>2578876834</v>
      </c>
      <c r="J117" s="3162">
        <v>1960474335</v>
      </c>
      <c r="K117" s="180">
        <v>618402499</v>
      </c>
      <c r="L117" s="3184">
        <f t="shared" si="9"/>
        <v>1642600434.0000002</v>
      </c>
      <c r="M117" s="180">
        <v>1612860766.0000002</v>
      </c>
      <c r="N117" s="3162">
        <v>29739668</v>
      </c>
      <c r="O117" s="2058">
        <v>132988897</v>
      </c>
      <c r="P117" s="2057">
        <v>18.7742</v>
      </c>
    </row>
    <row r="118" spans="1:16" s="301" customFormat="1">
      <c r="A118" s="1872">
        <f t="shared" si="5"/>
        <v>2018.1</v>
      </c>
      <c r="B118" s="181">
        <f t="shared" si="6"/>
        <v>153472177.07733613</v>
      </c>
      <c r="C118" s="3162">
        <v>132887153.74676831</v>
      </c>
      <c r="D118" s="180">
        <v>20585023.330567818</v>
      </c>
      <c r="E118" s="3184">
        <f t="shared" si="7"/>
        <v>137628821.08098099</v>
      </c>
      <c r="F118" s="180">
        <v>137393362.27946123</v>
      </c>
      <c r="G118" s="3162">
        <v>235458.80151974154</v>
      </c>
      <c r="H118" s="180">
        <v>6948093.407279701</v>
      </c>
      <c r="I118" s="863">
        <f t="shared" si="8"/>
        <v>2836521020</v>
      </c>
      <c r="J118" s="3162">
        <v>2026693101.0000002</v>
      </c>
      <c r="K118" s="180">
        <v>809827919</v>
      </c>
      <c r="L118" s="3184">
        <f t="shared" si="9"/>
        <v>1783697559.0000002</v>
      </c>
      <c r="M118" s="180">
        <v>1754509527.0000002</v>
      </c>
      <c r="N118" s="3162">
        <v>29188032</v>
      </c>
      <c r="O118" s="2058">
        <v>127836559</v>
      </c>
      <c r="P118" s="2057">
        <v>20.1433</v>
      </c>
    </row>
    <row r="119" spans="1:16">
      <c r="A119" s="1872">
        <f t="shared" si="5"/>
        <v>2018.2</v>
      </c>
      <c r="B119" s="181">
        <f t="shared" si="6"/>
        <v>183488649.89920896</v>
      </c>
      <c r="C119" s="3162">
        <f>157400397.730255+11043.9140658636</f>
        <v>157411441.64432088</v>
      </c>
      <c r="D119" s="180">
        <v>26077208.254888099</v>
      </c>
      <c r="E119" s="3184">
        <f>F119+G119</f>
        <v>167255925.48078871</v>
      </c>
      <c r="F119" s="180">
        <v>166811468.575701</v>
      </c>
      <c r="G119" s="3162">
        <v>444456.90508769703</v>
      </c>
      <c r="H119" s="180">
        <v>7223077.6569863297</v>
      </c>
      <c r="I119" s="863">
        <f t="shared" si="8"/>
        <v>3324135399</v>
      </c>
      <c r="J119" s="3162">
        <f>2384085380+23530172</f>
        <v>2407615552</v>
      </c>
      <c r="K119" s="180">
        <v>916519847</v>
      </c>
      <c r="L119" s="3184">
        <f t="shared" si="9"/>
        <v>2042608244</v>
      </c>
      <c r="M119" s="180">
        <f>2008661542+2730745</f>
        <v>2011392287</v>
      </c>
      <c r="N119" s="3162">
        <v>31215957</v>
      </c>
      <c r="O119" s="2058">
        <v>146430375</v>
      </c>
      <c r="P119" s="2057">
        <v>28.861699999999999</v>
      </c>
    </row>
    <row r="120" spans="1:16">
      <c r="A120" s="1872">
        <f t="shared" si="5"/>
        <v>2018.3</v>
      </c>
      <c r="B120" s="181">
        <f t="shared" si="6"/>
        <v>205036263.99408653</v>
      </c>
      <c r="C120" s="3162">
        <v>177339996.29581702</v>
      </c>
      <c r="D120" s="180">
        <v>27696267.698269527</v>
      </c>
      <c r="E120" s="3184">
        <f t="shared" si="7"/>
        <v>180963288.06057227</v>
      </c>
      <c r="F120" s="180">
        <v>180559512.42434791</v>
      </c>
      <c r="G120" s="3162">
        <v>403775.63622435613</v>
      </c>
      <c r="H120" s="180">
        <v>9078555.8342444189</v>
      </c>
      <c r="I120" s="863">
        <f t="shared" si="8"/>
        <v>3948760374</v>
      </c>
      <c r="J120" s="3162">
        <v>2854540869</v>
      </c>
      <c r="K120" s="180">
        <v>1094219505</v>
      </c>
      <c r="L120" s="3184">
        <f t="shared" si="9"/>
        <v>2267515046</v>
      </c>
      <c r="M120" s="180">
        <v>2236618259</v>
      </c>
      <c r="N120" s="3162">
        <v>30896787</v>
      </c>
      <c r="O120" s="2058">
        <v>192445337</v>
      </c>
      <c r="P120" s="2057">
        <v>40.896700000000003</v>
      </c>
    </row>
    <row r="121" spans="1:16">
      <c r="A121" s="1872">
        <f t="shared" si="5"/>
        <v>2018.4</v>
      </c>
      <c r="B121" s="181">
        <f t="shared" si="6"/>
        <v>224508523.37625727</v>
      </c>
      <c r="C121" s="3162">
        <v>193270700.242457</v>
      </c>
      <c r="D121" s="180">
        <v>31237823.133800268</v>
      </c>
      <c r="E121" s="3184">
        <f t="shared" si="7"/>
        <v>173455016.97612548</v>
      </c>
      <c r="F121" s="180">
        <v>173072971.2466155</v>
      </c>
      <c r="G121" s="3162">
        <v>382045.72950999241</v>
      </c>
      <c r="H121" s="180">
        <v>9907454.1388376392</v>
      </c>
      <c r="I121" s="863">
        <f t="shared" si="8"/>
        <v>4201097633</v>
      </c>
      <c r="J121" s="3162">
        <v>3163106118</v>
      </c>
      <c r="K121" s="180">
        <v>1037991515</v>
      </c>
      <c r="L121" s="3184">
        <f t="shared" si="9"/>
        <v>2181123709</v>
      </c>
      <c r="M121" s="180">
        <v>2151073991</v>
      </c>
      <c r="N121" s="3162">
        <v>30049718</v>
      </c>
      <c r="O121" s="2058">
        <v>306385891</v>
      </c>
      <c r="P121" s="2057">
        <v>37.808300000000003</v>
      </c>
    </row>
    <row r="122" spans="1:16">
      <c r="A122" s="1872">
        <f t="shared" si="5"/>
        <v>2019.1</v>
      </c>
      <c r="B122" s="181">
        <f t="shared" si="6"/>
        <v>240413916.55221501</v>
      </c>
      <c r="C122" s="3162">
        <v>210144599.67193446</v>
      </c>
      <c r="D122" s="180">
        <v>30269316.880280551</v>
      </c>
      <c r="E122" s="3184">
        <f t="shared" si="7"/>
        <v>178425677.57189858</v>
      </c>
      <c r="F122" s="180">
        <v>178073371.68210903</v>
      </c>
      <c r="G122" s="3162">
        <v>352305.88978953881</v>
      </c>
      <c r="H122" s="180">
        <v>8638174.2691452391</v>
      </c>
      <c r="I122" s="863">
        <f t="shared" si="8"/>
        <v>4493650812</v>
      </c>
      <c r="J122" s="3162">
        <v>3514537702</v>
      </c>
      <c r="K122" s="180">
        <v>979113110</v>
      </c>
      <c r="L122" s="3184">
        <f t="shared" si="9"/>
        <v>2247348047.9999995</v>
      </c>
      <c r="M122" s="180">
        <v>2219059957.9999995</v>
      </c>
      <c r="N122" s="3162">
        <v>28288090</v>
      </c>
      <c r="O122" s="2058">
        <v>272369205</v>
      </c>
      <c r="P122" s="2057">
        <v>43.353299999999997</v>
      </c>
    </row>
    <row r="123" spans="1:16">
      <c r="A123" s="1872">
        <f t="shared" si="5"/>
        <v>2019.2</v>
      </c>
      <c r="B123" s="181">
        <f t="shared" si="6"/>
        <v>266179624.73180771</v>
      </c>
      <c r="C123" s="3162">
        <v>236265626.49866071</v>
      </c>
      <c r="D123" s="180">
        <v>29913998.23314698</v>
      </c>
      <c r="E123" s="3184">
        <f t="shared" si="7"/>
        <v>174971353.81814757</v>
      </c>
      <c r="F123" s="180">
        <v>174092815.08166873</v>
      </c>
      <c r="G123" s="3162">
        <v>878538.73647883534</v>
      </c>
      <c r="H123" s="180">
        <v>8614778.1747847162</v>
      </c>
      <c r="I123" s="863">
        <f t="shared" si="8"/>
        <v>4656399798</v>
      </c>
      <c r="J123" s="3162">
        <v>3755354029</v>
      </c>
      <c r="K123" s="180">
        <v>901045769</v>
      </c>
      <c r="L123" s="3184">
        <f t="shared" si="9"/>
        <v>2243927890</v>
      </c>
      <c r="M123" s="180">
        <v>2213786300</v>
      </c>
      <c r="N123" s="3162">
        <v>30141589.999999996</v>
      </c>
      <c r="O123" s="2058">
        <v>245893334</v>
      </c>
      <c r="P123" s="2057">
        <v>42.448300000000003</v>
      </c>
    </row>
    <row r="124" spans="1:16">
      <c r="A124" s="1872">
        <f t="shared" si="5"/>
        <v>2019.3</v>
      </c>
      <c r="B124" s="181">
        <f t="shared" si="6"/>
        <v>271787996.18333483</v>
      </c>
      <c r="C124" s="3162">
        <v>239422109.33539972</v>
      </c>
      <c r="D124" s="180">
        <v>32365886.84793511</v>
      </c>
      <c r="E124" s="3184">
        <f t="shared" si="7"/>
        <v>202962228.40727454</v>
      </c>
      <c r="F124" s="180">
        <v>202414962.38200682</v>
      </c>
      <c r="G124" s="3162">
        <v>547266.0252677073</v>
      </c>
      <c r="H124" s="180">
        <v>13854787.592490651</v>
      </c>
      <c r="I124" s="863">
        <f t="shared" si="8"/>
        <v>4705436948</v>
      </c>
      <c r="J124" s="3162">
        <v>3734226819.0000005</v>
      </c>
      <c r="K124" s="180">
        <v>971210129</v>
      </c>
      <c r="L124" s="3184">
        <f t="shared" si="9"/>
        <v>2463416382</v>
      </c>
      <c r="M124" s="180">
        <v>2429806670</v>
      </c>
      <c r="N124" s="3162">
        <v>33609712</v>
      </c>
      <c r="O124" s="2058">
        <v>310351481</v>
      </c>
      <c r="P124" s="2057">
        <v>57.558300000000003</v>
      </c>
    </row>
    <row r="125" spans="1:16">
      <c r="A125" s="1872">
        <f t="shared" si="5"/>
        <v>2019.4</v>
      </c>
      <c r="B125" s="181">
        <f t="shared" si="6"/>
        <v>285378137.7077353</v>
      </c>
      <c r="C125" s="3162">
        <v>250383668.78165802</v>
      </c>
      <c r="D125" s="180">
        <v>34994468.926077269</v>
      </c>
      <c r="E125" s="3184">
        <f t="shared" si="7"/>
        <v>204308929.20529664</v>
      </c>
      <c r="F125" s="180">
        <v>203785367.31383529</v>
      </c>
      <c r="G125" s="3162">
        <v>523561.89146133838</v>
      </c>
      <c r="H125" s="180">
        <v>17668192.143961251</v>
      </c>
      <c r="I125" s="863">
        <f t="shared" si="8"/>
        <v>5069002965</v>
      </c>
      <c r="J125" s="3162">
        <v>4004278450</v>
      </c>
      <c r="K125" s="180">
        <v>1064724515.0000001</v>
      </c>
      <c r="L125" s="3184">
        <f t="shared" si="9"/>
        <v>2560485520</v>
      </c>
      <c r="M125" s="180">
        <v>2484211127</v>
      </c>
      <c r="N125" s="3162">
        <v>76274393</v>
      </c>
      <c r="O125" s="2058">
        <v>404608248</v>
      </c>
      <c r="P125" s="2057">
        <v>59.895000000000003</v>
      </c>
    </row>
    <row r="126" spans="1:16">
      <c r="A126" s="1872">
        <f t="shared" si="5"/>
        <v>2020.1</v>
      </c>
      <c r="B126" s="181">
        <f t="shared" si="6"/>
        <v>335297553.94999313</v>
      </c>
      <c r="C126" s="3162">
        <v>284827986.2066251</v>
      </c>
      <c r="D126" s="180">
        <v>50469567.743368059</v>
      </c>
      <c r="E126" s="3184">
        <f t="shared" si="7"/>
        <v>206978236.76980266</v>
      </c>
      <c r="F126" s="180">
        <v>206453502.63224131</v>
      </c>
      <c r="G126" s="3162">
        <v>524734.13756134966</v>
      </c>
      <c r="H126" s="180">
        <v>16075743.470623776</v>
      </c>
      <c r="I126" s="863">
        <f t="shared" si="8"/>
        <v>5868785442</v>
      </c>
      <c r="J126" s="3162">
        <v>4709238454</v>
      </c>
      <c r="K126" s="180">
        <v>1159546988</v>
      </c>
      <c r="L126" s="3184">
        <f t="shared" si="9"/>
        <v>2638605385</v>
      </c>
      <c r="M126" s="180">
        <v>2561693461</v>
      </c>
      <c r="N126" s="3162">
        <v>76911924</v>
      </c>
      <c r="O126" s="2058">
        <v>400473356</v>
      </c>
      <c r="P126" s="2057">
        <v>64.469700000000003</v>
      </c>
    </row>
    <row r="127" spans="1:16">
      <c r="A127" s="1872">
        <f t="shared" si="5"/>
        <v>2020.2</v>
      </c>
      <c r="B127" s="181">
        <f t="shared" si="6"/>
        <v>404474559.64724529</v>
      </c>
      <c r="C127" s="3162">
        <v>336323392.33310556</v>
      </c>
      <c r="D127" s="180">
        <v>68151167.314139694</v>
      </c>
      <c r="E127" s="3184">
        <f t="shared" si="7"/>
        <v>234315141.59248117</v>
      </c>
      <c r="F127" s="180">
        <v>228571517.42751828</v>
      </c>
      <c r="G127" s="3162">
        <v>5743624.1649628878</v>
      </c>
      <c r="H127" s="180">
        <v>18607697.612361297</v>
      </c>
      <c r="I127" s="863">
        <f t="shared" si="8"/>
        <v>6947710481</v>
      </c>
      <c r="J127" s="3162">
        <v>5580952422</v>
      </c>
      <c r="K127" s="180">
        <v>1366758059</v>
      </c>
      <c r="L127" s="3184">
        <f t="shared" si="9"/>
        <v>2829809128</v>
      </c>
      <c r="M127" s="180">
        <v>2774775784</v>
      </c>
      <c r="N127" s="3162">
        <v>55033344</v>
      </c>
      <c r="O127" s="2058">
        <v>392366630</v>
      </c>
      <c r="P127" s="2057">
        <v>70.454999999999998</v>
      </c>
    </row>
    <row r="128" spans="1:16">
      <c r="A128" s="1872">
        <f t="shared" si="5"/>
        <v>2020.3</v>
      </c>
      <c r="B128" s="181">
        <f t="shared" si="6"/>
        <v>420146400.29147094</v>
      </c>
      <c r="C128" s="3162">
        <v>343592190.79881501</v>
      </c>
      <c r="D128" s="180">
        <v>76554209.492655948</v>
      </c>
      <c r="E128" s="3184">
        <f t="shared" si="7"/>
        <v>255188545.69622228</v>
      </c>
      <c r="F128" s="180">
        <v>249603510.29164332</v>
      </c>
      <c r="G128" s="3162">
        <v>5585035.4045789409</v>
      </c>
      <c r="H128" s="180">
        <v>16980232.523589257</v>
      </c>
      <c r="I128" s="863">
        <f t="shared" si="8"/>
        <v>7610319234</v>
      </c>
      <c r="J128" s="3162">
        <v>5978626904</v>
      </c>
      <c r="K128" s="180">
        <v>1631692330</v>
      </c>
      <c r="L128" s="3184">
        <f t="shared" si="9"/>
        <v>2986541822</v>
      </c>
      <c r="M128" s="180">
        <v>2935670804</v>
      </c>
      <c r="N128" s="3162">
        <v>50871018</v>
      </c>
      <c r="O128" s="2058">
        <v>366742367</v>
      </c>
      <c r="P128" s="2057">
        <v>76.174999999999997</v>
      </c>
    </row>
    <row r="129" spans="1:16">
      <c r="A129" s="1872">
        <f t="shared" si="5"/>
        <v>2020.4</v>
      </c>
      <c r="B129" s="181">
        <f t="shared" si="6"/>
        <v>464726039.42605883</v>
      </c>
      <c r="C129" s="3162">
        <v>373734693.41945225</v>
      </c>
      <c r="D129" s="180">
        <v>90991346.006606579</v>
      </c>
      <c r="E129" s="3184">
        <f t="shared" si="7"/>
        <v>284439418.506841</v>
      </c>
      <c r="F129" s="180">
        <v>274866631.87877703</v>
      </c>
      <c r="G129" s="3162">
        <v>9572786.6280639749</v>
      </c>
      <c r="H129" s="180">
        <v>28088570.874568835</v>
      </c>
      <c r="I129" s="863">
        <f t="shared" si="8"/>
        <v>8349463731</v>
      </c>
      <c r="J129" s="3162">
        <v>6520626616</v>
      </c>
      <c r="K129" s="180">
        <v>1828837115</v>
      </c>
      <c r="L129" s="3184">
        <f t="shared" si="9"/>
        <v>3292026492</v>
      </c>
      <c r="M129" s="180">
        <v>3225773424</v>
      </c>
      <c r="N129" s="3162">
        <v>66253068</v>
      </c>
      <c r="O129" s="2058">
        <v>582482594</v>
      </c>
      <c r="P129" s="2057">
        <v>84.144999999999996</v>
      </c>
    </row>
    <row r="130" spans="1:16">
      <c r="A130" s="1872">
        <f t="shared" si="5"/>
        <v>2021.1</v>
      </c>
      <c r="B130" s="181">
        <f t="shared" ref="B130:B149" si="10">C130+D130</f>
        <v>498274144.38278592</v>
      </c>
      <c r="C130" s="3162">
        <v>405870044.33781356</v>
      </c>
      <c r="D130" s="180">
        <v>92404100.04497239</v>
      </c>
      <c r="E130" s="3184">
        <f t="shared" ref="E130:E149" si="11">F130+G130</f>
        <v>298904726.25614113</v>
      </c>
      <c r="F130" s="180">
        <v>289055829.2269792</v>
      </c>
      <c r="G130" s="3162">
        <v>9848897.0291619301</v>
      </c>
      <c r="H130" s="180">
        <v>23172289.257177781</v>
      </c>
      <c r="I130" s="863">
        <f t="shared" ref="I130:I149" si="12">J130+K130</f>
        <v>9048061777</v>
      </c>
      <c r="J130" s="3162">
        <v>7105990319</v>
      </c>
      <c r="K130" s="180">
        <v>1942071458</v>
      </c>
      <c r="L130" s="3184">
        <f t="shared" ref="L130:L149" si="13">M130+N130</f>
        <v>3423750712</v>
      </c>
      <c r="M130" s="180">
        <v>3363283611</v>
      </c>
      <c r="N130" s="3162">
        <v>60467101</v>
      </c>
      <c r="O130" s="2058">
        <v>512203028</v>
      </c>
      <c r="P130" s="2057">
        <v>91.984999999999999</v>
      </c>
    </row>
    <row r="131" spans="1:16">
      <c r="A131" s="1872">
        <f t="shared" si="5"/>
        <v>2021.2</v>
      </c>
      <c r="B131" s="181">
        <f t="shared" si="10"/>
        <v>584836439.73702919</v>
      </c>
      <c r="C131" s="3162">
        <v>475019989.31120896</v>
      </c>
      <c r="D131" s="180">
        <v>109816450.42582025</v>
      </c>
      <c r="E131" s="3184">
        <f t="shared" si="11"/>
        <v>280644787.91494286</v>
      </c>
      <c r="F131" s="180">
        <v>271742963.56871349</v>
      </c>
      <c r="G131" s="3162">
        <v>8901824.3462293725</v>
      </c>
      <c r="H131" s="180">
        <v>20109153.470136326</v>
      </c>
      <c r="I131" s="863">
        <f t="shared" si="12"/>
        <v>10212551585</v>
      </c>
      <c r="J131" s="3162">
        <v>7962865260</v>
      </c>
      <c r="K131" s="180">
        <v>2249686325</v>
      </c>
      <c r="L131" s="3184">
        <f t="shared" si="13"/>
        <v>3676968027.9999995</v>
      </c>
      <c r="M131" s="180">
        <v>3604147284.9999995</v>
      </c>
      <c r="N131" s="3162">
        <v>72820743</v>
      </c>
      <c r="O131" s="2058">
        <v>489748276</v>
      </c>
      <c r="P131" s="2057">
        <v>95.726699999999994</v>
      </c>
    </row>
    <row r="132" spans="1:16">
      <c r="A132" s="1872">
        <f t="shared" si="5"/>
        <v>2021.3</v>
      </c>
      <c r="B132" s="181">
        <f t="shared" si="10"/>
        <v>633215763.77269506</v>
      </c>
      <c r="C132" s="3162">
        <v>504291631.0091449</v>
      </c>
      <c r="D132" s="180">
        <v>128924132.7635501</v>
      </c>
      <c r="E132" s="3184">
        <f t="shared" si="11"/>
        <v>349338503.33084792</v>
      </c>
      <c r="F132" s="180">
        <v>340858768.92813408</v>
      </c>
      <c r="G132" s="3162">
        <v>8479734.4027138613</v>
      </c>
      <c r="H132" s="180">
        <v>22463209.014773518</v>
      </c>
      <c r="I132" s="863">
        <f t="shared" si="12"/>
        <v>11205609837</v>
      </c>
      <c r="J132" s="3162">
        <v>8734980589</v>
      </c>
      <c r="K132" s="180">
        <v>2470629248</v>
      </c>
      <c r="L132" s="3184">
        <f t="shared" si="13"/>
        <v>4017358297.9999995</v>
      </c>
      <c r="M132" s="180">
        <v>3948785585.9999995</v>
      </c>
      <c r="N132" s="3162">
        <v>68572712</v>
      </c>
      <c r="O132" s="2058">
        <v>503686302</v>
      </c>
      <c r="P132" s="2057">
        <v>98.734999999999999</v>
      </c>
    </row>
    <row r="133" spans="1:16">
      <c r="A133" s="1872">
        <f t="shared" si="5"/>
        <v>2021.4</v>
      </c>
      <c r="B133" s="181">
        <f t="shared" si="10"/>
        <v>674006537</v>
      </c>
      <c r="C133" s="3162">
        <v>558466291</v>
      </c>
      <c r="D133" s="180">
        <v>115540246</v>
      </c>
      <c r="E133" s="3184">
        <f t="shared" si="11"/>
        <v>405963817</v>
      </c>
      <c r="F133" s="180">
        <v>393281396</v>
      </c>
      <c r="G133" s="3162">
        <v>12682421</v>
      </c>
      <c r="H133" s="180">
        <v>29983224</v>
      </c>
      <c r="I133" s="863">
        <f t="shared" si="12"/>
        <v>12802202921</v>
      </c>
      <c r="J133" s="3162">
        <v>9809555004</v>
      </c>
      <c r="K133" s="180">
        <v>2992647917</v>
      </c>
      <c r="L133" s="3184">
        <f t="shared" si="13"/>
        <v>4630801800</v>
      </c>
      <c r="M133" s="180">
        <v>4553980171</v>
      </c>
      <c r="N133" s="3162">
        <v>76821629</v>
      </c>
      <c r="O133" s="2058">
        <v>618400131</v>
      </c>
      <c r="P133" s="2057">
        <v>102.75</v>
      </c>
    </row>
    <row r="134" spans="1:16">
      <c r="A134" s="1872">
        <f t="shared" si="5"/>
        <v>2022.1</v>
      </c>
      <c r="B134" s="181">
        <f t="shared" si="10"/>
        <v>719898360.77712131</v>
      </c>
      <c r="C134" s="3162">
        <v>604293150.66362929</v>
      </c>
      <c r="D134" s="180">
        <v>115605210.11349201</v>
      </c>
      <c r="E134" s="3184">
        <f t="shared" si="11"/>
        <v>438465988.65251499</v>
      </c>
      <c r="F134" s="180">
        <v>425957694.72435415</v>
      </c>
      <c r="G134" s="3162">
        <v>12508293.928160837</v>
      </c>
      <c r="H134" s="180">
        <v>25393820.567781784</v>
      </c>
      <c r="I134" s="863">
        <f t="shared" si="12"/>
        <v>13418180673</v>
      </c>
      <c r="J134" s="3162">
        <v>10582007805</v>
      </c>
      <c r="K134" s="180">
        <v>2836172868</v>
      </c>
      <c r="L134" s="3184">
        <f t="shared" si="13"/>
        <v>5031544550</v>
      </c>
      <c r="M134" s="180">
        <v>4948936521</v>
      </c>
      <c r="N134" s="3162">
        <v>82608029</v>
      </c>
      <c r="O134" s="2058">
        <v>636120109</v>
      </c>
      <c r="P134" s="2057">
        <v>110.9783</v>
      </c>
    </row>
    <row r="135" spans="1:16">
      <c r="A135" s="1872">
        <f t="shared" si="5"/>
        <v>2022.2</v>
      </c>
      <c r="B135" s="181">
        <f t="shared" si="10"/>
        <v>904325146.64866734</v>
      </c>
      <c r="C135" s="3162">
        <v>762476085.89073563</v>
      </c>
      <c r="D135" s="180">
        <v>141849060.75793177</v>
      </c>
      <c r="E135" s="3184">
        <f t="shared" si="11"/>
        <v>504968510.79658788</v>
      </c>
      <c r="F135" s="180">
        <v>492100172.31341374</v>
      </c>
      <c r="G135" s="3162">
        <v>12868338.483174153</v>
      </c>
      <c r="H135" s="180">
        <v>29490829.074773625</v>
      </c>
      <c r="I135" s="863">
        <f t="shared" si="12"/>
        <v>16468758260</v>
      </c>
      <c r="J135" s="3162">
        <v>13039356176</v>
      </c>
      <c r="K135" s="180">
        <v>3429402084</v>
      </c>
      <c r="L135" s="3184">
        <f t="shared" si="13"/>
        <v>5945633645</v>
      </c>
      <c r="M135" s="180">
        <v>5847381751</v>
      </c>
      <c r="N135" s="3162">
        <v>98251894</v>
      </c>
      <c r="O135" s="2058">
        <v>672687424</v>
      </c>
      <c r="P135" s="2057">
        <v>125.215</v>
      </c>
    </row>
    <row r="136" spans="1:16">
      <c r="A136" s="1872">
        <f t="shared" si="5"/>
        <v>2022.3</v>
      </c>
      <c r="B136" s="181">
        <f>C136+D136</f>
        <v>1007543433.3690659</v>
      </c>
      <c r="C136" s="3162">
        <v>851402685.21359003</v>
      </c>
      <c r="D136" s="180">
        <v>156140748.15547585</v>
      </c>
      <c r="E136" s="3184">
        <f t="shared" si="11"/>
        <v>579688668.46584487</v>
      </c>
      <c r="F136" s="180">
        <v>563439037.48638594</v>
      </c>
      <c r="G136" s="3162">
        <v>16249630.979458893</v>
      </c>
      <c r="H136" s="180">
        <v>36059745.226015732</v>
      </c>
      <c r="I136" s="863">
        <f t="shared" si="12"/>
        <v>19545058366</v>
      </c>
      <c r="J136" s="3162">
        <v>15264257394</v>
      </c>
      <c r="K136" s="180">
        <v>4280800972</v>
      </c>
      <c r="L136" s="3184">
        <f t="shared" si="13"/>
        <v>6619282115</v>
      </c>
      <c r="M136" s="180">
        <v>6515572473</v>
      </c>
      <c r="N136" s="3162">
        <v>103709642</v>
      </c>
      <c r="O136" s="2058">
        <v>878220002</v>
      </c>
      <c r="P136" s="2057">
        <v>147.315</v>
      </c>
    </row>
    <row r="137" spans="1:16">
      <c r="A137" s="1872">
        <f t="shared" si="5"/>
        <v>2022.4</v>
      </c>
      <c r="B137" s="181">
        <f t="shared" si="10"/>
        <v>1267679162.9503319</v>
      </c>
      <c r="C137" s="3162">
        <v>1058224241.4852552</v>
      </c>
      <c r="D137" s="180">
        <v>209454921.46507677</v>
      </c>
      <c r="E137" s="3184">
        <f t="shared" si="11"/>
        <v>675266602.13091636</v>
      </c>
      <c r="F137" s="180">
        <v>658851123.9710784</v>
      </c>
      <c r="G137" s="3162">
        <v>16415478.159837954</v>
      </c>
      <c r="H137" s="180">
        <v>50925732.689327538</v>
      </c>
      <c r="I137" s="863">
        <f t="shared" si="12"/>
        <v>23791828391</v>
      </c>
      <c r="J137" s="3162">
        <v>19048006616</v>
      </c>
      <c r="K137" s="180">
        <v>4743821775</v>
      </c>
      <c r="L137" s="3184">
        <f t="shared" si="13"/>
        <v>7663534110.000001</v>
      </c>
      <c r="M137" s="180">
        <v>7539140513.000001</v>
      </c>
      <c r="N137" s="3162">
        <v>124393597</v>
      </c>
      <c r="O137" s="2058">
        <v>1146355664</v>
      </c>
      <c r="P137" s="2057">
        <v>177.1283</v>
      </c>
    </row>
    <row r="138" spans="1:16">
      <c r="A138" s="1872">
        <f t="shared" si="5"/>
        <v>2023.1</v>
      </c>
      <c r="B138" s="181">
        <f t="shared" si="10"/>
        <v>1349880584.6265407</v>
      </c>
      <c r="C138" s="3162">
        <v>1141500533.153059</v>
      </c>
      <c r="D138" s="180">
        <v>208380051.47348168</v>
      </c>
      <c r="E138" s="3184">
        <f t="shared" si="11"/>
        <v>805681878.78419363</v>
      </c>
      <c r="F138" s="180">
        <v>789869687.17701983</v>
      </c>
      <c r="G138" s="3162">
        <v>15812191.607173817</v>
      </c>
      <c r="H138" s="180">
        <v>53015910.781804636</v>
      </c>
      <c r="I138" s="863">
        <f t="shared" si="12"/>
        <v>27195548964</v>
      </c>
      <c r="J138" s="3162">
        <v>22238480041</v>
      </c>
      <c r="K138" s="180">
        <v>4957068923</v>
      </c>
      <c r="L138" s="3184">
        <f t="shared" si="13"/>
        <v>8970716979</v>
      </c>
      <c r="M138" s="180">
        <v>8826476118</v>
      </c>
      <c r="N138" s="3162">
        <v>144240861</v>
      </c>
      <c r="O138" s="2058">
        <v>1255130115</v>
      </c>
      <c r="P138" s="2057">
        <v>208.98830000000001</v>
      </c>
    </row>
    <row r="139" spans="1:16">
      <c r="A139" s="1872">
        <f t="shared" si="5"/>
        <v>2023.2</v>
      </c>
      <c r="B139" s="181">
        <f t="shared" si="10"/>
        <v>1731299132.2582674</v>
      </c>
      <c r="C139" s="3162">
        <v>1469229998.7040417</v>
      </c>
      <c r="D139" s="180">
        <v>262069133.55422556</v>
      </c>
      <c r="E139" s="3184">
        <f t="shared" si="11"/>
        <v>1014136709.6781893</v>
      </c>
      <c r="F139" s="180">
        <v>971844969.60597098</v>
      </c>
      <c r="G139" s="3162">
        <v>42291740.072218254</v>
      </c>
      <c r="H139" s="180">
        <v>64806486.473920196</v>
      </c>
      <c r="I139" s="863">
        <f t="shared" si="12"/>
        <v>33830233265.000004</v>
      </c>
      <c r="J139" s="3162">
        <v>27396320843.000004</v>
      </c>
      <c r="K139" s="180">
        <v>6433912422.000001</v>
      </c>
      <c r="L139" s="3184">
        <f t="shared" si="13"/>
        <v>11336500442.000002</v>
      </c>
      <c r="M139" s="180">
        <v>11081323818.000002</v>
      </c>
      <c r="N139" s="3162">
        <v>255176624</v>
      </c>
      <c r="O139" s="2058">
        <v>1646482761</v>
      </c>
      <c r="P139" s="2057">
        <v>256.67500000000001</v>
      </c>
    </row>
    <row r="140" spans="1:16">
      <c r="A140" s="1872">
        <f t="shared" si="5"/>
        <v>2023.3</v>
      </c>
      <c r="B140" s="181">
        <f t="shared" si="10"/>
        <v>2029530761.4973214</v>
      </c>
      <c r="C140" s="3162">
        <v>1686630011.9803894</v>
      </c>
      <c r="D140" s="180">
        <v>342900749.51693195</v>
      </c>
      <c r="E140" s="3184">
        <f t="shared" si="11"/>
        <v>1286556654.1234503</v>
      </c>
      <c r="F140" s="180">
        <v>1245245954.4606104</v>
      </c>
      <c r="G140" s="3162">
        <v>41310699.66283989</v>
      </c>
      <c r="H140" s="180">
        <v>86692523.793660998</v>
      </c>
      <c r="I140" s="863">
        <f t="shared" si="12"/>
        <v>43242930472</v>
      </c>
      <c r="J140" s="3162">
        <v>34600985154</v>
      </c>
      <c r="K140" s="180">
        <v>8641945318</v>
      </c>
      <c r="L140" s="3184">
        <f t="shared" si="13"/>
        <v>14234710797.000002</v>
      </c>
      <c r="M140" s="180">
        <v>13963346349.000002</v>
      </c>
      <c r="N140" s="3162">
        <v>271364448</v>
      </c>
      <c r="O140" s="2058">
        <v>2131704932.9999998</v>
      </c>
      <c r="P140" s="2057">
        <v>350.00830000000002</v>
      </c>
    </row>
    <row r="141" spans="1:16">
      <c r="A141" s="1872">
        <f t="shared" si="5"/>
        <v>2023.4</v>
      </c>
      <c r="B141" s="181">
        <f t="shared" si="10"/>
        <v>3037900433.2055345</v>
      </c>
      <c r="C141" s="3162">
        <v>2501996243.9654365</v>
      </c>
      <c r="D141" s="180">
        <v>535904189.24009788</v>
      </c>
      <c r="E141" s="3184">
        <f t="shared" si="11"/>
        <v>1892980911.575284</v>
      </c>
      <c r="F141" s="180">
        <v>1853882687.8921878</v>
      </c>
      <c r="G141" s="3162">
        <v>39098223.683096074</v>
      </c>
      <c r="H141" s="180">
        <v>224117921.67270088</v>
      </c>
      <c r="I141" s="863">
        <f t="shared" si="12"/>
        <v>63187190366</v>
      </c>
      <c r="J141" s="3162">
        <v>51597950099</v>
      </c>
      <c r="K141" s="180">
        <v>11589240267</v>
      </c>
      <c r="L141" s="3184">
        <f t="shared" si="13"/>
        <v>19077492535</v>
      </c>
      <c r="M141" s="180">
        <v>18736693492</v>
      </c>
      <c r="N141" s="3162">
        <v>340799043</v>
      </c>
      <c r="O141" s="2058">
        <v>5695863359</v>
      </c>
      <c r="P141" s="2057">
        <v>808.48329999999999</v>
      </c>
    </row>
    <row r="142" spans="1:16">
      <c r="A142" s="1872">
        <f t="shared" ref="A142:A169" si="14">A138+1</f>
        <v>2024.1</v>
      </c>
      <c r="B142" s="181">
        <f t="shared" si="10"/>
        <v>3377144123.3533788</v>
      </c>
      <c r="C142" s="3162">
        <v>2790043008.2818837</v>
      </c>
      <c r="D142" s="180">
        <v>587101115.07149494</v>
      </c>
      <c r="E142" s="3184">
        <f t="shared" si="11"/>
        <v>2042958738.8630838</v>
      </c>
      <c r="F142" s="180">
        <v>2005472054.5972528</v>
      </c>
      <c r="G142" s="3162">
        <v>37486684.265830934</v>
      </c>
      <c r="H142" s="180">
        <v>227110844.75911981</v>
      </c>
      <c r="I142" s="863">
        <f t="shared" si="12"/>
        <v>78791894718</v>
      </c>
      <c r="J142" s="3162">
        <v>60401981598</v>
      </c>
      <c r="K142" s="180">
        <v>18389913120</v>
      </c>
      <c r="L142" s="3184">
        <f t="shared" si="13"/>
        <v>24440208570</v>
      </c>
      <c r="M142" s="180">
        <v>24007809822</v>
      </c>
      <c r="N142" s="3162">
        <v>432398748</v>
      </c>
      <c r="O142" s="2058">
        <v>5465616892</v>
      </c>
      <c r="P142" s="2057">
        <v>857.41669999999999</v>
      </c>
    </row>
    <row r="143" spans="1:16">
      <c r="A143" s="1872">
        <f t="shared" si="14"/>
        <v>2024.2</v>
      </c>
      <c r="B143" s="181">
        <f t="shared" si="10"/>
        <v>4478081784.2278786</v>
      </c>
      <c r="C143" s="3162">
        <v>3565407096.1930165</v>
      </c>
      <c r="D143" s="180">
        <v>912674688.0348624</v>
      </c>
      <c r="E143" s="3184">
        <f t="shared" si="11"/>
        <v>2785200999.3764062</v>
      </c>
      <c r="F143" s="180">
        <v>2744406422.7858849</v>
      </c>
      <c r="G143" s="3162">
        <v>40794576.590521537</v>
      </c>
      <c r="H143" s="180">
        <v>222561094.14453286</v>
      </c>
      <c r="I143" s="863">
        <f t="shared" si="12"/>
        <v>96848548940</v>
      </c>
      <c r="J143" s="3162">
        <v>73585031017</v>
      </c>
      <c r="K143" s="180">
        <v>23263517923</v>
      </c>
      <c r="L143" s="3184">
        <f t="shared" si="13"/>
        <v>35166830144</v>
      </c>
      <c r="M143" s="180">
        <v>34559069194</v>
      </c>
      <c r="N143" s="3162">
        <v>607760950</v>
      </c>
      <c r="O143" s="2058">
        <v>5430125040</v>
      </c>
      <c r="P143" s="2057">
        <v>911.75</v>
      </c>
    </row>
    <row r="144" spans="1:16">
      <c r="A144" s="1872">
        <f t="shared" si="14"/>
        <v>2024.3</v>
      </c>
      <c r="B144" s="181">
        <f t="shared" si="10"/>
        <v>5707265817.0956764</v>
      </c>
      <c r="C144" s="3162">
        <v>4720510866.1869316</v>
      </c>
      <c r="D144" s="180">
        <v>986754950.90874481</v>
      </c>
      <c r="E144" s="3184">
        <f t="shared" si="11"/>
        <v>3728080823.6623602</v>
      </c>
      <c r="F144" s="180">
        <v>3690269861.7942877</v>
      </c>
      <c r="G144" s="3162">
        <v>37810961.868072405</v>
      </c>
      <c r="H144" s="180">
        <v>815249793.22784293</v>
      </c>
      <c r="I144" s="863">
        <f t="shared" si="12"/>
        <v>122513893595</v>
      </c>
      <c r="J144" s="3162">
        <v>96018562396</v>
      </c>
      <c r="K144" s="180">
        <v>26495331199</v>
      </c>
      <c r="L144" s="3184">
        <f t="shared" si="13"/>
        <v>49417786650</v>
      </c>
      <c r="M144" s="180">
        <v>48738949439</v>
      </c>
      <c r="N144" s="3162">
        <v>678837211</v>
      </c>
      <c r="O144" s="2058">
        <v>15864666202</v>
      </c>
      <c r="P144" s="2057">
        <v>970.91669999999999</v>
      </c>
    </row>
    <row r="145" spans="1:16">
      <c r="A145" s="1872">
        <f t="shared" si="14"/>
        <v>2024.4</v>
      </c>
      <c r="B145" s="181">
        <f t="shared" si="10"/>
        <v>6738047721.0744247</v>
      </c>
      <c r="C145" s="3162">
        <v>5403521662.2762308</v>
      </c>
      <c r="D145" s="180">
        <v>1334526058.7981935</v>
      </c>
      <c r="E145" s="3184">
        <f t="shared" si="11"/>
        <v>4898255443.2167006</v>
      </c>
      <c r="F145" s="180">
        <v>4870907481.6207743</v>
      </c>
      <c r="G145" s="3162">
        <v>27347961.59592659</v>
      </c>
      <c r="H145" s="180">
        <v>486921661.19756591</v>
      </c>
      <c r="I145" s="863">
        <f t="shared" si="12"/>
        <v>140083817604</v>
      </c>
      <c r="J145" s="3162">
        <v>111295376148</v>
      </c>
      <c r="K145" s="180">
        <v>28788441456.000004</v>
      </c>
      <c r="L145" s="3184">
        <f t="shared" si="13"/>
        <v>66218267416</v>
      </c>
      <c r="M145" s="180">
        <v>65476676723</v>
      </c>
      <c r="N145" s="3162">
        <v>741590693</v>
      </c>
      <c r="O145" s="2058">
        <v>12003086126</v>
      </c>
      <c r="P145" s="2057">
        <v>1032.5</v>
      </c>
    </row>
    <row r="146" spans="1:16">
      <c r="A146" s="1872">
        <f t="shared" si="14"/>
        <v>2025.1</v>
      </c>
      <c r="B146" s="181">
        <f t="shared" si="10"/>
        <v>6884437428.3229675</v>
      </c>
      <c r="C146" s="3162">
        <v>5497561479.3686781</v>
      </c>
      <c r="D146" s="180">
        <v>1386875948.9542899</v>
      </c>
      <c r="E146" s="3184">
        <f t="shared" si="11"/>
        <v>5727104246.9608488</v>
      </c>
      <c r="F146" s="180">
        <v>5696945107.8705797</v>
      </c>
      <c r="G146" s="3162">
        <v>30159139.090269301</v>
      </c>
      <c r="H146" s="180">
        <v>349062722.835693</v>
      </c>
      <c r="I146" s="863">
        <f t="shared" si="12"/>
        <v>147066143017.9989</v>
      </c>
      <c r="J146" s="3162">
        <v>117460589032.99899</v>
      </c>
      <c r="K146" s="180">
        <v>29605553984.999901</v>
      </c>
      <c r="L146" s="3184">
        <f t="shared" si="13"/>
        <v>80418899017.999893</v>
      </c>
      <c r="M146" s="180">
        <v>79432633701.999893</v>
      </c>
      <c r="N146" s="3162">
        <v>986265315.99999905</v>
      </c>
      <c r="O146" s="2058">
        <v>8022934307.9999905</v>
      </c>
      <c r="P146" s="2057">
        <v>1073.875</v>
      </c>
    </row>
    <row r="147" spans="1:16">
      <c r="A147" s="1872">
        <f t="shared" si="14"/>
        <v>2025.2</v>
      </c>
      <c r="B147" s="181" t="e">
        <f t="shared" si="10"/>
        <v>#N/A</v>
      </c>
      <c r="C147" s="3162" t="e">
        <v>#N/A</v>
      </c>
      <c r="D147" s="180" t="e">
        <v>#N/A</v>
      </c>
      <c r="E147" s="3184" t="e">
        <f t="shared" si="11"/>
        <v>#N/A</v>
      </c>
      <c r="F147" s="180" t="e">
        <v>#N/A</v>
      </c>
      <c r="G147" s="3162" t="e">
        <v>#N/A</v>
      </c>
      <c r="H147" s="180" t="e">
        <v>#N/A</v>
      </c>
      <c r="I147" s="863" t="e">
        <f t="shared" si="12"/>
        <v>#N/A</v>
      </c>
      <c r="J147" s="3162" t="e">
        <v>#N/A</v>
      </c>
      <c r="K147" s="180" t="e">
        <v>#N/A</v>
      </c>
      <c r="L147" s="3184" t="e">
        <f t="shared" si="13"/>
        <v>#N/A</v>
      </c>
      <c r="M147" s="180" t="e">
        <v>#N/A</v>
      </c>
      <c r="N147" s="3162" t="e">
        <v>#N/A</v>
      </c>
      <c r="O147" s="2058" t="e">
        <v>#N/A</v>
      </c>
      <c r="P147" s="2057" t="e">
        <v>#N/A</v>
      </c>
    </row>
    <row r="148" spans="1:16">
      <c r="A148" s="1872">
        <f t="shared" si="14"/>
        <v>2025.3</v>
      </c>
      <c r="B148" s="181" t="e">
        <f t="shared" si="10"/>
        <v>#N/A</v>
      </c>
      <c r="C148" s="3162" t="e">
        <v>#N/A</v>
      </c>
      <c r="D148" s="3162" t="e">
        <f t="shared" ref="D148:G148" si="15">+SUM(D146:D147)</f>
        <v>#N/A</v>
      </c>
      <c r="E148" s="3162" t="e">
        <f t="shared" si="15"/>
        <v>#N/A</v>
      </c>
      <c r="F148" s="180" t="e">
        <v>#N/A</v>
      </c>
      <c r="G148" s="3162" t="e">
        <f t="shared" si="15"/>
        <v>#N/A</v>
      </c>
      <c r="H148" s="180" t="e">
        <v>#N/A</v>
      </c>
      <c r="I148" s="863" t="e">
        <f t="shared" si="12"/>
        <v>#N/A</v>
      </c>
      <c r="J148" s="3162" t="e">
        <v>#N/A</v>
      </c>
      <c r="K148" s="180" t="e">
        <v>#N/A</v>
      </c>
      <c r="L148" s="3184" t="e">
        <f t="shared" si="13"/>
        <v>#N/A</v>
      </c>
      <c r="M148" s="180" t="e">
        <v>#N/A</v>
      </c>
      <c r="N148" s="3162" t="e">
        <v>#N/A</v>
      </c>
      <c r="O148" s="2058" t="e">
        <v>#N/A</v>
      </c>
      <c r="P148" s="2057" t="e">
        <v>#N/A</v>
      </c>
    </row>
    <row r="149" spans="1:16">
      <c r="A149" s="1872">
        <f t="shared" si="14"/>
        <v>2025.4</v>
      </c>
      <c r="B149" s="181" t="e">
        <f t="shared" si="10"/>
        <v>#N/A</v>
      </c>
      <c r="C149" s="3162" t="e">
        <v>#N/A</v>
      </c>
      <c r="D149" s="180" t="e">
        <v>#N/A</v>
      </c>
      <c r="E149" s="3184" t="e">
        <f t="shared" si="11"/>
        <v>#N/A</v>
      </c>
      <c r="F149" s="180" t="e">
        <v>#N/A</v>
      </c>
      <c r="G149" s="3162" t="e">
        <v>#N/A</v>
      </c>
      <c r="H149" s="180" t="e">
        <v>#N/A</v>
      </c>
      <c r="I149" s="863" t="e">
        <f t="shared" si="12"/>
        <v>#N/A</v>
      </c>
      <c r="J149" s="3162" t="e">
        <v>#N/A</v>
      </c>
      <c r="K149" s="180" t="e">
        <v>#N/A</v>
      </c>
      <c r="L149" s="3184" t="e">
        <f t="shared" si="13"/>
        <v>#N/A</v>
      </c>
      <c r="M149" s="180" t="e">
        <v>#N/A</v>
      </c>
      <c r="N149" s="3162" t="e">
        <v>#N/A</v>
      </c>
      <c r="O149" s="2058" t="e">
        <v>#N/A</v>
      </c>
      <c r="P149" s="2057" t="e">
        <v>#N/A</v>
      </c>
    </row>
    <row r="150" spans="1:16">
      <c r="A150" s="1872">
        <f t="shared" si="14"/>
        <v>2026.1</v>
      </c>
      <c r="B150" s="181" t="e">
        <f t="shared" ref="B150:B162" si="16">C150+D150</f>
        <v>#N/A</v>
      </c>
      <c r="C150" s="3162" t="e">
        <v>#N/A</v>
      </c>
      <c r="D150" s="180" t="e">
        <v>#N/A</v>
      </c>
      <c r="E150" s="3184" t="e">
        <f t="shared" ref="E150:E162" si="17">F150+G150</f>
        <v>#N/A</v>
      </c>
      <c r="F150" s="180" t="e">
        <v>#N/A</v>
      </c>
      <c r="G150" s="3162" t="e">
        <v>#N/A</v>
      </c>
      <c r="H150" s="180" t="e">
        <v>#N/A</v>
      </c>
      <c r="I150" s="863" t="e">
        <f t="shared" ref="I150:I162" si="18">J150+K150</f>
        <v>#N/A</v>
      </c>
      <c r="J150" s="3162" t="e">
        <v>#N/A</v>
      </c>
      <c r="K150" s="180" t="e">
        <v>#N/A</v>
      </c>
      <c r="L150" s="3184" t="e">
        <f t="shared" ref="L150:L162" si="19">M150+N150</f>
        <v>#N/A</v>
      </c>
      <c r="M150" s="180" t="e">
        <v>#N/A</v>
      </c>
      <c r="N150" s="3162" t="e">
        <v>#N/A</v>
      </c>
      <c r="O150" s="2058" t="e">
        <v>#N/A</v>
      </c>
      <c r="P150" s="2057" t="e">
        <v>#N/A</v>
      </c>
    </row>
    <row r="151" spans="1:16">
      <c r="A151" s="1872">
        <f t="shared" si="14"/>
        <v>2026.2</v>
      </c>
      <c r="B151" s="181" t="e">
        <f t="shared" si="16"/>
        <v>#N/A</v>
      </c>
      <c r="C151" s="3162" t="e">
        <v>#N/A</v>
      </c>
      <c r="D151" s="180" t="e">
        <v>#N/A</v>
      </c>
      <c r="E151" s="3184" t="e">
        <f t="shared" si="17"/>
        <v>#N/A</v>
      </c>
      <c r="F151" s="180" t="e">
        <v>#N/A</v>
      </c>
      <c r="G151" s="3162" t="e">
        <v>#N/A</v>
      </c>
      <c r="H151" s="180" t="e">
        <v>#N/A</v>
      </c>
      <c r="I151" s="863" t="e">
        <f t="shared" si="18"/>
        <v>#N/A</v>
      </c>
      <c r="J151" s="3162" t="e">
        <v>#N/A</v>
      </c>
      <c r="K151" s="180" t="e">
        <v>#N/A</v>
      </c>
      <c r="L151" s="3184" t="e">
        <f t="shared" si="19"/>
        <v>#N/A</v>
      </c>
      <c r="M151" s="180" t="e">
        <v>#N/A</v>
      </c>
      <c r="N151" s="3162" t="e">
        <v>#N/A</v>
      </c>
      <c r="O151" s="2058" t="e">
        <v>#N/A</v>
      </c>
      <c r="P151" s="2057" t="e">
        <v>#N/A</v>
      </c>
    </row>
    <row r="152" spans="1:16">
      <c r="A152" s="1872">
        <f t="shared" si="14"/>
        <v>2026.3</v>
      </c>
      <c r="B152" s="181" t="e">
        <f t="shared" si="16"/>
        <v>#N/A</v>
      </c>
      <c r="C152" s="3162" t="e">
        <v>#N/A</v>
      </c>
      <c r="D152" s="180" t="e">
        <v>#N/A</v>
      </c>
      <c r="E152" s="3184" t="e">
        <f t="shared" si="17"/>
        <v>#N/A</v>
      </c>
      <c r="F152" s="180" t="e">
        <v>#N/A</v>
      </c>
      <c r="G152" s="3162" t="e">
        <v>#N/A</v>
      </c>
      <c r="H152" s="180" t="e">
        <v>#N/A</v>
      </c>
      <c r="I152" s="863" t="e">
        <f t="shared" si="18"/>
        <v>#N/A</v>
      </c>
      <c r="J152" s="3162" t="e">
        <v>#N/A</v>
      </c>
      <c r="K152" s="180" t="e">
        <v>#N/A</v>
      </c>
      <c r="L152" s="3184" t="e">
        <f t="shared" si="19"/>
        <v>#N/A</v>
      </c>
      <c r="M152" s="180" t="e">
        <v>#N/A</v>
      </c>
      <c r="N152" s="3162" t="e">
        <v>#N/A</v>
      </c>
      <c r="O152" s="2058" t="e">
        <v>#N/A</v>
      </c>
      <c r="P152" s="2057" t="e">
        <v>#N/A</v>
      </c>
    </row>
    <row r="153" spans="1:16">
      <c r="A153" s="1872">
        <f t="shared" si="14"/>
        <v>2026.4</v>
      </c>
      <c r="B153" s="181" t="e">
        <f t="shared" si="16"/>
        <v>#N/A</v>
      </c>
      <c r="C153" s="3162" t="e">
        <v>#N/A</v>
      </c>
      <c r="D153" s="180" t="e">
        <v>#N/A</v>
      </c>
      <c r="E153" s="3184" t="e">
        <f t="shared" si="17"/>
        <v>#N/A</v>
      </c>
      <c r="F153" s="180" t="e">
        <v>#N/A</v>
      </c>
      <c r="G153" s="3162" t="e">
        <v>#N/A</v>
      </c>
      <c r="H153" s="180" t="e">
        <v>#N/A</v>
      </c>
      <c r="I153" s="863" t="e">
        <f t="shared" si="18"/>
        <v>#N/A</v>
      </c>
      <c r="J153" s="3162" t="e">
        <v>#N/A</v>
      </c>
      <c r="K153" s="180" t="e">
        <v>#N/A</v>
      </c>
      <c r="L153" s="3184" t="e">
        <f t="shared" si="19"/>
        <v>#N/A</v>
      </c>
      <c r="M153" s="180" t="e">
        <v>#N/A</v>
      </c>
      <c r="N153" s="3162" t="e">
        <v>#N/A</v>
      </c>
      <c r="O153" s="2058" t="e">
        <v>#N/A</v>
      </c>
      <c r="P153" s="2057" t="e">
        <v>#N/A</v>
      </c>
    </row>
    <row r="154" spans="1:16">
      <c r="A154" s="1872">
        <f t="shared" si="14"/>
        <v>2027.1</v>
      </c>
      <c r="B154" s="181" t="e">
        <f t="shared" si="16"/>
        <v>#N/A</v>
      </c>
      <c r="C154" s="3162" t="e">
        <v>#N/A</v>
      </c>
      <c r="D154" s="180" t="e">
        <v>#N/A</v>
      </c>
      <c r="E154" s="3184" t="e">
        <f t="shared" si="17"/>
        <v>#N/A</v>
      </c>
      <c r="F154" s="180" t="e">
        <v>#N/A</v>
      </c>
      <c r="G154" s="3162" t="e">
        <v>#N/A</v>
      </c>
      <c r="H154" s="180" t="e">
        <v>#N/A</v>
      </c>
      <c r="I154" s="863" t="e">
        <f t="shared" si="18"/>
        <v>#N/A</v>
      </c>
      <c r="J154" s="3162" t="e">
        <v>#N/A</v>
      </c>
      <c r="K154" s="180" t="e">
        <v>#N/A</v>
      </c>
      <c r="L154" s="3184" t="e">
        <f t="shared" si="19"/>
        <v>#N/A</v>
      </c>
      <c r="M154" s="180" t="e">
        <v>#N/A</v>
      </c>
      <c r="N154" s="3162" t="e">
        <v>#N/A</v>
      </c>
      <c r="O154" s="2058" t="e">
        <v>#N/A</v>
      </c>
      <c r="P154" s="2057" t="e">
        <v>#N/A</v>
      </c>
    </row>
    <row r="155" spans="1:16">
      <c r="A155" s="1872">
        <f t="shared" si="14"/>
        <v>2027.2</v>
      </c>
      <c r="B155" s="181" t="e">
        <f t="shared" si="16"/>
        <v>#N/A</v>
      </c>
      <c r="C155" s="3162" t="e">
        <v>#N/A</v>
      </c>
      <c r="D155" s="180" t="e">
        <v>#N/A</v>
      </c>
      <c r="E155" s="3184" t="e">
        <f t="shared" si="17"/>
        <v>#N/A</v>
      </c>
      <c r="F155" s="180" t="e">
        <v>#N/A</v>
      </c>
      <c r="G155" s="3162" t="e">
        <v>#N/A</v>
      </c>
      <c r="H155" s="180" t="e">
        <v>#N/A</v>
      </c>
      <c r="I155" s="863" t="e">
        <f t="shared" si="18"/>
        <v>#N/A</v>
      </c>
      <c r="J155" s="3162" t="e">
        <v>#N/A</v>
      </c>
      <c r="K155" s="180" t="e">
        <v>#N/A</v>
      </c>
      <c r="L155" s="3184" t="e">
        <f t="shared" si="19"/>
        <v>#N/A</v>
      </c>
      <c r="M155" s="180" t="e">
        <v>#N/A</v>
      </c>
      <c r="N155" s="3162" t="e">
        <v>#N/A</v>
      </c>
      <c r="O155" s="2058" t="e">
        <v>#N/A</v>
      </c>
      <c r="P155" s="2057" t="e">
        <v>#N/A</v>
      </c>
    </row>
    <row r="156" spans="1:16">
      <c r="A156" s="1872">
        <f t="shared" si="14"/>
        <v>2027.3</v>
      </c>
      <c r="B156" s="181" t="e">
        <f t="shared" si="16"/>
        <v>#N/A</v>
      </c>
      <c r="C156" s="3162" t="e">
        <v>#N/A</v>
      </c>
      <c r="D156" s="180" t="e">
        <v>#N/A</v>
      </c>
      <c r="E156" s="3184" t="e">
        <f t="shared" si="17"/>
        <v>#N/A</v>
      </c>
      <c r="F156" s="180" t="e">
        <v>#N/A</v>
      </c>
      <c r="G156" s="3162" t="e">
        <v>#N/A</v>
      </c>
      <c r="H156" s="180" t="e">
        <v>#N/A</v>
      </c>
      <c r="I156" s="863" t="e">
        <f t="shared" si="18"/>
        <v>#N/A</v>
      </c>
      <c r="J156" s="3162" t="e">
        <v>#N/A</v>
      </c>
      <c r="K156" s="180" t="e">
        <v>#N/A</v>
      </c>
      <c r="L156" s="3184" t="e">
        <f t="shared" si="19"/>
        <v>#N/A</v>
      </c>
      <c r="M156" s="180" t="e">
        <v>#N/A</v>
      </c>
      <c r="N156" s="3162" t="e">
        <v>#N/A</v>
      </c>
      <c r="O156" s="2058" t="e">
        <v>#N/A</v>
      </c>
      <c r="P156" s="2057" t="e">
        <v>#N/A</v>
      </c>
    </row>
    <row r="157" spans="1:16">
      <c r="A157" s="1872">
        <f t="shared" si="14"/>
        <v>2027.4</v>
      </c>
      <c r="B157" s="181" t="e">
        <f t="shared" si="16"/>
        <v>#N/A</v>
      </c>
      <c r="C157" s="3162" t="e">
        <v>#N/A</v>
      </c>
      <c r="D157" s="180" t="e">
        <v>#N/A</v>
      </c>
      <c r="E157" s="3184" t="e">
        <f t="shared" si="17"/>
        <v>#N/A</v>
      </c>
      <c r="F157" s="180" t="e">
        <v>#N/A</v>
      </c>
      <c r="G157" s="3162" t="e">
        <v>#N/A</v>
      </c>
      <c r="H157" s="180" t="e">
        <v>#N/A</v>
      </c>
      <c r="I157" s="863" t="e">
        <f t="shared" si="18"/>
        <v>#N/A</v>
      </c>
      <c r="J157" s="3162" t="e">
        <v>#N/A</v>
      </c>
      <c r="K157" s="180" t="e">
        <v>#N/A</v>
      </c>
      <c r="L157" s="3184" t="e">
        <f t="shared" si="19"/>
        <v>#N/A</v>
      </c>
      <c r="M157" s="180" t="e">
        <v>#N/A</v>
      </c>
      <c r="N157" s="3162" t="e">
        <v>#N/A</v>
      </c>
      <c r="O157" s="2058" t="e">
        <v>#N/A</v>
      </c>
      <c r="P157" s="2057" t="e">
        <v>#N/A</v>
      </c>
    </row>
    <row r="158" spans="1:16">
      <c r="A158" s="1872">
        <f t="shared" si="14"/>
        <v>2028.1</v>
      </c>
      <c r="B158" s="181" t="e">
        <f t="shared" si="16"/>
        <v>#N/A</v>
      </c>
      <c r="C158" s="3162" t="e">
        <v>#N/A</v>
      </c>
      <c r="D158" s="180" t="e">
        <v>#N/A</v>
      </c>
      <c r="E158" s="3184" t="e">
        <f t="shared" si="17"/>
        <v>#N/A</v>
      </c>
      <c r="F158" s="180" t="e">
        <v>#N/A</v>
      </c>
      <c r="G158" s="3162" t="e">
        <v>#N/A</v>
      </c>
      <c r="H158" s="180" t="e">
        <v>#N/A</v>
      </c>
      <c r="I158" s="863" t="e">
        <f t="shared" si="18"/>
        <v>#N/A</v>
      </c>
      <c r="J158" s="3162" t="e">
        <v>#N/A</v>
      </c>
      <c r="K158" s="180" t="e">
        <v>#N/A</v>
      </c>
      <c r="L158" s="3184" t="e">
        <f t="shared" si="19"/>
        <v>#N/A</v>
      </c>
      <c r="M158" s="180" t="e">
        <v>#N/A</v>
      </c>
      <c r="N158" s="3162" t="e">
        <v>#N/A</v>
      </c>
      <c r="O158" s="2058" t="e">
        <v>#N/A</v>
      </c>
      <c r="P158" s="2057" t="e">
        <v>#N/A</v>
      </c>
    </row>
    <row r="159" spans="1:16">
      <c r="A159" s="1872">
        <f t="shared" si="14"/>
        <v>2028.2</v>
      </c>
      <c r="B159" s="181" t="e">
        <f t="shared" si="16"/>
        <v>#N/A</v>
      </c>
      <c r="C159" s="3162" t="e">
        <v>#N/A</v>
      </c>
      <c r="D159" s="180" t="e">
        <v>#N/A</v>
      </c>
      <c r="E159" s="3184" t="e">
        <f t="shared" si="17"/>
        <v>#N/A</v>
      </c>
      <c r="F159" s="180" t="e">
        <v>#N/A</v>
      </c>
      <c r="G159" s="3162" t="e">
        <v>#N/A</v>
      </c>
      <c r="H159" s="180" t="e">
        <v>#N/A</v>
      </c>
      <c r="I159" s="863" t="e">
        <f t="shared" si="18"/>
        <v>#N/A</v>
      </c>
      <c r="J159" s="3162" t="e">
        <v>#N/A</v>
      </c>
      <c r="K159" s="180" t="e">
        <v>#N/A</v>
      </c>
      <c r="L159" s="3184" t="e">
        <f t="shared" si="19"/>
        <v>#N/A</v>
      </c>
      <c r="M159" s="180" t="e">
        <v>#N/A</v>
      </c>
      <c r="N159" s="3162" t="e">
        <v>#N/A</v>
      </c>
      <c r="O159" s="2058" t="e">
        <v>#N/A</v>
      </c>
      <c r="P159" s="2057" t="e">
        <v>#N/A</v>
      </c>
    </row>
    <row r="160" spans="1:16">
      <c r="A160" s="1872">
        <f t="shared" si="14"/>
        <v>2028.3</v>
      </c>
      <c r="B160" s="181" t="e">
        <f t="shared" si="16"/>
        <v>#N/A</v>
      </c>
      <c r="C160" s="3162" t="e">
        <v>#N/A</v>
      </c>
      <c r="D160" s="180" t="e">
        <v>#N/A</v>
      </c>
      <c r="E160" s="3184" t="e">
        <f t="shared" si="17"/>
        <v>#N/A</v>
      </c>
      <c r="F160" s="180" t="e">
        <v>#N/A</v>
      </c>
      <c r="G160" s="3162" t="e">
        <v>#N/A</v>
      </c>
      <c r="H160" s="180" t="e">
        <v>#N/A</v>
      </c>
      <c r="I160" s="863" t="e">
        <f t="shared" si="18"/>
        <v>#N/A</v>
      </c>
      <c r="J160" s="3162" t="e">
        <v>#N/A</v>
      </c>
      <c r="K160" s="180" t="e">
        <v>#N/A</v>
      </c>
      <c r="L160" s="3184" t="e">
        <f t="shared" si="19"/>
        <v>#N/A</v>
      </c>
      <c r="M160" s="180" t="e">
        <v>#N/A</v>
      </c>
      <c r="N160" s="3162" t="e">
        <v>#N/A</v>
      </c>
      <c r="O160" s="2058" t="e">
        <v>#N/A</v>
      </c>
      <c r="P160" s="2057" t="e">
        <v>#N/A</v>
      </c>
    </row>
    <row r="161" spans="1:30">
      <c r="A161" s="1872">
        <f t="shared" si="14"/>
        <v>2028.4</v>
      </c>
      <c r="B161" s="181" t="e">
        <f t="shared" si="16"/>
        <v>#N/A</v>
      </c>
      <c r="C161" s="3162" t="e">
        <v>#N/A</v>
      </c>
      <c r="D161" s="180" t="e">
        <v>#N/A</v>
      </c>
      <c r="E161" s="3184" t="e">
        <f t="shared" si="17"/>
        <v>#N/A</v>
      </c>
      <c r="F161" s="180" t="e">
        <v>#N/A</v>
      </c>
      <c r="G161" s="3162" t="e">
        <v>#N/A</v>
      </c>
      <c r="H161" s="180" t="e">
        <v>#N/A</v>
      </c>
      <c r="I161" s="863" t="e">
        <f t="shared" si="18"/>
        <v>#N/A</v>
      </c>
      <c r="J161" s="3162" t="e">
        <v>#N/A</v>
      </c>
      <c r="K161" s="180" t="e">
        <v>#N/A</v>
      </c>
      <c r="L161" s="3184" t="e">
        <f t="shared" si="19"/>
        <v>#N/A</v>
      </c>
      <c r="M161" s="180" t="e">
        <v>#N/A</v>
      </c>
      <c r="N161" s="3162" t="e">
        <v>#N/A</v>
      </c>
      <c r="O161" s="2058" t="e">
        <v>#N/A</v>
      </c>
      <c r="P161" s="2057" t="e">
        <v>#N/A</v>
      </c>
      <c r="Q161" s="201"/>
      <c r="R161" s="201"/>
      <c r="S161" s="201"/>
      <c r="T161" s="201"/>
      <c r="U161" s="201"/>
      <c r="V161" s="201"/>
      <c r="W161" s="201"/>
      <c r="X161" s="201"/>
      <c r="Y161" s="201"/>
      <c r="Z161" s="201"/>
      <c r="AA161" s="201"/>
      <c r="AB161" s="201"/>
      <c r="AC161" s="201"/>
      <c r="AD161" s="201"/>
    </row>
    <row r="162" spans="1:30">
      <c r="A162" s="1872">
        <f t="shared" si="14"/>
        <v>2029.1</v>
      </c>
      <c r="B162" s="181" t="e">
        <f t="shared" si="16"/>
        <v>#N/A</v>
      </c>
      <c r="C162" s="3162" t="e">
        <v>#N/A</v>
      </c>
      <c r="D162" s="180" t="e">
        <v>#N/A</v>
      </c>
      <c r="E162" s="3184" t="e">
        <f t="shared" si="17"/>
        <v>#N/A</v>
      </c>
      <c r="F162" s="180" t="e">
        <v>#N/A</v>
      </c>
      <c r="G162" s="3162" t="e">
        <v>#N/A</v>
      </c>
      <c r="H162" s="180" t="e">
        <v>#N/A</v>
      </c>
      <c r="I162" s="863" t="e">
        <f t="shared" si="18"/>
        <v>#N/A</v>
      </c>
      <c r="J162" s="3162" t="e">
        <v>#N/A</v>
      </c>
      <c r="K162" s="180" t="e">
        <v>#N/A</v>
      </c>
      <c r="L162" s="3184" t="e">
        <f t="shared" si="19"/>
        <v>#N/A</v>
      </c>
      <c r="M162" s="180" t="e">
        <v>#N/A</v>
      </c>
      <c r="N162" s="3162" t="e">
        <v>#N/A</v>
      </c>
      <c r="O162" s="2058" t="e">
        <v>#N/A</v>
      </c>
      <c r="P162" s="2057" t="e">
        <v>#N/A</v>
      </c>
      <c r="Q162" s="201"/>
      <c r="R162" s="201"/>
      <c r="S162" s="201"/>
      <c r="T162" s="201"/>
      <c r="U162" s="201"/>
      <c r="V162" s="201"/>
      <c r="W162" s="201"/>
      <c r="X162" s="201"/>
      <c r="Y162" s="201"/>
      <c r="Z162" s="201"/>
      <c r="AA162" s="201"/>
      <c r="AB162" s="201"/>
      <c r="AC162" s="201"/>
      <c r="AD162" s="201"/>
    </row>
    <row r="163" spans="1:30">
      <c r="A163" s="1872">
        <f t="shared" si="14"/>
        <v>2029.2</v>
      </c>
      <c r="B163" s="181" t="e">
        <f t="shared" ref="B163:B169" si="20">C163+D163</f>
        <v>#N/A</v>
      </c>
      <c r="C163" s="3162" t="e">
        <v>#N/A</v>
      </c>
      <c r="D163" s="180" t="e">
        <v>#N/A</v>
      </c>
      <c r="E163" s="3184" t="e">
        <f t="shared" ref="E163:E169" si="21">F163+G163</f>
        <v>#N/A</v>
      </c>
      <c r="F163" s="180" t="e">
        <v>#N/A</v>
      </c>
      <c r="G163" s="3162" t="e">
        <v>#N/A</v>
      </c>
      <c r="H163" s="180" t="e">
        <v>#N/A</v>
      </c>
      <c r="I163" s="863" t="e">
        <f t="shared" ref="I163:I169" si="22">J163+K163</f>
        <v>#N/A</v>
      </c>
      <c r="J163" s="3162" t="e">
        <v>#N/A</v>
      </c>
      <c r="K163" s="180" t="e">
        <v>#N/A</v>
      </c>
      <c r="L163" s="3184" t="e">
        <f t="shared" ref="L163:L169" si="23">M163+N163</f>
        <v>#N/A</v>
      </c>
      <c r="M163" s="180" t="e">
        <v>#N/A</v>
      </c>
      <c r="N163" s="3162" t="e">
        <v>#N/A</v>
      </c>
      <c r="O163" s="2058" t="e">
        <v>#N/A</v>
      </c>
      <c r="P163" s="2057" t="e">
        <v>#N/A</v>
      </c>
      <c r="Q163" s="201"/>
      <c r="R163" s="201"/>
      <c r="S163" s="201"/>
      <c r="T163" s="201"/>
      <c r="U163" s="201"/>
      <c r="V163" s="201"/>
      <c r="W163" s="201"/>
      <c r="X163" s="201"/>
      <c r="Y163" s="201"/>
      <c r="Z163" s="201"/>
      <c r="AA163" s="201"/>
      <c r="AB163" s="201"/>
      <c r="AC163" s="201"/>
      <c r="AD163" s="201"/>
    </row>
    <row r="164" spans="1:30">
      <c r="A164" s="1872">
        <f t="shared" si="14"/>
        <v>2029.3</v>
      </c>
      <c r="B164" s="181" t="e">
        <f t="shared" si="20"/>
        <v>#N/A</v>
      </c>
      <c r="C164" s="3162" t="e">
        <v>#N/A</v>
      </c>
      <c r="D164" s="180" t="e">
        <v>#N/A</v>
      </c>
      <c r="E164" s="3184" t="e">
        <f t="shared" si="21"/>
        <v>#N/A</v>
      </c>
      <c r="F164" s="180" t="e">
        <v>#N/A</v>
      </c>
      <c r="G164" s="3162" t="e">
        <v>#N/A</v>
      </c>
      <c r="H164" s="180" t="e">
        <v>#N/A</v>
      </c>
      <c r="I164" s="863" t="e">
        <f t="shared" si="22"/>
        <v>#N/A</v>
      </c>
      <c r="J164" s="3162" t="e">
        <v>#N/A</v>
      </c>
      <c r="K164" s="180" t="e">
        <v>#N/A</v>
      </c>
      <c r="L164" s="3184" t="e">
        <f t="shared" si="23"/>
        <v>#N/A</v>
      </c>
      <c r="M164" s="180" t="e">
        <v>#N/A</v>
      </c>
      <c r="N164" s="3162" t="e">
        <v>#N/A</v>
      </c>
      <c r="O164" s="2058" t="e">
        <v>#N/A</v>
      </c>
      <c r="P164" s="2057" t="e">
        <v>#N/A</v>
      </c>
      <c r="Q164" s="201"/>
      <c r="R164" s="201"/>
      <c r="S164" s="201"/>
      <c r="T164" s="201"/>
      <c r="U164" s="201"/>
      <c r="V164" s="201"/>
      <c r="W164" s="201"/>
      <c r="X164" s="201"/>
      <c r="Y164" s="201"/>
      <c r="Z164" s="201"/>
      <c r="AA164" s="201"/>
      <c r="AB164" s="201"/>
      <c r="AC164" s="201"/>
      <c r="AD164" s="201"/>
    </row>
    <row r="165" spans="1:30">
      <c r="A165" s="1872">
        <f t="shared" si="14"/>
        <v>2029.4</v>
      </c>
      <c r="B165" s="181" t="e">
        <f t="shared" si="20"/>
        <v>#N/A</v>
      </c>
      <c r="C165" s="3162" t="e">
        <v>#N/A</v>
      </c>
      <c r="D165" s="180" t="e">
        <v>#N/A</v>
      </c>
      <c r="E165" s="3184" t="e">
        <f t="shared" si="21"/>
        <v>#N/A</v>
      </c>
      <c r="F165" s="180" t="e">
        <v>#N/A</v>
      </c>
      <c r="G165" s="3162" t="e">
        <v>#N/A</v>
      </c>
      <c r="H165" s="180" t="e">
        <v>#N/A</v>
      </c>
      <c r="I165" s="863" t="e">
        <f t="shared" si="22"/>
        <v>#N/A</v>
      </c>
      <c r="J165" s="3162" t="e">
        <v>#N/A</v>
      </c>
      <c r="K165" s="180" t="e">
        <v>#N/A</v>
      </c>
      <c r="L165" s="3184" t="e">
        <f t="shared" si="23"/>
        <v>#N/A</v>
      </c>
      <c r="M165" s="180" t="e">
        <v>#N/A</v>
      </c>
      <c r="N165" s="3162" t="e">
        <v>#N/A</v>
      </c>
      <c r="O165" s="2058" t="e">
        <v>#N/A</v>
      </c>
      <c r="P165" s="2057" t="e">
        <v>#N/A</v>
      </c>
      <c r="Q165" s="201"/>
      <c r="R165" s="201"/>
      <c r="S165" s="201"/>
      <c r="T165" s="201"/>
      <c r="U165" s="201"/>
      <c r="V165" s="201"/>
      <c r="W165" s="201"/>
      <c r="X165" s="201"/>
      <c r="Y165" s="201"/>
      <c r="Z165" s="201"/>
      <c r="AA165" s="201"/>
      <c r="AB165" s="201"/>
      <c r="AC165" s="201"/>
      <c r="AD165" s="201"/>
    </row>
    <row r="166" spans="1:30">
      <c r="A166" s="1872">
        <f t="shared" si="14"/>
        <v>2030.1</v>
      </c>
      <c r="B166" s="181" t="e">
        <f t="shared" si="20"/>
        <v>#N/A</v>
      </c>
      <c r="C166" s="3162" t="e">
        <v>#N/A</v>
      </c>
      <c r="D166" s="180" t="e">
        <v>#N/A</v>
      </c>
      <c r="E166" s="3184" t="e">
        <f t="shared" si="21"/>
        <v>#N/A</v>
      </c>
      <c r="F166" s="180" t="e">
        <v>#N/A</v>
      </c>
      <c r="G166" s="3162" t="e">
        <v>#N/A</v>
      </c>
      <c r="H166" s="180" t="e">
        <v>#N/A</v>
      </c>
      <c r="I166" s="863" t="e">
        <f t="shared" si="22"/>
        <v>#N/A</v>
      </c>
      <c r="J166" s="3162" t="e">
        <v>#N/A</v>
      </c>
      <c r="K166" s="180" t="e">
        <v>#N/A</v>
      </c>
      <c r="L166" s="3184" t="e">
        <f t="shared" si="23"/>
        <v>#N/A</v>
      </c>
      <c r="M166" s="180" t="e">
        <v>#N/A</v>
      </c>
      <c r="N166" s="3162" t="e">
        <v>#N/A</v>
      </c>
      <c r="O166" s="2058" t="e">
        <v>#N/A</v>
      </c>
      <c r="P166" s="2057" t="e">
        <v>#N/A</v>
      </c>
      <c r="Q166" s="201"/>
      <c r="R166" s="201"/>
      <c r="S166" s="201"/>
      <c r="T166" s="201"/>
      <c r="U166" s="201"/>
      <c r="V166" s="201"/>
      <c r="W166" s="201"/>
      <c r="X166" s="201"/>
      <c r="Y166" s="201"/>
      <c r="Z166" s="201"/>
      <c r="AA166" s="201"/>
      <c r="AB166" s="201"/>
      <c r="AC166" s="201"/>
      <c r="AD166" s="201"/>
    </row>
    <row r="167" spans="1:30">
      <c r="A167" s="1872">
        <f t="shared" si="14"/>
        <v>2030.2</v>
      </c>
      <c r="B167" s="181" t="e">
        <f t="shared" si="20"/>
        <v>#N/A</v>
      </c>
      <c r="C167" s="3162" t="e">
        <v>#N/A</v>
      </c>
      <c r="D167" s="180" t="e">
        <v>#N/A</v>
      </c>
      <c r="E167" s="3184" t="e">
        <f t="shared" si="21"/>
        <v>#N/A</v>
      </c>
      <c r="F167" s="180" t="e">
        <v>#N/A</v>
      </c>
      <c r="G167" s="3162" t="e">
        <v>#N/A</v>
      </c>
      <c r="H167" s="180" t="e">
        <v>#N/A</v>
      </c>
      <c r="I167" s="863" t="e">
        <f t="shared" si="22"/>
        <v>#N/A</v>
      </c>
      <c r="J167" s="3162" t="e">
        <v>#N/A</v>
      </c>
      <c r="K167" s="180" t="e">
        <v>#N/A</v>
      </c>
      <c r="L167" s="3184" t="e">
        <f t="shared" si="23"/>
        <v>#N/A</v>
      </c>
      <c r="M167" s="180" t="e">
        <v>#N/A</v>
      </c>
      <c r="N167" s="3162" t="e">
        <v>#N/A</v>
      </c>
      <c r="O167" s="2058" t="e">
        <v>#N/A</v>
      </c>
      <c r="P167" s="2057" t="e">
        <v>#N/A</v>
      </c>
      <c r="Q167" s="201"/>
      <c r="R167" s="201"/>
      <c r="S167" s="201"/>
      <c r="T167" s="201"/>
      <c r="U167" s="201"/>
      <c r="V167" s="201"/>
      <c r="W167" s="201"/>
      <c r="X167" s="201"/>
      <c r="Y167" s="201"/>
      <c r="Z167" s="201"/>
      <c r="AA167" s="201"/>
      <c r="AB167" s="201"/>
      <c r="AC167" s="201"/>
      <c r="AD167" s="201"/>
    </row>
    <row r="168" spans="1:30">
      <c r="A168" s="1872">
        <f t="shared" si="14"/>
        <v>2030.3</v>
      </c>
      <c r="B168" s="181" t="e">
        <f t="shared" si="20"/>
        <v>#N/A</v>
      </c>
      <c r="C168" s="3162" t="e">
        <v>#N/A</v>
      </c>
      <c r="D168" s="180" t="e">
        <v>#N/A</v>
      </c>
      <c r="E168" s="3184" t="e">
        <f t="shared" si="21"/>
        <v>#N/A</v>
      </c>
      <c r="F168" s="180" t="e">
        <v>#N/A</v>
      </c>
      <c r="G168" s="3162" t="e">
        <v>#N/A</v>
      </c>
      <c r="H168" s="180" t="e">
        <v>#N/A</v>
      </c>
      <c r="I168" s="863" t="e">
        <f t="shared" si="22"/>
        <v>#N/A</v>
      </c>
      <c r="J168" s="3162" t="e">
        <v>#N/A</v>
      </c>
      <c r="K168" s="180" t="e">
        <v>#N/A</v>
      </c>
      <c r="L168" s="3184" t="e">
        <f t="shared" si="23"/>
        <v>#N/A</v>
      </c>
      <c r="M168" s="180" t="e">
        <v>#N/A</v>
      </c>
      <c r="N168" s="3162" t="e">
        <v>#N/A</v>
      </c>
      <c r="O168" s="2058" t="e">
        <v>#N/A</v>
      </c>
      <c r="P168" s="2057" t="e">
        <v>#N/A</v>
      </c>
      <c r="Q168" s="201"/>
      <c r="R168" s="201"/>
      <c r="S168" s="201"/>
      <c r="T168" s="201"/>
      <c r="U168" s="201"/>
      <c r="V168" s="201"/>
      <c r="W168" s="201"/>
      <c r="X168" s="201"/>
      <c r="Y168" s="201"/>
      <c r="Z168" s="201"/>
      <c r="AA168" s="201"/>
      <c r="AB168" s="201"/>
      <c r="AC168" s="201"/>
      <c r="AD168" s="201"/>
    </row>
    <row r="169" spans="1:30">
      <c r="A169" s="1872">
        <f t="shared" si="14"/>
        <v>2030.4</v>
      </c>
      <c r="B169" s="181" t="e">
        <f t="shared" si="20"/>
        <v>#N/A</v>
      </c>
      <c r="C169" s="3162" t="e">
        <v>#N/A</v>
      </c>
      <c r="D169" s="180" t="e">
        <v>#N/A</v>
      </c>
      <c r="E169" s="3184" t="e">
        <f t="shared" si="21"/>
        <v>#N/A</v>
      </c>
      <c r="F169" s="180" t="e">
        <v>#N/A</v>
      </c>
      <c r="G169" s="3162" t="e">
        <v>#N/A</v>
      </c>
      <c r="H169" s="180" t="e">
        <v>#N/A</v>
      </c>
      <c r="I169" s="863" t="e">
        <f t="shared" si="22"/>
        <v>#N/A</v>
      </c>
      <c r="J169" s="3162" t="e">
        <v>#N/A</v>
      </c>
      <c r="K169" s="180" t="e">
        <v>#N/A</v>
      </c>
      <c r="L169" s="3184" t="e">
        <f t="shared" si="23"/>
        <v>#N/A</v>
      </c>
      <c r="M169" s="180" t="e">
        <v>#N/A</v>
      </c>
      <c r="N169" s="3162" t="e">
        <v>#N/A</v>
      </c>
      <c r="O169" s="2058" t="e">
        <v>#N/A</v>
      </c>
      <c r="P169" s="2057" t="e">
        <v>#N/A</v>
      </c>
      <c r="Q169" s="201"/>
      <c r="R169" s="201"/>
      <c r="S169" s="201"/>
      <c r="T169" s="201"/>
      <c r="U169" s="201"/>
      <c r="V169" s="201"/>
      <c r="W169" s="201"/>
      <c r="X169" s="201"/>
      <c r="Y169" s="201"/>
      <c r="Z169" s="201"/>
      <c r="AA169" s="201"/>
      <c r="AB169" s="201"/>
      <c r="AC169" s="201"/>
      <c r="AD169" s="201"/>
    </row>
    <row r="170" spans="1:30">
      <c r="A170" s="62"/>
      <c r="B170" s="62"/>
      <c r="C170" s="62"/>
      <c r="D170" s="62"/>
      <c r="E170" s="62"/>
      <c r="F170" s="62"/>
      <c r="G170" s="62"/>
      <c r="H170" s="62"/>
      <c r="I170" s="62"/>
      <c r="J170" s="62"/>
      <c r="K170" s="62"/>
      <c r="L170" s="62"/>
      <c r="M170" s="62"/>
      <c r="N170" s="62"/>
      <c r="O170" s="62"/>
      <c r="P170" s="62"/>
      <c r="Q170" s="201"/>
      <c r="R170" s="201"/>
      <c r="S170" s="201"/>
      <c r="T170" s="201"/>
      <c r="U170" s="201"/>
      <c r="V170" s="201"/>
      <c r="W170" s="201"/>
      <c r="X170" s="201"/>
      <c r="Y170" s="201"/>
      <c r="Z170" s="201"/>
      <c r="AA170" s="201"/>
      <c r="AB170" s="201"/>
      <c r="AC170" s="201"/>
      <c r="AD170" s="201"/>
    </row>
    <row r="171" spans="1:30">
      <c r="A171" s="62"/>
      <c r="B171" s="62"/>
      <c r="C171" s="62"/>
      <c r="D171" s="62"/>
      <c r="E171" s="62"/>
      <c r="F171" s="62"/>
      <c r="G171" s="62"/>
      <c r="H171" s="62"/>
      <c r="I171" s="62"/>
      <c r="J171" s="62"/>
      <c r="K171" s="62"/>
      <c r="L171" s="62"/>
      <c r="M171" s="62"/>
      <c r="N171" s="62"/>
      <c r="O171" s="62"/>
      <c r="P171" s="62"/>
      <c r="Q171" s="201"/>
      <c r="R171" s="201"/>
      <c r="S171" s="201"/>
      <c r="T171" s="201"/>
      <c r="U171" s="201"/>
      <c r="V171" s="201"/>
      <c r="W171" s="201"/>
      <c r="X171" s="201"/>
      <c r="Y171" s="201"/>
      <c r="Z171" s="201"/>
      <c r="AA171" s="201"/>
      <c r="AB171" s="201"/>
      <c r="AC171" s="201"/>
      <c r="AD171" s="201"/>
    </row>
    <row r="172" spans="1:30">
      <c r="A172" s="62"/>
      <c r="B172" s="62"/>
      <c r="C172" s="62"/>
      <c r="D172" s="62"/>
      <c r="E172" s="62"/>
      <c r="F172" s="62"/>
      <c r="G172" s="62"/>
      <c r="H172" s="62"/>
      <c r="I172" s="62"/>
      <c r="J172" s="62"/>
      <c r="K172" s="62"/>
      <c r="L172" s="62"/>
      <c r="M172" s="62"/>
      <c r="N172" s="62"/>
      <c r="O172" s="62"/>
      <c r="P172" s="62"/>
      <c r="Q172" s="201"/>
      <c r="R172" s="201"/>
      <c r="S172" s="201"/>
      <c r="T172" s="201"/>
      <c r="U172" s="201"/>
      <c r="V172" s="201"/>
      <c r="W172" s="201"/>
      <c r="X172" s="201"/>
      <c r="Y172" s="201"/>
      <c r="Z172" s="201"/>
      <c r="AA172" s="201"/>
      <c r="AB172" s="201"/>
      <c r="AC172" s="201"/>
      <c r="AD172" s="201"/>
    </row>
    <row r="173" spans="1:30">
      <c r="A173" s="62"/>
      <c r="B173" s="62"/>
      <c r="C173" s="62"/>
      <c r="D173" s="62"/>
      <c r="E173" s="62"/>
      <c r="F173" s="62"/>
      <c r="G173" s="62"/>
      <c r="H173" s="62"/>
      <c r="I173" s="62"/>
      <c r="J173" s="62"/>
      <c r="K173" s="62"/>
      <c r="L173" s="62"/>
      <c r="M173" s="62"/>
      <c r="N173" s="62"/>
      <c r="O173" s="62"/>
      <c r="P173" s="62"/>
      <c r="Q173" s="201"/>
      <c r="R173" s="201"/>
      <c r="S173" s="201"/>
      <c r="T173" s="201"/>
      <c r="U173" s="201"/>
      <c r="V173" s="201"/>
      <c r="W173" s="201"/>
      <c r="X173" s="201"/>
      <c r="Y173" s="201"/>
      <c r="Z173" s="201"/>
      <c r="AA173" s="201"/>
      <c r="AB173" s="201"/>
      <c r="AC173" s="201"/>
      <c r="AD173" s="201"/>
    </row>
    <row r="174" spans="1:30">
      <c r="A174" s="62"/>
      <c r="B174" s="62"/>
      <c r="C174" s="62"/>
      <c r="D174" s="62"/>
      <c r="E174" s="62"/>
      <c r="F174" s="62"/>
      <c r="G174" s="62"/>
      <c r="H174" s="62"/>
      <c r="I174" s="62"/>
      <c r="J174" s="62"/>
      <c r="K174" s="62"/>
      <c r="L174" s="62"/>
      <c r="M174" s="62"/>
      <c r="N174" s="62"/>
      <c r="O174" s="62"/>
      <c r="P174" s="62"/>
      <c r="Q174" s="201"/>
      <c r="R174" s="201"/>
      <c r="S174" s="201"/>
      <c r="T174" s="201"/>
      <c r="U174" s="201"/>
      <c r="V174" s="201"/>
      <c r="W174" s="201"/>
      <c r="X174" s="201"/>
      <c r="Y174" s="201"/>
      <c r="Z174" s="201"/>
      <c r="AA174" s="201"/>
      <c r="AB174" s="201"/>
      <c r="AC174" s="201"/>
      <c r="AD174" s="201"/>
    </row>
    <row r="175" spans="1:30">
      <c r="A175" s="62"/>
      <c r="B175" s="62"/>
      <c r="C175" s="62"/>
      <c r="D175" s="62"/>
      <c r="E175" s="62"/>
      <c r="F175" s="62"/>
      <c r="G175" s="62"/>
      <c r="H175" s="62"/>
      <c r="I175" s="62"/>
      <c r="J175" s="62"/>
      <c r="K175" s="62"/>
      <c r="L175" s="62"/>
      <c r="M175" s="62"/>
      <c r="N175" s="62"/>
      <c r="O175" s="62"/>
      <c r="P175" s="62"/>
      <c r="Q175" s="201"/>
      <c r="R175" s="201"/>
      <c r="S175" s="201"/>
      <c r="T175" s="201"/>
      <c r="U175" s="201"/>
      <c r="V175" s="201"/>
      <c r="W175" s="201"/>
      <c r="X175" s="201"/>
      <c r="Y175" s="201"/>
      <c r="Z175" s="201"/>
      <c r="AA175" s="201"/>
      <c r="AB175" s="201"/>
      <c r="AC175" s="201"/>
      <c r="AD175" s="201"/>
    </row>
    <row r="176" spans="1:30">
      <c r="A176" s="62"/>
      <c r="B176" s="62"/>
      <c r="C176" s="62"/>
      <c r="D176" s="62"/>
      <c r="E176" s="62"/>
      <c r="F176" s="62"/>
      <c r="G176" s="62"/>
      <c r="H176" s="62"/>
      <c r="I176" s="62"/>
      <c r="J176" s="62"/>
      <c r="K176" s="62"/>
      <c r="L176" s="62"/>
      <c r="M176" s="62"/>
      <c r="N176" s="62"/>
      <c r="O176" s="62"/>
      <c r="P176" s="62"/>
      <c r="Q176" s="201"/>
      <c r="R176" s="201"/>
      <c r="S176" s="201"/>
      <c r="T176" s="201"/>
      <c r="U176" s="201"/>
      <c r="V176" s="201"/>
      <c r="W176" s="201"/>
      <c r="X176" s="201"/>
      <c r="Y176" s="201"/>
      <c r="Z176" s="201"/>
      <c r="AA176" s="201"/>
      <c r="AB176" s="201"/>
      <c r="AC176" s="201"/>
      <c r="AD176" s="201"/>
    </row>
    <row r="177" spans="16:30">
      <c r="P177" s="62"/>
      <c r="Q177" s="62"/>
      <c r="R177" s="62"/>
      <c r="S177" s="62"/>
      <c r="T177" s="62"/>
      <c r="U177" s="62"/>
      <c r="V177" s="62"/>
      <c r="W177" s="62"/>
      <c r="X177" s="62"/>
      <c r="Y177" s="62"/>
      <c r="Z177" s="62"/>
      <c r="AA177" s="62"/>
      <c r="AB177" s="62"/>
      <c r="AC177" s="62"/>
      <c r="AD177" s="62"/>
    </row>
    <row r="178" spans="16:30">
      <c r="P178" s="62"/>
      <c r="Q178" s="62"/>
      <c r="R178" s="62"/>
      <c r="S178" s="62"/>
      <c r="T178" s="62"/>
      <c r="U178" s="62"/>
      <c r="V178" s="62"/>
      <c r="W178" s="62"/>
      <c r="X178" s="62"/>
      <c r="Y178" s="62"/>
      <c r="Z178" s="62"/>
      <c r="AA178" s="62"/>
      <c r="AB178" s="62"/>
      <c r="AC178" s="62"/>
      <c r="AD178" s="62"/>
    </row>
    <row r="179" spans="16:30">
      <c r="P179" s="62"/>
      <c r="Q179" s="62"/>
      <c r="R179" s="62"/>
      <c r="S179" s="62"/>
      <c r="T179" s="62"/>
      <c r="U179" s="62"/>
      <c r="V179" s="62"/>
      <c r="W179" s="62"/>
      <c r="X179" s="62"/>
      <c r="Y179" s="62"/>
      <c r="Z179" s="62"/>
      <c r="AA179" s="62"/>
      <c r="AB179" s="62"/>
      <c r="AC179" s="62"/>
      <c r="AD179" s="62"/>
    </row>
    <row r="180" spans="16:30">
      <c r="P180" s="62"/>
      <c r="Q180" s="201"/>
      <c r="R180" s="201"/>
      <c r="S180" s="201"/>
      <c r="T180" s="201"/>
      <c r="U180" s="201"/>
      <c r="V180" s="201"/>
      <c r="W180" s="201"/>
      <c r="X180" s="201"/>
      <c r="Y180" s="201"/>
      <c r="Z180" s="201"/>
      <c r="AA180" s="201"/>
      <c r="AB180" s="201"/>
      <c r="AC180" s="201"/>
      <c r="AD180" s="201"/>
    </row>
  </sheetData>
  <phoneticPr fontId="0" type="noConversion"/>
  <hyperlinks>
    <hyperlink ref="A5" location="INDICE!A13" display="VOLVER AL INDICE" xr:uid="{00000000-0004-0000-2000-000000000000}"/>
  </hyperlinks>
  <pageMargins left="0.75" right="0.75" top="1" bottom="1" header="0" footer="0"/>
  <pageSetup paperSize="9" orientation="portrait" horizontalDpi="300" verticalDpi="300" r:id="rId1"/>
  <headerFooter alignWithMargins="0"/>
  <ignoredErrors>
    <ignoredError sqref="D148"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2"/>
  <dimension ref="A1:G453"/>
  <sheetViews>
    <sheetView zoomScale="130" zoomScaleNormal="130" workbookViewId="0">
      <pane xSplit="1" ySplit="9" topLeftCell="B366" activePane="bottomRight" state="frozen"/>
      <selection pane="topRight" activeCell="A5" sqref="A5"/>
      <selection pane="bottomLeft" activeCell="A5" sqref="A5"/>
      <selection pane="bottomRight" activeCell="C386" sqref="C386"/>
    </sheetView>
  </sheetViews>
  <sheetFormatPr baseColWidth="10" defaultColWidth="11.42578125" defaultRowHeight="12.75"/>
  <cols>
    <col min="1" max="1" width="10" style="24" customWidth="1"/>
    <col min="2" max="5" width="16.42578125" style="24" customWidth="1"/>
    <col min="6" max="6" width="16.42578125" style="10" customWidth="1"/>
    <col min="7" max="16384" width="11.42578125" style="10"/>
  </cols>
  <sheetData>
    <row r="1" spans="1:6" ht="3" customHeight="1">
      <c r="A1" s="2373"/>
      <c r="B1" s="2059"/>
      <c r="C1" s="2059"/>
      <c r="D1" s="2060"/>
      <c r="E1" s="2059"/>
      <c r="F1" s="2061"/>
    </row>
    <row r="2" spans="1:6" ht="33.75">
      <c r="A2" s="2373" t="s">
        <v>105</v>
      </c>
      <c r="B2" s="1063" t="s">
        <v>1071</v>
      </c>
      <c r="C2" s="1064" t="s">
        <v>1072</v>
      </c>
      <c r="D2" s="3186" t="s">
        <v>1073</v>
      </c>
      <c r="E2" s="1063" t="s">
        <v>1074</v>
      </c>
      <c r="F2" s="2062" t="s">
        <v>107</v>
      </c>
    </row>
    <row r="3" spans="1:6" ht="22.5">
      <c r="A3" s="2373" t="s">
        <v>212</v>
      </c>
      <c r="B3" s="1788" t="s">
        <v>1075</v>
      </c>
      <c r="C3" s="2379"/>
      <c r="D3" s="1958" t="s">
        <v>1076</v>
      </c>
      <c r="E3" s="382" t="s">
        <v>118</v>
      </c>
      <c r="F3" s="1882" t="s">
        <v>1075</v>
      </c>
    </row>
    <row r="4" spans="1:6" ht="3" hidden="1" customHeight="1">
      <c r="A4" s="2373"/>
      <c r="B4" s="2059"/>
      <c r="C4" s="2059"/>
      <c r="D4" s="2060"/>
      <c r="E4" s="2059"/>
      <c r="F4" s="2061"/>
    </row>
    <row r="5" spans="1:6" s="114" customFormat="1" ht="22.5">
      <c r="A5" s="2390" t="s">
        <v>137</v>
      </c>
      <c r="B5" s="2434"/>
      <c r="C5" s="901"/>
      <c r="D5" s="1942" t="s">
        <v>1077</v>
      </c>
      <c r="E5" s="8" t="s">
        <v>1078</v>
      </c>
      <c r="F5" s="2054"/>
    </row>
    <row r="6" spans="1:6" ht="3" hidden="1" customHeight="1">
      <c r="A6" s="105"/>
      <c r="B6" s="901"/>
      <c r="C6" s="901"/>
      <c r="D6" s="2063"/>
      <c r="E6" s="901"/>
      <c r="F6" s="2064"/>
    </row>
    <row r="7" spans="1:6" ht="22.5">
      <c r="A7" s="2373" t="s">
        <v>123</v>
      </c>
      <c r="B7" s="2445" t="s">
        <v>1079</v>
      </c>
      <c r="C7" s="2065" t="s">
        <v>1080</v>
      </c>
      <c r="D7" s="2063" t="s">
        <v>1081</v>
      </c>
      <c r="E7" s="2066" t="s">
        <v>299</v>
      </c>
      <c r="F7" s="2067" t="s">
        <v>1082</v>
      </c>
    </row>
    <row r="8" spans="1:6" ht="13.5" thickBot="1">
      <c r="A8" s="2912" t="s">
        <v>141</v>
      </c>
      <c r="B8" s="3287" t="s">
        <v>1083</v>
      </c>
      <c r="C8" s="3288" t="s">
        <v>1084</v>
      </c>
      <c r="D8" s="3289" t="s">
        <v>1085</v>
      </c>
      <c r="E8" s="3290" t="s">
        <v>1086</v>
      </c>
      <c r="F8" s="3291" t="s">
        <v>1087</v>
      </c>
    </row>
    <row r="9" spans="1:6" ht="13.5" hidden="1" thickBot="1">
      <c r="A9" s="93"/>
      <c r="B9" s="2068"/>
      <c r="C9" s="2068"/>
      <c r="D9" s="2069"/>
      <c r="E9" s="2068"/>
      <c r="F9" s="3286"/>
    </row>
    <row r="10" spans="1:6">
      <c r="A10" s="63">
        <v>1994.01</v>
      </c>
      <c r="B10" s="557">
        <v>683.12</v>
      </c>
      <c r="C10" s="558">
        <v>23245.79</v>
      </c>
      <c r="D10" s="2070"/>
      <c r="E10" s="519"/>
      <c r="F10" s="556">
        <v>481.60998499999999</v>
      </c>
    </row>
    <row r="11" spans="1:6">
      <c r="A11" s="63">
        <v>1994.02</v>
      </c>
      <c r="B11" s="481">
        <v>652.01</v>
      </c>
      <c r="C11" s="559">
        <v>21925.78</v>
      </c>
      <c r="D11" s="2070"/>
      <c r="E11" s="520"/>
      <c r="F11" s="522">
        <v>467.14001500000001</v>
      </c>
    </row>
    <row r="12" spans="1:6">
      <c r="A12" s="63">
        <v>1994.03</v>
      </c>
      <c r="B12" s="481">
        <v>558.75</v>
      </c>
      <c r="C12" s="559">
        <v>19210.43</v>
      </c>
      <c r="D12" s="2070"/>
      <c r="E12" s="520"/>
      <c r="F12" s="522">
        <v>445.76998900000001</v>
      </c>
    </row>
    <row r="13" spans="1:6">
      <c r="A13" s="63">
        <v>1994.04</v>
      </c>
      <c r="B13" s="481">
        <v>545.84</v>
      </c>
      <c r="C13" s="559">
        <v>19119.28</v>
      </c>
      <c r="D13" s="2070"/>
      <c r="E13" s="520"/>
      <c r="F13" s="522">
        <v>450.91000400000001</v>
      </c>
    </row>
    <row r="14" spans="1:6">
      <c r="A14" s="63">
        <v>1994.05</v>
      </c>
      <c r="B14" s="481">
        <v>605.28</v>
      </c>
      <c r="C14" s="559">
        <v>21058.97</v>
      </c>
      <c r="D14" s="2070"/>
      <c r="E14" s="520"/>
      <c r="F14" s="522">
        <v>456.5</v>
      </c>
    </row>
    <row r="15" spans="1:6">
      <c r="A15" s="63">
        <v>1994.06</v>
      </c>
      <c r="B15" s="481">
        <v>519.1</v>
      </c>
      <c r="C15" s="559">
        <v>18001.439999999999</v>
      </c>
      <c r="D15" s="2070"/>
      <c r="E15" s="520"/>
      <c r="F15" s="522">
        <v>444.26998900000001</v>
      </c>
    </row>
    <row r="16" spans="1:6">
      <c r="A16" s="63">
        <v>1994.07</v>
      </c>
      <c r="B16" s="481">
        <v>545.53</v>
      </c>
      <c r="C16" s="559">
        <v>19532.18</v>
      </c>
      <c r="D16" s="2070"/>
      <c r="E16" s="520"/>
      <c r="F16" s="522">
        <v>458.26001000000002</v>
      </c>
    </row>
    <row r="17" spans="1:6">
      <c r="A17" s="63">
        <v>1994.08</v>
      </c>
      <c r="B17" s="481">
        <v>603.26</v>
      </c>
      <c r="C17" s="559">
        <v>21235.37</v>
      </c>
      <c r="D17" s="2070"/>
      <c r="E17" s="520"/>
      <c r="F17" s="522">
        <v>475.48998999999998</v>
      </c>
    </row>
    <row r="18" spans="1:6">
      <c r="A18" s="63">
        <v>1994.09</v>
      </c>
      <c r="B18" s="481">
        <v>604.54999999999995</v>
      </c>
      <c r="C18" s="559">
        <v>20534.650000000001</v>
      </c>
      <c r="D18" s="2070"/>
      <c r="E18" s="520"/>
      <c r="F18" s="522">
        <v>462.709991</v>
      </c>
    </row>
    <row r="19" spans="1:6">
      <c r="A19" s="63">
        <v>1994.1</v>
      </c>
      <c r="B19" s="481">
        <v>574.51</v>
      </c>
      <c r="C19" s="559">
        <v>19317.740000000002</v>
      </c>
      <c r="D19" s="2070"/>
      <c r="E19" s="520"/>
      <c r="F19" s="522">
        <v>472.35000600000001</v>
      </c>
    </row>
    <row r="20" spans="1:6">
      <c r="A20" s="63">
        <v>1994.11</v>
      </c>
      <c r="B20" s="481">
        <v>525.28</v>
      </c>
      <c r="C20" s="559">
        <v>17929.2</v>
      </c>
      <c r="D20" s="2070"/>
      <c r="E20" s="520"/>
      <c r="F20" s="522">
        <v>453.69000199999999</v>
      </c>
    </row>
    <row r="21" spans="1:6">
      <c r="A21" s="63">
        <v>1994.12</v>
      </c>
      <c r="B21" s="481">
        <v>460.49</v>
      </c>
      <c r="C21" s="559">
        <v>15855.62</v>
      </c>
      <c r="D21" s="2070"/>
      <c r="E21" s="520"/>
      <c r="F21" s="522">
        <v>459.26998900000001</v>
      </c>
    </row>
    <row r="22" spans="1:6">
      <c r="A22" s="63">
        <f t="shared" ref="A22:A41" si="0">A10+1</f>
        <v>1995.01</v>
      </c>
      <c r="B22" s="481">
        <v>435</v>
      </c>
      <c r="C22" s="559">
        <v>15016.51</v>
      </c>
      <c r="D22" s="2070"/>
      <c r="E22" s="520"/>
      <c r="F22" s="522">
        <v>470.42001299999998</v>
      </c>
    </row>
    <row r="23" spans="1:6">
      <c r="A23" s="63">
        <f t="shared" si="0"/>
        <v>1995.02</v>
      </c>
      <c r="B23" s="481">
        <v>322.54000000000002</v>
      </c>
      <c r="C23" s="559">
        <v>11992.69</v>
      </c>
      <c r="D23" s="2070"/>
      <c r="E23" s="520"/>
      <c r="F23" s="522">
        <v>487.39001500000001</v>
      </c>
    </row>
    <row r="24" spans="1:6">
      <c r="A24" s="63">
        <f t="shared" si="0"/>
        <v>1995.03</v>
      </c>
      <c r="B24" s="481">
        <v>382.46</v>
      </c>
      <c r="C24" s="559">
        <v>13958.11</v>
      </c>
      <c r="D24" s="2070"/>
      <c r="E24" s="520"/>
      <c r="F24" s="522">
        <v>500.709991</v>
      </c>
    </row>
    <row r="25" spans="1:6">
      <c r="A25" s="63">
        <f t="shared" si="0"/>
        <v>1995.04</v>
      </c>
      <c r="B25" s="481">
        <v>391.99</v>
      </c>
      <c r="C25" s="559">
        <v>14211.59</v>
      </c>
      <c r="D25" s="2070"/>
      <c r="E25" s="520"/>
      <c r="F25" s="522">
        <v>514.71002199999998</v>
      </c>
    </row>
    <row r="26" spans="1:6">
      <c r="A26" s="63">
        <f t="shared" si="0"/>
        <v>1995.05</v>
      </c>
      <c r="B26" s="481">
        <v>434</v>
      </c>
      <c r="C26" s="559">
        <v>15303.64</v>
      </c>
      <c r="D26" s="2070"/>
      <c r="E26" s="520"/>
      <c r="F26" s="522">
        <v>533.40002400000003</v>
      </c>
    </row>
    <row r="27" spans="1:6">
      <c r="A27" s="63">
        <f t="shared" si="0"/>
        <v>1995.06</v>
      </c>
      <c r="B27" s="481">
        <v>405.55</v>
      </c>
      <c r="C27" s="559">
        <v>14384.3</v>
      </c>
      <c r="D27" s="2070"/>
      <c r="E27" s="520"/>
      <c r="F27" s="522">
        <v>544.75</v>
      </c>
    </row>
    <row r="28" spans="1:6">
      <c r="A28" s="63">
        <f t="shared" si="0"/>
        <v>1995.07</v>
      </c>
      <c r="B28" s="481">
        <v>456.99</v>
      </c>
      <c r="C28" s="559">
        <v>15137.61</v>
      </c>
      <c r="D28" s="2070"/>
      <c r="E28" s="520"/>
      <c r="F28" s="522">
        <v>562.05999799999995</v>
      </c>
    </row>
    <row r="29" spans="1:6">
      <c r="A29" s="63">
        <f t="shared" si="0"/>
        <v>1995.08</v>
      </c>
      <c r="B29" s="481">
        <v>453.86</v>
      </c>
      <c r="C29" s="559">
        <v>14552.71</v>
      </c>
      <c r="D29" s="2070"/>
      <c r="E29" s="520"/>
      <c r="F29" s="522">
        <v>561.88000499999998</v>
      </c>
    </row>
    <row r="30" spans="1:6">
      <c r="A30" s="63">
        <f t="shared" si="0"/>
        <v>1995.09</v>
      </c>
      <c r="B30" s="481">
        <v>431.74</v>
      </c>
      <c r="C30" s="559">
        <v>14117.71</v>
      </c>
      <c r="D30" s="2070"/>
      <c r="E30" s="520"/>
      <c r="F30" s="522">
        <v>584.40997300000004</v>
      </c>
    </row>
    <row r="31" spans="1:6">
      <c r="A31" s="63">
        <f t="shared" si="0"/>
        <v>1995.1</v>
      </c>
      <c r="B31" s="481">
        <v>406.82</v>
      </c>
      <c r="C31" s="559">
        <v>13288.84</v>
      </c>
      <c r="D31" s="2070"/>
      <c r="E31" s="520"/>
      <c r="F31" s="522">
        <v>581.5</v>
      </c>
    </row>
    <row r="32" spans="1:6">
      <c r="A32" s="63">
        <f t="shared" si="0"/>
        <v>1995.11</v>
      </c>
      <c r="B32" s="481">
        <v>472.2</v>
      </c>
      <c r="C32" s="559">
        <v>15052.6</v>
      </c>
      <c r="D32" s="2070"/>
      <c r="E32" s="520"/>
      <c r="F32" s="522">
        <v>605.36999500000002</v>
      </c>
    </row>
    <row r="33" spans="1:6">
      <c r="A33" s="63">
        <f t="shared" si="0"/>
        <v>1995.12</v>
      </c>
      <c r="B33" s="481">
        <v>518.96</v>
      </c>
      <c r="C33" s="559">
        <v>16237.81</v>
      </c>
      <c r="D33" s="2070"/>
      <c r="E33" s="520"/>
      <c r="F33" s="522">
        <v>615.92999299999997</v>
      </c>
    </row>
    <row r="34" spans="1:6">
      <c r="A34" s="63">
        <f t="shared" si="0"/>
        <v>1996.01</v>
      </c>
      <c r="B34" s="481">
        <v>563.25</v>
      </c>
      <c r="C34" s="559">
        <v>18191.57</v>
      </c>
      <c r="D34" s="2070"/>
      <c r="E34" s="520"/>
      <c r="F34" s="522">
        <v>636.02002000000005</v>
      </c>
    </row>
    <row r="35" spans="1:6">
      <c r="A35" s="63">
        <f t="shared" si="0"/>
        <v>1996.02</v>
      </c>
      <c r="B35" s="481">
        <v>495.78</v>
      </c>
      <c r="C35" s="559">
        <v>15818.59</v>
      </c>
      <c r="D35" s="2070"/>
      <c r="E35" s="520"/>
      <c r="F35" s="522">
        <v>640.42999299999997</v>
      </c>
    </row>
    <row r="36" spans="1:6">
      <c r="A36" s="63">
        <f t="shared" si="0"/>
        <v>1996.03</v>
      </c>
      <c r="B36" s="481">
        <v>509.35</v>
      </c>
      <c r="C36" s="559">
        <v>16074.17</v>
      </c>
      <c r="D36" s="2070"/>
      <c r="E36" s="520"/>
      <c r="F36" s="522">
        <v>645.5</v>
      </c>
    </row>
    <row r="37" spans="1:6">
      <c r="A37" s="63">
        <f t="shared" si="0"/>
        <v>1996.04</v>
      </c>
      <c r="B37" s="481">
        <v>566.11</v>
      </c>
      <c r="C37" s="559">
        <v>17580.310000000001</v>
      </c>
      <c r="D37" s="2070"/>
      <c r="E37" s="520"/>
      <c r="F37" s="522">
        <v>654.169983</v>
      </c>
    </row>
    <row r="38" spans="1:6">
      <c r="A38" s="63">
        <f t="shared" si="0"/>
        <v>1996.05</v>
      </c>
      <c r="B38" s="481">
        <v>600.44000000000005</v>
      </c>
      <c r="C38" s="559">
        <v>18214.810000000001</v>
      </c>
      <c r="D38" s="2070"/>
      <c r="E38" s="520"/>
      <c r="F38" s="522">
        <v>669.11999500000002</v>
      </c>
    </row>
    <row r="39" spans="1:6">
      <c r="A39" s="63">
        <f t="shared" si="0"/>
        <v>1996.06</v>
      </c>
      <c r="B39" s="481">
        <v>607.4</v>
      </c>
      <c r="C39" s="559">
        <v>18440.080000000002</v>
      </c>
      <c r="D39" s="2070"/>
      <c r="E39" s="520"/>
      <c r="F39" s="522">
        <v>670.63000499999998</v>
      </c>
    </row>
    <row r="40" spans="1:6">
      <c r="A40" s="63">
        <f t="shared" si="0"/>
        <v>1996.07</v>
      </c>
      <c r="B40" s="481">
        <v>529.09</v>
      </c>
      <c r="C40" s="559">
        <v>16026.89</v>
      </c>
      <c r="D40" s="2070"/>
      <c r="E40" s="520"/>
      <c r="F40" s="522">
        <v>639.95001200000002</v>
      </c>
    </row>
    <row r="41" spans="1:6">
      <c r="A41" s="63">
        <f t="shared" si="0"/>
        <v>1996.08</v>
      </c>
      <c r="B41" s="481">
        <v>509.43</v>
      </c>
      <c r="C41" s="559">
        <v>15714.82</v>
      </c>
      <c r="D41" s="2070"/>
      <c r="E41" s="520"/>
      <c r="F41" s="522">
        <v>651.98999000000003</v>
      </c>
    </row>
    <row r="42" spans="1:6">
      <c r="A42" s="63">
        <f t="shared" ref="A42:A73" si="1">A30+1</f>
        <v>1996.09</v>
      </c>
      <c r="B42" s="481">
        <v>558.86</v>
      </c>
      <c r="C42" s="559">
        <v>16951.77</v>
      </c>
      <c r="D42" s="2070"/>
      <c r="E42" s="520"/>
      <c r="F42" s="522">
        <v>687.330017</v>
      </c>
    </row>
    <row r="43" spans="1:6">
      <c r="A43" s="63">
        <f t="shared" si="1"/>
        <v>1996.1</v>
      </c>
      <c r="B43" s="481">
        <v>570.45000000000005</v>
      </c>
      <c r="C43" s="559">
        <v>16742.86</v>
      </c>
      <c r="D43" s="2070"/>
      <c r="E43" s="520"/>
      <c r="F43" s="522">
        <v>705.27002000000005</v>
      </c>
    </row>
    <row r="44" spans="1:6">
      <c r="A44" s="63">
        <f t="shared" si="1"/>
        <v>1996.11</v>
      </c>
      <c r="B44" s="481">
        <v>617.03</v>
      </c>
      <c r="C44" s="559">
        <v>17748.68</v>
      </c>
      <c r="D44" s="2070"/>
      <c r="E44" s="520"/>
      <c r="F44" s="522">
        <v>757.02002000000005</v>
      </c>
    </row>
    <row r="45" spans="1:6">
      <c r="A45" s="63">
        <f t="shared" si="1"/>
        <v>1996.12</v>
      </c>
      <c r="B45" s="481">
        <v>649.37</v>
      </c>
      <c r="C45" s="559">
        <v>18494.87</v>
      </c>
      <c r="D45" s="2070"/>
      <c r="E45" s="520"/>
      <c r="F45" s="522">
        <v>740.73999000000003</v>
      </c>
    </row>
    <row r="46" spans="1:6">
      <c r="A46" s="63">
        <f t="shared" si="1"/>
        <v>1997.01</v>
      </c>
      <c r="B46" s="481">
        <v>692.51</v>
      </c>
      <c r="C46" s="559">
        <v>20129.14</v>
      </c>
      <c r="D46" s="2070"/>
      <c r="E46" s="520"/>
      <c r="F46" s="522">
        <v>786.15997300000004</v>
      </c>
    </row>
    <row r="47" spans="1:6">
      <c r="A47" s="63">
        <f t="shared" si="1"/>
        <v>1997.02</v>
      </c>
      <c r="B47" s="481">
        <v>717.65</v>
      </c>
      <c r="C47" s="559">
        <v>20413.509999999998</v>
      </c>
      <c r="D47" s="2070"/>
      <c r="E47" s="520"/>
      <c r="F47" s="522">
        <v>790.82000700000003</v>
      </c>
    </row>
    <row r="48" spans="1:6">
      <c r="A48" s="63">
        <f t="shared" si="1"/>
        <v>1997.03</v>
      </c>
      <c r="B48" s="481">
        <v>706.08</v>
      </c>
      <c r="C48" s="559">
        <v>20149.71</v>
      </c>
      <c r="D48" s="2070"/>
      <c r="E48" s="520"/>
      <c r="F48" s="522">
        <v>757.11999500000002</v>
      </c>
    </row>
    <row r="49" spans="1:6">
      <c r="A49" s="63">
        <f t="shared" si="1"/>
        <v>1997.04</v>
      </c>
      <c r="B49" s="481">
        <v>722.6</v>
      </c>
      <c r="C49" s="559">
        <v>21027.9</v>
      </c>
      <c r="D49" s="2070"/>
      <c r="E49" s="520"/>
      <c r="F49" s="522">
        <v>801.34002699999996</v>
      </c>
    </row>
    <row r="50" spans="1:6">
      <c r="A50" s="63">
        <f t="shared" si="1"/>
        <v>1997.05</v>
      </c>
      <c r="B50" s="481">
        <v>778.08</v>
      </c>
      <c r="C50" s="559">
        <v>22386.89</v>
      </c>
      <c r="D50" s="2070"/>
      <c r="E50" s="520"/>
      <c r="F50" s="522">
        <v>848.28002900000001</v>
      </c>
    </row>
    <row r="51" spans="1:6">
      <c r="A51" s="63">
        <f t="shared" si="1"/>
        <v>1997.06</v>
      </c>
      <c r="B51" s="481">
        <v>809.41</v>
      </c>
      <c r="C51" s="559">
        <v>22793.84</v>
      </c>
      <c r="D51" s="2070"/>
      <c r="E51" s="520"/>
      <c r="F51" s="522">
        <v>885.14001499999995</v>
      </c>
    </row>
    <row r="52" spans="1:6">
      <c r="A52" s="63">
        <f t="shared" si="1"/>
        <v>1997.07</v>
      </c>
      <c r="B52" s="481">
        <v>850.03</v>
      </c>
      <c r="C52" s="559">
        <v>24602.29</v>
      </c>
      <c r="D52" s="2070"/>
      <c r="E52" s="520"/>
      <c r="F52" s="522">
        <v>954.30999799999995</v>
      </c>
    </row>
    <row r="53" spans="1:6">
      <c r="A53" s="63">
        <f t="shared" si="1"/>
        <v>1997.08</v>
      </c>
      <c r="B53" s="481">
        <v>832.93</v>
      </c>
      <c r="C53" s="559">
        <v>24028.32</v>
      </c>
      <c r="D53" s="2070"/>
      <c r="E53" s="520"/>
      <c r="F53" s="522">
        <v>899.46997099999999</v>
      </c>
    </row>
    <row r="54" spans="1:6">
      <c r="A54" s="63">
        <f t="shared" si="1"/>
        <v>1997.09</v>
      </c>
      <c r="B54" s="481">
        <v>822.47</v>
      </c>
      <c r="C54" s="559">
        <v>24761.43</v>
      </c>
      <c r="D54" s="2070"/>
      <c r="E54" s="520"/>
      <c r="F54" s="522">
        <v>947.28002900000001</v>
      </c>
    </row>
    <row r="55" spans="1:6">
      <c r="A55" s="63">
        <f t="shared" si="1"/>
        <v>1997.1</v>
      </c>
      <c r="B55" s="481">
        <v>660.24</v>
      </c>
      <c r="C55" s="559">
        <v>20418.11</v>
      </c>
      <c r="D55" s="2070"/>
      <c r="E55" s="520"/>
      <c r="F55" s="522">
        <v>914.61999500000002</v>
      </c>
    </row>
    <row r="56" spans="1:6">
      <c r="A56" s="63">
        <f t="shared" si="1"/>
        <v>1997.11</v>
      </c>
      <c r="B56" s="481">
        <v>655.6</v>
      </c>
      <c r="C56" s="559">
        <v>21846.95</v>
      </c>
      <c r="D56" s="2070"/>
      <c r="E56" s="520"/>
      <c r="F56" s="522">
        <v>955.40002400000003</v>
      </c>
    </row>
    <row r="57" spans="1:6">
      <c r="A57" s="63">
        <f t="shared" si="1"/>
        <v>1997.12</v>
      </c>
      <c r="B57" s="481">
        <v>687.5</v>
      </c>
      <c r="C57" s="559">
        <v>23071.71</v>
      </c>
      <c r="D57" s="2070"/>
      <c r="E57" s="520"/>
      <c r="F57" s="522">
        <v>970.42999299999997</v>
      </c>
    </row>
    <row r="58" spans="1:6">
      <c r="A58" s="63">
        <f t="shared" si="1"/>
        <v>1998.01</v>
      </c>
      <c r="B58" s="481">
        <v>612.38</v>
      </c>
      <c r="C58" s="559">
        <v>21045.69</v>
      </c>
      <c r="D58" s="2070"/>
      <c r="E58" s="520"/>
      <c r="F58" s="522">
        <v>980.28002900000001</v>
      </c>
    </row>
    <row r="59" spans="1:6">
      <c r="A59" s="63">
        <f t="shared" si="1"/>
        <v>1998.02</v>
      </c>
      <c r="B59" s="481">
        <v>686.64</v>
      </c>
      <c r="C59" s="559">
        <v>22724.560000000001</v>
      </c>
      <c r="D59" s="2070"/>
      <c r="E59" s="520"/>
      <c r="F59" s="522">
        <v>1049.339966</v>
      </c>
    </row>
    <row r="60" spans="1:6">
      <c r="A60" s="63">
        <f t="shared" si="1"/>
        <v>1998.03</v>
      </c>
      <c r="B60" s="481">
        <v>709.97</v>
      </c>
      <c r="C60" s="559">
        <v>23394.93</v>
      </c>
      <c r="D60" s="2070"/>
      <c r="E60" s="520"/>
      <c r="F60" s="522">
        <v>1101.75</v>
      </c>
    </row>
    <row r="61" spans="1:6">
      <c r="A61" s="63">
        <f t="shared" si="1"/>
        <v>1998.04</v>
      </c>
      <c r="B61" s="481">
        <v>698.9</v>
      </c>
      <c r="C61" s="559">
        <v>23229.56</v>
      </c>
      <c r="D61" s="2070"/>
      <c r="E61" s="520"/>
      <c r="F61" s="522">
        <v>1111.75</v>
      </c>
    </row>
    <row r="62" spans="1:6">
      <c r="A62" s="63">
        <f t="shared" si="1"/>
        <v>1998.05</v>
      </c>
      <c r="B62" s="481">
        <v>602.01</v>
      </c>
      <c r="C62" s="559">
        <v>20542.759999999998</v>
      </c>
      <c r="D62" s="2070"/>
      <c r="E62" s="520"/>
      <c r="F62" s="522">
        <v>1090.8199460000001</v>
      </c>
    </row>
    <row r="63" spans="1:6">
      <c r="A63" s="63">
        <f t="shared" si="1"/>
        <v>1998.06</v>
      </c>
      <c r="B63" s="481">
        <v>550.44000000000005</v>
      </c>
      <c r="C63" s="559">
        <v>19551.03</v>
      </c>
      <c r="D63" s="2070"/>
      <c r="E63" s="520"/>
      <c r="F63" s="522">
        <v>1133.839966</v>
      </c>
    </row>
    <row r="64" spans="1:6">
      <c r="A64" s="63">
        <f t="shared" si="1"/>
        <v>1998.07</v>
      </c>
      <c r="B64" s="481">
        <v>588.79</v>
      </c>
      <c r="C64" s="559">
        <v>20908.53</v>
      </c>
      <c r="D64" s="2070"/>
      <c r="E64" s="520"/>
      <c r="F64" s="522">
        <v>1120.670044</v>
      </c>
    </row>
    <row r="65" spans="1:6">
      <c r="A65" s="63">
        <f t="shared" si="1"/>
        <v>1998.08</v>
      </c>
      <c r="B65" s="481">
        <v>358.49</v>
      </c>
      <c r="C65" s="559">
        <v>14504.63</v>
      </c>
      <c r="D65" s="2070"/>
      <c r="E65" s="520"/>
      <c r="F65" s="522">
        <v>957.28002900000001</v>
      </c>
    </row>
    <row r="66" spans="1:6">
      <c r="A66" s="63">
        <f t="shared" si="1"/>
        <v>1998.09</v>
      </c>
      <c r="B66" s="481">
        <v>380.28</v>
      </c>
      <c r="C66" s="559">
        <v>16344.33</v>
      </c>
      <c r="D66" s="2070"/>
      <c r="E66" s="520"/>
      <c r="F66" s="522">
        <v>1017.01001</v>
      </c>
    </row>
    <row r="67" spans="1:6">
      <c r="A67" s="63">
        <f t="shared" si="1"/>
        <v>1998.1</v>
      </c>
      <c r="B67" s="481">
        <v>457.46</v>
      </c>
      <c r="C67" s="559">
        <v>18263.63</v>
      </c>
      <c r="D67" s="2070"/>
      <c r="E67" s="520"/>
      <c r="F67" s="522">
        <v>1098.670044</v>
      </c>
    </row>
    <row r="68" spans="1:6">
      <c r="A68" s="63">
        <f t="shared" si="1"/>
        <v>1998.11</v>
      </c>
      <c r="B68" s="481">
        <v>488.8</v>
      </c>
      <c r="C68" s="559">
        <v>18958.18</v>
      </c>
      <c r="D68" s="2070"/>
      <c r="E68" s="520"/>
      <c r="F68" s="522">
        <v>1163.630005</v>
      </c>
    </row>
    <row r="69" spans="1:6">
      <c r="A69" s="63">
        <f t="shared" si="1"/>
        <v>1998.12</v>
      </c>
      <c r="B69" s="481">
        <v>430.06</v>
      </c>
      <c r="C69" s="559">
        <v>17408.759999999998</v>
      </c>
      <c r="D69" s="2070"/>
      <c r="E69" s="520"/>
      <c r="F69" s="522">
        <v>1229.2299800000001</v>
      </c>
    </row>
    <row r="70" spans="1:6">
      <c r="A70" s="63">
        <f t="shared" si="1"/>
        <v>1999.01</v>
      </c>
      <c r="B70" s="481">
        <v>371.9</v>
      </c>
      <c r="C70" s="559">
        <v>15868.49</v>
      </c>
      <c r="D70" s="2070"/>
      <c r="E70" s="520"/>
      <c r="F70" s="522">
        <v>1279.6400149999999</v>
      </c>
    </row>
    <row r="71" spans="1:6">
      <c r="A71" s="63">
        <f t="shared" si="1"/>
        <v>1999.02</v>
      </c>
      <c r="B71" s="481">
        <v>380.77</v>
      </c>
      <c r="C71" s="559">
        <v>16277.13</v>
      </c>
      <c r="D71" s="2070"/>
      <c r="E71" s="520"/>
      <c r="F71" s="522">
        <v>1238.329956</v>
      </c>
    </row>
    <row r="72" spans="1:6">
      <c r="A72" s="63">
        <f t="shared" si="1"/>
        <v>1999.03</v>
      </c>
      <c r="B72" s="481">
        <v>419.78</v>
      </c>
      <c r="C72" s="559">
        <v>17298.28</v>
      </c>
      <c r="D72" s="2070"/>
      <c r="E72" s="520"/>
      <c r="F72" s="522">
        <v>1286.369995</v>
      </c>
    </row>
    <row r="73" spans="1:6">
      <c r="A73" s="63">
        <f t="shared" si="1"/>
        <v>1999.04</v>
      </c>
      <c r="B73" s="481">
        <v>563.66999999999996</v>
      </c>
      <c r="C73" s="559">
        <v>21986.74</v>
      </c>
      <c r="D73" s="2070"/>
      <c r="E73" s="520"/>
      <c r="F73" s="522">
        <v>1335.1800539999999</v>
      </c>
    </row>
    <row r="74" spans="1:6">
      <c r="A74" s="63">
        <f t="shared" ref="A74:A105" si="2">A62+1</f>
        <v>1999.05</v>
      </c>
      <c r="B74" s="481">
        <v>524.1</v>
      </c>
      <c r="C74" s="559">
        <v>20678.09</v>
      </c>
      <c r="D74" s="2070"/>
      <c r="E74" s="520"/>
      <c r="F74" s="522">
        <v>1301.839966</v>
      </c>
    </row>
    <row r="75" spans="1:6">
      <c r="A75" s="63">
        <f t="shared" si="2"/>
        <v>1999.06</v>
      </c>
      <c r="B75" s="481">
        <v>498.72</v>
      </c>
      <c r="C75" s="559">
        <v>19782.169999999998</v>
      </c>
      <c r="D75" s="2070"/>
      <c r="E75" s="520"/>
      <c r="F75" s="522">
        <v>1372.709961</v>
      </c>
    </row>
    <row r="76" spans="1:6">
      <c r="A76" s="63">
        <f t="shared" si="2"/>
        <v>1999.07</v>
      </c>
      <c r="B76" s="481">
        <v>475.68</v>
      </c>
      <c r="C76" s="559">
        <v>19088.62</v>
      </c>
      <c r="D76" s="2070"/>
      <c r="E76" s="520"/>
      <c r="F76" s="522">
        <v>1328.719971</v>
      </c>
    </row>
    <row r="77" spans="1:6">
      <c r="A77" s="63">
        <f t="shared" si="2"/>
        <v>1999.08</v>
      </c>
      <c r="B77" s="481">
        <v>506.74</v>
      </c>
      <c r="C77" s="559">
        <v>19437.73</v>
      </c>
      <c r="D77" s="2070"/>
      <c r="E77" s="520"/>
      <c r="F77" s="522">
        <v>1320.410034</v>
      </c>
    </row>
    <row r="78" spans="1:6">
      <c r="A78" s="63">
        <f t="shared" si="2"/>
        <v>1999.09</v>
      </c>
      <c r="B78" s="481">
        <v>534.4</v>
      </c>
      <c r="C78" s="559">
        <v>19884.759999999998</v>
      </c>
      <c r="D78" s="2070"/>
      <c r="E78" s="520"/>
      <c r="F78" s="522">
        <v>1282.709961</v>
      </c>
    </row>
    <row r="79" spans="1:6">
      <c r="A79" s="63">
        <f t="shared" si="2"/>
        <v>1999.1</v>
      </c>
      <c r="B79" s="481">
        <v>538.69000000000005</v>
      </c>
      <c r="C79" s="559">
        <v>20095.080000000002</v>
      </c>
      <c r="D79" s="2070"/>
      <c r="E79" s="520"/>
      <c r="F79" s="522">
        <v>1362.9300539999999</v>
      </c>
    </row>
    <row r="80" spans="1:6">
      <c r="A80" s="63">
        <f t="shared" si="2"/>
        <v>1999.11</v>
      </c>
      <c r="B80" s="481">
        <v>536.11</v>
      </c>
      <c r="C80" s="559">
        <v>20258.240000000002</v>
      </c>
      <c r="D80" s="2070"/>
      <c r="E80" s="520"/>
      <c r="F80" s="522">
        <v>1388.910034</v>
      </c>
    </row>
    <row r="81" spans="1:6">
      <c r="A81" s="63">
        <f t="shared" si="2"/>
        <v>1999.12</v>
      </c>
      <c r="B81" s="481">
        <v>550.47</v>
      </c>
      <c r="C81" s="559">
        <v>21227.75</v>
      </c>
      <c r="D81" s="2070"/>
      <c r="E81" s="520"/>
      <c r="F81" s="522">
        <v>1469.25</v>
      </c>
    </row>
    <row r="82" spans="1:6">
      <c r="A82" s="63">
        <f t="shared" si="2"/>
        <v>2000.01</v>
      </c>
      <c r="B82" s="481">
        <v>566.28</v>
      </c>
      <c r="C82" s="559">
        <v>20528.509999999998</v>
      </c>
      <c r="D82" s="2070"/>
      <c r="E82" s="520"/>
      <c r="F82" s="522">
        <v>1394.459961</v>
      </c>
    </row>
    <row r="83" spans="1:6">
      <c r="A83" s="63">
        <f t="shared" si="2"/>
        <v>2000.02</v>
      </c>
      <c r="B83" s="481">
        <v>631.64</v>
      </c>
      <c r="C83" s="559">
        <v>21399.119999999999</v>
      </c>
      <c r="D83" s="2070"/>
      <c r="E83" s="520"/>
      <c r="F83" s="522">
        <v>1366.420044</v>
      </c>
    </row>
    <row r="84" spans="1:6">
      <c r="A84" s="63">
        <f t="shared" si="2"/>
        <v>2000.03</v>
      </c>
      <c r="B84" s="481">
        <v>569.24</v>
      </c>
      <c r="C84" s="559">
        <v>19566.03</v>
      </c>
      <c r="D84" s="2070"/>
      <c r="E84" s="520"/>
      <c r="F84" s="522">
        <v>1498.579956</v>
      </c>
    </row>
    <row r="85" spans="1:6">
      <c r="A85" s="63">
        <f t="shared" si="2"/>
        <v>2000.04</v>
      </c>
      <c r="B85" s="481">
        <v>509.51</v>
      </c>
      <c r="C85" s="559">
        <v>18920.63</v>
      </c>
      <c r="D85" s="2070"/>
      <c r="E85" s="520"/>
      <c r="F85" s="522">
        <v>1452.4300539999999</v>
      </c>
    </row>
    <row r="86" spans="1:6">
      <c r="A86" s="63">
        <f t="shared" si="2"/>
        <v>2000.05</v>
      </c>
      <c r="B86" s="481">
        <v>464.3</v>
      </c>
      <c r="C86" s="559">
        <v>19570.98</v>
      </c>
      <c r="D86" s="2070"/>
      <c r="E86" s="520"/>
      <c r="F86" s="522">
        <v>1420.599976</v>
      </c>
    </row>
    <row r="87" spans="1:6">
      <c r="A87" s="63">
        <f t="shared" si="2"/>
        <v>2000.06</v>
      </c>
      <c r="B87" s="481">
        <v>496.9</v>
      </c>
      <c r="C87" s="559">
        <v>19493.400000000001</v>
      </c>
      <c r="D87" s="2070"/>
      <c r="E87" s="520"/>
      <c r="F87" s="522">
        <v>1454.599976</v>
      </c>
    </row>
    <row r="88" spans="1:6">
      <c r="A88" s="63">
        <f t="shared" si="2"/>
        <v>2000.07</v>
      </c>
      <c r="B88" s="481">
        <v>502.01</v>
      </c>
      <c r="C88" s="559">
        <v>19170.060000000001</v>
      </c>
      <c r="D88" s="2070"/>
      <c r="E88" s="520"/>
      <c r="F88" s="522">
        <v>1430.829956</v>
      </c>
    </row>
    <row r="89" spans="1:6">
      <c r="A89" s="63">
        <f t="shared" si="2"/>
        <v>2000.08</v>
      </c>
      <c r="B89" s="481">
        <v>474.66</v>
      </c>
      <c r="C89" s="559">
        <v>18934.86</v>
      </c>
      <c r="D89" s="2070"/>
      <c r="E89" s="520"/>
      <c r="F89" s="522">
        <v>1517.6800539999999</v>
      </c>
    </row>
    <row r="90" spans="1:6">
      <c r="A90" s="63">
        <f t="shared" si="2"/>
        <v>2000.09</v>
      </c>
      <c r="B90" s="481">
        <v>475.42</v>
      </c>
      <c r="C90" s="559">
        <v>18032.45</v>
      </c>
      <c r="D90" s="2070"/>
      <c r="E90" s="520"/>
      <c r="F90" s="522">
        <v>1436.51001</v>
      </c>
    </row>
    <row r="91" spans="1:6">
      <c r="A91" s="63">
        <f t="shared" si="2"/>
        <v>2000.1</v>
      </c>
      <c r="B91" s="481">
        <v>440.9</v>
      </c>
      <c r="C91" s="559">
        <v>16056.44</v>
      </c>
      <c r="D91" s="2070"/>
      <c r="E91" s="520"/>
      <c r="F91" s="522">
        <v>1429.400024</v>
      </c>
    </row>
    <row r="92" spans="1:6">
      <c r="A92" s="63">
        <f t="shared" si="2"/>
        <v>2000.11</v>
      </c>
      <c r="B92" s="481">
        <v>399.49</v>
      </c>
      <c r="C92" s="559">
        <v>16331.21</v>
      </c>
      <c r="D92" s="2070"/>
      <c r="E92" s="520"/>
      <c r="F92" s="522">
        <v>1314.9499510000001</v>
      </c>
    </row>
    <row r="93" spans="1:6">
      <c r="A93" s="63">
        <f t="shared" si="2"/>
        <v>2000.12</v>
      </c>
      <c r="B93" s="481">
        <v>416.77</v>
      </c>
      <c r="C93" s="559">
        <v>19814.740000000002</v>
      </c>
      <c r="D93" s="2070"/>
      <c r="E93" s="520"/>
      <c r="F93" s="522">
        <v>1320.280029</v>
      </c>
    </row>
    <row r="94" spans="1:6">
      <c r="A94" s="63">
        <f t="shared" si="2"/>
        <v>2001.01</v>
      </c>
      <c r="B94" s="481">
        <v>532.79999999999995</v>
      </c>
      <c r="C94" s="559">
        <v>17256.34</v>
      </c>
      <c r="D94" s="2070"/>
      <c r="E94" s="520"/>
      <c r="F94" s="522">
        <v>1366.01001</v>
      </c>
    </row>
    <row r="95" spans="1:6">
      <c r="A95" s="63">
        <f t="shared" si="2"/>
        <v>2001.02</v>
      </c>
      <c r="B95" s="481">
        <v>435.85</v>
      </c>
      <c r="C95" s="559">
        <v>17256.03</v>
      </c>
      <c r="D95" s="2070"/>
      <c r="E95" s="520"/>
      <c r="F95" s="522">
        <v>1239.9399410000001</v>
      </c>
    </row>
    <row r="96" spans="1:6">
      <c r="A96" s="63">
        <f t="shared" si="2"/>
        <v>2001.03</v>
      </c>
      <c r="B96" s="481">
        <v>443.81</v>
      </c>
      <c r="C96" s="559">
        <v>17136.57</v>
      </c>
      <c r="D96" s="2070"/>
      <c r="E96" s="520"/>
      <c r="F96" s="522">
        <v>1160.329956</v>
      </c>
    </row>
    <row r="97" spans="1:6">
      <c r="A97" s="63">
        <f t="shared" si="2"/>
        <v>2001.04</v>
      </c>
      <c r="B97" s="481">
        <v>435.63</v>
      </c>
      <c r="C97" s="559">
        <v>17010.48</v>
      </c>
      <c r="D97" s="2070"/>
      <c r="E97" s="520"/>
      <c r="F97" s="522">
        <v>1249.459961</v>
      </c>
    </row>
    <row r="98" spans="1:6">
      <c r="A98" s="63">
        <f t="shared" si="2"/>
        <v>2001.05</v>
      </c>
      <c r="B98" s="481">
        <v>439.22</v>
      </c>
      <c r="C98" s="559">
        <v>15812.88</v>
      </c>
      <c r="D98" s="2070"/>
      <c r="E98" s="520"/>
      <c r="F98" s="522">
        <v>1255.8199460000001</v>
      </c>
    </row>
    <row r="99" spans="1:6">
      <c r="A99" s="63">
        <f t="shared" si="2"/>
        <v>2001.06</v>
      </c>
      <c r="B99" s="481">
        <v>402.25</v>
      </c>
      <c r="C99" s="559">
        <v>13082.5</v>
      </c>
      <c r="D99" s="2070"/>
      <c r="E99" s="520"/>
      <c r="F99" s="522">
        <v>1224.380005</v>
      </c>
    </row>
    <row r="100" spans="1:6">
      <c r="A100" s="63">
        <f t="shared" si="2"/>
        <v>2001.07</v>
      </c>
      <c r="B100" s="481">
        <v>320.79000000000002</v>
      </c>
      <c r="C100" s="559">
        <v>13062.63</v>
      </c>
      <c r="D100" s="2070"/>
      <c r="E100" s="520"/>
      <c r="F100" s="522">
        <v>1211.2299800000001</v>
      </c>
    </row>
    <row r="101" spans="1:6">
      <c r="A101" s="63">
        <f t="shared" si="2"/>
        <v>2001.08</v>
      </c>
      <c r="B101" s="481">
        <v>319.89</v>
      </c>
      <c r="C101" s="559">
        <v>10699.45</v>
      </c>
      <c r="D101" s="2070"/>
      <c r="E101" s="520"/>
      <c r="F101" s="522">
        <v>1133.579956</v>
      </c>
    </row>
    <row r="102" spans="1:6">
      <c r="A102" s="63">
        <f t="shared" si="2"/>
        <v>2001.09</v>
      </c>
      <c r="B102" s="481">
        <v>243.55</v>
      </c>
      <c r="C102" s="559">
        <v>9550.77</v>
      </c>
      <c r="D102" s="2070"/>
      <c r="E102" s="520"/>
      <c r="F102" s="522">
        <v>1040.9399410000001</v>
      </c>
    </row>
    <row r="103" spans="1:6">
      <c r="A103" s="63">
        <f t="shared" si="2"/>
        <v>2001.1</v>
      </c>
      <c r="B103" s="481">
        <v>224.75</v>
      </c>
      <c r="C103" s="559">
        <v>9491.5</v>
      </c>
      <c r="D103" s="2070"/>
      <c r="E103" s="520"/>
      <c r="F103" s="522">
        <v>1059.780029</v>
      </c>
    </row>
    <row r="104" spans="1:6">
      <c r="A104" s="63">
        <f t="shared" si="2"/>
        <v>2001.11</v>
      </c>
      <c r="B104" s="481">
        <v>202.45</v>
      </c>
      <c r="C104" s="559">
        <v>13341.51</v>
      </c>
      <c r="D104" s="2070"/>
      <c r="E104" s="520"/>
      <c r="F104" s="522">
        <v>1139.4499510000001</v>
      </c>
    </row>
    <row r="105" spans="1:6">
      <c r="A105" s="63">
        <f t="shared" si="2"/>
        <v>2001.12</v>
      </c>
      <c r="B105" s="481">
        <v>295.39</v>
      </c>
      <c r="C105" s="559">
        <v>20635.46</v>
      </c>
      <c r="D105" s="2070"/>
      <c r="E105" s="520"/>
      <c r="F105" s="522">
        <v>1148.079956</v>
      </c>
    </row>
    <row r="106" spans="1:6">
      <c r="A106" s="63">
        <f t="shared" ref="A106:A137" si="3">A94+1</f>
        <v>2002.01</v>
      </c>
      <c r="B106" s="481">
        <v>439.2</v>
      </c>
      <c r="C106" s="559">
        <v>19695.04</v>
      </c>
      <c r="D106" s="2070"/>
      <c r="E106" s="520"/>
      <c r="F106" s="522">
        <v>1130.1999510000001</v>
      </c>
    </row>
    <row r="107" spans="1:6">
      <c r="A107" s="63">
        <f t="shared" si="3"/>
        <v>2002.02</v>
      </c>
      <c r="B107" s="481">
        <v>398.25</v>
      </c>
      <c r="C107" s="559">
        <v>22842.31</v>
      </c>
      <c r="D107" s="2070"/>
      <c r="E107" s="520"/>
      <c r="F107" s="522">
        <v>1106.7299800000001</v>
      </c>
    </row>
    <row r="108" spans="1:6">
      <c r="A108" s="63">
        <f t="shared" si="3"/>
        <v>2002.03</v>
      </c>
      <c r="B108" s="481">
        <v>436.13</v>
      </c>
      <c r="C108" s="559">
        <v>19895.62</v>
      </c>
      <c r="D108" s="2070"/>
      <c r="E108" s="520"/>
      <c r="F108" s="522">
        <v>1147.3900149999999</v>
      </c>
    </row>
    <row r="109" spans="1:6">
      <c r="A109" s="63">
        <f t="shared" si="3"/>
        <v>2002.04</v>
      </c>
      <c r="B109" s="481">
        <v>387.79</v>
      </c>
      <c r="C109" s="559">
        <v>18218.97</v>
      </c>
      <c r="D109" s="2070"/>
      <c r="E109" s="520"/>
      <c r="F109" s="522">
        <v>1076.920044</v>
      </c>
    </row>
    <row r="110" spans="1:6">
      <c r="A110" s="63">
        <f t="shared" si="3"/>
        <v>2002.05</v>
      </c>
      <c r="B110" s="481">
        <v>317.55</v>
      </c>
      <c r="C110" s="559">
        <v>19643.330000000002</v>
      </c>
      <c r="D110" s="2070"/>
      <c r="E110" s="520"/>
      <c r="F110" s="522">
        <v>1067.1400149999999</v>
      </c>
    </row>
    <row r="111" spans="1:6">
      <c r="A111" s="63">
        <f t="shared" si="3"/>
        <v>2002.06</v>
      </c>
      <c r="B111" s="481">
        <v>350.65</v>
      </c>
      <c r="C111" s="559">
        <v>20786.11</v>
      </c>
      <c r="D111" s="2070"/>
      <c r="E111" s="520"/>
      <c r="F111" s="522">
        <v>989.82000700000003</v>
      </c>
    </row>
    <row r="112" spans="1:6">
      <c r="A112" s="63">
        <f t="shared" si="3"/>
        <v>2002.07</v>
      </c>
      <c r="B112" s="481">
        <v>359.32</v>
      </c>
      <c r="C112" s="559">
        <v>20976.13</v>
      </c>
      <c r="D112" s="2070"/>
      <c r="E112" s="520"/>
      <c r="F112" s="522">
        <v>911.61999500000002</v>
      </c>
    </row>
    <row r="113" spans="1:6">
      <c r="A113" s="63">
        <f t="shared" si="3"/>
        <v>2002.08</v>
      </c>
      <c r="B113" s="481">
        <v>375.16</v>
      </c>
      <c r="C113" s="559">
        <v>21091.18</v>
      </c>
      <c r="D113" s="2070"/>
      <c r="E113" s="520"/>
      <c r="F113" s="522">
        <v>916.07000700000003</v>
      </c>
    </row>
    <row r="114" spans="1:6">
      <c r="A114" s="63">
        <f t="shared" si="3"/>
        <v>2002.09</v>
      </c>
      <c r="B114" s="481">
        <v>395.19</v>
      </c>
      <c r="C114" s="559">
        <v>22226.43</v>
      </c>
      <c r="D114" s="2070"/>
      <c r="E114" s="520"/>
      <c r="F114" s="522">
        <v>815.28002900000001</v>
      </c>
    </row>
    <row r="115" spans="1:6">
      <c r="A115" s="63">
        <f t="shared" si="3"/>
        <v>2002.1</v>
      </c>
      <c r="B115" s="481">
        <v>434.84</v>
      </c>
      <c r="C115" s="559">
        <v>25163.75</v>
      </c>
      <c r="D115" s="2070"/>
      <c r="E115" s="520"/>
      <c r="F115" s="522">
        <v>885.76000999999997</v>
      </c>
    </row>
    <row r="116" spans="1:6">
      <c r="A116" s="63">
        <f t="shared" si="3"/>
        <v>2002.11</v>
      </c>
      <c r="B116" s="481">
        <v>497.79</v>
      </c>
      <c r="C116" s="559">
        <v>25509.41</v>
      </c>
      <c r="D116" s="2070"/>
      <c r="E116" s="520"/>
      <c r="F116" s="522">
        <v>936.30999799999995</v>
      </c>
    </row>
    <row r="117" spans="1:6">
      <c r="A117" s="63">
        <f t="shared" si="3"/>
        <v>2002.12</v>
      </c>
      <c r="B117" s="481">
        <v>524.95000000000005</v>
      </c>
      <c r="C117" s="559">
        <v>26462.83</v>
      </c>
      <c r="D117" s="2070"/>
      <c r="E117" s="520"/>
      <c r="F117" s="522">
        <v>879.82000700000003</v>
      </c>
    </row>
    <row r="118" spans="1:6">
      <c r="A118" s="63">
        <f t="shared" si="3"/>
        <v>2003.01</v>
      </c>
      <c r="B118" s="481">
        <v>549.85</v>
      </c>
      <c r="C118" s="559">
        <v>28329.84</v>
      </c>
      <c r="D118" s="2070"/>
      <c r="E118" s="520"/>
      <c r="F118" s="522">
        <v>855.70001200000002</v>
      </c>
    </row>
    <row r="119" spans="1:6">
      <c r="A119" s="63">
        <f t="shared" si="3"/>
        <v>2003.02</v>
      </c>
      <c r="B119" s="481">
        <v>593.82000000000005</v>
      </c>
      <c r="C119" s="559">
        <v>26921.29</v>
      </c>
      <c r="D119" s="2070"/>
      <c r="E119" s="520"/>
      <c r="F119" s="522">
        <v>841.15002400000003</v>
      </c>
    </row>
    <row r="120" spans="1:6">
      <c r="A120" s="63">
        <f t="shared" si="3"/>
        <v>2003.03</v>
      </c>
      <c r="B120" s="481">
        <v>566.46</v>
      </c>
      <c r="C120" s="559">
        <v>29383.66</v>
      </c>
      <c r="D120" s="2070"/>
      <c r="E120" s="520"/>
      <c r="F120" s="522">
        <v>848.17999299999997</v>
      </c>
    </row>
    <row r="121" spans="1:6">
      <c r="A121" s="63">
        <f t="shared" si="3"/>
        <v>2003.04</v>
      </c>
      <c r="B121" s="481">
        <v>635.95000000000005</v>
      </c>
      <c r="C121" s="559">
        <v>30377.57</v>
      </c>
      <c r="D121" s="2070"/>
      <c r="E121" s="520"/>
      <c r="F121" s="522">
        <v>916.919983</v>
      </c>
    </row>
    <row r="122" spans="1:6">
      <c r="A122" s="63">
        <f t="shared" si="3"/>
        <v>2003.05</v>
      </c>
      <c r="B122" s="481">
        <v>678.31</v>
      </c>
      <c r="C122" s="559">
        <v>32952.15</v>
      </c>
      <c r="D122" s="2070"/>
      <c r="E122" s="520"/>
      <c r="F122" s="522">
        <v>963.59002699999996</v>
      </c>
    </row>
    <row r="123" spans="1:6">
      <c r="A123" s="63">
        <f t="shared" si="3"/>
        <v>2003.06</v>
      </c>
      <c r="B123" s="481">
        <v>765.61</v>
      </c>
      <c r="C123" s="559">
        <v>32524.39</v>
      </c>
      <c r="D123" s="2070"/>
      <c r="E123" s="520"/>
      <c r="F123" s="522">
        <v>974.5</v>
      </c>
    </row>
    <row r="124" spans="1:6">
      <c r="A124" s="63">
        <f t="shared" si="3"/>
        <v>2003.07</v>
      </c>
      <c r="B124" s="481">
        <v>755.34</v>
      </c>
      <c r="C124" s="559">
        <v>31239.03</v>
      </c>
      <c r="D124" s="2070"/>
      <c r="E124" s="520"/>
      <c r="F124" s="522">
        <v>990.30999799999995</v>
      </c>
    </row>
    <row r="125" spans="1:6">
      <c r="A125" s="63">
        <f t="shared" si="3"/>
        <v>2003.08</v>
      </c>
      <c r="B125" s="481">
        <v>713.33</v>
      </c>
      <c r="C125" s="559">
        <v>35512.85</v>
      </c>
      <c r="D125" s="2070"/>
      <c r="E125" s="520"/>
      <c r="F125" s="522">
        <v>1008.01001</v>
      </c>
    </row>
    <row r="126" spans="1:6">
      <c r="A126" s="63">
        <f t="shared" si="3"/>
        <v>2003.09</v>
      </c>
      <c r="B126" s="481">
        <v>827.69</v>
      </c>
      <c r="C126" s="559">
        <v>38662.31</v>
      </c>
      <c r="D126" s="2070"/>
      <c r="E126" s="520"/>
      <c r="F126" s="522">
        <v>995.96997099999999</v>
      </c>
    </row>
    <row r="127" spans="1:6">
      <c r="A127" s="63">
        <f t="shared" si="3"/>
        <v>2003.1</v>
      </c>
      <c r="B127" s="481">
        <v>929.89</v>
      </c>
      <c r="C127" s="559">
        <v>41414.33</v>
      </c>
      <c r="D127" s="2070"/>
      <c r="E127" s="520"/>
      <c r="F127" s="522">
        <v>1050.709961</v>
      </c>
    </row>
    <row r="128" spans="1:6">
      <c r="A128" s="63">
        <f t="shared" si="3"/>
        <v>2003.11</v>
      </c>
      <c r="B128" s="481">
        <v>996.56</v>
      </c>
      <c r="C128" s="559">
        <v>48255.63</v>
      </c>
      <c r="D128" s="2070"/>
      <c r="E128" s="520"/>
      <c r="F128" s="522">
        <v>1058.1999510000001</v>
      </c>
    </row>
    <row r="129" spans="1:6">
      <c r="A129" s="63">
        <f t="shared" si="3"/>
        <v>2003.12</v>
      </c>
      <c r="B129" s="481">
        <v>1071.95</v>
      </c>
      <c r="C129" s="559">
        <v>50924.13</v>
      </c>
      <c r="D129" s="2070"/>
      <c r="E129" s="520"/>
      <c r="F129" s="522">
        <v>1111.920044</v>
      </c>
    </row>
    <row r="130" spans="1:6">
      <c r="A130" s="63">
        <f t="shared" si="3"/>
        <v>2004.01</v>
      </c>
      <c r="B130" s="481">
        <v>1140.81</v>
      </c>
      <c r="C130" s="559">
        <v>52208.45</v>
      </c>
      <c r="D130" s="2070"/>
      <c r="E130" s="520"/>
      <c r="F130" s="522">
        <v>1131.130005</v>
      </c>
    </row>
    <row r="131" spans="1:6">
      <c r="A131" s="63">
        <f t="shared" si="3"/>
        <v>2004.02</v>
      </c>
      <c r="B131" s="481">
        <v>1183.1400000000001</v>
      </c>
      <c r="C131" s="559">
        <v>51947.8</v>
      </c>
      <c r="D131" s="2070"/>
      <c r="E131" s="520"/>
      <c r="F131" s="522">
        <v>1144.9399410000001</v>
      </c>
    </row>
    <row r="132" spans="1:6">
      <c r="A132" s="63">
        <f t="shared" si="3"/>
        <v>2004.03</v>
      </c>
      <c r="B132" s="481">
        <v>1201.6600000000001</v>
      </c>
      <c r="C132" s="559">
        <v>46155.75</v>
      </c>
      <c r="D132" s="2070"/>
      <c r="E132" s="520"/>
      <c r="F132" s="522">
        <v>1126.209961</v>
      </c>
    </row>
    <row r="133" spans="1:6">
      <c r="A133" s="63">
        <f t="shared" si="3"/>
        <v>2004.04</v>
      </c>
      <c r="B133" s="481">
        <v>1077.93</v>
      </c>
      <c r="C133" s="559">
        <v>41504.089999999997</v>
      </c>
      <c r="D133" s="2070"/>
      <c r="E133" s="520"/>
      <c r="F133" s="522">
        <v>1107.3000489999999</v>
      </c>
    </row>
    <row r="134" spans="1:6">
      <c r="A134" s="63">
        <f t="shared" si="3"/>
        <v>2004.05</v>
      </c>
      <c r="B134" s="481">
        <v>952.62</v>
      </c>
      <c r="C134" s="559">
        <v>41560.1</v>
      </c>
      <c r="D134" s="2070"/>
      <c r="E134" s="520"/>
      <c r="F134" s="522">
        <v>1120.6800539999999</v>
      </c>
    </row>
    <row r="135" spans="1:6">
      <c r="A135" s="63">
        <f t="shared" si="3"/>
        <v>2004.06</v>
      </c>
      <c r="B135" s="481">
        <v>945.45</v>
      </c>
      <c r="C135" s="559">
        <v>43240.66</v>
      </c>
      <c r="D135" s="2070"/>
      <c r="E135" s="520"/>
      <c r="F135" s="522">
        <v>1140.839966</v>
      </c>
    </row>
    <row r="136" spans="1:6">
      <c r="A136" s="63">
        <f t="shared" si="3"/>
        <v>2004.07</v>
      </c>
      <c r="B136" s="481">
        <v>966.1</v>
      </c>
      <c r="C136" s="559">
        <v>43774.77</v>
      </c>
      <c r="D136" s="2070"/>
      <c r="E136" s="520"/>
      <c r="F136" s="522">
        <v>1101.719971</v>
      </c>
    </row>
    <row r="137" spans="1:6">
      <c r="A137" s="63">
        <f t="shared" si="3"/>
        <v>2004.08</v>
      </c>
      <c r="B137" s="481">
        <v>952.14</v>
      </c>
      <c r="C137" s="559">
        <v>50676.43</v>
      </c>
      <c r="D137" s="2070"/>
      <c r="E137" s="520"/>
      <c r="F137" s="522">
        <v>1104.23999</v>
      </c>
    </row>
    <row r="138" spans="1:6">
      <c r="A138" s="63">
        <f t="shared" ref="A138:A169" si="4">A126+1</f>
        <v>2004.09</v>
      </c>
      <c r="B138" s="481">
        <v>1142.5</v>
      </c>
      <c r="C138" s="559">
        <v>53055.199999999997</v>
      </c>
      <c r="D138" s="2070"/>
      <c r="E138" s="520"/>
      <c r="F138" s="522">
        <v>1114.579956</v>
      </c>
    </row>
    <row r="139" spans="1:6">
      <c r="A139" s="63">
        <f t="shared" si="4"/>
        <v>2004.1</v>
      </c>
      <c r="B139" s="481">
        <v>1287.1400000000001</v>
      </c>
      <c r="C139" s="559">
        <v>52184.19</v>
      </c>
      <c r="D139" s="2070"/>
      <c r="E139" s="520"/>
      <c r="F139" s="522">
        <v>1130.1999510000001</v>
      </c>
    </row>
    <row r="140" spans="1:6">
      <c r="A140" s="63">
        <f t="shared" si="4"/>
        <v>2004.11</v>
      </c>
      <c r="B140" s="481">
        <v>1213.0899999999999</v>
      </c>
      <c r="C140" s="559">
        <v>56639.12</v>
      </c>
      <c r="D140" s="2070"/>
      <c r="E140" s="520"/>
      <c r="F140" s="522">
        <v>1173.8199460000001</v>
      </c>
    </row>
    <row r="141" spans="1:6">
      <c r="A141" s="63">
        <f t="shared" si="4"/>
        <v>2004.12</v>
      </c>
      <c r="B141" s="481">
        <v>1375.37</v>
      </c>
      <c r="C141" s="559">
        <v>56939.7</v>
      </c>
      <c r="D141" s="2070"/>
      <c r="E141" s="520"/>
      <c r="F141" s="522">
        <v>1211.920044</v>
      </c>
    </row>
    <row r="142" spans="1:6">
      <c r="A142" s="63">
        <f t="shared" si="4"/>
        <v>2005.01</v>
      </c>
      <c r="B142" s="481">
        <v>1373.79</v>
      </c>
      <c r="C142" s="559">
        <v>66296.800000000003</v>
      </c>
      <c r="D142" s="2070"/>
      <c r="E142" s="520"/>
      <c r="F142" s="522">
        <v>1181.2700199999999</v>
      </c>
    </row>
    <row r="143" spans="1:6">
      <c r="A143" s="63">
        <f t="shared" si="4"/>
        <v>2005.02</v>
      </c>
      <c r="B143" s="481">
        <v>1558.62</v>
      </c>
      <c r="C143" s="559">
        <v>60382.77</v>
      </c>
      <c r="D143" s="2070"/>
      <c r="E143" s="520"/>
      <c r="F143" s="522">
        <v>1203.599976</v>
      </c>
    </row>
    <row r="144" spans="1:6">
      <c r="A144" s="63">
        <f t="shared" si="4"/>
        <v>2005.03</v>
      </c>
      <c r="B144" s="481">
        <v>1400.42</v>
      </c>
      <c r="C144" s="559">
        <v>57597.72</v>
      </c>
      <c r="D144" s="2070"/>
      <c r="E144" s="520"/>
      <c r="F144" s="522">
        <v>1180.589966</v>
      </c>
    </row>
    <row r="145" spans="1:6">
      <c r="A145" s="63">
        <f t="shared" si="4"/>
        <v>2005.04</v>
      </c>
      <c r="B145" s="481">
        <v>1348.35</v>
      </c>
      <c r="C145" s="559">
        <v>62202.92</v>
      </c>
      <c r="D145" s="2070"/>
      <c r="E145" s="520"/>
      <c r="F145" s="522">
        <v>1156.849976</v>
      </c>
    </row>
    <row r="146" spans="1:6">
      <c r="A146" s="63">
        <f t="shared" si="4"/>
        <v>2005.05</v>
      </c>
      <c r="B146" s="481">
        <v>1485.55</v>
      </c>
      <c r="C146" s="559">
        <v>59154.77</v>
      </c>
      <c r="D146" s="2070"/>
      <c r="E146" s="520"/>
      <c r="F146" s="522">
        <v>1191.5</v>
      </c>
    </row>
    <row r="147" spans="1:6">
      <c r="A147" s="63">
        <f t="shared" si="4"/>
        <v>2005.06</v>
      </c>
      <c r="B147" s="481">
        <v>1367.41</v>
      </c>
      <c r="C147" s="559">
        <v>64351.34</v>
      </c>
      <c r="D147" s="2070"/>
      <c r="E147" s="520"/>
      <c r="F147" s="522">
        <v>1191.329956</v>
      </c>
    </row>
    <row r="148" spans="1:6">
      <c r="A148" s="63">
        <f t="shared" si="4"/>
        <v>2005.07</v>
      </c>
      <c r="B148" s="481">
        <v>1507.59</v>
      </c>
      <c r="C148" s="559">
        <v>68074.5</v>
      </c>
      <c r="D148" s="2070"/>
      <c r="E148" s="520"/>
      <c r="F148" s="522">
        <v>1234.1800539999999</v>
      </c>
    </row>
    <row r="149" spans="1:6">
      <c r="A149" s="63">
        <f t="shared" si="4"/>
        <v>2005.08</v>
      </c>
      <c r="B149" s="481">
        <v>1581.65</v>
      </c>
      <c r="C149" s="559">
        <v>74533.990000000005</v>
      </c>
      <c r="D149" s="2070"/>
      <c r="E149" s="520"/>
      <c r="F149" s="522">
        <v>1220.329956</v>
      </c>
    </row>
    <row r="150" spans="1:6">
      <c r="A150" s="63">
        <f t="shared" si="4"/>
        <v>2005.09</v>
      </c>
      <c r="B150" s="481">
        <v>1694.83</v>
      </c>
      <c r="C150" s="559">
        <v>69808.740000000005</v>
      </c>
      <c r="D150" s="2070"/>
      <c r="E150" s="520"/>
      <c r="F150" s="522">
        <v>1228.8100589999999</v>
      </c>
    </row>
    <row r="151" spans="1:6">
      <c r="A151" s="63">
        <f t="shared" si="4"/>
        <v>2005.1</v>
      </c>
      <c r="B151" s="481">
        <v>1608.86</v>
      </c>
      <c r="C151" s="559">
        <v>68199.89</v>
      </c>
      <c r="D151" s="2070"/>
      <c r="E151" s="520"/>
      <c r="F151" s="522">
        <v>1207.01001</v>
      </c>
    </row>
    <row r="152" spans="1:6">
      <c r="A152" s="63">
        <f t="shared" si="4"/>
        <v>2005.11</v>
      </c>
      <c r="B152" s="481">
        <v>1554.67</v>
      </c>
      <c r="C152" s="559">
        <v>68822.649999999994</v>
      </c>
      <c r="D152" s="2070"/>
      <c r="E152" s="520"/>
      <c r="F152" s="522">
        <v>1249.4799800000001</v>
      </c>
    </row>
    <row r="153" spans="1:6">
      <c r="A153" s="63">
        <f t="shared" si="4"/>
        <v>2005.12</v>
      </c>
      <c r="B153" s="481">
        <v>1543.31</v>
      </c>
      <c r="C153" s="559">
        <v>81085.710000000006</v>
      </c>
      <c r="D153" s="2070"/>
      <c r="E153" s="520"/>
      <c r="F153" s="522">
        <v>1248.290039</v>
      </c>
    </row>
    <row r="154" spans="1:6">
      <c r="A154" s="63">
        <f t="shared" si="4"/>
        <v>2006.01</v>
      </c>
      <c r="B154" s="481">
        <v>1793.97</v>
      </c>
      <c r="C154" s="559">
        <v>77346.14</v>
      </c>
      <c r="D154" s="2070"/>
      <c r="E154" s="520"/>
      <c r="F154" s="522">
        <v>1280.079956</v>
      </c>
    </row>
    <row r="155" spans="1:6">
      <c r="A155" s="63">
        <f t="shared" si="4"/>
        <v>2006.02</v>
      </c>
      <c r="B155" s="481">
        <v>1714.05</v>
      </c>
      <c r="C155" s="559">
        <v>81682.78</v>
      </c>
      <c r="D155" s="2070"/>
      <c r="E155" s="520"/>
      <c r="F155" s="522">
        <v>1280.660034</v>
      </c>
    </row>
    <row r="156" spans="1:6">
      <c r="A156" s="63">
        <f t="shared" si="4"/>
        <v>2006.03</v>
      </c>
      <c r="B156" s="481">
        <v>1800.58</v>
      </c>
      <c r="C156" s="559">
        <v>90025.91</v>
      </c>
      <c r="D156" s="2070"/>
      <c r="E156" s="520"/>
      <c r="F156" s="522">
        <v>1294.869995</v>
      </c>
    </row>
    <row r="157" spans="1:6">
      <c r="A157" s="63">
        <f t="shared" si="4"/>
        <v>2006.04</v>
      </c>
      <c r="B157" s="481">
        <v>1908.61</v>
      </c>
      <c r="C157" s="559">
        <v>78251.42</v>
      </c>
      <c r="D157" s="221">
        <v>4448310227</v>
      </c>
      <c r="E157" s="520"/>
      <c r="F157" s="522">
        <v>1310.6099850000001</v>
      </c>
    </row>
    <row r="158" spans="1:6">
      <c r="A158" s="63">
        <f t="shared" si="4"/>
        <v>2006.05</v>
      </c>
      <c r="B158" s="481">
        <v>1653.72</v>
      </c>
      <c r="C158" s="559">
        <v>80982.899999999994</v>
      </c>
      <c r="D158" s="417">
        <v>5607686604</v>
      </c>
      <c r="E158" s="520"/>
      <c r="F158" s="522">
        <v>1270.089966</v>
      </c>
    </row>
    <row r="159" spans="1:6">
      <c r="A159" s="63">
        <f t="shared" si="4"/>
        <v>2006.06</v>
      </c>
      <c r="B159" s="481">
        <v>1711.09</v>
      </c>
      <c r="C159" s="559">
        <v>82167.429999999993</v>
      </c>
      <c r="D159" s="486" t="e">
        <v>#N/A</v>
      </c>
      <c r="E159" s="520"/>
      <c r="F159" s="522">
        <v>1270.1999510000001</v>
      </c>
    </row>
    <row r="160" spans="1:6">
      <c r="A160" s="63">
        <f t="shared" si="4"/>
        <v>2006.07</v>
      </c>
      <c r="B160" s="481">
        <v>1701.58</v>
      </c>
      <c r="C160" s="559">
        <v>82826.48</v>
      </c>
      <c r="D160" s="417">
        <v>7834315486</v>
      </c>
      <c r="E160" s="520"/>
      <c r="F160" s="522">
        <v>1276.660034</v>
      </c>
    </row>
    <row r="161" spans="1:6">
      <c r="A161" s="63">
        <f t="shared" si="4"/>
        <v>2006.08</v>
      </c>
      <c r="B161" s="481">
        <v>1662.84</v>
      </c>
      <c r="C161" s="559">
        <v>81076.89</v>
      </c>
      <c r="D161" s="417">
        <v>7120323897.7899971</v>
      </c>
      <c r="E161" s="520"/>
      <c r="F161" s="522">
        <v>1303.8199460000001</v>
      </c>
    </row>
    <row r="162" spans="1:6">
      <c r="A162" s="63">
        <f t="shared" si="4"/>
        <v>2006.09</v>
      </c>
      <c r="B162" s="481">
        <v>1637.27</v>
      </c>
      <c r="C162" s="559">
        <v>80581.399999999994</v>
      </c>
      <c r="D162" s="417">
        <v>6455120705.9299908</v>
      </c>
      <c r="E162" s="520"/>
      <c r="F162" s="522">
        <v>1335.849976</v>
      </c>
    </row>
    <row r="163" spans="1:6">
      <c r="A163" s="63">
        <f t="shared" si="4"/>
        <v>2006.1</v>
      </c>
      <c r="B163" s="481">
        <v>1781.68</v>
      </c>
      <c r="C163" s="559">
        <v>87048.1</v>
      </c>
      <c r="D163" s="417">
        <v>7777815787.8000078</v>
      </c>
      <c r="E163" s="520"/>
      <c r="F163" s="522">
        <v>1377.9399410000001</v>
      </c>
    </row>
    <row r="164" spans="1:6">
      <c r="A164" s="63">
        <f t="shared" si="4"/>
        <v>2006.11</v>
      </c>
      <c r="B164" s="481">
        <v>1967.02</v>
      </c>
      <c r="C164" s="559">
        <v>97394.48</v>
      </c>
      <c r="D164" s="417">
        <v>7422538477.7799911</v>
      </c>
      <c r="E164" s="520"/>
      <c r="F164" s="522">
        <v>1400.630005</v>
      </c>
    </row>
    <row r="165" spans="1:6">
      <c r="A165" s="63">
        <f t="shared" si="4"/>
        <v>2006.12</v>
      </c>
      <c r="B165" s="481">
        <v>2090.46</v>
      </c>
      <c r="C165" s="559">
        <v>103164.27</v>
      </c>
      <c r="D165" s="417">
        <v>6877123750</v>
      </c>
      <c r="E165" s="520"/>
      <c r="F165" s="522">
        <v>1418.3000489999999</v>
      </c>
    </row>
    <row r="166" spans="1:6">
      <c r="A166" s="63">
        <f t="shared" si="4"/>
        <v>2007.01</v>
      </c>
      <c r="B166" s="481">
        <v>2070.64</v>
      </c>
      <c r="C166" s="559">
        <v>105258.69</v>
      </c>
      <c r="D166" s="417">
        <v>9304744942</v>
      </c>
      <c r="E166" s="520"/>
      <c r="F166" s="522">
        <v>1438.23999</v>
      </c>
    </row>
    <row r="167" spans="1:6">
      <c r="A167" s="63">
        <f t="shared" si="4"/>
        <v>2007.02</v>
      </c>
      <c r="B167" s="481">
        <v>2067.64</v>
      </c>
      <c r="C167" s="559">
        <v>103980.19</v>
      </c>
      <c r="D167" s="417">
        <v>9779327212</v>
      </c>
      <c r="E167" s="520"/>
      <c r="F167" s="522">
        <v>1406.8199460000001</v>
      </c>
    </row>
    <row r="168" spans="1:6">
      <c r="A168" s="63">
        <f t="shared" si="4"/>
        <v>2007.03</v>
      </c>
      <c r="B168" s="481">
        <v>2102.7800000000002</v>
      </c>
      <c r="C168" s="559">
        <v>106276.24</v>
      </c>
      <c r="D168" s="417">
        <v>9641737941</v>
      </c>
      <c r="E168" s="520"/>
      <c r="F168" s="522">
        <v>1420.8599850000001</v>
      </c>
    </row>
    <row r="169" spans="1:6">
      <c r="A169" s="63">
        <f t="shared" si="4"/>
        <v>2007.04</v>
      </c>
      <c r="B169" s="481">
        <v>2154.5500000000002</v>
      </c>
      <c r="C169" s="559">
        <v>109410.4</v>
      </c>
      <c r="D169" s="417">
        <v>8394848280</v>
      </c>
      <c r="E169" s="520"/>
      <c r="F169" s="522">
        <v>1482.369995</v>
      </c>
    </row>
    <row r="170" spans="1:6">
      <c r="A170" s="63">
        <f t="shared" ref="A170:A201" si="5">A158+1</f>
        <v>2007.05</v>
      </c>
      <c r="B170" s="481">
        <v>2243.0300000000002</v>
      </c>
      <c r="C170" s="559">
        <v>119447.55</v>
      </c>
      <c r="D170" s="417">
        <v>9598190072</v>
      </c>
      <c r="E170" s="520"/>
      <c r="F170" s="522">
        <v>1530.619995</v>
      </c>
    </row>
    <row r="171" spans="1:6">
      <c r="A171" s="63">
        <f t="shared" si="5"/>
        <v>2007.06</v>
      </c>
      <c r="B171" s="481">
        <v>2190.87</v>
      </c>
      <c r="C171" s="559">
        <v>117202.2</v>
      </c>
      <c r="D171" s="417">
        <v>9937986514</v>
      </c>
      <c r="E171" s="520"/>
      <c r="F171" s="522">
        <v>1503.349976</v>
      </c>
    </row>
    <row r="172" spans="1:6">
      <c r="A172" s="63">
        <f t="shared" si="5"/>
        <v>2007.07</v>
      </c>
      <c r="B172" s="481">
        <v>2180.25</v>
      </c>
      <c r="C172" s="559">
        <v>116325.22</v>
      </c>
      <c r="D172" s="417">
        <v>7834315486</v>
      </c>
      <c r="E172" s="520"/>
      <c r="F172" s="522">
        <v>1455.2700199999999</v>
      </c>
    </row>
    <row r="173" spans="1:6">
      <c r="A173" s="63">
        <f t="shared" si="5"/>
        <v>2007.08</v>
      </c>
      <c r="B173" s="481">
        <v>2062.08</v>
      </c>
      <c r="C173" s="559">
        <v>113707.87</v>
      </c>
      <c r="D173" s="417">
        <v>7670753167</v>
      </c>
      <c r="E173" s="520"/>
      <c r="F173" s="522">
        <v>1473.98999</v>
      </c>
    </row>
    <row r="174" spans="1:6">
      <c r="A174" s="63">
        <f t="shared" si="5"/>
        <v>2007.09</v>
      </c>
      <c r="B174" s="481">
        <v>2187.9699999999998</v>
      </c>
      <c r="C174" s="559">
        <v>119864.2</v>
      </c>
      <c r="D174" s="417">
        <v>6864642457.4899969</v>
      </c>
      <c r="E174" s="520"/>
      <c r="F174" s="522">
        <v>1526.75</v>
      </c>
    </row>
    <row r="175" spans="1:6">
      <c r="A175" s="63">
        <f t="shared" si="5"/>
        <v>2007.1</v>
      </c>
      <c r="B175" s="481">
        <v>2351.44</v>
      </c>
      <c r="C175" s="559">
        <v>130047.39</v>
      </c>
      <c r="D175" s="417">
        <v>7433402985</v>
      </c>
      <c r="E175" s="520"/>
      <c r="F175" s="522">
        <v>1549.380005</v>
      </c>
    </row>
    <row r="176" spans="1:6">
      <c r="A176" s="63">
        <f t="shared" si="5"/>
        <v>2007.11</v>
      </c>
      <c r="B176" s="481">
        <v>2207.16</v>
      </c>
      <c r="C176" s="559">
        <v>124636.35</v>
      </c>
      <c r="D176" s="417">
        <v>6792436097</v>
      </c>
      <c r="E176" s="520"/>
      <c r="F176" s="522">
        <v>1481.1400149999999</v>
      </c>
    </row>
    <row r="177" spans="1:6">
      <c r="A177" s="63">
        <f t="shared" si="5"/>
        <v>2007.12</v>
      </c>
      <c r="B177" s="481">
        <v>2151.73</v>
      </c>
      <c r="C177" s="559">
        <v>121652.6</v>
      </c>
      <c r="D177" s="417">
        <v>5172894050</v>
      </c>
      <c r="E177" s="520"/>
      <c r="F177" s="522">
        <v>1468.3599850000001</v>
      </c>
    </row>
    <row r="178" spans="1:6">
      <c r="A178" s="63">
        <f t="shared" si="5"/>
        <v>2008.01</v>
      </c>
      <c r="B178" s="481">
        <v>2007.27</v>
      </c>
      <c r="C178" s="559">
        <v>113425.52</v>
      </c>
      <c r="D178" s="417">
        <v>7715431887</v>
      </c>
      <c r="E178" s="520"/>
      <c r="F178" s="522">
        <v>1378.5500489999999</v>
      </c>
    </row>
    <row r="179" spans="1:6">
      <c r="A179" s="63">
        <f t="shared" si="5"/>
        <v>2008.02</v>
      </c>
      <c r="B179" s="481">
        <v>2162.1999999999998</v>
      </c>
      <c r="C179" s="559">
        <v>121179.43</v>
      </c>
      <c r="D179" s="417">
        <v>7845480875</v>
      </c>
      <c r="E179" s="520"/>
      <c r="F179" s="522">
        <v>1330.630005</v>
      </c>
    </row>
    <row r="180" spans="1:6">
      <c r="A180" s="63">
        <f t="shared" si="5"/>
        <v>2008.03</v>
      </c>
      <c r="B180" s="481">
        <v>2103.7199999999998</v>
      </c>
      <c r="C180" s="559">
        <v>118473.47</v>
      </c>
      <c r="D180" s="417">
        <v>7073416993</v>
      </c>
      <c r="E180" s="520"/>
      <c r="F180" s="522">
        <v>1322.6999510000001</v>
      </c>
    </row>
    <row r="181" spans="1:6">
      <c r="A181" s="63">
        <f t="shared" si="5"/>
        <v>2008.04</v>
      </c>
      <c r="B181" s="481">
        <v>2095.5300000000002</v>
      </c>
      <c r="C181" s="559">
        <v>118272.73</v>
      </c>
      <c r="D181" s="417">
        <v>8852719214</v>
      </c>
      <c r="E181" s="520"/>
      <c r="F181" s="522">
        <v>1385.589966</v>
      </c>
    </row>
    <row r="182" spans="1:6">
      <c r="A182" s="63">
        <f t="shared" si="5"/>
        <v>2008.05</v>
      </c>
      <c r="B182" s="481">
        <v>2205.7199999999998</v>
      </c>
      <c r="C182" s="559">
        <v>126100.07</v>
      </c>
      <c r="D182" s="417">
        <v>10557706831</v>
      </c>
      <c r="E182" s="520"/>
      <c r="F182" s="522">
        <v>1400.380005</v>
      </c>
    </row>
    <row r="183" spans="1:6">
      <c r="A183" s="63">
        <f t="shared" si="5"/>
        <v>2008.06</v>
      </c>
      <c r="B183" s="481">
        <v>2107.87</v>
      </c>
      <c r="C183" s="559">
        <v>121989.52</v>
      </c>
      <c r="D183" s="417">
        <v>12427124509</v>
      </c>
      <c r="E183" s="520"/>
      <c r="F183" s="522">
        <v>1280</v>
      </c>
    </row>
    <row r="184" spans="1:6">
      <c r="A184" s="63">
        <f t="shared" si="5"/>
        <v>2008.07</v>
      </c>
      <c r="B184" s="481">
        <v>1919.82</v>
      </c>
      <c r="C184" s="559">
        <v>107220.29</v>
      </c>
      <c r="D184" s="417">
        <v>12263630013</v>
      </c>
      <c r="E184" s="520"/>
      <c r="F184" s="522">
        <v>1267.380005</v>
      </c>
    </row>
    <row r="185" spans="1:6">
      <c r="A185" s="63">
        <f t="shared" si="5"/>
        <v>2008.08</v>
      </c>
      <c r="B185" s="481">
        <v>1777.14</v>
      </c>
      <c r="C185" s="559">
        <v>99679.69</v>
      </c>
      <c r="D185" s="417">
        <v>9636277266</v>
      </c>
      <c r="E185" s="520"/>
      <c r="F185" s="522">
        <v>1282.829956</v>
      </c>
    </row>
    <row r="186" spans="1:6">
      <c r="A186" s="63">
        <f t="shared" si="5"/>
        <v>2008.09</v>
      </c>
      <c r="B186" s="481">
        <v>1598.17</v>
      </c>
      <c r="C186" s="559">
        <v>90289.95</v>
      </c>
      <c r="D186" s="417">
        <v>8118296702</v>
      </c>
      <c r="E186" s="520"/>
      <c r="F186" s="522">
        <v>1166.3599850000001</v>
      </c>
    </row>
    <row r="187" spans="1:6">
      <c r="A187" s="63">
        <f t="shared" si="5"/>
        <v>2008.1</v>
      </c>
      <c r="B187" s="481">
        <v>1010.79</v>
      </c>
      <c r="C187" s="559">
        <v>61927.68</v>
      </c>
      <c r="D187" s="417">
        <v>6189841287</v>
      </c>
      <c r="E187" s="520"/>
      <c r="F187" s="522">
        <v>968.75</v>
      </c>
    </row>
    <row r="188" spans="1:6">
      <c r="A188" s="63">
        <f t="shared" si="5"/>
        <v>2008.11</v>
      </c>
      <c r="B188" s="481">
        <v>993.99</v>
      </c>
      <c r="C188" s="559">
        <v>59247.55</v>
      </c>
      <c r="D188" s="417">
        <v>1868033345</v>
      </c>
      <c r="E188" s="520"/>
      <c r="F188" s="522">
        <v>896.23999000000003</v>
      </c>
    </row>
    <row r="189" spans="1:6">
      <c r="A189" s="63">
        <f t="shared" si="5"/>
        <v>2008.12</v>
      </c>
      <c r="B189" s="481">
        <v>1079.6600000000001</v>
      </c>
      <c r="C189" s="559">
        <v>62180.160000000003</v>
      </c>
      <c r="D189" s="417">
        <v>1880069453</v>
      </c>
      <c r="E189" s="520"/>
      <c r="F189" s="522">
        <v>903.25</v>
      </c>
    </row>
    <row r="190" spans="1:6">
      <c r="A190" s="63">
        <f t="shared" si="5"/>
        <v>2009.01</v>
      </c>
      <c r="B190" s="481">
        <v>1077.0899999999999</v>
      </c>
      <c r="C190" s="559">
        <v>61878.720000000001</v>
      </c>
      <c r="D190" s="417">
        <v>2511874491</v>
      </c>
      <c r="E190" s="520"/>
      <c r="F190" s="522">
        <v>825.88000499999998</v>
      </c>
    </row>
    <row r="191" spans="1:6">
      <c r="A191" s="63">
        <f t="shared" si="5"/>
        <v>2009.02</v>
      </c>
      <c r="B191" s="481">
        <v>1019.29</v>
      </c>
      <c r="C191" s="559">
        <v>57471.12</v>
      </c>
      <c r="D191" s="417">
        <v>2011692382</v>
      </c>
      <c r="E191" s="520"/>
      <c r="F191" s="522">
        <v>735.09002699999996</v>
      </c>
    </row>
    <row r="192" spans="1:6">
      <c r="A192" s="63">
        <f t="shared" si="5"/>
        <v>2009.03</v>
      </c>
      <c r="B192" s="481">
        <v>1125.95</v>
      </c>
      <c r="C192" s="559">
        <v>63090.27</v>
      </c>
      <c r="D192" s="417">
        <v>2641719426</v>
      </c>
      <c r="E192" s="520"/>
      <c r="F192" s="522">
        <v>797.86999500000002</v>
      </c>
    </row>
    <row r="193" spans="1:6">
      <c r="A193" s="63">
        <f t="shared" si="5"/>
        <v>2009.04</v>
      </c>
      <c r="B193" s="481">
        <v>1275.25</v>
      </c>
      <c r="C193" s="559">
        <v>71231.570000000007</v>
      </c>
      <c r="D193" s="417">
        <v>2581872830</v>
      </c>
      <c r="E193" s="520"/>
      <c r="F193" s="522">
        <v>872.80999799999995</v>
      </c>
    </row>
    <row r="194" spans="1:6">
      <c r="A194" s="63">
        <f t="shared" si="5"/>
        <v>2009.05</v>
      </c>
      <c r="B194" s="481">
        <v>1587.21</v>
      </c>
      <c r="C194" s="559">
        <v>86250.55</v>
      </c>
      <c r="D194" s="417">
        <v>3190792840</v>
      </c>
      <c r="E194" s="520"/>
      <c r="F194" s="522">
        <v>919.14001499999995</v>
      </c>
    </row>
    <row r="195" spans="1:6">
      <c r="A195" s="63">
        <f t="shared" si="5"/>
        <v>2009.06</v>
      </c>
      <c r="B195" s="481">
        <v>1587.97</v>
      </c>
      <c r="C195" s="559">
        <v>87135.66</v>
      </c>
      <c r="D195" s="417">
        <v>4470933820</v>
      </c>
      <c r="E195" s="520"/>
      <c r="F195" s="522">
        <v>919.32000700000003</v>
      </c>
    </row>
    <row r="196" spans="1:6">
      <c r="A196" s="63">
        <f t="shared" si="5"/>
        <v>2009.07</v>
      </c>
      <c r="B196" s="481">
        <v>1719.87</v>
      </c>
      <c r="C196" s="559">
        <v>94060.81</v>
      </c>
      <c r="D196" s="417">
        <v>2524309934</v>
      </c>
      <c r="E196" s="520"/>
      <c r="F196" s="522">
        <v>987.47997999999995</v>
      </c>
    </row>
    <row r="197" spans="1:6">
      <c r="A197" s="63">
        <f t="shared" si="5"/>
        <v>2009.08</v>
      </c>
      <c r="B197" s="481">
        <v>1781.89</v>
      </c>
      <c r="C197" s="559">
        <v>96258.25</v>
      </c>
      <c r="D197" s="417">
        <v>3131287492</v>
      </c>
      <c r="E197" s="520"/>
      <c r="F197" s="522">
        <v>1020.619995</v>
      </c>
    </row>
    <row r="198" spans="1:6">
      <c r="A198" s="63">
        <f t="shared" si="5"/>
        <v>2009.09</v>
      </c>
      <c r="B198" s="481">
        <v>2075.14</v>
      </c>
      <c r="C198" s="559">
        <v>112194.17</v>
      </c>
      <c r="D198" s="417">
        <v>3678666657</v>
      </c>
      <c r="E198" s="520"/>
      <c r="F198" s="522">
        <v>1057.079956</v>
      </c>
    </row>
    <row r="199" spans="1:6">
      <c r="A199" s="63">
        <f t="shared" si="5"/>
        <v>2009.1</v>
      </c>
      <c r="B199" s="481">
        <v>2115.7600000000002</v>
      </c>
      <c r="C199" s="559">
        <v>113136.89</v>
      </c>
      <c r="D199" s="417">
        <v>4043097622</v>
      </c>
      <c r="E199" s="520"/>
      <c r="F199" s="522">
        <v>1036.1899410000001</v>
      </c>
    </row>
    <row r="200" spans="1:6">
      <c r="A200" s="63">
        <f t="shared" si="5"/>
        <v>2009.11</v>
      </c>
      <c r="B200" s="481">
        <v>2147.25</v>
      </c>
      <c r="C200" s="559">
        <v>117899.35</v>
      </c>
      <c r="D200" s="417">
        <v>3876581499</v>
      </c>
      <c r="E200" s="520"/>
      <c r="F200" s="522">
        <v>1095.630005</v>
      </c>
    </row>
    <row r="201" spans="1:6">
      <c r="A201" s="63">
        <f t="shared" si="5"/>
        <v>2009.12</v>
      </c>
      <c r="B201" s="481">
        <v>2320.73</v>
      </c>
      <c r="C201" s="559">
        <v>126569.62</v>
      </c>
      <c r="D201" s="417">
        <v>4100661746</v>
      </c>
      <c r="E201" s="520"/>
      <c r="F201" s="522">
        <v>1115.099976</v>
      </c>
    </row>
    <row r="202" spans="1:6">
      <c r="A202" s="63">
        <v>2010.01</v>
      </c>
      <c r="B202" s="481">
        <v>2298.5500000000002</v>
      </c>
      <c r="C202" s="559">
        <v>127937.15</v>
      </c>
      <c r="D202" s="417">
        <v>3441943152</v>
      </c>
      <c r="E202" s="521">
        <v>626.2600000000001</v>
      </c>
      <c r="F202" s="522">
        <v>1073.869995</v>
      </c>
    </row>
    <row r="203" spans="1:6">
      <c r="A203" s="63">
        <v>2010.02</v>
      </c>
      <c r="B203" s="481">
        <v>2221.38</v>
      </c>
      <c r="C203" s="559">
        <v>124970.09</v>
      </c>
      <c r="D203" s="417">
        <v>2882745785</v>
      </c>
      <c r="E203" s="180">
        <v>628.68000000000006</v>
      </c>
      <c r="F203" s="522">
        <v>1104.48999</v>
      </c>
    </row>
    <row r="204" spans="1:6">
      <c r="A204" s="63">
        <v>2010.03</v>
      </c>
      <c r="B204" s="481">
        <v>2373.71</v>
      </c>
      <c r="C204" s="559">
        <v>134195.35</v>
      </c>
      <c r="D204" s="417">
        <v>4541445091</v>
      </c>
      <c r="E204" s="180">
        <v>1241.21</v>
      </c>
      <c r="F204" s="522">
        <v>1169.4300539999999</v>
      </c>
    </row>
    <row r="205" spans="1:6">
      <c r="A205" s="63">
        <v>2010.04</v>
      </c>
      <c r="B205" s="481">
        <v>2396.27</v>
      </c>
      <c r="C205" s="559">
        <v>136118.24</v>
      </c>
      <c r="D205" s="417">
        <v>5132962429</v>
      </c>
      <c r="E205" s="180">
        <v>2995.625</v>
      </c>
      <c r="F205" s="522">
        <v>1186.6899410000001</v>
      </c>
    </row>
    <row r="206" spans="1:6">
      <c r="A206" s="63">
        <v>2010.05</v>
      </c>
      <c r="B206" s="481">
        <v>2203.6</v>
      </c>
      <c r="C206" s="559">
        <v>124539.47</v>
      </c>
      <c r="D206" s="417">
        <v>5568306345</v>
      </c>
      <c r="E206" s="180">
        <v>703.03</v>
      </c>
      <c r="F206" s="522">
        <v>1089.410034</v>
      </c>
    </row>
    <row r="207" spans="1:6">
      <c r="A207" s="63">
        <v>2010.06</v>
      </c>
      <c r="B207" s="481">
        <v>2185.0100000000002</v>
      </c>
      <c r="C207" s="559">
        <v>123883.53</v>
      </c>
      <c r="D207" s="417">
        <v>5545496439</v>
      </c>
      <c r="E207" s="180">
        <v>1123.18</v>
      </c>
      <c r="F207" s="522">
        <v>1030.709961</v>
      </c>
    </row>
    <row r="208" spans="1:6">
      <c r="A208" s="63">
        <v>2010.07</v>
      </c>
      <c r="B208" s="481">
        <v>2394.16</v>
      </c>
      <c r="C208" s="559">
        <v>135703.97</v>
      </c>
      <c r="D208" s="417">
        <v>4847670371</v>
      </c>
      <c r="E208" s="180">
        <v>7956.41</v>
      </c>
      <c r="F208" s="522">
        <v>1101.599976</v>
      </c>
    </row>
    <row r="209" spans="1:6">
      <c r="A209" s="63">
        <v>2010.08</v>
      </c>
      <c r="B209" s="481">
        <v>2336.89</v>
      </c>
      <c r="C209" s="559">
        <v>129923.55</v>
      </c>
      <c r="D209" s="417">
        <v>6786286039</v>
      </c>
      <c r="E209" s="180">
        <v>951.59</v>
      </c>
      <c r="F209" s="522">
        <v>1049.329956</v>
      </c>
    </row>
    <row r="210" spans="1:6">
      <c r="A210" s="63">
        <v>2010.09</v>
      </c>
      <c r="B210" s="481">
        <v>2643.42</v>
      </c>
      <c r="C210" s="559">
        <v>145193.03</v>
      </c>
      <c r="D210" s="417">
        <v>9335841746</v>
      </c>
      <c r="E210" s="180">
        <v>1145.05</v>
      </c>
      <c r="F210" s="522">
        <v>1141.1999510000001</v>
      </c>
    </row>
    <row r="211" spans="1:6">
      <c r="A211" s="63">
        <v>2010.1</v>
      </c>
      <c r="B211" s="481">
        <v>3007.41</v>
      </c>
      <c r="C211" s="559">
        <v>158855.16</v>
      </c>
      <c r="D211" s="417">
        <v>6503615497</v>
      </c>
      <c r="E211" s="180">
        <v>1711.69</v>
      </c>
      <c r="F211" s="522">
        <v>1183.26001</v>
      </c>
    </row>
    <row r="212" spans="1:6">
      <c r="A212" s="63">
        <v>2010.11</v>
      </c>
      <c r="B212" s="481">
        <v>3261.49</v>
      </c>
      <c r="C212" s="559">
        <v>169624.83</v>
      </c>
      <c r="D212" s="417">
        <v>6302939767</v>
      </c>
      <c r="E212" s="180">
        <v>2986.2400000000002</v>
      </c>
      <c r="F212" s="522">
        <v>1180.5500489999999</v>
      </c>
    </row>
    <row r="213" spans="1:6">
      <c r="A213" s="63">
        <v>2010.12</v>
      </c>
      <c r="B213" s="481">
        <v>3523.59</v>
      </c>
      <c r="C213" s="559">
        <v>188392.43</v>
      </c>
      <c r="D213" s="417">
        <v>5092585790</v>
      </c>
      <c r="E213" s="180">
        <v>3656.1239999999998</v>
      </c>
      <c r="F213" s="522">
        <v>1257.6400149999999</v>
      </c>
    </row>
    <row r="214" spans="1:6">
      <c r="A214" s="63">
        <v>2011.01</v>
      </c>
      <c r="B214" s="481">
        <v>3593.13</v>
      </c>
      <c r="C214" s="559">
        <v>195789.81</v>
      </c>
      <c r="D214" s="417">
        <v>6173796319</v>
      </c>
      <c r="E214" s="180">
        <v>1602.81</v>
      </c>
      <c r="F214" s="522">
        <v>1286.119995</v>
      </c>
    </row>
    <row r="215" spans="1:6">
      <c r="A215" s="63">
        <v>2011.02</v>
      </c>
      <c r="B215" s="481">
        <v>3455.65</v>
      </c>
      <c r="C215" s="559">
        <v>188118.06</v>
      </c>
      <c r="D215" s="417">
        <v>6373755956</v>
      </c>
      <c r="E215" s="180">
        <v>1662.77</v>
      </c>
      <c r="F215" s="522">
        <v>1327.219971</v>
      </c>
    </row>
    <row r="216" spans="1:6">
      <c r="A216" s="63">
        <v>2011.03</v>
      </c>
      <c r="B216" s="481">
        <v>3388.03</v>
      </c>
      <c r="C216" s="559">
        <v>189288.65</v>
      </c>
      <c r="D216" s="417">
        <v>7893939293</v>
      </c>
      <c r="E216" s="180">
        <v>2440.7500000000005</v>
      </c>
      <c r="F216" s="522">
        <v>1325.829956</v>
      </c>
    </row>
    <row r="217" spans="1:6">
      <c r="A217" s="63">
        <v>2011.04</v>
      </c>
      <c r="B217" s="481">
        <v>3406.02</v>
      </c>
      <c r="C217" s="559">
        <v>188451.94</v>
      </c>
      <c r="D217" s="417">
        <v>6878859619</v>
      </c>
      <c r="E217" s="180">
        <v>6888.24</v>
      </c>
      <c r="F217" s="522">
        <v>1363.6099850000001</v>
      </c>
    </row>
    <row r="218" spans="1:6">
      <c r="A218" s="63">
        <v>2011.05</v>
      </c>
      <c r="B218" s="481">
        <v>3250.91</v>
      </c>
      <c r="C218" s="559">
        <v>182577.26</v>
      </c>
      <c r="D218" s="417">
        <v>7887463346</v>
      </c>
      <c r="E218" s="180">
        <v>3448.63</v>
      </c>
      <c r="F218" s="522">
        <v>1345.1999510000001</v>
      </c>
    </row>
    <row r="219" spans="1:6">
      <c r="A219" s="63">
        <v>2011.06</v>
      </c>
      <c r="B219" s="481">
        <v>3360.64</v>
      </c>
      <c r="C219" s="559">
        <v>184950.8</v>
      </c>
      <c r="D219" s="417">
        <v>7445840901</v>
      </c>
      <c r="E219" s="180">
        <v>1785.23</v>
      </c>
      <c r="F219" s="522">
        <v>1320.6400149999999</v>
      </c>
    </row>
    <row r="220" spans="1:6">
      <c r="A220" s="63">
        <v>2011.07</v>
      </c>
      <c r="B220" s="481">
        <v>3321.85</v>
      </c>
      <c r="C220" s="559">
        <v>181305.87</v>
      </c>
      <c r="D220" s="417">
        <v>5794697542</v>
      </c>
      <c r="E220" s="180">
        <v>1328.71</v>
      </c>
      <c r="F220" s="522">
        <v>1292.280029</v>
      </c>
    </row>
    <row r="221" spans="1:6">
      <c r="A221" s="63">
        <v>2011.08</v>
      </c>
      <c r="B221" s="481">
        <v>2964.79</v>
      </c>
      <c r="C221" s="559">
        <v>163306.42000000001</v>
      </c>
      <c r="D221" s="417">
        <v>7436364775</v>
      </c>
      <c r="E221" s="180">
        <v>2411.1700000000005</v>
      </c>
      <c r="F221" s="522">
        <v>1218.8900149999999</v>
      </c>
    </row>
    <row r="222" spans="1:6">
      <c r="A222" s="63">
        <v>2011.09</v>
      </c>
      <c r="B222" s="481">
        <v>2455.79</v>
      </c>
      <c r="C222" s="559">
        <v>136684.85</v>
      </c>
      <c r="D222" s="417">
        <v>7106940583</v>
      </c>
      <c r="E222" s="180">
        <v>2555.1099999999997</v>
      </c>
      <c r="F222" s="522">
        <v>1131.420044</v>
      </c>
    </row>
    <row r="223" spans="1:6">
      <c r="A223" s="63">
        <v>2011.1</v>
      </c>
      <c r="B223" s="481">
        <v>2905.54</v>
      </c>
      <c r="C223" s="559">
        <v>161858.43</v>
      </c>
      <c r="D223" s="417">
        <v>7455044551</v>
      </c>
      <c r="E223" s="180">
        <v>1301.75</v>
      </c>
      <c r="F223" s="522">
        <v>1253.3000489999999</v>
      </c>
    </row>
    <row r="224" spans="1:6">
      <c r="A224" s="63">
        <v>2011.11</v>
      </c>
      <c r="B224" s="481">
        <v>2562.85</v>
      </c>
      <c r="C224" s="559">
        <v>146893.34</v>
      </c>
      <c r="D224" s="417">
        <v>5847183657</v>
      </c>
      <c r="E224" s="180">
        <v>1496.81</v>
      </c>
      <c r="F224" s="522">
        <v>1246.959961</v>
      </c>
    </row>
    <row r="225" spans="1:6">
      <c r="A225" s="63">
        <v>2011.12</v>
      </c>
      <c r="B225" s="481">
        <v>2462.63</v>
      </c>
      <c r="C225" s="559">
        <v>144517.98000000001</v>
      </c>
      <c r="D225" s="417">
        <v>4554483036</v>
      </c>
      <c r="E225" s="180">
        <v>2770.83</v>
      </c>
      <c r="F225" s="522">
        <v>1257.599976</v>
      </c>
    </row>
    <row r="226" spans="1:6">
      <c r="A226" s="63">
        <v>2012.01</v>
      </c>
      <c r="B226" s="481">
        <v>2787.17</v>
      </c>
      <c r="C226" s="559">
        <v>158345.12</v>
      </c>
      <c r="D226" s="417">
        <v>6848557944</v>
      </c>
      <c r="E226" s="180">
        <v>1738.7599999999998</v>
      </c>
      <c r="F226" s="522">
        <v>1312.410034</v>
      </c>
    </row>
    <row r="227" spans="1:6">
      <c r="A227" s="63">
        <v>2012.02</v>
      </c>
      <c r="B227" s="481">
        <v>2648.22</v>
      </c>
      <c r="C227" s="559">
        <v>154269.5</v>
      </c>
      <c r="D227" s="417">
        <v>5747533216</v>
      </c>
      <c r="E227" s="180">
        <v>1736.8</v>
      </c>
      <c r="F227" s="522">
        <v>1365.6800539999999</v>
      </c>
    </row>
    <row r="228" spans="1:6">
      <c r="A228" s="63">
        <v>2012.03</v>
      </c>
      <c r="B228" s="481">
        <v>2683.99</v>
      </c>
      <c r="C228" s="559">
        <v>155480.5</v>
      </c>
      <c r="D228" s="417">
        <v>8672096600</v>
      </c>
      <c r="E228" s="180">
        <v>1604.07</v>
      </c>
      <c r="F228" s="522">
        <v>1408.469971</v>
      </c>
    </row>
    <row r="229" spans="1:6">
      <c r="A229" s="63">
        <v>2012.04</v>
      </c>
      <c r="B229" s="481">
        <v>2271.86</v>
      </c>
      <c r="C229" s="559">
        <v>137210.78</v>
      </c>
      <c r="D229" s="417">
        <v>6583165801</v>
      </c>
      <c r="E229" s="180">
        <v>2086.6999999999998</v>
      </c>
      <c r="F229" s="522">
        <v>1397.910034</v>
      </c>
    </row>
    <row r="230" spans="1:6">
      <c r="A230" s="63">
        <v>2012.05</v>
      </c>
      <c r="B230" s="481">
        <v>2256.7399999999998</v>
      </c>
      <c r="C230" s="559">
        <v>138333.01999999999</v>
      </c>
      <c r="D230" s="417">
        <v>9041923287</v>
      </c>
      <c r="E230" s="180">
        <v>4538.57</v>
      </c>
      <c r="F230" s="522">
        <v>1310.329956</v>
      </c>
    </row>
    <row r="231" spans="1:6">
      <c r="A231" s="63">
        <v>2012.06</v>
      </c>
      <c r="B231" s="481">
        <v>2346.6799999999998</v>
      </c>
      <c r="C231" s="559">
        <v>143818.98000000001</v>
      </c>
      <c r="D231" s="417">
        <v>6630258276</v>
      </c>
      <c r="E231" s="180">
        <v>1422.03</v>
      </c>
      <c r="F231" s="522">
        <v>1362.160034</v>
      </c>
    </row>
    <row r="232" spans="1:6">
      <c r="A232" s="63">
        <v>2012.07</v>
      </c>
      <c r="B232" s="481">
        <v>2400.31</v>
      </c>
      <c r="C232" s="559">
        <v>150111.22</v>
      </c>
      <c r="D232" s="417">
        <v>5490674052</v>
      </c>
      <c r="E232" s="180">
        <v>1965.23</v>
      </c>
      <c r="F232" s="522">
        <v>1379.3199460000001</v>
      </c>
    </row>
    <row r="233" spans="1:6">
      <c r="A233" s="63">
        <v>2012.08</v>
      </c>
      <c r="B233" s="481">
        <v>2408.38</v>
      </c>
      <c r="C233" s="559">
        <v>147725.91</v>
      </c>
      <c r="D233" s="417">
        <v>6826432694</v>
      </c>
      <c r="E233" s="180">
        <v>3577.35</v>
      </c>
      <c r="F233" s="522">
        <v>1406.579956</v>
      </c>
    </row>
    <row r="234" spans="1:6">
      <c r="A234" s="63">
        <v>2012.09</v>
      </c>
      <c r="B234" s="481">
        <v>2451.73</v>
      </c>
      <c r="C234" s="559">
        <v>146370.88</v>
      </c>
      <c r="D234" s="417">
        <v>6332127455</v>
      </c>
      <c r="E234" s="180">
        <v>3994.58</v>
      </c>
      <c r="F234" s="522">
        <v>1440.670044</v>
      </c>
    </row>
    <row r="235" spans="1:6">
      <c r="A235" s="63">
        <v>2012.1</v>
      </c>
      <c r="B235" s="481">
        <v>2323.39</v>
      </c>
      <c r="C235" s="559">
        <v>142466.76999999999</v>
      </c>
      <c r="D235" s="417">
        <v>7510764388</v>
      </c>
      <c r="E235" s="180">
        <v>3949.1600000000003</v>
      </c>
      <c r="F235" s="522">
        <v>1412.160034</v>
      </c>
    </row>
    <row r="236" spans="1:6">
      <c r="A236" s="63">
        <v>2012.11</v>
      </c>
      <c r="B236" s="481">
        <v>2419.3000000000002</v>
      </c>
      <c r="C236" s="559">
        <v>146115.35999999999</v>
      </c>
      <c r="D236" s="417">
        <v>8283449903</v>
      </c>
      <c r="E236" s="180">
        <v>5414.3400000000011</v>
      </c>
      <c r="F236" s="522">
        <v>1416.1800539999999</v>
      </c>
    </row>
    <row r="237" spans="1:6">
      <c r="A237" s="63">
        <v>2012.12</v>
      </c>
      <c r="B237" s="481">
        <v>2854.29</v>
      </c>
      <c r="C237" s="559">
        <v>164018.92000000001</v>
      </c>
      <c r="D237" s="417">
        <v>6345507847</v>
      </c>
      <c r="E237" s="180">
        <v>6486.0999999999995</v>
      </c>
      <c r="F237" s="522">
        <v>1426.1899410000001</v>
      </c>
    </row>
    <row r="238" spans="1:6">
      <c r="A238" s="63">
        <v>2013.01</v>
      </c>
      <c r="B238" s="481">
        <v>3462.42</v>
      </c>
      <c r="C238" s="559">
        <v>197267.71</v>
      </c>
      <c r="D238" s="417">
        <v>9022747678</v>
      </c>
      <c r="E238" s="180">
        <v>2855.32</v>
      </c>
      <c r="F238" s="522">
        <v>1498.1099850000001</v>
      </c>
    </row>
    <row r="239" spans="1:6">
      <c r="A239" s="63">
        <v>2013.02</v>
      </c>
      <c r="B239" s="481">
        <v>3048.55</v>
      </c>
      <c r="C239" s="559">
        <v>182443.01</v>
      </c>
      <c r="D239" s="417">
        <v>8130812129</v>
      </c>
      <c r="E239" s="180">
        <v>3432.3999999999996</v>
      </c>
      <c r="F239" s="522">
        <v>1514.6800539999999</v>
      </c>
    </row>
    <row r="240" spans="1:6">
      <c r="A240" s="63">
        <v>2013.03</v>
      </c>
      <c r="B240" s="481">
        <v>3380.78</v>
      </c>
      <c r="C240" s="559">
        <v>198283.31</v>
      </c>
      <c r="D240" s="417">
        <v>9624465499</v>
      </c>
      <c r="E240" s="180">
        <v>4032.7000000000003</v>
      </c>
      <c r="F240" s="522">
        <v>1569.1899410000001</v>
      </c>
    </row>
    <row r="241" spans="1:6">
      <c r="A241" s="63">
        <v>2013.04</v>
      </c>
      <c r="B241" s="481">
        <v>3845.94</v>
      </c>
      <c r="C241" s="559">
        <v>228743.2</v>
      </c>
      <c r="D241" s="417">
        <v>11427898592</v>
      </c>
      <c r="E241" s="180">
        <v>6302.34</v>
      </c>
      <c r="F241" s="522">
        <v>1597.5699460000001</v>
      </c>
    </row>
    <row r="242" spans="1:6">
      <c r="A242" s="63">
        <v>2013.05</v>
      </c>
      <c r="B242" s="481">
        <v>3489.43</v>
      </c>
      <c r="C242" s="559">
        <v>203767.38</v>
      </c>
      <c r="D242" s="417">
        <v>10847835096</v>
      </c>
      <c r="E242" s="180">
        <v>4267.53</v>
      </c>
      <c r="F242" s="522">
        <v>1630.73999</v>
      </c>
    </row>
    <row r="243" spans="1:6">
      <c r="A243" s="63">
        <v>2013.06</v>
      </c>
      <c r="B243" s="481">
        <v>2976.27</v>
      </c>
      <c r="C243" s="559">
        <v>175050.69</v>
      </c>
      <c r="D243" s="417">
        <v>8268213862</v>
      </c>
      <c r="E243" s="180">
        <v>3936.94</v>
      </c>
      <c r="F243" s="522">
        <v>1606.280029</v>
      </c>
    </row>
    <row r="244" spans="1:6">
      <c r="A244" s="63">
        <v>2013.07</v>
      </c>
      <c r="B244" s="481">
        <v>3357.86</v>
      </c>
      <c r="C244" s="559">
        <v>194992.06</v>
      </c>
      <c r="D244" s="417">
        <v>9358474750</v>
      </c>
      <c r="E244" s="180">
        <v>5148.13</v>
      </c>
      <c r="F244" s="522">
        <v>1685.7299800000001</v>
      </c>
    </row>
    <row r="245" spans="1:6">
      <c r="A245" s="63">
        <v>2013.08</v>
      </c>
      <c r="B245" s="481">
        <v>3935.89</v>
      </c>
      <c r="C245" s="559">
        <v>226987.15</v>
      </c>
      <c r="D245" s="417">
        <v>10303749644</v>
      </c>
      <c r="E245" s="180">
        <v>4040.22</v>
      </c>
      <c r="F245" s="522">
        <v>1632.969971</v>
      </c>
    </row>
    <row r="246" spans="1:6">
      <c r="A246" s="63">
        <v>2013.09</v>
      </c>
      <c r="B246" s="481">
        <v>4783.7700000000004</v>
      </c>
      <c r="C246" s="559">
        <v>258046.22</v>
      </c>
      <c r="D246" s="417">
        <v>10653032933</v>
      </c>
      <c r="E246" s="180">
        <v>3476.69</v>
      </c>
      <c r="F246" s="522">
        <v>1681.5500489999999</v>
      </c>
    </row>
    <row r="247" spans="1:6">
      <c r="A247" s="63">
        <v>2013.1</v>
      </c>
      <c r="B247" s="481">
        <v>5165.09</v>
      </c>
      <c r="C247" s="559">
        <v>281415.01</v>
      </c>
      <c r="D247" s="417">
        <v>10909778053</v>
      </c>
      <c r="E247" s="180">
        <v>19338.12</v>
      </c>
      <c r="F247" s="522">
        <v>1756.540039</v>
      </c>
    </row>
    <row r="248" spans="1:6">
      <c r="A248" s="63">
        <v>2013.11</v>
      </c>
      <c r="B248" s="481">
        <v>5718.68</v>
      </c>
      <c r="C248" s="559">
        <v>287678.84000000003</v>
      </c>
      <c r="D248" s="417">
        <v>7221889683</v>
      </c>
      <c r="E248" s="180">
        <v>5882.61</v>
      </c>
      <c r="F248" s="522">
        <v>1805.8100589999999</v>
      </c>
    </row>
    <row r="249" spans="1:6">
      <c r="A249" s="63">
        <v>2013.12</v>
      </c>
      <c r="B249" s="481">
        <v>5391.03</v>
      </c>
      <c r="C249" s="559">
        <v>265324.57</v>
      </c>
      <c r="D249" s="417">
        <v>6390639376</v>
      </c>
      <c r="E249" s="180">
        <v>7405.7300000000005</v>
      </c>
      <c r="F249" s="522">
        <v>1848.3599850000001</v>
      </c>
    </row>
    <row r="250" spans="1:6">
      <c r="A250" s="63">
        <v>2014.01</v>
      </c>
      <c r="B250" s="481">
        <v>6018.65</v>
      </c>
      <c r="C250" s="559">
        <v>309833.96000000002</v>
      </c>
      <c r="D250" s="417">
        <v>8695340313</v>
      </c>
      <c r="E250" s="180">
        <v>2894.37</v>
      </c>
      <c r="F250" s="522">
        <v>1782.589966</v>
      </c>
    </row>
    <row r="251" spans="1:6">
      <c r="A251" s="63">
        <v>2014.02</v>
      </c>
      <c r="B251" s="481">
        <v>5784.39</v>
      </c>
      <c r="C251" s="559">
        <v>285091.11</v>
      </c>
      <c r="D251" s="417">
        <v>8158982315</v>
      </c>
      <c r="E251" s="180">
        <v>4995.0600000000004</v>
      </c>
      <c r="F251" s="522">
        <v>1859.4499510000001</v>
      </c>
    </row>
    <row r="252" spans="1:6">
      <c r="A252" s="63">
        <v>2014.03</v>
      </c>
      <c r="B252" s="481">
        <v>6373.82</v>
      </c>
      <c r="C252" s="559">
        <v>304237.58</v>
      </c>
      <c r="D252" s="417">
        <v>8069433871</v>
      </c>
      <c r="E252" s="180">
        <v>3769.2599999999998</v>
      </c>
      <c r="F252" s="522">
        <v>1872.339966</v>
      </c>
    </row>
    <row r="253" spans="1:6">
      <c r="A253" s="63">
        <v>2014.04</v>
      </c>
      <c r="B253" s="481">
        <v>6782.01</v>
      </c>
      <c r="C253" s="559">
        <v>327213.74</v>
      </c>
      <c r="D253" s="417">
        <v>10284783986</v>
      </c>
      <c r="E253" s="180">
        <v>11610.06</v>
      </c>
      <c r="F253" s="522">
        <v>1883.9499510000001</v>
      </c>
    </row>
    <row r="254" spans="1:6">
      <c r="A254" s="63">
        <v>2014.05</v>
      </c>
      <c r="B254" s="481">
        <v>7712.23</v>
      </c>
      <c r="C254" s="559">
        <v>373628.03</v>
      </c>
      <c r="D254" s="417">
        <v>11579152584</v>
      </c>
      <c r="E254" s="180">
        <v>3417.1000000000004</v>
      </c>
      <c r="F254" s="522">
        <v>1923.5699460000001</v>
      </c>
    </row>
    <row r="255" spans="1:6">
      <c r="A255" s="63">
        <v>2014.06</v>
      </c>
      <c r="B255" s="481">
        <v>7887.33</v>
      </c>
      <c r="C255" s="559">
        <v>376028.88</v>
      </c>
      <c r="D255" s="417">
        <v>10209468288</v>
      </c>
      <c r="E255" s="180">
        <v>6124.47</v>
      </c>
      <c r="F255" s="522">
        <v>1960.2299800000001</v>
      </c>
    </row>
    <row r="256" spans="1:6">
      <c r="A256" s="63">
        <v>2014.07</v>
      </c>
      <c r="B256" s="481">
        <v>8187.99</v>
      </c>
      <c r="C256" s="559">
        <v>379664.48</v>
      </c>
      <c r="D256" s="417">
        <v>12579014820</v>
      </c>
      <c r="E256" s="180">
        <v>4822.1499999999996</v>
      </c>
      <c r="F256" s="522">
        <v>1930.670044</v>
      </c>
    </row>
    <row r="257" spans="1:6">
      <c r="A257" s="63">
        <v>2014.08</v>
      </c>
      <c r="B257" s="481">
        <v>9817.2999999999993</v>
      </c>
      <c r="C257" s="559">
        <v>454971.48</v>
      </c>
      <c r="D257" s="417">
        <v>9711719601.5600014</v>
      </c>
      <c r="E257" s="180">
        <v>4191.84</v>
      </c>
      <c r="F257" s="522">
        <v>2003.369995</v>
      </c>
    </row>
    <row r="258" spans="1:6">
      <c r="A258" s="63">
        <v>2014.09</v>
      </c>
      <c r="B258" s="481">
        <v>12548.99</v>
      </c>
      <c r="C258" s="559">
        <v>583490.12</v>
      </c>
      <c r="D258" s="417">
        <v>14158959593</v>
      </c>
      <c r="E258" s="180">
        <v>7290.81</v>
      </c>
      <c r="F258" s="522">
        <v>1972.290039</v>
      </c>
    </row>
    <row r="259" spans="1:6">
      <c r="A259" s="63">
        <v>2014.1</v>
      </c>
      <c r="B259" s="481">
        <v>11019.43</v>
      </c>
      <c r="C259" s="559">
        <v>514136.02</v>
      </c>
      <c r="D259" s="417">
        <v>10516706864</v>
      </c>
      <c r="E259" s="180">
        <v>5914.39</v>
      </c>
      <c r="F259" s="522">
        <v>2018.0500489999999</v>
      </c>
    </row>
    <row r="260" spans="1:6">
      <c r="A260" s="63">
        <v>2014.11</v>
      </c>
      <c r="B260" s="481">
        <v>9808.6</v>
      </c>
      <c r="C260" s="559">
        <v>451231.72</v>
      </c>
      <c r="D260" s="417">
        <v>9945503299</v>
      </c>
      <c r="E260" s="180">
        <v>4633.6500000000005</v>
      </c>
      <c r="F260" s="522">
        <v>2067.5600589999999</v>
      </c>
    </row>
    <row r="261" spans="1:6">
      <c r="A261" s="63">
        <v>2014.12</v>
      </c>
      <c r="B261" s="869">
        <v>8579.02</v>
      </c>
      <c r="C261" s="559">
        <v>414609.45</v>
      </c>
      <c r="D261" s="417">
        <v>10747107897</v>
      </c>
      <c r="E261" s="180">
        <v>17887.07</v>
      </c>
      <c r="F261" s="2071">
        <v>2058.8999020000001</v>
      </c>
    </row>
    <row r="262" spans="1:6">
      <c r="A262" s="63">
        <v>2015.01</v>
      </c>
      <c r="B262" s="481">
        <v>8490.4599999999991</v>
      </c>
      <c r="C262" s="2072">
        <v>406573.91</v>
      </c>
      <c r="D262" s="417">
        <v>10329917711</v>
      </c>
      <c r="E262" s="873">
        <v>2434.52</v>
      </c>
      <c r="F262" s="522">
        <v>1994.98999</v>
      </c>
    </row>
    <row r="263" spans="1:6">
      <c r="A263" s="63">
        <v>2015.02</v>
      </c>
      <c r="B263" s="481">
        <v>9601.61</v>
      </c>
      <c r="C263" s="559">
        <v>450984.34</v>
      </c>
      <c r="D263" s="417">
        <v>9780548788</v>
      </c>
      <c r="E263" s="180">
        <v>8962</v>
      </c>
      <c r="F263" s="522">
        <v>2104.5</v>
      </c>
    </row>
    <row r="264" spans="1:6">
      <c r="A264" s="63">
        <v>2015.03</v>
      </c>
      <c r="B264" s="481">
        <v>10837.23</v>
      </c>
      <c r="C264" s="559">
        <v>488584.7</v>
      </c>
      <c r="D264" s="417">
        <v>9313706952</v>
      </c>
      <c r="E264" s="180">
        <v>4383</v>
      </c>
      <c r="F264" s="522">
        <v>2067.889893</v>
      </c>
    </row>
    <row r="265" spans="1:6">
      <c r="A265" s="63">
        <v>2015.04</v>
      </c>
      <c r="B265" s="481">
        <v>12050.19</v>
      </c>
      <c r="C265" s="559">
        <v>516772.45</v>
      </c>
      <c r="D265" s="417">
        <v>10799130640</v>
      </c>
      <c r="E265" s="180">
        <v>18429</v>
      </c>
      <c r="F265" s="522">
        <v>2085.51001</v>
      </c>
    </row>
    <row r="266" spans="1:6">
      <c r="A266" s="63">
        <v>2015.05</v>
      </c>
      <c r="B266" s="481">
        <v>10800.86</v>
      </c>
      <c r="C266" s="559">
        <v>469119.9</v>
      </c>
      <c r="D266" s="417">
        <v>9343739822</v>
      </c>
      <c r="E266" s="180">
        <v>4572</v>
      </c>
      <c r="F266" s="522">
        <v>2107.389893</v>
      </c>
    </row>
    <row r="267" spans="1:6">
      <c r="A267" s="63">
        <v>2015.06</v>
      </c>
      <c r="B267" s="481">
        <v>11656.81</v>
      </c>
      <c r="C267" s="559">
        <v>493583.63</v>
      </c>
      <c r="D267" s="417">
        <v>13200489131</v>
      </c>
      <c r="E267" s="180">
        <v>5484</v>
      </c>
      <c r="F267" s="522">
        <v>2063.110107</v>
      </c>
    </row>
    <row r="268" spans="1:6">
      <c r="A268" s="63">
        <v>2015.07</v>
      </c>
      <c r="B268" s="481">
        <v>11101.02</v>
      </c>
      <c r="C268" s="559">
        <v>454640.48</v>
      </c>
      <c r="D268" s="417">
        <v>10730535946</v>
      </c>
      <c r="E268" s="180">
        <v>7957</v>
      </c>
      <c r="F268" s="522">
        <v>2103.8400879999999</v>
      </c>
    </row>
    <row r="269" spans="1:6">
      <c r="A269" s="63">
        <v>2015.08</v>
      </c>
      <c r="B269" s="481">
        <v>11032.87</v>
      </c>
      <c r="C269" s="559">
        <v>452975.62</v>
      </c>
      <c r="D269" s="417">
        <v>11594325899</v>
      </c>
      <c r="E269" s="180">
        <v>4751</v>
      </c>
      <c r="F269" s="522">
        <v>1972.1800539999999</v>
      </c>
    </row>
    <row r="270" spans="1:6">
      <c r="A270" s="63">
        <v>2015.09</v>
      </c>
      <c r="B270" s="481">
        <v>9814.6200000000008</v>
      </c>
      <c r="C270" s="559">
        <v>393960.66</v>
      </c>
      <c r="D270" s="417">
        <v>14696115167</v>
      </c>
      <c r="E270" s="180">
        <v>9377</v>
      </c>
      <c r="F270" s="522">
        <v>1920.030029</v>
      </c>
    </row>
    <row r="271" spans="1:6">
      <c r="A271" s="63">
        <v>2015.1</v>
      </c>
      <c r="B271" s="481">
        <v>12461.25</v>
      </c>
      <c r="C271" s="559">
        <v>497760.73</v>
      </c>
      <c r="D271" s="417">
        <v>11804819908</v>
      </c>
      <c r="E271" s="180">
        <v>9639</v>
      </c>
      <c r="F271" s="522">
        <v>2079.360107</v>
      </c>
    </row>
    <row r="272" spans="1:6">
      <c r="A272" s="63">
        <v>2015.11</v>
      </c>
      <c r="B272" s="481">
        <v>12972.14</v>
      </c>
      <c r="C272" s="559">
        <v>530955.26</v>
      </c>
      <c r="D272" s="417">
        <v>14088143634</v>
      </c>
      <c r="E272" s="180">
        <v>15739</v>
      </c>
      <c r="F272" s="522">
        <v>2080.4099120000001</v>
      </c>
    </row>
    <row r="273" spans="1:6">
      <c r="A273" s="63">
        <v>2015.12</v>
      </c>
      <c r="B273" s="481">
        <v>11675.18</v>
      </c>
      <c r="C273" s="559">
        <v>479544.15</v>
      </c>
      <c r="D273" s="417">
        <v>10153360984</v>
      </c>
      <c r="E273" s="180">
        <v>9721</v>
      </c>
      <c r="F273" s="522">
        <v>2043.9399410000001</v>
      </c>
    </row>
    <row r="274" spans="1:6">
      <c r="A274" s="63">
        <f>A262+1</f>
        <v>2016.01</v>
      </c>
      <c r="B274" s="481">
        <v>11306.02</v>
      </c>
      <c r="C274" s="559">
        <v>462255.15</v>
      </c>
      <c r="D274" s="417">
        <v>9726707064</v>
      </c>
      <c r="E274" s="180">
        <v>5904</v>
      </c>
      <c r="F274" s="522">
        <v>1940.23999</v>
      </c>
    </row>
    <row r="275" spans="1:6">
      <c r="A275" s="63">
        <f t="shared" ref="A275:A338" si="6">A263+1</f>
        <v>2016.02</v>
      </c>
      <c r="B275" s="481">
        <v>13115.95</v>
      </c>
      <c r="C275" s="559">
        <v>546421.04</v>
      </c>
      <c r="D275" s="417">
        <v>10983728069</v>
      </c>
      <c r="E275" s="180">
        <v>5772</v>
      </c>
      <c r="F275" s="522">
        <v>1932.2299800000001</v>
      </c>
    </row>
    <row r="276" spans="1:6">
      <c r="A276" s="63">
        <f t="shared" si="6"/>
        <v>2016.03</v>
      </c>
      <c r="B276" s="481">
        <v>12992.43</v>
      </c>
      <c r="C276" s="559">
        <v>553781.85</v>
      </c>
      <c r="D276" s="417">
        <v>17867814957</v>
      </c>
      <c r="E276" s="180">
        <v>26370</v>
      </c>
      <c r="F276" s="522">
        <v>2059.73999</v>
      </c>
    </row>
    <row r="277" spans="1:6">
      <c r="A277" s="63">
        <f t="shared" si="6"/>
        <v>2016.04</v>
      </c>
      <c r="B277" s="481">
        <v>13724.07</v>
      </c>
      <c r="C277" s="559">
        <v>589289.71</v>
      </c>
      <c r="D277" s="417">
        <v>20603364052</v>
      </c>
      <c r="E277" s="180">
        <v>7544</v>
      </c>
      <c r="F277" s="522">
        <v>2065.3000489999999</v>
      </c>
    </row>
    <row r="278" spans="1:6">
      <c r="A278" s="63">
        <f t="shared" si="6"/>
        <v>2016.05</v>
      </c>
      <c r="B278" s="481">
        <v>12681.74</v>
      </c>
      <c r="C278" s="559">
        <v>546718.73</v>
      </c>
      <c r="D278" s="417">
        <v>26590773077</v>
      </c>
      <c r="E278" s="180">
        <v>13809</v>
      </c>
      <c r="F278" s="522">
        <v>2096.9499510000001</v>
      </c>
    </row>
    <row r="279" spans="1:6">
      <c r="A279" s="63">
        <f t="shared" si="6"/>
        <v>2016.06</v>
      </c>
      <c r="B279" s="481">
        <v>14683.49</v>
      </c>
      <c r="C279" s="559">
        <v>623243.06999999995</v>
      </c>
      <c r="D279" s="417">
        <v>26914300351</v>
      </c>
      <c r="E279" s="180">
        <v>31141</v>
      </c>
      <c r="F279" s="522">
        <v>2098.860107</v>
      </c>
    </row>
    <row r="280" spans="1:6">
      <c r="A280" s="63">
        <f t="shared" si="6"/>
        <v>2016.07</v>
      </c>
      <c r="B280" s="481">
        <v>15803.5</v>
      </c>
      <c r="C280" s="559">
        <v>679109.55</v>
      </c>
      <c r="D280" s="417">
        <v>21939102554</v>
      </c>
      <c r="E280" s="180">
        <v>24941</v>
      </c>
      <c r="F280" s="522">
        <v>2173.6000979999999</v>
      </c>
    </row>
    <row r="281" spans="1:6">
      <c r="A281" s="63">
        <f t="shared" si="6"/>
        <v>2016.08</v>
      </c>
      <c r="B281" s="481">
        <v>15649.47</v>
      </c>
      <c r="C281" s="559">
        <v>675045.16</v>
      </c>
      <c r="D281" s="417">
        <v>26716502804</v>
      </c>
      <c r="E281" s="180">
        <v>15635</v>
      </c>
      <c r="F281" s="522">
        <v>2170.9499510000001</v>
      </c>
    </row>
    <row r="282" spans="1:6">
      <c r="A282" s="63">
        <f t="shared" si="6"/>
        <v>2016.09</v>
      </c>
      <c r="B282" s="481">
        <v>16675.68</v>
      </c>
      <c r="C282" s="559">
        <v>733050.48</v>
      </c>
      <c r="D282" s="417">
        <v>26335298192</v>
      </c>
      <c r="E282" s="180">
        <v>16760</v>
      </c>
      <c r="F282" s="522">
        <v>2168.2700199999999</v>
      </c>
    </row>
    <row r="283" spans="1:6">
      <c r="A283" s="63">
        <f t="shared" si="6"/>
        <v>2016.1</v>
      </c>
      <c r="B283" s="481">
        <v>17610.13</v>
      </c>
      <c r="C283" s="559">
        <v>763888.28</v>
      </c>
      <c r="D283" s="417">
        <v>23350731418</v>
      </c>
      <c r="E283" s="180">
        <v>15794</v>
      </c>
      <c r="F283" s="522">
        <v>2126.1499020000001</v>
      </c>
    </row>
    <row r="284" spans="1:6">
      <c r="A284" s="63">
        <f t="shared" si="6"/>
        <v>2016.11</v>
      </c>
      <c r="B284" s="481">
        <v>17442.400000000001</v>
      </c>
      <c r="C284" s="559">
        <v>755947.62</v>
      </c>
      <c r="D284" s="417">
        <v>20967263638</v>
      </c>
      <c r="E284" s="180">
        <v>20122</v>
      </c>
      <c r="F284" s="522">
        <v>2198.8100589999999</v>
      </c>
    </row>
    <row r="285" spans="1:6">
      <c r="A285" s="63">
        <f t="shared" si="6"/>
        <v>2016.12</v>
      </c>
      <c r="B285" s="481">
        <v>16917.86</v>
      </c>
      <c r="C285" s="559">
        <v>747347.65</v>
      </c>
      <c r="D285" s="417">
        <v>21202578585</v>
      </c>
      <c r="E285" s="180">
        <v>10900</v>
      </c>
      <c r="F285" s="522">
        <v>2238.830078</v>
      </c>
    </row>
    <row r="286" spans="1:6">
      <c r="A286" s="63">
        <f t="shared" si="6"/>
        <v>2017.01</v>
      </c>
      <c r="B286" s="481">
        <v>19062.59</v>
      </c>
      <c r="C286" s="559">
        <v>827928.93</v>
      </c>
      <c r="D286" s="417">
        <v>22569475677</v>
      </c>
      <c r="E286" s="180">
        <v>34586</v>
      </c>
      <c r="F286" s="522">
        <v>2278.8701169999999</v>
      </c>
    </row>
    <row r="287" spans="1:6">
      <c r="A287" s="63">
        <f t="shared" si="6"/>
        <v>2017.02</v>
      </c>
      <c r="B287" s="481">
        <v>19117.45</v>
      </c>
      <c r="C287" s="559">
        <v>835707.88</v>
      </c>
      <c r="D287" s="417">
        <v>18997795152</v>
      </c>
      <c r="E287" s="180">
        <v>16874</v>
      </c>
      <c r="F287" s="522">
        <v>2363.639893</v>
      </c>
    </row>
    <row r="288" spans="1:6">
      <c r="A288" s="63">
        <f t="shared" si="6"/>
        <v>2017.03</v>
      </c>
      <c r="B288" s="481">
        <v>20265.32</v>
      </c>
      <c r="C288" s="559">
        <v>879071.41</v>
      </c>
      <c r="D288" s="417">
        <v>38905262693.120102</v>
      </c>
      <c r="E288" s="180">
        <v>14020</v>
      </c>
      <c r="F288" s="522">
        <v>2362.719971</v>
      </c>
    </row>
    <row r="289" spans="1:6">
      <c r="A289" s="63">
        <f t="shared" si="6"/>
        <v>2017.04</v>
      </c>
      <c r="B289" s="481">
        <v>21019.91</v>
      </c>
      <c r="C289" s="559">
        <v>909427.46</v>
      </c>
      <c r="D289" s="417">
        <v>38491321898</v>
      </c>
      <c r="E289" s="180">
        <v>13638</v>
      </c>
      <c r="F289" s="522">
        <v>2384.1999510000001</v>
      </c>
    </row>
    <row r="290" spans="1:6">
      <c r="A290" s="63">
        <f t="shared" si="6"/>
        <v>2017.05</v>
      </c>
      <c r="B290" s="481">
        <v>22348.61</v>
      </c>
      <c r="C290" s="559">
        <v>960233.41</v>
      </c>
      <c r="D290" s="417">
        <v>54480793744</v>
      </c>
      <c r="E290" s="180">
        <v>28565</v>
      </c>
      <c r="F290" s="522">
        <v>2411.8000489999999</v>
      </c>
    </row>
    <row r="291" spans="1:6">
      <c r="A291" s="63">
        <f t="shared" si="6"/>
        <v>2017.06</v>
      </c>
      <c r="B291" s="481">
        <v>21912.63</v>
      </c>
      <c r="C291" s="559">
        <v>944323.46</v>
      </c>
      <c r="D291" s="417">
        <v>43171334161</v>
      </c>
      <c r="E291" s="180">
        <v>24151</v>
      </c>
      <c r="F291" s="522">
        <v>2423.4099120000001</v>
      </c>
    </row>
    <row r="292" spans="1:6">
      <c r="A292" s="63">
        <f t="shared" si="6"/>
        <v>2017.07</v>
      </c>
      <c r="B292" s="481">
        <v>21582.400000000001</v>
      </c>
      <c r="C292" s="559">
        <v>941808.94</v>
      </c>
      <c r="D292" s="417">
        <v>51402931421</v>
      </c>
      <c r="E292" s="180">
        <v>33199</v>
      </c>
      <c r="F292" s="522">
        <v>2470.3000489999999</v>
      </c>
    </row>
    <row r="293" spans="1:6">
      <c r="A293" s="63">
        <f t="shared" si="6"/>
        <v>2017.08</v>
      </c>
      <c r="B293" s="481">
        <v>23588.98</v>
      </c>
      <c r="C293" s="559">
        <v>989359.12</v>
      </c>
      <c r="D293" s="417">
        <v>57086853432</v>
      </c>
      <c r="E293" s="180">
        <v>12071</v>
      </c>
      <c r="F293" s="522">
        <v>2471.6499020000001</v>
      </c>
    </row>
    <row r="294" spans="1:6">
      <c r="A294" s="63">
        <f t="shared" si="6"/>
        <v>2017.09</v>
      </c>
      <c r="B294" s="481">
        <v>26078.29</v>
      </c>
      <c r="C294" s="559">
        <v>1087341.74</v>
      </c>
      <c r="D294" s="417">
        <v>51078795270</v>
      </c>
      <c r="E294" s="180">
        <v>29045</v>
      </c>
      <c r="F294" s="522">
        <v>2519.360107</v>
      </c>
    </row>
    <row r="295" spans="1:6">
      <c r="A295" s="63">
        <f t="shared" si="6"/>
        <v>2017.1</v>
      </c>
      <c r="B295" s="481">
        <v>27935.279999999999</v>
      </c>
      <c r="C295" s="559">
        <v>1194786.8</v>
      </c>
      <c r="D295" s="417">
        <v>50215766009</v>
      </c>
      <c r="E295" s="180">
        <v>26475</v>
      </c>
      <c r="F295" s="522">
        <v>2575.26001</v>
      </c>
    </row>
    <row r="296" spans="1:6">
      <c r="A296" s="63">
        <f t="shared" si="6"/>
        <v>2017.11</v>
      </c>
      <c r="B296" s="481">
        <v>26905.26</v>
      </c>
      <c r="C296" s="559">
        <v>1145937.97</v>
      </c>
      <c r="D296" s="417">
        <v>43106867544</v>
      </c>
      <c r="E296" s="180">
        <v>18861</v>
      </c>
      <c r="F296" s="522">
        <v>2584.8400879999999</v>
      </c>
    </row>
    <row r="297" spans="1:6">
      <c r="A297" s="63">
        <f t="shared" si="6"/>
        <v>2017.12</v>
      </c>
      <c r="B297" s="481">
        <v>30065.61</v>
      </c>
      <c r="C297" s="559">
        <v>1307017.0900000001</v>
      </c>
      <c r="D297" s="417">
        <v>52534135849</v>
      </c>
      <c r="E297" s="180">
        <v>47107</v>
      </c>
      <c r="F297" s="522">
        <v>2673.610107</v>
      </c>
    </row>
    <row r="298" spans="1:6">
      <c r="A298" s="63">
        <f t="shared" si="6"/>
        <v>2018.01</v>
      </c>
      <c r="B298" s="481">
        <v>34938.639999999999</v>
      </c>
      <c r="C298" s="559">
        <v>1489054.63</v>
      </c>
      <c r="D298" s="417">
        <v>81709576774</v>
      </c>
      <c r="E298" s="180">
        <v>33081</v>
      </c>
      <c r="F298" s="522">
        <v>2823.8100589999999</v>
      </c>
    </row>
    <row r="299" spans="1:6">
      <c r="A299" s="63">
        <f t="shared" si="6"/>
        <v>2018.02</v>
      </c>
      <c r="B299" s="481">
        <v>33010.9</v>
      </c>
      <c r="C299" s="559">
        <v>1427163.16</v>
      </c>
      <c r="D299" s="417">
        <v>84044774914</v>
      </c>
      <c r="E299" s="180">
        <v>27009</v>
      </c>
      <c r="F299" s="522">
        <v>2713.830078</v>
      </c>
    </row>
    <row r="300" spans="1:6">
      <c r="A300" s="63">
        <f t="shared" si="6"/>
        <v>2018.03</v>
      </c>
      <c r="B300" s="481">
        <v>31114.93</v>
      </c>
      <c r="C300" s="559">
        <v>1351347.05</v>
      </c>
      <c r="D300" s="417">
        <v>102766049587</v>
      </c>
      <c r="E300" s="180">
        <v>16890</v>
      </c>
      <c r="F300" s="522">
        <v>2640.8701169999999</v>
      </c>
    </row>
    <row r="301" spans="1:6">
      <c r="A301" s="63">
        <f t="shared" si="6"/>
        <v>2018.04</v>
      </c>
      <c r="B301" s="481">
        <v>30006.35</v>
      </c>
      <c r="C301" s="559">
        <v>1327635.54</v>
      </c>
      <c r="D301" s="417">
        <v>106206239305</v>
      </c>
      <c r="E301" s="180">
        <v>37209</v>
      </c>
      <c r="F301" s="522">
        <v>2648.0500489999999</v>
      </c>
    </row>
    <row r="302" spans="1:6">
      <c r="A302" s="63">
        <f t="shared" si="6"/>
        <v>2018.05</v>
      </c>
      <c r="B302" s="481">
        <v>28558.83</v>
      </c>
      <c r="C302" s="559">
        <v>1248608.58</v>
      </c>
      <c r="D302" s="417">
        <v>91103171566</v>
      </c>
      <c r="E302" s="180">
        <v>5732</v>
      </c>
      <c r="F302" s="522">
        <v>2705.2700199999999</v>
      </c>
    </row>
    <row r="303" spans="1:6">
      <c r="A303" s="63">
        <f t="shared" si="6"/>
        <v>2018.06</v>
      </c>
      <c r="B303" s="481">
        <v>25207.31</v>
      </c>
      <c r="C303" s="559">
        <v>1157678.21</v>
      </c>
      <c r="D303" s="417">
        <v>55747254978.999992</v>
      </c>
      <c r="E303" s="180">
        <v>7053</v>
      </c>
      <c r="F303" s="522">
        <v>2718.3701169999999</v>
      </c>
    </row>
    <row r="304" spans="1:6">
      <c r="A304" s="63">
        <f t="shared" si="6"/>
        <v>2018.07</v>
      </c>
      <c r="B304" s="481">
        <v>29287.34</v>
      </c>
      <c r="C304" s="559">
        <v>1268642.31</v>
      </c>
      <c r="D304" s="417">
        <v>84233821481.459991</v>
      </c>
      <c r="E304" s="180">
        <v>6826</v>
      </c>
      <c r="F304" s="522">
        <v>2816.290039</v>
      </c>
    </row>
    <row r="305" spans="1:7">
      <c r="A305" s="63">
        <f t="shared" si="6"/>
        <v>2018.08</v>
      </c>
      <c r="B305" s="481">
        <v>29293.52</v>
      </c>
      <c r="C305" s="559">
        <v>1305554.6599999999</v>
      </c>
      <c r="D305" s="417">
        <v>97911127402</v>
      </c>
      <c r="E305" s="180">
        <v>6452</v>
      </c>
      <c r="F305" s="522">
        <v>2901.5200199999999</v>
      </c>
    </row>
    <row r="306" spans="1:7">
      <c r="A306" s="63">
        <f t="shared" si="6"/>
        <v>2018.09</v>
      </c>
      <c r="B306" s="481">
        <v>33661.760000000002</v>
      </c>
      <c r="C306" s="559">
        <v>1519366.57</v>
      </c>
      <c r="D306" s="417">
        <v>88637973571.459991</v>
      </c>
      <c r="E306" s="180">
        <v>9511</v>
      </c>
      <c r="F306" s="522">
        <v>2913.9799800000001</v>
      </c>
    </row>
    <row r="307" spans="1:7">
      <c r="A307" s="63">
        <f t="shared" si="6"/>
        <v>2018.1</v>
      </c>
      <c r="B307" s="481">
        <v>29491.11</v>
      </c>
      <c r="C307" s="559">
        <v>1335516.73</v>
      </c>
      <c r="D307" s="417">
        <v>23162811955.000004</v>
      </c>
      <c r="E307" s="180">
        <v>9008</v>
      </c>
      <c r="F307" s="522">
        <v>2711.73999</v>
      </c>
    </row>
    <row r="308" spans="1:7">
      <c r="A308" s="63">
        <f t="shared" si="6"/>
        <v>2018.11</v>
      </c>
      <c r="B308" s="481">
        <v>31482.58</v>
      </c>
      <c r="C308" s="559">
        <v>1389635.53</v>
      </c>
      <c r="D308" s="417">
        <v>17821343526</v>
      </c>
      <c r="E308" s="180">
        <v>20778</v>
      </c>
      <c r="F308" s="522">
        <v>2760.169922</v>
      </c>
      <c r="G308" s="453"/>
    </row>
    <row r="309" spans="1:7">
      <c r="A309" s="63">
        <f t="shared" si="6"/>
        <v>2018.12</v>
      </c>
      <c r="B309" s="481">
        <v>30292.58</v>
      </c>
      <c r="C309" s="559">
        <v>1307827.77</v>
      </c>
      <c r="D309" s="417">
        <v>20108270128</v>
      </c>
      <c r="E309" s="180">
        <v>13963</v>
      </c>
      <c r="F309" s="522">
        <v>2506.8500979999999</v>
      </c>
    </row>
    <row r="310" spans="1:7">
      <c r="A310" s="63">
        <f t="shared" si="6"/>
        <v>2019.01</v>
      </c>
      <c r="B310" s="481">
        <v>36326.92</v>
      </c>
      <c r="C310" s="559">
        <v>1529197.77</v>
      </c>
      <c r="D310" s="417">
        <v>31051722621.999996</v>
      </c>
      <c r="E310" s="180">
        <v>14781</v>
      </c>
      <c r="F310" s="522">
        <v>2704.1000979999999</v>
      </c>
    </row>
    <row r="311" spans="1:7">
      <c r="A311" s="63">
        <f t="shared" si="6"/>
        <v>2019.02</v>
      </c>
      <c r="B311" s="481">
        <v>34485</v>
      </c>
      <c r="C311" s="559">
        <v>1460833.26</v>
      </c>
      <c r="D311" s="2073">
        <v>22376414.127</v>
      </c>
      <c r="E311" s="180">
        <v>25100</v>
      </c>
      <c r="F311" s="522">
        <v>2784.48999</v>
      </c>
    </row>
    <row r="312" spans="1:7">
      <c r="A312" s="63">
        <f t="shared" si="6"/>
        <v>2019.03</v>
      </c>
      <c r="B312" s="481">
        <v>33466.03</v>
      </c>
      <c r="C312" s="559">
        <v>1449313.87</v>
      </c>
      <c r="D312" s="2073">
        <v>21085081.6041</v>
      </c>
      <c r="E312" s="180">
        <v>13266</v>
      </c>
      <c r="F312" s="522">
        <v>2834.3999020000001</v>
      </c>
    </row>
    <row r="313" spans="1:7">
      <c r="A313" s="63">
        <f t="shared" si="6"/>
        <v>2019.04</v>
      </c>
      <c r="B313" s="481">
        <v>29571.360000000001</v>
      </c>
      <c r="C313" s="559">
        <v>1288189.6299999999</v>
      </c>
      <c r="D313" s="2073">
        <v>25243459.10971</v>
      </c>
      <c r="E313" s="180">
        <v>19130</v>
      </c>
      <c r="F313" s="522">
        <v>2945.830078</v>
      </c>
    </row>
    <row r="314" spans="1:7">
      <c r="A314" s="63">
        <f t="shared" si="6"/>
        <v>2019.05</v>
      </c>
      <c r="B314" s="481">
        <v>33949.53</v>
      </c>
      <c r="C314" s="559">
        <v>1468508.54</v>
      </c>
      <c r="D314" s="2073">
        <v>23040916.532299999</v>
      </c>
      <c r="E314" s="180">
        <v>23663</v>
      </c>
      <c r="F314" s="522">
        <v>2752.0600589999999</v>
      </c>
    </row>
    <row r="315" spans="1:7">
      <c r="A315" s="63">
        <f t="shared" si="6"/>
        <v>2019.06</v>
      </c>
      <c r="B315" s="481">
        <v>41796.36</v>
      </c>
      <c r="C315" s="559">
        <v>1788908.96</v>
      </c>
      <c r="D315" s="2073">
        <v>24321488.678379983</v>
      </c>
      <c r="E315" s="180">
        <v>39074</v>
      </c>
      <c r="F315" s="522">
        <v>2941.76001</v>
      </c>
    </row>
    <row r="316" spans="1:7">
      <c r="A316" s="63">
        <f t="shared" si="6"/>
        <v>2019.07</v>
      </c>
      <c r="B316" s="481">
        <v>42057.77</v>
      </c>
      <c r="C316" s="559">
        <v>1815853.84</v>
      </c>
      <c r="D316" s="2073">
        <v>26942627.6281</v>
      </c>
      <c r="E316" s="180">
        <v>74792</v>
      </c>
      <c r="F316" s="522">
        <v>2980.38</v>
      </c>
    </row>
    <row r="317" spans="1:7">
      <c r="A317" s="63">
        <f t="shared" si="6"/>
        <v>2019.08</v>
      </c>
      <c r="B317" s="481">
        <v>24608.560000000001</v>
      </c>
      <c r="C317" s="559">
        <v>1061574.27</v>
      </c>
      <c r="D317" s="417">
        <v>20922648386.470001</v>
      </c>
      <c r="E317" s="180">
        <v>13343</v>
      </c>
      <c r="F317" s="522">
        <v>2926.46</v>
      </c>
    </row>
    <row r="318" spans="1:7">
      <c r="A318" s="63">
        <f t="shared" si="6"/>
        <v>2019.09</v>
      </c>
      <c r="B318" s="481">
        <v>29066.959999999999</v>
      </c>
      <c r="C318" s="559">
        <v>1240101.6299999999</v>
      </c>
      <c r="D318" s="417">
        <v>4647168477</v>
      </c>
      <c r="E318" s="180">
        <v>14154</v>
      </c>
      <c r="F318" s="522">
        <v>2976.74</v>
      </c>
    </row>
    <row r="319" spans="1:7">
      <c r="A319" s="63">
        <f t="shared" si="6"/>
        <v>2019.1</v>
      </c>
      <c r="B319" s="481">
        <v>34995.199999999997</v>
      </c>
      <c r="C319" s="559">
        <v>1495830.42</v>
      </c>
      <c r="D319" s="417">
        <v>7317030480.409996</v>
      </c>
      <c r="E319" s="180">
        <v>22312</v>
      </c>
      <c r="F319" s="522">
        <v>3037.56</v>
      </c>
    </row>
    <row r="320" spans="1:7">
      <c r="A320" s="63">
        <f t="shared" si="6"/>
        <v>2019.11</v>
      </c>
      <c r="B320" s="481">
        <v>34500.21</v>
      </c>
      <c r="C320" s="559">
        <v>1487301.06</v>
      </c>
      <c r="D320" s="417">
        <v>9362949967.7000008</v>
      </c>
      <c r="E320" s="180">
        <v>32701</v>
      </c>
      <c r="F320" s="522">
        <v>3140.98</v>
      </c>
    </row>
    <row r="321" spans="1:6">
      <c r="A321" s="63">
        <f t="shared" si="6"/>
        <v>2019.12</v>
      </c>
      <c r="B321" s="481">
        <v>41671.410000000003</v>
      </c>
      <c r="C321" s="559">
        <v>1796571.66</v>
      </c>
      <c r="D321" s="417">
        <v>6922000000</v>
      </c>
      <c r="E321" s="180">
        <v>33578</v>
      </c>
      <c r="F321" s="522">
        <v>3230.78</v>
      </c>
    </row>
    <row r="322" spans="1:6">
      <c r="A322" s="63">
        <f t="shared" si="6"/>
        <v>2020.01</v>
      </c>
      <c r="B322" s="481">
        <v>40105.040000000001</v>
      </c>
      <c r="C322" s="559">
        <v>1737155.68</v>
      </c>
      <c r="D322" s="417">
        <v>13212000000</v>
      </c>
      <c r="E322" s="180">
        <v>55554</v>
      </c>
      <c r="F322" s="522">
        <v>3225.52</v>
      </c>
    </row>
    <row r="323" spans="1:6">
      <c r="A323" s="63">
        <f t="shared" si="6"/>
        <v>2020.02</v>
      </c>
      <c r="B323" s="481">
        <v>34973.18</v>
      </c>
      <c r="C323" s="559">
        <v>1508223.68</v>
      </c>
      <c r="D323" s="417">
        <v>10223000000</v>
      </c>
      <c r="E323" s="180">
        <v>41667</v>
      </c>
      <c r="F323" s="522">
        <v>2954.22</v>
      </c>
    </row>
    <row r="324" spans="1:6">
      <c r="A324" s="63">
        <f t="shared" si="6"/>
        <v>2020.03</v>
      </c>
      <c r="B324" s="481">
        <v>24384.240000000002</v>
      </c>
      <c r="C324" s="559">
        <v>1027210.57</v>
      </c>
      <c r="D324" s="417">
        <v>9193000000</v>
      </c>
      <c r="E324" s="180">
        <v>23366</v>
      </c>
      <c r="F324" s="522">
        <v>2584.59</v>
      </c>
    </row>
    <row r="325" spans="1:6">
      <c r="A325" s="63">
        <f t="shared" si="6"/>
        <v>2020.04</v>
      </c>
      <c r="B325" s="481">
        <v>32742.84</v>
      </c>
      <c r="C325" s="559">
        <v>1383542.91</v>
      </c>
      <c r="D325" s="417">
        <v>5400000000</v>
      </c>
      <c r="E325" s="180">
        <v>19748</v>
      </c>
      <c r="F325" s="522">
        <v>2912.43</v>
      </c>
    </row>
    <row r="326" spans="1:6">
      <c r="A326" s="63">
        <f t="shared" si="6"/>
        <v>2020.05</v>
      </c>
      <c r="B326" s="481">
        <v>37824.730000000003</v>
      </c>
      <c r="C326" s="559">
        <v>1597626.43</v>
      </c>
      <c r="D326" s="417">
        <v>6182000000</v>
      </c>
      <c r="E326" s="180">
        <v>76913</v>
      </c>
      <c r="F326" s="522">
        <v>3044.51</v>
      </c>
    </row>
    <row r="327" spans="1:6">
      <c r="A327" s="63">
        <f t="shared" si="6"/>
        <v>2020.06</v>
      </c>
      <c r="B327" s="481">
        <v>38686.69</v>
      </c>
      <c r="C327" s="559">
        <v>1625542.54</v>
      </c>
      <c r="D327" s="417">
        <v>5217000000</v>
      </c>
      <c r="E327" s="180">
        <v>54452</v>
      </c>
      <c r="F327" s="522">
        <v>3100.29</v>
      </c>
    </row>
    <row r="328" spans="1:6">
      <c r="A328" s="63">
        <f t="shared" si="6"/>
        <v>2020.07</v>
      </c>
      <c r="B328" s="481">
        <v>49253.62</v>
      </c>
      <c r="C328" s="559">
        <v>2080780.4</v>
      </c>
      <c r="D328" s="417">
        <v>5482000000</v>
      </c>
      <c r="E328" s="180">
        <v>95622</v>
      </c>
      <c r="F328" s="522">
        <v>3271.12</v>
      </c>
    </row>
    <row r="329" spans="1:6">
      <c r="A329" s="63">
        <f t="shared" si="6"/>
        <v>2020.08</v>
      </c>
      <c r="B329" s="481">
        <v>46835.42</v>
      </c>
      <c r="C329" s="559">
        <v>1989114.76</v>
      </c>
      <c r="D329" s="417">
        <v>5416000000</v>
      </c>
      <c r="E329" s="180">
        <v>66695</v>
      </c>
      <c r="F329" s="522">
        <v>3500.31</v>
      </c>
    </row>
    <row r="330" spans="1:6">
      <c r="A330" s="63">
        <f t="shared" si="6"/>
        <v>2020.09</v>
      </c>
      <c r="B330" s="481">
        <v>41260.86</v>
      </c>
      <c r="C330" s="559">
        <v>1745152.28</v>
      </c>
      <c r="D330" s="417">
        <v>5779000000</v>
      </c>
      <c r="E330" s="180">
        <v>46494</v>
      </c>
      <c r="F330" s="522">
        <v>3363</v>
      </c>
    </row>
    <row r="331" spans="1:6">
      <c r="A331" s="63">
        <f t="shared" si="6"/>
        <v>2020.1</v>
      </c>
      <c r="B331" s="481">
        <v>45290.02</v>
      </c>
      <c r="C331" s="559">
        <v>1904265.4</v>
      </c>
      <c r="D331" s="417">
        <v>7532000000</v>
      </c>
      <c r="E331" s="180">
        <v>37629</v>
      </c>
      <c r="F331" s="522">
        <v>3269.96</v>
      </c>
    </row>
    <row r="332" spans="1:6">
      <c r="A332" s="63">
        <f t="shared" si="6"/>
        <v>2020.11</v>
      </c>
      <c r="B332" s="481">
        <v>54572.54</v>
      </c>
      <c r="C332" s="559">
        <v>2292446.0699999998</v>
      </c>
      <c r="D332" s="417">
        <v>7018000000</v>
      </c>
      <c r="E332" s="180">
        <v>47414</v>
      </c>
      <c r="F332" s="522">
        <v>3621.63</v>
      </c>
    </row>
    <row r="333" spans="1:6">
      <c r="A333" s="63">
        <f t="shared" si="6"/>
        <v>2020.12</v>
      </c>
      <c r="B333" s="481">
        <v>51226.49</v>
      </c>
      <c r="C333" s="559">
        <v>2156061.73</v>
      </c>
      <c r="D333" s="417">
        <v>14424000000</v>
      </c>
      <c r="E333" s="180">
        <v>53786</v>
      </c>
      <c r="F333" s="522">
        <v>3756.07</v>
      </c>
    </row>
    <row r="334" spans="1:6">
      <c r="A334" s="63">
        <f t="shared" si="6"/>
        <v>2021.01</v>
      </c>
      <c r="B334" s="481">
        <v>48257.14</v>
      </c>
      <c r="C334" s="559">
        <v>2041471.88</v>
      </c>
      <c r="D334" s="417">
        <v>6053000000</v>
      </c>
      <c r="E334" s="180">
        <v>32383</v>
      </c>
      <c r="F334" s="522">
        <v>3714.24</v>
      </c>
    </row>
    <row r="335" spans="1:6">
      <c r="A335" s="63">
        <f t="shared" si="6"/>
        <v>2021.02</v>
      </c>
      <c r="B335" s="481">
        <v>48432.17</v>
      </c>
      <c r="C335" s="559">
        <v>2046378.18</v>
      </c>
      <c r="D335" s="417">
        <v>7772000000</v>
      </c>
      <c r="E335" s="180">
        <v>242704</v>
      </c>
      <c r="F335" s="522">
        <v>3811.15</v>
      </c>
    </row>
    <row r="336" spans="1:6">
      <c r="A336" s="63">
        <f t="shared" si="6"/>
        <v>2021.03</v>
      </c>
      <c r="B336" s="481">
        <v>47982.39</v>
      </c>
      <c r="C336" s="559">
        <v>2021650.84</v>
      </c>
      <c r="D336" s="417">
        <v>8777000000</v>
      </c>
      <c r="E336" s="180">
        <v>63715</v>
      </c>
      <c r="F336" s="522">
        <v>3972.89</v>
      </c>
    </row>
    <row r="337" spans="1:6">
      <c r="A337" s="63">
        <f t="shared" si="6"/>
        <v>2021.04</v>
      </c>
      <c r="B337" s="481">
        <v>49056.1</v>
      </c>
      <c r="C337" s="559">
        <v>2073068.53</v>
      </c>
      <c r="D337" s="417">
        <v>9934000000</v>
      </c>
      <c r="E337" s="180">
        <v>78368</v>
      </c>
      <c r="F337" s="522">
        <v>4181.17</v>
      </c>
    </row>
    <row r="338" spans="1:6">
      <c r="A338" s="63">
        <f t="shared" si="6"/>
        <v>2021.05</v>
      </c>
      <c r="B338" s="481">
        <v>59268.94</v>
      </c>
      <c r="C338" s="559">
        <v>2478320.44</v>
      </c>
      <c r="D338" s="417">
        <v>7473000000</v>
      </c>
      <c r="E338" s="180">
        <v>54124</v>
      </c>
      <c r="F338" s="522">
        <v>4204.1099999999997</v>
      </c>
    </row>
    <row r="339" spans="1:6">
      <c r="A339" s="63">
        <f t="shared" ref="A339:A402" si="7">A327+1</f>
        <v>2021.06</v>
      </c>
      <c r="B339" s="481">
        <v>62371.95</v>
      </c>
      <c r="C339" s="559">
        <v>2602436.4700000002</v>
      </c>
      <c r="D339" s="417">
        <v>9135000000</v>
      </c>
      <c r="E339" s="180">
        <v>86979</v>
      </c>
      <c r="F339" s="522">
        <v>4297.5</v>
      </c>
    </row>
    <row r="340" spans="1:6">
      <c r="A340" s="63">
        <f t="shared" si="7"/>
        <v>2021.07</v>
      </c>
      <c r="B340" s="481">
        <v>66005.289999999994</v>
      </c>
      <c r="C340" s="559">
        <v>2743861.72</v>
      </c>
      <c r="D340" s="417">
        <v>9236000000</v>
      </c>
      <c r="E340" s="180">
        <v>116413</v>
      </c>
      <c r="F340" s="522">
        <v>4395.26</v>
      </c>
    </row>
    <row r="341" spans="1:6">
      <c r="A341" s="63">
        <f t="shared" si="7"/>
        <v>2021.08</v>
      </c>
      <c r="B341" s="481">
        <v>76451.679999999993</v>
      </c>
      <c r="C341" s="559">
        <v>3183795.99</v>
      </c>
      <c r="D341" s="417">
        <v>10943000000</v>
      </c>
      <c r="E341" s="180">
        <v>95347</v>
      </c>
      <c r="F341" s="522">
        <v>4522.68</v>
      </c>
    </row>
    <row r="342" spans="1:6">
      <c r="A342" s="63">
        <f t="shared" si="7"/>
        <v>2021.09</v>
      </c>
      <c r="B342" s="481">
        <v>77363.64</v>
      </c>
      <c r="C342" s="559">
        <v>3235691.85</v>
      </c>
      <c r="D342" s="417">
        <v>13523000000</v>
      </c>
      <c r="E342" s="180">
        <v>70543</v>
      </c>
      <c r="F342" s="522">
        <v>4307.54</v>
      </c>
    </row>
    <row r="343" spans="1:6">
      <c r="A343" s="63">
        <f t="shared" si="7"/>
        <v>2021.1</v>
      </c>
      <c r="B343" s="481">
        <v>83560.960000000006</v>
      </c>
      <c r="C343" s="559">
        <v>3505468.78</v>
      </c>
      <c r="D343" s="417">
        <v>12353000000</v>
      </c>
      <c r="E343" s="180">
        <v>48488</v>
      </c>
      <c r="F343" s="522">
        <v>4605.38</v>
      </c>
    </row>
    <row r="344" spans="1:6">
      <c r="A344" s="63">
        <f t="shared" si="7"/>
        <v>2021.11</v>
      </c>
      <c r="B344" s="481">
        <v>88287.43</v>
      </c>
      <c r="C344" s="559">
        <v>3315873.79</v>
      </c>
      <c r="D344" s="417">
        <v>15717000000</v>
      </c>
      <c r="E344" s="180">
        <v>66984</v>
      </c>
      <c r="F344" s="522">
        <v>4591.67</v>
      </c>
    </row>
    <row r="345" spans="1:6">
      <c r="A345" s="63">
        <f t="shared" si="7"/>
        <v>2021.12</v>
      </c>
      <c r="B345" s="481">
        <v>83500</v>
      </c>
      <c r="C345" s="559">
        <v>3486252.6</v>
      </c>
      <c r="D345" s="417">
        <v>15875000000</v>
      </c>
      <c r="E345" s="180">
        <v>86335</v>
      </c>
      <c r="F345" s="522">
        <v>4766.18</v>
      </c>
    </row>
    <row r="346" spans="1:6">
      <c r="A346" s="63">
        <f t="shared" si="7"/>
        <v>2022.01</v>
      </c>
      <c r="B346" s="481">
        <v>90907.51</v>
      </c>
      <c r="C346" s="559">
        <v>3782132.58</v>
      </c>
      <c r="D346" s="417">
        <v>17658000000</v>
      </c>
      <c r="E346" s="180">
        <v>49626</v>
      </c>
      <c r="F346" s="522">
        <v>4515.55</v>
      </c>
    </row>
    <row r="347" spans="1:6">
      <c r="A347" s="63">
        <f t="shared" si="7"/>
        <v>2022.02</v>
      </c>
      <c r="B347" s="481">
        <v>87969.87</v>
      </c>
      <c r="C347" s="559">
        <v>3689706.42</v>
      </c>
      <c r="D347" s="417">
        <v>19812000000</v>
      </c>
      <c r="E347" s="180">
        <v>93902</v>
      </c>
      <c r="F347" s="522">
        <v>4373.9399999999996</v>
      </c>
    </row>
    <row r="348" spans="1:6">
      <c r="A348" s="63">
        <f t="shared" si="7"/>
        <v>2022.03</v>
      </c>
      <c r="B348" s="481">
        <v>90959.59</v>
      </c>
      <c r="C348" s="559">
        <v>3802757.98</v>
      </c>
      <c r="D348" s="417">
        <v>26165000000</v>
      </c>
      <c r="E348" s="180">
        <v>64676</v>
      </c>
      <c r="F348" s="522">
        <v>4530.41</v>
      </c>
    </row>
    <row r="349" spans="1:6">
      <c r="A349" s="63">
        <f t="shared" si="7"/>
        <v>2022.04</v>
      </c>
      <c r="B349" s="481">
        <v>88250.97</v>
      </c>
      <c r="C349" s="559">
        <v>3720832.97</v>
      </c>
      <c r="D349" s="417">
        <v>25700000000</v>
      </c>
      <c r="E349" s="180">
        <v>67636</v>
      </c>
      <c r="F349" s="522">
        <v>4131.93</v>
      </c>
    </row>
    <row r="350" spans="1:6">
      <c r="A350" s="63">
        <f t="shared" si="7"/>
        <v>2022.05</v>
      </c>
      <c r="B350" s="481">
        <v>92288.03</v>
      </c>
      <c r="C350" s="559">
        <v>3875358.85</v>
      </c>
      <c r="D350" s="417">
        <v>24939000000</v>
      </c>
      <c r="E350" s="180">
        <v>107972</v>
      </c>
      <c r="F350" s="522">
        <v>4132.1499999999996</v>
      </c>
    </row>
    <row r="351" spans="1:6">
      <c r="A351" s="63">
        <f t="shared" si="7"/>
        <v>2022.06</v>
      </c>
      <c r="B351" s="481">
        <v>88449.89</v>
      </c>
      <c r="C351" s="559">
        <v>3737808.08</v>
      </c>
      <c r="D351" s="417">
        <v>36771000000</v>
      </c>
      <c r="E351" s="180">
        <v>124137</v>
      </c>
      <c r="F351" s="522">
        <v>3785.38</v>
      </c>
    </row>
    <row r="352" spans="1:6">
      <c r="A352" s="63">
        <f t="shared" si="7"/>
        <v>2022.07</v>
      </c>
      <c r="B352" s="481">
        <v>122528.27</v>
      </c>
      <c r="C352" s="559">
        <v>5152972.66</v>
      </c>
      <c r="D352" s="417">
        <v>36071000000</v>
      </c>
      <c r="E352" s="180">
        <v>183408</v>
      </c>
      <c r="F352" s="522">
        <v>4130.29</v>
      </c>
    </row>
    <row r="353" spans="1:6">
      <c r="A353" s="63">
        <f t="shared" si="7"/>
        <v>2022.08</v>
      </c>
      <c r="B353" s="481">
        <v>136240.97</v>
      </c>
      <c r="C353" s="559">
        <v>5755492.1699999999</v>
      </c>
      <c r="D353" s="417">
        <v>34696000000</v>
      </c>
      <c r="E353" s="180">
        <v>172639</v>
      </c>
      <c r="F353" s="522">
        <v>4200.63</v>
      </c>
    </row>
    <row r="354" spans="1:6">
      <c r="A354" s="63">
        <f t="shared" si="7"/>
        <v>2022.09</v>
      </c>
      <c r="B354" s="481">
        <v>130646.78</v>
      </c>
      <c r="C354" s="559">
        <v>5500819.6900000004</v>
      </c>
      <c r="D354" s="417">
        <v>35557000000</v>
      </c>
      <c r="E354" s="180">
        <v>146536</v>
      </c>
      <c r="F354" s="522">
        <v>3920.88</v>
      </c>
    </row>
    <row r="355" spans="1:6">
      <c r="A355" s="63">
        <f t="shared" si="7"/>
        <v>2022.1</v>
      </c>
      <c r="B355" s="481">
        <v>149938.32</v>
      </c>
      <c r="C355" s="559">
        <v>5914298.3200000003</v>
      </c>
      <c r="D355" s="417">
        <v>35746000000</v>
      </c>
      <c r="E355" s="180">
        <v>101131</v>
      </c>
      <c r="F355" s="522">
        <v>4178.5600000000004</v>
      </c>
    </row>
    <row r="356" spans="1:6">
      <c r="A356" s="63">
        <f t="shared" si="7"/>
        <v>2022.11</v>
      </c>
      <c r="B356" s="481">
        <v>157768.76999999999</v>
      </c>
      <c r="C356" s="559">
        <v>6620362.6500000004</v>
      </c>
      <c r="D356" s="417">
        <v>37802000000</v>
      </c>
      <c r="E356" s="180">
        <v>229336</v>
      </c>
      <c r="F356" s="522">
        <v>4080.11</v>
      </c>
    </row>
    <row r="357" spans="1:6">
      <c r="A357" s="63">
        <f t="shared" si="7"/>
        <v>2022.12</v>
      </c>
      <c r="B357" s="481">
        <v>188677.16</v>
      </c>
      <c r="C357" s="559">
        <v>7911070.6299999999</v>
      </c>
      <c r="D357" s="417">
        <v>36166000000</v>
      </c>
      <c r="E357" s="180">
        <v>190521</v>
      </c>
      <c r="F357" s="522">
        <v>3839.5</v>
      </c>
    </row>
    <row r="358" spans="1:6">
      <c r="A358" s="63">
        <f t="shared" si="7"/>
        <v>2023.01</v>
      </c>
      <c r="B358" s="481">
        <v>236365</v>
      </c>
      <c r="C358" s="559">
        <v>9905131</v>
      </c>
      <c r="D358" s="417">
        <v>33860000000</v>
      </c>
      <c r="E358" s="180">
        <v>261644</v>
      </c>
      <c r="F358" s="522">
        <v>4076.6</v>
      </c>
    </row>
    <row r="359" spans="1:6">
      <c r="A359" s="63">
        <f t="shared" si="7"/>
        <v>2023.02</v>
      </c>
      <c r="B359" s="481">
        <v>230689.1</v>
      </c>
      <c r="C359" s="559">
        <v>9680921.9800000004</v>
      </c>
      <c r="D359" s="417">
        <v>29804000000</v>
      </c>
      <c r="E359" s="180">
        <v>252915</v>
      </c>
      <c r="F359" s="522">
        <v>3970.15</v>
      </c>
    </row>
    <row r="360" spans="1:6">
      <c r="A360" s="63">
        <f t="shared" si="7"/>
        <v>2023.03</v>
      </c>
      <c r="B360" s="481">
        <v>229064.12</v>
      </c>
      <c r="C360" s="559">
        <v>9632042.8499999996</v>
      </c>
      <c r="D360" s="417">
        <v>30986000000</v>
      </c>
      <c r="E360" s="180">
        <v>364277</v>
      </c>
      <c r="F360" s="522">
        <v>4109.3100000000004</v>
      </c>
    </row>
    <row r="361" spans="1:6">
      <c r="A361" s="63">
        <f t="shared" si="7"/>
        <v>2023.04</v>
      </c>
      <c r="B361" s="481">
        <v>277211.12</v>
      </c>
      <c r="C361" s="559">
        <v>11574423.65</v>
      </c>
      <c r="D361" s="417">
        <v>29832000000</v>
      </c>
      <c r="E361" s="180">
        <v>335049</v>
      </c>
      <c r="F361" s="522">
        <v>4169.4799999999996</v>
      </c>
    </row>
    <row r="362" spans="1:6">
      <c r="A362" s="63">
        <f t="shared" si="7"/>
        <v>2023.05</v>
      </c>
      <c r="B362" s="481">
        <v>315667.44</v>
      </c>
      <c r="C362" s="559">
        <v>13200657.300000001</v>
      </c>
      <c r="D362" s="417">
        <v>28650000000</v>
      </c>
      <c r="E362" s="180">
        <v>256140</v>
      </c>
      <c r="F362" s="522">
        <v>4179.83</v>
      </c>
    </row>
    <row r="363" spans="1:6">
      <c r="A363" s="63">
        <f t="shared" si="7"/>
        <v>2023.06</v>
      </c>
      <c r="B363" s="481">
        <v>392208.34</v>
      </c>
      <c r="C363" s="559">
        <v>16491524.890000001</v>
      </c>
      <c r="D363" s="417">
        <v>34471000000</v>
      </c>
      <c r="E363" s="180">
        <v>434734</v>
      </c>
      <c r="F363" s="522">
        <v>4450.38</v>
      </c>
    </row>
    <row r="364" spans="1:6">
      <c r="A364" s="63">
        <f t="shared" si="7"/>
        <v>2023.07</v>
      </c>
      <c r="B364" s="481">
        <v>419683.68</v>
      </c>
      <c r="C364" s="559">
        <v>17770867.190000001</v>
      </c>
      <c r="D364" s="417">
        <v>39406000000</v>
      </c>
      <c r="E364" s="180">
        <v>436832</v>
      </c>
      <c r="F364" s="522">
        <v>4588.96</v>
      </c>
    </row>
    <row r="365" spans="1:6">
      <c r="A365" s="63">
        <f t="shared" si="7"/>
        <v>2023.08</v>
      </c>
      <c r="B365" s="481">
        <v>598825.87</v>
      </c>
      <c r="C365" s="559">
        <v>25183257.140000001</v>
      </c>
      <c r="D365" s="417">
        <v>34415000000</v>
      </c>
      <c r="E365" s="180">
        <v>314193</v>
      </c>
      <c r="F365" s="522">
        <v>4507.66</v>
      </c>
    </row>
    <row r="366" spans="1:6">
      <c r="A366" s="63">
        <f t="shared" si="7"/>
        <v>2023.09</v>
      </c>
      <c r="B366" s="481">
        <v>514377.48</v>
      </c>
      <c r="C366" s="559">
        <v>22042907.149999999</v>
      </c>
      <c r="D366" s="417">
        <v>32805000000</v>
      </c>
      <c r="E366" s="180">
        <v>582741</v>
      </c>
      <c r="F366" s="522">
        <v>4288.05</v>
      </c>
    </row>
    <row r="367" spans="1:6">
      <c r="A367" s="63">
        <f t="shared" si="7"/>
        <v>2023.1</v>
      </c>
      <c r="B367" s="481">
        <v>528495.96</v>
      </c>
      <c r="C367" s="559">
        <v>22122318.469999999</v>
      </c>
      <c r="D367" s="417">
        <v>30553000000</v>
      </c>
      <c r="E367" s="180">
        <v>651172</v>
      </c>
      <c r="F367" s="522">
        <v>4193.8</v>
      </c>
    </row>
    <row r="368" spans="1:6">
      <c r="A368" s="63">
        <f t="shared" si="7"/>
        <v>2023.11</v>
      </c>
      <c r="B368" s="481">
        <v>742040.71</v>
      </c>
      <c r="C368" s="559">
        <v>31478721.289999999</v>
      </c>
      <c r="D368" s="417">
        <v>32222000000</v>
      </c>
      <c r="E368" s="180">
        <v>433646</v>
      </c>
      <c r="F368" s="522">
        <v>4567.8</v>
      </c>
    </row>
    <row r="369" spans="1:6">
      <c r="A369" s="63">
        <f t="shared" si="7"/>
        <v>2023.12</v>
      </c>
      <c r="B369" s="481">
        <v>846980.21</v>
      </c>
      <c r="C369" s="559">
        <v>36410914.460000001</v>
      </c>
      <c r="D369" s="417">
        <v>15619000000</v>
      </c>
      <c r="E369" s="180">
        <v>433404</v>
      </c>
      <c r="F369" s="522">
        <v>4769.83</v>
      </c>
    </row>
    <row r="370" spans="1:6">
      <c r="A370" s="63">
        <f t="shared" si="7"/>
        <v>2024.01</v>
      </c>
      <c r="B370" s="481">
        <v>1147937.6000000001</v>
      </c>
      <c r="C370" s="559">
        <v>49381866.5</v>
      </c>
      <c r="D370" s="417">
        <v>11390000000</v>
      </c>
      <c r="E370" s="180">
        <v>1286150</v>
      </c>
      <c r="F370" s="522">
        <v>4845.6499999999996</v>
      </c>
    </row>
    <row r="371" spans="1:6">
      <c r="A371" s="63">
        <f t="shared" si="7"/>
        <v>2024.02</v>
      </c>
      <c r="B371" s="481">
        <v>924052.44</v>
      </c>
      <c r="C371" s="559">
        <v>39626072.280000001</v>
      </c>
      <c r="D371" s="417">
        <v>11130000000</v>
      </c>
      <c r="E371" s="180">
        <v>857819</v>
      </c>
      <c r="F371" s="522">
        <v>5096.2700000000004</v>
      </c>
    </row>
    <row r="372" spans="1:6">
      <c r="A372" s="63">
        <f t="shared" si="7"/>
        <v>2024.03</v>
      </c>
      <c r="B372" s="481">
        <v>1105065.77</v>
      </c>
      <c r="C372" s="559">
        <v>46845227.119999997</v>
      </c>
      <c r="D372" s="417">
        <v>12054000000</v>
      </c>
      <c r="E372" s="180">
        <v>990519</v>
      </c>
      <c r="F372" s="522">
        <v>5254.35</v>
      </c>
    </row>
    <row r="373" spans="1:6">
      <c r="A373" s="63">
        <f t="shared" si="7"/>
        <v>2024.04</v>
      </c>
      <c r="B373" s="481">
        <v>1202833.44</v>
      </c>
      <c r="C373" s="559">
        <v>50925316.07</v>
      </c>
      <c r="D373" s="417">
        <v>16918000000</v>
      </c>
      <c r="E373" s="180">
        <v>1538286</v>
      </c>
      <c r="F373" s="522">
        <v>5035.6899999999996</v>
      </c>
    </row>
    <row r="374" spans="1:6">
      <c r="A374" s="63">
        <f t="shared" si="7"/>
        <v>2024.05</v>
      </c>
      <c r="B374" s="481">
        <v>1479587.08</v>
      </c>
      <c r="C374" s="559">
        <v>62909787.350000001</v>
      </c>
      <c r="D374" s="417">
        <v>16467000000</v>
      </c>
      <c r="E374" s="180">
        <v>1299707</v>
      </c>
      <c r="F374" s="522">
        <v>5277.51</v>
      </c>
    </row>
    <row r="375" spans="1:6">
      <c r="A375" s="63">
        <f t="shared" si="7"/>
        <v>2024.06</v>
      </c>
      <c r="B375" s="481">
        <v>1430206.46</v>
      </c>
      <c r="C375" s="559">
        <v>60939698.840000004</v>
      </c>
      <c r="D375" s="417">
        <v>14658000000</v>
      </c>
      <c r="E375" s="180">
        <v>1634140</v>
      </c>
      <c r="F375" s="522">
        <v>5460.48</v>
      </c>
    </row>
    <row r="376" spans="1:6">
      <c r="A376" s="63">
        <f t="shared" si="7"/>
        <v>2024.07</v>
      </c>
      <c r="B376" s="481">
        <v>1324588.01</v>
      </c>
      <c r="C376" s="559">
        <v>56427956.43</v>
      </c>
      <c r="D376" s="417">
        <v>22594000000</v>
      </c>
      <c r="E376" s="180">
        <v>2603653.7499850001</v>
      </c>
      <c r="F376" s="522">
        <v>5522.3</v>
      </c>
    </row>
    <row r="377" spans="1:6">
      <c r="A377" s="63">
        <f t="shared" si="7"/>
        <v>2024.08</v>
      </c>
      <c r="B377" s="481">
        <v>1508879.52</v>
      </c>
      <c r="C377" s="559">
        <v>64533862.520000003</v>
      </c>
      <c r="D377" s="417">
        <v>30139000000</v>
      </c>
      <c r="E377" s="180">
        <v>1743594</v>
      </c>
      <c r="F377" s="522">
        <v>5648.4</v>
      </c>
    </row>
    <row r="378" spans="1:6">
      <c r="A378" s="63">
        <f t="shared" si="7"/>
        <v>2024.09</v>
      </c>
      <c r="B378" s="481">
        <v>1490062.22</v>
      </c>
      <c r="C378" s="559">
        <v>63058113.469999999</v>
      </c>
      <c r="D378" s="417">
        <v>30817000000</v>
      </c>
      <c r="E378" s="180">
        <v>2281366.1219660002</v>
      </c>
      <c r="F378" s="522">
        <v>5762.48</v>
      </c>
    </row>
    <row r="379" spans="1:6">
      <c r="A379" s="63">
        <f t="shared" si="7"/>
        <v>2024.1</v>
      </c>
      <c r="B379" s="481">
        <v>1622919.11</v>
      </c>
      <c r="C379" s="559">
        <v>68771205.420000002</v>
      </c>
      <c r="D379" s="417">
        <v>35819000000</v>
      </c>
      <c r="E379" s="180">
        <v>3868547</v>
      </c>
      <c r="F379" s="522">
        <v>5705.45</v>
      </c>
    </row>
    <row r="380" spans="1:6">
      <c r="A380" s="63">
        <f t="shared" si="7"/>
        <v>2024.11</v>
      </c>
      <c r="B380" s="481">
        <v>1976908.5</v>
      </c>
      <c r="C380" s="559">
        <v>85109334.269999996</v>
      </c>
      <c r="D380" s="417">
        <v>34685000000</v>
      </c>
      <c r="E380" s="180">
        <v>2347454</v>
      </c>
      <c r="F380" s="522">
        <v>6032.38</v>
      </c>
    </row>
    <row r="381" spans="1:6">
      <c r="A381" s="63">
        <f t="shared" si="7"/>
        <v>2024.12</v>
      </c>
      <c r="B381" s="481">
        <v>2217814.83</v>
      </c>
      <c r="C381" s="559">
        <v>95669100.090000004</v>
      </c>
      <c r="D381" s="417">
        <v>49563000000</v>
      </c>
      <c r="E381" s="180">
        <v>2662197</v>
      </c>
      <c r="F381" s="522">
        <v>5881.63</v>
      </c>
    </row>
    <row r="382" spans="1:6">
      <c r="A382" s="63">
        <f t="shared" si="7"/>
        <v>2025.01</v>
      </c>
      <c r="B382" s="481">
        <v>2244971.9300000002</v>
      </c>
      <c r="C382" s="559">
        <v>96037365.799999997</v>
      </c>
      <c r="D382" s="417">
        <v>63829000000</v>
      </c>
      <c r="E382" s="180">
        <v>3380459</v>
      </c>
      <c r="F382" s="522">
        <v>6040.53</v>
      </c>
    </row>
    <row r="383" spans="1:6">
      <c r="A383" s="63">
        <f t="shared" si="7"/>
        <v>2025.02</v>
      </c>
      <c r="B383" s="481">
        <v>1930845.5</v>
      </c>
      <c r="C383" s="559">
        <v>82824338.450000003</v>
      </c>
      <c r="D383" s="417">
        <v>63737000000</v>
      </c>
      <c r="E383" s="180">
        <v>2594430</v>
      </c>
      <c r="F383" s="522">
        <v>5954.5</v>
      </c>
    </row>
    <row r="384" spans="1:6">
      <c r="A384" s="63">
        <f t="shared" si="7"/>
        <v>2025.03</v>
      </c>
      <c r="B384" s="481">
        <v>2047232.13</v>
      </c>
      <c r="C384" s="559">
        <v>87487426.620000005</v>
      </c>
      <c r="D384" s="417">
        <v>64873000000</v>
      </c>
      <c r="E384" s="180">
        <v>2197821</v>
      </c>
      <c r="F384" s="522">
        <v>5611.85</v>
      </c>
    </row>
    <row r="385" spans="1:6">
      <c r="A385" s="63">
        <f t="shared" si="7"/>
        <v>2025.04</v>
      </c>
      <c r="B385" s="481">
        <v>1829445.26</v>
      </c>
      <c r="C385" s="559">
        <v>90145801.819999993</v>
      </c>
      <c r="D385" s="417">
        <v>63700000000</v>
      </c>
      <c r="E385" s="180">
        <v>2593341</v>
      </c>
      <c r="F385" s="522">
        <v>5569.06</v>
      </c>
    </row>
    <row r="386" spans="1:6">
      <c r="A386" s="63">
        <f t="shared" si="7"/>
        <v>2025.05</v>
      </c>
      <c r="B386" s="481">
        <v>2278991.58</v>
      </c>
      <c r="C386" s="559">
        <v>84319151.790000007</v>
      </c>
      <c r="D386" s="417">
        <v>52381000000</v>
      </c>
      <c r="E386" s="180" t="e">
        <v>#N/A</v>
      </c>
      <c r="F386" s="522">
        <v>5911.69</v>
      </c>
    </row>
    <row r="387" spans="1:6">
      <c r="A387" s="63">
        <f t="shared" si="7"/>
        <v>2025.06</v>
      </c>
      <c r="B387" s="481" t="e">
        <v>#N/A</v>
      </c>
      <c r="C387" s="559" t="e">
        <v>#N/A</v>
      </c>
      <c r="D387" s="417" t="e">
        <v>#N/A</v>
      </c>
      <c r="E387" s="180" t="e">
        <v>#N/A</v>
      </c>
      <c r="F387" s="522" t="e">
        <v>#N/A</v>
      </c>
    </row>
    <row r="388" spans="1:6">
      <c r="A388" s="63">
        <f t="shared" si="7"/>
        <v>2025.07</v>
      </c>
      <c r="B388" s="481" t="e">
        <v>#N/A</v>
      </c>
      <c r="C388" s="559" t="e">
        <v>#N/A</v>
      </c>
      <c r="D388" s="417" t="e">
        <v>#N/A</v>
      </c>
      <c r="E388" s="180" t="e">
        <v>#N/A</v>
      </c>
      <c r="F388" s="522" t="e">
        <v>#N/A</v>
      </c>
    </row>
    <row r="389" spans="1:6">
      <c r="A389" s="63">
        <f t="shared" si="7"/>
        <v>2025.08</v>
      </c>
      <c r="B389" s="481" t="e">
        <v>#N/A</v>
      </c>
      <c r="C389" s="559" t="e">
        <v>#N/A</v>
      </c>
      <c r="D389" s="417" t="e">
        <v>#N/A</v>
      </c>
      <c r="E389" s="180" t="e">
        <v>#N/A</v>
      </c>
      <c r="F389" s="522" t="e">
        <v>#N/A</v>
      </c>
    </row>
    <row r="390" spans="1:6">
      <c r="A390" s="63">
        <f t="shared" si="7"/>
        <v>2025.09</v>
      </c>
      <c r="B390" s="481" t="e">
        <v>#N/A</v>
      </c>
      <c r="C390" s="559" t="e">
        <v>#N/A</v>
      </c>
      <c r="D390" s="417" t="e">
        <v>#N/A</v>
      </c>
      <c r="E390" s="180" t="e">
        <v>#N/A</v>
      </c>
      <c r="F390" s="522" t="e">
        <v>#N/A</v>
      </c>
    </row>
    <row r="391" spans="1:6">
      <c r="A391" s="63">
        <f t="shared" si="7"/>
        <v>2025.1</v>
      </c>
      <c r="B391" s="481" t="e">
        <v>#N/A</v>
      </c>
      <c r="C391" s="559" t="e">
        <v>#N/A</v>
      </c>
      <c r="D391" s="417" t="e">
        <v>#N/A</v>
      </c>
      <c r="E391" s="180" t="e">
        <v>#N/A</v>
      </c>
      <c r="F391" s="522" t="e">
        <v>#N/A</v>
      </c>
    </row>
    <row r="392" spans="1:6">
      <c r="A392" s="63">
        <f t="shared" si="7"/>
        <v>2025.11</v>
      </c>
      <c r="B392" s="481" t="e">
        <v>#N/A</v>
      </c>
      <c r="C392" s="559" t="e">
        <v>#N/A</v>
      </c>
      <c r="D392" s="417" t="e">
        <v>#N/A</v>
      </c>
      <c r="E392" s="180" t="e">
        <v>#N/A</v>
      </c>
      <c r="F392" s="522" t="e">
        <v>#N/A</v>
      </c>
    </row>
    <row r="393" spans="1:6">
      <c r="A393" s="63">
        <f t="shared" si="7"/>
        <v>2025.12</v>
      </c>
      <c r="B393" s="481" t="e">
        <v>#N/A</v>
      </c>
      <c r="C393" s="559" t="e">
        <v>#N/A</v>
      </c>
      <c r="D393" s="417" t="e">
        <v>#N/A</v>
      </c>
      <c r="E393" s="180" t="e">
        <v>#N/A</v>
      </c>
      <c r="F393" s="522" t="e">
        <v>#N/A</v>
      </c>
    </row>
    <row r="394" spans="1:6">
      <c r="A394" s="63">
        <f t="shared" si="7"/>
        <v>2026.01</v>
      </c>
      <c r="B394" s="481" t="e">
        <v>#N/A</v>
      </c>
      <c r="C394" s="559" t="e">
        <v>#N/A</v>
      </c>
      <c r="D394" s="417" t="e">
        <v>#N/A</v>
      </c>
      <c r="E394" s="180" t="e">
        <v>#N/A</v>
      </c>
      <c r="F394" s="522" t="e">
        <v>#N/A</v>
      </c>
    </row>
    <row r="395" spans="1:6">
      <c r="A395" s="63">
        <f t="shared" si="7"/>
        <v>2026.02</v>
      </c>
      <c r="B395" s="481" t="e">
        <v>#N/A</v>
      </c>
      <c r="C395" s="559" t="e">
        <v>#N/A</v>
      </c>
      <c r="D395" s="417" t="e">
        <v>#N/A</v>
      </c>
      <c r="E395" s="180" t="e">
        <v>#N/A</v>
      </c>
      <c r="F395" s="522" t="e">
        <v>#N/A</v>
      </c>
    </row>
    <row r="396" spans="1:6">
      <c r="A396" s="63">
        <f t="shared" si="7"/>
        <v>2026.03</v>
      </c>
      <c r="B396" s="481" t="e">
        <v>#N/A</v>
      </c>
      <c r="C396" s="559" t="e">
        <v>#N/A</v>
      </c>
      <c r="D396" s="417" t="e">
        <v>#N/A</v>
      </c>
      <c r="E396" s="180" t="e">
        <v>#N/A</v>
      </c>
      <c r="F396" s="522" t="e">
        <v>#N/A</v>
      </c>
    </row>
    <row r="397" spans="1:6">
      <c r="A397" s="63">
        <f t="shared" si="7"/>
        <v>2026.04</v>
      </c>
      <c r="B397" s="481" t="e">
        <v>#N/A</v>
      </c>
      <c r="C397" s="559" t="e">
        <v>#N/A</v>
      </c>
      <c r="D397" s="417" t="e">
        <v>#N/A</v>
      </c>
      <c r="E397" s="180" t="e">
        <v>#N/A</v>
      </c>
      <c r="F397" s="522" t="e">
        <v>#N/A</v>
      </c>
    </row>
    <row r="398" spans="1:6">
      <c r="A398" s="63">
        <f t="shared" si="7"/>
        <v>2026.05</v>
      </c>
      <c r="B398" s="481" t="e">
        <v>#N/A</v>
      </c>
      <c r="C398" s="559" t="e">
        <v>#N/A</v>
      </c>
      <c r="D398" s="417" t="e">
        <v>#N/A</v>
      </c>
      <c r="E398" s="180" t="e">
        <v>#N/A</v>
      </c>
      <c r="F398" s="522" t="e">
        <v>#N/A</v>
      </c>
    </row>
    <row r="399" spans="1:6">
      <c r="A399" s="63">
        <f t="shared" si="7"/>
        <v>2026.06</v>
      </c>
      <c r="B399" s="481" t="e">
        <v>#N/A</v>
      </c>
      <c r="C399" s="559" t="e">
        <v>#N/A</v>
      </c>
      <c r="D399" s="417" t="e">
        <v>#N/A</v>
      </c>
      <c r="E399" s="180" t="e">
        <v>#N/A</v>
      </c>
      <c r="F399" s="522" t="e">
        <v>#N/A</v>
      </c>
    </row>
    <row r="400" spans="1:6">
      <c r="A400" s="63">
        <f t="shared" si="7"/>
        <v>2026.07</v>
      </c>
      <c r="B400" s="481" t="e">
        <v>#N/A</v>
      </c>
      <c r="C400" s="559" t="e">
        <v>#N/A</v>
      </c>
      <c r="D400" s="417" t="e">
        <v>#N/A</v>
      </c>
      <c r="E400" s="180" t="e">
        <v>#N/A</v>
      </c>
      <c r="F400" s="522" t="e">
        <v>#N/A</v>
      </c>
    </row>
    <row r="401" spans="1:6">
      <c r="A401" s="63">
        <f t="shared" si="7"/>
        <v>2026.08</v>
      </c>
      <c r="B401" s="481" t="e">
        <v>#N/A</v>
      </c>
      <c r="C401" s="559" t="e">
        <v>#N/A</v>
      </c>
      <c r="D401" s="417" t="e">
        <v>#N/A</v>
      </c>
      <c r="E401" s="180" t="e">
        <v>#N/A</v>
      </c>
      <c r="F401" s="522" t="e">
        <v>#N/A</v>
      </c>
    </row>
    <row r="402" spans="1:6">
      <c r="A402" s="63">
        <f t="shared" si="7"/>
        <v>2026.09</v>
      </c>
      <c r="B402" s="481" t="e">
        <v>#N/A</v>
      </c>
      <c r="C402" s="559" t="e">
        <v>#N/A</v>
      </c>
      <c r="D402" s="417" t="e">
        <v>#N/A</v>
      </c>
      <c r="E402" s="180" t="e">
        <v>#N/A</v>
      </c>
      <c r="F402" s="522" t="e">
        <v>#N/A</v>
      </c>
    </row>
    <row r="403" spans="1:6">
      <c r="A403" s="63">
        <f t="shared" ref="A403:A453" si="8">A391+1</f>
        <v>2026.1</v>
      </c>
      <c r="B403" s="481" t="e">
        <v>#N/A</v>
      </c>
      <c r="C403" s="559" t="e">
        <v>#N/A</v>
      </c>
      <c r="D403" s="417" t="e">
        <v>#N/A</v>
      </c>
      <c r="E403" s="180" t="e">
        <v>#N/A</v>
      </c>
      <c r="F403" s="522" t="e">
        <v>#N/A</v>
      </c>
    </row>
    <row r="404" spans="1:6">
      <c r="A404" s="63">
        <f t="shared" si="8"/>
        <v>2026.11</v>
      </c>
      <c r="B404" s="481" t="e">
        <v>#N/A</v>
      </c>
      <c r="C404" s="559" t="e">
        <v>#N/A</v>
      </c>
      <c r="D404" s="417" t="e">
        <v>#N/A</v>
      </c>
      <c r="E404" s="180" t="e">
        <v>#N/A</v>
      </c>
      <c r="F404" s="522" t="e">
        <v>#N/A</v>
      </c>
    </row>
    <row r="405" spans="1:6">
      <c r="A405" s="63">
        <f t="shared" si="8"/>
        <v>2026.12</v>
      </c>
      <c r="B405" s="481" t="e">
        <v>#N/A</v>
      </c>
      <c r="C405" s="559" t="e">
        <v>#N/A</v>
      </c>
      <c r="D405" s="417" t="e">
        <v>#N/A</v>
      </c>
      <c r="E405" s="180" t="e">
        <v>#N/A</v>
      </c>
      <c r="F405" s="522" t="e">
        <v>#N/A</v>
      </c>
    </row>
    <row r="406" spans="1:6">
      <c r="A406" s="63">
        <f t="shared" si="8"/>
        <v>2027.01</v>
      </c>
      <c r="B406" s="481" t="e">
        <v>#N/A</v>
      </c>
      <c r="C406" s="559" t="e">
        <v>#N/A</v>
      </c>
      <c r="D406" s="417" t="e">
        <v>#N/A</v>
      </c>
      <c r="E406" s="180" t="e">
        <v>#N/A</v>
      </c>
      <c r="F406" s="522" t="e">
        <v>#N/A</v>
      </c>
    </row>
    <row r="407" spans="1:6">
      <c r="A407" s="63">
        <f t="shared" si="8"/>
        <v>2027.02</v>
      </c>
      <c r="B407" s="481" t="e">
        <v>#N/A</v>
      </c>
      <c r="C407" s="559" t="e">
        <v>#N/A</v>
      </c>
      <c r="D407" s="417" t="e">
        <v>#N/A</v>
      </c>
      <c r="E407" s="180" t="e">
        <v>#N/A</v>
      </c>
      <c r="F407" s="522" t="e">
        <v>#N/A</v>
      </c>
    </row>
    <row r="408" spans="1:6">
      <c r="A408" s="63">
        <f t="shared" si="8"/>
        <v>2027.03</v>
      </c>
      <c r="B408" s="481" t="e">
        <v>#N/A</v>
      </c>
      <c r="C408" s="559" t="e">
        <v>#N/A</v>
      </c>
      <c r="D408" s="417" t="e">
        <v>#N/A</v>
      </c>
      <c r="E408" s="180" t="e">
        <v>#N/A</v>
      </c>
      <c r="F408" s="522" t="e">
        <v>#N/A</v>
      </c>
    </row>
    <row r="409" spans="1:6">
      <c r="A409" s="63">
        <f t="shared" si="8"/>
        <v>2027.04</v>
      </c>
      <c r="B409" s="481" t="e">
        <v>#N/A</v>
      </c>
      <c r="C409" s="559" t="e">
        <v>#N/A</v>
      </c>
      <c r="D409" s="417" t="e">
        <v>#N/A</v>
      </c>
      <c r="E409" s="180" t="e">
        <v>#N/A</v>
      </c>
      <c r="F409" s="522" t="e">
        <v>#N/A</v>
      </c>
    </row>
    <row r="410" spans="1:6">
      <c r="A410" s="63">
        <f t="shared" si="8"/>
        <v>2027.05</v>
      </c>
      <c r="B410" s="481" t="e">
        <v>#N/A</v>
      </c>
      <c r="C410" s="559" t="e">
        <v>#N/A</v>
      </c>
      <c r="D410" s="417" t="e">
        <v>#N/A</v>
      </c>
      <c r="E410" s="180" t="e">
        <v>#N/A</v>
      </c>
      <c r="F410" s="522" t="e">
        <v>#N/A</v>
      </c>
    </row>
    <row r="411" spans="1:6">
      <c r="A411" s="63">
        <f t="shared" si="8"/>
        <v>2027.06</v>
      </c>
      <c r="B411" s="481" t="e">
        <v>#N/A</v>
      </c>
      <c r="C411" s="559" t="e">
        <v>#N/A</v>
      </c>
      <c r="D411" s="417" t="e">
        <v>#N/A</v>
      </c>
      <c r="E411" s="180" t="e">
        <v>#N/A</v>
      </c>
      <c r="F411" s="522" t="e">
        <v>#N/A</v>
      </c>
    </row>
    <row r="412" spans="1:6">
      <c r="A412" s="63">
        <f t="shared" si="8"/>
        <v>2027.07</v>
      </c>
      <c r="B412" s="481" t="e">
        <v>#N/A</v>
      </c>
      <c r="C412" s="559" t="e">
        <v>#N/A</v>
      </c>
      <c r="D412" s="417" t="e">
        <v>#N/A</v>
      </c>
      <c r="E412" s="180" t="e">
        <v>#N/A</v>
      </c>
      <c r="F412" s="522" t="e">
        <v>#N/A</v>
      </c>
    </row>
    <row r="413" spans="1:6">
      <c r="A413" s="63">
        <f t="shared" si="8"/>
        <v>2027.08</v>
      </c>
      <c r="B413" s="481" t="e">
        <v>#N/A</v>
      </c>
      <c r="C413" s="559" t="e">
        <v>#N/A</v>
      </c>
      <c r="D413" s="417" t="e">
        <v>#N/A</v>
      </c>
      <c r="E413" s="180" t="e">
        <v>#N/A</v>
      </c>
      <c r="F413" s="522" t="e">
        <v>#N/A</v>
      </c>
    </row>
    <row r="414" spans="1:6">
      <c r="A414" s="63">
        <f t="shared" si="8"/>
        <v>2027.09</v>
      </c>
      <c r="B414" s="481" t="e">
        <v>#N/A</v>
      </c>
      <c r="C414" s="559" t="e">
        <v>#N/A</v>
      </c>
      <c r="D414" s="417" t="e">
        <v>#N/A</v>
      </c>
      <c r="E414" s="180" t="e">
        <v>#N/A</v>
      </c>
      <c r="F414" s="522" t="e">
        <v>#N/A</v>
      </c>
    </row>
    <row r="415" spans="1:6">
      <c r="A415" s="63">
        <f t="shared" si="8"/>
        <v>2027.1</v>
      </c>
      <c r="B415" s="481" t="e">
        <v>#N/A</v>
      </c>
      <c r="C415" s="559" t="e">
        <v>#N/A</v>
      </c>
      <c r="D415" s="417" t="e">
        <v>#N/A</v>
      </c>
      <c r="E415" s="180" t="e">
        <v>#N/A</v>
      </c>
      <c r="F415" s="522" t="e">
        <v>#N/A</v>
      </c>
    </row>
    <row r="416" spans="1:6">
      <c r="A416" s="63">
        <f t="shared" si="8"/>
        <v>2027.11</v>
      </c>
      <c r="B416" s="481" t="e">
        <v>#N/A</v>
      </c>
      <c r="C416" s="559" t="e">
        <v>#N/A</v>
      </c>
      <c r="D416" s="417" t="e">
        <v>#N/A</v>
      </c>
      <c r="E416" s="180" t="e">
        <v>#N/A</v>
      </c>
      <c r="F416" s="522" t="e">
        <v>#N/A</v>
      </c>
    </row>
    <row r="417" spans="1:6">
      <c r="A417" s="63">
        <f t="shared" si="8"/>
        <v>2027.12</v>
      </c>
      <c r="B417" s="481" t="e">
        <v>#N/A</v>
      </c>
      <c r="C417" s="559" t="e">
        <v>#N/A</v>
      </c>
      <c r="D417" s="417" t="e">
        <v>#N/A</v>
      </c>
      <c r="E417" s="180" t="e">
        <v>#N/A</v>
      </c>
      <c r="F417" s="522" t="e">
        <v>#N/A</v>
      </c>
    </row>
    <row r="418" spans="1:6">
      <c r="A418" s="63">
        <f t="shared" si="8"/>
        <v>2028.01</v>
      </c>
      <c r="B418" s="481" t="e">
        <v>#N/A</v>
      </c>
      <c r="C418" s="559" t="e">
        <v>#N/A</v>
      </c>
      <c r="D418" s="417" t="e">
        <v>#N/A</v>
      </c>
      <c r="E418" s="180" t="e">
        <v>#N/A</v>
      </c>
      <c r="F418" s="522" t="e">
        <v>#N/A</v>
      </c>
    </row>
    <row r="419" spans="1:6">
      <c r="A419" s="63">
        <f t="shared" si="8"/>
        <v>2028.02</v>
      </c>
      <c r="B419" s="481" t="e">
        <v>#N/A</v>
      </c>
      <c r="C419" s="559" t="e">
        <v>#N/A</v>
      </c>
      <c r="D419" s="417" t="e">
        <v>#N/A</v>
      </c>
      <c r="E419" s="180" t="e">
        <v>#N/A</v>
      </c>
      <c r="F419" s="522" t="e">
        <v>#N/A</v>
      </c>
    </row>
    <row r="420" spans="1:6">
      <c r="A420" s="63">
        <f t="shared" si="8"/>
        <v>2028.03</v>
      </c>
      <c r="B420" s="481" t="e">
        <v>#N/A</v>
      </c>
      <c r="C420" s="559" t="e">
        <v>#N/A</v>
      </c>
      <c r="D420" s="417" t="e">
        <v>#N/A</v>
      </c>
      <c r="E420" s="180" t="e">
        <v>#N/A</v>
      </c>
      <c r="F420" s="522" t="e">
        <v>#N/A</v>
      </c>
    </row>
    <row r="421" spans="1:6">
      <c r="A421" s="63">
        <f t="shared" si="8"/>
        <v>2028.04</v>
      </c>
      <c r="B421" s="481" t="e">
        <v>#N/A</v>
      </c>
      <c r="C421" s="559" t="e">
        <v>#N/A</v>
      </c>
      <c r="D421" s="417" t="e">
        <v>#N/A</v>
      </c>
      <c r="E421" s="180" t="e">
        <v>#N/A</v>
      </c>
      <c r="F421" s="522" t="e">
        <v>#N/A</v>
      </c>
    </row>
    <row r="422" spans="1:6">
      <c r="A422" s="63">
        <f t="shared" si="8"/>
        <v>2028.05</v>
      </c>
      <c r="B422" s="481" t="e">
        <v>#N/A</v>
      </c>
      <c r="C422" s="559" t="e">
        <v>#N/A</v>
      </c>
      <c r="D422" s="417" t="e">
        <v>#N/A</v>
      </c>
      <c r="E422" s="180" t="e">
        <v>#N/A</v>
      </c>
      <c r="F422" s="522" t="e">
        <v>#N/A</v>
      </c>
    </row>
    <row r="423" spans="1:6">
      <c r="A423" s="63">
        <f t="shared" si="8"/>
        <v>2028.06</v>
      </c>
      <c r="B423" s="481" t="e">
        <v>#N/A</v>
      </c>
      <c r="C423" s="559" t="e">
        <v>#N/A</v>
      </c>
      <c r="D423" s="417" t="e">
        <v>#N/A</v>
      </c>
      <c r="E423" s="180" t="e">
        <v>#N/A</v>
      </c>
      <c r="F423" s="522" t="e">
        <v>#N/A</v>
      </c>
    </row>
    <row r="424" spans="1:6">
      <c r="A424" s="63">
        <f t="shared" si="8"/>
        <v>2028.07</v>
      </c>
      <c r="B424" s="481" t="e">
        <v>#N/A</v>
      </c>
      <c r="C424" s="559" t="e">
        <v>#N/A</v>
      </c>
      <c r="D424" s="417" t="e">
        <v>#N/A</v>
      </c>
      <c r="E424" s="180" t="e">
        <v>#N/A</v>
      </c>
      <c r="F424" s="522" t="e">
        <v>#N/A</v>
      </c>
    </row>
    <row r="425" spans="1:6">
      <c r="A425" s="63">
        <f t="shared" si="8"/>
        <v>2028.08</v>
      </c>
      <c r="B425" s="481" t="e">
        <v>#N/A</v>
      </c>
      <c r="C425" s="559" t="e">
        <v>#N/A</v>
      </c>
      <c r="D425" s="417" t="e">
        <v>#N/A</v>
      </c>
      <c r="E425" s="180" t="e">
        <v>#N/A</v>
      </c>
      <c r="F425" s="522" t="e">
        <v>#N/A</v>
      </c>
    </row>
    <row r="426" spans="1:6">
      <c r="A426" s="63">
        <f t="shared" si="8"/>
        <v>2028.09</v>
      </c>
      <c r="B426" s="481" t="e">
        <v>#N/A</v>
      </c>
      <c r="C426" s="559" t="e">
        <v>#N/A</v>
      </c>
      <c r="D426" s="417" t="e">
        <v>#N/A</v>
      </c>
      <c r="E426" s="180" t="e">
        <v>#N/A</v>
      </c>
      <c r="F426" s="522" t="e">
        <v>#N/A</v>
      </c>
    </row>
    <row r="427" spans="1:6">
      <c r="A427" s="63">
        <f t="shared" si="8"/>
        <v>2028.1</v>
      </c>
      <c r="B427" s="481" t="e">
        <v>#N/A</v>
      </c>
      <c r="C427" s="559" t="e">
        <v>#N/A</v>
      </c>
      <c r="D427" s="417" t="e">
        <v>#N/A</v>
      </c>
      <c r="E427" s="180" t="e">
        <v>#N/A</v>
      </c>
      <c r="F427" s="522" t="e">
        <v>#N/A</v>
      </c>
    </row>
    <row r="428" spans="1:6">
      <c r="A428" s="63">
        <f t="shared" si="8"/>
        <v>2028.11</v>
      </c>
      <c r="B428" s="481" t="e">
        <v>#N/A</v>
      </c>
      <c r="C428" s="559" t="e">
        <v>#N/A</v>
      </c>
      <c r="D428" s="417" t="e">
        <v>#N/A</v>
      </c>
      <c r="E428" s="180" t="e">
        <v>#N/A</v>
      </c>
      <c r="F428" s="522" t="e">
        <v>#N/A</v>
      </c>
    </row>
    <row r="429" spans="1:6">
      <c r="A429" s="63">
        <f t="shared" si="8"/>
        <v>2028.12</v>
      </c>
      <c r="B429" s="481" t="e">
        <v>#N/A</v>
      </c>
      <c r="C429" s="559" t="e">
        <v>#N/A</v>
      </c>
      <c r="D429" s="417" t="e">
        <v>#N/A</v>
      </c>
      <c r="E429" s="180" t="e">
        <v>#N/A</v>
      </c>
      <c r="F429" s="522" t="e">
        <v>#N/A</v>
      </c>
    </row>
    <row r="430" spans="1:6">
      <c r="A430" s="63">
        <f t="shared" si="8"/>
        <v>2029.01</v>
      </c>
      <c r="B430" s="481" t="e">
        <v>#N/A</v>
      </c>
      <c r="C430" s="559" t="e">
        <v>#N/A</v>
      </c>
      <c r="D430" s="417" t="e">
        <v>#N/A</v>
      </c>
      <c r="E430" s="180" t="e">
        <v>#N/A</v>
      </c>
      <c r="F430" s="522" t="e">
        <v>#N/A</v>
      </c>
    </row>
    <row r="431" spans="1:6">
      <c r="A431" s="63">
        <f t="shared" si="8"/>
        <v>2029.02</v>
      </c>
      <c r="B431" s="481" t="e">
        <v>#N/A</v>
      </c>
      <c r="C431" s="559" t="e">
        <v>#N/A</v>
      </c>
      <c r="D431" s="417" t="e">
        <v>#N/A</v>
      </c>
      <c r="E431" s="180" t="e">
        <v>#N/A</v>
      </c>
      <c r="F431" s="522" t="e">
        <v>#N/A</v>
      </c>
    </row>
    <row r="432" spans="1:6">
      <c r="A432" s="63">
        <f t="shared" si="8"/>
        <v>2029.03</v>
      </c>
      <c r="B432" s="481" t="e">
        <v>#N/A</v>
      </c>
      <c r="C432" s="559" t="e">
        <v>#N/A</v>
      </c>
      <c r="D432" s="417" t="e">
        <v>#N/A</v>
      </c>
      <c r="E432" s="180" t="e">
        <v>#N/A</v>
      </c>
      <c r="F432" s="522" t="e">
        <v>#N/A</v>
      </c>
    </row>
    <row r="433" spans="1:6">
      <c r="A433" s="63">
        <f t="shared" si="8"/>
        <v>2029.04</v>
      </c>
      <c r="B433" s="481" t="e">
        <v>#N/A</v>
      </c>
      <c r="C433" s="559" t="e">
        <v>#N/A</v>
      </c>
      <c r="D433" s="417" t="e">
        <v>#N/A</v>
      </c>
      <c r="E433" s="180" t="e">
        <v>#N/A</v>
      </c>
      <c r="F433" s="522" t="e">
        <v>#N/A</v>
      </c>
    </row>
    <row r="434" spans="1:6">
      <c r="A434" s="63">
        <f t="shared" si="8"/>
        <v>2029.05</v>
      </c>
      <c r="B434" s="481" t="e">
        <v>#N/A</v>
      </c>
      <c r="C434" s="559" t="e">
        <v>#N/A</v>
      </c>
      <c r="D434" s="417" t="e">
        <v>#N/A</v>
      </c>
      <c r="E434" s="180" t="e">
        <v>#N/A</v>
      </c>
      <c r="F434" s="522" t="e">
        <v>#N/A</v>
      </c>
    </row>
    <row r="435" spans="1:6">
      <c r="A435" s="63">
        <f t="shared" si="8"/>
        <v>2029.06</v>
      </c>
      <c r="B435" s="481" t="e">
        <v>#N/A</v>
      </c>
      <c r="C435" s="559" t="e">
        <v>#N/A</v>
      </c>
      <c r="D435" s="417" t="e">
        <v>#N/A</v>
      </c>
      <c r="E435" s="180" t="e">
        <v>#N/A</v>
      </c>
      <c r="F435" s="522" t="e">
        <v>#N/A</v>
      </c>
    </row>
    <row r="436" spans="1:6">
      <c r="A436" s="63">
        <f t="shared" si="8"/>
        <v>2029.07</v>
      </c>
      <c r="B436" s="481" t="e">
        <v>#N/A</v>
      </c>
      <c r="C436" s="559" t="e">
        <v>#N/A</v>
      </c>
      <c r="D436" s="417" t="e">
        <v>#N/A</v>
      </c>
      <c r="E436" s="180" t="e">
        <v>#N/A</v>
      </c>
      <c r="F436" s="522" t="e">
        <v>#N/A</v>
      </c>
    </row>
    <row r="437" spans="1:6">
      <c r="A437" s="63">
        <f t="shared" si="8"/>
        <v>2029.08</v>
      </c>
      <c r="B437" s="481" t="e">
        <v>#N/A</v>
      </c>
      <c r="C437" s="559" t="e">
        <v>#N/A</v>
      </c>
      <c r="D437" s="417" t="e">
        <v>#N/A</v>
      </c>
      <c r="E437" s="180" t="e">
        <v>#N/A</v>
      </c>
      <c r="F437" s="522" t="e">
        <v>#N/A</v>
      </c>
    </row>
    <row r="438" spans="1:6">
      <c r="A438" s="63">
        <f t="shared" si="8"/>
        <v>2029.09</v>
      </c>
      <c r="B438" s="481" t="e">
        <v>#N/A</v>
      </c>
      <c r="C438" s="559" t="e">
        <v>#N/A</v>
      </c>
      <c r="D438" s="417" t="e">
        <v>#N/A</v>
      </c>
      <c r="E438" s="180" t="e">
        <v>#N/A</v>
      </c>
      <c r="F438" s="522" t="e">
        <v>#N/A</v>
      </c>
    </row>
    <row r="439" spans="1:6">
      <c r="A439" s="63">
        <f t="shared" si="8"/>
        <v>2029.1</v>
      </c>
      <c r="B439" s="481" t="e">
        <v>#N/A</v>
      </c>
      <c r="C439" s="559" t="e">
        <v>#N/A</v>
      </c>
      <c r="D439" s="417" t="e">
        <v>#N/A</v>
      </c>
      <c r="E439" s="180" t="e">
        <v>#N/A</v>
      </c>
      <c r="F439" s="522" t="e">
        <v>#N/A</v>
      </c>
    </row>
    <row r="440" spans="1:6">
      <c r="A440" s="63">
        <f t="shared" si="8"/>
        <v>2029.11</v>
      </c>
      <c r="B440" s="481" t="e">
        <v>#N/A</v>
      </c>
      <c r="C440" s="559" t="e">
        <v>#N/A</v>
      </c>
      <c r="D440" s="417" t="e">
        <v>#N/A</v>
      </c>
      <c r="E440" s="180" t="e">
        <v>#N/A</v>
      </c>
      <c r="F440" s="522" t="e">
        <v>#N/A</v>
      </c>
    </row>
    <row r="441" spans="1:6">
      <c r="A441" s="63">
        <f t="shared" si="8"/>
        <v>2029.12</v>
      </c>
      <c r="B441" s="481" t="e">
        <v>#N/A</v>
      </c>
      <c r="C441" s="559" t="e">
        <v>#N/A</v>
      </c>
      <c r="D441" s="417" t="e">
        <v>#N/A</v>
      </c>
      <c r="E441" s="180" t="e">
        <v>#N/A</v>
      </c>
      <c r="F441" s="522" t="e">
        <v>#N/A</v>
      </c>
    </row>
    <row r="442" spans="1:6">
      <c r="A442" s="63">
        <f t="shared" si="8"/>
        <v>2030.01</v>
      </c>
      <c r="B442" s="481" t="e">
        <v>#N/A</v>
      </c>
      <c r="C442" s="559" t="e">
        <v>#N/A</v>
      </c>
      <c r="D442" s="417" t="e">
        <v>#N/A</v>
      </c>
      <c r="E442" s="180" t="e">
        <v>#N/A</v>
      </c>
      <c r="F442" s="522" t="e">
        <v>#N/A</v>
      </c>
    </row>
    <row r="443" spans="1:6">
      <c r="A443" s="63">
        <f t="shared" si="8"/>
        <v>2030.02</v>
      </c>
      <c r="B443" s="481" t="e">
        <v>#N/A</v>
      </c>
      <c r="C443" s="559" t="e">
        <v>#N/A</v>
      </c>
      <c r="D443" s="417" t="e">
        <v>#N/A</v>
      </c>
      <c r="E443" s="180" t="e">
        <v>#N/A</v>
      </c>
      <c r="F443" s="522" t="e">
        <v>#N/A</v>
      </c>
    </row>
    <row r="444" spans="1:6">
      <c r="A444" s="63">
        <f t="shared" si="8"/>
        <v>2030.03</v>
      </c>
      <c r="B444" s="481" t="e">
        <v>#N/A</v>
      </c>
      <c r="C444" s="559" t="e">
        <v>#N/A</v>
      </c>
      <c r="D444" s="417" t="e">
        <v>#N/A</v>
      </c>
      <c r="E444" s="180" t="e">
        <v>#N/A</v>
      </c>
      <c r="F444" s="522" t="e">
        <v>#N/A</v>
      </c>
    </row>
    <row r="445" spans="1:6">
      <c r="A445" s="63">
        <f t="shared" si="8"/>
        <v>2030.04</v>
      </c>
      <c r="B445" s="481" t="e">
        <v>#N/A</v>
      </c>
      <c r="C445" s="559" t="e">
        <v>#N/A</v>
      </c>
      <c r="D445" s="417" t="e">
        <v>#N/A</v>
      </c>
      <c r="E445" s="180" t="e">
        <v>#N/A</v>
      </c>
      <c r="F445" s="522" t="e">
        <v>#N/A</v>
      </c>
    </row>
    <row r="446" spans="1:6">
      <c r="A446" s="63">
        <f t="shared" si="8"/>
        <v>2030.05</v>
      </c>
      <c r="B446" s="481" t="e">
        <v>#N/A</v>
      </c>
      <c r="C446" s="559" t="e">
        <v>#N/A</v>
      </c>
      <c r="D446" s="417" t="e">
        <v>#N/A</v>
      </c>
      <c r="E446" s="180" t="e">
        <v>#N/A</v>
      </c>
      <c r="F446" s="522" t="e">
        <v>#N/A</v>
      </c>
    </row>
    <row r="447" spans="1:6">
      <c r="A447" s="63">
        <f t="shared" si="8"/>
        <v>2030.06</v>
      </c>
      <c r="B447" s="481" t="e">
        <v>#N/A</v>
      </c>
      <c r="C447" s="559" t="e">
        <v>#N/A</v>
      </c>
      <c r="D447" s="417" t="e">
        <v>#N/A</v>
      </c>
      <c r="E447" s="180" t="e">
        <v>#N/A</v>
      </c>
      <c r="F447" s="522" t="e">
        <v>#N/A</v>
      </c>
    </row>
    <row r="448" spans="1:6">
      <c r="A448" s="63">
        <f t="shared" si="8"/>
        <v>2030.07</v>
      </c>
      <c r="B448" s="481" t="e">
        <v>#N/A</v>
      </c>
      <c r="C448" s="559" t="e">
        <v>#N/A</v>
      </c>
      <c r="D448" s="417" t="e">
        <v>#N/A</v>
      </c>
      <c r="E448" s="180" t="e">
        <v>#N/A</v>
      </c>
      <c r="F448" s="522" t="e">
        <v>#N/A</v>
      </c>
    </row>
    <row r="449" spans="1:6">
      <c r="A449" s="63">
        <f t="shared" si="8"/>
        <v>2030.08</v>
      </c>
      <c r="B449" s="481" t="e">
        <v>#N/A</v>
      </c>
      <c r="C449" s="559" t="e">
        <v>#N/A</v>
      </c>
      <c r="D449" s="417" t="e">
        <v>#N/A</v>
      </c>
      <c r="E449" s="180" t="e">
        <v>#N/A</v>
      </c>
      <c r="F449" s="522" t="e">
        <v>#N/A</v>
      </c>
    </row>
    <row r="450" spans="1:6">
      <c r="A450" s="63">
        <f t="shared" si="8"/>
        <v>2030.09</v>
      </c>
      <c r="B450" s="481" t="e">
        <v>#N/A</v>
      </c>
      <c r="C450" s="559" t="e">
        <v>#N/A</v>
      </c>
      <c r="D450" s="417" t="e">
        <v>#N/A</v>
      </c>
      <c r="E450" s="180" t="e">
        <v>#N/A</v>
      </c>
      <c r="F450" s="522" t="e">
        <v>#N/A</v>
      </c>
    </row>
    <row r="451" spans="1:6">
      <c r="A451" s="63">
        <f t="shared" si="8"/>
        <v>2030.1</v>
      </c>
      <c r="B451" s="481" t="e">
        <v>#N/A</v>
      </c>
      <c r="C451" s="559" t="e">
        <v>#N/A</v>
      </c>
      <c r="D451" s="417" t="e">
        <v>#N/A</v>
      </c>
      <c r="E451" s="180" t="e">
        <v>#N/A</v>
      </c>
      <c r="F451" s="522" t="e">
        <v>#N/A</v>
      </c>
    </row>
    <row r="452" spans="1:6">
      <c r="A452" s="63">
        <f t="shared" si="8"/>
        <v>2030.11</v>
      </c>
      <c r="B452" s="481" t="e">
        <v>#N/A</v>
      </c>
      <c r="C452" s="559" t="e">
        <v>#N/A</v>
      </c>
      <c r="D452" s="417" t="e">
        <v>#N/A</v>
      </c>
      <c r="E452" s="180" t="e">
        <v>#N/A</v>
      </c>
      <c r="F452" s="522" t="e">
        <v>#N/A</v>
      </c>
    </row>
    <row r="453" spans="1:6">
      <c r="A453" s="63">
        <f t="shared" si="8"/>
        <v>2030.12</v>
      </c>
      <c r="B453" s="481" t="e">
        <v>#N/A</v>
      </c>
      <c r="C453" s="559" t="e">
        <v>#N/A</v>
      </c>
      <c r="D453" s="417" t="e">
        <v>#N/A</v>
      </c>
      <c r="E453" s="180" t="e">
        <v>#N/A</v>
      </c>
      <c r="F453" s="522" t="e">
        <v>#N/A</v>
      </c>
    </row>
  </sheetData>
  <phoneticPr fontId="62" type="noConversion"/>
  <hyperlinks>
    <hyperlink ref="A5" location="INDICE!A13" display="VOLVER AL INDICE" xr:uid="{00000000-0004-0000-2100-000000000000}"/>
    <hyperlink ref="D343" r:id="rId1" display="https://servicios.mae.com.ar/estadisticas/volumenes_rfcv.aspx" xr:uid="{00000000-0004-0000-2100-000001000000}"/>
  </hyperlinks>
  <pageMargins left="0.75" right="0.75" top="1" bottom="1" header="0" footer="0"/>
  <pageSetup paperSize="9" orientation="portrait" horizontalDpi="300" verticalDpi="300" r:id="rId2"/>
  <headerFooter alignWithMargins="0"/>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3">
    <pageSetUpPr autoPageBreaks="0"/>
  </sheetPr>
  <dimension ref="A1:AF417"/>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9.5703125" style="24" bestFit="1" customWidth="1"/>
    <col min="2" max="25" width="16.5703125" style="24" customWidth="1"/>
    <col min="26" max="26" width="11.42578125" style="265"/>
    <col min="27" max="27" width="19.42578125" style="265" bestFit="1" customWidth="1"/>
    <col min="28" max="32" width="11.42578125" style="265"/>
    <col min="33" max="16383" width="11.42578125" style="9"/>
    <col min="16384" max="16384" width="11.42578125" style="9" bestFit="1"/>
  </cols>
  <sheetData>
    <row r="1" spans="1:29" ht="3" customHeight="1">
      <c r="A1" s="2373"/>
      <c r="B1" s="119"/>
      <c r="C1" s="119"/>
      <c r="D1" s="119"/>
      <c r="E1" s="119"/>
      <c r="F1" s="119"/>
      <c r="G1" s="119"/>
      <c r="H1" s="119"/>
      <c r="I1" s="119"/>
      <c r="J1" s="119"/>
      <c r="K1" s="119"/>
      <c r="L1" s="119"/>
      <c r="M1" s="119"/>
      <c r="N1" s="119"/>
      <c r="O1" s="119"/>
      <c r="P1" s="119"/>
      <c r="Q1" s="119"/>
      <c r="R1" s="119"/>
      <c r="S1" s="119"/>
      <c r="T1" s="553"/>
      <c r="U1" s="464"/>
      <c r="V1" s="253"/>
      <c r="W1" s="463"/>
      <c r="X1" s="464"/>
      <c r="Y1" s="204"/>
      <c r="Z1" s="1796"/>
      <c r="AA1" s="1796"/>
      <c r="AB1" s="1796"/>
      <c r="AC1" s="1796"/>
    </row>
    <row r="2" spans="1:29" ht="22.5">
      <c r="A2" s="2373" t="s">
        <v>105</v>
      </c>
      <c r="B2" s="382" t="s">
        <v>1088</v>
      </c>
      <c r="C2" s="382"/>
      <c r="D2" s="382"/>
      <c r="E2" s="382"/>
      <c r="F2" s="382"/>
      <c r="G2" s="382"/>
      <c r="H2" s="382"/>
      <c r="I2" s="382"/>
      <c r="J2" s="382"/>
      <c r="K2" s="382" t="s">
        <v>1088</v>
      </c>
      <c r="L2" s="382"/>
      <c r="M2" s="382"/>
      <c r="N2" s="382"/>
      <c r="O2" s="382"/>
      <c r="P2" s="2074"/>
      <c r="Q2" s="2074"/>
      <c r="R2" s="2074"/>
      <c r="S2" s="382"/>
      <c r="T2" s="2379" t="s">
        <v>1089</v>
      </c>
      <c r="U2" s="1709"/>
      <c r="V2" s="1788" t="s">
        <v>1090</v>
      </c>
      <c r="W2" s="1788"/>
      <c r="X2" s="1788"/>
      <c r="Y2" s="1882" t="s">
        <v>1091</v>
      </c>
      <c r="Z2" s="1796"/>
      <c r="AA2" s="1796"/>
      <c r="AB2" s="1796"/>
      <c r="AC2" s="1796"/>
    </row>
    <row r="3" spans="1:29" ht="45">
      <c r="A3" s="2373" t="s">
        <v>212</v>
      </c>
      <c r="B3" s="382" t="s">
        <v>132</v>
      </c>
      <c r="C3" s="382"/>
      <c r="D3" s="382"/>
      <c r="E3" s="382"/>
      <c r="F3" s="382"/>
      <c r="G3" s="382"/>
      <c r="H3" s="382"/>
      <c r="I3" s="382"/>
      <c r="J3" s="382"/>
      <c r="K3" s="382" t="s">
        <v>132</v>
      </c>
      <c r="L3" s="382"/>
      <c r="M3" s="382"/>
      <c r="N3" s="382"/>
      <c r="O3" s="46"/>
      <c r="P3" s="46"/>
      <c r="Q3" s="46"/>
      <c r="R3" s="46"/>
      <c r="S3" s="46"/>
      <c r="T3" s="2379" t="s">
        <v>132</v>
      </c>
      <c r="U3" s="1709"/>
      <c r="V3" s="1788" t="s">
        <v>132</v>
      </c>
      <c r="W3" s="1788"/>
      <c r="X3" s="1788"/>
      <c r="Y3" s="1882" t="s">
        <v>121</v>
      </c>
      <c r="Z3" s="1796"/>
      <c r="AA3" s="1796"/>
      <c r="AB3" s="1796"/>
      <c r="AC3" s="1796"/>
    </row>
    <row r="4" spans="1:29" ht="3.75" hidden="1" customHeight="1">
      <c r="A4" s="104"/>
      <c r="B4" s="46"/>
      <c r="C4" s="46"/>
      <c r="D4" s="46"/>
      <c r="E4" s="46"/>
      <c r="F4" s="46"/>
      <c r="G4" s="46"/>
      <c r="H4" s="46"/>
      <c r="I4" s="46"/>
      <c r="J4" s="46"/>
      <c r="K4" s="46"/>
      <c r="L4" s="46"/>
      <c r="M4" s="46"/>
      <c r="N4" s="46"/>
      <c r="O4" s="46"/>
      <c r="P4" s="46"/>
      <c r="Q4" s="46"/>
      <c r="R4" s="46"/>
      <c r="S4" s="46"/>
      <c r="T4" s="2446"/>
      <c r="U4" s="2075"/>
      <c r="V4" s="2447"/>
      <c r="W4" s="2076"/>
      <c r="X4" s="2075"/>
      <c r="Y4" s="2077"/>
      <c r="Z4" s="1796"/>
      <c r="AA4" s="1796"/>
      <c r="AB4" s="1796"/>
      <c r="AC4" s="1796"/>
    </row>
    <row r="5" spans="1:29" ht="33.75">
      <c r="A5" s="2390" t="s">
        <v>137</v>
      </c>
      <c r="B5" s="5" t="s">
        <v>890</v>
      </c>
      <c r="C5" s="6" t="s">
        <v>911</v>
      </c>
      <c r="D5" s="1318" t="s">
        <v>1092</v>
      </c>
      <c r="E5" s="8" t="s">
        <v>1093</v>
      </c>
      <c r="F5" s="1318" t="s">
        <v>1094</v>
      </c>
      <c r="G5" s="8" t="s">
        <v>1011</v>
      </c>
      <c r="H5" s="1318" t="s">
        <v>1095</v>
      </c>
      <c r="I5" s="8" t="s">
        <v>1096</v>
      </c>
      <c r="J5" s="1318" t="s">
        <v>1097</v>
      </c>
      <c r="K5" s="8" t="s">
        <v>1098</v>
      </c>
      <c r="L5" s="1318" t="s">
        <v>1099</v>
      </c>
      <c r="M5" s="8" t="s">
        <v>1100</v>
      </c>
      <c r="N5" s="794" t="s">
        <v>290</v>
      </c>
      <c r="O5" s="2078" t="s">
        <v>1101</v>
      </c>
      <c r="P5" s="1942" t="s">
        <v>1102</v>
      </c>
      <c r="Q5" s="1942" t="s">
        <v>1103</v>
      </c>
      <c r="R5" s="1942" t="s">
        <v>1104</v>
      </c>
      <c r="S5" s="6" t="s">
        <v>1105</v>
      </c>
      <c r="T5" s="892" t="s">
        <v>1106</v>
      </c>
      <c r="U5" s="158" t="s">
        <v>1107</v>
      </c>
      <c r="V5" s="780" t="s">
        <v>1108</v>
      </c>
      <c r="W5" s="84" t="s">
        <v>1109</v>
      </c>
      <c r="X5" s="777" t="s">
        <v>1110</v>
      </c>
      <c r="Y5" s="1884" t="s">
        <v>1111</v>
      </c>
      <c r="Z5" s="1796"/>
      <c r="AA5" s="1796"/>
      <c r="AB5" s="1796"/>
      <c r="AC5" s="1796"/>
    </row>
    <row r="6" spans="1:29" ht="3.75" hidden="1" customHeight="1">
      <c r="A6" s="104"/>
      <c r="B6" s="46"/>
      <c r="C6" s="46"/>
      <c r="D6" s="888"/>
      <c r="E6" s="46"/>
      <c r="F6" s="888"/>
      <c r="G6" s="46"/>
      <c r="H6" s="888"/>
      <c r="I6" s="46"/>
      <c r="J6" s="888"/>
      <c r="K6" s="46"/>
      <c r="L6" s="888"/>
      <c r="M6" s="46"/>
      <c r="N6" s="890"/>
      <c r="O6" s="46"/>
      <c r="P6" s="46"/>
      <c r="Q6" s="46"/>
      <c r="R6" s="46"/>
      <c r="S6" s="46"/>
      <c r="T6" s="893"/>
      <c r="U6" s="2075"/>
      <c r="V6" s="2079"/>
      <c r="W6" s="2076"/>
      <c r="X6" s="2080"/>
      <c r="Y6" s="2077"/>
      <c r="Z6" s="1796"/>
      <c r="AA6" s="1796"/>
      <c r="AB6" s="1796"/>
      <c r="AC6" s="1796"/>
    </row>
    <row r="7" spans="1:29" ht="22.5">
      <c r="A7" s="2373" t="s">
        <v>123</v>
      </c>
      <c r="B7" s="2081" t="s">
        <v>259</v>
      </c>
      <c r="C7" s="2448" t="str">
        <f>B7</f>
        <v>Miles de pesos corrientes</v>
      </c>
      <c r="D7" s="2082" t="str">
        <f>C7</f>
        <v>Miles de pesos corrientes</v>
      </c>
      <c r="E7" s="2083" t="str">
        <f t="shared" ref="E7:M7" si="0">D7</f>
        <v>Miles de pesos corrientes</v>
      </c>
      <c r="F7" s="2082" t="str">
        <f t="shared" si="0"/>
        <v>Miles de pesos corrientes</v>
      </c>
      <c r="G7" s="2083" t="str">
        <f t="shared" si="0"/>
        <v>Miles de pesos corrientes</v>
      </c>
      <c r="H7" s="2082" t="str">
        <f t="shared" si="0"/>
        <v>Miles de pesos corrientes</v>
      </c>
      <c r="I7" s="2083" t="str">
        <f t="shared" si="0"/>
        <v>Miles de pesos corrientes</v>
      </c>
      <c r="J7" s="2082" t="str">
        <f t="shared" si="0"/>
        <v>Miles de pesos corrientes</v>
      </c>
      <c r="K7" s="2083" t="str">
        <f t="shared" si="0"/>
        <v>Miles de pesos corrientes</v>
      </c>
      <c r="L7" s="2082" t="str">
        <f t="shared" si="0"/>
        <v>Miles de pesos corrientes</v>
      </c>
      <c r="M7" s="2083" t="str">
        <f t="shared" si="0"/>
        <v>Miles de pesos corrientes</v>
      </c>
      <c r="N7" s="2084" t="str">
        <f>M7</f>
        <v>Miles de pesos corrientes</v>
      </c>
      <c r="O7" s="2085" t="s">
        <v>1112</v>
      </c>
      <c r="P7" s="1963" t="s">
        <v>1113</v>
      </c>
      <c r="Q7" s="1963" t="s">
        <v>1114</v>
      </c>
      <c r="R7" s="1963" t="s">
        <v>1115</v>
      </c>
      <c r="S7" s="2402" t="s">
        <v>1116</v>
      </c>
      <c r="T7" s="959" t="str">
        <f>$B7</f>
        <v>Miles de pesos corrientes</v>
      </c>
      <c r="U7" s="1886" t="str">
        <f>$B7</f>
        <v>Miles de pesos corrientes</v>
      </c>
      <c r="V7" s="959" t="s">
        <v>1117</v>
      </c>
      <c r="W7" s="1090" t="s">
        <v>1117</v>
      </c>
      <c r="X7" s="777" t="s">
        <v>1117</v>
      </c>
      <c r="Y7" s="2087" t="s">
        <v>262</v>
      </c>
      <c r="Z7" s="1796"/>
      <c r="AA7" s="1796"/>
      <c r="AB7" s="1796"/>
      <c r="AC7" s="1796"/>
    </row>
    <row r="8" spans="1:29" ht="14.25" customHeight="1" thickBot="1">
      <c r="A8" s="105" t="s">
        <v>141</v>
      </c>
      <c r="B8" s="149" t="s">
        <v>1118</v>
      </c>
      <c r="C8" s="2400" t="s">
        <v>1119</v>
      </c>
      <c r="D8" s="639" t="s">
        <v>1120</v>
      </c>
      <c r="E8" s="150" t="s">
        <v>1121</v>
      </c>
      <c r="F8" s="639" t="s">
        <v>1122</v>
      </c>
      <c r="G8" s="150" t="s">
        <v>1123</v>
      </c>
      <c r="H8" s="639" t="s">
        <v>1124</v>
      </c>
      <c r="I8" s="150" t="s">
        <v>1125</v>
      </c>
      <c r="J8" s="639" t="s">
        <v>1126</v>
      </c>
      <c r="K8" s="150" t="s">
        <v>1127</v>
      </c>
      <c r="L8" s="639" t="s">
        <v>1128</v>
      </c>
      <c r="M8" s="150" t="s">
        <v>1129</v>
      </c>
      <c r="N8" s="560" t="s">
        <v>1130</v>
      </c>
      <c r="O8" s="1964" t="s">
        <v>1131</v>
      </c>
      <c r="P8" s="1964" t="s">
        <v>1132</v>
      </c>
      <c r="Q8" s="1964" t="s">
        <v>1133</v>
      </c>
      <c r="R8" s="1964" t="s">
        <v>1134</v>
      </c>
      <c r="S8" s="2400" t="s">
        <v>1135</v>
      </c>
      <c r="T8" s="773" t="s">
        <v>1136</v>
      </c>
      <c r="U8" s="149" t="s">
        <v>1137</v>
      </c>
      <c r="V8" s="773" t="s">
        <v>1138</v>
      </c>
      <c r="W8" s="150" t="s">
        <v>1139</v>
      </c>
      <c r="X8" s="560" t="s">
        <v>1140</v>
      </c>
      <c r="Y8" s="1979" t="s">
        <v>1141</v>
      </c>
      <c r="Z8" s="1796"/>
      <c r="AA8" s="1796"/>
      <c r="AB8" s="1796"/>
      <c r="AC8" s="1796"/>
    </row>
    <row r="9" spans="1:29" ht="13.5" hidden="1" thickBot="1">
      <c r="A9" s="93"/>
      <c r="B9" s="2041"/>
      <c r="C9" s="792"/>
      <c r="D9" s="1794"/>
      <c r="E9" s="580"/>
      <c r="F9" s="1794"/>
      <c r="G9" s="580"/>
      <c r="H9" s="1794"/>
      <c r="I9" s="580"/>
      <c r="J9" s="1794"/>
      <c r="K9" s="580"/>
      <c r="L9" s="1794"/>
      <c r="M9" s="580"/>
      <c r="N9" s="2088"/>
      <c r="O9" s="1966"/>
      <c r="P9" s="2089"/>
      <c r="Q9" s="1966"/>
      <c r="R9" s="113"/>
      <c r="S9" s="61"/>
      <c r="T9" s="894"/>
      <c r="U9" s="2090"/>
      <c r="V9" s="2091"/>
      <c r="W9" s="806"/>
      <c r="X9" s="2092"/>
      <c r="Y9" s="2093"/>
      <c r="Z9" s="1796"/>
      <c r="AA9" s="1796"/>
      <c r="AB9" s="1796"/>
      <c r="AC9" s="1796"/>
    </row>
    <row r="10" spans="1:29">
      <c r="A10" s="483">
        <v>1997.01</v>
      </c>
      <c r="B10" s="191">
        <v>36062</v>
      </c>
      <c r="C10" s="418">
        <f>SUM(D10:J10)</f>
        <v>23687</v>
      </c>
      <c r="D10" s="889">
        <v>4557</v>
      </c>
      <c r="E10" s="179">
        <v>7548</v>
      </c>
      <c r="F10" s="889">
        <v>1072</v>
      </c>
      <c r="G10" s="179">
        <v>3200</v>
      </c>
      <c r="H10" s="889">
        <v>4052</v>
      </c>
      <c r="I10" s="179">
        <v>1874</v>
      </c>
      <c r="J10" s="889">
        <v>1384</v>
      </c>
      <c r="K10" s="179">
        <v>5113</v>
      </c>
      <c r="L10" s="889">
        <v>1570</v>
      </c>
      <c r="M10" s="179">
        <v>2112</v>
      </c>
      <c r="N10" s="1415">
        <v>3580</v>
      </c>
      <c r="O10" s="1416"/>
      <c r="P10" s="912">
        <v>65289</v>
      </c>
      <c r="Q10" s="191">
        <v>2379760</v>
      </c>
      <c r="R10" s="462">
        <f>$B10/P10*1000</f>
        <v>552.3441927430348</v>
      </c>
      <c r="S10" s="2540">
        <f>$B10/Q10*1000</f>
        <v>15.153628937371835</v>
      </c>
      <c r="T10" s="2539"/>
      <c r="U10" s="205">
        <v>1012608</v>
      </c>
      <c r="V10" s="896"/>
      <c r="W10" s="303"/>
      <c r="X10" s="2094"/>
      <c r="Y10" s="554"/>
      <c r="Z10" s="1305"/>
      <c r="AA10" s="1796"/>
      <c r="AB10" s="1796"/>
      <c r="AC10" s="1796"/>
    </row>
    <row r="11" spans="1:29">
      <c r="A11" s="63">
        <v>1997.02</v>
      </c>
      <c r="B11" s="169">
        <v>36055</v>
      </c>
      <c r="C11" s="886">
        <f>SUM(D11:J11)</f>
        <v>23408</v>
      </c>
      <c r="D11" s="3162">
        <v>3939</v>
      </c>
      <c r="E11" s="180">
        <v>7685</v>
      </c>
      <c r="F11" s="3162">
        <v>953</v>
      </c>
      <c r="G11" s="180">
        <v>3222</v>
      </c>
      <c r="H11" s="3162">
        <v>4087</v>
      </c>
      <c r="I11" s="180">
        <v>1878</v>
      </c>
      <c r="J11" s="3162">
        <v>1644</v>
      </c>
      <c r="K11" s="180">
        <v>4894</v>
      </c>
      <c r="L11" s="3162">
        <v>1679</v>
      </c>
      <c r="M11" s="180">
        <v>1866</v>
      </c>
      <c r="N11" s="2095">
        <v>4208</v>
      </c>
      <c r="O11" s="2096"/>
      <c r="P11" s="2097">
        <v>65289</v>
      </c>
      <c r="Q11" s="2097">
        <v>2183907</v>
      </c>
      <c r="R11" s="263">
        <f t="shared" ref="R11:R74" si="1">$B11/P11*1000</f>
        <v>552.23697713244189</v>
      </c>
      <c r="S11" s="203">
        <f t="shared" ref="S11:S74" si="2">$B11/Q11*1000</f>
        <v>16.509402643977054</v>
      </c>
      <c r="T11" s="895"/>
      <c r="U11" s="169">
        <v>1000179</v>
      </c>
      <c r="V11" s="896"/>
      <c r="W11" s="303"/>
      <c r="X11" s="2094"/>
      <c r="Y11" s="554"/>
      <c r="Z11" s="1305"/>
      <c r="AA11" s="1796"/>
      <c r="AB11" s="1305"/>
      <c r="AC11" s="1305"/>
    </row>
    <row r="12" spans="1:29">
      <c r="A12" s="63">
        <v>1997.03</v>
      </c>
      <c r="B12" s="169">
        <v>40980</v>
      </c>
      <c r="C12" s="886">
        <f t="shared" ref="C12:C75" si="3">SUM(D12:J12)</f>
        <v>27366</v>
      </c>
      <c r="D12" s="3162">
        <v>4454</v>
      </c>
      <c r="E12" s="180">
        <v>9988</v>
      </c>
      <c r="F12" s="3162">
        <v>1078</v>
      </c>
      <c r="G12" s="180">
        <v>3556</v>
      </c>
      <c r="H12" s="3162">
        <v>4589</v>
      </c>
      <c r="I12" s="180">
        <v>2072</v>
      </c>
      <c r="J12" s="3162">
        <v>1629</v>
      </c>
      <c r="K12" s="180">
        <v>5607</v>
      </c>
      <c r="L12" s="3162">
        <v>1612</v>
      </c>
      <c r="M12" s="180">
        <v>2093</v>
      </c>
      <c r="N12" s="2095">
        <v>4302</v>
      </c>
      <c r="O12" s="2096"/>
      <c r="P12" s="2097">
        <v>65289</v>
      </c>
      <c r="Q12" s="2097">
        <v>2437771</v>
      </c>
      <c r="R12" s="263">
        <f t="shared" si="1"/>
        <v>627.6708174424482</v>
      </c>
      <c r="S12" s="203">
        <f t="shared" si="2"/>
        <v>16.810438716351946</v>
      </c>
      <c r="T12" s="895"/>
      <c r="U12" s="169">
        <v>1172062</v>
      </c>
      <c r="V12" s="896"/>
      <c r="W12" s="303"/>
      <c r="X12" s="2094"/>
      <c r="Y12" s="554"/>
      <c r="Z12" s="1305"/>
      <c r="AA12" s="1796"/>
      <c r="AB12" s="1305"/>
      <c r="AC12" s="1305"/>
    </row>
    <row r="13" spans="1:29">
      <c r="A13" s="63">
        <v>1997.04</v>
      </c>
      <c r="B13" s="169">
        <v>38584</v>
      </c>
      <c r="C13" s="886">
        <f t="shared" si="3"/>
        <v>26043</v>
      </c>
      <c r="D13" s="3162">
        <v>4025</v>
      </c>
      <c r="E13" s="180">
        <v>9162</v>
      </c>
      <c r="F13" s="3162">
        <v>1098</v>
      </c>
      <c r="G13" s="180">
        <v>3647</v>
      </c>
      <c r="H13" s="3162">
        <v>4612</v>
      </c>
      <c r="I13" s="180">
        <v>1967</v>
      </c>
      <c r="J13" s="3162">
        <v>1532</v>
      </c>
      <c r="K13" s="180">
        <v>5266</v>
      </c>
      <c r="L13" s="3162">
        <v>1674</v>
      </c>
      <c r="M13" s="180">
        <v>2003</v>
      </c>
      <c r="N13" s="2095">
        <v>3598</v>
      </c>
      <c r="O13" s="2096"/>
      <c r="P13" s="2097">
        <v>65289</v>
      </c>
      <c r="Q13" s="2097">
        <v>2365547</v>
      </c>
      <c r="R13" s="263">
        <f t="shared" si="1"/>
        <v>590.97244558807756</v>
      </c>
      <c r="S13" s="203">
        <f t="shared" si="2"/>
        <v>16.310815215254653</v>
      </c>
      <c r="T13" s="895"/>
      <c r="U13" s="169">
        <v>1058967</v>
      </c>
      <c r="V13" s="896"/>
      <c r="W13" s="303"/>
      <c r="X13" s="2094"/>
      <c r="Y13" s="554"/>
      <c r="Z13" s="1305"/>
      <c r="AA13" s="1796"/>
      <c r="AB13" s="1305"/>
      <c r="AC13" s="1305"/>
    </row>
    <row r="14" spans="1:29">
      <c r="A14" s="63">
        <v>1997.05</v>
      </c>
      <c r="B14" s="169">
        <v>40742</v>
      </c>
      <c r="C14" s="886">
        <f t="shared" si="3"/>
        <v>27454</v>
      </c>
      <c r="D14" s="3162">
        <v>4054</v>
      </c>
      <c r="E14" s="180">
        <v>9971</v>
      </c>
      <c r="F14" s="3162">
        <v>1173</v>
      </c>
      <c r="G14" s="180">
        <v>3828</v>
      </c>
      <c r="H14" s="3162">
        <v>4646</v>
      </c>
      <c r="I14" s="180">
        <v>1958</v>
      </c>
      <c r="J14" s="3162">
        <v>1824</v>
      </c>
      <c r="K14" s="180">
        <v>5479</v>
      </c>
      <c r="L14" s="3162">
        <v>1888</v>
      </c>
      <c r="M14" s="180">
        <v>2228</v>
      </c>
      <c r="N14" s="2095">
        <v>3693</v>
      </c>
      <c r="O14" s="2096"/>
      <c r="P14" s="2097">
        <v>65289</v>
      </c>
      <c r="Q14" s="2097">
        <v>2419081</v>
      </c>
      <c r="R14" s="263">
        <f t="shared" si="1"/>
        <v>624.02548668228951</v>
      </c>
      <c r="S14" s="203">
        <f t="shared" si="2"/>
        <v>16.841932948917378</v>
      </c>
      <c r="T14" s="895"/>
      <c r="U14" s="169">
        <v>1101202</v>
      </c>
      <c r="V14" s="896"/>
      <c r="W14" s="303"/>
      <c r="X14" s="2094"/>
      <c r="Y14" s="554"/>
      <c r="Z14" s="1305"/>
      <c r="AA14" s="1796"/>
      <c r="AB14" s="1305"/>
      <c r="AC14" s="1305"/>
    </row>
    <row r="15" spans="1:29">
      <c r="A15" s="63">
        <v>1997.06</v>
      </c>
      <c r="B15" s="169">
        <v>40153</v>
      </c>
      <c r="C15" s="886">
        <f t="shared" si="3"/>
        <v>26708</v>
      </c>
      <c r="D15" s="3162">
        <v>3941</v>
      </c>
      <c r="E15" s="180">
        <v>9810</v>
      </c>
      <c r="F15" s="3162">
        <v>1110</v>
      </c>
      <c r="G15" s="180">
        <v>3705</v>
      </c>
      <c r="H15" s="3162">
        <v>4505</v>
      </c>
      <c r="I15" s="180">
        <v>1852</v>
      </c>
      <c r="J15" s="3162">
        <v>1785</v>
      </c>
      <c r="K15" s="180">
        <v>5185</v>
      </c>
      <c r="L15" s="3162">
        <v>2051</v>
      </c>
      <c r="M15" s="180">
        <v>2644</v>
      </c>
      <c r="N15" s="2095">
        <v>3565</v>
      </c>
      <c r="O15" s="2096"/>
      <c r="P15" s="2097">
        <v>65289</v>
      </c>
      <c r="Q15" s="2097">
        <v>2338210</v>
      </c>
      <c r="R15" s="263">
        <f t="shared" si="1"/>
        <v>615.00405887668671</v>
      </c>
      <c r="S15" s="203">
        <f t="shared" si="2"/>
        <v>17.172537967077378</v>
      </c>
      <c r="T15" s="895"/>
      <c r="U15" s="169">
        <v>1069056</v>
      </c>
      <c r="V15" s="896"/>
      <c r="W15" s="303"/>
      <c r="X15" s="2094"/>
      <c r="Y15" s="554"/>
      <c r="Z15" s="1305"/>
      <c r="AA15" s="1796"/>
      <c r="AB15" s="1305"/>
      <c r="AC15" s="1305"/>
    </row>
    <row r="16" spans="1:29">
      <c r="A16" s="63">
        <v>1997.07</v>
      </c>
      <c r="B16" s="169">
        <v>40860</v>
      </c>
      <c r="C16" s="886">
        <f t="shared" si="3"/>
        <v>27518</v>
      </c>
      <c r="D16" s="3162">
        <v>4090</v>
      </c>
      <c r="E16" s="180">
        <v>10071</v>
      </c>
      <c r="F16" s="3162">
        <v>1088</v>
      </c>
      <c r="G16" s="180">
        <v>3802</v>
      </c>
      <c r="H16" s="3162">
        <v>4596</v>
      </c>
      <c r="I16" s="180">
        <v>1908</v>
      </c>
      <c r="J16" s="3162">
        <v>1963</v>
      </c>
      <c r="K16" s="180">
        <v>5284</v>
      </c>
      <c r="L16" s="3162">
        <v>1902</v>
      </c>
      <c r="M16" s="180">
        <v>2446</v>
      </c>
      <c r="N16" s="2095">
        <v>3710</v>
      </c>
      <c r="O16" s="2096"/>
      <c r="P16" s="2097">
        <v>66579</v>
      </c>
      <c r="Q16" s="2097">
        <v>2500610</v>
      </c>
      <c r="R16" s="263">
        <f t="shared" si="1"/>
        <v>613.70702473752976</v>
      </c>
      <c r="S16" s="203">
        <f t="shared" si="2"/>
        <v>16.340013036819016</v>
      </c>
      <c r="T16" s="895"/>
      <c r="U16" s="169">
        <v>1090725</v>
      </c>
      <c r="V16" s="896"/>
      <c r="W16" s="303"/>
      <c r="X16" s="2094"/>
      <c r="Y16" s="554"/>
      <c r="Z16" s="1305"/>
      <c r="AA16" s="1796"/>
      <c r="AB16" s="1305"/>
      <c r="AC16" s="1305"/>
    </row>
    <row r="17" spans="1:29">
      <c r="A17" s="63">
        <v>1997.08</v>
      </c>
      <c r="B17" s="169">
        <v>42449</v>
      </c>
      <c r="C17" s="886">
        <f t="shared" si="3"/>
        <v>28426</v>
      </c>
      <c r="D17" s="3162">
        <v>3870</v>
      </c>
      <c r="E17" s="180">
        <v>10928</v>
      </c>
      <c r="F17" s="3162">
        <v>1166</v>
      </c>
      <c r="G17" s="180">
        <v>3665</v>
      </c>
      <c r="H17" s="3162">
        <v>4922</v>
      </c>
      <c r="I17" s="180">
        <v>1968</v>
      </c>
      <c r="J17" s="3162">
        <v>1907</v>
      </c>
      <c r="K17" s="180">
        <v>5535</v>
      </c>
      <c r="L17" s="3162">
        <v>1628</v>
      </c>
      <c r="M17" s="180">
        <v>2597</v>
      </c>
      <c r="N17" s="2095">
        <v>4263</v>
      </c>
      <c r="O17" s="2096"/>
      <c r="P17" s="2097">
        <v>66579</v>
      </c>
      <c r="Q17" s="2097">
        <v>2487965</v>
      </c>
      <c r="R17" s="263">
        <f t="shared" si="1"/>
        <v>637.5734090328782</v>
      </c>
      <c r="S17" s="203">
        <f t="shared" si="2"/>
        <v>17.061735193220162</v>
      </c>
      <c r="T17" s="895"/>
      <c r="U17" s="169">
        <v>1133105</v>
      </c>
      <c r="V17" s="896"/>
      <c r="W17" s="303"/>
      <c r="X17" s="2094"/>
      <c r="Y17" s="554"/>
      <c r="Z17" s="1305"/>
      <c r="AA17" s="1796"/>
      <c r="AB17" s="1305"/>
      <c r="AC17" s="1305"/>
    </row>
    <row r="18" spans="1:29">
      <c r="A18" s="63">
        <v>1997.09</v>
      </c>
      <c r="B18" s="169">
        <v>37368</v>
      </c>
      <c r="C18" s="886">
        <f t="shared" si="3"/>
        <v>25408</v>
      </c>
      <c r="D18" s="3162">
        <v>3917</v>
      </c>
      <c r="E18" s="180">
        <v>9410</v>
      </c>
      <c r="F18" s="3162">
        <v>1134</v>
      </c>
      <c r="G18" s="180">
        <v>3206</v>
      </c>
      <c r="H18" s="3162">
        <v>4424</v>
      </c>
      <c r="I18" s="180">
        <v>1842</v>
      </c>
      <c r="J18" s="3162">
        <v>1475</v>
      </c>
      <c r="K18" s="180">
        <v>5075</v>
      </c>
      <c r="L18" s="3162">
        <v>1370</v>
      </c>
      <c r="M18" s="180">
        <v>2558</v>
      </c>
      <c r="N18" s="2095">
        <v>2957</v>
      </c>
      <c r="O18" s="2096"/>
      <c r="P18" s="2097">
        <v>65585</v>
      </c>
      <c r="Q18" s="2097">
        <v>2335692</v>
      </c>
      <c r="R18" s="263">
        <f t="shared" si="1"/>
        <v>569.76442784173207</v>
      </c>
      <c r="S18" s="203">
        <f t="shared" si="2"/>
        <v>15.998684758093106</v>
      </c>
      <c r="T18" s="895"/>
      <c r="U18" s="169">
        <v>1034426</v>
      </c>
      <c r="V18" s="896"/>
      <c r="W18" s="303"/>
      <c r="X18" s="2094"/>
      <c r="Y18" s="554"/>
      <c r="Z18" s="1305"/>
      <c r="AA18" s="1796"/>
      <c r="AB18" s="1305"/>
      <c r="AC18" s="1305"/>
    </row>
    <row r="19" spans="1:29">
      <c r="A19" s="63">
        <v>1997.1</v>
      </c>
      <c r="B19" s="169">
        <v>41085</v>
      </c>
      <c r="C19" s="886">
        <f t="shared" si="3"/>
        <v>28247</v>
      </c>
      <c r="D19" s="3162">
        <v>4627</v>
      </c>
      <c r="E19" s="180">
        <v>10654</v>
      </c>
      <c r="F19" s="3162">
        <v>1244</v>
      </c>
      <c r="G19" s="180">
        <v>3443</v>
      </c>
      <c r="H19" s="3162">
        <v>4708</v>
      </c>
      <c r="I19" s="180">
        <v>1993</v>
      </c>
      <c r="J19" s="3162">
        <v>1578</v>
      </c>
      <c r="K19" s="180">
        <v>5401</v>
      </c>
      <c r="L19" s="3162">
        <v>1594</v>
      </c>
      <c r="M19" s="180">
        <v>2843</v>
      </c>
      <c r="N19" s="2095">
        <v>3000</v>
      </c>
      <c r="O19" s="2096"/>
      <c r="P19" s="2097">
        <v>65585</v>
      </c>
      <c r="Q19" s="2097">
        <v>2419043</v>
      </c>
      <c r="R19" s="263">
        <f t="shared" si="1"/>
        <v>626.4389723259892</v>
      </c>
      <c r="S19" s="203">
        <f>$B19/Q19*1000</f>
        <v>16.983989122971355</v>
      </c>
      <c r="T19" s="895"/>
      <c r="U19" s="169">
        <v>1114832</v>
      </c>
      <c r="V19" s="896"/>
      <c r="W19" s="303"/>
      <c r="X19" s="2094"/>
      <c r="Y19" s="554"/>
      <c r="Z19" s="1305"/>
      <c r="AA19" s="1796"/>
      <c r="AB19" s="1305"/>
      <c r="AC19" s="1305"/>
    </row>
    <row r="20" spans="1:29">
      <c r="A20" s="63">
        <v>1997.11</v>
      </c>
      <c r="B20" s="169">
        <v>43782</v>
      </c>
      <c r="C20" s="886">
        <f t="shared" si="3"/>
        <v>28408</v>
      </c>
      <c r="D20" s="3162">
        <v>4955</v>
      </c>
      <c r="E20" s="180">
        <v>10432</v>
      </c>
      <c r="F20" s="3162">
        <v>1269</v>
      </c>
      <c r="G20" s="180">
        <v>3373</v>
      </c>
      <c r="H20" s="3162">
        <v>4728</v>
      </c>
      <c r="I20" s="180">
        <v>2005</v>
      </c>
      <c r="J20" s="3162">
        <v>1646</v>
      </c>
      <c r="K20" s="180">
        <v>5913</v>
      </c>
      <c r="L20" s="3162">
        <v>2281</v>
      </c>
      <c r="M20" s="180">
        <v>3188</v>
      </c>
      <c r="N20" s="2095">
        <v>3992</v>
      </c>
      <c r="O20" s="2096"/>
      <c r="P20" s="2097">
        <v>65735</v>
      </c>
      <c r="Q20" s="2097">
        <v>2410570</v>
      </c>
      <c r="R20" s="263">
        <f t="shared" si="1"/>
        <v>666.03787936411356</v>
      </c>
      <c r="S20" s="203">
        <f t="shared" si="2"/>
        <v>18.162509282037028</v>
      </c>
      <c r="T20" s="895"/>
      <c r="U20" s="169">
        <v>1149640</v>
      </c>
      <c r="V20" s="896"/>
      <c r="W20" s="303"/>
      <c r="X20" s="2094"/>
      <c r="Y20" s="554"/>
      <c r="Z20" s="1305"/>
      <c r="AA20" s="1796"/>
      <c r="AB20" s="1305"/>
      <c r="AC20" s="1305"/>
    </row>
    <row r="21" spans="1:29">
      <c r="A21" s="63">
        <v>1997.12</v>
      </c>
      <c r="B21" s="169">
        <v>56844</v>
      </c>
      <c r="C21" s="886">
        <f t="shared" si="3"/>
        <v>36320</v>
      </c>
      <c r="D21" s="3162">
        <v>8500</v>
      </c>
      <c r="E21" s="180">
        <v>12186</v>
      </c>
      <c r="F21" s="3162">
        <v>1699</v>
      </c>
      <c r="G21" s="180">
        <v>3830</v>
      </c>
      <c r="H21" s="3162">
        <v>5477</v>
      </c>
      <c r="I21" s="180">
        <v>2518</v>
      </c>
      <c r="J21" s="3162">
        <v>2110</v>
      </c>
      <c r="K21" s="180">
        <v>6773</v>
      </c>
      <c r="L21" s="3162">
        <v>3401</v>
      </c>
      <c r="M21" s="180">
        <v>3592</v>
      </c>
      <c r="N21" s="2095">
        <v>6758</v>
      </c>
      <c r="O21" s="2096"/>
      <c r="P21" s="2097">
        <v>76356</v>
      </c>
      <c r="Q21" s="2097">
        <v>2767396</v>
      </c>
      <c r="R21" s="263">
        <f t="shared" si="1"/>
        <v>744.46016030174439</v>
      </c>
      <c r="S21" s="203">
        <f t="shared" si="2"/>
        <v>20.540609294802767</v>
      </c>
      <c r="T21" s="895"/>
      <c r="U21" s="169">
        <v>1440639</v>
      </c>
      <c r="V21" s="896"/>
      <c r="W21" s="303"/>
      <c r="X21" s="2094"/>
      <c r="Y21" s="554"/>
      <c r="Z21" s="1305"/>
      <c r="AA21" s="1796"/>
      <c r="AB21" s="1305"/>
      <c r="AC21" s="1305"/>
    </row>
    <row r="22" spans="1:29">
      <c r="A22" s="63">
        <v>1998.01</v>
      </c>
      <c r="B22" s="169">
        <v>40932</v>
      </c>
      <c r="C22" s="886">
        <f t="shared" si="3"/>
        <v>26473</v>
      </c>
      <c r="D22" s="3162">
        <v>5124</v>
      </c>
      <c r="E22" s="180">
        <v>8354</v>
      </c>
      <c r="F22" s="3162">
        <v>1480</v>
      </c>
      <c r="G22" s="180">
        <v>2988</v>
      </c>
      <c r="H22" s="3162">
        <v>4773</v>
      </c>
      <c r="I22" s="180">
        <v>2101</v>
      </c>
      <c r="J22" s="3162">
        <v>1653</v>
      </c>
      <c r="K22" s="180">
        <v>5839</v>
      </c>
      <c r="L22" s="3162">
        <v>1964</v>
      </c>
      <c r="M22" s="180">
        <v>2526</v>
      </c>
      <c r="N22" s="2095">
        <v>4130</v>
      </c>
      <c r="O22" s="2096"/>
      <c r="P22" s="2097">
        <v>76106</v>
      </c>
      <c r="Q22" s="2097">
        <v>2369400</v>
      </c>
      <c r="R22" s="263">
        <f t="shared" si="1"/>
        <v>537.82881770162669</v>
      </c>
      <c r="S22" s="203">
        <f t="shared" si="2"/>
        <v>17.275259559382121</v>
      </c>
      <c r="T22" s="895"/>
      <c r="U22" s="169">
        <v>1127049</v>
      </c>
      <c r="V22" s="896"/>
      <c r="W22" s="303"/>
      <c r="X22" s="2094"/>
      <c r="Y22" s="554"/>
      <c r="Z22" s="1305"/>
      <c r="AA22" s="1796"/>
      <c r="AB22" s="1305"/>
      <c r="AC22" s="1305"/>
    </row>
    <row r="23" spans="1:29">
      <c r="A23" s="63">
        <v>1998.02</v>
      </c>
      <c r="B23" s="169">
        <v>41854</v>
      </c>
      <c r="C23" s="886">
        <f t="shared" si="3"/>
        <v>27310</v>
      </c>
      <c r="D23" s="3162">
        <v>4406</v>
      </c>
      <c r="E23" s="180">
        <v>9680</v>
      </c>
      <c r="F23" s="3162">
        <v>1284</v>
      </c>
      <c r="G23" s="180">
        <v>3372</v>
      </c>
      <c r="H23" s="3162">
        <v>4716</v>
      </c>
      <c r="I23" s="180">
        <v>2131</v>
      </c>
      <c r="J23" s="3162">
        <v>1721</v>
      </c>
      <c r="K23" s="180">
        <v>5707</v>
      </c>
      <c r="L23" s="3162">
        <v>1914</v>
      </c>
      <c r="M23" s="180">
        <v>2685</v>
      </c>
      <c r="N23" s="2095">
        <v>4238</v>
      </c>
      <c r="O23" s="2096"/>
      <c r="P23" s="2097">
        <v>76106</v>
      </c>
      <c r="Q23" s="2097">
        <v>2312378</v>
      </c>
      <c r="R23" s="263">
        <f t="shared" si="1"/>
        <v>549.94349985546478</v>
      </c>
      <c r="S23" s="203">
        <f t="shared" si="2"/>
        <v>18.09998192337066</v>
      </c>
      <c r="T23" s="895"/>
      <c r="U23" s="169">
        <v>1094102</v>
      </c>
      <c r="V23" s="896"/>
      <c r="W23" s="303"/>
      <c r="X23" s="2094"/>
      <c r="Y23" s="554"/>
      <c r="Z23" s="1305"/>
      <c r="AA23" s="1796"/>
      <c r="AB23" s="1305"/>
      <c r="AC23" s="1305"/>
    </row>
    <row r="24" spans="1:29">
      <c r="A24" s="63">
        <v>1998.03</v>
      </c>
      <c r="B24" s="169">
        <v>48346</v>
      </c>
      <c r="C24" s="886">
        <f t="shared" si="3"/>
        <v>31539</v>
      </c>
      <c r="D24" s="3162">
        <v>4606</v>
      </c>
      <c r="E24" s="180">
        <v>11975</v>
      </c>
      <c r="F24" s="3162">
        <v>1564</v>
      </c>
      <c r="G24" s="180">
        <v>3743</v>
      </c>
      <c r="H24" s="3162">
        <v>5323</v>
      </c>
      <c r="I24" s="180">
        <v>2375</v>
      </c>
      <c r="J24" s="3162">
        <v>1953</v>
      </c>
      <c r="K24" s="180">
        <v>6408</v>
      </c>
      <c r="L24" s="3162">
        <v>2364</v>
      </c>
      <c r="M24" s="180">
        <v>3084</v>
      </c>
      <c r="N24" s="2095">
        <v>4951</v>
      </c>
      <c r="O24" s="2096"/>
      <c r="P24" s="2097">
        <v>75406</v>
      </c>
      <c r="Q24" s="2097">
        <v>2746148</v>
      </c>
      <c r="R24" s="263">
        <f t="shared" si="1"/>
        <v>641.14261464604942</v>
      </c>
      <c r="S24" s="203">
        <f t="shared" si="2"/>
        <v>17.6050234728791</v>
      </c>
      <c r="T24" s="895"/>
      <c r="U24" s="169">
        <v>1230808</v>
      </c>
      <c r="V24" s="896"/>
      <c r="W24" s="303"/>
      <c r="X24" s="2094"/>
      <c r="Y24" s="554"/>
      <c r="Z24" s="1305"/>
      <c r="AA24" s="1796"/>
      <c r="AB24" s="1305"/>
      <c r="AC24" s="1305"/>
    </row>
    <row r="25" spans="1:29">
      <c r="A25" s="63">
        <v>1998.04</v>
      </c>
      <c r="B25" s="169">
        <v>44050</v>
      </c>
      <c r="C25" s="886">
        <f t="shared" si="3"/>
        <v>29595</v>
      </c>
      <c r="D25" s="3162">
        <v>4458</v>
      </c>
      <c r="E25" s="180">
        <v>11779</v>
      </c>
      <c r="F25" s="3162">
        <v>1385</v>
      </c>
      <c r="G25" s="180">
        <v>3479</v>
      </c>
      <c r="H25" s="3162">
        <v>4833</v>
      </c>
      <c r="I25" s="180">
        <v>2105</v>
      </c>
      <c r="J25" s="3162">
        <v>1556</v>
      </c>
      <c r="K25" s="180">
        <v>5812</v>
      </c>
      <c r="L25" s="3162">
        <v>2185</v>
      </c>
      <c r="M25" s="180">
        <v>2810</v>
      </c>
      <c r="N25" s="2095">
        <v>3648</v>
      </c>
      <c r="O25" s="2096"/>
      <c r="P25" s="2097">
        <v>68059</v>
      </c>
      <c r="Q25" s="2097">
        <v>2241425</v>
      </c>
      <c r="R25" s="263">
        <f t="shared" si="1"/>
        <v>647.23254823021205</v>
      </c>
      <c r="S25" s="203">
        <f t="shared" si="2"/>
        <v>19.652676310829047</v>
      </c>
      <c r="T25" s="895"/>
      <c r="U25" s="169">
        <v>1171945</v>
      </c>
      <c r="V25" s="896"/>
      <c r="W25" s="303"/>
      <c r="X25" s="2094"/>
      <c r="Y25" s="554"/>
      <c r="Z25" s="1305"/>
      <c r="AA25" s="1796"/>
      <c r="AB25" s="1305"/>
      <c r="AC25" s="1305"/>
    </row>
    <row r="26" spans="1:29">
      <c r="A26" s="63">
        <v>1998.05</v>
      </c>
      <c r="B26" s="169">
        <v>46266</v>
      </c>
      <c r="C26" s="886">
        <f t="shared" si="3"/>
        <v>30321</v>
      </c>
      <c r="D26" s="3162">
        <v>4716</v>
      </c>
      <c r="E26" s="180">
        <v>11798</v>
      </c>
      <c r="F26" s="3162">
        <v>1463</v>
      </c>
      <c r="G26" s="180">
        <v>3745</v>
      </c>
      <c r="H26" s="3162">
        <v>4840</v>
      </c>
      <c r="I26" s="180">
        <v>2092</v>
      </c>
      <c r="J26" s="3162">
        <v>1667</v>
      </c>
      <c r="K26" s="180">
        <v>6030</v>
      </c>
      <c r="L26" s="3162">
        <v>2466</v>
      </c>
      <c r="M26" s="180">
        <v>3468</v>
      </c>
      <c r="N26" s="2095">
        <v>3981</v>
      </c>
      <c r="O26" s="2096"/>
      <c r="P26" s="2097">
        <v>68059</v>
      </c>
      <c r="Q26" s="2097">
        <v>2239437</v>
      </c>
      <c r="R26" s="263">
        <f t="shared" si="1"/>
        <v>679.79253294935268</v>
      </c>
      <c r="S26" s="203">
        <f t="shared" si="2"/>
        <v>20.659656869114873</v>
      </c>
      <c r="T26" s="895"/>
      <c r="U26" s="169">
        <v>1219223</v>
      </c>
      <c r="V26" s="896"/>
      <c r="W26" s="303"/>
      <c r="X26" s="2094"/>
      <c r="Y26" s="554"/>
      <c r="Z26" s="1305"/>
      <c r="AA26" s="1796"/>
      <c r="AB26" s="1305"/>
      <c r="AC26" s="1305"/>
    </row>
    <row r="27" spans="1:29">
      <c r="A27" s="63">
        <v>1998.06</v>
      </c>
      <c r="B27" s="169">
        <v>44657</v>
      </c>
      <c r="C27" s="886">
        <f t="shared" si="3"/>
        <v>29689</v>
      </c>
      <c r="D27" s="3162">
        <v>4498</v>
      </c>
      <c r="E27" s="180">
        <v>11635</v>
      </c>
      <c r="F27" s="3162">
        <v>1485</v>
      </c>
      <c r="G27" s="180">
        <v>3648</v>
      </c>
      <c r="H27" s="3162">
        <v>4852</v>
      </c>
      <c r="I27" s="180">
        <v>2030</v>
      </c>
      <c r="J27" s="3162">
        <v>1541</v>
      </c>
      <c r="K27" s="180">
        <v>5660</v>
      </c>
      <c r="L27" s="3162">
        <v>2292</v>
      </c>
      <c r="M27" s="180">
        <v>2352</v>
      </c>
      <c r="N27" s="2095">
        <v>4664</v>
      </c>
      <c r="O27" s="2096"/>
      <c r="P27" s="2097">
        <v>64915</v>
      </c>
      <c r="Q27" s="2097">
        <v>2328506</v>
      </c>
      <c r="R27" s="263">
        <f t="shared" si="1"/>
        <v>687.93037048447968</v>
      </c>
      <c r="S27" s="203">
        <f t="shared" si="2"/>
        <v>19.178391638243578</v>
      </c>
      <c r="T27" s="895"/>
      <c r="U27" s="169">
        <v>1149118</v>
      </c>
      <c r="V27" s="896"/>
      <c r="W27" s="303"/>
      <c r="X27" s="2094"/>
      <c r="Y27" s="554"/>
      <c r="Z27" s="1305"/>
      <c r="AA27" s="1796"/>
      <c r="AB27" s="1305"/>
      <c r="AC27" s="1305"/>
    </row>
    <row r="28" spans="1:29">
      <c r="A28" s="63">
        <v>1998.07</v>
      </c>
      <c r="B28" s="169">
        <v>47374</v>
      </c>
      <c r="C28" s="886">
        <f t="shared" si="3"/>
        <v>32168</v>
      </c>
      <c r="D28" s="3162">
        <v>4902</v>
      </c>
      <c r="E28" s="180">
        <v>12930</v>
      </c>
      <c r="F28" s="3162">
        <v>1458</v>
      </c>
      <c r="G28" s="180">
        <v>3892</v>
      </c>
      <c r="H28" s="3162">
        <v>5090</v>
      </c>
      <c r="I28" s="180">
        <v>2215</v>
      </c>
      <c r="J28" s="3162">
        <v>1681</v>
      </c>
      <c r="K28" s="180">
        <v>6185</v>
      </c>
      <c r="L28" s="3162">
        <v>2182</v>
      </c>
      <c r="M28" s="180">
        <v>1742</v>
      </c>
      <c r="N28" s="2095">
        <v>5097</v>
      </c>
      <c r="O28" s="2096"/>
      <c r="P28" s="2097">
        <v>64915</v>
      </c>
      <c r="Q28" s="2097">
        <v>2419737</v>
      </c>
      <c r="R28" s="263">
        <f t="shared" si="1"/>
        <v>729.78510359701147</v>
      </c>
      <c r="S28" s="203">
        <f t="shared" si="2"/>
        <v>19.57816076705857</v>
      </c>
      <c r="T28" s="895"/>
      <c r="U28" s="169">
        <v>1218471</v>
      </c>
      <c r="V28" s="896"/>
      <c r="W28" s="303"/>
      <c r="X28" s="2094"/>
      <c r="Y28" s="554"/>
      <c r="Z28" s="1305"/>
      <c r="AA28" s="1796"/>
      <c r="AB28" s="1305"/>
      <c r="AC28" s="1305"/>
    </row>
    <row r="29" spans="1:29">
      <c r="A29" s="63">
        <v>1998.08</v>
      </c>
      <c r="B29" s="169">
        <v>48556</v>
      </c>
      <c r="C29" s="886">
        <f t="shared" si="3"/>
        <v>32867</v>
      </c>
      <c r="D29" s="3162">
        <v>5091</v>
      </c>
      <c r="E29" s="180">
        <v>12851</v>
      </c>
      <c r="F29" s="3162">
        <v>1619</v>
      </c>
      <c r="G29" s="180">
        <v>4036</v>
      </c>
      <c r="H29" s="3162">
        <v>5274</v>
      </c>
      <c r="I29" s="180">
        <v>2356</v>
      </c>
      <c r="J29" s="3162">
        <v>1640</v>
      </c>
      <c r="K29" s="180">
        <v>6265</v>
      </c>
      <c r="L29" s="3162">
        <v>2043</v>
      </c>
      <c r="M29" s="180">
        <v>1698</v>
      </c>
      <c r="N29" s="2095">
        <v>5683</v>
      </c>
      <c r="O29" s="2096"/>
      <c r="P29" s="2097">
        <v>68189</v>
      </c>
      <c r="Q29" s="2097">
        <v>2486693</v>
      </c>
      <c r="R29" s="263">
        <f t="shared" si="1"/>
        <v>712.07966094238077</v>
      </c>
      <c r="S29" s="203">
        <f t="shared" si="2"/>
        <v>19.526334774738981</v>
      </c>
      <c r="T29" s="895"/>
      <c r="U29" s="169">
        <v>1238898</v>
      </c>
      <c r="V29" s="896"/>
      <c r="W29" s="303"/>
      <c r="X29" s="2094"/>
      <c r="Y29" s="554"/>
      <c r="Z29" s="1305"/>
      <c r="AA29" s="1796"/>
      <c r="AB29" s="1305"/>
      <c r="AC29" s="1305"/>
    </row>
    <row r="30" spans="1:29">
      <c r="A30" s="63">
        <v>1998.09</v>
      </c>
      <c r="B30" s="169">
        <v>44331</v>
      </c>
      <c r="C30" s="886">
        <f t="shared" si="3"/>
        <v>30437</v>
      </c>
      <c r="D30" s="3162">
        <v>4864</v>
      </c>
      <c r="E30" s="180">
        <v>11711</v>
      </c>
      <c r="F30" s="3162">
        <v>1524</v>
      </c>
      <c r="G30" s="180">
        <v>3783</v>
      </c>
      <c r="H30" s="3162">
        <v>4930</v>
      </c>
      <c r="I30" s="180">
        <v>2238</v>
      </c>
      <c r="J30" s="3162">
        <v>1387</v>
      </c>
      <c r="K30" s="180">
        <v>5884</v>
      </c>
      <c r="L30" s="3162">
        <v>1715</v>
      </c>
      <c r="M30" s="180">
        <v>1560</v>
      </c>
      <c r="N30" s="2095">
        <v>4735</v>
      </c>
      <c r="O30" s="2096"/>
      <c r="P30" s="2097">
        <v>71489</v>
      </c>
      <c r="Q30" s="2097">
        <v>2433648</v>
      </c>
      <c r="R30" s="263">
        <f t="shared" si="1"/>
        <v>620.10938745821034</v>
      </c>
      <c r="S30" s="203">
        <f t="shared" si="2"/>
        <v>18.215863592434072</v>
      </c>
      <c r="T30" s="895"/>
      <c r="U30" s="169">
        <v>1139667</v>
      </c>
      <c r="V30" s="896"/>
      <c r="W30" s="303"/>
      <c r="X30" s="2094"/>
      <c r="Y30" s="554"/>
      <c r="Z30" s="1305"/>
      <c r="AA30" s="1796"/>
      <c r="AB30" s="1305"/>
      <c r="AC30" s="1305"/>
    </row>
    <row r="31" spans="1:29">
      <c r="A31" s="63">
        <v>1998.1</v>
      </c>
      <c r="B31" s="169">
        <v>49971</v>
      </c>
      <c r="C31" s="886">
        <f t="shared" si="3"/>
        <v>33282</v>
      </c>
      <c r="D31" s="3162">
        <v>5537</v>
      </c>
      <c r="E31" s="180">
        <v>12795</v>
      </c>
      <c r="F31" s="3162">
        <v>1640</v>
      </c>
      <c r="G31" s="180">
        <v>4073</v>
      </c>
      <c r="H31" s="3162">
        <v>5225</v>
      </c>
      <c r="I31" s="180">
        <v>2480</v>
      </c>
      <c r="J31" s="3162">
        <v>1532</v>
      </c>
      <c r="K31" s="180">
        <v>6685</v>
      </c>
      <c r="L31" s="3162">
        <v>2201</v>
      </c>
      <c r="M31" s="180">
        <v>2407</v>
      </c>
      <c r="N31" s="2095">
        <v>5396</v>
      </c>
      <c r="O31" s="2096"/>
      <c r="P31" s="2097">
        <v>73290</v>
      </c>
      <c r="Q31" s="2097">
        <v>2561209</v>
      </c>
      <c r="R31" s="263">
        <f t="shared" si="1"/>
        <v>681.82562423250101</v>
      </c>
      <c r="S31" s="203">
        <f t="shared" si="2"/>
        <v>19.510707638462929</v>
      </c>
      <c r="T31" s="895"/>
      <c r="U31" s="169">
        <v>1269560</v>
      </c>
      <c r="V31" s="896"/>
      <c r="W31" s="303"/>
      <c r="X31" s="2094"/>
      <c r="Y31" s="554"/>
      <c r="Z31" s="1305"/>
      <c r="AA31" s="1796"/>
      <c r="AB31" s="1305"/>
      <c r="AC31" s="1305"/>
    </row>
    <row r="32" spans="1:29">
      <c r="A32" s="63">
        <v>1998.11</v>
      </c>
      <c r="B32" s="169">
        <v>47249</v>
      </c>
      <c r="C32" s="886">
        <f t="shared" si="3"/>
        <v>31629</v>
      </c>
      <c r="D32" s="3162">
        <v>5537</v>
      </c>
      <c r="E32" s="180">
        <v>12034</v>
      </c>
      <c r="F32" s="3162">
        <v>1631</v>
      </c>
      <c r="G32" s="180">
        <v>3790</v>
      </c>
      <c r="H32" s="3162">
        <v>4880</v>
      </c>
      <c r="I32" s="180">
        <v>2411</v>
      </c>
      <c r="J32" s="3162">
        <v>1346</v>
      </c>
      <c r="K32" s="180">
        <v>6431</v>
      </c>
      <c r="L32" s="3162">
        <v>1989</v>
      </c>
      <c r="M32" s="180">
        <v>2084</v>
      </c>
      <c r="N32" s="2095">
        <v>5116</v>
      </c>
      <c r="O32" s="2096"/>
      <c r="P32" s="2097">
        <v>76397</v>
      </c>
      <c r="Q32" s="2097">
        <v>2515785</v>
      </c>
      <c r="R32" s="263">
        <f t="shared" si="1"/>
        <v>618.46669371833968</v>
      </c>
      <c r="S32" s="203">
        <f t="shared" si="2"/>
        <v>18.781016660803687</v>
      </c>
      <c r="T32" s="895"/>
      <c r="U32" s="169">
        <v>1188076</v>
      </c>
      <c r="V32" s="896"/>
      <c r="W32" s="303"/>
      <c r="X32" s="2094"/>
      <c r="Y32" s="554"/>
      <c r="Z32" s="1305"/>
      <c r="AA32" s="1796"/>
      <c r="AB32" s="1305"/>
      <c r="AC32" s="1305"/>
    </row>
    <row r="33" spans="1:29">
      <c r="A33" s="63">
        <v>1998.12</v>
      </c>
      <c r="B33" s="169">
        <v>61180</v>
      </c>
      <c r="C33" s="886">
        <f t="shared" si="3"/>
        <v>41080</v>
      </c>
      <c r="D33" s="3162">
        <v>9976</v>
      </c>
      <c r="E33" s="180">
        <v>14142</v>
      </c>
      <c r="F33" s="3162">
        <v>2517</v>
      </c>
      <c r="G33" s="180">
        <v>4356</v>
      </c>
      <c r="H33" s="3162">
        <v>5724</v>
      </c>
      <c r="I33" s="180">
        <v>2791</v>
      </c>
      <c r="J33" s="3162">
        <v>1574</v>
      </c>
      <c r="K33" s="180">
        <v>7362</v>
      </c>
      <c r="L33" s="3162">
        <v>2913</v>
      </c>
      <c r="M33" s="180">
        <v>2302</v>
      </c>
      <c r="N33" s="2095">
        <v>7523</v>
      </c>
      <c r="O33" s="2096"/>
      <c r="P33" s="2097">
        <v>76397</v>
      </c>
      <c r="Q33" s="2097">
        <v>2891617</v>
      </c>
      <c r="R33" s="263">
        <f t="shared" si="1"/>
        <v>800.8167859994503</v>
      </c>
      <c r="S33" s="203">
        <f t="shared" si="2"/>
        <v>21.157712103643046</v>
      </c>
      <c r="T33" s="895"/>
      <c r="U33" s="169">
        <v>1545218</v>
      </c>
      <c r="V33" s="896"/>
      <c r="W33" s="303"/>
      <c r="X33" s="2094"/>
      <c r="Y33" s="554"/>
      <c r="Z33" s="1305"/>
      <c r="AA33" s="1796"/>
      <c r="AB33" s="1305"/>
      <c r="AC33" s="1305"/>
    </row>
    <row r="34" spans="1:29">
      <c r="A34" s="63">
        <v>1999.01</v>
      </c>
      <c r="B34" s="169">
        <v>44144</v>
      </c>
      <c r="C34" s="886">
        <f t="shared" si="3"/>
        <v>29694</v>
      </c>
      <c r="D34" s="3162">
        <v>5399</v>
      </c>
      <c r="E34" s="180">
        <v>11609</v>
      </c>
      <c r="F34" s="3162">
        <v>1476</v>
      </c>
      <c r="G34" s="180">
        <v>3161</v>
      </c>
      <c r="H34" s="3162">
        <v>4607</v>
      </c>
      <c r="I34" s="180">
        <v>2175</v>
      </c>
      <c r="J34" s="3162">
        <v>1267</v>
      </c>
      <c r="K34" s="180">
        <v>6459</v>
      </c>
      <c r="L34" s="3162">
        <v>1825</v>
      </c>
      <c r="M34" s="180">
        <v>1349</v>
      </c>
      <c r="N34" s="2095">
        <v>4817</v>
      </c>
      <c r="O34" s="2096"/>
      <c r="P34" s="2097">
        <v>76397</v>
      </c>
      <c r="Q34" s="2097">
        <v>2429021</v>
      </c>
      <c r="R34" s="263">
        <f t="shared" si="1"/>
        <v>577.82373653415709</v>
      </c>
      <c r="S34" s="203">
        <f t="shared" si="2"/>
        <v>18.173576926671281</v>
      </c>
      <c r="T34" s="895"/>
      <c r="U34" s="169">
        <v>1141847</v>
      </c>
      <c r="V34" s="896"/>
      <c r="W34" s="303"/>
      <c r="X34" s="2094"/>
      <c r="Y34" s="554"/>
      <c r="Z34" s="1305"/>
      <c r="AA34" s="1796"/>
      <c r="AB34" s="1305"/>
      <c r="AC34" s="1305"/>
    </row>
    <row r="35" spans="1:29">
      <c r="A35" s="63">
        <v>1999.02</v>
      </c>
      <c r="B35" s="169">
        <v>43707</v>
      </c>
      <c r="C35" s="886">
        <f t="shared" si="3"/>
        <v>29233</v>
      </c>
      <c r="D35" s="3162">
        <v>5214</v>
      </c>
      <c r="E35" s="180">
        <v>11679</v>
      </c>
      <c r="F35" s="3162">
        <v>1429</v>
      </c>
      <c r="G35" s="180">
        <v>3163</v>
      </c>
      <c r="H35" s="3162">
        <v>4379</v>
      </c>
      <c r="I35" s="180">
        <v>2151</v>
      </c>
      <c r="J35" s="3162">
        <v>1218</v>
      </c>
      <c r="K35" s="180">
        <v>6225</v>
      </c>
      <c r="L35" s="3162">
        <v>1824</v>
      </c>
      <c r="M35" s="180">
        <v>1471</v>
      </c>
      <c r="N35" s="2095">
        <v>4954</v>
      </c>
      <c r="O35" s="2096"/>
      <c r="P35" s="2097">
        <v>72067</v>
      </c>
      <c r="Q35" s="2097">
        <v>2319010</v>
      </c>
      <c r="R35" s="263">
        <f t="shared" si="1"/>
        <v>606.47730584039846</v>
      </c>
      <c r="S35" s="203">
        <f t="shared" si="2"/>
        <v>18.847266721575156</v>
      </c>
      <c r="T35" s="895"/>
      <c r="U35" s="169">
        <v>1118033</v>
      </c>
      <c r="V35" s="896"/>
      <c r="W35" s="303"/>
      <c r="X35" s="2094"/>
      <c r="Y35" s="554"/>
      <c r="Z35" s="1305"/>
      <c r="AA35" s="1796"/>
      <c r="AB35" s="1305"/>
      <c r="AC35" s="1305"/>
    </row>
    <row r="36" spans="1:29">
      <c r="A36" s="63">
        <v>1999.03</v>
      </c>
      <c r="B36" s="169">
        <v>49522</v>
      </c>
      <c r="C36" s="886">
        <f t="shared" si="3"/>
        <v>33199</v>
      </c>
      <c r="D36" s="3162">
        <v>5520</v>
      </c>
      <c r="E36" s="180">
        <v>13696</v>
      </c>
      <c r="F36" s="3162">
        <v>1626</v>
      </c>
      <c r="G36" s="180">
        <v>3611</v>
      </c>
      <c r="H36" s="3162">
        <v>4892</v>
      </c>
      <c r="I36" s="180">
        <v>2481</v>
      </c>
      <c r="J36" s="3162">
        <v>1373</v>
      </c>
      <c r="K36" s="180">
        <v>7012</v>
      </c>
      <c r="L36" s="3162">
        <v>2182</v>
      </c>
      <c r="M36" s="180">
        <v>1742</v>
      </c>
      <c r="N36" s="2095">
        <v>5387</v>
      </c>
      <c r="O36" s="2096"/>
      <c r="P36" s="2097">
        <v>72067</v>
      </c>
      <c r="Q36" s="2097">
        <v>2907170</v>
      </c>
      <c r="R36" s="263">
        <f t="shared" si="1"/>
        <v>687.16610931494301</v>
      </c>
      <c r="S36" s="203">
        <f t="shared" si="2"/>
        <v>17.034435550724588</v>
      </c>
      <c r="T36" s="895"/>
      <c r="U36" s="169">
        <v>1252875</v>
      </c>
      <c r="V36" s="896"/>
      <c r="W36" s="303"/>
      <c r="X36" s="2094"/>
      <c r="Y36" s="554"/>
      <c r="Z36" s="1305"/>
      <c r="AA36" s="1796"/>
      <c r="AB36" s="1305"/>
      <c r="AC36" s="1305"/>
    </row>
    <row r="37" spans="1:29">
      <c r="A37" s="63">
        <v>1999.04</v>
      </c>
      <c r="B37" s="169">
        <v>46924</v>
      </c>
      <c r="C37" s="886">
        <f t="shared" si="3"/>
        <v>32360</v>
      </c>
      <c r="D37" s="3162">
        <v>4991</v>
      </c>
      <c r="E37" s="180">
        <v>13731</v>
      </c>
      <c r="F37" s="3162">
        <v>1668</v>
      </c>
      <c r="G37" s="180">
        <v>3511</v>
      </c>
      <c r="H37" s="3162">
        <v>4795</v>
      </c>
      <c r="I37" s="180">
        <v>2431</v>
      </c>
      <c r="J37" s="3162">
        <v>1233</v>
      </c>
      <c r="K37" s="180">
        <v>6390</v>
      </c>
      <c r="L37" s="3162">
        <v>2308</v>
      </c>
      <c r="M37" s="180">
        <v>1652</v>
      </c>
      <c r="N37" s="2095">
        <v>4214</v>
      </c>
      <c r="O37" s="2096"/>
      <c r="P37" s="2097">
        <v>72067</v>
      </c>
      <c r="Q37" s="2097">
        <v>2554397</v>
      </c>
      <c r="R37" s="263">
        <f t="shared" si="1"/>
        <v>651.11632231118267</v>
      </c>
      <c r="S37" s="203">
        <f t="shared" si="2"/>
        <v>18.369893168524705</v>
      </c>
      <c r="T37" s="895"/>
      <c r="U37" s="169">
        <v>1179893</v>
      </c>
      <c r="V37" s="896"/>
      <c r="W37" s="303"/>
      <c r="X37" s="2094"/>
      <c r="Y37" s="554"/>
      <c r="Z37" s="1305"/>
      <c r="AA37" s="1796"/>
      <c r="AB37" s="1305"/>
      <c r="AC37" s="1305"/>
    </row>
    <row r="38" spans="1:29">
      <c r="A38" s="63">
        <v>1999.05</v>
      </c>
      <c r="B38" s="169">
        <v>47192</v>
      </c>
      <c r="C38" s="886">
        <f t="shared" si="3"/>
        <v>32240</v>
      </c>
      <c r="D38" s="3162">
        <v>4996</v>
      </c>
      <c r="E38" s="180">
        <v>13668</v>
      </c>
      <c r="F38" s="3162">
        <v>1733</v>
      </c>
      <c r="G38" s="180">
        <v>3479</v>
      </c>
      <c r="H38" s="3162">
        <v>4796</v>
      </c>
      <c r="I38" s="180">
        <v>2332</v>
      </c>
      <c r="J38" s="3162">
        <v>1236</v>
      </c>
      <c r="K38" s="180">
        <v>6634</v>
      </c>
      <c r="L38" s="3162">
        <v>2268</v>
      </c>
      <c r="M38" s="180">
        <v>1767</v>
      </c>
      <c r="N38" s="2095">
        <v>4283</v>
      </c>
      <c r="O38" s="2096"/>
      <c r="P38" s="2097">
        <v>75828</v>
      </c>
      <c r="Q38" s="2097">
        <v>2649430</v>
      </c>
      <c r="R38" s="263">
        <f t="shared" si="1"/>
        <v>622.35585799440844</v>
      </c>
      <c r="S38" s="203">
        <f t="shared" si="2"/>
        <v>17.812133175815177</v>
      </c>
      <c r="T38" s="895"/>
      <c r="U38" s="169">
        <v>1175157</v>
      </c>
      <c r="V38" s="896"/>
      <c r="W38" s="303"/>
      <c r="X38" s="2094"/>
      <c r="Y38" s="554"/>
      <c r="Z38" s="1305"/>
      <c r="AA38" s="1796"/>
      <c r="AB38" s="1305"/>
      <c r="AC38" s="1305"/>
    </row>
    <row r="39" spans="1:29">
      <c r="A39" s="63">
        <v>1999.06</v>
      </c>
      <c r="B39" s="169">
        <v>46020</v>
      </c>
      <c r="C39" s="886">
        <f t="shared" si="3"/>
        <v>31273</v>
      </c>
      <c r="D39" s="3162">
        <v>5201</v>
      </c>
      <c r="E39" s="180">
        <v>13048</v>
      </c>
      <c r="F39" s="3162">
        <v>998</v>
      </c>
      <c r="G39" s="180">
        <v>3187</v>
      </c>
      <c r="H39" s="3162">
        <v>5201</v>
      </c>
      <c r="I39" s="180">
        <v>1952</v>
      </c>
      <c r="J39" s="3162">
        <v>1686</v>
      </c>
      <c r="K39" s="180">
        <v>5663</v>
      </c>
      <c r="L39" s="3162">
        <v>2421</v>
      </c>
      <c r="M39" s="180">
        <v>1916</v>
      </c>
      <c r="N39" s="2095">
        <v>4747</v>
      </c>
      <c r="O39" s="2096"/>
      <c r="P39" s="2097">
        <v>75828</v>
      </c>
      <c r="Q39" s="2097">
        <v>2422596</v>
      </c>
      <c r="R39" s="263">
        <f t="shared" si="1"/>
        <v>606.89982592182309</v>
      </c>
      <c r="S39" s="203">
        <f t="shared" si="2"/>
        <v>18.996151236112006</v>
      </c>
      <c r="T39" s="895"/>
      <c r="U39" s="169">
        <v>1143676</v>
      </c>
      <c r="V39" s="896"/>
      <c r="W39" s="303"/>
      <c r="X39" s="2094"/>
      <c r="Y39" s="554"/>
      <c r="Z39" s="1305"/>
      <c r="AA39" s="1796"/>
      <c r="AB39" s="1305"/>
      <c r="AC39" s="1305"/>
    </row>
    <row r="40" spans="1:29">
      <c r="A40" s="63">
        <v>1999.07</v>
      </c>
      <c r="B40" s="169">
        <v>50152</v>
      </c>
      <c r="C40" s="886">
        <f t="shared" si="3"/>
        <v>34418</v>
      </c>
      <c r="D40" s="3162">
        <v>5277</v>
      </c>
      <c r="E40" s="180">
        <v>13965</v>
      </c>
      <c r="F40" s="3162">
        <v>1205</v>
      </c>
      <c r="G40" s="180">
        <v>4098</v>
      </c>
      <c r="H40" s="3162">
        <v>5584</v>
      </c>
      <c r="I40" s="180">
        <v>2447</v>
      </c>
      <c r="J40" s="3162">
        <v>1842</v>
      </c>
      <c r="K40" s="180">
        <v>6107</v>
      </c>
      <c r="L40" s="3162">
        <v>2367</v>
      </c>
      <c r="M40" s="180">
        <v>1845</v>
      </c>
      <c r="N40" s="2095">
        <v>5415</v>
      </c>
      <c r="O40" s="2096"/>
      <c r="P40" s="2097">
        <v>75828</v>
      </c>
      <c r="Q40" s="2097">
        <v>2843612</v>
      </c>
      <c r="R40" s="263">
        <f t="shared" si="1"/>
        <v>661.39157039615975</v>
      </c>
      <c r="S40" s="203">
        <f t="shared" si="2"/>
        <v>17.636723997507396</v>
      </c>
      <c r="T40" s="895"/>
      <c r="U40" s="169">
        <v>1241384</v>
      </c>
      <c r="V40" s="896"/>
      <c r="W40" s="303"/>
      <c r="X40" s="2094"/>
      <c r="Y40" s="554"/>
      <c r="Z40" s="1305"/>
      <c r="AA40" s="1796"/>
      <c r="AB40" s="1305"/>
      <c r="AC40" s="1305"/>
    </row>
    <row r="41" spans="1:29">
      <c r="A41" s="63">
        <v>1999.08</v>
      </c>
      <c r="B41" s="169">
        <v>46719</v>
      </c>
      <c r="C41" s="886">
        <f t="shared" si="3"/>
        <v>32242</v>
      </c>
      <c r="D41" s="3162">
        <v>4958</v>
      </c>
      <c r="E41" s="180">
        <v>12913</v>
      </c>
      <c r="F41" s="3162">
        <v>1120</v>
      </c>
      <c r="G41" s="180">
        <v>3914</v>
      </c>
      <c r="H41" s="3162">
        <v>5201</v>
      </c>
      <c r="I41" s="180">
        <v>2490</v>
      </c>
      <c r="J41" s="3162">
        <v>1646</v>
      </c>
      <c r="K41" s="180">
        <v>5785</v>
      </c>
      <c r="L41" s="3162">
        <v>1827</v>
      </c>
      <c r="M41" s="180">
        <v>1561</v>
      </c>
      <c r="N41" s="2095">
        <v>5304</v>
      </c>
      <c r="O41" s="2096"/>
      <c r="P41" s="2097">
        <v>76228</v>
      </c>
      <c r="Q41" s="2097">
        <v>2815295</v>
      </c>
      <c r="R41" s="263">
        <f t="shared" si="1"/>
        <v>612.88502912315687</v>
      </c>
      <c r="S41" s="203">
        <f t="shared" si="2"/>
        <v>16.594708547416879</v>
      </c>
      <c r="T41" s="895"/>
      <c r="U41" s="169">
        <v>1173430</v>
      </c>
      <c r="V41" s="896"/>
      <c r="W41" s="303"/>
      <c r="X41" s="2094"/>
      <c r="Y41" s="554"/>
      <c r="Z41" s="1305"/>
      <c r="AA41" s="1796"/>
      <c r="AB41" s="1305"/>
      <c r="AC41" s="1305"/>
    </row>
    <row r="42" spans="1:29">
      <c r="A42" s="63">
        <v>1999.09</v>
      </c>
      <c r="B42" s="169">
        <v>43860</v>
      </c>
      <c r="C42" s="886">
        <f t="shared" si="3"/>
        <v>30549</v>
      </c>
      <c r="D42" s="3162">
        <v>4886</v>
      </c>
      <c r="E42" s="180">
        <v>12098</v>
      </c>
      <c r="F42" s="3162">
        <v>1024</v>
      </c>
      <c r="G42" s="180">
        <v>3730</v>
      </c>
      <c r="H42" s="3162">
        <v>4916</v>
      </c>
      <c r="I42" s="180">
        <v>2420</v>
      </c>
      <c r="J42" s="3162">
        <v>1475</v>
      </c>
      <c r="K42" s="180">
        <v>5762</v>
      </c>
      <c r="L42" s="3162">
        <v>1642</v>
      </c>
      <c r="M42" s="180">
        <v>1262</v>
      </c>
      <c r="N42" s="2095">
        <v>4645</v>
      </c>
      <c r="O42" s="2096"/>
      <c r="P42" s="2097">
        <v>76728</v>
      </c>
      <c r="Q42" s="2097">
        <v>2645517</v>
      </c>
      <c r="R42" s="263">
        <f t="shared" si="1"/>
        <v>571.62965279949947</v>
      </c>
      <c r="S42" s="203">
        <f t="shared" si="2"/>
        <v>16.578990042400029</v>
      </c>
      <c r="T42" s="895"/>
      <c r="U42" s="169">
        <v>1113239</v>
      </c>
      <c r="V42" s="896"/>
      <c r="W42" s="303"/>
      <c r="X42" s="2094"/>
      <c r="Y42" s="554"/>
      <c r="Z42" s="1305"/>
      <c r="AA42" s="1796"/>
      <c r="AB42" s="1305"/>
      <c r="AC42" s="1305"/>
    </row>
    <row r="43" spans="1:29">
      <c r="A43" s="63">
        <v>1999.1</v>
      </c>
      <c r="B43" s="169">
        <v>49614</v>
      </c>
      <c r="C43" s="886">
        <f t="shared" si="3"/>
        <v>33624</v>
      </c>
      <c r="D43" s="3162">
        <v>5736</v>
      </c>
      <c r="E43" s="180">
        <v>13071</v>
      </c>
      <c r="F43" s="3162">
        <v>1119</v>
      </c>
      <c r="G43" s="180">
        <v>4015</v>
      </c>
      <c r="H43" s="3162">
        <v>5421</v>
      </c>
      <c r="I43" s="180">
        <v>2673</v>
      </c>
      <c r="J43" s="3162">
        <v>1589</v>
      </c>
      <c r="K43" s="180">
        <v>6353</v>
      </c>
      <c r="L43" s="3162">
        <v>2080</v>
      </c>
      <c r="M43" s="180">
        <v>1967</v>
      </c>
      <c r="N43" s="2095">
        <v>5590</v>
      </c>
      <c r="O43" s="2096"/>
      <c r="P43" s="2097">
        <v>77885</v>
      </c>
      <c r="Q43" s="2097">
        <v>2813303</v>
      </c>
      <c r="R43" s="263">
        <f t="shared" si="1"/>
        <v>637.01611350067412</v>
      </c>
      <c r="S43" s="203">
        <f t="shared" si="2"/>
        <v>17.635498202646495</v>
      </c>
      <c r="T43" s="895"/>
      <c r="U43" s="169">
        <v>1237326</v>
      </c>
      <c r="V43" s="896"/>
      <c r="W43" s="303"/>
      <c r="X43" s="2094"/>
      <c r="Y43" s="554"/>
      <c r="Z43" s="1305"/>
      <c r="AA43" s="1796"/>
      <c r="AB43" s="1305"/>
      <c r="AC43" s="1305"/>
    </row>
    <row r="44" spans="1:29">
      <c r="A44" s="63">
        <v>1999.11</v>
      </c>
      <c r="B44" s="169">
        <v>44445</v>
      </c>
      <c r="C44" s="886">
        <f t="shared" si="3"/>
        <v>30797</v>
      </c>
      <c r="D44" s="3162">
        <v>5726</v>
      </c>
      <c r="E44" s="180">
        <v>11631</v>
      </c>
      <c r="F44" s="3162">
        <v>1029</v>
      </c>
      <c r="G44" s="180">
        <v>3573</v>
      </c>
      <c r="H44" s="3162">
        <v>4885</v>
      </c>
      <c r="I44" s="180">
        <v>2544</v>
      </c>
      <c r="J44" s="3162">
        <v>1409</v>
      </c>
      <c r="K44" s="180">
        <v>5678</v>
      </c>
      <c r="L44" s="3162">
        <v>1661</v>
      </c>
      <c r="M44" s="180">
        <v>1477</v>
      </c>
      <c r="N44" s="2095">
        <v>4832</v>
      </c>
      <c r="O44" s="2096"/>
      <c r="P44" s="2097">
        <v>77885</v>
      </c>
      <c r="Q44" s="2097">
        <v>2685417</v>
      </c>
      <c r="R44" s="263">
        <f t="shared" si="1"/>
        <v>570.64903383193166</v>
      </c>
      <c r="S44" s="203">
        <f t="shared" si="2"/>
        <v>16.550502212505542</v>
      </c>
      <c r="T44" s="895"/>
      <c r="U44" s="169">
        <v>1121848</v>
      </c>
      <c r="V44" s="896"/>
      <c r="W44" s="303"/>
      <c r="X44" s="2094"/>
      <c r="Y44" s="554"/>
      <c r="Z44" s="1305"/>
      <c r="AA44" s="1796"/>
      <c r="AB44" s="1305"/>
      <c r="AC44" s="1305"/>
    </row>
    <row r="45" spans="1:29">
      <c r="A45" s="63">
        <v>1999.12</v>
      </c>
      <c r="B45" s="169">
        <v>59498</v>
      </c>
      <c r="C45" s="886">
        <f t="shared" si="3"/>
        <v>40870</v>
      </c>
      <c r="D45" s="3162">
        <v>10183</v>
      </c>
      <c r="E45" s="180">
        <v>14701</v>
      </c>
      <c r="F45" s="3162">
        <v>1307</v>
      </c>
      <c r="G45" s="180">
        <v>4021</v>
      </c>
      <c r="H45" s="3162">
        <v>5792</v>
      </c>
      <c r="I45" s="180">
        <v>3158</v>
      </c>
      <c r="J45" s="3162">
        <v>1708</v>
      </c>
      <c r="K45" s="180">
        <v>6715</v>
      </c>
      <c r="L45" s="3162">
        <v>2434</v>
      </c>
      <c r="M45" s="180">
        <v>2005</v>
      </c>
      <c r="N45" s="2095">
        <v>7474</v>
      </c>
      <c r="O45" s="2096"/>
      <c r="P45" s="2097">
        <v>77885</v>
      </c>
      <c r="Q45" s="2097">
        <v>2928167</v>
      </c>
      <c r="R45" s="263">
        <f t="shared" si="1"/>
        <v>763.92116582140329</v>
      </c>
      <c r="S45" s="203">
        <f t="shared" si="2"/>
        <v>20.31919627534905</v>
      </c>
      <c r="T45" s="895"/>
      <c r="U45" s="169">
        <v>1491214</v>
      </c>
      <c r="V45" s="896"/>
      <c r="W45" s="303"/>
      <c r="X45" s="2094"/>
      <c r="Y45" s="554"/>
      <c r="Z45" s="1305"/>
      <c r="AA45" s="1796"/>
      <c r="AB45" s="1305"/>
      <c r="AC45" s="1305"/>
    </row>
    <row r="46" spans="1:29">
      <c r="A46" s="63">
        <v>2000.01</v>
      </c>
      <c r="B46" s="169">
        <v>44390</v>
      </c>
      <c r="C46" s="886">
        <f t="shared" si="3"/>
        <v>30553</v>
      </c>
      <c r="D46" s="3162">
        <v>5548</v>
      </c>
      <c r="E46" s="180">
        <v>11493</v>
      </c>
      <c r="F46" s="3162">
        <v>1035</v>
      </c>
      <c r="G46" s="180">
        <v>3761</v>
      </c>
      <c r="H46" s="3162">
        <v>5016</v>
      </c>
      <c r="I46" s="180">
        <v>2523</v>
      </c>
      <c r="J46" s="3162">
        <v>1177</v>
      </c>
      <c r="K46" s="180">
        <v>5966</v>
      </c>
      <c r="L46" s="3162">
        <v>1383</v>
      </c>
      <c r="M46" s="180">
        <v>1519</v>
      </c>
      <c r="N46" s="2095">
        <v>4969</v>
      </c>
      <c r="O46" s="2096"/>
      <c r="P46" s="2097">
        <v>83659</v>
      </c>
      <c r="Q46" s="2097">
        <v>2570300</v>
      </c>
      <c r="R46" s="263">
        <f t="shared" si="1"/>
        <v>530.60639022699297</v>
      </c>
      <c r="S46" s="203">
        <f t="shared" si="2"/>
        <v>17.270357545811773</v>
      </c>
      <c r="T46" s="895"/>
      <c r="U46" s="169">
        <v>1118659</v>
      </c>
      <c r="V46" s="896"/>
      <c r="W46" s="303"/>
      <c r="X46" s="2094"/>
      <c r="Y46" s="554"/>
      <c r="Z46" s="1305"/>
      <c r="AA46" s="1796"/>
      <c r="AB46" s="1305"/>
      <c r="AC46" s="1305"/>
    </row>
    <row r="47" spans="1:29">
      <c r="A47" s="63">
        <v>2000.02</v>
      </c>
      <c r="B47" s="169">
        <v>46280</v>
      </c>
      <c r="C47" s="886">
        <f t="shared" si="3"/>
        <v>31530</v>
      </c>
      <c r="D47" s="3162">
        <v>5465</v>
      </c>
      <c r="E47" s="180">
        <v>11813</v>
      </c>
      <c r="F47" s="3162">
        <v>1127</v>
      </c>
      <c r="G47" s="180">
        <v>3948</v>
      </c>
      <c r="H47" s="3162">
        <v>5180</v>
      </c>
      <c r="I47" s="180">
        <v>2648</v>
      </c>
      <c r="J47" s="3162">
        <v>1349</v>
      </c>
      <c r="K47" s="180">
        <v>6175</v>
      </c>
      <c r="L47" s="3162">
        <v>1567</v>
      </c>
      <c r="M47" s="180">
        <v>1363</v>
      </c>
      <c r="N47" s="2095">
        <v>5645</v>
      </c>
      <c r="O47" s="2096"/>
      <c r="P47" s="2097">
        <v>84799</v>
      </c>
      <c r="Q47" s="2097">
        <v>2656240</v>
      </c>
      <c r="R47" s="263">
        <f t="shared" si="1"/>
        <v>545.76115284378352</v>
      </c>
      <c r="S47" s="203">
        <f t="shared" si="2"/>
        <v>17.423124416468394</v>
      </c>
      <c r="T47" s="895"/>
      <c r="U47" s="169">
        <v>1105564</v>
      </c>
      <c r="V47" s="896"/>
      <c r="W47" s="303"/>
      <c r="X47" s="2094"/>
      <c r="Y47" s="554"/>
      <c r="Z47" s="1305"/>
      <c r="AA47" s="1796"/>
      <c r="AB47" s="1305"/>
      <c r="AC47" s="1305"/>
    </row>
    <row r="48" spans="1:29">
      <c r="A48" s="63">
        <v>2000.03</v>
      </c>
      <c r="B48" s="169">
        <v>49974</v>
      </c>
      <c r="C48" s="886">
        <f t="shared" si="3"/>
        <v>34022</v>
      </c>
      <c r="D48" s="3162">
        <v>5477</v>
      </c>
      <c r="E48" s="180">
        <v>13066</v>
      </c>
      <c r="F48" s="3162">
        <v>1172</v>
      </c>
      <c r="G48" s="180">
        <v>4398</v>
      </c>
      <c r="H48" s="3162">
        <v>5572</v>
      </c>
      <c r="I48" s="180">
        <v>2857</v>
      </c>
      <c r="J48" s="3162">
        <v>1480</v>
      </c>
      <c r="K48" s="180">
        <v>6583</v>
      </c>
      <c r="L48" s="3162">
        <v>1975</v>
      </c>
      <c r="M48" s="180">
        <v>1441</v>
      </c>
      <c r="N48" s="2095">
        <v>5953</v>
      </c>
      <c r="O48" s="2096"/>
      <c r="P48" s="2097">
        <v>94372</v>
      </c>
      <c r="Q48" s="2097">
        <v>2843609</v>
      </c>
      <c r="R48" s="263">
        <f t="shared" si="1"/>
        <v>529.54266095875892</v>
      </c>
      <c r="S48" s="203">
        <f t="shared" si="2"/>
        <v>17.574146093925009</v>
      </c>
      <c r="T48" s="895"/>
      <c r="U48" s="169">
        <v>1210109</v>
      </c>
      <c r="V48" s="896"/>
      <c r="W48" s="303"/>
      <c r="X48" s="2094"/>
      <c r="Y48" s="554"/>
      <c r="Z48" s="1305"/>
      <c r="AA48" s="1796"/>
      <c r="AB48" s="1305"/>
      <c r="AC48" s="1305"/>
    </row>
    <row r="49" spans="1:29">
      <c r="A49" s="63">
        <v>2000.04</v>
      </c>
      <c r="B49" s="169">
        <v>57374</v>
      </c>
      <c r="C49" s="886">
        <f t="shared" si="3"/>
        <v>37790</v>
      </c>
      <c r="D49" s="3162">
        <v>5837</v>
      </c>
      <c r="E49" s="180">
        <v>15388</v>
      </c>
      <c r="F49" s="3162">
        <v>1343</v>
      </c>
      <c r="G49" s="180">
        <v>4725</v>
      </c>
      <c r="H49" s="3162">
        <v>6015</v>
      </c>
      <c r="I49" s="180">
        <v>2894</v>
      </c>
      <c r="J49" s="3162">
        <v>1588</v>
      </c>
      <c r="K49" s="180">
        <v>7555</v>
      </c>
      <c r="L49" s="3162">
        <v>3160</v>
      </c>
      <c r="M49" s="180">
        <v>2432</v>
      </c>
      <c r="N49" s="2095">
        <v>6437</v>
      </c>
      <c r="O49" s="2096"/>
      <c r="P49" s="2097">
        <v>95227</v>
      </c>
      <c r="Q49" s="2097">
        <v>2928930</v>
      </c>
      <c r="R49" s="263">
        <f t="shared" si="1"/>
        <v>602.49719092274245</v>
      </c>
      <c r="S49" s="203">
        <f t="shared" si="2"/>
        <v>19.588723527021813</v>
      </c>
      <c r="T49" s="895"/>
      <c r="U49" s="169">
        <v>1229452</v>
      </c>
      <c r="V49" s="896"/>
      <c r="W49" s="303"/>
      <c r="X49" s="2094"/>
      <c r="Y49" s="554"/>
      <c r="Z49" s="1305"/>
      <c r="AA49" s="1796"/>
      <c r="AB49" s="1305"/>
      <c r="AC49" s="1305"/>
    </row>
    <row r="50" spans="1:29">
      <c r="A50" s="63">
        <v>2000.05</v>
      </c>
      <c r="B50" s="169">
        <v>51562</v>
      </c>
      <c r="C50" s="886">
        <f t="shared" si="3"/>
        <v>34319</v>
      </c>
      <c r="D50" s="3162">
        <v>5071</v>
      </c>
      <c r="E50" s="180">
        <v>13553</v>
      </c>
      <c r="F50" s="3162">
        <v>1372</v>
      </c>
      <c r="G50" s="180">
        <v>4592</v>
      </c>
      <c r="H50" s="3162">
        <v>5599</v>
      </c>
      <c r="I50" s="180">
        <v>2653</v>
      </c>
      <c r="J50" s="3162">
        <v>1479</v>
      </c>
      <c r="K50" s="180">
        <v>6665</v>
      </c>
      <c r="L50" s="3162">
        <v>2518</v>
      </c>
      <c r="M50" s="180">
        <v>2427</v>
      </c>
      <c r="N50" s="2095">
        <v>5633</v>
      </c>
      <c r="O50" s="2096"/>
      <c r="P50" s="2097">
        <v>95227</v>
      </c>
      <c r="Q50" s="2097">
        <v>2932012</v>
      </c>
      <c r="R50" s="263">
        <f t="shared" si="1"/>
        <v>541.46408056538587</v>
      </c>
      <c r="S50" s="203">
        <f t="shared" si="2"/>
        <v>17.585876183317122</v>
      </c>
      <c r="T50" s="895"/>
      <c r="U50" s="169">
        <v>1124847</v>
      </c>
      <c r="V50" s="896"/>
      <c r="W50" s="303"/>
      <c r="X50" s="2094"/>
      <c r="Y50" s="554"/>
      <c r="Z50" s="1305"/>
      <c r="AA50" s="1796"/>
      <c r="AB50" s="1305"/>
      <c r="AC50" s="1305"/>
    </row>
    <row r="51" spans="1:29">
      <c r="A51" s="63">
        <v>2000.06</v>
      </c>
      <c r="B51" s="169">
        <v>53132</v>
      </c>
      <c r="C51" s="886">
        <f t="shared" si="3"/>
        <v>35491</v>
      </c>
      <c r="D51" s="3162">
        <v>5421</v>
      </c>
      <c r="E51" s="180">
        <v>13826</v>
      </c>
      <c r="F51" s="3162">
        <v>1500</v>
      </c>
      <c r="G51" s="180">
        <v>4727</v>
      </c>
      <c r="H51" s="3162">
        <v>5808</v>
      </c>
      <c r="I51" s="180">
        <v>2646</v>
      </c>
      <c r="J51" s="3162">
        <v>1563</v>
      </c>
      <c r="K51" s="180">
        <v>6776</v>
      </c>
      <c r="L51" s="3162">
        <v>2520</v>
      </c>
      <c r="M51" s="180">
        <v>2313</v>
      </c>
      <c r="N51" s="2095">
        <v>6032</v>
      </c>
      <c r="O51" s="2096"/>
      <c r="P51" s="2097">
        <v>99227</v>
      </c>
      <c r="Q51" s="2097">
        <v>3089234</v>
      </c>
      <c r="R51" s="263">
        <f t="shared" si="1"/>
        <v>535.45909883398667</v>
      </c>
      <c r="S51" s="203">
        <f t="shared" si="2"/>
        <v>17.199085598565858</v>
      </c>
      <c r="T51" s="895"/>
      <c r="U51" s="169">
        <v>1135386</v>
      </c>
      <c r="V51" s="896"/>
      <c r="W51" s="303"/>
      <c r="X51" s="2094"/>
      <c r="Y51" s="554"/>
      <c r="Z51" s="1305"/>
      <c r="AA51" s="1796"/>
      <c r="AB51" s="1305"/>
      <c r="AC51" s="1305"/>
    </row>
    <row r="52" spans="1:29">
      <c r="A52" s="63">
        <v>2000.07</v>
      </c>
      <c r="B52" s="169">
        <v>57741</v>
      </c>
      <c r="C52" s="886">
        <f t="shared" si="3"/>
        <v>38039</v>
      </c>
      <c r="D52" s="3162">
        <v>5922</v>
      </c>
      <c r="E52" s="180">
        <v>14787</v>
      </c>
      <c r="F52" s="3162">
        <v>1663</v>
      </c>
      <c r="G52" s="180">
        <v>5006</v>
      </c>
      <c r="H52" s="3162">
        <v>6050</v>
      </c>
      <c r="I52" s="180">
        <v>2776</v>
      </c>
      <c r="J52" s="3162">
        <v>1835</v>
      </c>
      <c r="K52" s="180">
        <v>7127</v>
      </c>
      <c r="L52" s="3162">
        <v>2494</v>
      </c>
      <c r="M52" s="180">
        <v>2770</v>
      </c>
      <c r="N52" s="2095">
        <v>7311</v>
      </c>
      <c r="O52" s="2096"/>
      <c r="P52" s="2097">
        <v>103156</v>
      </c>
      <c r="Q52" s="2097">
        <v>3190831</v>
      </c>
      <c r="R52" s="263">
        <f t="shared" si="1"/>
        <v>559.74446469424947</v>
      </c>
      <c r="S52" s="203">
        <f t="shared" si="2"/>
        <v>18.095912945561828</v>
      </c>
      <c r="T52" s="895"/>
      <c r="U52" s="169">
        <v>1235796</v>
      </c>
      <c r="V52" s="896"/>
      <c r="W52" s="303"/>
      <c r="X52" s="2094"/>
      <c r="Y52" s="554"/>
      <c r="Z52" s="1305"/>
      <c r="AA52" s="1796"/>
      <c r="AB52" s="1305"/>
      <c r="AC52" s="1305"/>
    </row>
    <row r="53" spans="1:29">
      <c r="A53" s="63">
        <v>2000.08</v>
      </c>
      <c r="B53" s="169">
        <v>56601</v>
      </c>
      <c r="C53" s="886">
        <f t="shared" si="3"/>
        <v>37711</v>
      </c>
      <c r="D53" s="3162">
        <v>5847</v>
      </c>
      <c r="E53" s="180">
        <v>14067</v>
      </c>
      <c r="F53" s="3162">
        <v>1838</v>
      </c>
      <c r="G53" s="180">
        <v>4848</v>
      </c>
      <c r="H53" s="3162">
        <v>6271</v>
      </c>
      <c r="I53" s="180">
        <v>2976</v>
      </c>
      <c r="J53" s="3162">
        <v>1864</v>
      </c>
      <c r="K53" s="180">
        <v>7128</v>
      </c>
      <c r="L53" s="3162">
        <v>1915</v>
      </c>
      <c r="M53" s="180">
        <v>2201</v>
      </c>
      <c r="N53" s="2095">
        <v>7646</v>
      </c>
      <c r="O53" s="2096"/>
      <c r="P53" s="2097">
        <v>105806</v>
      </c>
      <c r="Q53" s="2097">
        <v>3069703</v>
      </c>
      <c r="R53" s="263">
        <f t="shared" si="1"/>
        <v>534.95075893616615</v>
      </c>
      <c r="S53" s="203">
        <f t="shared" si="2"/>
        <v>18.438591616192184</v>
      </c>
      <c r="T53" s="895"/>
      <c r="U53" s="169">
        <v>1157266</v>
      </c>
      <c r="V53" s="896"/>
      <c r="W53" s="303"/>
      <c r="X53" s="2094"/>
      <c r="Y53" s="554"/>
      <c r="Z53" s="1305"/>
      <c r="AA53" s="1796"/>
      <c r="AB53" s="1305"/>
      <c r="AC53" s="1305"/>
    </row>
    <row r="54" spans="1:29">
      <c r="A54" s="63">
        <v>2000.09</v>
      </c>
      <c r="B54" s="169">
        <v>55785</v>
      </c>
      <c r="C54" s="886">
        <f t="shared" si="3"/>
        <v>37565</v>
      </c>
      <c r="D54" s="3162">
        <v>5937</v>
      </c>
      <c r="E54" s="180">
        <v>13931</v>
      </c>
      <c r="F54" s="3162">
        <v>1779</v>
      </c>
      <c r="G54" s="180">
        <v>4934</v>
      </c>
      <c r="H54" s="3162">
        <v>6194</v>
      </c>
      <c r="I54" s="180">
        <v>3014</v>
      </c>
      <c r="J54" s="3162">
        <v>1776</v>
      </c>
      <c r="K54" s="180">
        <v>7284</v>
      </c>
      <c r="L54" s="3162">
        <v>1783</v>
      </c>
      <c r="M54" s="180">
        <v>1966</v>
      </c>
      <c r="N54" s="2095">
        <v>7187</v>
      </c>
      <c r="O54" s="2096"/>
      <c r="P54" s="2097">
        <v>106496</v>
      </c>
      <c r="Q54" s="2097">
        <v>3173778</v>
      </c>
      <c r="R54" s="263">
        <f t="shared" si="1"/>
        <v>523.82249098557691</v>
      </c>
      <c r="S54" s="203">
        <f t="shared" si="2"/>
        <v>17.576843748995675</v>
      </c>
      <c r="T54" s="895"/>
      <c r="U54" s="169">
        <v>1164106</v>
      </c>
      <c r="V54" s="896"/>
      <c r="W54" s="303"/>
      <c r="X54" s="2094"/>
      <c r="Y54" s="554"/>
      <c r="Z54" s="1305"/>
      <c r="AA54" s="1796"/>
      <c r="AB54" s="1305"/>
      <c r="AC54" s="1305"/>
    </row>
    <row r="55" spans="1:29">
      <c r="A55" s="63">
        <v>2000.1</v>
      </c>
      <c r="B55" s="169">
        <v>57174</v>
      </c>
      <c r="C55" s="886">
        <f t="shared" si="3"/>
        <v>37998</v>
      </c>
      <c r="D55" s="3162">
        <v>6119</v>
      </c>
      <c r="E55" s="180">
        <v>13944</v>
      </c>
      <c r="F55" s="3162">
        <v>1757</v>
      </c>
      <c r="G55" s="180">
        <v>4977</v>
      </c>
      <c r="H55" s="3162">
        <v>6225</v>
      </c>
      <c r="I55" s="180">
        <v>3179</v>
      </c>
      <c r="J55" s="3162">
        <v>1797</v>
      </c>
      <c r="K55" s="180">
        <v>7229</v>
      </c>
      <c r="L55" s="3162">
        <v>1890</v>
      </c>
      <c r="M55" s="180">
        <v>2680</v>
      </c>
      <c r="N55" s="2095">
        <v>7377</v>
      </c>
      <c r="O55" s="2096"/>
      <c r="P55" s="2097">
        <v>106496</v>
      </c>
      <c r="Q55" s="2097">
        <v>3243695</v>
      </c>
      <c r="R55" s="263">
        <f t="shared" si="1"/>
        <v>536.865234375</v>
      </c>
      <c r="S55" s="203">
        <f t="shared" si="2"/>
        <v>17.626194817946814</v>
      </c>
      <c r="T55" s="895"/>
      <c r="U55" s="169">
        <v>1192914</v>
      </c>
      <c r="V55" s="896"/>
      <c r="W55" s="303"/>
      <c r="X55" s="2094"/>
      <c r="Y55" s="554"/>
      <c r="Z55" s="1305"/>
      <c r="AA55" s="1796"/>
      <c r="AB55" s="1305"/>
      <c r="AC55" s="1305"/>
    </row>
    <row r="56" spans="1:29">
      <c r="A56" s="63">
        <v>2000.11</v>
      </c>
      <c r="B56" s="169">
        <v>54177</v>
      </c>
      <c r="C56" s="886">
        <f t="shared" si="3"/>
        <v>36618</v>
      </c>
      <c r="D56" s="3162">
        <v>6087</v>
      </c>
      <c r="E56" s="180">
        <v>13485</v>
      </c>
      <c r="F56" s="3162">
        <v>1700</v>
      </c>
      <c r="G56" s="180">
        <v>4616</v>
      </c>
      <c r="H56" s="3162">
        <v>6008</v>
      </c>
      <c r="I56" s="180">
        <v>3043</v>
      </c>
      <c r="J56" s="3162">
        <v>1679</v>
      </c>
      <c r="K56" s="180">
        <v>6882</v>
      </c>
      <c r="L56" s="3162">
        <v>1678</v>
      </c>
      <c r="M56" s="180">
        <v>2159</v>
      </c>
      <c r="N56" s="2095">
        <v>6840</v>
      </c>
      <c r="O56" s="2096"/>
      <c r="P56" s="2097">
        <v>106496</v>
      </c>
      <c r="Q56" s="2097">
        <v>3096553</v>
      </c>
      <c r="R56" s="263">
        <f t="shared" si="1"/>
        <v>508.72333233173072</v>
      </c>
      <c r="S56" s="203">
        <f t="shared" si="2"/>
        <v>17.495905931530963</v>
      </c>
      <c r="T56" s="895"/>
      <c r="U56" s="169">
        <v>1141618</v>
      </c>
      <c r="V56" s="896"/>
      <c r="W56" s="303"/>
      <c r="X56" s="2094"/>
      <c r="Y56" s="554"/>
      <c r="Z56" s="1305"/>
      <c r="AA56" s="1796"/>
      <c r="AB56" s="1305"/>
      <c r="AC56" s="1305"/>
    </row>
    <row r="57" spans="1:29">
      <c r="A57" s="63">
        <v>2000.12</v>
      </c>
      <c r="B57" s="169">
        <v>73461</v>
      </c>
      <c r="C57" s="886">
        <f t="shared" si="3"/>
        <v>49308</v>
      </c>
      <c r="D57" s="3162">
        <v>11657</v>
      </c>
      <c r="E57" s="180">
        <v>16788</v>
      </c>
      <c r="F57" s="3162">
        <v>2221</v>
      </c>
      <c r="G57" s="180">
        <v>5331</v>
      </c>
      <c r="H57" s="3162">
        <v>7542</v>
      </c>
      <c r="I57" s="180">
        <v>3797</v>
      </c>
      <c r="J57" s="3162">
        <v>1972</v>
      </c>
      <c r="K57" s="180">
        <v>8960</v>
      </c>
      <c r="L57" s="3162">
        <v>2483</v>
      </c>
      <c r="M57" s="180">
        <v>3195</v>
      </c>
      <c r="N57" s="2095">
        <v>9515</v>
      </c>
      <c r="O57" s="2096"/>
      <c r="P57" s="2097">
        <v>104316</v>
      </c>
      <c r="Q57" s="2097">
        <v>3583230</v>
      </c>
      <c r="R57" s="263">
        <f t="shared" si="1"/>
        <v>704.21603589094673</v>
      </c>
      <c r="S57" s="203">
        <f t="shared" si="2"/>
        <v>20.501335387346053</v>
      </c>
      <c r="T57" s="895"/>
      <c r="U57" s="169">
        <v>1523831</v>
      </c>
      <c r="V57" s="896"/>
      <c r="W57" s="303"/>
      <c r="X57" s="2094"/>
      <c r="Y57" s="554"/>
      <c r="Z57" s="1305"/>
      <c r="AA57" s="1796"/>
      <c r="AB57" s="1305"/>
      <c r="AC57" s="1305"/>
    </row>
    <row r="58" spans="1:29">
      <c r="A58" s="63">
        <v>2001.01</v>
      </c>
      <c r="B58" s="169">
        <v>51013</v>
      </c>
      <c r="C58" s="886">
        <f t="shared" si="3"/>
        <v>32912</v>
      </c>
      <c r="D58" s="3162">
        <v>5807</v>
      </c>
      <c r="E58" s="180">
        <v>11623</v>
      </c>
      <c r="F58" s="3162">
        <v>1538</v>
      </c>
      <c r="G58" s="180">
        <v>4138</v>
      </c>
      <c r="H58" s="3162">
        <v>5465</v>
      </c>
      <c r="I58" s="180">
        <v>2760</v>
      </c>
      <c r="J58" s="3162">
        <v>1581</v>
      </c>
      <c r="K58" s="180">
        <v>6932</v>
      </c>
      <c r="L58" s="3162">
        <v>1756</v>
      </c>
      <c r="M58" s="180">
        <v>2647</v>
      </c>
      <c r="N58" s="2095">
        <v>6766</v>
      </c>
      <c r="O58" s="2096"/>
      <c r="P58" s="2097">
        <v>104316</v>
      </c>
      <c r="Q58" s="2097">
        <v>2898722</v>
      </c>
      <c r="R58" s="263">
        <f t="shared" si="1"/>
        <v>489.02373557268305</v>
      </c>
      <c r="S58" s="203">
        <f t="shared" si="2"/>
        <v>17.598445107878575</v>
      </c>
      <c r="T58" s="895"/>
      <c r="U58" s="169">
        <v>1114821</v>
      </c>
      <c r="V58" s="896"/>
      <c r="W58" s="303"/>
      <c r="X58" s="2094"/>
      <c r="Y58" s="554"/>
      <c r="Z58" s="1305"/>
      <c r="AA58" s="1796"/>
      <c r="AB58" s="1305"/>
      <c r="AC58" s="1305"/>
    </row>
    <row r="59" spans="1:29">
      <c r="A59" s="63">
        <v>2001.02</v>
      </c>
      <c r="B59" s="169">
        <v>50695</v>
      </c>
      <c r="C59" s="886">
        <f t="shared" si="3"/>
        <v>33300</v>
      </c>
      <c r="D59" s="3162">
        <v>5845</v>
      </c>
      <c r="E59" s="180">
        <v>11830</v>
      </c>
      <c r="F59" s="3162">
        <v>1525</v>
      </c>
      <c r="G59" s="180">
        <v>4185</v>
      </c>
      <c r="H59" s="3162">
        <v>5542</v>
      </c>
      <c r="I59" s="180">
        <v>2797</v>
      </c>
      <c r="J59" s="3162">
        <v>1576</v>
      </c>
      <c r="K59" s="180">
        <v>6795</v>
      </c>
      <c r="L59" s="3162">
        <v>1710</v>
      </c>
      <c r="M59" s="180">
        <v>2016</v>
      </c>
      <c r="N59" s="2095">
        <v>6874</v>
      </c>
      <c r="O59" s="2096"/>
      <c r="P59" s="2097">
        <v>104316</v>
      </c>
      <c r="Q59" s="2097">
        <v>2939414</v>
      </c>
      <c r="R59" s="263">
        <f t="shared" si="1"/>
        <v>485.97530580160281</v>
      </c>
      <c r="S59" s="203">
        <f t="shared" si="2"/>
        <v>17.246634873481586</v>
      </c>
      <c r="T59" s="895"/>
      <c r="U59" s="169">
        <v>1060155</v>
      </c>
      <c r="V59" s="896"/>
      <c r="W59" s="303"/>
      <c r="X59" s="2094"/>
      <c r="Y59" s="554"/>
      <c r="Z59" s="1305"/>
      <c r="AA59" s="1796"/>
      <c r="AB59" s="1305"/>
      <c r="AC59" s="1305"/>
    </row>
    <row r="60" spans="1:29">
      <c r="A60" s="63">
        <v>2001.03</v>
      </c>
      <c r="B60" s="169">
        <v>58304</v>
      </c>
      <c r="C60" s="886">
        <f t="shared" si="3"/>
        <v>37901</v>
      </c>
      <c r="D60" s="3162">
        <v>6408</v>
      </c>
      <c r="E60" s="180">
        <v>14086</v>
      </c>
      <c r="F60" s="3162">
        <v>1727</v>
      </c>
      <c r="G60" s="180">
        <v>4783</v>
      </c>
      <c r="H60" s="3162">
        <v>6356</v>
      </c>
      <c r="I60" s="180">
        <v>3042</v>
      </c>
      <c r="J60" s="3162">
        <v>1499</v>
      </c>
      <c r="K60" s="180">
        <v>7922</v>
      </c>
      <c r="L60" s="3162">
        <v>2201</v>
      </c>
      <c r="M60" s="180">
        <v>2351</v>
      </c>
      <c r="N60" s="2095">
        <v>7929</v>
      </c>
      <c r="O60" s="2096"/>
      <c r="P60" s="2097">
        <v>104316</v>
      </c>
      <c r="Q60" s="2097">
        <v>3064967</v>
      </c>
      <c r="R60" s="263">
        <f t="shared" si="1"/>
        <v>558.91713639326656</v>
      </c>
      <c r="S60" s="203">
        <f t="shared" si="2"/>
        <v>19.022717047198228</v>
      </c>
      <c r="T60" s="895"/>
      <c r="U60" s="169">
        <v>1233464</v>
      </c>
      <c r="V60" s="896"/>
      <c r="W60" s="303"/>
      <c r="X60" s="2094"/>
      <c r="Y60" s="554"/>
      <c r="Z60" s="1305"/>
      <c r="AA60" s="1796"/>
      <c r="AB60" s="1305"/>
      <c r="AC60" s="1305"/>
    </row>
    <row r="61" spans="1:29">
      <c r="A61" s="63">
        <v>2001.04</v>
      </c>
      <c r="B61" s="169">
        <v>56827</v>
      </c>
      <c r="C61" s="886">
        <f t="shared" si="3"/>
        <v>37519</v>
      </c>
      <c r="D61" s="3162">
        <v>6129</v>
      </c>
      <c r="E61" s="180">
        <v>14819</v>
      </c>
      <c r="F61" s="3162">
        <v>1466</v>
      </c>
      <c r="G61" s="180">
        <v>4774</v>
      </c>
      <c r="H61" s="3162">
        <v>6003</v>
      </c>
      <c r="I61" s="180">
        <v>2905</v>
      </c>
      <c r="J61" s="3162">
        <v>1423</v>
      </c>
      <c r="K61" s="180">
        <v>7378</v>
      </c>
      <c r="L61" s="3162">
        <v>2169</v>
      </c>
      <c r="M61" s="180">
        <v>2129</v>
      </c>
      <c r="N61" s="2095">
        <v>7632</v>
      </c>
      <c r="O61" s="2096"/>
      <c r="P61" s="2097">
        <v>104316</v>
      </c>
      <c r="Q61" s="2097">
        <v>3014340</v>
      </c>
      <c r="R61" s="263">
        <f t="shared" si="1"/>
        <v>544.75823459488481</v>
      </c>
      <c r="S61" s="203">
        <f t="shared" si="2"/>
        <v>18.852219723057122</v>
      </c>
      <c r="T61" s="895"/>
      <c r="U61" s="169">
        <v>1178262</v>
      </c>
      <c r="V61" s="896"/>
      <c r="W61" s="303"/>
      <c r="X61" s="2094"/>
      <c r="Y61" s="554"/>
      <c r="Z61" s="1305"/>
      <c r="AA61" s="1796"/>
      <c r="AB61" s="1305"/>
      <c r="AC61" s="1305"/>
    </row>
    <row r="62" spans="1:29">
      <c r="A62" s="63">
        <v>2001.05</v>
      </c>
      <c r="B62" s="169">
        <v>50668</v>
      </c>
      <c r="C62" s="886">
        <f t="shared" si="3"/>
        <v>34093</v>
      </c>
      <c r="D62" s="3162">
        <v>5258</v>
      </c>
      <c r="E62" s="180">
        <v>13225</v>
      </c>
      <c r="F62" s="3162">
        <v>1631</v>
      </c>
      <c r="G62" s="180">
        <v>4465</v>
      </c>
      <c r="H62" s="3162">
        <v>5620</v>
      </c>
      <c r="I62" s="180">
        <v>2648</v>
      </c>
      <c r="J62" s="3162">
        <v>1246</v>
      </c>
      <c r="K62" s="180">
        <v>6667</v>
      </c>
      <c r="L62" s="3162">
        <v>1999</v>
      </c>
      <c r="M62" s="180">
        <v>1595</v>
      </c>
      <c r="N62" s="2095">
        <v>6314</v>
      </c>
      <c r="O62" s="2096"/>
      <c r="P62" s="2097">
        <v>104316</v>
      </c>
      <c r="Q62" s="2097">
        <v>2945603</v>
      </c>
      <c r="R62" s="263">
        <f t="shared" si="1"/>
        <v>485.71647685877531</v>
      </c>
      <c r="S62" s="203">
        <f t="shared" si="2"/>
        <v>17.201231802113181</v>
      </c>
      <c r="T62" s="895"/>
      <c r="U62" s="169">
        <v>1089388</v>
      </c>
      <c r="V62" s="896"/>
      <c r="W62" s="303"/>
      <c r="X62" s="2094"/>
      <c r="Y62" s="554"/>
      <c r="Z62" s="1305"/>
      <c r="AA62" s="1796"/>
      <c r="AB62" s="1305"/>
      <c r="AC62" s="1305"/>
    </row>
    <row r="63" spans="1:29">
      <c r="A63" s="63">
        <v>2001.06</v>
      </c>
      <c r="B63" s="169">
        <v>55425</v>
      </c>
      <c r="C63" s="886">
        <f t="shared" si="3"/>
        <v>36688</v>
      </c>
      <c r="D63" s="3162">
        <v>5867</v>
      </c>
      <c r="E63" s="180">
        <v>14352</v>
      </c>
      <c r="F63" s="3162">
        <v>1754</v>
      </c>
      <c r="G63" s="180">
        <v>4875</v>
      </c>
      <c r="H63" s="3162">
        <v>5818</v>
      </c>
      <c r="I63" s="180">
        <v>2712</v>
      </c>
      <c r="J63" s="3162">
        <v>1310</v>
      </c>
      <c r="K63" s="180">
        <v>7034</v>
      </c>
      <c r="L63" s="3162">
        <v>2220</v>
      </c>
      <c r="M63" s="180">
        <v>2144</v>
      </c>
      <c r="N63" s="2095">
        <v>7339</v>
      </c>
      <c r="O63" s="2096"/>
      <c r="P63" s="2097">
        <v>104316</v>
      </c>
      <c r="Q63" s="2097">
        <v>3046773</v>
      </c>
      <c r="R63" s="263">
        <f t="shared" si="1"/>
        <v>531.31830208213501</v>
      </c>
      <c r="S63" s="203">
        <f t="shared" si="2"/>
        <v>18.191378222138635</v>
      </c>
      <c r="T63" s="895"/>
      <c r="U63" s="169">
        <v>1145241</v>
      </c>
      <c r="V63" s="896"/>
      <c r="W63" s="303"/>
      <c r="X63" s="2094"/>
      <c r="Y63" s="554"/>
      <c r="Z63" s="1305"/>
      <c r="AA63" s="1796"/>
      <c r="AB63" s="1305"/>
      <c r="AC63" s="1305"/>
    </row>
    <row r="64" spans="1:29">
      <c r="A64" s="63">
        <v>2001.07</v>
      </c>
      <c r="B64" s="169">
        <v>55866</v>
      </c>
      <c r="C64" s="886">
        <f t="shared" si="3"/>
        <v>36581</v>
      </c>
      <c r="D64" s="3162">
        <v>5790</v>
      </c>
      <c r="E64" s="180">
        <v>14621</v>
      </c>
      <c r="F64" s="3162">
        <v>1722</v>
      </c>
      <c r="G64" s="180">
        <v>4891</v>
      </c>
      <c r="H64" s="3162">
        <v>5529</v>
      </c>
      <c r="I64" s="180">
        <v>2693</v>
      </c>
      <c r="J64" s="3162">
        <v>1335</v>
      </c>
      <c r="K64" s="180">
        <v>7068</v>
      </c>
      <c r="L64" s="3162">
        <v>2236</v>
      </c>
      <c r="M64" s="180">
        <v>2300</v>
      </c>
      <c r="N64" s="2095">
        <v>7681</v>
      </c>
      <c r="O64" s="2096"/>
      <c r="P64" s="2097">
        <v>104316</v>
      </c>
      <c r="Q64" s="2097">
        <v>3079249</v>
      </c>
      <c r="R64" s="263">
        <f t="shared" si="1"/>
        <v>535.54584148165191</v>
      </c>
      <c r="S64" s="203">
        <f t="shared" si="2"/>
        <v>18.142735452702915</v>
      </c>
      <c r="T64" s="895"/>
      <c r="U64" s="169">
        <v>1144406</v>
      </c>
      <c r="V64" s="896"/>
      <c r="W64" s="303"/>
      <c r="X64" s="2094"/>
      <c r="Y64" s="554"/>
      <c r="Z64" s="1305"/>
      <c r="AA64" s="1796"/>
      <c r="AB64" s="1305"/>
      <c r="AC64" s="1305"/>
    </row>
    <row r="65" spans="1:29">
      <c r="A65" s="63">
        <v>2001.08</v>
      </c>
      <c r="B65" s="169">
        <v>52788</v>
      </c>
      <c r="C65" s="886">
        <f t="shared" si="3"/>
        <v>35008</v>
      </c>
      <c r="D65" s="3162">
        <v>5637</v>
      </c>
      <c r="E65" s="180">
        <v>13695</v>
      </c>
      <c r="F65" s="3162">
        <v>1656</v>
      </c>
      <c r="G65" s="180">
        <v>4718</v>
      </c>
      <c r="H65" s="3162">
        <v>5395</v>
      </c>
      <c r="I65" s="180">
        <v>2687</v>
      </c>
      <c r="J65" s="3162">
        <v>1220</v>
      </c>
      <c r="K65" s="180">
        <v>6854</v>
      </c>
      <c r="L65" s="3162">
        <v>1601</v>
      </c>
      <c r="M65" s="180">
        <v>1788</v>
      </c>
      <c r="N65" s="2095">
        <v>7537</v>
      </c>
      <c r="O65" s="2096"/>
      <c r="P65" s="2097">
        <v>104316</v>
      </c>
      <c r="Q65" s="2097">
        <v>3026201</v>
      </c>
      <c r="R65" s="263">
        <f t="shared" si="1"/>
        <v>506.03934199930978</v>
      </c>
      <c r="S65" s="203">
        <f t="shared" si="2"/>
        <v>17.443652949688406</v>
      </c>
      <c r="T65" s="895"/>
      <c r="U65" s="169">
        <v>1094588</v>
      </c>
      <c r="V65" s="896"/>
      <c r="W65" s="303"/>
      <c r="X65" s="2094"/>
      <c r="Y65" s="554"/>
      <c r="Z65" s="1305"/>
      <c r="AA65" s="1796"/>
      <c r="AB65" s="1305"/>
      <c r="AC65" s="1305"/>
    </row>
    <row r="66" spans="1:29">
      <c r="A66" s="63">
        <v>2001.09</v>
      </c>
      <c r="B66" s="169">
        <v>51428</v>
      </c>
      <c r="C66" s="886">
        <f t="shared" si="3"/>
        <v>34367</v>
      </c>
      <c r="D66" s="3162">
        <v>5523</v>
      </c>
      <c r="E66" s="180">
        <v>13373</v>
      </c>
      <c r="F66" s="3162">
        <v>1650</v>
      </c>
      <c r="G66" s="180">
        <v>4623</v>
      </c>
      <c r="H66" s="3162">
        <v>5559</v>
      </c>
      <c r="I66" s="180">
        <v>2437</v>
      </c>
      <c r="J66" s="3162">
        <v>1202</v>
      </c>
      <c r="K66" s="180">
        <v>6900</v>
      </c>
      <c r="L66" s="3162">
        <v>1397</v>
      </c>
      <c r="M66" s="180">
        <v>1952</v>
      </c>
      <c r="N66" s="2095">
        <v>6812</v>
      </c>
      <c r="O66" s="2096"/>
      <c r="P66" s="2097">
        <v>104316</v>
      </c>
      <c r="Q66" s="2097">
        <v>2914365</v>
      </c>
      <c r="R66" s="263">
        <f t="shared" si="1"/>
        <v>493.00203228651407</v>
      </c>
      <c r="S66" s="203">
        <f t="shared" si="2"/>
        <v>17.646382659687447</v>
      </c>
      <c r="T66" s="895"/>
      <c r="U66" s="169">
        <v>1066211</v>
      </c>
      <c r="V66" s="896"/>
      <c r="W66" s="303"/>
      <c r="X66" s="2094"/>
      <c r="Y66" s="554"/>
      <c r="Z66" s="1305"/>
      <c r="AA66" s="1796"/>
      <c r="AB66" s="1305"/>
      <c r="AC66" s="1305"/>
    </row>
    <row r="67" spans="1:29">
      <c r="A67" s="63">
        <v>2001.1</v>
      </c>
      <c r="B67" s="169">
        <v>51200</v>
      </c>
      <c r="C67" s="886">
        <f t="shared" si="3"/>
        <v>33671</v>
      </c>
      <c r="D67" s="3162">
        <v>5466</v>
      </c>
      <c r="E67" s="180">
        <v>13193</v>
      </c>
      <c r="F67" s="3162">
        <v>1619</v>
      </c>
      <c r="G67" s="180">
        <v>4531</v>
      </c>
      <c r="H67" s="3162">
        <v>5317</v>
      </c>
      <c r="I67" s="180">
        <v>2430</v>
      </c>
      <c r="J67" s="3162">
        <v>1115</v>
      </c>
      <c r="K67" s="180">
        <v>6770</v>
      </c>
      <c r="L67" s="3162">
        <v>1562</v>
      </c>
      <c r="M67" s="180">
        <v>2443</v>
      </c>
      <c r="N67" s="2095">
        <v>6754</v>
      </c>
      <c r="O67" s="2096"/>
      <c r="P67" s="2097">
        <v>104784</v>
      </c>
      <c r="Q67" s="2097">
        <v>2859757</v>
      </c>
      <c r="R67" s="263">
        <f t="shared" si="1"/>
        <v>488.62421743777679</v>
      </c>
      <c r="S67" s="203">
        <f t="shared" si="2"/>
        <v>17.903619083719349</v>
      </c>
      <c r="T67" s="895"/>
      <c r="U67" s="169">
        <v>1060937</v>
      </c>
      <c r="V67" s="896"/>
      <c r="W67" s="303"/>
      <c r="X67" s="2094"/>
      <c r="Y67" s="554"/>
      <c r="Z67" s="1305"/>
      <c r="AA67" s="1796"/>
      <c r="AB67" s="1305"/>
      <c r="AC67" s="1305"/>
    </row>
    <row r="68" spans="1:29">
      <c r="A68" s="63">
        <v>2001.11</v>
      </c>
      <c r="B68" s="169">
        <v>49578</v>
      </c>
      <c r="C68" s="886">
        <f t="shared" si="3"/>
        <v>32521</v>
      </c>
      <c r="D68" s="3162">
        <v>5640</v>
      </c>
      <c r="E68" s="180">
        <v>12745</v>
      </c>
      <c r="F68" s="3162">
        <v>973</v>
      </c>
      <c r="G68" s="180">
        <v>4305</v>
      </c>
      <c r="H68" s="3162">
        <v>5281</v>
      </c>
      <c r="I68" s="180">
        <v>2363</v>
      </c>
      <c r="J68" s="3162">
        <v>1214</v>
      </c>
      <c r="K68" s="180">
        <v>6776</v>
      </c>
      <c r="L68" s="3162">
        <v>1428</v>
      </c>
      <c r="M68" s="180">
        <v>1924</v>
      </c>
      <c r="N68" s="2095">
        <v>6929</v>
      </c>
      <c r="O68" s="2096"/>
      <c r="P68" s="2097">
        <v>103327</v>
      </c>
      <c r="Q68" s="2097">
        <v>3160220</v>
      </c>
      <c r="R68" s="263">
        <f t="shared" si="1"/>
        <v>479.81650488255735</v>
      </c>
      <c r="S68" s="203">
        <f t="shared" si="2"/>
        <v>15.688148293473239</v>
      </c>
      <c r="T68" s="895"/>
      <c r="U68" s="169">
        <v>1028565</v>
      </c>
      <c r="V68" s="896"/>
      <c r="W68" s="303"/>
      <c r="X68" s="2094"/>
      <c r="Y68" s="554"/>
      <c r="Z68" s="1305"/>
      <c r="AA68" s="1796"/>
      <c r="AB68" s="1305"/>
      <c r="AC68" s="1305"/>
    </row>
    <row r="69" spans="1:29">
      <c r="A69" s="63">
        <v>2001.12</v>
      </c>
      <c r="B69" s="169">
        <v>64689</v>
      </c>
      <c r="C69" s="886">
        <f t="shared" si="3"/>
        <v>43255</v>
      </c>
      <c r="D69" s="3162">
        <v>9569</v>
      </c>
      <c r="E69" s="180">
        <v>16067</v>
      </c>
      <c r="F69" s="3162">
        <v>2001</v>
      </c>
      <c r="G69" s="180">
        <v>4902</v>
      </c>
      <c r="H69" s="3162">
        <v>6463</v>
      </c>
      <c r="I69" s="180">
        <v>2822</v>
      </c>
      <c r="J69" s="3162">
        <v>1431</v>
      </c>
      <c r="K69" s="180">
        <v>7781</v>
      </c>
      <c r="L69" s="3162">
        <v>1981</v>
      </c>
      <c r="M69" s="180">
        <v>2389</v>
      </c>
      <c r="N69" s="2095">
        <v>9283</v>
      </c>
      <c r="O69" s="2096"/>
      <c r="P69" s="2097">
        <v>104353</v>
      </c>
      <c r="Q69" s="2097">
        <v>3207767</v>
      </c>
      <c r="R69" s="263">
        <f t="shared" si="1"/>
        <v>619.90551301831283</v>
      </c>
      <c r="S69" s="203">
        <f t="shared" si="2"/>
        <v>20.166364951070321</v>
      </c>
      <c r="T69" s="895"/>
      <c r="U69" s="169">
        <v>1292031</v>
      </c>
      <c r="V69" s="896"/>
      <c r="W69" s="303"/>
      <c r="X69" s="2094"/>
      <c r="Y69" s="554"/>
      <c r="Z69" s="1305"/>
      <c r="AA69" s="1796"/>
      <c r="AB69" s="1305"/>
      <c r="AC69" s="1305"/>
    </row>
    <row r="70" spans="1:29">
      <c r="A70" s="63">
        <v>2002.01</v>
      </c>
      <c r="B70" s="169">
        <v>49771</v>
      </c>
      <c r="C70" s="886">
        <f t="shared" si="3"/>
        <v>32600</v>
      </c>
      <c r="D70" s="3162">
        <v>5589</v>
      </c>
      <c r="E70" s="180">
        <v>12738</v>
      </c>
      <c r="F70" s="3162">
        <v>1400</v>
      </c>
      <c r="G70" s="180">
        <v>4652</v>
      </c>
      <c r="H70" s="3162">
        <v>5057</v>
      </c>
      <c r="I70" s="180">
        <v>2193</v>
      </c>
      <c r="J70" s="3162">
        <v>971</v>
      </c>
      <c r="K70" s="180">
        <v>6682</v>
      </c>
      <c r="L70" s="3162">
        <v>1494</v>
      </c>
      <c r="M70" s="180">
        <v>2722</v>
      </c>
      <c r="N70" s="2095">
        <v>6273</v>
      </c>
      <c r="O70" s="2096"/>
      <c r="P70" s="2097">
        <v>104353</v>
      </c>
      <c r="Q70" s="2097">
        <v>2593759</v>
      </c>
      <c r="R70" s="263">
        <f t="shared" si="1"/>
        <v>476.94843464011575</v>
      </c>
      <c r="S70" s="203">
        <f t="shared" si="2"/>
        <v>19.188752694448482</v>
      </c>
      <c r="T70" s="895"/>
      <c r="U70" s="169">
        <v>1034467</v>
      </c>
      <c r="V70" s="896"/>
      <c r="W70" s="303"/>
      <c r="X70" s="2094"/>
      <c r="Y70" s="554"/>
      <c r="Z70" s="1305"/>
      <c r="AA70" s="1796"/>
      <c r="AB70" s="1305"/>
      <c r="AC70" s="1305"/>
    </row>
    <row r="71" spans="1:29">
      <c r="A71" s="63">
        <v>2002.02</v>
      </c>
      <c r="B71" s="169">
        <v>52226</v>
      </c>
      <c r="C71" s="886">
        <f t="shared" si="3"/>
        <v>34408</v>
      </c>
      <c r="D71" s="3162">
        <v>5418</v>
      </c>
      <c r="E71" s="180">
        <v>13980</v>
      </c>
      <c r="F71" s="3162">
        <v>1451</v>
      </c>
      <c r="G71" s="180">
        <v>4865</v>
      </c>
      <c r="H71" s="3162">
        <v>5120</v>
      </c>
      <c r="I71" s="180">
        <v>2348</v>
      </c>
      <c r="J71" s="3162">
        <v>1226</v>
      </c>
      <c r="K71" s="180">
        <v>8082</v>
      </c>
      <c r="L71" s="3162">
        <v>1405</v>
      </c>
      <c r="M71" s="180">
        <v>2114</v>
      </c>
      <c r="N71" s="2095">
        <v>6217</v>
      </c>
      <c r="O71" s="2096"/>
      <c r="P71" s="2097">
        <v>104353</v>
      </c>
      <c r="Q71" s="2097">
        <v>2769619</v>
      </c>
      <c r="R71" s="263">
        <f t="shared" si="1"/>
        <v>500.47435148007247</v>
      </c>
      <c r="S71" s="203">
        <f t="shared" si="2"/>
        <v>18.856745277960613</v>
      </c>
      <c r="T71" s="895"/>
      <c r="U71" s="169">
        <v>1026395</v>
      </c>
      <c r="V71" s="896"/>
      <c r="W71" s="303"/>
      <c r="X71" s="2094"/>
      <c r="Y71" s="554"/>
      <c r="Z71" s="1305"/>
      <c r="AA71" s="1796"/>
      <c r="AB71" s="1305"/>
      <c r="AC71" s="1305"/>
    </row>
    <row r="72" spans="1:29">
      <c r="A72" s="63">
        <v>2002.03</v>
      </c>
      <c r="B72" s="169">
        <v>64054</v>
      </c>
      <c r="C72" s="886">
        <f t="shared" si="3"/>
        <v>41795</v>
      </c>
      <c r="D72" s="3162">
        <v>6456</v>
      </c>
      <c r="E72" s="180">
        <v>17680</v>
      </c>
      <c r="F72" s="3162">
        <v>1806</v>
      </c>
      <c r="G72" s="180">
        <v>6001</v>
      </c>
      <c r="H72" s="3162">
        <v>5911</v>
      </c>
      <c r="I72" s="180">
        <v>2716</v>
      </c>
      <c r="J72" s="3162">
        <v>1225</v>
      </c>
      <c r="K72" s="180">
        <v>10261</v>
      </c>
      <c r="L72" s="3162">
        <v>1680</v>
      </c>
      <c r="M72" s="180">
        <v>2803</v>
      </c>
      <c r="N72" s="2095">
        <v>7515</v>
      </c>
      <c r="O72" s="2096"/>
      <c r="P72" s="2097">
        <v>104353</v>
      </c>
      <c r="Q72" s="2097">
        <v>2941923</v>
      </c>
      <c r="R72" s="263">
        <f t="shared" si="1"/>
        <v>613.82039807192893</v>
      </c>
      <c r="S72" s="203">
        <f t="shared" si="2"/>
        <v>21.772833619370729</v>
      </c>
      <c r="T72" s="895"/>
      <c r="U72" s="169">
        <v>1253465</v>
      </c>
      <c r="V72" s="896"/>
      <c r="W72" s="303"/>
      <c r="X72" s="2094"/>
      <c r="Y72" s="554"/>
      <c r="Z72" s="1305"/>
      <c r="AA72" s="1796"/>
      <c r="AB72" s="1305"/>
      <c r="AC72" s="1305"/>
    </row>
    <row r="73" spans="1:29">
      <c r="A73" s="63">
        <v>2002.04</v>
      </c>
      <c r="B73" s="169">
        <v>60706</v>
      </c>
      <c r="C73" s="886">
        <f t="shared" si="3"/>
        <v>40667</v>
      </c>
      <c r="D73" s="3162">
        <v>5855</v>
      </c>
      <c r="E73" s="180">
        <v>16889</v>
      </c>
      <c r="F73" s="3162">
        <v>1882</v>
      </c>
      <c r="G73" s="180">
        <v>6055</v>
      </c>
      <c r="H73" s="3162">
        <v>6031</v>
      </c>
      <c r="I73" s="180">
        <v>2713</v>
      </c>
      <c r="J73" s="3162">
        <v>1242</v>
      </c>
      <c r="K73" s="180">
        <v>9288</v>
      </c>
      <c r="L73" s="3162">
        <v>1488</v>
      </c>
      <c r="M73" s="180">
        <v>2237</v>
      </c>
      <c r="N73" s="2095">
        <v>7026</v>
      </c>
      <c r="O73" s="2096"/>
      <c r="P73" s="2097">
        <v>104353</v>
      </c>
      <c r="Q73" s="2097">
        <v>3144184</v>
      </c>
      <c r="R73" s="263">
        <f t="shared" si="1"/>
        <v>581.73698887430169</v>
      </c>
      <c r="S73" s="203">
        <f t="shared" si="2"/>
        <v>19.307394223747721</v>
      </c>
      <c r="T73" s="895"/>
      <c r="U73" s="169">
        <v>1148987</v>
      </c>
      <c r="V73" s="896"/>
      <c r="W73" s="303"/>
      <c r="X73" s="2094"/>
      <c r="Y73" s="554"/>
      <c r="Z73" s="1305"/>
      <c r="AA73" s="1796"/>
      <c r="AB73" s="1305"/>
      <c r="AC73" s="1305"/>
    </row>
    <row r="74" spans="1:29">
      <c r="A74" s="63">
        <v>2002.05</v>
      </c>
      <c r="B74" s="169">
        <v>60812</v>
      </c>
      <c r="C74" s="886">
        <f t="shared" si="3"/>
        <v>41166</v>
      </c>
      <c r="D74" s="3162">
        <v>6175</v>
      </c>
      <c r="E74" s="180">
        <v>17143</v>
      </c>
      <c r="F74" s="3162">
        <v>1894</v>
      </c>
      <c r="G74" s="180">
        <v>6306</v>
      </c>
      <c r="H74" s="3162">
        <v>5651</v>
      </c>
      <c r="I74" s="180">
        <v>2812</v>
      </c>
      <c r="J74" s="3162">
        <v>1185</v>
      </c>
      <c r="K74" s="180">
        <v>9749</v>
      </c>
      <c r="L74" s="3162">
        <v>1828</v>
      </c>
      <c r="M74" s="180">
        <v>2631</v>
      </c>
      <c r="N74" s="2095">
        <v>5438</v>
      </c>
      <c r="O74" s="2096"/>
      <c r="P74" s="2097">
        <v>104353</v>
      </c>
      <c r="Q74" s="2097">
        <v>3109228</v>
      </c>
      <c r="R74" s="263">
        <f t="shared" si="1"/>
        <v>582.75277184172944</v>
      </c>
      <c r="S74" s="203">
        <f t="shared" si="2"/>
        <v>19.558552798315208</v>
      </c>
      <c r="T74" s="895"/>
      <c r="U74" s="169">
        <v>1198573</v>
      </c>
      <c r="V74" s="896"/>
      <c r="W74" s="303"/>
      <c r="X74" s="2094"/>
      <c r="Y74" s="554"/>
      <c r="Z74" s="1305"/>
      <c r="AA74" s="1796"/>
      <c r="AB74" s="1305"/>
      <c r="AC74" s="1305"/>
    </row>
    <row r="75" spans="1:29">
      <c r="A75" s="63">
        <v>2002.06</v>
      </c>
      <c r="B75" s="169">
        <v>67231</v>
      </c>
      <c r="C75" s="886">
        <f t="shared" si="3"/>
        <v>44226</v>
      </c>
      <c r="D75" s="3162">
        <v>6796</v>
      </c>
      <c r="E75" s="180">
        <v>18747</v>
      </c>
      <c r="F75" s="3162">
        <v>2230</v>
      </c>
      <c r="G75" s="180">
        <v>6398</v>
      </c>
      <c r="H75" s="3162">
        <v>5839</v>
      </c>
      <c r="I75" s="180">
        <v>2873</v>
      </c>
      <c r="J75" s="3162">
        <v>1343</v>
      </c>
      <c r="K75" s="180">
        <v>9980</v>
      </c>
      <c r="L75" s="3162">
        <v>2234</v>
      </c>
      <c r="M75" s="180">
        <v>3279</v>
      </c>
      <c r="N75" s="2095">
        <v>7512</v>
      </c>
      <c r="O75" s="2096"/>
      <c r="P75" s="2097">
        <v>104353</v>
      </c>
      <c r="Q75" s="2097">
        <v>3386566</v>
      </c>
      <c r="R75" s="263">
        <f t="shared" ref="R75:R138" si="4">$B75/P75*1000</f>
        <v>644.26513852021503</v>
      </c>
      <c r="S75" s="203">
        <f t="shared" ref="S75:S138" si="5">$B75/Q75*1000</f>
        <v>19.85226332515002</v>
      </c>
      <c r="T75" s="895"/>
      <c r="U75" s="169">
        <v>1279237</v>
      </c>
      <c r="V75" s="896"/>
      <c r="W75" s="303"/>
      <c r="X75" s="2094"/>
      <c r="Y75" s="554"/>
      <c r="Z75" s="1305"/>
      <c r="AA75" s="1796"/>
      <c r="AB75" s="1305"/>
      <c r="AC75" s="1305"/>
    </row>
    <row r="76" spans="1:29">
      <c r="A76" s="63">
        <v>2002.07</v>
      </c>
      <c r="B76" s="169">
        <v>65970</v>
      </c>
      <c r="C76" s="886">
        <f t="shared" ref="C76:C139" si="6">SUM(D76:J76)</f>
        <v>44199</v>
      </c>
      <c r="D76" s="3162">
        <v>6640</v>
      </c>
      <c r="E76" s="180">
        <v>18435</v>
      </c>
      <c r="F76" s="3162">
        <v>2254</v>
      </c>
      <c r="G76" s="180">
        <v>6393</v>
      </c>
      <c r="H76" s="3162">
        <v>6052</v>
      </c>
      <c r="I76" s="180">
        <v>3018</v>
      </c>
      <c r="J76" s="3162">
        <v>1407</v>
      </c>
      <c r="K76" s="180">
        <v>9811</v>
      </c>
      <c r="L76" s="3162">
        <v>2022</v>
      </c>
      <c r="M76" s="180">
        <v>2541</v>
      </c>
      <c r="N76" s="2095">
        <v>7397</v>
      </c>
      <c r="O76" s="2096"/>
      <c r="P76" s="2097">
        <v>104501</v>
      </c>
      <c r="Q76" s="2097">
        <v>3316207</v>
      </c>
      <c r="R76" s="263">
        <f t="shared" si="4"/>
        <v>631.28582501602864</v>
      </c>
      <c r="S76" s="203">
        <f t="shared" si="5"/>
        <v>19.893209320166079</v>
      </c>
      <c r="T76" s="895"/>
      <c r="U76" s="169">
        <v>1274664</v>
      </c>
      <c r="V76" s="896"/>
      <c r="W76" s="303"/>
      <c r="X76" s="2094"/>
      <c r="Y76" s="554"/>
      <c r="Z76" s="1305"/>
      <c r="AA76" s="1796"/>
      <c r="AB76" s="1305"/>
      <c r="AC76" s="1305"/>
    </row>
    <row r="77" spans="1:29">
      <c r="A77" s="63">
        <v>2002.08</v>
      </c>
      <c r="B77" s="169">
        <v>64728</v>
      </c>
      <c r="C77" s="886">
        <f t="shared" si="6"/>
        <v>44739</v>
      </c>
      <c r="D77" s="3162">
        <v>6793</v>
      </c>
      <c r="E77" s="180">
        <v>18514</v>
      </c>
      <c r="F77" s="3162">
        <v>2325</v>
      </c>
      <c r="G77" s="180">
        <v>6158</v>
      </c>
      <c r="H77" s="3162">
        <v>6354</v>
      </c>
      <c r="I77" s="180">
        <v>3117</v>
      </c>
      <c r="J77" s="3162">
        <v>1478</v>
      </c>
      <c r="K77" s="180">
        <v>8294</v>
      </c>
      <c r="L77" s="3162">
        <v>1709</v>
      </c>
      <c r="M77" s="180">
        <v>1932</v>
      </c>
      <c r="N77" s="2095">
        <v>8054</v>
      </c>
      <c r="O77" s="2096"/>
      <c r="P77" s="2097">
        <v>104501</v>
      </c>
      <c r="Q77" s="2097">
        <v>3505407</v>
      </c>
      <c r="R77" s="263">
        <f t="shared" si="4"/>
        <v>619.40077128448536</v>
      </c>
      <c r="S77" s="203">
        <f t="shared" si="5"/>
        <v>18.465188207817235</v>
      </c>
      <c r="T77" s="895"/>
      <c r="U77" s="169">
        <v>1331689</v>
      </c>
      <c r="V77" s="896"/>
      <c r="W77" s="303"/>
      <c r="X77" s="2094"/>
      <c r="Y77" s="554"/>
      <c r="Z77" s="1305"/>
      <c r="AA77" s="1796"/>
      <c r="AB77" s="1305"/>
      <c r="AC77" s="1305"/>
    </row>
    <row r="78" spans="1:29">
      <c r="A78" s="63">
        <v>2002.09</v>
      </c>
      <c r="B78" s="169">
        <v>61905</v>
      </c>
      <c r="C78" s="886">
        <f t="shared" si="6"/>
        <v>44430</v>
      </c>
      <c r="D78" s="3162">
        <v>6504</v>
      </c>
      <c r="E78" s="180">
        <v>18321</v>
      </c>
      <c r="F78" s="3162">
        <v>2136</v>
      </c>
      <c r="G78" s="180">
        <v>6333</v>
      </c>
      <c r="H78" s="3162">
        <v>6617</v>
      </c>
      <c r="I78" s="180">
        <v>3185</v>
      </c>
      <c r="J78" s="3162">
        <v>1334</v>
      </c>
      <c r="K78" s="180">
        <v>8102</v>
      </c>
      <c r="L78" s="3162">
        <v>1586</v>
      </c>
      <c r="M78" s="180">
        <v>1607</v>
      </c>
      <c r="N78" s="2095">
        <v>6180</v>
      </c>
      <c r="O78" s="2096"/>
      <c r="P78" s="2097">
        <v>104501</v>
      </c>
      <c r="Q78" s="2097">
        <v>3215454</v>
      </c>
      <c r="R78" s="263">
        <f t="shared" si="4"/>
        <v>592.38667572559109</v>
      </c>
      <c r="S78" s="203">
        <f t="shared" si="5"/>
        <v>19.252335751032355</v>
      </c>
      <c r="T78" s="895"/>
      <c r="U78" s="169">
        <v>1265342</v>
      </c>
      <c r="V78" s="896"/>
      <c r="W78" s="303"/>
      <c r="X78" s="2094"/>
      <c r="Y78" s="554"/>
      <c r="Z78" s="1305"/>
      <c r="AA78" s="1796"/>
      <c r="AB78" s="1305"/>
      <c r="AC78" s="1305"/>
    </row>
    <row r="79" spans="1:29">
      <c r="A79" s="63">
        <v>2002.1</v>
      </c>
      <c r="B79" s="169">
        <v>63313</v>
      </c>
      <c r="C79" s="886">
        <f t="shared" si="6"/>
        <v>47009</v>
      </c>
      <c r="D79" s="3162">
        <v>6815</v>
      </c>
      <c r="E79" s="180">
        <v>18511</v>
      </c>
      <c r="F79" s="3162">
        <v>2190</v>
      </c>
      <c r="G79" s="180">
        <v>7394</v>
      </c>
      <c r="H79" s="3162">
        <v>7264</v>
      </c>
      <c r="I79" s="180">
        <v>3300</v>
      </c>
      <c r="J79" s="3162">
        <v>1535</v>
      </c>
      <c r="K79" s="180">
        <v>8123</v>
      </c>
      <c r="L79" s="3162">
        <v>1511</v>
      </c>
      <c r="M79" s="180">
        <v>2050</v>
      </c>
      <c r="N79" s="2095">
        <v>4620</v>
      </c>
      <c r="O79" s="2096"/>
      <c r="P79" s="2097">
        <v>104501</v>
      </c>
      <c r="Q79" s="2097">
        <v>3261726</v>
      </c>
      <c r="R79" s="263">
        <f t="shared" si="4"/>
        <v>605.8602310025741</v>
      </c>
      <c r="S79" s="203">
        <f t="shared" si="5"/>
        <v>19.410888590887158</v>
      </c>
      <c r="T79" s="895"/>
      <c r="U79" s="169">
        <v>1300079</v>
      </c>
      <c r="V79" s="896"/>
      <c r="W79" s="303"/>
      <c r="X79" s="2094"/>
      <c r="Y79" s="554"/>
      <c r="Z79" s="1305"/>
      <c r="AA79" s="1796"/>
      <c r="AB79" s="1305"/>
      <c r="AC79" s="1305"/>
    </row>
    <row r="80" spans="1:29">
      <c r="A80" s="63">
        <v>2002.11</v>
      </c>
      <c r="B80" s="169">
        <v>63709</v>
      </c>
      <c r="C80" s="886">
        <f t="shared" si="6"/>
        <v>46300</v>
      </c>
      <c r="D80" s="3162">
        <v>7380</v>
      </c>
      <c r="E80" s="180">
        <v>18768</v>
      </c>
      <c r="F80" s="3162">
        <v>2155</v>
      </c>
      <c r="G80" s="180">
        <v>6593</v>
      </c>
      <c r="H80" s="3162">
        <v>6423</v>
      </c>
      <c r="I80" s="180">
        <v>3394</v>
      </c>
      <c r="J80" s="3162">
        <v>1587</v>
      </c>
      <c r="K80" s="180">
        <v>8381</v>
      </c>
      <c r="L80" s="3162">
        <v>1496</v>
      </c>
      <c r="M80" s="180">
        <v>1967</v>
      </c>
      <c r="N80" s="2095">
        <v>5565</v>
      </c>
      <c r="O80" s="2096"/>
      <c r="P80" s="2097">
        <v>104501</v>
      </c>
      <c r="Q80" s="2097">
        <v>3204069</v>
      </c>
      <c r="R80" s="263">
        <f t="shared" si="4"/>
        <v>609.64966842422564</v>
      </c>
      <c r="S80" s="203">
        <f t="shared" si="5"/>
        <v>19.883779032224339</v>
      </c>
      <c r="T80" s="895"/>
      <c r="U80" s="891">
        <v>1323366</v>
      </c>
      <c r="V80" s="896"/>
      <c r="W80" s="303"/>
      <c r="X80" s="2094"/>
      <c r="Y80" s="554"/>
      <c r="Z80" s="1305"/>
      <c r="AA80" s="1796"/>
      <c r="AB80" s="1305"/>
      <c r="AC80" s="1305"/>
    </row>
    <row r="81" spans="1:29">
      <c r="A81" s="63">
        <v>2002.12</v>
      </c>
      <c r="B81" s="169">
        <v>82075</v>
      </c>
      <c r="C81" s="886">
        <f t="shared" si="6"/>
        <v>59475</v>
      </c>
      <c r="D81" s="3162">
        <v>12948</v>
      </c>
      <c r="E81" s="180">
        <v>22180</v>
      </c>
      <c r="F81" s="3162">
        <v>2854</v>
      </c>
      <c r="G81" s="180">
        <v>7598</v>
      </c>
      <c r="H81" s="3162">
        <v>8195</v>
      </c>
      <c r="I81" s="180">
        <v>3953</v>
      </c>
      <c r="J81" s="3162">
        <v>1747</v>
      </c>
      <c r="K81" s="180">
        <v>10172</v>
      </c>
      <c r="L81" s="3162">
        <v>2000</v>
      </c>
      <c r="M81" s="180">
        <v>2516</v>
      </c>
      <c r="N81" s="2095">
        <v>7912</v>
      </c>
      <c r="O81" s="2096"/>
      <c r="P81" s="2097">
        <v>104501</v>
      </c>
      <c r="Q81" s="2097">
        <v>3607065</v>
      </c>
      <c r="R81" s="263">
        <f t="shared" si="4"/>
        <v>785.39918278293987</v>
      </c>
      <c r="S81" s="203">
        <f t="shared" si="5"/>
        <v>22.753956471535723</v>
      </c>
      <c r="T81" s="895"/>
      <c r="U81" s="169">
        <v>1665403</v>
      </c>
      <c r="V81" s="896"/>
      <c r="W81" s="303"/>
      <c r="X81" s="2094"/>
      <c r="Y81" s="554"/>
      <c r="Z81" s="1305"/>
      <c r="AA81" s="1796"/>
      <c r="AB81" s="1305"/>
      <c r="AC81" s="1305"/>
    </row>
    <row r="82" spans="1:29">
      <c r="A82" s="63">
        <v>2003.01</v>
      </c>
      <c r="B82" s="169">
        <v>58371</v>
      </c>
      <c r="C82" s="886">
        <f t="shared" si="6"/>
        <v>41114</v>
      </c>
      <c r="D82" s="3162">
        <v>6187</v>
      </c>
      <c r="E82" s="180">
        <v>15729</v>
      </c>
      <c r="F82" s="3162">
        <v>1919</v>
      </c>
      <c r="G82" s="180">
        <v>6276</v>
      </c>
      <c r="H82" s="3162">
        <v>6554</v>
      </c>
      <c r="I82" s="180">
        <v>3045</v>
      </c>
      <c r="J82" s="3162">
        <v>1404</v>
      </c>
      <c r="K82" s="180">
        <v>8172</v>
      </c>
      <c r="L82" s="3162">
        <v>1274</v>
      </c>
      <c r="M82" s="180">
        <v>2218</v>
      </c>
      <c r="N82" s="2095">
        <v>5593</v>
      </c>
      <c r="O82" s="2096"/>
      <c r="P82" s="2097">
        <v>104501</v>
      </c>
      <c r="Q82" s="2097">
        <v>2758456</v>
      </c>
      <c r="R82" s="263">
        <f t="shared" si="4"/>
        <v>558.56881752327729</v>
      </c>
      <c r="S82" s="203">
        <f t="shared" si="5"/>
        <v>21.160750796822569</v>
      </c>
      <c r="T82" s="895"/>
      <c r="U82" s="169">
        <v>1273759</v>
      </c>
      <c r="V82" s="896"/>
      <c r="W82" s="303"/>
      <c r="X82" s="2094"/>
      <c r="Y82" s="554"/>
      <c r="Z82" s="1305"/>
      <c r="AA82" s="1796"/>
      <c r="AB82" s="1305"/>
      <c r="AC82" s="1305"/>
    </row>
    <row r="83" spans="1:29">
      <c r="A83" s="63">
        <v>2003.02</v>
      </c>
      <c r="B83" s="169">
        <v>59315</v>
      </c>
      <c r="C83" s="886">
        <f t="shared" si="6"/>
        <v>42262</v>
      </c>
      <c r="D83" s="3162">
        <v>6662</v>
      </c>
      <c r="E83" s="180">
        <v>16307</v>
      </c>
      <c r="F83" s="3162">
        <v>1920</v>
      </c>
      <c r="G83" s="180">
        <v>6383</v>
      </c>
      <c r="H83" s="3162">
        <v>6442</v>
      </c>
      <c r="I83" s="180">
        <v>3116</v>
      </c>
      <c r="J83" s="3162">
        <v>1432</v>
      </c>
      <c r="K83" s="180">
        <v>8042</v>
      </c>
      <c r="L83" s="3162">
        <v>1385</v>
      </c>
      <c r="M83" s="180">
        <v>2072</v>
      </c>
      <c r="N83" s="2095">
        <v>5554</v>
      </c>
      <c r="O83" s="2096"/>
      <c r="P83" s="2097">
        <v>104501</v>
      </c>
      <c r="Q83" s="2097">
        <v>2694895</v>
      </c>
      <c r="R83" s="263">
        <f t="shared" si="4"/>
        <v>567.60222390216359</v>
      </c>
      <c r="S83" s="203">
        <f t="shared" si="5"/>
        <v>22.010133975535222</v>
      </c>
      <c r="T83" s="895"/>
      <c r="U83" s="169">
        <v>1238102</v>
      </c>
      <c r="V83" s="896"/>
      <c r="W83" s="303"/>
      <c r="X83" s="2094"/>
      <c r="Y83" s="554"/>
      <c r="Z83" s="1305"/>
      <c r="AA83" s="1796"/>
      <c r="AB83" s="1305"/>
      <c r="AC83" s="1305"/>
    </row>
    <row r="84" spans="1:29">
      <c r="A84" s="63">
        <v>2003.03</v>
      </c>
      <c r="B84" s="169">
        <v>68678</v>
      </c>
      <c r="C84" s="886">
        <f t="shared" si="6"/>
        <v>48724</v>
      </c>
      <c r="D84" s="3162">
        <v>7566</v>
      </c>
      <c r="E84" s="180">
        <v>18794</v>
      </c>
      <c r="F84" s="3162">
        <v>2223</v>
      </c>
      <c r="G84" s="180">
        <v>7529</v>
      </c>
      <c r="H84" s="3162">
        <v>7500</v>
      </c>
      <c r="I84" s="180">
        <v>3500</v>
      </c>
      <c r="J84" s="3162">
        <v>1612</v>
      </c>
      <c r="K84" s="180">
        <v>9308</v>
      </c>
      <c r="L84" s="3162">
        <v>1889</v>
      </c>
      <c r="M84" s="180">
        <v>2154</v>
      </c>
      <c r="N84" s="2095">
        <v>6603</v>
      </c>
      <c r="O84" s="2096"/>
      <c r="P84" s="2097">
        <v>103156</v>
      </c>
      <c r="Q84" s="2097">
        <v>2930624</v>
      </c>
      <c r="R84" s="263">
        <f t="shared" si="4"/>
        <v>665.76835084726054</v>
      </c>
      <c r="S84" s="203">
        <f t="shared" si="5"/>
        <v>23.434599593806642</v>
      </c>
      <c r="T84" s="895"/>
      <c r="U84" s="169">
        <v>1432972</v>
      </c>
      <c r="V84" s="896"/>
      <c r="W84" s="303"/>
      <c r="X84" s="2094"/>
      <c r="Y84" s="554"/>
      <c r="Z84" s="1305"/>
      <c r="AA84" s="1796"/>
      <c r="AB84" s="1305"/>
      <c r="AC84" s="1305"/>
    </row>
    <row r="85" spans="1:29">
      <c r="A85" s="63">
        <v>2003.04</v>
      </c>
      <c r="B85" s="169">
        <v>63219</v>
      </c>
      <c r="C85" s="886">
        <f t="shared" si="6"/>
        <v>46599</v>
      </c>
      <c r="D85" s="3162">
        <v>6301</v>
      </c>
      <c r="E85" s="180">
        <v>19217</v>
      </c>
      <c r="F85" s="3162">
        <v>2095</v>
      </c>
      <c r="G85" s="180">
        <v>7106</v>
      </c>
      <c r="H85" s="3162">
        <v>7164</v>
      </c>
      <c r="I85" s="180">
        <v>3285</v>
      </c>
      <c r="J85" s="3162">
        <v>1431</v>
      </c>
      <c r="K85" s="180">
        <v>8125</v>
      </c>
      <c r="L85" s="3162">
        <v>1512</v>
      </c>
      <c r="M85" s="180">
        <v>1876</v>
      </c>
      <c r="N85" s="2095">
        <v>5107</v>
      </c>
      <c r="O85" s="2096"/>
      <c r="P85" s="2097">
        <v>103156</v>
      </c>
      <c r="Q85" s="2097">
        <v>2943930</v>
      </c>
      <c r="R85" s="263">
        <f t="shared" si="4"/>
        <v>612.84850129900349</v>
      </c>
      <c r="S85" s="203">
        <f t="shared" si="5"/>
        <v>21.474355708185996</v>
      </c>
      <c r="T85" s="895"/>
      <c r="U85" s="169">
        <v>1317154</v>
      </c>
      <c r="V85" s="896"/>
      <c r="W85" s="303"/>
      <c r="X85" s="2094"/>
      <c r="Y85" s="554"/>
      <c r="Z85" s="1305"/>
      <c r="AA85" s="1796"/>
      <c r="AB85" s="1305"/>
      <c r="AC85" s="1305"/>
    </row>
    <row r="86" spans="1:29">
      <c r="A86" s="63">
        <v>2003.05</v>
      </c>
      <c r="B86" s="169">
        <v>66574</v>
      </c>
      <c r="C86" s="886">
        <f t="shared" si="6"/>
        <v>47854</v>
      </c>
      <c r="D86" s="3162">
        <v>6728</v>
      </c>
      <c r="E86" s="180">
        <v>19298</v>
      </c>
      <c r="F86" s="3162">
        <v>2151</v>
      </c>
      <c r="G86" s="180">
        <v>7513</v>
      </c>
      <c r="H86" s="3162">
        <v>7497</v>
      </c>
      <c r="I86" s="180">
        <v>3246</v>
      </c>
      <c r="J86" s="3162">
        <v>1421</v>
      </c>
      <c r="K86" s="180">
        <v>8747</v>
      </c>
      <c r="L86" s="3162">
        <v>1804</v>
      </c>
      <c r="M86" s="180">
        <v>2451</v>
      </c>
      <c r="N86" s="2095">
        <v>5718</v>
      </c>
      <c r="O86" s="2096"/>
      <c r="P86" s="2097">
        <v>110149</v>
      </c>
      <c r="Q86" s="2097">
        <v>2913114</v>
      </c>
      <c r="R86" s="263">
        <f t="shared" si="4"/>
        <v>604.3994952291896</v>
      </c>
      <c r="S86" s="203">
        <f t="shared" si="5"/>
        <v>22.853207941742067</v>
      </c>
      <c r="T86" s="895"/>
      <c r="U86" s="169">
        <v>1337991</v>
      </c>
      <c r="V86" s="896"/>
      <c r="W86" s="303"/>
      <c r="X86" s="2094"/>
      <c r="Y86" s="554"/>
      <c r="Z86" s="1305"/>
      <c r="AA86" s="1796"/>
      <c r="AB86" s="1305"/>
      <c r="AC86" s="1305"/>
    </row>
    <row r="87" spans="1:29">
      <c r="A87" s="63">
        <v>2003.06</v>
      </c>
      <c r="B87" s="169">
        <v>66376</v>
      </c>
      <c r="C87" s="886">
        <f t="shared" si="6"/>
        <v>47769</v>
      </c>
      <c r="D87" s="3162">
        <v>6800</v>
      </c>
      <c r="E87" s="180">
        <v>19145</v>
      </c>
      <c r="F87" s="3162">
        <v>2203</v>
      </c>
      <c r="G87" s="180">
        <v>7634</v>
      </c>
      <c r="H87" s="3162">
        <v>7333</v>
      </c>
      <c r="I87" s="180">
        <v>3255</v>
      </c>
      <c r="J87" s="3162">
        <v>1399</v>
      </c>
      <c r="K87" s="180">
        <v>8592</v>
      </c>
      <c r="L87" s="3162">
        <v>1833</v>
      </c>
      <c r="M87" s="180">
        <v>2482</v>
      </c>
      <c r="N87" s="2095">
        <v>5700</v>
      </c>
      <c r="O87" s="2096"/>
      <c r="P87" s="2097">
        <v>110149</v>
      </c>
      <c r="Q87" s="2097">
        <v>2976665</v>
      </c>
      <c r="R87" s="263">
        <f t="shared" si="4"/>
        <v>602.60193011284719</v>
      </c>
      <c r="S87" s="203">
        <f t="shared" si="5"/>
        <v>22.298780682407994</v>
      </c>
      <c r="T87" s="895"/>
      <c r="U87" s="169">
        <v>1314284</v>
      </c>
      <c r="V87" s="896"/>
      <c r="W87" s="303"/>
      <c r="X87" s="2094"/>
      <c r="Y87" s="554"/>
      <c r="Z87" s="1305"/>
      <c r="AA87" s="1796"/>
      <c r="AB87" s="1305"/>
      <c r="AC87" s="1305"/>
    </row>
    <row r="88" spans="1:29">
      <c r="A88" s="63">
        <v>2003.07</v>
      </c>
      <c r="B88" s="169">
        <v>68218</v>
      </c>
      <c r="C88" s="886">
        <f t="shared" si="6"/>
        <v>48680</v>
      </c>
      <c r="D88" s="3162">
        <v>6911</v>
      </c>
      <c r="E88" s="180">
        <v>19397</v>
      </c>
      <c r="F88" s="3162">
        <v>2191</v>
      </c>
      <c r="G88" s="180">
        <v>7905</v>
      </c>
      <c r="H88" s="3162">
        <v>7586</v>
      </c>
      <c r="I88" s="180">
        <v>3284</v>
      </c>
      <c r="J88" s="3162">
        <v>1406</v>
      </c>
      <c r="K88" s="180">
        <v>8684</v>
      </c>
      <c r="L88" s="3162">
        <v>1727</v>
      </c>
      <c r="M88" s="180">
        <v>2694</v>
      </c>
      <c r="N88" s="2095">
        <v>6433</v>
      </c>
      <c r="O88" s="2096"/>
      <c r="P88" s="2097">
        <v>110149</v>
      </c>
      <c r="Q88" s="2097">
        <v>3075187</v>
      </c>
      <c r="R88" s="263">
        <f t="shared" si="4"/>
        <v>619.32473286185075</v>
      </c>
      <c r="S88" s="203">
        <f t="shared" si="5"/>
        <v>22.183366409912633</v>
      </c>
      <c r="T88" s="895"/>
      <c r="U88" s="169">
        <v>1360037</v>
      </c>
      <c r="V88" s="896"/>
      <c r="W88" s="303"/>
      <c r="X88" s="2094"/>
      <c r="Y88" s="554"/>
      <c r="Z88" s="1305"/>
      <c r="AA88" s="1796"/>
      <c r="AB88" s="1305"/>
      <c r="AC88" s="1305"/>
    </row>
    <row r="89" spans="1:29">
      <c r="A89" s="63">
        <v>2003.08</v>
      </c>
      <c r="B89" s="169">
        <v>71188</v>
      </c>
      <c r="C89" s="886">
        <f t="shared" si="6"/>
        <v>51060</v>
      </c>
      <c r="D89" s="3162">
        <v>7333</v>
      </c>
      <c r="E89" s="180">
        <v>20298</v>
      </c>
      <c r="F89" s="3162">
        <v>2320</v>
      </c>
      <c r="G89" s="180">
        <v>7951</v>
      </c>
      <c r="H89" s="3162">
        <v>8185</v>
      </c>
      <c r="I89" s="180">
        <v>3561</v>
      </c>
      <c r="J89" s="3162">
        <v>1412</v>
      </c>
      <c r="K89" s="180">
        <v>8840</v>
      </c>
      <c r="L89" s="3162">
        <v>1784</v>
      </c>
      <c r="M89" s="180">
        <v>2739</v>
      </c>
      <c r="N89" s="2095">
        <v>6765</v>
      </c>
      <c r="O89" s="2096"/>
      <c r="P89" s="2097">
        <v>110149</v>
      </c>
      <c r="Q89" s="2097">
        <v>3054500</v>
      </c>
      <c r="R89" s="263">
        <f t="shared" si="4"/>
        <v>646.28820960698681</v>
      </c>
      <c r="S89" s="203">
        <f t="shared" si="5"/>
        <v>23.305942052709117</v>
      </c>
      <c r="T89" s="895"/>
      <c r="U89" s="169">
        <v>1423336</v>
      </c>
      <c r="V89" s="896"/>
      <c r="W89" s="303"/>
      <c r="X89" s="2094"/>
      <c r="Y89" s="554"/>
      <c r="Z89" s="1305"/>
      <c r="AA89" s="1796"/>
      <c r="AB89" s="1305"/>
      <c r="AC89" s="1305"/>
    </row>
    <row r="90" spans="1:29">
      <c r="A90" s="63">
        <v>2003.09</v>
      </c>
      <c r="B90" s="169">
        <v>65487</v>
      </c>
      <c r="C90" s="886">
        <f t="shared" si="6"/>
        <v>48017</v>
      </c>
      <c r="D90" s="3162">
        <v>7262</v>
      </c>
      <c r="E90" s="180">
        <v>18572</v>
      </c>
      <c r="F90" s="3162">
        <v>2089</v>
      </c>
      <c r="G90" s="180">
        <v>7697</v>
      </c>
      <c r="H90" s="3162">
        <v>7667</v>
      </c>
      <c r="I90" s="180">
        <v>3434</v>
      </c>
      <c r="J90" s="3162">
        <v>1296</v>
      </c>
      <c r="K90" s="180">
        <v>8190</v>
      </c>
      <c r="L90" s="3162">
        <v>1507</v>
      </c>
      <c r="M90" s="180">
        <v>2380</v>
      </c>
      <c r="N90" s="2095">
        <v>5393</v>
      </c>
      <c r="O90" s="2096"/>
      <c r="P90" s="2097">
        <v>110549</v>
      </c>
      <c r="Q90" s="2097">
        <v>2879509</v>
      </c>
      <c r="R90" s="263">
        <f t="shared" si="4"/>
        <v>592.37984965942701</v>
      </c>
      <c r="S90" s="203">
        <f t="shared" si="5"/>
        <v>22.742418933227853</v>
      </c>
      <c r="T90" s="895"/>
      <c r="U90" s="169">
        <v>1279170</v>
      </c>
      <c r="V90" s="896"/>
      <c r="W90" s="303"/>
      <c r="X90" s="2094"/>
      <c r="Y90" s="554"/>
      <c r="Z90" s="1305"/>
      <c r="AA90" s="1796"/>
      <c r="AB90" s="1305"/>
      <c r="AC90" s="1305"/>
    </row>
    <row r="91" spans="1:29">
      <c r="A91" s="63">
        <v>2003.1</v>
      </c>
      <c r="B91" s="169">
        <v>69520</v>
      </c>
      <c r="C91" s="886">
        <f t="shared" si="6"/>
        <v>49916</v>
      </c>
      <c r="D91" s="3162">
        <v>8016</v>
      </c>
      <c r="E91" s="180">
        <v>18372</v>
      </c>
      <c r="F91" s="3162">
        <v>2172</v>
      </c>
      <c r="G91" s="180">
        <v>8262</v>
      </c>
      <c r="H91" s="3162">
        <v>7959</v>
      </c>
      <c r="I91" s="180">
        <v>3737</v>
      </c>
      <c r="J91" s="3162">
        <v>1398</v>
      </c>
      <c r="K91" s="180">
        <v>8788</v>
      </c>
      <c r="L91" s="3162">
        <v>1735</v>
      </c>
      <c r="M91" s="180">
        <v>3062</v>
      </c>
      <c r="N91" s="2095">
        <v>6019</v>
      </c>
      <c r="O91" s="2096"/>
      <c r="P91" s="2097">
        <v>114416</v>
      </c>
      <c r="Q91" s="2097">
        <v>3028929</v>
      </c>
      <c r="R91" s="263">
        <f t="shared" si="4"/>
        <v>607.6073276464831</v>
      </c>
      <c r="S91" s="203">
        <f t="shared" si="5"/>
        <v>22.952007128592317</v>
      </c>
      <c r="T91" s="895"/>
      <c r="U91" s="169">
        <v>1397585</v>
      </c>
      <c r="V91" s="896"/>
      <c r="W91" s="303"/>
      <c r="X91" s="2094"/>
      <c r="Y91" s="554"/>
      <c r="Z91" s="1305"/>
      <c r="AA91" s="1796"/>
      <c r="AB91" s="1305"/>
      <c r="AC91" s="1305"/>
    </row>
    <row r="92" spans="1:29">
      <c r="A92" s="63">
        <v>2003.11</v>
      </c>
      <c r="B92" s="169">
        <v>70266</v>
      </c>
      <c r="C92" s="886">
        <f t="shared" si="6"/>
        <v>50046</v>
      </c>
      <c r="D92" s="3162">
        <v>8273</v>
      </c>
      <c r="E92" s="180">
        <v>19652</v>
      </c>
      <c r="F92" s="3162">
        <v>2121</v>
      </c>
      <c r="G92" s="180">
        <v>7190</v>
      </c>
      <c r="H92" s="3162">
        <v>7879</v>
      </c>
      <c r="I92" s="180">
        <v>3807</v>
      </c>
      <c r="J92" s="3162">
        <v>1124</v>
      </c>
      <c r="K92" s="180">
        <v>8957</v>
      </c>
      <c r="L92" s="3162">
        <v>1849</v>
      </c>
      <c r="M92" s="180">
        <v>3600</v>
      </c>
      <c r="N92" s="2095">
        <v>5814</v>
      </c>
      <c r="O92" s="2096"/>
      <c r="P92" s="2097">
        <v>114416</v>
      </c>
      <c r="Q92" s="2097">
        <v>2833059</v>
      </c>
      <c r="R92" s="263">
        <f t="shared" si="4"/>
        <v>614.12739476996228</v>
      </c>
      <c r="S92" s="203">
        <f t="shared" si="5"/>
        <v>24.802166139145001</v>
      </c>
      <c r="T92" s="895"/>
      <c r="U92" s="169">
        <v>1402050</v>
      </c>
      <c r="V92" s="896"/>
      <c r="W92" s="303"/>
      <c r="X92" s="2094"/>
      <c r="Y92" s="554"/>
      <c r="Z92" s="1305"/>
      <c r="AA92" s="1796"/>
      <c r="AB92" s="1305"/>
      <c r="AC92" s="1305"/>
    </row>
    <row r="93" spans="1:29">
      <c r="A93" s="63">
        <v>2003.12</v>
      </c>
      <c r="B93" s="169">
        <v>89757</v>
      </c>
      <c r="C93" s="886">
        <f t="shared" si="6"/>
        <v>64004</v>
      </c>
      <c r="D93" s="3162">
        <v>13272</v>
      </c>
      <c r="E93" s="180">
        <v>24245</v>
      </c>
      <c r="F93" s="3162">
        <v>2695</v>
      </c>
      <c r="G93" s="180">
        <v>7968</v>
      </c>
      <c r="H93" s="3162">
        <v>9884</v>
      </c>
      <c r="I93" s="180">
        <v>4580</v>
      </c>
      <c r="J93" s="3162">
        <v>1360</v>
      </c>
      <c r="K93" s="180">
        <v>9959</v>
      </c>
      <c r="L93" s="3162">
        <v>2356</v>
      </c>
      <c r="M93" s="180">
        <v>4776</v>
      </c>
      <c r="N93" s="2095">
        <v>8662</v>
      </c>
      <c r="O93" s="2096"/>
      <c r="P93" s="2097">
        <v>124020</v>
      </c>
      <c r="Q93" s="2097">
        <v>3064099</v>
      </c>
      <c r="R93" s="263">
        <f t="shared" si="4"/>
        <v>723.73004354136424</v>
      </c>
      <c r="S93" s="203">
        <f t="shared" si="5"/>
        <v>29.293113571069345</v>
      </c>
      <c r="T93" s="895"/>
      <c r="U93" s="169">
        <v>1776947</v>
      </c>
      <c r="V93" s="896"/>
      <c r="W93" s="303"/>
      <c r="X93" s="2094"/>
      <c r="Y93" s="554"/>
      <c r="Z93" s="1305"/>
      <c r="AA93" s="1796"/>
      <c r="AB93" s="1305"/>
      <c r="AC93" s="1305"/>
    </row>
    <row r="94" spans="1:29">
      <c r="A94" s="63">
        <v>2004.01</v>
      </c>
      <c r="B94" s="169">
        <v>67881</v>
      </c>
      <c r="C94" s="886">
        <f t="shared" si="6"/>
        <v>45642</v>
      </c>
      <c r="D94" s="3162">
        <v>7672</v>
      </c>
      <c r="E94" s="180">
        <v>17136</v>
      </c>
      <c r="F94" s="3162">
        <v>2008</v>
      </c>
      <c r="G94" s="180">
        <v>6390</v>
      </c>
      <c r="H94" s="3162">
        <v>7678</v>
      </c>
      <c r="I94" s="180">
        <v>3678</v>
      </c>
      <c r="J94" s="3162">
        <v>1080</v>
      </c>
      <c r="K94" s="180">
        <v>8949</v>
      </c>
      <c r="L94" s="3162">
        <v>1983</v>
      </c>
      <c r="M94" s="180">
        <v>4619</v>
      </c>
      <c r="N94" s="2095">
        <v>6688</v>
      </c>
      <c r="O94" s="2096"/>
      <c r="P94" s="2097">
        <v>124823</v>
      </c>
      <c r="Q94" s="2097">
        <v>2782848</v>
      </c>
      <c r="R94" s="263">
        <f t="shared" si="4"/>
        <v>543.81804635363676</v>
      </c>
      <c r="S94" s="203">
        <f t="shared" si="5"/>
        <v>24.392636608251692</v>
      </c>
      <c r="T94" s="895"/>
      <c r="U94" s="169">
        <v>1387048</v>
      </c>
      <c r="V94" s="896"/>
      <c r="W94" s="303"/>
      <c r="X94" s="2094"/>
      <c r="Y94" s="554"/>
      <c r="Z94" s="1305"/>
      <c r="AA94" s="1796"/>
      <c r="AB94" s="1305"/>
      <c r="AC94" s="1305"/>
    </row>
    <row r="95" spans="1:29">
      <c r="A95" s="63">
        <v>2004.02</v>
      </c>
      <c r="B95" s="169">
        <v>68691</v>
      </c>
      <c r="C95" s="886">
        <f t="shared" si="6"/>
        <v>47371</v>
      </c>
      <c r="D95" s="3162">
        <v>7898</v>
      </c>
      <c r="E95" s="180">
        <v>17998</v>
      </c>
      <c r="F95" s="3162">
        <v>2138</v>
      </c>
      <c r="G95" s="180">
        <v>6862</v>
      </c>
      <c r="H95" s="3162">
        <v>7695</v>
      </c>
      <c r="I95" s="180">
        <v>3643</v>
      </c>
      <c r="J95" s="3162">
        <v>1137</v>
      </c>
      <c r="K95" s="180">
        <v>9329</v>
      </c>
      <c r="L95" s="3162">
        <v>2070</v>
      </c>
      <c r="M95" s="180">
        <v>3183</v>
      </c>
      <c r="N95" s="2095">
        <v>6738</v>
      </c>
      <c r="O95" s="2096"/>
      <c r="P95" s="2097">
        <v>124823</v>
      </c>
      <c r="Q95" s="2097">
        <v>2784459</v>
      </c>
      <c r="R95" s="263">
        <f t="shared" si="4"/>
        <v>550.30723504482353</v>
      </c>
      <c r="S95" s="203">
        <f t="shared" si="5"/>
        <v>24.669424114343219</v>
      </c>
      <c r="T95" s="895"/>
      <c r="U95" s="169">
        <v>1396486</v>
      </c>
      <c r="V95" s="896"/>
      <c r="W95" s="303"/>
      <c r="X95" s="2094"/>
      <c r="Y95" s="554"/>
      <c r="Z95" s="1305"/>
      <c r="AA95" s="1796"/>
      <c r="AB95" s="1305"/>
      <c r="AC95" s="1305"/>
    </row>
    <row r="96" spans="1:29">
      <c r="A96" s="63">
        <v>2004.03</v>
      </c>
      <c r="B96" s="169">
        <v>71504</v>
      </c>
      <c r="C96" s="886">
        <f t="shared" si="6"/>
        <v>50283</v>
      </c>
      <c r="D96" s="3162">
        <v>8103</v>
      </c>
      <c r="E96" s="180">
        <v>19552</v>
      </c>
      <c r="F96" s="3162">
        <v>2188</v>
      </c>
      <c r="G96" s="180">
        <v>7372</v>
      </c>
      <c r="H96" s="3162">
        <v>8129</v>
      </c>
      <c r="I96" s="180">
        <v>3791</v>
      </c>
      <c r="J96" s="3162">
        <v>1148</v>
      </c>
      <c r="K96" s="180">
        <v>9332</v>
      </c>
      <c r="L96" s="3162">
        <v>2037</v>
      </c>
      <c r="M96" s="180">
        <v>3133</v>
      </c>
      <c r="N96" s="2095">
        <v>6719</v>
      </c>
      <c r="O96" s="2096"/>
      <c r="P96" s="2097">
        <v>124823</v>
      </c>
      <c r="Q96" s="2097">
        <v>2919411</v>
      </c>
      <c r="R96" s="263">
        <f t="shared" si="4"/>
        <v>572.84314589458677</v>
      </c>
      <c r="S96" s="203">
        <f t="shared" si="5"/>
        <v>24.492611694619224</v>
      </c>
      <c r="T96" s="895"/>
      <c r="U96" s="169">
        <v>1451252</v>
      </c>
      <c r="V96" s="896"/>
      <c r="W96" s="303"/>
      <c r="X96" s="2094"/>
      <c r="Y96" s="554"/>
      <c r="Z96" s="1305"/>
      <c r="AA96" s="1796"/>
      <c r="AB96" s="1305"/>
      <c r="AC96" s="1305"/>
    </row>
    <row r="97" spans="1:29">
      <c r="A97" s="63">
        <v>2004.04</v>
      </c>
      <c r="B97" s="169">
        <v>73186</v>
      </c>
      <c r="C97" s="886">
        <f t="shared" si="6"/>
        <v>51934</v>
      </c>
      <c r="D97" s="3162">
        <v>7571</v>
      </c>
      <c r="E97" s="180">
        <v>21241</v>
      </c>
      <c r="F97" s="3162">
        <v>2375</v>
      </c>
      <c r="G97" s="180">
        <v>7310</v>
      </c>
      <c r="H97" s="3162">
        <v>8369</v>
      </c>
      <c r="I97" s="180">
        <v>3845</v>
      </c>
      <c r="J97" s="3162">
        <v>1223</v>
      </c>
      <c r="K97" s="180">
        <v>9414</v>
      </c>
      <c r="L97" s="3162">
        <v>2347</v>
      </c>
      <c r="M97" s="180">
        <v>3337</v>
      </c>
      <c r="N97" s="2095">
        <v>6154</v>
      </c>
      <c r="O97" s="2096"/>
      <c r="P97" s="2097">
        <v>124823</v>
      </c>
      <c r="Q97" s="2097">
        <v>3011111</v>
      </c>
      <c r="R97" s="263">
        <f t="shared" si="4"/>
        <v>586.31822660887826</v>
      </c>
      <c r="S97" s="203">
        <f t="shared" si="5"/>
        <v>24.305314550011609</v>
      </c>
      <c r="T97" s="895"/>
      <c r="U97" s="169">
        <v>1468286</v>
      </c>
      <c r="V97" s="896"/>
      <c r="W97" s="303"/>
      <c r="X97" s="2094"/>
      <c r="Y97" s="554"/>
      <c r="Z97" s="1305"/>
      <c r="AA97" s="1796"/>
      <c r="AB97" s="1305"/>
      <c r="AC97" s="1305"/>
    </row>
    <row r="98" spans="1:29">
      <c r="A98" s="63">
        <v>2004.05</v>
      </c>
      <c r="B98" s="169">
        <v>74819</v>
      </c>
      <c r="C98" s="886">
        <f t="shared" si="6"/>
        <v>52249</v>
      </c>
      <c r="D98" s="3162">
        <v>7418</v>
      </c>
      <c r="E98" s="180">
        <v>21775</v>
      </c>
      <c r="F98" s="3162">
        <v>2404</v>
      </c>
      <c r="G98" s="180">
        <v>7510</v>
      </c>
      <c r="H98" s="3162">
        <v>8135</v>
      </c>
      <c r="I98" s="180">
        <v>3810</v>
      </c>
      <c r="J98" s="3162">
        <v>1197</v>
      </c>
      <c r="K98" s="180">
        <v>9602</v>
      </c>
      <c r="L98" s="3162">
        <v>2654</v>
      </c>
      <c r="M98" s="180">
        <v>3966</v>
      </c>
      <c r="N98" s="2095">
        <v>6348</v>
      </c>
      <c r="O98" s="2096"/>
      <c r="P98" s="2097">
        <v>124823</v>
      </c>
      <c r="Q98" s="2097">
        <v>3058595</v>
      </c>
      <c r="R98" s="263">
        <f t="shared" si="4"/>
        <v>599.4007514640731</v>
      </c>
      <c r="S98" s="203">
        <f t="shared" si="5"/>
        <v>24.461885277390436</v>
      </c>
      <c r="T98" s="895"/>
      <c r="U98" s="169">
        <v>1461202</v>
      </c>
      <c r="V98" s="896"/>
      <c r="W98" s="303"/>
      <c r="X98" s="2094"/>
      <c r="Y98" s="554"/>
      <c r="Z98" s="1305"/>
      <c r="AA98" s="1796"/>
      <c r="AB98" s="1305"/>
      <c r="AC98" s="1305"/>
    </row>
    <row r="99" spans="1:29">
      <c r="A99" s="63">
        <v>2004.06</v>
      </c>
      <c r="B99" s="169">
        <v>72284</v>
      </c>
      <c r="C99" s="886">
        <f t="shared" si="6"/>
        <v>50473</v>
      </c>
      <c r="D99" s="3162">
        <v>7308</v>
      </c>
      <c r="E99" s="180">
        <v>20856</v>
      </c>
      <c r="F99" s="3162">
        <v>2345</v>
      </c>
      <c r="G99" s="180">
        <v>7125</v>
      </c>
      <c r="H99" s="3162">
        <v>8003</v>
      </c>
      <c r="I99" s="180">
        <v>3698</v>
      </c>
      <c r="J99" s="3162">
        <v>1138</v>
      </c>
      <c r="K99" s="180">
        <v>9157</v>
      </c>
      <c r="L99" s="3162">
        <v>2396</v>
      </c>
      <c r="M99" s="180">
        <v>3926</v>
      </c>
      <c r="N99" s="2095">
        <v>6332</v>
      </c>
      <c r="O99" s="2096"/>
      <c r="P99" s="2097">
        <v>117893</v>
      </c>
      <c r="Q99" s="2097">
        <v>2908138</v>
      </c>
      <c r="R99" s="263">
        <f t="shared" si="4"/>
        <v>613.13224703756794</v>
      </c>
      <c r="S99" s="203">
        <f t="shared" si="5"/>
        <v>24.855766817118031</v>
      </c>
      <c r="T99" s="895"/>
      <c r="U99" s="169">
        <v>1423438</v>
      </c>
      <c r="V99" s="896"/>
      <c r="W99" s="303"/>
      <c r="X99" s="2094"/>
      <c r="Y99" s="554"/>
      <c r="Z99" s="1305"/>
      <c r="AA99" s="1796"/>
      <c r="AB99" s="1305"/>
      <c r="AC99" s="1305"/>
    </row>
    <row r="100" spans="1:29">
      <c r="A100" s="63">
        <v>2004.07</v>
      </c>
      <c r="B100" s="169">
        <v>76358</v>
      </c>
      <c r="C100" s="886">
        <f t="shared" si="6"/>
        <v>53257</v>
      </c>
      <c r="D100" s="3162">
        <v>7734</v>
      </c>
      <c r="E100" s="180">
        <v>22277</v>
      </c>
      <c r="F100" s="3162">
        <v>2451</v>
      </c>
      <c r="G100" s="180">
        <v>7389</v>
      </c>
      <c r="H100" s="3162">
        <v>8306</v>
      </c>
      <c r="I100" s="180">
        <v>3865</v>
      </c>
      <c r="J100" s="3162">
        <v>1235</v>
      </c>
      <c r="K100" s="180">
        <v>9808</v>
      </c>
      <c r="L100" s="3162">
        <v>2722</v>
      </c>
      <c r="M100" s="180">
        <v>3657</v>
      </c>
      <c r="N100" s="2095">
        <v>6914</v>
      </c>
      <c r="O100" s="2096"/>
      <c r="P100" s="2097">
        <v>117116</v>
      </c>
      <c r="Q100" s="2097">
        <v>3031251</v>
      </c>
      <c r="R100" s="263">
        <f t="shared" si="4"/>
        <v>651.98606509785168</v>
      </c>
      <c r="S100" s="203">
        <f t="shared" si="5"/>
        <v>25.190259731048336</v>
      </c>
      <c r="T100" s="895"/>
      <c r="U100" s="169">
        <v>1553311</v>
      </c>
      <c r="V100" s="896"/>
      <c r="W100" s="303"/>
      <c r="X100" s="2094"/>
      <c r="Y100" s="554"/>
      <c r="Z100" s="1305"/>
      <c r="AA100" s="1796"/>
      <c r="AB100" s="1305"/>
      <c r="AC100" s="1305"/>
    </row>
    <row r="101" spans="1:29">
      <c r="A101" s="63">
        <v>2004.08</v>
      </c>
      <c r="B101" s="169">
        <v>75121</v>
      </c>
      <c r="C101" s="886">
        <f t="shared" si="6"/>
        <v>52607</v>
      </c>
      <c r="D101" s="3162">
        <v>7350</v>
      </c>
      <c r="E101" s="180">
        <v>21679</v>
      </c>
      <c r="F101" s="3162">
        <v>2415</v>
      </c>
      <c r="G101" s="180">
        <v>7588</v>
      </c>
      <c r="H101" s="3162">
        <v>8233</v>
      </c>
      <c r="I101" s="180">
        <v>4122</v>
      </c>
      <c r="J101" s="3162">
        <v>1220</v>
      </c>
      <c r="K101" s="180">
        <v>9521</v>
      </c>
      <c r="L101" s="3162">
        <v>2242</v>
      </c>
      <c r="M101" s="180">
        <v>3620</v>
      </c>
      <c r="N101" s="2095">
        <v>7131</v>
      </c>
      <c r="O101" s="2096"/>
      <c r="P101" s="2097">
        <v>115315</v>
      </c>
      <c r="Q101" s="2097">
        <v>2973152</v>
      </c>
      <c r="R101" s="263">
        <f t="shared" si="4"/>
        <v>651.44170316090708</v>
      </c>
      <c r="S101" s="203">
        <f t="shared" si="5"/>
        <v>25.266451227518807</v>
      </c>
      <c r="T101" s="895"/>
      <c r="U101" s="169">
        <v>1516805</v>
      </c>
      <c r="V101" s="896"/>
      <c r="W101" s="303"/>
      <c r="X101" s="2094"/>
      <c r="Y101" s="554"/>
      <c r="Z101" s="1305"/>
      <c r="AA101" s="1796"/>
      <c r="AB101" s="1305"/>
      <c r="AC101" s="1305"/>
    </row>
    <row r="102" spans="1:29">
      <c r="A102" s="63">
        <v>2004.09</v>
      </c>
      <c r="B102" s="169">
        <v>70653</v>
      </c>
      <c r="C102" s="886">
        <f t="shared" si="6"/>
        <v>50488</v>
      </c>
      <c r="D102" s="3162">
        <v>7433</v>
      </c>
      <c r="E102" s="180">
        <v>20599</v>
      </c>
      <c r="F102" s="3162">
        <v>2242</v>
      </c>
      <c r="G102" s="180">
        <v>7253</v>
      </c>
      <c r="H102" s="3162">
        <v>7841</v>
      </c>
      <c r="I102" s="180">
        <v>3983</v>
      </c>
      <c r="J102" s="3162">
        <v>1137</v>
      </c>
      <c r="K102" s="180">
        <v>9215</v>
      </c>
      <c r="L102" s="3162">
        <v>1914</v>
      </c>
      <c r="M102" s="180">
        <v>3036</v>
      </c>
      <c r="N102" s="2095">
        <v>6000</v>
      </c>
      <c r="O102" s="2096"/>
      <c r="P102" s="2097">
        <v>115315</v>
      </c>
      <c r="Q102" s="2097">
        <v>2703495</v>
      </c>
      <c r="R102" s="263">
        <f t="shared" si="4"/>
        <v>612.69565971469456</v>
      </c>
      <c r="S102" s="203">
        <f t="shared" si="5"/>
        <v>26.133948832899634</v>
      </c>
      <c r="T102" s="895"/>
      <c r="U102" s="169">
        <v>1437883</v>
      </c>
      <c r="V102" s="896"/>
      <c r="W102" s="303"/>
      <c r="X102" s="2094"/>
      <c r="Y102" s="554"/>
      <c r="Z102" s="1305"/>
      <c r="AA102" s="1796"/>
      <c r="AB102" s="1305"/>
      <c r="AC102" s="1305"/>
    </row>
    <row r="103" spans="1:29">
      <c r="A103" s="63">
        <v>2004.1</v>
      </c>
      <c r="B103" s="169">
        <v>84790</v>
      </c>
      <c r="C103" s="886">
        <f t="shared" si="6"/>
        <v>57087</v>
      </c>
      <c r="D103" s="3162">
        <v>8548</v>
      </c>
      <c r="E103" s="180">
        <v>22998</v>
      </c>
      <c r="F103" s="3162">
        <v>2577</v>
      </c>
      <c r="G103" s="180">
        <v>8329</v>
      </c>
      <c r="H103" s="3162">
        <v>9063</v>
      </c>
      <c r="I103" s="180">
        <v>4281</v>
      </c>
      <c r="J103" s="3162">
        <v>1291</v>
      </c>
      <c r="K103" s="180">
        <v>10973</v>
      </c>
      <c r="L103" s="3162">
        <v>2923</v>
      </c>
      <c r="M103" s="180">
        <v>6282</v>
      </c>
      <c r="N103" s="2095">
        <v>7525</v>
      </c>
      <c r="O103" s="2096"/>
      <c r="P103" s="2097">
        <v>122211</v>
      </c>
      <c r="Q103" s="2097">
        <v>3129776</v>
      </c>
      <c r="R103" s="263">
        <f t="shared" si="4"/>
        <v>693.80006709706993</v>
      </c>
      <c r="S103" s="203">
        <f t="shared" si="5"/>
        <v>27.091395678157159</v>
      </c>
      <c r="T103" s="895"/>
      <c r="U103" s="169">
        <v>1627785</v>
      </c>
      <c r="V103" s="896"/>
      <c r="W103" s="303"/>
      <c r="X103" s="2094"/>
      <c r="Y103" s="554"/>
      <c r="Z103" s="1305"/>
      <c r="AA103" s="1796"/>
      <c r="AB103" s="1305"/>
      <c r="AC103" s="1305"/>
    </row>
    <row r="104" spans="1:29">
      <c r="A104" s="63">
        <v>2004.11</v>
      </c>
      <c r="B104" s="169">
        <v>77769</v>
      </c>
      <c r="C104" s="886">
        <f t="shared" si="6"/>
        <v>53662</v>
      </c>
      <c r="D104" s="3162">
        <v>9036</v>
      </c>
      <c r="E104" s="180">
        <v>21219</v>
      </c>
      <c r="F104" s="3162">
        <v>2345</v>
      </c>
      <c r="G104" s="180">
        <v>7632</v>
      </c>
      <c r="H104" s="3162">
        <v>8296</v>
      </c>
      <c r="I104" s="180">
        <v>3964</v>
      </c>
      <c r="J104" s="3162">
        <v>1170</v>
      </c>
      <c r="K104" s="180">
        <v>10168</v>
      </c>
      <c r="L104" s="3162">
        <v>2346</v>
      </c>
      <c r="M104" s="180">
        <v>4646</v>
      </c>
      <c r="N104" s="2095">
        <v>6947</v>
      </c>
      <c r="O104" s="2096"/>
      <c r="P104" s="2097">
        <v>131194</v>
      </c>
      <c r="Q104" s="2097">
        <v>2887913</v>
      </c>
      <c r="R104" s="263">
        <f t="shared" si="4"/>
        <v>592.77863316919979</v>
      </c>
      <c r="S104" s="203">
        <f t="shared" si="5"/>
        <v>26.929135330600332</v>
      </c>
      <c r="T104" s="895"/>
      <c r="U104" s="169">
        <v>1476899</v>
      </c>
      <c r="V104" s="896"/>
      <c r="W104" s="303"/>
      <c r="X104" s="2094"/>
      <c r="Y104" s="554"/>
      <c r="Z104" s="1305"/>
      <c r="AA104" s="1796"/>
      <c r="AB104" s="1305"/>
      <c r="AC104" s="1305"/>
    </row>
    <row r="105" spans="1:29">
      <c r="A105" s="63">
        <v>2004.12</v>
      </c>
      <c r="B105" s="169">
        <v>110360</v>
      </c>
      <c r="C105" s="886">
        <f t="shared" si="6"/>
        <v>74072</v>
      </c>
      <c r="D105" s="3162">
        <v>16892</v>
      </c>
      <c r="E105" s="180">
        <v>27258</v>
      </c>
      <c r="F105" s="3162">
        <v>3409</v>
      </c>
      <c r="G105" s="180">
        <v>8827</v>
      </c>
      <c r="H105" s="3162">
        <v>11120</v>
      </c>
      <c r="I105" s="180">
        <v>4945</v>
      </c>
      <c r="J105" s="3162">
        <v>1621</v>
      </c>
      <c r="K105" s="180">
        <v>12938</v>
      </c>
      <c r="L105" s="3162">
        <v>3664</v>
      </c>
      <c r="M105" s="180">
        <v>8202</v>
      </c>
      <c r="N105" s="2095">
        <v>11484</v>
      </c>
      <c r="O105" s="2096"/>
      <c r="P105" s="2097">
        <v>131194</v>
      </c>
      <c r="Q105" s="2097">
        <v>3484250</v>
      </c>
      <c r="R105" s="263">
        <f t="shared" si="4"/>
        <v>841.19700596063842</v>
      </c>
      <c r="S105" s="203">
        <f t="shared" si="5"/>
        <v>31.673961397718305</v>
      </c>
      <c r="T105" s="895"/>
      <c r="U105" s="169">
        <v>2054252</v>
      </c>
      <c r="V105" s="896"/>
      <c r="W105" s="303"/>
      <c r="X105" s="2094"/>
      <c r="Y105" s="554"/>
      <c r="Z105" s="1305"/>
      <c r="AA105" s="1796"/>
      <c r="AB105" s="1305"/>
      <c r="AC105" s="1305"/>
    </row>
    <row r="106" spans="1:29">
      <c r="A106" s="63">
        <v>2005.01</v>
      </c>
      <c r="B106" s="169">
        <v>81326</v>
      </c>
      <c r="C106" s="886">
        <f t="shared" si="6"/>
        <v>52309</v>
      </c>
      <c r="D106" s="3162">
        <v>8684</v>
      </c>
      <c r="E106" s="180">
        <v>19548</v>
      </c>
      <c r="F106" s="3162">
        <v>2500</v>
      </c>
      <c r="G106" s="180">
        <v>7751</v>
      </c>
      <c r="H106" s="3162">
        <v>8486</v>
      </c>
      <c r="I106" s="180">
        <v>4031</v>
      </c>
      <c r="J106" s="3162">
        <v>1309</v>
      </c>
      <c r="K106" s="180">
        <v>11661</v>
      </c>
      <c r="L106" s="3162">
        <v>2975</v>
      </c>
      <c r="M106" s="180">
        <v>5923</v>
      </c>
      <c r="N106" s="2095">
        <v>8458</v>
      </c>
      <c r="O106" s="2096"/>
      <c r="P106" s="2097">
        <v>131324</v>
      </c>
      <c r="Q106" s="2097">
        <v>2928898</v>
      </c>
      <c r="R106" s="263">
        <f t="shared" si="4"/>
        <v>619.27751210745942</v>
      </c>
      <c r="S106" s="203">
        <f t="shared" si="5"/>
        <v>27.766757326475695</v>
      </c>
      <c r="T106" s="895"/>
      <c r="U106" s="169">
        <v>1590406</v>
      </c>
      <c r="V106" s="896"/>
      <c r="W106" s="303"/>
      <c r="X106" s="2094"/>
      <c r="Y106" s="554"/>
      <c r="Z106" s="1305"/>
      <c r="AA106" s="1796"/>
      <c r="AB106" s="1305"/>
      <c r="AC106" s="1305"/>
    </row>
    <row r="107" spans="1:29">
      <c r="A107" s="63">
        <v>2005.02</v>
      </c>
      <c r="B107" s="169">
        <v>77292</v>
      </c>
      <c r="C107" s="886">
        <f t="shared" si="6"/>
        <v>51711</v>
      </c>
      <c r="D107" s="3162">
        <v>7866</v>
      </c>
      <c r="E107" s="180">
        <v>19975</v>
      </c>
      <c r="F107" s="3162">
        <v>2465</v>
      </c>
      <c r="G107" s="180">
        <v>7737</v>
      </c>
      <c r="H107" s="3162">
        <v>8487</v>
      </c>
      <c r="I107" s="180">
        <v>3918</v>
      </c>
      <c r="J107" s="3162">
        <v>1263</v>
      </c>
      <c r="K107" s="180">
        <v>10808</v>
      </c>
      <c r="L107" s="3162">
        <v>2660</v>
      </c>
      <c r="M107" s="180">
        <v>3986</v>
      </c>
      <c r="N107" s="2095">
        <v>8127</v>
      </c>
      <c r="O107" s="2096"/>
      <c r="P107" s="2097">
        <v>131324</v>
      </c>
      <c r="Q107" s="2097">
        <v>2794287</v>
      </c>
      <c r="R107" s="263">
        <f t="shared" si="4"/>
        <v>588.55959306752754</v>
      </c>
      <c r="S107" s="203">
        <f t="shared" si="5"/>
        <v>27.66072346899227</v>
      </c>
      <c r="T107" s="895"/>
      <c r="U107" s="169">
        <v>1495256</v>
      </c>
      <c r="V107" s="896"/>
      <c r="W107" s="303"/>
      <c r="X107" s="2094"/>
      <c r="Y107" s="554"/>
      <c r="Z107" s="1305"/>
      <c r="AA107" s="1796"/>
      <c r="AB107" s="1305"/>
      <c r="AC107" s="1305"/>
    </row>
    <row r="108" spans="1:29">
      <c r="A108" s="63">
        <v>2005.03</v>
      </c>
      <c r="B108" s="169">
        <v>87405</v>
      </c>
      <c r="C108" s="886">
        <f t="shared" si="6"/>
        <v>60298</v>
      </c>
      <c r="D108" s="3162">
        <v>8835</v>
      </c>
      <c r="E108" s="180">
        <v>24087</v>
      </c>
      <c r="F108" s="3162">
        <v>2553</v>
      </c>
      <c r="G108" s="180">
        <v>8828</v>
      </c>
      <c r="H108" s="3162">
        <v>10021</v>
      </c>
      <c r="I108" s="180">
        <v>4537</v>
      </c>
      <c r="J108" s="3162">
        <v>1437</v>
      </c>
      <c r="K108" s="180">
        <v>11962</v>
      </c>
      <c r="L108" s="3162">
        <v>2672</v>
      </c>
      <c r="M108" s="180">
        <v>4298</v>
      </c>
      <c r="N108" s="2095">
        <v>8175</v>
      </c>
      <c r="O108" s="2096"/>
      <c r="P108" s="2097">
        <v>131324</v>
      </c>
      <c r="Q108" s="2097">
        <v>3079971</v>
      </c>
      <c r="R108" s="263">
        <f t="shared" si="4"/>
        <v>665.56760378910178</v>
      </c>
      <c r="S108" s="203">
        <f t="shared" si="5"/>
        <v>28.378513953540473</v>
      </c>
      <c r="T108" s="895"/>
      <c r="U108" s="169">
        <v>1687782</v>
      </c>
      <c r="V108" s="896"/>
      <c r="W108" s="303"/>
      <c r="X108" s="2094"/>
      <c r="Y108" s="554"/>
      <c r="Z108" s="1305"/>
      <c r="AA108" s="1796"/>
      <c r="AB108" s="1305"/>
      <c r="AC108" s="1305"/>
    </row>
    <row r="109" spans="1:29">
      <c r="A109" s="63">
        <v>2005.04</v>
      </c>
      <c r="B109" s="169">
        <v>87818</v>
      </c>
      <c r="C109" s="886">
        <f t="shared" si="6"/>
        <v>59924</v>
      </c>
      <c r="D109" s="3162">
        <v>8673</v>
      </c>
      <c r="E109" s="180">
        <v>23688</v>
      </c>
      <c r="F109" s="3162">
        <v>2807</v>
      </c>
      <c r="G109" s="180">
        <v>8967</v>
      </c>
      <c r="H109" s="3162">
        <v>10000</v>
      </c>
      <c r="I109" s="180">
        <v>4252</v>
      </c>
      <c r="J109" s="3162">
        <v>1537</v>
      </c>
      <c r="K109" s="180">
        <v>12410</v>
      </c>
      <c r="L109" s="3162">
        <v>2972</v>
      </c>
      <c r="M109" s="180">
        <v>5002</v>
      </c>
      <c r="N109" s="2095">
        <v>7510</v>
      </c>
      <c r="O109" s="2096"/>
      <c r="P109" s="2097">
        <v>131324</v>
      </c>
      <c r="Q109" s="2097">
        <v>3058074</v>
      </c>
      <c r="R109" s="263">
        <f t="shared" si="4"/>
        <v>668.71249733483592</v>
      </c>
      <c r="S109" s="203">
        <f t="shared" si="5"/>
        <v>28.716767481754854</v>
      </c>
      <c r="T109" s="895"/>
      <c r="U109" s="169">
        <v>1680171</v>
      </c>
      <c r="V109" s="896"/>
      <c r="W109" s="303"/>
      <c r="X109" s="2094"/>
      <c r="Y109" s="554"/>
      <c r="Z109" s="1305"/>
      <c r="AA109" s="1796"/>
      <c r="AB109" s="1305"/>
      <c r="AC109" s="1305"/>
    </row>
    <row r="110" spans="1:29">
      <c r="A110" s="63">
        <v>2005.05</v>
      </c>
      <c r="B110" s="169">
        <v>85444</v>
      </c>
      <c r="C110" s="886">
        <f t="shared" si="6"/>
        <v>58012</v>
      </c>
      <c r="D110" s="3162">
        <v>8308</v>
      </c>
      <c r="E110" s="180">
        <v>23248</v>
      </c>
      <c r="F110" s="3162">
        <v>2732</v>
      </c>
      <c r="G110" s="180">
        <v>8799</v>
      </c>
      <c r="H110" s="3162">
        <v>9436</v>
      </c>
      <c r="I110" s="180">
        <v>4027</v>
      </c>
      <c r="J110" s="3162">
        <v>1462</v>
      </c>
      <c r="K110" s="180">
        <v>11903</v>
      </c>
      <c r="L110" s="3162">
        <v>2912</v>
      </c>
      <c r="M110" s="180">
        <v>4919</v>
      </c>
      <c r="N110" s="2095">
        <v>7698</v>
      </c>
      <c r="O110" s="2096"/>
      <c r="P110" s="2097">
        <v>132902</v>
      </c>
      <c r="Q110" s="2097">
        <v>2975590</v>
      </c>
      <c r="R110" s="263">
        <f t="shared" si="4"/>
        <v>642.90981324585027</v>
      </c>
      <c r="S110" s="203">
        <f t="shared" si="5"/>
        <v>28.714977533867234</v>
      </c>
      <c r="T110" s="895"/>
      <c r="U110" s="169">
        <v>1630592</v>
      </c>
      <c r="V110" s="896"/>
      <c r="W110" s="303"/>
      <c r="X110" s="2094"/>
      <c r="Y110" s="554"/>
      <c r="Z110" s="1305"/>
      <c r="AA110" s="1796"/>
      <c r="AB110" s="1305"/>
      <c r="AC110" s="1305"/>
    </row>
    <row r="111" spans="1:29">
      <c r="A111" s="63">
        <v>2005.06</v>
      </c>
      <c r="B111" s="169">
        <v>86021</v>
      </c>
      <c r="C111" s="886">
        <f t="shared" si="6"/>
        <v>58522</v>
      </c>
      <c r="D111" s="3162">
        <v>8503</v>
      </c>
      <c r="E111" s="180">
        <v>23489</v>
      </c>
      <c r="F111" s="3162">
        <v>2806</v>
      </c>
      <c r="G111" s="180">
        <v>8935</v>
      </c>
      <c r="H111" s="3162">
        <v>9402</v>
      </c>
      <c r="I111" s="180">
        <v>3929</v>
      </c>
      <c r="J111" s="3162">
        <v>1458</v>
      </c>
      <c r="K111" s="180">
        <v>11980</v>
      </c>
      <c r="L111" s="3162">
        <v>2978</v>
      </c>
      <c r="M111" s="180">
        <v>4987</v>
      </c>
      <c r="N111" s="2095">
        <v>7554</v>
      </c>
      <c r="O111" s="2096"/>
      <c r="P111" s="2097">
        <v>132902</v>
      </c>
      <c r="Q111" s="2097">
        <v>2947165</v>
      </c>
      <c r="R111" s="263">
        <f t="shared" si="4"/>
        <v>647.25135814359453</v>
      </c>
      <c r="S111" s="203">
        <f t="shared" si="5"/>
        <v>29.187710901832776</v>
      </c>
      <c r="T111" s="895"/>
      <c r="U111" s="169">
        <v>1644658</v>
      </c>
      <c r="V111" s="896"/>
      <c r="W111" s="303"/>
      <c r="X111" s="2094"/>
      <c r="Y111" s="554"/>
      <c r="Z111" s="1305"/>
      <c r="AA111" s="1796"/>
      <c r="AB111" s="1305"/>
      <c r="AC111" s="1305"/>
    </row>
    <row r="112" spans="1:29">
      <c r="A112" s="63">
        <v>2005.07</v>
      </c>
      <c r="B112" s="169">
        <v>95900</v>
      </c>
      <c r="C112" s="886">
        <f t="shared" si="6"/>
        <v>62717</v>
      </c>
      <c r="D112" s="3162">
        <v>9162</v>
      </c>
      <c r="E112" s="180">
        <v>24167</v>
      </c>
      <c r="F112" s="3162">
        <v>3096</v>
      </c>
      <c r="G112" s="180">
        <v>10490</v>
      </c>
      <c r="H112" s="3162">
        <v>10117</v>
      </c>
      <c r="I112" s="180">
        <v>4375</v>
      </c>
      <c r="J112" s="3162">
        <v>1310</v>
      </c>
      <c r="K112" s="180">
        <v>13214</v>
      </c>
      <c r="L112" s="3162">
        <v>3558</v>
      </c>
      <c r="M112" s="180">
        <v>5995</v>
      </c>
      <c r="N112" s="2095">
        <v>10416</v>
      </c>
      <c r="O112" s="2096"/>
      <c r="P112" s="2097">
        <v>132902</v>
      </c>
      <c r="Q112" s="2097">
        <v>3136559</v>
      </c>
      <c r="R112" s="263">
        <f t="shared" si="4"/>
        <v>721.58432529232061</v>
      </c>
      <c r="S112" s="203">
        <f t="shared" si="5"/>
        <v>30.574907087671551</v>
      </c>
      <c r="T112" s="895"/>
      <c r="U112" s="169">
        <v>1819507</v>
      </c>
      <c r="V112" s="896"/>
      <c r="W112" s="303"/>
      <c r="X112" s="2094"/>
      <c r="Y112" s="554"/>
      <c r="Z112" s="1305"/>
      <c r="AA112" s="1796"/>
      <c r="AB112" s="1305"/>
      <c r="AC112" s="1305"/>
    </row>
    <row r="113" spans="1:29">
      <c r="A113" s="63">
        <v>2005.08</v>
      </c>
      <c r="B113" s="169">
        <v>89228</v>
      </c>
      <c r="C113" s="886">
        <f t="shared" si="6"/>
        <v>59044</v>
      </c>
      <c r="D113" s="3162">
        <v>8337</v>
      </c>
      <c r="E113" s="180">
        <v>22522</v>
      </c>
      <c r="F113" s="3162">
        <v>2916</v>
      </c>
      <c r="G113" s="180">
        <v>10120</v>
      </c>
      <c r="H113" s="3162">
        <v>9549</v>
      </c>
      <c r="I113" s="180">
        <v>4244</v>
      </c>
      <c r="J113" s="3162">
        <v>1356</v>
      </c>
      <c r="K113" s="180">
        <v>12589</v>
      </c>
      <c r="L113" s="3162">
        <v>2793</v>
      </c>
      <c r="M113" s="180">
        <v>4828</v>
      </c>
      <c r="N113" s="2095">
        <v>9974</v>
      </c>
      <c r="O113" s="2096"/>
      <c r="P113" s="2097">
        <v>132902</v>
      </c>
      <c r="Q113" s="2097">
        <v>3032480</v>
      </c>
      <c r="R113" s="263">
        <f t="shared" si="4"/>
        <v>671.3819205128591</v>
      </c>
      <c r="S113" s="203">
        <f t="shared" si="5"/>
        <v>29.424101725320529</v>
      </c>
      <c r="T113" s="895"/>
      <c r="U113" s="169">
        <v>1712953</v>
      </c>
      <c r="V113" s="896"/>
      <c r="W113" s="303"/>
      <c r="X113" s="2094"/>
      <c r="Y113" s="554"/>
      <c r="Z113" s="1305"/>
      <c r="AA113" s="1796"/>
      <c r="AB113" s="1305"/>
      <c r="AC113" s="1305"/>
    </row>
    <row r="114" spans="1:29">
      <c r="A114" s="63">
        <v>2005.09</v>
      </c>
      <c r="B114" s="169">
        <v>87482</v>
      </c>
      <c r="C114" s="886">
        <f t="shared" si="6"/>
        <v>58670</v>
      </c>
      <c r="D114" s="3162">
        <v>8431</v>
      </c>
      <c r="E114" s="180">
        <v>22314</v>
      </c>
      <c r="F114" s="3162">
        <v>2839</v>
      </c>
      <c r="G114" s="180">
        <v>9983</v>
      </c>
      <c r="H114" s="3162">
        <v>9393</v>
      </c>
      <c r="I114" s="180">
        <v>4372</v>
      </c>
      <c r="J114" s="3162">
        <v>1338</v>
      </c>
      <c r="K114" s="180">
        <v>12485</v>
      </c>
      <c r="L114" s="3162">
        <v>2667</v>
      </c>
      <c r="M114" s="180">
        <v>4784</v>
      </c>
      <c r="N114" s="2095">
        <v>8876</v>
      </c>
      <c r="O114" s="2096"/>
      <c r="P114" s="2097">
        <v>132902</v>
      </c>
      <c r="Q114" s="2097">
        <v>2947185</v>
      </c>
      <c r="R114" s="263">
        <f t="shared" si="4"/>
        <v>658.24442070096768</v>
      </c>
      <c r="S114" s="203">
        <f t="shared" si="5"/>
        <v>29.683240108781771</v>
      </c>
      <c r="T114" s="895"/>
      <c r="U114" s="169">
        <v>1681361</v>
      </c>
      <c r="V114" s="896"/>
      <c r="W114" s="303"/>
      <c r="X114" s="2094"/>
      <c r="Y114" s="554"/>
      <c r="Z114" s="1305"/>
      <c r="AA114" s="1796"/>
      <c r="AB114" s="1305"/>
      <c r="AC114" s="1305"/>
    </row>
    <row r="115" spans="1:29">
      <c r="A115" s="63">
        <v>2005.1</v>
      </c>
      <c r="B115" s="169">
        <v>95986</v>
      </c>
      <c r="C115" s="886">
        <f t="shared" si="6"/>
        <v>61923</v>
      </c>
      <c r="D115" s="3162">
        <v>9139</v>
      </c>
      <c r="E115" s="180">
        <v>22935</v>
      </c>
      <c r="F115" s="3162">
        <v>3057</v>
      </c>
      <c r="G115" s="180">
        <v>10624</v>
      </c>
      <c r="H115" s="3162">
        <v>10024</v>
      </c>
      <c r="I115" s="180">
        <v>4685</v>
      </c>
      <c r="J115" s="3162">
        <v>1459</v>
      </c>
      <c r="K115" s="180">
        <v>13592</v>
      </c>
      <c r="L115" s="3162">
        <v>3228</v>
      </c>
      <c r="M115" s="180">
        <v>6931</v>
      </c>
      <c r="N115" s="2095">
        <v>10312</v>
      </c>
      <c r="O115" s="2096"/>
      <c r="P115" s="2097">
        <v>132902</v>
      </c>
      <c r="Q115" s="2097">
        <v>2865547</v>
      </c>
      <c r="R115" s="263">
        <f t="shared" si="4"/>
        <v>722.23141863929823</v>
      </c>
      <c r="S115" s="203">
        <f t="shared" si="5"/>
        <v>33.496571509732696</v>
      </c>
      <c r="T115" s="895"/>
      <c r="U115" s="169">
        <v>1874515</v>
      </c>
      <c r="V115" s="896"/>
      <c r="W115" s="303"/>
      <c r="X115" s="2094"/>
      <c r="Y115" s="554"/>
      <c r="Z115" s="1305"/>
      <c r="AA115" s="1796"/>
      <c r="AB115" s="1305"/>
      <c r="AC115" s="1305"/>
    </row>
    <row r="116" spans="1:29">
      <c r="A116" s="63">
        <v>2005.11</v>
      </c>
      <c r="B116" s="169">
        <v>92242</v>
      </c>
      <c r="C116" s="886">
        <f t="shared" si="6"/>
        <v>60342</v>
      </c>
      <c r="D116" s="3162">
        <v>9914</v>
      </c>
      <c r="E116" s="180">
        <v>22085</v>
      </c>
      <c r="F116" s="3162">
        <v>2906</v>
      </c>
      <c r="G116" s="180">
        <v>9977</v>
      </c>
      <c r="H116" s="3162">
        <v>9437</v>
      </c>
      <c r="I116" s="180">
        <v>4638</v>
      </c>
      <c r="J116" s="3162">
        <v>1385</v>
      </c>
      <c r="K116" s="180">
        <v>12840</v>
      </c>
      <c r="L116" s="3162">
        <v>3002</v>
      </c>
      <c r="M116" s="180">
        <v>6550</v>
      </c>
      <c r="N116" s="2095">
        <v>9508</v>
      </c>
      <c r="O116" s="2096"/>
      <c r="P116" s="2097">
        <v>132902</v>
      </c>
      <c r="Q116" s="2097">
        <v>2735591</v>
      </c>
      <c r="R116" s="263">
        <f t="shared" si="4"/>
        <v>694.06028502204629</v>
      </c>
      <c r="S116" s="203">
        <f t="shared" si="5"/>
        <v>33.719221915849268</v>
      </c>
      <c r="T116" s="895"/>
      <c r="U116" s="169">
        <v>1775147</v>
      </c>
      <c r="V116" s="896"/>
      <c r="W116" s="303"/>
      <c r="X116" s="2094"/>
      <c r="Y116" s="554"/>
      <c r="Z116" s="1305"/>
      <c r="AA116" s="1796"/>
      <c r="AB116" s="1305"/>
      <c r="AC116" s="1305"/>
    </row>
    <row r="117" spans="1:29">
      <c r="A117" s="63">
        <v>2005.12</v>
      </c>
      <c r="B117" s="169">
        <v>119995</v>
      </c>
      <c r="C117" s="886">
        <f t="shared" si="6"/>
        <v>79095</v>
      </c>
      <c r="D117" s="3162">
        <v>17158</v>
      </c>
      <c r="E117" s="180">
        <v>27329</v>
      </c>
      <c r="F117" s="3162">
        <v>3966</v>
      </c>
      <c r="G117" s="180">
        <v>11252</v>
      </c>
      <c r="H117" s="3162">
        <v>12012</v>
      </c>
      <c r="I117" s="180">
        <v>5526</v>
      </c>
      <c r="J117" s="3162">
        <v>1852</v>
      </c>
      <c r="K117" s="180">
        <v>14772</v>
      </c>
      <c r="L117" s="3162">
        <v>4195</v>
      </c>
      <c r="M117" s="180">
        <v>7720</v>
      </c>
      <c r="N117" s="2095">
        <v>14213</v>
      </c>
      <c r="O117" s="2096"/>
      <c r="P117" s="2097">
        <v>132902</v>
      </c>
      <c r="Q117" s="2097">
        <v>3022975</v>
      </c>
      <c r="R117" s="263">
        <f t="shared" si="4"/>
        <v>902.88332756467173</v>
      </c>
      <c r="S117" s="203">
        <f t="shared" si="5"/>
        <v>39.694340839735695</v>
      </c>
      <c r="T117" s="895"/>
      <c r="U117" s="169">
        <v>2325308</v>
      </c>
      <c r="V117" s="896"/>
      <c r="W117" s="303"/>
      <c r="X117" s="2094"/>
      <c r="Y117" s="554"/>
      <c r="Z117" s="1305"/>
      <c r="AA117" s="1796"/>
      <c r="AB117" s="1305"/>
      <c r="AC117" s="1305"/>
    </row>
    <row r="118" spans="1:29">
      <c r="A118" s="63">
        <v>2006.01</v>
      </c>
      <c r="B118" s="169">
        <v>92675</v>
      </c>
      <c r="C118" s="886">
        <f t="shared" si="6"/>
        <v>57290</v>
      </c>
      <c r="D118" s="3162">
        <v>9403</v>
      </c>
      <c r="E118" s="180">
        <v>20157</v>
      </c>
      <c r="F118" s="3162">
        <v>2819</v>
      </c>
      <c r="G118" s="180">
        <v>9493</v>
      </c>
      <c r="H118" s="3162">
        <v>9394</v>
      </c>
      <c r="I118" s="180">
        <v>4500</v>
      </c>
      <c r="J118" s="3162">
        <v>1524</v>
      </c>
      <c r="K118" s="180">
        <v>13148</v>
      </c>
      <c r="L118" s="3162">
        <v>3433</v>
      </c>
      <c r="M118" s="180">
        <v>7478</v>
      </c>
      <c r="N118" s="2095">
        <v>11326</v>
      </c>
      <c r="O118" s="2096"/>
      <c r="P118" s="2097">
        <v>132902</v>
      </c>
      <c r="Q118" s="2097">
        <v>2539865</v>
      </c>
      <c r="R118" s="263">
        <f t="shared" si="4"/>
        <v>697.31832478066542</v>
      </c>
      <c r="S118" s="203">
        <f t="shared" si="5"/>
        <v>36.488159803769101</v>
      </c>
      <c r="T118" s="895"/>
      <c r="U118" s="169">
        <v>1816569</v>
      </c>
      <c r="V118" s="896"/>
      <c r="W118" s="303"/>
      <c r="X118" s="2094"/>
      <c r="Y118" s="554"/>
      <c r="Z118" s="1305"/>
      <c r="AA118" s="1796"/>
      <c r="AB118" s="1305"/>
      <c r="AC118" s="1305"/>
    </row>
    <row r="119" spans="1:29">
      <c r="A119" s="63">
        <v>2006.02</v>
      </c>
      <c r="B119" s="169">
        <v>92853</v>
      </c>
      <c r="C119" s="886">
        <f t="shared" si="6"/>
        <v>60316</v>
      </c>
      <c r="D119" s="3162">
        <v>9460</v>
      </c>
      <c r="E119" s="180">
        <v>21598</v>
      </c>
      <c r="F119" s="3162">
        <v>2918</v>
      </c>
      <c r="G119" s="180">
        <v>10110</v>
      </c>
      <c r="H119" s="3162">
        <v>9895</v>
      </c>
      <c r="I119" s="180">
        <v>4657</v>
      </c>
      <c r="J119" s="3162">
        <v>1678</v>
      </c>
      <c r="K119" s="180">
        <v>13305</v>
      </c>
      <c r="L119" s="3162">
        <v>3289</v>
      </c>
      <c r="M119" s="180">
        <v>5228</v>
      </c>
      <c r="N119" s="2095">
        <v>10715</v>
      </c>
      <c r="O119" s="2096"/>
      <c r="P119" s="2097">
        <v>137552</v>
      </c>
      <c r="Q119" s="2097">
        <v>2582563</v>
      </c>
      <c r="R119" s="263">
        <f t="shared" si="4"/>
        <v>675.03925788065601</v>
      </c>
      <c r="S119" s="203">
        <f t="shared" si="5"/>
        <v>35.953817970752311</v>
      </c>
      <c r="T119" s="895"/>
      <c r="U119" s="169">
        <v>1747628</v>
      </c>
      <c r="V119" s="896"/>
      <c r="W119" s="303"/>
      <c r="X119" s="2094"/>
      <c r="Y119" s="554"/>
      <c r="Z119" s="1305"/>
      <c r="AA119" s="1796"/>
      <c r="AB119" s="1305"/>
      <c r="AC119" s="1305"/>
    </row>
    <row r="120" spans="1:29">
      <c r="A120" s="63">
        <v>2006.03</v>
      </c>
      <c r="B120" s="169">
        <v>102417</v>
      </c>
      <c r="C120" s="886">
        <f t="shared" si="6"/>
        <v>68119</v>
      </c>
      <c r="D120" s="3162">
        <v>9974</v>
      </c>
      <c r="E120" s="180">
        <v>25149</v>
      </c>
      <c r="F120" s="3162">
        <v>3281</v>
      </c>
      <c r="G120" s="180">
        <v>11393</v>
      </c>
      <c r="H120" s="3162">
        <v>11425</v>
      </c>
      <c r="I120" s="180">
        <v>5120</v>
      </c>
      <c r="J120" s="3162">
        <v>1777</v>
      </c>
      <c r="K120" s="180">
        <v>14598</v>
      </c>
      <c r="L120" s="3162">
        <v>3432</v>
      </c>
      <c r="M120" s="180">
        <v>5768</v>
      </c>
      <c r="N120" s="2095">
        <v>10500</v>
      </c>
      <c r="O120" s="2096"/>
      <c r="P120" s="2097">
        <v>137552</v>
      </c>
      <c r="Q120" s="2097">
        <v>2779856</v>
      </c>
      <c r="R120" s="263">
        <f t="shared" si="4"/>
        <v>744.5693265092475</v>
      </c>
      <c r="S120" s="203">
        <f t="shared" si="5"/>
        <v>36.842555873397757</v>
      </c>
      <c r="T120" s="895"/>
      <c r="U120" s="169">
        <v>1925252</v>
      </c>
      <c r="V120" s="896"/>
      <c r="W120" s="303"/>
      <c r="X120" s="2094"/>
      <c r="Y120" s="554"/>
      <c r="Z120" s="1305"/>
      <c r="AA120" s="1796"/>
      <c r="AB120" s="1305"/>
      <c r="AC120" s="1305"/>
    </row>
    <row r="121" spans="1:29">
      <c r="A121" s="63">
        <v>2006.04</v>
      </c>
      <c r="B121" s="169">
        <v>108652</v>
      </c>
      <c r="C121" s="886">
        <f t="shared" si="6"/>
        <v>72651</v>
      </c>
      <c r="D121" s="3162">
        <v>10546</v>
      </c>
      <c r="E121" s="180">
        <v>29135</v>
      </c>
      <c r="F121" s="3162">
        <v>3352</v>
      </c>
      <c r="G121" s="180">
        <v>11002</v>
      </c>
      <c r="H121" s="3162">
        <v>11882</v>
      </c>
      <c r="I121" s="180">
        <v>4339</v>
      </c>
      <c r="J121" s="3162">
        <v>2395</v>
      </c>
      <c r="K121" s="180">
        <v>15540</v>
      </c>
      <c r="L121" s="3162">
        <v>4171</v>
      </c>
      <c r="M121" s="180">
        <v>6640</v>
      </c>
      <c r="N121" s="2095">
        <v>9650</v>
      </c>
      <c r="O121" s="2096"/>
      <c r="P121" s="2097">
        <v>137552</v>
      </c>
      <c r="Q121" s="2097">
        <v>2831069</v>
      </c>
      <c r="R121" s="263">
        <f t="shared" si="4"/>
        <v>789.89763871117839</v>
      </c>
      <c r="S121" s="203">
        <f t="shared" si="5"/>
        <v>38.378435848790687</v>
      </c>
      <c r="T121" s="895"/>
      <c r="U121" s="169">
        <v>2022680</v>
      </c>
      <c r="V121" s="896"/>
      <c r="W121" s="303"/>
      <c r="X121" s="2094"/>
      <c r="Y121" s="554"/>
      <c r="Z121" s="1305"/>
      <c r="AA121" s="1796"/>
      <c r="AB121" s="1305"/>
      <c r="AC121" s="1305"/>
    </row>
    <row r="122" spans="1:29">
      <c r="A122" s="63">
        <v>2006.05</v>
      </c>
      <c r="B122" s="169">
        <v>103787</v>
      </c>
      <c r="C122" s="886">
        <f t="shared" si="6"/>
        <v>66716</v>
      </c>
      <c r="D122" s="3162">
        <v>9650</v>
      </c>
      <c r="E122" s="180">
        <v>26256</v>
      </c>
      <c r="F122" s="3162">
        <v>3215</v>
      </c>
      <c r="G122" s="180">
        <v>10405</v>
      </c>
      <c r="H122" s="3162">
        <v>10812</v>
      </c>
      <c r="I122" s="180">
        <v>4031</v>
      </c>
      <c r="J122" s="3162">
        <v>2347</v>
      </c>
      <c r="K122" s="180">
        <v>14417</v>
      </c>
      <c r="L122" s="3162">
        <v>4474</v>
      </c>
      <c r="M122" s="180">
        <v>8546</v>
      </c>
      <c r="N122" s="2095">
        <v>9634</v>
      </c>
      <c r="O122" s="2096"/>
      <c r="P122" s="2097">
        <v>137552</v>
      </c>
      <c r="Q122" s="2097">
        <v>2728269</v>
      </c>
      <c r="R122" s="263">
        <f t="shared" si="4"/>
        <v>754.52919623124353</v>
      </c>
      <c r="S122" s="203">
        <f t="shared" si="5"/>
        <v>38.041336832988243</v>
      </c>
      <c r="T122" s="895"/>
      <c r="U122" s="169">
        <v>1903988</v>
      </c>
      <c r="V122" s="896"/>
      <c r="W122" s="303"/>
      <c r="X122" s="2094"/>
      <c r="Y122" s="554"/>
      <c r="Z122" s="1305"/>
      <c r="AA122" s="1796"/>
      <c r="AB122" s="1305"/>
      <c r="AC122" s="1305"/>
    </row>
    <row r="123" spans="1:29">
      <c r="A123" s="63">
        <v>2006.06</v>
      </c>
      <c r="B123" s="169">
        <v>107104</v>
      </c>
      <c r="C123" s="886">
        <f t="shared" si="6"/>
        <v>69606</v>
      </c>
      <c r="D123" s="3162">
        <v>10196</v>
      </c>
      <c r="E123" s="180">
        <v>27897</v>
      </c>
      <c r="F123" s="3162">
        <v>3392</v>
      </c>
      <c r="G123" s="180">
        <v>10943</v>
      </c>
      <c r="H123" s="3162">
        <v>10959</v>
      </c>
      <c r="I123" s="180">
        <v>4016</v>
      </c>
      <c r="J123" s="3162">
        <v>2203</v>
      </c>
      <c r="K123" s="180">
        <v>15034</v>
      </c>
      <c r="L123" s="3162">
        <v>4517</v>
      </c>
      <c r="M123" s="180">
        <v>8247</v>
      </c>
      <c r="N123" s="2095">
        <v>9700</v>
      </c>
      <c r="O123" s="2096"/>
      <c r="P123" s="2097">
        <v>137552</v>
      </c>
      <c r="Q123" s="2097">
        <v>2748118</v>
      </c>
      <c r="R123" s="263">
        <f t="shared" si="4"/>
        <v>778.64371292311273</v>
      </c>
      <c r="S123" s="203">
        <f t="shared" si="5"/>
        <v>38.973581192656212</v>
      </c>
      <c r="T123" s="895"/>
      <c r="U123" s="169">
        <v>1972359</v>
      </c>
      <c r="V123" s="896"/>
      <c r="W123" s="303"/>
      <c r="X123" s="2094"/>
      <c r="Y123" s="554"/>
      <c r="Z123" s="1305"/>
      <c r="AA123" s="1796"/>
      <c r="AB123" s="1305"/>
      <c r="AC123" s="1305"/>
    </row>
    <row r="124" spans="1:29">
      <c r="A124" s="63">
        <v>2006.07</v>
      </c>
      <c r="B124" s="169">
        <v>113226</v>
      </c>
      <c r="C124" s="886">
        <f t="shared" si="6"/>
        <v>74239</v>
      </c>
      <c r="D124" s="3162">
        <v>11011</v>
      </c>
      <c r="E124" s="180">
        <v>29764</v>
      </c>
      <c r="F124" s="3162">
        <v>3593</v>
      </c>
      <c r="G124" s="180">
        <v>11668</v>
      </c>
      <c r="H124" s="3162">
        <v>11511</v>
      </c>
      <c r="I124" s="180">
        <v>4197</v>
      </c>
      <c r="J124" s="3162">
        <v>2495</v>
      </c>
      <c r="K124" s="180">
        <v>16653</v>
      </c>
      <c r="L124" s="3162">
        <v>4811</v>
      </c>
      <c r="M124" s="180">
        <v>6117</v>
      </c>
      <c r="N124" s="2095">
        <v>11406</v>
      </c>
      <c r="O124" s="2096"/>
      <c r="P124" s="2097">
        <v>137552</v>
      </c>
      <c r="Q124" s="2097">
        <v>2882167</v>
      </c>
      <c r="R124" s="263">
        <f t="shared" si="4"/>
        <v>823.15051762242638</v>
      </c>
      <c r="S124" s="203">
        <f t="shared" si="5"/>
        <v>39.285024080839179</v>
      </c>
      <c r="T124" s="895"/>
      <c r="U124" s="169">
        <v>2096546</v>
      </c>
      <c r="V124" s="896"/>
      <c r="W124" s="303"/>
      <c r="X124" s="2094"/>
      <c r="Y124" s="554"/>
      <c r="Z124" s="1305"/>
      <c r="AA124" s="1796"/>
      <c r="AB124" s="1305"/>
      <c r="AC124" s="1305"/>
    </row>
    <row r="125" spans="1:29">
      <c r="A125" s="63">
        <v>2006.08</v>
      </c>
      <c r="B125" s="169">
        <v>109242</v>
      </c>
      <c r="C125" s="886">
        <f t="shared" si="6"/>
        <v>72307</v>
      </c>
      <c r="D125" s="3162">
        <v>10673</v>
      </c>
      <c r="E125" s="180">
        <v>28974</v>
      </c>
      <c r="F125" s="3162">
        <v>3499</v>
      </c>
      <c r="G125" s="180">
        <v>11445</v>
      </c>
      <c r="H125" s="3162">
        <v>11195</v>
      </c>
      <c r="I125" s="180">
        <v>4203</v>
      </c>
      <c r="J125" s="3162">
        <v>2318</v>
      </c>
      <c r="K125" s="180">
        <v>15894</v>
      </c>
      <c r="L125" s="3162">
        <v>3760</v>
      </c>
      <c r="M125" s="180">
        <v>6025</v>
      </c>
      <c r="N125" s="2095">
        <v>11256</v>
      </c>
      <c r="O125" s="2096"/>
      <c r="P125" s="2097">
        <v>137552</v>
      </c>
      <c r="Q125" s="2097">
        <v>2825484</v>
      </c>
      <c r="R125" s="263">
        <f t="shared" si="4"/>
        <v>794.18692567174594</v>
      </c>
      <c r="S125" s="203">
        <f t="shared" si="5"/>
        <v>38.663110461782829</v>
      </c>
      <c r="T125" s="895"/>
      <c r="U125" s="169">
        <v>2026728</v>
      </c>
      <c r="V125" s="896"/>
      <c r="W125" s="303"/>
      <c r="X125" s="2094"/>
      <c r="Y125" s="554"/>
      <c r="Z125" s="1305"/>
      <c r="AA125" s="1796"/>
      <c r="AB125" s="1305"/>
      <c r="AC125" s="1305"/>
    </row>
    <row r="126" spans="1:29">
      <c r="A126" s="63">
        <v>2006.09</v>
      </c>
      <c r="B126" s="169">
        <v>108858</v>
      </c>
      <c r="C126" s="886">
        <f t="shared" si="6"/>
        <v>73450</v>
      </c>
      <c r="D126" s="3162">
        <v>11155</v>
      </c>
      <c r="E126" s="180">
        <v>29093</v>
      </c>
      <c r="F126" s="3162">
        <v>3481</v>
      </c>
      <c r="G126" s="180">
        <v>11652</v>
      </c>
      <c r="H126" s="3162">
        <v>11309</v>
      </c>
      <c r="I126" s="180">
        <v>4415</v>
      </c>
      <c r="J126" s="3162">
        <v>2345</v>
      </c>
      <c r="K126" s="180">
        <v>16534</v>
      </c>
      <c r="L126" s="3162">
        <v>3350</v>
      </c>
      <c r="M126" s="180">
        <v>4975</v>
      </c>
      <c r="N126" s="2095">
        <v>10549</v>
      </c>
      <c r="O126" s="2096"/>
      <c r="P126" s="2097">
        <v>137552</v>
      </c>
      <c r="Q126" s="2097">
        <v>2738367</v>
      </c>
      <c r="R126" s="263">
        <f t="shared" si="4"/>
        <v>791.39525415842741</v>
      </c>
      <c r="S126" s="203">
        <f t="shared" si="5"/>
        <v>39.752889221934097</v>
      </c>
      <c r="T126" s="895"/>
      <c r="U126" s="169">
        <v>2036591</v>
      </c>
      <c r="V126" s="896"/>
      <c r="W126" s="303"/>
      <c r="X126" s="2094"/>
      <c r="Y126" s="554"/>
      <c r="Z126" s="1305"/>
      <c r="AA126" s="1796"/>
      <c r="AB126" s="1305"/>
      <c r="AC126" s="1305"/>
    </row>
    <row r="127" spans="1:29">
      <c r="A127" s="63">
        <v>2006.1</v>
      </c>
      <c r="B127" s="169">
        <v>113885</v>
      </c>
      <c r="C127" s="886">
        <f t="shared" si="6"/>
        <v>75193</v>
      </c>
      <c r="D127" s="3162">
        <v>11713</v>
      </c>
      <c r="E127" s="180">
        <v>28647</v>
      </c>
      <c r="F127" s="3162">
        <v>3432</v>
      </c>
      <c r="G127" s="180">
        <v>12173</v>
      </c>
      <c r="H127" s="3162">
        <v>11853</v>
      </c>
      <c r="I127" s="180">
        <v>4918</v>
      </c>
      <c r="J127" s="3162">
        <v>2457</v>
      </c>
      <c r="K127" s="180">
        <v>17274</v>
      </c>
      <c r="L127" s="3162">
        <v>3497</v>
      </c>
      <c r="M127" s="180">
        <v>6777</v>
      </c>
      <c r="N127" s="2095">
        <v>11144</v>
      </c>
      <c r="O127" s="2096"/>
      <c r="P127" s="2097">
        <v>137552</v>
      </c>
      <c r="Q127" s="2097">
        <v>2820852</v>
      </c>
      <c r="R127" s="263">
        <f t="shared" si="4"/>
        <v>827.94143305804346</v>
      </c>
      <c r="S127" s="203">
        <f t="shared" si="5"/>
        <v>40.372554107766021</v>
      </c>
      <c r="T127" s="895"/>
      <c r="U127" s="169">
        <v>2141626</v>
      </c>
      <c r="V127" s="896"/>
      <c r="W127" s="303"/>
      <c r="X127" s="2094"/>
      <c r="Y127" s="554"/>
      <c r="Z127" s="1305"/>
      <c r="AA127" s="1796"/>
      <c r="AB127" s="1305"/>
      <c r="AC127" s="1305"/>
    </row>
    <row r="128" spans="1:29">
      <c r="A128" s="63">
        <v>2006.11</v>
      </c>
      <c r="B128" s="169">
        <v>112675</v>
      </c>
      <c r="C128" s="886">
        <f t="shared" si="6"/>
        <v>75481</v>
      </c>
      <c r="D128" s="3162">
        <v>12437</v>
      </c>
      <c r="E128" s="180">
        <v>29130</v>
      </c>
      <c r="F128" s="3162">
        <v>3407</v>
      </c>
      <c r="G128" s="180">
        <v>11896</v>
      </c>
      <c r="H128" s="3162">
        <v>11100</v>
      </c>
      <c r="I128" s="180">
        <v>5156</v>
      </c>
      <c r="J128" s="3162">
        <v>2355</v>
      </c>
      <c r="K128" s="180">
        <v>16847</v>
      </c>
      <c r="L128" s="3162">
        <v>3157</v>
      </c>
      <c r="M128" s="180">
        <v>5816</v>
      </c>
      <c r="N128" s="2095">
        <v>11374</v>
      </c>
      <c r="O128" s="2096"/>
      <c r="P128" s="2097">
        <v>137552</v>
      </c>
      <c r="Q128" s="2097">
        <v>2689611</v>
      </c>
      <c r="R128" s="263">
        <f t="shared" si="4"/>
        <v>819.14475979993017</v>
      </c>
      <c r="S128" s="203">
        <f t="shared" si="5"/>
        <v>41.892675186114275</v>
      </c>
      <c r="T128" s="895"/>
      <c r="U128" s="169">
        <v>2082643</v>
      </c>
      <c r="V128" s="896"/>
      <c r="W128" s="303"/>
      <c r="X128" s="2094"/>
      <c r="Y128" s="554"/>
      <c r="Z128" s="1305"/>
      <c r="AA128" s="1796"/>
      <c r="AB128" s="1305"/>
      <c r="AC128" s="1305"/>
    </row>
    <row r="129" spans="1:29">
      <c r="A129" s="63">
        <v>2006.12</v>
      </c>
      <c r="B129" s="169">
        <v>153872</v>
      </c>
      <c r="C129" s="886">
        <f t="shared" si="6"/>
        <v>104008</v>
      </c>
      <c r="D129" s="3162">
        <v>22879</v>
      </c>
      <c r="E129" s="180">
        <v>38161</v>
      </c>
      <c r="F129" s="3162">
        <v>4690</v>
      </c>
      <c r="G129" s="180">
        <v>13305</v>
      </c>
      <c r="H129" s="3162">
        <v>15195</v>
      </c>
      <c r="I129" s="180">
        <v>6631</v>
      </c>
      <c r="J129" s="3162">
        <v>3147</v>
      </c>
      <c r="K129" s="180">
        <v>20103</v>
      </c>
      <c r="L129" s="3162">
        <v>4839</v>
      </c>
      <c r="M129" s="180">
        <v>7920</v>
      </c>
      <c r="N129" s="2095">
        <v>17002</v>
      </c>
      <c r="O129" s="2096"/>
      <c r="P129" s="2097">
        <v>137552</v>
      </c>
      <c r="Q129" s="2097">
        <v>3121842</v>
      </c>
      <c r="R129" s="263">
        <f t="shared" si="4"/>
        <v>1118.6460393160405</v>
      </c>
      <c r="S129" s="203">
        <f t="shared" si="5"/>
        <v>49.288849339588616</v>
      </c>
      <c r="T129" s="895"/>
      <c r="U129" s="169">
        <v>2860346</v>
      </c>
      <c r="V129" s="896"/>
      <c r="W129" s="303"/>
      <c r="X129" s="2094"/>
      <c r="Y129" s="554"/>
      <c r="Z129" s="1305"/>
      <c r="AA129" s="1796"/>
      <c r="AB129" s="1305"/>
      <c r="AC129" s="1305"/>
    </row>
    <row r="130" spans="1:29">
      <c r="A130" s="63">
        <v>2007.01</v>
      </c>
      <c r="B130" s="169">
        <v>114885</v>
      </c>
      <c r="C130" s="886">
        <f t="shared" si="6"/>
        <v>72903</v>
      </c>
      <c r="D130" s="3162">
        <v>11507</v>
      </c>
      <c r="E130" s="180">
        <v>28565</v>
      </c>
      <c r="F130" s="3162">
        <v>3090</v>
      </c>
      <c r="G130" s="180">
        <v>10238</v>
      </c>
      <c r="H130" s="3162">
        <v>11544</v>
      </c>
      <c r="I130" s="180">
        <v>5501</v>
      </c>
      <c r="J130" s="3162">
        <v>2458</v>
      </c>
      <c r="K130" s="180">
        <v>17527</v>
      </c>
      <c r="L130" s="3162">
        <v>4150</v>
      </c>
      <c r="M130" s="180">
        <v>6692</v>
      </c>
      <c r="N130" s="2095">
        <v>13613</v>
      </c>
      <c r="O130" s="2096"/>
      <c r="P130" s="2097">
        <v>137552</v>
      </c>
      <c r="Q130" s="2097">
        <v>2695029</v>
      </c>
      <c r="R130" s="263">
        <f t="shared" si="4"/>
        <v>835.2114109573107</v>
      </c>
      <c r="S130" s="203">
        <f t="shared" si="5"/>
        <v>42.62848377512821</v>
      </c>
      <c r="T130" s="895"/>
      <c r="U130" s="169">
        <v>2200860</v>
      </c>
      <c r="V130" s="896"/>
      <c r="W130" s="303"/>
      <c r="X130" s="2094"/>
      <c r="Y130" s="554"/>
      <c r="Z130" s="1305"/>
      <c r="AA130" s="1796"/>
      <c r="AB130" s="1305"/>
      <c r="AC130" s="1305"/>
    </row>
    <row r="131" spans="1:29">
      <c r="A131" s="63">
        <v>2007.02</v>
      </c>
      <c r="B131" s="169">
        <v>110498</v>
      </c>
      <c r="C131" s="886">
        <f t="shared" si="6"/>
        <v>70898</v>
      </c>
      <c r="D131" s="3162">
        <v>11261</v>
      </c>
      <c r="E131" s="180">
        <v>26672</v>
      </c>
      <c r="F131" s="3162">
        <v>2940</v>
      </c>
      <c r="G131" s="180">
        <v>11228</v>
      </c>
      <c r="H131" s="3162">
        <v>11211</v>
      </c>
      <c r="I131" s="180">
        <v>5232</v>
      </c>
      <c r="J131" s="3162">
        <v>2354</v>
      </c>
      <c r="K131" s="180">
        <v>16646</v>
      </c>
      <c r="L131" s="3162">
        <v>3798</v>
      </c>
      <c r="M131" s="180">
        <v>5689</v>
      </c>
      <c r="N131" s="2095">
        <v>13467</v>
      </c>
      <c r="O131" s="2096"/>
      <c r="P131" s="2097">
        <v>137552</v>
      </c>
      <c r="Q131" s="2097">
        <v>2564990</v>
      </c>
      <c r="R131" s="263">
        <f t="shared" si="4"/>
        <v>803.3180179132255</v>
      </c>
      <c r="S131" s="203">
        <f t="shared" si="5"/>
        <v>43.079310250722223</v>
      </c>
      <c r="T131" s="895"/>
      <c r="U131" s="169">
        <v>2146718</v>
      </c>
      <c r="V131" s="896"/>
      <c r="W131" s="303"/>
      <c r="X131" s="2094"/>
      <c r="Y131" s="554"/>
      <c r="Z131" s="1305"/>
      <c r="AA131" s="1796"/>
      <c r="AB131" s="1305"/>
      <c r="AC131" s="1305"/>
    </row>
    <row r="132" spans="1:29">
      <c r="A132" s="63">
        <v>2007.03</v>
      </c>
      <c r="B132" s="169">
        <v>130707</v>
      </c>
      <c r="C132" s="886">
        <f t="shared" si="6"/>
        <v>85919</v>
      </c>
      <c r="D132" s="3162">
        <v>12361</v>
      </c>
      <c r="E132" s="180">
        <v>34167</v>
      </c>
      <c r="F132" s="3162">
        <v>3520</v>
      </c>
      <c r="G132" s="180">
        <v>13630</v>
      </c>
      <c r="H132" s="3162">
        <v>13569</v>
      </c>
      <c r="I132" s="180">
        <v>5929</v>
      </c>
      <c r="J132" s="3162">
        <v>2743</v>
      </c>
      <c r="K132" s="180">
        <v>19797</v>
      </c>
      <c r="L132" s="3162">
        <v>4764</v>
      </c>
      <c r="M132" s="180">
        <v>6729</v>
      </c>
      <c r="N132" s="2095">
        <v>13498</v>
      </c>
      <c r="O132" s="2096"/>
      <c r="P132" s="2097">
        <v>137552</v>
      </c>
      <c r="Q132" s="2097">
        <v>2919497</v>
      </c>
      <c r="R132" s="263">
        <f t="shared" si="4"/>
        <v>950.23700127951611</v>
      </c>
      <c r="S132" s="203">
        <f t="shared" si="5"/>
        <v>44.770383391385572</v>
      </c>
      <c r="T132" s="895"/>
      <c r="U132" s="169">
        <v>2481669</v>
      </c>
      <c r="V132" s="896"/>
      <c r="W132" s="303"/>
      <c r="X132" s="2094"/>
      <c r="Y132" s="554"/>
      <c r="Z132" s="1305"/>
      <c r="AA132" s="1796"/>
      <c r="AB132" s="1305"/>
      <c r="AC132" s="1305"/>
    </row>
    <row r="133" spans="1:29">
      <c r="A133" s="63">
        <v>2007.04</v>
      </c>
      <c r="B133" s="169">
        <v>130647</v>
      </c>
      <c r="C133" s="886">
        <f t="shared" si="6"/>
        <v>86302</v>
      </c>
      <c r="D133" s="3162">
        <v>12505</v>
      </c>
      <c r="E133" s="180">
        <v>34468</v>
      </c>
      <c r="F133" s="3162">
        <v>3594</v>
      </c>
      <c r="G133" s="180">
        <v>13337</v>
      </c>
      <c r="H133" s="3162">
        <v>13691</v>
      </c>
      <c r="I133" s="180">
        <v>5878</v>
      </c>
      <c r="J133" s="3162">
        <v>2829</v>
      </c>
      <c r="K133" s="180">
        <v>19252</v>
      </c>
      <c r="L133" s="3162">
        <v>5170</v>
      </c>
      <c r="M133" s="180">
        <v>6755</v>
      </c>
      <c r="N133" s="2095">
        <v>13168</v>
      </c>
      <c r="O133" s="2096"/>
      <c r="P133" s="2097">
        <v>137552</v>
      </c>
      <c r="Q133" s="2097">
        <v>2920440</v>
      </c>
      <c r="R133" s="263">
        <f t="shared" si="4"/>
        <v>949.80080260556008</v>
      </c>
      <c r="S133" s="203">
        <f t="shared" si="5"/>
        <v>44.735382339647451</v>
      </c>
      <c r="T133" s="895"/>
      <c r="U133" s="169">
        <v>2428950</v>
      </c>
      <c r="V133" s="896"/>
      <c r="W133" s="303"/>
      <c r="X133" s="2094"/>
      <c r="Y133" s="554"/>
      <c r="Z133" s="1305"/>
      <c r="AA133" s="1796"/>
      <c r="AB133" s="1305"/>
      <c r="AC133" s="1305"/>
    </row>
    <row r="134" spans="1:29">
      <c r="A134" s="63">
        <v>2007.05</v>
      </c>
      <c r="B134" s="169">
        <v>128823</v>
      </c>
      <c r="C134" s="886">
        <f t="shared" si="6"/>
        <v>84434</v>
      </c>
      <c r="D134" s="3162">
        <v>12110</v>
      </c>
      <c r="E134" s="180">
        <v>33873</v>
      </c>
      <c r="F134" s="3162">
        <v>3590</v>
      </c>
      <c r="G134" s="180">
        <v>13261</v>
      </c>
      <c r="H134" s="3162">
        <v>13283</v>
      </c>
      <c r="I134" s="180">
        <v>5625</v>
      </c>
      <c r="J134" s="3162">
        <v>2692</v>
      </c>
      <c r="K134" s="180">
        <v>18221</v>
      </c>
      <c r="L134" s="3162">
        <v>5740</v>
      </c>
      <c r="M134" s="180">
        <v>8160</v>
      </c>
      <c r="N134" s="2095">
        <v>12268</v>
      </c>
      <c r="O134" s="2096"/>
      <c r="P134" s="2097">
        <v>137552</v>
      </c>
      <c r="Q134" s="2097">
        <v>2849965</v>
      </c>
      <c r="R134" s="263">
        <f t="shared" si="4"/>
        <v>936.54036291729665</v>
      </c>
      <c r="S134" s="203">
        <f t="shared" si="5"/>
        <v>45.201607739042409</v>
      </c>
      <c r="T134" s="895"/>
      <c r="U134" s="169">
        <v>2385531</v>
      </c>
      <c r="V134" s="896"/>
      <c r="W134" s="303"/>
      <c r="X134" s="2094"/>
      <c r="Y134" s="554"/>
      <c r="Z134" s="1305"/>
      <c r="AA134" s="1796"/>
      <c r="AB134" s="1305"/>
      <c r="AC134" s="1305"/>
    </row>
    <row r="135" spans="1:29">
      <c r="A135" s="63">
        <v>2007.06</v>
      </c>
      <c r="B135" s="169">
        <v>141179</v>
      </c>
      <c r="C135" s="886">
        <f t="shared" si="6"/>
        <v>92924</v>
      </c>
      <c r="D135" s="3162">
        <v>13627</v>
      </c>
      <c r="E135" s="180">
        <v>37780</v>
      </c>
      <c r="F135" s="3162">
        <v>3429</v>
      </c>
      <c r="G135" s="180">
        <v>14790</v>
      </c>
      <c r="H135" s="3162">
        <v>14404</v>
      </c>
      <c r="I135" s="180">
        <v>5783</v>
      </c>
      <c r="J135" s="3162">
        <v>3111</v>
      </c>
      <c r="K135" s="180">
        <v>19541</v>
      </c>
      <c r="L135" s="3162">
        <v>5567</v>
      </c>
      <c r="M135" s="180">
        <v>9279</v>
      </c>
      <c r="N135" s="2095">
        <v>13868</v>
      </c>
      <c r="O135" s="2096"/>
      <c r="P135" s="2097">
        <v>137552</v>
      </c>
      <c r="Q135" s="2097">
        <v>2916438</v>
      </c>
      <c r="R135" s="263">
        <f t="shared" si="4"/>
        <v>1026.3682098406421</v>
      </c>
      <c r="S135" s="203">
        <f t="shared" si="5"/>
        <v>48.408023760491396</v>
      </c>
      <c r="T135" s="895"/>
      <c r="U135" s="169">
        <v>2579846</v>
      </c>
      <c r="V135" s="896"/>
      <c r="W135" s="303"/>
      <c r="X135" s="2094"/>
      <c r="Y135" s="554"/>
      <c r="Z135" s="1305"/>
      <c r="AA135" s="1796"/>
      <c r="AB135" s="1305"/>
      <c r="AC135" s="1305"/>
    </row>
    <row r="136" spans="1:29">
      <c r="A136" s="63">
        <v>2007.07</v>
      </c>
      <c r="B136" s="169">
        <v>145477</v>
      </c>
      <c r="C136" s="886">
        <f t="shared" si="6"/>
        <v>95401</v>
      </c>
      <c r="D136" s="3162">
        <v>13502</v>
      </c>
      <c r="E136" s="180">
        <v>39185</v>
      </c>
      <c r="F136" s="3162">
        <v>4272</v>
      </c>
      <c r="G136" s="180">
        <v>15123</v>
      </c>
      <c r="H136" s="3162">
        <v>14484</v>
      </c>
      <c r="I136" s="180">
        <v>5681</v>
      </c>
      <c r="J136" s="3162">
        <v>3154</v>
      </c>
      <c r="K136" s="180">
        <v>19857</v>
      </c>
      <c r="L136" s="3162">
        <v>5617</v>
      </c>
      <c r="M136" s="180">
        <v>9042</v>
      </c>
      <c r="N136" s="2095">
        <v>15560</v>
      </c>
      <c r="O136" s="2096"/>
      <c r="P136" s="2097">
        <v>137552</v>
      </c>
      <c r="Q136" s="2097">
        <v>2993552</v>
      </c>
      <c r="R136" s="263">
        <f t="shared" si="4"/>
        <v>1057.6145748516926</v>
      </c>
      <c r="S136" s="203">
        <f t="shared" si="5"/>
        <v>48.59678402112273</v>
      </c>
      <c r="T136" s="895"/>
      <c r="U136" s="169">
        <v>2685958</v>
      </c>
      <c r="V136" s="896"/>
      <c r="W136" s="303"/>
      <c r="X136" s="2094"/>
      <c r="Y136" s="554"/>
      <c r="Z136" s="1305"/>
      <c r="AA136" s="1796"/>
      <c r="AB136" s="1305"/>
      <c r="AC136" s="1305"/>
    </row>
    <row r="137" spans="1:29">
      <c r="A137" s="63">
        <v>2007.08</v>
      </c>
      <c r="B137" s="169">
        <v>148854</v>
      </c>
      <c r="C137" s="886">
        <f t="shared" si="6"/>
        <v>98189</v>
      </c>
      <c r="D137" s="3162">
        <v>13801</v>
      </c>
      <c r="E137" s="180">
        <v>40282</v>
      </c>
      <c r="F137" s="3162">
        <v>4420</v>
      </c>
      <c r="G137" s="180">
        <v>15297</v>
      </c>
      <c r="H137" s="3162">
        <v>15049</v>
      </c>
      <c r="I137" s="180">
        <v>6177</v>
      </c>
      <c r="J137" s="3162">
        <v>3163</v>
      </c>
      <c r="K137" s="180">
        <v>20474</v>
      </c>
      <c r="L137" s="3162">
        <v>4827</v>
      </c>
      <c r="M137" s="180">
        <v>8314</v>
      </c>
      <c r="N137" s="2095">
        <v>17050</v>
      </c>
      <c r="O137" s="2096"/>
      <c r="P137" s="2097">
        <v>137552</v>
      </c>
      <c r="Q137" s="2097">
        <v>3000990</v>
      </c>
      <c r="R137" s="263">
        <f t="shared" si="4"/>
        <v>1082.1652902175178</v>
      </c>
      <c r="S137" s="203">
        <f t="shared" si="5"/>
        <v>49.601631461617671</v>
      </c>
      <c r="T137" s="895"/>
      <c r="U137" s="169">
        <v>2762085</v>
      </c>
      <c r="V137" s="896"/>
      <c r="W137" s="303"/>
      <c r="X137" s="2094"/>
      <c r="Y137" s="554"/>
      <c r="Z137" s="1305"/>
      <c r="AA137" s="1796"/>
      <c r="AB137" s="1305"/>
      <c r="AC137" s="1305"/>
    </row>
    <row r="138" spans="1:29">
      <c r="A138" s="63">
        <v>2007.09</v>
      </c>
      <c r="B138" s="169">
        <v>148976</v>
      </c>
      <c r="C138" s="886">
        <f t="shared" si="6"/>
        <v>99070</v>
      </c>
      <c r="D138" s="3162">
        <v>14553</v>
      </c>
      <c r="E138" s="180">
        <v>39551</v>
      </c>
      <c r="F138" s="3162">
        <v>4558</v>
      </c>
      <c r="G138" s="180">
        <v>15500</v>
      </c>
      <c r="H138" s="3162">
        <v>15165</v>
      </c>
      <c r="I138" s="180">
        <v>6351</v>
      </c>
      <c r="J138" s="3162">
        <v>3392</v>
      </c>
      <c r="K138" s="180">
        <v>20954</v>
      </c>
      <c r="L138" s="3162">
        <v>4707</v>
      </c>
      <c r="M138" s="180">
        <v>8638</v>
      </c>
      <c r="N138" s="2095">
        <v>15607</v>
      </c>
      <c r="O138" s="2096"/>
      <c r="P138" s="2097">
        <v>137552</v>
      </c>
      <c r="Q138" s="2097">
        <v>2918927</v>
      </c>
      <c r="R138" s="263">
        <f t="shared" si="4"/>
        <v>1083.0522275212284</v>
      </c>
      <c r="S138" s="203">
        <f t="shared" si="5"/>
        <v>51.037932774612045</v>
      </c>
      <c r="T138" s="895"/>
      <c r="U138" s="169">
        <v>2781955</v>
      </c>
      <c r="V138" s="896"/>
      <c r="W138" s="303"/>
      <c r="X138" s="2094"/>
      <c r="Y138" s="554"/>
      <c r="Z138" s="1305"/>
      <c r="AA138" s="1796"/>
      <c r="AB138" s="1305"/>
      <c r="AC138" s="1305"/>
    </row>
    <row r="139" spans="1:29">
      <c r="A139" s="63">
        <v>2007.1</v>
      </c>
      <c r="B139" s="169">
        <v>153663</v>
      </c>
      <c r="C139" s="886">
        <f t="shared" si="6"/>
        <v>99326</v>
      </c>
      <c r="D139" s="3162">
        <v>16671</v>
      </c>
      <c r="E139" s="180">
        <v>37746</v>
      </c>
      <c r="F139" s="3162">
        <v>4326</v>
      </c>
      <c r="G139" s="180">
        <v>15527</v>
      </c>
      <c r="H139" s="3162">
        <v>15291</v>
      </c>
      <c r="I139" s="180">
        <v>6426</v>
      </c>
      <c r="J139" s="3162">
        <v>3339</v>
      </c>
      <c r="K139" s="180">
        <v>21633</v>
      </c>
      <c r="L139" s="3162">
        <v>5121</v>
      </c>
      <c r="M139" s="180">
        <v>10754</v>
      </c>
      <c r="N139" s="2095">
        <v>16829</v>
      </c>
      <c r="O139" s="2096"/>
      <c r="P139" s="2097">
        <v>137552</v>
      </c>
      <c r="Q139" s="2097">
        <v>2943692</v>
      </c>
      <c r="R139" s="263">
        <f t="shared" ref="R139:R165" si="7">$B139/P139*1000</f>
        <v>1117.1266139350937</v>
      </c>
      <c r="S139" s="203">
        <f t="shared" ref="S139:S165" si="8">$B139/Q139*1000</f>
        <v>52.200773722250837</v>
      </c>
      <c r="T139" s="895"/>
      <c r="U139" s="169">
        <v>2892830</v>
      </c>
      <c r="V139" s="896"/>
      <c r="W139" s="303"/>
      <c r="X139" s="2094"/>
      <c r="Y139" s="554"/>
      <c r="Z139" s="1305"/>
      <c r="AA139" s="1796"/>
      <c r="AB139" s="1305"/>
      <c r="AC139" s="1305"/>
    </row>
    <row r="140" spans="1:29">
      <c r="A140" s="63">
        <v>2007.11</v>
      </c>
      <c r="B140" s="169">
        <v>153827</v>
      </c>
      <c r="C140" s="886">
        <f t="shared" ref="C140:C189" si="9">SUM(D140:J140)</f>
        <v>102556</v>
      </c>
      <c r="D140" s="3162">
        <v>19459</v>
      </c>
      <c r="E140" s="180">
        <v>38669</v>
      </c>
      <c r="F140" s="3162">
        <v>4299</v>
      </c>
      <c r="G140" s="180">
        <v>15332</v>
      </c>
      <c r="H140" s="3162">
        <v>15148</v>
      </c>
      <c r="I140" s="180">
        <v>6144</v>
      </c>
      <c r="J140" s="3162">
        <v>3505</v>
      </c>
      <c r="K140" s="180">
        <v>21910</v>
      </c>
      <c r="L140" s="3162">
        <v>4827</v>
      </c>
      <c r="M140" s="180">
        <v>7965</v>
      </c>
      <c r="N140" s="2095">
        <v>16569</v>
      </c>
      <c r="O140" s="2096"/>
      <c r="P140" s="2097">
        <v>137552</v>
      </c>
      <c r="Q140" s="2097">
        <v>2884262</v>
      </c>
      <c r="R140" s="263">
        <f t="shared" si="7"/>
        <v>1118.3188903105734</v>
      </c>
      <c r="S140" s="203">
        <f t="shared" si="8"/>
        <v>53.333227009196804</v>
      </c>
      <c r="T140" s="895"/>
      <c r="U140" s="169">
        <v>2856893</v>
      </c>
      <c r="V140" s="896"/>
      <c r="W140" s="303"/>
      <c r="X140" s="2094"/>
      <c r="Y140" s="554"/>
      <c r="Z140" s="1305"/>
      <c r="AA140" s="1796"/>
      <c r="AB140" s="1305"/>
      <c r="AC140" s="1305"/>
    </row>
    <row r="141" spans="1:29">
      <c r="A141" s="63">
        <v>2007.12</v>
      </c>
      <c r="B141" s="169">
        <v>203264</v>
      </c>
      <c r="C141" s="886">
        <f t="shared" si="9"/>
        <v>134035</v>
      </c>
      <c r="D141" s="3162">
        <v>31273</v>
      </c>
      <c r="E141" s="180">
        <v>48744</v>
      </c>
      <c r="F141" s="3162">
        <v>5650</v>
      </c>
      <c r="G141" s="180">
        <v>16850</v>
      </c>
      <c r="H141" s="3162">
        <v>19826</v>
      </c>
      <c r="I141" s="180">
        <v>7598</v>
      </c>
      <c r="J141" s="3162">
        <v>4094</v>
      </c>
      <c r="K141" s="180">
        <v>25237</v>
      </c>
      <c r="L141" s="3162">
        <v>7349</v>
      </c>
      <c r="M141" s="180">
        <v>11624</v>
      </c>
      <c r="N141" s="2095">
        <v>25019</v>
      </c>
      <c r="O141" s="2096"/>
      <c r="P141" s="2097">
        <v>139552</v>
      </c>
      <c r="Q141" s="2097">
        <v>3206034</v>
      </c>
      <c r="R141" s="263">
        <f t="shared" si="7"/>
        <v>1456.546663609264</v>
      </c>
      <c r="S141" s="203">
        <f t="shared" si="8"/>
        <v>63.400450525477893</v>
      </c>
      <c r="T141" s="895"/>
      <c r="U141" s="169">
        <v>3857861</v>
      </c>
      <c r="V141" s="896"/>
      <c r="W141" s="303"/>
      <c r="X141" s="2094"/>
      <c r="Y141" s="554"/>
      <c r="Z141" s="1305"/>
      <c r="AA141" s="1796"/>
      <c r="AB141" s="1305"/>
      <c r="AC141" s="1305"/>
    </row>
    <row r="142" spans="1:29">
      <c r="A142" s="63">
        <f t="shared" ref="A142:A205" si="10">A130+1</f>
        <v>2008.01</v>
      </c>
      <c r="B142" s="169">
        <v>156446</v>
      </c>
      <c r="C142" s="886">
        <f t="shared" si="9"/>
        <v>97531</v>
      </c>
      <c r="D142" s="3162">
        <v>17777</v>
      </c>
      <c r="E142" s="180">
        <v>36059</v>
      </c>
      <c r="F142" s="3162">
        <v>4052</v>
      </c>
      <c r="G142" s="180">
        <v>14803</v>
      </c>
      <c r="H142" s="3162">
        <v>14826</v>
      </c>
      <c r="I142" s="180">
        <v>6655</v>
      </c>
      <c r="J142" s="3162">
        <v>3359</v>
      </c>
      <c r="K142" s="180">
        <v>22742</v>
      </c>
      <c r="L142" s="3162">
        <v>5429</v>
      </c>
      <c r="M142" s="180">
        <v>11187</v>
      </c>
      <c r="N142" s="2095">
        <v>19557</v>
      </c>
      <c r="O142" s="2096"/>
      <c r="P142" s="2097">
        <v>139552</v>
      </c>
      <c r="Q142" s="2097">
        <v>2815389</v>
      </c>
      <c r="R142" s="263">
        <f t="shared" si="7"/>
        <v>1121.0588167851411</v>
      </c>
      <c r="S142" s="203">
        <f t="shared" si="8"/>
        <v>55.568164825535654</v>
      </c>
      <c r="T142" s="895"/>
      <c r="U142" s="169">
        <v>3006997</v>
      </c>
      <c r="V142" s="896"/>
      <c r="W142" s="303"/>
      <c r="X142" s="2094"/>
      <c r="Y142" s="554"/>
      <c r="Z142" s="1305"/>
      <c r="AA142" s="1796"/>
      <c r="AB142" s="1305"/>
      <c r="AC142" s="1305"/>
    </row>
    <row r="143" spans="1:29">
      <c r="A143" s="63">
        <f t="shared" si="10"/>
        <v>2008.02</v>
      </c>
      <c r="B143" s="169">
        <v>156868</v>
      </c>
      <c r="C143" s="886">
        <f t="shared" si="9"/>
        <v>102237</v>
      </c>
      <c r="D143" s="3162">
        <v>17838</v>
      </c>
      <c r="E143" s="180">
        <v>38151</v>
      </c>
      <c r="F143" s="3162">
        <v>4302</v>
      </c>
      <c r="G143" s="180">
        <v>15691</v>
      </c>
      <c r="H143" s="3162">
        <v>15869</v>
      </c>
      <c r="I143" s="180">
        <v>6855</v>
      </c>
      <c r="J143" s="3162">
        <v>3531</v>
      </c>
      <c r="K143" s="180">
        <v>22447</v>
      </c>
      <c r="L143" s="3162">
        <v>5150</v>
      </c>
      <c r="M143" s="180">
        <v>8449</v>
      </c>
      <c r="N143" s="2095">
        <v>18585</v>
      </c>
      <c r="O143" s="2096"/>
      <c r="P143" s="2097">
        <v>139552</v>
      </c>
      <c r="Q143" s="2097">
        <v>2768755</v>
      </c>
      <c r="R143" s="263">
        <f t="shared" si="7"/>
        <v>1124.0827791790873</v>
      </c>
      <c r="S143" s="203">
        <f t="shared" si="8"/>
        <v>56.656511681243011</v>
      </c>
      <c r="T143" s="895"/>
      <c r="U143" s="169">
        <v>3063867</v>
      </c>
      <c r="V143" s="896"/>
      <c r="W143" s="303"/>
      <c r="X143" s="2094"/>
      <c r="Y143" s="554"/>
      <c r="Z143" s="1305"/>
      <c r="AA143" s="1796"/>
      <c r="AB143" s="1305"/>
      <c r="AC143" s="1305"/>
    </row>
    <row r="144" spans="1:29">
      <c r="A144" s="63">
        <f t="shared" si="10"/>
        <v>2008.03</v>
      </c>
      <c r="B144" s="169">
        <v>182660</v>
      </c>
      <c r="C144" s="886">
        <f t="shared" si="9"/>
        <v>124121</v>
      </c>
      <c r="D144" s="3162">
        <v>20002</v>
      </c>
      <c r="E144" s="180">
        <v>49875</v>
      </c>
      <c r="F144" s="3162">
        <v>5116</v>
      </c>
      <c r="G144" s="180">
        <v>18854</v>
      </c>
      <c r="H144" s="3162">
        <v>18724</v>
      </c>
      <c r="I144" s="180">
        <v>7562</v>
      </c>
      <c r="J144" s="3162">
        <v>3988</v>
      </c>
      <c r="K144" s="180">
        <v>25480</v>
      </c>
      <c r="L144" s="3162">
        <v>5591</v>
      </c>
      <c r="M144" s="180">
        <v>8820</v>
      </c>
      <c r="N144" s="2095">
        <v>18648</v>
      </c>
      <c r="O144" s="2096"/>
      <c r="P144" s="2097">
        <v>139552</v>
      </c>
      <c r="Q144" s="2097">
        <v>3056908</v>
      </c>
      <c r="R144" s="263">
        <f t="shared" si="7"/>
        <v>1308.9027745929834</v>
      </c>
      <c r="S144" s="203">
        <f t="shared" si="8"/>
        <v>59.753188515977584</v>
      </c>
      <c r="T144" s="895"/>
      <c r="U144" s="169">
        <v>3499058</v>
      </c>
      <c r="V144" s="896"/>
      <c r="W144" s="303"/>
      <c r="X144" s="2094"/>
      <c r="Y144" s="554"/>
      <c r="Z144" s="1305"/>
      <c r="AA144" s="1796"/>
      <c r="AB144" s="1305"/>
      <c r="AC144" s="1305"/>
    </row>
    <row r="145" spans="1:29">
      <c r="A145" s="63">
        <f t="shared" si="10"/>
        <v>2008.04</v>
      </c>
      <c r="B145" s="169">
        <v>169462</v>
      </c>
      <c r="C145" s="886">
        <f t="shared" si="9"/>
        <v>113514.83999999998</v>
      </c>
      <c r="D145" s="3162">
        <v>18610.12</v>
      </c>
      <c r="E145" s="180">
        <v>43727.12</v>
      </c>
      <c r="F145" s="3162">
        <v>4782.12</v>
      </c>
      <c r="G145" s="180">
        <v>16861.12</v>
      </c>
      <c r="H145" s="3162">
        <v>18731.12</v>
      </c>
      <c r="I145" s="180">
        <v>7064.12</v>
      </c>
      <c r="J145" s="3162">
        <v>3739.12</v>
      </c>
      <c r="K145" s="180">
        <v>23999.119999999999</v>
      </c>
      <c r="L145" s="3162">
        <v>6043.12</v>
      </c>
      <c r="M145" s="180">
        <v>9179.1200000000008</v>
      </c>
      <c r="N145" s="2095">
        <v>16726.12</v>
      </c>
      <c r="O145" s="2096"/>
      <c r="P145" s="2097">
        <v>139552</v>
      </c>
      <c r="Q145" s="2097">
        <v>2881117</v>
      </c>
      <c r="R145" s="263">
        <f t="shared" si="7"/>
        <v>1214.3287090116946</v>
      </c>
      <c r="S145" s="203">
        <f t="shared" si="8"/>
        <v>58.818159762342177</v>
      </c>
      <c r="T145" s="895"/>
      <c r="U145" s="169">
        <v>3244770</v>
      </c>
      <c r="V145" s="896"/>
      <c r="W145" s="303"/>
      <c r="X145" s="2094"/>
      <c r="Y145" s="554"/>
      <c r="Z145" s="1305"/>
      <c r="AA145" s="1796"/>
      <c r="AB145" s="1305"/>
      <c r="AC145" s="1305"/>
    </row>
    <row r="146" spans="1:29">
      <c r="A146" s="63">
        <f t="shared" si="10"/>
        <v>2008.05</v>
      </c>
      <c r="B146" s="169">
        <v>179162</v>
      </c>
      <c r="C146" s="886">
        <f t="shared" si="9"/>
        <v>119076</v>
      </c>
      <c r="D146" s="3162">
        <v>19356</v>
      </c>
      <c r="E146" s="180">
        <v>47945</v>
      </c>
      <c r="F146" s="3162">
        <v>5156</v>
      </c>
      <c r="G146" s="180">
        <v>17320</v>
      </c>
      <c r="H146" s="3162">
        <v>19072</v>
      </c>
      <c r="I146" s="180">
        <v>6474</v>
      </c>
      <c r="J146" s="3162">
        <v>3753</v>
      </c>
      <c r="K146" s="180">
        <v>25338</v>
      </c>
      <c r="L146" s="3162">
        <v>6833</v>
      </c>
      <c r="M146" s="180">
        <v>10576</v>
      </c>
      <c r="N146" s="2095">
        <v>17339</v>
      </c>
      <c r="O146" s="2096"/>
      <c r="P146" s="2097">
        <v>139552</v>
      </c>
      <c r="Q146" s="2097">
        <v>2896933</v>
      </c>
      <c r="R146" s="263">
        <f t="shared" si="7"/>
        <v>1283.8368493464802</v>
      </c>
      <c r="S146" s="203">
        <f t="shared" si="8"/>
        <v>61.845406849243666</v>
      </c>
      <c r="T146" s="895"/>
      <c r="U146" s="169">
        <v>3461532</v>
      </c>
      <c r="V146" s="896"/>
      <c r="W146" s="303"/>
      <c r="X146" s="2094"/>
      <c r="Y146" s="554"/>
      <c r="Z146" s="1305"/>
      <c r="AA146" s="1796"/>
      <c r="AB146" s="1305"/>
      <c r="AC146" s="1305"/>
    </row>
    <row r="147" spans="1:29">
      <c r="A147" s="63">
        <f t="shared" si="10"/>
        <v>2008.06</v>
      </c>
      <c r="B147" s="169">
        <v>181155</v>
      </c>
      <c r="C147" s="886">
        <f t="shared" si="9"/>
        <v>120946</v>
      </c>
      <c r="D147" s="3162">
        <v>19410</v>
      </c>
      <c r="E147" s="180">
        <v>49686</v>
      </c>
      <c r="F147" s="3162">
        <v>5609</v>
      </c>
      <c r="G147" s="180">
        <v>17910</v>
      </c>
      <c r="H147" s="3162">
        <v>18538</v>
      </c>
      <c r="I147" s="180">
        <v>6241</v>
      </c>
      <c r="J147" s="3162">
        <v>3552</v>
      </c>
      <c r="K147" s="180">
        <v>24294</v>
      </c>
      <c r="L147" s="3162">
        <v>7335</v>
      </c>
      <c r="M147" s="180">
        <v>11092</v>
      </c>
      <c r="N147" s="2095">
        <v>17488</v>
      </c>
      <c r="O147" s="2096"/>
      <c r="P147" s="2097">
        <v>139552</v>
      </c>
      <c r="Q147" s="2097">
        <v>2939214</v>
      </c>
      <c r="R147" s="263">
        <f t="shared" si="7"/>
        <v>1298.1182641595965</v>
      </c>
      <c r="S147" s="203">
        <f t="shared" si="8"/>
        <v>61.633824553094811</v>
      </c>
      <c r="T147" s="895"/>
      <c r="U147" s="169">
        <v>3439756</v>
      </c>
      <c r="V147" s="896"/>
      <c r="W147" s="303"/>
      <c r="X147" s="2094"/>
      <c r="Y147" s="554"/>
      <c r="Z147" s="1305"/>
      <c r="AA147" s="1796"/>
      <c r="AB147" s="1305"/>
      <c r="AC147" s="1305"/>
    </row>
    <row r="148" spans="1:29">
      <c r="A148" s="63">
        <f t="shared" si="10"/>
        <v>2008.07</v>
      </c>
      <c r="B148" s="169">
        <v>184147</v>
      </c>
      <c r="C148" s="886">
        <f t="shared" si="9"/>
        <v>122216</v>
      </c>
      <c r="D148" s="3162">
        <v>20028</v>
      </c>
      <c r="E148" s="180">
        <v>49009</v>
      </c>
      <c r="F148" s="3162">
        <v>5678</v>
      </c>
      <c r="G148" s="180">
        <v>17443</v>
      </c>
      <c r="H148" s="3162">
        <v>19174</v>
      </c>
      <c r="I148" s="180">
        <v>6632</v>
      </c>
      <c r="J148" s="3162">
        <v>4252</v>
      </c>
      <c r="K148" s="180">
        <v>25807</v>
      </c>
      <c r="L148" s="3162">
        <v>6880</v>
      </c>
      <c r="M148" s="180">
        <v>9943</v>
      </c>
      <c r="N148" s="2095">
        <v>19301</v>
      </c>
      <c r="O148" s="2096"/>
      <c r="P148" s="2097">
        <v>139552</v>
      </c>
      <c r="Q148" s="2097">
        <v>3004493</v>
      </c>
      <c r="R148" s="263">
        <f t="shared" si="7"/>
        <v>1319.5583008484293</v>
      </c>
      <c r="S148" s="203">
        <f t="shared" si="8"/>
        <v>61.290540533793887</v>
      </c>
      <c r="T148" s="895"/>
      <c r="U148" s="169">
        <v>3545598</v>
      </c>
      <c r="V148" s="896"/>
      <c r="W148" s="303"/>
      <c r="X148" s="2094"/>
      <c r="Y148" s="554"/>
      <c r="Z148" s="1305"/>
      <c r="AA148" s="1796"/>
      <c r="AB148" s="1305"/>
      <c r="AC148" s="1305"/>
    </row>
    <row r="149" spans="1:29">
      <c r="A149" s="63">
        <f t="shared" si="10"/>
        <v>2008.08</v>
      </c>
      <c r="B149" s="169">
        <v>197371</v>
      </c>
      <c r="C149" s="886">
        <f t="shared" si="9"/>
        <v>130740</v>
      </c>
      <c r="D149" s="3162">
        <v>20992</v>
      </c>
      <c r="E149" s="180">
        <v>52196</v>
      </c>
      <c r="F149" s="3162">
        <v>5963</v>
      </c>
      <c r="G149" s="180">
        <v>19414</v>
      </c>
      <c r="H149" s="3162">
        <v>20617</v>
      </c>
      <c r="I149" s="180">
        <v>7101</v>
      </c>
      <c r="J149" s="3162">
        <v>4457</v>
      </c>
      <c r="K149" s="180">
        <v>27680</v>
      </c>
      <c r="L149" s="3162">
        <v>6443</v>
      </c>
      <c r="M149" s="180">
        <v>10527</v>
      </c>
      <c r="N149" s="2095">
        <v>21981</v>
      </c>
      <c r="O149" s="2096"/>
      <c r="P149" s="2097">
        <v>139552</v>
      </c>
      <c r="Q149" s="2097">
        <v>3086406</v>
      </c>
      <c r="R149" s="263">
        <f t="shared" si="7"/>
        <v>1414.3186769089657</v>
      </c>
      <c r="S149" s="203">
        <f t="shared" si="8"/>
        <v>63.948488954466782</v>
      </c>
      <c r="T149" s="895"/>
      <c r="U149" s="169">
        <v>3785241</v>
      </c>
      <c r="V149" s="896"/>
      <c r="W149" s="303"/>
      <c r="X149" s="2094"/>
      <c r="Y149" s="554"/>
      <c r="Z149" s="1305"/>
      <c r="AA149" s="1796"/>
      <c r="AB149" s="1305"/>
      <c r="AC149" s="1305"/>
    </row>
    <row r="150" spans="1:29">
      <c r="A150" s="63">
        <f t="shared" si="10"/>
        <v>2008.09</v>
      </c>
      <c r="B150" s="169">
        <v>183084</v>
      </c>
      <c r="C150" s="886">
        <f t="shared" si="9"/>
        <v>122543</v>
      </c>
      <c r="D150" s="3162">
        <v>20219</v>
      </c>
      <c r="E150" s="180">
        <v>48115</v>
      </c>
      <c r="F150" s="3162">
        <v>5507</v>
      </c>
      <c r="G150" s="180">
        <v>18873</v>
      </c>
      <c r="H150" s="3162">
        <v>19025</v>
      </c>
      <c r="I150" s="180">
        <v>7056</v>
      </c>
      <c r="J150" s="3162">
        <v>3748</v>
      </c>
      <c r="K150" s="180">
        <v>26194</v>
      </c>
      <c r="L150" s="3162">
        <v>5453</v>
      </c>
      <c r="M150" s="180">
        <v>10009</v>
      </c>
      <c r="N150" s="2095">
        <v>18885</v>
      </c>
      <c r="O150" s="2096"/>
      <c r="P150" s="2097">
        <v>139552</v>
      </c>
      <c r="Q150" s="2097">
        <v>2874608</v>
      </c>
      <c r="R150" s="263">
        <f t="shared" si="7"/>
        <v>1311.9410685622563</v>
      </c>
      <c r="S150" s="203">
        <f t="shared" si="8"/>
        <v>63.690075307659342</v>
      </c>
      <c r="T150" s="895"/>
      <c r="U150" s="169">
        <v>3547515</v>
      </c>
      <c r="V150" s="896"/>
      <c r="W150" s="303"/>
      <c r="X150" s="2094"/>
      <c r="Y150" s="554"/>
      <c r="Z150" s="1305"/>
      <c r="AA150" s="1796"/>
      <c r="AB150" s="1305"/>
      <c r="AC150" s="1305"/>
    </row>
    <row r="151" spans="1:29">
      <c r="A151" s="63">
        <f t="shared" si="10"/>
        <v>2008.1</v>
      </c>
      <c r="B151" s="169">
        <v>196814</v>
      </c>
      <c r="C151" s="886">
        <f t="shared" si="9"/>
        <v>128160</v>
      </c>
      <c r="D151" s="3162">
        <v>21943</v>
      </c>
      <c r="E151" s="180">
        <v>49179</v>
      </c>
      <c r="F151" s="3162">
        <v>5649</v>
      </c>
      <c r="G151" s="180">
        <v>19751</v>
      </c>
      <c r="H151" s="3162">
        <v>20216</v>
      </c>
      <c r="I151" s="180">
        <v>7403</v>
      </c>
      <c r="J151" s="3162">
        <v>4019</v>
      </c>
      <c r="K151" s="180">
        <v>28313</v>
      </c>
      <c r="L151" s="3162">
        <v>6070</v>
      </c>
      <c r="M151" s="180">
        <v>14029</v>
      </c>
      <c r="N151" s="2095">
        <v>20242</v>
      </c>
      <c r="O151" s="2096"/>
      <c r="P151" s="2097">
        <v>139552</v>
      </c>
      <c r="Q151" s="2097">
        <v>3001051</v>
      </c>
      <c r="R151" s="263">
        <f t="shared" si="7"/>
        <v>1410.327333180463</v>
      </c>
      <c r="S151" s="203">
        <f t="shared" si="8"/>
        <v>65.581691214177965</v>
      </c>
      <c r="T151" s="895"/>
      <c r="U151" s="169">
        <v>3873857</v>
      </c>
      <c r="V151" s="896"/>
      <c r="W151" s="303"/>
      <c r="X151" s="2094"/>
      <c r="Y151" s="554"/>
      <c r="Z151" s="1305"/>
      <c r="AA151" s="1796"/>
      <c r="AB151" s="1305"/>
      <c r="AC151" s="1305"/>
    </row>
    <row r="152" spans="1:29">
      <c r="A152" s="63">
        <f t="shared" si="10"/>
        <v>2008.11</v>
      </c>
      <c r="B152" s="169">
        <v>199021</v>
      </c>
      <c r="C152" s="886">
        <v>129741</v>
      </c>
      <c r="D152" s="3162">
        <v>24158</v>
      </c>
      <c r="E152" s="180">
        <v>48746</v>
      </c>
      <c r="F152" s="3162">
        <v>5397</v>
      </c>
      <c r="G152" s="180">
        <v>19940</v>
      </c>
      <c r="H152" s="3162">
        <v>19541</v>
      </c>
      <c r="I152" s="180">
        <v>8040</v>
      </c>
      <c r="J152" s="3162">
        <v>3919</v>
      </c>
      <c r="K152" s="180">
        <v>29693</v>
      </c>
      <c r="L152" s="3162">
        <v>6065</v>
      </c>
      <c r="M152" s="180">
        <v>12370</v>
      </c>
      <c r="N152" s="2095">
        <v>21152</v>
      </c>
      <c r="O152" s="2096"/>
      <c r="P152" s="2097">
        <v>139552</v>
      </c>
      <c r="Q152" s="2097">
        <v>2938658</v>
      </c>
      <c r="R152" s="263">
        <f t="shared" si="7"/>
        <v>1426.1422265535427</v>
      </c>
      <c r="S152" s="203">
        <f t="shared" si="8"/>
        <v>67.725131675751314</v>
      </c>
      <c r="T152" s="895"/>
      <c r="U152" s="169">
        <v>3919915</v>
      </c>
      <c r="V152" s="896"/>
      <c r="W152" s="303"/>
      <c r="X152" s="2094"/>
      <c r="Y152" s="554"/>
      <c r="Z152" s="1305"/>
      <c r="AA152" s="1796"/>
      <c r="AB152" s="1305"/>
      <c r="AC152" s="1305"/>
    </row>
    <row r="153" spans="1:29">
      <c r="A153" s="63">
        <f t="shared" si="10"/>
        <v>2008.12</v>
      </c>
      <c r="B153" s="169">
        <v>248351</v>
      </c>
      <c r="C153" s="886">
        <v>167090</v>
      </c>
      <c r="D153" s="3162">
        <v>39722</v>
      </c>
      <c r="E153" s="180">
        <v>62061</v>
      </c>
      <c r="F153" s="3162">
        <v>6846</v>
      </c>
      <c r="G153" s="180">
        <v>20582</v>
      </c>
      <c r="H153" s="3162">
        <v>23717</v>
      </c>
      <c r="I153" s="180">
        <v>9496</v>
      </c>
      <c r="J153" s="3162">
        <v>4666</v>
      </c>
      <c r="K153" s="180">
        <v>31171</v>
      </c>
      <c r="L153" s="3162">
        <v>7503</v>
      </c>
      <c r="M153" s="180">
        <v>13586</v>
      </c>
      <c r="N153" s="2095">
        <v>29001</v>
      </c>
      <c r="O153" s="2096"/>
      <c r="P153" s="2097">
        <v>139552</v>
      </c>
      <c r="Q153" s="2097">
        <v>3337741</v>
      </c>
      <c r="R153" s="263">
        <f t="shared" si="7"/>
        <v>1779.630531988076</v>
      </c>
      <c r="S153" s="203">
        <f t="shared" si="8"/>
        <v>74.406911740605409</v>
      </c>
      <c r="T153" s="895"/>
      <c r="U153" s="169">
        <v>4763833</v>
      </c>
      <c r="V153" s="896"/>
      <c r="W153" s="303"/>
      <c r="X153" s="2094"/>
      <c r="Y153" s="554"/>
      <c r="Z153" s="1305"/>
      <c r="AA153" s="1796"/>
      <c r="AB153" s="1305"/>
      <c r="AC153" s="1305"/>
    </row>
    <row r="154" spans="1:29">
      <c r="A154" s="63">
        <f t="shared" si="10"/>
        <v>2009.01</v>
      </c>
      <c r="B154" s="169">
        <v>188264</v>
      </c>
      <c r="C154" s="886">
        <f t="shared" si="9"/>
        <v>121741</v>
      </c>
      <c r="D154" s="3162">
        <v>22877</v>
      </c>
      <c r="E154" s="180">
        <v>45093</v>
      </c>
      <c r="F154" s="3162">
        <v>5166</v>
      </c>
      <c r="G154" s="180">
        <v>17716</v>
      </c>
      <c r="H154" s="3162">
        <v>19059</v>
      </c>
      <c r="I154" s="180">
        <v>7982</v>
      </c>
      <c r="J154" s="3162">
        <v>3848</v>
      </c>
      <c r="K154" s="180">
        <v>28524</v>
      </c>
      <c r="L154" s="3162">
        <v>5989</v>
      </c>
      <c r="M154" s="180">
        <v>9959</v>
      </c>
      <c r="N154" s="2095">
        <v>22051</v>
      </c>
      <c r="O154" s="2096"/>
      <c r="P154" s="2097">
        <v>139552</v>
      </c>
      <c r="Q154" s="2097">
        <v>2586524</v>
      </c>
      <c r="R154" s="263">
        <f t="shared" si="7"/>
        <v>1349.0598486585645</v>
      </c>
      <c r="S154" s="203">
        <f t="shared" si="8"/>
        <v>72.786488739327368</v>
      </c>
      <c r="T154" s="895"/>
      <c r="U154" s="169">
        <v>3836771</v>
      </c>
      <c r="V154" s="896"/>
      <c r="W154" s="303"/>
      <c r="X154" s="2094"/>
      <c r="Y154" s="554"/>
      <c r="Z154" s="1305"/>
      <c r="AA154" s="1796"/>
      <c r="AB154" s="1305"/>
      <c r="AC154" s="1305"/>
    </row>
    <row r="155" spans="1:29">
      <c r="A155" s="63">
        <f t="shared" si="10"/>
        <v>2009.02</v>
      </c>
      <c r="B155" s="169">
        <v>174723</v>
      </c>
      <c r="C155" s="886">
        <f t="shared" si="9"/>
        <v>114582</v>
      </c>
      <c r="D155" s="3162">
        <v>20668</v>
      </c>
      <c r="E155" s="180">
        <v>43263</v>
      </c>
      <c r="F155" s="3162">
        <v>4755</v>
      </c>
      <c r="G155" s="180">
        <v>17421</v>
      </c>
      <c r="H155" s="3162">
        <v>17684</v>
      </c>
      <c r="I155" s="180">
        <v>7475</v>
      </c>
      <c r="J155" s="3162">
        <v>3316</v>
      </c>
      <c r="K155" s="180">
        <v>26431</v>
      </c>
      <c r="L155" s="3162">
        <v>5544</v>
      </c>
      <c r="M155" s="180">
        <v>7657</v>
      </c>
      <c r="N155" s="2095">
        <v>20509</v>
      </c>
      <c r="O155" s="2096"/>
      <c r="P155" s="2097">
        <v>139552</v>
      </c>
      <c r="Q155" s="2097">
        <v>2386289</v>
      </c>
      <c r="R155" s="263">
        <f t="shared" si="7"/>
        <v>1252.0279179087365</v>
      </c>
      <c r="S155" s="203">
        <f t="shared" si="8"/>
        <v>73.219547171361057</v>
      </c>
      <c r="T155" s="895"/>
      <c r="U155" s="169">
        <v>3617195</v>
      </c>
      <c r="V155" s="896"/>
      <c r="W155" s="303"/>
      <c r="X155" s="2094"/>
      <c r="Y155" s="554"/>
      <c r="Z155" s="1305"/>
      <c r="AA155" s="1796"/>
      <c r="AB155" s="1305"/>
      <c r="AC155" s="1305"/>
    </row>
    <row r="156" spans="1:29">
      <c r="A156" s="63">
        <f t="shared" si="10"/>
        <v>2009.03</v>
      </c>
      <c r="B156" s="169">
        <v>192337</v>
      </c>
      <c r="C156" s="886">
        <f t="shared" si="9"/>
        <v>129060</v>
      </c>
      <c r="D156" s="3162">
        <v>22571</v>
      </c>
      <c r="E156" s="180">
        <v>48848</v>
      </c>
      <c r="F156" s="3162">
        <v>5578</v>
      </c>
      <c r="G156" s="180">
        <v>19762</v>
      </c>
      <c r="H156" s="3162">
        <v>20268</v>
      </c>
      <c r="I156" s="180">
        <v>8219</v>
      </c>
      <c r="J156" s="3162">
        <v>3814</v>
      </c>
      <c r="K156" s="180">
        <v>28654</v>
      </c>
      <c r="L156" s="3162">
        <v>5566</v>
      </c>
      <c r="M156" s="180">
        <v>9041</v>
      </c>
      <c r="N156" s="2095">
        <v>20016</v>
      </c>
      <c r="O156" s="2096"/>
      <c r="P156" s="2097">
        <v>139552</v>
      </c>
      <c r="Q156" s="2097">
        <v>2573083</v>
      </c>
      <c r="R156" s="263">
        <f t="shared" si="7"/>
        <v>1378.2461018115112</v>
      </c>
      <c r="S156" s="203">
        <f t="shared" si="8"/>
        <v>74.749629141384091</v>
      </c>
      <c r="T156" s="895"/>
      <c r="U156" s="169">
        <v>3984448</v>
      </c>
      <c r="V156" s="896"/>
      <c r="W156" s="303"/>
      <c r="X156" s="2094"/>
      <c r="Y156" s="554"/>
      <c r="Z156" s="1305"/>
      <c r="AA156" s="1796"/>
      <c r="AB156" s="1305"/>
      <c r="AC156" s="1305"/>
    </row>
    <row r="157" spans="1:29">
      <c r="A157" s="63">
        <f t="shared" si="10"/>
        <v>2009.04</v>
      </c>
      <c r="B157" s="169">
        <v>195711</v>
      </c>
      <c r="C157" s="886">
        <f t="shared" si="9"/>
        <v>132833</v>
      </c>
      <c r="D157" s="3162">
        <v>22409</v>
      </c>
      <c r="E157" s="180">
        <v>52968</v>
      </c>
      <c r="F157" s="3162">
        <v>5826</v>
      </c>
      <c r="G157" s="180">
        <v>19377</v>
      </c>
      <c r="H157" s="3162">
        <v>20843</v>
      </c>
      <c r="I157" s="180">
        <v>7677</v>
      </c>
      <c r="J157" s="3162">
        <v>3733</v>
      </c>
      <c r="K157" s="180">
        <v>27588</v>
      </c>
      <c r="L157" s="3162">
        <v>6180</v>
      </c>
      <c r="M157" s="180">
        <v>8314</v>
      </c>
      <c r="N157" s="2095">
        <v>20796</v>
      </c>
      <c r="O157" s="2096"/>
      <c r="P157" s="2097">
        <v>139552</v>
      </c>
      <c r="Q157" s="2097">
        <v>2566700</v>
      </c>
      <c r="R157" s="263">
        <f t="shared" si="7"/>
        <v>1402.4234693877552</v>
      </c>
      <c r="S157" s="203">
        <f t="shared" si="8"/>
        <v>76.250048700666227</v>
      </c>
      <c r="T157" s="895"/>
      <c r="U157" s="169">
        <v>3970675</v>
      </c>
      <c r="V157" s="896"/>
      <c r="W157" s="303"/>
      <c r="X157" s="2094"/>
      <c r="Y157" s="554"/>
      <c r="Z157" s="1305"/>
      <c r="AA157" s="1796"/>
      <c r="AB157" s="1305"/>
      <c r="AC157" s="1305"/>
    </row>
    <row r="158" spans="1:29">
      <c r="A158" s="63">
        <f t="shared" si="10"/>
        <v>2009.05</v>
      </c>
      <c r="B158" s="169">
        <v>202809</v>
      </c>
      <c r="C158" s="886">
        <f t="shared" si="9"/>
        <v>132798</v>
      </c>
      <c r="D158" s="3162">
        <v>22561</v>
      </c>
      <c r="E158" s="180">
        <v>52973</v>
      </c>
      <c r="F158" s="3162">
        <v>6009</v>
      </c>
      <c r="G158" s="180">
        <v>19786</v>
      </c>
      <c r="H158" s="3162">
        <v>20293</v>
      </c>
      <c r="I158" s="180">
        <v>7352</v>
      </c>
      <c r="J158" s="3162">
        <v>3824</v>
      </c>
      <c r="K158" s="180">
        <v>30623</v>
      </c>
      <c r="L158" s="3162">
        <v>8264</v>
      </c>
      <c r="M158" s="180">
        <v>11095</v>
      </c>
      <c r="N158" s="2095">
        <v>20029</v>
      </c>
      <c r="O158" s="2096"/>
      <c r="P158" s="2097">
        <v>139552</v>
      </c>
      <c r="Q158" s="2097">
        <v>2575809</v>
      </c>
      <c r="R158" s="263">
        <f t="shared" si="7"/>
        <v>1453.2862302224262</v>
      </c>
      <c r="S158" s="203">
        <f t="shared" si="8"/>
        <v>78.736039822828474</v>
      </c>
      <c r="T158" s="895"/>
      <c r="U158" s="169">
        <v>4024766</v>
      </c>
      <c r="V158" s="896"/>
      <c r="W158" s="303"/>
      <c r="X158" s="2094"/>
      <c r="Y158" s="554"/>
      <c r="Z158" s="1305"/>
      <c r="AA158" s="1796"/>
      <c r="AB158" s="1305"/>
      <c r="AC158" s="1305"/>
    </row>
    <row r="159" spans="1:29">
      <c r="A159" s="63">
        <f t="shared" si="10"/>
        <v>2009.06</v>
      </c>
      <c r="B159" s="169">
        <v>199916</v>
      </c>
      <c r="C159" s="886">
        <f t="shared" si="9"/>
        <v>131518</v>
      </c>
      <c r="D159" s="3162">
        <v>22208</v>
      </c>
      <c r="E159" s="180">
        <v>53642</v>
      </c>
      <c r="F159" s="3162">
        <v>6060</v>
      </c>
      <c r="G159" s="180">
        <v>19344</v>
      </c>
      <c r="H159" s="3162">
        <v>19551</v>
      </c>
      <c r="I159" s="180">
        <v>7269</v>
      </c>
      <c r="J159" s="3162">
        <v>3444</v>
      </c>
      <c r="K159" s="180">
        <v>29182</v>
      </c>
      <c r="L159" s="3162">
        <v>8113</v>
      </c>
      <c r="M159" s="180">
        <v>12387</v>
      </c>
      <c r="N159" s="2095">
        <v>18716</v>
      </c>
      <c r="O159" s="2096"/>
      <c r="P159" s="2097">
        <v>139552</v>
      </c>
      <c r="Q159" s="2097">
        <v>2512625</v>
      </c>
      <c r="R159" s="263">
        <f t="shared" si="7"/>
        <v>1432.5556065122678</v>
      </c>
      <c r="S159" s="203">
        <f t="shared" si="8"/>
        <v>79.56459877618029</v>
      </c>
      <c r="T159" s="895"/>
      <c r="U159" s="169">
        <v>3907118</v>
      </c>
      <c r="V159" s="896"/>
      <c r="W159" s="303"/>
      <c r="X159" s="2094"/>
      <c r="Y159" s="554"/>
      <c r="Z159" s="1305"/>
      <c r="AA159" s="1796"/>
      <c r="AB159" s="1305"/>
      <c r="AC159" s="1305"/>
    </row>
    <row r="160" spans="1:29">
      <c r="A160" s="63">
        <f t="shared" si="10"/>
        <v>2009.07</v>
      </c>
      <c r="B160" s="169">
        <v>211429</v>
      </c>
      <c r="C160" s="886">
        <f t="shared" si="9"/>
        <v>138914</v>
      </c>
      <c r="D160" s="3162">
        <v>17658</v>
      </c>
      <c r="E160" s="180">
        <v>62471</v>
      </c>
      <c r="F160" s="3162">
        <v>6179</v>
      </c>
      <c r="G160" s="180">
        <v>20531</v>
      </c>
      <c r="H160" s="3162">
        <v>20513</v>
      </c>
      <c r="I160" s="180">
        <v>7831</v>
      </c>
      <c r="J160" s="3162">
        <v>3731</v>
      </c>
      <c r="K160" s="180">
        <v>31068</v>
      </c>
      <c r="L160" s="3162">
        <v>7551</v>
      </c>
      <c r="M160" s="180">
        <v>12605</v>
      </c>
      <c r="N160" s="2095">
        <v>21291</v>
      </c>
      <c r="O160" s="2096"/>
      <c r="P160" s="2097">
        <v>139552</v>
      </c>
      <c r="Q160" s="2097">
        <v>2587535</v>
      </c>
      <c r="R160" s="263">
        <f t="shared" si="7"/>
        <v>1515.0553198807613</v>
      </c>
      <c r="S160" s="203">
        <f t="shared" si="8"/>
        <v>81.71058555729681</v>
      </c>
      <c r="T160" s="895"/>
      <c r="U160" s="169">
        <v>4253343</v>
      </c>
      <c r="V160" s="896"/>
      <c r="W160" s="303"/>
      <c r="X160" s="2094"/>
      <c r="Y160" s="554"/>
      <c r="Z160" s="1305"/>
      <c r="AA160" s="1796"/>
      <c r="AB160" s="1305"/>
      <c r="AC160" s="1305"/>
    </row>
    <row r="161" spans="1:29">
      <c r="A161" s="63">
        <f t="shared" si="10"/>
        <v>2009.08</v>
      </c>
      <c r="B161" s="169">
        <v>212938</v>
      </c>
      <c r="C161" s="886">
        <f t="shared" si="9"/>
        <v>139525</v>
      </c>
      <c r="D161" s="3162">
        <v>18418</v>
      </c>
      <c r="E161" s="180">
        <v>60775</v>
      </c>
      <c r="F161" s="3162">
        <v>6356</v>
      </c>
      <c r="G161" s="180">
        <v>20830</v>
      </c>
      <c r="H161" s="3162">
        <v>20523</v>
      </c>
      <c r="I161" s="180">
        <v>8702</v>
      </c>
      <c r="J161" s="3162">
        <v>3921</v>
      </c>
      <c r="K161" s="180">
        <v>31789</v>
      </c>
      <c r="L161" s="3162">
        <v>6546</v>
      </c>
      <c r="M161" s="180">
        <v>11967</v>
      </c>
      <c r="N161" s="2095">
        <v>23111</v>
      </c>
      <c r="O161" s="2096"/>
      <c r="P161" s="2097">
        <v>139552</v>
      </c>
      <c r="Q161" s="2097">
        <v>2647168</v>
      </c>
      <c r="R161" s="263">
        <f t="shared" si="7"/>
        <v>1525.8684934648018</v>
      </c>
      <c r="S161" s="203">
        <f t="shared" si="8"/>
        <v>80.439926744354722</v>
      </c>
      <c r="T161" s="895"/>
      <c r="U161" s="169">
        <v>4247166</v>
      </c>
      <c r="V161" s="896"/>
      <c r="W161" s="303"/>
      <c r="X161" s="2094"/>
      <c r="Y161" s="554"/>
      <c r="Z161" s="1305"/>
      <c r="AA161" s="1796"/>
      <c r="AB161" s="1305"/>
      <c r="AC161" s="1305"/>
    </row>
    <row r="162" spans="1:29">
      <c r="A162" s="63">
        <f t="shared" si="10"/>
        <v>2009.09</v>
      </c>
      <c r="B162" s="169">
        <v>196413</v>
      </c>
      <c r="C162" s="886">
        <f t="shared" si="9"/>
        <v>122543</v>
      </c>
      <c r="D162" s="3162">
        <v>20219</v>
      </c>
      <c r="E162" s="180">
        <v>48115</v>
      </c>
      <c r="F162" s="3162">
        <v>5507</v>
      </c>
      <c r="G162" s="180">
        <v>18873</v>
      </c>
      <c r="H162" s="3162">
        <v>19025</v>
      </c>
      <c r="I162" s="180">
        <v>7056</v>
      </c>
      <c r="J162" s="3162">
        <v>3748</v>
      </c>
      <c r="K162" s="180">
        <v>26194</v>
      </c>
      <c r="L162" s="3162">
        <v>5453</v>
      </c>
      <c r="M162" s="180">
        <v>10009</v>
      </c>
      <c r="N162" s="2095">
        <v>18885</v>
      </c>
      <c r="O162" s="2096"/>
      <c r="P162" s="2097">
        <v>139552</v>
      </c>
      <c r="Q162" s="2097">
        <v>2461576</v>
      </c>
      <c r="R162" s="263">
        <f t="shared" si="7"/>
        <v>1407.4538523274477</v>
      </c>
      <c r="S162" s="203">
        <f t="shared" si="8"/>
        <v>79.791564428642459</v>
      </c>
      <c r="T162" s="895"/>
      <c r="U162" s="169">
        <v>3951906</v>
      </c>
      <c r="V162" s="896"/>
      <c r="W162" s="303"/>
      <c r="X162" s="2094"/>
      <c r="Y162" s="554"/>
      <c r="Z162" s="1305"/>
      <c r="AA162" s="1796"/>
      <c r="AB162" s="1305"/>
      <c r="AC162" s="1305"/>
    </row>
    <row r="163" spans="1:29">
      <c r="A163" s="63">
        <f t="shared" si="10"/>
        <v>2009.1</v>
      </c>
      <c r="B163" s="169">
        <v>217934</v>
      </c>
      <c r="C163" s="886">
        <f t="shared" si="9"/>
        <v>142362</v>
      </c>
      <c r="D163" s="3162">
        <v>19992</v>
      </c>
      <c r="E163" s="180">
        <v>60906</v>
      </c>
      <c r="F163" s="3162">
        <v>6219</v>
      </c>
      <c r="G163" s="180">
        <v>21221</v>
      </c>
      <c r="H163" s="3162">
        <v>20874</v>
      </c>
      <c r="I163" s="180">
        <v>9274</v>
      </c>
      <c r="J163" s="3162">
        <v>3876</v>
      </c>
      <c r="K163" s="180">
        <v>32820</v>
      </c>
      <c r="L163" s="3162">
        <v>6515</v>
      </c>
      <c r="M163" s="180">
        <v>14352</v>
      </c>
      <c r="N163" s="2095">
        <v>21885</v>
      </c>
      <c r="O163" s="2096"/>
      <c r="P163" s="2097">
        <v>142652</v>
      </c>
      <c r="Q163" s="2097">
        <v>2612898</v>
      </c>
      <c r="R163" s="263">
        <f t="shared" si="7"/>
        <v>1527.731822897681</v>
      </c>
      <c r="S163" s="203">
        <f t="shared" si="8"/>
        <v>83.407006320185488</v>
      </c>
      <c r="T163" s="895"/>
      <c r="U163" s="169">
        <v>4424209</v>
      </c>
      <c r="V163" s="896"/>
      <c r="W163" s="303"/>
      <c r="X163" s="2094"/>
      <c r="Y163" s="554"/>
      <c r="Z163" s="1305"/>
      <c r="AA163" s="1796"/>
      <c r="AB163" s="1305"/>
      <c r="AC163" s="1305"/>
    </row>
    <row r="164" spans="1:29">
      <c r="A164" s="63">
        <f t="shared" si="10"/>
        <v>2009.11</v>
      </c>
      <c r="B164" s="169">
        <v>217633</v>
      </c>
      <c r="C164" s="886">
        <f t="shared" si="9"/>
        <v>140539</v>
      </c>
      <c r="D164" s="3162">
        <v>21057</v>
      </c>
      <c r="E164" s="180">
        <v>60924</v>
      </c>
      <c r="F164" s="3162">
        <v>5902</v>
      </c>
      <c r="G164" s="180">
        <v>20384</v>
      </c>
      <c r="H164" s="3162">
        <v>19354</v>
      </c>
      <c r="I164" s="180">
        <v>8991</v>
      </c>
      <c r="J164" s="3162">
        <v>3927</v>
      </c>
      <c r="K164" s="180">
        <v>33777</v>
      </c>
      <c r="L164" s="3162">
        <v>6408</v>
      </c>
      <c r="M164" s="180">
        <v>14223</v>
      </c>
      <c r="N164" s="2095">
        <v>22686</v>
      </c>
      <c r="O164" s="2096"/>
      <c r="P164" s="2097">
        <v>142652</v>
      </c>
      <c r="Q164" s="2097">
        <v>2515994</v>
      </c>
      <c r="R164" s="263">
        <f t="shared" si="7"/>
        <v>1525.6217928945966</v>
      </c>
      <c r="S164" s="203">
        <f t="shared" si="8"/>
        <v>86.499808823073508</v>
      </c>
      <c r="T164" s="895"/>
      <c r="U164" s="169">
        <v>4328338</v>
      </c>
      <c r="V164" s="896"/>
      <c r="W164" s="303"/>
      <c r="X164" s="2094"/>
      <c r="Y164" s="554"/>
      <c r="Z164" s="1305"/>
      <c r="AA164" s="1796"/>
      <c r="AB164" s="1305"/>
      <c r="AC164" s="1305"/>
    </row>
    <row r="165" spans="1:29">
      <c r="A165" s="63">
        <f t="shared" si="10"/>
        <v>2009.12</v>
      </c>
      <c r="B165" s="169">
        <v>278899</v>
      </c>
      <c r="C165" s="886">
        <f>SUM(D165:J165)</f>
        <v>182871</v>
      </c>
      <c r="D165" s="3162">
        <v>34630</v>
      </c>
      <c r="E165" s="180">
        <v>75881</v>
      </c>
      <c r="F165" s="3162">
        <v>7759</v>
      </c>
      <c r="G165" s="180">
        <v>22236</v>
      </c>
      <c r="H165" s="3162">
        <v>26087</v>
      </c>
      <c r="I165" s="180">
        <v>11314</v>
      </c>
      <c r="J165" s="3162">
        <v>4964</v>
      </c>
      <c r="K165" s="180">
        <v>37258</v>
      </c>
      <c r="L165" s="3162">
        <v>8894</v>
      </c>
      <c r="M165" s="180">
        <v>16603</v>
      </c>
      <c r="N165" s="2095">
        <v>33273</v>
      </c>
      <c r="O165" s="2096"/>
      <c r="P165" s="2097">
        <v>142652</v>
      </c>
      <c r="Q165" s="2097">
        <v>2849203</v>
      </c>
      <c r="R165" s="263">
        <f t="shared" si="7"/>
        <v>1955.100524352971</v>
      </c>
      <c r="S165" s="203">
        <f t="shared" si="8"/>
        <v>97.886672167620205</v>
      </c>
      <c r="T165" s="895"/>
      <c r="U165" s="169">
        <v>5536821</v>
      </c>
      <c r="V165" s="896"/>
      <c r="W165" s="303"/>
      <c r="X165" s="2094"/>
      <c r="Y165" s="554"/>
      <c r="Z165" s="1305"/>
      <c r="AA165" s="1796"/>
      <c r="AB165" s="1305"/>
      <c r="AC165" s="1305"/>
    </row>
    <row r="166" spans="1:29">
      <c r="A166" s="63">
        <f t="shared" si="10"/>
        <v>2010.01</v>
      </c>
      <c r="B166" s="169">
        <v>223861</v>
      </c>
      <c r="C166" s="886">
        <f t="shared" si="9"/>
        <v>142106</v>
      </c>
      <c r="D166" s="3162">
        <v>22347</v>
      </c>
      <c r="E166" s="180">
        <v>56943</v>
      </c>
      <c r="F166" s="3162">
        <v>5970</v>
      </c>
      <c r="G166" s="180">
        <v>20280</v>
      </c>
      <c r="H166" s="3162">
        <v>22490</v>
      </c>
      <c r="I166" s="180">
        <v>9980</v>
      </c>
      <c r="J166" s="3162">
        <v>4096</v>
      </c>
      <c r="K166" s="180">
        <v>33560</v>
      </c>
      <c r="L166" s="3162">
        <v>6694</v>
      </c>
      <c r="M166" s="180">
        <v>15780</v>
      </c>
      <c r="N166" s="2095">
        <v>25721</v>
      </c>
      <c r="O166" s="2096"/>
      <c r="P166" s="2097">
        <v>142652</v>
      </c>
      <c r="Q166" s="2097">
        <v>2546595</v>
      </c>
      <c r="R166" s="263">
        <f t="shared" ref="R166:S168" si="11">$B166/P166*1000</f>
        <v>1569.2804867790146</v>
      </c>
      <c r="S166" s="203">
        <f t="shared" si="11"/>
        <v>87.906007826136474</v>
      </c>
      <c r="T166" s="895"/>
      <c r="U166" s="169">
        <v>4669607</v>
      </c>
      <c r="V166" s="896"/>
      <c r="W166" s="303"/>
      <c r="X166" s="2094"/>
      <c r="Y166" s="554"/>
      <c r="Z166" s="1305"/>
      <c r="AA166" s="1796"/>
      <c r="AB166" s="1305"/>
      <c r="AC166" s="1305"/>
    </row>
    <row r="167" spans="1:29">
      <c r="A167" s="63">
        <f t="shared" si="10"/>
        <v>2010.02</v>
      </c>
      <c r="B167" s="169">
        <v>217617</v>
      </c>
      <c r="C167" s="886">
        <f t="shared" si="9"/>
        <v>143437</v>
      </c>
      <c r="D167" s="3162">
        <v>19973</v>
      </c>
      <c r="E167" s="180">
        <v>58992</v>
      </c>
      <c r="F167" s="3162">
        <v>6089</v>
      </c>
      <c r="G167" s="180">
        <v>21288</v>
      </c>
      <c r="H167" s="3162">
        <v>23233</v>
      </c>
      <c r="I167" s="180">
        <v>9876</v>
      </c>
      <c r="J167" s="3162">
        <v>3986</v>
      </c>
      <c r="K167" s="180">
        <v>31682</v>
      </c>
      <c r="L167" s="3162">
        <v>6350</v>
      </c>
      <c r="M167" s="180">
        <v>11472</v>
      </c>
      <c r="N167" s="2095">
        <v>24676</v>
      </c>
      <c r="O167" s="2096"/>
      <c r="P167" s="2097">
        <v>142652</v>
      </c>
      <c r="Q167" s="2097">
        <v>2455343</v>
      </c>
      <c r="R167" s="263">
        <f t="shared" si="11"/>
        <v>1525.5096318313097</v>
      </c>
      <c r="S167" s="203">
        <f t="shared" si="11"/>
        <v>88.629979599591579</v>
      </c>
      <c r="T167" s="895"/>
      <c r="U167" s="169">
        <v>4481016</v>
      </c>
      <c r="V167" s="896"/>
      <c r="W167" s="303"/>
      <c r="X167" s="2094"/>
      <c r="Y167" s="554"/>
      <c r="Z167" s="1305"/>
      <c r="AA167" s="1796"/>
      <c r="AB167" s="1305"/>
      <c r="AC167" s="1305"/>
    </row>
    <row r="168" spans="1:29">
      <c r="A168" s="63">
        <f t="shared" si="10"/>
        <v>2010.03</v>
      </c>
      <c r="B168" s="169">
        <v>242897</v>
      </c>
      <c r="C168" s="886">
        <f t="shared" si="9"/>
        <v>164255</v>
      </c>
      <c r="D168" s="3162">
        <v>22263</v>
      </c>
      <c r="E168" s="180">
        <v>70677</v>
      </c>
      <c r="F168" s="3162">
        <v>6786</v>
      </c>
      <c r="G168" s="180">
        <v>24104</v>
      </c>
      <c r="H168" s="3162">
        <v>25032</v>
      </c>
      <c r="I168" s="180">
        <v>11042</v>
      </c>
      <c r="J168" s="3162">
        <v>4351</v>
      </c>
      <c r="K168" s="180">
        <v>34623</v>
      </c>
      <c r="L168" s="3162">
        <v>6313</v>
      </c>
      <c r="M168" s="180">
        <v>14317</v>
      </c>
      <c r="N168" s="2095">
        <v>23389</v>
      </c>
      <c r="O168" s="2096"/>
      <c r="P168" s="2097">
        <v>142652</v>
      </c>
      <c r="Q168" s="2097">
        <v>2722007</v>
      </c>
      <c r="R168" s="263">
        <f t="shared" si="11"/>
        <v>1702.7241118245802</v>
      </c>
      <c r="S168" s="203">
        <f t="shared" si="11"/>
        <v>89.234524378519225</v>
      </c>
      <c r="T168" s="895"/>
      <c r="U168" s="169">
        <v>4946662</v>
      </c>
      <c r="V168" s="896"/>
      <c r="W168" s="303"/>
      <c r="X168" s="2094"/>
      <c r="Y168" s="554"/>
      <c r="Z168" s="1305"/>
      <c r="AA168" s="1796"/>
      <c r="AB168" s="1305"/>
      <c r="AC168" s="1305"/>
    </row>
    <row r="169" spans="1:29">
      <c r="A169" s="63">
        <f t="shared" si="10"/>
        <v>2010.04</v>
      </c>
      <c r="B169" s="169">
        <v>246943</v>
      </c>
      <c r="C169" s="886">
        <f t="shared" si="9"/>
        <v>165920</v>
      </c>
      <c r="D169" s="3162">
        <v>20307</v>
      </c>
      <c r="E169" s="180">
        <v>73528</v>
      </c>
      <c r="F169" s="3162">
        <v>7209</v>
      </c>
      <c r="G169" s="180">
        <v>25203</v>
      </c>
      <c r="H169" s="3162">
        <v>24908</v>
      </c>
      <c r="I169" s="180">
        <v>10301</v>
      </c>
      <c r="J169" s="3162">
        <v>4464</v>
      </c>
      <c r="K169" s="180">
        <v>34473</v>
      </c>
      <c r="L169" s="3162">
        <v>8399</v>
      </c>
      <c r="M169" s="180">
        <v>14701</v>
      </c>
      <c r="N169" s="2095">
        <v>23450</v>
      </c>
      <c r="O169" s="2096"/>
      <c r="P169" s="2097">
        <v>142652</v>
      </c>
      <c r="Q169" s="2097">
        <v>2702226</v>
      </c>
      <c r="R169" s="263">
        <f t="shared" ref="R169:S232" si="12">$B169/P169*1000</f>
        <v>1731.0868407032499</v>
      </c>
      <c r="S169" s="203">
        <f t="shared" ref="S169:S232" si="13">$B169/Q169*1000</f>
        <v>91.385028491325286</v>
      </c>
      <c r="T169" s="895"/>
      <c r="U169" s="169">
        <v>4938943</v>
      </c>
      <c r="V169" s="896"/>
      <c r="W169" s="303"/>
      <c r="X169" s="2094"/>
      <c r="Y169" s="554"/>
      <c r="Z169" s="1305"/>
      <c r="AA169" s="1796"/>
      <c r="AB169" s="1305"/>
      <c r="AC169" s="1305"/>
    </row>
    <row r="170" spans="1:29">
      <c r="A170" s="63">
        <f t="shared" si="10"/>
        <v>2010.05</v>
      </c>
      <c r="B170" s="169">
        <v>266641</v>
      </c>
      <c r="C170" s="886">
        <f t="shared" si="9"/>
        <v>172100</v>
      </c>
      <c r="D170" s="3162">
        <v>21289</v>
      </c>
      <c r="E170" s="180">
        <v>75934</v>
      </c>
      <c r="F170" s="3162">
        <v>7609</v>
      </c>
      <c r="G170" s="180">
        <v>27162</v>
      </c>
      <c r="H170" s="3162">
        <v>25417</v>
      </c>
      <c r="I170" s="180">
        <v>9659</v>
      </c>
      <c r="J170" s="3162">
        <v>5030</v>
      </c>
      <c r="K170" s="180">
        <v>36375</v>
      </c>
      <c r="L170" s="3162">
        <v>10041</v>
      </c>
      <c r="M170" s="180">
        <v>22222</v>
      </c>
      <c r="N170" s="2095">
        <v>25903</v>
      </c>
      <c r="O170" s="2096"/>
      <c r="P170" s="2097">
        <v>142652</v>
      </c>
      <c r="Q170" s="2097">
        <v>2736297</v>
      </c>
      <c r="R170" s="263">
        <f t="shared" si="12"/>
        <v>1869.1711297423099</v>
      </c>
      <c r="S170" s="203">
        <f t="shared" si="13"/>
        <v>97.445927836049961</v>
      </c>
      <c r="T170" s="895"/>
      <c r="U170" s="169">
        <v>5215448</v>
      </c>
      <c r="V170" s="896"/>
      <c r="W170" s="303"/>
      <c r="X170" s="2094"/>
      <c r="Y170" s="554"/>
      <c r="Z170" s="1305"/>
      <c r="AA170" s="1796"/>
      <c r="AB170" s="1305"/>
      <c r="AC170" s="1305"/>
    </row>
    <row r="171" spans="1:29">
      <c r="A171" s="63">
        <f t="shared" si="10"/>
        <v>2010.06</v>
      </c>
      <c r="B171" s="169">
        <v>263319</v>
      </c>
      <c r="C171" s="886">
        <f t="shared" si="9"/>
        <v>176128</v>
      </c>
      <c r="D171" s="3162">
        <v>20420</v>
      </c>
      <c r="E171" s="180">
        <v>80936</v>
      </c>
      <c r="F171" s="3162">
        <v>7721</v>
      </c>
      <c r="G171" s="180">
        <v>26531</v>
      </c>
      <c r="H171" s="3162">
        <v>26208</v>
      </c>
      <c r="I171" s="180">
        <v>9265</v>
      </c>
      <c r="J171" s="3162">
        <v>5047</v>
      </c>
      <c r="K171" s="180">
        <v>34623</v>
      </c>
      <c r="L171" s="3162">
        <v>9180</v>
      </c>
      <c r="M171" s="180">
        <v>20337</v>
      </c>
      <c r="N171" s="2095">
        <v>23051</v>
      </c>
      <c r="O171" s="2096"/>
      <c r="P171" s="2097">
        <v>142652</v>
      </c>
      <c r="Q171" s="2097">
        <v>2677328</v>
      </c>
      <c r="R171" s="263">
        <f t="shared" si="12"/>
        <v>1845.8836889773715</v>
      </c>
      <c r="S171" s="203">
        <f t="shared" si="13"/>
        <v>98.351416038677371</v>
      </c>
      <c r="T171" s="895"/>
      <c r="U171" s="169">
        <v>5171277</v>
      </c>
      <c r="V171" s="896"/>
      <c r="W171" s="303"/>
      <c r="X171" s="2094"/>
      <c r="Y171" s="554"/>
      <c r="Z171" s="1305"/>
      <c r="AA171" s="1796"/>
      <c r="AB171" s="1305"/>
      <c r="AC171" s="1305"/>
    </row>
    <row r="172" spans="1:29">
      <c r="A172" s="63">
        <f t="shared" si="10"/>
        <v>2010.07</v>
      </c>
      <c r="B172" s="169">
        <v>282109</v>
      </c>
      <c r="C172" s="886">
        <f t="shared" si="9"/>
        <v>183338</v>
      </c>
      <c r="D172" s="3162">
        <v>22302</v>
      </c>
      <c r="E172" s="180">
        <v>83961</v>
      </c>
      <c r="F172" s="3162">
        <v>8493</v>
      </c>
      <c r="G172" s="180">
        <v>28131</v>
      </c>
      <c r="H172" s="3162">
        <v>26011</v>
      </c>
      <c r="I172" s="180">
        <v>8973</v>
      </c>
      <c r="J172" s="3162">
        <v>5467</v>
      </c>
      <c r="K172" s="180">
        <v>39502</v>
      </c>
      <c r="L172" s="3162">
        <v>10603</v>
      </c>
      <c r="M172" s="180">
        <v>19663</v>
      </c>
      <c r="N172" s="2095">
        <v>29003</v>
      </c>
      <c r="O172" s="2096"/>
      <c r="P172" s="2097">
        <v>142652</v>
      </c>
      <c r="Q172" s="2097">
        <v>2758274</v>
      </c>
      <c r="R172" s="263">
        <f t="shared" si="12"/>
        <v>1977.6028376749011</v>
      </c>
      <c r="S172" s="203">
        <f t="shared" si="13"/>
        <v>102.2773662079982</v>
      </c>
      <c r="T172" s="895"/>
      <c r="U172" s="169">
        <v>5511210</v>
      </c>
      <c r="V172" s="896"/>
      <c r="W172" s="303"/>
      <c r="X172" s="2094"/>
      <c r="Y172" s="554"/>
      <c r="Z172" s="1305"/>
      <c r="AA172" s="1796"/>
      <c r="AB172" s="1305"/>
      <c r="AC172" s="1305"/>
    </row>
    <row r="173" spans="1:29">
      <c r="A173" s="63">
        <f t="shared" si="10"/>
        <v>2010.08</v>
      </c>
      <c r="B173" s="169">
        <v>271253</v>
      </c>
      <c r="C173" s="886">
        <f t="shared" si="9"/>
        <v>175430</v>
      </c>
      <c r="D173" s="3162">
        <v>21545</v>
      </c>
      <c r="E173" s="180">
        <v>77397</v>
      </c>
      <c r="F173" s="3162">
        <v>8369</v>
      </c>
      <c r="G173" s="180">
        <v>27794</v>
      </c>
      <c r="H173" s="3162">
        <v>25392</v>
      </c>
      <c r="I173" s="180">
        <v>9413</v>
      </c>
      <c r="J173" s="3162">
        <v>5520</v>
      </c>
      <c r="K173" s="180">
        <v>38893</v>
      </c>
      <c r="L173" s="3162">
        <v>8694</v>
      </c>
      <c r="M173" s="180">
        <v>17337</v>
      </c>
      <c r="N173" s="2095">
        <v>30899</v>
      </c>
      <c r="O173" s="2096"/>
      <c r="P173" s="2097">
        <v>142652</v>
      </c>
      <c r="Q173" s="2097">
        <v>2710612</v>
      </c>
      <c r="R173" s="263">
        <f t="shared" si="12"/>
        <v>1901.501556234753</v>
      </c>
      <c r="S173" s="203">
        <f t="shared" si="13"/>
        <v>100.07075892824203</v>
      </c>
      <c r="T173" s="895"/>
      <c r="U173" s="169">
        <v>5419675</v>
      </c>
      <c r="V173" s="896"/>
      <c r="W173" s="303"/>
      <c r="X173" s="2094"/>
      <c r="Y173" s="554"/>
      <c r="Z173" s="1305"/>
      <c r="AA173" s="1796"/>
      <c r="AB173" s="1305"/>
      <c r="AC173" s="1305"/>
    </row>
    <row r="174" spans="1:29">
      <c r="A174" s="63">
        <f t="shared" si="10"/>
        <v>2010.09</v>
      </c>
      <c r="B174" s="169">
        <v>264690</v>
      </c>
      <c r="C174" s="886">
        <f t="shared" si="9"/>
        <v>175699</v>
      </c>
      <c r="D174" s="3162">
        <v>22506</v>
      </c>
      <c r="E174" s="180">
        <v>78844</v>
      </c>
      <c r="F174" s="3162">
        <v>8033</v>
      </c>
      <c r="G174" s="180">
        <v>26750</v>
      </c>
      <c r="H174" s="3162">
        <v>25112</v>
      </c>
      <c r="I174" s="180">
        <v>9277</v>
      </c>
      <c r="J174" s="3162">
        <v>5177</v>
      </c>
      <c r="K174" s="180">
        <v>38696</v>
      </c>
      <c r="L174" s="3162">
        <v>7359</v>
      </c>
      <c r="M174" s="180">
        <v>15570</v>
      </c>
      <c r="N174" s="2095">
        <v>27366</v>
      </c>
      <c r="O174" s="2096"/>
      <c r="P174" s="2097">
        <v>142652</v>
      </c>
      <c r="Q174" s="2097">
        <v>2540386</v>
      </c>
      <c r="R174" s="263">
        <f t="shared" si="12"/>
        <v>1855.4944900877661</v>
      </c>
      <c r="S174" s="203">
        <f t="shared" si="13"/>
        <v>104.19282738922352</v>
      </c>
      <c r="T174" s="895"/>
      <c r="U174" s="169">
        <v>5220043</v>
      </c>
      <c r="V174" s="896"/>
      <c r="W174" s="303"/>
      <c r="X174" s="2094"/>
      <c r="Y174" s="554"/>
      <c r="Z174" s="1305"/>
      <c r="AA174" s="1796"/>
      <c r="AB174" s="1305"/>
      <c r="AC174" s="1305"/>
    </row>
    <row r="175" spans="1:29">
      <c r="A175" s="63">
        <f t="shared" si="10"/>
        <v>2010.1</v>
      </c>
      <c r="B175" s="169">
        <v>291519</v>
      </c>
      <c r="C175" s="886">
        <f t="shared" si="9"/>
        <v>187034</v>
      </c>
      <c r="D175" s="3162">
        <v>24966</v>
      </c>
      <c r="E175" s="180">
        <v>80743</v>
      </c>
      <c r="F175" s="3162">
        <v>8815</v>
      </c>
      <c r="G175" s="180">
        <v>28307</v>
      </c>
      <c r="H175" s="3162">
        <v>28185</v>
      </c>
      <c r="I175" s="180">
        <v>10457</v>
      </c>
      <c r="J175" s="3162">
        <v>5561</v>
      </c>
      <c r="K175" s="180">
        <v>41580</v>
      </c>
      <c r="L175" s="3162">
        <v>8768</v>
      </c>
      <c r="M175" s="180">
        <v>22537</v>
      </c>
      <c r="N175" s="2095">
        <v>31600</v>
      </c>
      <c r="O175" s="2096"/>
      <c r="P175" s="2097">
        <v>142652</v>
      </c>
      <c r="Q175" s="2097">
        <v>2693572</v>
      </c>
      <c r="R175" s="263">
        <f t="shared" si="12"/>
        <v>2043.5675630204973</v>
      </c>
      <c r="S175" s="203">
        <f t="shared" si="13"/>
        <v>108.22766200420854</v>
      </c>
      <c r="T175" s="895"/>
      <c r="U175" s="169">
        <v>5841716</v>
      </c>
      <c r="V175" s="896"/>
      <c r="W175" s="303"/>
      <c r="X175" s="2094"/>
      <c r="Y175" s="554"/>
      <c r="Z175" s="1305"/>
      <c r="AA175" s="1796"/>
      <c r="AB175" s="1305"/>
      <c r="AC175" s="1305"/>
    </row>
    <row r="176" spans="1:29">
      <c r="A176" s="63">
        <f t="shared" si="10"/>
        <v>2010.11</v>
      </c>
      <c r="B176" s="169">
        <v>281152</v>
      </c>
      <c r="C176" s="886">
        <f t="shared" si="9"/>
        <v>181779</v>
      </c>
      <c r="D176" s="3162">
        <v>26167</v>
      </c>
      <c r="E176" s="180">
        <v>78562</v>
      </c>
      <c r="F176" s="3162">
        <v>7987</v>
      </c>
      <c r="G176" s="180">
        <v>26427</v>
      </c>
      <c r="H176" s="3162">
        <v>27301</v>
      </c>
      <c r="I176" s="180">
        <v>9847</v>
      </c>
      <c r="J176" s="3162">
        <v>5488</v>
      </c>
      <c r="K176" s="180">
        <v>40638</v>
      </c>
      <c r="L176" s="3162">
        <v>8439</v>
      </c>
      <c r="M176" s="180">
        <v>19267</v>
      </c>
      <c r="N176" s="2095">
        <v>31029</v>
      </c>
      <c r="O176" s="2096"/>
      <c r="P176" s="2097">
        <v>142652</v>
      </c>
      <c r="Q176" s="2097">
        <v>2570129</v>
      </c>
      <c r="R176" s="263">
        <f t="shared" si="12"/>
        <v>1970.8942040770548</v>
      </c>
      <c r="S176" s="203">
        <f t="shared" si="13"/>
        <v>109.39217447840167</v>
      </c>
      <c r="T176" s="895"/>
      <c r="U176" s="169">
        <v>5627853</v>
      </c>
      <c r="V176" s="896"/>
      <c r="W176" s="303"/>
      <c r="X176" s="2094"/>
      <c r="Y176" s="554"/>
      <c r="Z176" s="1305"/>
      <c r="AA176" s="1796"/>
      <c r="AB176" s="1305"/>
      <c r="AC176" s="1305"/>
    </row>
    <row r="177" spans="1:29">
      <c r="A177" s="63">
        <f t="shared" si="10"/>
        <v>2010.12</v>
      </c>
      <c r="B177" s="169">
        <v>379521</v>
      </c>
      <c r="C177" s="886">
        <f t="shared" si="9"/>
        <v>237759</v>
      </c>
      <c r="D177" s="3162">
        <v>47191</v>
      </c>
      <c r="E177" s="180">
        <v>99218</v>
      </c>
      <c r="F177" s="3162">
        <v>9971</v>
      </c>
      <c r="G177" s="180">
        <v>28754</v>
      </c>
      <c r="H177" s="3162">
        <v>34000</v>
      </c>
      <c r="I177" s="180">
        <v>11840</v>
      </c>
      <c r="J177" s="3162">
        <v>6785</v>
      </c>
      <c r="K177" s="180">
        <v>46977</v>
      </c>
      <c r="L177" s="3162">
        <v>13603</v>
      </c>
      <c r="M177" s="180">
        <v>30787</v>
      </c>
      <c r="N177" s="2095">
        <v>50395</v>
      </c>
      <c r="O177" s="2096"/>
      <c r="P177" s="2097">
        <v>147775</v>
      </c>
      <c r="Q177" s="2097">
        <v>2994843</v>
      </c>
      <c r="R177" s="263">
        <f t="shared" si="12"/>
        <v>2568.2354931483674</v>
      </c>
      <c r="S177" s="203">
        <f t="shared" si="13"/>
        <v>126.72483999995993</v>
      </c>
      <c r="T177" s="895"/>
      <c r="U177" s="169">
        <v>7448224</v>
      </c>
      <c r="V177" s="896"/>
      <c r="W177" s="303"/>
      <c r="X177" s="2094"/>
      <c r="Y177" s="554"/>
      <c r="Z177" s="1305"/>
      <c r="AA177" s="1796"/>
      <c r="AB177" s="1305"/>
      <c r="AC177" s="1305"/>
    </row>
    <row r="178" spans="1:29">
      <c r="A178" s="63">
        <f t="shared" si="10"/>
        <v>2011.01</v>
      </c>
      <c r="B178" s="169">
        <v>286848</v>
      </c>
      <c r="C178" s="886">
        <f t="shared" si="9"/>
        <v>170329</v>
      </c>
      <c r="D178" s="3162">
        <v>25194</v>
      </c>
      <c r="E178" s="180">
        <v>72993</v>
      </c>
      <c r="F178" s="3162">
        <v>7196</v>
      </c>
      <c r="G178" s="180">
        <v>23647</v>
      </c>
      <c r="H178" s="3162">
        <v>26319</v>
      </c>
      <c r="I178" s="180">
        <v>10131</v>
      </c>
      <c r="J178" s="3162">
        <v>4849</v>
      </c>
      <c r="K178" s="180">
        <v>43663</v>
      </c>
      <c r="L178" s="3162">
        <v>10296</v>
      </c>
      <c r="M178" s="180">
        <v>24991</v>
      </c>
      <c r="N178" s="2095">
        <v>37569</v>
      </c>
      <c r="O178" s="2096"/>
      <c r="P178" s="2097">
        <v>147775</v>
      </c>
      <c r="Q178" s="2097">
        <v>2531930</v>
      </c>
      <c r="R178" s="263">
        <f t="shared" si="12"/>
        <v>1941.1131788191508</v>
      </c>
      <c r="S178" s="203">
        <f t="shared" si="13"/>
        <v>113.29223161777774</v>
      </c>
      <c r="T178" s="895"/>
      <c r="U178" s="169">
        <v>5992887</v>
      </c>
      <c r="V178" s="896"/>
      <c r="W178" s="303"/>
      <c r="X178" s="2094"/>
      <c r="Y178" s="554"/>
      <c r="Z178" s="1305"/>
      <c r="AA178" s="1796"/>
      <c r="AB178" s="1305"/>
      <c r="AC178" s="1305"/>
    </row>
    <row r="179" spans="1:29">
      <c r="A179" s="63">
        <f t="shared" si="10"/>
        <v>2011.02</v>
      </c>
      <c r="B179" s="169">
        <v>278266</v>
      </c>
      <c r="C179" s="886">
        <f t="shared" si="9"/>
        <v>174610</v>
      </c>
      <c r="D179" s="3162">
        <v>24687</v>
      </c>
      <c r="E179" s="180">
        <v>70613</v>
      </c>
      <c r="F179" s="3162">
        <v>7957</v>
      </c>
      <c r="G179" s="180">
        <v>27011</v>
      </c>
      <c r="H179" s="3162">
        <v>26733</v>
      </c>
      <c r="I179" s="180">
        <v>11404</v>
      </c>
      <c r="J179" s="3162">
        <v>6205</v>
      </c>
      <c r="K179" s="180">
        <v>41398</v>
      </c>
      <c r="L179" s="3162">
        <v>9898</v>
      </c>
      <c r="M179" s="180">
        <v>17036</v>
      </c>
      <c r="N179" s="2095">
        <v>35324</v>
      </c>
      <c r="O179" s="2096"/>
      <c r="P179" s="2097">
        <v>147775</v>
      </c>
      <c r="Q179" s="2097">
        <v>2519005</v>
      </c>
      <c r="R179" s="263">
        <f t="shared" si="12"/>
        <v>1883.0384029774996</v>
      </c>
      <c r="S179" s="203">
        <f t="shared" si="13"/>
        <v>110.46663265852985</v>
      </c>
      <c r="T179" s="895"/>
      <c r="U179" s="169">
        <v>5631785</v>
      </c>
      <c r="V179" s="896"/>
      <c r="W179" s="303"/>
      <c r="X179" s="2094"/>
      <c r="Y179" s="554"/>
      <c r="Z179" s="1305"/>
      <c r="AA179" s="1796"/>
      <c r="AB179" s="1305"/>
      <c r="AC179" s="1305"/>
    </row>
    <row r="180" spans="1:29">
      <c r="A180" s="63">
        <f t="shared" si="10"/>
        <v>2011.03</v>
      </c>
      <c r="B180" s="169">
        <v>319200</v>
      </c>
      <c r="C180" s="886">
        <f t="shared" si="9"/>
        <v>205837</v>
      </c>
      <c r="D180" s="3162">
        <v>28823</v>
      </c>
      <c r="E180" s="180">
        <v>86569</v>
      </c>
      <c r="F180" s="3162">
        <v>9056</v>
      </c>
      <c r="G180" s="180">
        <v>31753</v>
      </c>
      <c r="H180" s="3162">
        <v>31442</v>
      </c>
      <c r="I180" s="180">
        <v>11809</v>
      </c>
      <c r="J180" s="3162">
        <v>6385</v>
      </c>
      <c r="K180" s="180">
        <v>47956</v>
      </c>
      <c r="L180" s="3162">
        <v>10835</v>
      </c>
      <c r="M180" s="180">
        <v>20499</v>
      </c>
      <c r="N180" s="2095">
        <v>34073</v>
      </c>
      <c r="O180" s="2096"/>
      <c r="P180" s="2097">
        <v>147775</v>
      </c>
      <c r="Q180" s="2097">
        <v>2772500</v>
      </c>
      <c r="R180" s="263">
        <f t="shared" si="12"/>
        <v>2160.0406022669599</v>
      </c>
      <c r="S180" s="203">
        <f t="shared" si="13"/>
        <v>115.1307484220018</v>
      </c>
      <c r="T180" s="895"/>
      <c r="U180" s="169">
        <v>6314185</v>
      </c>
      <c r="V180" s="896"/>
      <c r="W180" s="303"/>
      <c r="X180" s="2094"/>
      <c r="Y180" s="554"/>
      <c r="Z180" s="1305"/>
      <c r="AA180" s="1796"/>
      <c r="AB180" s="1305"/>
      <c r="AC180" s="1305"/>
    </row>
    <row r="181" spans="1:29">
      <c r="A181" s="63">
        <f t="shared" si="10"/>
        <v>2011.04</v>
      </c>
      <c r="B181" s="169">
        <v>329727</v>
      </c>
      <c r="C181" s="886">
        <f t="shared" si="9"/>
        <v>216177</v>
      </c>
      <c r="D181" s="3162">
        <v>27457</v>
      </c>
      <c r="E181" s="180">
        <v>96003</v>
      </c>
      <c r="F181" s="3162">
        <v>9551</v>
      </c>
      <c r="G181" s="180">
        <v>33161</v>
      </c>
      <c r="H181" s="3162">
        <v>32020</v>
      </c>
      <c r="I181" s="180">
        <v>10928</v>
      </c>
      <c r="J181" s="3162">
        <v>7057</v>
      </c>
      <c r="K181" s="180">
        <v>48044</v>
      </c>
      <c r="L181" s="3162">
        <v>12798</v>
      </c>
      <c r="M181" s="180">
        <v>19838</v>
      </c>
      <c r="N181" s="2095">
        <v>32870</v>
      </c>
      <c r="O181" s="2096"/>
      <c r="P181" s="2097">
        <v>147775</v>
      </c>
      <c r="Q181" s="2097">
        <v>2722783</v>
      </c>
      <c r="R181" s="263">
        <f t="shared" si="12"/>
        <v>2231.2772796481136</v>
      </c>
      <c r="S181" s="203">
        <f t="shared" si="13"/>
        <v>121.09925763455993</v>
      </c>
      <c r="T181" s="895"/>
      <c r="U181" s="169">
        <v>6502632</v>
      </c>
      <c r="V181" s="896"/>
      <c r="W181" s="303"/>
      <c r="X181" s="2094"/>
      <c r="Y181" s="554"/>
      <c r="Z181" s="1305"/>
      <c r="AA181" s="1796"/>
      <c r="AB181" s="1305"/>
      <c r="AC181" s="1305"/>
    </row>
    <row r="182" spans="1:29">
      <c r="A182" s="63">
        <f t="shared" si="10"/>
        <v>2011.05</v>
      </c>
      <c r="B182" s="169">
        <v>319773</v>
      </c>
      <c r="C182" s="886">
        <f t="shared" si="9"/>
        <v>203872</v>
      </c>
      <c r="D182" s="3162">
        <v>24488</v>
      </c>
      <c r="E182" s="180">
        <v>90536</v>
      </c>
      <c r="F182" s="3162">
        <v>9434</v>
      </c>
      <c r="G182" s="180">
        <v>32531</v>
      </c>
      <c r="H182" s="3162">
        <v>30099</v>
      </c>
      <c r="I182" s="180">
        <v>10336</v>
      </c>
      <c r="J182" s="3162">
        <v>6448</v>
      </c>
      <c r="K182" s="180">
        <v>46596</v>
      </c>
      <c r="L182" s="3162">
        <v>13954</v>
      </c>
      <c r="M182" s="180">
        <v>22449</v>
      </c>
      <c r="N182" s="2095">
        <v>32902</v>
      </c>
      <c r="O182" s="2096"/>
      <c r="P182" s="2097">
        <v>147775</v>
      </c>
      <c r="Q182" s="2097">
        <v>2631213</v>
      </c>
      <c r="R182" s="263">
        <f t="shared" si="12"/>
        <v>2163.9181187616309</v>
      </c>
      <c r="S182" s="203">
        <f t="shared" si="13"/>
        <v>121.53064005080546</v>
      </c>
      <c r="T182" s="895"/>
      <c r="U182" s="169">
        <v>6304644</v>
      </c>
      <c r="V182" s="896"/>
      <c r="W182" s="303"/>
      <c r="X182" s="2094"/>
      <c r="Y182" s="554"/>
      <c r="Z182" s="1305"/>
      <c r="AA182" s="1796"/>
      <c r="AB182" s="1305"/>
      <c r="AC182" s="1305"/>
    </row>
    <row r="183" spans="1:29">
      <c r="A183" s="63">
        <f t="shared" si="10"/>
        <v>2011.06</v>
      </c>
      <c r="B183" s="169">
        <v>336793</v>
      </c>
      <c r="C183" s="886">
        <f t="shared" si="9"/>
        <v>213284</v>
      </c>
      <c r="D183" s="3162">
        <v>26381</v>
      </c>
      <c r="E183" s="180">
        <v>95417</v>
      </c>
      <c r="F183" s="3162">
        <v>9857</v>
      </c>
      <c r="G183" s="180">
        <v>33388</v>
      </c>
      <c r="H183" s="3162">
        <v>30667</v>
      </c>
      <c r="I183" s="180">
        <v>10478</v>
      </c>
      <c r="J183" s="3162">
        <v>7096</v>
      </c>
      <c r="K183" s="180">
        <v>46979</v>
      </c>
      <c r="L183" s="3162">
        <v>15507</v>
      </c>
      <c r="M183" s="180">
        <v>26500</v>
      </c>
      <c r="N183" s="2095">
        <v>34523</v>
      </c>
      <c r="O183" s="2096"/>
      <c r="P183" s="2097">
        <v>147775</v>
      </c>
      <c r="Q183" s="2097">
        <v>2665578</v>
      </c>
      <c r="R183" s="263">
        <f t="shared" si="12"/>
        <v>2279.0932160378957</v>
      </c>
      <c r="S183" s="203">
        <f t="shared" si="13"/>
        <v>126.3489569616796</v>
      </c>
      <c r="T183" s="895"/>
      <c r="U183" s="169">
        <v>6568026</v>
      </c>
      <c r="V183" s="896"/>
      <c r="W183" s="303"/>
      <c r="X183" s="2094"/>
      <c r="Y183" s="554"/>
      <c r="Z183" s="1305"/>
      <c r="AA183" s="1796"/>
      <c r="AB183" s="1305"/>
      <c r="AC183" s="1305"/>
    </row>
    <row r="184" spans="1:29">
      <c r="A184" s="63">
        <f t="shared" si="10"/>
        <v>2011.07</v>
      </c>
      <c r="B184" s="169">
        <v>363713</v>
      </c>
      <c r="C184" s="886">
        <f t="shared" si="9"/>
        <v>229140</v>
      </c>
      <c r="D184" s="3162">
        <v>28406</v>
      </c>
      <c r="E184" s="180">
        <v>102015</v>
      </c>
      <c r="F184" s="3162">
        <v>10990</v>
      </c>
      <c r="G184" s="180">
        <v>35395</v>
      </c>
      <c r="H184" s="3162">
        <v>33406</v>
      </c>
      <c r="I184" s="180">
        <v>11631</v>
      </c>
      <c r="J184" s="3162">
        <v>7297</v>
      </c>
      <c r="K184" s="180">
        <v>51539</v>
      </c>
      <c r="L184" s="3162">
        <v>15672</v>
      </c>
      <c r="M184" s="180">
        <v>27576</v>
      </c>
      <c r="N184" s="2095">
        <v>39786</v>
      </c>
      <c r="O184" s="2096"/>
      <c r="P184" s="2097">
        <v>148919</v>
      </c>
      <c r="Q184" s="2097">
        <v>2731911</v>
      </c>
      <c r="R184" s="263">
        <f t="shared" si="12"/>
        <v>2442.3545685909789</v>
      </c>
      <c r="S184" s="203">
        <f t="shared" si="13"/>
        <v>133.1350106207706</v>
      </c>
      <c r="T184" s="895"/>
      <c r="U184" s="169">
        <v>7181001</v>
      </c>
      <c r="V184" s="896"/>
      <c r="W184" s="303"/>
      <c r="X184" s="2094"/>
      <c r="Y184" s="554"/>
      <c r="Z184" s="1305"/>
      <c r="AA184" s="1796"/>
      <c r="AB184" s="1305"/>
      <c r="AC184" s="1305"/>
    </row>
    <row r="185" spans="1:29">
      <c r="A185" s="63">
        <f t="shared" si="10"/>
        <v>2011.08</v>
      </c>
      <c r="B185" s="169">
        <v>353163</v>
      </c>
      <c r="C185" s="886">
        <f t="shared" si="9"/>
        <v>222688</v>
      </c>
      <c r="D185" s="3162">
        <v>26487</v>
      </c>
      <c r="E185" s="180">
        <v>98510</v>
      </c>
      <c r="F185" s="3162">
        <v>10719</v>
      </c>
      <c r="G185" s="180">
        <v>34731</v>
      </c>
      <c r="H185" s="3162">
        <v>33203</v>
      </c>
      <c r="I185" s="180">
        <v>12066</v>
      </c>
      <c r="J185" s="3162">
        <v>6972</v>
      </c>
      <c r="K185" s="180">
        <v>49210</v>
      </c>
      <c r="L185" s="3162">
        <v>11910</v>
      </c>
      <c r="M185" s="180">
        <v>26811</v>
      </c>
      <c r="N185" s="2095">
        <v>42544</v>
      </c>
      <c r="O185" s="2096"/>
      <c r="P185" s="2097">
        <v>148919</v>
      </c>
      <c r="Q185" s="2097">
        <v>2678018</v>
      </c>
      <c r="R185" s="263">
        <f t="shared" si="12"/>
        <v>2371.5106870177751</v>
      </c>
      <c r="S185" s="203">
        <f t="shared" si="13"/>
        <v>131.87476708521004</v>
      </c>
      <c r="T185" s="895"/>
      <c r="U185" s="169">
        <v>6995383</v>
      </c>
      <c r="V185" s="896"/>
      <c r="W185" s="303"/>
      <c r="X185" s="2094"/>
      <c r="Y185" s="554"/>
      <c r="Z185" s="1305"/>
      <c r="AA185" s="1796"/>
      <c r="AB185" s="1305"/>
      <c r="AC185" s="1305"/>
    </row>
    <row r="186" spans="1:29">
      <c r="A186" s="63">
        <f t="shared" si="10"/>
        <v>2011.09</v>
      </c>
      <c r="B186" s="169">
        <v>343658</v>
      </c>
      <c r="C186" s="886">
        <f t="shared" si="9"/>
        <v>222138</v>
      </c>
      <c r="D186" s="3162">
        <v>28225</v>
      </c>
      <c r="E186" s="180">
        <v>96229</v>
      </c>
      <c r="F186" s="3162">
        <v>10232</v>
      </c>
      <c r="G186" s="180">
        <v>34899</v>
      </c>
      <c r="H186" s="3162">
        <v>32968</v>
      </c>
      <c r="I186" s="180">
        <v>12771</v>
      </c>
      <c r="J186" s="3162">
        <v>6814</v>
      </c>
      <c r="K186" s="180">
        <v>51469</v>
      </c>
      <c r="L186" s="3162">
        <v>11487</v>
      </c>
      <c r="M186" s="180">
        <v>22469</v>
      </c>
      <c r="N186" s="2095">
        <v>36095</v>
      </c>
      <c r="O186" s="2096"/>
      <c r="P186" s="2097">
        <v>148714</v>
      </c>
      <c r="Q186" s="2097">
        <v>2633007</v>
      </c>
      <c r="R186" s="263">
        <f t="shared" si="12"/>
        <v>2310.8651505574458</v>
      </c>
      <c r="S186" s="203">
        <f t="shared" si="13"/>
        <v>130.51921244417505</v>
      </c>
      <c r="T186" s="895"/>
      <c r="U186" s="169">
        <v>6810108</v>
      </c>
      <c r="V186" s="896"/>
      <c r="W186" s="303"/>
      <c r="X186" s="2094"/>
      <c r="Y186" s="554"/>
      <c r="Z186" s="1305"/>
      <c r="AA186" s="1796"/>
      <c r="AB186" s="1305"/>
      <c r="AC186" s="1305"/>
    </row>
    <row r="187" spans="1:29">
      <c r="A187" s="63">
        <f t="shared" si="10"/>
        <v>2011.1</v>
      </c>
      <c r="B187" s="169">
        <v>375142</v>
      </c>
      <c r="C187" s="886">
        <f t="shared" si="9"/>
        <v>231257</v>
      </c>
      <c r="D187" s="3162">
        <v>29755</v>
      </c>
      <c r="E187" s="180">
        <v>97927</v>
      </c>
      <c r="F187" s="3162">
        <v>10941</v>
      </c>
      <c r="G187" s="180">
        <v>36423</v>
      </c>
      <c r="H187" s="3162">
        <v>35346</v>
      </c>
      <c r="I187" s="180">
        <v>13496</v>
      </c>
      <c r="J187" s="3162">
        <v>7369</v>
      </c>
      <c r="K187" s="180">
        <v>55045</v>
      </c>
      <c r="L187" s="3162">
        <v>13187</v>
      </c>
      <c r="M187" s="180">
        <v>31526</v>
      </c>
      <c r="N187" s="2095">
        <v>44127</v>
      </c>
      <c r="O187" s="2096"/>
      <c r="P187" s="2097">
        <v>148714</v>
      </c>
      <c r="Q187" s="2097">
        <v>2643919</v>
      </c>
      <c r="R187" s="263">
        <f t="shared" si="12"/>
        <v>2522.5735304006348</v>
      </c>
      <c r="S187" s="203">
        <f t="shared" si="13"/>
        <v>141.88861307778339</v>
      </c>
      <c r="T187" s="895"/>
      <c r="U187" s="169">
        <v>7418351</v>
      </c>
      <c r="V187" s="896"/>
      <c r="W187" s="303"/>
      <c r="X187" s="2094"/>
      <c r="Y187" s="554"/>
      <c r="Z187" s="1305"/>
      <c r="AA187" s="1796"/>
      <c r="AB187" s="1305"/>
      <c r="AC187" s="1305"/>
    </row>
    <row r="188" spans="1:29">
      <c r="A188" s="63">
        <f t="shared" si="10"/>
        <v>2011.11</v>
      </c>
      <c r="B188" s="169">
        <v>369965</v>
      </c>
      <c r="C188" s="886">
        <f t="shared" si="9"/>
        <v>227564</v>
      </c>
      <c r="D188" s="3162">
        <v>33866</v>
      </c>
      <c r="E188" s="180">
        <v>95919</v>
      </c>
      <c r="F188" s="3162">
        <v>10160</v>
      </c>
      <c r="G188" s="180">
        <v>33985</v>
      </c>
      <c r="H188" s="3162">
        <v>33064</v>
      </c>
      <c r="I188" s="180">
        <v>13894</v>
      </c>
      <c r="J188" s="3162">
        <v>6676</v>
      </c>
      <c r="K188" s="180">
        <v>54181</v>
      </c>
      <c r="L188" s="3162">
        <v>12223</v>
      </c>
      <c r="M188" s="180">
        <v>31144</v>
      </c>
      <c r="N188" s="2095">
        <v>44853</v>
      </c>
      <c r="O188" s="2096"/>
      <c r="P188" s="2097">
        <v>148714</v>
      </c>
      <c r="Q188" s="2097">
        <v>2647968</v>
      </c>
      <c r="R188" s="263">
        <f t="shared" si="12"/>
        <v>2487.7617440187205</v>
      </c>
      <c r="S188" s="203">
        <f t="shared" si="13"/>
        <v>139.71656757181356</v>
      </c>
      <c r="T188" s="895"/>
      <c r="U188" s="169">
        <v>7335712</v>
      </c>
      <c r="V188" s="896"/>
      <c r="W188" s="303"/>
      <c r="X188" s="2094"/>
      <c r="Y188" s="554"/>
      <c r="Z188" s="1305"/>
      <c r="AA188" s="1796"/>
      <c r="AB188" s="1305"/>
      <c r="AC188" s="1305"/>
    </row>
    <row r="189" spans="1:29">
      <c r="A189" s="63">
        <f t="shared" si="10"/>
        <v>2011.12</v>
      </c>
      <c r="B189" s="169">
        <v>463126</v>
      </c>
      <c r="C189" s="886">
        <f t="shared" si="9"/>
        <v>288308</v>
      </c>
      <c r="D189" s="3162">
        <v>54895</v>
      </c>
      <c r="E189" s="180">
        <v>120175</v>
      </c>
      <c r="F189" s="3162">
        <v>13606</v>
      </c>
      <c r="G189" s="180">
        <v>35485</v>
      </c>
      <c r="H189" s="3162">
        <v>39561</v>
      </c>
      <c r="I189" s="180">
        <v>16914</v>
      </c>
      <c r="J189" s="3162">
        <v>7672</v>
      </c>
      <c r="K189" s="180">
        <v>59152</v>
      </c>
      <c r="L189" s="3162">
        <v>16328</v>
      </c>
      <c r="M189" s="180">
        <v>35055</v>
      </c>
      <c r="N189" s="2095">
        <v>64283</v>
      </c>
      <c r="O189" s="2096"/>
      <c r="P189" s="2097">
        <v>148714</v>
      </c>
      <c r="Q189" s="2097">
        <v>2988021</v>
      </c>
      <c r="R189" s="263">
        <f t="shared" si="12"/>
        <v>3114.2057909813466</v>
      </c>
      <c r="S189" s="203">
        <f t="shared" si="13"/>
        <v>154.99422527485584</v>
      </c>
      <c r="T189" s="895"/>
      <c r="U189" s="169">
        <v>9277338</v>
      </c>
      <c r="V189" s="896"/>
      <c r="W189" s="303"/>
      <c r="X189" s="2094"/>
      <c r="Y189" s="554"/>
      <c r="Z189" s="1305"/>
      <c r="AA189" s="1796"/>
      <c r="AB189" s="1305"/>
      <c r="AC189" s="1305"/>
    </row>
    <row r="190" spans="1:29">
      <c r="A190" s="63">
        <f t="shared" si="10"/>
        <v>2012.01</v>
      </c>
      <c r="B190" s="169">
        <v>376606</v>
      </c>
      <c r="C190" s="886">
        <f t="shared" ref="C190:C237" si="14">SUM(D190:J190)</f>
        <v>227842</v>
      </c>
      <c r="D190" s="3162">
        <v>34632</v>
      </c>
      <c r="E190" s="180">
        <v>95699</v>
      </c>
      <c r="F190" s="3162">
        <v>10344</v>
      </c>
      <c r="G190" s="180">
        <v>32694</v>
      </c>
      <c r="H190" s="3162">
        <v>32774</v>
      </c>
      <c r="I190" s="180">
        <v>15140</v>
      </c>
      <c r="J190" s="3162">
        <v>6559</v>
      </c>
      <c r="K190" s="180">
        <v>55118</v>
      </c>
      <c r="L190" s="3162">
        <v>13220</v>
      </c>
      <c r="M190" s="180">
        <v>31496</v>
      </c>
      <c r="N190" s="2095">
        <v>48930</v>
      </c>
      <c r="O190" s="2096"/>
      <c r="P190" s="2097">
        <v>148714</v>
      </c>
      <c r="Q190" s="2097">
        <v>2609242</v>
      </c>
      <c r="R190" s="263">
        <f t="shared" si="12"/>
        <v>2532.4179297174442</v>
      </c>
      <c r="S190" s="203">
        <f t="shared" si="13"/>
        <v>144.33540468841142</v>
      </c>
      <c r="T190" s="895"/>
      <c r="U190" s="169">
        <v>7630134</v>
      </c>
      <c r="V190" s="896"/>
      <c r="W190" s="303"/>
      <c r="X190" s="2094"/>
      <c r="Y190" s="554"/>
      <c r="Z190" s="1305"/>
      <c r="AA190" s="1796"/>
      <c r="AB190" s="1305"/>
      <c r="AC190" s="1305"/>
    </row>
    <row r="191" spans="1:29">
      <c r="A191" s="63">
        <f t="shared" si="10"/>
        <v>2012.02</v>
      </c>
      <c r="B191" s="169">
        <v>375650</v>
      </c>
      <c r="C191" s="886">
        <f t="shared" si="14"/>
        <v>233334</v>
      </c>
      <c r="D191" s="3162">
        <v>33861</v>
      </c>
      <c r="E191" s="180">
        <v>96911</v>
      </c>
      <c r="F191" s="3162">
        <v>10983</v>
      </c>
      <c r="G191" s="180">
        <v>34723</v>
      </c>
      <c r="H191" s="3162">
        <v>34194</v>
      </c>
      <c r="I191" s="180">
        <v>15603</v>
      </c>
      <c r="J191" s="3162">
        <v>7059</v>
      </c>
      <c r="K191" s="180">
        <v>54654</v>
      </c>
      <c r="L191" s="3162">
        <v>13380</v>
      </c>
      <c r="M191" s="180">
        <v>25546</v>
      </c>
      <c r="N191" s="2095">
        <v>48736</v>
      </c>
      <c r="O191" s="2096"/>
      <c r="P191" s="2097">
        <v>148714</v>
      </c>
      <c r="Q191" s="2097">
        <v>2608949</v>
      </c>
      <c r="R191" s="263">
        <f t="shared" si="12"/>
        <v>2525.9894831690358</v>
      </c>
      <c r="S191" s="203">
        <f t="shared" si="13"/>
        <v>143.98518330561464</v>
      </c>
      <c r="T191" s="895"/>
      <c r="U191" s="169">
        <v>7529642</v>
      </c>
      <c r="V191" s="896"/>
      <c r="W191" s="303"/>
      <c r="X191" s="2094"/>
      <c r="Y191" s="554"/>
      <c r="Z191" s="1305"/>
      <c r="AA191" s="1796"/>
      <c r="AB191" s="1305"/>
      <c r="AC191" s="1305"/>
    </row>
    <row r="192" spans="1:29">
      <c r="A192" s="63">
        <f t="shared" si="10"/>
        <v>2012.03</v>
      </c>
      <c r="B192" s="169">
        <v>402235</v>
      </c>
      <c r="C192" s="886">
        <f t="shared" si="14"/>
        <v>262005</v>
      </c>
      <c r="D192" s="3162">
        <v>34732</v>
      </c>
      <c r="E192" s="180">
        <v>112923</v>
      </c>
      <c r="F192" s="3162">
        <v>12086</v>
      </c>
      <c r="G192" s="180">
        <v>39507</v>
      </c>
      <c r="H192" s="3162">
        <v>38456</v>
      </c>
      <c r="I192" s="180">
        <v>16831</v>
      </c>
      <c r="J192" s="3162">
        <v>7470</v>
      </c>
      <c r="K192" s="180">
        <v>59768</v>
      </c>
      <c r="L192" s="3162">
        <v>12727</v>
      </c>
      <c r="M192" s="180">
        <v>26585</v>
      </c>
      <c r="N192" s="2095">
        <v>41150</v>
      </c>
      <c r="O192" s="2096"/>
      <c r="P192" s="2097">
        <v>148714</v>
      </c>
      <c r="Q192" s="2097">
        <v>2738599</v>
      </c>
      <c r="R192" s="263">
        <f t="shared" si="12"/>
        <v>2704.7554366098689</v>
      </c>
      <c r="S192" s="203">
        <f t="shared" si="13"/>
        <v>146.87619472584339</v>
      </c>
      <c r="T192" s="895"/>
      <c r="U192" s="169">
        <v>8051017</v>
      </c>
      <c r="V192" s="896"/>
      <c r="W192" s="303"/>
      <c r="X192" s="2094"/>
      <c r="Y192" s="554"/>
      <c r="Z192" s="1305"/>
      <c r="AA192" s="1796"/>
      <c r="AB192" s="1305"/>
      <c r="AC192" s="1305"/>
    </row>
    <row r="193" spans="1:29">
      <c r="A193" s="63">
        <f t="shared" si="10"/>
        <v>2012.04</v>
      </c>
      <c r="B193" s="169">
        <v>413924</v>
      </c>
      <c r="C193" s="886">
        <f t="shared" si="14"/>
        <v>269256</v>
      </c>
      <c r="D193" s="3162">
        <v>36331</v>
      </c>
      <c r="E193" s="180">
        <v>118070</v>
      </c>
      <c r="F193" s="3162">
        <v>12965</v>
      </c>
      <c r="G193" s="180">
        <v>39274</v>
      </c>
      <c r="H193" s="3162">
        <v>38578</v>
      </c>
      <c r="I193" s="180">
        <v>15636</v>
      </c>
      <c r="J193" s="3162">
        <v>8402</v>
      </c>
      <c r="K193" s="180">
        <v>59535</v>
      </c>
      <c r="L193" s="3162">
        <v>16000</v>
      </c>
      <c r="M193" s="180">
        <v>28606</v>
      </c>
      <c r="N193" s="2095">
        <v>40527</v>
      </c>
      <c r="O193" s="2096"/>
      <c r="P193" s="2097">
        <v>148714</v>
      </c>
      <c r="Q193" s="2097">
        <v>2803866</v>
      </c>
      <c r="R193" s="263">
        <f t="shared" si="12"/>
        <v>2783.3559718654601</v>
      </c>
      <c r="S193" s="203">
        <f t="shared" si="13"/>
        <v>147.62617043753158</v>
      </c>
      <c r="T193" s="895"/>
      <c r="U193" s="169">
        <v>8202183</v>
      </c>
      <c r="V193" s="896"/>
      <c r="W193" s="303"/>
      <c r="X193" s="2094"/>
      <c r="Y193" s="554"/>
      <c r="Z193" s="1305"/>
      <c r="AA193" s="1796"/>
      <c r="AB193" s="1305"/>
      <c r="AC193" s="1305"/>
    </row>
    <row r="194" spans="1:29">
      <c r="A194" s="63">
        <f t="shared" si="10"/>
        <v>2012.05</v>
      </c>
      <c r="B194" s="169">
        <v>393672</v>
      </c>
      <c r="C194" s="886">
        <f t="shared" si="14"/>
        <v>255881</v>
      </c>
      <c r="D194" s="3162">
        <v>31096</v>
      </c>
      <c r="E194" s="180">
        <v>115688</v>
      </c>
      <c r="F194" s="3162">
        <v>12493</v>
      </c>
      <c r="G194" s="180">
        <v>38585</v>
      </c>
      <c r="H194" s="3162">
        <v>36205</v>
      </c>
      <c r="I194" s="180">
        <v>14590</v>
      </c>
      <c r="J194" s="3162">
        <v>7224</v>
      </c>
      <c r="K194" s="180">
        <v>57019</v>
      </c>
      <c r="L194" s="3162">
        <v>15196</v>
      </c>
      <c r="M194" s="180">
        <v>28037</v>
      </c>
      <c r="N194" s="2095">
        <v>37539</v>
      </c>
      <c r="O194" s="2096"/>
      <c r="P194" s="2097">
        <v>148714</v>
      </c>
      <c r="Q194" s="2097">
        <v>2694940</v>
      </c>
      <c r="R194" s="263">
        <f t="shared" si="12"/>
        <v>2647.1751146495958</v>
      </c>
      <c r="S194" s="203">
        <f t="shared" si="13"/>
        <v>146.07820582276415</v>
      </c>
      <c r="T194" s="895"/>
      <c r="U194" s="169">
        <v>7742865</v>
      </c>
      <c r="V194" s="896"/>
      <c r="W194" s="303"/>
      <c r="X194" s="2094"/>
      <c r="Y194" s="554"/>
      <c r="Z194" s="1305"/>
      <c r="AA194" s="1796"/>
      <c r="AB194" s="1305"/>
      <c r="AC194" s="1305"/>
    </row>
    <row r="195" spans="1:29">
      <c r="A195" s="63">
        <f t="shared" si="10"/>
        <v>2012.06</v>
      </c>
      <c r="B195" s="169">
        <v>427878</v>
      </c>
      <c r="C195" s="886">
        <f t="shared" si="14"/>
        <v>273181</v>
      </c>
      <c r="D195" s="3162">
        <v>33683</v>
      </c>
      <c r="E195" s="180">
        <v>122937</v>
      </c>
      <c r="F195" s="3162">
        <v>13515</v>
      </c>
      <c r="G195" s="180">
        <v>41757</v>
      </c>
      <c r="H195" s="3162">
        <v>38298</v>
      </c>
      <c r="I195" s="180">
        <v>15134</v>
      </c>
      <c r="J195" s="3162">
        <v>7857</v>
      </c>
      <c r="K195" s="180">
        <v>60264</v>
      </c>
      <c r="L195" s="3162">
        <v>17994</v>
      </c>
      <c r="M195" s="180">
        <v>36291</v>
      </c>
      <c r="N195" s="2095">
        <v>40148</v>
      </c>
      <c r="O195" s="2096"/>
      <c r="P195" s="2097">
        <v>148564</v>
      </c>
      <c r="Q195" s="2097">
        <v>2734993</v>
      </c>
      <c r="R195" s="263">
        <f t="shared" si="12"/>
        <v>2880.0920815271534</v>
      </c>
      <c r="S195" s="203">
        <f t="shared" si="13"/>
        <v>156.44573861797818</v>
      </c>
      <c r="T195" s="895"/>
      <c r="U195" s="169">
        <v>8426822</v>
      </c>
      <c r="V195" s="896"/>
      <c r="W195" s="303"/>
      <c r="X195" s="2094"/>
      <c r="Y195" s="554"/>
      <c r="Z195" s="1305"/>
      <c r="AA195" s="1796"/>
      <c r="AB195" s="1305"/>
      <c r="AC195" s="1305"/>
    </row>
    <row r="196" spans="1:29">
      <c r="A196" s="63">
        <f t="shared" si="10"/>
        <v>2012.07</v>
      </c>
      <c r="B196" s="169">
        <v>438583</v>
      </c>
      <c r="C196" s="886">
        <f t="shared" si="14"/>
        <v>279890</v>
      </c>
      <c r="D196" s="3162">
        <v>34316</v>
      </c>
      <c r="E196" s="180">
        <v>126795</v>
      </c>
      <c r="F196" s="3162">
        <v>13543</v>
      </c>
      <c r="G196" s="180">
        <v>42993</v>
      </c>
      <c r="H196" s="3162">
        <v>38310</v>
      </c>
      <c r="I196" s="180">
        <v>15826</v>
      </c>
      <c r="J196" s="3162">
        <v>8107</v>
      </c>
      <c r="K196" s="180">
        <v>61459</v>
      </c>
      <c r="L196" s="3162">
        <v>17295</v>
      </c>
      <c r="M196" s="180">
        <v>32977</v>
      </c>
      <c r="N196" s="2095">
        <v>46962</v>
      </c>
      <c r="O196" s="2096"/>
      <c r="P196" s="2097">
        <v>148564</v>
      </c>
      <c r="Q196" s="2097">
        <v>2835902</v>
      </c>
      <c r="R196" s="263">
        <f t="shared" si="12"/>
        <v>2952.1485689669098</v>
      </c>
      <c r="S196" s="203">
        <f t="shared" si="13"/>
        <v>154.65379269100271</v>
      </c>
      <c r="T196" s="895"/>
      <c r="U196" s="225">
        <v>8766221</v>
      </c>
      <c r="V196" s="896"/>
      <c r="W196" s="303"/>
      <c r="X196" s="2094"/>
      <c r="Y196" s="275">
        <v>-6.2</v>
      </c>
      <c r="Z196" s="1305"/>
      <c r="AA196" s="1796"/>
      <c r="AB196" s="1305"/>
      <c r="AC196" s="1305"/>
    </row>
    <row r="197" spans="1:29">
      <c r="A197" s="63">
        <f t="shared" si="10"/>
        <v>2012.08</v>
      </c>
      <c r="B197" s="169">
        <v>441951</v>
      </c>
      <c r="C197" s="886">
        <f t="shared" si="14"/>
        <v>280924</v>
      </c>
      <c r="D197" s="3162">
        <v>34028</v>
      </c>
      <c r="E197" s="180">
        <v>127257</v>
      </c>
      <c r="F197" s="3162">
        <v>13574</v>
      </c>
      <c r="G197" s="180">
        <v>43675</v>
      </c>
      <c r="H197" s="3162">
        <v>37940</v>
      </c>
      <c r="I197" s="180">
        <v>16586</v>
      </c>
      <c r="J197" s="3162">
        <v>7864</v>
      </c>
      <c r="K197" s="180">
        <v>62177</v>
      </c>
      <c r="L197" s="3162">
        <v>14921</v>
      </c>
      <c r="M197" s="180">
        <v>32386</v>
      </c>
      <c r="N197" s="2095">
        <v>51543</v>
      </c>
      <c r="O197" s="2096"/>
      <c r="P197" s="2097">
        <v>148564</v>
      </c>
      <c r="Q197" s="2097">
        <v>2804886</v>
      </c>
      <c r="R197" s="263">
        <f t="shared" si="12"/>
        <v>2974.8189332543552</v>
      </c>
      <c r="S197" s="203">
        <f t="shared" si="13"/>
        <v>157.56469246878481</v>
      </c>
      <c r="T197" s="895"/>
      <c r="U197" s="225">
        <v>8843043</v>
      </c>
      <c r="V197" s="896"/>
      <c r="W197" s="303"/>
      <c r="X197" s="2094"/>
      <c r="Y197" s="254">
        <v>-5.2</v>
      </c>
      <c r="Z197" s="1305"/>
      <c r="AA197" s="1796"/>
      <c r="AB197" s="1305"/>
      <c r="AC197" s="1305"/>
    </row>
    <row r="198" spans="1:29">
      <c r="A198" s="63">
        <f t="shared" si="10"/>
        <v>2012.09</v>
      </c>
      <c r="B198" s="169">
        <v>438390</v>
      </c>
      <c r="C198" s="886">
        <f t="shared" si="14"/>
        <v>279530</v>
      </c>
      <c r="D198" s="3162">
        <v>36543</v>
      </c>
      <c r="E198" s="180">
        <v>123018</v>
      </c>
      <c r="F198" s="3162">
        <v>13472</v>
      </c>
      <c r="G198" s="180">
        <v>43367</v>
      </c>
      <c r="H198" s="3162">
        <v>38375</v>
      </c>
      <c r="I198" s="180">
        <v>17077</v>
      </c>
      <c r="J198" s="3162">
        <v>7678</v>
      </c>
      <c r="K198" s="180">
        <v>66231</v>
      </c>
      <c r="L198" s="3162">
        <v>14713</v>
      </c>
      <c r="M198" s="180">
        <v>31490</v>
      </c>
      <c r="N198" s="2095">
        <v>46426</v>
      </c>
      <c r="O198" s="2096"/>
      <c r="P198" s="2097">
        <v>148564</v>
      </c>
      <c r="Q198" s="2097">
        <v>2643362</v>
      </c>
      <c r="R198" s="263">
        <f t="shared" si="12"/>
        <v>2950.8494655502004</v>
      </c>
      <c r="S198" s="203">
        <f t="shared" si="13"/>
        <v>165.8456163022696</v>
      </c>
      <c r="T198" s="895"/>
      <c r="U198" s="225">
        <v>8789482</v>
      </c>
      <c r="V198" s="896"/>
      <c r="W198" s="303"/>
      <c r="X198" s="2094"/>
      <c r="Y198" s="254">
        <v>-4.5999999999999996</v>
      </c>
      <c r="Z198" s="1305"/>
      <c r="AA198" s="1796"/>
      <c r="AB198" s="1305"/>
      <c r="AC198" s="1305"/>
    </row>
    <row r="199" spans="1:29">
      <c r="A199" s="63">
        <f t="shared" si="10"/>
        <v>2012.1</v>
      </c>
      <c r="B199" s="169">
        <v>452644</v>
      </c>
      <c r="C199" s="886">
        <f t="shared" si="14"/>
        <v>286511</v>
      </c>
      <c r="D199" s="3162">
        <v>36636</v>
      </c>
      <c r="E199" s="180">
        <v>128091</v>
      </c>
      <c r="F199" s="3162">
        <v>13674</v>
      </c>
      <c r="G199" s="180">
        <v>44996</v>
      </c>
      <c r="H199" s="3162">
        <v>37570</v>
      </c>
      <c r="I199" s="180">
        <v>18019</v>
      </c>
      <c r="J199" s="3162">
        <v>7525</v>
      </c>
      <c r="K199" s="180">
        <v>67431</v>
      </c>
      <c r="L199" s="3162">
        <v>15024</v>
      </c>
      <c r="M199" s="180">
        <v>38278</v>
      </c>
      <c r="N199" s="2095">
        <v>45400</v>
      </c>
      <c r="O199" s="2096"/>
      <c r="P199" s="2097">
        <v>148564</v>
      </c>
      <c r="Q199" s="2097">
        <v>2696839</v>
      </c>
      <c r="R199" s="263">
        <f t="shared" si="12"/>
        <v>3046.7946474246792</v>
      </c>
      <c r="S199" s="203">
        <f t="shared" si="13"/>
        <v>167.84242589194238</v>
      </c>
      <c r="T199" s="895"/>
      <c r="U199" s="225">
        <v>9073028</v>
      </c>
      <c r="V199" s="896"/>
      <c r="W199" s="303"/>
      <c r="X199" s="2094"/>
      <c r="Y199" s="254">
        <v>-2.2999999999999998</v>
      </c>
      <c r="Z199" s="1305"/>
      <c r="AA199" s="1796"/>
      <c r="AB199" s="1305"/>
      <c r="AC199" s="1305"/>
    </row>
    <row r="200" spans="1:29">
      <c r="A200" s="63">
        <f t="shared" si="10"/>
        <v>2012.11</v>
      </c>
      <c r="B200" s="169">
        <v>459280</v>
      </c>
      <c r="C200" s="886">
        <f t="shared" si="14"/>
        <v>292238</v>
      </c>
      <c r="D200" s="3162">
        <v>42856</v>
      </c>
      <c r="E200" s="180">
        <v>127475</v>
      </c>
      <c r="F200" s="3162">
        <v>13734</v>
      </c>
      <c r="G200" s="180">
        <v>44052</v>
      </c>
      <c r="H200" s="3162">
        <v>36778</v>
      </c>
      <c r="I200" s="180">
        <v>19688</v>
      </c>
      <c r="J200" s="3162">
        <v>7655</v>
      </c>
      <c r="K200" s="180">
        <v>66368</v>
      </c>
      <c r="L200" s="3162">
        <v>14825</v>
      </c>
      <c r="M200" s="180">
        <v>36827</v>
      </c>
      <c r="N200" s="2095">
        <v>49022</v>
      </c>
      <c r="O200" s="2096"/>
      <c r="P200" s="2097">
        <v>149464</v>
      </c>
      <c r="Q200" s="2097">
        <v>2668549</v>
      </c>
      <c r="R200" s="263">
        <f t="shared" si="12"/>
        <v>3072.8469731841783</v>
      </c>
      <c r="S200" s="203">
        <f t="shared" si="13"/>
        <v>172.10851290345428</v>
      </c>
      <c r="T200" s="895"/>
      <c r="U200" s="225">
        <v>9201188</v>
      </c>
      <c r="V200" s="896"/>
      <c r="W200" s="303"/>
      <c r="X200" s="2094"/>
      <c r="Y200" s="254">
        <v>-3.1</v>
      </c>
      <c r="Z200" s="1305"/>
      <c r="AA200" s="1796"/>
      <c r="AB200" s="1305"/>
      <c r="AC200" s="1305"/>
    </row>
    <row r="201" spans="1:29">
      <c r="A201" s="63">
        <f t="shared" si="10"/>
        <v>2012.12</v>
      </c>
      <c r="B201" s="169">
        <v>579282</v>
      </c>
      <c r="C201" s="886">
        <f t="shared" si="14"/>
        <v>370650</v>
      </c>
      <c r="D201" s="3162">
        <v>70948</v>
      </c>
      <c r="E201" s="180">
        <v>157844</v>
      </c>
      <c r="F201" s="3162">
        <v>17237</v>
      </c>
      <c r="G201" s="180">
        <v>46014</v>
      </c>
      <c r="H201" s="3162">
        <v>45997</v>
      </c>
      <c r="I201" s="180">
        <v>22833</v>
      </c>
      <c r="J201" s="3162">
        <v>9777</v>
      </c>
      <c r="K201" s="180">
        <v>73202</v>
      </c>
      <c r="L201" s="3162">
        <v>19960</v>
      </c>
      <c r="M201" s="180">
        <v>42454</v>
      </c>
      <c r="N201" s="2095">
        <v>73016</v>
      </c>
      <c r="O201" s="2096"/>
      <c r="P201" s="2097">
        <v>149464</v>
      </c>
      <c r="Q201" s="2097">
        <v>2942196</v>
      </c>
      <c r="R201" s="263">
        <f t="shared" si="12"/>
        <v>3875.7292726007599</v>
      </c>
      <c r="S201" s="203">
        <f t="shared" si="13"/>
        <v>196.88763087163466</v>
      </c>
      <c r="T201" s="895"/>
      <c r="U201" s="225">
        <v>11739267</v>
      </c>
      <c r="V201" s="896"/>
      <c r="W201" s="303"/>
      <c r="X201" s="2094"/>
      <c r="Y201" s="254">
        <v>4.3</v>
      </c>
      <c r="Z201" s="1305"/>
      <c r="AA201" s="1796"/>
      <c r="AB201" s="1305"/>
      <c r="AC201" s="1305"/>
    </row>
    <row r="202" spans="1:29">
      <c r="A202" s="63">
        <f t="shared" si="10"/>
        <v>2013.01</v>
      </c>
      <c r="B202" s="169">
        <v>463323</v>
      </c>
      <c r="C202" s="886">
        <f t="shared" si="14"/>
        <v>288974</v>
      </c>
      <c r="D202" s="3162">
        <v>43699</v>
      </c>
      <c r="E202" s="180">
        <v>120192</v>
      </c>
      <c r="F202" s="3162">
        <v>14139</v>
      </c>
      <c r="G202" s="180">
        <v>42588</v>
      </c>
      <c r="H202" s="3162">
        <v>39770</v>
      </c>
      <c r="I202" s="180">
        <v>20512</v>
      </c>
      <c r="J202" s="3162">
        <v>8074</v>
      </c>
      <c r="K202" s="180">
        <v>68483</v>
      </c>
      <c r="L202" s="3162">
        <v>15895</v>
      </c>
      <c r="M202" s="180">
        <v>32287</v>
      </c>
      <c r="N202" s="2095">
        <v>57684</v>
      </c>
      <c r="O202" s="2096"/>
      <c r="P202" s="2097">
        <v>149464</v>
      </c>
      <c r="Q202" s="2097">
        <v>2585627</v>
      </c>
      <c r="R202" s="263">
        <f t="shared" si="12"/>
        <v>3099.8969651554889</v>
      </c>
      <c r="S202" s="203">
        <f t="shared" si="13"/>
        <v>179.19173956645719</v>
      </c>
      <c r="T202" s="895"/>
      <c r="U202" s="225">
        <v>9480164</v>
      </c>
      <c r="V202" s="896"/>
      <c r="W202" s="303"/>
      <c r="X202" s="2094"/>
      <c r="Y202" s="254">
        <v>1.7</v>
      </c>
      <c r="Z202" s="1305"/>
      <c r="AA202" s="1796"/>
      <c r="AB202" s="1305"/>
      <c r="AC202" s="1305"/>
    </row>
    <row r="203" spans="1:29">
      <c r="A203" s="63">
        <f t="shared" si="10"/>
        <v>2013.02</v>
      </c>
      <c r="B203" s="169">
        <v>453977</v>
      </c>
      <c r="C203" s="886">
        <f t="shared" si="14"/>
        <v>286484</v>
      </c>
      <c r="D203" s="3162">
        <v>41360</v>
      </c>
      <c r="E203" s="180">
        <v>121357</v>
      </c>
      <c r="F203" s="3162">
        <v>14060</v>
      </c>
      <c r="G203" s="180">
        <v>42543</v>
      </c>
      <c r="H203" s="3162">
        <v>39615</v>
      </c>
      <c r="I203" s="180">
        <v>19618</v>
      </c>
      <c r="J203" s="3162">
        <v>7931</v>
      </c>
      <c r="K203" s="180">
        <v>62725</v>
      </c>
      <c r="L203" s="3162">
        <v>15756</v>
      </c>
      <c r="M203" s="180">
        <v>32086</v>
      </c>
      <c r="N203" s="2095">
        <v>56926</v>
      </c>
      <c r="O203" s="2096"/>
      <c r="P203" s="2097">
        <v>149040</v>
      </c>
      <c r="Q203" s="2097">
        <v>2498409</v>
      </c>
      <c r="R203" s="263">
        <f t="shared" si="12"/>
        <v>3046.0077831454646</v>
      </c>
      <c r="S203" s="203">
        <f t="shared" si="13"/>
        <v>181.70643797712864</v>
      </c>
      <c r="T203" s="895"/>
      <c r="U203" s="225">
        <v>9222264</v>
      </c>
      <c r="V203" s="896"/>
      <c r="W203" s="303"/>
      <c r="X203" s="2094"/>
      <c r="Y203" s="254">
        <v>-3.2</v>
      </c>
      <c r="Z203" s="1305"/>
      <c r="AA203" s="1796"/>
      <c r="AB203" s="1305"/>
      <c r="AC203" s="1305"/>
    </row>
    <row r="204" spans="1:29">
      <c r="A204" s="63">
        <f t="shared" si="10"/>
        <v>2013.03</v>
      </c>
      <c r="B204" s="169">
        <v>499434</v>
      </c>
      <c r="C204" s="886">
        <f t="shared" si="14"/>
        <v>331344</v>
      </c>
      <c r="D204" s="3162">
        <v>42909</v>
      </c>
      <c r="E204" s="180">
        <v>151437</v>
      </c>
      <c r="F204" s="3162">
        <v>15076</v>
      </c>
      <c r="G204" s="180">
        <v>48289</v>
      </c>
      <c r="H204" s="3162">
        <v>44456</v>
      </c>
      <c r="I204" s="180">
        <v>20294</v>
      </c>
      <c r="J204" s="3162">
        <v>8883</v>
      </c>
      <c r="K204" s="180">
        <v>69753</v>
      </c>
      <c r="L204" s="3162">
        <v>16913</v>
      </c>
      <c r="M204" s="180">
        <v>30768</v>
      </c>
      <c r="N204" s="2095">
        <v>50656</v>
      </c>
      <c r="O204" s="2096"/>
      <c r="P204" s="2097">
        <v>149040</v>
      </c>
      <c r="Q204" s="2097">
        <v>2714481</v>
      </c>
      <c r="R204" s="263">
        <f t="shared" si="12"/>
        <v>3351.0064412238326</v>
      </c>
      <c r="S204" s="203">
        <f t="shared" si="13"/>
        <v>183.98876249271962</v>
      </c>
      <c r="T204" s="895"/>
      <c r="U204" s="225">
        <v>10280981</v>
      </c>
      <c r="V204" s="896"/>
      <c r="W204" s="303"/>
      <c r="X204" s="2094"/>
      <c r="Y204" s="254">
        <v>-3.4</v>
      </c>
      <c r="Z204" s="1305"/>
      <c r="AA204" s="1796"/>
      <c r="AB204" s="1305"/>
      <c r="AC204" s="1305"/>
    </row>
    <row r="205" spans="1:29">
      <c r="A205" s="63">
        <f t="shared" si="10"/>
        <v>2013.04</v>
      </c>
      <c r="B205" s="169">
        <v>469567</v>
      </c>
      <c r="C205" s="886">
        <f t="shared" si="14"/>
        <v>309844</v>
      </c>
      <c r="D205" s="3162">
        <v>39345</v>
      </c>
      <c r="E205" s="180">
        <v>138250</v>
      </c>
      <c r="F205" s="3162">
        <v>14333</v>
      </c>
      <c r="G205" s="180">
        <v>47558</v>
      </c>
      <c r="H205" s="3162">
        <v>42869</v>
      </c>
      <c r="I205" s="180">
        <v>19031</v>
      </c>
      <c r="J205" s="3162">
        <v>8458</v>
      </c>
      <c r="K205" s="180">
        <v>68602</v>
      </c>
      <c r="L205" s="3162">
        <v>16557</v>
      </c>
      <c r="M205" s="180">
        <v>29855</v>
      </c>
      <c r="N205" s="2095">
        <v>44709</v>
      </c>
      <c r="O205" s="2096"/>
      <c r="P205" s="2097">
        <v>149040</v>
      </c>
      <c r="Q205" s="2097">
        <v>2595525</v>
      </c>
      <c r="R205" s="263">
        <f t="shared" si="12"/>
        <v>3150.6105743424582</v>
      </c>
      <c r="S205" s="203">
        <f t="shared" si="13"/>
        <v>180.91407326070834</v>
      </c>
      <c r="T205" s="895"/>
      <c r="U205" s="225">
        <v>9548849</v>
      </c>
      <c r="V205" s="896"/>
      <c r="W205" s="303"/>
      <c r="X205" s="2094"/>
      <c r="Y205" s="254">
        <v>-6.4</v>
      </c>
      <c r="Z205" s="1305"/>
      <c r="AA205" s="1796"/>
      <c r="AB205" s="1305"/>
      <c r="AC205" s="1305"/>
    </row>
    <row r="206" spans="1:29">
      <c r="A206" s="63">
        <f t="shared" ref="A206:A269" si="15">A194+1</f>
        <v>2013.05</v>
      </c>
      <c r="B206" s="169">
        <v>491618</v>
      </c>
      <c r="C206" s="886">
        <f t="shared" si="14"/>
        <v>315602</v>
      </c>
      <c r="D206" s="3162">
        <v>38449</v>
      </c>
      <c r="E206" s="180">
        <v>145076</v>
      </c>
      <c r="F206" s="3162">
        <v>15008</v>
      </c>
      <c r="G206" s="180">
        <v>49222</v>
      </c>
      <c r="H206" s="3162">
        <v>41619</v>
      </c>
      <c r="I206" s="180">
        <v>17536</v>
      </c>
      <c r="J206" s="3162">
        <v>8692</v>
      </c>
      <c r="K206" s="180">
        <v>69910</v>
      </c>
      <c r="L206" s="3162">
        <v>20871</v>
      </c>
      <c r="M206" s="180">
        <v>38531</v>
      </c>
      <c r="N206" s="2095">
        <v>46704</v>
      </c>
      <c r="O206" s="2096"/>
      <c r="P206" s="2097">
        <v>149040</v>
      </c>
      <c r="Q206" s="2097">
        <v>2620362</v>
      </c>
      <c r="R206" s="263">
        <f t="shared" si="12"/>
        <v>3298.5641438539988</v>
      </c>
      <c r="S206" s="203">
        <f t="shared" si="13"/>
        <v>187.61453570155572</v>
      </c>
      <c r="T206" s="895"/>
      <c r="U206" s="225">
        <v>9919748</v>
      </c>
      <c r="V206" s="896"/>
      <c r="W206" s="303"/>
      <c r="X206" s="2094"/>
      <c r="Y206" s="254">
        <v>-7.1</v>
      </c>
      <c r="Z206" s="1305"/>
      <c r="AA206" s="1796"/>
      <c r="AB206" s="1305"/>
      <c r="AC206" s="1305"/>
    </row>
    <row r="207" spans="1:29">
      <c r="A207" s="63">
        <f t="shared" si="15"/>
        <v>2013.06</v>
      </c>
      <c r="B207" s="169">
        <v>540869</v>
      </c>
      <c r="C207" s="886">
        <f t="shared" si="14"/>
        <v>340671</v>
      </c>
      <c r="D207" s="3162">
        <v>41236</v>
      </c>
      <c r="E207" s="180">
        <v>151997</v>
      </c>
      <c r="F207" s="3162">
        <v>18487</v>
      </c>
      <c r="G207" s="180">
        <v>56461</v>
      </c>
      <c r="H207" s="3162">
        <v>44852</v>
      </c>
      <c r="I207" s="180">
        <v>18301</v>
      </c>
      <c r="J207" s="3162">
        <v>9337</v>
      </c>
      <c r="K207" s="180">
        <v>74768</v>
      </c>
      <c r="L207" s="3162">
        <v>24157</v>
      </c>
      <c r="M207" s="180">
        <v>49240</v>
      </c>
      <c r="N207" s="2095">
        <v>52033</v>
      </c>
      <c r="O207" s="2096"/>
      <c r="P207" s="2097">
        <v>149040</v>
      </c>
      <c r="Q207" s="2097">
        <v>2712088</v>
      </c>
      <c r="R207" s="263">
        <f t="shared" si="12"/>
        <v>3629.0190552871713</v>
      </c>
      <c r="S207" s="203">
        <f t="shared" si="13"/>
        <v>199.42900082888164</v>
      </c>
      <c r="T207" s="895"/>
      <c r="U207" s="225">
        <v>10808037</v>
      </c>
      <c r="V207" s="896"/>
      <c r="W207" s="303"/>
      <c r="X207" s="2094"/>
      <c r="Y207" s="254">
        <v>-1.8</v>
      </c>
      <c r="Z207" s="1305"/>
      <c r="AA207" s="1796"/>
      <c r="AB207" s="1305"/>
      <c r="AC207" s="1305"/>
    </row>
    <row r="208" spans="1:29">
      <c r="A208" s="63">
        <f t="shared" si="15"/>
        <v>2013.07</v>
      </c>
      <c r="B208" s="169">
        <v>544497</v>
      </c>
      <c r="C208" s="886">
        <f t="shared" si="14"/>
        <v>345173</v>
      </c>
      <c r="D208" s="3162">
        <v>40374</v>
      </c>
      <c r="E208" s="180">
        <v>155895</v>
      </c>
      <c r="F208" s="3162">
        <v>19249</v>
      </c>
      <c r="G208" s="180">
        <v>57393</v>
      </c>
      <c r="H208" s="3162">
        <v>43994</v>
      </c>
      <c r="I208" s="180">
        <v>18829</v>
      </c>
      <c r="J208" s="3162">
        <v>9439</v>
      </c>
      <c r="K208" s="180">
        <v>74127</v>
      </c>
      <c r="L208" s="3162">
        <v>22705</v>
      </c>
      <c r="M208" s="180">
        <v>48439</v>
      </c>
      <c r="N208" s="2095">
        <v>54053</v>
      </c>
      <c r="O208" s="2096"/>
      <c r="P208" s="2097">
        <v>149040</v>
      </c>
      <c r="Q208" s="2097">
        <v>2750245</v>
      </c>
      <c r="R208" s="263">
        <f t="shared" si="12"/>
        <v>3653.3615136876006</v>
      </c>
      <c r="S208" s="203">
        <f t="shared" si="12"/>
        <v>197.98127075951416</v>
      </c>
      <c r="T208" s="895"/>
      <c r="U208" s="225">
        <v>10912374</v>
      </c>
      <c r="V208" s="896"/>
      <c r="W208" s="303"/>
      <c r="X208" s="2094"/>
      <c r="Y208" s="254">
        <v>2.2999999999999998</v>
      </c>
      <c r="Z208" s="1305"/>
      <c r="AA208" s="1796"/>
      <c r="AB208" s="1305"/>
      <c r="AC208" s="1305"/>
    </row>
    <row r="209" spans="1:29">
      <c r="A209" s="63">
        <f t="shared" si="15"/>
        <v>2013.08</v>
      </c>
      <c r="B209" s="169">
        <v>566561</v>
      </c>
      <c r="C209" s="886">
        <f t="shared" si="14"/>
        <v>358774</v>
      </c>
      <c r="D209" s="3162">
        <v>43699</v>
      </c>
      <c r="E209" s="180">
        <v>157911</v>
      </c>
      <c r="F209" s="3162">
        <v>19926</v>
      </c>
      <c r="G209" s="180">
        <v>60657</v>
      </c>
      <c r="H209" s="3162">
        <v>46214</v>
      </c>
      <c r="I209" s="180">
        <v>20415</v>
      </c>
      <c r="J209" s="3162">
        <v>9952</v>
      </c>
      <c r="K209" s="180">
        <v>77569</v>
      </c>
      <c r="L209" s="3162">
        <v>19825</v>
      </c>
      <c r="M209" s="180">
        <v>45719</v>
      </c>
      <c r="N209" s="2095">
        <v>64674</v>
      </c>
      <c r="O209" s="2096"/>
      <c r="P209" s="2097">
        <v>149040</v>
      </c>
      <c r="Q209" s="2097">
        <v>2762340</v>
      </c>
      <c r="R209" s="263">
        <f t="shared" si="12"/>
        <v>3801.4023081052064</v>
      </c>
      <c r="S209" s="203">
        <f t="shared" si="12"/>
        <v>205.10183395237371</v>
      </c>
      <c r="T209" s="895"/>
      <c r="U209" s="225">
        <v>11380649</v>
      </c>
      <c r="V209" s="896"/>
      <c r="W209" s="303"/>
      <c r="X209" s="2094"/>
      <c r="Y209" s="254">
        <v>-2</v>
      </c>
      <c r="Z209" s="1305"/>
      <c r="AA209" s="1796"/>
      <c r="AB209" s="1305"/>
      <c r="AC209" s="1305"/>
    </row>
    <row r="210" spans="1:29">
      <c r="A210" s="63">
        <f t="shared" si="15"/>
        <v>2013.09</v>
      </c>
      <c r="B210" s="169">
        <v>534775</v>
      </c>
      <c r="C210" s="886">
        <f t="shared" si="14"/>
        <v>345654</v>
      </c>
      <c r="D210" s="3162">
        <v>43289</v>
      </c>
      <c r="E210" s="180">
        <v>152401</v>
      </c>
      <c r="F210" s="3162">
        <v>18283</v>
      </c>
      <c r="G210" s="180">
        <v>58193</v>
      </c>
      <c r="H210" s="3162">
        <v>43318</v>
      </c>
      <c r="I210" s="180">
        <v>20770</v>
      </c>
      <c r="J210" s="3162">
        <v>9400</v>
      </c>
      <c r="K210" s="180">
        <v>75785</v>
      </c>
      <c r="L210" s="3162">
        <v>18265</v>
      </c>
      <c r="M210" s="180">
        <v>43647</v>
      </c>
      <c r="N210" s="2095">
        <v>51424</v>
      </c>
      <c r="O210" s="2096"/>
      <c r="P210" s="2097">
        <v>149040</v>
      </c>
      <c r="Q210" s="2097">
        <v>2586981</v>
      </c>
      <c r="R210" s="263">
        <f t="shared" si="12"/>
        <v>3588.1307031669348</v>
      </c>
      <c r="S210" s="203">
        <f t="shared" si="13"/>
        <v>206.71779189719601</v>
      </c>
      <c r="T210" s="895"/>
      <c r="U210" s="225">
        <v>10794230</v>
      </c>
      <c r="V210" s="896"/>
      <c r="W210" s="303"/>
      <c r="X210" s="2094"/>
      <c r="Y210" s="254">
        <v>-1.5</v>
      </c>
      <c r="Z210" s="1305"/>
      <c r="AA210" s="1796"/>
      <c r="AB210" s="1305"/>
      <c r="AC210" s="1305"/>
    </row>
    <row r="211" spans="1:29">
      <c r="A211" s="63">
        <f t="shared" si="15"/>
        <v>2013.1</v>
      </c>
      <c r="B211" s="169">
        <v>569157</v>
      </c>
      <c r="C211" s="886">
        <f t="shared" si="14"/>
        <v>365676</v>
      </c>
      <c r="D211" s="3162">
        <v>49669</v>
      </c>
      <c r="E211" s="180">
        <v>153248</v>
      </c>
      <c r="F211" s="3162">
        <v>22441</v>
      </c>
      <c r="G211" s="180">
        <v>60585</v>
      </c>
      <c r="H211" s="3162">
        <v>47613</v>
      </c>
      <c r="I211" s="180">
        <v>22628</v>
      </c>
      <c r="J211" s="3162">
        <v>9492</v>
      </c>
      <c r="K211" s="180">
        <v>79638</v>
      </c>
      <c r="L211" s="3162">
        <v>20009</v>
      </c>
      <c r="M211" s="180">
        <v>48186</v>
      </c>
      <c r="N211" s="2095">
        <v>55648</v>
      </c>
      <c r="O211" s="2096"/>
      <c r="P211" s="2097">
        <v>149040</v>
      </c>
      <c r="Q211" s="2097">
        <v>2702854</v>
      </c>
      <c r="R211" s="263">
        <f t="shared" si="12"/>
        <v>3818.8204508856684</v>
      </c>
      <c r="S211" s="203">
        <f t="shared" si="13"/>
        <v>210.57630193861749</v>
      </c>
      <c r="T211" s="895"/>
      <c r="U211" s="225">
        <v>11545468</v>
      </c>
      <c r="V211" s="896"/>
      <c r="W211" s="303"/>
      <c r="X211" s="2094"/>
      <c r="Y211" s="254">
        <v>2.7</v>
      </c>
      <c r="Z211" s="1305"/>
      <c r="AA211" s="1796"/>
      <c r="AB211" s="1305"/>
      <c r="AC211" s="1305"/>
    </row>
    <row r="212" spans="1:29">
      <c r="A212" s="63">
        <f t="shared" si="15"/>
        <v>2013.11</v>
      </c>
      <c r="B212" s="169">
        <v>600937</v>
      </c>
      <c r="C212" s="886">
        <f t="shared" si="14"/>
        <v>385246</v>
      </c>
      <c r="D212" s="3162">
        <v>56297</v>
      </c>
      <c r="E212" s="180">
        <v>160803</v>
      </c>
      <c r="F212" s="3162">
        <v>23374</v>
      </c>
      <c r="G212" s="180">
        <v>61604</v>
      </c>
      <c r="H212" s="3162">
        <v>49243</v>
      </c>
      <c r="I212" s="180">
        <v>23948</v>
      </c>
      <c r="J212" s="3162">
        <v>9977</v>
      </c>
      <c r="K212" s="180">
        <v>83585</v>
      </c>
      <c r="L212" s="3162">
        <v>19870</v>
      </c>
      <c r="M212" s="180">
        <v>45893</v>
      </c>
      <c r="N212" s="2095">
        <v>66343</v>
      </c>
      <c r="O212" s="2096"/>
      <c r="P212" s="2097">
        <v>149040</v>
      </c>
      <c r="Q212" s="2097">
        <v>2650579</v>
      </c>
      <c r="R212" s="263">
        <f>$B212/P212*1000</f>
        <v>4032.0517981749867</v>
      </c>
      <c r="S212" s="203">
        <f t="shared" si="13"/>
        <v>226.71914325134244</v>
      </c>
      <c r="T212" s="895"/>
      <c r="U212" s="225">
        <v>12312314</v>
      </c>
      <c r="V212" s="896"/>
      <c r="W212" s="303"/>
      <c r="X212" s="2094"/>
      <c r="Y212" s="254">
        <v>-2.2999999999999998</v>
      </c>
      <c r="Z212" s="1305"/>
      <c r="AA212" s="1796"/>
      <c r="AB212" s="1305"/>
      <c r="AC212" s="1305"/>
    </row>
    <row r="213" spans="1:29">
      <c r="A213" s="63">
        <f t="shared" si="15"/>
        <v>2013.12</v>
      </c>
      <c r="B213" s="169">
        <v>770975</v>
      </c>
      <c r="C213" s="886">
        <f t="shared" si="14"/>
        <v>476678</v>
      </c>
      <c r="D213" s="3162">
        <v>93501</v>
      </c>
      <c r="E213" s="180">
        <v>197714</v>
      </c>
      <c r="F213" s="3162">
        <v>27149</v>
      </c>
      <c r="G213" s="180">
        <v>63655</v>
      </c>
      <c r="H213" s="3162">
        <v>54808</v>
      </c>
      <c r="I213" s="180">
        <v>27925</v>
      </c>
      <c r="J213" s="3162">
        <v>11926</v>
      </c>
      <c r="K213" s="180">
        <v>89564</v>
      </c>
      <c r="L213" s="3162">
        <v>27408</v>
      </c>
      <c r="M213" s="180">
        <v>64635</v>
      </c>
      <c r="N213" s="2095">
        <v>112690</v>
      </c>
      <c r="O213" s="2098"/>
      <c r="P213" s="2097">
        <v>149040</v>
      </c>
      <c r="Q213" s="2097">
        <v>2924932</v>
      </c>
      <c r="R213" s="263">
        <f t="shared" si="12"/>
        <v>5172.9401502952232</v>
      </c>
      <c r="S213" s="203">
        <f t="shared" si="13"/>
        <v>263.58732442326863</v>
      </c>
      <c r="T213" s="895"/>
      <c r="U213" s="225">
        <v>15505006</v>
      </c>
      <c r="V213" s="896"/>
      <c r="W213" s="303"/>
      <c r="X213" s="2094"/>
      <c r="Y213" s="254">
        <v>1.6</v>
      </c>
      <c r="Z213" s="1305"/>
      <c r="AA213" s="1796"/>
      <c r="AB213" s="1305"/>
      <c r="AC213" s="1305"/>
    </row>
    <row r="214" spans="1:29">
      <c r="A214" s="63">
        <f t="shared" si="15"/>
        <v>2014.01</v>
      </c>
      <c r="B214" s="169">
        <v>639094</v>
      </c>
      <c r="C214" s="886">
        <f t="shared" si="14"/>
        <v>392149</v>
      </c>
      <c r="D214" s="3162">
        <v>58378</v>
      </c>
      <c r="E214" s="180">
        <v>161297</v>
      </c>
      <c r="F214" s="3162">
        <v>23250</v>
      </c>
      <c r="G214" s="180">
        <v>61649</v>
      </c>
      <c r="H214" s="3162">
        <v>50405</v>
      </c>
      <c r="I214" s="180">
        <v>26747</v>
      </c>
      <c r="J214" s="3162">
        <v>10423</v>
      </c>
      <c r="K214" s="180">
        <v>88725</v>
      </c>
      <c r="L214" s="3162">
        <v>21200</v>
      </c>
      <c r="M214" s="180">
        <v>55094</v>
      </c>
      <c r="N214" s="2095">
        <v>81926</v>
      </c>
      <c r="O214" s="2098"/>
      <c r="P214" s="2097">
        <v>149040</v>
      </c>
      <c r="Q214" s="2097">
        <v>2647164</v>
      </c>
      <c r="R214" s="263">
        <f t="shared" si="12"/>
        <v>4288.0703166935054</v>
      </c>
      <c r="S214" s="203">
        <f t="shared" si="13"/>
        <v>241.42591845461786</v>
      </c>
      <c r="T214" s="895"/>
      <c r="U214" s="225">
        <v>12815787</v>
      </c>
      <c r="V214" s="896"/>
      <c r="W214" s="303"/>
      <c r="X214" s="2094"/>
      <c r="Y214" s="254">
        <v>-3.8</v>
      </c>
      <c r="Z214" s="1305"/>
      <c r="AA214" s="1796"/>
      <c r="AB214" s="1305"/>
      <c r="AC214" s="1305"/>
    </row>
    <row r="215" spans="1:29">
      <c r="A215" s="63">
        <f t="shared" si="15"/>
        <v>2014.02</v>
      </c>
      <c r="B215" s="169">
        <v>590931</v>
      </c>
      <c r="C215" s="886">
        <f t="shared" si="14"/>
        <v>384470</v>
      </c>
      <c r="D215" s="3162">
        <v>48985</v>
      </c>
      <c r="E215" s="180">
        <v>161419</v>
      </c>
      <c r="F215" s="3162">
        <v>23523</v>
      </c>
      <c r="G215" s="180">
        <v>62565</v>
      </c>
      <c r="H215" s="3162">
        <v>51611</v>
      </c>
      <c r="I215" s="180">
        <v>26000</v>
      </c>
      <c r="J215" s="3162">
        <v>10367</v>
      </c>
      <c r="K215" s="180">
        <v>84795</v>
      </c>
      <c r="L215" s="3162">
        <v>20157</v>
      </c>
      <c r="M215" s="180">
        <v>28441</v>
      </c>
      <c r="N215" s="2095">
        <v>73068</v>
      </c>
      <c r="O215" s="2098"/>
      <c r="P215" s="2097">
        <v>149040</v>
      </c>
      <c r="Q215" s="2097">
        <v>2545521</v>
      </c>
      <c r="R215" s="263">
        <f t="shared" si="12"/>
        <v>3964.9154589371979</v>
      </c>
      <c r="S215" s="203">
        <f t="shared" si="13"/>
        <v>232.14540363249802</v>
      </c>
      <c r="T215" s="895"/>
      <c r="U215" s="225">
        <v>12164152</v>
      </c>
      <c r="V215" s="896"/>
      <c r="W215" s="303"/>
      <c r="X215" s="2094"/>
      <c r="Y215" s="255">
        <v>-6.5</v>
      </c>
      <c r="Z215" s="1305"/>
      <c r="AA215" s="1796"/>
      <c r="AB215" s="1305"/>
      <c r="AC215" s="1305"/>
    </row>
    <row r="216" spans="1:29">
      <c r="A216" s="63">
        <f t="shared" si="15"/>
        <v>2014.03</v>
      </c>
      <c r="B216" s="169">
        <v>682102</v>
      </c>
      <c r="C216" s="886">
        <f t="shared" si="14"/>
        <v>450997</v>
      </c>
      <c r="D216" s="3162">
        <v>53936</v>
      </c>
      <c r="E216" s="180">
        <v>192364</v>
      </c>
      <c r="F216" s="3162">
        <v>28108</v>
      </c>
      <c r="G216" s="180">
        <v>72788</v>
      </c>
      <c r="H216" s="3162">
        <v>62035</v>
      </c>
      <c r="I216" s="180">
        <v>30126</v>
      </c>
      <c r="J216" s="3162">
        <v>11640</v>
      </c>
      <c r="K216" s="180">
        <v>95671</v>
      </c>
      <c r="L216" s="3162">
        <v>23258</v>
      </c>
      <c r="M216" s="180">
        <v>37233</v>
      </c>
      <c r="N216" s="2095">
        <v>74943</v>
      </c>
      <c r="O216" s="2098"/>
      <c r="P216" s="2097">
        <v>149040</v>
      </c>
      <c r="Q216" s="2097">
        <v>2770505</v>
      </c>
      <c r="R216" s="263">
        <f t="shared" si="12"/>
        <v>4576.6371443907674</v>
      </c>
      <c r="S216" s="203">
        <f t="shared" si="13"/>
        <v>246.20132430730138</v>
      </c>
      <c r="T216" s="895"/>
      <c r="U216" s="225">
        <v>13962389</v>
      </c>
      <c r="V216" s="896"/>
      <c r="W216" s="303"/>
      <c r="X216" s="2094"/>
      <c r="Y216" s="254">
        <v>-7.2</v>
      </c>
      <c r="Z216" s="1305"/>
      <c r="AA216" s="1796"/>
      <c r="AB216" s="1305"/>
      <c r="AC216" s="1305"/>
    </row>
    <row r="217" spans="1:29">
      <c r="A217" s="63">
        <f t="shared" si="15"/>
        <v>2014.04</v>
      </c>
      <c r="B217" s="169">
        <v>680123</v>
      </c>
      <c r="C217" s="886">
        <f t="shared" si="14"/>
        <v>454819</v>
      </c>
      <c r="D217" s="3162">
        <v>53138</v>
      </c>
      <c r="E217" s="180">
        <v>200765</v>
      </c>
      <c r="F217" s="3162">
        <v>30993</v>
      </c>
      <c r="G217" s="180">
        <v>71552</v>
      </c>
      <c r="H217" s="3162">
        <v>58988</v>
      </c>
      <c r="I217" s="180">
        <v>27909</v>
      </c>
      <c r="J217" s="3162">
        <v>11474</v>
      </c>
      <c r="K217" s="180">
        <v>93270</v>
      </c>
      <c r="L217" s="3162">
        <v>23022</v>
      </c>
      <c r="M217" s="180">
        <v>41105</v>
      </c>
      <c r="N217" s="2095">
        <v>67907</v>
      </c>
      <c r="O217" s="2098"/>
      <c r="P217" s="2097">
        <v>149040</v>
      </c>
      <c r="Q217" s="2097">
        <v>2669513</v>
      </c>
      <c r="R217" s="263">
        <f t="shared" si="12"/>
        <v>4563.3588298443374</v>
      </c>
      <c r="S217" s="203">
        <f t="shared" si="13"/>
        <v>254.77418540385455</v>
      </c>
      <c r="T217" s="895"/>
      <c r="U217" s="225">
        <v>13697743</v>
      </c>
      <c r="V217" s="896"/>
      <c r="W217" s="303"/>
      <c r="X217" s="2094"/>
      <c r="Y217" s="254">
        <v>-7.5</v>
      </c>
      <c r="Z217" s="1305"/>
      <c r="AA217" s="1796"/>
      <c r="AB217" s="1305"/>
      <c r="AC217" s="1305"/>
    </row>
    <row r="218" spans="1:29">
      <c r="A218" s="63">
        <f t="shared" si="15"/>
        <v>2014.05</v>
      </c>
      <c r="B218" s="169">
        <v>723185</v>
      </c>
      <c r="C218" s="886">
        <f>SUM(D218:J218)</f>
        <v>453238</v>
      </c>
      <c r="D218" s="3162">
        <v>50975</v>
      </c>
      <c r="E218" s="180">
        <v>201155</v>
      </c>
      <c r="F218" s="3162">
        <v>29035</v>
      </c>
      <c r="G218" s="180">
        <v>75111</v>
      </c>
      <c r="H218" s="3162">
        <v>58343</v>
      </c>
      <c r="I218" s="180">
        <v>26960</v>
      </c>
      <c r="J218" s="3162">
        <v>11659</v>
      </c>
      <c r="K218" s="180">
        <v>97794</v>
      </c>
      <c r="L218" s="3162">
        <v>26568</v>
      </c>
      <c r="M218" s="180">
        <v>69091</v>
      </c>
      <c r="N218" s="2095">
        <v>76494</v>
      </c>
      <c r="O218" s="2098"/>
      <c r="P218" s="2097">
        <v>149040</v>
      </c>
      <c r="Q218" s="2097">
        <v>2646964</v>
      </c>
      <c r="R218" s="263">
        <f t="shared" si="12"/>
        <v>4852.2879763821793</v>
      </c>
      <c r="S218" s="203">
        <f t="shared" si="13"/>
        <v>273.21300931935605</v>
      </c>
      <c r="T218" s="895"/>
      <c r="U218" s="225">
        <v>14480412</v>
      </c>
      <c r="V218" s="896"/>
      <c r="W218" s="303"/>
      <c r="X218" s="2094"/>
      <c r="Y218" s="254">
        <v>-8.3000000000000007</v>
      </c>
      <c r="Z218" s="1305"/>
      <c r="AA218" s="1796"/>
      <c r="AB218" s="1305"/>
      <c r="AC218" s="1305"/>
    </row>
    <row r="219" spans="1:29">
      <c r="A219" s="63">
        <f t="shared" si="15"/>
        <v>2014.06</v>
      </c>
      <c r="B219" s="169">
        <v>725436</v>
      </c>
      <c r="C219" s="886">
        <f t="shared" si="14"/>
        <v>453669</v>
      </c>
      <c r="D219" s="3162">
        <v>50770</v>
      </c>
      <c r="E219" s="180">
        <v>202016</v>
      </c>
      <c r="F219" s="3162">
        <v>29743</v>
      </c>
      <c r="G219" s="180">
        <v>76335</v>
      </c>
      <c r="H219" s="3162">
        <v>58957</v>
      </c>
      <c r="I219" s="180">
        <v>25737</v>
      </c>
      <c r="J219" s="3162">
        <v>10111</v>
      </c>
      <c r="K219" s="180">
        <v>97482</v>
      </c>
      <c r="L219" s="3162">
        <v>28563</v>
      </c>
      <c r="M219" s="180">
        <v>66938</v>
      </c>
      <c r="N219" s="2095">
        <v>78784</v>
      </c>
      <c r="O219" s="2098"/>
      <c r="P219" s="2099">
        <v>149040</v>
      </c>
      <c r="Q219" s="2099">
        <v>2640969</v>
      </c>
      <c r="R219" s="263">
        <f t="shared" si="12"/>
        <v>4867.3913043478269</v>
      </c>
      <c r="S219" s="203">
        <f t="shared" si="13"/>
        <v>274.68554155690583</v>
      </c>
      <c r="T219" s="895"/>
      <c r="U219" s="225">
        <v>14623958</v>
      </c>
      <c r="V219" s="896"/>
      <c r="W219" s="303"/>
      <c r="X219" s="2094"/>
      <c r="Y219" s="254">
        <v>-8.8000000000000007</v>
      </c>
      <c r="Z219" s="1305"/>
      <c r="AA219" s="1796"/>
      <c r="AB219" s="1305"/>
      <c r="AC219" s="1305"/>
    </row>
    <row r="220" spans="1:29">
      <c r="A220" s="63">
        <f t="shared" si="15"/>
        <v>2014.07</v>
      </c>
      <c r="B220" s="169">
        <v>735503</v>
      </c>
      <c r="C220" s="886">
        <f>SUM(D220:J220)</f>
        <v>477326</v>
      </c>
      <c r="D220" s="3162">
        <v>53221</v>
      </c>
      <c r="E220" s="180">
        <v>213315</v>
      </c>
      <c r="F220" s="3162">
        <v>31089</v>
      </c>
      <c r="G220" s="180">
        <v>79479</v>
      </c>
      <c r="H220" s="3162">
        <v>60744</v>
      </c>
      <c r="I220" s="180">
        <v>26987</v>
      </c>
      <c r="J220" s="3162">
        <v>12491</v>
      </c>
      <c r="K220" s="180">
        <v>101220</v>
      </c>
      <c r="L220" s="3187">
        <v>28030</v>
      </c>
      <c r="M220" s="180">
        <v>43246</v>
      </c>
      <c r="N220" s="2095">
        <v>85681</v>
      </c>
      <c r="O220" s="2098"/>
      <c r="P220" s="2097">
        <v>149040</v>
      </c>
      <c r="Q220" s="2099">
        <v>2697228</v>
      </c>
      <c r="R220" s="263">
        <f t="shared" si="12"/>
        <v>4934.9369296833065</v>
      </c>
      <c r="S220" s="203">
        <f>$B220/Q220*1000</f>
        <v>272.68847868997352</v>
      </c>
      <c r="T220" s="895"/>
      <c r="U220" s="225">
        <v>14756402</v>
      </c>
      <c r="V220" s="896"/>
      <c r="W220" s="303"/>
      <c r="X220" s="2094"/>
      <c r="Y220" s="254">
        <v>-9.6</v>
      </c>
      <c r="Z220" s="1305"/>
      <c r="AA220" s="1796"/>
      <c r="AB220" s="1305"/>
      <c r="AC220" s="1305"/>
    </row>
    <row r="221" spans="1:29">
      <c r="A221" s="63">
        <f t="shared" si="15"/>
        <v>2014.08</v>
      </c>
      <c r="B221" s="169">
        <v>772712</v>
      </c>
      <c r="C221" s="886">
        <f>SUM(D221:J221)</f>
        <v>491139</v>
      </c>
      <c r="D221" s="3162">
        <v>57608</v>
      </c>
      <c r="E221" s="180">
        <v>213650</v>
      </c>
      <c r="F221" s="3162">
        <v>31653</v>
      </c>
      <c r="G221" s="180">
        <v>83479</v>
      </c>
      <c r="H221" s="3162">
        <v>63865</v>
      </c>
      <c r="I221" s="180">
        <v>27932</v>
      </c>
      <c r="J221" s="3162">
        <v>12952</v>
      </c>
      <c r="K221" s="180">
        <v>108533</v>
      </c>
      <c r="L221" s="3162">
        <v>25464</v>
      </c>
      <c r="M221" s="180">
        <v>45930</v>
      </c>
      <c r="N221" s="2095">
        <v>101646</v>
      </c>
      <c r="O221" s="2098"/>
      <c r="P221" s="2097">
        <v>149040</v>
      </c>
      <c r="Q221" s="2097">
        <v>2743063</v>
      </c>
      <c r="R221" s="263">
        <f t="shared" si="12"/>
        <v>5184.5947396672036</v>
      </c>
      <c r="S221" s="203">
        <f t="shared" si="13"/>
        <v>281.69677473685442</v>
      </c>
      <c r="T221" s="895"/>
      <c r="U221" s="225">
        <v>15666564</v>
      </c>
      <c r="V221" s="896"/>
      <c r="W221" s="303"/>
      <c r="X221" s="2094"/>
      <c r="Y221" s="254">
        <v>-9.3000000000000007</v>
      </c>
      <c r="Z221" s="1305"/>
      <c r="AA221" s="1796"/>
      <c r="AB221" s="1305"/>
      <c r="AC221" s="1305"/>
    </row>
    <row r="222" spans="1:29">
      <c r="A222" s="63">
        <f t="shared" si="15"/>
        <v>2014.09</v>
      </c>
      <c r="B222" s="169">
        <v>712170</v>
      </c>
      <c r="C222" s="886">
        <f t="shared" si="14"/>
        <v>466120</v>
      </c>
      <c r="D222" s="3162">
        <v>53580</v>
      </c>
      <c r="E222" s="180">
        <v>204227</v>
      </c>
      <c r="F222" s="3162">
        <v>29462</v>
      </c>
      <c r="G222" s="180">
        <v>80820</v>
      </c>
      <c r="H222" s="3162">
        <v>59364</v>
      </c>
      <c r="I222" s="180">
        <v>26357</v>
      </c>
      <c r="J222" s="3162">
        <v>12310</v>
      </c>
      <c r="K222" s="180">
        <v>100130</v>
      </c>
      <c r="L222" s="3162">
        <v>21233</v>
      </c>
      <c r="M222" s="180">
        <v>43246</v>
      </c>
      <c r="N222" s="2095">
        <v>81441</v>
      </c>
      <c r="O222" s="2098"/>
      <c r="P222" s="2097">
        <v>149040</v>
      </c>
      <c r="Q222" s="2097">
        <v>2519276</v>
      </c>
      <c r="R222" s="263">
        <f t="shared" si="12"/>
        <v>4778.3816425120767</v>
      </c>
      <c r="S222" s="203">
        <f t="shared" si="13"/>
        <v>282.68835967158816</v>
      </c>
      <c r="T222" s="895"/>
      <c r="U222" s="225">
        <v>14585287</v>
      </c>
      <c r="V222" s="896"/>
      <c r="W222" s="303"/>
      <c r="X222" s="2094"/>
      <c r="Y222" s="254">
        <v>-8.1999999999999993</v>
      </c>
      <c r="Z222" s="1305"/>
      <c r="AA222" s="1796"/>
      <c r="AB222" s="1305"/>
      <c r="AC222" s="1305"/>
    </row>
    <row r="223" spans="1:29">
      <c r="A223" s="63">
        <f t="shared" si="15"/>
        <v>2014.1</v>
      </c>
      <c r="B223" s="169">
        <v>808522</v>
      </c>
      <c r="C223" s="886">
        <f t="shared" si="14"/>
        <v>509893</v>
      </c>
      <c r="D223" s="3162">
        <v>63781</v>
      </c>
      <c r="E223" s="180">
        <v>222451</v>
      </c>
      <c r="F223" s="3162">
        <v>31692</v>
      </c>
      <c r="G223" s="180">
        <v>84431</v>
      </c>
      <c r="H223" s="3162">
        <v>65563</v>
      </c>
      <c r="I223" s="180">
        <v>28766</v>
      </c>
      <c r="J223" s="3162">
        <v>13209</v>
      </c>
      <c r="K223" s="180">
        <v>110008</v>
      </c>
      <c r="L223" s="3162">
        <v>26096</v>
      </c>
      <c r="M223" s="180">
        <v>64628</v>
      </c>
      <c r="N223" s="2095">
        <v>97897</v>
      </c>
      <c r="O223" s="2098"/>
      <c r="P223" s="2097">
        <v>149040</v>
      </c>
      <c r="Q223" s="2097">
        <v>2658610</v>
      </c>
      <c r="R223" s="263">
        <f t="shared" si="12"/>
        <v>5424.8658078368217</v>
      </c>
      <c r="S223" s="203">
        <f t="shared" si="13"/>
        <v>304.11455610262504</v>
      </c>
      <c r="T223" s="895"/>
      <c r="U223" s="225">
        <v>16343929</v>
      </c>
      <c r="V223" s="896"/>
      <c r="W223" s="303"/>
      <c r="X223" s="2094"/>
      <c r="Y223" s="254">
        <v>-5.3</v>
      </c>
      <c r="Z223" s="1305"/>
      <c r="AA223" s="1796"/>
      <c r="AB223" s="1305"/>
      <c r="AC223" s="1305"/>
    </row>
    <row r="224" spans="1:29">
      <c r="A224" s="63">
        <f t="shared" si="15"/>
        <v>2014.11</v>
      </c>
      <c r="B224" s="169">
        <v>848793</v>
      </c>
      <c r="C224" s="886">
        <f t="shared" si="14"/>
        <v>511498</v>
      </c>
      <c r="D224" s="3162">
        <v>71119</v>
      </c>
      <c r="E224" s="180">
        <v>215639</v>
      </c>
      <c r="F224" s="3162">
        <v>32497</v>
      </c>
      <c r="G224" s="180">
        <v>84593</v>
      </c>
      <c r="H224" s="3162">
        <v>66945</v>
      </c>
      <c r="I224" s="180">
        <v>27375</v>
      </c>
      <c r="J224" s="3162">
        <v>13330</v>
      </c>
      <c r="K224" s="180">
        <v>114321</v>
      </c>
      <c r="L224" s="3162">
        <v>28765</v>
      </c>
      <c r="M224" s="180">
        <v>77250</v>
      </c>
      <c r="N224" s="2095">
        <v>116969</v>
      </c>
      <c r="O224" s="2098"/>
      <c r="P224" s="2097">
        <v>148880</v>
      </c>
      <c r="Q224" s="2097">
        <v>2619913</v>
      </c>
      <c r="R224" s="263">
        <f>$B224/P224*1000</f>
        <v>5701.1888769478774</v>
      </c>
      <c r="S224" s="203">
        <f>$B224/Q224*1000</f>
        <v>323.97755192634258</v>
      </c>
      <c r="T224" s="895"/>
      <c r="U224" s="225">
        <v>17289652</v>
      </c>
      <c r="V224" s="896"/>
      <c r="W224" s="303"/>
      <c r="X224" s="2094"/>
      <c r="Y224" s="254">
        <v>-4.9000000000000004</v>
      </c>
      <c r="Z224" s="1305"/>
      <c r="AA224" s="1796"/>
      <c r="AB224" s="1305"/>
      <c r="AC224" s="1305"/>
    </row>
    <row r="225" spans="1:32">
      <c r="A225" s="63">
        <f t="shared" si="15"/>
        <v>2014.12</v>
      </c>
      <c r="B225" s="169">
        <v>1011892</v>
      </c>
      <c r="C225" s="886">
        <f t="shared" si="14"/>
        <v>623818</v>
      </c>
      <c r="D225" s="3162">
        <v>109532</v>
      </c>
      <c r="E225" s="180">
        <v>261726</v>
      </c>
      <c r="F225" s="3162">
        <v>36917</v>
      </c>
      <c r="G225" s="180">
        <v>86065</v>
      </c>
      <c r="H225" s="3162">
        <v>76632</v>
      </c>
      <c r="I225" s="180">
        <v>36728</v>
      </c>
      <c r="J225" s="3162">
        <v>16218</v>
      </c>
      <c r="K225" s="180">
        <v>118615</v>
      </c>
      <c r="L225" s="3162">
        <v>39478</v>
      </c>
      <c r="M225" s="180">
        <v>68104</v>
      </c>
      <c r="N225" s="2095">
        <v>161877</v>
      </c>
      <c r="O225" s="2098"/>
      <c r="P225" s="2097">
        <v>148880</v>
      </c>
      <c r="Q225" s="2097">
        <v>2849415</v>
      </c>
      <c r="R225" s="263">
        <f t="shared" si="12"/>
        <v>6796.695325094036</v>
      </c>
      <c r="S225" s="203">
        <f t="shared" si="13"/>
        <v>355.12271817197563</v>
      </c>
      <c r="T225" s="895"/>
      <c r="U225" s="225">
        <v>20450742</v>
      </c>
      <c r="V225" s="896"/>
      <c r="W225" s="303"/>
      <c r="X225" s="2094"/>
      <c r="Y225" s="254">
        <v>2</v>
      </c>
      <c r="Z225" s="1305"/>
      <c r="AA225" s="1796"/>
      <c r="AB225" s="1305"/>
      <c r="AC225" s="1305"/>
      <c r="AD225" s="1796"/>
      <c r="AE225" s="1796"/>
      <c r="AF225" s="1796"/>
    </row>
    <row r="226" spans="1:32">
      <c r="A226" s="63">
        <f t="shared" si="15"/>
        <v>2015.01</v>
      </c>
      <c r="B226" s="169">
        <v>825367</v>
      </c>
      <c r="C226" s="886">
        <f t="shared" si="14"/>
        <v>504496</v>
      </c>
      <c r="D226" s="3162">
        <v>69065</v>
      </c>
      <c r="E226" s="180">
        <v>208282</v>
      </c>
      <c r="F226" s="3162">
        <v>30345</v>
      </c>
      <c r="G226" s="180">
        <v>80884</v>
      </c>
      <c r="H226" s="3162">
        <v>67336</v>
      </c>
      <c r="I226" s="180">
        <v>34316</v>
      </c>
      <c r="J226" s="3162">
        <v>14268</v>
      </c>
      <c r="K226" s="180">
        <v>118113</v>
      </c>
      <c r="L226" s="3162">
        <v>28078</v>
      </c>
      <c r="M226" s="180">
        <v>54700</v>
      </c>
      <c r="N226" s="2095">
        <v>119980</v>
      </c>
      <c r="O226" s="2098"/>
      <c r="P226" s="2097">
        <v>148880</v>
      </c>
      <c r="Q226" s="2097">
        <v>2518660</v>
      </c>
      <c r="R226" s="263">
        <f t="shared" si="12"/>
        <v>5543.8406770553465</v>
      </c>
      <c r="S226" s="203">
        <f t="shared" si="13"/>
        <v>327.7008409233481</v>
      </c>
      <c r="T226" s="895"/>
      <c r="U226" s="225">
        <v>17000600</v>
      </c>
      <c r="V226" s="896"/>
      <c r="W226" s="303"/>
      <c r="X226" s="2094"/>
      <c r="Y226" s="254">
        <v>1.5</v>
      </c>
      <c r="Z226" s="1305"/>
      <c r="AA226" s="1796"/>
      <c r="AB226" s="1305"/>
      <c r="AC226" s="1305"/>
      <c r="AD226" s="1796"/>
      <c r="AE226" s="1796"/>
      <c r="AF226" s="1796"/>
    </row>
    <row r="227" spans="1:32">
      <c r="A227" s="63">
        <f t="shared" si="15"/>
        <v>2015.02</v>
      </c>
      <c r="B227" s="169">
        <v>782194</v>
      </c>
      <c r="C227" s="886">
        <f t="shared" si="14"/>
        <v>489612</v>
      </c>
      <c r="D227" s="3162">
        <v>65025</v>
      </c>
      <c r="E227" s="180">
        <v>202362</v>
      </c>
      <c r="F227" s="3162">
        <v>29612</v>
      </c>
      <c r="G227" s="180">
        <v>79843</v>
      </c>
      <c r="H227" s="3162">
        <v>65934</v>
      </c>
      <c r="I227" s="180">
        <v>33073</v>
      </c>
      <c r="J227" s="3162">
        <v>13763</v>
      </c>
      <c r="K227" s="180">
        <v>108783</v>
      </c>
      <c r="L227" s="3162">
        <v>25077</v>
      </c>
      <c r="M227" s="180">
        <v>45391</v>
      </c>
      <c r="N227" s="2095">
        <v>113331</v>
      </c>
      <c r="O227" s="2098"/>
      <c r="P227" s="2097">
        <v>148880</v>
      </c>
      <c r="Q227" s="2097">
        <v>2373148</v>
      </c>
      <c r="R227" s="263">
        <f t="shared" si="12"/>
        <v>5253.8554540569585</v>
      </c>
      <c r="S227" s="203">
        <f t="shared" si="13"/>
        <v>329.60186216788838</v>
      </c>
      <c r="T227" s="895"/>
      <c r="U227" s="225">
        <v>16238500</v>
      </c>
      <c r="V227" s="896"/>
      <c r="W227" s="303"/>
      <c r="X227" s="2094"/>
      <c r="Y227" s="254">
        <v>2.8</v>
      </c>
      <c r="Z227" s="1305"/>
      <c r="AA227" s="1796"/>
      <c r="AB227" s="1305"/>
      <c r="AC227" s="1305"/>
      <c r="AD227" s="1796"/>
      <c r="AE227" s="1796"/>
      <c r="AF227" s="1796"/>
    </row>
    <row r="228" spans="1:32">
      <c r="A228" s="63">
        <f t="shared" si="15"/>
        <v>2015.03</v>
      </c>
      <c r="B228" s="169">
        <v>832475</v>
      </c>
      <c r="C228" s="886">
        <f t="shared" si="14"/>
        <v>537090</v>
      </c>
      <c r="D228" s="3162">
        <v>66655</v>
      </c>
      <c r="E228" s="180">
        <v>225521</v>
      </c>
      <c r="F228" s="3162">
        <v>33990</v>
      </c>
      <c r="G228" s="180">
        <v>88365</v>
      </c>
      <c r="H228" s="3162">
        <v>72457</v>
      </c>
      <c r="I228" s="180">
        <v>34892</v>
      </c>
      <c r="J228" s="3162">
        <v>15210</v>
      </c>
      <c r="K228" s="180">
        <v>117260</v>
      </c>
      <c r="L228" s="3162">
        <v>27127</v>
      </c>
      <c r="M228" s="180">
        <v>46857</v>
      </c>
      <c r="N228" s="2095">
        <v>104141</v>
      </c>
      <c r="O228" s="2098"/>
      <c r="P228" s="2097">
        <v>148880</v>
      </c>
      <c r="Q228" s="2097">
        <v>2516726</v>
      </c>
      <c r="R228" s="263">
        <f t="shared" si="12"/>
        <v>5591.5838259000539</v>
      </c>
      <c r="S228" s="203">
        <f t="shared" si="13"/>
        <v>330.77696976150759</v>
      </c>
      <c r="T228" s="895"/>
      <c r="U228" s="225">
        <v>17560900</v>
      </c>
      <c r="V228" s="896"/>
      <c r="W228" s="303"/>
      <c r="X228" s="2094"/>
      <c r="Y228" s="254">
        <v>2.2000000000000002</v>
      </c>
      <c r="Z228" s="1305"/>
      <c r="AA228" s="1796"/>
      <c r="AB228" s="1305"/>
      <c r="AC228" s="1305"/>
      <c r="AD228" s="1796"/>
      <c r="AE228" s="1796"/>
      <c r="AF228" s="1796"/>
    </row>
    <row r="229" spans="1:32">
      <c r="A229" s="63">
        <f t="shared" si="15"/>
        <v>2015.04</v>
      </c>
      <c r="B229" s="169">
        <v>828681</v>
      </c>
      <c r="C229" s="886">
        <f t="shared" si="14"/>
        <v>543454</v>
      </c>
      <c r="D229" s="3162">
        <v>65080</v>
      </c>
      <c r="E229" s="180">
        <v>231964</v>
      </c>
      <c r="F229" s="3162">
        <v>34886</v>
      </c>
      <c r="G229" s="180">
        <v>89046</v>
      </c>
      <c r="H229" s="3162">
        <v>73120</v>
      </c>
      <c r="I229" s="180">
        <v>34403</v>
      </c>
      <c r="J229" s="3162">
        <v>14955</v>
      </c>
      <c r="K229" s="180">
        <v>116176</v>
      </c>
      <c r="L229" s="3162">
        <v>26329</v>
      </c>
      <c r="M229" s="180">
        <v>45858</v>
      </c>
      <c r="N229" s="2095">
        <v>96864</v>
      </c>
      <c r="O229" s="2098"/>
      <c r="P229" s="2097">
        <v>148880</v>
      </c>
      <c r="Q229" s="2097">
        <v>2452929</v>
      </c>
      <c r="R229" s="263">
        <f t="shared" si="12"/>
        <v>5566.1002149382057</v>
      </c>
      <c r="S229" s="203">
        <f t="shared" si="13"/>
        <v>337.83325974783617</v>
      </c>
      <c r="T229" s="895"/>
      <c r="U229" s="225">
        <v>17334500</v>
      </c>
      <c r="V229" s="896"/>
      <c r="W229" s="303"/>
      <c r="X229" s="2094"/>
      <c r="Y229" s="254">
        <v>1.6</v>
      </c>
      <c r="Z229" s="1305"/>
      <c r="AA229" s="1796"/>
      <c r="AB229" s="1305"/>
      <c r="AC229" s="1305"/>
      <c r="AD229" s="1796"/>
      <c r="AE229" s="1796"/>
      <c r="AF229" s="1796"/>
    </row>
    <row r="230" spans="1:32">
      <c r="A230" s="63">
        <f t="shared" si="15"/>
        <v>2015.05</v>
      </c>
      <c r="B230" s="169">
        <v>878264</v>
      </c>
      <c r="C230" s="886">
        <f t="shared" si="14"/>
        <v>544689</v>
      </c>
      <c r="D230" s="3162">
        <v>61551</v>
      </c>
      <c r="E230" s="180">
        <v>236776</v>
      </c>
      <c r="F230" s="3162">
        <v>34774</v>
      </c>
      <c r="G230" s="180">
        <v>90829</v>
      </c>
      <c r="H230" s="3162">
        <v>72871</v>
      </c>
      <c r="I230" s="180">
        <v>32866</v>
      </c>
      <c r="J230" s="3162">
        <v>15022</v>
      </c>
      <c r="K230" s="180">
        <v>124552</v>
      </c>
      <c r="L230" s="3162">
        <v>37406</v>
      </c>
      <c r="M230" s="180">
        <v>60174</v>
      </c>
      <c r="N230" s="2095">
        <v>111443</v>
      </c>
      <c r="O230" s="2098"/>
      <c r="P230" s="2097">
        <v>148880</v>
      </c>
      <c r="Q230" s="2097">
        <v>2440538</v>
      </c>
      <c r="R230" s="263">
        <f t="shared" si="12"/>
        <v>5899.1402471789361</v>
      </c>
      <c r="S230" s="203">
        <f t="shared" si="13"/>
        <v>359.86491503103002</v>
      </c>
      <c r="T230" s="895"/>
      <c r="U230" s="225">
        <v>18256100</v>
      </c>
      <c r="V230" s="896"/>
      <c r="W230" s="303"/>
      <c r="X230" s="2094"/>
      <c r="Y230" s="254">
        <v>1.7</v>
      </c>
      <c r="Z230" s="1305"/>
      <c r="AA230" s="1796"/>
      <c r="AB230" s="1305"/>
      <c r="AC230" s="1305"/>
      <c r="AD230" s="1796"/>
      <c r="AE230" s="1796"/>
      <c r="AF230" s="1796"/>
    </row>
    <row r="231" spans="1:32">
      <c r="A231" s="63">
        <f t="shared" si="15"/>
        <v>2015.06</v>
      </c>
      <c r="B231" s="169">
        <v>896600</v>
      </c>
      <c r="C231" s="886">
        <f t="shared" si="14"/>
        <v>538438</v>
      </c>
      <c r="D231" s="3162">
        <v>59285</v>
      </c>
      <c r="E231" s="180">
        <v>239414</v>
      </c>
      <c r="F231" s="3162">
        <v>34282</v>
      </c>
      <c r="G231" s="180">
        <v>90084</v>
      </c>
      <c r="H231" s="3162">
        <v>69577</v>
      </c>
      <c r="I231" s="180">
        <v>31624</v>
      </c>
      <c r="J231" s="3162">
        <v>14172</v>
      </c>
      <c r="K231" s="180">
        <v>116956</v>
      </c>
      <c r="L231" s="3162">
        <v>37622</v>
      </c>
      <c r="M231" s="180">
        <v>61591</v>
      </c>
      <c r="N231" s="2095">
        <v>141993</v>
      </c>
      <c r="O231" s="2098"/>
      <c r="P231" s="2097">
        <v>148880</v>
      </c>
      <c r="Q231" s="2097">
        <v>2490041</v>
      </c>
      <c r="R231" s="263">
        <f t="shared" si="12"/>
        <v>6022.2998387963462</v>
      </c>
      <c r="S231" s="203">
        <f t="shared" si="13"/>
        <v>360.07439234936294</v>
      </c>
      <c r="T231" s="895"/>
      <c r="U231" s="225">
        <v>18136700</v>
      </c>
      <c r="V231" s="896"/>
      <c r="W231" s="303"/>
      <c r="X231" s="2094"/>
      <c r="Y231" s="254">
        <v>1.8</v>
      </c>
      <c r="Z231" s="1305"/>
      <c r="AA231" s="1796"/>
      <c r="AB231" s="1305"/>
      <c r="AC231" s="1305"/>
      <c r="AD231" s="1796"/>
      <c r="AE231" s="1796"/>
      <c r="AF231" s="1796"/>
    </row>
    <row r="232" spans="1:32">
      <c r="A232" s="63">
        <f t="shared" si="15"/>
        <v>2015.07</v>
      </c>
      <c r="B232" s="169">
        <v>947499</v>
      </c>
      <c r="C232" s="886">
        <f t="shared" si="14"/>
        <v>571826</v>
      </c>
      <c r="D232" s="3162">
        <v>64006</v>
      </c>
      <c r="E232" s="180">
        <v>256439</v>
      </c>
      <c r="F232" s="3162">
        <v>36865</v>
      </c>
      <c r="G232" s="180">
        <v>93720</v>
      </c>
      <c r="H232" s="3162">
        <v>72877</v>
      </c>
      <c r="I232" s="180">
        <v>33449</v>
      </c>
      <c r="J232" s="3162">
        <v>14470</v>
      </c>
      <c r="K232" s="180">
        <v>123229</v>
      </c>
      <c r="L232" s="3162">
        <v>42283</v>
      </c>
      <c r="M232" s="180">
        <v>53392</v>
      </c>
      <c r="N232" s="2095">
        <v>156769</v>
      </c>
      <c r="O232" s="2098"/>
      <c r="P232" s="2097">
        <v>148880</v>
      </c>
      <c r="Q232" s="2097">
        <v>2552357</v>
      </c>
      <c r="R232" s="263">
        <f t="shared" si="12"/>
        <v>6364.1792047286399</v>
      </c>
      <c r="S232" s="203">
        <f t="shared" si="13"/>
        <v>371.22510683262567</v>
      </c>
      <c r="T232" s="895"/>
      <c r="U232" s="225">
        <v>19332500</v>
      </c>
      <c r="V232" s="896"/>
      <c r="W232" s="303"/>
      <c r="X232" s="2094"/>
      <c r="Y232" s="254">
        <v>1.7</v>
      </c>
      <c r="Z232" s="1305"/>
      <c r="AA232" s="1796"/>
      <c r="AB232" s="1305"/>
      <c r="AC232" s="1305"/>
      <c r="AD232" s="1796"/>
      <c r="AE232" s="1796"/>
      <c r="AF232" s="1796"/>
    </row>
    <row r="233" spans="1:32">
      <c r="A233" s="63">
        <f t="shared" si="15"/>
        <v>2015.08</v>
      </c>
      <c r="B233" s="169">
        <v>964311</v>
      </c>
      <c r="C233" s="886">
        <f t="shared" si="14"/>
        <v>585220</v>
      </c>
      <c r="D233" s="3162">
        <v>66206</v>
      </c>
      <c r="E233" s="180">
        <v>255690</v>
      </c>
      <c r="F233" s="3162">
        <v>37841</v>
      </c>
      <c r="G233" s="180">
        <v>97357</v>
      </c>
      <c r="H233" s="3162">
        <v>77534</v>
      </c>
      <c r="I233" s="180">
        <v>35859</v>
      </c>
      <c r="J233" s="3162">
        <v>14733</v>
      </c>
      <c r="K233" s="180">
        <v>131896</v>
      </c>
      <c r="L233" s="3162">
        <v>36254</v>
      </c>
      <c r="M233" s="180">
        <v>62046</v>
      </c>
      <c r="N233" s="2095">
        <v>148895</v>
      </c>
      <c r="O233" s="2098"/>
      <c r="P233" s="2097">
        <v>148880</v>
      </c>
      <c r="Q233" s="2097">
        <v>2522524</v>
      </c>
      <c r="R233" s="263">
        <f t="shared" ref="R233:S248" si="16">$B233/P233*1000</f>
        <v>6477.1023643202579</v>
      </c>
      <c r="S233" s="203">
        <f t="shared" si="16"/>
        <v>382.28020823587804</v>
      </c>
      <c r="T233" s="895"/>
      <c r="U233" s="225">
        <v>19999200</v>
      </c>
      <c r="V233" s="896"/>
      <c r="W233" s="303"/>
      <c r="X233" s="2094"/>
      <c r="Y233" s="254">
        <v>2.4</v>
      </c>
      <c r="Z233" s="1305"/>
      <c r="AA233" s="1796"/>
      <c r="AB233" s="1305"/>
      <c r="AC233" s="1305"/>
      <c r="AD233" s="1796"/>
      <c r="AE233" s="1796"/>
      <c r="AF233" s="1796"/>
    </row>
    <row r="234" spans="1:32">
      <c r="A234" s="63">
        <f t="shared" si="15"/>
        <v>2015.09</v>
      </c>
      <c r="B234" s="169">
        <v>871963</v>
      </c>
      <c r="C234" s="886">
        <f t="shared" si="14"/>
        <v>560824</v>
      </c>
      <c r="D234" s="3162">
        <v>69988</v>
      </c>
      <c r="E234" s="180">
        <v>242084</v>
      </c>
      <c r="F234" s="3162">
        <v>34766</v>
      </c>
      <c r="G234" s="180">
        <v>91434</v>
      </c>
      <c r="H234" s="3162">
        <v>73784</v>
      </c>
      <c r="I234" s="180">
        <v>34927</v>
      </c>
      <c r="J234" s="3162">
        <v>13841</v>
      </c>
      <c r="K234" s="180">
        <v>123318</v>
      </c>
      <c r="L234" s="3162">
        <v>27826</v>
      </c>
      <c r="M234" s="180">
        <v>52847</v>
      </c>
      <c r="N234" s="2095">
        <v>107148</v>
      </c>
      <c r="O234" s="2098"/>
      <c r="P234" s="2097">
        <v>148880</v>
      </c>
      <c r="Q234" s="2097">
        <v>2328626</v>
      </c>
      <c r="R234" s="263">
        <f t="shared" si="16"/>
        <v>5856.8175711982803</v>
      </c>
      <c r="S234" s="203">
        <f t="shared" si="16"/>
        <v>374.45386249230233</v>
      </c>
      <c r="T234" s="895"/>
      <c r="U234" s="225">
        <v>18195300</v>
      </c>
      <c r="V234" s="896"/>
      <c r="W234" s="303"/>
      <c r="X234" s="2094"/>
      <c r="Y234" s="254">
        <v>2.4</v>
      </c>
      <c r="Z234" s="1305"/>
      <c r="AA234" s="1796"/>
      <c r="AB234" s="1305"/>
      <c r="AC234" s="1305"/>
      <c r="AD234" s="1871"/>
      <c r="AE234" s="1871"/>
      <c r="AF234" s="1796"/>
    </row>
    <row r="235" spans="1:32">
      <c r="A235" s="63">
        <f t="shared" si="15"/>
        <v>2015.1</v>
      </c>
      <c r="B235" s="138">
        <f>B247/1.2</f>
        <v>990467.5</v>
      </c>
      <c r="C235" s="886">
        <f t="shared" si="14"/>
        <v>614375.59983196075</v>
      </c>
      <c r="D235" s="3188">
        <f>D234*D223/D222</f>
        <v>83312.889660321016</v>
      </c>
      <c r="E235" s="887">
        <f t="shared" ref="E235:N235" si="17">E234*E223/E222</f>
        <v>263686.13299906475</v>
      </c>
      <c r="F235" s="3188">
        <f t="shared" si="17"/>
        <v>37397.463580205011</v>
      </c>
      <c r="G235" s="887">
        <f t="shared" si="17"/>
        <v>95519.228582034149</v>
      </c>
      <c r="H235" s="3188">
        <f t="shared" si="17"/>
        <v>81488.787682770708</v>
      </c>
      <c r="I235" s="887">
        <f t="shared" si="17"/>
        <v>38119.288310505748</v>
      </c>
      <c r="J235" s="3188">
        <f t="shared" si="17"/>
        <v>14851.809017059302</v>
      </c>
      <c r="K235" s="887">
        <f t="shared" si="17"/>
        <v>135483.53684210527</v>
      </c>
      <c r="L235" s="3188">
        <f t="shared" si="17"/>
        <v>34198.996656148447</v>
      </c>
      <c r="M235" s="887">
        <f t="shared" si="17"/>
        <v>78975.995837765338</v>
      </c>
      <c r="N235" s="2100">
        <f t="shared" si="17"/>
        <v>128798.36637565846</v>
      </c>
      <c r="O235" s="2101"/>
      <c r="P235" s="2102">
        <f>P234</f>
        <v>148880</v>
      </c>
      <c r="Q235" s="2103" t="e">
        <v>#N/A</v>
      </c>
      <c r="R235" s="263">
        <f t="shared" si="16"/>
        <v>6652.7908382590003</v>
      </c>
      <c r="S235" s="2103"/>
      <c r="T235" s="896"/>
      <c r="U235" s="225">
        <v>20486700</v>
      </c>
      <c r="V235" s="896"/>
      <c r="W235" s="303"/>
      <c r="X235" s="2094"/>
      <c r="Y235" s="254">
        <v>2.7</v>
      </c>
      <c r="Z235" s="1305"/>
      <c r="AA235" s="1796"/>
      <c r="AB235" s="1305"/>
      <c r="AC235" s="1305"/>
      <c r="AD235" s="1871"/>
      <c r="AE235" s="1871"/>
      <c r="AF235" s="2104"/>
    </row>
    <row r="236" spans="1:32">
      <c r="A236" s="63">
        <f t="shared" si="15"/>
        <v>2015.11</v>
      </c>
      <c r="B236" s="138">
        <f>B248/1.192</f>
        <v>1038859.0604026846</v>
      </c>
      <c r="C236" s="886">
        <f t="shared" si="14"/>
        <v>617029.68204920983</v>
      </c>
      <c r="D236" s="3188">
        <f>D235*D224/D223</f>
        <v>92898.032325494583</v>
      </c>
      <c r="E236" s="887">
        <f t="shared" ref="E236:N236" si="18">E235*E224/E223</f>
        <v>255611.41120419925</v>
      </c>
      <c r="F236" s="3188">
        <f t="shared" si="18"/>
        <v>38347.386531803677</v>
      </c>
      <c r="G236" s="887">
        <f t="shared" si="18"/>
        <v>95702.503860430588</v>
      </c>
      <c r="H236" s="3188">
        <f t="shared" si="18"/>
        <v>83206.486759652325</v>
      </c>
      <c r="I236" s="887">
        <f t="shared" si="18"/>
        <v>36276.003528474408</v>
      </c>
      <c r="J236" s="3188">
        <f t="shared" si="18"/>
        <v>14987.85783915516</v>
      </c>
      <c r="K236" s="887">
        <f t="shared" si="18"/>
        <v>140795.33684210526</v>
      </c>
      <c r="L236" s="3188">
        <f t="shared" si="18"/>
        <v>37696.740451184472</v>
      </c>
      <c r="M236" s="887">
        <f t="shared" si="18"/>
        <v>94400.193081441044</v>
      </c>
      <c r="N236" s="2100">
        <f t="shared" si="18"/>
        <v>153890.47791652853</v>
      </c>
      <c r="O236" s="2101"/>
      <c r="P236" s="2102">
        <f>P234</f>
        <v>148880</v>
      </c>
      <c r="Q236" s="2103" t="e">
        <v>#N/A</v>
      </c>
      <c r="R236" s="263">
        <f t="shared" si="16"/>
        <v>6977.8281864769251</v>
      </c>
      <c r="S236" s="2103"/>
      <c r="T236" s="896"/>
      <c r="U236" s="225">
        <v>21671800</v>
      </c>
      <c r="V236" s="896"/>
      <c r="W236" s="303"/>
      <c r="X236" s="2094"/>
      <c r="Y236" s="254">
        <v>1.7</v>
      </c>
      <c r="Z236" s="1305"/>
      <c r="AA236" s="1796"/>
      <c r="AB236" s="1305"/>
      <c r="AC236" s="1305"/>
      <c r="AD236" s="1871"/>
      <c r="AE236" s="1871"/>
      <c r="AF236" s="2104"/>
    </row>
    <row r="237" spans="1:32">
      <c r="A237" s="63">
        <f t="shared" si="15"/>
        <v>2015.12</v>
      </c>
      <c r="B237" s="169">
        <v>1305535</v>
      </c>
      <c r="C237" s="886">
        <f t="shared" si="14"/>
        <v>782619</v>
      </c>
      <c r="D237" s="3162">
        <v>138089</v>
      </c>
      <c r="E237" s="180">
        <v>339238</v>
      </c>
      <c r="F237" s="3162">
        <v>46144</v>
      </c>
      <c r="G237" s="180">
        <v>97910</v>
      </c>
      <c r="H237" s="3162">
        <v>99487</v>
      </c>
      <c r="I237" s="180">
        <v>42662</v>
      </c>
      <c r="J237" s="3162">
        <v>19089</v>
      </c>
      <c r="K237" s="180">
        <v>151245</v>
      </c>
      <c r="L237" s="3162">
        <v>47820</v>
      </c>
      <c r="M237" s="180">
        <v>90703</v>
      </c>
      <c r="N237" s="2095">
        <v>233148</v>
      </c>
      <c r="O237" s="2101"/>
      <c r="P237" s="2097">
        <v>148880</v>
      </c>
      <c r="Q237" s="2105" t="e">
        <v>#N/A</v>
      </c>
      <c r="R237" s="263">
        <f t="shared" si="16"/>
        <v>8769.0421816227827</v>
      </c>
      <c r="S237" s="2105"/>
      <c r="T237" s="896"/>
      <c r="U237" s="225">
        <v>26053923</v>
      </c>
      <c r="V237" s="896"/>
      <c r="W237" s="303"/>
      <c r="X237" s="2094"/>
      <c r="Y237" s="254">
        <v>3.1</v>
      </c>
      <c r="Z237" s="1305"/>
      <c r="AA237" s="1796"/>
      <c r="AB237" s="1305"/>
      <c r="AC237" s="1305"/>
      <c r="AD237" s="1871"/>
      <c r="AE237" s="1871"/>
      <c r="AF237" s="2104"/>
    </row>
    <row r="238" spans="1:32">
      <c r="A238" s="63">
        <f t="shared" si="15"/>
        <v>2016.01</v>
      </c>
      <c r="B238" s="169">
        <v>1037609</v>
      </c>
      <c r="C238" s="886">
        <f t="shared" ref="C238:C245" si="19">SUM(D238:J238)</f>
        <v>607696</v>
      </c>
      <c r="D238" s="3162">
        <v>86597</v>
      </c>
      <c r="E238" s="180">
        <v>237392</v>
      </c>
      <c r="F238" s="3162">
        <v>38004</v>
      </c>
      <c r="G238" s="180">
        <v>97122</v>
      </c>
      <c r="H238" s="3162">
        <v>87785</v>
      </c>
      <c r="I238" s="180">
        <v>43872</v>
      </c>
      <c r="J238" s="3162">
        <v>16924</v>
      </c>
      <c r="K238" s="180">
        <v>160331</v>
      </c>
      <c r="L238" s="3162">
        <v>35276</v>
      </c>
      <c r="M238" s="180">
        <v>71252</v>
      </c>
      <c r="N238" s="2095">
        <v>163054</v>
      </c>
      <c r="O238" s="2101"/>
      <c r="P238" s="2097">
        <v>148880</v>
      </c>
      <c r="Q238" s="2105" t="e">
        <v>#N/A</v>
      </c>
      <c r="R238" s="263">
        <f t="shared" si="16"/>
        <v>6969.431757119828</v>
      </c>
      <c r="S238" s="2105"/>
      <c r="T238" s="896"/>
      <c r="U238" s="225">
        <v>21700000</v>
      </c>
      <c r="V238" s="896"/>
      <c r="W238" s="303"/>
      <c r="X238" s="2094"/>
      <c r="Y238" s="254">
        <v>-2.2999999999999998</v>
      </c>
      <c r="Z238" s="1796"/>
      <c r="AA238" s="1796"/>
      <c r="AB238" s="1796"/>
      <c r="AC238" s="1796"/>
      <c r="AD238" s="1796"/>
      <c r="AE238" s="1796"/>
      <c r="AF238" s="1796"/>
    </row>
    <row r="239" spans="1:32">
      <c r="A239" s="63">
        <f t="shared" si="15"/>
        <v>2016.02</v>
      </c>
      <c r="B239" s="169">
        <v>1009938</v>
      </c>
      <c r="C239" s="886">
        <f t="shared" si="19"/>
        <v>621777</v>
      </c>
      <c r="D239" s="3162">
        <v>82519</v>
      </c>
      <c r="E239" s="180">
        <v>255391</v>
      </c>
      <c r="F239" s="3162">
        <v>37749</v>
      </c>
      <c r="G239" s="180">
        <v>96747</v>
      </c>
      <c r="H239" s="3162">
        <v>87732</v>
      </c>
      <c r="I239" s="180">
        <v>44684</v>
      </c>
      <c r="J239" s="3162">
        <v>16955</v>
      </c>
      <c r="K239" s="180">
        <v>151397</v>
      </c>
      <c r="L239" s="3162">
        <v>32048</v>
      </c>
      <c r="M239" s="180">
        <v>55390</v>
      </c>
      <c r="N239" s="2095">
        <v>149326</v>
      </c>
      <c r="O239" s="2101"/>
      <c r="P239" s="2097">
        <v>148880</v>
      </c>
      <c r="Q239" s="2105" t="e">
        <v>#N/A</v>
      </c>
      <c r="R239" s="263">
        <f t="shared" si="16"/>
        <v>6783.5706609349818</v>
      </c>
      <c r="S239" s="2105"/>
      <c r="T239" s="896"/>
      <c r="U239" s="225">
        <v>21090700</v>
      </c>
      <c r="V239" s="896"/>
      <c r="W239" s="303"/>
      <c r="X239" s="2094"/>
      <c r="Y239" s="254">
        <v>-4.5</v>
      </c>
      <c r="Z239" s="1796"/>
      <c r="AA239" s="1796"/>
      <c r="AB239" s="1796"/>
      <c r="AC239" s="1796"/>
      <c r="AD239" s="266"/>
      <c r="AE239" s="1796"/>
      <c r="AF239" s="1796"/>
    </row>
    <row r="240" spans="1:32">
      <c r="A240" s="63">
        <f t="shared" si="15"/>
        <v>2016.03</v>
      </c>
      <c r="B240" s="169">
        <v>1080353</v>
      </c>
      <c r="C240" s="886">
        <f t="shared" si="19"/>
        <v>691295</v>
      </c>
      <c r="D240" s="3162">
        <v>81085</v>
      </c>
      <c r="E240" s="180">
        <v>301282</v>
      </c>
      <c r="F240" s="3162">
        <v>46323</v>
      </c>
      <c r="G240" s="180">
        <v>105261</v>
      </c>
      <c r="H240" s="3162">
        <v>93397</v>
      </c>
      <c r="I240" s="180">
        <v>46970</v>
      </c>
      <c r="J240" s="3162">
        <v>16977</v>
      </c>
      <c r="K240" s="180">
        <v>159199</v>
      </c>
      <c r="L240" s="3162">
        <v>33381</v>
      </c>
      <c r="M240" s="180">
        <v>60090</v>
      </c>
      <c r="N240" s="2095">
        <v>136388</v>
      </c>
      <c r="O240" s="2101"/>
      <c r="P240" s="2097">
        <v>148880</v>
      </c>
      <c r="Q240" s="2105" t="e">
        <v>#N/A</v>
      </c>
      <c r="R240" s="263">
        <f t="shared" si="16"/>
        <v>7256.5354648038683</v>
      </c>
      <c r="S240" s="2105"/>
      <c r="T240" s="896"/>
      <c r="U240" s="225">
        <v>22268700</v>
      </c>
      <c r="V240" s="896"/>
      <c r="W240" s="303"/>
      <c r="X240" s="2094"/>
      <c r="Y240" s="254">
        <v>-5.8</v>
      </c>
      <c r="Z240" s="1796"/>
      <c r="AA240" s="1796"/>
      <c r="AB240" s="1796"/>
      <c r="AC240" s="1796"/>
      <c r="AD240" s="1796"/>
      <c r="AE240" s="1796"/>
      <c r="AF240" s="1796"/>
    </row>
    <row r="241" spans="1:28">
      <c r="A241" s="63">
        <f t="shared" si="15"/>
        <v>2016.04</v>
      </c>
      <c r="B241" s="169">
        <v>1087468</v>
      </c>
      <c r="C241" s="886">
        <f t="shared" si="19"/>
        <v>689156</v>
      </c>
      <c r="D241" s="3162">
        <v>77886</v>
      </c>
      <c r="E241" s="180">
        <v>298624</v>
      </c>
      <c r="F241" s="3162">
        <v>44031</v>
      </c>
      <c r="G241" s="180">
        <v>109248</v>
      </c>
      <c r="H241" s="3162">
        <v>98755</v>
      </c>
      <c r="I241" s="180">
        <v>43957</v>
      </c>
      <c r="J241" s="3162">
        <v>16655</v>
      </c>
      <c r="K241" s="180">
        <v>163290</v>
      </c>
      <c r="L241" s="3162">
        <v>42160</v>
      </c>
      <c r="M241" s="180">
        <v>63900</v>
      </c>
      <c r="N241" s="2095">
        <v>128962</v>
      </c>
      <c r="O241" s="2101"/>
      <c r="P241" s="2097">
        <v>148880</v>
      </c>
      <c r="Q241" s="2105" t="e">
        <v>#N/A</v>
      </c>
      <c r="R241" s="263">
        <f t="shared" si="16"/>
        <v>7304.3256313809779</v>
      </c>
      <c r="S241" s="2105"/>
      <c r="T241" s="896"/>
      <c r="U241" s="225">
        <v>22199000</v>
      </c>
      <c r="V241" s="896"/>
      <c r="W241" s="303"/>
      <c r="X241" s="2094"/>
      <c r="Y241" s="254">
        <v>-6.6</v>
      </c>
      <c r="Z241" s="1796"/>
      <c r="AA241" s="1796"/>
      <c r="AB241" s="1796"/>
    </row>
    <row r="242" spans="1:28">
      <c r="A242" s="63">
        <f t="shared" si="15"/>
        <v>2016.05</v>
      </c>
      <c r="B242" s="169">
        <v>1139515</v>
      </c>
      <c r="C242" s="886">
        <f t="shared" si="19"/>
        <v>706358</v>
      </c>
      <c r="D242" s="3162">
        <v>75957</v>
      </c>
      <c r="E242" s="180">
        <v>312905</v>
      </c>
      <c r="F242" s="3162">
        <v>43376</v>
      </c>
      <c r="G242" s="180">
        <v>118403</v>
      </c>
      <c r="H242" s="3162">
        <v>96202</v>
      </c>
      <c r="I242" s="180">
        <v>42573</v>
      </c>
      <c r="J242" s="3162">
        <v>16942</v>
      </c>
      <c r="K242" s="180">
        <v>164133</v>
      </c>
      <c r="L242" s="3162">
        <v>49804</v>
      </c>
      <c r="M242" s="180">
        <v>75666</v>
      </c>
      <c r="N242" s="2095">
        <v>143554</v>
      </c>
      <c r="O242" s="2101"/>
      <c r="P242" s="2097">
        <v>148880</v>
      </c>
      <c r="Q242" s="2105" t="e">
        <v>#N/A</v>
      </c>
      <c r="R242" s="263">
        <f t="shared" si="16"/>
        <v>7653.9159054271895</v>
      </c>
      <c r="S242" s="2105"/>
      <c r="T242" s="896"/>
      <c r="U242" s="225">
        <v>22731800</v>
      </c>
      <c r="V242" s="896"/>
      <c r="W242" s="303"/>
      <c r="X242" s="2094"/>
      <c r="Y242" s="254">
        <v>-9.1999999999999993</v>
      </c>
      <c r="Z242" s="1796"/>
      <c r="AA242" s="1796"/>
      <c r="AB242" s="1796"/>
    </row>
    <row r="243" spans="1:28">
      <c r="A243" s="63">
        <f t="shared" si="15"/>
        <v>2016.06</v>
      </c>
      <c r="B243" s="169">
        <v>1155859</v>
      </c>
      <c r="C243" s="886">
        <f t="shared" si="19"/>
        <v>725227</v>
      </c>
      <c r="D243" s="3162">
        <v>83159</v>
      </c>
      <c r="E243" s="180">
        <v>319491</v>
      </c>
      <c r="F243" s="3162">
        <v>47160</v>
      </c>
      <c r="G243" s="180">
        <v>119725</v>
      </c>
      <c r="H243" s="3162">
        <v>94910</v>
      </c>
      <c r="I243" s="180">
        <v>43427</v>
      </c>
      <c r="J243" s="3162">
        <v>17355</v>
      </c>
      <c r="K243" s="180">
        <v>158727</v>
      </c>
      <c r="L243" s="3162">
        <v>48162</v>
      </c>
      <c r="M243" s="180">
        <v>71504</v>
      </c>
      <c r="N243" s="2095">
        <v>152240</v>
      </c>
      <c r="O243" s="2101"/>
      <c r="P243" s="2097">
        <v>148880</v>
      </c>
      <c r="Q243" s="2105" t="e">
        <v>#N/A</v>
      </c>
      <c r="R243" s="263">
        <f t="shared" si="16"/>
        <v>7763.6955937667926</v>
      </c>
      <c r="S243" s="2105"/>
      <c r="T243" s="896"/>
      <c r="U243" s="225">
        <v>23053770</v>
      </c>
      <c r="V243" s="896"/>
      <c r="W243" s="303"/>
      <c r="X243" s="2094"/>
      <c r="Y243" s="254">
        <v>-9.8000000000000007</v>
      </c>
      <c r="Z243" s="1796"/>
      <c r="AA243" s="1796"/>
      <c r="AB243" s="1796"/>
    </row>
    <row r="244" spans="1:28">
      <c r="A244" s="63">
        <f t="shared" si="15"/>
        <v>2016.07</v>
      </c>
      <c r="B244" s="169">
        <v>1190943</v>
      </c>
      <c r="C244" s="886">
        <f t="shared" si="19"/>
        <v>755560</v>
      </c>
      <c r="D244" s="3162">
        <v>87736</v>
      </c>
      <c r="E244" s="180">
        <v>335989</v>
      </c>
      <c r="F244" s="3162">
        <v>48137</v>
      </c>
      <c r="G244" s="180">
        <v>123913</v>
      </c>
      <c r="H244" s="3162">
        <v>96265</v>
      </c>
      <c r="I244" s="180">
        <v>45274</v>
      </c>
      <c r="J244" s="3162">
        <v>18246</v>
      </c>
      <c r="K244" s="180">
        <v>163010</v>
      </c>
      <c r="L244" s="3162">
        <v>53436</v>
      </c>
      <c r="M244" s="180">
        <v>69411</v>
      </c>
      <c r="N244" s="2095">
        <v>149526</v>
      </c>
      <c r="O244" s="2101"/>
      <c r="P244" s="2097">
        <v>148880</v>
      </c>
      <c r="Q244" s="2105" t="e">
        <v>#N/A</v>
      </c>
      <c r="R244" s="263">
        <f t="shared" si="16"/>
        <v>7999.3484685652875</v>
      </c>
      <c r="S244" s="2105"/>
      <c r="T244" s="896"/>
      <c r="U244" s="225">
        <v>25127900</v>
      </c>
      <c r="V244" s="896"/>
      <c r="W244" s="303"/>
      <c r="X244" s="2094"/>
      <c r="Y244" s="254">
        <v>-8.1</v>
      </c>
      <c r="Z244" s="1796"/>
      <c r="AA244" s="1796"/>
      <c r="AB244" s="1796"/>
    </row>
    <row r="245" spans="1:28">
      <c r="A245" s="63">
        <f t="shared" si="15"/>
        <v>2016.08</v>
      </c>
      <c r="B245" s="169">
        <v>1167031</v>
      </c>
      <c r="C245" s="886">
        <f t="shared" si="19"/>
        <v>735807</v>
      </c>
      <c r="D245" s="3162">
        <v>87450</v>
      </c>
      <c r="E245" s="180">
        <v>322344</v>
      </c>
      <c r="F245" s="3162">
        <v>45875</v>
      </c>
      <c r="G245" s="180">
        <v>124638</v>
      </c>
      <c r="H245" s="3162">
        <v>93031</v>
      </c>
      <c r="I245" s="180">
        <v>44917</v>
      </c>
      <c r="J245" s="3162">
        <v>17552</v>
      </c>
      <c r="K245" s="180">
        <v>162134</v>
      </c>
      <c r="L245" s="3162">
        <v>37837</v>
      </c>
      <c r="M245" s="180">
        <v>58223</v>
      </c>
      <c r="N245" s="2095">
        <v>173032</v>
      </c>
      <c r="O245" s="2101"/>
      <c r="P245" s="2097">
        <v>148880</v>
      </c>
      <c r="Q245" s="2105" t="e">
        <v>#N/A</v>
      </c>
      <c r="R245" s="263">
        <f t="shared" si="16"/>
        <v>7838.7358946802788</v>
      </c>
      <c r="S245" s="2105"/>
      <c r="T245" s="896"/>
      <c r="U245" s="225">
        <v>24232651</v>
      </c>
      <c r="V245" s="896"/>
      <c r="W245" s="303"/>
      <c r="X245" s="2094"/>
      <c r="Y245" s="254">
        <v>-7.4</v>
      </c>
      <c r="Z245" s="1796"/>
      <c r="AA245" s="1796"/>
      <c r="AB245" s="1796"/>
    </row>
    <row r="246" spans="1:28">
      <c r="A246" s="63">
        <f t="shared" si="15"/>
        <v>2016.09</v>
      </c>
      <c r="B246" s="169">
        <v>1117663</v>
      </c>
      <c r="C246" s="886">
        <f t="shared" ref="C246:C309" si="20">SUM(D246:J246)</f>
        <v>745064</v>
      </c>
      <c r="D246" s="3162">
        <v>90331</v>
      </c>
      <c r="E246" s="180">
        <v>330241</v>
      </c>
      <c r="F246" s="3162">
        <v>45912</v>
      </c>
      <c r="G246" s="180">
        <v>125087</v>
      </c>
      <c r="H246" s="3162">
        <v>91454</v>
      </c>
      <c r="I246" s="180">
        <v>44142</v>
      </c>
      <c r="J246" s="3162">
        <v>17897</v>
      </c>
      <c r="K246" s="180">
        <v>170635</v>
      </c>
      <c r="L246" s="3162">
        <v>35214</v>
      </c>
      <c r="M246" s="180">
        <v>60843</v>
      </c>
      <c r="N246" s="2095">
        <v>105906</v>
      </c>
      <c r="O246" s="2101"/>
      <c r="P246" s="2097">
        <v>148880</v>
      </c>
      <c r="Q246" s="2105" t="e">
        <v>#N/A</v>
      </c>
      <c r="R246" s="263">
        <f t="shared" si="16"/>
        <v>7507.1399785061794</v>
      </c>
      <c r="S246" s="2105"/>
      <c r="T246" s="896"/>
      <c r="U246" s="225">
        <v>23603392</v>
      </c>
      <c r="V246" s="896"/>
      <c r="W246" s="303"/>
      <c r="X246" s="2094"/>
      <c r="Y246" s="254">
        <v>-7.7</v>
      </c>
      <c r="Z246" s="1796"/>
      <c r="AA246" s="1796"/>
      <c r="AB246" s="1796"/>
    </row>
    <row r="247" spans="1:28">
      <c r="A247" s="63">
        <f t="shared" si="15"/>
        <v>2016.1</v>
      </c>
      <c r="B247" s="169">
        <v>1188561</v>
      </c>
      <c r="C247" s="886">
        <f t="shared" si="20"/>
        <v>761842</v>
      </c>
      <c r="D247" s="3162">
        <v>97699</v>
      </c>
      <c r="E247" s="180">
        <v>328172</v>
      </c>
      <c r="F247" s="3162">
        <v>47164</v>
      </c>
      <c r="G247" s="180">
        <v>128228</v>
      </c>
      <c r="H247" s="3162">
        <v>95493</v>
      </c>
      <c r="I247" s="180">
        <v>46214</v>
      </c>
      <c r="J247" s="3162">
        <v>18872</v>
      </c>
      <c r="K247" s="180">
        <v>178690</v>
      </c>
      <c r="L247" s="3162">
        <v>41397</v>
      </c>
      <c r="M247" s="180">
        <v>85066</v>
      </c>
      <c r="N247" s="2095">
        <v>121566</v>
      </c>
      <c r="O247" s="2101"/>
      <c r="P247" s="2097">
        <v>148880</v>
      </c>
      <c r="Q247" s="2105" t="e">
        <v>#N/A</v>
      </c>
      <c r="R247" s="263">
        <f t="shared" si="16"/>
        <v>7983.3490059108008</v>
      </c>
      <c r="S247" s="2105"/>
      <c r="T247" s="896"/>
      <c r="U247" s="225">
        <v>25737299</v>
      </c>
      <c r="V247" s="896"/>
      <c r="W247" s="303"/>
      <c r="X247" s="2094"/>
      <c r="Y247" s="254">
        <v>-8.1999999999999993</v>
      </c>
      <c r="Z247" s="1796"/>
      <c r="AA247" s="1796"/>
      <c r="AB247" s="1796"/>
    </row>
    <row r="248" spans="1:28">
      <c r="A248" s="63">
        <f t="shared" si="15"/>
        <v>2016.11</v>
      </c>
      <c r="B248" s="169">
        <v>1238320</v>
      </c>
      <c r="C248" s="886">
        <f t="shared" si="20"/>
        <v>778648</v>
      </c>
      <c r="D248" s="3162">
        <v>112271</v>
      </c>
      <c r="E248" s="180">
        <v>333127</v>
      </c>
      <c r="F248" s="3162">
        <v>46143</v>
      </c>
      <c r="G248" s="180">
        <v>125529</v>
      </c>
      <c r="H248" s="3162">
        <v>94558</v>
      </c>
      <c r="I248" s="180">
        <v>48115</v>
      </c>
      <c r="J248" s="3162">
        <v>18905</v>
      </c>
      <c r="K248" s="180">
        <v>180534</v>
      </c>
      <c r="L248" s="3162">
        <v>44161</v>
      </c>
      <c r="M248" s="180">
        <v>91288</v>
      </c>
      <c r="N248" s="2095">
        <v>143688</v>
      </c>
      <c r="O248" s="2101"/>
      <c r="P248" s="2097">
        <v>148880</v>
      </c>
      <c r="Q248" s="2105" t="e">
        <v>#N/A</v>
      </c>
      <c r="R248" s="263">
        <f t="shared" si="16"/>
        <v>8317.5711982804951</v>
      </c>
      <c r="S248" s="2105"/>
      <c r="T248" s="896"/>
      <c r="U248" s="225">
        <v>26545889</v>
      </c>
      <c r="V248" s="896"/>
      <c r="W248" s="303"/>
      <c r="X248" s="2094"/>
      <c r="Y248" s="254">
        <v>-8.5</v>
      </c>
      <c r="Z248" s="1796"/>
      <c r="AA248" s="1796"/>
      <c r="AB248" s="1796"/>
    </row>
    <row r="249" spans="1:28" ht="13.5" thickBot="1">
      <c r="A249" s="63">
        <f t="shared" si="15"/>
        <v>2016.12</v>
      </c>
      <c r="B249" s="169">
        <v>1571647</v>
      </c>
      <c r="C249" s="886">
        <f t="shared" si="20"/>
        <v>979778</v>
      </c>
      <c r="D249" s="3162">
        <v>196371</v>
      </c>
      <c r="E249" s="180">
        <v>398657</v>
      </c>
      <c r="F249" s="3162">
        <v>61315</v>
      </c>
      <c r="G249" s="180">
        <v>128210</v>
      </c>
      <c r="H249" s="3162">
        <v>117664</v>
      </c>
      <c r="I249" s="180">
        <v>54404</v>
      </c>
      <c r="J249" s="3162">
        <v>23157</v>
      </c>
      <c r="K249" s="180">
        <v>200754</v>
      </c>
      <c r="L249" s="3162">
        <v>62195</v>
      </c>
      <c r="M249" s="180">
        <v>100004</v>
      </c>
      <c r="N249" s="2095">
        <v>228915</v>
      </c>
      <c r="O249" s="2101"/>
      <c r="P249" s="2097">
        <v>148880</v>
      </c>
      <c r="Q249" s="2105" t="e">
        <v>#N/A</v>
      </c>
      <c r="R249" s="263">
        <f t="shared" ref="R249" si="21">$B249/P249*1000</f>
        <v>10556.468296614723</v>
      </c>
      <c r="S249" s="2105"/>
      <c r="T249" s="896"/>
      <c r="U249" s="225">
        <v>32408153</v>
      </c>
      <c r="V249" s="896"/>
      <c r="W249" s="303"/>
      <c r="X249" s="2094"/>
      <c r="Y249" s="254">
        <v>-5.4</v>
      </c>
      <c r="Z249" s="1796"/>
      <c r="AA249" s="1796"/>
      <c r="AB249" s="1796"/>
    </row>
    <row r="250" spans="1:28">
      <c r="A250" s="63">
        <f t="shared" si="15"/>
        <v>2017.01</v>
      </c>
      <c r="B250" s="169">
        <v>1297299.392</v>
      </c>
      <c r="C250" s="886">
        <f t="shared" si="20"/>
        <v>817078.59539000015</v>
      </c>
      <c r="D250" s="3162">
        <v>118582.68871</v>
      </c>
      <c r="E250" s="180">
        <v>327560.25273000001</v>
      </c>
      <c r="F250" s="3162">
        <v>52921.695</v>
      </c>
      <c r="G250" s="180">
        <v>126002.00027999999</v>
      </c>
      <c r="H250" s="3162">
        <v>112847.68335000001</v>
      </c>
      <c r="I250" s="180">
        <v>59056.19599</v>
      </c>
      <c r="J250" s="3162">
        <v>20108.07933</v>
      </c>
      <c r="K250" s="180">
        <v>206156.19845</v>
      </c>
      <c r="L250" s="3162">
        <v>44967.84549</v>
      </c>
      <c r="M250" s="180">
        <v>83852.738540000006</v>
      </c>
      <c r="N250" s="2095">
        <v>145244.01413</v>
      </c>
      <c r="O250" s="555">
        <v>91.018129253000453</v>
      </c>
      <c r="P250" s="2097">
        <v>156311.12</v>
      </c>
      <c r="Q250" s="2097">
        <v>2720452</v>
      </c>
      <c r="R250" s="263">
        <v>8299.4696218669542</v>
      </c>
      <c r="S250" s="203">
        <v>476.869061464786</v>
      </c>
      <c r="T250" s="897">
        <v>267141.95600000001</v>
      </c>
      <c r="U250" s="225">
        <v>27858872.08289</v>
      </c>
      <c r="V250" s="897">
        <v>1830.7439556700001</v>
      </c>
      <c r="W250" s="768">
        <v>4094.5146717288003</v>
      </c>
      <c r="X250" s="2541">
        <f>V250+W250</f>
        <v>5925.2586273987999</v>
      </c>
      <c r="Y250" s="254">
        <v>-2.5</v>
      </c>
      <c r="Z250" s="1796"/>
      <c r="AA250" s="1796"/>
      <c r="AB250" s="1833"/>
    </row>
    <row r="251" spans="1:28">
      <c r="A251" s="63">
        <f t="shared" si="15"/>
        <v>2017.02</v>
      </c>
      <c r="B251" s="169">
        <v>1203173.9419</v>
      </c>
      <c r="C251" s="886">
        <f t="shared" si="20"/>
        <v>806831.52470999991</v>
      </c>
      <c r="D251" s="3162">
        <v>115842.19766999999</v>
      </c>
      <c r="E251" s="180">
        <v>319438.71982</v>
      </c>
      <c r="F251" s="3162">
        <v>52936.754730000001</v>
      </c>
      <c r="G251" s="180">
        <v>127021.47069</v>
      </c>
      <c r="H251" s="3162">
        <v>113456.85836</v>
      </c>
      <c r="I251" s="180">
        <v>58166.113969999999</v>
      </c>
      <c r="J251" s="3162">
        <v>19969.409469999999</v>
      </c>
      <c r="K251" s="180">
        <v>186170.44959999999</v>
      </c>
      <c r="L251" s="3162">
        <v>37016.465499999998</v>
      </c>
      <c r="M251" s="180">
        <v>54118.079660000003</v>
      </c>
      <c r="N251" s="2095">
        <v>119037.42243000001</v>
      </c>
      <c r="O251" s="569">
        <v>92.514730319919323</v>
      </c>
      <c r="P251" s="2097">
        <v>156311.12</v>
      </c>
      <c r="Q251" s="2097">
        <v>2613789</v>
      </c>
      <c r="R251" s="263">
        <v>7697.3022898178961</v>
      </c>
      <c r="S251" s="203">
        <v>460.31792998593227</v>
      </c>
      <c r="T251" s="1313">
        <v>245020.769</v>
      </c>
      <c r="U251" s="225">
        <v>25994200.168069098</v>
      </c>
      <c r="V251" s="1313">
        <v>1619.1377845899997</v>
      </c>
      <c r="W251" s="169">
        <v>3841.8889607639994</v>
      </c>
      <c r="X251" s="2106">
        <f t="shared" ref="X251:X314" si="22">V251+W251</f>
        <v>5461.0267453539991</v>
      </c>
      <c r="Y251" s="254">
        <v>-4.0999999999999996</v>
      </c>
      <c r="Z251" s="1796"/>
      <c r="AA251" s="1796"/>
      <c r="AB251" s="1833"/>
    </row>
    <row r="252" spans="1:28">
      <c r="A252" s="63">
        <f t="shared" si="15"/>
        <v>2017.03</v>
      </c>
      <c r="B252" s="169">
        <v>1313911.11354</v>
      </c>
      <c r="C252" s="886">
        <f t="shared" si="20"/>
        <v>912890.70594000001</v>
      </c>
      <c r="D252" s="3162">
        <v>117338.27077</v>
      </c>
      <c r="E252" s="180">
        <v>378033.65214000002</v>
      </c>
      <c r="F252" s="3162">
        <v>59485.737099999998</v>
      </c>
      <c r="G252" s="180">
        <v>145741.84069000001</v>
      </c>
      <c r="H252" s="3162">
        <v>127464.2343</v>
      </c>
      <c r="I252" s="180">
        <v>62297.421000000002</v>
      </c>
      <c r="J252" s="3162">
        <v>22529.549940000001</v>
      </c>
      <c r="K252" s="180">
        <v>201752.77749000001</v>
      </c>
      <c r="L252" s="3162">
        <v>37088.003539999998</v>
      </c>
      <c r="M252" s="180">
        <v>54807.152009999998</v>
      </c>
      <c r="N252" s="2095">
        <v>107372.47456</v>
      </c>
      <c r="O252" s="569">
        <v>94.699942781745278</v>
      </c>
      <c r="P252" s="2097">
        <v>156311.12</v>
      </c>
      <c r="Q252" s="2097">
        <v>2836787</v>
      </c>
      <c r="R252" s="263">
        <v>8405.7430689512057</v>
      </c>
      <c r="S252" s="203">
        <v>463.16875871893103</v>
      </c>
      <c r="T252" s="1313">
        <v>307777.804</v>
      </c>
      <c r="U252" s="225">
        <v>27780006.5222473</v>
      </c>
      <c r="V252" s="1313">
        <v>1994.2897570999999</v>
      </c>
      <c r="W252" s="169">
        <v>4659.613353099001</v>
      </c>
      <c r="X252" s="2106">
        <f t="shared" si="22"/>
        <v>6653.9031101990004</v>
      </c>
      <c r="Y252" s="254">
        <v>-4.4000000000000004</v>
      </c>
      <c r="Z252" s="1796"/>
      <c r="AA252" s="1796"/>
      <c r="AB252" s="1833"/>
    </row>
    <row r="253" spans="1:28">
      <c r="A253" s="63">
        <f t="shared" si="15"/>
        <v>2017.04</v>
      </c>
      <c r="B253" s="169">
        <v>1376862.48783</v>
      </c>
      <c r="C253" s="886">
        <f t="shared" si="20"/>
        <v>954218.1503600002</v>
      </c>
      <c r="D253" s="3162">
        <v>117834.63055</v>
      </c>
      <c r="E253" s="180">
        <v>406071.85100999998</v>
      </c>
      <c r="F253" s="3162">
        <v>66070.275020000001</v>
      </c>
      <c r="G253" s="180">
        <v>148460.34226</v>
      </c>
      <c r="H253" s="3162">
        <v>134319.37826</v>
      </c>
      <c r="I253" s="180">
        <v>59513.688069999997</v>
      </c>
      <c r="J253" s="3162">
        <v>21947.985189999999</v>
      </c>
      <c r="K253" s="180">
        <v>199137.00274</v>
      </c>
      <c r="L253" s="3162">
        <v>50786.217060000003</v>
      </c>
      <c r="M253" s="180">
        <v>65964.057979999998</v>
      </c>
      <c r="N253" s="2095">
        <v>106757.05968999999</v>
      </c>
      <c r="O253" s="569">
        <v>96.703354121949914</v>
      </c>
      <c r="P253" s="2097">
        <v>156311.12</v>
      </c>
      <c r="Q253" s="2097">
        <v>2791397</v>
      </c>
      <c r="R253" s="263">
        <v>8808.4743288257414</v>
      </c>
      <c r="S253" s="203">
        <v>493.2521199349286</v>
      </c>
      <c r="T253" s="1313">
        <v>306792.73300000001</v>
      </c>
      <c r="U253" s="225">
        <v>29134272.22061</v>
      </c>
      <c r="V253" s="1313">
        <v>1749.59237188</v>
      </c>
      <c r="W253" s="169">
        <v>4522.856257833002</v>
      </c>
      <c r="X253" s="2106">
        <f t="shared" si="22"/>
        <v>6272.4486297130024</v>
      </c>
      <c r="Y253" s="254">
        <v>-3.8</v>
      </c>
      <c r="Z253" s="1796"/>
      <c r="AA253" s="1796"/>
      <c r="AB253" s="1833"/>
    </row>
    <row r="254" spans="1:28">
      <c r="A254" s="63">
        <f t="shared" si="15"/>
        <v>2017.05</v>
      </c>
      <c r="B254" s="169">
        <v>1356946.68619</v>
      </c>
      <c r="C254" s="886">
        <f t="shared" si="20"/>
        <v>917845.0417800002</v>
      </c>
      <c r="D254" s="3162">
        <v>108351.11530999999</v>
      </c>
      <c r="E254" s="180">
        <v>393134.64072000002</v>
      </c>
      <c r="F254" s="3162">
        <v>60742.819049999998</v>
      </c>
      <c r="G254" s="180">
        <v>150589.64553000001</v>
      </c>
      <c r="H254" s="3162">
        <v>127642.85215000001</v>
      </c>
      <c r="I254" s="180">
        <v>56407.572379999998</v>
      </c>
      <c r="J254" s="3162">
        <v>20976.396639999999</v>
      </c>
      <c r="K254" s="180">
        <v>197964.12922</v>
      </c>
      <c r="L254" s="3162">
        <v>56044.927900000002</v>
      </c>
      <c r="M254" s="180">
        <v>76730.496289999995</v>
      </c>
      <c r="N254" s="2095">
        <v>108362.091</v>
      </c>
      <c r="O254" s="569">
        <v>97.956976959118478</v>
      </c>
      <c r="P254" s="2097">
        <v>156311.12</v>
      </c>
      <c r="Q254" s="2097">
        <v>2718589</v>
      </c>
      <c r="R254" s="263">
        <v>8681.0630375497276</v>
      </c>
      <c r="S254" s="203">
        <v>499.13638515788881</v>
      </c>
      <c r="T254" s="1313">
        <v>399693.26199999999</v>
      </c>
      <c r="U254" s="225">
        <v>27969004.676939901</v>
      </c>
      <c r="V254" s="1313">
        <v>1890.8479384400002</v>
      </c>
      <c r="W254" s="169">
        <v>4669.8534447639986</v>
      </c>
      <c r="X254" s="2106">
        <f t="shared" si="22"/>
        <v>6560.7013832039993</v>
      </c>
      <c r="Y254" s="254">
        <v>-2.2999999999999998</v>
      </c>
      <c r="Z254" s="1796"/>
      <c r="AA254" s="1796"/>
      <c r="AB254" s="1833"/>
    </row>
    <row r="255" spans="1:28">
      <c r="A255" s="63">
        <f t="shared" si="15"/>
        <v>2017.06</v>
      </c>
      <c r="B255" s="169">
        <v>1338804.18716</v>
      </c>
      <c r="C255" s="886">
        <f t="shared" si="20"/>
        <v>903270.42282999994</v>
      </c>
      <c r="D255" s="3162">
        <v>113579.60172000001</v>
      </c>
      <c r="E255" s="180">
        <v>381868.88024999999</v>
      </c>
      <c r="F255" s="3162">
        <v>60423.265570000003</v>
      </c>
      <c r="G255" s="180">
        <v>148484.27635999999</v>
      </c>
      <c r="H255" s="3162">
        <v>126236.63082000001</v>
      </c>
      <c r="I255" s="180">
        <v>52152.792099999999</v>
      </c>
      <c r="J255" s="3162">
        <v>20524.976009999998</v>
      </c>
      <c r="K255" s="180">
        <v>192258.1165</v>
      </c>
      <c r="L255" s="3162">
        <v>56871.67772</v>
      </c>
      <c r="M255" s="180">
        <v>76271.700339999996</v>
      </c>
      <c r="N255" s="2095">
        <v>110132.26977</v>
      </c>
      <c r="O255" s="569">
        <v>99.193982624396043</v>
      </c>
      <c r="P255" s="2097">
        <v>156311.12</v>
      </c>
      <c r="Q255" s="2097">
        <v>2617842</v>
      </c>
      <c r="R255" s="263">
        <v>8564.9964452944878</v>
      </c>
      <c r="S255" s="203">
        <v>511.41519891574819</v>
      </c>
      <c r="T255" s="1313">
        <v>368847.326</v>
      </c>
      <c r="U255" s="225">
        <v>29132712.745602001</v>
      </c>
      <c r="V255" s="1313">
        <v>1713.2088739799997</v>
      </c>
      <c r="W255" s="169">
        <v>4800.3057220210003</v>
      </c>
      <c r="X255" s="2106">
        <f t="shared" si="22"/>
        <v>6513.5145960009995</v>
      </c>
      <c r="Y255" s="254">
        <v>-1.4</v>
      </c>
      <c r="Z255" s="1796"/>
      <c r="AA255" s="1796"/>
      <c r="AB255" s="1833"/>
    </row>
    <row r="256" spans="1:28">
      <c r="A256" s="63">
        <f t="shared" si="15"/>
        <v>2017.07</v>
      </c>
      <c r="B256" s="169">
        <v>1423154.4045500001</v>
      </c>
      <c r="C256" s="886">
        <f t="shared" si="20"/>
        <v>952807.24783999997</v>
      </c>
      <c r="D256" s="3162">
        <v>119269.80411</v>
      </c>
      <c r="E256" s="180">
        <v>410527.34840000002</v>
      </c>
      <c r="F256" s="3162">
        <v>63940.306949999998</v>
      </c>
      <c r="G256" s="180">
        <v>153759.76209999999</v>
      </c>
      <c r="H256" s="3162">
        <v>130483.00049999999</v>
      </c>
      <c r="I256" s="180">
        <v>53689.028559999999</v>
      </c>
      <c r="J256" s="3162">
        <v>21137.997220000001</v>
      </c>
      <c r="K256" s="180">
        <v>203961.03562000001</v>
      </c>
      <c r="L256" s="3162">
        <v>58426.397519999999</v>
      </c>
      <c r="M256" s="180">
        <v>82211.313030000005</v>
      </c>
      <c r="N256" s="2095">
        <v>125748.41054</v>
      </c>
      <c r="O256" s="569">
        <v>100.62356677931312</v>
      </c>
      <c r="P256" s="2097">
        <v>156311.12</v>
      </c>
      <c r="Q256" s="2097">
        <v>2675981</v>
      </c>
      <c r="R256" s="263">
        <v>9104.6267504832667</v>
      </c>
      <c r="S256" s="203">
        <v>531.82530240311871</v>
      </c>
      <c r="T256" s="1313">
        <v>366990.68300000002</v>
      </c>
      <c r="U256" s="225">
        <v>31182302.455592699</v>
      </c>
      <c r="V256" s="1313">
        <v>1704.8224605299997</v>
      </c>
      <c r="W256" s="169">
        <v>5142.4649814930008</v>
      </c>
      <c r="X256" s="2106">
        <f t="shared" si="22"/>
        <v>6847.287442023</v>
      </c>
      <c r="Y256" s="254">
        <v>-1.6</v>
      </c>
      <c r="Z256" s="1796"/>
      <c r="AA256" s="1796"/>
      <c r="AB256" s="1833"/>
    </row>
    <row r="257" spans="1:28">
      <c r="A257" s="63">
        <f t="shared" si="15"/>
        <v>2017.08</v>
      </c>
      <c r="B257" s="169">
        <v>1465183.0090900001</v>
      </c>
      <c r="C257" s="886">
        <f t="shared" si="20"/>
        <v>963092.95671000006</v>
      </c>
      <c r="D257" s="3162">
        <v>116156.20697</v>
      </c>
      <c r="E257" s="180">
        <v>411577.99271000002</v>
      </c>
      <c r="F257" s="3162">
        <v>64121.471669999999</v>
      </c>
      <c r="G257" s="180">
        <v>159360.70360000001</v>
      </c>
      <c r="H257" s="3162">
        <v>131804.75667999999</v>
      </c>
      <c r="I257" s="180">
        <v>58569.372490000002</v>
      </c>
      <c r="J257" s="3162">
        <v>21502.452590000001</v>
      </c>
      <c r="K257" s="180">
        <v>206719.74582000001</v>
      </c>
      <c r="L257" s="3162">
        <v>47351.5164</v>
      </c>
      <c r="M257" s="180">
        <v>78675.927089999997</v>
      </c>
      <c r="N257" s="2095">
        <v>169342.86306999999</v>
      </c>
      <c r="O257" s="569">
        <v>102.09583477328705</v>
      </c>
      <c r="P257" s="2097">
        <v>156311.12</v>
      </c>
      <c r="Q257" s="2097">
        <v>2607847</v>
      </c>
      <c r="R257" s="263">
        <v>9373.5046431117644</v>
      </c>
      <c r="S257" s="203">
        <v>561.83626151764281</v>
      </c>
      <c r="T257" s="1313">
        <v>391525.05200000003</v>
      </c>
      <c r="U257" s="225">
        <v>31154880.941736899</v>
      </c>
      <c r="V257" s="1313">
        <v>1826.6621233799999</v>
      </c>
      <c r="W257" s="169">
        <v>5080.8557456580002</v>
      </c>
      <c r="X257" s="2106">
        <f t="shared" si="22"/>
        <v>6907.5178690379998</v>
      </c>
      <c r="Y257" s="254">
        <v>-0.3</v>
      </c>
      <c r="Z257" s="1796"/>
      <c r="AA257" s="1796"/>
      <c r="AB257" s="1833"/>
    </row>
    <row r="258" spans="1:28">
      <c r="A258" s="63">
        <f t="shared" si="15"/>
        <v>2017.09</v>
      </c>
      <c r="B258" s="169">
        <v>1419047.21217</v>
      </c>
      <c r="C258" s="886">
        <f t="shared" si="20"/>
        <v>978806.89332000003</v>
      </c>
      <c r="D258" s="3162">
        <v>124754.62273</v>
      </c>
      <c r="E258" s="180">
        <v>415542.73590999999</v>
      </c>
      <c r="F258" s="3162">
        <v>63409.798669999996</v>
      </c>
      <c r="G258" s="180">
        <v>160110.94488</v>
      </c>
      <c r="H258" s="3162">
        <v>134666.67465999999</v>
      </c>
      <c r="I258" s="180">
        <v>59192.889640000001</v>
      </c>
      <c r="J258" s="3162">
        <v>21129.22683</v>
      </c>
      <c r="K258" s="180">
        <v>210255.57526000001</v>
      </c>
      <c r="L258" s="3162">
        <v>43656.031819999997</v>
      </c>
      <c r="M258" s="180">
        <v>69255.735650000002</v>
      </c>
      <c r="N258" s="2095">
        <v>117072.97612000001</v>
      </c>
      <c r="O258" s="569">
        <v>103.76971796406664</v>
      </c>
      <c r="P258" s="2097">
        <v>156311.12</v>
      </c>
      <c r="Q258" s="2097">
        <v>2623307</v>
      </c>
      <c r="R258" s="263">
        <v>9078.3509974850167</v>
      </c>
      <c r="S258" s="203">
        <v>540.93829360040593</v>
      </c>
      <c r="T258" s="1313">
        <v>385910.49800000002</v>
      </c>
      <c r="U258" s="225">
        <v>30521506.196270198</v>
      </c>
      <c r="V258" s="1313">
        <v>1725.81506962</v>
      </c>
      <c r="W258" s="169">
        <v>5089.9493000199991</v>
      </c>
      <c r="X258" s="2106">
        <f t="shared" si="22"/>
        <v>6815.7643696399991</v>
      </c>
      <c r="Y258" s="254">
        <v>-0.1</v>
      </c>
      <c r="Z258" s="1796"/>
      <c r="AA258" s="1796"/>
      <c r="AB258" s="1833"/>
    </row>
    <row r="259" spans="1:28">
      <c r="A259" s="63">
        <f t="shared" si="15"/>
        <v>2017.1</v>
      </c>
      <c r="B259" s="169">
        <v>1485668.29749</v>
      </c>
      <c r="C259" s="886">
        <f t="shared" si="20"/>
        <v>997549.61163000006</v>
      </c>
      <c r="D259" s="3162">
        <v>138001.85715</v>
      </c>
      <c r="E259" s="180">
        <v>418735.01319000003</v>
      </c>
      <c r="F259" s="3162">
        <v>62952.737309999997</v>
      </c>
      <c r="G259" s="180">
        <v>158989.58730000001</v>
      </c>
      <c r="H259" s="3162">
        <v>135622.83580999999</v>
      </c>
      <c r="I259" s="180">
        <v>61665.654130000003</v>
      </c>
      <c r="J259" s="3162">
        <v>21581.926739999999</v>
      </c>
      <c r="K259" s="180">
        <v>214954.66503999999</v>
      </c>
      <c r="L259" s="3162">
        <v>51166.581879999998</v>
      </c>
      <c r="M259" s="180">
        <v>97114.938510000007</v>
      </c>
      <c r="N259" s="2095">
        <v>124882.50043</v>
      </c>
      <c r="O259" s="569">
        <v>104.90007451560575</v>
      </c>
      <c r="P259" s="2097">
        <v>156311.12</v>
      </c>
      <c r="Q259" s="2097">
        <v>2696097</v>
      </c>
      <c r="R259" s="263">
        <v>9504.5592245132666</v>
      </c>
      <c r="S259" s="203">
        <v>551.04408242359239</v>
      </c>
      <c r="T259" s="1313">
        <v>465759.10129000002</v>
      </c>
      <c r="U259" s="225">
        <v>32445983.01393</v>
      </c>
      <c r="V259" s="1313">
        <v>1933.1918727199998</v>
      </c>
      <c r="W259" s="169">
        <v>4919.1451864399987</v>
      </c>
      <c r="X259" s="2106">
        <f t="shared" si="22"/>
        <v>6852.3370591599987</v>
      </c>
      <c r="Y259" s="254">
        <v>1.6</v>
      </c>
      <c r="Z259" s="1796"/>
      <c r="AA259" s="1796"/>
      <c r="AB259" s="1833"/>
    </row>
    <row r="260" spans="1:28">
      <c r="A260" s="63">
        <f t="shared" si="15"/>
        <v>2017.11</v>
      </c>
      <c r="B260" s="169">
        <v>1550289.1587799999</v>
      </c>
      <c r="C260" s="886">
        <f t="shared" si="20"/>
        <v>1006179.19867</v>
      </c>
      <c r="D260" s="3162">
        <v>151673.37862999999</v>
      </c>
      <c r="E260" s="180">
        <v>410328.88712999999</v>
      </c>
      <c r="F260" s="3162">
        <v>61705.561670000003</v>
      </c>
      <c r="G260" s="180">
        <v>157349.54717999999</v>
      </c>
      <c r="H260" s="3162">
        <v>136461.12549000001</v>
      </c>
      <c r="I260" s="180">
        <v>66806.232310000007</v>
      </c>
      <c r="J260" s="3162">
        <v>21854.466260000001</v>
      </c>
      <c r="K260" s="180">
        <v>222511.88024</v>
      </c>
      <c r="L260" s="3162">
        <v>51286.246180000002</v>
      </c>
      <c r="M260" s="180">
        <v>105244.57584999999</v>
      </c>
      <c r="N260" s="2095">
        <v>165067.25784000001</v>
      </c>
      <c r="O260" s="569">
        <v>106.20554658569938</v>
      </c>
      <c r="P260" s="2097">
        <v>156311.12</v>
      </c>
      <c r="Q260" s="2097">
        <v>2695204</v>
      </c>
      <c r="R260" s="263">
        <v>9917.9710233027563</v>
      </c>
      <c r="S260" s="203">
        <v>575.20290070065198</v>
      </c>
      <c r="T260" s="1313">
        <v>506594.70549000002</v>
      </c>
      <c r="U260" s="225">
        <v>33628982.657096297</v>
      </c>
      <c r="V260" s="1313">
        <v>2007.5665038000002</v>
      </c>
      <c r="W260" s="169">
        <v>5305.9960235331009</v>
      </c>
      <c r="X260" s="2106">
        <f t="shared" si="22"/>
        <v>7313.5625273331007</v>
      </c>
      <c r="Y260" s="254">
        <v>0.4</v>
      </c>
      <c r="Z260" s="1796"/>
      <c r="AA260" s="1796"/>
      <c r="AB260" s="1833"/>
    </row>
    <row r="261" spans="1:28">
      <c r="A261" s="63">
        <f t="shared" si="15"/>
        <v>2017.12</v>
      </c>
      <c r="B261" s="169">
        <v>1987564.62173</v>
      </c>
      <c r="C261" s="886">
        <f t="shared" si="20"/>
        <v>1272338.63791</v>
      </c>
      <c r="D261" s="3162">
        <v>246211.52908000001</v>
      </c>
      <c r="E261" s="180">
        <v>522294.91211999999</v>
      </c>
      <c r="F261" s="3162">
        <v>76218.006680000006</v>
      </c>
      <c r="G261" s="180">
        <v>160236.81963000001</v>
      </c>
      <c r="H261" s="3162">
        <v>163751.15153</v>
      </c>
      <c r="I261" s="180">
        <v>76300.087360000005</v>
      </c>
      <c r="J261" s="3162">
        <v>27326.131509999999</v>
      </c>
      <c r="K261" s="180">
        <v>245189.31292</v>
      </c>
      <c r="L261" s="3162">
        <v>77262.605930000005</v>
      </c>
      <c r="M261" s="180">
        <v>119459.2583</v>
      </c>
      <c r="N261" s="2095">
        <v>273314.80667000002</v>
      </c>
      <c r="O261" s="569">
        <v>107.36998904437722</v>
      </c>
      <c r="P261" s="2097">
        <v>156311.12</v>
      </c>
      <c r="Q261" s="2097">
        <v>2954363</v>
      </c>
      <c r="R261" s="263">
        <v>12715.439705953102</v>
      </c>
      <c r="S261" s="203">
        <v>672.75572491599712</v>
      </c>
      <c r="T261" s="1313">
        <v>446036.8247</v>
      </c>
      <c r="U261" s="225">
        <v>40766322.1043007</v>
      </c>
      <c r="V261" s="1313">
        <v>2216.5160530499998</v>
      </c>
      <c r="W261" s="169">
        <v>6175.5418681227002</v>
      </c>
      <c r="X261" s="2106">
        <f t="shared" si="22"/>
        <v>8392.0579211726999</v>
      </c>
      <c r="Y261" s="254">
        <v>1.1000000000000001</v>
      </c>
      <c r="Z261" s="1796"/>
      <c r="AA261" s="1796"/>
      <c r="AB261" s="1833"/>
    </row>
    <row r="262" spans="1:28">
      <c r="A262" s="63">
        <f t="shared" si="15"/>
        <v>2018.01</v>
      </c>
      <c r="B262" s="169">
        <v>1552347.3769499999</v>
      </c>
      <c r="C262" s="886">
        <f t="shared" si="20"/>
        <v>1009339.9755399999</v>
      </c>
      <c r="D262" s="3162">
        <v>149820.16422000001</v>
      </c>
      <c r="E262" s="180">
        <v>408789.96646000003</v>
      </c>
      <c r="F262" s="3162">
        <v>61548.30904</v>
      </c>
      <c r="G262" s="180">
        <v>150514.79412000001</v>
      </c>
      <c r="H262" s="3162">
        <v>141898.44667999999</v>
      </c>
      <c r="I262" s="180">
        <v>73990.675069999998</v>
      </c>
      <c r="J262" s="3162">
        <v>22777.61995</v>
      </c>
      <c r="K262" s="180">
        <v>229497.54156000001</v>
      </c>
      <c r="L262" s="3162">
        <v>54552.686549999999</v>
      </c>
      <c r="M262" s="180">
        <v>86516.176829999997</v>
      </c>
      <c r="N262" s="2095">
        <v>172440.99647000001</v>
      </c>
      <c r="O262" s="569">
        <v>109.05244919066261</v>
      </c>
      <c r="P262" s="2097">
        <v>156311.12</v>
      </c>
      <c r="Q262" s="2097">
        <v>2693016</v>
      </c>
      <c r="R262" s="263">
        <v>9931.138468907393</v>
      </c>
      <c r="S262" s="203">
        <v>576.4345168948123</v>
      </c>
      <c r="T262" s="1313">
        <v>376100.14958000003</v>
      </c>
      <c r="U262" s="225">
        <v>32479208.005573999</v>
      </c>
      <c r="V262" s="1313">
        <v>1865.9030468999999</v>
      </c>
      <c r="W262" s="169">
        <v>5019.9119275046987</v>
      </c>
      <c r="X262" s="2106">
        <f t="shared" si="22"/>
        <v>6885.8149744046987</v>
      </c>
      <c r="Y262" s="254">
        <v>-1</v>
      </c>
      <c r="Z262" s="1796"/>
      <c r="AA262" s="1796"/>
      <c r="AB262" s="1833"/>
    </row>
    <row r="263" spans="1:28">
      <c r="A263" s="63">
        <f t="shared" si="15"/>
        <v>2018.02</v>
      </c>
      <c r="B263" s="169">
        <v>1513562.2683999999</v>
      </c>
      <c r="C263" s="886">
        <f t="shared" si="20"/>
        <v>1004486.74867</v>
      </c>
      <c r="D263" s="3162">
        <v>153979.16336999999</v>
      </c>
      <c r="E263" s="180">
        <v>395790.21097000001</v>
      </c>
      <c r="F263" s="3162">
        <v>62189.504249999998</v>
      </c>
      <c r="G263" s="180">
        <v>150926.78338000001</v>
      </c>
      <c r="H263" s="3162">
        <v>145915.05017</v>
      </c>
      <c r="I263" s="180">
        <v>73115.837220000001</v>
      </c>
      <c r="J263" s="3162">
        <v>22570.19931</v>
      </c>
      <c r="K263" s="180">
        <v>217805.99664</v>
      </c>
      <c r="L263" s="3162">
        <v>53136.09474</v>
      </c>
      <c r="M263" s="180">
        <v>76843.855230000001</v>
      </c>
      <c r="N263" s="2095">
        <v>161289.57311999999</v>
      </c>
      <c r="O263" s="569">
        <v>111.07159098136496</v>
      </c>
      <c r="P263" s="2097">
        <v>156311.12</v>
      </c>
      <c r="Q263" s="2097">
        <v>2629040</v>
      </c>
      <c r="R263" s="263">
        <v>9683.0108337781712</v>
      </c>
      <c r="S263" s="203">
        <v>575.70910613760145</v>
      </c>
      <c r="T263" s="1313">
        <v>379379.71863999998</v>
      </c>
      <c r="U263" s="225">
        <v>31736824.552139997</v>
      </c>
      <c r="V263" s="1313">
        <v>1697.3821928500001</v>
      </c>
      <c r="W263" s="169">
        <v>4902.5376153894977</v>
      </c>
      <c r="X263" s="2106">
        <f t="shared" si="22"/>
        <v>6599.9198082394978</v>
      </c>
      <c r="Y263" s="254">
        <v>-1.5</v>
      </c>
      <c r="Z263" s="1796"/>
      <c r="AA263" s="1796"/>
      <c r="AB263" s="1833"/>
    </row>
    <row r="264" spans="1:28">
      <c r="A264" s="63">
        <f t="shared" si="15"/>
        <v>2018.03</v>
      </c>
      <c r="B264" s="169">
        <v>1770222.9038800001</v>
      </c>
      <c r="C264" s="886">
        <f t="shared" si="20"/>
        <v>1227378.1749</v>
      </c>
      <c r="D264" s="3162">
        <v>170808.58760999999</v>
      </c>
      <c r="E264" s="180">
        <v>515359.49125999998</v>
      </c>
      <c r="F264" s="3162">
        <v>83146.575930000006</v>
      </c>
      <c r="G264" s="180">
        <v>180276.12297999999</v>
      </c>
      <c r="H264" s="3162">
        <v>172309.6931</v>
      </c>
      <c r="I264" s="180">
        <v>79169.508879999994</v>
      </c>
      <c r="J264" s="3162">
        <v>26308.19514</v>
      </c>
      <c r="K264" s="180">
        <v>250838.1042</v>
      </c>
      <c r="L264" s="3162">
        <v>54659.2572</v>
      </c>
      <c r="M264" s="180">
        <v>88641.654819999996</v>
      </c>
      <c r="N264" s="2095">
        <v>148705.71275999999</v>
      </c>
      <c r="O264" s="569">
        <v>113.68601079602615</v>
      </c>
      <c r="P264" s="2097">
        <v>156311.12</v>
      </c>
      <c r="Q264" s="2097">
        <v>2995251</v>
      </c>
      <c r="R264" s="263">
        <v>11324.996608558622</v>
      </c>
      <c r="S264" s="203">
        <v>591.00986991741252</v>
      </c>
      <c r="T264" s="1313">
        <v>475878.27402999997</v>
      </c>
      <c r="U264" s="225">
        <v>36531291.328669995</v>
      </c>
      <c r="V264" s="1313">
        <v>1986.3718478300002</v>
      </c>
      <c r="W264" s="169">
        <v>5867.5657126900005</v>
      </c>
      <c r="X264" s="2106">
        <f t="shared" si="22"/>
        <v>7853.9375605200003</v>
      </c>
      <c r="Y264" s="254">
        <v>-2</v>
      </c>
      <c r="Z264" s="1796"/>
      <c r="AA264" s="1796"/>
      <c r="AB264" s="1833"/>
    </row>
    <row r="265" spans="1:28">
      <c r="A265" s="63">
        <f t="shared" si="15"/>
        <v>2018.04</v>
      </c>
      <c r="B265" s="169">
        <v>1670903.1179800001</v>
      </c>
      <c r="C265" s="886">
        <f t="shared" si="20"/>
        <v>1152622.0331400002</v>
      </c>
      <c r="D265" s="3162">
        <v>155442.52983000001</v>
      </c>
      <c r="E265" s="180">
        <v>493776.75868000003</v>
      </c>
      <c r="F265" s="3162">
        <v>70938.348440000002</v>
      </c>
      <c r="G265" s="180">
        <v>171614.68137999999</v>
      </c>
      <c r="H265" s="3162">
        <v>165364.70110000001</v>
      </c>
      <c r="I265" s="180">
        <v>70927.68161</v>
      </c>
      <c r="J265" s="3162">
        <v>24557.3321</v>
      </c>
      <c r="K265" s="180">
        <v>240697.42376000001</v>
      </c>
      <c r="L265" s="3162">
        <v>54220.556100000002</v>
      </c>
      <c r="M265" s="180">
        <v>90256.442219999997</v>
      </c>
      <c r="N265" s="2095">
        <v>133106.66276000001</v>
      </c>
      <c r="O265" s="569">
        <v>115.87201520836852</v>
      </c>
      <c r="P265" s="2097">
        <v>156311.12</v>
      </c>
      <c r="Q265" s="2097">
        <v>2781655</v>
      </c>
      <c r="R265" s="263">
        <v>10689.598526195705</v>
      </c>
      <c r="S265" s="203">
        <v>600.68668399927378</v>
      </c>
      <c r="T265" s="1313">
        <v>491474.68861999997</v>
      </c>
      <c r="U265" s="225">
        <v>34113745.6668</v>
      </c>
      <c r="V265" s="1313">
        <v>1924.4916181349997</v>
      </c>
      <c r="W265" s="169">
        <v>5545.5208673159004</v>
      </c>
      <c r="X265" s="2106">
        <f t="shared" si="22"/>
        <v>7470.0124854509004</v>
      </c>
      <c r="Y265" s="254">
        <v>-3</v>
      </c>
      <c r="Z265" s="1796"/>
      <c r="AA265" s="1796"/>
      <c r="AB265" s="1833"/>
    </row>
    <row r="266" spans="1:28">
      <c r="A266" s="63">
        <f t="shared" si="15"/>
        <v>2018.05</v>
      </c>
      <c r="B266" s="169">
        <v>1728427.3989800001</v>
      </c>
      <c r="C266" s="886">
        <f t="shared" si="20"/>
        <v>1148937.0342300001</v>
      </c>
      <c r="D266" s="3162">
        <v>140983.0061</v>
      </c>
      <c r="E266" s="180">
        <v>491223.89264999999</v>
      </c>
      <c r="F266" s="3162">
        <v>75565.605429999996</v>
      </c>
      <c r="G266" s="180">
        <v>176161.70371</v>
      </c>
      <c r="H266" s="3162">
        <v>170349.11853000001</v>
      </c>
      <c r="I266" s="180">
        <v>69994.132639999996</v>
      </c>
      <c r="J266" s="3162">
        <v>24659.57517</v>
      </c>
      <c r="K266" s="180">
        <v>237537.69398000001</v>
      </c>
      <c r="L266" s="3162">
        <v>72651.490279999998</v>
      </c>
      <c r="M266" s="180">
        <v>136531.87839999999</v>
      </c>
      <c r="N266" s="2095">
        <v>132769.30209000001</v>
      </c>
      <c r="O266" s="569">
        <v>119.33014417601299</v>
      </c>
      <c r="P266" s="2097">
        <v>156311.12</v>
      </c>
      <c r="Q266" s="2097">
        <v>2786736</v>
      </c>
      <c r="R266" s="263">
        <v>11057.609970295141</v>
      </c>
      <c r="S266" s="203">
        <v>620.23363496936929</v>
      </c>
      <c r="T266" s="1313">
        <v>725754.79769000004</v>
      </c>
      <c r="U266" s="225">
        <v>35133146.391274996</v>
      </c>
      <c r="V266" s="1313">
        <v>2056.51058775</v>
      </c>
      <c r="W266" s="169">
        <v>5887.4721893640017</v>
      </c>
      <c r="X266" s="2106">
        <f t="shared" si="22"/>
        <v>7943.9827771140017</v>
      </c>
      <c r="Y266" s="254">
        <v>-4.8</v>
      </c>
      <c r="Z266" s="1796"/>
      <c r="AA266" s="1796"/>
      <c r="AB266" s="1833"/>
    </row>
    <row r="267" spans="1:28">
      <c r="A267" s="63">
        <f t="shared" si="15"/>
        <v>2018.06</v>
      </c>
      <c r="B267" s="169">
        <v>1904393.3761199999</v>
      </c>
      <c r="C267" s="886">
        <f t="shared" si="20"/>
        <v>1268405.44885</v>
      </c>
      <c r="D267" s="3162">
        <v>160053.81365</v>
      </c>
      <c r="E267" s="180">
        <v>553212.94030999998</v>
      </c>
      <c r="F267" s="3162">
        <v>83855.41893</v>
      </c>
      <c r="G267" s="180">
        <v>185583.16232</v>
      </c>
      <c r="H267" s="3162">
        <v>187455.28507000001</v>
      </c>
      <c r="I267" s="180">
        <v>72199.247820000004</v>
      </c>
      <c r="J267" s="3162">
        <v>26045.580750000001</v>
      </c>
      <c r="K267" s="180">
        <v>251587.45285</v>
      </c>
      <c r="L267" s="3162">
        <v>91212.508100000006</v>
      </c>
      <c r="M267" s="180">
        <v>147091.37792999999</v>
      </c>
      <c r="N267" s="2095">
        <v>146096.58838999999</v>
      </c>
      <c r="O267" s="569">
        <v>125.30730560824901</v>
      </c>
      <c r="P267" s="2097">
        <v>156311.12</v>
      </c>
      <c r="Q267" s="2097">
        <v>2901257</v>
      </c>
      <c r="R267" s="263">
        <v>12183.351869783801</v>
      </c>
      <c r="S267" s="203">
        <v>656.40285439035563</v>
      </c>
      <c r="T267" s="1313">
        <v>593413.63629000005</v>
      </c>
      <c r="U267" s="225">
        <v>38338209.745656505</v>
      </c>
      <c r="V267" s="1313">
        <v>1955.7087632100004</v>
      </c>
      <c r="W267" s="169">
        <v>6197.4428586815748</v>
      </c>
      <c r="X267" s="2106">
        <f t="shared" si="22"/>
        <v>8153.1516218915749</v>
      </c>
      <c r="Y267" s="254">
        <v>-4.2</v>
      </c>
      <c r="Z267" s="1796"/>
      <c r="AA267" s="1796"/>
      <c r="AB267" s="1833"/>
    </row>
    <row r="268" spans="1:28">
      <c r="A268" s="63">
        <f t="shared" si="15"/>
        <v>2018.07</v>
      </c>
      <c r="B268" s="169">
        <v>1921431.68744</v>
      </c>
      <c r="C268" s="886">
        <f t="shared" si="20"/>
        <v>1300000.7097200002</v>
      </c>
      <c r="D268" s="3162">
        <v>157279.89821000001</v>
      </c>
      <c r="E268" s="180">
        <v>571582.94703000004</v>
      </c>
      <c r="F268" s="3162">
        <v>87268.53701</v>
      </c>
      <c r="G268" s="180">
        <v>190404.58968</v>
      </c>
      <c r="H268" s="3162">
        <v>190126.45342999999</v>
      </c>
      <c r="I268" s="180">
        <v>76344.803190000006</v>
      </c>
      <c r="J268" s="3162">
        <v>26993.481169999999</v>
      </c>
      <c r="K268" s="180">
        <v>260301.68148</v>
      </c>
      <c r="L268" s="3162">
        <v>89519.46617</v>
      </c>
      <c r="M268" s="180">
        <v>98322.263699999996</v>
      </c>
      <c r="N268" s="2095">
        <v>173287.56636999999</v>
      </c>
      <c r="O268" s="569">
        <v>130.43423991133739</v>
      </c>
      <c r="P268" s="2097">
        <v>156311.12</v>
      </c>
      <c r="Q268" s="2097">
        <v>2925319</v>
      </c>
      <c r="R268" s="263">
        <v>12292.354423920704</v>
      </c>
      <c r="S268" s="203">
        <v>656.82808864264041</v>
      </c>
      <c r="T268" s="1313">
        <v>581799.05619000003</v>
      </c>
      <c r="U268" s="225">
        <v>39278449.9626422</v>
      </c>
      <c r="V268" s="1313">
        <v>2130.77775023</v>
      </c>
      <c r="W268" s="169">
        <v>6667.1704899389997</v>
      </c>
      <c r="X268" s="2106">
        <f t="shared" si="22"/>
        <v>8797.9482401690002</v>
      </c>
      <c r="Y268" s="254">
        <v>-5.8</v>
      </c>
      <c r="Z268" s="1796"/>
      <c r="AA268" s="1796"/>
      <c r="AB268" s="1833"/>
    </row>
    <row r="269" spans="1:28">
      <c r="A269" s="63">
        <f t="shared" si="15"/>
        <v>2018.08</v>
      </c>
      <c r="B269" s="169">
        <v>1946379.81174</v>
      </c>
      <c r="C269" s="886">
        <f t="shared" si="20"/>
        <v>1326724.8311400001</v>
      </c>
      <c r="D269" s="3162">
        <v>157609.52716</v>
      </c>
      <c r="E269" s="180">
        <v>580469.23326999997</v>
      </c>
      <c r="F269" s="3162">
        <v>87346.872229999994</v>
      </c>
      <c r="G269" s="180">
        <v>195796.50706999999</v>
      </c>
      <c r="H269" s="3162">
        <v>198554.42876000001</v>
      </c>
      <c r="I269" s="180">
        <v>79330.372690000004</v>
      </c>
      <c r="J269" s="3162">
        <v>27617.88996</v>
      </c>
      <c r="K269" s="180">
        <v>260848.9039</v>
      </c>
      <c r="L269" s="3162">
        <v>63769.484259999997</v>
      </c>
      <c r="M269" s="180">
        <v>84470.424299999999</v>
      </c>
      <c r="N269" s="2095">
        <v>210566.16813999999</v>
      </c>
      <c r="O269" s="569">
        <v>134.96835220747744</v>
      </c>
      <c r="P269" s="2097">
        <v>156311.12</v>
      </c>
      <c r="Q269" s="2097">
        <v>2927716</v>
      </c>
      <c r="R269" s="263">
        <v>12451.959986851862</v>
      </c>
      <c r="S269" s="203">
        <v>664.81168656386058</v>
      </c>
      <c r="T269" s="1313">
        <v>639204.78983999998</v>
      </c>
      <c r="U269" s="225">
        <v>39491907.274194099</v>
      </c>
      <c r="V269" s="1313">
        <v>2293.64512311</v>
      </c>
      <c r="W269" s="169">
        <v>6587.8562538588758</v>
      </c>
      <c r="X269" s="2106">
        <f t="shared" si="22"/>
        <v>8881.5013769688758</v>
      </c>
      <c r="Y269" s="254">
        <v>-8</v>
      </c>
      <c r="Z269" s="1796"/>
      <c r="AA269" s="1796"/>
      <c r="AB269" s="1833"/>
    </row>
    <row r="270" spans="1:28">
      <c r="A270" s="63">
        <f t="shared" ref="A270:A333" si="23">A258+1</f>
        <v>2018.09</v>
      </c>
      <c r="B270" s="169">
        <v>1862865.90056</v>
      </c>
      <c r="C270" s="886">
        <f t="shared" si="20"/>
        <v>1322041.1811800001</v>
      </c>
      <c r="D270" s="3162">
        <v>172776.23452999999</v>
      </c>
      <c r="E270" s="180">
        <v>560288.96996000002</v>
      </c>
      <c r="F270" s="3162">
        <v>85129.795920000004</v>
      </c>
      <c r="G270" s="180">
        <v>196920.83022</v>
      </c>
      <c r="H270" s="3162">
        <v>203150.6948</v>
      </c>
      <c r="I270" s="180">
        <v>76453.761280000006</v>
      </c>
      <c r="J270" s="3162">
        <v>27320.894469999999</v>
      </c>
      <c r="K270" s="180">
        <v>277552.52166000003</v>
      </c>
      <c r="L270" s="3162">
        <v>47648.291279999998</v>
      </c>
      <c r="M270" s="180">
        <v>75561.808990000005</v>
      </c>
      <c r="N270" s="2095">
        <v>140062.09745</v>
      </c>
      <c r="O270" s="569">
        <v>147.43160445924593</v>
      </c>
      <c r="P270" s="2097">
        <v>156311.12</v>
      </c>
      <c r="Q270" s="2097">
        <v>2806675</v>
      </c>
      <c r="R270" s="263">
        <v>11917.679948553885</v>
      </c>
      <c r="S270" s="203">
        <v>663.72697250661372</v>
      </c>
      <c r="T270" s="1313">
        <v>612546.82256999996</v>
      </c>
      <c r="U270" s="225">
        <v>39925548.997542202</v>
      </c>
      <c r="V270" s="1313">
        <v>2558.4935904300009</v>
      </c>
      <c r="W270" s="169">
        <v>6228.7424038828913</v>
      </c>
      <c r="X270" s="2106">
        <f t="shared" si="22"/>
        <v>8787.2359943128922</v>
      </c>
      <c r="Y270" s="254">
        <v>-8.1999999999999993</v>
      </c>
      <c r="Z270" s="1796"/>
      <c r="AA270" s="1796"/>
      <c r="AB270" s="1833"/>
    </row>
    <row r="271" spans="1:28">
      <c r="A271" s="63">
        <f t="shared" si="23"/>
        <v>2018.1</v>
      </c>
      <c r="B271" s="169">
        <v>2048284.0582099999</v>
      </c>
      <c r="C271" s="886">
        <f t="shared" si="20"/>
        <v>1435064.53247</v>
      </c>
      <c r="D271" s="3162">
        <v>189818.97448</v>
      </c>
      <c r="E271" s="180">
        <v>611068.51388999994</v>
      </c>
      <c r="F271" s="3162">
        <v>91701.639490000001</v>
      </c>
      <c r="G271" s="180">
        <v>208547.587</v>
      </c>
      <c r="H271" s="3162">
        <v>219085.17128000001</v>
      </c>
      <c r="I271" s="180">
        <v>85889.127380000005</v>
      </c>
      <c r="J271" s="3162">
        <v>28953.518950000001</v>
      </c>
      <c r="K271" s="180">
        <v>303345.52841999999</v>
      </c>
      <c r="L271" s="3162">
        <v>58985.812810000003</v>
      </c>
      <c r="M271" s="180">
        <v>93138.983720000004</v>
      </c>
      <c r="N271" s="2095">
        <v>157749.20079</v>
      </c>
      <c r="O271" s="569">
        <v>155.85076582551284</v>
      </c>
      <c r="P271" s="2097">
        <v>156311.12</v>
      </c>
      <c r="Q271" s="2097">
        <v>2941357</v>
      </c>
      <c r="R271" s="263">
        <v>13103.89214925976</v>
      </c>
      <c r="S271" s="203">
        <v>696.373836365324</v>
      </c>
      <c r="T271" s="1313">
        <v>773767.11679999996</v>
      </c>
      <c r="U271" s="225">
        <v>43420253.822487995</v>
      </c>
      <c r="V271" s="1313">
        <v>3054.7745219330004</v>
      </c>
      <c r="W271" s="169">
        <v>6825.8870005054314</v>
      </c>
      <c r="X271" s="2106">
        <f t="shared" si="22"/>
        <v>9880.6615224384313</v>
      </c>
      <c r="Y271" s="254">
        <v>-9.4</v>
      </c>
      <c r="Z271" s="1796"/>
      <c r="AA271" s="1796"/>
      <c r="AB271" s="1833"/>
    </row>
    <row r="272" spans="1:28">
      <c r="A272" s="63">
        <f t="shared" si="23"/>
        <v>2018.11</v>
      </c>
      <c r="B272" s="169">
        <v>2107533.5497499998</v>
      </c>
      <c r="C272" s="886">
        <f t="shared" si="20"/>
        <v>1456502.5048699998</v>
      </c>
      <c r="D272" s="3162">
        <v>214993.24311000001</v>
      </c>
      <c r="E272" s="180">
        <v>602041.02618000004</v>
      </c>
      <c r="F272" s="3162">
        <v>91511.226999999999</v>
      </c>
      <c r="G272" s="180">
        <v>208111.17934999999</v>
      </c>
      <c r="H272" s="3162">
        <v>220748.10188</v>
      </c>
      <c r="I272" s="180">
        <v>90497.410369999998</v>
      </c>
      <c r="J272" s="3162">
        <v>28600.31698</v>
      </c>
      <c r="K272" s="180">
        <v>317459.89948999998</v>
      </c>
      <c r="L272" s="3162">
        <v>58756.608650000002</v>
      </c>
      <c r="M272" s="180">
        <v>92581.561029999997</v>
      </c>
      <c r="N272" s="2095">
        <v>182232.97571</v>
      </c>
      <c r="O272" s="569">
        <v>161.74872152431271</v>
      </c>
      <c r="P272" s="2097">
        <v>156311.12</v>
      </c>
      <c r="Q272" s="2097">
        <v>2870876</v>
      </c>
      <c r="R272" s="263">
        <v>13482.940623482193</v>
      </c>
      <c r="S272" s="203">
        <v>734.10817804391399</v>
      </c>
      <c r="T272" s="1313">
        <v>772485.21409000002</v>
      </c>
      <c r="U272" s="225">
        <v>44849446.006033003</v>
      </c>
      <c r="V272" s="1313">
        <v>3199.6928330100004</v>
      </c>
      <c r="W272" s="169">
        <v>7040.8669075832204</v>
      </c>
      <c r="X272" s="2106">
        <f t="shared" si="22"/>
        <v>10240.55974059322</v>
      </c>
      <c r="Y272" s="254">
        <v>-15.6</v>
      </c>
      <c r="Z272" s="1796"/>
      <c r="AA272" s="1796"/>
      <c r="AB272" s="1833"/>
    </row>
    <row r="273" spans="1:28">
      <c r="A273" s="63">
        <f t="shared" si="23"/>
        <v>2018.12</v>
      </c>
      <c r="B273" s="169">
        <v>2821576.96056</v>
      </c>
      <c r="C273" s="886">
        <f t="shared" si="20"/>
        <v>1876986.5346100002</v>
      </c>
      <c r="D273" s="3162">
        <v>364005.65912999999</v>
      </c>
      <c r="E273" s="180">
        <v>775102.01740000001</v>
      </c>
      <c r="F273" s="3162">
        <v>116773.63015</v>
      </c>
      <c r="G273" s="180">
        <v>220395.8407</v>
      </c>
      <c r="H273" s="3162">
        <v>264270.47833000001</v>
      </c>
      <c r="I273" s="180">
        <v>100687.27509</v>
      </c>
      <c r="J273" s="3162">
        <v>35751.633809999999</v>
      </c>
      <c r="K273" s="180">
        <v>366420.97102</v>
      </c>
      <c r="L273" s="3162">
        <v>101972.48903</v>
      </c>
      <c r="M273" s="180">
        <v>118428.85342</v>
      </c>
      <c r="N273" s="2095">
        <v>357768.11248000001</v>
      </c>
      <c r="O273" s="569">
        <v>164.93011282049824</v>
      </c>
      <c r="P273" s="2097">
        <v>156972.12</v>
      </c>
      <c r="Q273" s="2097">
        <v>3160029</v>
      </c>
      <c r="R273" s="263">
        <v>17975.01977140909</v>
      </c>
      <c r="S273" s="203">
        <v>892.89590714515612</v>
      </c>
      <c r="T273" s="1313">
        <v>751599.44123</v>
      </c>
      <c r="U273" s="225">
        <v>57203955.863619998</v>
      </c>
      <c r="V273" s="1313">
        <v>3681.3600485399998</v>
      </c>
      <c r="W273" s="169">
        <v>8526.440369829912</v>
      </c>
      <c r="X273" s="2106">
        <f t="shared" si="22"/>
        <v>12207.800418369912</v>
      </c>
      <c r="Y273" s="254">
        <v>-9.9</v>
      </c>
      <c r="Z273" s="1796"/>
      <c r="AA273" s="1796"/>
      <c r="AB273" s="1833"/>
    </row>
    <row r="274" spans="1:28">
      <c r="A274" s="63">
        <f t="shared" si="23"/>
        <v>2019.01</v>
      </c>
      <c r="B274" s="169">
        <v>2180110.5885999999</v>
      </c>
      <c r="C274" s="886">
        <f t="shared" si="20"/>
        <v>1447912.0562100001</v>
      </c>
      <c r="D274" s="3162">
        <v>206227.99755</v>
      </c>
      <c r="E274" s="180">
        <v>586974.33632999996</v>
      </c>
      <c r="F274" s="3162">
        <v>92537.866810000007</v>
      </c>
      <c r="G274" s="180">
        <v>209357.02119</v>
      </c>
      <c r="H274" s="3162">
        <v>227667.80035999999</v>
      </c>
      <c r="I274" s="180">
        <v>94689.517129999993</v>
      </c>
      <c r="J274" s="3162">
        <v>30457.51684</v>
      </c>
      <c r="K274" s="180">
        <v>345493.13578999997</v>
      </c>
      <c r="L274" s="3162">
        <v>79819.058789999995</v>
      </c>
      <c r="M274" s="180">
        <v>92372.792759999997</v>
      </c>
      <c r="N274" s="2095">
        <v>214513.54504999999</v>
      </c>
      <c r="O274" s="569">
        <v>170.73514928656965</v>
      </c>
      <c r="P274" s="2097">
        <v>156972.12</v>
      </c>
      <c r="Q274" s="2097">
        <v>5263434</v>
      </c>
      <c r="R274" s="263">
        <v>13888.521022714098</v>
      </c>
      <c r="S274" s="203">
        <v>414.19928293961698</v>
      </c>
      <c r="T274" s="1313">
        <v>693048.47042999999</v>
      </c>
      <c r="U274" s="225">
        <v>45433623.712056004</v>
      </c>
      <c r="V274" s="1313">
        <v>3399.9400030399997</v>
      </c>
      <c r="W274" s="169">
        <v>6886.6315978602797</v>
      </c>
      <c r="X274" s="2106">
        <f t="shared" si="22"/>
        <v>10286.571600900279</v>
      </c>
      <c r="Y274" s="254">
        <v>-10</v>
      </c>
      <c r="Z274" s="1796"/>
      <c r="AA274" s="1796"/>
      <c r="AB274" s="1833"/>
    </row>
    <row r="275" spans="1:28">
      <c r="A275" s="63">
        <f t="shared" si="23"/>
        <v>2019.02</v>
      </c>
      <c r="B275" s="169">
        <v>2146122.1786722201</v>
      </c>
      <c r="C275" s="886">
        <f t="shared" si="20"/>
        <v>1474157.5961600002</v>
      </c>
      <c r="D275" s="3162">
        <v>212631.34306000001</v>
      </c>
      <c r="E275" s="180">
        <v>585456.89</v>
      </c>
      <c r="F275" s="3162">
        <v>91279.745259999996</v>
      </c>
      <c r="G275" s="180">
        <v>211560.47923999999</v>
      </c>
      <c r="H275" s="3162">
        <v>246253.08304999999</v>
      </c>
      <c r="I275" s="180">
        <v>96849.561589999998</v>
      </c>
      <c r="J275" s="3162">
        <v>30126.49396</v>
      </c>
      <c r="K275" s="180">
        <v>323597.80482999998</v>
      </c>
      <c r="L275" s="3162">
        <v>60416.719149999997</v>
      </c>
      <c r="M275" s="180">
        <v>84056.575599999996</v>
      </c>
      <c r="N275" s="2095">
        <v>203893.48293222001</v>
      </c>
      <c r="O275" s="569">
        <v>177.58386636899735</v>
      </c>
      <c r="P275" s="2097">
        <v>157784.12</v>
      </c>
      <c r="Q275" s="2097">
        <v>2723141</v>
      </c>
      <c r="R275" s="263">
        <v>13601.636075114657</v>
      </c>
      <c r="S275" s="203">
        <v>788.10541895268</v>
      </c>
      <c r="T275" s="1313">
        <v>677957.83978000004</v>
      </c>
      <c r="U275" s="225">
        <v>44592144.895342201</v>
      </c>
      <c r="V275" s="1313">
        <v>3071.6627410699998</v>
      </c>
      <c r="W275" s="169">
        <v>7043.1661565558561</v>
      </c>
      <c r="X275" s="2106">
        <f t="shared" si="22"/>
        <v>10114.828897625855</v>
      </c>
      <c r="Y275" s="254">
        <v>-11.9</v>
      </c>
      <c r="Z275" s="1796"/>
      <c r="AA275" s="1796"/>
      <c r="AB275" s="1833"/>
    </row>
    <row r="276" spans="1:28">
      <c r="A276" s="63">
        <f t="shared" si="23"/>
        <v>2019.03</v>
      </c>
      <c r="B276" s="169">
        <v>2497845.4540400002</v>
      </c>
      <c r="C276" s="886">
        <f t="shared" si="20"/>
        <v>1757534.5616899999</v>
      </c>
      <c r="D276" s="3162">
        <v>219654.26154000001</v>
      </c>
      <c r="E276" s="180">
        <v>706392.03267999995</v>
      </c>
      <c r="F276" s="3162">
        <v>110455.57655</v>
      </c>
      <c r="G276" s="180">
        <v>260253.63084</v>
      </c>
      <c r="H276" s="3162">
        <v>320057.34736000001</v>
      </c>
      <c r="I276" s="180">
        <v>105496.69359</v>
      </c>
      <c r="J276" s="3162">
        <v>35225.019130000001</v>
      </c>
      <c r="K276" s="180">
        <v>365706.10684000002</v>
      </c>
      <c r="L276" s="3162">
        <v>73545.404689999996</v>
      </c>
      <c r="M276" s="180">
        <v>86821.975009999995</v>
      </c>
      <c r="N276" s="2095">
        <v>214237.40581</v>
      </c>
      <c r="O276" s="569">
        <v>185.99091586083318</v>
      </c>
      <c r="P276" s="2097">
        <v>157784.12</v>
      </c>
      <c r="Q276" s="2097">
        <v>3024682</v>
      </c>
      <c r="R276" s="263">
        <v>15830.778496847464</v>
      </c>
      <c r="S276" s="203">
        <v>825.82084795690923</v>
      </c>
      <c r="T276" s="1313">
        <v>717911.57149</v>
      </c>
      <c r="U276" s="225">
        <v>51065694.254649006</v>
      </c>
      <c r="V276" s="1313">
        <v>3634.3679783400003</v>
      </c>
      <c r="W276" s="169">
        <v>8185.419334944163</v>
      </c>
      <c r="X276" s="2106">
        <f t="shared" si="22"/>
        <v>11819.787313284163</v>
      </c>
      <c r="Y276" s="254">
        <v>-11.3</v>
      </c>
      <c r="Z276" s="1796"/>
      <c r="AA276" s="1796"/>
      <c r="AB276" s="1833"/>
    </row>
    <row r="277" spans="1:28">
      <c r="A277" s="63">
        <f t="shared" si="23"/>
        <v>2019.04</v>
      </c>
      <c r="B277" s="169">
        <v>2393001.29935</v>
      </c>
      <c r="C277" s="886">
        <f t="shared" si="20"/>
        <v>1726293.0666299998</v>
      </c>
      <c r="D277" s="3162">
        <v>197527.22699</v>
      </c>
      <c r="E277" s="180">
        <v>724544.39350999997</v>
      </c>
      <c r="F277" s="3162">
        <v>117035.33676999999</v>
      </c>
      <c r="G277" s="180">
        <v>257819.84682000001</v>
      </c>
      <c r="H277" s="3162">
        <v>298288.85600999999</v>
      </c>
      <c r="I277" s="180">
        <v>96082.236529999995</v>
      </c>
      <c r="J277" s="3162">
        <v>34995.17</v>
      </c>
      <c r="K277" s="180">
        <v>354275.45257999998</v>
      </c>
      <c r="L277" s="3162">
        <v>70933.704029999994</v>
      </c>
      <c r="M277" s="180">
        <v>73956.032560000007</v>
      </c>
      <c r="N277" s="2095">
        <v>167543.04355</v>
      </c>
      <c r="O277" s="569">
        <v>193.05869333675622</v>
      </c>
      <c r="P277" s="2097">
        <v>157784.12</v>
      </c>
      <c r="Q277" s="2097">
        <v>2924441</v>
      </c>
      <c r="R277" s="263">
        <v>15166.300001229525</v>
      </c>
      <c r="S277" s="203">
        <v>818.27648406994683</v>
      </c>
      <c r="T277" s="1313">
        <v>681844.10398000001</v>
      </c>
      <c r="U277" s="225">
        <v>49621409.275122002</v>
      </c>
      <c r="V277" s="1313">
        <v>3500.0810189499998</v>
      </c>
      <c r="W277" s="169">
        <v>8112.0115658113955</v>
      </c>
      <c r="X277" s="2106">
        <f t="shared" si="22"/>
        <v>11612.092584761394</v>
      </c>
      <c r="Y277" s="254">
        <v>-13.4</v>
      </c>
      <c r="Z277" s="1796"/>
      <c r="AA277" s="1796"/>
      <c r="AB277" s="1833"/>
    </row>
    <row r="278" spans="1:28">
      <c r="A278" s="63">
        <f t="shared" si="23"/>
        <v>2019.05</v>
      </c>
      <c r="B278" s="169">
        <v>2471399.9374799998</v>
      </c>
      <c r="C278" s="886">
        <f t="shared" si="20"/>
        <v>1745052.5157199998</v>
      </c>
      <c r="D278" s="3162">
        <v>236638.53232999999</v>
      </c>
      <c r="E278" s="180">
        <v>698247.95224000001</v>
      </c>
      <c r="F278" s="3162">
        <v>113548.58765</v>
      </c>
      <c r="G278" s="180">
        <v>278832.05325</v>
      </c>
      <c r="H278" s="3162">
        <v>291035.16196</v>
      </c>
      <c r="I278" s="180">
        <v>91377.997340000002</v>
      </c>
      <c r="J278" s="3162">
        <v>35372.230949999997</v>
      </c>
      <c r="K278" s="180">
        <v>359729.91110000003</v>
      </c>
      <c r="L278" s="3162">
        <v>92584.456869999995</v>
      </c>
      <c r="M278" s="180">
        <v>97989.150739999997</v>
      </c>
      <c r="N278" s="2095">
        <v>176043.90304999999</v>
      </c>
      <c r="O278" s="569">
        <v>199.47559443845338</v>
      </c>
      <c r="P278" s="2097">
        <v>158029.12</v>
      </c>
      <c r="Q278" s="2097">
        <v>2886131</v>
      </c>
      <c r="R278" s="263">
        <v>15638.889449488806</v>
      </c>
      <c r="S278" s="203">
        <v>856.3020658036661</v>
      </c>
      <c r="T278" s="1313">
        <v>964446.87430999998</v>
      </c>
      <c r="U278" s="225">
        <v>50778299.914399996</v>
      </c>
      <c r="V278" s="1313">
        <v>3681.5381861799992</v>
      </c>
      <c r="W278" s="169">
        <v>8588.679594046951</v>
      </c>
      <c r="X278" s="2106">
        <f t="shared" si="22"/>
        <v>12270.217780226951</v>
      </c>
      <c r="Y278" s="254">
        <v>-14.1</v>
      </c>
      <c r="Z278" s="1796"/>
      <c r="AA278" s="1796"/>
      <c r="AB278" s="1833"/>
    </row>
    <row r="279" spans="1:28">
      <c r="A279" s="63">
        <f t="shared" si="23"/>
        <v>2019.06</v>
      </c>
      <c r="B279" s="169">
        <v>2803062.8385700001</v>
      </c>
      <c r="C279" s="886">
        <f t="shared" si="20"/>
        <v>1936880.51299</v>
      </c>
      <c r="D279" s="3162">
        <v>270639.75799000001</v>
      </c>
      <c r="E279" s="180">
        <v>784480.10695000004</v>
      </c>
      <c r="F279" s="3162">
        <v>125674.82016</v>
      </c>
      <c r="G279" s="180">
        <v>310622.53357999999</v>
      </c>
      <c r="H279" s="3162">
        <v>310394.42045999999</v>
      </c>
      <c r="I279" s="180">
        <v>96725.450280000005</v>
      </c>
      <c r="J279" s="3162">
        <v>38343.423569999999</v>
      </c>
      <c r="K279" s="180">
        <v>404072.51740999997</v>
      </c>
      <c r="L279" s="3162">
        <v>119893.21980000001</v>
      </c>
      <c r="M279" s="180">
        <v>133638.20297000001</v>
      </c>
      <c r="N279" s="2095">
        <v>208578.3854</v>
      </c>
      <c r="O279" s="2107">
        <v>205.21322106696945</v>
      </c>
      <c r="P279" s="2097">
        <v>158029.12</v>
      </c>
      <c r="Q279" s="2097">
        <v>3017086</v>
      </c>
      <c r="R279" s="263">
        <v>17737.634928106923</v>
      </c>
      <c r="S279" s="203">
        <v>929.06295629955537</v>
      </c>
      <c r="T279" s="1313">
        <v>821703.36166000005</v>
      </c>
      <c r="U279" s="225">
        <v>54413419.614819996</v>
      </c>
      <c r="V279" s="1313">
        <v>3262.9621553299999</v>
      </c>
      <c r="W279" s="169">
        <v>8860.5004622447796</v>
      </c>
      <c r="X279" s="2106">
        <f t="shared" si="22"/>
        <v>12123.46261757478</v>
      </c>
      <c r="Y279" s="254">
        <v>-12.2</v>
      </c>
      <c r="Z279" s="1796"/>
      <c r="AA279" s="1796"/>
      <c r="AB279" s="1796"/>
    </row>
    <row r="280" spans="1:28">
      <c r="A280" s="63">
        <f t="shared" si="23"/>
        <v>2019.07</v>
      </c>
      <c r="B280" s="169">
        <v>2647196.0758199999</v>
      </c>
      <c r="C280" s="886">
        <f t="shared" si="20"/>
        <v>1846267.5160699999</v>
      </c>
      <c r="D280" s="3162">
        <v>250678.64188000001</v>
      </c>
      <c r="E280" s="180">
        <v>747662.58828000003</v>
      </c>
      <c r="F280" s="3162">
        <v>126836.02632</v>
      </c>
      <c r="G280" s="180">
        <v>291281.31212999998</v>
      </c>
      <c r="H280" s="3162">
        <v>295782.55413</v>
      </c>
      <c r="I280" s="180">
        <v>97181.548920000001</v>
      </c>
      <c r="J280" s="3162">
        <v>36844.844409999998</v>
      </c>
      <c r="K280" s="180">
        <v>369109.15153999999</v>
      </c>
      <c r="L280" s="3162">
        <v>109602.02045</v>
      </c>
      <c r="M280" s="180">
        <v>116912.59973</v>
      </c>
      <c r="N280" s="2095">
        <v>205304.78803</v>
      </c>
      <c r="O280" s="569">
        <v>209.55942828047517</v>
      </c>
      <c r="P280" s="2097">
        <v>158029.12</v>
      </c>
      <c r="Q280" s="2097">
        <v>2907976</v>
      </c>
      <c r="R280" s="263">
        <v>16751.318211605558</v>
      </c>
      <c r="S280" s="203">
        <v>910.32253217358061</v>
      </c>
      <c r="T280" s="1313">
        <v>923140.63295999996</v>
      </c>
      <c r="U280" s="225">
        <v>55044482.257319495</v>
      </c>
      <c r="V280" s="1313">
        <v>3763.46955093</v>
      </c>
      <c r="W280" s="169">
        <v>9146.8152448217861</v>
      </c>
      <c r="X280" s="2106">
        <f t="shared" si="22"/>
        <v>12910.284795751786</v>
      </c>
      <c r="Y280" s="254">
        <v>-7.5</v>
      </c>
      <c r="Z280" s="1796"/>
      <c r="AA280" s="1796"/>
      <c r="AB280" s="1796"/>
    </row>
    <row r="281" spans="1:28">
      <c r="A281" s="63">
        <f t="shared" si="23"/>
        <v>2019.08</v>
      </c>
      <c r="B281" s="169">
        <v>2858938.0277</v>
      </c>
      <c r="C281" s="886">
        <f t="shared" si="20"/>
        <v>2036185.8478900001</v>
      </c>
      <c r="D281" s="3162">
        <v>272837.15970000002</v>
      </c>
      <c r="E281" s="180">
        <v>829366.20915000001</v>
      </c>
      <c r="F281" s="3162">
        <v>132522.94036000001</v>
      </c>
      <c r="G281" s="180">
        <v>318972.03898999997</v>
      </c>
      <c r="H281" s="3162">
        <v>333813.87368000002</v>
      </c>
      <c r="I281" s="180">
        <v>108898.11365</v>
      </c>
      <c r="J281" s="3162">
        <v>39775.512360000001</v>
      </c>
      <c r="K281" s="180">
        <v>373541.96311000001</v>
      </c>
      <c r="L281" s="3162">
        <v>75120.495120000007</v>
      </c>
      <c r="M281" s="180">
        <v>120365.06554</v>
      </c>
      <c r="N281" s="2095">
        <v>253724.65604</v>
      </c>
      <c r="O281" s="569">
        <v>220.17570566224413</v>
      </c>
      <c r="P281" s="2097">
        <v>158029.12</v>
      </c>
      <c r="Q281" s="2097">
        <v>3012020</v>
      </c>
      <c r="R281" s="263">
        <v>18091.210200373196</v>
      </c>
      <c r="S281" s="203">
        <v>949.17630948665669</v>
      </c>
      <c r="T281" s="1313">
        <v>1024177.97836</v>
      </c>
      <c r="U281" s="225">
        <v>59672104.455665998</v>
      </c>
      <c r="V281" s="1313">
        <v>3953.6746143399992</v>
      </c>
      <c r="W281" s="169">
        <v>9759.8262816501428</v>
      </c>
      <c r="X281" s="2106">
        <f t="shared" si="22"/>
        <v>13713.500895990142</v>
      </c>
      <c r="Y281" s="254">
        <v>-18.600000000000001</v>
      </c>
      <c r="Z281" s="1796"/>
      <c r="AA281" s="1796"/>
      <c r="AB281" s="1796"/>
    </row>
    <row r="282" spans="1:28">
      <c r="A282" s="63">
        <f t="shared" si="23"/>
        <v>2019.09</v>
      </c>
      <c r="B282" s="169">
        <v>2732586.2381500001</v>
      </c>
      <c r="C282" s="886">
        <f t="shared" si="20"/>
        <v>1955674.2464599998</v>
      </c>
      <c r="D282" s="3162">
        <v>278209.43672</v>
      </c>
      <c r="E282" s="180">
        <v>747414.24051000003</v>
      </c>
      <c r="F282" s="3162">
        <v>129177.52129999999</v>
      </c>
      <c r="G282" s="180">
        <v>311876.82389</v>
      </c>
      <c r="H282" s="3162">
        <v>339657.67784999998</v>
      </c>
      <c r="I282" s="180">
        <v>110156.69034</v>
      </c>
      <c r="J282" s="3162">
        <v>39181.85585</v>
      </c>
      <c r="K282" s="180">
        <v>411752.98145000002</v>
      </c>
      <c r="L282" s="3162">
        <v>71773.320949999994</v>
      </c>
      <c r="M282" s="180">
        <v>101817.9663</v>
      </c>
      <c r="N282" s="2095">
        <v>191567.72299000001</v>
      </c>
      <c r="O282" s="2107">
        <v>234.65945418227832</v>
      </c>
      <c r="P282" s="2097">
        <v>158029.12</v>
      </c>
      <c r="Q282" s="2097">
        <v>2824712</v>
      </c>
      <c r="R282" s="263">
        <v>17291.662689446097</v>
      </c>
      <c r="S282" s="203">
        <v>967.38578593145076</v>
      </c>
      <c r="T282" s="1313">
        <v>997476.22678999999</v>
      </c>
      <c r="U282" s="225">
        <v>57885306.406865999</v>
      </c>
      <c r="V282" s="1313">
        <v>3688.3979962600006</v>
      </c>
      <c r="W282" s="169">
        <v>9696.8390968278709</v>
      </c>
      <c r="X282" s="2106">
        <f t="shared" si="22"/>
        <v>13385.237093087871</v>
      </c>
      <c r="Y282" s="254">
        <v>-14.5</v>
      </c>
      <c r="Z282" s="1796"/>
      <c r="AA282" s="1796"/>
      <c r="AB282" s="1796"/>
    </row>
    <row r="283" spans="1:28">
      <c r="A283" s="63">
        <f t="shared" si="23"/>
        <v>2019.1</v>
      </c>
      <c r="B283" s="169">
        <v>3127614.8071099999</v>
      </c>
      <c r="C283" s="886">
        <f t="shared" si="20"/>
        <v>2170241.08073</v>
      </c>
      <c r="D283" s="3162">
        <v>324495.51793999999</v>
      </c>
      <c r="E283" s="180">
        <v>851487.95293999999</v>
      </c>
      <c r="F283" s="3162">
        <v>140690.82501</v>
      </c>
      <c r="G283" s="180">
        <v>337823.28204999998</v>
      </c>
      <c r="H283" s="3162">
        <v>349920.43790000002</v>
      </c>
      <c r="I283" s="180">
        <v>122244.70323</v>
      </c>
      <c r="J283" s="3162">
        <v>43578.361660000002</v>
      </c>
      <c r="K283" s="180">
        <v>468604.20474000002</v>
      </c>
      <c r="L283" s="3162">
        <v>82665.68707</v>
      </c>
      <c r="M283" s="180">
        <v>179876.10459999999</v>
      </c>
      <c r="N283" s="2095">
        <v>226227.72996999999</v>
      </c>
      <c r="O283" s="2107">
        <v>241.52097945709863</v>
      </c>
      <c r="P283" s="2097">
        <v>158029.12</v>
      </c>
      <c r="Q283" s="2097">
        <v>2955028</v>
      </c>
      <c r="R283" s="263">
        <v>19791.382797740062</v>
      </c>
      <c r="S283" s="203">
        <v>1058.4044574569173</v>
      </c>
      <c r="T283" s="1313">
        <v>1180651.4782499999</v>
      </c>
      <c r="U283" s="225">
        <v>66325579.593678191</v>
      </c>
      <c r="V283" s="1313">
        <v>4350.6118470599995</v>
      </c>
      <c r="W283" s="169">
        <v>11004.84125588146</v>
      </c>
      <c r="X283" s="2106">
        <f t="shared" si="22"/>
        <v>15355.453102941459</v>
      </c>
      <c r="Y283" s="254">
        <v>-11.6</v>
      </c>
      <c r="Z283" s="1796"/>
      <c r="AA283" s="1796"/>
      <c r="AB283" s="1796"/>
    </row>
    <row r="284" spans="1:28">
      <c r="A284" s="63">
        <f t="shared" si="23"/>
        <v>2019.11</v>
      </c>
      <c r="B284" s="169">
        <v>3219595.5181499999</v>
      </c>
      <c r="C284" s="886">
        <f t="shared" si="20"/>
        <v>2233868.64903</v>
      </c>
      <c r="D284" s="3162">
        <v>398243.98787999997</v>
      </c>
      <c r="E284" s="180">
        <v>833499.13888999994</v>
      </c>
      <c r="F284" s="3162">
        <v>139886.46518</v>
      </c>
      <c r="G284" s="180">
        <v>324446.94877000002</v>
      </c>
      <c r="H284" s="3162">
        <v>357794.04816000001</v>
      </c>
      <c r="I284" s="180">
        <v>134887.48931999999</v>
      </c>
      <c r="J284" s="3162">
        <v>45110.570829999997</v>
      </c>
      <c r="K284" s="180">
        <v>485841.21544</v>
      </c>
      <c r="L284" s="3162">
        <v>85629.700440000001</v>
      </c>
      <c r="M284" s="180">
        <v>166365.02002</v>
      </c>
      <c r="N284" s="2095">
        <v>247890.93322000001</v>
      </c>
      <c r="O284" s="2107">
        <v>251.30749144468277</v>
      </c>
      <c r="P284" s="2097">
        <v>158029.12</v>
      </c>
      <c r="Q284" s="2097">
        <v>2934330</v>
      </c>
      <c r="R284" s="263">
        <v>20373.431922863336</v>
      </c>
      <c r="S284" s="203">
        <v>1097.2165769187516</v>
      </c>
      <c r="T284" s="1313">
        <v>1489506.4453499999</v>
      </c>
      <c r="U284" s="225">
        <v>67943710.187428012</v>
      </c>
      <c r="V284" s="1313">
        <v>4271.9949753800001</v>
      </c>
      <c r="W284" s="169">
        <v>11382.609489528393</v>
      </c>
      <c r="X284" s="2106">
        <f t="shared" si="22"/>
        <v>15654.604464908392</v>
      </c>
      <c r="Y284" s="254">
        <v>-7.1</v>
      </c>
      <c r="Z284" s="1796"/>
      <c r="AA284" s="1796"/>
      <c r="AB284" s="1796"/>
    </row>
    <row r="285" spans="1:28">
      <c r="A285" s="63">
        <f t="shared" si="23"/>
        <v>2019.12</v>
      </c>
      <c r="B285" s="169">
        <v>4023961.5468700002</v>
      </c>
      <c r="C285" s="886">
        <f t="shared" si="20"/>
        <v>2794221.9608200002</v>
      </c>
      <c r="D285" s="3162">
        <v>619342.21018000005</v>
      </c>
      <c r="E285" s="180">
        <v>1003070.02822</v>
      </c>
      <c r="F285" s="3162">
        <v>180917.01835999999</v>
      </c>
      <c r="G285" s="180">
        <v>341764.94020000001</v>
      </c>
      <c r="H285" s="3162">
        <v>436589.37215000001</v>
      </c>
      <c r="I285" s="180">
        <v>157050.26147999999</v>
      </c>
      <c r="J285" s="3162">
        <v>55488.130230000002</v>
      </c>
      <c r="K285" s="180">
        <v>525189.03374999994</v>
      </c>
      <c r="L285" s="3162">
        <v>121909.54111000001</v>
      </c>
      <c r="M285" s="180">
        <v>177930.9847</v>
      </c>
      <c r="N285" s="2095">
        <v>404710.02649000002</v>
      </c>
      <c r="O285" s="2107">
        <v>257.24482439106538</v>
      </c>
      <c r="P285" s="2097">
        <v>158029.12</v>
      </c>
      <c r="Q285" s="2097">
        <v>3179857</v>
      </c>
      <c r="R285" s="263">
        <v>25463.418051495824</v>
      </c>
      <c r="S285" s="203">
        <v>1265.4536184708934</v>
      </c>
      <c r="T285" s="1313">
        <v>1278463.6138200001</v>
      </c>
      <c r="U285" s="225">
        <v>83524644.291501999</v>
      </c>
      <c r="V285" s="1313">
        <v>5305.0377713299995</v>
      </c>
      <c r="W285" s="169">
        <v>14196.566067571459</v>
      </c>
      <c r="X285" s="2106">
        <f t="shared" si="22"/>
        <v>19501.603838901457</v>
      </c>
      <c r="Y285" s="254">
        <v>-3.8</v>
      </c>
      <c r="Z285" s="1796"/>
      <c r="AA285" s="1796"/>
      <c r="AB285" s="1796"/>
    </row>
    <row r="286" spans="1:28">
      <c r="A286" s="63">
        <f t="shared" si="23"/>
        <v>2020.01</v>
      </c>
      <c r="B286" s="169">
        <v>3280033.1104049999</v>
      </c>
      <c r="C286" s="886">
        <f t="shared" si="20"/>
        <v>2231537.5970550003</v>
      </c>
      <c r="D286" s="3162">
        <v>376449.34983000002</v>
      </c>
      <c r="E286" s="180">
        <v>821012.52156000002</v>
      </c>
      <c r="F286" s="3162">
        <v>142018.36395</v>
      </c>
      <c r="G286" s="180">
        <v>316607.51905</v>
      </c>
      <c r="H286" s="3162">
        <v>381067.25143499998</v>
      </c>
      <c r="I286" s="180">
        <v>147635.41574999999</v>
      </c>
      <c r="J286" s="3162">
        <v>46747.175479999998</v>
      </c>
      <c r="K286" s="180">
        <v>510416.16291000001</v>
      </c>
      <c r="L286" s="3162">
        <v>100554.70917</v>
      </c>
      <c r="M286" s="180">
        <v>146821.42551</v>
      </c>
      <c r="N286" s="2095">
        <v>290703.21575999999</v>
      </c>
      <c r="O286" s="2107">
        <v>268.14849534764846</v>
      </c>
      <c r="P286" s="2097">
        <v>158029.12</v>
      </c>
      <c r="Q286" s="2097">
        <v>2829089</v>
      </c>
      <c r="R286" s="263">
        <v>20755.877843305083</v>
      </c>
      <c r="S286" s="203">
        <v>1159.3955193367901</v>
      </c>
      <c r="T286" s="1313">
        <v>1040882.66074</v>
      </c>
      <c r="U286" s="225">
        <v>70145010.272723004</v>
      </c>
      <c r="V286" s="1313">
        <v>4672.0696278099995</v>
      </c>
      <c r="W286" s="169">
        <v>11451.841214799188</v>
      </c>
      <c r="X286" s="2106">
        <f t="shared" si="22"/>
        <v>16123.910842609188</v>
      </c>
      <c r="Y286" s="254">
        <v>-3.5</v>
      </c>
      <c r="Z286" s="1796"/>
      <c r="AA286" s="1796"/>
      <c r="AB286" s="1796"/>
    </row>
    <row r="287" spans="1:28">
      <c r="A287" s="63">
        <f t="shared" si="23"/>
        <v>2020.02</v>
      </c>
      <c r="B287" s="169">
        <v>3400260.40338</v>
      </c>
      <c r="C287" s="886">
        <f t="shared" si="20"/>
        <v>2421382.7215699996</v>
      </c>
      <c r="D287" s="3162">
        <v>410408.68475000001</v>
      </c>
      <c r="E287" s="180">
        <v>894220.28348999994</v>
      </c>
      <c r="F287" s="3162">
        <v>149599.66553</v>
      </c>
      <c r="G287" s="180">
        <v>352867.46101000003</v>
      </c>
      <c r="H287" s="3162">
        <v>412102.28297</v>
      </c>
      <c r="I287" s="180">
        <v>153584.2041</v>
      </c>
      <c r="J287" s="3162">
        <v>48600.139719999999</v>
      </c>
      <c r="K287" s="180">
        <v>490499.58282000001</v>
      </c>
      <c r="L287" s="3162">
        <v>97180.906040000002</v>
      </c>
      <c r="M287" s="180">
        <v>116958.86466000001</v>
      </c>
      <c r="N287" s="2095">
        <v>274238.32828999998</v>
      </c>
      <c r="O287" s="2107">
        <v>274.57309495861233</v>
      </c>
      <c r="P287" s="2097">
        <v>158029.12</v>
      </c>
      <c r="Q287" s="2097">
        <v>2828739</v>
      </c>
      <c r="R287" s="263">
        <v>21516.66986046622</v>
      </c>
      <c r="S287" s="203">
        <v>1202.0410519952529</v>
      </c>
      <c r="T287" s="1313">
        <v>980258.51473000005</v>
      </c>
      <c r="U287" s="225">
        <v>72494433.661743999</v>
      </c>
      <c r="V287" s="1313">
        <v>4646.5336308400001</v>
      </c>
      <c r="W287" s="169">
        <v>12120.3994361</v>
      </c>
      <c r="X287" s="2106">
        <f t="shared" si="22"/>
        <v>16766.933066940001</v>
      </c>
      <c r="Y287" s="254">
        <v>-1.1000000000000001</v>
      </c>
      <c r="Z287" s="1796"/>
      <c r="AA287" s="1796"/>
      <c r="AB287" s="1796"/>
    </row>
    <row r="288" spans="1:28">
      <c r="A288" s="63">
        <f t="shared" si="23"/>
        <v>2020.03</v>
      </c>
      <c r="B288" s="169">
        <v>3888816.9010700001</v>
      </c>
      <c r="C288" s="886">
        <f t="shared" si="20"/>
        <v>2830954.6853999998</v>
      </c>
      <c r="D288" s="3162">
        <v>355647.63871000003</v>
      </c>
      <c r="E288" s="180">
        <v>1216564.4480699999</v>
      </c>
      <c r="F288" s="3162">
        <v>145095.67068000001</v>
      </c>
      <c r="G288" s="180">
        <v>443331.60535999999</v>
      </c>
      <c r="H288" s="3162">
        <v>463673.72292999999</v>
      </c>
      <c r="I288" s="180">
        <v>173410.88092</v>
      </c>
      <c r="J288" s="3162">
        <v>33230.718730000001</v>
      </c>
      <c r="K288" s="180">
        <v>655103.82582999999</v>
      </c>
      <c r="L288" s="3162">
        <v>51858.352749999998</v>
      </c>
      <c r="M288" s="180">
        <v>122825.84927999999</v>
      </c>
      <c r="N288" s="2095">
        <v>228074.18781</v>
      </c>
      <c r="O288" s="2107">
        <v>285.23616992475314</v>
      </c>
      <c r="P288" s="2097">
        <v>158029.12</v>
      </c>
      <c r="Q288" s="2097">
        <v>2491026</v>
      </c>
      <c r="R288" s="263">
        <v>24608.229806443265</v>
      </c>
      <c r="S288" s="203">
        <v>1561.130594811134</v>
      </c>
      <c r="T288" s="1313">
        <v>1603155.5753899999</v>
      </c>
      <c r="U288" s="225">
        <v>85778031.08882001</v>
      </c>
      <c r="V288" s="1313">
        <v>5725.9901422900011</v>
      </c>
      <c r="W288" s="169">
        <v>15167.876417209782</v>
      </c>
      <c r="X288" s="2106">
        <f t="shared" si="22"/>
        <v>20893.866559499784</v>
      </c>
      <c r="Y288" s="254">
        <v>-48.7</v>
      </c>
      <c r="Z288" s="1796"/>
      <c r="AA288" s="1796"/>
      <c r="AB288" s="1796"/>
    </row>
    <row r="289" spans="1:25">
      <c r="A289" s="63">
        <f t="shared" si="23"/>
        <v>2020.04</v>
      </c>
      <c r="B289" s="169">
        <v>3258844.96557</v>
      </c>
      <c r="C289" s="886">
        <f t="shared" si="20"/>
        <v>2441323.4670299999</v>
      </c>
      <c r="D289" s="3162">
        <v>292302.01198000001</v>
      </c>
      <c r="E289" s="180">
        <v>1057835.6429000001</v>
      </c>
      <c r="F289" s="3162">
        <v>129970.09582</v>
      </c>
      <c r="G289" s="180">
        <v>384649.87407999998</v>
      </c>
      <c r="H289" s="3162">
        <v>410536.03946</v>
      </c>
      <c r="I289" s="180">
        <v>146228.15221999999</v>
      </c>
      <c r="J289" s="3162">
        <v>19801.650570000002</v>
      </c>
      <c r="K289" s="180">
        <v>473994.19383</v>
      </c>
      <c r="L289" s="3162">
        <v>42390.537100000001</v>
      </c>
      <c r="M289" s="180">
        <v>129560.51573</v>
      </c>
      <c r="N289" s="2095">
        <v>171576.25188</v>
      </c>
      <c r="O289" s="2107">
        <v>290.96597514946808</v>
      </c>
      <c r="P289" s="2097">
        <v>158029.12</v>
      </c>
      <c r="Q289" s="2097">
        <v>1737897</v>
      </c>
      <c r="R289" s="263">
        <v>20621.800371792237</v>
      </c>
      <c r="S289" s="203">
        <v>1875.1657696457269</v>
      </c>
      <c r="T289" s="1313">
        <v>3210641.9290200002</v>
      </c>
      <c r="U289" s="225">
        <v>75009596.638553992</v>
      </c>
      <c r="V289" s="1313">
        <v>5968.0236593199988</v>
      </c>
      <c r="W289" s="169">
        <v>12183.689740517906</v>
      </c>
      <c r="X289" s="2106">
        <f t="shared" si="22"/>
        <v>18151.713399837907</v>
      </c>
      <c r="Y289" s="254">
        <v>-57.6</v>
      </c>
    </row>
    <row r="290" spans="1:25">
      <c r="A290" s="63">
        <f t="shared" si="23"/>
        <v>2020.05</v>
      </c>
      <c r="B290" s="169">
        <v>3539400.2403299999</v>
      </c>
      <c r="C290" s="886">
        <f t="shared" si="20"/>
        <v>2493560.5899399999</v>
      </c>
      <c r="D290" s="3162">
        <v>320230.11888999998</v>
      </c>
      <c r="E290" s="180">
        <v>1071600.9892200001</v>
      </c>
      <c r="F290" s="3162">
        <v>128233.95021</v>
      </c>
      <c r="G290" s="180">
        <v>386669.55028999998</v>
      </c>
      <c r="H290" s="3162">
        <v>427453.16632000002</v>
      </c>
      <c r="I290" s="180">
        <v>136635.39662000001</v>
      </c>
      <c r="J290" s="3162">
        <v>22737.418389999999</v>
      </c>
      <c r="K290" s="180">
        <v>500275.86044000002</v>
      </c>
      <c r="L290" s="3162">
        <v>117710.32444</v>
      </c>
      <c r="M290" s="180">
        <v>203416.51302000001</v>
      </c>
      <c r="N290" s="2095">
        <v>224436.95249</v>
      </c>
      <c r="O290" s="2107">
        <v>293.82602601136739</v>
      </c>
      <c r="P290" s="2097">
        <v>158029.12</v>
      </c>
      <c r="Q290" s="2097">
        <v>1931948</v>
      </c>
      <c r="R290" s="263">
        <v>22397.139466004748</v>
      </c>
      <c r="S290" s="203">
        <v>1832.0370115189435</v>
      </c>
      <c r="T290" s="1313">
        <v>3627916.79458</v>
      </c>
      <c r="U290" s="225">
        <v>78594521.820452988</v>
      </c>
      <c r="V290" s="1313">
        <v>5263.7123297500002</v>
      </c>
      <c r="W290" s="169">
        <v>12990.50029363831</v>
      </c>
      <c r="X290" s="2106">
        <f t="shared" si="22"/>
        <v>18254.21262338831</v>
      </c>
      <c r="Y290" s="254">
        <v>-50.8</v>
      </c>
    </row>
    <row r="291" spans="1:25">
      <c r="A291" s="63">
        <f t="shared" si="23"/>
        <v>2020.06</v>
      </c>
      <c r="B291" s="169">
        <v>3639835.93622</v>
      </c>
      <c r="C291" s="886">
        <f t="shared" si="20"/>
        <v>2500228.9474399998</v>
      </c>
      <c r="D291" s="3162">
        <v>362508.83202999999</v>
      </c>
      <c r="E291" s="180">
        <v>1048545.54183</v>
      </c>
      <c r="F291" s="3162">
        <v>129536.76287999999</v>
      </c>
      <c r="G291" s="180">
        <v>372104.41671000002</v>
      </c>
      <c r="H291" s="3162">
        <v>436283.13681</v>
      </c>
      <c r="I291" s="180">
        <v>127456.29164</v>
      </c>
      <c r="J291" s="3162">
        <v>23793.965540000001</v>
      </c>
      <c r="K291" s="180">
        <v>494696.01274999999</v>
      </c>
      <c r="L291" s="3162">
        <v>166119.69828000001</v>
      </c>
      <c r="M291" s="180">
        <v>213999.11189</v>
      </c>
      <c r="N291" s="2095">
        <v>264792.16586000001</v>
      </c>
      <c r="O291" s="2107">
        <v>299.49761860487695</v>
      </c>
      <c r="P291" s="2097">
        <v>158029.12</v>
      </c>
      <c r="Q291" s="2097">
        <v>2086812</v>
      </c>
      <c r="R291" s="263">
        <v>23032.691292718708</v>
      </c>
      <c r="S291" s="203">
        <v>1744.2088392342002</v>
      </c>
      <c r="T291" s="1313">
        <v>3678005.6430700002</v>
      </c>
      <c r="U291" s="225">
        <v>78232859.601856008</v>
      </c>
      <c r="V291" s="1313">
        <v>5209.5858401700007</v>
      </c>
      <c r="W291" s="169">
        <v>13366.624243716875</v>
      </c>
      <c r="X291" s="2106">
        <f t="shared" si="22"/>
        <v>18576.210083886876</v>
      </c>
      <c r="Y291" s="254">
        <v>-34.799999999999997</v>
      </c>
    </row>
    <row r="292" spans="1:25">
      <c r="A292" s="63">
        <f t="shared" si="23"/>
        <v>2020.07</v>
      </c>
      <c r="B292" s="169">
        <v>3879012.6900599999</v>
      </c>
      <c r="C292" s="886">
        <f t="shared" si="20"/>
        <v>2645515.9481399995</v>
      </c>
      <c r="D292" s="3162">
        <v>376544.92181999999</v>
      </c>
      <c r="E292" s="180">
        <v>1097991.78018</v>
      </c>
      <c r="F292" s="3162">
        <v>145676.14245000001</v>
      </c>
      <c r="G292" s="180">
        <v>400178.62673999998</v>
      </c>
      <c r="H292" s="3162">
        <v>462328.57740000001</v>
      </c>
      <c r="I292" s="180">
        <v>136014.28357</v>
      </c>
      <c r="J292" s="3162">
        <v>26781.615979999999</v>
      </c>
      <c r="K292" s="180">
        <v>541812.92067999998</v>
      </c>
      <c r="L292" s="3162">
        <v>173512.89102000001</v>
      </c>
      <c r="M292" s="180">
        <v>215110.65122999999</v>
      </c>
      <c r="N292" s="2095">
        <v>303060.27899000002</v>
      </c>
      <c r="O292" s="2107">
        <v>306.16664583373989</v>
      </c>
      <c r="P292" s="2097">
        <v>158029.12</v>
      </c>
      <c r="Q292" s="2097">
        <v>2185152</v>
      </c>
      <c r="R292" s="263">
        <v>24546.189272331583</v>
      </c>
      <c r="S292" s="203">
        <v>1775.1683590249102</v>
      </c>
      <c r="T292" s="1313">
        <v>4726974.4570699995</v>
      </c>
      <c r="U292" s="169">
        <v>81140696.22145991</v>
      </c>
      <c r="V292" s="1313">
        <v>5124.9178430900001</v>
      </c>
      <c r="W292" s="169">
        <v>13764.231496508088</v>
      </c>
      <c r="X292" s="2106">
        <f t="shared" si="22"/>
        <v>18889.149339598087</v>
      </c>
      <c r="Y292" s="254">
        <v>-27.7</v>
      </c>
    </row>
    <row r="293" spans="1:25">
      <c r="A293" s="63">
        <f t="shared" si="23"/>
        <v>2020.08</v>
      </c>
      <c r="B293" s="169">
        <v>3818593.0226500002</v>
      </c>
      <c r="C293" s="886">
        <f t="shared" si="20"/>
        <v>2650633.23496</v>
      </c>
      <c r="D293" s="3162">
        <v>386539.02899000002</v>
      </c>
      <c r="E293" s="180">
        <v>1073321.3676100001</v>
      </c>
      <c r="F293" s="3162">
        <v>148153.45816000001</v>
      </c>
      <c r="G293" s="180">
        <v>404277.58017999999</v>
      </c>
      <c r="H293" s="3162">
        <v>465484.18359999999</v>
      </c>
      <c r="I293" s="180">
        <v>144637.75440000001</v>
      </c>
      <c r="J293" s="3162">
        <v>28219.86202</v>
      </c>
      <c r="K293" s="180">
        <v>547993.47430999996</v>
      </c>
      <c r="L293" s="3162">
        <v>86088.165850000005</v>
      </c>
      <c r="M293" s="180">
        <v>187247.88071999999</v>
      </c>
      <c r="N293" s="2095">
        <v>346630.26681</v>
      </c>
      <c r="O293" s="2107">
        <v>314.49932050346519</v>
      </c>
      <c r="P293" s="2097">
        <v>158429.12</v>
      </c>
      <c r="Q293" s="2097">
        <v>2256722</v>
      </c>
      <c r="R293" s="263">
        <v>24102.848154745796</v>
      </c>
      <c r="S293" s="203">
        <v>1692.0972200607785</v>
      </c>
      <c r="T293" s="1313">
        <v>4005445.0164000001</v>
      </c>
      <c r="U293" s="225">
        <v>80411973.287579998</v>
      </c>
      <c r="V293" s="1313">
        <v>4900.5493491699999</v>
      </c>
      <c r="W293" s="169">
        <v>14038.308145642737</v>
      </c>
      <c r="X293" s="2106">
        <f t="shared" si="22"/>
        <v>18938.857494812735</v>
      </c>
      <c r="Y293" s="254">
        <v>-17.8</v>
      </c>
    </row>
    <row r="294" spans="1:25">
      <c r="A294" s="63">
        <f t="shared" si="23"/>
        <v>2020.09</v>
      </c>
      <c r="B294" s="169">
        <v>3657874.6584100001</v>
      </c>
      <c r="C294" s="886">
        <f t="shared" si="20"/>
        <v>2584240.6226500003</v>
      </c>
      <c r="D294" s="3162">
        <v>373088.33847999998</v>
      </c>
      <c r="E294" s="180">
        <v>1036807.31494</v>
      </c>
      <c r="F294" s="3162">
        <v>142980.73405</v>
      </c>
      <c r="G294" s="180">
        <v>402887.98784000002</v>
      </c>
      <c r="H294" s="3162">
        <v>446769.04599000001</v>
      </c>
      <c r="I294" s="180">
        <v>153884.65049999999</v>
      </c>
      <c r="J294" s="3162">
        <v>27822.55085</v>
      </c>
      <c r="K294" s="180">
        <v>528502.70617000002</v>
      </c>
      <c r="L294" s="3162">
        <v>80188.30442</v>
      </c>
      <c r="M294" s="180">
        <v>181644.01915000001</v>
      </c>
      <c r="N294" s="2095">
        <v>283299.00601999997</v>
      </c>
      <c r="O294" s="2107">
        <v>319.83555603700444</v>
      </c>
      <c r="P294" s="2097">
        <v>158429.12</v>
      </c>
      <c r="Q294" s="2097">
        <v>1945994</v>
      </c>
      <c r="R294" s="263">
        <v>23088.398511649877</v>
      </c>
      <c r="S294" s="203">
        <v>1879.6947258881578</v>
      </c>
      <c r="T294" s="1313">
        <v>3944359.19539</v>
      </c>
      <c r="U294" s="225">
        <v>77055774.357009992</v>
      </c>
      <c r="V294" s="1313">
        <v>4863.60717604</v>
      </c>
      <c r="W294" s="169">
        <v>13332.742696924199</v>
      </c>
      <c r="X294" s="2106">
        <f t="shared" si="22"/>
        <v>18196.349872964198</v>
      </c>
      <c r="Y294" s="254">
        <v>-10.1</v>
      </c>
    </row>
    <row r="295" spans="1:25">
      <c r="A295" s="63">
        <f t="shared" si="23"/>
        <v>2020.1</v>
      </c>
      <c r="B295" s="169">
        <v>4201052.23178</v>
      </c>
      <c r="C295" s="886">
        <f t="shared" si="20"/>
        <v>2862992.73942</v>
      </c>
      <c r="D295" s="3162">
        <v>461855.0074</v>
      </c>
      <c r="E295" s="180">
        <v>1103760.5530699999</v>
      </c>
      <c r="F295" s="3162">
        <v>156596.34145000001</v>
      </c>
      <c r="G295" s="180">
        <v>427916.29583000002</v>
      </c>
      <c r="H295" s="3162">
        <v>497197.62224</v>
      </c>
      <c r="I295" s="180">
        <v>182958.78348000001</v>
      </c>
      <c r="J295" s="3162">
        <v>32708.13595</v>
      </c>
      <c r="K295" s="180">
        <v>596946.09363999998</v>
      </c>
      <c r="L295" s="3162">
        <v>105504.11755</v>
      </c>
      <c r="M295" s="180">
        <v>318780.59934000002</v>
      </c>
      <c r="N295" s="2095">
        <v>316828.68183000002</v>
      </c>
      <c r="O295" s="2107">
        <v>332.42110040716886</v>
      </c>
      <c r="P295" s="2097">
        <v>158429.12</v>
      </c>
      <c r="Q295" s="2097">
        <v>2119566</v>
      </c>
      <c r="R295" s="263">
        <v>26516.919564913322</v>
      </c>
      <c r="S295" s="203">
        <v>1982.034167268205</v>
      </c>
      <c r="T295" s="1313">
        <v>4601678.3050800003</v>
      </c>
      <c r="U295" s="225">
        <v>89224281.053727999</v>
      </c>
      <c r="V295" s="1313">
        <v>5587.3837687640007</v>
      </c>
      <c r="W295" s="169">
        <v>15003.383348828134</v>
      </c>
      <c r="X295" s="2106">
        <f t="shared" si="22"/>
        <v>20590.767117592135</v>
      </c>
      <c r="Y295" s="254">
        <v>-14.9</v>
      </c>
    </row>
    <row r="296" spans="1:25">
      <c r="A296" s="63">
        <f t="shared" si="23"/>
        <v>2020.11</v>
      </c>
      <c r="B296" s="169">
        <v>4294627.1983700003</v>
      </c>
      <c r="C296" s="886">
        <f t="shared" si="20"/>
        <v>2965371.1031799996</v>
      </c>
      <c r="D296" s="3162">
        <v>558535.10487000004</v>
      </c>
      <c r="E296" s="180">
        <v>1146192.00874</v>
      </c>
      <c r="F296" s="3162">
        <v>147299.05439999999</v>
      </c>
      <c r="G296" s="180">
        <v>406704.32999</v>
      </c>
      <c r="H296" s="3162">
        <v>488104.55661999999</v>
      </c>
      <c r="I296" s="180">
        <v>186552.44907999999</v>
      </c>
      <c r="J296" s="3162">
        <v>31983.599480000001</v>
      </c>
      <c r="K296" s="180">
        <v>589663.30796000001</v>
      </c>
      <c r="L296" s="3162">
        <v>107417.73891</v>
      </c>
      <c r="M296" s="180">
        <v>280764.31046000001</v>
      </c>
      <c r="N296" s="2095">
        <v>351410.73785999999</v>
      </c>
      <c r="O296" s="2107">
        <v>340.58166794166829</v>
      </c>
      <c r="P296" s="2097">
        <v>158029.12</v>
      </c>
      <c r="Q296" s="2097">
        <v>2162580</v>
      </c>
      <c r="R296" s="263">
        <v>27176.17612734919</v>
      </c>
      <c r="S296" s="203">
        <v>1985.8813076834153</v>
      </c>
      <c r="T296" s="1313">
        <v>4838176.7064500004</v>
      </c>
      <c r="U296" s="225">
        <v>91093507.312240005</v>
      </c>
      <c r="V296" s="1313">
        <v>5515.7378280499988</v>
      </c>
      <c r="W296" s="169">
        <v>15162.363999987007</v>
      </c>
      <c r="X296" s="2106">
        <f t="shared" si="22"/>
        <v>20678.101828037004</v>
      </c>
      <c r="Y296" s="254">
        <v>-6.7</v>
      </c>
    </row>
    <row r="297" spans="1:25">
      <c r="A297" s="63">
        <f t="shared" si="23"/>
        <v>2020.12</v>
      </c>
      <c r="B297" s="169">
        <v>5540630.3517699996</v>
      </c>
      <c r="C297" s="886">
        <f t="shared" si="20"/>
        <v>3936179.0069100005</v>
      </c>
      <c r="D297" s="3162">
        <v>946993.68091</v>
      </c>
      <c r="E297" s="180">
        <v>1359440.16176</v>
      </c>
      <c r="F297" s="3162">
        <v>207168.68161999999</v>
      </c>
      <c r="G297" s="180">
        <v>437201.21883999999</v>
      </c>
      <c r="H297" s="3162">
        <v>724095.21632999997</v>
      </c>
      <c r="I297" s="180">
        <v>216179.55798000001</v>
      </c>
      <c r="J297" s="3162">
        <v>45100.48947</v>
      </c>
      <c r="K297" s="180">
        <v>666443.96756999998</v>
      </c>
      <c r="L297" s="3162">
        <v>164266.45778999999</v>
      </c>
      <c r="M297" s="180">
        <v>270214.94718000002</v>
      </c>
      <c r="N297" s="2095">
        <v>503525.97232</v>
      </c>
      <c r="O297" s="2107">
        <v>347.33404269167738</v>
      </c>
      <c r="P297" s="2097">
        <v>158429.12</v>
      </c>
      <c r="Q297" s="2097">
        <v>2623197</v>
      </c>
      <c r="R297" s="263">
        <v>34972.297717553447</v>
      </c>
      <c r="S297" s="203">
        <v>2112.167081530667</v>
      </c>
      <c r="T297" s="1313">
        <v>3975909.5507499999</v>
      </c>
      <c r="U297" s="225">
        <v>115806128.11517699</v>
      </c>
      <c r="V297" s="1313">
        <v>6898.4087840599996</v>
      </c>
      <c r="W297" s="169">
        <v>19800.607861329911</v>
      </c>
      <c r="X297" s="2106">
        <f t="shared" si="22"/>
        <v>26699.016645389911</v>
      </c>
      <c r="Y297" s="254">
        <v>-8</v>
      </c>
    </row>
    <row r="298" spans="1:25">
      <c r="A298" s="63">
        <f t="shared" si="23"/>
        <v>2021.01</v>
      </c>
      <c r="B298" s="169">
        <v>4565066.4013780002</v>
      </c>
      <c r="C298" s="886">
        <f t="shared" si="20"/>
        <v>3201696.7495820001</v>
      </c>
      <c r="D298" s="3162">
        <v>608813.77878000005</v>
      </c>
      <c r="E298" s="180">
        <v>1125385.19334</v>
      </c>
      <c r="F298" s="3162">
        <v>161749.752332</v>
      </c>
      <c r="G298" s="180">
        <v>424353.12478999997</v>
      </c>
      <c r="H298" s="3162">
        <v>632808.33670999995</v>
      </c>
      <c r="I298" s="180">
        <v>209423.00184000001</v>
      </c>
      <c r="J298" s="3162">
        <v>39163.56179</v>
      </c>
      <c r="K298" s="180">
        <v>657423.62492600002</v>
      </c>
      <c r="L298" s="3162">
        <v>125531.66045</v>
      </c>
      <c r="M298" s="180">
        <v>209501.34635000001</v>
      </c>
      <c r="N298" s="2095">
        <v>370913.02007000003</v>
      </c>
      <c r="O298" s="2107">
        <v>360.28999390193803</v>
      </c>
      <c r="P298" s="2097">
        <v>158429.12</v>
      </c>
      <c r="Q298" s="2097">
        <v>2356371</v>
      </c>
      <c r="R298" s="263">
        <v>28814.56642174115</v>
      </c>
      <c r="S298" s="203">
        <v>1937.3292242087512</v>
      </c>
      <c r="T298" s="1313">
        <v>3483037.98685</v>
      </c>
      <c r="U298" s="225">
        <v>98007583.252830997</v>
      </c>
      <c r="V298" s="1313">
        <v>5591.0575799500002</v>
      </c>
      <c r="W298" s="169">
        <v>15624.993064786762</v>
      </c>
      <c r="X298" s="2106">
        <f t="shared" si="22"/>
        <v>21216.050644736762</v>
      </c>
      <c r="Y298" s="254">
        <v>-5.8</v>
      </c>
    </row>
    <row r="299" spans="1:25">
      <c r="A299" s="63">
        <f t="shared" si="23"/>
        <v>2021.02</v>
      </c>
      <c r="B299" s="169">
        <v>4371204.5016299998</v>
      </c>
      <c r="C299" s="886">
        <f t="shared" si="20"/>
        <v>3130719.7370999996</v>
      </c>
      <c r="D299" s="3162">
        <v>581612.27054000006</v>
      </c>
      <c r="E299" s="180">
        <v>1110887.3903999999</v>
      </c>
      <c r="F299" s="3162">
        <v>159846.93208</v>
      </c>
      <c r="G299" s="180">
        <v>423967.92872999999</v>
      </c>
      <c r="H299" s="3162">
        <v>608704.15382999997</v>
      </c>
      <c r="I299" s="180">
        <v>207938.16352999999</v>
      </c>
      <c r="J299" s="3162">
        <v>37762.897989999998</v>
      </c>
      <c r="K299" s="180">
        <v>634148.66622000001</v>
      </c>
      <c r="L299" s="3162">
        <v>101820.55145</v>
      </c>
      <c r="M299" s="180">
        <v>177114.84914999999</v>
      </c>
      <c r="N299" s="2095">
        <v>327400.69770999998</v>
      </c>
      <c r="O299" s="2107">
        <v>373.82000658071803</v>
      </c>
      <c r="P299" s="2097">
        <v>158429.12</v>
      </c>
      <c r="Q299" s="2097">
        <v>2239248</v>
      </c>
      <c r="R299" s="263">
        <v>27590.915745981547</v>
      </c>
      <c r="S299" s="203">
        <v>1952.0859242165227</v>
      </c>
      <c r="T299" s="1313">
        <v>3046180.66555</v>
      </c>
      <c r="U299" s="225">
        <v>92954233.681124002</v>
      </c>
      <c r="V299" s="1313">
        <v>5341.9002217500001</v>
      </c>
      <c r="W299" s="169">
        <v>15932.720312914749</v>
      </c>
      <c r="X299" s="2106">
        <f t="shared" si="22"/>
        <v>21274.620534664748</v>
      </c>
      <c r="Y299" s="254">
        <v>-6.5</v>
      </c>
    </row>
    <row r="300" spans="1:25">
      <c r="A300" s="63">
        <f t="shared" si="23"/>
        <v>2021.03</v>
      </c>
      <c r="B300" s="169">
        <v>5179695.6845199997</v>
      </c>
      <c r="C300" s="886">
        <f t="shared" si="20"/>
        <v>3702784.9355799998</v>
      </c>
      <c r="D300" s="3162">
        <v>603561.80996999994</v>
      </c>
      <c r="E300" s="180">
        <v>1402186.38289</v>
      </c>
      <c r="F300" s="3162">
        <v>183032.72826999999</v>
      </c>
      <c r="G300" s="180">
        <v>532530.51734000002</v>
      </c>
      <c r="H300" s="3162">
        <v>704429.12390999997</v>
      </c>
      <c r="I300" s="180">
        <v>231360.78646999999</v>
      </c>
      <c r="J300" s="3162">
        <v>45683.586730000003</v>
      </c>
      <c r="K300" s="180">
        <v>728044.37783999997</v>
      </c>
      <c r="L300" s="3162">
        <v>119356.9136</v>
      </c>
      <c r="M300" s="180">
        <v>259682.28912999999</v>
      </c>
      <c r="N300" s="2095">
        <v>369827.16837000003</v>
      </c>
      <c r="O300" s="2107">
        <v>390.85612318851111</v>
      </c>
      <c r="P300" s="2097">
        <v>156579.12</v>
      </c>
      <c r="Q300" s="2097">
        <v>2506376</v>
      </c>
      <c r="R300" s="263">
        <v>33080.372941935049</v>
      </c>
      <c r="S300" s="203">
        <v>2066.6075977905953</v>
      </c>
      <c r="T300" s="1313">
        <v>3982669.1938800002</v>
      </c>
      <c r="U300" s="225">
        <v>107225884.48978101</v>
      </c>
      <c r="V300" s="1313">
        <v>6446.0375831100009</v>
      </c>
      <c r="W300" s="169">
        <v>18311.452748917567</v>
      </c>
      <c r="X300" s="2106">
        <f t="shared" si="22"/>
        <v>24757.49033202757</v>
      </c>
      <c r="Y300" s="254">
        <v>14.4</v>
      </c>
    </row>
    <row r="301" spans="1:25">
      <c r="A301" s="63">
        <f t="shared" si="23"/>
        <v>2021.04</v>
      </c>
      <c r="B301" s="169">
        <v>5239836.4770689998</v>
      </c>
      <c r="C301" s="886">
        <f t="shared" si="20"/>
        <v>3806137.4815090001</v>
      </c>
      <c r="D301" s="3162">
        <v>578727.90309000004</v>
      </c>
      <c r="E301" s="180">
        <v>1476251.158479</v>
      </c>
      <c r="F301" s="3162">
        <v>181457.61467000001</v>
      </c>
      <c r="G301" s="180">
        <v>554590.03784</v>
      </c>
      <c r="H301" s="3162">
        <v>744675.07927999995</v>
      </c>
      <c r="I301" s="180">
        <v>223302.85339999999</v>
      </c>
      <c r="J301" s="3162">
        <v>47132.834750000002</v>
      </c>
      <c r="K301" s="180">
        <v>734799.61965000001</v>
      </c>
      <c r="L301" s="3162">
        <v>120347.32376</v>
      </c>
      <c r="M301" s="180">
        <v>235047.78492000001</v>
      </c>
      <c r="N301" s="2095">
        <v>343504.26723</v>
      </c>
      <c r="O301" s="2107">
        <v>409.86472994005601</v>
      </c>
      <c r="P301" s="2097">
        <v>156579.12</v>
      </c>
      <c r="Q301" s="2097">
        <v>2399141</v>
      </c>
      <c r="R301" s="263">
        <v>33464.464975080969</v>
      </c>
      <c r="S301" s="203">
        <v>2184.0469055670342</v>
      </c>
      <c r="T301" s="1313">
        <v>4128007.2437399998</v>
      </c>
      <c r="U301" s="225">
        <v>106870185.886094</v>
      </c>
      <c r="V301" s="1313">
        <v>5931.1086025399991</v>
      </c>
      <c r="W301" s="169">
        <v>18781.521662717201</v>
      </c>
      <c r="X301" s="2106">
        <f t="shared" si="22"/>
        <v>24712.630265257201</v>
      </c>
      <c r="Y301" s="254">
        <v>40.799999999999997</v>
      </c>
    </row>
    <row r="302" spans="1:25">
      <c r="A302" s="63">
        <f t="shared" si="23"/>
        <v>2021.05</v>
      </c>
      <c r="B302" s="169">
        <v>5249893.4719099998</v>
      </c>
      <c r="C302" s="886">
        <f t="shared" si="20"/>
        <v>3827351.5860299994</v>
      </c>
      <c r="D302" s="3162">
        <v>511980.55378999998</v>
      </c>
      <c r="E302" s="180">
        <v>1504896.3244099999</v>
      </c>
      <c r="F302" s="3162">
        <v>204910.80825</v>
      </c>
      <c r="G302" s="180">
        <v>596876.27494999999</v>
      </c>
      <c r="H302" s="3162">
        <v>759400.35083000001</v>
      </c>
      <c r="I302" s="180">
        <v>206111.66436</v>
      </c>
      <c r="J302" s="3162">
        <v>43175.60944</v>
      </c>
      <c r="K302" s="180">
        <v>695563.68446000002</v>
      </c>
      <c r="L302" s="3162">
        <v>129779.22779999999</v>
      </c>
      <c r="M302" s="180">
        <v>270399.39963</v>
      </c>
      <c r="N302" s="2095">
        <v>326799.57399</v>
      </c>
      <c r="O302" s="2107">
        <v>424.89659531161169</v>
      </c>
      <c r="P302" s="2097">
        <v>157223.41999999998</v>
      </c>
      <c r="Q302" s="2097">
        <v>2220127</v>
      </c>
      <c r="R302" s="263">
        <v>33391.294197200397</v>
      </c>
      <c r="S302" s="203">
        <v>2364.6816024083305</v>
      </c>
      <c r="T302" s="1313">
        <v>5607036.3300900003</v>
      </c>
      <c r="U302" s="225">
        <v>110604694.564798</v>
      </c>
      <c r="V302" s="1313">
        <v>6108.22664076</v>
      </c>
      <c r="W302" s="169">
        <v>19248.552841604047</v>
      </c>
      <c r="X302" s="2106">
        <f t="shared" si="22"/>
        <v>25356.779482364047</v>
      </c>
      <c r="Y302" s="254">
        <v>-7</v>
      </c>
    </row>
    <row r="303" spans="1:25">
      <c r="A303" s="63">
        <f t="shared" si="23"/>
        <v>2021.06</v>
      </c>
      <c r="B303" s="169">
        <v>5671592.13796</v>
      </c>
      <c r="C303" s="886">
        <f t="shared" si="20"/>
        <v>4050380.7054900001</v>
      </c>
      <c r="D303" s="3162">
        <v>585577.30186999997</v>
      </c>
      <c r="E303" s="180">
        <v>1622029.22483</v>
      </c>
      <c r="F303" s="3162">
        <v>213890.50104999999</v>
      </c>
      <c r="G303" s="180">
        <v>621225.91454999999</v>
      </c>
      <c r="H303" s="3162">
        <v>769012.30467999994</v>
      </c>
      <c r="I303" s="180">
        <v>192735.61897000001</v>
      </c>
      <c r="J303" s="3162">
        <v>45909.839540000001</v>
      </c>
      <c r="K303" s="180">
        <v>710873.91469999996</v>
      </c>
      <c r="L303" s="3162">
        <v>182926.85206</v>
      </c>
      <c r="M303" s="180">
        <v>349317.70147000003</v>
      </c>
      <c r="N303" s="2095">
        <v>378092.96424</v>
      </c>
      <c r="O303" s="2107">
        <v>440.88786421027032</v>
      </c>
      <c r="P303" s="2097">
        <v>157223.41999999998</v>
      </c>
      <c r="Q303" s="2097">
        <v>2214384</v>
      </c>
      <c r="R303" s="263">
        <v>36073.45609171968</v>
      </c>
      <c r="S303" s="203">
        <v>2561.2505048627522</v>
      </c>
      <c r="T303" s="1313">
        <v>4810298.4099700004</v>
      </c>
      <c r="U303" s="225">
        <v>116287892.95615999</v>
      </c>
      <c r="V303" s="1313">
        <v>6796.6647449799984</v>
      </c>
      <c r="W303" s="169">
        <v>20589.394704952883</v>
      </c>
      <c r="X303" s="2106">
        <f t="shared" si="22"/>
        <v>27386.05944993288</v>
      </c>
      <c r="Y303" s="254">
        <v>8.6</v>
      </c>
    </row>
    <row r="304" spans="1:25">
      <c r="A304" s="63">
        <f t="shared" si="23"/>
        <v>2021.07</v>
      </c>
      <c r="B304" s="169">
        <v>5964663.18769</v>
      </c>
      <c r="C304" s="886">
        <f t="shared" si="20"/>
        <v>4212252.6425500009</v>
      </c>
      <c r="D304" s="3162">
        <v>659443.38653999998</v>
      </c>
      <c r="E304" s="180">
        <v>1653197.0641900001</v>
      </c>
      <c r="F304" s="3162">
        <v>227987.11700999999</v>
      </c>
      <c r="G304" s="180">
        <v>633038.59397000005</v>
      </c>
      <c r="H304" s="3162">
        <v>791469.24959999998</v>
      </c>
      <c r="I304" s="180">
        <v>196702.19028000001</v>
      </c>
      <c r="J304" s="3162">
        <v>50415.040959999998</v>
      </c>
      <c r="K304" s="180">
        <v>746176.77954999998</v>
      </c>
      <c r="L304" s="3162">
        <v>228554.90244999999</v>
      </c>
      <c r="M304" s="180">
        <v>357064.64785000001</v>
      </c>
      <c r="N304" s="2095">
        <v>420614.21529000002</v>
      </c>
      <c r="O304" s="2107">
        <v>455.23814296781023</v>
      </c>
      <c r="P304" s="2097">
        <v>157223.41999999998</v>
      </c>
      <c r="Q304" s="2097">
        <v>2299459</v>
      </c>
      <c r="R304" s="263">
        <v>37937.498037442521</v>
      </c>
      <c r="S304" s="203">
        <v>2593.9419609960432</v>
      </c>
      <c r="T304" s="1313">
        <v>4754454.2149299998</v>
      </c>
      <c r="U304" s="225">
        <v>125658552.53241</v>
      </c>
      <c r="V304" s="1313">
        <v>7830.6639864999979</v>
      </c>
      <c r="W304" s="169">
        <v>21314.632344931924</v>
      </c>
      <c r="X304" s="2106">
        <f t="shared" si="22"/>
        <v>29145.29633143192</v>
      </c>
      <c r="Y304" s="254">
        <v>11.4</v>
      </c>
    </row>
    <row r="305" spans="1:27">
      <c r="A305" s="63">
        <f t="shared" si="23"/>
        <v>2021.08</v>
      </c>
      <c r="B305" s="169">
        <v>5772681.8832900003</v>
      </c>
      <c r="C305" s="886">
        <f t="shared" si="20"/>
        <v>4101503.5491299997</v>
      </c>
      <c r="D305" s="3162">
        <v>632957.43198999995</v>
      </c>
      <c r="E305" s="180">
        <v>1614720.3129</v>
      </c>
      <c r="F305" s="3162">
        <v>222039.09782</v>
      </c>
      <c r="G305" s="180">
        <v>635810.49083000002</v>
      </c>
      <c r="H305" s="3162">
        <v>748986.84614000004</v>
      </c>
      <c r="I305" s="180">
        <v>196543.59653000001</v>
      </c>
      <c r="J305" s="3162">
        <v>50445.772920000003</v>
      </c>
      <c r="K305" s="180">
        <v>752699.00272999995</v>
      </c>
      <c r="L305" s="3162">
        <v>159871.11270999999</v>
      </c>
      <c r="M305" s="180">
        <v>305724.66777</v>
      </c>
      <c r="N305" s="2095">
        <v>452883.55095</v>
      </c>
      <c r="O305" s="2107">
        <v>467.15599586747408</v>
      </c>
      <c r="P305" s="2097">
        <v>157223.41999999998</v>
      </c>
      <c r="Q305" s="2097">
        <v>2241891</v>
      </c>
      <c r="R305" s="263">
        <v>36716.424838551407</v>
      </c>
      <c r="S305" s="203">
        <v>2574.9163912473891</v>
      </c>
      <c r="T305" s="1313">
        <v>4658789.0196799999</v>
      </c>
      <c r="U305" s="225">
        <v>124840319.96239899</v>
      </c>
      <c r="V305" s="1313">
        <v>7598.3508882799997</v>
      </c>
      <c r="W305" s="169">
        <v>20747.63301553376</v>
      </c>
      <c r="X305" s="2106">
        <f t="shared" si="22"/>
        <v>28345.983903813758</v>
      </c>
      <c r="Y305" s="254">
        <v>9.1</v>
      </c>
      <c r="Z305" s="1796"/>
      <c r="AA305" s="1796"/>
    </row>
    <row r="306" spans="1:27">
      <c r="A306" s="63">
        <f t="shared" si="23"/>
        <v>2021.09</v>
      </c>
      <c r="B306" s="169">
        <v>5750797.7569880001</v>
      </c>
      <c r="C306" s="886">
        <f t="shared" si="20"/>
        <v>4149244.9443279998</v>
      </c>
      <c r="D306" s="3162">
        <v>656809.69287999999</v>
      </c>
      <c r="E306" s="180">
        <v>1628166.8942780001</v>
      </c>
      <c r="F306" s="3162">
        <v>225937.03237999999</v>
      </c>
      <c r="G306" s="180">
        <v>635551.98424000002</v>
      </c>
      <c r="H306" s="3162">
        <v>743903.07764000003</v>
      </c>
      <c r="I306" s="180">
        <v>205790.54685000001</v>
      </c>
      <c r="J306" s="3162">
        <v>53085.716059999999</v>
      </c>
      <c r="K306" s="180">
        <v>777361.68623999995</v>
      </c>
      <c r="L306" s="3162">
        <v>158186.63016</v>
      </c>
      <c r="M306" s="180">
        <v>300382.31199999998</v>
      </c>
      <c r="N306" s="2095">
        <v>365622.18426000001</v>
      </c>
      <c r="O306" s="2107">
        <v>480.88477524145247</v>
      </c>
      <c r="P306" s="2097">
        <v>157223.41999999998</v>
      </c>
      <c r="Q306" s="2097">
        <v>2200482</v>
      </c>
      <c r="R306" s="263">
        <v>36577.233576193677</v>
      </c>
      <c r="S306" s="203">
        <v>2613.4264024827289</v>
      </c>
      <c r="T306" s="1313">
        <v>4416780.2585300002</v>
      </c>
      <c r="U306" s="225">
        <v>123002252.429758</v>
      </c>
      <c r="V306" s="1313">
        <v>7921.0990212349998</v>
      </c>
      <c r="W306" s="169">
        <v>21200.653192299123</v>
      </c>
      <c r="X306" s="2106">
        <f t="shared" si="22"/>
        <v>29121.752213534124</v>
      </c>
      <c r="Y306" s="254">
        <v>15.7</v>
      </c>
      <c r="Z306" s="1796"/>
      <c r="AA306" s="1796"/>
    </row>
    <row r="307" spans="1:27">
      <c r="A307" s="63">
        <f t="shared" si="23"/>
        <v>2021.1</v>
      </c>
      <c r="B307" s="169">
        <v>6380878.4472399997</v>
      </c>
      <c r="C307" s="886">
        <f>SUM(D307:J307)</f>
        <v>4530720.8717599995</v>
      </c>
      <c r="D307" s="3162">
        <v>787196.03321000002</v>
      </c>
      <c r="E307" s="180">
        <v>1710113.0332200001</v>
      </c>
      <c r="F307" s="3162">
        <v>244133.59560999999</v>
      </c>
      <c r="G307" s="180">
        <v>659678.26190000004</v>
      </c>
      <c r="H307" s="3162">
        <v>833799.53439000004</v>
      </c>
      <c r="I307" s="180">
        <v>238037.14468</v>
      </c>
      <c r="J307" s="3162">
        <v>57763.268750000003</v>
      </c>
      <c r="K307" s="180">
        <v>860204.44900999998</v>
      </c>
      <c r="L307" s="3162">
        <v>166390.59539999999</v>
      </c>
      <c r="M307" s="180">
        <v>395527.06636</v>
      </c>
      <c r="N307" s="2095">
        <v>428035.46470999997</v>
      </c>
      <c r="O307" s="2107">
        <v>496.78579849567683</v>
      </c>
      <c r="P307" s="2097">
        <v>157223.41999999998</v>
      </c>
      <c r="Q307" s="2097">
        <v>2375551</v>
      </c>
      <c r="R307" s="263">
        <v>40584.783407204857</v>
      </c>
      <c r="S307" s="203">
        <v>2686.0624954968339</v>
      </c>
      <c r="T307" s="1313">
        <v>4486843.91995</v>
      </c>
      <c r="U307" s="225">
        <v>140487487.26625001</v>
      </c>
      <c r="V307" s="1313">
        <v>8613.2013615899996</v>
      </c>
      <c r="W307" s="169">
        <v>23091.437704230477</v>
      </c>
      <c r="X307" s="2106">
        <f t="shared" si="22"/>
        <v>31704.639065820476</v>
      </c>
      <c r="Y307" s="254">
        <v>9.1</v>
      </c>
      <c r="Z307" s="1796"/>
      <c r="AA307" s="1796"/>
    </row>
    <row r="308" spans="1:27">
      <c r="A308" s="63">
        <f t="shared" si="23"/>
        <v>2021.11</v>
      </c>
      <c r="B308" s="169">
        <v>6240845.8046289999</v>
      </c>
      <c r="C308" s="886">
        <f t="shared" si="20"/>
        <v>4369434.6034850003</v>
      </c>
      <c r="D308" s="3162">
        <v>806834.85134599998</v>
      </c>
      <c r="E308" s="180">
        <v>1664497.918513</v>
      </c>
      <c r="F308" s="3162">
        <v>220846.858484</v>
      </c>
      <c r="G308" s="180">
        <v>616007.39964299998</v>
      </c>
      <c r="H308" s="3162">
        <v>768486.33507599996</v>
      </c>
      <c r="I308" s="180">
        <v>237965.62299500001</v>
      </c>
      <c r="J308" s="3162">
        <v>54795.617427999998</v>
      </c>
      <c r="K308" s="180">
        <v>861694.55934799998</v>
      </c>
      <c r="L308" s="3162">
        <v>152263.82840999999</v>
      </c>
      <c r="M308" s="180">
        <v>388286.954707</v>
      </c>
      <c r="N308" s="2095">
        <v>469165.858679</v>
      </c>
      <c r="O308" s="2107">
        <v>508.29085272303979</v>
      </c>
      <c r="P308" s="2097">
        <v>157223.41999999998</v>
      </c>
      <c r="Q308" s="2097">
        <v>2349591</v>
      </c>
      <c r="R308" s="263">
        <v>39694.123207782912</v>
      </c>
      <c r="S308" s="203">
        <v>2656.1413474213168</v>
      </c>
      <c r="T308" s="1313">
        <v>5751181.8092799997</v>
      </c>
      <c r="U308" s="225">
        <v>141701960.65865099</v>
      </c>
      <c r="V308" s="1313">
        <v>9657.6563066200015</v>
      </c>
      <c r="W308" s="169">
        <v>23798.207849714952</v>
      </c>
      <c r="X308" s="2106">
        <f t="shared" si="22"/>
        <v>33455.864156334952</v>
      </c>
      <c r="Y308" s="254">
        <v>8.9</v>
      </c>
      <c r="Z308" s="1796"/>
      <c r="AA308" s="1796"/>
    </row>
    <row r="309" spans="1:27">
      <c r="A309" s="63">
        <f t="shared" si="23"/>
        <v>2021.12</v>
      </c>
      <c r="B309" s="169">
        <v>8439799.4530190006</v>
      </c>
      <c r="C309" s="886">
        <f t="shared" si="20"/>
        <v>6075400.6701230006</v>
      </c>
      <c r="D309" s="3162">
        <v>1610223.593358</v>
      </c>
      <c r="E309" s="180">
        <v>2086150.1557789999</v>
      </c>
      <c r="F309" s="3162">
        <v>297219.14367399999</v>
      </c>
      <c r="G309" s="180">
        <v>683349.75972199999</v>
      </c>
      <c r="H309" s="3162">
        <v>1026657.104558</v>
      </c>
      <c r="I309" s="180">
        <v>297595.90901</v>
      </c>
      <c r="J309" s="3162">
        <v>74205.004021999994</v>
      </c>
      <c r="K309" s="180">
        <v>1000624.620722</v>
      </c>
      <c r="L309" s="3162">
        <v>212080.79623899999</v>
      </c>
      <c r="M309" s="180">
        <v>440934.660768</v>
      </c>
      <c r="N309" s="2095">
        <v>710758.70516699995</v>
      </c>
      <c r="O309" s="2107">
        <v>522.72807839394454</v>
      </c>
      <c r="P309" s="2097">
        <v>157921.41999999998</v>
      </c>
      <c r="Q309" s="2097">
        <v>2783694</v>
      </c>
      <c r="R309" s="263">
        <v>53443.031686385555</v>
      </c>
      <c r="S309" s="203">
        <v>3031.8704042251056</v>
      </c>
      <c r="T309" s="1313">
        <v>5116430.6342700003</v>
      </c>
      <c r="U309" s="225">
        <v>183983151.87992302</v>
      </c>
      <c r="V309" s="1313">
        <v>11242.647337119999</v>
      </c>
      <c r="W309" s="169">
        <v>30132.905863249463</v>
      </c>
      <c r="X309" s="2106">
        <f t="shared" si="22"/>
        <v>41375.553200369461</v>
      </c>
      <c r="Y309" s="254">
        <v>4</v>
      </c>
      <c r="Z309" s="1796"/>
      <c r="AA309" s="1796"/>
    </row>
    <row r="310" spans="1:27">
      <c r="A310" s="63">
        <f t="shared" si="23"/>
        <v>2022.01</v>
      </c>
      <c r="B310" s="169">
        <v>6793091.7961590001</v>
      </c>
      <c r="C310" s="886">
        <f t="shared" ref="C310:C357" si="24">SUM(D310:J310)</f>
        <v>4743789.9002970001</v>
      </c>
      <c r="D310" s="3162">
        <v>918266.60634000006</v>
      </c>
      <c r="E310" s="180">
        <v>1704781.229548</v>
      </c>
      <c r="F310" s="3162">
        <v>236968.24042099999</v>
      </c>
      <c r="G310" s="180">
        <v>671298.76129199995</v>
      </c>
      <c r="H310" s="3162">
        <v>832736.25968699995</v>
      </c>
      <c r="I310" s="180">
        <v>319304.69613499998</v>
      </c>
      <c r="J310" s="3162">
        <v>60434.106873999997</v>
      </c>
      <c r="K310" s="180">
        <v>957818.05579699995</v>
      </c>
      <c r="L310" s="3162">
        <v>163028.57892100001</v>
      </c>
      <c r="M310" s="180">
        <v>411679.06118000002</v>
      </c>
      <c r="N310" s="2095">
        <v>516776.19996400003</v>
      </c>
      <c r="O310" s="2107">
        <v>544.73617364746781</v>
      </c>
      <c r="P310" s="2097">
        <v>157921.41999999998</v>
      </c>
      <c r="Q310" s="2097">
        <v>2382482</v>
      </c>
      <c r="R310" s="263">
        <v>43015.645351713531</v>
      </c>
      <c r="S310" s="203">
        <v>2851.2667865524272</v>
      </c>
      <c r="T310" s="1313">
        <v>4819479.5536000002</v>
      </c>
      <c r="U310" s="225">
        <v>154517094.18196797</v>
      </c>
      <c r="V310" s="1313">
        <v>9819.9169654699999</v>
      </c>
      <c r="W310" s="169">
        <v>23331.06963426945</v>
      </c>
      <c r="X310" s="2106">
        <f t="shared" si="22"/>
        <v>33150.986599739452</v>
      </c>
      <c r="Y310" s="254">
        <v>17.5</v>
      </c>
      <c r="Z310" s="1796"/>
      <c r="AA310" s="1796"/>
    </row>
    <row r="311" spans="1:27">
      <c r="A311" s="63">
        <f t="shared" si="23"/>
        <v>2022.02</v>
      </c>
      <c r="B311" s="169">
        <v>6733951.6903280001</v>
      </c>
      <c r="C311" s="886">
        <f t="shared" si="24"/>
        <v>4844004.6375569999</v>
      </c>
      <c r="D311" s="3162">
        <v>922107.27554900001</v>
      </c>
      <c r="E311" s="180">
        <v>1746784.607329</v>
      </c>
      <c r="F311" s="3162">
        <v>244750.290936</v>
      </c>
      <c r="G311" s="180">
        <v>667921.32381199999</v>
      </c>
      <c r="H311" s="3162">
        <v>871735.93383800006</v>
      </c>
      <c r="I311" s="180">
        <v>330204.46529999998</v>
      </c>
      <c r="J311" s="3162">
        <v>60500.740792999997</v>
      </c>
      <c r="K311" s="180">
        <v>914932.59897100006</v>
      </c>
      <c r="L311" s="3162">
        <v>175597.023372</v>
      </c>
      <c r="M311" s="180">
        <v>297781.37215100002</v>
      </c>
      <c r="N311" s="2095">
        <v>501636.05827699997</v>
      </c>
      <c r="O311" s="2107">
        <v>574.01754265688635</v>
      </c>
      <c r="P311" s="2097">
        <v>157921.41999999998</v>
      </c>
      <c r="Q311" s="2097">
        <v>2321137</v>
      </c>
      <c r="R311" s="263">
        <v>42641.154634551793</v>
      </c>
      <c r="S311" s="203">
        <v>2901.1435733125613</v>
      </c>
      <c r="T311" s="1313">
        <v>3796044.0764600001</v>
      </c>
      <c r="U311" s="225">
        <v>152202573.39011699</v>
      </c>
      <c r="V311" s="1313">
        <v>9174.8733841300018</v>
      </c>
      <c r="W311" s="169">
        <v>24205.908156638186</v>
      </c>
      <c r="X311" s="2106">
        <f t="shared" si="22"/>
        <v>33380.781540768192</v>
      </c>
      <c r="Y311" s="254">
        <v>20.7</v>
      </c>
      <c r="Z311" s="1796"/>
      <c r="AA311" s="1796"/>
    </row>
    <row r="312" spans="1:27">
      <c r="A312" s="63">
        <f t="shared" si="23"/>
        <v>2022.03</v>
      </c>
      <c r="B312" s="169">
        <v>7707157.9705400001</v>
      </c>
      <c r="C312" s="886">
        <f t="shared" si="24"/>
        <v>5552538.0927400002</v>
      </c>
      <c r="D312" s="3162">
        <v>899210.27598000003</v>
      </c>
      <c r="E312" s="180">
        <v>2074871.3724400001</v>
      </c>
      <c r="F312" s="3162">
        <v>334201.73248000001</v>
      </c>
      <c r="G312" s="180">
        <v>798769.07525999995</v>
      </c>
      <c r="H312" s="3162">
        <v>1007636.4614199999</v>
      </c>
      <c r="I312" s="180">
        <v>368360.93974</v>
      </c>
      <c r="J312" s="3162">
        <v>69488.235419999997</v>
      </c>
      <c r="K312" s="180">
        <v>1091450.8223300001</v>
      </c>
      <c r="L312" s="3162">
        <v>202830.44889999999</v>
      </c>
      <c r="M312" s="180">
        <v>353845.91772000003</v>
      </c>
      <c r="N312" s="2095">
        <v>506492.68884999998</v>
      </c>
      <c r="O312" s="2107">
        <v>616.33591811763347</v>
      </c>
      <c r="P312" s="2097">
        <v>157921.41999999998</v>
      </c>
      <c r="Q312" s="2097">
        <v>2578166</v>
      </c>
      <c r="R312" s="263">
        <v>48803.752971192887</v>
      </c>
      <c r="S312" s="203">
        <v>2989.3955511553559</v>
      </c>
      <c r="T312" s="1313">
        <v>4661427.4271400003</v>
      </c>
      <c r="U312" s="225">
        <v>168982502.27879298</v>
      </c>
      <c r="V312" s="1313">
        <v>11195.64490922</v>
      </c>
      <c r="W312" s="169">
        <v>29379.697757779704</v>
      </c>
      <c r="X312" s="2106">
        <f t="shared" si="22"/>
        <v>40575.342666999706</v>
      </c>
      <c r="Y312" s="254">
        <v>15</v>
      </c>
      <c r="Z312" s="1796"/>
      <c r="AA312" s="1796"/>
    </row>
    <row r="313" spans="1:27">
      <c r="A313" s="63">
        <f t="shared" si="23"/>
        <v>2022.04</v>
      </c>
      <c r="B313" s="169">
        <v>8217793.8093130002</v>
      </c>
      <c r="C313" s="886">
        <f t="shared" si="24"/>
        <v>6077316.0277009998</v>
      </c>
      <c r="D313" s="3162">
        <v>946752.88567300001</v>
      </c>
      <c r="E313" s="180">
        <v>2406096.90808</v>
      </c>
      <c r="F313" s="3162">
        <v>357866.08395200002</v>
      </c>
      <c r="G313" s="180">
        <v>841261.51663900004</v>
      </c>
      <c r="H313" s="3162">
        <v>1105758.750209</v>
      </c>
      <c r="I313" s="180">
        <v>343505.10460899997</v>
      </c>
      <c r="J313" s="3162">
        <v>76074.778539000006</v>
      </c>
      <c r="K313" s="180">
        <v>1084036.1164269999</v>
      </c>
      <c r="L313" s="3162">
        <v>208847.317133</v>
      </c>
      <c r="M313" s="180">
        <v>353281.85991300002</v>
      </c>
      <c r="N313" s="2095">
        <v>494312.48813900002</v>
      </c>
      <c r="O313" s="2107">
        <v>658.73743541534532</v>
      </c>
      <c r="P313" s="2097">
        <v>157798.41999999998</v>
      </c>
      <c r="Q313" s="2097">
        <v>2624943</v>
      </c>
      <c r="R313" s="263">
        <v>52077.795261277024</v>
      </c>
      <c r="S313" s="203">
        <v>3130.6560977945046</v>
      </c>
      <c r="T313" s="1313">
        <v>4144573.38326</v>
      </c>
      <c r="U313" s="225">
        <v>177192288.72404501</v>
      </c>
      <c r="V313" s="1313">
        <v>10729.314331869999</v>
      </c>
      <c r="W313" s="169">
        <v>30025.94266783373</v>
      </c>
      <c r="X313" s="2106">
        <f t="shared" si="22"/>
        <v>40755.256999703728</v>
      </c>
      <c r="Y313" s="254">
        <v>6</v>
      </c>
      <c r="Z313" s="1796"/>
      <c r="AA313" s="1796"/>
    </row>
    <row r="314" spans="1:27">
      <c r="A314" s="63">
        <f t="shared" si="23"/>
        <v>2022.05</v>
      </c>
      <c r="B314" s="169">
        <v>8373768.3249939997</v>
      </c>
      <c r="C314" s="886">
        <f t="shared" si="24"/>
        <v>6039780.5669450006</v>
      </c>
      <c r="D314" s="3162">
        <v>877840.56773000001</v>
      </c>
      <c r="E314" s="180">
        <v>2303513.789593</v>
      </c>
      <c r="F314" s="3162">
        <v>360099.46808899997</v>
      </c>
      <c r="G314" s="180">
        <v>892096.11500500003</v>
      </c>
      <c r="H314" s="3162">
        <v>1207448.3939769999</v>
      </c>
      <c r="I314" s="180">
        <v>321232.69664899999</v>
      </c>
      <c r="J314" s="3162">
        <v>77549.535902000003</v>
      </c>
      <c r="K314" s="180">
        <v>1122648.307857</v>
      </c>
      <c r="L314" s="3162">
        <v>264364.09652600001</v>
      </c>
      <c r="M314" s="180">
        <v>426864.61763300002</v>
      </c>
      <c r="N314" s="2095">
        <v>520110.73603299999</v>
      </c>
      <c r="O314" s="2107">
        <v>694.07586488958816</v>
      </c>
      <c r="P314" s="2097">
        <v>157598.41999999998</v>
      </c>
      <c r="Q314" s="2097">
        <v>2555702</v>
      </c>
      <c r="R314" s="263">
        <v>53066.236816528333</v>
      </c>
      <c r="S314" s="203">
        <v>3276.5041953224591</v>
      </c>
      <c r="T314" s="1313">
        <v>4281329.2020300003</v>
      </c>
      <c r="U314" s="225">
        <v>179641568.73319301</v>
      </c>
      <c r="V314" s="1313">
        <v>11507.916611748999</v>
      </c>
      <c r="W314" s="169">
        <v>31497.815537364186</v>
      </c>
      <c r="X314" s="2106">
        <f t="shared" si="22"/>
        <v>43005.732149113188</v>
      </c>
      <c r="Y314" s="254">
        <v>-3.4</v>
      </c>
      <c r="Z314" s="1796"/>
      <c r="AA314" s="2108"/>
    </row>
    <row r="315" spans="1:27">
      <c r="A315" s="63">
        <f t="shared" si="23"/>
        <v>2022.06</v>
      </c>
      <c r="B315" s="169">
        <v>9181317.2561770007</v>
      </c>
      <c r="C315" s="886">
        <f t="shared" si="24"/>
        <v>6601274.2777479999</v>
      </c>
      <c r="D315" s="3162">
        <v>974686.11820400006</v>
      </c>
      <c r="E315" s="180">
        <v>2661116.044791</v>
      </c>
      <c r="F315" s="3162">
        <v>398478.327926</v>
      </c>
      <c r="G315" s="180">
        <v>958556.26197899994</v>
      </c>
      <c r="H315" s="3162">
        <v>1195074.7594910001</v>
      </c>
      <c r="I315" s="180">
        <v>328675.75470599998</v>
      </c>
      <c r="J315" s="3162">
        <v>84687.010651000004</v>
      </c>
      <c r="K315" s="180">
        <v>1193404.6019309999</v>
      </c>
      <c r="L315" s="3162">
        <v>325169.33016700001</v>
      </c>
      <c r="M315" s="180">
        <v>499535.59042899997</v>
      </c>
      <c r="N315" s="2095">
        <v>561933.45590199996</v>
      </c>
      <c r="O315" s="2107">
        <v>729.17645161806922</v>
      </c>
      <c r="P315" s="2097">
        <v>157598.41999999998</v>
      </c>
      <c r="Q315" s="2097">
        <v>2630318</v>
      </c>
      <c r="R315" s="263">
        <v>58183.835149787941</v>
      </c>
      <c r="S315" s="203">
        <v>3490.5731003540254</v>
      </c>
      <c r="T315" s="1313">
        <v>6604256.6505800001</v>
      </c>
      <c r="U315" s="225">
        <v>196114524.81693202</v>
      </c>
      <c r="V315" s="1313">
        <v>12446.650678689999</v>
      </c>
      <c r="W315" s="169">
        <v>33999.784661327554</v>
      </c>
      <c r="X315" s="2106">
        <f t="shared" ref="X315:X328" si="25">V315+W315</f>
        <v>46446.435340017553</v>
      </c>
      <c r="Y315" s="1283">
        <v>-25.8</v>
      </c>
      <c r="Z315" s="1796"/>
      <c r="AA315" s="1796"/>
    </row>
    <row r="316" spans="1:27">
      <c r="A316" s="63">
        <f t="shared" si="23"/>
        <v>2022.07</v>
      </c>
      <c r="B316" s="169">
        <v>10444220.320898</v>
      </c>
      <c r="C316" s="886">
        <f t="shared" si="24"/>
        <v>7425101.3121400001</v>
      </c>
      <c r="D316" s="3162">
        <v>1155799.225083</v>
      </c>
      <c r="E316" s="180">
        <v>3041958.0671850001</v>
      </c>
      <c r="F316" s="3162">
        <v>441164.62202800001</v>
      </c>
      <c r="G316" s="180">
        <v>1037952.688783</v>
      </c>
      <c r="H316" s="3162">
        <v>1282744.9514649999</v>
      </c>
      <c r="I316" s="180">
        <v>369835.40347000002</v>
      </c>
      <c r="J316" s="3162">
        <v>95646.354126000006</v>
      </c>
      <c r="K316" s="180">
        <v>1401075.2595019999</v>
      </c>
      <c r="L316" s="3162">
        <v>310573.98264200002</v>
      </c>
      <c r="M316" s="180">
        <v>624614.58302200004</v>
      </c>
      <c r="N316" s="2095">
        <v>682855.18359200004</v>
      </c>
      <c r="O316" s="2107">
        <v>785.24478536337426</v>
      </c>
      <c r="P316" s="2097">
        <v>157598.41999999998</v>
      </c>
      <c r="Q316" s="2097">
        <v>2786453</v>
      </c>
      <c r="R316" s="263">
        <v>66187.103273264729</v>
      </c>
      <c r="S316" s="203">
        <v>3748.213345388564</v>
      </c>
      <c r="T316" s="1313">
        <v>7262837.5904099997</v>
      </c>
      <c r="U316" s="225">
        <v>228215344.731197</v>
      </c>
      <c r="V316" s="1313">
        <v>13908.270826959999</v>
      </c>
      <c r="W316" s="169">
        <v>39725.719946220124</v>
      </c>
      <c r="X316" s="2106">
        <f t="shared" si="25"/>
        <v>53633.990773180121</v>
      </c>
      <c r="Y316" s="254">
        <v>-3.5</v>
      </c>
      <c r="Z316" s="1796"/>
      <c r="AA316" s="2109"/>
    </row>
    <row r="317" spans="1:27">
      <c r="A317" s="63">
        <f t="shared" si="23"/>
        <v>2022.08</v>
      </c>
      <c r="B317" s="169">
        <v>10607664.749222999</v>
      </c>
      <c r="C317" s="886">
        <f t="shared" si="24"/>
        <v>7644686.7531239996</v>
      </c>
      <c r="D317" s="3162">
        <v>1223176.425049</v>
      </c>
      <c r="E317" s="180">
        <v>2956731.7857090002</v>
      </c>
      <c r="F317" s="3162">
        <v>529175.32016700006</v>
      </c>
      <c r="G317" s="180">
        <v>1119867.759418</v>
      </c>
      <c r="H317" s="3162">
        <v>1290802.924017</v>
      </c>
      <c r="I317" s="180">
        <v>424574.16663599998</v>
      </c>
      <c r="J317" s="3162">
        <v>100358.372128</v>
      </c>
      <c r="K317" s="180">
        <v>1454566.9839590001</v>
      </c>
      <c r="L317" s="3162">
        <v>244675.827949</v>
      </c>
      <c r="M317" s="180">
        <v>491862.78409099998</v>
      </c>
      <c r="N317" s="2095">
        <v>771872.40009999997</v>
      </c>
      <c r="O317" s="2107">
        <v>845.95099870744582</v>
      </c>
      <c r="P317" s="2097">
        <v>157598.41999999998</v>
      </c>
      <c r="Q317" s="2097">
        <v>2794701</v>
      </c>
      <c r="R317" s="263">
        <v>67222.883151954244</v>
      </c>
      <c r="S317" s="203">
        <v>3795.6349352660623</v>
      </c>
      <c r="T317" s="1313">
        <v>7246899.5354000004</v>
      </c>
      <c r="U317" s="225">
        <v>225508109.135602</v>
      </c>
      <c r="V317" s="1313">
        <v>13597.316349279998</v>
      </c>
      <c r="W317" s="169">
        <v>37060.127550543017</v>
      </c>
      <c r="X317" s="2106">
        <f t="shared" si="25"/>
        <v>50657.443899823018</v>
      </c>
      <c r="Y317" s="254">
        <v>-2.1</v>
      </c>
      <c r="Z317" s="1796"/>
      <c r="AA317" s="2109"/>
    </row>
    <row r="318" spans="1:27">
      <c r="A318" s="63">
        <f t="shared" si="23"/>
        <v>2022.09</v>
      </c>
      <c r="B318" s="169">
        <v>10811148.211096</v>
      </c>
      <c r="C318" s="886">
        <f t="shared" si="24"/>
        <v>7920271.0219860002</v>
      </c>
      <c r="D318" s="3162">
        <v>1317530.7009920001</v>
      </c>
      <c r="E318" s="180">
        <v>3149524.1643949999</v>
      </c>
      <c r="F318" s="3162">
        <v>456909.65230999998</v>
      </c>
      <c r="G318" s="180">
        <v>1140045.8398279999</v>
      </c>
      <c r="H318" s="3162">
        <v>1298201.727006</v>
      </c>
      <c r="I318" s="180">
        <v>455321.91233600001</v>
      </c>
      <c r="J318" s="3162">
        <v>102737.025119</v>
      </c>
      <c r="K318" s="180">
        <v>1510557.10763</v>
      </c>
      <c r="L318" s="3162">
        <v>219375.246637</v>
      </c>
      <c r="M318" s="180">
        <v>535810.903101</v>
      </c>
      <c r="N318" s="2095">
        <v>625133.93174200004</v>
      </c>
      <c r="O318" s="2107">
        <v>900.76642417450273</v>
      </c>
      <c r="P318" s="2097">
        <v>158238.41999999998</v>
      </c>
      <c r="Q318" s="2097">
        <v>2649434</v>
      </c>
      <c r="R318" s="263">
        <v>68235.64771155885</v>
      </c>
      <c r="S318" s="203">
        <v>4080.5501141360755</v>
      </c>
      <c r="T318" s="1313">
        <v>8311857.6656200001</v>
      </c>
      <c r="U318" s="225">
        <v>232153157.22456002</v>
      </c>
      <c r="V318" s="1313">
        <v>14681.887506129999</v>
      </c>
      <c r="W318" s="169">
        <v>38917.662973037674</v>
      </c>
      <c r="X318" s="2106">
        <f t="shared" si="25"/>
        <v>53599.550479167672</v>
      </c>
      <c r="Y318" s="254">
        <v>-3.9</v>
      </c>
      <c r="Z318" s="1796"/>
      <c r="AA318" s="2109"/>
    </row>
    <row r="319" spans="1:27">
      <c r="A319" s="63">
        <f t="shared" si="23"/>
        <v>2022.1</v>
      </c>
      <c r="B319" s="169">
        <v>12290121.323016001</v>
      </c>
      <c r="C319" s="886">
        <f t="shared" si="24"/>
        <v>8734916.7224710006</v>
      </c>
      <c r="D319" s="3162">
        <v>1510449.252143</v>
      </c>
      <c r="E319" s="180">
        <v>3359403.1596940001</v>
      </c>
      <c r="F319" s="3162">
        <v>514144.21495300002</v>
      </c>
      <c r="G319" s="180">
        <v>1257871.6694819999</v>
      </c>
      <c r="H319" s="3162">
        <v>1446177.0724269999</v>
      </c>
      <c r="I319" s="180">
        <v>534570.61297699995</v>
      </c>
      <c r="J319" s="3162">
        <v>112300.74079500001</v>
      </c>
      <c r="K319" s="180">
        <v>1681488.3101009999</v>
      </c>
      <c r="L319" s="3162">
        <v>266336.72138100001</v>
      </c>
      <c r="M319" s="180">
        <v>847885.446367</v>
      </c>
      <c r="N319" s="2095">
        <v>759494.12269600003</v>
      </c>
      <c r="O319" s="2107">
        <v>954.36639265471024</v>
      </c>
      <c r="P319" s="2097">
        <v>158238.41999999998</v>
      </c>
      <c r="Q319" s="2097">
        <v>2802082</v>
      </c>
      <c r="R319" s="263">
        <v>77570.335042573643</v>
      </c>
      <c r="S319" s="203">
        <v>4386.0676893167292</v>
      </c>
      <c r="T319" s="1313">
        <v>8770878.0147600006</v>
      </c>
      <c r="U319" s="225">
        <v>265665688.89025301</v>
      </c>
      <c r="V319" s="1313">
        <v>15267.757707569999</v>
      </c>
      <c r="W319" s="169">
        <v>41674.608560848726</v>
      </c>
      <c r="X319" s="2106">
        <f t="shared" si="25"/>
        <v>56942.366268418729</v>
      </c>
      <c r="Y319" s="254">
        <v>-3.2</v>
      </c>
      <c r="Z319" s="1796"/>
      <c r="AA319" s="2110"/>
    </row>
    <row r="320" spans="1:27">
      <c r="A320" s="63">
        <f t="shared" si="23"/>
        <v>2022.11</v>
      </c>
      <c r="B320" s="169">
        <v>13085811.616800001</v>
      </c>
      <c r="C320" s="886">
        <f>SUM(D320:J320)</f>
        <v>9067505.0667930003</v>
      </c>
      <c r="D320" s="3162">
        <v>1813948.487897</v>
      </c>
      <c r="E320" s="180">
        <v>3404755.7182160001</v>
      </c>
      <c r="F320" s="3162">
        <v>509521.710785</v>
      </c>
      <c r="G320" s="180">
        <v>1266135.8455739999</v>
      </c>
      <c r="H320" s="3162">
        <v>1385654.074456</v>
      </c>
      <c r="I320" s="180">
        <v>572039.83802000002</v>
      </c>
      <c r="J320" s="3162">
        <v>115449.39184500001</v>
      </c>
      <c r="K320" s="180">
        <v>1822469.5947799999</v>
      </c>
      <c r="L320" s="3162">
        <v>269533.67024100001</v>
      </c>
      <c r="M320" s="180">
        <v>1093951.2443959999</v>
      </c>
      <c r="N320" s="2095">
        <v>832352.04058999999</v>
      </c>
      <c r="O320" s="2107">
        <v>997.18751425954258</v>
      </c>
      <c r="P320" s="2097">
        <v>158238.41999999998</v>
      </c>
      <c r="Q320" s="2097">
        <v>2723353</v>
      </c>
      <c r="R320" s="263">
        <v>82592.414243969382</v>
      </c>
      <c r="S320" s="203">
        <v>4805.0368853395066</v>
      </c>
      <c r="T320" s="1313">
        <v>11812684.989150001</v>
      </c>
      <c r="U320" s="225">
        <v>284786453.144324</v>
      </c>
      <c r="V320" s="1313">
        <v>18374.647014310001</v>
      </c>
      <c r="W320" s="169">
        <v>46607.448992065802</v>
      </c>
      <c r="X320" s="2106">
        <f t="shared" si="25"/>
        <v>64982.096006375803</v>
      </c>
      <c r="Y320" s="254">
        <v>-3.1</v>
      </c>
      <c r="Z320" s="1796"/>
      <c r="AA320" s="1796"/>
    </row>
    <row r="321" spans="1:27">
      <c r="A321" s="63">
        <f t="shared" si="23"/>
        <v>2022.12</v>
      </c>
      <c r="B321" s="169">
        <v>16937132.316863</v>
      </c>
      <c r="C321" s="886">
        <f>SUM(D321:J321)</f>
        <v>12366281.234284</v>
      </c>
      <c r="D321" s="3162">
        <v>3476217.0717000002</v>
      </c>
      <c r="E321" s="180">
        <v>4205357.59748</v>
      </c>
      <c r="F321" s="3162">
        <v>695379.16704900004</v>
      </c>
      <c r="G321" s="180">
        <v>1381793.030001</v>
      </c>
      <c r="H321" s="3162">
        <v>1716356.083481</v>
      </c>
      <c r="I321" s="180">
        <v>732775.13367500005</v>
      </c>
      <c r="J321" s="3162">
        <v>158403.15089799999</v>
      </c>
      <c r="K321" s="180">
        <v>2031317.437436</v>
      </c>
      <c r="L321" s="3162">
        <v>358306.05613400001</v>
      </c>
      <c r="M321" s="180">
        <v>883794.52314399998</v>
      </c>
      <c r="N321" s="2095">
        <v>1297433.065865</v>
      </c>
      <c r="O321" s="2107">
        <v>1042.4136744951095</v>
      </c>
      <c r="P321" s="2097">
        <v>158078.41999999998</v>
      </c>
      <c r="Q321" s="2097">
        <v>3073104</v>
      </c>
      <c r="R321" s="263">
        <v>106900.41163540386</v>
      </c>
      <c r="S321" s="203">
        <v>5511.4087635377782</v>
      </c>
      <c r="T321" s="1313">
        <v>10616793.491699999</v>
      </c>
      <c r="U321" s="225">
        <v>359667612.32617301</v>
      </c>
      <c r="V321" s="1313">
        <v>20713.712003110002</v>
      </c>
      <c r="W321" s="169">
        <v>61259.000019367821</v>
      </c>
      <c r="X321" s="2106">
        <f t="shared" si="25"/>
        <v>81972.712022477819</v>
      </c>
      <c r="Y321" s="254">
        <v>2.7</v>
      </c>
      <c r="Z321" s="1796"/>
      <c r="AA321" s="2111"/>
    </row>
    <row r="322" spans="1:27">
      <c r="A322" s="63">
        <f t="shared" si="23"/>
        <v>2023.01</v>
      </c>
      <c r="B322" s="169">
        <v>14413531.340393998</v>
      </c>
      <c r="C322" s="886">
        <f>SUM(D322:J322)</f>
        <v>10290095.301556999</v>
      </c>
      <c r="D322" s="3162">
        <v>2231005.2973790001</v>
      </c>
      <c r="E322" s="180">
        <v>3611015.0246349997</v>
      </c>
      <c r="F322" s="3162">
        <v>574831.202697</v>
      </c>
      <c r="G322" s="180">
        <v>1387600.00132</v>
      </c>
      <c r="H322" s="3162">
        <v>1542522.4527430001</v>
      </c>
      <c r="I322" s="180">
        <v>800646.23918199993</v>
      </c>
      <c r="J322" s="3162">
        <v>142475.08360100002</v>
      </c>
      <c r="K322" s="180">
        <v>2029044.0424540001</v>
      </c>
      <c r="L322" s="3162">
        <v>322006.63340899994</v>
      </c>
      <c r="M322" s="180">
        <v>733252.64323199994</v>
      </c>
      <c r="N322" s="2095">
        <v>1039132.7197420001</v>
      </c>
      <c r="O322" s="2107">
        <v>1107.187260576171</v>
      </c>
      <c r="P322" s="2097">
        <v>159790.41999999998</v>
      </c>
      <c r="Q322" s="2097">
        <v>2780379</v>
      </c>
      <c r="R322" s="263">
        <v>89999.959665382092</v>
      </c>
      <c r="S322" s="203">
        <v>5184.0167618853402</v>
      </c>
      <c r="T322" s="1313">
        <v>9314561.1424499992</v>
      </c>
      <c r="U322" s="225">
        <v>316578387.6306569</v>
      </c>
      <c r="V322" s="1313">
        <v>17838.336524549995</v>
      </c>
      <c r="W322" s="169">
        <v>49264.682964103275</v>
      </c>
      <c r="X322" s="2106">
        <f t="shared" si="25"/>
        <v>67103.01948865327</v>
      </c>
      <c r="Y322" s="254">
        <v>-0.3</v>
      </c>
      <c r="Z322" s="1796"/>
      <c r="AA322" s="1796"/>
    </row>
    <row r="323" spans="1:27">
      <c r="A323" s="63">
        <f t="shared" si="23"/>
        <v>2023.02</v>
      </c>
      <c r="B323" s="169">
        <v>14533670.413500998</v>
      </c>
      <c r="C323" s="886">
        <f>SUM(D323:J323)</f>
        <v>10598735.541562999</v>
      </c>
      <c r="D323" s="3162">
        <v>2178995.0645819996</v>
      </c>
      <c r="E323" s="180">
        <v>3742541.9967129999</v>
      </c>
      <c r="F323" s="3162">
        <v>589722.17498399992</v>
      </c>
      <c r="G323" s="180">
        <v>1423825.31116</v>
      </c>
      <c r="H323" s="3162">
        <v>1728274.1167719997</v>
      </c>
      <c r="I323" s="180">
        <v>787508.08945199999</v>
      </c>
      <c r="J323" s="3162">
        <v>147868.7879</v>
      </c>
      <c r="K323" s="180">
        <v>1963246.7590460002</v>
      </c>
      <c r="L323" s="3162">
        <v>316073.39620200003</v>
      </c>
      <c r="M323" s="180">
        <v>633426.77385200001</v>
      </c>
      <c r="N323" s="2095">
        <v>1022187.9428380001</v>
      </c>
      <c r="O323" s="2107">
        <v>1189.130654791277</v>
      </c>
      <c r="P323" s="2097">
        <v>159790.41999999998</v>
      </c>
      <c r="Q323" s="2097">
        <v>2688071</v>
      </c>
      <c r="R323" s="263">
        <v>90750.123624408865</v>
      </c>
      <c r="S323" s="203">
        <v>5406.7286219378129</v>
      </c>
      <c r="T323" s="1313">
        <v>8846908.0012299996</v>
      </c>
      <c r="U323" s="225">
        <v>318416998.00239992</v>
      </c>
      <c r="V323" s="1313">
        <v>17326.582103959998</v>
      </c>
      <c r="W323" s="169">
        <v>48884.508280968454</v>
      </c>
      <c r="X323" s="2106">
        <f t="shared" si="25"/>
        <v>66211.090384928451</v>
      </c>
      <c r="Y323" s="254">
        <v>-0.9</v>
      </c>
      <c r="Z323" s="1796"/>
      <c r="AA323" s="1796"/>
    </row>
    <row r="324" spans="1:27">
      <c r="A324" s="63">
        <f t="shared" si="23"/>
        <v>2023.03</v>
      </c>
      <c r="B324" s="169">
        <v>17234707.125774998</v>
      </c>
      <c r="C324" s="886">
        <f>SUM(D324:J324)</f>
        <v>12873634.210356001</v>
      </c>
      <c r="D324" s="3162">
        <v>2637049.2894220008</v>
      </c>
      <c r="E324" s="180">
        <v>4609313.3697009999</v>
      </c>
      <c r="F324" s="3162">
        <v>725266.46980899991</v>
      </c>
      <c r="G324" s="180">
        <v>1740423.1610629999</v>
      </c>
      <c r="H324" s="3162">
        <v>2079591.2112030003</v>
      </c>
      <c r="I324" s="180">
        <v>906717.15217700019</v>
      </c>
      <c r="J324" s="3162">
        <v>175273.556981</v>
      </c>
      <c r="K324" s="180">
        <v>2400317.1406629998</v>
      </c>
      <c r="L324" s="3162">
        <v>301195.89727099997</v>
      </c>
      <c r="M324" s="180">
        <v>688778.40707700001</v>
      </c>
      <c r="N324" s="2095">
        <v>970781.47040799994</v>
      </c>
      <c r="O324" s="2107">
        <v>1275.6934189248948</v>
      </c>
      <c r="P324" s="2097">
        <v>160610.41999999998</v>
      </c>
      <c r="Q324" s="2097">
        <v>3026727</v>
      </c>
      <c r="R324" s="263">
        <v>107067.54151337247</v>
      </c>
      <c r="S324" s="203">
        <v>5694.1729881072861</v>
      </c>
      <c r="T324" s="1313">
        <v>11547315.440029999</v>
      </c>
      <c r="U324" s="225">
        <v>363148339.07930106</v>
      </c>
      <c r="V324" s="1313">
        <v>21765.349601959999</v>
      </c>
      <c r="W324" s="169">
        <v>61113.133638109997</v>
      </c>
      <c r="X324" s="2106">
        <f t="shared" si="25"/>
        <v>82878.483240069996</v>
      </c>
      <c r="Y324" s="254">
        <v>-0.1</v>
      </c>
      <c r="Z324" s="1796"/>
      <c r="AA324" s="1796"/>
    </row>
    <row r="325" spans="1:27">
      <c r="A325" s="63">
        <f t="shared" si="23"/>
        <v>2023.04</v>
      </c>
      <c r="B325" s="169">
        <v>18587709.193999998</v>
      </c>
      <c r="C325" s="886">
        <f t="shared" si="24"/>
        <v>13852585.573119998</v>
      </c>
      <c r="D325" s="3162">
        <v>2391094.8122200002</v>
      </c>
      <c r="E325" s="180">
        <v>5299109.5711300001</v>
      </c>
      <c r="F325" s="3162">
        <v>824634.97006000008</v>
      </c>
      <c r="G325" s="180">
        <v>1860178.3107</v>
      </c>
      <c r="H325" s="3162">
        <v>2367692.5042200005</v>
      </c>
      <c r="I325" s="180">
        <v>916281.79388999997</v>
      </c>
      <c r="J325" s="3162">
        <v>193593.6109</v>
      </c>
      <c r="K325" s="180">
        <v>2554500.4405799997</v>
      </c>
      <c r="L325" s="3162">
        <v>390898.26801999996</v>
      </c>
      <c r="M325" s="180">
        <v>778246.89383999992</v>
      </c>
      <c r="N325" s="2095">
        <v>1011478.0184399998</v>
      </c>
      <c r="O325" s="2107">
        <v>1386.9296022696976</v>
      </c>
      <c r="P325" s="2097">
        <v>161610.41999999998</v>
      </c>
      <c r="Q325" s="2097">
        <v>3096118</v>
      </c>
      <c r="R325" s="263">
        <v>114759.89994963279</v>
      </c>
      <c r="S325" s="203">
        <v>6003.5532218087292</v>
      </c>
      <c r="T325" s="1313">
        <v>10954941.80759</v>
      </c>
      <c r="U325" s="225">
        <v>385814066.92806983</v>
      </c>
      <c r="V325" s="1313">
        <v>21886.986677450001</v>
      </c>
      <c r="W325" s="169">
        <v>67392.565355923507</v>
      </c>
      <c r="X325" s="2106">
        <f t="shared" si="25"/>
        <v>89279.552033373504</v>
      </c>
      <c r="Y325" s="254">
        <v>-0.1</v>
      </c>
      <c r="Z325" s="1796"/>
      <c r="AA325" s="1796"/>
    </row>
    <row r="326" spans="1:27">
      <c r="A326" s="63">
        <f t="shared" si="23"/>
        <v>2023.05</v>
      </c>
      <c r="B326" s="169">
        <v>18871167.322499998</v>
      </c>
      <c r="C326" s="886">
        <f t="shared" si="24"/>
        <v>14027394.933369998</v>
      </c>
      <c r="D326" s="3162">
        <v>2327073.9482100001</v>
      </c>
      <c r="E326" s="180">
        <v>5469368.81587</v>
      </c>
      <c r="F326" s="3162">
        <v>848530.82921</v>
      </c>
      <c r="G326" s="180">
        <v>2021266.2414000002</v>
      </c>
      <c r="H326" s="3162">
        <v>2282273.70052</v>
      </c>
      <c r="I326" s="180">
        <v>885658.52973000007</v>
      </c>
      <c r="J326" s="3162">
        <v>193222.86843</v>
      </c>
      <c r="K326" s="180">
        <v>2576822.6781099997</v>
      </c>
      <c r="L326" s="3162">
        <v>429349.93172999995</v>
      </c>
      <c r="M326" s="180">
        <v>807560.07558000006</v>
      </c>
      <c r="N326" s="2095">
        <v>1030039.70371</v>
      </c>
      <c r="O326" s="2107">
        <v>1498.9563381625078</v>
      </c>
      <c r="P326" s="2097">
        <v>161610.41999999998</v>
      </c>
      <c r="Q326" s="2097">
        <v>2999533</v>
      </c>
      <c r="R326" s="263">
        <v>116509.96103177359</v>
      </c>
      <c r="S326" s="203">
        <v>6291.3684638575405</v>
      </c>
      <c r="T326" s="1313">
        <v>14462742.91707</v>
      </c>
      <c r="U326" s="225">
        <v>388897175.88153994</v>
      </c>
      <c r="V326" s="1313">
        <v>23421.612665540004</v>
      </c>
      <c r="W326" s="169">
        <v>69131.670740850008</v>
      </c>
      <c r="X326" s="2106">
        <f t="shared" si="25"/>
        <v>92553.283406390008</v>
      </c>
      <c r="Y326" s="254">
        <v>-2.8</v>
      </c>
      <c r="Z326" s="1796"/>
      <c r="AA326" s="1796"/>
    </row>
    <row r="327" spans="1:27">
      <c r="A327" s="63">
        <f t="shared" si="23"/>
        <v>2023.06</v>
      </c>
      <c r="B327" s="169">
        <v>20670443.380860001</v>
      </c>
      <c r="C327" s="886">
        <f t="shared" si="24"/>
        <v>15241252.818100002</v>
      </c>
      <c r="D327" s="3162">
        <v>2637798.4352600006</v>
      </c>
      <c r="E327" s="180">
        <v>6001803.5019199997</v>
      </c>
      <c r="F327" s="3162">
        <v>940813.98774999974</v>
      </c>
      <c r="G327" s="180">
        <v>2190879.5828400003</v>
      </c>
      <c r="H327" s="3162">
        <v>2376180.5271900008</v>
      </c>
      <c r="I327" s="180">
        <v>885948.63477999996</v>
      </c>
      <c r="J327" s="3162">
        <v>207828.14835999999</v>
      </c>
      <c r="K327" s="180">
        <v>2737049.6151999999</v>
      </c>
      <c r="L327" s="3162">
        <v>595905.38459999999</v>
      </c>
      <c r="M327" s="180">
        <v>947445.86479000014</v>
      </c>
      <c r="N327" s="2095">
        <v>1148789.6981700002</v>
      </c>
      <c r="O327" s="2107">
        <v>1597.8684334603222</v>
      </c>
      <c r="P327" s="2097">
        <v>161610.41999999998</v>
      </c>
      <c r="Q327" s="2097">
        <v>3055394</v>
      </c>
      <c r="R327" s="263">
        <v>127618.63172831188</v>
      </c>
      <c r="S327" s="203">
        <v>6765.2300753552572</v>
      </c>
      <c r="T327" s="1313">
        <v>12528760.526070001</v>
      </c>
      <c r="U327" s="225">
        <v>425805739.95078009</v>
      </c>
      <c r="V327" s="1313">
        <v>24958.487470450003</v>
      </c>
      <c r="W327" s="169">
        <v>76823.259480699984</v>
      </c>
      <c r="X327" s="2106">
        <f t="shared" si="25"/>
        <v>101781.74695114998</v>
      </c>
      <c r="Y327" s="254">
        <v>-3.6</v>
      </c>
      <c r="Z327" s="1796"/>
      <c r="AA327" s="1796"/>
    </row>
    <row r="328" spans="1:27">
      <c r="A328" s="63">
        <f t="shared" si="23"/>
        <v>2023.07</v>
      </c>
      <c r="B328" s="169">
        <v>23756597.878629994</v>
      </c>
      <c r="C328" s="886">
        <f t="shared" si="24"/>
        <v>17328926.687999997</v>
      </c>
      <c r="D328" s="3162">
        <v>3122909.7735299999</v>
      </c>
      <c r="E328" s="180">
        <v>6717358.3134400006</v>
      </c>
      <c r="F328" s="3162">
        <v>1089333.5918099999</v>
      </c>
      <c r="G328" s="180">
        <v>2493069.9584599994</v>
      </c>
      <c r="H328" s="3162">
        <v>2652382.1268000002</v>
      </c>
      <c r="I328" s="180">
        <v>1009552.8289</v>
      </c>
      <c r="J328" s="3162">
        <v>244320.09505999999</v>
      </c>
      <c r="K328" s="180">
        <v>3072895.1652799998</v>
      </c>
      <c r="L328" s="3162">
        <v>716669.93125000002</v>
      </c>
      <c r="M328" s="180">
        <v>1231324.0946</v>
      </c>
      <c r="N328" s="2095">
        <v>1406781.9994999999</v>
      </c>
      <c r="O328" s="2107">
        <v>1702.6751386401163</v>
      </c>
      <c r="P328" s="2097">
        <v>164909.41999999998</v>
      </c>
      <c r="Q328" s="2097">
        <v>3103174</v>
      </c>
      <c r="R328" s="263">
        <v>143744.66781955189</v>
      </c>
      <c r="S328" s="203">
        <v>7655.5803440702975</v>
      </c>
      <c r="T328" s="1313">
        <v>15281302.85348</v>
      </c>
      <c r="U328" s="225">
        <v>482669389.05064976</v>
      </c>
      <c r="V328" s="1313">
        <v>27533.525679309998</v>
      </c>
      <c r="W328" s="169">
        <v>83660.753406650008</v>
      </c>
      <c r="X328" s="2106">
        <f t="shared" si="25"/>
        <v>111194.27908596001</v>
      </c>
      <c r="Y328" s="254">
        <v>-3.6</v>
      </c>
      <c r="Z328" s="1796"/>
      <c r="AA328" s="1796"/>
    </row>
    <row r="329" spans="1:27">
      <c r="A329" s="63">
        <f t="shared" si="23"/>
        <v>2023.08</v>
      </c>
      <c r="B329" s="169">
        <v>27300785.023770005</v>
      </c>
      <c r="C329" s="886">
        <f t="shared" si="24"/>
        <v>20425197.985710002</v>
      </c>
      <c r="D329" s="3162">
        <v>3863944.5342899999</v>
      </c>
      <c r="E329" s="180">
        <v>7718746.0971800005</v>
      </c>
      <c r="F329" s="3162">
        <v>1255566.3522999999</v>
      </c>
      <c r="G329" s="180">
        <v>2840371.7267600005</v>
      </c>
      <c r="H329" s="3162">
        <v>3224022.2934000008</v>
      </c>
      <c r="I329" s="180">
        <v>1227742.5718499999</v>
      </c>
      <c r="J329" s="3162">
        <v>294804.40993000002</v>
      </c>
      <c r="K329" s="180">
        <v>3508263.3626099997</v>
      </c>
      <c r="L329" s="3162">
        <v>560369.24916000001</v>
      </c>
      <c r="M329" s="180">
        <v>1147210.8900000001</v>
      </c>
      <c r="N329" s="2095">
        <v>1659743.53629</v>
      </c>
      <c r="O329" s="2107">
        <v>1917.1319011656876</v>
      </c>
      <c r="P329" s="2097">
        <v>164909.41999999998</v>
      </c>
      <c r="Q329" s="2097">
        <v>3404076</v>
      </c>
      <c r="R329" s="263">
        <v>165349.65130257254</v>
      </c>
      <c r="S329" s="203">
        <v>8020.0280557102715</v>
      </c>
      <c r="T329" s="1313">
        <v>18657528.723540001</v>
      </c>
      <c r="U329" s="225">
        <v>537409230.36957991</v>
      </c>
      <c r="V329" s="1313">
        <v>30763.45208336</v>
      </c>
      <c r="W329" s="169">
        <v>91858.770415160005</v>
      </c>
      <c r="X329" s="2106">
        <f>V329+W329</f>
        <v>122622.22249852</v>
      </c>
      <c r="Y329" s="254">
        <v>-4.0999999999999996</v>
      </c>
      <c r="Z329" s="1796"/>
      <c r="AA329" s="1796"/>
    </row>
    <row r="330" spans="1:27">
      <c r="A330" s="63">
        <f t="shared" si="23"/>
        <v>2023.09</v>
      </c>
      <c r="B330" s="169">
        <v>30032144.26802</v>
      </c>
      <c r="C330" s="886">
        <f t="shared" si="24"/>
        <v>22936904.502009999</v>
      </c>
      <c r="D330" s="3162">
        <v>4300453.2125600008</v>
      </c>
      <c r="E330" s="180">
        <v>8623552.4883299991</v>
      </c>
      <c r="F330" s="3162">
        <v>1404166.3328100001</v>
      </c>
      <c r="G330" s="180">
        <v>3115343.7875799998</v>
      </c>
      <c r="H330" s="3162">
        <v>3777007.8630399997</v>
      </c>
      <c r="I330" s="180">
        <v>1394234.5229099998</v>
      </c>
      <c r="J330" s="3162">
        <v>322146.29478</v>
      </c>
      <c r="K330" s="180">
        <v>3837855.2240200001</v>
      </c>
      <c r="L330" s="3162">
        <v>563049.72827000008</v>
      </c>
      <c r="M330" s="180">
        <v>1133552.3835199999</v>
      </c>
      <c r="N330" s="2095">
        <v>1560782.4302000001</v>
      </c>
      <c r="O330" s="2107">
        <v>2169.4322669191242</v>
      </c>
      <c r="P330" s="2097">
        <v>164909.41999999998</v>
      </c>
      <c r="Q330" s="2097">
        <v>3376935</v>
      </c>
      <c r="R330" s="263">
        <v>181892.37335973926</v>
      </c>
      <c r="S330" s="203">
        <v>8893.3142828778164</v>
      </c>
      <c r="T330" s="1313">
        <v>16572711.73553</v>
      </c>
      <c r="U330" s="225">
        <v>580113048.3323102</v>
      </c>
      <c r="V330" s="1313">
        <v>33291.210580819999</v>
      </c>
      <c r="W330" s="169">
        <v>104774.96699318</v>
      </c>
      <c r="X330" s="2106">
        <f t="shared" ref="X330:X357" si="26">V330+W330</f>
        <v>138066.177574</v>
      </c>
      <c r="Y330" s="254">
        <v>-5.0999999999999996</v>
      </c>
      <c r="Z330" s="1796"/>
      <c r="AA330" s="1796"/>
    </row>
    <row r="331" spans="1:27">
      <c r="A331" s="63">
        <f t="shared" si="23"/>
        <v>2023.1</v>
      </c>
      <c r="B331" s="169">
        <v>35247486.239349999</v>
      </c>
      <c r="C331" s="886">
        <f t="shared" si="24"/>
        <v>25495693.19918</v>
      </c>
      <c r="D331" s="3162">
        <v>5063346.16493</v>
      </c>
      <c r="E331" s="180">
        <v>9220202.1384199988</v>
      </c>
      <c r="F331" s="3162">
        <v>1587583.3346800001</v>
      </c>
      <c r="G331" s="180">
        <v>3461069.7892499999</v>
      </c>
      <c r="H331" s="3162">
        <v>4263941.5960799996</v>
      </c>
      <c r="I331" s="180">
        <v>1549068.3723299997</v>
      </c>
      <c r="J331" s="3162">
        <v>350481.80349000002</v>
      </c>
      <c r="K331" s="180">
        <v>4560936.6758500002</v>
      </c>
      <c r="L331" s="3162">
        <v>808048.64279999991</v>
      </c>
      <c r="M331" s="180">
        <v>2307171.6848400007</v>
      </c>
      <c r="N331" s="2095">
        <v>2075636.0366800001</v>
      </c>
      <c r="O331" s="2107">
        <v>2374.7065800287396</v>
      </c>
      <c r="P331" s="2097">
        <v>166359.41999999998</v>
      </c>
      <c r="Q331" s="2097">
        <v>3421515</v>
      </c>
      <c r="R331" s="263">
        <v>211621.09137597866</v>
      </c>
      <c r="S331" s="203">
        <v>10301.719045320569</v>
      </c>
      <c r="T331" s="1313">
        <v>26120056.761039998</v>
      </c>
      <c r="U331" s="225">
        <v>708384350.4217999</v>
      </c>
      <c r="V331" s="1313">
        <v>41645.966546870004</v>
      </c>
      <c r="W331" s="169">
        <v>130713.17787723003</v>
      </c>
      <c r="X331" s="2106">
        <f t="shared" si="26"/>
        <v>172359.14442410003</v>
      </c>
      <c r="Y331" s="254">
        <v>-0.7</v>
      </c>
      <c r="Z331" s="1796"/>
      <c r="AA331" s="1796"/>
    </row>
    <row r="332" spans="1:27">
      <c r="A332" s="63">
        <f t="shared" si="23"/>
        <v>2023.11</v>
      </c>
      <c r="B332" s="169">
        <v>38473440.557500005</v>
      </c>
      <c r="C332" s="886">
        <f t="shared" si="24"/>
        <v>28156928.557160001</v>
      </c>
      <c r="D332" s="3162">
        <v>5631503.6476099994</v>
      </c>
      <c r="E332" s="180">
        <v>10126939.442679999</v>
      </c>
      <c r="F332" s="3162">
        <v>1744867.2462500003</v>
      </c>
      <c r="G332" s="180">
        <v>3700872.0325300004</v>
      </c>
      <c r="H332" s="3162">
        <v>4745046.1564299995</v>
      </c>
      <c r="I332" s="180">
        <v>1844359.5584600002</v>
      </c>
      <c r="J332" s="3162">
        <v>363340.47320000007</v>
      </c>
      <c r="K332" s="180">
        <v>5124842.0449299999</v>
      </c>
      <c r="L332" s="3162">
        <v>777864.37213000015</v>
      </c>
      <c r="M332" s="180">
        <v>2026094.30645</v>
      </c>
      <c r="N332" s="2095">
        <v>2387711.2768300003</v>
      </c>
      <c r="O332" s="2107">
        <v>2721.5465541007497</v>
      </c>
      <c r="P332" s="2097">
        <v>166359.41999999998</v>
      </c>
      <c r="Q332" s="2097">
        <v>3419983</v>
      </c>
      <c r="R332" s="263">
        <f t="shared" ref="R332:R357" si="27">$B332/P332*1000</f>
        <v>231266.97939617731</v>
      </c>
      <c r="S332" s="203">
        <f t="shared" ref="S332:S394" si="28">$B332/Q332*1000</f>
        <v>11249.599941724859</v>
      </c>
      <c r="T332" s="1313">
        <v>28618728.15484</v>
      </c>
      <c r="U332" s="225">
        <v>764304815.62694979</v>
      </c>
      <c r="V332" s="1313">
        <v>45407.193669079999</v>
      </c>
      <c r="W332" s="169">
        <v>130964.42418418001</v>
      </c>
      <c r="X332" s="2106">
        <f t="shared" si="26"/>
        <v>176371.61785326002</v>
      </c>
      <c r="Y332" s="254">
        <v>-2.9</v>
      </c>
      <c r="Z332" s="1796"/>
      <c r="AA332" s="1796"/>
    </row>
    <row r="333" spans="1:27">
      <c r="A333" s="63">
        <f t="shared" si="23"/>
        <v>2023.12</v>
      </c>
      <c r="B333" s="169">
        <v>60323301.974420004</v>
      </c>
      <c r="C333" s="886">
        <f t="shared" si="24"/>
        <v>45187838.603320003</v>
      </c>
      <c r="D333" s="3162">
        <v>10903072.65676</v>
      </c>
      <c r="E333" s="180">
        <v>16085286.233970001</v>
      </c>
      <c r="F333" s="3162">
        <v>2726916.2372099995</v>
      </c>
      <c r="G333" s="180">
        <v>4950521.129639999</v>
      </c>
      <c r="H333" s="3162">
        <v>7460250.9348800005</v>
      </c>
      <c r="I333" s="180">
        <v>2501038.5070600002</v>
      </c>
      <c r="J333" s="3162">
        <v>560752.9038000002</v>
      </c>
      <c r="K333" s="180">
        <v>7882582.0791699998</v>
      </c>
      <c r="L333" s="3162">
        <v>1171758.4802099997</v>
      </c>
      <c r="M333" s="180">
        <v>1995033.8560899999</v>
      </c>
      <c r="N333" s="2095">
        <v>4086088.9556299997</v>
      </c>
      <c r="O333" s="2107">
        <v>3559.5913250135814</v>
      </c>
      <c r="P333" s="2097">
        <v>167189.41999999998</v>
      </c>
      <c r="Q333" s="2097">
        <v>3825299</v>
      </c>
      <c r="R333" s="263">
        <f t="shared" si="27"/>
        <v>360808.1299308294</v>
      </c>
      <c r="S333" s="203">
        <f t="shared" si="28"/>
        <v>15769.565195928475</v>
      </c>
      <c r="T333" s="1313">
        <v>31032995.318399999</v>
      </c>
      <c r="U333" s="225">
        <v>1147057747.0741498</v>
      </c>
      <c r="V333" s="1313">
        <v>57205.918840289996</v>
      </c>
      <c r="W333" s="169">
        <v>191288.84031182996</v>
      </c>
      <c r="X333" s="2106">
        <f t="shared" si="26"/>
        <v>248494.75915211995</v>
      </c>
      <c r="Y333" s="254">
        <v>-13.7</v>
      </c>
      <c r="Z333" s="1796"/>
      <c r="AA333" s="1796"/>
    </row>
    <row r="334" spans="1:27">
      <c r="A334" s="63">
        <f t="shared" ref="A334:A397" si="29">A322+1</f>
        <v>2024.01</v>
      </c>
      <c r="B334" s="169">
        <v>54141634.509810001</v>
      </c>
      <c r="C334" s="886">
        <f t="shared" si="24"/>
        <v>39855469.184160002</v>
      </c>
      <c r="D334" s="3162">
        <v>7256190.6884900006</v>
      </c>
      <c r="E334" s="180">
        <v>15007936.124519998</v>
      </c>
      <c r="F334" s="3162">
        <v>2506592.1996500008</v>
      </c>
      <c r="G334" s="180">
        <v>5358125.4163300004</v>
      </c>
      <c r="H334" s="3162">
        <v>6642491.7576200003</v>
      </c>
      <c r="I334" s="180">
        <v>2551607.8945599995</v>
      </c>
      <c r="J334" s="3162">
        <v>532525.10299000004</v>
      </c>
      <c r="K334" s="180">
        <v>8460125.90649</v>
      </c>
      <c r="L334" s="3162">
        <v>892087.52385999996</v>
      </c>
      <c r="M334" s="180">
        <v>1645557.4135400001</v>
      </c>
      <c r="N334" s="2095">
        <v>3288394.4817599999</v>
      </c>
      <c r="O334" s="2107">
        <v>4473.6540389103502</v>
      </c>
      <c r="P334" s="2097">
        <v>168441.41999999998</v>
      </c>
      <c r="Q334" s="2097">
        <v>3243367</v>
      </c>
      <c r="R334" s="263">
        <f t="shared" si="27"/>
        <v>321427.08432290592</v>
      </c>
      <c r="S334" s="203">
        <f t="shared" si="28"/>
        <v>16693.033662181926</v>
      </c>
      <c r="T334" s="1313">
        <v>31401144.57897</v>
      </c>
      <c r="U334" s="225">
        <v>1103218655.4508502</v>
      </c>
      <c r="V334" s="1313">
        <v>71345.725101190008</v>
      </c>
      <c r="W334" s="169">
        <v>187869.75552106</v>
      </c>
      <c r="X334" s="2106">
        <f t="shared" si="26"/>
        <v>259215.48062225</v>
      </c>
      <c r="Y334" s="254">
        <v>-28.5</v>
      </c>
      <c r="Z334" s="1796"/>
      <c r="AA334" s="1796"/>
    </row>
    <row r="335" spans="1:27">
      <c r="A335" s="63">
        <f t="shared" si="29"/>
        <v>2024.02</v>
      </c>
      <c r="B335" s="169">
        <v>57632744.858000003</v>
      </c>
      <c r="C335" s="886">
        <f t="shared" si="24"/>
        <v>42466690.79962001</v>
      </c>
      <c r="D335" s="3162">
        <v>7598490.9676300008</v>
      </c>
      <c r="E335" s="180">
        <v>16438328.908310002</v>
      </c>
      <c r="F335" s="3162">
        <v>2729214.0764299999</v>
      </c>
      <c r="G335" s="180">
        <v>5787819.1173700001</v>
      </c>
      <c r="H335" s="3162">
        <v>6671617.8751900019</v>
      </c>
      <c r="I335" s="180">
        <v>2682645.45206</v>
      </c>
      <c r="J335" s="3162">
        <v>558574.40263000003</v>
      </c>
      <c r="K335" s="180">
        <v>9056312.6258499995</v>
      </c>
      <c r="L335" s="3162">
        <v>885405.3332799999</v>
      </c>
      <c r="M335" s="180">
        <v>1686633.47746</v>
      </c>
      <c r="N335" s="2095">
        <v>3537702.6217899998</v>
      </c>
      <c r="O335" s="2107">
        <v>5027.8525525347777</v>
      </c>
      <c r="P335" s="2097">
        <v>168441.41999999998</v>
      </c>
      <c r="Q335" s="2097">
        <v>3118372</v>
      </c>
      <c r="R335" s="263">
        <f t="shared" si="27"/>
        <v>342153.04559887951</v>
      </c>
      <c r="S335" s="203">
        <f t="shared" si="28"/>
        <v>18481.677252745987</v>
      </c>
      <c r="T335" s="1313">
        <v>33384434.916340001</v>
      </c>
      <c r="U335" s="225">
        <v>1193012006.7699497</v>
      </c>
      <c r="V335" s="1313">
        <v>68227.808084770004</v>
      </c>
      <c r="W335" s="169">
        <v>202198.71435598005</v>
      </c>
      <c r="X335" s="2106">
        <f t="shared" si="26"/>
        <v>270426.52244075004</v>
      </c>
      <c r="Y335" s="254">
        <v>-25.5</v>
      </c>
      <c r="Z335" s="1796"/>
      <c r="AA335" s="1796"/>
    </row>
    <row r="336" spans="1:27">
      <c r="A336" s="63">
        <f t="shared" si="29"/>
        <v>2024.03</v>
      </c>
      <c r="B336" s="169">
        <v>72078831.283140004</v>
      </c>
      <c r="C336" s="886">
        <f t="shared" si="24"/>
        <v>53383128.367040008</v>
      </c>
      <c r="D336" s="3162">
        <v>8791289.59124</v>
      </c>
      <c r="E336" s="180">
        <v>21497420.901799999</v>
      </c>
      <c r="F336" s="3162">
        <v>3537834.8821900003</v>
      </c>
      <c r="G336" s="180">
        <v>7500109.2191700004</v>
      </c>
      <c r="H336" s="3162">
        <v>8067513.0735499999</v>
      </c>
      <c r="I336" s="180">
        <v>3271610.9033099995</v>
      </c>
      <c r="J336" s="3162">
        <v>717349.79577999993</v>
      </c>
      <c r="K336" s="180">
        <v>11487913.72144</v>
      </c>
      <c r="L336" s="3162">
        <v>1056950.76134</v>
      </c>
      <c r="M336" s="180">
        <v>2007903.64638</v>
      </c>
      <c r="N336" s="2095">
        <v>4142934.78694</v>
      </c>
      <c r="O336" s="2107">
        <v>5512.639560093894</v>
      </c>
      <c r="P336" s="2097">
        <v>169541.41999999998</v>
      </c>
      <c r="Q336" s="2097">
        <v>3355763</v>
      </c>
      <c r="R336" s="263">
        <f t="shared" si="27"/>
        <v>425139.95272152382</v>
      </c>
      <c r="S336" s="203">
        <f t="shared" si="28"/>
        <v>21479.118544170135</v>
      </c>
      <c r="T336" s="1313">
        <v>38681622.090279996</v>
      </c>
      <c r="U336" s="225">
        <v>1422932963.1105106</v>
      </c>
      <c r="V336" s="1313">
        <v>76183.683327359991</v>
      </c>
      <c r="W336" s="169">
        <v>246321.00168962002</v>
      </c>
      <c r="X336" s="2106">
        <f>V336+W336</f>
        <v>322504.68501698005</v>
      </c>
      <c r="Y336" s="254">
        <v>-12.6</v>
      </c>
      <c r="Z336" s="1796"/>
      <c r="AA336" s="1796"/>
    </row>
    <row r="337" spans="1:25">
      <c r="A337" s="63">
        <f t="shared" si="29"/>
        <v>2024.04</v>
      </c>
      <c r="B337" s="169">
        <v>70866247.681170002</v>
      </c>
      <c r="C337" s="886">
        <f t="shared" si="24"/>
        <v>52505387.082249999</v>
      </c>
      <c r="D337" s="3162">
        <v>7779905.3837699993</v>
      </c>
      <c r="E337" s="180">
        <v>21139222.96353</v>
      </c>
      <c r="F337" s="3162">
        <v>3397965.6373099992</v>
      </c>
      <c r="G337" s="180">
        <v>7832630.1563699991</v>
      </c>
      <c r="H337" s="3162">
        <v>8361349.8979500001</v>
      </c>
      <c r="I337" s="180">
        <v>3246564.9490500004</v>
      </c>
      <c r="J337" s="3162">
        <v>747748.09426999989</v>
      </c>
      <c r="K337" s="180">
        <v>10834011.883019999</v>
      </c>
      <c r="L337" s="3162">
        <v>1607575.2812200002</v>
      </c>
      <c r="M337" s="180">
        <v>1977489.0006600001</v>
      </c>
      <c r="N337" s="2095">
        <v>3941784.43402</v>
      </c>
      <c r="O337" s="2107">
        <v>5821.49109562386</v>
      </c>
      <c r="P337" s="2097">
        <v>169541.41999999998</v>
      </c>
      <c r="Q337" s="2097">
        <v>3280702</v>
      </c>
      <c r="R337" s="263">
        <f t="shared" si="27"/>
        <v>417987.81490192784</v>
      </c>
      <c r="S337" s="203">
        <f t="shared" si="28"/>
        <v>21600.94018937715</v>
      </c>
      <c r="T337" s="1313">
        <v>40478838.531089999</v>
      </c>
      <c r="U337" s="225">
        <v>1335118161.8884993</v>
      </c>
      <c r="V337" s="1313">
        <v>75100.788995840005</v>
      </c>
      <c r="W337" s="169">
        <v>233546.16791237003</v>
      </c>
      <c r="X337" s="2106">
        <f t="shared" si="26"/>
        <v>308646.95690821006</v>
      </c>
      <c r="Y337" s="254">
        <v>-7.3</v>
      </c>
    </row>
    <row r="338" spans="1:25">
      <c r="A338" s="63">
        <f t="shared" si="29"/>
        <v>2024.05</v>
      </c>
      <c r="B338" s="169">
        <v>75252130.362739995</v>
      </c>
      <c r="C338" s="886">
        <f t="shared" si="24"/>
        <v>55334203.48765</v>
      </c>
      <c r="D338" s="3162">
        <v>7580533.8571699997</v>
      </c>
      <c r="E338" s="180">
        <v>22777304.707660001</v>
      </c>
      <c r="F338" s="3162">
        <v>3600529.1269099996</v>
      </c>
      <c r="G338" s="180">
        <v>8552906.0932500008</v>
      </c>
      <c r="H338" s="3162">
        <v>8731829.0273300018</v>
      </c>
      <c r="I338" s="180">
        <v>3308230.8777899994</v>
      </c>
      <c r="J338" s="3162">
        <v>782869.79753999994</v>
      </c>
      <c r="K338" s="180">
        <v>11445260.5208</v>
      </c>
      <c r="L338" s="3162">
        <v>2064334.50092</v>
      </c>
      <c r="M338" s="180">
        <v>2476529.6753500002</v>
      </c>
      <c r="N338" s="2095">
        <v>3931802.17802</v>
      </c>
      <c r="O338" s="2107">
        <v>6034.4821156199605</v>
      </c>
      <c r="P338" s="2097">
        <v>169219.41999999998</v>
      </c>
      <c r="Q338" s="2097">
        <v>3279573</v>
      </c>
      <c r="R338" s="263">
        <f t="shared" si="27"/>
        <v>444701.50271605945</v>
      </c>
      <c r="S338" s="203">
        <f t="shared" si="28"/>
        <v>22945.709811228473</v>
      </c>
      <c r="T338" s="1313">
        <v>51848591.733050004</v>
      </c>
      <c r="U338" s="225">
        <v>1412879732.6910794</v>
      </c>
      <c r="V338" s="1313">
        <v>76678.472006270007</v>
      </c>
      <c r="W338" s="169">
        <v>250784.57912740004</v>
      </c>
      <c r="X338" s="2106">
        <f t="shared" si="26"/>
        <v>327463.05113367003</v>
      </c>
      <c r="Y338" s="254">
        <v>-7.3</v>
      </c>
    </row>
    <row r="339" spans="1:25">
      <c r="A339" s="63">
        <f t="shared" si="29"/>
        <v>2024.06</v>
      </c>
      <c r="B339" s="169">
        <v>80526094.615150005</v>
      </c>
      <c r="C339" s="886">
        <f t="shared" si="24"/>
        <v>58715460.144089997</v>
      </c>
      <c r="D339" s="3162">
        <v>8701383.9671299998</v>
      </c>
      <c r="E339" s="180">
        <v>23153269.325709999</v>
      </c>
      <c r="F339" s="3162">
        <v>3991765.0442999997</v>
      </c>
      <c r="G339" s="180">
        <v>9157784.889560001</v>
      </c>
      <c r="H339" s="3162">
        <v>9318929.8628599998</v>
      </c>
      <c r="I339" s="180">
        <v>3523776.6160200005</v>
      </c>
      <c r="J339" s="3162">
        <v>868550.43851000001</v>
      </c>
      <c r="K339" s="180">
        <v>11976388.24487</v>
      </c>
      <c r="L339" s="3162">
        <v>2219019.4343900005</v>
      </c>
      <c r="M339" s="180">
        <v>2863369.6005199999</v>
      </c>
      <c r="N339" s="2095">
        <v>4751857.1912800008</v>
      </c>
      <c r="O339" s="2107">
        <v>6208.3305065337663</v>
      </c>
      <c r="P339" s="2097">
        <v>169219.41999999998</v>
      </c>
      <c r="Q339" s="2097">
        <v>3238957</v>
      </c>
      <c r="R339" s="263">
        <f t="shared" si="27"/>
        <v>475867.92706859543</v>
      </c>
      <c r="S339" s="203">
        <f t="shared" si="28"/>
        <v>24861.73623643352</v>
      </c>
      <c r="T339" s="1313">
        <v>44388418.876939997</v>
      </c>
      <c r="U339" s="225">
        <v>1532919328.725981</v>
      </c>
      <c r="V339" s="1313">
        <v>71788.875613010008</v>
      </c>
      <c r="W339" s="169">
        <v>262472.69984779006</v>
      </c>
      <c r="X339" s="2106">
        <f t="shared" si="26"/>
        <v>334261.57546080009</v>
      </c>
      <c r="Y339" s="254">
        <v>-21.9</v>
      </c>
    </row>
    <row r="340" spans="1:25">
      <c r="A340" s="63">
        <f t="shared" si="29"/>
        <v>2024.07</v>
      </c>
      <c r="B340" s="169">
        <v>83284856.042469993</v>
      </c>
      <c r="C340" s="886">
        <f t="shared" si="24"/>
        <v>61074948.527269997</v>
      </c>
      <c r="D340" s="3162">
        <v>8699766.440200001</v>
      </c>
      <c r="E340" s="180">
        <v>24402313.031730004</v>
      </c>
      <c r="F340" s="3162">
        <v>4211606.2040199991</v>
      </c>
      <c r="G340" s="180">
        <v>9664558.546289999</v>
      </c>
      <c r="H340" s="3162">
        <v>9354148.7403099984</v>
      </c>
      <c r="I340" s="180">
        <v>3844058.5167699996</v>
      </c>
      <c r="J340" s="3162">
        <v>898497.04795000004</v>
      </c>
      <c r="K340" s="180">
        <v>11844025.061740002</v>
      </c>
      <c r="L340" s="3162">
        <v>2271789.8264099997</v>
      </c>
      <c r="M340" s="180">
        <v>3305139.3712600009</v>
      </c>
      <c r="N340" s="2095">
        <v>4788953.2557899999</v>
      </c>
      <c r="O340" s="2107">
        <v>6389.7281502001561</v>
      </c>
      <c r="P340" s="2097">
        <v>169219.41999999998</v>
      </c>
      <c r="Q340" s="2097">
        <v>3262944</v>
      </c>
      <c r="R340" s="263">
        <f t="shared" si="27"/>
        <v>492170.79246855946</v>
      </c>
      <c r="S340" s="203">
        <f t="shared" si="28"/>
        <v>25524.451551258615</v>
      </c>
      <c r="T340" s="1313">
        <v>50971855.900020003</v>
      </c>
      <c r="U340" s="225">
        <v>1588377398.8490007</v>
      </c>
      <c r="V340" s="1313">
        <v>82438.572514099986</v>
      </c>
      <c r="W340" s="169">
        <v>266271.20552587998</v>
      </c>
      <c r="X340" s="2106">
        <f t="shared" si="26"/>
        <v>348709.77803997998</v>
      </c>
      <c r="Y340" s="254">
        <v>-15.7</v>
      </c>
    </row>
    <row r="341" spans="1:25">
      <c r="A341" s="63">
        <f t="shared" si="29"/>
        <v>2024.08</v>
      </c>
      <c r="B341" s="169">
        <v>88725955.339699984</v>
      </c>
      <c r="C341" s="886">
        <f t="shared" si="24"/>
        <v>65809234.306479983</v>
      </c>
      <c r="D341" s="3162">
        <v>8999109.4296899978</v>
      </c>
      <c r="E341" s="180">
        <v>26409673.209289998</v>
      </c>
      <c r="F341" s="3162">
        <v>4333484.4684799993</v>
      </c>
      <c r="G341" s="180">
        <v>10380493.09434</v>
      </c>
      <c r="H341" s="3162">
        <v>10242986.046940001</v>
      </c>
      <c r="I341" s="180">
        <v>4365475.6672600005</v>
      </c>
      <c r="J341" s="3162">
        <v>1078012.3904800001</v>
      </c>
      <c r="K341" s="180">
        <v>12840432.080710001</v>
      </c>
      <c r="L341" s="3162">
        <v>1756637.2419700001</v>
      </c>
      <c r="M341" s="180">
        <v>2791522.2441699998</v>
      </c>
      <c r="N341" s="2095">
        <v>5528129.4663699986</v>
      </c>
      <c r="O341" s="2107">
        <v>6619.871908004372</v>
      </c>
      <c r="P341" s="2097">
        <v>169219.41999999998</v>
      </c>
      <c r="Q341" s="2097">
        <v>3268344</v>
      </c>
      <c r="R341" s="263">
        <f t="shared" si="27"/>
        <v>524324.89923260571</v>
      </c>
      <c r="S341" s="203">
        <f t="shared" si="28"/>
        <v>27147.06754848938</v>
      </c>
      <c r="T341" s="1313">
        <v>54573573.029189996</v>
      </c>
      <c r="U341" s="225">
        <v>1668468303.9195092</v>
      </c>
      <c r="V341" s="1313">
        <v>81301.45229577001</v>
      </c>
      <c r="W341" s="169">
        <v>278883.95968672005</v>
      </c>
      <c r="X341" s="2106">
        <f>V341+W341</f>
        <v>360185.41198249004</v>
      </c>
      <c r="Y341" s="254">
        <v>-10.5</v>
      </c>
    </row>
    <row r="342" spans="1:25">
      <c r="A342" s="63">
        <f t="shared" si="29"/>
        <v>2024.09</v>
      </c>
      <c r="B342" s="169">
        <v>81345676.58179</v>
      </c>
      <c r="C342" s="886">
        <f t="shared" si="24"/>
        <v>60148413.02837</v>
      </c>
      <c r="D342" s="3162">
        <v>9053588.8489200007</v>
      </c>
      <c r="E342" s="180">
        <v>22942815.899199996</v>
      </c>
      <c r="F342" s="3162">
        <v>3935465.2061099992</v>
      </c>
      <c r="G342" s="180">
        <v>9456001.3167499993</v>
      </c>
      <c r="H342" s="3162">
        <v>9591985.9621000029</v>
      </c>
      <c r="I342" s="180">
        <v>4169657.0030300003</v>
      </c>
      <c r="J342" s="3162">
        <v>998898.79226000002</v>
      </c>
      <c r="K342" s="180">
        <v>12592280.813620001</v>
      </c>
      <c r="L342" s="3162">
        <v>1401111.2921799999</v>
      </c>
      <c r="M342" s="180">
        <v>2655776.7559700003</v>
      </c>
      <c r="N342" s="2095">
        <v>4548094.6916499995</v>
      </c>
      <c r="O342" s="2107">
        <v>6797.3368054012799</v>
      </c>
      <c r="P342" s="2097">
        <v>170019.41999999998</v>
      </c>
      <c r="Q342" s="2097">
        <v>2976365</v>
      </c>
      <c r="R342" s="263">
        <f t="shared" si="27"/>
        <v>478449.32409362419</v>
      </c>
      <c r="S342" s="203">
        <f t="shared" si="28"/>
        <v>27330.544668342089</v>
      </c>
      <c r="T342" s="1313">
        <v>50687347.567369998</v>
      </c>
      <c r="U342" s="225">
        <v>1585125588.4058893</v>
      </c>
      <c r="V342" s="1313">
        <v>84173.028821669999</v>
      </c>
      <c r="W342" s="169">
        <v>266877.20449706999</v>
      </c>
      <c r="X342" s="2106">
        <f t="shared" si="26"/>
        <v>351050.23331873998</v>
      </c>
      <c r="Y342" s="254">
        <v>-5.2</v>
      </c>
    </row>
    <row r="343" spans="1:25">
      <c r="A343" s="63">
        <f t="shared" si="29"/>
        <v>2024.1</v>
      </c>
      <c r="B343" s="169">
        <v>88746721.894120008</v>
      </c>
      <c r="C343" s="886">
        <f t="shared" si="24"/>
        <v>65016559.288659997</v>
      </c>
      <c r="D343" s="3162">
        <v>10106783.792230001</v>
      </c>
      <c r="E343" s="180">
        <v>24437518.50575</v>
      </c>
      <c r="F343" s="3162">
        <v>4207246.2802400002</v>
      </c>
      <c r="G343" s="180">
        <v>10156196.0134</v>
      </c>
      <c r="H343" s="3162">
        <v>10447651.080540001</v>
      </c>
      <c r="I343" s="180">
        <v>4580925.5427099997</v>
      </c>
      <c r="J343" s="3162">
        <v>1080238.0737900001</v>
      </c>
      <c r="K343" s="180">
        <v>13573070.966399999</v>
      </c>
      <c r="L343" s="3162">
        <v>1764624.8378899998</v>
      </c>
      <c r="M343" s="180">
        <v>3326527.3577099997</v>
      </c>
      <c r="N343" s="2095">
        <v>5065939.4434599997</v>
      </c>
      <c r="O343" s="2107">
        <v>6927.0662683924174</v>
      </c>
      <c r="P343" s="2097">
        <v>170019.41999999998</v>
      </c>
      <c r="Q343" s="2097">
        <v>3144250</v>
      </c>
      <c r="R343" s="263">
        <f t="shared" si="27"/>
        <v>521979.91202487343</v>
      </c>
      <c r="S343" s="203">
        <f t="shared" si="28"/>
        <v>28225.084485686573</v>
      </c>
      <c r="T343" s="1313">
        <v>55187797.650370002</v>
      </c>
      <c r="U343" s="225">
        <v>1698369961.7121701</v>
      </c>
      <c r="V343" s="1313">
        <v>94775.393464510009</v>
      </c>
      <c r="W343" s="169">
        <v>305985.81659750995</v>
      </c>
      <c r="X343" s="2106">
        <f>V343+W343</f>
        <v>400761.21006201999</v>
      </c>
      <c r="Y343" s="254">
        <v>2.9</v>
      </c>
    </row>
    <row r="344" spans="1:25">
      <c r="A344" s="63">
        <f t="shared" si="29"/>
        <v>2024.11</v>
      </c>
      <c r="B344" s="169">
        <v>93514285.80058001</v>
      </c>
      <c r="C344" s="886">
        <f t="shared" si="24"/>
        <v>66664390.959810004</v>
      </c>
      <c r="D344" s="3162">
        <v>11804336.822590001</v>
      </c>
      <c r="E344" s="180">
        <v>23708222.251900002</v>
      </c>
      <c r="F344" s="3162">
        <v>4353599.0325600002</v>
      </c>
      <c r="G344" s="180">
        <v>10196313.85018</v>
      </c>
      <c r="H344" s="3162">
        <v>10835461.457670001</v>
      </c>
      <c r="I344" s="180">
        <v>4667517.2249399992</v>
      </c>
      <c r="J344" s="3162">
        <v>1098940.3199700001</v>
      </c>
      <c r="K344" s="180">
        <v>14196977.80267</v>
      </c>
      <c r="L344" s="3162">
        <v>1928963.3613399998</v>
      </c>
      <c r="M344" s="180">
        <v>3359115.4333000001</v>
      </c>
      <c r="N344" s="2095">
        <v>7364838.2434600005</v>
      </c>
      <c r="O344" s="2107">
        <v>7033.4694660871182</v>
      </c>
      <c r="P344" s="2097">
        <v>170019.41999999998</v>
      </c>
      <c r="Q344" s="2097">
        <v>3073293</v>
      </c>
      <c r="R344" s="263">
        <f t="shared" si="27"/>
        <v>550021.20228724473</v>
      </c>
      <c r="S344" s="203">
        <f t="shared" si="28"/>
        <v>30428.041127409593</v>
      </c>
      <c r="T344" s="1313">
        <v>68103931.484689996</v>
      </c>
      <c r="U344" s="225">
        <v>1824686027.2267792</v>
      </c>
      <c r="V344" s="1313">
        <v>97909.669233680004</v>
      </c>
      <c r="W344" s="169">
        <v>314577.67950494005</v>
      </c>
      <c r="X344" s="2106">
        <f>V344+W344</f>
        <v>412487.34873862006</v>
      </c>
      <c r="Y344" s="254">
        <v>-1.7</v>
      </c>
    </row>
    <row r="345" spans="1:25">
      <c r="A345" s="63">
        <f t="shared" si="29"/>
        <v>2024.12</v>
      </c>
      <c r="B345" s="169">
        <v>114552731.49950001</v>
      </c>
      <c r="C345" s="886">
        <f t="shared" si="24"/>
        <v>84688068.878539994</v>
      </c>
      <c r="D345" s="3162">
        <v>18456832.936439998</v>
      </c>
      <c r="E345" s="180">
        <v>30189705.004050002</v>
      </c>
      <c r="F345" s="3162">
        <v>5416117.6281300001</v>
      </c>
      <c r="G345" s="180">
        <v>10736156.506170003</v>
      </c>
      <c r="H345" s="3162">
        <v>13553865.642510001</v>
      </c>
      <c r="I345" s="180">
        <v>5046530.7860999992</v>
      </c>
      <c r="J345" s="3162">
        <v>1288860.3751399999</v>
      </c>
      <c r="K345" s="180">
        <v>14913208.56562</v>
      </c>
      <c r="L345" s="3162">
        <v>2593233.8962699999</v>
      </c>
      <c r="M345" s="180">
        <v>3392128.2370300004</v>
      </c>
      <c r="N345" s="2095">
        <v>8966091.9220400006</v>
      </c>
      <c r="O345" s="2107">
        <v>7146.8771881763132</v>
      </c>
      <c r="P345" s="2097">
        <v>170019.41999999998</v>
      </c>
      <c r="Q345" s="2097">
        <v>3356253</v>
      </c>
      <c r="R345" s="263">
        <f t="shared" si="27"/>
        <v>673762.62958372652</v>
      </c>
      <c r="S345" s="203">
        <f t="shared" si="28"/>
        <v>34131.13716382526</v>
      </c>
      <c r="T345" s="1313">
        <v>60421779.605709992</v>
      </c>
      <c r="U345" s="225">
        <v>2228146321.8140702</v>
      </c>
      <c r="V345" s="1313">
        <v>109167.28847301</v>
      </c>
      <c r="W345" s="169">
        <v>336084.65973726998</v>
      </c>
      <c r="X345" s="2106">
        <f>V345+W345</f>
        <v>445251.94821027998</v>
      </c>
      <c r="Y345" s="254">
        <v>17.7</v>
      </c>
    </row>
    <row r="346" spans="1:25">
      <c r="A346" s="63">
        <f t="shared" si="29"/>
        <v>2025.01</v>
      </c>
      <c r="B346" s="169">
        <v>94245623.66189</v>
      </c>
      <c r="C346" s="886">
        <f t="shared" si="24"/>
        <v>67880912.900660008</v>
      </c>
      <c r="D346" s="3162">
        <v>11837495.907919999</v>
      </c>
      <c r="E346" s="180">
        <v>24149898.38022</v>
      </c>
      <c r="F346" s="3162">
        <v>4255606.6292599998</v>
      </c>
      <c r="G346" s="180">
        <v>10048857.93706</v>
      </c>
      <c r="H346" s="3162">
        <v>11615878.47336</v>
      </c>
      <c r="I346" s="180">
        <v>4845227.0030899988</v>
      </c>
      <c r="J346" s="3162">
        <v>1127948.56975</v>
      </c>
      <c r="K346" s="180">
        <v>14033846.274809999</v>
      </c>
      <c r="L346" s="3162">
        <v>2053916.1135099998</v>
      </c>
      <c r="M346" s="180">
        <v>3271012.24339</v>
      </c>
      <c r="N346" s="2095">
        <v>7005936.12952</v>
      </c>
      <c r="O346" s="2107">
        <v>7288.3852152409627</v>
      </c>
      <c r="P346" s="2097">
        <v>170019.41999999998</v>
      </c>
      <c r="Q346" s="2097">
        <v>2946412</v>
      </c>
      <c r="R346" s="263">
        <f t="shared" si="27"/>
        <v>554322.69832405029</v>
      </c>
      <c r="S346" s="203">
        <f t="shared" si="28"/>
        <v>31986.573385490556</v>
      </c>
      <c r="T346" s="1313">
        <v>54360612.35328</v>
      </c>
      <c r="U346" s="225">
        <v>1870672787.2922597</v>
      </c>
      <c r="V346" s="1313">
        <v>93949.148799550007</v>
      </c>
      <c r="W346" s="169">
        <v>270188.63132331002</v>
      </c>
      <c r="X346" s="2106">
        <f t="shared" si="26"/>
        <v>364137.78012286004</v>
      </c>
      <c r="Y346" s="254">
        <v>25.5</v>
      </c>
    </row>
    <row r="347" spans="1:25">
      <c r="A347" s="63">
        <f t="shared" si="29"/>
        <v>2025.02</v>
      </c>
      <c r="B347" s="169">
        <v>89810091.929910004</v>
      </c>
      <c r="C347" s="886">
        <f t="shared" si="24"/>
        <v>65913676.282030009</v>
      </c>
      <c r="D347" s="3162">
        <v>10735327.61565</v>
      </c>
      <c r="E347" s="180">
        <v>23673352.788760003</v>
      </c>
      <c r="F347" s="3162">
        <v>4128691.4775100001</v>
      </c>
      <c r="G347" s="180">
        <v>9893366.8900400009</v>
      </c>
      <c r="H347" s="3162">
        <v>11767061.744899999</v>
      </c>
      <c r="I347" s="180">
        <v>4583070.3211700004</v>
      </c>
      <c r="J347" s="3162">
        <v>1132805.4439999999</v>
      </c>
      <c r="K347" s="180">
        <v>12692179.903719997</v>
      </c>
      <c r="L347" s="3162">
        <v>1736548.6956600002</v>
      </c>
      <c r="M347" s="180">
        <v>2742410.3957500006</v>
      </c>
      <c r="N347" s="2095">
        <v>6725276.6527499994</v>
      </c>
      <c r="O347" s="2107">
        <v>7456.4520076970693</v>
      </c>
      <c r="P347" s="2097">
        <v>170019.41999999998</v>
      </c>
      <c r="Q347" s="2097">
        <v>2747413</v>
      </c>
      <c r="R347" s="263">
        <f t="shared" si="27"/>
        <v>528234.3154088516</v>
      </c>
      <c r="S347" s="203">
        <f t="shared" si="28"/>
        <v>32688.966649684629</v>
      </c>
      <c r="T347" s="1313">
        <v>52298665.55793</v>
      </c>
      <c r="U347" s="225">
        <v>1793241518.96365</v>
      </c>
      <c r="V347" s="1313">
        <v>89397.919518950002</v>
      </c>
      <c r="W347" s="169">
        <v>266256.23368861998</v>
      </c>
      <c r="X347" s="2106">
        <f t="shared" si="26"/>
        <v>355654.15320756997</v>
      </c>
      <c r="Y347" s="254">
        <v>24</v>
      </c>
    </row>
    <row r="348" spans="1:25">
      <c r="A348" s="63">
        <f t="shared" si="29"/>
        <v>2025.03</v>
      </c>
      <c r="B348" s="169">
        <v>105551814.17307</v>
      </c>
      <c r="C348" s="886">
        <f t="shared" si="24"/>
        <v>77899035.022759989</v>
      </c>
      <c r="D348" s="3162">
        <v>11564579.066960001</v>
      </c>
      <c r="E348" s="180">
        <v>28539746.097749993</v>
      </c>
      <c r="F348" s="3162">
        <v>5009528.9325100007</v>
      </c>
      <c r="G348" s="180">
        <v>11454429.99893</v>
      </c>
      <c r="H348" s="3162">
        <v>14418880.249090003</v>
      </c>
      <c r="I348" s="180">
        <v>5612765.5621800004</v>
      </c>
      <c r="J348" s="3162">
        <v>1299105.11534</v>
      </c>
      <c r="K348" s="180">
        <v>15487416.195139999</v>
      </c>
      <c r="L348" s="3162">
        <v>2174695.8426100002</v>
      </c>
      <c r="M348" s="180">
        <v>3344511.0996999992</v>
      </c>
      <c r="N348" s="2095">
        <v>6646156.0128599992</v>
      </c>
      <c r="O348" s="2107">
        <v>7693.4966184741597</v>
      </c>
      <c r="P348" s="2097">
        <v>168919.41999999998</v>
      </c>
      <c r="Q348" s="2097">
        <v>3102919</v>
      </c>
      <c r="R348" s="263">
        <f t="shared" si="27"/>
        <v>624864.88630537572</v>
      </c>
      <c r="S348" s="203">
        <f t="shared" si="28"/>
        <v>34016.941522827372</v>
      </c>
      <c r="T348" s="1313">
        <v>60961271.327940017</v>
      </c>
      <c r="U348" s="225">
        <v>2046122311.2383704</v>
      </c>
      <c r="V348" s="1313">
        <v>99149.523297639971</v>
      </c>
      <c r="W348" s="169">
        <v>320760.54422604997</v>
      </c>
      <c r="X348" s="2106">
        <f t="shared" si="26"/>
        <v>419910.06752368994</v>
      </c>
      <c r="Y348" s="254">
        <v>10.5</v>
      </c>
    </row>
    <row r="349" spans="1:25">
      <c r="A349" s="63">
        <f t="shared" si="29"/>
        <v>2025.04</v>
      </c>
      <c r="B349" s="169" t="e">
        <v>#N/A</v>
      </c>
      <c r="C349" s="886" t="e">
        <f t="shared" si="24"/>
        <v>#N/A</v>
      </c>
      <c r="D349" s="3162" t="e">
        <v>#N/A</v>
      </c>
      <c r="E349" s="180" t="e">
        <v>#N/A</v>
      </c>
      <c r="F349" s="3162" t="e">
        <v>#N/A</v>
      </c>
      <c r="G349" s="180" t="e">
        <v>#N/A</v>
      </c>
      <c r="H349" s="3162" t="e">
        <v>#N/A</v>
      </c>
      <c r="I349" s="180" t="e">
        <v>#N/A</v>
      </c>
      <c r="J349" s="3162" t="e">
        <v>#N/A</v>
      </c>
      <c r="K349" s="180" t="e">
        <v>#N/A</v>
      </c>
      <c r="L349" s="3162" t="e">
        <v>#N/A</v>
      </c>
      <c r="M349" s="180" t="e">
        <v>#N/A</v>
      </c>
      <c r="N349" s="2095" t="e">
        <v>#N/A</v>
      </c>
      <c r="O349" s="2107" t="e">
        <v>#N/A</v>
      </c>
      <c r="P349" s="2097" t="e">
        <v>#N/A</v>
      </c>
      <c r="Q349" s="2097" t="e">
        <v>#N/A</v>
      </c>
      <c r="R349" s="263" t="e">
        <f t="shared" si="27"/>
        <v>#N/A</v>
      </c>
      <c r="S349" s="203" t="e">
        <f t="shared" si="28"/>
        <v>#N/A</v>
      </c>
      <c r="T349" s="1313" t="e">
        <v>#N/A</v>
      </c>
      <c r="U349" s="225" t="e">
        <v>#N/A</v>
      </c>
      <c r="V349" s="1313" t="e">
        <v>#N/A</v>
      </c>
      <c r="W349" s="169" t="e">
        <v>#N/A</v>
      </c>
      <c r="X349" s="2106" t="e">
        <f t="shared" si="26"/>
        <v>#N/A</v>
      </c>
      <c r="Y349" s="254">
        <v>3.7</v>
      </c>
    </row>
    <row r="350" spans="1:25">
      <c r="A350" s="63">
        <f t="shared" si="29"/>
        <v>2025.05</v>
      </c>
      <c r="B350" s="169" t="e">
        <v>#N/A</v>
      </c>
      <c r="C350" s="886" t="e">
        <f t="shared" si="24"/>
        <v>#N/A</v>
      </c>
      <c r="D350" s="3162" t="e">
        <v>#N/A</v>
      </c>
      <c r="E350" s="180" t="e">
        <v>#N/A</v>
      </c>
      <c r="F350" s="3162" t="e">
        <v>#N/A</v>
      </c>
      <c r="G350" s="180" t="e">
        <v>#N/A</v>
      </c>
      <c r="H350" s="3162" t="e">
        <v>#N/A</v>
      </c>
      <c r="I350" s="180" t="e">
        <v>#N/A</v>
      </c>
      <c r="J350" s="3162" t="e">
        <v>#N/A</v>
      </c>
      <c r="K350" s="180" t="e">
        <v>#N/A</v>
      </c>
      <c r="L350" s="3162" t="e">
        <v>#N/A</v>
      </c>
      <c r="M350" s="180" t="e">
        <v>#N/A</v>
      </c>
      <c r="N350" s="2095" t="e">
        <v>#N/A</v>
      </c>
      <c r="O350" s="2107" t="e">
        <v>#N/A</v>
      </c>
      <c r="P350" s="2097" t="e">
        <v>#N/A</v>
      </c>
      <c r="Q350" s="2097" t="e">
        <v>#N/A</v>
      </c>
      <c r="R350" s="263" t="e">
        <f t="shared" si="27"/>
        <v>#N/A</v>
      </c>
      <c r="S350" s="203" t="e">
        <f t="shared" si="28"/>
        <v>#N/A</v>
      </c>
      <c r="T350" s="1313" t="e">
        <v>#N/A</v>
      </c>
      <c r="U350" s="225" t="e">
        <v>#N/A</v>
      </c>
      <c r="V350" s="1313" t="e">
        <v>#N/A</v>
      </c>
      <c r="W350" s="169" t="e">
        <v>#N/A</v>
      </c>
      <c r="X350" s="2106" t="e">
        <f t="shared" si="26"/>
        <v>#N/A</v>
      </c>
      <c r="Y350" s="254" t="e">
        <v>#N/A</v>
      </c>
    </row>
    <row r="351" spans="1:25">
      <c r="A351" s="63">
        <f t="shared" si="29"/>
        <v>2025.06</v>
      </c>
      <c r="B351" s="169" t="e">
        <v>#N/A</v>
      </c>
      <c r="C351" s="886" t="e">
        <f t="shared" si="24"/>
        <v>#N/A</v>
      </c>
      <c r="D351" s="3162" t="e">
        <v>#N/A</v>
      </c>
      <c r="E351" s="180" t="e">
        <v>#N/A</v>
      </c>
      <c r="F351" s="3162" t="e">
        <v>#N/A</v>
      </c>
      <c r="G351" s="180" t="e">
        <v>#N/A</v>
      </c>
      <c r="H351" s="3162" t="e">
        <v>#N/A</v>
      </c>
      <c r="I351" s="180" t="e">
        <v>#N/A</v>
      </c>
      <c r="J351" s="3162" t="e">
        <v>#N/A</v>
      </c>
      <c r="K351" s="180" t="e">
        <v>#N/A</v>
      </c>
      <c r="L351" s="3162" t="e">
        <v>#N/A</v>
      </c>
      <c r="M351" s="180" t="e">
        <v>#N/A</v>
      </c>
      <c r="N351" s="2095" t="e">
        <v>#N/A</v>
      </c>
      <c r="O351" s="2107" t="e">
        <v>#N/A</v>
      </c>
      <c r="P351" s="2097" t="e">
        <v>#N/A</v>
      </c>
      <c r="Q351" s="2097" t="e">
        <v>#N/A</v>
      </c>
      <c r="R351" s="263" t="e">
        <f t="shared" si="27"/>
        <v>#N/A</v>
      </c>
      <c r="S351" s="203" t="e">
        <f t="shared" si="28"/>
        <v>#N/A</v>
      </c>
      <c r="T351" s="1313" t="e">
        <v>#N/A</v>
      </c>
      <c r="U351" s="225" t="e">
        <v>#N/A</v>
      </c>
      <c r="V351" s="1313" t="e">
        <v>#N/A</v>
      </c>
      <c r="W351" s="169" t="e">
        <v>#N/A</v>
      </c>
      <c r="X351" s="2106" t="e">
        <f t="shared" si="26"/>
        <v>#N/A</v>
      </c>
      <c r="Y351" s="254" t="e">
        <v>#N/A</v>
      </c>
    </row>
    <row r="352" spans="1:25">
      <c r="A352" s="63">
        <f t="shared" si="29"/>
        <v>2025.07</v>
      </c>
      <c r="B352" s="169" t="e">
        <v>#N/A</v>
      </c>
      <c r="C352" s="886" t="e">
        <f t="shared" si="24"/>
        <v>#N/A</v>
      </c>
      <c r="D352" s="3162" t="e">
        <v>#N/A</v>
      </c>
      <c r="E352" s="180" t="e">
        <v>#N/A</v>
      </c>
      <c r="F352" s="3162" t="e">
        <v>#N/A</v>
      </c>
      <c r="G352" s="180" t="e">
        <v>#N/A</v>
      </c>
      <c r="H352" s="3162" t="e">
        <v>#N/A</v>
      </c>
      <c r="I352" s="180" t="e">
        <v>#N/A</v>
      </c>
      <c r="J352" s="3162" t="e">
        <v>#N/A</v>
      </c>
      <c r="K352" s="180" t="e">
        <v>#N/A</v>
      </c>
      <c r="L352" s="3162" t="e">
        <v>#N/A</v>
      </c>
      <c r="M352" s="180" t="e">
        <v>#N/A</v>
      </c>
      <c r="N352" s="2095" t="e">
        <v>#N/A</v>
      </c>
      <c r="O352" s="2107" t="e">
        <v>#N/A</v>
      </c>
      <c r="P352" s="2097" t="e">
        <v>#N/A</v>
      </c>
      <c r="Q352" s="2097" t="e">
        <v>#N/A</v>
      </c>
      <c r="R352" s="263" t="e">
        <f t="shared" si="27"/>
        <v>#N/A</v>
      </c>
      <c r="S352" s="203" t="e">
        <f t="shared" si="28"/>
        <v>#N/A</v>
      </c>
      <c r="T352" s="1313" t="e">
        <v>#N/A</v>
      </c>
      <c r="U352" s="225" t="e">
        <v>#N/A</v>
      </c>
      <c r="V352" s="1313" t="e">
        <v>#N/A</v>
      </c>
      <c r="W352" s="169" t="e">
        <v>#N/A</v>
      </c>
      <c r="X352" s="2106" t="e">
        <f t="shared" si="26"/>
        <v>#N/A</v>
      </c>
      <c r="Y352" s="254" t="e">
        <v>#N/A</v>
      </c>
    </row>
    <row r="353" spans="1:25">
      <c r="A353" s="63">
        <f t="shared" si="29"/>
        <v>2025.08</v>
      </c>
      <c r="B353" s="169" t="e">
        <v>#N/A</v>
      </c>
      <c r="C353" s="886" t="e">
        <f t="shared" si="24"/>
        <v>#N/A</v>
      </c>
      <c r="D353" s="3162" t="e">
        <v>#N/A</v>
      </c>
      <c r="E353" s="180" t="e">
        <v>#N/A</v>
      </c>
      <c r="F353" s="3162" t="e">
        <v>#N/A</v>
      </c>
      <c r="G353" s="180" t="e">
        <v>#N/A</v>
      </c>
      <c r="H353" s="3162" t="e">
        <v>#N/A</v>
      </c>
      <c r="I353" s="180" t="e">
        <v>#N/A</v>
      </c>
      <c r="J353" s="3162" t="e">
        <v>#N/A</v>
      </c>
      <c r="K353" s="180" t="e">
        <v>#N/A</v>
      </c>
      <c r="L353" s="3162" t="e">
        <v>#N/A</v>
      </c>
      <c r="M353" s="180" t="e">
        <v>#N/A</v>
      </c>
      <c r="N353" s="2095" t="e">
        <v>#N/A</v>
      </c>
      <c r="O353" s="2107" t="e">
        <v>#N/A</v>
      </c>
      <c r="P353" s="2097" t="e">
        <v>#N/A</v>
      </c>
      <c r="Q353" s="2097" t="e">
        <v>#N/A</v>
      </c>
      <c r="R353" s="263" t="e">
        <f t="shared" si="27"/>
        <v>#N/A</v>
      </c>
      <c r="S353" s="203" t="e">
        <f t="shared" si="28"/>
        <v>#N/A</v>
      </c>
      <c r="T353" s="1313" t="e">
        <v>#N/A</v>
      </c>
      <c r="U353" s="225" t="e">
        <v>#N/A</v>
      </c>
      <c r="V353" s="1313" t="e">
        <v>#N/A</v>
      </c>
      <c r="W353" s="169" t="e">
        <v>#N/A</v>
      </c>
      <c r="X353" s="2106" t="e">
        <f t="shared" si="26"/>
        <v>#N/A</v>
      </c>
      <c r="Y353" s="254" t="e">
        <v>#N/A</v>
      </c>
    </row>
    <row r="354" spans="1:25">
      <c r="A354" s="63">
        <f t="shared" si="29"/>
        <v>2025.09</v>
      </c>
      <c r="B354" s="169" t="e">
        <v>#N/A</v>
      </c>
      <c r="C354" s="886" t="e">
        <f t="shared" si="24"/>
        <v>#N/A</v>
      </c>
      <c r="D354" s="3162" t="e">
        <v>#N/A</v>
      </c>
      <c r="E354" s="180" t="e">
        <v>#N/A</v>
      </c>
      <c r="F354" s="3162" t="e">
        <v>#N/A</v>
      </c>
      <c r="G354" s="180" t="e">
        <v>#N/A</v>
      </c>
      <c r="H354" s="3162" t="e">
        <v>#N/A</v>
      </c>
      <c r="I354" s="180" t="e">
        <v>#N/A</v>
      </c>
      <c r="J354" s="3162" t="e">
        <v>#N/A</v>
      </c>
      <c r="K354" s="180" t="e">
        <v>#N/A</v>
      </c>
      <c r="L354" s="3162" t="e">
        <v>#N/A</v>
      </c>
      <c r="M354" s="180" t="e">
        <v>#N/A</v>
      </c>
      <c r="N354" s="2095" t="e">
        <v>#N/A</v>
      </c>
      <c r="O354" s="2107" t="e">
        <v>#N/A</v>
      </c>
      <c r="P354" s="2097" t="e">
        <v>#N/A</v>
      </c>
      <c r="Q354" s="2097" t="e">
        <v>#N/A</v>
      </c>
      <c r="R354" s="263" t="e">
        <f t="shared" si="27"/>
        <v>#N/A</v>
      </c>
      <c r="S354" s="203" t="e">
        <f t="shared" si="28"/>
        <v>#N/A</v>
      </c>
      <c r="T354" s="1313" t="e">
        <v>#N/A</v>
      </c>
      <c r="U354" s="225" t="e">
        <v>#N/A</v>
      </c>
      <c r="V354" s="1313" t="e">
        <v>#N/A</v>
      </c>
      <c r="W354" s="169" t="e">
        <v>#N/A</v>
      </c>
      <c r="X354" s="2106" t="e">
        <f t="shared" si="26"/>
        <v>#N/A</v>
      </c>
      <c r="Y354" s="254" t="e">
        <v>#N/A</v>
      </c>
    </row>
    <row r="355" spans="1:25">
      <c r="A355" s="63">
        <f t="shared" si="29"/>
        <v>2025.1</v>
      </c>
      <c r="B355" s="169" t="e">
        <v>#N/A</v>
      </c>
      <c r="C355" s="886" t="e">
        <f t="shared" si="24"/>
        <v>#N/A</v>
      </c>
      <c r="D355" s="3162" t="e">
        <v>#N/A</v>
      </c>
      <c r="E355" s="180" t="e">
        <v>#N/A</v>
      </c>
      <c r="F355" s="3162" t="e">
        <v>#N/A</v>
      </c>
      <c r="G355" s="180" t="e">
        <v>#N/A</v>
      </c>
      <c r="H355" s="3162" t="e">
        <v>#N/A</v>
      </c>
      <c r="I355" s="180" t="e">
        <v>#N/A</v>
      </c>
      <c r="J355" s="3162" t="e">
        <v>#N/A</v>
      </c>
      <c r="K355" s="180" t="e">
        <v>#N/A</v>
      </c>
      <c r="L355" s="3162" t="e">
        <v>#N/A</v>
      </c>
      <c r="M355" s="180" t="e">
        <v>#N/A</v>
      </c>
      <c r="N355" s="2095" t="e">
        <v>#N/A</v>
      </c>
      <c r="O355" s="2107" t="e">
        <v>#N/A</v>
      </c>
      <c r="P355" s="2097" t="e">
        <v>#N/A</v>
      </c>
      <c r="Q355" s="2097" t="e">
        <v>#N/A</v>
      </c>
      <c r="R355" s="263" t="e">
        <f t="shared" si="27"/>
        <v>#N/A</v>
      </c>
      <c r="S355" s="203" t="e">
        <f t="shared" si="28"/>
        <v>#N/A</v>
      </c>
      <c r="T355" s="1313" t="e">
        <v>#N/A</v>
      </c>
      <c r="U355" s="225" t="e">
        <v>#N/A</v>
      </c>
      <c r="V355" s="1313" t="e">
        <v>#N/A</v>
      </c>
      <c r="W355" s="169" t="e">
        <v>#N/A</v>
      </c>
      <c r="X355" s="2106" t="e">
        <f t="shared" si="26"/>
        <v>#N/A</v>
      </c>
      <c r="Y355" s="254" t="e">
        <v>#N/A</v>
      </c>
    </row>
    <row r="356" spans="1:25">
      <c r="A356" s="63">
        <f t="shared" si="29"/>
        <v>2025.11</v>
      </c>
      <c r="B356" s="169" t="e">
        <v>#N/A</v>
      </c>
      <c r="C356" s="886" t="e">
        <f t="shared" si="24"/>
        <v>#N/A</v>
      </c>
      <c r="D356" s="3162" t="e">
        <v>#N/A</v>
      </c>
      <c r="E356" s="180" t="e">
        <v>#N/A</v>
      </c>
      <c r="F356" s="3162" t="e">
        <v>#N/A</v>
      </c>
      <c r="G356" s="180" t="e">
        <v>#N/A</v>
      </c>
      <c r="H356" s="3162" t="e">
        <v>#N/A</v>
      </c>
      <c r="I356" s="180" t="e">
        <v>#N/A</v>
      </c>
      <c r="J356" s="3162" t="e">
        <v>#N/A</v>
      </c>
      <c r="K356" s="180" t="e">
        <v>#N/A</v>
      </c>
      <c r="L356" s="3162" t="e">
        <v>#N/A</v>
      </c>
      <c r="M356" s="180" t="e">
        <v>#N/A</v>
      </c>
      <c r="N356" s="2095" t="e">
        <v>#N/A</v>
      </c>
      <c r="O356" s="2107" t="e">
        <v>#N/A</v>
      </c>
      <c r="P356" s="2097" t="e">
        <v>#N/A</v>
      </c>
      <c r="Q356" s="2097" t="e">
        <v>#N/A</v>
      </c>
      <c r="R356" s="263" t="e">
        <f t="shared" si="27"/>
        <v>#N/A</v>
      </c>
      <c r="S356" s="203" t="e">
        <f t="shared" si="28"/>
        <v>#N/A</v>
      </c>
      <c r="T356" s="1313" t="e">
        <v>#N/A</v>
      </c>
      <c r="U356" s="225" t="e">
        <v>#N/A</v>
      </c>
      <c r="V356" s="1313" t="e">
        <v>#N/A</v>
      </c>
      <c r="W356" s="169" t="e">
        <v>#N/A</v>
      </c>
      <c r="X356" s="2106" t="e">
        <f t="shared" si="26"/>
        <v>#N/A</v>
      </c>
      <c r="Y356" s="254" t="e">
        <v>#N/A</v>
      </c>
    </row>
    <row r="357" spans="1:25">
      <c r="A357" s="63">
        <f t="shared" si="29"/>
        <v>2025.12</v>
      </c>
      <c r="B357" s="169" t="e">
        <v>#N/A</v>
      </c>
      <c r="C357" s="886" t="e">
        <f t="shared" si="24"/>
        <v>#N/A</v>
      </c>
      <c r="D357" s="3162" t="e">
        <v>#N/A</v>
      </c>
      <c r="E357" s="180" t="e">
        <v>#N/A</v>
      </c>
      <c r="F357" s="3162" t="e">
        <v>#N/A</v>
      </c>
      <c r="G357" s="180" t="e">
        <v>#N/A</v>
      </c>
      <c r="H357" s="3162" t="e">
        <v>#N/A</v>
      </c>
      <c r="I357" s="180" t="e">
        <v>#N/A</v>
      </c>
      <c r="J357" s="3162" t="e">
        <v>#N/A</v>
      </c>
      <c r="K357" s="180" t="e">
        <v>#N/A</v>
      </c>
      <c r="L357" s="3162" t="e">
        <v>#N/A</v>
      </c>
      <c r="M357" s="180" t="e">
        <v>#N/A</v>
      </c>
      <c r="N357" s="2095" t="e">
        <v>#N/A</v>
      </c>
      <c r="O357" s="2107" t="e">
        <v>#N/A</v>
      </c>
      <c r="P357" s="2097" t="e">
        <v>#N/A</v>
      </c>
      <c r="Q357" s="2097" t="e">
        <v>#N/A</v>
      </c>
      <c r="R357" s="263" t="e">
        <f t="shared" si="27"/>
        <v>#N/A</v>
      </c>
      <c r="S357" s="203" t="e">
        <f t="shared" si="28"/>
        <v>#N/A</v>
      </c>
      <c r="T357" s="1313" t="e">
        <v>#N/A</v>
      </c>
      <c r="U357" s="225" t="e">
        <v>#N/A</v>
      </c>
      <c r="V357" s="1313" t="e">
        <v>#N/A</v>
      </c>
      <c r="W357" s="169" t="e">
        <v>#N/A</v>
      </c>
      <c r="X357" s="2106" t="e">
        <f t="shared" si="26"/>
        <v>#N/A</v>
      </c>
      <c r="Y357" s="254" t="e">
        <v>#N/A</v>
      </c>
    </row>
    <row r="358" spans="1:25">
      <c r="A358" s="63">
        <f t="shared" si="29"/>
        <v>2026.01</v>
      </c>
      <c r="B358" s="169" t="e">
        <v>#N/A</v>
      </c>
      <c r="C358" s="886" t="e">
        <f t="shared" ref="C358:C375" si="30">SUM(D358:J358)</f>
        <v>#N/A</v>
      </c>
      <c r="D358" s="3162" t="e">
        <v>#N/A</v>
      </c>
      <c r="E358" s="180" t="e">
        <v>#N/A</v>
      </c>
      <c r="F358" s="3162" t="e">
        <v>#N/A</v>
      </c>
      <c r="G358" s="180" t="e">
        <v>#N/A</v>
      </c>
      <c r="H358" s="3162" t="e">
        <v>#N/A</v>
      </c>
      <c r="I358" s="180" t="e">
        <v>#N/A</v>
      </c>
      <c r="J358" s="3162" t="e">
        <v>#N/A</v>
      </c>
      <c r="K358" s="180" t="e">
        <v>#N/A</v>
      </c>
      <c r="L358" s="3162" t="e">
        <v>#N/A</v>
      </c>
      <c r="M358" s="180" t="e">
        <v>#N/A</v>
      </c>
      <c r="N358" s="2095" t="e">
        <v>#N/A</v>
      </c>
      <c r="O358" s="2107" t="e">
        <v>#N/A</v>
      </c>
      <c r="P358" s="2097" t="e">
        <v>#N/A</v>
      </c>
      <c r="Q358" s="2097" t="e">
        <v>#N/A</v>
      </c>
      <c r="R358" s="263" t="e">
        <f t="shared" ref="R358:R375" si="31">$B358/P358*1000</f>
        <v>#N/A</v>
      </c>
      <c r="S358" s="203" t="e">
        <f t="shared" si="28"/>
        <v>#N/A</v>
      </c>
      <c r="T358" s="1313" t="e">
        <v>#N/A</v>
      </c>
      <c r="U358" s="225" t="e">
        <v>#N/A</v>
      </c>
      <c r="V358" s="1313" t="e">
        <v>#N/A</v>
      </c>
      <c r="W358" s="169" t="e">
        <v>#N/A</v>
      </c>
      <c r="X358" s="2106" t="e">
        <f t="shared" ref="X358:X375" si="32">V358+W358</f>
        <v>#N/A</v>
      </c>
      <c r="Y358" s="254" t="e">
        <v>#N/A</v>
      </c>
    </row>
    <row r="359" spans="1:25">
      <c r="A359" s="63">
        <f t="shared" si="29"/>
        <v>2026.02</v>
      </c>
      <c r="B359" s="169" t="e">
        <v>#N/A</v>
      </c>
      <c r="C359" s="886" t="e">
        <f t="shared" si="30"/>
        <v>#N/A</v>
      </c>
      <c r="D359" s="3162" t="e">
        <v>#N/A</v>
      </c>
      <c r="E359" s="180" t="e">
        <v>#N/A</v>
      </c>
      <c r="F359" s="3162" t="e">
        <v>#N/A</v>
      </c>
      <c r="G359" s="180" t="e">
        <v>#N/A</v>
      </c>
      <c r="H359" s="3162" t="e">
        <v>#N/A</v>
      </c>
      <c r="I359" s="180" t="e">
        <v>#N/A</v>
      </c>
      <c r="J359" s="3162" t="e">
        <v>#N/A</v>
      </c>
      <c r="K359" s="180" t="e">
        <v>#N/A</v>
      </c>
      <c r="L359" s="3162" t="e">
        <v>#N/A</v>
      </c>
      <c r="M359" s="180" t="e">
        <v>#N/A</v>
      </c>
      <c r="N359" s="2095" t="e">
        <v>#N/A</v>
      </c>
      <c r="O359" s="2107" t="e">
        <v>#N/A</v>
      </c>
      <c r="P359" s="2097" t="e">
        <v>#N/A</v>
      </c>
      <c r="Q359" s="2097" t="e">
        <v>#N/A</v>
      </c>
      <c r="R359" s="263" t="e">
        <f t="shared" si="31"/>
        <v>#N/A</v>
      </c>
      <c r="S359" s="203" t="e">
        <f t="shared" si="28"/>
        <v>#N/A</v>
      </c>
      <c r="T359" s="1313" t="e">
        <v>#N/A</v>
      </c>
      <c r="U359" s="225" t="e">
        <v>#N/A</v>
      </c>
      <c r="V359" s="1313" t="e">
        <v>#N/A</v>
      </c>
      <c r="W359" s="169" t="e">
        <v>#N/A</v>
      </c>
      <c r="X359" s="2106" t="e">
        <f t="shared" si="32"/>
        <v>#N/A</v>
      </c>
      <c r="Y359" s="254" t="e">
        <v>#N/A</v>
      </c>
    </row>
    <row r="360" spans="1:25">
      <c r="A360" s="63">
        <f t="shared" si="29"/>
        <v>2026.03</v>
      </c>
      <c r="B360" s="169" t="e">
        <v>#N/A</v>
      </c>
      <c r="C360" s="886" t="e">
        <f t="shared" si="30"/>
        <v>#N/A</v>
      </c>
      <c r="D360" s="3162" t="e">
        <v>#N/A</v>
      </c>
      <c r="E360" s="180" t="e">
        <v>#N/A</v>
      </c>
      <c r="F360" s="3162" t="e">
        <v>#N/A</v>
      </c>
      <c r="G360" s="180" t="e">
        <v>#N/A</v>
      </c>
      <c r="H360" s="3162" t="e">
        <v>#N/A</v>
      </c>
      <c r="I360" s="180" t="e">
        <v>#N/A</v>
      </c>
      <c r="J360" s="3162" t="e">
        <v>#N/A</v>
      </c>
      <c r="K360" s="180" t="e">
        <v>#N/A</v>
      </c>
      <c r="L360" s="3162" t="e">
        <v>#N/A</v>
      </c>
      <c r="M360" s="180" t="e">
        <v>#N/A</v>
      </c>
      <c r="N360" s="2095" t="e">
        <v>#N/A</v>
      </c>
      <c r="O360" s="2107" t="e">
        <v>#N/A</v>
      </c>
      <c r="P360" s="2097" t="e">
        <v>#N/A</v>
      </c>
      <c r="Q360" s="2097" t="e">
        <v>#N/A</v>
      </c>
      <c r="R360" s="263" t="e">
        <f t="shared" si="31"/>
        <v>#N/A</v>
      </c>
      <c r="S360" s="203" t="e">
        <f t="shared" si="28"/>
        <v>#N/A</v>
      </c>
      <c r="T360" s="1313" t="e">
        <v>#N/A</v>
      </c>
      <c r="U360" s="225" t="e">
        <v>#N/A</v>
      </c>
      <c r="V360" s="1313" t="e">
        <v>#N/A</v>
      </c>
      <c r="W360" s="169" t="e">
        <v>#N/A</v>
      </c>
      <c r="X360" s="2106" t="e">
        <f t="shared" si="32"/>
        <v>#N/A</v>
      </c>
      <c r="Y360" s="254" t="e">
        <v>#N/A</v>
      </c>
    </row>
    <row r="361" spans="1:25">
      <c r="A361" s="63">
        <f t="shared" si="29"/>
        <v>2026.04</v>
      </c>
      <c r="B361" s="169" t="e">
        <v>#N/A</v>
      </c>
      <c r="C361" s="886" t="e">
        <f t="shared" si="30"/>
        <v>#N/A</v>
      </c>
      <c r="D361" s="3162" t="e">
        <v>#N/A</v>
      </c>
      <c r="E361" s="180" t="e">
        <v>#N/A</v>
      </c>
      <c r="F361" s="3162" t="e">
        <v>#N/A</v>
      </c>
      <c r="G361" s="180" t="e">
        <v>#N/A</v>
      </c>
      <c r="H361" s="3162" t="e">
        <v>#N/A</v>
      </c>
      <c r="I361" s="180" t="e">
        <v>#N/A</v>
      </c>
      <c r="J361" s="3162" t="e">
        <v>#N/A</v>
      </c>
      <c r="K361" s="180" t="e">
        <v>#N/A</v>
      </c>
      <c r="L361" s="3162" t="e">
        <v>#N/A</v>
      </c>
      <c r="M361" s="180" t="e">
        <v>#N/A</v>
      </c>
      <c r="N361" s="2095" t="e">
        <v>#N/A</v>
      </c>
      <c r="O361" s="2107" t="e">
        <v>#N/A</v>
      </c>
      <c r="P361" s="2097" t="e">
        <v>#N/A</v>
      </c>
      <c r="Q361" s="2097" t="e">
        <v>#N/A</v>
      </c>
      <c r="R361" s="263" t="e">
        <f t="shared" si="31"/>
        <v>#N/A</v>
      </c>
      <c r="S361" s="203" t="e">
        <f t="shared" si="28"/>
        <v>#N/A</v>
      </c>
      <c r="T361" s="1313" t="e">
        <v>#N/A</v>
      </c>
      <c r="U361" s="225" t="e">
        <v>#N/A</v>
      </c>
      <c r="V361" s="1313" t="e">
        <v>#N/A</v>
      </c>
      <c r="W361" s="169" t="e">
        <v>#N/A</v>
      </c>
      <c r="X361" s="2106" t="e">
        <f t="shared" si="32"/>
        <v>#N/A</v>
      </c>
      <c r="Y361" s="254" t="e">
        <v>#N/A</v>
      </c>
    </row>
    <row r="362" spans="1:25">
      <c r="A362" s="63">
        <f t="shared" si="29"/>
        <v>2026.05</v>
      </c>
      <c r="B362" s="169" t="e">
        <v>#N/A</v>
      </c>
      <c r="C362" s="886" t="e">
        <f t="shared" si="30"/>
        <v>#N/A</v>
      </c>
      <c r="D362" s="3162" t="e">
        <v>#N/A</v>
      </c>
      <c r="E362" s="180" t="e">
        <v>#N/A</v>
      </c>
      <c r="F362" s="3162" t="e">
        <v>#N/A</v>
      </c>
      <c r="G362" s="180" t="e">
        <v>#N/A</v>
      </c>
      <c r="H362" s="3162" t="e">
        <v>#N/A</v>
      </c>
      <c r="I362" s="180" t="e">
        <v>#N/A</v>
      </c>
      <c r="J362" s="3162" t="e">
        <v>#N/A</v>
      </c>
      <c r="K362" s="180" t="e">
        <v>#N/A</v>
      </c>
      <c r="L362" s="3162" t="e">
        <v>#N/A</v>
      </c>
      <c r="M362" s="180" t="e">
        <v>#N/A</v>
      </c>
      <c r="N362" s="2095" t="e">
        <v>#N/A</v>
      </c>
      <c r="O362" s="2107" t="e">
        <v>#N/A</v>
      </c>
      <c r="P362" s="2097" t="e">
        <v>#N/A</v>
      </c>
      <c r="Q362" s="2097" t="e">
        <v>#N/A</v>
      </c>
      <c r="R362" s="263" t="e">
        <f t="shared" si="31"/>
        <v>#N/A</v>
      </c>
      <c r="S362" s="203" t="e">
        <f t="shared" si="28"/>
        <v>#N/A</v>
      </c>
      <c r="T362" s="1313" t="e">
        <v>#N/A</v>
      </c>
      <c r="U362" s="225" t="e">
        <v>#N/A</v>
      </c>
      <c r="V362" s="1313" t="e">
        <v>#N/A</v>
      </c>
      <c r="W362" s="169" t="e">
        <v>#N/A</v>
      </c>
      <c r="X362" s="2106" t="e">
        <f t="shared" si="32"/>
        <v>#N/A</v>
      </c>
      <c r="Y362" s="254" t="e">
        <v>#N/A</v>
      </c>
    </row>
    <row r="363" spans="1:25">
      <c r="A363" s="63">
        <f t="shared" si="29"/>
        <v>2026.06</v>
      </c>
      <c r="B363" s="169" t="e">
        <v>#N/A</v>
      </c>
      <c r="C363" s="886" t="e">
        <f t="shared" si="30"/>
        <v>#N/A</v>
      </c>
      <c r="D363" s="3162" t="e">
        <v>#N/A</v>
      </c>
      <c r="E363" s="180" t="e">
        <v>#N/A</v>
      </c>
      <c r="F363" s="3162" t="e">
        <v>#N/A</v>
      </c>
      <c r="G363" s="180" t="e">
        <v>#N/A</v>
      </c>
      <c r="H363" s="3162" t="e">
        <v>#N/A</v>
      </c>
      <c r="I363" s="180" t="e">
        <v>#N/A</v>
      </c>
      <c r="J363" s="3162" t="e">
        <v>#N/A</v>
      </c>
      <c r="K363" s="180" t="e">
        <v>#N/A</v>
      </c>
      <c r="L363" s="3162" t="e">
        <v>#N/A</v>
      </c>
      <c r="M363" s="180" t="e">
        <v>#N/A</v>
      </c>
      <c r="N363" s="2095" t="e">
        <v>#N/A</v>
      </c>
      <c r="O363" s="2107" t="e">
        <v>#N/A</v>
      </c>
      <c r="P363" s="2097" t="e">
        <v>#N/A</v>
      </c>
      <c r="Q363" s="2097" t="e">
        <v>#N/A</v>
      </c>
      <c r="R363" s="263" t="e">
        <f t="shared" si="31"/>
        <v>#N/A</v>
      </c>
      <c r="S363" s="203" t="e">
        <f t="shared" si="28"/>
        <v>#N/A</v>
      </c>
      <c r="T363" s="1313" t="e">
        <v>#N/A</v>
      </c>
      <c r="U363" s="225" t="e">
        <v>#N/A</v>
      </c>
      <c r="V363" s="1313" t="e">
        <v>#N/A</v>
      </c>
      <c r="W363" s="169" t="e">
        <v>#N/A</v>
      </c>
      <c r="X363" s="2106" t="e">
        <f t="shared" si="32"/>
        <v>#N/A</v>
      </c>
      <c r="Y363" s="254" t="e">
        <v>#N/A</v>
      </c>
    </row>
    <row r="364" spans="1:25">
      <c r="A364" s="63">
        <f t="shared" si="29"/>
        <v>2026.07</v>
      </c>
      <c r="B364" s="169" t="e">
        <v>#N/A</v>
      </c>
      <c r="C364" s="886" t="e">
        <f t="shared" si="30"/>
        <v>#N/A</v>
      </c>
      <c r="D364" s="3162" t="e">
        <v>#N/A</v>
      </c>
      <c r="E364" s="180" t="e">
        <v>#N/A</v>
      </c>
      <c r="F364" s="3162" t="e">
        <v>#N/A</v>
      </c>
      <c r="G364" s="180" t="e">
        <v>#N/A</v>
      </c>
      <c r="H364" s="3162" t="e">
        <v>#N/A</v>
      </c>
      <c r="I364" s="180" t="e">
        <v>#N/A</v>
      </c>
      <c r="J364" s="3162" t="e">
        <v>#N/A</v>
      </c>
      <c r="K364" s="180" t="e">
        <v>#N/A</v>
      </c>
      <c r="L364" s="3162" t="e">
        <v>#N/A</v>
      </c>
      <c r="M364" s="180" t="e">
        <v>#N/A</v>
      </c>
      <c r="N364" s="2095" t="e">
        <v>#N/A</v>
      </c>
      <c r="O364" s="2107" t="e">
        <v>#N/A</v>
      </c>
      <c r="P364" s="2097" t="e">
        <v>#N/A</v>
      </c>
      <c r="Q364" s="2097" t="e">
        <v>#N/A</v>
      </c>
      <c r="R364" s="263" t="e">
        <f t="shared" si="31"/>
        <v>#N/A</v>
      </c>
      <c r="S364" s="203" t="e">
        <f t="shared" si="28"/>
        <v>#N/A</v>
      </c>
      <c r="T364" s="1313" t="e">
        <v>#N/A</v>
      </c>
      <c r="U364" s="225" t="e">
        <v>#N/A</v>
      </c>
      <c r="V364" s="1313" t="e">
        <v>#N/A</v>
      </c>
      <c r="W364" s="169" t="e">
        <v>#N/A</v>
      </c>
      <c r="X364" s="2106" t="e">
        <f t="shared" si="32"/>
        <v>#N/A</v>
      </c>
      <c r="Y364" s="254" t="e">
        <v>#N/A</v>
      </c>
    </row>
    <row r="365" spans="1:25">
      <c r="A365" s="63">
        <f t="shared" si="29"/>
        <v>2026.08</v>
      </c>
      <c r="B365" s="169" t="e">
        <v>#N/A</v>
      </c>
      <c r="C365" s="886" t="e">
        <f t="shared" si="30"/>
        <v>#N/A</v>
      </c>
      <c r="D365" s="3162" t="e">
        <v>#N/A</v>
      </c>
      <c r="E365" s="180" t="e">
        <v>#N/A</v>
      </c>
      <c r="F365" s="3162" t="e">
        <v>#N/A</v>
      </c>
      <c r="G365" s="180" t="e">
        <v>#N/A</v>
      </c>
      <c r="H365" s="3162" t="e">
        <v>#N/A</v>
      </c>
      <c r="I365" s="180" t="e">
        <v>#N/A</v>
      </c>
      <c r="J365" s="3162" t="e">
        <v>#N/A</v>
      </c>
      <c r="K365" s="180" t="e">
        <v>#N/A</v>
      </c>
      <c r="L365" s="3162" t="e">
        <v>#N/A</v>
      </c>
      <c r="M365" s="180" t="e">
        <v>#N/A</v>
      </c>
      <c r="N365" s="2095" t="e">
        <v>#N/A</v>
      </c>
      <c r="O365" s="2107" t="e">
        <v>#N/A</v>
      </c>
      <c r="P365" s="2097" t="e">
        <v>#N/A</v>
      </c>
      <c r="Q365" s="2097" t="e">
        <v>#N/A</v>
      </c>
      <c r="R365" s="263" t="e">
        <f t="shared" si="31"/>
        <v>#N/A</v>
      </c>
      <c r="S365" s="203" t="e">
        <f t="shared" si="28"/>
        <v>#N/A</v>
      </c>
      <c r="T365" s="1313" t="e">
        <v>#N/A</v>
      </c>
      <c r="U365" s="225" t="e">
        <v>#N/A</v>
      </c>
      <c r="V365" s="1313" t="e">
        <v>#N/A</v>
      </c>
      <c r="W365" s="169" t="e">
        <v>#N/A</v>
      </c>
      <c r="X365" s="2106" t="e">
        <f t="shared" si="32"/>
        <v>#N/A</v>
      </c>
      <c r="Y365" s="254" t="e">
        <v>#N/A</v>
      </c>
    </row>
    <row r="366" spans="1:25">
      <c r="A366" s="63">
        <f t="shared" si="29"/>
        <v>2026.09</v>
      </c>
      <c r="B366" s="169" t="e">
        <v>#N/A</v>
      </c>
      <c r="C366" s="886" t="e">
        <f t="shared" si="30"/>
        <v>#N/A</v>
      </c>
      <c r="D366" s="3162" t="e">
        <v>#N/A</v>
      </c>
      <c r="E366" s="180" t="e">
        <v>#N/A</v>
      </c>
      <c r="F366" s="3162" t="e">
        <v>#N/A</v>
      </c>
      <c r="G366" s="180" t="e">
        <v>#N/A</v>
      </c>
      <c r="H366" s="3162" t="e">
        <v>#N/A</v>
      </c>
      <c r="I366" s="180" t="e">
        <v>#N/A</v>
      </c>
      <c r="J366" s="3162" t="e">
        <v>#N/A</v>
      </c>
      <c r="K366" s="180" t="e">
        <v>#N/A</v>
      </c>
      <c r="L366" s="3162" t="e">
        <v>#N/A</v>
      </c>
      <c r="M366" s="180" t="e">
        <v>#N/A</v>
      </c>
      <c r="N366" s="2095" t="e">
        <v>#N/A</v>
      </c>
      <c r="O366" s="2107" t="e">
        <v>#N/A</v>
      </c>
      <c r="P366" s="2097" t="e">
        <v>#N/A</v>
      </c>
      <c r="Q366" s="2097" t="e">
        <v>#N/A</v>
      </c>
      <c r="R366" s="263" t="e">
        <f t="shared" si="31"/>
        <v>#N/A</v>
      </c>
      <c r="S366" s="203" t="e">
        <f t="shared" si="28"/>
        <v>#N/A</v>
      </c>
      <c r="T366" s="1313" t="e">
        <v>#N/A</v>
      </c>
      <c r="U366" s="225" t="e">
        <v>#N/A</v>
      </c>
      <c r="V366" s="1313" t="e">
        <v>#N/A</v>
      </c>
      <c r="W366" s="169" t="e">
        <v>#N/A</v>
      </c>
      <c r="X366" s="2106" t="e">
        <f t="shared" si="32"/>
        <v>#N/A</v>
      </c>
      <c r="Y366" s="254" t="e">
        <v>#N/A</v>
      </c>
    </row>
    <row r="367" spans="1:25">
      <c r="A367" s="63">
        <f t="shared" si="29"/>
        <v>2026.1</v>
      </c>
      <c r="B367" s="169" t="e">
        <v>#N/A</v>
      </c>
      <c r="C367" s="886" t="e">
        <f t="shared" si="30"/>
        <v>#N/A</v>
      </c>
      <c r="D367" s="3162" t="e">
        <v>#N/A</v>
      </c>
      <c r="E367" s="180" t="e">
        <v>#N/A</v>
      </c>
      <c r="F367" s="3162" t="e">
        <v>#N/A</v>
      </c>
      <c r="G367" s="180" t="e">
        <v>#N/A</v>
      </c>
      <c r="H367" s="3162" t="e">
        <v>#N/A</v>
      </c>
      <c r="I367" s="180" t="e">
        <v>#N/A</v>
      </c>
      <c r="J367" s="3162" t="e">
        <v>#N/A</v>
      </c>
      <c r="K367" s="180" t="e">
        <v>#N/A</v>
      </c>
      <c r="L367" s="3162" t="e">
        <v>#N/A</v>
      </c>
      <c r="M367" s="180" t="e">
        <v>#N/A</v>
      </c>
      <c r="N367" s="2095" t="e">
        <v>#N/A</v>
      </c>
      <c r="O367" s="2107" t="e">
        <v>#N/A</v>
      </c>
      <c r="P367" s="2097" t="e">
        <v>#N/A</v>
      </c>
      <c r="Q367" s="2097" t="e">
        <v>#N/A</v>
      </c>
      <c r="R367" s="263" t="e">
        <f t="shared" si="31"/>
        <v>#N/A</v>
      </c>
      <c r="S367" s="203" t="e">
        <f t="shared" si="28"/>
        <v>#N/A</v>
      </c>
      <c r="T367" s="1313" t="e">
        <v>#N/A</v>
      </c>
      <c r="U367" s="225" t="e">
        <v>#N/A</v>
      </c>
      <c r="V367" s="1313" t="e">
        <v>#N/A</v>
      </c>
      <c r="W367" s="169" t="e">
        <v>#N/A</v>
      </c>
      <c r="X367" s="2106" t="e">
        <f t="shared" si="32"/>
        <v>#N/A</v>
      </c>
      <c r="Y367" s="254" t="e">
        <v>#N/A</v>
      </c>
    </row>
    <row r="368" spans="1:25">
      <c r="A368" s="63">
        <f t="shared" si="29"/>
        <v>2026.11</v>
      </c>
      <c r="B368" s="169" t="e">
        <v>#N/A</v>
      </c>
      <c r="C368" s="886" t="e">
        <f t="shared" si="30"/>
        <v>#N/A</v>
      </c>
      <c r="D368" s="3162" t="e">
        <v>#N/A</v>
      </c>
      <c r="E368" s="180" t="e">
        <v>#N/A</v>
      </c>
      <c r="F368" s="3162" t="e">
        <v>#N/A</v>
      </c>
      <c r="G368" s="180" t="e">
        <v>#N/A</v>
      </c>
      <c r="H368" s="3162" t="e">
        <v>#N/A</v>
      </c>
      <c r="I368" s="180" t="e">
        <v>#N/A</v>
      </c>
      <c r="J368" s="3162" t="e">
        <v>#N/A</v>
      </c>
      <c r="K368" s="180" t="e">
        <v>#N/A</v>
      </c>
      <c r="L368" s="3162" t="e">
        <v>#N/A</v>
      </c>
      <c r="M368" s="180" t="e">
        <v>#N/A</v>
      </c>
      <c r="N368" s="2095" t="e">
        <v>#N/A</v>
      </c>
      <c r="O368" s="2107" t="e">
        <v>#N/A</v>
      </c>
      <c r="P368" s="2097" t="e">
        <v>#N/A</v>
      </c>
      <c r="Q368" s="2097" t="e">
        <v>#N/A</v>
      </c>
      <c r="R368" s="263" t="e">
        <f t="shared" si="31"/>
        <v>#N/A</v>
      </c>
      <c r="S368" s="203" t="e">
        <f t="shared" si="28"/>
        <v>#N/A</v>
      </c>
      <c r="T368" s="1313" t="e">
        <v>#N/A</v>
      </c>
      <c r="U368" s="225" t="e">
        <v>#N/A</v>
      </c>
      <c r="V368" s="1313" t="e">
        <v>#N/A</v>
      </c>
      <c r="W368" s="169" t="e">
        <v>#N/A</v>
      </c>
      <c r="X368" s="2106" t="e">
        <f t="shared" si="32"/>
        <v>#N/A</v>
      </c>
      <c r="Y368" s="254" t="e">
        <v>#N/A</v>
      </c>
    </row>
    <row r="369" spans="1:25">
      <c r="A369" s="63">
        <f t="shared" si="29"/>
        <v>2026.12</v>
      </c>
      <c r="B369" s="169" t="e">
        <v>#N/A</v>
      </c>
      <c r="C369" s="886" t="e">
        <f t="shared" si="30"/>
        <v>#N/A</v>
      </c>
      <c r="D369" s="3162" t="e">
        <v>#N/A</v>
      </c>
      <c r="E369" s="180" t="e">
        <v>#N/A</v>
      </c>
      <c r="F369" s="3162" t="e">
        <v>#N/A</v>
      </c>
      <c r="G369" s="180" t="e">
        <v>#N/A</v>
      </c>
      <c r="H369" s="3162" t="e">
        <v>#N/A</v>
      </c>
      <c r="I369" s="180" t="e">
        <v>#N/A</v>
      </c>
      <c r="J369" s="3162" t="e">
        <v>#N/A</v>
      </c>
      <c r="K369" s="180" t="e">
        <v>#N/A</v>
      </c>
      <c r="L369" s="3162" t="e">
        <v>#N/A</v>
      </c>
      <c r="M369" s="180" t="e">
        <v>#N/A</v>
      </c>
      <c r="N369" s="2095" t="e">
        <v>#N/A</v>
      </c>
      <c r="O369" s="2107" t="e">
        <v>#N/A</v>
      </c>
      <c r="P369" s="2097" t="e">
        <v>#N/A</v>
      </c>
      <c r="Q369" s="2097" t="e">
        <v>#N/A</v>
      </c>
      <c r="R369" s="263" t="e">
        <f t="shared" si="31"/>
        <v>#N/A</v>
      </c>
      <c r="S369" s="203" t="e">
        <f t="shared" si="28"/>
        <v>#N/A</v>
      </c>
      <c r="T369" s="1313" t="e">
        <v>#N/A</v>
      </c>
      <c r="U369" s="225" t="e">
        <v>#N/A</v>
      </c>
      <c r="V369" s="1313" t="e">
        <v>#N/A</v>
      </c>
      <c r="W369" s="169" t="e">
        <v>#N/A</v>
      </c>
      <c r="X369" s="2106" t="e">
        <f t="shared" si="32"/>
        <v>#N/A</v>
      </c>
      <c r="Y369" s="254" t="e">
        <v>#N/A</v>
      </c>
    </row>
    <row r="370" spans="1:25">
      <c r="A370" s="63">
        <f t="shared" si="29"/>
        <v>2027.01</v>
      </c>
      <c r="B370" s="169" t="e">
        <v>#N/A</v>
      </c>
      <c r="C370" s="886" t="e">
        <f t="shared" si="30"/>
        <v>#N/A</v>
      </c>
      <c r="D370" s="3162" t="e">
        <v>#N/A</v>
      </c>
      <c r="E370" s="180" t="e">
        <v>#N/A</v>
      </c>
      <c r="F370" s="3162" t="e">
        <v>#N/A</v>
      </c>
      <c r="G370" s="180" t="e">
        <v>#N/A</v>
      </c>
      <c r="H370" s="3162" t="e">
        <v>#N/A</v>
      </c>
      <c r="I370" s="180" t="e">
        <v>#N/A</v>
      </c>
      <c r="J370" s="3162" t="e">
        <v>#N/A</v>
      </c>
      <c r="K370" s="180" t="e">
        <v>#N/A</v>
      </c>
      <c r="L370" s="3162" t="e">
        <v>#N/A</v>
      </c>
      <c r="M370" s="180" t="e">
        <v>#N/A</v>
      </c>
      <c r="N370" s="2095" t="e">
        <v>#N/A</v>
      </c>
      <c r="O370" s="2107" t="e">
        <v>#N/A</v>
      </c>
      <c r="P370" s="2097" t="e">
        <v>#N/A</v>
      </c>
      <c r="Q370" s="2097" t="e">
        <v>#N/A</v>
      </c>
      <c r="R370" s="263" t="e">
        <f t="shared" si="31"/>
        <v>#N/A</v>
      </c>
      <c r="S370" s="203" t="e">
        <f t="shared" si="28"/>
        <v>#N/A</v>
      </c>
      <c r="T370" s="1313" t="e">
        <v>#N/A</v>
      </c>
      <c r="U370" s="225" t="e">
        <v>#N/A</v>
      </c>
      <c r="V370" s="1313" t="e">
        <v>#N/A</v>
      </c>
      <c r="W370" s="169" t="e">
        <v>#N/A</v>
      </c>
      <c r="X370" s="2106" t="e">
        <f t="shared" si="32"/>
        <v>#N/A</v>
      </c>
      <c r="Y370" s="254" t="e">
        <v>#N/A</v>
      </c>
    </row>
    <row r="371" spans="1:25">
      <c r="A371" s="63">
        <f t="shared" si="29"/>
        <v>2027.02</v>
      </c>
      <c r="B371" s="169" t="e">
        <v>#N/A</v>
      </c>
      <c r="C371" s="886" t="e">
        <f t="shared" si="30"/>
        <v>#N/A</v>
      </c>
      <c r="D371" s="3162" t="e">
        <v>#N/A</v>
      </c>
      <c r="E371" s="180" t="e">
        <v>#N/A</v>
      </c>
      <c r="F371" s="3162" t="e">
        <v>#N/A</v>
      </c>
      <c r="G371" s="180" t="e">
        <v>#N/A</v>
      </c>
      <c r="H371" s="3162" t="e">
        <v>#N/A</v>
      </c>
      <c r="I371" s="180" t="e">
        <v>#N/A</v>
      </c>
      <c r="J371" s="3162" t="e">
        <v>#N/A</v>
      </c>
      <c r="K371" s="180" t="e">
        <v>#N/A</v>
      </c>
      <c r="L371" s="3162" t="e">
        <v>#N/A</v>
      </c>
      <c r="M371" s="180" t="e">
        <v>#N/A</v>
      </c>
      <c r="N371" s="2095" t="e">
        <v>#N/A</v>
      </c>
      <c r="O371" s="2107" t="e">
        <v>#N/A</v>
      </c>
      <c r="P371" s="2097" t="e">
        <v>#N/A</v>
      </c>
      <c r="Q371" s="2097" t="e">
        <v>#N/A</v>
      </c>
      <c r="R371" s="263" t="e">
        <f t="shared" si="31"/>
        <v>#N/A</v>
      </c>
      <c r="S371" s="203" t="e">
        <f t="shared" si="28"/>
        <v>#N/A</v>
      </c>
      <c r="T371" s="1313" t="e">
        <v>#N/A</v>
      </c>
      <c r="U371" s="225" t="e">
        <v>#N/A</v>
      </c>
      <c r="V371" s="1313" t="e">
        <v>#N/A</v>
      </c>
      <c r="W371" s="169" t="e">
        <v>#N/A</v>
      </c>
      <c r="X371" s="2106" t="e">
        <f t="shared" si="32"/>
        <v>#N/A</v>
      </c>
      <c r="Y371" s="254" t="e">
        <v>#N/A</v>
      </c>
    </row>
    <row r="372" spans="1:25">
      <c r="A372" s="63">
        <f t="shared" si="29"/>
        <v>2027.03</v>
      </c>
      <c r="B372" s="169" t="e">
        <v>#N/A</v>
      </c>
      <c r="C372" s="886" t="e">
        <f t="shared" si="30"/>
        <v>#N/A</v>
      </c>
      <c r="D372" s="3162" t="e">
        <v>#N/A</v>
      </c>
      <c r="E372" s="180" t="e">
        <v>#N/A</v>
      </c>
      <c r="F372" s="3162" t="e">
        <v>#N/A</v>
      </c>
      <c r="G372" s="180" t="e">
        <v>#N/A</v>
      </c>
      <c r="H372" s="3162" t="e">
        <v>#N/A</v>
      </c>
      <c r="I372" s="180" t="e">
        <v>#N/A</v>
      </c>
      <c r="J372" s="3162" t="e">
        <v>#N/A</v>
      </c>
      <c r="K372" s="180" t="e">
        <v>#N/A</v>
      </c>
      <c r="L372" s="3162" t="e">
        <v>#N/A</v>
      </c>
      <c r="M372" s="180" t="e">
        <v>#N/A</v>
      </c>
      <c r="N372" s="2095" t="e">
        <v>#N/A</v>
      </c>
      <c r="O372" s="2107" t="e">
        <v>#N/A</v>
      </c>
      <c r="P372" s="2097" t="e">
        <v>#N/A</v>
      </c>
      <c r="Q372" s="2097" t="e">
        <v>#N/A</v>
      </c>
      <c r="R372" s="263" t="e">
        <f t="shared" si="31"/>
        <v>#N/A</v>
      </c>
      <c r="S372" s="203" t="e">
        <f t="shared" si="28"/>
        <v>#N/A</v>
      </c>
      <c r="T372" s="1313" t="e">
        <v>#N/A</v>
      </c>
      <c r="U372" s="225" t="e">
        <v>#N/A</v>
      </c>
      <c r="V372" s="1313" t="e">
        <v>#N/A</v>
      </c>
      <c r="W372" s="169" t="e">
        <v>#N/A</v>
      </c>
      <c r="X372" s="2106" t="e">
        <f t="shared" si="32"/>
        <v>#N/A</v>
      </c>
      <c r="Y372" s="254" t="e">
        <v>#N/A</v>
      </c>
    </row>
    <row r="373" spans="1:25">
      <c r="A373" s="63">
        <f t="shared" si="29"/>
        <v>2027.04</v>
      </c>
      <c r="B373" s="169" t="e">
        <v>#N/A</v>
      </c>
      <c r="C373" s="886" t="e">
        <f t="shared" si="30"/>
        <v>#N/A</v>
      </c>
      <c r="D373" s="3162" t="e">
        <v>#N/A</v>
      </c>
      <c r="E373" s="180" t="e">
        <v>#N/A</v>
      </c>
      <c r="F373" s="3162" t="e">
        <v>#N/A</v>
      </c>
      <c r="G373" s="180" t="e">
        <v>#N/A</v>
      </c>
      <c r="H373" s="3162" t="e">
        <v>#N/A</v>
      </c>
      <c r="I373" s="180" t="e">
        <v>#N/A</v>
      </c>
      <c r="J373" s="3162" t="e">
        <v>#N/A</v>
      </c>
      <c r="K373" s="180" t="e">
        <v>#N/A</v>
      </c>
      <c r="L373" s="3162" t="e">
        <v>#N/A</v>
      </c>
      <c r="M373" s="180" t="e">
        <v>#N/A</v>
      </c>
      <c r="N373" s="2095" t="e">
        <v>#N/A</v>
      </c>
      <c r="O373" s="2107" t="e">
        <v>#N/A</v>
      </c>
      <c r="P373" s="2097" t="e">
        <v>#N/A</v>
      </c>
      <c r="Q373" s="2097" t="e">
        <v>#N/A</v>
      </c>
      <c r="R373" s="263" t="e">
        <f t="shared" si="31"/>
        <v>#N/A</v>
      </c>
      <c r="S373" s="203" t="e">
        <f t="shared" si="28"/>
        <v>#N/A</v>
      </c>
      <c r="T373" s="1313" t="e">
        <v>#N/A</v>
      </c>
      <c r="U373" s="225" t="e">
        <v>#N/A</v>
      </c>
      <c r="V373" s="1313" t="e">
        <v>#N/A</v>
      </c>
      <c r="W373" s="169" t="e">
        <v>#N/A</v>
      </c>
      <c r="X373" s="2106" t="e">
        <f t="shared" si="32"/>
        <v>#N/A</v>
      </c>
      <c r="Y373" s="254" t="e">
        <v>#N/A</v>
      </c>
    </row>
    <row r="374" spans="1:25">
      <c r="A374" s="63">
        <f t="shared" si="29"/>
        <v>2027.05</v>
      </c>
      <c r="B374" s="169" t="e">
        <v>#N/A</v>
      </c>
      <c r="C374" s="886" t="e">
        <f t="shared" si="30"/>
        <v>#N/A</v>
      </c>
      <c r="D374" s="3162" t="e">
        <v>#N/A</v>
      </c>
      <c r="E374" s="180" t="e">
        <v>#N/A</v>
      </c>
      <c r="F374" s="3162" t="e">
        <v>#N/A</v>
      </c>
      <c r="G374" s="180" t="e">
        <v>#N/A</v>
      </c>
      <c r="H374" s="3162" t="e">
        <v>#N/A</v>
      </c>
      <c r="I374" s="180" t="e">
        <v>#N/A</v>
      </c>
      <c r="J374" s="3162" t="e">
        <v>#N/A</v>
      </c>
      <c r="K374" s="180" t="e">
        <v>#N/A</v>
      </c>
      <c r="L374" s="3162" t="e">
        <v>#N/A</v>
      </c>
      <c r="M374" s="180" t="e">
        <v>#N/A</v>
      </c>
      <c r="N374" s="2095" t="e">
        <v>#N/A</v>
      </c>
      <c r="O374" s="2107" t="e">
        <v>#N/A</v>
      </c>
      <c r="P374" s="2097" t="e">
        <v>#N/A</v>
      </c>
      <c r="Q374" s="2097" t="e">
        <v>#N/A</v>
      </c>
      <c r="R374" s="263" t="e">
        <f t="shared" si="31"/>
        <v>#N/A</v>
      </c>
      <c r="S374" s="203" t="e">
        <f t="shared" si="28"/>
        <v>#N/A</v>
      </c>
      <c r="T374" s="1313" t="e">
        <v>#N/A</v>
      </c>
      <c r="U374" s="225" t="e">
        <v>#N/A</v>
      </c>
      <c r="V374" s="1313" t="e">
        <v>#N/A</v>
      </c>
      <c r="W374" s="169" t="e">
        <v>#N/A</v>
      </c>
      <c r="X374" s="2106" t="e">
        <f t="shared" si="32"/>
        <v>#N/A</v>
      </c>
      <c r="Y374" s="254" t="e">
        <v>#N/A</v>
      </c>
    </row>
    <row r="375" spans="1:25">
      <c r="A375" s="63">
        <f t="shared" si="29"/>
        <v>2027.06</v>
      </c>
      <c r="B375" s="169" t="e">
        <v>#N/A</v>
      </c>
      <c r="C375" s="886" t="e">
        <f t="shared" si="30"/>
        <v>#N/A</v>
      </c>
      <c r="D375" s="3162" t="e">
        <v>#N/A</v>
      </c>
      <c r="E375" s="180" t="e">
        <v>#N/A</v>
      </c>
      <c r="F375" s="3162" t="e">
        <v>#N/A</v>
      </c>
      <c r="G375" s="180" t="e">
        <v>#N/A</v>
      </c>
      <c r="H375" s="3162" t="e">
        <v>#N/A</v>
      </c>
      <c r="I375" s="180" t="e">
        <v>#N/A</v>
      </c>
      <c r="J375" s="3162" t="e">
        <v>#N/A</v>
      </c>
      <c r="K375" s="180" t="e">
        <v>#N/A</v>
      </c>
      <c r="L375" s="3162" t="e">
        <v>#N/A</v>
      </c>
      <c r="M375" s="180" t="e">
        <v>#N/A</v>
      </c>
      <c r="N375" s="2095" t="e">
        <v>#N/A</v>
      </c>
      <c r="O375" s="2107" t="e">
        <v>#N/A</v>
      </c>
      <c r="P375" s="2097" t="e">
        <v>#N/A</v>
      </c>
      <c r="Q375" s="2097" t="e">
        <v>#N/A</v>
      </c>
      <c r="R375" s="263" t="e">
        <f t="shared" si="31"/>
        <v>#N/A</v>
      </c>
      <c r="S375" s="203" t="e">
        <f t="shared" si="28"/>
        <v>#N/A</v>
      </c>
      <c r="T375" s="1313" t="e">
        <v>#N/A</v>
      </c>
      <c r="U375" s="225" t="e">
        <v>#N/A</v>
      </c>
      <c r="V375" s="1313" t="e">
        <v>#N/A</v>
      </c>
      <c r="W375" s="169" t="e">
        <v>#N/A</v>
      </c>
      <c r="X375" s="2106" t="e">
        <f t="shared" si="32"/>
        <v>#N/A</v>
      </c>
      <c r="Y375" s="254" t="e">
        <v>#N/A</v>
      </c>
    </row>
    <row r="376" spans="1:25">
      <c r="A376" s="63">
        <f t="shared" si="29"/>
        <v>2027.07</v>
      </c>
      <c r="B376" s="169" t="e">
        <v>#N/A</v>
      </c>
      <c r="C376" s="886" t="e">
        <f t="shared" ref="C376:C389" si="33">SUM(D376:J376)</f>
        <v>#N/A</v>
      </c>
      <c r="D376" s="3162" t="e">
        <v>#N/A</v>
      </c>
      <c r="E376" s="180" t="e">
        <v>#N/A</v>
      </c>
      <c r="F376" s="3162" t="e">
        <v>#N/A</v>
      </c>
      <c r="G376" s="180" t="e">
        <v>#N/A</v>
      </c>
      <c r="H376" s="3162" t="e">
        <v>#N/A</v>
      </c>
      <c r="I376" s="180" t="e">
        <v>#N/A</v>
      </c>
      <c r="J376" s="3162" t="e">
        <v>#N/A</v>
      </c>
      <c r="K376" s="180" t="e">
        <v>#N/A</v>
      </c>
      <c r="L376" s="3162" t="e">
        <v>#N/A</v>
      </c>
      <c r="M376" s="180" t="e">
        <v>#N/A</v>
      </c>
      <c r="N376" s="2095" t="e">
        <v>#N/A</v>
      </c>
      <c r="O376" s="2107" t="e">
        <v>#N/A</v>
      </c>
      <c r="P376" s="2097" t="e">
        <v>#N/A</v>
      </c>
      <c r="Q376" s="2097" t="e">
        <v>#N/A</v>
      </c>
      <c r="R376" s="263" t="e">
        <f t="shared" ref="R376:R389" si="34">$B376/P376*1000</f>
        <v>#N/A</v>
      </c>
      <c r="S376" s="203" t="e">
        <f t="shared" si="28"/>
        <v>#N/A</v>
      </c>
      <c r="T376" s="1313" t="e">
        <v>#N/A</v>
      </c>
      <c r="U376" s="225" t="e">
        <v>#N/A</v>
      </c>
      <c r="V376" s="1313" t="e">
        <v>#N/A</v>
      </c>
      <c r="W376" s="169" t="e">
        <v>#N/A</v>
      </c>
      <c r="X376" s="2106" t="e">
        <f t="shared" ref="X376:X389" si="35">V376+W376</f>
        <v>#N/A</v>
      </c>
      <c r="Y376" s="254" t="e">
        <v>#N/A</v>
      </c>
    </row>
    <row r="377" spans="1:25">
      <c r="A377" s="63">
        <f t="shared" si="29"/>
        <v>2027.08</v>
      </c>
      <c r="B377" s="169" t="e">
        <v>#N/A</v>
      </c>
      <c r="C377" s="886" t="e">
        <f t="shared" si="33"/>
        <v>#N/A</v>
      </c>
      <c r="D377" s="3162" t="e">
        <v>#N/A</v>
      </c>
      <c r="E377" s="180" t="e">
        <v>#N/A</v>
      </c>
      <c r="F377" s="3162" t="e">
        <v>#N/A</v>
      </c>
      <c r="G377" s="180" t="e">
        <v>#N/A</v>
      </c>
      <c r="H377" s="3162" t="e">
        <v>#N/A</v>
      </c>
      <c r="I377" s="180" t="e">
        <v>#N/A</v>
      </c>
      <c r="J377" s="3162" t="e">
        <v>#N/A</v>
      </c>
      <c r="K377" s="180" t="e">
        <v>#N/A</v>
      </c>
      <c r="L377" s="3162" t="e">
        <v>#N/A</v>
      </c>
      <c r="M377" s="180" t="e">
        <v>#N/A</v>
      </c>
      <c r="N377" s="2095" t="e">
        <v>#N/A</v>
      </c>
      <c r="O377" s="2107" t="e">
        <v>#N/A</v>
      </c>
      <c r="P377" s="2097" t="e">
        <v>#N/A</v>
      </c>
      <c r="Q377" s="2097" t="e">
        <v>#N/A</v>
      </c>
      <c r="R377" s="263" t="e">
        <f t="shared" si="34"/>
        <v>#N/A</v>
      </c>
      <c r="S377" s="203" t="e">
        <f t="shared" si="28"/>
        <v>#N/A</v>
      </c>
      <c r="T377" s="1313" t="e">
        <v>#N/A</v>
      </c>
      <c r="U377" s="225" t="e">
        <v>#N/A</v>
      </c>
      <c r="V377" s="1313" t="e">
        <v>#N/A</v>
      </c>
      <c r="W377" s="169" t="e">
        <v>#N/A</v>
      </c>
      <c r="X377" s="2106" t="e">
        <f t="shared" si="35"/>
        <v>#N/A</v>
      </c>
      <c r="Y377" s="254" t="e">
        <v>#N/A</v>
      </c>
    </row>
    <row r="378" spans="1:25">
      <c r="A378" s="63">
        <f t="shared" si="29"/>
        <v>2027.09</v>
      </c>
      <c r="B378" s="169" t="e">
        <v>#N/A</v>
      </c>
      <c r="C378" s="886" t="e">
        <f t="shared" si="33"/>
        <v>#N/A</v>
      </c>
      <c r="D378" s="3162" t="e">
        <v>#N/A</v>
      </c>
      <c r="E378" s="180" t="e">
        <v>#N/A</v>
      </c>
      <c r="F378" s="3162" t="e">
        <v>#N/A</v>
      </c>
      <c r="G378" s="180" t="e">
        <v>#N/A</v>
      </c>
      <c r="H378" s="3162" t="e">
        <v>#N/A</v>
      </c>
      <c r="I378" s="180" t="e">
        <v>#N/A</v>
      </c>
      <c r="J378" s="3162" t="e">
        <v>#N/A</v>
      </c>
      <c r="K378" s="180" t="e">
        <v>#N/A</v>
      </c>
      <c r="L378" s="3162" t="e">
        <v>#N/A</v>
      </c>
      <c r="M378" s="180" t="e">
        <v>#N/A</v>
      </c>
      <c r="N378" s="2095" t="e">
        <v>#N/A</v>
      </c>
      <c r="O378" s="2107" t="e">
        <v>#N/A</v>
      </c>
      <c r="P378" s="2097" t="e">
        <v>#N/A</v>
      </c>
      <c r="Q378" s="2097" t="e">
        <v>#N/A</v>
      </c>
      <c r="R378" s="263" t="e">
        <f t="shared" si="34"/>
        <v>#N/A</v>
      </c>
      <c r="S378" s="203" t="e">
        <f t="shared" si="28"/>
        <v>#N/A</v>
      </c>
      <c r="T378" s="1313" t="e">
        <v>#N/A</v>
      </c>
      <c r="U378" s="225" t="e">
        <v>#N/A</v>
      </c>
      <c r="V378" s="1313" t="e">
        <v>#N/A</v>
      </c>
      <c r="W378" s="169" t="e">
        <v>#N/A</v>
      </c>
      <c r="X378" s="2106" t="e">
        <f t="shared" si="35"/>
        <v>#N/A</v>
      </c>
      <c r="Y378" s="254" t="e">
        <v>#N/A</v>
      </c>
    </row>
    <row r="379" spans="1:25">
      <c r="A379" s="63">
        <f t="shared" si="29"/>
        <v>2027.1</v>
      </c>
      <c r="B379" s="169" t="e">
        <v>#N/A</v>
      </c>
      <c r="C379" s="886" t="e">
        <f t="shared" si="33"/>
        <v>#N/A</v>
      </c>
      <c r="D379" s="3162" t="e">
        <v>#N/A</v>
      </c>
      <c r="E379" s="180" t="e">
        <v>#N/A</v>
      </c>
      <c r="F379" s="3162" t="e">
        <v>#N/A</v>
      </c>
      <c r="G379" s="180" t="e">
        <v>#N/A</v>
      </c>
      <c r="H379" s="3162" t="e">
        <v>#N/A</v>
      </c>
      <c r="I379" s="180" t="e">
        <v>#N/A</v>
      </c>
      <c r="J379" s="3162" t="e">
        <v>#N/A</v>
      </c>
      <c r="K379" s="180" t="e">
        <v>#N/A</v>
      </c>
      <c r="L379" s="3162" t="e">
        <v>#N/A</v>
      </c>
      <c r="M379" s="180" t="e">
        <v>#N/A</v>
      </c>
      <c r="N379" s="2095" t="e">
        <v>#N/A</v>
      </c>
      <c r="O379" s="2107" t="e">
        <v>#N/A</v>
      </c>
      <c r="P379" s="2097" t="e">
        <v>#N/A</v>
      </c>
      <c r="Q379" s="2097" t="e">
        <v>#N/A</v>
      </c>
      <c r="R379" s="263" t="e">
        <f t="shared" si="34"/>
        <v>#N/A</v>
      </c>
      <c r="S379" s="203" t="e">
        <f t="shared" si="28"/>
        <v>#N/A</v>
      </c>
      <c r="T379" s="1313" t="e">
        <v>#N/A</v>
      </c>
      <c r="U379" s="225" t="e">
        <v>#N/A</v>
      </c>
      <c r="V379" s="1313" t="e">
        <v>#N/A</v>
      </c>
      <c r="W379" s="169" t="e">
        <v>#N/A</v>
      </c>
      <c r="X379" s="2106" t="e">
        <f t="shared" si="35"/>
        <v>#N/A</v>
      </c>
      <c r="Y379" s="254" t="e">
        <v>#N/A</v>
      </c>
    </row>
    <row r="380" spans="1:25">
      <c r="A380" s="63">
        <f t="shared" si="29"/>
        <v>2027.11</v>
      </c>
      <c r="B380" s="169" t="e">
        <v>#N/A</v>
      </c>
      <c r="C380" s="886" t="e">
        <f t="shared" si="33"/>
        <v>#N/A</v>
      </c>
      <c r="D380" s="3162" t="e">
        <v>#N/A</v>
      </c>
      <c r="E380" s="180" t="e">
        <v>#N/A</v>
      </c>
      <c r="F380" s="3162" t="e">
        <v>#N/A</v>
      </c>
      <c r="G380" s="180" t="e">
        <v>#N/A</v>
      </c>
      <c r="H380" s="3162" t="e">
        <v>#N/A</v>
      </c>
      <c r="I380" s="180" t="e">
        <v>#N/A</v>
      </c>
      <c r="J380" s="3162" t="e">
        <v>#N/A</v>
      </c>
      <c r="K380" s="180" t="e">
        <v>#N/A</v>
      </c>
      <c r="L380" s="3162" t="e">
        <v>#N/A</v>
      </c>
      <c r="M380" s="180" t="e">
        <v>#N/A</v>
      </c>
      <c r="N380" s="2095" t="e">
        <v>#N/A</v>
      </c>
      <c r="O380" s="2107" t="e">
        <v>#N/A</v>
      </c>
      <c r="P380" s="2097" t="e">
        <v>#N/A</v>
      </c>
      <c r="Q380" s="2097" t="e">
        <v>#N/A</v>
      </c>
      <c r="R380" s="263" t="e">
        <f t="shared" si="34"/>
        <v>#N/A</v>
      </c>
      <c r="S380" s="203" t="e">
        <f t="shared" si="28"/>
        <v>#N/A</v>
      </c>
      <c r="T380" s="1313" t="e">
        <v>#N/A</v>
      </c>
      <c r="U380" s="225" t="e">
        <v>#N/A</v>
      </c>
      <c r="V380" s="1313" t="e">
        <v>#N/A</v>
      </c>
      <c r="W380" s="169" t="e">
        <v>#N/A</v>
      </c>
      <c r="X380" s="2106" t="e">
        <f t="shared" si="35"/>
        <v>#N/A</v>
      </c>
      <c r="Y380" s="254" t="e">
        <v>#N/A</v>
      </c>
    </row>
    <row r="381" spans="1:25">
      <c r="A381" s="63">
        <f t="shared" si="29"/>
        <v>2027.12</v>
      </c>
      <c r="B381" s="169" t="e">
        <v>#N/A</v>
      </c>
      <c r="C381" s="886" t="e">
        <f t="shared" si="33"/>
        <v>#N/A</v>
      </c>
      <c r="D381" s="3162" t="e">
        <v>#N/A</v>
      </c>
      <c r="E381" s="180" t="e">
        <v>#N/A</v>
      </c>
      <c r="F381" s="3162" t="e">
        <v>#N/A</v>
      </c>
      <c r="G381" s="180" t="e">
        <v>#N/A</v>
      </c>
      <c r="H381" s="3162" t="e">
        <v>#N/A</v>
      </c>
      <c r="I381" s="180" t="e">
        <v>#N/A</v>
      </c>
      <c r="J381" s="3162" t="e">
        <v>#N/A</v>
      </c>
      <c r="K381" s="180" t="e">
        <v>#N/A</v>
      </c>
      <c r="L381" s="3162" t="e">
        <v>#N/A</v>
      </c>
      <c r="M381" s="180" t="e">
        <v>#N/A</v>
      </c>
      <c r="N381" s="2095" t="e">
        <v>#N/A</v>
      </c>
      <c r="O381" s="2107" t="e">
        <v>#N/A</v>
      </c>
      <c r="P381" s="2097" t="e">
        <v>#N/A</v>
      </c>
      <c r="Q381" s="2097" t="e">
        <v>#N/A</v>
      </c>
      <c r="R381" s="263" t="e">
        <f t="shared" si="34"/>
        <v>#N/A</v>
      </c>
      <c r="S381" s="203" t="e">
        <f t="shared" si="28"/>
        <v>#N/A</v>
      </c>
      <c r="T381" s="1313" t="e">
        <v>#N/A</v>
      </c>
      <c r="U381" s="225" t="e">
        <v>#N/A</v>
      </c>
      <c r="V381" s="1313" t="e">
        <v>#N/A</v>
      </c>
      <c r="W381" s="169" t="e">
        <v>#N/A</v>
      </c>
      <c r="X381" s="2106" t="e">
        <f t="shared" si="35"/>
        <v>#N/A</v>
      </c>
      <c r="Y381" s="254" t="e">
        <v>#N/A</v>
      </c>
    </row>
    <row r="382" spans="1:25">
      <c r="A382" s="63">
        <f t="shared" si="29"/>
        <v>2028.01</v>
      </c>
      <c r="B382" s="169" t="e">
        <v>#N/A</v>
      </c>
      <c r="C382" s="886" t="e">
        <f t="shared" si="33"/>
        <v>#N/A</v>
      </c>
      <c r="D382" s="3162" t="e">
        <v>#N/A</v>
      </c>
      <c r="E382" s="180" t="e">
        <v>#N/A</v>
      </c>
      <c r="F382" s="3162" t="e">
        <v>#N/A</v>
      </c>
      <c r="G382" s="180" t="e">
        <v>#N/A</v>
      </c>
      <c r="H382" s="3162" t="e">
        <v>#N/A</v>
      </c>
      <c r="I382" s="180" t="e">
        <v>#N/A</v>
      </c>
      <c r="J382" s="3162" t="e">
        <v>#N/A</v>
      </c>
      <c r="K382" s="180" t="e">
        <v>#N/A</v>
      </c>
      <c r="L382" s="3162" t="e">
        <v>#N/A</v>
      </c>
      <c r="M382" s="180" t="e">
        <v>#N/A</v>
      </c>
      <c r="N382" s="2095" t="e">
        <v>#N/A</v>
      </c>
      <c r="O382" s="2107" t="e">
        <v>#N/A</v>
      </c>
      <c r="P382" s="2097" t="e">
        <v>#N/A</v>
      </c>
      <c r="Q382" s="2097" t="e">
        <v>#N/A</v>
      </c>
      <c r="R382" s="263" t="e">
        <f t="shared" si="34"/>
        <v>#N/A</v>
      </c>
      <c r="S382" s="203" t="e">
        <f t="shared" si="28"/>
        <v>#N/A</v>
      </c>
      <c r="T382" s="1313" t="e">
        <v>#N/A</v>
      </c>
      <c r="U382" s="225" t="e">
        <v>#N/A</v>
      </c>
      <c r="V382" s="1313" t="e">
        <v>#N/A</v>
      </c>
      <c r="W382" s="169" t="e">
        <v>#N/A</v>
      </c>
      <c r="X382" s="2106" t="e">
        <f t="shared" si="35"/>
        <v>#N/A</v>
      </c>
      <c r="Y382" s="254" t="e">
        <v>#N/A</v>
      </c>
    </row>
    <row r="383" spans="1:25">
      <c r="A383" s="63">
        <f t="shared" si="29"/>
        <v>2028.02</v>
      </c>
      <c r="B383" s="169" t="e">
        <v>#N/A</v>
      </c>
      <c r="C383" s="886" t="e">
        <f t="shared" si="33"/>
        <v>#N/A</v>
      </c>
      <c r="D383" s="3162" t="e">
        <v>#N/A</v>
      </c>
      <c r="E383" s="180" t="e">
        <v>#N/A</v>
      </c>
      <c r="F383" s="3162" t="e">
        <v>#N/A</v>
      </c>
      <c r="G383" s="180" t="e">
        <v>#N/A</v>
      </c>
      <c r="H383" s="3162" t="e">
        <v>#N/A</v>
      </c>
      <c r="I383" s="180" t="e">
        <v>#N/A</v>
      </c>
      <c r="J383" s="3162" t="e">
        <v>#N/A</v>
      </c>
      <c r="K383" s="180" t="e">
        <v>#N/A</v>
      </c>
      <c r="L383" s="3162" t="e">
        <v>#N/A</v>
      </c>
      <c r="M383" s="180" t="e">
        <v>#N/A</v>
      </c>
      <c r="N383" s="2095" t="e">
        <v>#N/A</v>
      </c>
      <c r="O383" s="2107" t="e">
        <v>#N/A</v>
      </c>
      <c r="P383" s="2097" t="e">
        <v>#N/A</v>
      </c>
      <c r="Q383" s="2097" t="e">
        <v>#N/A</v>
      </c>
      <c r="R383" s="263" t="e">
        <f t="shared" si="34"/>
        <v>#N/A</v>
      </c>
      <c r="S383" s="203" t="e">
        <f t="shared" si="28"/>
        <v>#N/A</v>
      </c>
      <c r="T383" s="1313" t="e">
        <v>#N/A</v>
      </c>
      <c r="U383" s="225" t="e">
        <v>#N/A</v>
      </c>
      <c r="V383" s="1313" t="e">
        <v>#N/A</v>
      </c>
      <c r="W383" s="169" t="e">
        <v>#N/A</v>
      </c>
      <c r="X383" s="2106" t="e">
        <f t="shared" si="35"/>
        <v>#N/A</v>
      </c>
      <c r="Y383" s="254" t="e">
        <v>#N/A</v>
      </c>
    </row>
    <row r="384" spans="1:25">
      <c r="A384" s="63">
        <f t="shared" si="29"/>
        <v>2028.03</v>
      </c>
      <c r="B384" s="169" t="e">
        <v>#N/A</v>
      </c>
      <c r="C384" s="886" t="e">
        <f t="shared" si="33"/>
        <v>#N/A</v>
      </c>
      <c r="D384" s="3162" t="e">
        <v>#N/A</v>
      </c>
      <c r="E384" s="180" t="e">
        <v>#N/A</v>
      </c>
      <c r="F384" s="3162" t="e">
        <v>#N/A</v>
      </c>
      <c r="G384" s="180" t="e">
        <v>#N/A</v>
      </c>
      <c r="H384" s="3162" t="e">
        <v>#N/A</v>
      </c>
      <c r="I384" s="180" t="e">
        <v>#N/A</v>
      </c>
      <c r="J384" s="3162" t="e">
        <v>#N/A</v>
      </c>
      <c r="K384" s="180" t="e">
        <v>#N/A</v>
      </c>
      <c r="L384" s="3162" t="e">
        <v>#N/A</v>
      </c>
      <c r="M384" s="180" t="e">
        <v>#N/A</v>
      </c>
      <c r="N384" s="2095" t="e">
        <v>#N/A</v>
      </c>
      <c r="O384" s="2107" t="e">
        <v>#N/A</v>
      </c>
      <c r="P384" s="2097" t="e">
        <v>#N/A</v>
      </c>
      <c r="Q384" s="2097" t="e">
        <v>#N/A</v>
      </c>
      <c r="R384" s="263" t="e">
        <f t="shared" si="34"/>
        <v>#N/A</v>
      </c>
      <c r="S384" s="203" t="e">
        <f t="shared" si="28"/>
        <v>#N/A</v>
      </c>
      <c r="T384" s="1313" t="e">
        <v>#N/A</v>
      </c>
      <c r="U384" s="225" t="e">
        <v>#N/A</v>
      </c>
      <c r="V384" s="1313" t="e">
        <v>#N/A</v>
      </c>
      <c r="W384" s="169" t="e">
        <v>#N/A</v>
      </c>
      <c r="X384" s="2106" t="e">
        <f t="shared" si="35"/>
        <v>#N/A</v>
      </c>
      <c r="Y384" s="254" t="e">
        <v>#N/A</v>
      </c>
    </row>
    <row r="385" spans="1:25">
      <c r="A385" s="63">
        <f t="shared" si="29"/>
        <v>2028.04</v>
      </c>
      <c r="B385" s="169" t="e">
        <v>#N/A</v>
      </c>
      <c r="C385" s="886" t="e">
        <f t="shared" si="33"/>
        <v>#N/A</v>
      </c>
      <c r="D385" s="3162" t="e">
        <v>#N/A</v>
      </c>
      <c r="E385" s="180" t="e">
        <v>#N/A</v>
      </c>
      <c r="F385" s="3162" t="e">
        <v>#N/A</v>
      </c>
      <c r="G385" s="180" t="e">
        <v>#N/A</v>
      </c>
      <c r="H385" s="3162" t="e">
        <v>#N/A</v>
      </c>
      <c r="I385" s="180" t="e">
        <v>#N/A</v>
      </c>
      <c r="J385" s="3162" t="e">
        <v>#N/A</v>
      </c>
      <c r="K385" s="180" t="e">
        <v>#N/A</v>
      </c>
      <c r="L385" s="3162" t="e">
        <v>#N/A</v>
      </c>
      <c r="M385" s="180" t="e">
        <v>#N/A</v>
      </c>
      <c r="N385" s="2095" t="e">
        <v>#N/A</v>
      </c>
      <c r="O385" s="2107" t="e">
        <v>#N/A</v>
      </c>
      <c r="P385" s="2097" t="e">
        <v>#N/A</v>
      </c>
      <c r="Q385" s="2097" t="e">
        <v>#N/A</v>
      </c>
      <c r="R385" s="263" t="e">
        <f t="shared" si="34"/>
        <v>#N/A</v>
      </c>
      <c r="S385" s="203" t="e">
        <f t="shared" si="28"/>
        <v>#N/A</v>
      </c>
      <c r="T385" s="1313" t="e">
        <v>#N/A</v>
      </c>
      <c r="U385" s="225" t="e">
        <v>#N/A</v>
      </c>
      <c r="V385" s="1313" t="e">
        <v>#N/A</v>
      </c>
      <c r="W385" s="169" t="e">
        <v>#N/A</v>
      </c>
      <c r="X385" s="2106" t="e">
        <f t="shared" si="35"/>
        <v>#N/A</v>
      </c>
      <c r="Y385" s="254" t="e">
        <v>#N/A</v>
      </c>
    </row>
    <row r="386" spans="1:25">
      <c r="A386" s="63">
        <f t="shared" si="29"/>
        <v>2028.05</v>
      </c>
      <c r="B386" s="169" t="e">
        <v>#N/A</v>
      </c>
      <c r="C386" s="886" t="e">
        <f t="shared" si="33"/>
        <v>#N/A</v>
      </c>
      <c r="D386" s="3162" t="e">
        <v>#N/A</v>
      </c>
      <c r="E386" s="180" t="e">
        <v>#N/A</v>
      </c>
      <c r="F386" s="3162" t="e">
        <v>#N/A</v>
      </c>
      <c r="G386" s="180" t="e">
        <v>#N/A</v>
      </c>
      <c r="H386" s="3162" t="e">
        <v>#N/A</v>
      </c>
      <c r="I386" s="180" t="e">
        <v>#N/A</v>
      </c>
      <c r="J386" s="3162" t="e">
        <v>#N/A</v>
      </c>
      <c r="K386" s="180" t="e">
        <v>#N/A</v>
      </c>
      <c r="L386" s="3162" t="e">
        <v>#N/A</v>
      </c>
      <c r="M386" s="180" t="e">
        <v>#N/A</v>
      </c>
      <c r="N386" s="2095" t="e">
        <v>#N/A</v>
      </c>
      <c r="O386" s="2107" t="e">
        <v>#N/A</v>
      </c>
      <c r="P386" s="2097" t="e">
        <v>#N/A</v>
      </c>
      <c r="Q386" s="2097" t="e">
        <v>#N/A</v>
      </c>
      <c r="R386" s="263" t="e">
        <f t="shared" si="34"/>
        <v>#N/A</v>
      </c>
      <c r="S386" s="203" t="e">
        <f t="shared" si="28"/>
        <v>#N/A</v>
      </c>
      <c r="T386" s="1313" t="e">
        <v>#N/A</v>
      </c>
      <c r="U386" s="225" t="e">
        <v>#N/A</v>
      </c>
      <c r="V386" s="1313" t="e">
        <v>#N/A</v>
      </c>
      <c r="W386" s="169" t="e">
        <v>#N/A</v>
      </c>
      <c r="X386" s="2106" t="e">
        <f t="shared" si="35"/>
        <v>#N/A</v>
      </c>
      <c r="Y386" s="254" t="e">
        <v>#N/A</v>
      </c>
    </row>
    <row r="387" spans="1:25">
      <c r="A387" s="63">
        <f t="shared" si="29"/>
        <v>2028.06</v>
      </c>
      <c r="B387" s="169" t="e">
        <v>#N/A</v>
      </c>
      <c r="C387" s="886" t="e">
        <f t="shared" si="33"/>
        <v>#N/A</v>
      </c>
      <c r="D387" s="3162" t="e">
        <v>#N/A</v>
      </c>
      <c r="E387" s="180" t="e">
        <v>#N/A</v>
      </c>
      <c r="F387" s="3162" t="e">
        <v>#N/A</v>
      </c>
      <c r="G387" s="180" t="e">
        <v>#N/A</v>
      </c>
      <c r="H387" s="3162" t="e">
        <v>#N/A</v>
      </c>
      <c r="I387" s="180" t="e">
        <v>#N/A</v>
      </c>
      <c r="J387" s="3162" t="e">
        <v>#N/A</v>
      </c>
      <c r="K387" s="180" t="e">
        <v>#N/A</v>
      </c>
      <c r="L387" s="3162" t="e">
        <v>#N/A</v>
      </c>
      <c r="M387" s="180" t="e">
        <v>#N/A</v>
      </c>
      <c r="N387" s="2095" t="e">
        <v>#N/A</v>
      </c>
      <c r="O387" s="2107" t="e">
        <v>#N/A</v>
      </c>
      <c r="P387" s="2097" t="e">
        <v>#N/A</v>
      </c>
      <c r="Q387" s="2097" t="e">
        <v>#N/A</v>
      </c>
      <c r="R387" s="263" t="e">
        <f t="shared" si="34"/>
        <v>#N/A</v>
      </c>
      <c r="S387" s="203" t="e">
        <f t="shared" si="28"/>
        <v>#N/A</v>
      </c>
      <c r="T387" s="1313" t="e">
        <v>#N/A</v>
      </c>
      <c r="U387" s="225" t="e">
        <v>#N/A</v>
      </c>
      <c r="V387" s="1313" t="e">
        <v>#N/A</v>
      </c>
      <c r="W387" s="169" t="e">
        <v>#N/A</v>
      </c>
      <c r="X387" s="2106" t="e">
        <f t="shared" si="35"/>
        <v>#N/A</v>
      </c>
      <c r="Y387" s="254" t="e">
        <v>#N/A</v>
      </c>
    </row>
    <row r="388" spans="1:25">
      <c r="A388" s="63">
        <f t="shared" si="29"/>
        <v>2028.07</v>
      </c>
      <c r="B388" s="169" t="e">
        <v>#N/A</v>
      </c>
      <c r="C388" s="886" t="e">
        <f t="shared" si="33"/>
        <v>#N/A</v>
      </c>
      <c r="D388" s="3162" t="e">
        <v>#N/A</v>
      </c>
      <c r="E388" s="180" t="e">
        <v>#N/A</v>
      </c>
      <c r="F388" s="3162" t="e">
        <v>#N/A</v>
      </c>
      <c r="G388" s="180" t="e">
        <v>#N/A</v>
      </c>
      <c r="H388" s="3162" t="e">
        <v>#N/A</v>
      </c>
      <c r="I388" s="180" t="e">
        <v>#N/A</v>
      </c>
      <c r="J388" s="3162" t="e">
        <v>#N/A</v>
      </c>
      <c r="K388" s="180" t="e">
        <v>#N/A</v>
      </c>
      <c r="L388" s="3162" t="e">
        <v>#N/A</v>
      </c>
      <c r="M388" s="180" t="e">
        <v>#N/A</v>
      </c>
      <c r="N388" s="2095" t="e">
        <v>#N/A</v>
      </c>
      <c r="O388" s="2107" t="e">
        <v>#N/A</v>
      </c>
      <c r="P388" s="2097" t="e">
        <v>#N/A</v>
      </c>
      <c r="Q388" s="2097" t="e">
        <v>#N/A</v>
      </c>
      <c r="R388" s="263" t="e">
        <f t="shared" si="34"/>
        <v>#N/A</v>
      </c>
      <c r="S388" s="203" t="e">
        <f t="shared" si="28"/>
        <v>#N/A</v>
      </c>
      <c r="T388" s="1313" t="e">
        <v>#N/A</v>
      </c>
      <c r="U388" s="225" t="e">
        <v>#N/A</v>
      </c>
      <c r="V388" s="1313" t="e">
        <v>#N/A</v>
      </c>
      <c r="W388" s="169" t="e">
        <v>#N/A</v>
      </c>
      <c r="X388" s="2106" t="e">
        <f t="shared" si="35"/>
        <v>#N/A</v>
      </c>
      <c r="Y388" s="254" t="e">
        <v>#N/A</v>
      </c>
    </row>
    <row r="389" spans="1:25">
      <c r="A389" s="63">
        <f t="shared" si="29"/>
        <v>2028.08</v>
      </c>
      <c r="B389" s="169" t="e">
        <v>#N/A</v>
      </c>
      <c r="C389" s="886" t="e">
        <f t="shared" si="33"/>
        <v>#N/A</v>
      </c>
      <c r="D389" s="3162" t="e">
        <v>#N/A</v>
      </c>
      <c r="E389" s="180" t="e">
        <v>#N/A</v>
      </c>
      <c r="F389" s="3162" t="e">
        <v>#N/A</v>
      </c>
      <c r="G389" s="180" t="e">
        <v>#N/A</v>
      </c>
      <c r="H389" s="3162" t="e">
        <v>#N/A</v>
      </c>
      <c r="I389" s="180" t="e">
        <v>#N/A</v>
      </c>
      <c r="J389" s="3162" t="e">
        <v>#N/A</v>
      </c>
      <c r="K389" s="180" t="e">
        <v>#N/A</v>
      </c>
      <c r="L389" s="3162" t="e">
        <v>#N/A</v>
      </c>
      <c r="M389" s="180" t="e">
        <v>#N/A</v>
      </c>
      <c r="N389" s="2095" t="e">
        <v>#N/A</v>
      </c>
      <c r="O389" s="2107" t="e">
        <v>#N/A</v>
      </c>
      <c r="P389" s="2097" t="e">
        <v>#N/A</v>
      </c>
      <c r="Q389" s="2097" t="e">
        <v>#N/A</v>
      </c>
      <c r="R389" s="263" t="e">
        <f t="shared" si="34"/>
        <v>#N/A</v>
      </c>
      <c r="S389" s="203" t="e">
        <f t="shared" si="28"/>
        <v>#N/A</v>
      </c>
      <c r="T389" s="1313" t="e">
        <v>#N/A</v>
      </c>
      <c r="U389" s="225" t="e">
        <v>#N/A</v>
      </c>
      <c r="V389" s="1313" t="e">
        <v>#N/A</v>
      </c>
      <c r="W389" s="169" t="e">
        <v>#N/A</v>
      </c>
      <c r="X389" s="2106" t="e">
        <f t="shared" si="35"/>
        <v>#N/A</v>
      </c>
      <c r="Y389" s="254" t="e">
        <v>#N/A</v>
      </c>
    </row>
    <row r="390" spans="1:25">
      <c r="A390" s="63">
        <f t="shared" si="29"/>
        <v>2028.09</v>
      </c>
      <c r="B390" s="169" t="e">
        <v>#N/A</v>
      </c>
      <c r="C390" s="886" t="e">
        <f t="shared" ref="C390:C404" si="36">SUM(D390:J390)</f>
        <v>#N/A</v>
      </c>
      <c r="D390" s="3162" t="e">
        <v>#N/A</v>
      </c>
      <c r="E390" s="180" t="e">
        <v>#N/A</v>
      </c>
      <c r="F390" s="3162" t="e">
        <v>#N/A</v>
      </c>
      <c r="G390" s="180" t="e">
        <v>#N/A</v>
      </c>
      <c r="H390" s="3162" t="e">
        <v>#N/A</v>
      </c>
      <c r="I390" s="180" t="e">
        <v>#N/A</v>
      </c>
      <c r="J390" s="3162" t="e">
        <v>#N/A</v>
      </c>
      <c r="K390" s="180" t="e">
        <v>#N/A</v>
      </c>
      <c r="L390" s="3162" t="e">
        <v>#N/A</v>
      </c>
      <c r="M390" s="180" t="e">
        <v>#N/A</v>
      </c>
      <c r="N390" s="2095" t="e">
        <v>#N/A</v>
      </c>
      <c r="O390" s="2107" t="e">
        <v>#N/A</v>
      </c>
      <c r="P390" s="2097" t="e">
        <v>#N/A</v>
      </c>
      <c r="Q390" s="2097" t="e">
        <v>#N/A</v>
      </c>
      <c r="R390" s="263" t="e">
        <f t="shared" ref="R390:R404" si="37">$B390/P390*1000</f>
        <v>#N/A</v>
      </c>
      <c r="S390" s="203" t="e">
        <f t="shared" si="28"/>
        <v>#N/A</v>
      </c>
      <c r="T390" s="1313" t="e">
        <v>#N/A</v>
      </c>
      <c r="U390" s="225" t="e">
        <v>#N/A</v>
      </c>
      <c r="V390" s="1313" t="e">
        <v>#N/A</v>
      </c>
      <c r="W390" s="169" t="e">
        <v>#N/A</v>
      </c>
      <c r="X390" s="2106" t="e">
        <f t="shared" ref="X390:X404" si="38">V390+W390</f>
        <v>#N/A</v>
      </c>
      <c r="Y390" s="254" t="e">
        <v>#N/A</v>
      </c>
    </row>
    <row r="391" spans="1:25">
      <c r="A391" s="63">
        <f t="shared" si="29"/>
        <v>2028.1</v>
      </c>
      <c r="B391" s="169" t="e">
        <v>#N/A</v>
      </c>
      <c r="C391" s="886" t="e">
        <f t="shared" si="36"/>
        <v>#N/A</v>
      </c>
      <c r="D391" s="3162" t="e">
        <v>#N/A</v>
      </c>
      <c r="E391" s="180" t="e">
        <v>#N/A</v>
      </c>
      <c r="F391" s="3162" t="e">
        <v>#N/A</v>
      </c>
      <c r="G391" s="180" t="e">
        <v>#N/A</v>
      </c>
      <c r="H391" s="3162" t="e">
        <v>#N/A</v>
      </c>
      <c r="I391" s="180" t="e">
        <v>#N/A</v>
      </c>
      <c r="J391" s="3162" t="e">
        <v>#N/A</v>
      </c>
      <c r="K391" s="180" t="e">
        <v>#N/A</v>
      </c>
      <c r="L391" s="3162" t="e">
        <v>#N/A</v>
      </c>
      <c r="M391" s="180" t="e">
        <v>#N/A</v>
      </c>
      <c r="N391" s="2095" t="e">
        <v>#N/A</v>
      </c>
      <c r="O391" s="2107" t="e">
        <v>#N/A</v>
      </c>
      <c r="P391" s="2097" t="e">
        <v>#N/A</v>
      </c>
      <c r="Q391" s="2097" t="e">
        <v>#N/A</v>
      </c>
      <c r="R391" s="263" t="e">
        <f t="shared" si="37"/>
        <v>#N/A</v>
      </c>
      <c r="S391" s="203" t="e">
        <f t="shared" si="28"/>
        <v>#N/A</v>
      </c>
      <c r="T391" s="1313" t="e">
        <v>#N/A</v>
      </c>
      <c r="U391" s="225" t="e">
        <v>#N/A</v>
      </c>
      <c r="V391" s="1313" t="e">
        <v>#N/A</v>
      </c>
      <c r="W391" s="169" t="e">
        <v>#N/A</v>
      </c>
      <c r="X391" s="2106" t="e">
        <f t="shared" si="38"/>
        <v>#N/A</v>
      </c>
      <c r="Y391" s="254" t="e">
        <v>#N/A</v>
      </c>
    </row>
    <row r="392" spans="1:25">
      <c r="A392" s="63">
        <f t="shared" si="29"/>
        <v>2028.11</v>
      </c>
      <c r="B392" s="169" t="e">
        <v>#N/A</v>
      </c>
      <c r="C392" s="886" t="e">
        <f t="shared" si="36"/>
        <v>#N/A</v>
      </c>
      <c r="D392" s="3162" t="e">
        <v>#N/A</v>
      </c>
      <c r="E392" s="180" t="e">
        <v>#N/A</v>
      </c>
      <c r="F392" s="3162" t="e">
        <v>#N/A</v>
      </c>
      <c r="G392" s="180" t="e">
        <v>#N/A</v>
      </c>
      <c r="H392" s="3162" t="e">
        <v>#N/A</v>
      </c>
      <c r="I392" s="180" t="e">
        <v>#N/A</v>
      </c>
      <c r="J392" s="3162" t="e">
        <v>#N/A</v>
      </c>
      <c r="K392" s="180" t="e">
        <v>#N/A</v>
      </c>
      <c r="L392" s="3162" t="e">
        <v>#N/A</v>
      </c>
      <c r="M392" s="180" t="e">
        <v>#N/A</v>
      </c>
      <c r="N392" s="2095" t="e">
        <v>#N/A</v>
      </c>
      <c r="O392" s="2107" t="e">
        <v>#N/A</v>
      </c>
      <c r="P392" s="2097" t="e">
        <v>#N/A</v>
      </c>
      <c r="Q392" s="2097" t="e">
        <v>#N/A</v>
      </c>
      <c r="R392" s="263" t="e">
        <f t="shared" si="37"/>
        <v>#N/A</v>
      </c>
      <c r="S392" s="203" t="e">
        <f t="shared" si="28"/>
        <v>#N/A</v>
      </c>
      <c r="T392" s="1313" t="e">
        <v>#N/A</v>
      </c>
      <c r="U392" s="225" t="e">
        <v>#N/A</v>
      </c>
      <c r="V392" s="1313" t="e">
        <v>#N/A</v>
      </c>
      <c r="W392" s="169" t="e">
        <v>#N/A</v>
      </c>
      <c r="X392" s="2106" t="e">
        <f t="shared" si="38"/>
        <v>#N/A</v>
      </c>
      <c r="Y392" s="254" t="e">
        <v>#N/A</v>
      </c>
    </row>
    <row r="393" spans="1:25">
      <c r="A393" s="63">
        <f t="shared" si="29"/>
        <v>2028.12</v>
      </c>
      <c r="B393" s="169" t="e">
        <v>#N/A</v>
      </c>
      <c r="C393" s="886" t="e">
        <f t="shared" si="36"/>
        <v>#N/A</v>
      </c>
      <c r="D393" s="3162" t="e">
        <v>#N/A</v>
      </c>
      <c r="E393" s="180" t="e">
        <v>#N/A</v>
      </c>
      <c r="F393" s="3162" t="e">
        <v>#N/A</v>
      </c>
      <c r="G393" s="180" t="e">
        <v>#N/A</v>
      </c>
      <c r="H393" s="3162" t="e">
        <v>#N/A</v>
      </c>
      <c r="I393" s="180" t="e">
        <v>#N/A</v>
      </c>
      <c r="J393" s="3162" t="e">
        <v>#N/A</v>
      </c>
      <c r="K393" s="180" t="e">
        <v>#N/A</v>
      </c>
      <c r="L393" s="3162" t="e">
        <v>#N/A</v>
      </c>
      <c r="M393" s="180" t="e">
        <v>#N/A</v>
      </c>
      <c r="N393" s="2095" t="e">
        <v>#N/A</v>
      </c>
      <c r="O393" s="2107" t="e">
        <v>#N/A</v>
      </c>
      <c r="P393" s="2097" t="e">
        <v>#N/A</v>
      </c>
      <c r="Q393" s="2097" t="e">
        <v>#N/A</v>
      </c>
      <c r="R393" s="263" t="e">
        <f t="shared" si="37"/>
        <v>#N/A</v>
      </c>
      <c r="S393" s="203" t="e">
        <f t="shared" si="28"/>
        <v>#N/A</v>
      </c>
      <c r="T393" s="1313" t="e">
        <v>#N/A</v>
      </c>
      <c r="U393" s="225" t="e">
        <v>#N/A</v>
      </c>
      <c r="V393" s="1313" t="e">
        <v>#N/A</v>
      </c>
      <c r="W393" s="169" t="e">
        <v>#N/A</v>
      </c>
      <c r="X393" s="2106" t="e">
        <f t="shared" si="38"/>
        <v>#N/A</v>
      </c>
      <c r="Y393" s="254" t="e">
        <v>#N/A</v>
      </c>
    </row>
    <row r="394" spans="1:25">
      <c r="A394" s="63">
        <f t="shared" si="29"/>
        <v>2029.01</v>
      </c>
      <c r="B394" s="169" t="e">
        <v>#N/A</v>
      </c>
      <c r="C394" s="886" t="e">
        <f t="shared" si="36"/>
        <v>#N/A</v>
      </c>
      <c r="D394" s="3162" t="e">
        <v>#N/A</v>
      </c>
      <c r="E394" s="180" t="e">
        <v>#N/A</v>
      </c>
      <c r="F394" s="3162" t="e">
        <v>#N/A</v>
      </c>
      <c r="G394" s="180" t="e">
        <v>#N/A</v>
      </c>
      <c r="H394" s="3162" t="e">
        <v>#N/A</v>
      </c>
      <c r="I394" s="180" t="e">
        <v>#N/A</v>
      </c>
      <c r="J394" s="3162" t="e">
        <v>#N/A</v>
      </c>
      <c r="K394" s="180" t="e">
        <v>#N/A</v>
      </c>
      <c r="L394" s="3162" t="e">
        <v>#N/A</v>
      </c>
      <c r="M394" s="180" t="e">
        <v>#N/A</v>
      </c>
      <c r="N394" s="2095" t="e">
        <v>#N/A</v>
      </c>
      <c r="O394" s="2107" t="e">
        <v>#N/A</v>
      </c>
      <c r="P394" s="2097" t="e">
        <v>#N/A</v>
      </c>
      <c r="Q394" s="2097" t="e">
        <v>#N/A</v>
      </c>
      <c r="R394" s="263" t="e">
        <f t="shared" si="37"/>
        <v>#N/A</v>
      </c>
      <c r="S394" s="203" t="e">
        <f t="shared" si="28"/>
        <v>#N/A</v>
      </c>
      <c r="T394" s="1313" t="e">
        <v>#N/A</v>
      </c>
      <c r="U394" s="225" t="e">
        <v>#N/A</v>
      </c>
      <c r="V394" s="1313" t="e">
        <v>#N/A</v>
      </c>
      <c r="W394" s="169" t="e">
        <v>#N/A</v>
      </c>
      <c r="X394" s="2106" t="e">
        <f t="shared" si="38"/>
        <v>#N/A</v>
      </c>
      <c r="Y394" s="254" t="e">
        <v>#N/A</v>
      </c>
    </row>
    <row r="395" spans="1:25">
      <c r="A395" s="63">
        <f t="shared" si="29"/>
        <v>2029.02</v>
      </c>
      <c r="B395" s="169" t="e">
        <v>#N/A</v>
      </c>
      <c r="C395" s="886" t="e">
        <f t="shared" si="36"/>
        <v>#N/A</v>
      </c>
      <c r="D395" s="3162" t="e">
        <v>#N/A</v>
      </c>
      <c r="E395" s="180" t="e">
        <v>#N/A</v>
      </c>
      <c r="F395" s="3162" t="e">
        <v>#N/A</v>
      </c>
      <c r="G395" s="180" t="e">
        <v>#N/A</v>
      </c>
      <c r="H395" s="3162" t="e">
        <v>#N/A</v>
      </c>
      <c r="I395" s="180" t="e">
        <v>#N/A</v>
      </c>
      <c r="J395" s="3162" t="e">
        <v>#N/A</v>
      </c>
      <c r="K395" s="180" t="e">
        <v>#N/A</v>
      </c>
      <c r="L395" s="3162" t="e">
        <v>#N/A</v>
      </c>
      <c r="M395" s="180" t="e">
        <v>#N/A</v>
      </c>
      <c r="N395" s="2095" t="e">
        <v>#N/A</v>
      </c>
      <c r="O395" s="2107" t="e">
        <v>#N/A</v>
      </c>
      <c r="P395" s="2097" t="e">
        <v>#N/A</v>
      </c>
      <c r="Q395" s="2097" t="e">
        <v>#N/A</v>
      </c>
      <c r="R395" s="263" t="e">
        <f t="shared" si="37"/>
        <v>#N/A</v>
      </c>
      <c r="S395" s="203" t="e">
        <f t="shared" ref="S395:S417" si="39">$B395/Q395*1000</f>
        <v>#N/A</v>
      </c>
      <c r="T395" s="1313" t="e">
        <v>#N/A</v>
      </c>
      <c r="U395" s="225" t="e">
        <v>#N/A</v>
      </c>
      <c r="V395" s="1313" t="e">
        <v>#N/A</v>
      </c>
      <c r="W395" s="169" t="e">
        <v>#N/A</v>
      </c>
      <c r="X395" s="2106" t="e">
        <f t="shared" si="38"/>
        <v>#N/A</v>
      </c>
      <c r="Y395" s="254" t="e">
        <v>#N/A</v>
      </c>
    </row>
    <row r="396" spans="1:25">
      <c r="A396" s="63">
        <f t="shared" si="29"/>
        <v>2029.03</v>
      </c>
      <c r="B396" s="169" t="e">
        <v>#N/A</v>
      </c>
      <c r="C396" s="886" t="e">
        <f t="shared" si="36"/>
        <v>#N/A</v>
      </c>
      <c r="D396" s="3162" t="e">
        <v>#N/A</v>
      </c>
      <c r="E396" s="180" t="e">
        <v>#N/A</v>
      </c>
      <c r="F396" s="3162" t="e">
        <v>#N/A</v>
      </c>
      <c r="G396" s="180" t="e">
        <v>#N/A</v>
      </c>
      <c r="H396" s="3162" t="e">
        <v>#N/A</v>
      </c>
      <c r="I396" s="180" t="e">
        <v>#N/A</v>
      </c>
      <c r="J396" s="3162" t="e">
        <v>#N/A</v>
      </c>
      <c r="K396" s="180" t="e">
        <v>#N/A</v>
      </c>
      <c r="L396" s="3162" t="e">
        <v>#N/A</v>
      </c>
      <c r="M396" s="180" t="e">
        <v>#N/A</v>
      </c>
      <c r="N396" s="2095" t="e">
        <v>#N/A</v>
      </c>
      <c r="O396" s="2107" t="e">
        <v>#N/A</v>
      </c>
      <c r="P396" s="2097" t="e">
        <v>#N/A</v>
      </c>
      <c r="Q396" s="2097" t="e">
        <v>#N/A</v>
      </c>
      <c r="R396" s="263" t="e">
        <f t="shared" si="37"/>
        <v>#N/A</v>
      </c>
      <c r="S396" s="203" t="e">
        <f t="shared" si="39"/>
        <v>#N/A</v>
      </c>
      <c r="T396" s="1313" t="e">
        <v>#N/A</v>
      </c>
      <c r="U396" s="225" t="e">
        <v>#N/A</v>
      </c>
      <c r="V396" s="1313" t="e">
        <v>#N/A</v>
      </c>
      <c r="W396" s="169" t="e">
        <v>#N/A</v>
      </c>
      <c r="X396" s="2106" t="e">
        <f t="shared" si="38"/>
        <v>#N/A</v>
      </c>
      <c r="Y396" s="254" t="e">
        <v>#N/A</v>
      </c>
    </row>
    <row r="397" spans="1:25">
      <c r="A397" s="63">
        <f t="shared" si="29"/>
        <v>2029.04</v>
      </c>
      <c r="B397" s="169" t="e">
        <v>#N/A</v>
      </c>
      <c r="C397" s="886" t="e">
        <f t="shared" si="36"/>
        <v>#N/A</v>
      </c>
      <c r="D397" s="3162" t="e">
        <v>#N/A</v>
      </c>
      <c r="E397" s="180" t="e">
        <v>#N/A</v>
      </c>
      <c r="F397" s="3162" t="e">
        <v>#N/A</v>
      </c>
      <c r="G397" s="180" t="e">
        <v>#N/A</v>
      </c>
      <c r="H397" s="3162" t="e">
        <v>#N/A</v>
      </c>
      <c r="I397" s="180" t="e">
        <v>#N/A</v>
      </c>
      <c r="J397" s="3162" t="e">
        <v>#N/A</v>
      </c>
      <c r="K397" s="180" t="e">
        <v>#N/A</v>
      </c>
      <c r="L397" s="3162" t="e">
        <v>#N/A</v>
      </c>
      <c r="M397" s="180" t="e">
        <v>#N/A</v>
      </c>
      <c r="N397" s="2095" t="e">
        <v>#N/A</v>
      </c>
      <c r="O397" s="2107" t="e">
        <v>#N/A</v>
      </c>
      <c r="P397" s="2097" t="e">
        <v>#N/A</v>
      </c>
      <c r="Q397" s="2097" t="e">
        <v>#N/A</v>
      </c>
      <c r="R397" s="263" t="e">
        <f t="shared" si="37"/>
        <v>#N/A</v>
      </c>
      <c r="S397" s="203" t="e">
        <f t="shared" si="39"/>
        <v>#N/A</v>
      </c>
      <c r="T397" s="1313" t="e">
        <v>#N/A</v>
      </c>
      <c r="U397" s="225" t="e">
        <v>#N/A</v>
      </c>
      <c r="V397" s="1313" t="e">
        <v>#N/A</v>
      </c>
      <c r="W397" s="169" t="e">
        <v>#N/A</v>
      </c>
      <c r="X397" s="2106" t="e">
        <f t="shared" si="38"/>
        <v>#N/A</v>
      </c>
      <c r="Y397" s="254" t="e">
        <v>#N/A</v>
      </c>
    </row>
    <row r="398" spans="1:25">
      <c r="A398" s="63">
        <f t="shared" ref="A398:A417" si="40">A386+1</f>
        <v>2029.05</v>
      </c>
      <c r="B398" s="169" t="e">
        <v>#N/A</v>
      </c>
      <c r="C398" s="886" t="e">
        <f t="shared" si="36"/>
        <v>#N/A</v>
      </c>
      <c r="D398" s="3162" t="e">
        <v>#N/A</v>
      </c>
      <c r="E398" s="180" t="e">
        <v>#N/A</v>
      </c>
      <c r="F398" s="3162" t="e">
        <v>#N/A</v>
      </c>
      <c r="G398" s="180" t="e">
        <v>#N/A</v>
      </c>
      <c r="H398" s="3162" t="e">
        <v>#N/A</v>
      </c>
      <c r="I398" s="180" t="e">
        <v>#N/A</v>
      </c>
      <c r="J398" s="3162" t="e">
        <v>#N/A</v>
      </c>
      <c r="K398" s="180" t="e">
        <v>#N/A</v>
      </c>
      <c r="L398" s="3162" t="e">
        <v>#N/A</v>
      </c>
      <c r="M398" s="180" t="e">
        <v>#N/A</v>
      </c>
      <c r="N398" s="2095" t="e">
        <v>#N/A</v>
      </c>
      <c r="O398" s="2107" t="e">
        <v>#N/A</v>
      </c>
      <c r="P398" s="2097" t="e">
        <v>#N/A</v>
      </c>
      <c r="Q398" s="2097" t="e">
        <v>#N/A</v>
      </c>
      <c r="R398" s="263" t="e">
        <f t="shared" si="37"/>
        <v>#N/A</v>
      </c>
      <c r="S398" s="203" t="e">
        <f t="shared" si="39"/>
        <v>#N/A</v>
      </c>
      <c r="T398" s="1313" t="e">
        <v>#N/A</v>
      </c>
      <c r="U398" s="225" t="e">
        <v>#N/A</v>
      </c>
      <c r="V398" s="1313" t="e">
        <v>#N/A</v>
      </c>
      <c r="W398" s="169" t="e">
        <v>#N/A</v>
      </c>
      <c r="X398" s="2106" t="e">
        <f t="shared" si="38"/>
        <v>#N/A</v>
      </c>
      <c r="Y398" s="254" t="e">
        <v>#N/A</v>
      </c>
    </row>
    <row r="399" spans="1:25">
      <c r="A399" s="63">
        <f t="shared" si="40"/>
        <v>2029.06</v>
      </c>
      <c r="B399" s="169" t="e">
        <v>#N/A</v>
      </c>
      <c r="C399" s="886" t="e">
        <f t="shared" si="36"/>
        <v>#N/A</v>
      </c>
      <c r="D399" s="3162" t="e">
        <v>#N/A</v>
      </c>
      <c r="E399" s="180" t="e">
        <v>#N/A</v>
      </c>
      <c r="F399" s="3162" t="e">
        <v>#N/A</v>
      </c>
      <c r="G399" s="180" t="e">
        <v>#N/A</v>
      </c>
      <c r="H399" s="3162" t="e">
        <v>#N/A</v>
      </c>
      <c r="I399" s="180" t="e">
        <v>#N/A</v>
      </c>
      <c r="J399" s="3162" t="e">
        <v>#N/A</v>
      </c>
      <c r="K399" s="180" t="e">
        <v>#N/A</v>
      </c>
      <c r="L399" s="3162" t="e">
        <v>#N/A</v>
      </c>
      <c r="M399" s="180" t="e">
        <v>#N/A</v>
      </c>
      <c r="N399" s="2095" t="e">
        <v>#N/A</v>
      </c>
      <c r="O399" s="2107" t="e">
        <v>#N/A</v>
      </c>
      <c r="P399" s="2097" t="e">
        <v>#N/A</v>
      </c>
      <c r="Q399" s="2097" t="e">
        <v>#N/A</v>
      </c>
      <c r="R399" s="263" t="e">
        <f t="shared" si="37"/>
        <v>#N/A</v>
      </c>
      <c r="S399" s="203" t="e">
        <f t="shared" si="39"/>
        <v>#N/A</v>
      </c>
      <c r="T399" s="1313" t="e">
        <v>#N/A</v>
      </c>
      <c r="U399" s="225" t="e">
        <v>#N/A</v>
      </c>
      <c r="V399" s="1313" t="e">
        <v>#N/A</v>
      </c>
      <c r="W399" s="169" t="e">
        <v>#N/A</v>
      </c>
      <c r="X399" s="2106" t="e">
        <f t="shared" si="38"/>
        <v>#N/A</v>
      </c>
      <c r="Y399" s="254" t="e">
        <v>#N/A</v>
      </c>
    </row>
    <row r="400" spans="1:25">
      <c r="A400" s="63">
        <f t="shared" si="40"/>
        <v>2029.07</v>
      </c>
      <c r="B400" s="169" t="e">
        <v>#N/A</v>
      </c>
      <c r="C400" s="886" t="e">
        <f t="shared" si="36"/>
        <v>#N/A</v>
      </c>
      <c r="D400" s="3162" t="e">
        <v>#N/A</v>
      </c>
      <c r="E400" s="180" t="e">
        <v>#N/A</v>
      </c>
      <c r="F400" s="3162" t="e">
        <v>#N/A</v>
      </c>
      <c r="G400" s="180" t="e">
        <v>#N/A</v>
      </c>
      <c r="H400" s="3162" t="e">
        <v>#N/A</v>
      </c>
      <c r="I400" s="180" t="e">
        <v>#N/A</v>
      </c>
      <c r="J400" s="3162" t="e">
        <v>#N/A</v>
      </c>
      <c r="K400" s="180" t="e">
        <v>#N/A</v>
      </c>
      <c r="L400" s="3162" t="e">
        <v>#N/A</v>
      </c>
      <c r="M400" s="180" t="e">
        <v>#N/A</v>
      </c>
      <c r="N400" s="2095" t="e">
        <v>#N/A</v>
      </c>
      <c r="O400" s="2107" t="e">
        <v>#N/A</v>
      </c>
      <c r="P400" s="2097" t="e">
        <v>#N/A</v>
      </c>
      <c r="Q400" s="2097" t="e">
        <v>#N/A</v>
      </c>
      <c r="R400" s="263" t="e">
        <f t="shared" si="37"/>
        <v>#N/A</v>
      </c>
      <c r="S400" s="203" t="e">
        <f t="shared" si="39"/>
        <v>#N/A</v>
      </c>
      <c r="T400" s="1313" t="e">
        <v>#N/A</v>
      </c>
      <c r="U400" s="225" t="e">
        <v>#N/A</v>
      </c>
      <c r="V400" s="1313" t="e">
        <v>#N/A</v>
      </c>
      <c r="W400" s="169" t="e">
        <v>#N/A</v>
      </c>
      <c r="X400" s="2106" t="e">
        <f t="shared" si="38"/>
        <v>#N/A</v>
      </c>
      <c r="Y400" s="254" t="e">
        <v>#N/A</v>
      </c>
    </row>
    <row r="401" spans="1:25">
      <c r="A401" s="63">
        <f t="shared" si="40"/>
        <v>2029.08</v>
      </c>
      <c r="B401" s="169" t="e">
        <v>#N/A</v>
      </c>
      <c r="C401" s="886" t="e">
        <f t="shared" si="36"/>
        <v>#N/A</v>
      </c>
      <c r="D401" s="3162" t="e">
        <v>#N/A</v>
      </c>
      <c r="E401" s="180" t="e">
        <v>#N/A</v>
      </c>
      <c r="F401" s="3162" t="e">
        <v>#N/A</v>
      </c>
      <c r="G401" s="180" t="e">
        <v>#N/A</v>
      </c>
      <c r="H401" s="3162" t="e">
        <v>#N/A</v>
      </c>
      <c r="I401" s="180" t="e">
        <v>#N/A</v>
      </c>
      <c r="J401" s="3162" t="e">
        <v>#N/A</v>
      </c>
      <c r="K401" s="180" t="e">
        <v>#N/A</v>
      </c>
      <c r="L401" s="3162" t="e">
        <v>#N/A</v>
      </c>
      <c r="M401" s="180" t="e">
        <v>#N/A</v>
      </c>
      <c r="N401" s="2095" t="e">
        <v>#N/A</v>
      </c>
      <c r="O401" s="2107" t="e">
        <v>#N/A</v>
      </c>
      <c r="P401" s="2097" t="e">
        <v>#N/A</v>
      </c>
      <c r="Q401" s="2097" t="e">
        <v>#N/A</v>
      </c>
      <c r="R401" s="263" t="e">
        <f t="shared" si="37"/>
        <v>#N/A</v>
      </c>
      <c r="S401" s="203" t="e">
        <f t="shared" si="39"/>
        <v>#N/A</v>
      </c>
      <c r="T401" s="1313" t="e">
        <v>#N/A</v>
      </c>
      <c r="U401" s="225" t="e">
        <v>#N/A</v>
      </c>
      <c r="V401" s="1313" t="e">
        <v>#N/A</v>
      </c>
      <c r="W401" s="169" t="e">
        <v>#N/A</v>
      </c>
      <c r="X401" s="2106" t="e">
        <f t="shared" si="38"/>
        <v>#N/A</v>
      </c>
      <c r="Y401" s="254" t="e">
        <v>#N/A</v>
      </c>
    </row>
    <row r="402" spans="1:25">
      <c r="A402" s="63">
        <f t="shared" si="40"/>
        <v>2029.09</v>
      </c>
      <c r="B402" s="169" t="e">
        <v>#N/A</v>
      </c>
      <c r="C402" s="886" t="e">
        <f t="shared" si="36"/>
        <v>#N/A</v>
      </c>
      <c r="D402" s="3162" t="e">
        <v>#N/A</v>
      </c>
      <c r="E402" s="180" t="e">
        <v>#N/A</v>
      </c>
      <c r="F402" s="3162" t="e">
        <v>#N/A</v>
      </c>
      <c r="G402" s="180" t="e">
        <v>#N/A</v>
      </c>
      <c r="H402" s="3162" t="e">
        <v>#N/A</v>
      </c>
      <c r="I402" s="180" t="e">
        <v>#N/A</v>
      </c>
      <c r="J402" s="3162" t="e">
        <v>#N/A</v>
      </c>
      <c r="K402" s="180" t="e">
        <v>#N/A</v>
      </c>
      <c r="L402" s="3162" t="e">
        <v>#N/A</v>
      </c>
      <c r="M402" s="180" t="e">
        <v>#N/A</v>
      </c>
      <c r="N402" s="2095" t="e">
        <v>#N/A</v>
      </c>
      <c r="O402" s="2107" t="e">
        <v>#N/A</v>
      </c>
      <c r="P402" s="2097" t="e">
        <v>#N/A</v>
      </c>
      <c r="Q402" s="2097" t="e">
        <v>#N/A</v>
      </c>
      <c r="R402" s="263" t="e">
        <f t="shared" si="37"/>
        <v>#N/A</v>
      </c>
      <c r="S402" s="203" t="e">
        <f t="shared" si="39"/>
        <v>#N/A</v>
      </c>
      <c r="T402" s="1313" t="e">
        <v>#N/A</v>
      </c>
      <c r="U402" s="225" t="e">
        <v>#N/A</v>
      </c>
      <c r="V402" s="1313" t="e">
        <v>#N/A</v>
      </c>
      <c r="W402" s="169" t="e">
        <v>#N/A</v>
      </c>
      <c r="X402" s="2106" t="e">
        <f t="shared" si="38"/>
        <v>#N/A</v>
      </c>
      <c r="Y402" s="254" t="e">
        <v>#N/A</v>
      </c>
    </row>
    <row r="403" spans="1:25">
      <c r="A403" s="63">
        <f t="shared" si="40"/>
        <v>2029.1</v>
      </c>
      <c r="B403" s="169" t="e">
        <v>#N/A</v>
      </c>
      <c r="C403" s="886" t="e">
        <f t="shared" si="36"/>
        <v>#N/A</v>
      </c>
      <c r="D403" s="3162" t="e">
        <v>#N/A</v>
      </c>
      <c r="E403" s="180" t="e">
        <v>#N/A</v>
      </c>
      <c r="F403" s="3162" t="e">
        <v>#N/A</v>
      </c>
      <c r="G403" s="180" t="e">
        <v>#N/A</v>
      </c>
      <c r="H403" s="3162" t="e">
        <v>#N/A</v>
      </c>
      <c r="I403" s="180" t="e">
        <v>#N/A</v>
      </c>
      <c r="J403" s="3162" t="e">
        <v>#N/A</v>
      </c>
      <c r="K403" s="180" t="e">
        <v>#N/A</v>
      </c>
      <c r="L403" s="3162" t="e">
        <v>#N/A</v>
      </c>
      <c r="M403" s="180" t="e">
        <v>#N/A</v>
      </c>
      <c r="N403" s="2095" t="e">
        <v>#N/A</v>
      </c>
      <c r="O403" s="2107" t="e">
        <v>#N/A</v>
      </c>
      <c r="P403" s="2097" t="e">
        <v>#N/A</v>
      </c>
      <c r="Q403" s="2097" t="e">
        <v>#N/A</v>
      </c>
      <c r="R403" s="263" t="e">
        <f t="shared" si="37"/>
        <v>#N/A</v>
      </c>
      <c r="S403" s="203" t="e">
        <f t="shared" si="39"/>
        <v>#N/A</v>
      </c>
      <c r="T403" s="1313" t="e">
        <v>#N/A</v>
      </c>
      <c r="U403" s="225" t="e">
        <v>#N/A</v>
      </c>
      <c r="V403" s="1313" t="e">
        <v>#N/A</v>
      </c>
      <c r="W403" s="169" t="e">
        <v>#N/A</v>
      </c>
      <c r="X403" s="2106" t="e">
        <f t="shared" si="38"/>
        <v>#N/A</v>
      </c>
      <c r="Y403" s="254" t="e">
        <v>#N/A</v>
      </c>
    </row>
    <row r="404" spans="1:25">
      <c r="A404" s="63">
        <f t="shared" si="40"/>
        <v>2029.11</v>
      </c>
      <c r="B404" s="169" t="e">
        <v>#N/A</v>
      </c>
      <c r="C404" s="886" t="e">
        <f t="shared" si="36"/>
        <v>#N/A</v>
      </c>
      <c r="D404" s="3162" t="e">
        <v>#N/A</v>
      </c>
      <c r="E404" s="180" t="e">
        <v>#N/A</v>
      </c>
      <c r="F404" s="3162" t="e">
        <v>#N/A</v>
      </c>
      <c r="G404" s="180" t="e">
        <v>#N/A</v>
      </c>
      <c r="H404" s="3162" t="e">
        <v>#N/A</v>
      </c>
      <c r="I404" s="180" t="e">
        <v>#N/A</v>
      </c>
      <c r="J404" s="3162" t="e">
        <v>#N/A</v>
      </c>
      <c r="K404" s="180" t="e">
        <v>#N/A</v>
      </c>
      <c r="L404" s="3162" t="e">
        <v>#N/A</v>
      </c>
      <c r="M404" s="180" t="e">
        <v>#N/A</v>
      </c>
      <c r="N404" s="2095" t="e">
        <v>#N/A</v>
      </c>
      <c r="O404" s="2107" t="e">
        <v>#N/A</v>
      </c>
      <c r="P404" s="2097" t="e">
        <v>#N/A</v>
      </c>
      <c r="Q404" s="2097" t="e">
        <v>#N/A</v>
      </c>
      <c r="R404" s="263" t="e">
        <f t="shared" si="37"/>
        <v>#N/A</v>
      </c>
      <c r="S404" s="203" t="e">
        <f t="shared" si="39"/>
        <v>#N/A</v>
      </c>
      <c r="T404" s="1313" t="e">
        <v>#N/A</v>
      </c>
      <c r="U404" s="225" t="e">
        <v>#N/A</v>
      </c>
      <c r="V404" s="1313" t="e">
        <v>#N/A</v>
      </c>
      <c r="W404" s="169" t="e">
        <v>#N/A</v>
      </c>
      <c r="X404" s="2106" t="e">
        <f t="shared" si="38"/>
        <v>#N/A</v>
      </c>
      <c r="Y404" s="254" t="e">
        <v>#N/A</v>
      </c>
    </row>
    <row r="405" spans="1:25">
      <c r="A405" s="63">
        <f t="shared" si="40"/>
        <v>2029.12</v>
      </c>
      <c r="B405" s="169" t="e">
        <v>#N/A</v>
      </c>
      <c r="C405" s="886" t="e">
        <f t="shared" ref="C405:C417" si="41">SUM(D405:J405)</f>
        <v>#N/A</v>
      </c>
      <c r="D405" s="3162" t="e">
        <v>#N/A</v>
      </c>
      <c r="E405" s="180" t="e">
        <v>#N/A</v>
      </c>
      <c r="F405" s="3162" t="e">
        <v>#N/A</v>
      </c>
      <c r="G405" s="180" t="e">
        <v>#N/A</v>
      </c>
      <c r="H405" s="3162" t="e">
        <v>#N/A</v>
      </c>
      <c r="I405" s="180" t="e">
        <v>#N/A</v>
      </c>
      <c r="J405" s="3162" t="e">
        <v>#N/A</v>
      </c>
      <c r="K405" s="180" t="e">
        <v>#N/A</v>
      </c>
      <c r="L405" s="3162" t="e">
        <v>#N/A</v>
      </c>
      <c r="M405" s="180" t="e">
        <v>#N/A</v>
      </c>
      <c r="N405" s="2095" t="e">
        <v>#N/A</v>
      </c>
      <c r="O405" s="2107" t="e">
        <v>#N/A</v>
      </c>
      <c r="P405" s="2097" t="e">
        <v>#N/A</v>
      </c>
      <c r="Q405" s="2097" t="e">
        <v>#N/A</v>
      </c>
      <c r="R405" s="263" t="e">
        <f t="shared" ref="R405:R417" si="42">$B405/P405*1000</f>
        <v>#N/A</v>
      </c>
      <c r="S405" s="203" t="e">
        <f t="shared" si="39"/>
        <v>#N/A</v>
      </c>
      <c r="T405" s="1313" t="e">
        <v>#N/A</v>
      </c>
      <c r="U405" s="225" t="e">
        <v>#N/A</v>
      </c>
      <c r="V405" s="1313" t="e">
        <v>#N/A</v>
      </c>
      <c r="W405" s="169" t="e">
        <v>#N/A</v>
      </c>
      <c r="X405" s="2106" t="e">
        <f t="shared" ref="X405:X417" si="43">V405+W405</f>
        <v>#N/A</v>
      </c>
      <c r="Y405" s="254" t="e">
        <v>#N/A</v>
      </c>
    </row>
    <row r="406" spans="1:25">
      <c r="A406" s="63">
        <f t="shared" si="40"/>
        <v>2030.01</v>
      </c>
      <c r="B406" s="169" t="e">
        <v>#N/A</v>
      </c>
      <c r="C406" s="886" t="e">
        <f t="shared" si="41"/>
        <v>#N/A</v>
      </c>
      <c r="D406" s="3162" t="e">
        <v>#N/A</v>
      </c>
      <c r="E406" s="180" t="e">
        <v>#N/A</v>
      </c>
      <c r="F406" s="3162" t="e">
        <v>#N/A</v>
      </c>
      <c r="G406" s="180" t="e">
        <v>#N/A</v>
      </c>
      <c r="H406" s="3162" t="e">
        <v>#N/A</v>
      </c>
      <c r="I406" s="180" t="e">
        <v>#N/A</v>
      </c>
      <c r="J406" s="3162" t="e">
        <v>#N/A</v>
      </c>
      <c r="K406" s="180" t="e">
        <v>#N/A</v>
      </c>
      <c r="L406" s="3162" t="e">
        <v>#N/A</v>
      </c>
      <c r="M406" s="180" t="e">
        <v>#N/A</v>
      </c>
      <c r="N406" s="2095" t="e">
        <v>#N/A</v>
      </c>
      <c r="O406" s="2107" t="e">
        <v>#N/A</v>
      </c>
      <c r="P406" s="2097" t="e">
        <v>#N/A</v>
      </c>
      <c r="Q406" s="2097" t="e">
        <v>#N/A</v>
      </c>
      <c r="R406" s="263" t="e">
        <f t="shared" si="42"/>
        <v>#N/A</v>
      </c>
      <c r="S406" s="203" t="e">
        <f t="shared" si="39"/>
        <v>#N/A</v>
      </c>
      <c r="T406" s="1313" t="e">
        <v>#N/A</v>
      </c>
      <c r="U406" s="225" t="e">
        <v>#N/A</v>
      </c>
      <c r="V406" s="1313" t="e">
        <v>#N/A</v>
      </c>
      <c r="W406" s="169" t="e">
        <v>#N/A</v>
      </c>
      <c r="X406" s="2106" t="e">
        <f t="shared" si="43"/>
        <v>#N/A</v>
      </c>
      <c r="Y406" s="254" t="e">
        <v>#N/A</v>
      </c>
    </row>
    <row r="407" spans="1:25">
      <c r="A407" s="63">
        <f t="shared" si="40"/>
        <v>2030.02</v>
      </c>
      <c r="B407" s="169" t="e">
        <v>#N/A</v>
      </c>
      <c r="C407" s="886" t="e">
        <f t="shared" si="41"/>
        <v>#N/A</v>
      </c>
      <c r="D407" s="3162" t="e">
        <v>#N/A</v>
      </c>
      <c r="E407" s="180" t="e">
        <v>#N/A</v>
      </c>
      <c r="F407" s="3162" t="e">
        <v>#N/A</v>
      </c>
      <c r="G407" s="180" t="e">
        <v>#N/A</v>
      </c>
      <c r="H407" s="3162" t="e">
        <v>#N/A</v>
      </c>
      <c r="I407" s="180" t="e">
        <v>#N/A</v>
      </c>
      <c r="J407" s="3162" t="e">
        <v>#N/A</v>
      </c>
      <c r="K407" s="180" t="e">
        <v>#N/A</v>
      </c>
      <c r="L407" s="3162" t="e">
        <v>#N/A</v>
      </c>
      <c r="M407" s="180" t="e">
        <v>#N/A</v>
      </c>
      <c r="N407" s="2095" t="e">
        <v>#N/A</v>
      </c>
      <c r="O407" s="2107" t="e">
        <v>#N/A</v>
      </c>
      <c r="P407" s="2097" t="e">
        <v>#N/A</v>
      </c>
      <c r="Q407" s="2097" t="e">
        <v>#N/A</v>
      </c>
      <c r="R407" s="263" t="e">
        <f t="shared" si="42"/>
        <v>#N/A</v>
      </c>
      <c r="S407" s="203" t="e">
        <f t="shared" si="39"/>
        <v>#N/A</v>
      </c>
      <c r="T407" s="1313" t="e">
        <v>#N/A</v>
      </c>
      <c r="U407" s="225" t="e">
        <v>#N/A</v>
      </c>
      <c r="V407" s="1313" t="e">
        <v>#N/A</v>
      </c>
      <c r="W407" s="169" t="e">
        <v>#N/A</v>
      </c>
      <c r="X407" s="2106" t="e">
        <f t="shared" si="43"/>
        <v>#N/A</v>
      </c>
      <c r="Y407" s="254" t="e">
        <v>#N/A</v>
      </c>
    </row>
    <row r="408" spans="1:25">
      <c r="A408" s="63">
        <f t="shared" si="40"/>
        <v>2030.03</v>
      </c>
      <c r="B408" s="169" t="e">
        <v>#N/A</v>
      </c>
      <c r="C408" s="886" t="e">
        <f t="shared" si="41"/>
        <v>#N/A</v>
      </c>
      <c r="D408" s="3162" t="e">
        <v>#N/A</v>
      </c>
      <c r="E408" s="180" t="e">
        <v>#N/A</v>
      </c>
      <c r="F408" s="3162" t="e">
        <v>#N/A</v>
      </c>
      <c r="G408" s="180" t="e">
        <v>#N/A</v>
      </c>
      <c r="H408" s="3162" t="e">
        <v>#N/A</v>
      </c>
      <c r="I408" s="180" t="e">
        <v>#N/A</v>
      </c>
      <c r="J408" s="3162" t="e">
        <v>#N/A</v>
      </c>
      <c r="K408" s="180" t="e">
        <v>#N/A</v>
      </c>
      <c r="L408" s="3162" t="e">
        <v>#N/A</v>
      </c>
      <c r="M408" s="180" t="e">
        <v>#N/A</v>
      </c>
      <c r="N408" s="2095" t="e">
        <v>#N/A</v>
      </c>
      <c r="O408" s="2107" t="e">
        <v>#N/A</v>
      </c>
      <c r="P408" s="2097" t="e">
        <v>#N/A</v>
      </c>
      <c r="Q408" s="2097" t="e">
        <v>#N/A</v>
      </c>
      <c r="R408" s="263" t="e">
        <f t="shared" si="42"/>
        <v>#N/A</v>
      </c>
      <c r="S408" s="203" t="e">
        <f t="shared" si="39"/>
        <v>#N/A</v>
      </c>
      <c r="T408" s="1313" t="e">
        <v>#N/A</v>
      </c>
      <c r="U408" s="225" t="e">
        <v>#N/A</v>
      </c>
      <c r="V408" s="1313" t="e">
        <v>#N/A</v>
      </c>
      <c r="W408" s="169" t="e">
        <v>#N/A</v>
      </c>
      <c r="X408" s="2106" t="e">
        <f t="shared" si="43"/>
        <v>#N/A</v>
      </c>
      <c r="Y408" s="254" t="e">
        <v>#N/A</v>
      </c>
    </row>
    <row r="409" spans="1:25">
      <c r="A409" s="63">
        <f t="shared" si="40"/>
        <v>2030.04</v>
      </c>
      <c r="B409" s="169" t="e">
        <v>#N/A</v>
      </c>
      <c r="C409" s="886" t="e">
        <f t="shared" si="41"/>
        <v>#N/A</v>
      </c>
      <c r="D409" s="3162" t="e">
        <v>#N/A</v>
      </c>
      <c r="E409" s="180" t="e">
        <v>#N/A</v>
      </c>
      <c r="F409" s="3162" t="e">
        <v>#N/A</v>
      </c>
      <c r="G409" s="180" t="e">
        <v>#N/A</v>
      </c>
      <c r="H409" s="3162" t="e">
        <v>#N/A</v>
      </c>
      <c r="I409" s="180" t="e">
        <v>#N/A</v>
      </c>
      <c r="J409" s="3162" t="e">
        <v>#N/A</v>
      </c>
      <c r="K409" s="180" t="e">
        <v>#N/A</v>
      </c>
      <c r="L409" s="3162" t="e">
        <v>#N/A</v>
      </c>
      <c r="M409" s="180" t="e">
        <v>#N/A</v>
      </c>
      <c r="N409" s="2095" t="e">
        <v>#N/A</v>
      </c>
      <c r="O409" s="2107" t="e">
        <v>#N/A</v>
      </c>
      <c r="P409" s="2097" t="e">
        <v>#N/A</v>
      </c>
      <c r="Q409" s="2097" t="e">
        <v>#N/A</v>
      </c>
      <c r="R409" s="263" t="e">
        <f t="shared" si="42"/>
        <v>#N/A</v>
      </c>
      <c r="S409" s="203" t="e">
        <f t="shared" si="39"/>
        <v>#N/A</v>
      </c>
      <c r="T409" s="1313" t="e">
        <v>#N/A</v>
      </c>
      <c r="U409" s="225" t="e">
        <v>#N/A</v>
      </c>
      <c r="V409" s="1313" t="e">
        <v>#N/A</v>
      </c>
      <c r="W409" s="169" t="e">
        <v>#N/A</v>
      </c>
      <c r="X409" s="2106" t="e">
        <f t="shared" si="43"/>
        <v>#N/A</v>
      </c>
      <c r="Y409" s="254" t="e">
        <v>#N/A</v>
      </c>
    </row>
    <row r="410" spans="1:25">
      <c r="A410" s="63">
        <f t="shared" si="40"/>
        <v>2030.05</v>
      </c>
      <c r="B410" s="169" t="e">
        <v>#N/A</v>
      </c>
      <c r="C410" s="886" t="e">
        <f t="shared" si="41"/>
        <v>#N/A</v>
      </c>
      <c r="D410" s="3162" t="e">
        <v>#N/A</v>
      </c>
      <c r="E410" s="180" t="e">
        <v>#N/A</v>
      </c>
      <c r="F410" s="3162" t="e">
        <v>#N/A</v>
      </c>
      <c r="G410" s="180" t="e">
        <v>#N/A</v>
      </c>
      <c r="H410" s="3162" t="e">
        <v>#N/A</v>
      </c>
      <c r="I410" s="180" t="e">
        <v>#N/A</v>
      </c>
      <c r="J410" s="3162" t="e">
        <v>#N/A</v>
      </c>
      <c r="K410" s="180" t="e">
        <v>#N/A</v>
      </c>
      <c r="L410" s="3162" t="e">
        <v>#N/A</v>
      </c>
      <c r="M410" s="180" t="e">
        <v>#N/A</v>
      </c>
      <c r="N410" s="2095" t="e">
        <v>#N/A</v>
      </c>
      <c r="O410" s="2107" t="e">
        <v>#N/A</v>
      </c>
      <c r="P410" s="2097" t="e">
        <v>#N/A</v>
      </c>
      <c r="Q410" s="2097" t="e">
        <v>#N/A</v>
      </c>
      <c r="R410" s="263" t="e">
        <f t="shared" si="42"/>
        <v>#N/A</v>
      </c>
      <c r="S410" s="203" t="e">
        <f t="shared" si="39"/>
        <v>#N/A</v>
      </c>
      <c r="T410" s="1313" t="e">
        <v>#N/A</v>
      </c>
      <c r="U410" s="225" t="e">
        <v>#N/A</v>
      </c>
      <c r="V410" s="1313" t="e">
        <v>#N/A</v>
      </c>
      <c r="W410" s="169" t="e">
        <v>#N/A</v>
      </c>
      <c r="X410" s="2106" t="e">
        <f t="shared" si="43"/>
        <v>#N/A</v>
      </c>
      <c r="Y410" s="254" t="e">
        <v>#N/A</v>
      </c>
    </row>
    <row r="411" spans="1:25">
      <c r="A411" s="63">
        <f t="shared" si="40"/>
        <v>2030.06</v>
      </c>
      <c r="B411" s="169" t="e">
        <v>#N/A</v>
      </c>
      <c r="C411" s="886" t="e">
        <f t="shared" si="41"/>
        <v>#N/A</v>
      </c>
      <c r="D411" s="3162" t="e">
        <v>#N/A</v>
      </c>
      <c r="E411" s="180" t="e">
        <v>#N/A</v>
      </c>
      <c r="F411" s="3162" t="e">
        <v>#N/A</v>
      </c>
      <c r="G411" s="180" t="e">
        <v>#N/A</v>
      </c>
      <c r="H411" s="3162" t="e">
        <v>#N/A</v>
      </c>
      <c r="I411" s="180" t="e">
        <v>#N/A</v>
      </c>
      <c r="J411" s="3162" t="e">
        <v>#N/A</v>
      </c>
      <c r="K411" s="180" t="e">
        <v>#N/A</v>
      </c>
      <c r="L411" s="3162" t="e">
        <v>#N/A</v>
      </c>
      <c r="M411" s="180" t="e">
        <v>#N/A</v>
      </c>
      <c r="N411" s="2095" t="e">
        <v>#N/A</v>
      </c>
      <c r="O411" s="2107" t="e">
        <v>#N/A</v>
      </c>
      <c r="P411" s="2097" t="e">
        <v>#N/A</v>
      </c>
      <c r="Q411" s="2097" t="e">
        <v>#N/A</v>
      </c>
      <c r="R411" s="263" t="e">
        <f t="shared" si="42"/>
        <v>#N/A</v>
      </c>
      <c r="S411" s="203" t="e">
        <f t="shared" si="39"/>
        <v>#N/A</v>
      </c>
      <c r="T411" s="1313" t="e">
        <v>#N/A</v>
      </c>
      <c r="U411" s="225" t="e">
        <v>#N/A</v>
      </c>
      <c r="V411" s="1313" t="e">
        <v>#N/A</v>
      </c>
      <c r="W411" s="169" t="e">
        <v>#N/A</v>
      </c>
      <c r="X411" s="2106" t="e">
        <f t="shared" si="43"/>
        <v>#N/A</v>
      </c>
      <c r="Y411" s="254" t="e">
        <v>#N/A</v>
      </c>
    </row>
    <row r="412" spans="1:25">
      <c r="A412" s="63">
        <f t="shared" si="40"/>
        <v>2030.07</v>
      </c>
      <c r="B412" s="169" t="e">
        <v>#N/A</v>
      </c>
      <c r="C412" s="886" t="e">
        <f t="shared" si="41"/>
        <v>#N/A</v>
      </c>
      <c r="D412" s="3162" t="e">
        <v>#N/A</v>
      </c>
      <c r="E412" s="180" t="e">
        <v>#N/A</v>
      </c>
      <c r="F412" s="3162" t="e">
        <v>#N/A</v>
      </c>
      <c r="G412" s="180" t="e">
        <v>#N/A</v>
      </c>
      <c r="H412" s="3162" t="e">
        <v>#N/A</v>
      </c>
      <c r="I412" s="180" t="e">
        <v>#N/A</v>
      </c>
      <c r="J412" s="3162" t="e">
        <v>#N/A</v>
      </c>
      <c r="K412" s="180" t="e">
        <v>#N/A</v>
      </c>
      <c r="L412" s="3162" t="e">
        <v>#N/A</v>
      </c>
      <c r="M412" s="180" t="e">
        <v>#N/A</v>
      </c>
      <c r="N412" s="2095" t="e">
        <v>#N/A</v>
      </c>
      <c r="O412" s="2107" t="e">
        <v>#N/A</v>
      </c>
      <c r="P412" s="2097" t="e">
        <v>#N/A</v>
      </c>
      <c r="Q412" s="2097" t="e">
        <v>#N/A</v>
      </c>
      <c r="R412" s="263" t="e">
        <f t="shared" si="42"/>
        <v>#N/A</v>
      </c>
      <c r="S412" s="203" t="e">
        <f t="shared" si="39"/>
        <v>#N/A</v>
      </c>
      <c r="T412" s="1313" t="e">
        <v>#N/A</v>
      </c>
      <c r="U412" s="225" t="e">
        <v>#N/A</v>
      </c>
      <c r="V412" s="1313" t="e">
        <v>#N/A</v>
      </c>
      <c r="W412" s="169" t="e">
        <v>#N/A</v>
      </c>
      <c r="X412" s="2106" t="e">
        <f t="shared" si="43"/>
        <v>#N/A</v>
      </c>
      <c r="Y412" s="254" t="e">
        <v>#N/A</v>
      </c>
    </row>
    <row r="413" spans="1:25">
      <c r="A413" s="63">
        <f t="shared" si="40"/>
        <v>2030.08</v>
      </c>
      <c r="B413" s="169" t="e">
        <v>#N/A</v>
      </c>
      <c r="C413" s="886" t="e">
        <f t="shared" si="41"/>
        <v>#N/A</v>
      </c>
      <c r="D413" s="3162" t="e">
        <v>#N/A</v>
      </c>
      <c r="E413" s="180" t="e">
        <v>#N/A</v>
      </c>
      <c r="F413" s="3162" t="e">
        <v>#N/A</v>
      </c>
      <c r="G413" s="180" t="e">
        <v>#N/A</v>
      </c>
      <c r="H413" s="3162" t="e">
        <v>#N/A</v>
      </c>
      <c r="I413" s="180" t="e">
        <v>#N/A</v>
      </c>
      <c r="J413" s="3162" t="e">
        <v>#N/A</v>
      </c>
      <c r="K413" s="180" t="e">
        <v>#N/A</v>
      </c>
      <c r="L413" s="3162" t="e">
        <v>#N/A</v>
      </c>
      <c r="M413" s="180" t="e">
        <v>#N/A</v>
      </c>
      <c r="N413" s="2095" t="e">
        <v>#N/A</v>
      </c>
      <c r="O413" s="2107" t="e">
        <v>#N/A</v>
      </c>
      <c r="P413" s="2097" t="e">
        <v>#N/A</v>
      </c>
      <c r="Q413" s="2097" t="e">
        <v>#N/A</v>
      </c>
      <c r="R413" s="263" t="e">
        <f t="shared" si="42"/>
        <v>#N/A</v>
      </c>
      <c r="S413" s="203" t="e">
        <f t="shared" si="39"/>
        <v>#N/A</v>
      </c>
      <c r="T413" s="1313" t="e">
        <v>#N/A</v>
      </c>
      <c r="U413" s="225" t="e">
        <v>#N/A</v>
      </c>
      <c r="V413" s="1313" t="e">
        <v>#N/A</v>
      </c>
      <c r="W413" s="169" t="e">
        <v>#N/A</v>
      </c>
      <c r="X413" s="2106" t="e">
        <f t="shared" si="43"/>
        <v>#N/A</v>
      </c>
      <c r="Y413" s="254" t="e">
        <v>#N/A</v>
      </c>
    </row>
    <row r="414" spans="1:25">
      <c r="A414" s="63">
        <f t="shared" si="40"/>
        <v>2030.09</v>
      </c>
      <c r="B414" s="169" t="e">
        <v>#N/A</v>
      </c>
      <c r="C414" s="886" t="e">
        <f t="shared" si="41"/>
        <v>#N/A</v>
      </c>
      <c r="D414" s="3162" t="e">
        <v>#N/A</v>
      </c>
      <c r="E414" s="180" t="e">
        <v>#N/A</v>
      </c>
      <c r="F414" s="3162" t="e">
        <v>#N/A</v>
      </c>
      <c r="G414" s="180" t="e">
        <v>#N/A</v>
      </c>
      <c r="H414" s="3162" t="e">
        <v>#N/A</v>
      </c>
      <c r="I414" s="180" t="e">
        <v>#N/A</v>
      </c>
      <c r="J414" s="3162" t="e">
        <v>#N/A</v>
      </c>
      <c r="K414" s="180" t="e">
        <v>#N/A</v>
      </c>
      <c r="L414" s="3162" t="e">
        <v>#N/A</v>
      </c>
      <c r="M414" s="180" t="e">
        <v>#N/A</v>
      </c>
      <c r="N414" s="2095" t="e">
        <v>#N/A</v>
      </c>
      <c r="O414" s="2107" t="e">
        <v>#N/A</v>
      </c>
      <c r="P414" s="2097" t="e">
        <v>#N/A</v>
      </c>
      <c r="Q414" s="2097" t="e">
        <v>#N/A</v>
      </c>
      <c r="R414" s="263" t="e">
        <f t="shared" si="42"/>
        <v>#N/A</v>
      </c>
      <c r="S414" s="203" t="e">
        <f t="shared" si="39"/>
        <v>#N/A</v>
      </c>
      <c r="T414" s="1313" t="e">
        <v>#N/A</v>
      </c>
      <c r="U414" s="225" t="e">
        <v>#N/A</v>
      </c>
      <c r="V414" s="1313" t="e">
        <v>#N/A</v>
      </c>
      <c r="W414" s="169" t="e">
        <v>#N/A</v>
      </c>
      <c r="X414" s="2106" t="e">
        <f t="shared" si="43"/>
        <v>#N/A</v>
      </c>
      <c r="Y414" s="254" t="e">
        <v>#N/A</v>
      </c>
    </row>
    <row r="415" spans="1:25">
      <c r="A415" s="63">
        <f t="shared" si="40"/>
        <v>2030.1</v>
      </c>
      <c r="B415" s="169" t="e">
        <v>#N/A</v>
      </c>
      <c r="C415" s="886" t="e">
        <f t="shared" si="41"/>
        <v>#N/A</v>
      </c>
      <c r="D415" s="3162" t="e">
        <v>#N/A</v>
      </c>
      <c r="E415" s="180" t="e">
        <v>#N/A</v>
      </c>
      <c r="F415" s="3162" t="e">
        <v>#N/A</v>
      </c>
      <c r="G415" s="180" t="e">
        <v>#N/A</v>
      </c>
      <c r="H415" s="3162" t="e">
        <v>#N/A</v>
      </c>
      <c r="I415" s="180" t="e">
        <v>#N/A</v>
      </c>
      <c r="J415" s="3162" t="e">
        <v>#N/A</v>
      </c>
      <c r="K415" s="180" t="e">
        <v>#N/A</v>
      </c>
      <c r="L415" s="3162" t="e">
        <v>#N/A</v>
      </c>
      <c r="M415" s="180" t="e">
        <v>#N/A</v>
      </c>
      <c r="N415" s="2095" t="e">
        <v>#N/A</v>
      </c>
      <c r="O415" s="2107" t="e">
        <v>#N/A</v>
      </c>
      <c r="P415" s="2097" t="e">
        <v>#N/A</v>
      </c>
      <c r="Q415" s="2097" t="e">
        <v>#N/A</v>
      </c>
      <c r="R415" s="263" t="e">
        <f t="shared" si="42"/>
        <v>#N/A</v>
      </c>
      <c r="S415" s="203" t="e">
        <f t="shared" si="39"/>
        <v>#N/A</v>
      </c>
      <c r="T415" s="1313" t="e">
        <v>#N/A</v>
      </c>
      <c r="U415" s="225" t="e">
        <v>#N/A</v>
      </c>
      <c r="V415" s="1313" t="e">
        <v>#N/A</v>
      </c>
      <c r="W415" s="169" t="e">
        <v>#N/A</v>
      </c>
      <c r="X415" s="2106" t="e">
        <f t="shared" si="43"/>
        <v>#N/A</v>
      </c>
      <c r="Y415" s="254" t="e">
        <v>#N/A</v>
      </c>
    </row>
    <row r="416" spans="1:25">
      <c r="A416" s="63">
        <f t="shared" si="40"/>
        <v>2030.11</v>
      </c>
      <c r="B416" s="169" t="e">
        <v>#N/A</v>
      </c>
      <c r="C416" s="886" t="e">
        <f t="shared" si="41"/>
        <v>#N/A</v>
      </c>
      <c r="D416" s="3162" t="e">
        <v>#N/A</v>
      </c>
      <c r="E416" s="180" t="e">
        <v>#N/A</v>
      </c>
      <c r="F416" s="3162" t="e">
        <v>#N/A</v>
      </c>
      <c r="G416" s="180" t="e">
        <v>#N/A</v>
      </c>
      <c r="H416" s="3162" t="e">
        <v>#N/A</v>
      </c>
      <c r="I416" s="180" t="e">
        <v>#N/A</v>
      </c>
      <c r="J416" s="3162" t="e">
        <v>#N/A</v>
      </c>
      <c r="K416" s="180" t="e">
        <v>#N/A</v>
      </c>
      <c r="L416" s="3162" t="e">
        <v>#N/A</v>
      </c>
      <c r="M416" s="180" t="e">
        <v>#N/A</v>
      </c>
      <c r="N416" s="2095" t="e">
        <v>#N/A</v>
      </c>
      <c r="O416" s="2107" t="e">
        <v>#N/A</v>
      </c>
      <c r="P416" s="2097" t="e">
        <v>#N/A</v>
      </c>
      <c r="Q416" s="2097" t="e">
        <v>#N/A</v>
      </c>
      <c r="R416" s="263" t="e">
        <f t="shared" si="42"/>
        <v>#N/A</v>
      </c>
      <c r="S416" s="203" t="e">
        <f t="shared" si="39"/>
        <v>#N/A</v>
      </c>
      <c r="T416" s="1313" t="e">
        <v>#N/A</v>
      </c>
      <c r="U416" s="225" t="e">
        <v>#N/A</v>
      </c>
      <c r="V416" s="1313" t="e">
        <v>#N/A</v>
      </c>
      <c r="W416" s="169" t="e">
        <v>#N/A</v>
      </c>
      <c r="X416" s="2106" t="e">
        <f t="shared" si="43"/>
        <v>#N/A</v>
      </c>
      <c r="Y416" s="254" t="e">
        <v>#N/A</v>
      </c>
    </row>
    <row r="417" spans="1:25">
      <c r="A417" s="63">
        <f t="shared" si="40"/>
        <v>2030.12</v>
      </c>
      <c r="B417" s="169" t="e">
        <v>#N/A</v>
      </c>
      <c r="C417" s="886" t="e">
        <f t="shared" si="41"/>
        <v>#N/A</v>
      </c>
      <c r="D417" s="3162" t="e">
        <v>#N/A</v>
      </c>
      <c r="E417" s="180" t="e">
        <v>#N/A</v>
      </c>
      <c r="F417" s="3162" t="e">
        <v>#N/A</v>
      </c>
      <c r="G417" s="180" t="e">
        <v>#N/A</v>
      </c>
      <c r="H417" s="3162" t="e">
        <v>#N/A</v>
      </c>
      <c r="I417" s="180" t="e">
        <v>#N/A</v>
      </c>
      <c r="J417" s="3162" t="e">
        <v>#N/A</v>
      </c>
      <c r="K417" s="180" t="e">
        <v>#N/A</v>
      </c>
      <c r="L417" s="3162" t="e">
        <v>#N/A</v>
      </c>
      <c r="M417" s="180" t="e">
        <v>#N/A</v>
      </c>
      <c r="N417" s="2095" t="e">
        <v>#N/A</v>
      </c>
      <c r="O417" s="2107" t="e">
        <v>#N/A</v>
      </c>
      <c r="P417" s="2097" t="e">
        <v>#N/A</v>
      </c>
      <c r="Q417" s="2097" t="e">
        <v>#N/A</v>
      </c>
      <c r="R417" s="263" t="e">
        <f t="shared" si="42"/>
        <v>#N/A</v>
      </c>
      <c r="S417" s="203" t="e">
        <f t="shared" si="39"/>
        <v>#N/A</v>
      </c>
      <c r="T417" s="1313" t="e">
        <v>#N/A</v>
      </c>
      <c r="U417" s="225" t="e">
        <v>#N/A</v>
      </c>
      <c r="V417" s="1313" t="e">
        <v>#N/A</v>
      </c>
      <c r="W417" s="169" t="e">
        <v>#N/A</v>
      </c>
      <c r="X417" s="2106" t="e">
        <f t="shared" si="43"/>
        <v>#N/A</v>
      </c>
      <c r="Y417" s="254" t="e">
        <v>#N/A</v>
      </c>
    </row>
  </sheetData>
  <phoneticPr fontId="62" type="noConversion"/>
  <hyperlinks>
    <hyperlink ref="A5" location="INDICE!A13" display="VOLVER AL INDICE" xr:uid="{00000000-0004-0000-2200-000000000000}"/>
  </hyperlinks>
  <pageMargins left="0.75" right="0.75" top="1" bottom="1" header="0" footer="0"/>
  <pageSetup paperSize="9" orientation="portrait" horizontalDpi="300" verticalDpi="300"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4">
    <pageSetUpPr autoPageBreaks="0" fitToPage="1"/>
  </sheetPr>
  <dimension ref="A1:H405"/>
  <sheetViews>
    <sheetView zoomScale="130" zoomScaleNormal="130" workbookViewId="0">
      <pane xSplit="1" ySplit="9" topLeftCell="B322" activePane="bottomRight" state="frozen"/>
      <selection pane="topRight" activeCell="Y299" sqref="Y299"/>
      <selection pane="bottomLeft" activeCell="Y299" sqref="Y299"/>
      <selection pane="bottomRight" activeCell="B338" sqref="B338"/>
    </sheetView>
  </sheetViews>
  <sheetFormatPr baseColWidth="10" defaultColWidth="11.42578125" defaultRowHeight="12.75"/>
  <cols>
    <col min="1" max="1" width="10.5703125" style="24" customWidth="1"/>
    <col min="2" max="2" width="14.5703125" style="24" bestFit="1" customWidth="1"/>
    <col min="3" max="6" width="14.5703125" style="24" customWidth="1"/>
    <col min="7" max="7" width="15.5703125" style="24" customWidth="1"/>
    <col min="8" max="8" width="14.5703125" style="24" customWidth="1"/>
    <col min="9" max="16384" width="11.42578125" style="9"/>
  </cols>
  <sheetData>
    <row r="1" spans="1:8" s="13" customFormat="1" ht="3" customHeight="1">
      <c r="A1" s="34"/>
      <c r="B1" s="77"/>
      <c r="C1" s="78"/>
      <c r="D1" s="78"/>
      <c r="E1" s="78"/>
      <c r="F1" s="78"/>
      <c r="G1" s="78"/>
      <c r="H1" s="79"/>
    </row>
    <row r="2" spans="1:8" s="13" customFormat="1" ht="16.5" customHeight="1">
      <c r="A2" s="59" t="s">
        <v>105</v>
      </c>
      <c r="B2" s="66" t="s">
        <v>1142</v>
      </c>
      <c r="C2" s="1709"/>
      <c r="D2" s="1709"/>
      <c r="E2" s="1709"/>
      <c r="F2" s="1709"/>
      <c r="G2" s="1788"/>
      <c r="H2" s="1882"/>
    </row>
    <row r="3" spans="1:8" s="13" customFormat="1">
      <c r="A3" s="36" t="s">
        <v>109</v>
      </c>
      <c r="B3" s="66" t="s">
        <v>111</v>
      </c>
      <c r="C3" s="1709"/>
      <c r="D3" s="1709"/>
      <c r="E3" s="1709"/>
      <c r="F3" s="1709"/>
      <c r="G3" s="1788"/>
      <c r="H3" s="1882"/>
    </row>
    <row r="4" spans="1:8" s="13" customFormat="1" ht="3" hidden="1" customHeight="1">
      <c r="A4" s="34"/>
      <c r="B4" s="77"/>
      <c r="C4" s="78"/>
      <c r="D4" s="78"/>
      <c r="E4" s="78"/>
      <c r="F4" s="78"/>
      <c r="G4" s="78"/>
      <c r="H4" s="79"/>
    </row>
    <row r="5" spans="1:8" s="13" customFormat="1" ht="22.5">
      <c r="A5" s="2390" t="s">
        <v>137</v>
      </c>
      <c r="B5" s="175" t="s">
        <v>1143</v>
      </c>
      <c r="C5" s="158"/>
      <c r="D5" s="158"/>
      <c r="E5" s="158" t="s">
        <v>1144</v>
      </c>
      <c r="F5" s="158"/>
      <c r="G5" s="2085"/>
      <c r="H5" s="3337" t="s">
        <v>1145</v>
      </c>
    </row>
    <row r="6" spans="1:8" s="13" customFormat="1" ht="21.6" customHeight="1">
      <c r="A6" s="34"/>
      <c r="B6" s="898" t="s">
        <v>1146</v>
      </c>
      <c r="C6" s="901" t="s">
        <v>1147</v>
      </c>
      <c r="D6" s="904" t="s">
        <v>1148</v>
      </c>
      <c r="E6" s="2449" t="s">
        <v>1149</v>
      </c>
      <c r="F6" s="906" t="s">
        <v>1150</v>
      </c>
      <c r="G6" s="189" t="s">
        <v>1151</v>
      </c>
      <c r="H6" s="2714"/>
    </row>
    <row r="7" spans="1:8" s="13" customFormat="1" ht="22.5">
      <c r="A7" s="2373" t="s">
        <v>123</v>
      </c>
      <c r="B7" s="2112" t="s">
        <v>124</v>
      </c>
      <c r="C7" s="901" t="s">
        <v>124</v>
      </c>
      <c r="D7" s="2113" t="s">
        <v>124</v>
      </c>
      <c r="E7" s="2851" t="s">
        <v>124</v>
      </c>
      <c r="F7" s="906" t="s">
        <v>124</v>
      </c>
      <c r="G7" s="901" t="s">
        <v>124</v>
      </c>
      <c r="H7" s="2064" t="s">
        <v>124</v>
      </c>
    </row>
    <row r="8" spans="1:8" s="13" customFormat="1" ht="14.25" customHeight="1" thickBot="1">
      <c r="A8" s="147" t="s">
        <v>141</v>
      </c>
      <c r="B8" s="881" t="s">
        <v>1152</v>
      </c>
      <c r="C8" s="150" t="s">
        <v>1153</v>
      </c>
      <c r="D8" s="560" t="s">
        <v>1154</v>
      </c>
      <c r="E8" s="773" t="s">
        <v>1155</v>
      </c>
      <c r="F8" s="881" t="s">
        <v>1156</v>
      </c>
      <c r="G8" s="149" t="s">
        <v>1157</v>
      </c>
      <c r="H8" s="1979" t="s">
        <v>1158</v>
      </c>
    </row>
    <row r="9" spans="1:8" s="14" customFormat="1" ht="13.5" hidden="1" thickBot="1">
      <c r="A9" s="72"/>
      <c r="B9" s="2114"/>
      <c r="C9" s="580"/>
      <c r="D9" s="2115"/>
      <c r="E9" s="2852"/>
      <c r="F9" s="1794"/>
      <c r="G9" s="580"/>
      <c r="H9" s="2116"/>
    </row>
    <row r="10" spans="1:8" s="14" customFormat="1">
      <c r="A10" s="63">
        <v>1998.01</v>
      </c>
      <c r="B10" s="899"/>
      <c r="C10" s="2117"/>
      <c r="D10" s="2118"/>
      <c r="E10" s="2119"/>
      <c r="F10" s="3189"/>
      <c r="G10" s="2117"/>
      <c r="H10" s="2120"/>
    </row>
    <row r="11" spans="1:8" s="14" customFormat="1">
      <c r="A11" s="63">
        <v>1998.02</v>
      </c>
      <c r="B11" s="2121"/>
      <c r="C11" s="2117"/>
      <c r="D11" s="2118"/>
      <c r="E11" s="2122"/>
      <c r="F11" s="3189"/>
      <c r="G11" s="2117"/>
      <c r="H11" s="2120"/>
    </row>
    <row r="12" spans="1:8" s="14" customFormat="1">
      <c r="A12" s="63">
        <v>1998.03</v>
      </c>
      <c r="B12" s="2121"/>
      <c r="C12" s="2117"/>
      <c r="D12" s="2118"/>
      <c r="E12" s="2122"/>
      <c r="F12" s="3189"/>
      <c r="G12" s="2117"/>
      <c r="H12" s="2120"/>
    </row>
    <row r="13" spans="1:8" s="14" customFormat="1">
      <c r="A13" s="63">
        <v>1998.04</v>
      </c>
      <c r="B13" s="2121"/>
      <c r="C13" s="2117"/>
      <c r="D13" s="2118"/>
      <c r="E13" s="2122"/>
      <c r="F13" s="3189"/>
      <c r="G13" s="2117"/>
      <c r="H13" s="2120"/>
    </row>
    <row r="14" spans="1:8" s="14" customFormat="1">
      <c r="A14" s="63">
        <v>1998.05</v>
      </c>
      <c r="B14" s="2121"/>
      <c r="C14" s="2117"/>
      <c r="D14" s="2118"/>
      <c r="E14" s="2122"/>
      <c r="F14" s="3189"/>
      <c r="G14" s="2117"/>
      <c r="H14" s="2120"/>
    </row>
    <row r="15" spans="1:8" s="14" customFormat="1">
      <c r="A15" s="63">
        <v>1998.06</v>
      </c>
      <c r="B15" s="2121"/>
      <c r="C15" s="2117"/>
      <c r="D15" s="2118"/>
      <c r="E15" s="2122"/>
      <c r="F15" s="3189"/>
      <c r="G15" s="2117"/>
      <c r="H15" s="2120"/>
    </row>
    <row r="16" spans="1:8" s="14" customFormat="1">
      <c r="A16" s="63">
        <v>1998.07</v>
      </c>
      <c r="B16" s="900">
        <v>41.390728476821188</v>
      </c>
      <c r="C16" s="2117"/>
      <c r="D16" s="2118"/>
      <c r="E16" s="2122"/>
      <c r="F16" s="3189"/>
      <c r="G16" s="2117"/>
      <c r="H16" s="2120"/>
    </row>
    <row r="17" spans="1:8" s="14" customFormat="1">
      <c r="A17" s="63">
        <v>1998.08</v>
      </c>
      <c r="B17" s="1938">
        <v>42.904290429042902</v>
      </c>
      <c r="C17" s="2117"/>
      <c r="D17" s="2118"/>
      <c r="E17" s="2122"/>
      <c r="F17" s="3189"/>
      <c r="G17" s="2117"/>
      <c r="H17" s="2120"/>
    </row>
    <row r="18" spans="1:8" s="14" customFormat="1">
      <c r="A18" s="63">
        <v>1998.09</v>
      </c>
      <c r="B18" s="1938">
        <v>37.886313465783665</v>
      </c>
      <c r="C18" s="2117"/>
      <c r="D18" s="2118"/>
      <c r="E18" s="2122"/>
      <c r="F18" s="3189"/>
      <c r="G18" s="2117"/>
      <c r="H18" s="2120"/>
    </row>
    <row r="19" spans="1:8" s="14" customFormat="1">
      <c r="A19" s="63">
        <v>1998.1</v>
      </c>
      <c r="B19" s="1938">
        <v>39.313399778516064</v>
      </c>
      <c r="C19" s="2117"/>
      <c r="D19" s="2118"/>
      <c r="E19" s="2122"/>
      <c r="F19" s="3189"/>
      <c r="G19" s="2117"/>
      <c r="H19" s="2120"/>
    </row>
    <row r="20" spans="1:8" s="14" customFormat="1">
      <c r="A20" s="63">
        <v>1998.11</v>
      </c>
      <c r="B20" s="1938">
        <v>41</v>
      </c>
      <c r="C20" s="2117"/>
      <c r="D20" s="2118"/>
      <c r="E20" s="2122"/>
      <c r="F20" s="3189"/>
      <c r="G20" s="2117"/>
      <c r="H20" s="2120"/>
    </row>
    <row r="21" spans="1:8" s="14" customFormat="1">
      <c r="A21" s="63">
        <v>1998.12</v>
      </c>
      <c r="B21" s="1938">
        <v>43.438538205980059</v>
      </c>
      <c r="C21" s="2117"/>
      <c r="D21" s="2118"/>
      <c r="E21" s="2122"/>
      <c r="F21" s="3189"/>
      <c r="G21" s="2117"/>
      <c r="H21" s="2120"/>
    </row>
    <row r="22" spans="1:8">
      <c r="A22" s="63">
        <v>1999.01</v>
      </c>
      <c r="B22" s="1938">
        <v>37.68</v>
      </c>
      <c r="C22" s="837">
        <v>35.284946456692929</v>
      </c>
      <c r="D22" s="2123"/>
      <c r="E22" s="902"/>
      <c r="F22" s="3190"/>
      <c r="G22" s="188"/>
      <c r="H22" s="2124"/>
    </row>
    <row r="23" spans="1:8">
      <c r="A23" s="63">
        <v>1999.02</v>
      </c>
      <c r="B23" s="1938">
        <v>43.083333333333336</v>
      </c>
      <c r="C23" s="837">
        <v>40.344827755905534</v>
      </c>
      <c r="D23" s="2125"/>
      <c r="E23" s="2034"/>
      <c r="F23" s="2845"/>
      <c r="G23" s="2126"/>
      <c r="H23" s="2127"/>
    </row>
    <row r="24" spans="1:8">
      <c r="A24" s="63">
        <v>1999.03</v>
      </c>
      <c r="B24" s="1938">
        <v>40.888888888888886</v>
      </c>
      <c r="C24" s="837">
        <v>38.289868766404211</v>
      </c>
      <c r="D24" s="2125"/>
      <c r="E24" s="2034"/>
      <c r="F24" s="2845"/>
      <c r="G24" s="2126"/>
      <c r="H24" s="2127"/>
    </row>
    <row r="25" spans="1:8">
      <c r="A25" s="63">
        <v>1999.04</v>
      </c>
      <c r="B25" s="1938">
        <v>37.76301218161683</v>
      </c>
      <c r="C25" s="837">
        <v>35.362682135663285</v>
      </c>
      <c r="D25" s="2125"/>
      <c r="E25" s="2034"/>
      <c r="F25" s="2845"/>
      <c r="G25" s="2126"/>
      <c r="H25" s="2127"/>
    </row>
    <row r="26" spans="1:8">
      <c r="A26" s="63">
        <v>1999.05</v>
      </c>
      <c r="B26" s="1938">
        <v>43.267108167770424</v>
      </c>
      <c r="C26" s="837">
        <v>40.516921311988334</v>
      </c>
      <c r="D26" s="2125"/>
      <c r="E26" s="2034"/>
      <c r="F26" s="2845"/>
      <c r="G26" s="2126"/>
      <c r="H26" s="2127"/>
    </row>
    <row r="27" spans="1:8">
      <c r="A27" s="63">
        <v>1999.06</v>
      </c>
      <c r="B27" s="1938">
        <v>41.16997792494481</v>
      </c>
      <c r="C27" s="837">
        <v>38.553090942274608</v>
      </c>
      <c r="D27" s="2125"/>
      <c r="E27" s="2034"/>
      <c r="F27" s="2845"/>
      <c r="G27" s="2126"/>
      <c r="H27" s="2127"/>
    </row>
    <row r="28" spans="1:8">
      <c r="A28" s="63">
        <v>1999.07</v>
      </c>
      <c r="B28" s="1938">
        <v>42.916666666666664</v>
      </c>
      <c r="C28" s="837">
        <v>40.18875492125985</v>
      </c>
      <c r="D28" s="2125"/>
      <c r="E28" s="2034"/>
      <c r="F28" s="2845"/>
      <c r="G28" s="2126"/>
      <c r="H28" s="2127"/>
    </row>
    <row r="29" spans="1:8">
      <c r="A29" s="63">
        <v>1999.08</v>
      </c>
      <c r="B29" s="1938">
        <v>41.389811738648945</v>
      </c>
      <c r="C29" s="837">
        <v>38.758951461009239</v>
      </c>
      <c r="D29" s="2125"/>
      <c r="E29" s="2034"/>
      <c r="F29" s="2845"/>
      <c r="G29" s="2126"/>
      <c r="H29" s="2127"/>
    </row>
    <row r="30" spans="1:8">
      <c r="A30" s="63">
        <v>1999.09</v>
      </c>
      <c r="B30" s="1938">
        <v>45.238095238095241</v>
      </c>
      <c r="C30" s="837">
        <v>42.362626546681675</v>
      </c>
      <c r="D30" s="2125"/>
      <c r="E30" s="2034"/>
      <c r="F30" s="2845"/>
      <c r="G30" s="2126"/>
      <c r="H30" s="2127"/>
    </row>
    <row r="31" spans="1:8">
      <c r="A31" s="63">
        <v>1999.1</v>
      </c>
      <c r="B31" s="1938">
        <v>44.213732004429687</v>
      </c>
      <c r="C31" s="837">
        <v>41.403374905171752</v>
      </c>
      <c r="D31" s="2125"/>
      <c r="E31" s="2034"/>
      <c r="F31" s="2845"/>
      <c r="G31" s="2126"/>
      <c r="H31" s="2127"/>
    </row>
    <row r="32" spans="1:8">
      <c r="A32" s="63">
        <v>1999.11</v>
      </c>
      <c r="B32" s="1938">
        <v>51.793598233995588</v>
      </c>
      <c r="C32" s="837">
        <v>48.50144215727174</v>
      </c>
      <c r="D32" s="2125"/>
      <c r="E32" s="2034"/>
      <c r="F32" s="2845"/>
      <c r="G32" s="2126"/>
      <c r="H32" s="2127"/>
    </row>
    <row r="33" spans="1:8">
      <c r="A33" s="63">
        <v>1999.12</v>
      </c>
      <c r="B33" s="1938">
        <v>52.388888888888886</v>
      </c>
      <c r="C33" s="837">
        <v>49.058894356955385</v>
      </c>
      <c r="D33" s="2125"/>
      <c r="E33" s="2034"/>
      <c r="F33" s="2845"/>
      <c r="G33" s="2126"/>
      <c r="H33" s="2127"/>
    </row>
    <row r="34" spans="1:8">
      <c r="A34" s="63">
        <v>2000.01</v>
      </c>
      <c r="B34" s="1938">
        <v>49.083333333333336</v>
      </c>
      <c r="C34" s="837">
        <v>45.963449803149615</v>
      </c>
      <c r="D34" s="2125"/>
      <c r="E34" s="2034"/>
      <c r="F34" s="2845"/>
      <c r="G34" s="2126"/>
      <c r="H34" s="2127"/>
    </row>
    <row r="35" spans="1:8">
      <c r="A35" s="63">
        <v>2000.02</v>
      </c>
      <c r="B35" s="1938">
        <v>49.613686534216335</v>
      </c>
      <c r="C35" s="837">
        <v>46.4600921677009</v>
      </c>
      <c r="D35" s="2125"/>
      <c r="E35" s="2034"/>
      <c r="F35" s="2845"/>
      <c r="G35" s="2126"/>
      <c r="H35" s="2127"/>
    </row>
    <row r="36" spans="1:8">
      <c r="A36" s="63">
        <v>2000.03</v>
      </c>
      <c r="B36" s="1938">
        <v>45.474613686534212</v>
      </c>
      <c r="C36" s="837">
        <v>42.584111174844871</v>
      </c>
      <c r="D36" s="2125"/>
      <c r="E36" s="2034"/>
      <c r="F36" s="2845"/>
      <c r="G36" s="2126"/>
      <c r="H36" s="2127"/>
    </row>
    <row r="37" spans="1:8">
      <c r="A37" s="63">
        <v>2000.04</v>
      </c>
      <c r="B37" s="1938">
        <v>45.764576457645767</v>
      </c>
      <c r="C37" s="837">
        <v>42.855643044619434</v>
      </c>
      <c r="D37" s="2125"/>
      <c r="E37" s="2034"/>
      <c r="F37" s="2845"/>
      <c r="G37" s="2126"/>
      <c r="H37" s="2127"/>
    </row>
    <row r="38" spans="1:8">
      <c r="A38" s="63">
        <v>2000.05</v>
      </c>
      <c r="B38" s="1938">
        <v>44.388888888888886</v>
      </c>
      <c r="C38" s="837">
        <v>41.567398293963258</v>
      </c>
      <c r="D38" s="2125"/>
      <c r="E38" s="2034"/>
      <c r="F38" s="2845"/>
      <c r="G38" s="2126"/>
      <c r="H38" s="2127"/>
    </row>
    <row r="39" spans="1:8">
      <c r="A39" s="63">
        <v>2000.06</v>
      </c>
      <c r="B39" s="1938">
        <v>45.348837209302332</v>
      </c>
      <c r="C39" s="837">
        <v>42.466329426844908</v>
      </c>
      <c r="D39" s="2125"/>
      <c r="E39" s="2034"/>
      <c r="F39" s="2845"/>
      <c r="G39" s="2126"/>
      <c r="H39" s="2127"/>
    </row>
    <row r="40" spans="1:8">
      <c r="A40" s="63">
        <v>2000.07</v>
      </c>
      <c r="B40" s="1938">
        <v>40.974529346622369</v>
      </c>
      <c r="C40" s="837">
        <v>38.370065660397103</v>
      </c>
      <c r="D40" s="2125"/>
      <c r="E40" s="2034"/>
      <c r="F40" s="2845"/>
      <c r="G40" s="2126"/>
      <c r="H40" s="2127"/>
    </row>
    <row r="41" spans="1:8">
      <c r="A41" s="63">
        <v>2000.08</v>
      </c>
      <c r="B41" s="1938">
        <v>42</v>
      </c>
      <c r="C41" s="837">
        <v>39.330354330708666</v>
      </c>
      <c r="D41" s="2125"/>
      <c r="E41" s="2034"/>
      <c r="F41" s="2845"/>
      <c r="G41" s="2126"/>
      <c r="H41" s="2127"/>
    </row>
    <row r="42" spans="1:8">
      <c r="A42" s="63">
        <v>2000.09</v>
      </c>
      <c r="B42" s="1938">
        <v>40.642303433001111</v>
      </c>
      <c r="C42" s="837">
        <v>38.058957019907403</v>
      </c>
      <c r="D42" s="2125"/>
      <c r="E42" s="2034"/>
      <c r="F42" s="2845"/>
      <c r="G42" s="2126"/>
      <c r="H42" s="2127"/>
    </row>
    <row r="43" spans="1:8">
      <c r="A43" s="63">
        <v>2000.1</v>
      </c>
      <c r="B43" s="1938">
        <v>39.091915836101883</v>
      </c>
      <c r="C43" s="837">
        <v>36.607116697622104</v>
      </c>
      <c r="D43" s="2125"/>
      <c r="E43" s="2034"/>
      <c r="F43" s="2845"/>
      <c r="G43" s="2126"/>
      <c r="H43" s="2127"/>
    </row>
    <row r="44" spans="1:8">
      <c r="A44" s="63">
        <v>2000.11</v>
      </c>
      <c r="B44" s="1938">
        <v>34.559643255295434</v>
      </c>
      <c r="C44" s="837">
        <v>32.362928923182267</v>
      </c>
      <c r="D44" s="2125"/>
      <c r="E44" s="2034"/>
      <c r="F44" s="2845"/>
      <c r="G44" s="2126"/>
      <c r="H44" s="2127"/>
    </row>
    <row r="45" spans="1:8">
      <c r="A45" s="63">
        <v>2000.12</v>
      </c>
      <c r="B45" s="1938">
        <v>38.083333333333336</v>
      </c>
      <c r="C45" s="837">
        <v>35.662642716535437</v>
      </c>
      <c r="D45" s="2125"/>
      <c r="E45" s="2034"/>
      <c r="F45" s="2845"/>
      <c r="G45" s="2126"/>
      <c r="H45" s="2127"/>
    </row>
    <row r="46" spans="1:8">
      <c r="A46" s="63">
        <v>2001.01</v>
      </c>
      <c r="B46" s="1938">
        <v>44.888888888888886</v>
      </c>
      <c r="C46" s="837">
        <v>42.035616797900261</v>
      </c>
      <c r="D46" s="2125"/>
      <c r="E46" s="2034"/>
      <c r="F46" s="2845"/>
      <c r="G46" s="2126"/>
      <c r="H46" s="2127"/>
    </row>
    <row r="47" spans="1:8">
      <c r="A47" s="63">
        <v>2001.02</v>
      </c>
      <c r="B47" s="1938">
        <v>46.63299663299663</v>
      </c>
      <c r="C47" s="837">
        <v>43.668863835202416</v>
      </c>
      <c r="D47" s="2125"/>
      <c r="E47" s="2034"/>
      <c r="F47" s="2845"/>
      <c r="G47" s="2126"/>
      <c r="H47" s="2127"/>
    </row>
    <row r="48" spans="1:8">
      <c r="A48" s="63">
        <v>2001.03</v>
      </c>
      <c r="B48" s="1938">
        <v>41.914191419141915</v>
      </c>
      <c r="C48" s="903">
        <v>39.25</v>
      </c>
      <c r="D48" s="3412">
        <v>37.75</v>
      </c>
      <c r="E48" s="905">
        <v>42.295603712871284</v>
      </c>
      <c r="F48" s="3191">
        <v>44.593946864686465</v>
      </c>
      <c r="G48" s="413">
        <v>30.092661551155114</v>
      </c>
      <c r="H48" s="190">
        <v>38.989879290429045</v>
      </c>
    </row>
    <row r="49" spans="1:8">
      <c r="A49" s="63">
        <v>2001.04</v>
      </c>
      <c r="B49" s="1938">
        <v>42.940199335548165</v>
      </c>
      <c r="C49" s="839">
        <v>43.33</v>
      </c>
      <c r="D49" s="2029">
        <v>37.83</v>
      </c>
      <c r="E49" s="839">
        <v>44.682247923588037</v>
      </c>
      <c r="F49" s="2839">
        <v>53.911479651162786</v>
      </c>
      <c r="G49" s="439">
        <v>23.509116112956811</v>
      </c>
      <c r="H49" s="254">
        <v>40.693876209302317</v>
      </c>
    </row>
    <row r="50" spans="1:8">
      <c r="A50" s="63">
        <v>2001.05</v>
      </c>
      <c r="B50" s="1938">
        <v>38.138888888888893</v>
      </c>
      <c r="C50" s="839">
        <v>40.54</v>
      </c>
      <c r="D50" s="2029">
        <v>36.33</v>
      </c>
      <c r="E50" s="839">
        <v>40.367566666666661</v>
      </c>
      <c r="F50" s="2839">
        <v>49.917716666666664</v>
      </c>
      <c r="G50" s="439">
        <v>24.245999999999995</v>
      </c>
      <c r="H50" s="254">
        <v>38.171113888888883</v>
      </c>
    </row>
    <row r="51" spans="1:8">
      <c r="A51" s="63">
        <v>2001.06</v>
      </c>
      <c r="B51" s="1938">
        <v>42.03</v>
      </c>
      <c r="C51" s="839">
        <v>37.880000000000003</v>
      </c>
      <c r="D51" s="2029">
        <v>42.17</v>
      </c>
      <c r="E51" s="839">
        <v>42.441874999999996</v>
      </c>
      <c r="F51" s="2839">
        <v>55.004349999999995</v>
      </c>
      <c r="G51" s="439">
        <v>24.264619500000002</v>
      </c>
      <c r="H51" s="254">
        <v>40.569745000000005</v>
      </c>
    </row>
    <row r="52" spans="1:8">
      <c r="A52" s="63">
        <v>2001.07</v>
      </c>
      <c r="B52" s="1938">
        <v>41.92</v>
      </c>
      <c r="C52" s="839">
        <v>38.33</v>
      </c>
      <c r="D52" s="2029">
        <v>34.33</v>
      </c>
      <c r="E52" s="839">
        <v>38.687349999999995</v>
      </c>
      <c r="F52" s="2839">
        <v>48.021910999999996</v>
      </c>
      <c r="G52" s="439">
        <v>24.481530499999998</v>
      </c>
      <c r="H52" s="254">
        <v>37.057460999999996</v>
      </c>
    </row>
    <row r="53" spans="1:8">
      <c r="A53" s="63">
        <v>2001.08</v>
      </c>
      <c r="B53" s="1938">
        <v>39.44</v>
      </c>
      <c r="C53" s="839">
        <v>35.46</v>
      </c>
      <c r="D53" s="2029">
        <v>37.42</v>
      </c>
      <c r="E53" s="839">
        <v>36.994130499999997</v>
      </c>
      <c r="F53" s="2839">
        <v>51.696785999999996</v>
      </c>
      <c r="G53" s="439">
        <v>22.418844499999999</v>
      </c>
      <c r="H53" s="254">
        <v>37.034254000000004</v>
      </c>
    </row>
    <row r="54" spans="1:8">
      <c r="A54" s="63">
        <v>2001.09</v>
      </c>
      <c r="B54" s="1938">
        <v>35.22</v>
      </c>
      <c r="C54" s="839">
        <v>33.96</v>
      </c>
      <c r="D54" s="2029">
        <v>31.25</v>
      </c>
      <c r="E54" s="839">
        <v>35.003064000000002</v>
      </c>
      <c r="F54" s="2839">
        <v>42.653849999999998</v>
      </c>
      <c r="G54" s="439">
        <v>21.058774999999997</v>
      </c>
      <c r="H54" s="254">
        <v>32.901763000000003</v>
      </c>
    </row>
    <row r="55" spans="1:8">
      <c r="A55" s="63">
        <v>2001.1</v>
      </c>
      <c r="B55" s="1938">
        <v>32.36</v>
      </c>
      <c r="C55" s="839">
        <v>33.659999999999997</v>
      </c>
      <c r="D55" s="2029">
        <v>30.69</v>
      </c>
      <c r="E55" s="839">
        <v>35.045760000000001</v>
      </c>
      <c r="F55" s="2839">
        <v>42.886897499999996</v>
      </c>
      <c r="G55" s="439">
        <v>18.247916</v>
      </c>
      <c r="H55" s="254">
        <v>32.053954999999995</v>
      </c>
    </row>
    <row r="56" spans="1:8">
      <c r="A56" s="63">
        <v>2001.11</v>
      </c>
      <c r="B56" s="1938">
        <v>34.89</v>
      </c>
      <c r="C56" s="839">
        <v>33.5</v>
      </c>
      <c r="D56" s="2029">
        <v>34.83</v>
      </c>
      <c r="E56" s="839">
        <v>33.8891445</v>
      </c>
      <c r="F56" s="2839">
        <v>46.860044500000001</v>
      </c>
      <c r="G56" s="439">
        <v>22.312750000000001</v>
      </c>
      <c r="H56" s="254">
        <v>34.348934999999997</v>
      </c>
    </row>
    <row r="57" spans="1:8">
      <c r="A57" s="63">
        <v>2001.12</v>
      </c>
      <c r="B57" s="1938">
        <v>35.42</v>
      </c>
      <c r="C57" s="839">
        <v>32.79</v>
      </c>
      <c r="D57" s="2029">
        <v>28.42</v>
      </c>
      <c r="E57" s="839">
        <v>31.053744000000002</v>
      </c>
      <c r="F57" s="2839">
        <v>45.651896499999999</v>
      </c>
      <c r="G57" s="439">
        <v>16.860350499999999</v>
      </c>
      <c r="H57" s="254">
        <v>31.185400000000001</v>
      </c>
    </row>
    <row r="58" spans="1:8">
      <c r="A58" s="63">
        <v>2002.01</v>
      </c>
      <c r="B58" s="1938">
        <v>35.35</v>
      </c>
      <c r="C58" s="839">
        <v>30.25</v>
      </c>
      <c r="D58" s="2029">
        <v>36.880000000000003</v>
      </c>
      <c r="E58" s="839">
        <v>35.252658499999995</v>
      </c>
      <c r="F58" s="2839">
        <v>59.595735499999996</v>
      </c>
      <c r="G58" s="439">
        <v>7.7411130000000004</v>
      </c>
      <c r="H58" s="254">
        <v>34.190856000000004</v>
      </c>
    </row>
    <row r="59" spans="1:8">
      <c r="A59" s="63">
        <v>2002.02</v>
      </c>
      <c r="B59" s="1938">
        <v>31.98</v>
      </c>
      <c r="C59" s="839">
        <v>31.67</v>
      </c>
      <c r="D59" s="2029">
        <v>29.75</v>
      </c>
      <c r="E59" s="839">
        <v>32.221415999999998</v>
      </c>
      <c r="F59" s="2839">
        <v>51.50908849999999</v>
      </c>
      <c r="G59" s="439">
        <v>8.7410014999999994</v>
      </c>
      <c r="H59" s="254">
        <v>30.822414999999999</v>
      </c>
    </row>
    <row r="60" spans="1:8">
      <c r="A60" s="63">
        <v>2002.03</v>
      </c>
      <c r="B60" s="1938">
        <v>31.94</v>
      </c>
      <c r="C60" s="839">
        <v>33.04</v>
      </c>
      <c r="D60" s="2029">
        <v>32.840000000000003</v>
      </c>
      <c r="E60" s="839">
        <v>30.639785500000002</v>
      </c>
      <c r="F60" s="2839">
        <v>51.944948999999994</v>
      </c>
      <c r="G60" s="439">
        <v>15.710801499999999</v>
      </c>
      <c r="H60" s="254">
        <v>32.760095999999997</v>
      </c>
    </row>
    <row r="61" spans="1:8">
      <c r="A61" s="63">
        <v>2002.04</v>
      </c>
      <c r="B61" s="1938">
        <v>33.44</v>
      </c>
      <c r="C61" s="839">
        <v>28.54</v>
      </c>
      <c r="D61" s="2029">
        <v>30.17</v>
      </c>
      <c r="E61" s="839">
        <v>30.331785499999995</v>
      </c>
      <c r="F61" s="2839">
        <v>47.841191500000001</v>
      </c>
      <c r="G61" s="439">
        <v>12.178508999999998</v>
      </c>
      <c r="H61" s="254">
        <v>30.114207</v>
      </c>
    </row>
    <row r="62" spans="1:8">
      <c r="A62" s="63">
        <v>2002.05</v>
      </c>
      <c r="B62" s="1938">
        <v>31.29</v>
      </c>
      <c r="C62" s="839">
        <v>29.96</v>
      </c>
      <c r="D62" s="2029">
        <v>28.17</v>
      </c>
      <c r="E62" s="839">
        <v>28.473112999999998</v>
      </c>
      <c r="F62" s="2839">
        <v>48.383978499999998</v>
      </c>
      <c r="G62" s="439">
        <v>11.176196000000001</v>
      </c>
      <c r="H62" s="254">
        <v>29.343189000000002</v>
      </c>
    </row>
    <row r="63" spans="1:8">
      <c r="A63" s="63">
        <v>2002.06</v>
      </c>
      <c r="B63" s="1938">
        <v>29.97</v>
      </c>
      <c r="C63" s="839">
        <v>28.15</v>
      </c>
      <c r="D63" s="2029">
        <v>34.9</v>
      </c>
      <c r="E63" s="839">
        <v>28.309158</v>
      </c>
      <c r="F63" s="2839">
        <v>52.891563500000004</v>
      </c>
      <c r="G63" s="439">
        <v>13.614136</v>
      </c>
      <c r="H63" s="254">
        <v>31.600621999999998</v>
      </c>
    </row>
    <row r="64" spans="1:8">
      <c r="A64" s="63">
        <v>2002.07</v>
      </c>
      <c r="B64" s="1938">
        <v>32.83</v>
      </c>
      <c r="C64" s="839">
        <v>32.130000000000003</v>
      </c>
      <c r="D64" s="2029">
        <v>31.08</v>
      </c>
      <c r="E64" s="839">
        <v>31.322043499999999</v>
      </c>
      <c r="F64" s="2839">
        <v>54.566322499999998</v>
      </c>
      <c r="G64" s="439">
        <v>9.3839314999999992</v>
      </c>
      <c r="H64" s="254">
        <v>31.753371999999999</v>
      </c>
    </row>
    <row r="65" spans="1:8">
      <c r="A65" s="63">
        <v>2002.08</v>
      </c>
      <c r="B65" s="1938">
        <v>33.75</v>
      </c>
      <c r="C65" s="839">
        <v>34</v>
      </c>
      <c r="D65" s="2029">
        <v>31.78</v>
      </c>
      <c r="E65" s="839">
        <v>32.140473</v>
      </c>
      <c r="F65" s="2839">
        <v>54.614059999999995</v>
      </c>
      <c r="G65" s="439">
        <v>12.002552999999999</v>
      </c>
      <c r="H65" s="254">
        <v>32.92</v>
      </c>
    </row>
    <row r="66" spans="1:8">
      <c r="A66" s="63">
        <v>2002.09</v>
      </c>
      <c r="B66" s="1938">
        <v>31.08</v>
      </c>
      <c r="C66" s="839">
        <v>31.08</v>
      </c>
      <c r="D66" s="2029">
        <v>25.42</v>
      </c>
      <c r="E66" s="839">
        <v>29.416325000000001</v>
      </c>
      <c r="F66" s="2839">
        <v>45.556205500000004</v>
      </c>
      <c r="G66" s="439">
        <v>10.342735999999999</v>
      </c>
      <c r="H66" s="254">
        <v>28.438477999999996</v>
      </c>
    </row>
    <row r="67" spans="1:8">
      <c r="A67" s="63">
        <v>2002.1</v>
      </c>
      <c r="B67" s="1938">
        <v>38.04</v>
      </c>
      <c r="C67" s="839">
        <v>35.33</v>
      </c>
      <c r="D67" s="2029">
        <v>36.75</v>
      </c>
      <c r="E67" s="839">
        <v>36.894170500000001</v>
      </c>
      <c r="F67" s="2839">
        <v>57.586681499999997</v>
      </c>
      <c r="G67" s="439">
        <v>14.857060499999999</v>
      </c>
      <c r="H67" s="254">
        <v>36.444470999999993</v>
      </c>
    </row>
    <row r="68" spans="1:8">
      <c r="A68" s="63">
        <v>2002.11</v>
      </c>
      <c r="B68" s="1938">
        <v>40.19</v>
      </c>
      <c r="C68" s="839">
        <v>38.83</v>
      </c>
      <c r="D68" s="2029">
        <v>39.08</v>
      </c>
      <c r="E68" s="839">
        <v>38.939880500000001</v>
      </c>
      <c r="F68" s="2839">
        <v>59.223914000000001</v>
      </c>
      <c r="G68" s="439">
        <v>19.3672</v>
      </c>
      <c r="H68" s="254">
        <v>39.173386999999998</v>
      </c>
    </row>
    <row r="69" spans="1:8">
      <c r="A69" s="63">
        <v>2002.12</v>
      </c>
      <c r="B69" s="1938">
        <v>40.28</v>
      </c>
      <c r="C69" s="839">
        <v>37.58</v>
      </c>
      <c r="D69" s="2029">
        <v>35.5</v>
      </c>
      <c r="E69" s="839">
        <v>38.246723500000002</v>
      </c>
      <c r="F69" s="2839">
        <v>58.958287499999997</v>
      </c>
      <c r="G69" s="439">
        <v>13.9775505</v>
      </c>
      <c r="H69" s="254">
        <v>37.059353999999999</v>
      </c>
    </row>
    <row r="70" spans="1:8">
      <c r="A70" s="63">
        <v>2003.01</v>
      </c>
      <c r="B70" s="1938">
        <v>43.44</v>
      </c>
      <c r="C70" s="839">
        <v>40.630000000000003</v>
      </c>
      <c r="D70" s="2029">
        <v>41.44</v>
      </c>
      <c r="E70" s="839">
        <v>42.723819450000001</v>
      </c>
      <c r="F70" s="2839">
        <v>65.804772249999999</v>
      </c>
      <c r="G70" s="439">
        <v>16.00288935</v>
      </c>
      <c r="H70" s="254">
        <v>41.509624700000003</v>
      </c>
    </row>
    <row r="71" spans="1:8">
      <c r="A71" s="63">
        <v>2003.02</v>
      </c>
      <c r="B71" s="1938">
        <v>44.97</v>
      </c>
      <c r="C71" s="839">
        <v>39.17</v>
      </c>
      <c r="D71" s="2029">
        <v>38.06</v>
      </c>
      <c r="E71" s="839">
        <v>41.229680500000001</v>
      </c>
      <c r="F71" s="2839">
        <v>59.76996235</v>
      </c>
      <c r="G71" s="439">
        <v>17.49337615</v>
      </c>
      <c r="H71" s="254">
        <v>39.501099400000001</v>
      </c>
    </row>
    <row r="72" spans="1:8">
      <c r="A72" s="63">
        <v>2003.03</v>
      </c>
      <c r="B72" s="1938">
        <v>40.39</v>
      </c>
      <c r="C72" s="839">
        <v>38.76</v>
      </c>
      <c r="D72" s="2029">
        <v>37.53</v>
      </c>
      <c r="E72" s="839">
        <v>41.883952749999999</v>
      </c>
      <c r="F72" s="2839">
        <v>59.077631949999997</v>
      </c>
      <c r="G72" s="439">
        <v>14.128527699999999</v>
      </c>
      <c r="H72" s="254">
        <v>38.362725999999995</v>
      </c>
    </row>
    <row r="73" spans="1:8">
      <c r="A73" s="63">
        <v>2003.04</v>
      </c>
      <c r="B73" s="1938">
        <v>43.44</v>
      </c>
      <c r="C73" s="839">
        <v>38.56</v>
      </c>
      <c r="D73" s="2029">
        <v>40.04</v>
      </c>
      <c r="E73" s="839">
        <v>43.236505699999995</v>
      </c>
      <c r="F73" s="2839">
        <v>60.723112</v>
      </c>
      <c r="G73" s="439">
        <v>16.433085849999998</v>
      </c>
      <c r="H73" s="254">
        <v>40.127056400000001</v>
      </c>
    </row>
    <row r="74" spans="1:8">
      <c r="A74" s="63">
        <v>2003.05</v>
      </c>
      <c r="B74" s="1938">
        <v>47.18</v>
      </c>
      <c r="C74" s="839">
        <v>43.63</v>
      </c>
      <c r="D74" s="2029">
        <v>44.23</v>
      </c>
      <c r="E74" s="839">
        <v>47.49601895</v>
      </c>
      <c r="F74" s="2839">
        <v>69.686507599999999</v>
      </c>
      <c r="G74" s="439">
        <v>16.3651105</v>
      </c>
      <c r="H74" s="254">
        <v>44.515388199999997</v>
      </c>
    </row>
    <row r="75" spans="1:8">
      <c r="A75" s="63">
        <v>2003.06</v>
      </c>
      <c r="B75" s="1938">
        <v>54.67</v>
      </c>
      <c r="C75" s="839">
        <v>55.14</v>
      </c>
      <c r="D75" s="2029">
        <v>53.93</v>
      </c>
      <c r="E75" s="839">
        <v>60.092467499999998</v>
      </c>
      <c r="F75" s="2839">
        <v>84.336864699999992</v>
      </c>
      <c r="G75" s="439">
        <v>18.831211499999998</v>
      </c>
      <c r="H75" s="254">
        <v>54.418687000000006</v>
      </c>
    </row>
    <row r="76" spans="1:8">
      <c r="A76" s="63">
        <v>2003.07</v>
      </c>
      <c r="B76" s="1938">
        <v>57.42</v>
      </c>
      <c r="C76" s="839">
        <v>53.65</v>
      </c>
      <c r="D76" s="2029">
        <v>52.93</v>
      </c>
      <c r="E76" s="839">
        <v>58.218806499999999</v>
      </c>
      <c r="F76" s="2839">
        <v>82.367881250000011</v>
      </c>
      <c r="G76" s="439">
        <v>20.939465800000001</v>
      </c>
      <c r="H76" s="254">
        <v>53.865733399999996</v>
      </c>
    </row>
    <row r="77" spans="1:8">
      <c r="A77" s="63">
        <v>2003.08</v>
      </c>
      <c r="B77" s="1938">
        <v>52.33</v>
      </c>
      <c r="C77" s="839">
        <v>55.04</v>
      </c>
      <c r="D77" s="2029">
        <v>55.4</v>
      </c>
      <c r="E77" s="839">
        <v>59.092885850000002</v>
      </c>
      <c r="F77" s="2839">
        <v>79.967676350000005</v>
      </c>
      <c r="G77" s="439">
        <v>25.339548100000002</v>
      </c>
      <c r="H77" s="254">
        <v>54.799883899999998</v>
      </c>
    </row>
    <row r="78" spans="1:8">
      <c r="A78" s="63">
        <v>2003.09</v>
      </c>
      <c r="B78" s="1938">
        <v>52.96</v>
      </c>
      <c r="C78" s="839">
        <v>49.92</v>
      </c>
      <c r="D78" s="2029">
        <v>49.78</v>
      </c>
      <c r="E78" s="839">
        <v>54.777334199999999</v>
      </c>
      <c r="F78" s="2839">
        <v>72.473680299999998</v>
      </c>
      <c r="G78" s="439">
        <v>23.7277965</v>
      </c>
      <c r="H78" s="254">
        <v>50.329072600000003</v>
      </c>
    </row>
    <row r="79" spans="1:8">
      <c r="A79" s="63">
        <v>2003.1</v>
      </c>
      <c r="B79" s="1938">
        <v>50.97</v>
      </c>
      <c r="C79" s="839">
        <v>49.75</v>
      </c>
      <c r="D79" s="2029">
        <v>50.55</v>
      </c>
      <c r="E79" s="839">
        <v>55.495555799999998</v>
      </c>
      <c r="F79" s="2839">
        <v>71.68063085</v>
      </c>
      <c r="G79" s="439">
        <v>23.94342245</v>
      </c>
      <c r="H79" s="254">
        <v>50.370892699999999</v>
      </c>
    </row>
    <row r="80" spans="1:8">
      <c r="A80" s="63">
        <v>2003.11</v>
      </c>
      <c r="B80" s="1938">
        <v>49.72</v>
      </c>
      <c r="C80" s="839">
        <v>52.22</v>
      </c>
      <c r="D80" s="2029">
        <v>47.53</v>
      </c>
      <c r="E80" s="839">
        <v>54.318210800000003</v>
      </c>
      <c r="F80" s="2839">
        <v>69.076778149999996</v>
      </c>
      <c r="G80" s="439">
        <v>24.55138045</v>
      </c>
      <c r="H80" s="254">
        <v>49.317727699999999</v>
      </c>
    </row>
    <row r="81" spans="1:8">
      <c r="A81" s="63">
        <v>2003.12</v>
      </c>
      <c r="B81" s="1938">
        <v>49.41</v>
      </c>
      <c r="C81" s="839">
        <v>50.08</v>
      </c>
      <c r="D81" s="2029">
        <v>50.47</v>
      </c>
      <c r="E81" s="839">
        <v>55.8964736</v>
      </c>
      <c r="F81" s="2839">
        <v>68.049567749999994</v>
      </c>
      <c r="G81" s="439">
        <v>26.604108400000001</v>
      </c>
      <c r="H81" s="254">
        <v>50.180939600000002</v>
      </c>
    </row>
    <row r="82" spans="1:8">
      <c r="A82" s="63">
        <v>2004.01</v>
      </c>
      <c r="B82" s="1938">
        <v>55.980725623582764</v>
      </c>
      <c r="C82" s="839">
        <v>55.458333333333336</v>
      </c>
      <c r="D82" s="2029">
        <v>59.55555555555555</v>
      </c>
      <c r="E82" s="839">
        <v>61.494320199999997</v>
      </c>
      <c r="F82" s="2839">
        <v>77.4760615</v>
      </c>
      <c r="G82" s="439">
        <v>34.188799150000001</v>
      </c>
      <c r="H82" s="254">
        <v>57.728057315759635</v>
      </c>
    </row>
    <row r="83" spans="1:8">
      <c r="A83" s="63">
        <v>2004.02</v>
      </c>
      <c r="B83" s="1938">
        <v>59.961368653421637</v>
      </c>
      <c r="C83" s="839">
        <v>59.916666666666664</v>
      </c>
      <c r="D83" s="2029">
        <v>59.75</v>
      </c>
      <c r="E83" s="839">
        <v>65.233628049999993</v>
      </c>
      <c r="F83" s="2839">
        <v>78.926348600000011</v>
      </c>
      <c r="G83" s="439">
        <v>35.34204115</v>
      </c>
      <c r="H83" s="254">
        <v>59.834223973509928</v>
      </c>
    </row>
    <row r="84" spans="1:8">
      <c r="A84" s="63">
        <v>2004.03</v>
      </c>
      <c r="B84" s="1938">
        <v>57.004429678848282</v>
      </c>
      <c r="C84" s="839">
        <v>57.5</v>
      </c>
      <c r="D84" s="2029">
        <v>56.194444444444436</v>
      </c>
      <c r="E84" s="839">
        <v>61.275726849999998</v>
      </c>
      <c r="F84" s="2839">
        <v>74.395110549999998</v>
      </c>
      <c r="G84" s="439">
        <v>34.498405449999993</v>
      </c>
      <c r="H84" s="254">
        <v>56.723583192137312</v>
      </c>
    </row>
    <row r="85" spans="1:8">
      <c r="A85" s="63">
        <v>2004.04</v>
      </c>
      <c r="B85" s="1938">
        <v>51.361111111111107</v>
      </c>
      <c r="C85" s="839">
        <v>49.791666666666664</v>
      </c>
      <c r="D85" s="2029">
        <v>49.638888888888886</v>
      </c>
      <c r="E85" s="839">
        <v>55.973577500000005</v>
      </c>
      <c r="F85" s="2839">
        <v>64.998517050000004</v>
      </c>
      <c r="G85" s="439">
        <v>28.9080908</v>
      </c>
      <c r="H85" s="254">
        <v>49.95964569444444</v>
      </c>
    </row>
    <row r="86" spans="1:8">
      <c r="A86" s="63">
        <v>2004.05</v>
      </c>
      <c r="B86" s="1938">
        <v>49.472222222222221</v>
      </c>
      <c r="C86" s="839">
        <v>51.875</v>
      </c>
      <c r="D86" s="2029">
        <v>51</v>
      </c>
      <c r="E86" s="839">
        <v>56.378496349999999</v>
      </c>
      <c r="F86" s="2839">
        <v>63.769150349999997</v>
      </c>
      <c r="G86" s="439">
        <v>32.926769750000005</v>
      </c>
      <c r="H86" s="254">
        <v>51.024628472222219</v>
      </c>
    </row>
    <row r="87" spans="1:8">
      <c r="A87" s="63">
        <v>2004.06</v>
      </c>
      <c r="B87" s="1938">
        <v>51.805555555555564</v>
      </c>
      <c r="C87" s="839">
        <v>48.583333333333336</v>
      </c>
      <c r="D87" s="2029">
        <v>51.817673378076059</v>
      </c>
      <c r="E87" s="839">
        <v>56.715683650000003</v>
      </c>
      <c r="F87" s="2839">
        <v>63.035299600000002</v>
      </c>
      <c r="G87" s="439">
        <v>32.717722350000003</v>
      </c>
      <c r="H87" s="254">
        <v>50.822638094705439</v>
      </c>
    </row>
    <row r="88" spans="1:8">
      <c r="A88" s="63">
        <v>2004.07</v>
      </c>
      <c r="B88" s="1938">
        <v>48.861111111111114</v>
      </c>
      <c r="C88" s="839">
        <v>51.208333333333336</v>
      </c>
      <c r="D88" s="2029">
        <v>47.94444444444445</v>
      </c>
      <c r="E88" s="839">
        <v>55.462675349999998</v>
      </c>
      <c r="F88" s="2839">
        <v>60.222795550000001</v>
      </c>
      <c r="G88" s="439">
        <v>31.59064635</v>
      </c>
      <c r="H88" s="254">
        <v>49.091654027777778</v>
      </c>
    </row>
    <row r="89" spans="1:8">
      <c r="A89" s="63">
        <v>2004.08</v>
      </c>
      <c r="B89" s="1938">
        <v>45.182724252491688</v>
      </c>
      <c r="C89" s="839">
        <v>48.051409618573793</v>
      </c>
      <c r="D89" s="2029">
        <v>46.333333333333336</v>
      </c>
      <c r="E89" s="839">
        <v>53.097256350000002</v>
      </c>
      <c r="F89" s="2839">
        <v>56.904495900000001</v>
      </c>
      <c r="G89" s="439">
        <v>30.030390700000002</v>
      </c>
      <c r="H89" s="254">
        <v>46.676826898508565</v>
      </c>
    </row>
    <row r="90" spans="1:8">
      <c r="A90" s="63">
        <v>2004.09</v>
      </c>
      <c r="B90" s="1938">
        <v>47.333333333333336</v>
      </c>
      <c r="C90" s="839">
        <v>47.5</v>
      </c>
      <c r="D90" s="2029">
        <v>47.25</v>
      </c>
      <c r="E90" s="839">
        <v>54.304752649999998</v>
      </c>
      <c r="F90" s="2839">
        <v>55.703461699999998</v>
      </c>
      <c r="G90" s="439">
        <v>32.009566599999999</v>
      </c>
      <c r="H90" s="254">
        <v>47.339525833333333</v>
      </c>
    </row>
    <row r="91" spans="1:8">
      <c r="A91" s="63">
        <v>2004.1</v>
      </c>
      <c r="B91" s="1938">
        <v>47.361111111111107</v>
      </c>
      <c r="C91" s="839">
        <v>52.416666666666664</v>
      </c>
      <c r="D91" s="2029">
        <v>48.361111111111114</v>
      </c>
      <c r="E91" s="839">
        <v>54.450485833333332</v>
      </c>
      <c r="F91" s="2839">
        <v>60.92919333333333</v>
      </c>
      <c r="G91" s="439">
        <v>32.958101666666664</v>
      </c>
      <c r="H91" s="254">
        <v>49.445926944444444</v>
      </c>
    </row>
    <row r="92" spans="1:8">
      <c r="A92" s="63">
        <v>2004.11</v>
      </c>
      <c r="B92" s="1938">
        <v>51.21816168327797</v>
      </c>
      <c r="C92" s="839">
        <v>55.916666666666664</v>
      </c>
      <c r="D92" s="2029">
        <v>53.972222222222229</v>
      </c>
      <c r="E92" s="839">
        <v>60.551036885382061</v>
      </c>
      <c r="F92" s="2839">
        <v>66.307714431063118</v>
      </c>
      <c r="G92" s="439">
        <v>35.53023969684385</v>
      </c>
      <c r="H92" s="254">
        <v>54.129663671096353</v>
      </c>
    </row>
    <row r="93" spans="1:8">
      <c r="A93" s="63">
        <v>2004.12</v>
      </c>
      <c r="B93" s="1938">
        <v>51.402373247033438</v>
      </c>
      <c r="C93" s="839">
        <v>51.25</v>
      </c>
      <c r="D93" s="2029">
        <v>52.657807308970099</v>
      </c>
      <c r="E93" s="839">
        <v>58.302214850968724</v>
      </c>
      <c r="F93" s="2839">
        <v>62.756613664994788</v>
      </c>
      <c r="G93" s="439">
        <v>35.016878120356637</v>
      </c>
      <c r="H93" s="254">
        <v>52.025235545440047</v>
      </c>
    </row>
    <row r="94" spans="1:8">
      <c r="A94" s="63">
        <v>2005.01</v>
      </c>
      <c r="B94" s="1938">
        <v>54.083333333333336</v>
      </c>
      <c r="C94" s="839">
        <v>58.291666666666664</v>
      </c>
      <c r="D94" s="2029">
        <v>56.777777777777771</v>
      </c>
      <c r="E94" s="839">
        <v>62.935393333333337</v>
      </c>
      <c r="F94" s="2839">
        <v>66.922422499999996</v>
      </c>
      <c r="G94" s="439">
        <v>40.579850416666673</v>
      </c>
      <c r="H94" s="254">
        <v>56.812555416666662</v>
      </c>
    </row>
    <row r="95" spans="1:8">
      <c r="A95" s="63">
        <v>2005.02</v>
      </c>
      <c r="B95" s="1938">
        <v>54.966887417218544</v>
      </c>
      <c r="C95" s="839">
        <v>56.541666666666664</v>
      </c>
      <c r="D95" s="2029">
        <v>55.944444444444436</v>
      </c>
      <c r="E95" s="839">
        <v>62.660918882450332</v>
      </c>
      <c r="F95" s="2839">
        <v>64.081867094370864</v>
      </c>
      <c r="G95" s="439">
        <v>41.171509776490069</v>
      </c>
      <c r="H95" s="254">
        <v>55.971431917770417</v>
      </c>
    </row>
    <row r="96" spans="1:8">
      <c r="A96" s="63">
        <v>2005.03</v>
      </c>
      <c r="B96" s="1938">
        <v>59.750000000000007</v>
      </c>
      <c r="C96" s="839">
        <v>59.625</v>
      </c>
      <c r="D96" s="2029">
        <v>57.308970099667782</v>
      </c>
      <c r="E96" s="839">
        <v>61.8120495251938</v>
      </c>
      <c r="F96" s="2839">
        <v>70.389216967054267</v>
      </c>
      <c r="G96" s="439">
        <v>43.022865206256924</v>
      </c>
      <c r="H96" s="254">
        <v>58.408043899501664</v>
      </c>
    </row>
    <row r="97" spans="1:8">
      <c r="A97" s="63">
        <v>2005.04</v>
      </c>
      <c r="B97" s="1938">
        <v>50.166666666666664</v>
      </c>
      <c r="C97" s="839">
        <v>51.125</v>
      </c>
      <c r="D97" s="2029">
        <v>53.55555555555555</v>
      </c>
      <c r="E97" s="839">
        <v>56.424012083333331</v>
      </c>
      <c r="F97" s="2839">
        <v>62.558955416666663</v>
      </c>
      <c r="G97" s="439">
        <v>37.824701250000004</v>
      </c>
      <c r="H97" s="254">
        <v>52.269222916666664</v>
      </c>
    </row>
    <row r="98" spans="1:8">
      <c r="A98" s="63">
        <v>2005.05</v>
      </c>
      <c r="B98" s="1938">
        <v>50.722222222222221</v>
      </c>
      <c r="C98" s="839">
        <v>55</v>
      </c>
      <c r="D98" s="2029">
        <v>49.555555555555564</v>
      </c>
      <c r="E98" s="839">
        <v>57.890183750000006</v>
      </c>
      <c r="F98" s="2839">
        <v>58.596549583333335</v>
      </c>
      <c r="G98" s="439">
        <v>37.748568333333338</v>
      </c>
      <c r="H98" s="254">
        <v>51.411767222222224</v>
      </c>
    </row>
    <row r="99" spans="1:8">
      <c r="A99" s="63">
        <v>2005.06</v>
      </c>
      <c r="B99" s="1938">
        <v>52.555555555555564</v>
      </c>
      <c r="C99" s="839">
        <v>49.75</v>
      </c>
      <c r="D99" s="2029">
        <v>50.55555555555555</v>
      </c>
      <c r="E99" s="839">
        <v>57.661146666666667</v>
      </c>
      <c r="F99" s="2839">
        <v>59.593034166666662</v>
      </c>
      <c r="G99" s="439">
        <v>34.625178333333338</v>
      </c>
      <c r="H99" s="254">
        <v>50.626453055555551</v>
      </c>
    </row>
    <row r="100" spans="1:8">
      <c r="A100" s="63">
        <v>2005.07</v>
      </c>
      <c r="B100" s="1938">
        <v>51.273532668881501</v>
      </c>
      <c r="C100" s="839">
        <v>49.793729372937293</v>
      </c>
      <c r="D100" s="2029">
        <v>50.694444444444436</v>
      </c>
      <c r="E100" s="839">
        <v>55.807611541067729</v>
      </c>
      <c r="F100" s="2839">
        <v>56.584111304480118</v>
      </c>
      <c r="G100" s="439">
        <v>39.137591944672877</v>
      </c>
      <c r="H100" s="254">
        <v>50.509771596740237</v>
      </c>
    </row>
    <row r="101" spans="1:8">
      <c r="A101" s="63">
        <v>2005.08</v>
      </c>
      <c r="B101" s="1938">
        <v>48.166666666666664</v>
      </c>
      <c r="C101" s="839">
        <v>54.25</v>
      </c>
      <c r="D101" s="2029">
        <v>51.965669988925804</v>
      </c>
      <c r="E101" s="839">
        <v>59.104499649778518</v>
      </c>
      <c r="F101" s="2839">
        <v>55.896743644795123</v>
      </c>
      <c r="G101" s="439">
        <v>41.181664155592472</v>
      </c>
      <c r="H101" s="254">
        <v>52.060969150055371</v>
      </c>
    </row>
    <row r="102" spans="1:8">
      <c r="A102" s="63">
        <v>2005.09</v>
      </c>
      <c r="B102" s="1938">
        <v>46.888888888888893</v>
      </c>
      <c r="C102" s="839">
        <v>51.291666666666664</v>
      </c>
      <c r="D102" s="2029">
        <v>50.05555555555555</v>
      </c>
      <c r="E102" s="839">
        <v>56.3078675</v>
      </c>
      <c r="F102" s="2839">
        <v>55.242461249999991</v>
      </c>
      <c r="G102" s="439">
        <v>38.239441666666664</v>
      </c>
      <c r="H102" s="254">
        <v>49.929923472222214</v>
      </c>
    </row>
    <row r="103" spans="1:8">
      <c r="A103" s="63">
        <v>2005.1</v>
      </c>
      <c r="B103" s="1938">
        <v>49.361111111111107</v>
      </c>
      <c r="C103" s="839">
        <v>49.041666666666664</v>
      </c>
      <c r="D103" s="2029">
        <v>50.972222222222221</v>
      </c>
      <c r="E103" s="839">
        <v>56.786584583333337</v>
      </c>
      <c r="F103" s="2839">
        <v>56.887112083333328</v>
      </c>
      <c r="G103" s="439">
        <v>36.694037916666666</v>
      </c>
      <c r="H103" s="254">
        <v>50.122578194444444</v>
      </c>
    </row>
    <row r="104" spans="1:8">
      <c r="A104" s="63">
        <v>2005.11</v>
      </c>
      <c r="B104" s="1938">
        <v>52.666666666666664</v>
      </c>
      <c r="C104" s="839">
        <v>53.791666666666664</v>
      </c>
      <c r="D104" s="2029">
        <v>53.333333333333336</v>
      </c>
      <c r="E104" s="839">
        <v>58.768545000000003</v>
      </c>
      <c r="F104" s="2839">
        <v>60.114917500000004</v>
      </c>
      <c r="G104" s="439">
        <v>41.21829125</v>
      </c>
      <c r="H104" s="254">
        <v>53.367251250000002</v>
      </c>
    </row>
    <row r="105" spans="1:8">
      <c r="A105" s="63">
        <v>2005.12</v>
      </c>
      <c r="B105" s="1938">
        <v>50.083333333333336</v>
      </c>
      <c r="C105" s="839">
        <v>53</v>
      </c>
      <c r="D105" s="2029">
        <v>50.138888888888886</v>
      </c>
      <c r="E105" s="839">
        <v>58.149746666666665</v>
      </c>
      <c r="F105" s="2839">
        <v>56.173473749999999</v>
      </c>
      <c r="G105" s="439">
        <v>38.69952958333333</v>
      </c>
      <c r="H105" s="254">
        <v>51.007583333333329</v>
      </c>
    </row>
    <row r="106" spans="1:8">
      <c r="A106" s="63">
        <v>2006.01</v>
      </c>
      <c r="B106" s="1938">
        <v>58.416666666666664</v>
      </c>
      <c r="C106" s="839">
        <v>57.013201320132019</v>
      </c>
      <c r="D106" s="2029">
        <v>56.69444444444445</v>
      </c>
      <c r="E106" s="839">
        <v>62.391737731023106</v>
      </c>
      <c r="F106" s="2839">
        <v>63.874135420792072</v>
      </c>
      <c r="G106" s="439">
        <v>44.93233090759076</v>
      </c>
      <c r="H106" s="254">
        <v>57.066068019801989</v>
      </c>
    </row>
    <row r="107" spans="1:8">
      <c r="A107" s="63">
        <v>2006.02</v>
      </c>
      <c r="B107" s="1938">
        <v>53.44444444444445</v>
      </c>
      <c r="C107" s="839">
        <v>55.833333333333336</v>
      </c>
      <c r="D107" s="2029">
        <v>57.277777777777771</v>
      </c>
      <c r="E107" s="839">
        <v>61.516106666666666</v>
      </c>
      <c r="F107" s="2839">
        <v>63.041796666666663</v>
      </c>
      <c r="G107" s="439">
        <v>44.111789999999999</v>
      </c>
      <c r="H107" s="254">
        <v>56.223231111111112</v>
      </c>
    </row>
    <row r="108" spans="1:8">
      <c r="A108" s="63">
        <v>2006.03</v>
      </c>
      <c r="B108" s="1938">
        <v>54.944444444444436</v>
      </c>
      <c r="C108" s="839">
        <v>59.083333333333336</v>
      </c>
      <c r="D108" s="2029">
        <v>61.777777777777779</v>
      </c>
      <c r="E108" s="839">
        <v>64.511775833333331</v>
      </c>
      <c r="F108" s="2839">
        <v>67.655024999999995</v>
      </c>
      <c r="G108" s="439">
        <v>47.418130000000005</v>
      </c>
      <c r="H108" s="254">
        <v>59.861643611111113</v>
      </c>
    </row>
    <row r="109" spans="1:8">
      <c r="A109" s="63">
        <v>2006.04</v>
      </c>
      <c r="B109" s="1938">
        <v>53.062913907284774</v>
      </c>
      <c r="C109" s="839">
        <v>55.583333333333336</v>
      </c>
      <c r="D109" s="2029">
        <v>53.416666666666664</v>
      </c>
      <c r="E109" s="839">
        <v>59.456074379139068</v>
      </c>
      <c r="F109" s="2839">
        <v>61.459634304635763</v>
      </c>
      <c r="G109" s="439">
        <v>41.158404759933774</v>
      </c>
      <c r="H109" s="254">
        <v>54.024704481236199</v>
      </c>
    </row>
    <row r="110" spans="1:8">
      <c r="A110" s="63">
        <v>2006.05</v>
      </c>
      <c r="B110" s="1938">
        <v>52.740863787375417</v>
      </c>
      <c r="C110" s="839">
        <v>56.416666666666664</v>
      </c>
      <c r="D110" s="2029">
        <v>58.166666666666664</v>
      </c>
      <c r="E110" s="839">
        <v>61.808444680232554</v>
      </c>
      <c r="F110" s="2839">
        <v>61.01045460963455</v>
      </c>
      <c r="G110" s="439">
        <v>47.475029240033223</v>
      </c>
      <c r="H110" s="254">
        <v>56.764642843300109</v>
      </c>
    </row>
    <row r="111" spans="1:8">
      <c r="A111" s="63">
        <v>2006.06</v>
      </c>
      <c r="B111" s="1938">
        <v>56.533776301218161</v>
      </c>
      <c r="C111" s="839">
        <v>58.833333333333336</v>
      </c>
      <c r="D111" s="2029">
        <v>58.944444444444436</v>
      </c>
      <c r="E111" s="839">
        <v>62.164544036544839</v>
      </c>
      <c r="F111" s="2839">
        <v>65.169056719269093</v>
      </c>
      <c r="G111" s="439">
        <v>48.243536951827238</v>
      </c>
      <c r="H111" s="254">
        <v>58.525712569213724</v>
      </c>
    </row>
    <row r="112" spans="1:8">
      <c r="A112" s="63">
        <v>2006.07</v>
      </c>
      <c r="B112" s="1938">
        <v>56.333333333333336</v>
      </c>
      <c r="C112" s="839">
        <v>59.166666666666664</v>
      </c>
      <c r="D112" s="2029">
        <v>57.333333333333336</v>
      </c>
      <c r="E112" s="839">
        <v>63.275557499999991</v>
      </c>
      <c r="F112" s="2839">
        <v>61.376802500000004</v>
      </c>
      <c r="G112" s="439">
        <v>48.555885000000004</v>
      </c>
      <c r="H112" s="254">
        <v>57.736081666666671</v>
      </c>
    </row>
    <row r="113" spans="1:8">
      <c r="A113" s="63">
        <v>2006.08</v>
      </c>
      <c r="B113" s="1938">
        <v>55.14950166112957</v>
      </c>
      <c r="C113" s="839">
        <v>56.708333333333336</v>
      </c>
      <c r="D113" s="2029">
        <v>55.583333333333336</v>
      </c>
      <c r="E113" s="839">
        <v>63.127208222591356</v>
      </c>
      <c r="F113" s="2839">
        <v>59.465668612956812</v>
      </c>
      <c r="G113" s="439">
        <v>44.983868243355488</v>
      </c>
      <c r="H113" s="254">
        <v>55.858915026301219</v>
      </c>
    </row>
    <row r="114" spans="1:8">
      <c r="A114" s="63">
        <v>2006.09</v>
      </c>
      <c r="B114" s="1938">
        <v>55.132450331125824</v>
      </c>
      <c r="C114" s="839">
        <v>57.75</v>
      </c>
      <c r="D114" s="2029">
        <v>60.777777777777779</v>
      </c>
      <c r="E114" s="839">
        <v>65.073456332781461</v>
      </c>
      <c r="F114" s="2839">
        <v>62.625628965231797</v>
      </c>
      <c r="G114" s="439">
        <v>49.146769188741722</v>
      </c>
      <c r="H114" s="254">
        <v>58.948618162251648</v>
      </c>
    </row>
    <row r="115" spans="1:8">
      <c r="A115" s="63">
        <v>2006.1</v>
      </c>
      <c r="B115" s="1938">
        <v>53.972222222222221</v>
      </c>
      <c r="C115" s="839">
        <v>60.958333333333336</v>
      </c>
      <c r="D115" s="2029">
        <v>60.733995584988953</v>
      </c>
      <c r="E115" s="839">
        <v>65.255176956401769</v>
      </c>
      <c r="F115" s="2839">
        <v>62.595244155629132</v>
      </c>
      <c r="G115" s="439">
        <v>51.324630314569532</v>
      </c>
      <c r="H115" s="254">
        <v>59.725017142200144</v>
      </c>
    </row>
    <row r="116" spans="1:8">
      <c r="A116" s="63">
        <v>2006.11</v>
      </c>
      <c r="B116" s="1938">
        <v>54.515050167224082</v>
      </c>
      <c r="C116" s="839">
        <v>60.208333333333336</v>
      </c>
      <c r="D116" s="2029">
        <v>57</v>
      </c>
      <c r="E116" s="839">
        <v>62.838562240802673</v>
      </c>
      <c r="F116" s="2839">
        <v>59.85897818979933</v>
      </c>
      <c r="G116" s="439">
        <v>50.066933745819398</v>
      </c>
      <c r="H116" s="254">
        <v>57.588158058807139</v>
      </c>
    </row>
    <row r="117" spans="1:8">
      <c r="A117" s="63">
        <v>2006.12</v>
      </c>
      <c r="B117" s="1938">
        <v>56.284606866002228</v>
      </c>
      <c r="C117" s="839">
        <v>59.038142620232179</v>
      </c>
      <c r="D117" s="2029">
        <v>56.25</v>
      </c>
      <c r="E117" s="839">
        <v>63.049620580114379</v>
      </c>
      <c r="F117" s="2839">
        <v>59.481014367985651</v>
      </c>
      <c r="G117" s="439">
        <v>48.801176477537567</v>
      </c>
      <c r="H117" s="254">
        <v>57.110603808545875</v>
      </c>
    </row>
    <row r="118" spans="1:8">
      <c r="A118" s="63">
        <v>2007.01</v>
      </c>
      <c r="B118" s="1938">
        <v>58.388704318936874</v>
      </c>
      <c r="C118" s="839">
        <v>59.375</v>
      </c>
      <c r="D118" s="2029">
        <v>62.666666666666664</v>
      </c>
      <c r="E118" s="839">
        <v>67.703216046511628</v>
      </c>
      <c r="F118" s="2839">
        <v>63.008008741694354</v>
      </c>
      <c r="G118" s="439">
        <v>52.211789916943516</v>
      </c>
      <c r="H118" s="254">
        <v>60.974338235049835</v>
      </c>
    </row>
    <row r="119" spans="1:8">
      <c r="A119" s="63">
        <v>2007.02</v>
      </c>
      <c r="B119" s="1938">
        <v>56.5</v>
      </c>
      <c r="C119" s="839">
        <v>59.452736318407972</v>
      </c>
      <c r="D119" s="2029">
        <v>60.492801771871534</v>
      </c>
      <c r="E119" s="839">
        <v>65.539518709897351</v>
      </c>
      <c r="F119" s="2839">
        <v>60.341973698079372</v>
      </c>
      <c r="G119" s="439">
        <v>52.729261311713856</v>
      </c>
      <c r="H119" s="254">
        <v>59.536917906563531</v>
      </c>
    </row>
    <row r="120" spans="1:8">
      <c r="A120" s="63">
        <v>2007.03</v>
      </c>
      <c r="B120" s="1938">
        <v>56.166666666666664</v>
      </c>
      <c r="C120" s="839">
        <v>58.666666666666664</v>
      </c>
      <c r="D120" s="2029">
        <v>59.7452934662237</v>
      </c>
      <c r="E120" s="839">
        <v>64.814847650885937</v>
      </c>
      <c r="F120" s="2839">
        <v>60.791429696843849</v>
      </c>
      <c r="G120" s="439">
        <v>50.924418250276858</v>
      </c>
      <c r="H120" s="254">
        <v>58.843565199335544</v>
      </c>
    </row>
    <row r="121" spans="1:8">
      <c r="A121" s="63">
        <v>2007.04</v>
      </c>
      <c r="B121" s="1938">
        <v>52.277777777777779</v>
      </c>
      <c r="C121" s="839">
        <v>50.75</v>
      </c>
      <c r="D121" s="2029">
        <v>54.138888888888886</v>
      </c>
      <c r="E121" s="839">
        <v>60.135614166666663</v>
      </c>
      <c r="F121" s="2839">
        <v>52.080787916666665</v>
      </c>
      <c r="G121" s="439">
        <v>46.189111249999996</v>
      </c>
      <c r="H121" s="254">
        <v>52.801837777777777</v>
      </c>
    </row>
    <row r="122" spans="1:8">
      <c r="A122" s="63">
        <v>2007.05</v>
      </c>
      <c r="B122" s="1938">
        <v>50.305555555555564</v>
      </c>
      <c r="C122" s="839">
        <v>54.666666666666664</v>
      </c>
      <c r="D122" s="2029">
        <v>52.694444444444436</v>
      </c>
      <c r="E122" s="839">
        <v>58.614234166666662</v>
      </c>
      <c r="F122" s="2839">
        <v>52.763772500000002</v>
      </c>
      <c r="G122" s="439">
        <v>47.377789999999997</v>
      </c>
      <c r="H122" s="254">
        <v>52.91859888888888</v>
      </c>
    </row>
    <row r="123" spans="1:8">
      <c r="A123" s="63">
        <v>2007.06</v>
      </c>
      <c r="B123" s="1938">
        <v>52.062430323299886</v>
      </c>
      <c r="C123" s="839">
        <v>52.155887230514089</v>
      </c>
      <c r="D123" s="2029">
        <v>50.613154960981042</v>
      </c>
      <c r="E123" s="839">
        <v>58.134460332118664</v>
      </c>
      <c r="F123" s="2839">
        <v>50.15825593603887</v>
      </c>
      <c r="G123" s="439">
        <v>45.658229712640804</v>
      </c>
      <c r="H123" s="254">
        <v>51.316981993599441</v>
      </c>
    </row>
    <row r="124" spans="1:8">
      <c r="A124" s="63">
        <v>2007.07</v>
      </c>
      <c r="B124" s="1938">
        <v>47.937293729372932</v>
      </c>
      <c r="C124" s="839">
        <v>51.416666666666664</v>
      </c>
      <c r="D124" s="2029">
        <v>50.137513751375138</v>
      </c>
      <c r="E124" s="839">
        <v>56.509752582508256</v>
      </c>
      <c r="F124" s="2839">
        <v>49.862736382013196</v>
      </c>
      <c r="G124" s="439">
        <v>44.164674723597358</v>
      </c>
      <c r="H124" s="254">
        <v>50.17905456270627</v>
      </c>
    </row>
    <row r="125" spans="1:8">
      <c r="A125" s="63">
        <v>2007.08</v>
      </c>
      <c r="B125" s="1938">
        <v>46.166666666666664</v>
      </c>
      <c r="C125" s="839">
        <v>50.041666666666664</v>
      </c>
      <c r="D125" s="2029">
        <v>44.767441860465112</v>
      </c>
      <c r="E125" s="839">
        <v>54.488730301771874</v>
      </c>
      <c r="F125" s="2839">
        <v>45.865502924972319</v>
      </c>
      <c r="G125" s="439">
        <v>39.471301395348839</v>
      </c>
      <c r="H125" s="254">
        <v>46.60851154069767</v>
      </c>
    </row>
    <row r="126" spans="1:8">
      <c r="A126" s="63">
        <v>2007.09</v>
      </c>
      <c r="B126" s="1938">
        <v>46.906354515050168</v>
      </c>
      <c r="C126" s="839">
        <v>50.125</v>
      </c>
      <c r="D126" s="2029">
        <v>49.36323366555925</v>
      </c>
      <c r="E126" s="839">
        <v>56.888658360606783</v>
      </c>
      <c r="F126" s="2839">
        <v>47.941501694477161</v>
      </c>
      <c r="G126" s="439">
        <v>42.785179203310591</v>
      </c>
      <c r="H126" s="254">
        <v>49.205113086131519</v>
      </c>
    </row>
    <row r="127" spans="1:8">
      <c r="A127" s="63">
        <v>2007.1</v>
      </c>
      <c r="B127" s="1938">
        <v>47.361111111111107</v>
      </c>
      <c r="C127" s="839">
        <v>50</v>
      </c>
      <c r="D127" s="2029">
        <v>46.861111111111114</v>
      </c>
      <c r="E127" s="839">
        <v>55.78753833333333</v>
      </c>
      <c r="F127" s="2839">
        <v>45.18858208333333</v>
      </c>
      <c r="G127" s="439">
        <v>42.734652916666668</v>
      </c>
      <c r="H127" s="254">
        <v>47.903591111111112</v>
      </c>
    </row>
    <row r="128" spans="1:8">
      <c r="A128" s="63">
        <v>2007.11</v>
      </c>
      <c r="B128" s="1938">
        <v>48.055555555555564</v>
      </c>
      <c r="C128" s="839">
        <v>53.208333333333336</v>
      </c>
      <c r="D128" s="2029">
        <v>51.462472406181014</v>
      </c>
      <c r="E128" s="839">
        <v>58.16834804083885</v>
      </c>
      <c r="F128" s="2839">
        <v>52.964196103752762</v>
      </c>
      <c r="G128" s="439">
        <v>43.232423209161141</v>
      </c>
      <c r="H128" s="254">
        <v>51.454989117917592</v>
      </c>
    </row>
    <row r="129" spans="1:8">
      <c r="A129" s="63">
        <v>2007.12</v>
      </c>
      <c r="B129" s="1938">
        <v>50.388888888888886</v>
      </c>
      <c r="C129" s="839">
        <v>50.791666666666664</v>
      </c>
      <c r="D129" s="2029">
        <v>52.25752508361203</v>
      </c>
      <c r="E129" s="839">
        <v>60.393592009476031</v>
      </c>
      <c r="F129" s="2839">
        <v>51.927174962374579</v>
      </c>
      <c r="G129" s="439">
        <v>42.207591387959866</v>
      </c>
      <c r="H129" s="254">
        <v>51.509452786603489</v>
      </c>
    </row>
    <row r="130" spans="1:8">
      <c r="A130" s="63">
        <f t="shared" ref="A130:A193" si="0">A118+1</f>
        <v>2008.01</v>
      </c>
      <c r="B130" s="1938">
        <v>53.848039215686278</v>
      </c>
      <c r="C130" s="839">
        <v>56.208333333333336</v>
      </c>
      <c r="D130" s="2029">
        <v>54.73047304730472</v>
      </c>
      <c r="E130" s="839">
        <v>63.428562227722772</v>
      </c>
      <c r="F130" s="2839">
        <v>55.591428645165983</v>
      </c>
      <c r="G130" s="439">
        <v>46.108666383226556</v>
      </c>
      <c r="H130" s="254">
        <v>55.042885752038437</v>
      </c>
    </row>
    <row r="131" spans="1:8">
      <c r="A131" s="63">
        <f t="shared" si="0"/>
        <v>2008.02</v>
      </c>
      <c r="B131" s="1938">
        <v>47.807017543859651</v>
      </c>
      <c r="C131" s="839">
        <v>50.497512437810947</v>
      </c>
      <c r="D131" s="2029">
        <v>54.166666666666664</v>
      </c>
      <c r="E131" s="839">
        <v>59.925903095239974</v>
      </c>
      <c r="F131" s="2839">
        <v>50.954962714081041</v>
      </c>
      <c r="G131" s="439">
        <v>45.199961861535229</v>
      </c>
      <c r="H131" s="254">
        <v>52.026942556952079</v>
      </c>
    </row>
    <row r="132" spans="1:8">
      <c r="A132" s="63">
        <f t="shared" si="0"/>
        <v>2008.03</v>
      </c>
      <c r="B132" s="1938">
        <v>45.451653</v>
      </c>
      <c r="C132" s="839">
        <v>46.369396000000002</v>
      </c>
      <c r="D132" s="2029">
        <v>45.038910000000001</v>
      </c>
      <c r="E132" s="839">
        <v>53.991534455109999</v>
      </c>
      <c r="F132" s="2839">
        <v>43.798583607899999</v>
      </c>
      <c r="G132" s="439">
        <v>38.747462576619995</v>
      </c>
      <c r="H132" s="254">
        <v>45.512526999999999</v>
      </c>
    </row>
    <row r="133" spans="1:8">
      <c r="A133" s="63">
        <f t="shared" si="0"/>
        <v>2008.04</v>
      </c>
      <c r="B133" s="1938">
        <v>44.613818999999999</v>
      </c>
      <c r="C133" s="839">
        <v>46.433669999999999</v>
      </c>
      <c r="D133" s="2029">
        <v>45.451526999999999</v>
      </c>
      <c r="E133" s="839">
        <v>52.898079472759996</v>
      </c>
      <c r="F133" s="2839">
        <v>45.730890332689995</v>
      </c>
      <c r="G133" s="439">
        <v>38.228112471160003</v>
      </c>
      <c r="H133" s="254">
        <v>45.619025999999998</v>
      </c>
    </row>
    <row r="134" spans="1:8">
      <c r="A134" s="63">
        <f t="shared" si="0"/>
        <v>2008.05</v>
      </c>
      <c r="B134" s="1938">
        <v>36.975067000000003</v>
      </c>
      <c r="C134" s="839">
        <v>40.562674999999999</v>
      </c>
      <c r="D134" s="2029">
        <v>41.162635999999999</v>
      </c>
      <c r="E134" s="839">
        <v>47.03965925851</v>
      </c>
      <c r="F134" s="2839">
        <v>39.306125283970005</v>
      </c>
      <c r="G134" s="439">
        <v>34.587155860660005</v>
      </c>
      <c r="H134" s="254">
        <v>40.310982000000003</v>
      </c>
    </row>
    <row r="135" spans="1:8">
      <c r="A135" s="63">
        <f t="shared" si="0"/>
        <v>2008.06</v>
      </c>
      <c r="B135" s="1938">
        <v>36.518661000000002</v>
      </c>
      <c r="C135" s="839">
        <v>38.696373000000001</v>
      </c>
      <c r="D135" s="2029">
        <v>41.035854</v>
      </c>
      <c r="E135" s="839">
        <v>47.266501064469999</v>
      </c>
      <c r="F135" s="2839">
        <v>40.238431780729996</v>
      </c>
      <c r="G135" s="439">
        <v>31.288607202649999</v>
      </c>
      <c r="H135" s="254">
        <v>39.597847000000002</v>
      </c>
    </row>
    <row r="136" spans="1:8">
      <c r="A136" s="63">
        <f t="shared" si="0"/>
        <v>2008.07</v>
      </c>
      <c r="B136" s="1938">
        <v>39.029949000000002</v>
      </c>
      <c r="C136" s="839">
        <v>39.489699999999999</v>
      </c>
      <c r="D136" s="2029">
        <v>41.469036000000003</v>
      </c>
      <c r="E136" s="839">
        <v>48.577533521020001</v>
      </c>
      <c r="F136" s="2839">
        <v>42.24004126717</v>
      </c>
      <c r="G136" s="439">
        <v>30.60026267293</v>
      </c>
      <c r="H136" s="254">
        <v>40.472610000000003</v>
      </c>
    </row>
    <row r="137" spans="1:8">
      <c r="A137" s="63">
        <f t="shared" si="0"/>
        <v>2008.08</v>
      </c>
      <c r="B137" s="1938">
        <v>41.347382000000003</v>
      </c>
      <c r="C137" s="839">
        <v>43.538646999999997</v>
      </c>
      <c r="D137" s="2029">
        <v>40.148578999999998</v>
      </c>
      <c r="E137" s="839">
        <v>47.979079162710001</v>
      </c>
      <c r="F137" s="2839">
        <v>44.268796660139998</v>
      </c>
      <c r="G137" s="439">
        <v>31.89073364659</v>
      </c>
      <c r="H137" s="254">
        <v>41.379536000000002</v>
      </c>
    </row>
    <row r="138" spans="1:8">
      <c r="A138" s="63">
        <f t="shared" si="0"/>
        <v>2008.09</v>
      </c>
      <c r="B138" s="1938">
        <v>43.577075999999998</v>
      </c>
      <c r="C138" s="839">
        <v>42.879218999999999</v>
      </c>
      <c r="D138" s="2029">
        <v>45.533332999999999</v>
      </c>
      <c r="E138" s="839">
        <v>51.502637356739996</v>
      </c>
      <c r="F138" s="2839">
        <v>44.510607622180004</v>
      </c>
      <c r="G138" s="439">
        <v>37.206870339459996</v>
      </c>
      <c r="H138" s="254">
        <v>44.406703999999998</v>
      </c>
    </row>
    <row r="139" spans="1:8">
      <c r="A139" s="63">
        <f t="shared" si="0"/>
        <v>2008.1</v>
      </c>
      <c r="B139" s="1938">
        <v>39.537036999999998</v>
      </c>
      <c r="C139" s="839">
        <v>38.986355000000003</v>
      </c>
      <c r="D139" s="2029">
        <v>40.932312000000003</v>
      </c>
      <c r="E139" s="839">
        <v>50.406539348089993</v>
      </c>
      <c r="F139" s="2839">
        <v>42.982903351389993</v>
      </c>
      <c r="G139" s="439">
        <v>26.947836343360002</v>
      </c>
      <c r="H139" s="254">
        <v>40.112426999999997</v>
      </c>
    </row>
    <row r="140" spans="1:8">
      <c r="A140" s="63">
        <f t="shared" si="0"/>
        <v>2008.11</v>
      </c>
      <c r="B140" s="1938">
        <v>36.417324000000001</v>
      </c>
      <c r="C140" s="839">
        <v>40.086418000000002</v>
      </c>
      <c r="D140" s="2029">
        <v>39.371468</v>
      </c>
      <c r="E140" s="839">
        <v>46.886716300739998</v>
      </c>
      <c r="F140" s="2839">
        <v>45.131770049229999</v>
      </c>
      <c r="G140" s="439">
        <v>25.34109707088</v>
      </c>
      <c r="H140" s="254">
        <v>39.119861999999998</v>
      </c>
    </row>
    <row r="141" spans="1:8">
      <c r="A141" s="63">
        <f t="shared" si="0"/>
        <v>2008.12</v>
      </c>
      <c r="B141" s="1938">
        <v>39.533332999999999</v>
      </c>
      <c r="C141" s="839">
        <v>36.921795000000003</v>
      </c>
      <c r="D141" s="2029">
        <v>36.360675999999998</v>
      </c>
      <c r="E141" s="839">
        <v>45.231289381509995</v>
      </c>
      <c r="F141" s="2839">
        <v>42.242322295320001</v>
      </c>
      <c r="G141" s="439">
        <v>23.640239903679998</v>
      </c>
      <c r="H141" s="254">
        <v>37.037948999999998</v>
      </c>
    </row>
    <row r="142" spans="1:8">
      <c r="A142" s="63">
        <f t="shared" si="0"/>
        <v>2009.01</v>
      </c>
      <c r="B142" s="1938">
        <v>39.746093999999999</v>
      </c>
      <c r="C142" s="839">
        <v>42.696357999999996</v>
      </c>
      <c r="D142" s="2029">
        <v>40.763053999999997</v>
      </c>
      <c r="E142" s="839">
        <v>51.249579694429997</v>
      </c>
      <c r="F142" s="2839">
        <v>46.707110840969996</v>
      </c>
      <c r="G142" s="439">
        <v>25.625146966259997</v>
      </c>
      <c r="H142" s="254">
        <v>41.193947000000001</v>
      </c>
    </row>
    <row r="143" spans="1:8">
      <c r="A143" s="63">
        <f t="shared" si="0"/>
        <v>2009.02</v>
      </c>
      <c r="B143" s="1938">
        <v>38.123359999999998</v>
      </c>
      <c r="C143" s="839">
        <v>38.904831000000001</v>
      </c>
      <c r="D143" s="2029">
        <v>40.148448999999999</v>
      </c>
      <c r="E143" s="839">
        <v>46.807520256449997</v>
      </c>
      <c r="F143" s="2839">
        <v>46.654632738480004</v>
      </c>
      <c r="G143" s="439">
        <v>24.869175699020001</v>
      </c>
      <c r="H143" s="254">
        <v>39.443775000000002</v>
      </c>
    </row>
    <row r="144" spans="1:8">
      <c r="A144" s="63">
        <f t="shared" si="0"/>
        <v>2009.03</v>
      </c>
      <c r="B144" s="1938">
        <v>37.304687999999999</v>
      </c>
      <c r="C144" s="839">
        <v>38.600853000000001</v>
      </c>
      <c r="D144" s="2029">
        <v>36.836734999999997</v>
      </c>
      <c r="E144" s="839">
        <v>46.404525550789998</v>
      </c>
      <c r="F144" s="2839">
        <v>45.374262392600002</v>
      </c>
      <c r="G144" s="439">
        <v>20.57813138609</v>
      </c>
      <c r="H144" s="254">
        <v>37.452305000000003</v>
      </c>
    </row>
    <row r="145" spans="1:8">
      <c r="A145" s="63">
        <f t="shared" si="0"/>
        <v>2009.04</v>
      </c>
      <c r="B145" s="1938">
        <v>36.881512000000001</v>
      </c>
      <c r="C145" s="839">
        <v>37.844253999999999</v>
      </c>
      <c r="D145" s="2029">
        <v>37.569443</v>
      </c>
      <c r="E145" s="839">
        <v>45.155536253560001</v>
      </c>
      <c r="F145" s="2839">
        <v>46.947261235680003</v>
      </c>
      <c r="G145" s="439">
        <v>20.52863460108</v>
      </c>
      <c r="H145" s="254">
        <v>37.543807999999999</v>
      </c>
    </row>
    <row r="146" spans="1:8">
      <c r="A146" s="63">
        <f t="shared" si="0"/>
        <v>2009.05</v>
      </c>
      <c r="B146" s="1938">
        <v>40.616798000000003</v>
      </c>
      <c r="C146" s="839">
        <v>39.705162000000001</v>
      </c>
      <c r="D146" s="2029">
        <v>38.283211000000001</v>
      </c>
      <c r="E146" s="839">
        <v>45.075846101850004</v>
      </c>
      <c r="F146" s="2839">
        <v>48.809679985140001</v>
      </c>
      <c r="G146" s="439">
        <v>23.387397622180004</v>
      </c>
      <c r="H146" s="254">
        <v>39.090972999999998</v>
      </c>
    </row>
    <row r="147" spans="1:8">
      <c r="A147" s="63">
        <f t="shared" si="0"/>
        <v>2009.06</v>
      </c>
      <c r="B147" s="1938">
        <v>37.517432999999997</v>
      </c>
      <c r="C147" s="839">
        <v>39.706558000000001</v>
      </c>
      <c r="D147" s="2029">
        <v>41.297043000000002</v>
      </c>
      <c r="E147" s="839">
        <v>46.744468446469995</v>
      </c>
      <c r="F147" s="2839">
        <v>48.368803930710001</v>
      </c>
      <c r="G147" s="439">
        <v>25.505913846910001</v>
      </c>
      <c r="H147" s="254">
        <v>40.206398</v>
      </c>
    </row>
    <row r="148" spans="1:8">
      <c r="A148" s="63">
        <f t="shared" si="0"/>
        <v>2009.07</v>
      </c>
      <c r="B148" s="1938">
        <v>41.633727999999998</v>
      </c>
      <c r="C148" s="839">
        <v>42.166668000000001</v>
      </c>
      <c r="D148" s="2029">
        <v>42.666668000000001</v>
      </c>
      <c r="E148" s="839">
        <v>49.990366279390003</v>
      </c>
      <c r="F148" s="2839">
        <v>50.16603832565</v>
      </c>
      <c r="G148" s="439">
        <v>26.888311404180001</v>
      </c>
      <c r="H148" s="254">
        <v>42.348239999999997</v>
      </c>
    </row>
    <row r="149" spans="1:8">
      <c r="A149" s="63">
        <f t="shared" si="0"/>
        <v>2009.08</v>
      </c>
      <c r="B149" s="1938">
        <v>38.512614999999997</v>
      </c>
      <c r="C149" s="839">
        <v>39.483001999999999</v>
      </c>
      <c r="D149" s="2029">
        <v>42.034804999999999</v>
      </c>
      <c r="E149" s="839">
        <v>46.747659164710001</v>
      </c>
      <c r="F149" s="2839">
        <v>46.293714627089997</v>
      </c>
      <c r="G149" s="439">
        <v>29.029051441740002</v>
      </c>
      <c r="H149" s="254">
        <v>40.690143999999997</v>
      </c>
    </row>
    <row r="150" spans="1:8">
      <c r="A150" s="63">
        <f t="shared" si="0"/>
        <v>2009.09</v>
      </c>
      <c r="B150" s="1938">
        <v>41.333331999999999</v>
      </c>
      <c r="C150" s="839">
        <v>42.400565999999998</v>
      </c>
      <c r="D150" s="2029">
        <v>38.272849999999998</v>
      </c>
      <c r="E150" s="839">
        <v>45.891400275140001</v>
      </c>
      <c r="F150" s="2839">
        <v>44.975959088269995</v>
      </c>
      <c r="G150" s="439">
        <v>29.213004959579997</v>
      </c>
      <c r="H150" s="254">
        <v>40.026786999999999</v>
      </c>
    </row>
    <row r="151" spans="1:8">
      <c r="A151" s="63">
        <f t="shared" si="0"/>
        <v>2009.1</v>
      </c>
      <c r="B151" s="1938">
        <v>39.725571000000002</v>
      </c>
      <c r="C151" s="839">
        <v>39.448357000000001</v>
      </c>
      <c r="D151" s="2029">
        <v>38.587685</v>
      </c>
      <c r="E151" s="839">
        <v>46.491005394089996</v>
      </c>
      <c r="F151" s="2839">
        <v>43.819089397360003</v>
      </c>
      <c r="G151" s="439">
        <v>26.788024619409999</v>
      </c>
      <c r="H151" s="254">
        <v>39.032707000000002</v>
      </c>
    </row>
    <row r="152" spans="1:8">
      <c r="A152" s="63">
        <f t="shared" si="0"/>
        <v>2009.11</v>
      </c>
      <c r="B152" s="1938">
        <v>38.594771999999999</v>
      </c>
      <c r="C152" s="839">
        <v>39.616118999999998</v>
      </c>
      <c r="D152" s="2029">
        <v>41.565860999999998</v>
      </c>
      <c r="E152" s="839">
        <v>48.112949974800003</v>
      </c>
      <c r="F152" s="2839">
        <v>45.037971433549998</v>
      </c>
      <c r="G152" s="439">
        <v>28.3303726967</v>
      </c>
      <c r="H152" s="254">
        <v>40.493763000000001</v>
      </c>
    </row>
    <row r="153" spans="1:8">
      <c r="A153" s="63">
        <f t="shared" si="0"/>
        <v>2009.12</v>
      </c>
      <c r="B153" s="1938">
        <v>41.730277999999998</v>
      </c>
      <c r="C153" s="839">
        <v>40.603619000000002</v>
      </c>
      <c r="D153" s="2029">
        <v>39.550266000000001</v>
      </c>
      <c r="E153" s="839">
        <v>49.679829758929998</v>
      </c>
      <c r="F153" s="2839">
        <v>44.230575329920001</v>
      </c>
      <c r="G153" s="439">
        <v>26.75088831935</v>
      </c>
      <c r="H153" s="254">
        <v>40.220432000000002</v>
      </c>
    </row>
    <row r="154" spans="1:8">
      <c r="A154" s="63">
        <f t="shared" si="0"/>
        <v>2010.01</v>
      </c>
      <c r="B154" s="1938">
        <v>45.703125</v>
      </c>
      <c r="C154" s="839">
        <v>44.659039</v>
      </c>
      <c r="D154" s="2029">
        <v>46.034945999999998</v>
      </c>
      <c r="E154" s="839">
        <v>53.665229369819997</v>
      </c>
      <c r="F154" s="2839">
        <v>49.459647918450003</v>
      </c>
      <c r="G154" s="439">
        <v>33.55323531378</v>
      </c>
      <c r="H154" s="254">
        <v>45.559372000000003</v>
      </c>
    </row>
    <row r="155" spans="1:8">
      <c r="A155" s="63">
        <f t="shared" si="0"/>
        <v>2010.02</v>
      </c>
      <c r="B155" s="1938">
        <v>46.200001</v>
      </c>
      <c r="C155" s="839">
        <v>42.972458000000003</v>
      </c>
      <c r="D155" s="2029">
        <v>43.072288999999998</v>
      </c>
      <c r="E155" s="839">
        <v>50.301978826829995</v>
      </c>
      <c r="F155" s="2839">
        <v>45.869317281889998</v>
      </c>
      <c r="G155" s="439">
        <v>34.447195098880002</v>
      </c>
      <c r="H155" s="254">
        <v>43.539496999999997</v>
      </c>
    </row>
    <row r="156" spans="1:8">
      <c r="A156" s="63">
        <f t="shared" si="0"/>
        <v>2010.03</v>
      </c>
      <c r="B156" s="1938">
        <v>42.430278999999999</v>
      </c>
      <c r="C156" s="839">
        <v>39.820076</v>
      </c>
      <c r="D156" s="2029">
        <v>41.969085999999997</v>
      </c>
      <c r="E156" s="839">
        <v>49.177163625989998</v>
      </c>
      <c r="F156" s="2839">
        <v>44.952936420139999</v>
      </c>
      <c r="G156" s="439">
        <v>30.017786611650003</v>
      </c>
      <c r="H156" s="254">
        <v>41.382629000000001</v>
      </c>
    </row>
    <row r="157" spans="1:8">
      <c r="A157" s="63">
        <f t="shared" si="0"/>
        <v>2010.04</v>
      </c>
      <c r="B157" s="1938">
        <v>45.066665999999998</v>
      </c>
      <c r="C157" s="839">
        <v>41.536827000000002</v>
      </c>
      <c r="D157" s="2029">
        <v>44.115645999999998</v>
      </c>
      <c r="E157" s="839">
        <v>48.65139986842</v>
      </c>
      <c r="F157" s="2839">
        <v>47.597088421680006</v>
      </c>
      <c r="G157" s="439">
        <v>34.177408450030001</v>
      </c>
      <c r="H157" s="254">
        <v>43.475299999999997</v>
      </c>
    </row>
    <row r="158" spans="1:8">
      <c r="A158" s="63">
        <f t="shared" si="0"/>
        <v>2010.05</v>
      </c>
      <c r="B158" s="1938">
        <v>49.839126999999998</v>
      </c>
      <c r="C158" s="839">
        <v>44.601748999999998</v>
      </c>
      <c r="D158" s="2029">
        <v>50.542006999999998</v>
      </c>
      <c r="E158" s="839">
        <v>54.096879522530003</v>
      </c>
      <c r="F158" s="2839">
        <v>50.689046146129996</v>
      </c>
      <c r="G158" s="439">
        <v>41.033632515730005</v>
      </c>
      <c r="H158" s="254">
        <v>48.606521999999998</v>
      </c>
    </row>
    <row r="159" spans="1:8">
      <c r="A159" s="63">
        <f t="shared" si="0"/>
        <v>2010.06</v>
      </c>
      <c r="B159" s="1938">
        <v>50.872093</v>
      </c>
      <c r="C159" s="839">
        <v>47.545498000000002</v>
      </c>
      <c r="D159" s="2029">
        <v>46.713146000000002</v>
      </c>
      <c r="E159" s="839">
        <v>54.293264421109996</v>
      </c>
      <c r="F159" s="2839">
        <v>50.42908638107</v>
      </c>
      <c r="G159" s="439">
        <v>38.169693766590001</v>
      </c>
      <c r="H159" s="254">
        <v>47.630679999999998</v>
      </c>
    </row>
    <row r="160" spans="1:8">
      <c r="A160" s="63">
        <f t="shared" si="0"/>
        <v>2010.07</v>
      </c>
      <c r="B160" s="1938">
        <v>47.942386999999997</v>
      </c>
      <c r="C160" s="839">
        <v>47.811062</v>
      </c>
      <c r="D160" s="2029">
        <v>48.311897000000002</v>
      </c>
      <c r="E160" s="839">
        <v>52.655181775999999</v>
      </c>
      <c r="F160" s="2839">
        <v>50.413906983939995</v>
      </c>
      <c r="G160" s="439">
        <v>41.227446221160001</v>
      </c>
      <c r="H160" s="254">
        <v>48.098846000000002</v>
      </c>
    </row>
    <row r="161" spans="1:8">
      <c r="A161" s="63">
        <f t="shared" si="0"/>
        <v>2010.08</v>
      </c>
      <c r="B161" s="1938">
        <v>49.338622999999998</v>
      </c>
      <c r="C161" s="839">
        <v>48.894032000000003</v>
      </c>
      <c r="D161" s="2029">
        <v>51.532890000000002</v>
      </c>
      <c r="E161" s="839">
        <v>56.398312913729995</v>
      </c>
      <c r="F161" s="2839">
        <v>51.629287132919998</v>
      </c>
      <c r="G161" s="439">
        <v>43.09130019413</v>
      </c>
      <c r="H161" s="254">
        <v>50.372967000000003</v>
      </c>
    </row>
    <row r="162" spans="1:8">
      <c r="A162" s="63">
        <f t="shared" si="0"/>
        <v>2010.09</v>
      </c>
      <c r="B162" s="1938">
        <v>50.164692000000002</v>
      </c>
      <c r="C162" s="839">
        <v>49.306624999999997</v>
      </c>
      <c r="D162" s="2029">
        <v>48.166668000000001</v>
      </c>
      <c r="E162" s="839">
        <v>54.855700439510002</v>
      </c>
      <c r="F162" s="2839">
        <v>49.264681180469999</v>
      </c>
      <c r="G162" s="439">
        <v>42.382614735979999</v>
      </c>
      <c r="H162" s="254">
        <v>48.834332000000003</v>
      </c>
    </row>
    <row r="163" spans="1:8">
      <c r="A163" s="63">
        <f t="shared" si="0"/>
        <v>2010.1</v>
      </c>
      <c r="B163" s="1938">
        <v>50.961539999999999</v>
      </c>
      <c r="C163" s="839">
        <v>50.076217999999997</v>
      </c>
      <c r="D163" s="2029">
        <v>49.772469000000001</v>
      </c>
      <c r="E163" s="839">
        <v>55.132220366769999</v>
      </c>
      <c r="F163" s="2839">
        <v>49.752746189309995</v>
      </c>
      <c r="G163" s="439">
        <v>45.278892473660001</v>
      </c>
      <c r="H163" s="254">
        <v>50.054619000000002</v>
      </c>
    </row>
    <row r="164" spans="1:8">
      <c r="A164" s="63">
        <f t="shared" si="0"/>
        <v>2010.11</v>
      </c>
      <c r="B164" s="1938">
        <v>54.941859999999998</v>
      </c>
      <c r="C164" s="839">
        <v>54.650866999999998</v>
      </c>
      <c r="D164" s="2029">
        <v>55.900444</v>
      </c>
      <c r="E164" s="839">
        <v>60.040840647909995</v>
      </c>
      <c r="F164" s="2839">
        <v>59.141244598239993</v>
      </c>
      <c r="G164" s="439">
        <v>46.908987596939994</v>
      </c>
      <c r="H164" s="254">
        <v>55.363689000000001</v>
      </c>
    </row>
    <row r="165" spans="1:8">
      <c r="A165" s="63">
        <f t="shared" si="0"/>
        <v>2010.12</v>
      </c>
      <c r="B165" s="1938">
        <v>53.908271999999997</v>
      </c>
      <c r="C165" s="839">
        <v>52.959502999999998</v>
      </c>
      <c r="D165" s="2029">
        <v>53.153151999999999</v>
      </c>
      <c r="E165" s="839">
        <v>58.545130856919997</v>
      </c>
      <c r="F165" s="2839">
        <v>56.90698187457</v>
      </c>
      <c r="G165" s="439">
        <v>44.188355701079999</v>
      </c>
      <c r="H165" s="254">
        <v>53.21349</v>
      </c>
    </row>
    <row r="166" spans="1:8">
      <c r="A166" s="63">
        <f t="shared" si="0"/>
        <v>2011.01</v>
      </c>
      <c r="B166" s="1938">
        <v>55.423279000000001</v>
      </c>
      <c r="C166" s="839">
        <v>54.109240999999997</v>
      </c>
      <c r="D166" s="2029">
        <v>56.677703999999999</v>
      </c>
      <c r="E166" s="839">
        <v>60.156115717909998</v>
      </c>
      <c r="F166" s="2839">
        <v>55.746066034230005</v>
      </c>
      <c r="G166" s="439">
        <v>51.164995303539996</v>
      </c>
      <c r="H166" s="254">
        <v>55.689059999999998</v>
      </c>
    </row>
    <row r="167" spans="1:8">
      <c r="A167" s="63">
        <f t="shared" si="0"/>
        <v>2011.02</v>
      </c>
      <c r="B167" s="1938">
        <v>51.381461999999999</v>
      </c>
      <c r="C167" s="839">
        <v>52.565105000000003</v>
      </c>
      <c r="D167" s="2029">
        <v>55.532505</v>
      </c>
      <c r="E167" s="839">
        <v>58.567581281599999</v>
      </c>
      <c r="F167" s="2839">
        <v>56.848706725489997</v>
      </c>
      <c r="G167" s="439">
        <v>46.463654663619998</v>
      </c>
      <c r="H167" s="254">
        <v>53.959980000000002</v>
      </c>
    </row>
    <row r="168" spans="1:8">
      <c r="A168" s="63">
        <f t="shared" si="0"/>
        <v>2011.03</v>
      </c>
      <c r="B168" s="1938">
        <v>56.283603999999997</v>
      </c>
      <c r="C168" s="839">
        <v>56.432975999999996</v>
      </c>
      <c r="D168" s="2029">
        <v>58.251094999999999</v>
      </c>
      <c r="E168" s="839">
        <v>61.300337419240002</v>
      </c>
      <c r="F168" s="2839">
        <v>58.533153072580006</v>
      </c>
      <c r="G168" s="439">
        <v>52.303835652339998</v>
      </c>
      <c r="H168" s="254">
        <v>57.379108000000002</v>
      </c>
    </row>
    <row r="169" spans="1:8">
      <c r="A169" s="63">
        <f t="shared" si="0"/>
        <v>2011.04</v>
      </c>
      <c r="B169" s="1938">
        <v>54.001323999999997</v>
      </c>
      <c r="C169" s="839">
        <v>54.639572000000001</v>
      </c>
      <c r="D169" s="2029">
        <v>54.413376</v>
      </c>
      <c r="E169" s="839">
        <v>59.046571863179999</v>
      </c>
      <c r="F169" s="2839">
        <v>54.859868131980008</v>
      </c>
      <c r="G169" s="439">
        <v>49.343377108020007</v>
      </c>
      <c r="H169" s="254">
        <v>54.416606999999999</v>
      </c>
    </row>
    <row r="170" spans="1:8">
      <c r="A170" s="63">
        <f t="shared" si="0"/>
        <v>2011.05</v>
      </c>
      <c r="B170" s="1938">
        <v>54.583331999999999</v>
      </c>
      <c r="C170" s="839">
        <v>55.706519999999998</v>
      </c>
      <c r="D170" s="2029">
        <v>55.758583000000002</v>
      </c>
      <c r="E170" s="839">
        <v>59.798572589450004</v>
      </c>
      <c r="F170" s="2839">
        <v>55.805440847</v>
      </c>
      <c r="G170" s="439">
        <v>51.060440914810002</v>
      </c>
      <c r="H170" s="254">
        <v>55.554817</v>
      </c>
    </row>
    <row r="171" spans="1:8">
      <c r="A171" s="63">
        <f t="shared" si="0"/>
        <v>2011.06</v>
      </c>
      <c r="B171" s="1938">
        <v>57.03125</v>
      </c>
      <c r="C171" s="839">
        <v>52.693089000000001</v>
      </c>
      <c r="D171" s="2029">
        <v>57.051281000000003</v>
      </c>
      <c r="E171" s="839">
        <v>60.801497644720001</v>
      </c>
      <c r="F171" s="2839">
        <v>55.752790698590005</v>
      </c>
      <c r="G171" s="439">
        <v>50.575815061370001</v>
      </c>
      <c r="H171" s="254">
        <v>55.710033000000003</v>
      </c>
    </row>
    <row r="172" spans="1:8">
      <c r="A172" s="63">
        <f t="shared" si="0"/>
        <v>2011.07</v>
      </c>
      <c r="B172" s="1938">
        <v>57.856236000000003</v>
      </c>
      <c r="C172" s="839">
        <v>55.709389000000002</v>
      </c>
      <c r="D172" s="2029">
        <v>59.492989000000001</v>
      </c>
      <c r="E172" s="839">
        <v>60.720762743369995</v>
      </c>
      <c r="F172" s="2839">
        <v>58.147967545260002</v>
      </c>
      <c r="G172" s="439">
        <v>55.34274937739</v>
      </c>
      <c r="H172" s="254">
        <v>58.070492000000002</v>
      </c>
    </row>
    <row r="173" spans="1:8">
      <c r="A173" s="63">
        <f t="shared" si="0"/>
        <v>2011.08</v>
      </c>
      <c r="B173" s="1938">
        <v>56.504066000000002</v>
      </c>
      <c r="C173" s="839">
        <v>55.086207999999999</v>
      </c>
      <c r="D173" s="2029">
        <v>59.118670999999999</v>
      </c>
      <c r="E173" s="839">
        <v>60.066870749519993</v>
      </c>
      <c r="F173" s="2839">
        <v>60.961451211880004</v>
      </c>
      <c r="G173" s="439">
        <v>51.363753974399998</v>
      </c>
      <c r="H173" s="254">
        <v>57.464024000000002</v>
      </c>
    </row>
    <row r="174" spans="1:8">
      <c r="A174" s="63">
        <f t="shared" si="0"/>
        <v>2011.09</v>
      </c>
      <c r="B174" s="1938">
        <v>56.156157999999998</v>
      </c>
      <c r="C174" s="839">
        <v>56.532921000000002</v>
      </c>
      <c r="D174" s="2029">
        <v>61.840797000000002</v>
      </c>
      <c r="E174" s="839">
        <v>62.772609193099996</v>
      </c>
      <c r="F174" s="2839">
        <v>59.184755817219994</v>
      </c>
      <c r="G174" s="439">
        <v>55.959505597140001</v>
      </c>
      <c r="H174" s="254">
        <v>59.305625999999997</v>
      </c>
    </row>
    <row r="175" spans="1:8">
      <c r="A175" s="63">
        <f t="shared" si="0"/>
        <v>2011.1</v>
      </c>
      <c r="B175" s="1938">
        <v>54.761901999999999</v>
      </c>
      <c r="C175" s="839">
        <v>56.427101</v>
      </c>
      <c r="D175" s="2029">
        <v>59.271523000000002</v>
      </c>
      <c r="E175" s="839">
        <v>60.5877122156</v>
      </c>
      <c r="F175" s="2839">
        <v>55.510628323540004</v>
      </c>
      <c r="G175" s="439">
        <v>56.940390956880002</v>
      </c>
      <c r="H175" s="254">
        <v>57.679577000000002</v>
      </c>
    </row>
    <row r="176" spans="1:8">
      <c r="A176" s="63">
        <f t="shared" si="0"/>
        <v>2011.11</v>
      </c>
      <c r="B176" s="1938">
        <v>53.185326000000003</v>
      </c>
      <c r="C176" s="839">
        <v>54.449589000000003</v>
      </c>
      <c r="D176" s="2029">
        <v>59.023178000000001</v>
      </c>
      <c r="E176" s="839">
        <v>61.216492140139998</v>
      </c>
      <c r="F176" s="2839">
        <v>55.321809551309997</v>
      </c>
      <c r="G176" s="439">
        <v>53.528609913280008</v>
      </c>
      <c r="H176" s="254">
        <v>56.688972</v>
      </c>
    </row>
    <row r="177" spans="1:8">
      <c r="A177" s="63">
        <f t="shared" si="0"/>
        <v>2011.12</v>
      </c>
      <c r="B177" s="1938">
        <v>50.742893000000002</v>
      </c>
      <c r="C177" s="839">
        <v>53.870883999999997</v>
      </c>
      <c r="D177" s="2029">
        <v>52.373066000000001</v>
      </c>
      <c r="E177" s="839">
        <v>57.221050335329998</v>
      </c>
      <c r="F177" s="2839">
        <v>51.478350216289996</v>
      </c>
      <c r="G177" s="439">
        <v>49.018117772529997</v>
      </c>
      <c r="H177" s="254">
        <v>52.572505999999997</v>
      </c>
    </row>
    <row r="178" spans="1:8">
      <c r="A178" s="63">
        <f t="shared" si="0"/>
        <v>2012.01</v>
      </c>
      <c r="B178" s="1938">
        <v>49.773021999999997</v>
      </c>
      <c r="C178" s="839">
        <v>56.014941999999998</v>
      </c>
      <c r="D178" s="2029">
        <v>60.382061</v>
      </c>
      <c r="E178" s="839">
        <v>60.945364284419995</v>
      </c>
      <c r="F178" s="2839">
        <v>55.444970661420001</v>
      </c>
      <c r="G178" s="439">
        <v>55.662980077500002</v>
      </c>
      <c r="H178" s="254">
        <v>57.351104999999997</v>
      </c>
    </row>
    <row r="179" spans="1:8">
      <c r="A179" s="63">
        <f t="shared" si="0"/>
        <v>2012.02</v>
      </c>
      <c r="B179" s="1938">
        <v>46.011673000000002</v>
      </c>
      <c r="C179" s="839">
        <v>51.633738999999998</v>
      </c>
      <c r="D179" s="2029">
        <v>55.177185000000001</v>
      </c>
      <c r="E179" s="839">
        <v>58.498447695590002</v>
      </c>
      <c r="F179" s="2839">
        <v>49.210341659919997</v>
      </c>
      <c r="G179" s="439">
        <v>50.178294374789999</v>
      </c>
      <c r="H179" s="254">
        <v>52.629027999999998</v>
      </c>
    </row>
    <row r="180" spans="1:8">
      <c r="A180" s="63">
        <f t="shared" si="0"/>
        <v>2012.03</v>
      </c>
      <c r="B180" s="1938">
        <v>45.770203000000002</v>
      </c>
      <c r="C180" s="839">
        <v>50.264969000000001</v>
      </c>
      <c r="D180" s="2029">
        <v>51.522185999999998</v>
      </c>
      <c r="E180" s="839">
        <v>55.148408040920003</v>
      </c>
      <c r="F180" s="2839">
        <v>46.458723900030002</v>
      </c>
      <c r="G180" s="439">
        <v>49.051355422170005</v>
      </c>
      <c r="H180" s="254">
        <v>50.219493999999997</v>
      </c>
    </row>
    <row r="181" spans="1:8">
      <c r="A181" s="63">
        <f t="shared" si="0"/>
        <v>2012.04</v>
      </c>
      <c r="B181" s="1938">
        <v>42.310169000000002</v>
      </c>
      <c r="C181" s="839">
        <v>43.068534999999997</v>
      </c>
      <c r="D181" s="2029">
        <v>44.729579999999999</v>
      </c>
      <c r="E181" s="839">
        <v>50.756838714410002</v>
      </c>
      <c r="F181" s="2839">
        <v>39.117069273650003</v>
      </c>
      <c r="G181" s="439">
        <v>41.62790594034</v>
      </c>
      <c r="H181" s="254">
        <v>43.833939000000001</v>
      </c>
    </row>
    <row r="182" spans="1:8">
      <c r="A182" s="63">
        <f t="shared" si="0"/>
        <v>2012.05</v>
      </c>
      <c r="B182" s="1938">
        <v>45.025837000000003</v>
      </c>
      <c r="C182" s="839">
        <v>45.898845999999999</v>
      </c>
      <c r="D182" s="2029">
        <v>47.148395999999998</v>
      </c>
      <c r="E182" s="839">
        <v>52.116345927200001</v>
      </c>
      <c r="F182" s="2839">
        <v>44.353379693240001</v>
      </c>
      <c r="G182" s="439">
        <v>42.809188529069999</v>
      </c>
      <c r="H182" s="254">
        <v>46.426304000000002</v>
      </c>
    </row>
    <row r="183" spans="1:8">
      <c r="A183" s="63">
        <f t="shared" si="0"/>
        <v>2012.06</v>
      </c>
      <c r="B183" s="1938">
        <v>39.883270000000003</v>
      </c>
      <c r="C183" s="839">
        <v>45.776080999999998</v>
      </c>
      <c r="D183" s="2029">
        <v>44.92754</v>
      </c>
      <c r="E183" s="839">
        <v>49.710624520799996</v>
      </c>
      <c r="F183" s="2839">
        <v>42.21598625995</v>
      </c>
      <c r="G183" s="439">
        <v>41.225077368219999</v>
      </c>
      <c r="H183" s="254">
        <v>44.383896</v>
      </c>
    </row>
    <row r="184" spans="1:8">
      <c r="A184" s="63">
        <f t="shared" si="0"/>
        <v>2012.07</v>
      </c>
      <c r="B184" s="1938">
        <v>39.526592000000001</v>
      </c>
      <c r="C184" s="839">
        <v>45.064597999999997</v>
      </c>
      <c r="D184" s="2029">
        <v>43.949393999999998</v>
      </c>
      <c r="E184" s="839">
        <v>49.032085137289997</v>
      </c>
      <c r="F184" s="2839">
        <v>41.505879301029992</v>
      </c>
      <c r="G184" s="439">
        <v>40.221847219049998</v>
      </c>
      <c r="H184" s="254">
        <v>43.586601000000002</v>
      </c>
    </row>
    <row r="185" spans="1:8">
      <c r="A185" s="63">
        <f t="shared" si="0"/>
        <v>2012.08</v>
      </c>
      <c r="B185" s="1938">
        <v>37.581699</v>
      </c>
      <c r="C185" s="839">
        <v>45.110084999999998</v>
      </c>
      <c r="D185" s="2029">
        <v>42.916668000000001</v>
      </c>
      <c r="E185" s="839">
        <v>47.80419079955</v>
      </c>
      <c r="F185" s="2839">
        <v>39.603806783479996</v>
      </c>
      <c r="G185" s="439">
        <v>40.810389050079998</v>
      </c>
      <c r="H185" s="254">
        <v>42.739463999999998</v>
      </c>
    </row>
    <row r="186" spans="1:8">
      <c r="A186" s="63">
        <f t="shared" si="0"/>
        <v>2012.09</v>
      </c>
      <c r="B186" s="1938">
        <v>40.494793000000001</v>
      </c>
      <c r="C186" s="839">
        <v>39.854519000000003</v>
      </c>
      <c r="D186" s="2029">
        <v>44.194446999999997</v>
      </c>
      <c r="E186" s="839">
        <v>48.586709655820002</v>
      </c>
      <c r="F186" s="2839">
        <v>38.494045548940001</v>
      </c>
      <c r="G186" s="439">
        <v>39.737438280100001</v>
      </c>
      <c r="H186" s="254">
        <v>42.272731999999998</v>
      </c>
    </row>
    <row r="187" spans="1:8">
      <c r="A187" s="63">
        <f t="shared" si="0"/>
        <v>2012.1</v>
      </c>
      <c r="B187" s="1938">
        <v>42.1875</v>
      </c>
      <c r="C187" s="839">
        <v>42.652327999999997</v>
      </c>
      <c r="D187" s="2029">
        <v>44.267338000000002</v>
      </c>
      <c r="E187" s="839">
        <v>48.381544885529998</v>
      </c>
      <c r="F187" s="2839">
        <v>40.396563869510004</v>
      </c>
      <c r="G187" s="439">
        <v>41.541669299669998</v>
      </c>
      <c r="H187" s="254">
        <v>43.439926</v>
      </c>
    </row>
    <row r="188" spans="1:8">
      <c r="A188" s="63">
        <f t="shared" si="0"/>
        <v>2012.11</v>
      </c>
      <c r="B188" s="1938">
        <v>39.876300999999998</v>
      </c>
      <c r="C188" s="839">
        <v>42.229900000000001</v>
      </c>
      <c r="D188" s="2029">
        <v>43.840575999999999</v>
      </c>
      <c r="E188" s="839">
        <v>46.761479215850002</v>
      </c>
      <c r="F188" s="2839">
        <v>39.749483214729999</v>
      </c>
      <c r="G188" s="439">
        <v>41.631907635320005</v>
      </c>
      <c r="H188" s="254">
        <v>42.714291000000003</v>
      </c>
    </row>
    <row r="189" spans="1:8">
      <c r="A189" s="63">
        <f t="shared" si="0"/>
        <v>2012.12</v>
      </c>
      <c r="B189" s="1938">
        <v>42.151161000000002</v>
      </c>
      <c r="C189" s="839">
        <v>44.318775000000002</v>
      </c>
      <c r="D189" s="2029">
        <v>48.923842999999998</v>
      </c>
      <c r="E189" s="839">
        <v>51.021264805499996</v>
      </c>
      <c r="F189" s="2839">
        <v>44.017817398129999</v>
      </c>
      <c r="G189" s="439">
        <v>44.254361559359999</v>
      </c>
      <c r="H189" s="254">
        <v>46.431148999999998</v>
      </c>
    </row>
    <row r="190" spans="1:8">
      <c r="A190" s="63">
        <f t="shared" si="0"/>
        <v>2013.01</v>
      </c>
      <c r="B190" s="1938">
        <v>46.206226000000001</v>
      </c>
      <c r="C190" s="839">
        <v>47.759856999999997</v>
      </c>
      <c r="D190" s="2029">
        <v>46.532435999999997</v>
      </c>
      <c r="E190" s="839">
        <v>51.566286710589999</v>
      </c>
      <c r="F190" s="2839">
        <v>43.574496265580002</v>
      </c>
      <c r="G190" s="439">
        <v>45.429274264429999</v>
      </c>
      <c r="H190" s="254">
        <v>46.856686000000003</v>
      </c>
    </row>
    <row r="191" spans="1:8">
      <c r="A191" s="63">
        <f t="shared" si="0"/>
        <v>2013.02</v>
      </c>
      <c r="B191" s="1938">
        <v>47.640118000000001</v>
      </c>
      <c r="C191" s="839">
        <v>45.544818999999997</v>
      </c>
      <c r="D191" s="2029">
        <v>48.801746000000001</v>
      </c>
      <c r="E191" s="839">
        <v>50.904864386269999</v>
      </c>
      <c r="F191" s="2839">
        <v>44.74728875313</v>
      </c>
      <c r="G191" s="439">
        <v>47.19788783365</v>
      </c>
      <c r="H191" s="254">
        <v>47.616680000000002</v>
      </c>
    </row>
    <row r="192" spans="1:8">
      <c r="A192" s="63">
        <f t="shared" si="0"/>
        <v>2013.03</v>
      </c>
      <c r="B192" s="1938">
        <v>45.247146999999998</v>
      </c>
      <c r="C192" s="839">
        <v>45.814132999999998</v>
      </c>
      <c r="D192" s="2029">
        <v>48.034328000000002</v>
      </c>
      <c r="E192" s="839">
        <v>51.053383755680002</v>
      </c>
      <c r="F192" s="2839">
        <v>43.628016148230003</v>
      </c>
      <c r="G192" s="439">
        <v>46.044001082329999</v>
      </c>
      <c r="H192" s="254">
        <v>46.908465999999997</v>
      </c>
    </row>
    <row r="193" spans="1:8">
      <c r="A193" s="63">
        <f t="shared" si="0"/>
        <v>2013.04</v>
      </c>
      <c r="B193" s="1938">
        <v>38.490566000000001</v>
      </c>
      <c r="C193" s="839">
        <v>44.354424000000002</v>
      </c>
      <c r="D193" s="2029">
        <v>45.544556</v>
      </c>
      <c r="E193" s="839">
        <v>49.768102035120002</v>
      </c>
      <c r="F193" s="2839">
        <v>42.442082051710003</v>
      </c>
      <c r="G193" s="439">
        <v>39.955083945280002</v>
      </c>
      <c r="H193" s="254">
        <v>44.055087999999998</v>
      </c>
    </row>
    <row r="194" spans="1:8">
      <c r="A194" s="63">
        <f t="shared" ref="A194:A257" si="1">A182+1</f>
        <v>2013.05</v>
      </c>
      <c r="B194" s="1938">
        <v>44.243003999999999</v>
      </c>
      <c r="C194" s="839">
        <v>42.473545000000001</v>
      </c>
      <c r="D194" s="2029">
        <v>40.401542999999997</v>
      </c>
      <c r="E194" s="839">
        <v>44.402441075590005</v>
      </c>
      <c r="F194" s="2839">
        <v>39.038380835889996</v>
      </c>
      <c r="G194" s="439">
        <v>41.50617004555</v>
      </c>
      <c r="H194" s="254">
        <v>41.648997999999999</v>
      </c>
    </row>
    <row r="195" spans="1:8">
      <c r="A195" s="63">
        <f t="shared" si="1"/>
        <v>2013.06</v>
      </c>
      <c r="B195" s="1938">
        <v>44.647438000000001</v>
      </c>
      <c r="C195" s="839">
        <v>45.157134999999997</v>
      </c>
      <c r="D195" s="2029">
        <v>44.063544999999998</v>
      </c>
      <c r="E195" s="839">
        <v>47.922263740950001</v>
      </c>
      <c r="F195" s="2839">
        <v>42.526259275809998</v>
      </c>
      <c r="G195" s="439">
        <v>43.02668488298</v>
      </c>
      <c r="H195" s="254">
        <v>44.491737000000001</v>
      </c>
    </row>
    <row r="196" spans="1:8">
      <c r="A196" s="63">
        <f t="shared" si="1"/>
        <v>2013.07</v>
      </c>
      <c r="B196" s="1938">
        <v>46.141376000000001</v>
      </c>
      <c r="C196" s="839">
        <v>45.641025999999997</v>
      </c>
      <c r="D196" s="2029">
        <v>48.940913999999999</v>
      </c>
      <c r="E196" s="839">
        <v>51.523053847719993</v>
      </c>
      <c r="F196" s="2839">
        <v>45.026736928009996</v>
      </c>
      <c r="G196" s="439">
        <v>45.895392358289996</v>
      </c>
      <c r="H196" s="254">
        <v>47.481727999999997</v>
      </c>
    </row>
    <row r="197" spans="1:8">
      <c r="A197" s="63">
        <f t="shared" si="1"/>
        <v>2013.08</v>
      </c>
      <c r="B197" s="1938">
        <v>49.381512000000001</v>
      </c>
      <c r="C197" s="839">
        <v>49.075499999999998</v>
      </c>
      <c r="D197" s="2029">
        <v>50.770077000000001</v>
      </c>
      <c r="E197" s="839">
        <v>52.475147920730002</v>
      </c>
      <c r="F197" s="2839">
        <v>51.032855068320004</v>
      </c>
      <c r="G197" s="439">
        <v>46.576920967459998</v>
      </c>
      <c r="H197" s="254">
        <v>50.028309</v>
      </c>
    </row>
    <row r="198" spans="1:8">
      <c r="A198" s="63">
        <f t="shared" si="1"/>
        <v>2013.09</v>
      </c>
      <c r="B198" s="1938">
        <v>44.238281000000001</v>
      </c>
      <c r="C198" s="839">
        <v>48.827728</v>
      </c>
      <c r="D198" s="2029">
        <v>49.861572000000002</v>
      </c>
      <c r="E198" s="839">
        <v>51.469268199080005</v>
      </c>
      <c r="F198" s="2839">
        <v>46.300361019969998</v>
      </c>
      <c r="G198" s="439">
        <v>48.174220481740001</v>
      </c>
      <c r="H198" s="254">
        <v>48.647948999999997</v>
      </c>
    </row>
    <row r="199" spans="1:8">
      <c r="A199" s="63">
        <f t="shared" si="1"/>
        <v>2013.1</v>
      </c>
      <c r="B199" s="1938">
        <v>50.358074000000002</v>
      </c>
      <c r="C199" s="839">
        <v>50.254063000000002</v>
      </c>
      <c r="D199" s="2029">
        <v>53.215885</v>
      </c>
      <c r="E199" s="839">
        <v>54.027674042640001</v>
      </c>
      <c r="F199" s="2839">
        <v>50.34518569958</v>
      </c>
      <c r="G199" s="439">
        <v>51.180502816840004</v>
      </c>
      <c r="H199" s="254">
        <v>51.851120000000002</v>
      </c>
    </row>
    <row r="200" spans="1:8">
      <c r="A200" s="63">
        <f t="shared" si="1"/>
        <v>2013.11</v>
      </c>
      <c r="B200" s="1938">
        <v>47.623699000000002</v>
      </c>
      <c r="C200" s="839">
        <v>49.742001000000002</v>
      </c>
      <c r="D200" s="2029">
        <v>50.643177000000001</v>
      </c>
      <c r="E200" s="839">
        <v>51.551472351789997</v>
      </c>
      <c r="F200" s="2839">
        <v>49.25045780056</v>
      </c>
      <c r="G200" s="439">
        <v>48.853297233540005</v>
      </c>
      <c r="H200" s="254">
        <v>49.885075000000001</v>
      </c>
    </row>
    <row r="201" spans="1:8">
      <c r="A201" s="63">
        <f t="shared" si="1"/>
        <v>2013.12</v>
      </c>
      <c r="B201" s="1938">
        <v>44.121448999999998</v>
      </c>
      <c r="C201" s="839">
        <v>43.778979999999997</v>
      </c>
      <c r="D201" s="2029">
        <v>48.117386000000003</v>
      </c>
      <c r="E201" s="839">
        <v>49.583023080449998</v>
      </c>
      <c r="F201" s="2839">
        <v>44.485918860140004</v>
      </c>
      <c r="G201" s="439">
        <v>44.37775239818</v>
      </c>
      <c r="H201" s="254">
        <v>46.148899</v>
      </c>
    </row>
    <row r="202" spans="1:8">
      <c r="A202" s="63">
        <f t="shared" si="1"/>
        <v>2014.01</v>
      </c>
      <c r="B202" s="1938">
        <v>38.900706999999997</v>
      </c>
      <c r="C202" s="839">
        <v>43.514271000000001</v>
      </c>
      <c r="D202" s="2029">
        <v>45.186337000000002</v>
      </c>
      <c r="E202" s="839">
        <v>46.681355482800001</v>
      </c>
      <c r="F202" s="2839">
        <v>41.180082525689997</v>
      </c>
      <c r="G202" s="439">
        <v>43.152702538200003</v>
      </c>
      <c r="H202" s="254">
        <v>43.671379000000002</v>
      </c>
    </row>
    <row r="203" spans="1:8">
      <c r="A203" s="63">
        <f t="shared" si="1"/>
        <v>2014.02</v>
      </c>
      <c r="B203" s="1938">
        <v>34.128498</v>
      </c>
      <c r="C203" s="839">
        <v>35.346584</v>
      </c>
      <c r="D203" s="2029">
        <v>32.184829999999998</v>
      </c>
      <c r="E203" s="839">
        <v>41.907697845619992</v>
      </c>
      <c r="F203" s="2839">
        <v>40.845483667190003</v>
      </c>
      <c r="G203" s="439">
        <v>17.640214256420002</v>
      </c>
      <c r="H203" s="254">
        <v>33.464466000000002</v>
      </c>
    </row>
    <row r="204" spans="1:8">
      <c r="A204" s="63">
        <f t="shared" si="1"/>
        <v>2014.03</v>
      </c>
      <c r="B204" s="1938">
        <v>33.833336000000003</v>
      </c>
      <c r="C204" s="839">
        <v>33.695090999999998</v>
      </c>
      <c r="D204" s="2029">
        <v>38.371459999999999</v>
      </c>
      <c r="E204" s="839">
        <v>44.333080592329999</v>
      </c>
      <c r="F204" s="2839">
        <v>42.992561654690007</v>
      </c>
      <c r="G204" s="439">
        <v>21.31328709588</v>
      </c>
      <c r="H204" s="254">
        <v>36.212978</v>
      </c>
    </row>
    <row r="205" spans="1:8">
      <c r="A205" s="63">
        <f t="shared" si="1"/>
        <v>2014.04</v>
      </c>
      <c r="B205" s="1938">
        <v>38.975357000000002</v>
      </c>
      <c r="C205" s="839">
        <v>36.509773000000003</v>
      </c>
      <c r="D205" s="2029">
        <v>36.111111000000001</v>
      </c>
      <c r="E205" s="839">
        <v>43.826213350090001</v>
      </c>
      <c r="F205" s="2839">
        <v>41.382927848839998</v>
      </c>
      <c r="G205" s="439">
        <v>24.859052135879999</v>
      </c>
      <c r="H205" s="254">
        <v>36.689399999999999</v>
      </c>
    </row>
    <row r="206" spans="1:8">
      <c r="A206" s="63">
        <f t="shared" si="1"/>
        <v>2014.05</v>
      </c>
      <c r="B206" s="1938">
        <v>35.579425999999998</v>
      </c>
      <c r="C206" s="839">
        <v>36.493374000000003</v>
      </c>
      <c r="D206" s="2029">
        <v>39.771461000000002</v>
      </c>
      <c r="E206" s="839">
        <v>44.589942524169999</v>
      </c>
      <c r="F206" s="2839">
        <v>44.288295766520001</v>
      </c>
      <c r="G206" s="439">
        <v>25.41341587618</v>
      </c>
      <c r="H206" s="254">
        <v>38.097217999999998</v>
      </c>
    </row>
    <row r="207" spans="1:8">
      <c r="A207" s="63">
        <f t="shared" si="1"/>
        <v>2014.06</v>
      </c>
      <c r="B207" s="1938">
        <v>41.040844</v>
      </c>
      <c r="C207" s="839">
        <v>40.769629999999999</v>
      </c>
      <c r="D207" s="2029">
        <v>42.837691999999997</v>
      </c>
      <c r="E207" s="839">
        <v>47.93</v>
      </c>
      <c r="F207" s="2839">
        <v>49.96</v>
      </c>
      <c r="G207" s="439">
        <v>27.86</v>
      </c>
      <c r="H207" s="254">
        <v>41.916339999999998</v>
      </c>
    </row>
    <row r="208" spans="1:8">
      <c r="A208" s="63">
        <f t="shared" si="1"/>
        <v>2014.07</v>
      </c>
      <c r="B208" s="1938">
        <v>39.980544999999999</v>
      </c>
      <c r="C208" s="839">
        <v>43.954757999999998</v>
      </c>
      <c r="D208" s="2029">
        <v>42.876789000000002</v>
      </c>
      <c r="E208" s="839">
        <v>47.824777127040001</v>
      </c>
      <c r="F208" s="2839">
        <v>50.112090659410001</v>
      </c>
      <c r="G208" s="439">
        <v>30.300462415590001</v>
      </c>
      <c r="H208" s="254">
        <v>42.745776999999997</v>
      </c>
    </row>
    <row r="209" spans="1:8">
      <c r="A209" s="63">
        <f t="shared" si="1"/>
        <v>2014.08</v>
      </c>
      <c r="B209" s="1938">
        <v>45.395587999999996</v>
      </c>
      <c r="C209" s="839">
        <v>42.758087000000003</v>
      </c>
      <c r="D209" s="2029">
        <v>44.091414999999998</v>
      </c>
      <c r="E209" s="839">
        <v>48.66</v>
      </c>
      <c r="F209" s="2839">
        <v>50.46</v>
      </c>
      <c r="G209" s="439">
        <v>32.549999999999997</v>
      </c>
      <c r="H209" s="254">
        <v>43.889557000000003</v>
      </c>
    </row>
    <row r="210" spans="1:8">
      <c r="A210" s="63">
        <f t="shared" si="1"/>
        <v>2014.09</v>
      </c>
      <c r="B210" s="1938">
        <v>39.993564999999997</v>
      </c>
      <c r="C210" s="839">
        <v>40.945388999999999</v>
      </c>
      <c r="D210" s="2029">
        <v>42.271729000000001</v>
      </c>
      <c r="E210" s="839">
        <v>46.034036999999998</v>
      </c>
      <c r="F210" s="2839">
        <v>47.801223499999999</v>
      </c>
      <c r="G210" s="439">
        <v>30.6687315</v>
      </c>
      <c r="H210" s="254">
        <v>41.501331</v>
      </c>
    </row>
    <row r="211" spans="1:8">
      <c r="A211" s="63">
        <f t="shared" si="1"/>
        <v>2014.1</v>
      </c>
      <c r="B211" s="1938">
        <v>41.005291</v>
      </c>
      <c r="C211" s="839">
        <v>44.056747000000001</v>
      </c>
      <c r="D211" s="2029">
        <v>44.757171999999997</v>
      </c>
      <c r="E211" s="839">
        <v>47.516515471399998</v>
      </c>
      <c r="F211" s="2839">
        <v>50.412142301779994</v>
      </c>
      <c r="G211" s="439">
        <v>33.903522398459998</v>
      </c>
      <c r="H211" s="254">
        <v>43.944057000000001</v>
      </c>
    </row>
    <row r="212" spans="1:8">
      <c r="A212" s="63">
        <f t="shared" si="1"/>
        <v>2014.11</v>
      </c>
      <c r="B212" s="1938">
        <v>43.897635999999999</v>
      </c>
      <c r="C212" s="839">
        <v>44.508743000000003</v>
      </c>
      <c r="D212" s="2029">
        <v>43.106312000000003</v>
      </c>
      <c r="E212" s="839">
        <v>46.908522022499994</v>
      </c>
      <c r="F212" s="2839">
        <v>51.927792240109994</v>
      </c>
      <c r="G212" s="439">
        <v>32.150705040909997</v>
      </c>
      <c r="H212" s="254">
        <v>43.662337999999998</v>
      </c>
    </row>
    <row r="213" spans="1:8">
      <c r="A213" s="63">
        <f t="shared" si="1"/>
        <v>2014.12</v>
      </c>
      <c r="B213" s="1938">
        <v>45.304232166666672</v>
      </c>
      <c r="C213" s="839">
        <v>45.254629999999999</v>
      </c>
      <c r="D213" s="2029">
        <v>43.311759166666661</v>
      </c>
      <c r="E213" s="839">
        <v>46.135168</v>
      </c>
      <c r="F213" s="2839">
        <v>50.302571999999998</v>
      </c>
      <c r="G213" s="439">
        <v>36.237244000000004</v>
      </c>
      <c r="H213" s="254">
        <v>44.224994666666667</v>
      </c>
    </row>
    <row r="214" spans="1:8">
      <c r="A214" s="63">
        <f t="shared" si="1"/>
        <v>2015.01</v>
      </c>
      <c r="B214" s="1938">
        <v>48.908729999999998</v>
      </c>
      <c r="C214" s="839">
        <v>49.344929</v>
      </c>
      <c r="D214" s="2029">
        <v>50.607062999999997</v>
      </c>
      <c r="E214" s="839">
        <v>51.923902585299999</v>
      </c>
      <c r="F214" s="2839">
        <v>57.125259081999999</v>
      </c>
      <c r="G214" s="439">
        <v>40.796818000309997</v>
      </c>
      <c r="H214" s="254">
        <v>49.948658000000002</v>
      </c>
    </row>
    <row r="215" spans="1:8">
      <c r="A215" s="63">
        <f t="shared" si="1"/>
        <v>2015.02</v>
      </c>
      <c r="B215" s="1938">
        <v>48.137256999999998</v>
      </c>
      <c r="C215" s="839">
        <v>48.508228000000003</v>
      </c>
      <c r="D215" s="2029">
        <v>52.300784999999998</v>
      </c>
      <c r="E215" s="839">
        <v>52.971824252419999</v>
      </c>
      <c r="F215" s="2839">
        <v>58.123084637099993</v>
      </c>
      <c r="G215" s="439">
        <v>40.324307900150004</v>
      </c>
      <c r="H215" s="254">
        <v>50.473072000000002</v>
      </c>
    </row>
    <row r="216" spans="1:8">
      <c r="A216" s="63">
        <f t="shared" si="1"/>
        <v>2015.03</v>
      </c>
      <c r="B216" s="1938">
        <v>54.347824000000003</v>
      </c>
      <c r="C216" s="839">
        <v>52.739201000000001</v>
      </c>
      <c r="D216" s="2029">
        <v>52.001099000000004</v>
      </c>
      <c r="E216" s="839">
        <v>54.992763392429993</v>
      </c>
      <c r="F216" s="2839">
        <v>61.96</v>
      </c>
      <c r="G216" s="439">
        <v>40.85</v>
      </c>
      <c r="H216" s="254">
        <v>52.600951999999999</v>
      </c>
    </row>
    <row r="217" spans="1:8">
      <c r="A217" s="63">
        <f t="shared" si="1"/>
        <v>2015.04</v>
      </c>
      <c r="B217" s="1938">
        <v>54.93</v>
      </c>
      <c r="C217" s="839">
        <v>52.18</v>
      </c>
      <c r="D217" s="2029">
        <v>52.62</v>
      </c>
      <c r="E217" s="839">
        <v>55.63</v>
      </c>
      <c r="F217" s="2839">
        <v>60.8</v>
      </c>
      <c r="G217" s="439">
        <v>42.13</v>
      </c>
      <c r="H217" s="254">
        <v>52.85</v>
      </c>
    </row>
    <row r="218" spans="1:8">
      <c r="A218" s="63">
        <f t="shared" si="1"/>
        <v>2015.05</v>
      </c>
      <c r="B218" s="1938">
        <v>53.76</v>
      </c>
      <c r="C218" s="839">
        <v>57.01</v>
      </c>
      <c r="D218" s="2029">
        <v>54.21</v>
      </c>
      <c r="E218" s="839">
        <v>57.942602516960001</v>
      </c>
      <c r="F218" s="2839">
        <v>63.173160638950002</v>
      </c>
      <c r="G218" s="439">
        <v>43.867890677359995</v>
      </c>
      <c r="H218" s="254">
        <v>54.994553000000003</v>
      </c>
    </row>
    <row r="219" spans="1:8">
      <c r="A219" s="63">
        <f t="shared" si="1"/>
        <v>2015.06</v>
      </c>
      <c r="B219" s="1938">
        <v>55</v>
      </c>
      <c r="C219" s="839">
        <v>54.413291999999998</v>
      </c>
      <c r="D219" s="2029">
        <v>55.115509000000003</v>
      </c>
      <c r="E219" s="839">
        <v>58.546881687769996</v>
      </c>
      <c r="F219" s="2839">
        <v>62.691559877030002</v>
      </c>
      <c r="G219" s="439">
        <v>43.404716628169993</v>
      </c>
      <c r="H219" s="254">
        <v>54.881053999999999</v>
      </c>
    </row>
    <row r="220" spans="1:8">
      <c r="A220" s="63">
        <f t="shared" si="1"/>
        <v>2015.07</v>
      </c>
      <c r="B220" s="1938">
        <v>56.003937000000001</v>
      </c>
      <c r="C220" s="839">
        <v>55.061348000000002</v>
      </c>
      <c r="D220" s="2029">
        <v>56.71067</v>
      </c>
      <c r="E220" s="839">
        <v>57.26</v>
      </c>
      <c r="F220" s="2839">
        <v>63.78</v>
      </c>
      <c r="G220" s="439">
        <v>47.24</v>
      </c>
      <c r="H220" s="254">
        <v>56.09</v>
      </c>
    </row>
    <row r="221" spans="1:8">
      <c r="A221" s="63">
        <f t="shared" si="1"/>
        <v>2015.08</v>
      </c>
      <c r="B221" s="1938">
        <v>53.326613999999999</v>
      </c>
      <c r="C221" s="839">
        <v>55.214725000000001</v>
      </c>
      <c r="D221" s="2029">
        <v>58.714596</v>
      </c>
      <c r="E221" s="839">
        <v>58.421975683479999</v>
      </c>
      <c r="F221" s="2839">
        <v>64.897968583410005</v>
      </c>
      <c r="G221" s="439">
        <v>47.024780266450009</v>
      </c>
      <c r="H221" s="254">
        <v>56.781573999999999</v>
      </c>
    </row>
    <row r="222" spans="1:8">
      <c r="A222" s="63">
        <f t="shared" si="1"/>
        <v>2015.09</v>
      </c>
      <c r="B222" s="1938">
        <v>56.955643000000002</v>
      </c>
      <c r="C222" s="839">
        <v>55.240288</v>
      </c>
      <c r="D222" s="2029">
        <v>53.563599000000004</v>
      </c>
      <c r="E222" s="839">
        <v>56.686034307669999</v>
      </c>
      <c r="F222" s="2839">
        <v>60.841366604920005</v>
      </c>
      <c r="G222" s="439">
        <v>46.326622304520001</v>
      </c>
      <c r="H222" s="254">
        <v>54.618008000000003</v>
      </c>
    </row>
    <row r="223" spans="1:8">
      <c r="A223" s="63">
        <f t="shared" si="1"/>
        <v>2015.1</v>
      </c>
      <c r="B223" s="1938">
        <v>55.998702999999999</v>
      </c>
      <c r="C223" s="839">
        <v>56.726284</v>
      </c>
      <c r="D223" s="2029">
        <v>57.386364</v>
      </c>
      <c r="E223" s="839">
        <v>58.077666380819998</v>
      </c>
      <c r="F223" s="2839">
        <v>63.634023295619997</v>
      </c>
      <c r="G223" s="439">
        <v>49.17475792215</v>
      </c>
      <c r="H223" s="254">
        <v>56.962150999999999</v>
      </c>
    </row>
    <row r="224" spans="1:8">
      <c r="A224" s="63">
        <f t="shared" si="1"/>
        <v>2015.11</v>
      </c>
      <c r="B224" s="1938">
        <v>58.397686</v>
      </c>
      <c r="C224" s="839">
        <v>61.081012999999999</v>
      </c>
      <c r="D224" s="2029">
        <v>60.514538000000002</v>
      </c>
      <c r="E224" s="839">
        <v>62.620210530679998</v>
      </c>
      <c r="F224" s="2839">
        <v>73.583675458919998</v>
      </c>
      <c r="G224" s="439">
        <v>44.847741840309993</v>
      </c>
      <c r="H224" s="254">
        <v>60.350543999999999</v>
      </c>
    </row>
    <row r="225" spans="1:8">
      <c r="A225" s="63">
        <f t="shared" si="1"/>
        <v>2015.12</v>
      </c>
      <c r="B225" s="1938">
        <v>51.990555000000001</v>
      </c>
      <c r="C225" s="839">
        <v>57.671337000000001</v>
      </c>
      <c r="D225" s="2029">
        <v>54.166668000000001</v>
      </c>
      <c r="E225" s="839">
        <v>58.846161546139996</v>
      </c>
      <c r="F225" s="2839">
        <v>69.335348102219996</v>
      </c>
      <c r="G225" s="439">
        <v>36.503481569590001</v>
      </c>
      <c r="H225" s="254">
        <v>54.894996999999996</v>
      </c>
    </row>
    <row r="226" spans="1:8">
      <c r="A226" s="63">
        <f t="shared" si="1"/>
        <v>2016.01</v>
      </c>
      <c r="B226" s="1938">
        <v>52.952759</v>
      </c>
      <c r="C226" s="839">
        <v>53.533028000000002</v>
      </c>
      <c r="D226" s="2029">
        <v>54.595790999999998</v>
      </c>
      <c r="E226" s="839">
        <v>58.575761557509999</v>
      </c>
      <c r="F226" s="2839">
        <v>69.482835036029996</v>
      </c>
      <c r="G226" s="439">
        <v>33.963431269479997</v>
      </c>
      <c r="H226" s="254">
        <v>54.007342999999999</v>
      </c>
    </row>
    <row r="227" spans="1:8">
      <c r="A227" s="63">
        <f t="shared" si="1"/>
        <v>2016.02</v>
      </c>
      <c r="B227" s="1938">
        <v>46.376812000000001</v>
      </c>
      <c r="C227" s="839">
        <v>49.323635000000003</v>
      </c>
      <c r="D227" s="2029">
        <v>43.217052000000002</v>
      </c>
      <c r="E227" s="839">
        <v>51.293430737419996</v>
      </c>
      <c r="F227" s="2839">
        <v>62.77661641692</v>
      </c>
      <c r="G227" s="439">
        <v>22.71210615323</v>
      </c>
      <c r="H227" s="254">
        <v>45.594051</v>
      </c>
    </row>
    <row r="228" spans="1:8">
      <c r="A228" s="63">
        <f t="shared" si="1"/>
        <v>2016.03</v>
      </c>
      <c r="B228" s="1938">
        <v>46.376812000000001</v>
      </c>
      <c r="C228" s="839">
        <v>51.572085999999999</v>
      </c>
      <c r="D228" s="2029">
        <v>46.448086000000004</v>
      </c>
      <c r="E228" s="839">
        <v>53.230339195710002</v>
      </c>
      <c r="F228" s="2839">
        <v>65.438691570510002</v>
      </c>
      <c r="G228" s="439">
        <v>25.804157268680001</v>
      </c>
      <c r="H228" s="254">
        <v>48.157730000000001</v>
      </c>
    </row>
    <row r="229" spans="1:8">
      <c r="A229" s="63">
        <f t="shared" si="1"/>
        <v>2016.04</v>
      </c>
      <c r="B229" s="1938">
        <v>46.138995999999999</v>
      </c>
      <c r="C229" s="839">
        <v>45.564929999999997</v>
      </c>
      <c r="D229" s="2029">
        <v>40.937148999999998</v>
      </c>
      <c r="E229" s="839">
        <v>46.969818585759995</v>
      </c>
      <c r="F229" s="2839">
        <v>60.429450527469996</v>
      </c>
      <c r="G229" s="439">
        <v>22.157727892640001</v>
      </c>
      <c r="H229" s="254">
        <v>43.185665</v>
      </c>
    </row>
    <row r="230" spans="1:8">
      <c r="A230" s="63">
        <f t="shared" si="1"/>
        <v>2016.05</v>
      </c>
      <c r="B230" s="1938">
        <v>44.056846999999998</v>
      </c>
      <c r="C230" s="839">
        <v>44.732093999999996</v>
      </c>
      <c r="D230" s="2029">
        <v>41.047297999999998</v>
      </c>
      <c r="E230" s="839">
        <v>46.558098061020004</v>
      </c>
      <c r="F230" s="2839">
        <v>62.32572872523</v>
      </c>
      <c r="G230" s="439">
        <v>19.087670398939999</v>
      </c>
      <c r="H230" s="254">
        <v>42.657165999999997</v>
      </c>
    </row>
    <row r="231" spans="1:8">
      <c r="A231" s="63">
        <f t="shared" si="1"/>
        <v>2016.06</v>
      </c>
      <c r="B231" s="1938">
        <v>44.954425999999998</v>
      </c>
      <c r="C231" s="839">
        <v>46.919730999999999</v>
      </c>
      <c r="D231" s="2029">
        <v>39.361111000000001</v>
      </c>
      <c r="E231" s="839">
        <v>46.798499763700001</v>
      </c>
      <c r="F231" s="2839">
        <v>61.155671331259995</v>
      </c>
      <c r="G231" s="439">
        <v>19.760188435380002</v>
      </c>
      <c r="H231" s="254">
        <v>42.571452999999998</v>
      </c>
    </row>
    <row r="232" spans="1:8">
      <c r="A232" s="63">
        <f t="shared" si="1"/>
        <v>2016.07</v>
      </c>
      <c r="B232" s="1938">
        <v>45.816864000000002</v>
      </c>
      <c r="C232" s="839">
        <v>49.564101999999998</v>
      </c>
      <c r="D232" s="2029">
        <v>43.267108999999998</v>
      </c>
      <c r="E232" s="839">
        <v>48.193374914890001</v>
      </c>
      <c r="F232" s="2839">
        <v>65.594425436630004</v>
      </c>
      <c r="G232" s="439">
        <v>23.028285624200002</v>
      </c>
      <c r="H232" s="254">
        <v>45.605362</v>
      </c>
    </row>
    <row r="233" spans="1:8">
      <c r="A233" s="63">
        <f t="shared" si="1"/>
        <v>2016.08</v>
      </c>
      <c r="B233" s="1938">
        <v>45.439632000000003</v>
      </c>
      <c r="C233" s="839">
        <v>46.417563999999999</v>
      </c>
      <c r="D233" s="2029">
        <v>39.562569000000003</v>
      </c>
      <c r="E233" s="839">
        <v>46.714489656270004</v>
      </c>
      <c r="F233" s="2839">
        <v>59.552865611949997</v>
      </c>
      <c r="G233" s="439">
        <v>21.539179354730003</v>
      </c>
      <c r="H233" s="254">
        <v>42.602176999999998</v>
      </c>
    </row>
    <row r="234" spans="1:8">
      <c r="A234" s="63">
        <f t="shared" si="1"/>
        <v>2016.09</v>
      </c>
      <c r="B234" s="1938">
        <v>46.595329</v>
      </c>
      <c r="C234" s="839">
        <v>47.853149000000002</v>
      </c>
      <c r="D234" s="2029">
        <v>39.687851000000002</v>
      </c>
      <c r="E234" s="839">
        <v>45.911038284590006</v>
      </c>
      <c r="F234" s="2839">
        <v>61.441836645110001</v>
      </c>
      <c r="G234" s="439">
        <v>22.528322035289996</v>
      </c>
      <c r="H234" s="254">
        <v>43.293731999999999</v>
      </c>
    </row>
    <row r="235" spans="1:8">
      <c r="A235" s="63">
        <f t="shared" si="1"/>
        <v>2016.1</v>
      </c>
      <c r="B235" s="1938">
        <v>45.356236000000003</v>
      </c>
      <c r="C235" s="839">
        <v>50.598022</v>
      </c>
      <c r="D235" s="2029">
        <v>43.625827999999998</v>
      </c>
      <c r="E235" s="839">
        <v>47.885981264259996</v>
      </c>
      <c r="F235" s="2839">
        <v>62.081728303870001</v>
      </c>
      <c r="G235" s="439">
        <v>28.154570777589999</v>
      </c>
      <c r="H235" s="254">
        <v>46.040759999999999</v>
      </c>
    </row>
    <row r="236" spans="1:8">
      <c r="A236" s="63">
        <f t="shared" si="1"/>
        <v>2016.11</v>
      </c>
      <c r="B236" s="1938">
        <v>49.131275000000002</v>
      </c>
      <c r="C236" s="839">
        <v>46.345256999999997</v>
      </c>
      <c r="D236" s="2029">
        <v>40.997771999999998</v>
      </c>
      <c r="E236" s="839">
        <v>46.66515403679</v>
      </c>
      <c r="F236" s="2839">
        <v>58.404300594399999</v>
      </c>
      <c r="G236" s="439">
        <v>26.733145391810002</v>
      </c>
      <c r="H236" s="254">
        <v>43.934199999999997</v>
      </c>
    </row>
    <row r="237" spans="1:8">
      <c r="A237" s="63">
        <f t="shared" si="1"/>
        <v>2016.12</v>
      </c>
      <c r="B237" s="1938">
        <v>46.28</v>
      </c>
      <c r="C237" s="839">
        <v>48.92</v>
      </c>
      <c r="D237" s="2029">
        <v>41.39</v>
      </c>
      <c r="E237" s="839">
        <v>47.54</v>
      </c>
      <c r="F237" s="2839">
        <v>58.84</v>
      </c>
      <c r="G237" s="439">
        <v>27.06</v>
      </c>
      <c r="H237" s="254">
        <v>44.48</v>
      </c>
    </row>
    <row r="238" spans="1:8">
      <c r="A238" s="63">
        <f t="shared" si="1"/>
        <v>2017.01</v>
      </c>
      <c r="B238" s="1938">
        <v>45.48748333333333</v>
      </c>
      <c r="C238" s="839">
        <v>49.430642499999998</v>
      </c>
      <c r="D238" s="2029">
        <v>41.309131000000001</v>
      </c>
      <c r="E238" s="839">
        <v>47.757828000000003</v>
      </c>
      <c r="F238" s="2839">
        <v>57.053638500000005</v>
      </c>
      <c r="G238" s="439">
        <v>28.588879499999997</v>
      </c>
      <c r="H238" s="254">
        <v>44.466782000000002</v>
      </c>
    </row>
    <row r="239" spans="1:8">
      <c r="A239" s="63">
        <f t="shared" si="1"/>
        <v>2017.02</v>
      </c>
      <c r="B239" s="1938">
        <v>41.955128166666668</v>
      </c>
      <c r="C239" s="839">
        <v>43.99316533333333</v>
      </c>
      <c r="D239" s="2029">
        <v>38.398692833333335</v>
      </c>
      <c r="E239" s="839">
        <v>44.613573000000002</v>
      </c>
      <c r="F239" s="2839">
        <v>54.013998000000001</v>
      </c>
      <c r="G239" s="439">
        <v>23.417744499999998</v>
      </c>
      <c r="H239" s="254">
        <v>40.681771833333336</v>
      </c>
    </row>
    <row r="240" spans="1:8">
      <c r="A240" s="63">
        <f t="shared" si="1"/>
        <v>2017.03</v>
      </c>
      <c r="B240" s="1938">
        <v>43.939394666666665</v>
      </c>
      <c r="C240" s="839">
        <v>45.807209</v>
      </c>
      <c r="D240" s="2029">
        <v>37.266226166666669</v>
      </c>
      <c r="E240" s="839">
        <v>45.598739500000001</v>
      </c>
      <c r="F240" s="2839">
        <v>54.243830000000003</v>
      </c>
      <c r="G240" s="439">
        <v>23.007726999999999</v>
      </c>
      <c r="H240" s="254">
        <v>40.950098833333335</v>
      </c>
    </row>
    <row r="241" spans="1:8">
      <c r="A241" s="63">
        <f t="shared" si="1"/>
        <v>2017.04</v>
      </c>
      <c r="B241" s="1938">
        <v>50.39</v>
      </c>
      <c r="C241" s="839">
        <v>49.17</v>
      </c>
      <c r="D241" s="2029">
        <v>43.22</v>
      </c>
      <c r="E241" s="839">
        <v>49</v>
      </c>
      <c r="F241" s="2839">
        <v>62.1</v>
      </c>
      <c r="G241" s="439">
        <v>27.5</v>
      </c>
      <c r="H241" s="254">
        <v>46.19</v>
      </c>
    </row>
    <row r="242" spans="1:8">
      <c r="A242" s="63">
        <f t="shared" si="1"/>
        <v>2017.05</v>
      </c>
      <c r="B242" s="1938">
        <v>49.643320499999994</v>
      </c>
      <c r="C242" s="839">
        <v>49.326074833333337</v>
      </c>
      <c r="D242" s="2029">
        <v>42.549668666666669</v>
      </c>
      <c r="E242" s="839">
        <v>49.094599000000002</v>
      </c>
      <c r="F242" s="2839">
        <v>59.630817499999999</v>
      </c>
      <c r="G242" s="439">
        <v>28.551417999999998</v>
      </c>
      <c r="H242" s="254">
        <v>45.76</v>
      </c>
    </row>
    <row r="243" spans="1:8">
      <c r="A243" s="63">
        <f t="shared" si="1"/>
        <v>2017.06</v>
      </c>
      <c r="B243" s="1938">
        <v>45.064101999999998</v>
      </c>
      <c r="C243" s="839">
        <v>45.597484999999999</v>
      </c>
      <c r="D243" s="2029">
        <v>39.098362000000002</v>
      </c>
      <c r="E243" s="839">
        <v>45.314267878780001</v>
      </c>
      <c r="F243" s="2839">
        <v>54.590424173629998</v>
      </c>
      <c r="G243" s="439">
        <v>26.223971587379999</v>
      </c>
      <c r="H243" s="254">
        <v>42.042889000000002</v>
      </c>
    </row>
    <row r="244" spans="1:8">
      <c r="A244" s="63">
        <f t="shared" si="1"/>
        <v>2017.07</v>
      </c>
      <c r="B244" s="1938">
        <v>43.475451999999997</v>
      </c>
      <c r="C244" s="839">
        <v>46.909668000000003</v>
      </c>
      <c r="D244" s="2029">
        <v>39.630226</v>
      </c>
      <c r="E244" s="839">
        <v>45.109874579309995</v>
      </c>
      <c r="F244" s="2839">
        <v>53.625070619599995</v>
      </c>
      <c r="G244" s="439">
        <v>28.694257371590002</v>
      </c>
      <c r="H244" s="254">
        <v>42.476402</v>
      </c>
    </row>
    <row r="245" spans="1:8">
      <c r="A245" s="63">
        <f t="shared" si="1"/>
        <v>2017.08</v>
      </c>
      <c r="B245" s="1938">
        <v>50.229660000000003</v>
      </c>
      <c r="C245" s="839">
        <v>50.877192999999998</v>
      </c>
      <c r="D245" s="2029">
        <v>44.950333000000001</v>
      </c>
      <c r="E245" s="839">
        <v>49.362603565459999</v>
      </c>
      <c r="F245" s="2839">
        <v>62.457999664880006</v>
      </c>
      <c r="G245" s="439">
        <v>31.00887574347</v>
      </c>
      <c r="H245" s="254">
        <v>47.609828999999998</v>
      </c>
    </row>
    <row r="246" spans="1:8">
      <c r="A246" s="63">
        <f t="shared" si="1"/>
        <v>2017.09</v>
      </c>
      <c r="B246" s="1938">
        <v>53.787875999999997</v>
      </c>
      <c r="C246" s="839">
        <v>56.125576000000002</v>
      </c>
      <c r="D246" s="2029">
        <v>47.296543</v>
      </c>
      <c r="E246" s="839">
        <v>52.282850372959999</v>
      </c>
      <c r="F246" s="2839">
        <v>62.949154933369996</v>
      </c>
      <c r="G246" s="439">
        <v>37.887232799860001</v>
      </c>
      <c r="H246" s="254">
        <v>51.039745000000003</v>
      </c>
    </row>
    <row r="247" spans="1:8">
      <c r="A247" s="63">
        <f t="shared" si="1"/>
        <v>2017.1</v>
      </c>
      <c r="B247" s="1938">
        <v>56.160831000000002</v>
      </c>
      <c r="C247" s="839">
        <v>55.989581999999999</v>
      </c>
      <c r="D247" s="2029">
        <v>46.792763000000001</v>
      </c>
      <c r="E247" s="839">
        <v>51.251850140759998</v>
      </c>
      <c r="F247" s="2839">
        <v>60.586358012719998</v>
      </c>
      <c r="G247" s="439">
        <v>41.483194004680001</v>
      </c>
      <c r="H247" s="254">
        <v>51.107132</v>
      </c>
    </row>
    <row r="248" spans="1:8">
      <c r="A248" s="63">
        <f t="shared" si="1"/>
        <v>2017.11</v>
      </c>
      <c r="B248" s="1938">
        <v>54.560367999999997</v>
      </c>
      <c r="C248" s="839">
        <v>55.944961999999997</v>
      </c>
      <c r="D248" s="2029">
        <v>47.286186000000001</v>
      </c>
      <c r="E248" s="839">
        <v>50.93819111186</v>
      </c>
      <c r="F248" s="2839">
        <v>62.240399277579996</v>
      </c>
      <c r="G248" s="439">
        <v>40.126972981259996</v>
      </c>
      <c r="H248" s="254">
        <v>51.101855999999998</v>
      </c>
    </row>
    <row r="249" spans="1:8">
      <c r="A249" s="63">
        <f t="shared" si="1"/>
        <v>2017.12</v>
      </c>
      <c r="B249" s="1938">
        <v>47.868217000000001</v>
      </c>
      <c r="C249" s="839">
        <v>47.984921</v>
      </c>
      <c r="D249" s="2029">
        <v>39.018951000000001</v>
      </c>
      <c r="E249" s="839">
        <v>45.430436970119999</v>
      </c>
      <c r="F249" s="2839">
        <v>52.883662372069999</v>
      </c>
      <c r="G249" s="439">
        <v>31.225614216159997</v>
      </c>
      <c r="H249" s="254">
        <v>43.179904999999998</v>
      </c>
    </row>
    <row r="250" spans="1:8">
      <c r="A250" s="63">
        <f t="shared" si="1"/>
        <v>2018.01</v>
      </c>
      <c r="B250" s="1938">
        <v>47.095962999999998</v>
      </c>
      <c r="C250" s="839">
        <v>46.582546000000001</v>
      </c>
      <c r="D250" s="2029">
        <v>43.818984999999998</v>
      </c>
      <c r="E250" s="839">
        <v>46.553070753729997</v>
      </c>
      <c r="F250" s="2839">
        <v>54.487129062499996</v>
      </c>
      <c r="G250" s="439">
        <v>34.52593056325</v>
      </c>
      <c r="H250" s="254">
        <v>45.188713</v>
      </c>
    </row>
    <row r="251" spans="1:8">
      <c r="A251" s="63">
        <f t="shared" si="1"/>
        <v>2018.02</v>
      </c>
      <c r="B251" s="1938">
        <v>45.898437999999999</v>
      </c>
      <c r="C251" s="839">
        <v>46.729461999999998</v>
      </c>
      <c r="D251" s="2029">
        <v>41.532691999999997</v>
      </c>
      <c r="E251" s="839">
        <v>43.767911922110002</v>
      </c>
      <c r="F251" s="2839">
        <v>51.535661455530004</v>
      </c>
      <c r="G251" s="439">
        <v>36.16428526192</v>
      </c>
      <c r="H251" s="254">
        <v>43.822620000000001</v>
      </c>
    </row>
    <row r="252" spans="1:8">
      <c r="A252" s="63">
        <f t="shared" si="1"/>
        <v>2018.03</v>
      </c>
      <c r="B252" s="1938">
        <v>44.617381999999999</v>
      </c>
      <c r="C252" s="839">
        <v>45.794871999999998</v>
      </c>
      <c r="D252" s="2029">
        <v>42.434207999999998</v>
      </c>
      <c r="E252" s="839">
        <v>45.97984296448</v>
      </c>
      <c r="F252" s="2839">
        <v>52.775106554130005</v>
      </c>
      <c r="G252" s="439">
        <v>32.683868532619996</v>
      </c>
      <c r="H252" s="254">
        <v>43.812939</v>
      </c>
    </row>
    <row r="253" spans="1:8">
      <c r="A253" s="63">
        <f t="shared" si="1"/>
        <v>2018.04</v>
      </c>
      <c r="B253" s="1938">
        <v>45.144359999999999</v>
      </c>
      <c r="C253" s="839">
        <v>41.912525000000002</v>
      </c>
      <c r="D253" s="2029">
        <v>37.527591999999999</v>
      </c>
      <c r="E253" s="839">
        <v>41.565719257889995</v>
      </c>
      <c r="F253" s="2839">
        <v>48.298405755060003</v>
      </c>
      <c r="G253" s="439">
        <v>30.39488400015</v>
      </c>
      <c r="H253" s="254">
        <v>40.086334000000001</v>
      </c>
    </row>
    <row r="254" spans="1:8">
      <c r="A254" s="63">
        <f t="shared" si="1"/>
        <v>2018.05</v>
      </c>
      <c r="B254" s="1938">
        <v>38.294421999999997</v>
      </c>
      <c r="C254" s="839">
        <v>39.289448</v>
      </c>
      <c r="D254" s="2029">
        <v>33.550491000000001</v>
      </c>
      <c r="E254" s="839">
        <v>37.882503988059995</v>
      </c>
      <c r="F254" s="2839">
        <v>48.240434373569997</v>
      </c>
      <c r="G254" s="439">
        <v>22.078479109070003</v>
      </c>
      <c r="H254" s="254">
        <v>36.067138999999997</v>
      </c>
    </row>
    <row r="255" spans="1:8">
      <c r="A255" s="63">
        <f t="shared" si="1"/>
        <v>2018.06</v>
      </c>
      <c r="B255" s="1938">
        <v>36.975067000000003</v>
      </c>
      <c r="C255" s="839">
        <v>41.640864999999998</v>
      </c>
      <c r="D255" s="2029">
        <v>32.419711999999997</v>
      </c>
      <c r="E255" s="839">
        <v>37.680111353339996</v>
      </c>
      <c r="F255" s="2839">
        <v>48.097419010270002</v>
      </c>
      <c r="G255" s="439">
        <v>22.147412849219997</v>
      </c>
      <c r="H255" s="254">
        <v>35.974978999999998</v>
      </c>
    </row>
    <row r="256" spans="1:8">
      <c r="A256" s="63">
        <f t="shared" si="1"/>
        <v>2018.07</v>
      </c>
      <c r="B256" s="1938">
        <v>37.065635999999998</v>
      </c>
      <c r="C256" s="839">
        <v>39.859596000000003</v>
      </c>
      <c r="D256" s="2029">
        <v>33.940398999999999</v>
      </c>
      <c r="E256" s="839">
        <v>37.938534809510003</v>
      </c>
      <c r="F256" s="2839">
        <v>50.60035592338</v>
      </c>
      <c r="G256" s="439">
        <v>20.224556417270001</v>
      </c>
      <c r="H256" s="254">
        <v>36.254482000000003</v>
      </c>
    </row>
    <row r="257" spans="1:8">
      <c r="A257" s="63">
        <f t="shared" si="1"/>
        <v>2018.08</v>
      </c>
      <c r="B257" s="1938">
        <v>38.451447000000002</v>
      </c>
      <c r="C257" s="839">
        <v>39.097549000000001</v>
      </c>
      <c r="D257" s="2029">
        <v>33.955627</v>
      </c>
      <c r="E257" s="839">
        <v>38.665933813509994</v>
      </c>
      <c r="F257" s="2839">
        <v>51.092113657710001</v>
      </c>
      <c r="G257" s="439">
        <v>18.990516074089999</v>
      </c>
      <c r="H257" s="254">
        <v>36.249523000000003</v>
      </c>
    </row>
    <row r="258" spans="1:8">
      <c r="A258" s="63">
        <f t="shared" ref="A258:A321" si="2">A246+1</f>
        <v>2018.09</v>
      </c>
      <c r="B258" s="1938">
        <v>35.261436000000003</v>
      </c>
      <c r="C258" s="839">
        <v>35.798664000000002</v>
      </c>
      <c r="D258" s="2029">
        <v>32.036422999999999</v>
      </c>
      <c r="E258" s="839">
        <v>36.203712035439999</v>
      </c>
      <c r="F258" s="2839">
        <v>52.141767153739998</v>
      </c>
      <c r="G258" s="439">
        <v>12.76794576196</v>
      </c>
      <c r="H258" s="254">
        <v>33.704475000000002</v>
      </c>
    </row>
    <row r="259" spans="1:8">
      <c r="A259" s="63">
        <f t="shared" si="2"/>
        <v>2018.1</v>
      </c>
      <c r="B259" s="1938">
        <v>35.098038000000003</v>
      </c>
      <c r="C259" s="839">
        <v>33.397339000000002</v>
      </c>
      <c r="D259" s="2029">
        <v>31.478407000000001</v>
      </c>
      <c r="E259" s="839">
        <v>33.711635056760002</v>
      </c>
      <c r="F259" s="2839">
        <v>50.857316712349999</v>
      </c>
      <c r="G259" s="439">
        <v>13.361957884200001</v>
      </c>
      <c r="H259" s="254">
        <v>32.643635000000003</v>
      </c>
    </row>
    <row r="260" spans="1:8">
      <c r="A260" s="63">
        <f t="shared" si="2"/>
        <v>2018.11</v>
      </c>
      <c r="B260" s="1938">
        <v>35.401001000000001</v>
      </c>
      <c r="C260" s="839">
        <v>35.007851000000002</v>
      </c>
      <c r="D260" s="2029">
        <v>29.438997000000001</v>
      </c>
      <c r="E260" s="839">
        <v>33.40263082856</v>
      </c>
      <c r="F260" s="2839">
        <v>50.00117535007</v>
      </c>
      <c r="G260" s="439">
        <v>12.888798568489999</v>
      </c>
      <c r="H260" s="254">
        <v>32.097534000000003</v>
      </c>
    </row>
    <row r="261" spans="1:8">
      <c r="A261" s="63">
        <f t="shared" si="2"/>
        <v>2018.12</v>
      </c>
      <c r="B261" s="1938">
        <v>38.996139999999997</v>
      </c>
      <c r="C261" s="839">
        <v>37.532299000000002</v>
      </c>
      <c r="D261" s="2029">
        <v>34.206080999999998</v>
      </c>
      <c r="E261" s="839">
        <v>38.626457480279996</v>
      </c>
      <c r="F261" s="2839">
        <v>55.071457733689996</v>
      </c>
      <c r="G261" s="439">
        <v>14.270962935099998</v>
      </c>
      <c r="H261" s="254">
        <v>35.989628000000003</v>
      </c>
    </row>
    <row r="262" spans="1:8">
      <c r="A262" s="63">
        <f t="shared" si="2"/>
        <v>2019.01</v>
      </c>
      <c r="B262" s="1938">
        <v>32.165405</v>
      </c>
      <c r="C262" s="839">
        <v>37.283386</v>
      </c>
      <c r="D262" s="2029">
        <v>30.976431000000002</v>
      </c>
      <c r="E262" s="839">
        <v>34.565555449069997</v>
      </c>
      <c r="F262" s="2839">
        <v>49.156249305390006</v>
      </c>
      <c r="G262" s="439">
        <v>15.581426851469999</v>
      </c>
      <c r="H262" s="254">
        <v>33.101078000000001</v>
      </c>
    </row>
    <row r="263" spans="1:8">
      <c r="A263" s="63">
        <f t="shared" si="2"/>
        <v>2019.02</v>
      </c>
      <c r="B263" s="1938">
        <v>38.852814000000002</v>
      </c>
      <c r="C263" s="839">
        <v>37.906047999999998</v>
      </c>
      <c r="D263" s="2029">
        <v>34.128287999999998</v>
      </c>
      <c r="E263" s="839">
        <v>38.620090974319993</v>
      </c>
      <c r="F263" s="2839">
        <v>54.390336324589995</v>
      </c>
      <c r="G263" s="439">
        <v>15.109477463529998</v>
      </c>
      <c r="H263" s="254">
        <v>36.039966999999997</v>
      </c>
    </row>
    <row r="264" spans="1:8">
      <c r="A264" s="63">
        <f t="shared" si="2"/>
        <v>2019.03</v>
      </c>
      <c r="B264" s="1938">
        <v>33.266128999999999</v>
      </c>
      <c r="C264" s="839">
        <v>37.551124999999999</v>
      </c>
      <c r="D264" s="2029">
        <v>33.666668000000001</v>
      </c>
      <c r="E264" s="839">
        <v>37.498310851189999</v>
      </c>
      <c r="F264" s="2839">
        <v>51.752874043459997</v>
      </c>
      <c r="G264" s="439">
        <v>15.132680085180001</v>
      </c>
      <c r="H264" s="254">
        <v>34.794620999999999</v>
      </c>
    </row>
    <row r="265" spans="1:8">
      <c r="A265" s="63">
        <f t="shared" si="2"/>
        <v>2019.04</v>
      </c>
      <c r="B265" s="1938">
        <v>35.040984999999999</v>
      </c>
      <c r="C265" s="839">
        <v>35.054080999999996</v>
      </c>
      <c r="D265" s="2029">
        <v>33.854168000000001</v>
      </c>
      <c r="E265" s="839">
        <v>37.030688040009998</v>
      </c>
      <c r="F265" s="2839">
        <v>54.030130540969999</v>
      </c>
      <c r="G265" s="439">
        <v>12.17260735969</v>
      </c>
      <c r="H265" s="254">
        <v>34.411144</v>
      </c>
    </row>
    <row r="266" spans="1:8">
      <c r="A266" s="63">
        <f t="shared" si="2"/>
        <v>2019.05</v>
      </c>
      <c r="B266" s="1938">
        <v>39.353740999999999</v>
      </c>
      <c r="C266" s="839">
        <v>38.760288000000003</v>
      </c>
      <c r="D266" s="2029">
        <v>34.297966000000002</v>
      </c>
      <c r="E266" s="839">
        <v>37.613519348609998</v>
      </c>
      <c r="F266" s="2839">
        <v>58.03389583045</v>
      </c>
      <c r="G266" s="439">
        <v>13.77008360692</v>
      </c>
      <c r="H266" s="254">
        <v>36.472499999999997</v>
      </c>
    </row>
    <row r="267" spans="1:8">
      <c r="A267" s="63">
        <f t="shared" si="2"/>
        <v>2019.06</v>
      </c>
      <c r="B267" s="1938">
        <v>42.987803999999997</v>
      </c>
      <c r="C267" s="839">
        <v>42.030074999999997</v>
      </c>
      <c r="D267" s="2029">
        <v>39.017662000000001</v>
      </c>
      <c r="E267" s="839">
        <v>42.305173465289997</v>
      </c>
      <c r="F267" s="2839">
        <v>62.787175433260003</v>
      </c>
      <c r="G267" s="439">
        <v>16.6303533723</v>
      </c>
      <c r="H267" s="254">
        <v>40.574233999999997</v>
      </c>
    </row>
    <row r="268" spans="1:8">
      <c r="A268" s="63">
        <f t="shared" si="2"/>
        <v>2019.07</v>
      </c>
      <c r="B268" s="1938">
        <v>45.667991999999998</v>
      </c>
      <c r="C268" s="839">
        <v>46.286369000000001</v>
      </c>
      <c r="D268" s="2029">
        <v>42.519252999999999</v>
      </c>
      <c r="E268" s="839">
        <v>45.966042368029996</v>
      </c>
      <c r="F268" s="2839">
        <v>65.880499818849998</v>
      </c>
      <c r="G268" s="439">
        <v>20.683087264539999</v>
      </c>
      <c r="H268" s="254">
        <v>44.176544</v>
      </c>
    </row>
    <row r="269" spans="1:8">
      <c r="A269" s="63">
        <f t="shared" si="2"/>
        <v>2019.08</v>
      </c>
      <c r="B269" s="1938">
        <v>44.93927</v>
      </c>
      <c r="C269" s="839">
        <v>41.653903999999997</v>
      </c>
      <c r="D269" s="2029">
        <v>41.065575000000003</v>
      </c>
      <c r="E269" s="839">
        <v>45.791345218870006</v>
      </c>
      <c r="F269" s="2839">
        <v>61.450769948439998</v>
      </c>
      <c r="G269" s="439">
        <v>18.34639094892</v>
      </c>
      <c r="H269" s="254">
        <v>41.862834999999997</v>
      </c>
    </row>
    <row r="270" spans="1:8">
      <c r="A270" s="63">
        <f t="shared" si="2"/>
        <v>2019.09</v>
      </c>
      <c r="B270" s="1938">
        <v>44.421768</v>
      </c>
      <c r="C270" s="839">
        <v>42.928134999999997</v>
      </c>
      <c r="D270" s="2029">
        <v>40.919159000000001</v>
      </c>
      <c r="E270" s="839">
        <v>45.74966665625</v>
      </c>
      <c r="F270" s="2839">
        <v>63.721702301820002</v>
      </c>
      <c r="G270" s="439">
        <v>16.808487104599998</v>
      </c>
      <c r="H270" s="254">
        <v>42.093285000000002</v>
      </c>
    </row>
    <row r="271" spans="1:8">
      <c r="A271" s="63">
        <f t="shared" si="2"/>
        <v>2019.1</v>
      </c>
      <c r="B271" s="1938">
        <v>42.237904</v>
      </c>
      <c r="C271" s="839">
        <v>44.928097000000001</v>
      </c>
      <c r="D271" s="2029">
        <v>43.566772</v>
      </c>
      <c r="E271" s="839">
        <v>46.468533439639998</v>
      </c>
      <c r="F271" s="2839">
        <v>67.091704852790002</v>
      </c>
      <c r="G271" s="439">
        <v>17.756998565469999</v>
      </c>
      <c r="H271" s="254">
        <v>43.772410999999998</v>
      </c>
    </row>
    <row r="272" spans="1:8">
      <c r="A272" s="63">
        <f t="shared" si="2"/>
        <v>2019.11</v>
      </c>
      <c r="B272" s="1938">
        <v>39.676113000000001</v>
      </c>
      <c r="C272" s="839">
        <v>40.201324</v>
      </c>
      <c r="D272" s="2029">
        <v>42.519252999999999</v>
      </c>
      <c r="E272" s="839">
        <v>45.393638142370001</v>
      </c>
      <c r="F272" s="2839">
        <v>61.23419997021</v>
      </c>
      <c r="G272" s="439">
        <v>17.435774606159999</v>
      </c>
      <c r="H272" s="254">
        <v>41.354537999999998</v>
      </c>
    </row>
    <row r="273" spans="1:8">
      <c r="A273" s="63">
        <f t="shared" si="2"/>
        <v>2019.12</v>
      </c>
      <c r="B273" s="1938">
        <v>42.105263000000001</v>
      </c>
      <c r="C273" s="839">
        <v>43.087265000000002</v>
      </c>
      <c r="D273" s="2029">
        <v>41.996699999999997</v>
      </c>
      <c r="E273" s="839">
        <v>46.855713758210001</v>
      </c>
      <c r="F273" s="2839">
        <v>63.13516935869999</v>
      </c>
      <c r="G273" s="439">
        <v>17.05389291937</v>
      </c>
      <c r="H273" s="254">
        <v>42.348258999999999</v>
      </c>
    </row>
    <row r="274" spans="1:8">
      <c r="A274" s="63">
        <f t="shared" si="2"/>
        <v>2020.01</v>
      </c>
      <c r="B274" s="1938">
        <v>40.442180999999998</v>
      </c>
      <c r="C274" s="839">
        <v>42.431190000000001</v>
      </c>
      <c r="D274" s="2029">
        <v>44.155845999999997</v>
      </c>
      <c r="E274" s="839">
        <v>48.997988772369993</v>
      </c>
      <c r="F274" s="2839">
        <v>62.108874201580001</v>
      </c>
      <c r="G274" s="439">
        <v>17.996636558379997</v>
      </c>
      <c r="H274" s="254">
        <v>43.034500000000001</v>
      </c>
    </row>
    <row r="275" spans="1:8">
      <c r="A275" s="63">
        <f t="shared" si="2"/>
        <v>2020.02</v>
      </c>
      <c r="B275" s="1938">
        <v>38.911288999999996</v>
      </c>
      <c r="C275" s="839">
        <v>39.283893999999997</v>
      </c>
      <c r="D275" s="2029">
        <v>45.861111000000001</v>
      </c>
      <c r="E275" s="839">
        <v>50.314045111980001</v>
      </c>
      <c r="F275" s="2839">
        <v>59.012524569599996</v>
      </c>
      <c r="G275" s="439">
        <v>18.878411092269999</v>
      </c>
      <c r="H275" s="254">
        <v>42.734993000000003</v>
      </c>
    </row>
    <row r="276" spans="1:8">
      <c r="A276" s="63">
        <f t="shared" si="2"/>
        <v>2020.03</v>
      </c>
      <c r="B276" s="1938">
        <v>38.642474999999997</v>
      </c>
      <c r="C276" s="839">
        <v>39.513252000000001</v>
      </c>
      <c r="D276" s="2029">
        <v>42.991168999999999</v>
      </c>
      <c r="E276" s="839">
        <v>49.341675772789998</v>
      </c>
      <c r="F276" s="2839">
        <v>56.52406079344</v>
      </c>
      <c r="G276" s="439">
        <v>17.826097415020001</v>
      </c>
      <c r="H276" s="254">
        <v>41.230609999999999</v>
      </c>
    </row>
    <row r="277" spans="1:8">
      <c r="A277" s="63">
        <f t="shared" si="2"/>
        <v>2020.04</v>
      </c>
      <c r="B277" s="1938">
        <v>36.220474000000003</v>
      </c>
      <c r="C277" s="839">
        <v>38.880329000000003</v>
      </c>
      <c r="D277" s="2029">
        <v>40.416668000000001</v>
      </c>
      <c r="E277" s="839">
        <v>52.276134378279991</v>
      </c>
      <c r="F277" s="2839">
        <v>57.549850900669995</v>
      </c>
      <c r="G277" s="439">
        <v>8.0028556216700011</v>
      </c>
      <c r="H277" s="254">
        <v>39.276279000000002</v>
      </c>
    </row>
    <row r="278" spans="1:8">
      <c r="A278" s="63">
        <f t="shared" si="2"/>
        <v>2020.05</v>
      </c>
      <c r="B278" s="1938">
        <v>36.276454999999999</v>
      </c>
      <c r="C278" s="839">
        <v>38.706806</v>
      </c>
      <c r="D278" s="2029">
        <v>38.888888999999999</v>
      </c>
      <c r="E278" s="839">
        <v>46.812932941649997</v>
      </c>
      <c r="F278" s="2839">
        <v>53.382233147439997</v>
      </c>
      <c r="G278" s="439">
        <v>15.054136909049999</v>
      </c>
      <c r="H278" s="254">
        <v>38.416435</v>
      </c>
    </row>
    <row r="279" spans="1:8">
      <c r="A279" s="63">
        <f t="shared" si="2"/>
        <v>2020.06</v>
      </c>
      <c r="B279" s="1938">
        <v>41.531165999999999</v>
      </c>
      <c r="C279" s="839">
        <v>37.996941</v>
      </c>
      <c r="D279" s="2029">
        <v>39.700996000000004</v>
      </c>
      <c r="E279" s="839">
        <v>44.658682041549994</v>
      </c>
      <c r="F279" s="2839">
        <v>52.602156481159994</v>
      </c>
      <c r="G279" s="439">
        <v>21.146782402079999</v>
      </c>
      <c r="H279" s="254">
        <v>39.469208000000002</v>
      </c>
    </row>
    <row r="280" spans="1:8">
      <c r="A280" s="63">
        <f t="shared" si="2"/>
        <v>2020.07</v>
      </c>
      <c r="B280" s="1938">
        <v>40.763053999999997</v>
      </c>
      <c r="C280" s="839">
        <v>39.397433999999997</v>
      </c>
      <c r="D280" s="2029">
        <v>36.716171000000003</v>
      </c>
      <c r="E280" s="839">
        <v>42.095872620000009</v>
      </c>
      <c r="F280" s="2839">
        <v>50.408116438250005</v>
      </c>
      <c r="G280" s="439">
        <v>22.046107245350001</v>
      </c>
      <c r="H280" s="254">
        <v>38.183365000000002</v>
      </c>
    </row>
    <row r="281" spans="1:8">
      <c r="A281" s="63">
        <f t="shared" si="2"/>
        <v>2020.08</v>
      </c>
      <c r="B281" s="1938">
        <v>44.708995999999999</v>
      </c>
      <c r="C281" s="839">
        <v>41.243591000000002</v>
      </c>
      <c r="D281" s="2029">
        <v>40.342162999999999</v>
      </c>
      <c r="E281" s="839">
        <v>45.438716546820004</v>
      </c>
      <c r="F281" s="2839">
        <v>52.289190333709996</v>
      </c>
      <c r="G281" s="439">
        <v>26.214325600870001</v>
      </c>
      <c r="H281" s="254">
        <v>41.314079</v>
      </c>
    </row>
    <row r="282" spans="1:8">
      <c r="A282" s="63">
        <f t="shared" si="2"/>
        <v>2020.09</v>
      </c>
      <c r="B282" s="1938">
        <v>38.446213</v>
      </c>
      <c r="C282" s="839">
        <v>39.111454000000002</v>
      </c>
      <c r="D282" s="2029">
        <v>41.555923</v>
      </c>
      <c r="E282" s="839">
        <v>44.96872245198</v>
      </c>
      <c r="F282" s="2839">
        <v>50.831800140050007</v>
      </c>
      <c r="G282" s="439">
        <v>25.12922759576</v>
      </c>
      <c r="H282" s="254">
        <v>40.309916999999999</v>
      </c>
    </row>
    <row r="283" spans="1:8">
      <c r="A283" s="63">
        <f t="shared" si="2"/>
        <v>2020.1</v>
      </c>
      <c r="B283" s="1938">
        <v>40.376984</v>
      </c>
      <c r="C283" s="839">
        <v>36.406894999999999</v>
      </c>
      <c r="D283" s="2029">
        <v>39.762690999999997</v>
      </c>
      <c r="E283" s="839">
        <v>40.749706459739997</v>
      </c>
      <c r="F283" s="2839">
        <v>46.848375587690001</v>
      </c>
      <c r="G283" s="439">
        <v>28.892808034439998</v>
      </c>
      <c r="H283" s="254">
        <v>38.830295999999997</v>
      </c>
    </row>
    <row r="284" spans="1:8">
      <c r="A284" s="63">
        <f t="shared" si="2"/>
        <v>2020.11</v>
      </c>
      <c r="B284" s="1938">
        <v>40.866669000000002</v>
      </c>
      <c r="C284" s="839">
        <v>39.519032000000003</v>
      </c>
      <c r="D284" s="2029">
        <v>41.639256000000003</v>
      </c>
      <c r="E284" s="839">
        <v>43.789939915619996</v>
      </c>
      <c r="F284" s="2839">
        <v>49.728802860529996</v>
      </c>
      <c r="G284" s="439">
        <v>29.076506127029997</v>
      </c>
      <c r="H284" s="254">
        <v>40.865082000000001</v>
      </c>
    </row>
    <row r="285" spans="1:8">
      <c r="A285" s="63">
        <f t="shared" si="2"/>
        <v>2020.12</v>
      </c>
      <c r="B285" s="1938">
        <v>39.756259999999997</v>
      </c>
      <c r="C285" s="839">
        <v>38.549717000000001</v>
      </c>
      <c r="D285" s="2029">
        <v>39.631461999999999</v>
      </c>
      <c r="E285" s="839">
        <v>41.204636982020006</v>
      </c>
      <c r="F285" s="2839">
        <v>47.821677183779997</v>
      </c>
      <c r="G285" s="439">
        <v>28.930598473450001</v>
      </c>
      <c r="H285" s="254">
        <v>39.31897</v>
      </c>
    </row>
    <row r="286" spans="1:8">
      <c r="A286" s="63">
        <f t="shared" si="2"/>
        <v>2021.01</v>
      </c>
      <c r="B286" s="1938">
        <v>36.909450999999997</v>
      </c>
      <c r="C286" s="839">
        <v>36.566203999999999</v>
      </c>
      <c r="D286" s="2029">
        <v>39.527779000000002</v>
      </c>
      <c r="E286" s="839">
        <v>40.847265291260001</v>
      </c>
      <c r="F286" s="2839">
        <v>46.201903917910002</v>
      </c>
      <c r="G286" s="439">
        <v>27.554969257049997</v>
      </c>
      <c r="H286" s="254">
        <v>38.201382000000002</v>
      </c>
    </row>
    <row r="287" spans="1:8">
      <c r="A287" s="63">
        <f t="shared" si="2"/>
        <v>2021.02</v>
      </c>
      <c r="B287" s="1938">
        <v>38.118487999999999</v>
      </c>
      <c r="C287" s="839">
        <v>35.647427</v>
      </c>
      <c r="D287" s="2029">
        <v>38.879871000000001</v>
      </c>
      <c r="E287" s="839">
        <v>41.099406800799997</v>
      </c>
      <c r="F287" s="2839">
        <v>43.347487370259998</v>
      </c>
      <c r="G287" s="439">
        <v>28.851648098869997</v>
      </c>
      <c r="H287" s="254">
        <v>37.766182000000001</v>
      </c>
    </row>
    <row r="288" spans="1:8">
      <c r="A288" s="63">
        <f t="shared" si="2"/>
        <v>2021.03</v>
      </c>
      <c r="B288" s="1938">
        <v>36.764705999999997</v>
      </c>
      <c r="C288" s="839">
        <v>36.210472000000003</v>
      </c>
      <c r="D288" s="2029">
        <v>39.762695000000001</v>
      </c>
      <c r="E288" s="839">
        <v>43.188147749199999</v>
      </c>
      <c r="F288" s="2839">
        <v>44.40126909704999</v>
      </c>
      <c r="G288" s="439">
        <v>26.99421873108</v>
      </c>
      <c r="H288" s="254">
        <v>38.194546000000003</v>
      </c>
    </row>
    <row r="289" spans="1:8">
      <c r="A289" s="63">
        <f t="shared" si="2"/>
        <v>2021.04</v>
      </c>
      <c r="B289" s="1938">
        <v>37.599997999999999</v>
      </c>
      <c r="C289" s="839">
        <v>32.686337000000002</v>
      </c>
      <c r="D289" s="2029">
        <v>36.182792999999997</v>
      </c>
      <c r="E289" s="839">
        <v>40.253147065090005</v>
      </c>
      <c r="F289" s="2839">
        <v>41.800343414819999</v>
      </c>
      <c r="G289" s="439">
        <v>23.95204822126</v>
      </c>
      <c r="H289" s="254">
        <v>35.335177999999999</v>
      </c>
    </row>
    <row r="290" spans="1:8">
      <c r="A290" s="63">
        <f t="shared" si="2"/>
        <v>2021.05</v>
      </c>
      <c r="B290" s="1938">
        <v>35.786288999999996</v>
      </c>
      <c r="C290" s="839">
        <v>35.394264</v>
      </c>
      <c r="D290" s="2029">
        <v>35.354374</v>
      </c>
      <c r="E290" s="839">
        <v>40.172802767760004</v>
      </c>
      <c r="F290" s="2839">
        <v>42.285388952890003</v>
      </c>
      <c r="G290" s="439">
        <v>23.847023322079998</v>
      </c>
      <c r="H290" s="254">
        <v>35.435070000000003</v>
      </c>
    </row>
    <row r="291" spans="1:8">
      <c r="A291" s="63">
        <f t="shared" si="2"/>
        <v>2021.06</v>
      </c>
      <c r="B291" s="1938">
        <v>35.629921000000003</v>
      </c>
      <c r="C291" s="839">
        <v>34.361980000000003</v>
      </c>
      <c r="D291" s="2029">
        <v>34.500542000000003</v>
      </c>
      <c r="E291" s="839">
        <v>38.932626358150003</v>
      </c>
      <c r="F291" s="2839">
        <v>43.426533991680003</v>
      </c>
      <c r="G291" s="439">
        <v>21.553626280769997</v>
      </c>
      <c r="H291" s="254">
        <v>34.637596000000002</v>
      </c>
    </row>
    <row r="292" spans="1:8">
      <c r="A292" s="63">
        <f t="shared" si="2"/>
        <v>2021.07</v>
      </c>
      <c r="B292" s="1938">
        <v>39.233333999999999</v>
      </c>
      <c r="C292" s="839">
        <v>35.346153000000001</v>
      </c>
      <c r="D292" s="2029">
        <v>38.898116999999999</v>
      </c>
      <c r="E292" s="839">
        <v>42.357486296909997</v>
      </c>
      <c r="F292" s="2839">
        <v>44.640862742080003</v>
      </c>
      <c r="G292" s="439">
        <v>26.584860387909998</v>
      </c>
      <c r="H292" s="254">
        <v>37.861069000000001</v>
      </c>
    </row>
    <row r="293" spans="1:8">
      <c r="A293" s="63">
        <f t="shared" si="2"/>
        <v>2021.08</v>
      </c>
      <c r="B293" s="1938">
        <v>37.757201999999999</v>
      </c>
      <c r="C293" s="839">
        <v>39.302146999999998</v>
      </c>
      <c r="D293" s="2029">
        <v>40.628418000000003</v>
      </c>
      <c r="E293" s="839">
        <v>44.860837492089999</v>
      </c>
      <c r="F293" s="2839">
        <v>45.081984665489998</v>
      </c>
      <c r="G293" s="439">
        <v>29.347911886119999</v>
      </c>
      <c r="H293" s="254">
        <v>39.763579999999997</v>
      </c>
    </row>
    <row r="294" spans="1:8">
      <c r="A294" s="63">
        <f t="shared" si="2"/>
        <v>2021.09</v>
      </c>
      <c r="B294" s="1938">
        <v>38.466667000000001</v>
      </c>
      <c r="C294" s="839">
        <v>40.144356000000002</v>
      </c>
      <c r="D294" s="2029">
        <v>41.349204999999998</v>
      </c>
      <c r="E294" s="839">
        <v>43.923250318130002</v>
      </c>
      <c r="F294" s="2839">
        <v>46.937122948549998</v>
      </c>
      <c r="G294" s="439">
        <v>30.699083836470002</v>
      </c>
      <c r="H294" s="254">
        <v>40.519817000000003</v>
      </c>
    </row>
    <row r="295" spans="1:8">
      <c r="A295" s="63">
        <f t="shared" si="2"/>
        <v>2021.1</v>
      </c>
      <c r="B295" s="1938">
        <v>40.176150999999997</v>
      </c>
      <c r="C295" s="839">
        <v>39.166668000000001</v>
      </c>
      <c r="D295" s="2029">
        <v>40.822071000000001</v>
      </c>
      <c r="E295" s="839">
        <v>43.502503906219999</v>
      </c>
      <c r="F295" s="2839">
        <v>46.944183764190001</v>
      </c>
      <c r="G295" s="439">
        <v>30.185515173600002</v>
      </c>
      <c r="H295" s="254">
        <v>40.210735</v>
      </c>
    </row>
    <row r="296" spans="1:8">
      <c r="A296" s="63">
        <f t="shared" si="2"/>
        <v>2021.11</v>
      </c>
      <c r="B296" s="1938">
        <v>40.021008000000002</v>
      </c>
      <c r="C296" s="839">
        <v>39.365200000000002</v>
      </c>
      <c r="D296" s="2029">
        <v>39.781421999999999</v>
      </c>
      <c r="E296" s="839">
        <v>43.737790604589996</v>
      </c>
      <c r="F296" s="2839">
        <v>44.058732260469995</v>
      </c>
      <c r="G296" s="439">
        <v>31.277853693600001</v>
      </c>
      <c r="H296" s="254">
        <v>39.691459999999999</v>
      </c>
    </row>
    <row r="297" spans="1:8">
      <c r="A297" s="63">
        <f t="shared" si="2"/>
        <v>2021.12</v>
      </c>
      <c r="B297" s="1938">
        <v>38.739669999999997</v>
      </c>
      <c r="C297" s="839">
        <v>37.628998000000003</v>
      </c>
      <c r="D297" s="2029">
        <v>37.553417000000003</v>
      </c>
      <c r="E297" s="839">
        <v>42.748564032329995</v>
      </c>
      <c r="F297" s="2839">
        <v>41.040785934089996</v>
      </c>
      <c r="G297" s="439">
        <v>29.506307235579996</v>
      </c>
      <c r="H297" s="254">
        <v>37.765217</v>
      </c>
    </row>
    <row r="298" spans="1:8">
      <c r="A298" s="63">
        <f t="shared" si="2"/>
        <v>2022.01</v>
      </c>
      <c r="B298" s="1938">
        <v>40.997321999999997</v>
      </c>
      <c r="C298" s="839">
        <v>38.888888999999999</v>
      </c>
      <c r="D298" s="2029">
        <v>40.604027000000002</v>
      </c>
      <c r="E298" s="839">
        <v>45.043856483330003</v>
      </c>
      <c r="F298" s="2839">
        <v>42.95802044789</v>
      </c>
      <c r="G298" s="439">
        <v>32.417879153130002</v>
      </c>
      <c r="H298" s="254">
        <v>40.139918999999999</v>
      </c>
    </row>
    <row r="299" spans="1:8">
      <c r="A299" s="63">
        <f t="shared" si="2"/>
        <v>2022.02</v>
      </c>
      <c r="B299" s="1938">
        <v>40.71</v>
      </c>
      <c r="C299" s="839">
        <v>38.11</v>
      </c>
      <c r="D299" s="2029">
        <v>39.799999999999997</v>
      </c>
      <c r="E299" s="839">
        <v>44.069286976180003</v>
      </c>
      <c r="F299" s="2839">
        <v>40.644060174179998</v>
      </c>
      <c r="G299" s="439">
        <v>33.565491020140001</v>
      </c>
      <c r="H299" s="254">
        <v>39.43</v>
      </c>
    </row>
    <row r="300" spans="1:8">
      <c r="A300" s="63">
        <f t="shared" si="2"/>
        <v>2022.03</v>
      </c>
      <c r="B300" s="1938">
        <v>37.959316000000001</v>
      </c>
      <c r="C300" s="839">
        <v>36.16798</v>
      </c>
      <c r="D300" s="2029">
        <v>37.031081999999998</v>
      </c>
      <c r="E300" s="839">
        <v>42.730970481119996</v>
      </c>
      <c r="F300" s="2839">
        <v>37.343528218359999</v>
      </c>
      <c r="G300" s="439">
        <v>30.666636922549998</v>
      </c>
      <c r="H300" s="254">
        <v>36.913711999999997</v>
      </c>
    </row>
    <row r="301" spans="1:8">
      <c r="A301" s="63">
        <f t="shared" si="2"/>
        <v>2022.04</v>
      </c>
      <c r="B301" s="1938">
        <v>40.97</v>
      </c>
      <c r="C301" s="839">
        <v>34.61</v>
      </c>
      <c r="D301" s="2029">
        <v>34.78</v>
      </c>
      <c r="E301" s="839">
        <v>40.326010602639997</v>
      </c>
      <c r="F301" s="2839">
        <v>40.25571820527</v>
      </c>
      <c r="G301" s="439">
        <v>26.566497528520003</v>
      </c>
      <c r="H301" s="254">
        <v>35.72</v>
      </c>
    </row>
    <row r="302" spans="1:8">
      <c r="A302" s="63">
        <f t="shared" si="2"/>
        <v>2022.05</v>
      </c>
      <c r="B302" s="1938">
        <v>35.578387999999997</v>
      </c>
      <c r="C302" s="839">
        <v>36.623932000000003</v>
      </c>
      <c r="D302" s="2029">
        <v>36.330936000000001</v>
      </c>
      <c r="E302" s="839">
        <v>40.159999999999997</v>
      </c>
      <c r="F302" s="2839">
        <v>39.15</v>
      </c>
      <c r="G302" s="439">
        <v>29.59</v>
      </c>
      <c r="H302" s="254">
        <v>36.300601999999998</v>
      </c>
    </row>
    <row r="303" spans="1:8">
      <c r="A303" s="63">
        <f t="shared" si="2"/>
        <v>2022.06</v>
      </c>
      <c r="B303" s="1938">
        <v>40.381428</v>
      </c>
      <c r="C303" s="839">
        <v>37.417000000000002</v>
      </c>
      <c r="D303" s="2029">
        <v>39.672131</v>
      </c>
      <c r="E303" s="839">
        <v>42.228374948519999</v>
      </c>
      <c r="F303" s="2839">
        <v>41.736015662859998</v>
      </c>
      <c r="G303" s="439">
        <v>33.313572683540002</v>
      </c>
      <c r="H303" s="254">
        <v>39.092655000000001</v>
      </c>
    </row>
    <row r="304" spans="1:8">
      <c r="A304" s="63">
        <f t="shared" si="2"/>
        <v>2022.07</v>
      </c>
      <c r="B304" s="1938">
        <v>38.385147000000003</v>
      </c>
      <c r="C304" s="839">
        <v>31.653224999999999</v>
      </c>
      <c r="D304" s="2029">
        <v>35.435661000000003</v>
      </c>
      <c r="E304" s="839">
        <v>37.926883019330006</v>
      </c>
      <c r="F304" s="2839">
        <v>39.598948236849999</v>
      </c>
      <c r="G304" s="439">
        <v>26.707365153410002</v>
      </c>
      <c r="H304" s="254">
        <v>34.744396000000002</v>
      </c>
    </row>
    <row r="305" spans="1:8">
      <c r="A305" s="63">
        <f t="shared" si="2"/>
        <v>2022.08</v>
      </c>
      <c r="B305" s="1938">
        <v>38.945576000000003</v>
      </c>
      <c r="C305" s="839">
        <v>36.586987000000001</v>
      </c>
      <c r="D305" s="2029">
        <v>36.743675000000003</v>
      </c>
      <c r="E305" s="839">
        <v>38.447255783339997</v>
      </c>
      <c r="F305" s="2839">
        <v>44.842289697459996</v>
      </c>
      <c r="G305" s="439">
        <v>27.848471155029998</v>
      </c>
      <c r="H305" s="254">
        <v>37.046005000000001</v>
      </c>
    </row>
    <row r="306" spans="1:8">
      <c r="A306" s="63">
        <f t="shared" si="2"/>
        <v>2022.09</v>
      </c>
      <c r="B306" s="1938">
        <v>36.208331999999999</v>
      </c>
      <c r="C306" s="839">
        <v>36.061508000000003</v>
      </c>
      <c r="D306" s="2029">
        <v>38.131312999999999</v>
      </c>
      <c r="E306" s="839">
        <v>38.729537494310001</v>
      </c>
      <c r="F306" s="2839">
        <v>44.977301135359994</v>
      </c>
      <c r="G306" s="439">
        <v>27.861299923290002</v>
      </c>
      <c r="H306" s="254">
        <v>37.189380999999997</v>
      </c>
    </row>
    <row r="307" spans="1:8">
      <c r="A307" s="63">
        <f t="shared" si="2"/>
        <v>2022.1</v>
      </c>
      <c r="B307" s="1938">
        <v>37.458331999999999</v>
      </c>
      <c r="C307" s="839">
        <v>34.656086000000002</v>
      </c>
      <c r="D307" s="2029">
        <v>35.682327000000001</v>
      </c>
      <c r="E307" s="839">
        <v>38.270086818979998</v>
      </c>
      <c r="F307" s="2839">
        <v>42.093139943760001</v>
      </c>
      <c r="G307" s="439">
        <v>26.58666109288</v>
      </c>
      <c r="H307" s="254">
        <v>35.649963</v>
      </c>
    </row>
    <row r="308" spans="1:8">
      <c r="A308" s="63">
        <f t="shared" si="2"/>
        <v>2022.11</v>
      </c>
      <c r="B308" s="1938">
        <v>34.045226999999997</v>
      </c>
      <c r="C308" s="839">
        <v>34.266666000000001</v>
      </c>
      <c r="D308" s="2029">
        <v>35.982337999999999</v>
      </c>
      <c r="E308" s="839">
        <v>37.241538201210005</v>
      </c>
      <c r="F308" s="2839">
        <v>41.727465110300002</v>
      </c>
      <c r="G308" s="439">
        <v>26.471561288899998</v>
      </c>
      <c r="H308" s="254">
        <v>35.146853999999998</v>
      </c>
    </row>
    <row r="309" spans="1:8">
      <c r="A309" s="63">
        <f t="shared" si="2"/>
        <v>2022.12</v>
      </c>
      <c r="B309" s="1938">
        <v>39.23077</v>
      </c>
      <c r="C309" s="839">
        <v>35.921222999999998</v>
      </c>
      <c r="D309" s="2029">
        <v>34.904601999999997</v>
      </c>
      <c r="E309" s="839">
        <v>40.062394240879996</v>
      </c>
      <c r="F309" s="2839">
        <v>40.266625770250002</v>
      </c>
      <c r="G309" s="439">
        <v>27.387317325310001</v>
      </c>
      <c r="H309" s="254">
        <v>35.905445</v>
      </c>
    </row>
    <row r="310" spans="1:8">
      <c r="A310" s="63">
        <f t="shared" si="2"/>
        <v>2023.01</v>
      </c>
      <c r="B310" s="1938">
        <v>38.770000000000003</v>
      </c>
      <c r="C310" s="839">
        <v>38.119999999999997</v>
      </c>
      <c r="D310" s="2029">
        <v>38.68</v>
      </c>
      <c r="E310" s="839">
        <v>40.916738594350001</v>
      </c>
      <c r="F310" s="2839">
        <v>44.60950216298</v>
      </c>
      <c r="G310" s="439">
        <v>30.033094473200002</v>
      </c>
      <c r="H310" s="254">
        <v>38.520000000000003</v>
      </c>
    </row>
    <row r="311" spans="1:8">
      <c r="A311" s="63">
        <f t="shared" si="2"/>
        <v>2023.02</v>
      </c>
      <c r="B311" s="1938">
        <v>35.78</v>
      </c>
      <c r="C311" s="839">
        <v>37.06</v>
      </c>
      <c r="D311" s="2029">
        <v>35.799999999999997</v>
      </c>
      <c r="E311" s="839">
        <v>39.25</v>
      </c>
      <c r="F311" s="2839">
        <v>41.4</v>
      </c>
      <c r="G311" s="439">
        <v>27.89</v>
      </c>
      <c r="H311" s="254">
        <v>36.18</v>
      </c>
    </row>
    <row r="312" spans="1:8">
      <c r="A312" s="63">
        <f t="shared" si="2"/>
        <v>2023.03</v>
      </c>
      <c r="B312" s="1938">
        <v>39.729999999999997</v>
      </c>
      <c r="C312" s="839">
        <v>37.28</v>
      </c>
      <c r="D312" s="2029">
        <v>38.26</v>
      </c>
      <c r="E312" s="839">
        <v>40.576984851459997</v>
      </c>
      <c r="F312" s="2839">
        <v>44.426074624290003</v>
      </c>
      <c r="G312" s="439">
        <v>29.576785807649998</v>
      </c>
      <c r="H312" s="254">
        <v>38.19</v>
      </c>
    </row>
    <row r="313" spans="1:8">
      <c r="A313" s="63">
        <f t="shared" si="2"/>
        <v>2023.04</v>
      </c>
      <c r="B313" s="1938">
        <v>36.880341000000001</v>
      </c>
      <c r="C313" s="839">
        <v>38.585858000000002</v>
      </c>
      <c r="D313" s="2029">
        <v>36.280814499999998</v>
      </c>
      <c r="E313" s="839">
        <v>40.542368428549999</v>
      </c>
      <c r="F313" s="2839">
        <v>44.663171040270001</v>
      </c>
      <c r="G313" s="439">
        <v>26.044533120500002</v>
      </c>
      <c r="H313" s="254">
        <v>37.083356999999999</v>
      </c>
    </row>
    <row r="314" spans="1:8">
      <c r="A314" s="63">
        <f t="shared" si="2"/>
        <v>2023.05</v>
      </c>
      <c r="B314" s="1938">
        <v>38.525306999999998</v>
      </c>
      <c r="C314" s="839">
        <v>38.704425999999998</v>
      </c>
      <c r="D314" s="2029">
        <v>38.022598000000002</v>
      </c>
      <c r="E314" s="839">
        <v>39.139068863440002</v>
      </c>
      <c r="F314" s="2839">
        <v>49.113208055079994</v>
      </c>
      <c r="G314" s="439">
        <v>26.682377653049997</v>
      </c>
      <c r="H314" s="254">
        <v>38.311549999999997</v>
      </c>
    </row>
    <row r="315" spans="1:8">
      <c r="A315" s="63">
        <f t="shared" si="2"/>
        <v>2023.06</v>
      </c>
      <c r="B315" s="1938">
        <v>42.25</v>
      </c>
      <c r="C315" s="839">
        <v>40.888888999999999</v>
      </c>
      <c r="D315" s="2029">
        <v>42.166668000000001</v>
      </c>
      <c r="E315" s="839">
        <v>42.021108871050004</v>
      </c>
      <c r="F315" s="2839">
        <v>51.671038703809998</v>
      </c>
      <c r="G315" s="439">
        <v>31.670003667659998</v>
      </c>
      <c r="H315" s="254">
        <v>41.787384000000003</v>
      </c>
    </row>
    <row r="316" spans="1:8">
      <c r="A316" s="63">
        <f t="shared" si="2"/>
        <v>2023.07</v>
      </c>
      <c r="B316" s="1938">
        <v>43.39378</v>
      </c>
      <c r="C316" s="839">
        <v>43.320613999999999</v>
      </c>
      <c r="D316" s="2029">
        <v>43.757159999999999</v>
      </c>
      <c r="E316" s="839">
        <v>45.02334934177</v>
      </c>
      <c r="F316" s="2839">
        <v>52.74086049276</v>
      </c>
      <c r="G316" s="439">
        <v>32.93037169182</v>
      </c>
      <c r="H316" s="254">
        <v>43.564861000000001</v>
      </c>
    </row>
    <row r="317" spans="1:8">
      <c r="A317" s="63">
        <f t="shared" si="2"/>
        <v>2023.08</v>
      </c>
      <c r="B317" s="1938">
        <v>46.134022000000002</v>
      </c>
      <c r="C317" s="839">
        <v>43.413460000000001</v>
      </c>
      <c r="D317" s="2029">
        <v>43.822842000000001</v>
      </c>
      <c r="E317" s="839">
        <v>45.389454817819995</v>
      </c>
      <c r="F317" s="2839">
        <v>55.23894202983</v>
      </c>
      <c r="G317" s="439">
        <v>31.566493441270001</v>
      </c>
      <c r="H317" s="254">
        <v>44.064959999999999</v>
      </c>
    </row>
    <row r="318" spans="1:8">
      <c r="A318" s="63">
        <f t="shared" si="2"/>
        <v>2023.09</v>
      </c>
      <c r="B318" s="1938">
        <v>42.869872999999998</v>
      </c>
      <c r="C318" s="839">
        <v>42.562378000000002</v>
      </c>
      <c r="D318" s="2029">
        <v>44.006847</v>
      </c>
      <c r="E318" s="839">
        <v>43.770584111049999</v>
      </c>
      <c r="F318" s="2839">
        <v>57.456907339560004</v>
      </c>
      <c r="G318" s="439">
        <v>28.918460619679998</v>
      </c>
      <c r="H318" s="254">
        <v>43.381981000000003</v>
      </c>
    </row>
    <row r="319" spans="1:8">
      <c r="A319" s="63">
        <f t="shared" si="2"/>
        <v>2023.1</v>
      </c>
      <c r="B319" s="1938">
        <v>44.127808000000002</v>
      </c>
      <c r="C319" s="839">
        <v>44.685040000000001</v>
      </c>
      <c r="D319" s="2029">
        <v>45.652172</v>
      </c>
      <c r="E319" s="839">
        <v>44.181406386980001</v>
      </c>
      <c r="F319" s="2839">
        <v>56.752928789869998</v>
      </c>
      <c r="G319" s="439">
        <v>34.401863584750004</v>
      </c>
      <c r="H319" s="254">
        <v>45.112063999999997</v>
      </c>
    </row>
    <row r="320" spans="1:8">
      <c r="A320" s="63">
        <f t="shared" si="2"/>
        <v>2023.11</v>
      </c>
      <c r="B320" s="1938">
        <v>46.771377999999999</v>
      </c>
      <c r="C320" s="839">
        <v>46.712688</v>
      </c>
      <c r="D320" s="2029">
        <v>48.184818</v>
      </c>
      <c r="E320" s="839">
        <v>46.738756484870002</v>
      </c>
      <c r="F320" s="2839">
        <v>63.716745601970004</v>
      </c>
      <c r="G320" s="439">
        <v>32.06663744918</v>
      </c>
      <c r="H320" s="254">
        <v>47.507378000000003</v>
      </c>
    </row>
    <row r="321" spans="1:8">
      <c r="A321" s="63">
        <f t="shared" si="2"/>
        <v>2023.12</v>
      </c>
      <c r="B321" s="1938">
        <v>40.441177000000003</v>
      </c>
      <c r="C321" s="839">
        <v>42.236328</v>
      </c>
      <c r="D321" s="2029">
        <v>38.225254</v>
      </c>
      <c r="E321" s="839">
        <v>42.24321064131</v>
      </c>
      <c r="F321" s="2839">
        <v>59.457057116439998</v>
      </c>
      <c r="G321" s="439">
        <v>17.726281358069997</v>
      </c>
      <c r="H321" s="254">
        <v>39.808849000000002</v>
      </c>
    </row>
    <row r="322" spans="1:8">
      <c r="A322" s="63">
        <f t="shared" ref="A322:A385" si="3">A310+1</f>
        <v>2024.01</v>
      </c>
      <c r="B322" s="1938">
        <v>32.741115999999998</v>
      </c>
      <c r="C322" s="839">
        <v>40.277779000000002</v>
      </c>
      <c r="D322" s="2029">
        <v>33.759956000000003</v>
      </c>
      <c r="E322" s="839">
        <v>39.485709892370004</v>
      </c>
      <c r="F322" s="2839">
        <v>52.642471660230001</v>
      </c>
      <c r="G322" s="439">
        <v>14.664500186209999</v>
      </c>
      <c r="H322" s="254">
        <v>35.597560999999999</v>
      </c>
    </row>
    <row r="323" spans="1:8">
      <c r="A323" s="63">
        <f t="shared" si="3"/>
        <v>2024.02</v>
      </c>
      <c r="B323" s="1938">
        <v>33.758502999999997</v>
      </c>
      <c r="C323" s="839">
        <v>43.058284999999998</v>
      </c>
      <c r="D323" s="2029">
        <v>32.685814000000001</v>
      </c>
      <c r="E323" s="839">
        <v>38.620108426960002</v>
      </c>
      <c r="F323" s="2839">
        <v>52.528890168040007</v>
      </c>
      <c r="G323" s="439">
        <v>16.969751314450001</v>
      </c>
      <c r="H323" s="254">
        <v>36.039585000000002</v>
      </c>
    </row>
    <row r="324" spans="1:8">
      <c r="A324" s="63">
        <f t="shared" si="3"/>
        <v>2024.03</v>
      </c>
      <c r="B324" s="1938">
        <v>36.431064999999997</v>
      </c>
      <c r="C324" s="839">
        <v>41.777569</v>
      </c>
      <c r="D324" s="2029">
        <v>33.825232999999997</v>
      </c>
      <c r="E324" s="839">
        <v>39.685232237609995</v>
      </c>
      <c r="F324" s="2839">
        <v>56.561431838459995</v>
      </c>
      <c r="G324" s="439">
        <v>13.79489933296</v>
      </c>
      <c r="H324" s="254">
        <v>36.680523000000001</v>
      </c>
    </row>
    <row r="325" spans="1:8">
      <c r="A325" s="63">
        <f t="shared" si="3"/>
        <v>2024.04</v>
      </c>
      <c r="B325" s="1938">
        <v>38.451774999999998</v>
      </c>
      <c r="C325" s="839">
        <v>39.479790000000001</v>
      </c>
      <c r="D325" s="2029">
        <v>35.451045999999998</v>
      </c>
      <c r="E325" s="839">
        <v>41.853002212640007</v>
      </c>
      <c r="F325" s="2839">
        <v>56.1424939853</v>
      </c>
      <c r="G325" s="439">
        <v>13.499859375339998</v>
      </c>
      <c r="H325" s="254">
        <v>37.165118999999997</v>
      </c>
    </row>
    <row r="326" spans="1:8">
      <c r="A326" s="63">
        <f t="shared" si="3"/>
        <v>2024.05</v>
      </c>
      <c r="B326" s="1938">
        <v>41.836734999999997</v>
      </c>
      <c r="C326" s="839">
        <v>42.906067</v>
      </c>
      <c r="D326" s="2029">
        <v>34.604519000000003</v>
      </c>
      <c r="E326" s="839">
        <v>41.889973627659998</v>
      </c>
      <c r="F326" s="2839">
        <v>56.35457047301</v>
      </c>
      <c r="G326" s="439">
        <v>16.667453157250002</v>
      </c>
      <c r="H326" s="254">
        <v>38.304001</v>
      </c>
    </row>
    <row r="327" spans="1:8">
      <c r="A327" s="63">
        <f t="shared" si="3"/>
        <v>2024.06</v>
      </c>
      <c r="B327" s="1938">
        <v>35.964911999999998</v>
      </c>
      <c r="C327" s="839">
        <v>44.757514999999998</v>
      </c>
      <c r="D327" s="2029">
        <v>33.278689999999997</v>
      </c>
      <c r="E327" s="839">
        <v>40.913743991730001</v>
      </c>
      <c r="F327" s="2839">
        <v>51.321822114549995</v>
      </c>
      <c r="G327" s="439">
        <v>19.451539131090001</v>
      </c>
      <c r="H327" s="254">
        <v>37.229033999999999</v>
      </c>
    </row>
    <row r="328" spans="1:8">
      <c r="A328" s="63">
        <f t="shared" si="3"/>
        <v>2024.07</v>
      </c>
      <c r="B328" s="1938">
        <v>36.309525000000001</v>
      </c>
      <c r="C328" s="839">
        <v>44.072997999999998</v>
      </c>
      <c r="D328" s="2029">
        <v>37.071917999999997</v>
      </c>
      <c r="E328" s="839">
        <v>42.556110782089995</v>
      </c>
      <c r="F328" s="2839">
        <v>53.358815444770002</v>
      </c>
      <c r="G328" s="439">
        <v>21.381027986520003</v>
      </c>
      <c r="H328" s="254">
        <v>39.098652000000001</v>
      </c>
    </row>
    <row r="329" spans="1:8">
      <c r="A329" s="63">
        <f t="shared" si="3"/>
        <v>2024.08</v>
      </c>
      <c r="B329" s="1938">
        <v>42.963836999999998</v>
      </c>
      <c r="C329" s="839">
        <v>46.830986000000003</v>
      </c>
      <c r="D329" s="2029">
        <v>37.915236999999998</v>
      </c>
      <c r="E329" s="839">
        <v>44.56538497735</v>
      </c>
      <c r="F329" s="2839">
        <v>55.210204144019997</v>
      </c>
      <c r="G329" s="439">
        <v>24.590322316190001</v>
      </c>
      <c r="H329" s="254">
        <v>41.455303000000001</v>
      </c>
    </row>
    <row r="330" spans="1:8">
      <c r="A330" s="63">
        <f t="shared" si="3"/>
        <v>2024.09</v>
      </c>
      <c r="B330" s="1938">
        <v>38.793101999999998</v>
      </c>
      <c r="C330" s="839">
        <v>41.699474000000002</v>
      </c>
      <c r="D330" s="2029">
        <v>37.514316999999998</v>
      </c>
      <c r="E330" s="839">
        <v>42.417257555509998</v>
      </c>
      <c r="F330" s="2839">
        <v>50.040001379369997</v>
      </c>
      <c r="G330" s="439">
        <v>24.548886324439998</v>
      </c>
      <c r="H330" s="254">
        <v>39.002048000000002</v>
      </c>
    </row>
    <row r="331" spans="1:8">
      <c r="A331" s="63">
        <f t="shared" si="3"/>
        <v>2024.1</v>
      </c>
      <c r="B331" s="1938">
        <v>39.464592000000003</v>
      </c>
      <c r="C331" s="839">
        <v>48.200389999999999</v>
      </c>
      <c r="D331" s="2029">
        <v>39.988624999999999</v>
      </c>
      <c r="E331" s="839">
        <v>45.85188979886</v>
      </c>
      <c r="F331" s="2839">
        <v>53.276007510219998</v>
      </c>
      <c r="G331" s="439">
        <v>28.146652032710001</v>
      </c>
      <c r="H331" s="254">
        <v>42.424849999999999</v>
      </c>
    </row>
    <row r="332" spans="1:8">
      <c r="A332" s="63">
        <f t="shared" si="3"/>
        <v>2024.11</v>
      </c>
      <c r="B332" s="1938">
        <v>44.416240999999999</v>
      </c>
      <c r="C332" s="839">
        <v>53.519973999999998</v>
      </c>
      <c r="D332" s="2029">
        <v>40.306122000000002</v>
      </c>
      <c r="E332" s="839">
        <v>46.531237910720002</v>
      </c>
      <c r="F332" s="2839">
        <v>56.54993245304</v>
      </c>
      <c r="G332" s="439">
        <v>31.965936120869998</v>
      </c>
      <c r="H332" s="254">
        <v>45.015701</v>
      </c>
    </row>
    <row r="333" spans="1:8">
      <c r="A333" s="63">
        <f t="shared" si="3"/>
        <v>2024.12</v>
      </c>
      <c r="B333" s="1938">
        <v>42.174278000000001</v>
      </c>
      <c r="C333" s="839">
        <v>52.008034000000002</v>
      </c>
      <c r="D333" s="2029">
        <v>43.743167999999997</v>
      </c>
      <c r="E333" s="839">
        <v>48.149545665790001</v>
      </c>
      <c r="F333" s="2839">
        <v>57.320602943020006</v>
      </c>
      <c r="G333" s="439">
        <v>32.617437849040002</v>
      </c>
      <c r="H333" s="254">
        <v>46.029193999999997</v>
      </c>
    </row>
    <row r="334" spans="1:8">
      <c r="A334" s="63">
        <f t="shared" si="3"/>
        <v>2025.01</v>
      </c>
      <c r="B334" s="1938">
        <v>44.839255999999999</v>
      </c>
      <c r="C334" s="839">
        <v>54.388561000000003</v>
      </c>
      <c r="D334" s="2029">
        <v>44.115989999999996</v>
      </c>
      <c r="E334" s="839">
        <v>50.175006353169998</v>
      </c>
      <c r="F334" s="2839">
        <v>57.211142540179999</v>
      </c>
      <c r="G334" s="439">
        <v>34.763814634439996</v>
      </c>
      <c r="H334" s="254">
        <v>47.383319999999998</v>
      </c>
    </row>
    <row r="335" spans="1:8">
      <c r="A335" s="63">
        <f t="shared" si="3"/>
        <v>2025.02</v>
      </c>
      <c r="B335" s="1938">
        <v>45.307445999999999</v>
      </c>
      <c r="C335" s="839">
        <v>52.298279000000001</v>
      </c>
      <c r="D335" s="2029">
        <v>44.942528000000003</v>
      </c>
      <c r="E335" s="839">
        <v>49.542376406680006</v>
      </c>
      <c r="F335" s="2839">
        <v>57.825842656589998</v>
      </c>
      <c r="G335" s="439">
        <v>34.404640624820004</v>
      </c>
      <c r="H335" s="254">
        <v>47.257618000000001</v>
      </c>
    </row>
    <row r="336" spans="1:8">
      <c r="A336" s="63">
        <f t="shared" si="3"/>
        <v>2025.03</v>
      </c>
      <c r="B336" s="1938">
        <v>43.452381000000003</v>
      </c>
      <c r="C336" s="839">
        <v>50.281086000000002</v>
      </c>
      <c r="D336" s="2029">
        <v>40.766551999999997</v>
      </c>
      <c r="E336" s="839">
        <v>45.813436666619999</v>
      </c>
      <c r="F336" s="2839">
        <v>52.201663581649996</v>
      </c>
      <c r="G336" s="439">
        <v>34.326714504880002</v>
      </c>
      <c r="H336" s="254">
        <v>44.113937</v>
      </c>
    </row>
    <row r="337" spans="1:8">
      <c r="A337" s="63">
        <f t="shared" si="3"/>
        <v>2025.04</v>
      </c>
      <c r="B337" s="1938">
        <v>42.375889000000001</v>
      </c>
      <c r="C337" s="839">
        <v>49.524281000000002</v>
      </c>
      <c r="D337" s="2029">
        <v>41.502192999999998</v>
      </c>
      <c r="E337" s="839">
        <v>46.416394118619998</v>
      </c>
      <c r="F337" s="2839">
        <v>52.406323143329999</v>
      </c>
      <c r="G337" s="439">
        <v>33.485876163290001</v>
      </c>
      <c r="H337" s="254">
        <v>44.102862999999999</v>
      </c>
    </row>
    <row r="338" spans="1:8">
      <c r="A338" s="63">
        <f t="shared" si="3"/>
        <v>2025.05</v>
      </c>
      <c r="B338" s="1938">
        <v>42.447918000000001</v>
      </c>
      <c r="C338" s="839">
        <v>51.633986999999998</v>
      </c>
      <c r="D338" s="2029">
        <v>42.865107999999999</v>
      </c>
      <c r="E338" s="839">
        <v>46.488778644310003</v>
      </c>
      <c r="F338" s="2839">
        <v>55.209940550010003</v>
      </c>
      <c r="G338" s="439">
        <v>34.769173813649999</v>
      </c>
      <c r="H338" s="254">
        <v>45.4893</v>
      </c>
    </row>
    <row r="339" spans="1:8">
      <c r="A339" s="63">
        <f t="shared" si="3"/>
        <v>2025.06</v>
      </c>
      <c r="B339" s="1938" t="e">
        <v>#N/A</v>
      </c>
      <c r="C339" s="839" t="e">
        <v>#N/A</v>
      </c>
      <c r="D339" s="2029" t="e">
        <v>#N/A</v>
      </c>
      <c r="E339" s="839" t="e">
        <v>#N/A</v>
      </c>
      <c r="F339" s="2839" t="e">
        <v>#N/A</v>
      </c>
      <c r="G339" s="439" t="e">
        <v>#N/A</v>
      </c>
      <c r="H339" s="254" t="e">
        <v>#N/A</v>
      </c>
    </row>
    <row r="340" spans="1:8">
      <c r="A340" s="63">
        <f t="shared" si="3"/>
        <v>2025.07</v>
      </c>
      <c r="B340" s="1938" t="e">
        <v>#N/A</v>
      </c>
      <c r="C340" s="839" t="e">
        <v>#N/A</v>
      </c>
      <c r="D340" s="2029" t="e">
        <v>#N/A</v>
      </c>
      <c r="E340" s="839" t="e">
        <v>#N/A</v>
      </c>
      <c r="F340" s="2839" t="e">
        <v>#N/A</v>
      </c>
      <c r="G340" s="439" t="e">
        <v>#N/A</v>
      </c>
      <c r="H340" s="254" t="e">
        <v>#N/A</v>
      </c>
    </row>
    <row r="341" spans="1:8">
      <c r="A341" s="63">
        <f t="shared" si="3"/>
        <v>2025.08</v>
      </c>
      <c r="B341" s="1938" t="e">
        <v>#N/A</v>
      </c>
      <c r="C341" s="839" t="e">
        <v>#N/A</v>
      </c>
      <c r="D341" s="2029" t="e">
        <v>#N/A</v>
      </c>
      <c r="E341" s="839" t="e">
        <v>#N/A</v>
      </c>
      <c r="F341" s="2839" t="e">
        <v>#N/A</v>
      </c>
      <c r="G341" s="439" t="e">
        <v>#N/A</v>
      </c>
      <c r="H341" s="254" t="e">
        <v>#N/A</v>
      </c>
    </row>
    <row r="342" spans="1:8">
      <c r="A342" s="63">
        <f t="shared" si="3"/>
        <v>2025.09</v>
      </c>
      <c r="B342" s="1938" t="e">
        <v>#N/A</v>
      </c>
      <c r="C342" s="839" t="e">
        <v>#N/A</v>
      </c>
      <c r="D342" s="2029" t="e">
        <v>#N/A</v>
      </c>
      <c r="E342" s="839" t="e">
        <v>#N/A</v>
      </c>
      <c r="F342" s="2839" t="e">
        <v>#N/A</v>
      </c>
      <c r="G342" s="439" t="e">
        <v>#N/A</v>
      </c>
      <c r="H342" s="254" t="e">
        <v>#N/A</v>
      </c>
    </row>
    <row r="343" spans="1:8">
      <c r="A343" s="63">
        <f t="shared" si="3"/>
        <v>2025.1</v>
      </c>
      <c r="B343" s="1938" t="e">
        <v>#N/A</v>
      </c>
      <c r="C343" s="839" t="e">
        <v>#N/A</v>
      </c>
      <c r="D343" s="2029" t="e">
        <v>#N/A</v>
      </c>
      <c r="E343" s="839" t="e">
        <v>#N/A</v>
      </c>
      <c r="F343" s="2839" t="e">
        <v>#N/A</v>
      </c>
      <c r="G343" s="439" t="e">
        <v>#N/A</v>
      </c>
      <c r="H343" s="254" t="e">
        <v>#N/A</v>
      </c>
    </row>
    <row r="344" spans="1:8">
      <c r="A344" s="63">
        <f t="shared" si="3"/>
        <v>2025.11</v>
      </c>
      <c r="B344" s="1938" t="e">
        <v>#N/A</v>
      </c>
      <c r="C344" s="839" t="e">
        <v>#N/A</v>
      </c>
      <c r="D344" s="2029" t="e">
        <v>#N/A</v>
      </c>
      <c r="E344" s="839" t="e">
        <v>#N/A</v>
      </c>
      <c r="F344" s="2839" t="e">
        <v>#N/A</v>
      </c>
      <c r="G344" s="439" t="e">
        <v>#N/A</v>
      </c>
      <c r="H344" s="254" t="e">
        <v>#N/A</v>
      </c>
    </row>
    <row r="345" spans="1:8">
      <c r="A345" s="63">
        <f t="shared" si="3"/>
        <v>2025.12</v>
      </c>
      <c r="B345" s="1938" t="e">
        <v>#N/A</v>
      </c>
      <c r="C345" s="839" t="e">
        <v>#N/A</v>
      </c>
      <c r="D345" s="2029" t="e">
        <v>#N/A</v>
      </c>
      <c r="E345" s="839" t="e">
        <v>#N/A</v>
      </c>
      <c r="F345" s="2839" t="e">
        <v>#N/A</v>
      </c>
      <c r="G345" s="439" t="e">
        <v>#N/A</v>
      </c>
      <c r="H345" s="254" t="e">
        <v>#N/A</v>
      </c>
    </row>
    <row r="346" spans="1:8">
      <c r="A346" s="63">
        <f t="shared" si="3"/>
        <v>2026.01</v>
      </c>
      <c r="B346" s="1938" t="e">
        <v>#N/A</v>
      </c>
      <c r="C346" s="839" t="e">
        <v>#N/A</v>
      </c>
      <c r="D346" s="2029" t="e">
        <v>#N/A</v>
      </c>
      <c r="E346" s="839" t="e">
        <v>#N/A</v>
      </c>
      <c r="F346" s="2839" t="e">
        <v>#N/A</v>
      </c>
      <c r="G346" s="439" t="e">
        <v>#N/A</v>
      </c>
      <c r="H346" s="254" t="e">
        <v>#N/A</v>
      </c>
    </row>
    <row r="347" spans="1:8">
      <c r="A347" s="63">
        <f t="shared" si="3"/>
        <v>2026.02</v>
      </c>
      <c r="B347" s="1938" t="e">
        <v>#N/A</v>
      </c>
      <c r="C347" s="839" t="e">
        <v>#N/A</v>
      </c>
      <c r="D347" s="2029" t="e">
        <v>#N/A</v>
      </c>
      <c r="E347" s="839" t="e">
        <v>#N/A</v>
      </c>
      <c r="F347" s="2839" t="e">
        <v>#N/A</v>
      </c>
      <c r="G347" s="439" t="e">
        <v>#N/A</v>
      </c>
      <c r="H347" s="254" t="e">
        <v>#N/A</v>
      </c>
    </row>
    <row r="348" spans="1:8">
      <c r="A348" s="63">
        <f t="shared" si="3"/>
        <v>2026.03</v>
      </c>
      <c r="B348" s="1938" t="e">
        <v>#N/A</v>
      </c>
      <c r="C348" s="839" t="e">
        <v>#N/A</v>
      </c>
      <c r="D348" s="2029" t="e">
        <v>#N/A</v>
      </c>
      <c r="E348" s="839" t="e">
        <v>#N/A</v>
      </c>
      <c r="F348" s="2839" t="e">
        <v>#N/A</v>
      </c>
      <c r="G348" s="439" t="e">
        <v>#N/A</v>
      </c>
      <c r="H348" s="254" t="e">
        <v>#N/A</v>
      </c>
    </row>
    <row r="349" spans="1:8">
      <c r="A349" s="63">
        <f t="shared" si="3"/>
        <v>2026.04</v>
      </c>
      <c r="B349" s="1938" t="e">
        <v>#N/A</v>
      </c>
      <c r="C349" s="839" t="e">
        <v>#N/A</v>
      </c>
      <c r="D349" s="2029" t="e">
        <v>#N/A</v>
      </c>
      <c r="E349" s="839" t="e">
        <v>#N/A</v>
      </c>
      <c r="F349" s="2839" t="e">
        <v>#N/A</v>
      </c>
      <c r="G349" s="439" t="e">
        <v>#N/A</v>
      </c>
      <c r="H349" s="254" t="e">
        <v>#N/A</v>
      </c>
    </row>
    <row r="350" spans="1:8">
      <c r="A350" s="63">
        <f t="shared" si="3"/>
        <v>2026.05</v>
      </c>
      <c r="B350" s="1938" t="e">
        <v>#N/A</v>
      </c>
      <c r="C350" s="839" t="e">
        <v>#N/A</v>
      </c>
      <c r="D350" s="2029" t="e">
        <v>#N/A</v>
      </c>
      <c r="E350" s="839" t="e">
        <v>#N/A</v>
      </c>
      <c r="F350" s="2839" t="e">
        <v>#N/A</v>
      </c>
      <c r="G350" s="439" t="e">
        <v>#N/A</v>
      </c>
      <c r="H350" s="254" t="e">
        <v>#N/A</v>
      </c>
    </row>
    <row r="351" spans="1:8">
      <c r="A351" s="63">
        <f t="shared" si="3"/>
        <v>2026.06</v>
      </c>
      <c r="B351" s="1938" t="e">
        <v>#N/A</v>
      </c>
      <c r="C351" s="839" t="e">
        <v>#N/A</v>
      </c>
      <c r="D351" s="2029" t="e">
        <v>#N/A</v>
      </c>
      <c r="E351" s="839" t="e">
        <v>#N/A</v>
      </c>
      <c r="F351" s="2839" t="e">
        <v>#N/A</v>
      </c>
      <c r="G351" s="439" t="e">
        <v>#N/A</v>
      </c>
      <c r="H351" s="254" t="e">
        <v>#N/A</v>
      </c>
    </row>
    <row r="352" spans="1:8">
      <c r="A352" s="63">
        <f t="shared" si="3"/>
        <v>2026.07</v>
      </c>
      <c r="B352" s="1938" t="e">
        <v>#N/A</v>
      </c>
      <c r="C352" s="839" t="e">
        <v>#N/A</v>
      </c>
      <c r="D352" s="2029" t="e">
        <v>#N/A</v>
      </c>
      <c r="E352" s="839" t="e">
        <v>#N/A</v>
      </c>
      <c r="F352" s="2839" t="e">
        <v>#N/A</v>
      </c>
      <c r="G352" s="439" t="e">
        <v>#N/A</v>
      </c>
      <c r="H352" s="254" t="e">
        <v>#N/A</v>
      </c>
    </row>
    <row r="353" spans="1:8">
      <c r="A353" s="63">
        <f t="shared" si="3"/>
        <v>2026.08</v>
      </c>
      <c r="B353" s="1938" t="e">
        <v>#N/A</v>
      </c>
      <c r="C353" s="839" t="e">
        <v>#N/A</v>
      </c>
      <c r="D353" s="2029" t="e">
        <v>#N/A</v>
      </c>
      <c r="E353" s="839" t="e">
        <v>#N/A</v>
      </c>
      <c r="F353" s="2839" t="e">
        <v>#N/A</v>
      </c>
      <c r="G353" s="439" t="e">
        <v>#N/A</v>
      </c>
      <c r="H353" s="254" t="e">
        <v>#N/A</v>
      </c>
    </row>
    <row r="354" spans="1:8">
      <c r="A354" s="63">
        <f t="shared" si="3"/>
        <v>2026.09</v>
      </c>
      <c r="B354" s="1938" t="e">
        <v>#N/A</v>
      </c>
      <c r="C354" s="839" t="e">
        <v>#N/A</v>
      </c>
      <c r="D354" s="2029" t="e">
        <v>#N/A</v>
      </c>
      <c r="E354" s="839" t="e">
        <v>#N/A</v>
      </c>
      <c r="F354" s="2839" t="e">
        <v>#N/A</v>
      </c>
      <c r="G354" s="439" t="e">
        <v>#N/A</v>
      </c>
      <c r="H354" s="254" t="e">
        <v>#N/A</v>
      </c>
    </row>
    <row r="355" spans="1:8">
      <c r="A355" s="63">
        <f t="shared" si="3"/>
        <v>2026.1</v>
      </c>
      <c r="B355" s="1938" t="e">
        <v>#N/A</v>
      </c>
      <c r="C355" s="839" t="e">
        <v>#N/A</v>
      </c>
      <c r="D355" s="2029" t="e">
        <v>#N/A</v>
      </c>
      <c r="E355" s="839" t="e">
        <v>#N/A</v>
      </c>
      <c r="F355" s="2839" t="e">
        <v>#N/A</v>
      </c>
      <c r="G355" s="439" t="e">
        <v>#N/A</v>
      </c>
      <c r="H355" s="254" t="e">
        <v>#N/A</v>
      </c>
    </row>
    <row r="356" spans="1:8">
      <c r="A356" s="63">
        <f t="shared" si="3"/>
        <v>2026.11</v>
      </c>
      <c r="B356" s="1938" t="e">
        <v>#N/A</v>
      </c>
      <c r="C356" s="839" t="e">
        <v>#N/A</v>
      </c>
      <c r="D356" s="2029" t="e">
        <v>#N/A</v>
      </c>
      <c r="E356" s="839" t="e">
        <v>#N/A</v>
      </c>
      <c r="F356" s="2839" t="e">
        <v>#N/A</v>
      </c>
      <c r="G356" s="439" t="e">
        <v>#N/A</v>
      </c>
      <c r="H356" s="254" t="e">
        <v>#N/A</v>
      </c>
    </row>
    <row r="357" spans="1:8">
      <c r="A357" s="63">
        <f t="shared" si="3"/>
        <v>2026.12</v>
      </c>
      <c r="B357" s="1938" t="e">
        <v>#N/A</v>
      </c>
      <c r="C357" s="839" t="e">
        <v>#N/A</v>
      </c>
      <c r="D357" s="2029" t="e">
        <v>#N/A</v>
      </c>
      <c r="E357" s="839" t="e">
        <v>#N/A</v>
      </c>
      <c r="F357" s="2839" t="e">
        <v>#N/A</v>
      </c>
      <c r="G357" s="439" t="e">
        <v>#N/A</v>
      </c>
      <c r="H357" s="254" t="e">
        <v>#N/A</v>
      </c>
    </row>
    <row r="358" spans="1:8">
      <c r="A358" s="63">
        <f t="shared" si="3"/>
        <v>2027.01</v>
      </c>
      <c r="B358" s="1938" t="e">
        <v>#N/A</v>
      </c>
      <c r="C358" s="839" t="e">
        <v>#N/A</v>
      </c>
      <c r="D358" s="2029" t="e">
        <v>#N/A</v>
      </c>
      <c r="E358" s="839" t="e">
        <v>#N/A</v>
      </c>
      <c r="F358" s="2839" t="e">
        <v>#N/A</v>
      </c>
      <c r="G358" s="439" t="e">
        <v>#N/A</v>
      </c>
      <c r="H358" s="254" t="e">
        <v>#N/A</v>
      </c>
    </row>
    <row r="359" spans="1:8">
      <c r="A359" s="63">
        <f t="shared" si="3"/>
        <v>2027.02</v>
      </c>
      <c r="B359" s="1938" t="e">
        <v>#N/A</v>
      </c>
      <c r="C359" s="839" t="e">
        <v>#N/A</v>
      </c>
      <c r="D359" s="2029" t="e">
        <v>#N/A</v>
      </c>
      <c r="E359" s="839" t="e">
        <v>#N/A</v>
      </c>
      <c r="F359" s="2839" t="e">
        <v>#N/A</v>
      </c>
      <c r="G359" s="439" t="e">
        <v>#N/A</v>
      </c>
      <c r="H359" s="254" t="e">
        <v>#N/A</v>
      </c>
    </row>
    <row r="360" spans="1:8">
      <c r="A360" s="63">
        <f t="shared" si="3"/>
        <v>2027.03</v>
      </c>
      <c r="B360" s="1938" t="e">
        <v>#N/A</v>
      </c>
      <c r="C360" s="839" t="e">
        <v>#N/A</v>
      </c>
      <c r="D360" s="2029" t="e">
        <v>#N/A</v>
      </c>
      <c r="E360" s="839" t="e">
        <v>#N/A</v>
      </c>
      <c r="F360" s="2839" t="e">
        <v>#N/A</v>
      </c>
      <c r="G360" s="439" t="e">
        <v>#N/A</v>
      </c>
      <c r="H360" s="254" t="e">
        <v>#N/A</v>
      </c>
    </row>
    <row r="361" spans="1:8">
      <c r="A361" s="63">
        <f t="shared" si="3"/>
        <v>2027.04</v>
      </c>
      <c r="B361" s="1938" t="e">
        <v>#N/A</v>
      </c>
      <c r="C361" s="839" t="e">
        <v>#N/A</v>
      </c>
      <c r="D361" s="2029" t="e">
        <v>#N/A</v>
      </c>
      <c r="E361" s="839" t="e">
        <v>#N/A</v>
      </c>
      <c r="F361" s="2839" t="e">
        <v>#N/A</v>
      </c>
      <c r="G361" s="439" t="e">
        <v>#N/A</v>
      </c>
      <c r="H361" s="254" t="e">
        <v>#N/A</v>
      </c>
    </row>
    <row r="362" spans="1:8">
      <c r="A362" s="63">
        <f t="shared" si="3"/>
        <v>2027.05</v>
      </c>
      <c r="B362" s="1938" t="e">
        <v>#N/A</v>
      </c>
      <c r="C362" s="839" t="e">
        <v>#N/A</v>
      </c>
      <c r="D362" s="2029" t="e">
        <v>#N/A</v>
      </c>
      <c r="E362" s="839" t="e">
        <v>#N/A</v>
      </c>
      <c r="F362" s="2839" t="e">
        <v>#N/A</v>
      </c>
      <c r="G362" s="439" t="e">
        <v>#N/A</v>
      </c>
      <c r="H362" s="254" t="e">
        <v>#N/A</v>
      </c>
    </row>
    <row r="363" spans="1:8">
      <c r="A363" s="63">
        <f t="shared" si="3"/>
        <v>2027.06</v>
      </c>
      <c r="B363" s="1938" t="e">
        <v>#N/A</v>
      </c>
      <c r="C363" s="839" t="e">
        <v>#N/A</v>
      </c>
      <c r="D363" s="2029" t="e">
        <v>#N/A</v>
      </c>
      <c r="E363" s="839" t="e">
        <v>#N/A</v>
      </c>
      <c r="F363" s="2839" t="e">
        <v>#N/A</v>
      </c>
      <c r="G363" s="439" t="e">
        <v>#N/A</v>
      </c>
      <c r="H363" s="254" t="e">
        <v>#N/A</v>
      </c>
    </row>
    <row r="364" spans="1:8">
      <c r="A364" s="63">
        <f t="shared" si="3"/>
        <v>2027.07</v>
      </c>
      <c r="B364" s="1938" t="e">
        <v>#N/A</v>
      </c>
      <c r="C364" s="839" t="e">
        <v>#N/A</v>
      </c>
      <c r="D364" s="2029" t="e">
        <v>#N/A</v>
      </c>
      <c r="E364" s="839" t="e">
        <v>#N/A</v>
      </c>
      <c r="F364" s="2839" t="e">
        <v>#N/A</v>
      </c>
      <c r="G364" s="439" t="e">
        <v>#N/A</v>
      </c>
      <c r="H364" s="254" t="e">
        <v>#N/A</v>
      </c>
    </row>
    <row r="365" spans="1:8">
      <c r="A365" s="63">
        <f t="shared" si="3"/>
        <v>2027.08</v>
      </c>
      <c r="B365" s="1938" t="e">
        <v>#N/A</v>
      </c>
      <c r="C365" s="839" t="e">
        <v>#N/A</v>
      </c>
      <c r="D365" s="2029" t="e">
        <v>#N/A</v>
      </c>
      <c r="E365" s="839" t="e">
        <v>#N/A</v>
      </c>
      <c r="F365" s="2839" t="e">
        <v>#N/A</v>
      </c>
      <c r="G365" s="439" t="e">
        <v>#N/A</v>
      </c>
      <c r="H365" s="254" t="e">
        <v>#N/A</v>
      </c>
    </row>
    <row r="366" spans="1:8">
      <c r="A366" s="63">
        <f t="shared" si="3"/>
        <v>2027.09</v>
      </c>
      <c r="B366" s="1938" t="e">
        <v>#N/A</v>
      </c>
      <c r="C366" s="839" t="e">
        <v>#N/A</v>
      </c>
      <c r="D366" s="2029" t="e">
        <v>#N/A</v>
      </c>
      <c r="E366" s="839" t="e">
        <v>#N/A</v>
      </c>
      <c r="F366" s="2839" t="e">
        <v>#N/A</v>
      </c>
      <c r="G366" s="439" t="e">
        <v>#N/A</v>
      </c>
      <c r="H366" s="254" t="e">
        <v>#N/A</v>
      </c>
    </row>
    <row r="367" spans="1:8">
      <c r="A367" s="63">
        <f t="shared" si="3"/>
        <v>2027.1</v>
      </c>
      <c r="B367" s="1938" t="e">
        <v>#N/A</v>
      </c>
      <c r="C367" s="839" t="e">
        <v>#N/A</v>
      </c>
      <c r="D367" s="2029" t="e">
        <v>#N/A</v>
      </c>
      <c r="E367" s="839" t="e">
        <v>#N/A</v>
      </c>
      <c r="F367" s="2839" t="e">
        <v>#N/A</v>
      </c>
      <c r="G367" s="439" t="e">
        <v>#N/A</v>
      </c>
      <c r="H367" s="254" t="e">
        <v>#N/A</v>
      </c>
    </row>
    <row r="368" spans="1:8">
      <c r="A368" s="63">
        <f t="shared" si="3"/>
        <v>2027.11</v>
      </c>
      <c r="B368" s="1938" t="e">
        <v>#N/A</v>
      </c>
      <c r="C368" s="839" t="e">
        <v>#N/A</v>
      </c>
      <c r="D368" s="2029" t="e">
        <v>#N/A</v>
      </c>
      <c r="E368" s="839" t="e">
        <v>#N/A</v>
      </c>
      <c r="F368" s="2839" t="e">
        <v>#N/A</v>
      </c>
      <c r="G368" s="439" t="e">
        <v>#N/A</v>
      </c>
      <c r="H368" s="254" t="e">
        <v>#N/A</v>
      </c>
    </row>
    <row r="369" spans="1:8">
      <c r="A369" s="63">
        <f t="shared" si="3"/>
        <v>2027.12</v>
      </c>
      <c r="B369" s="1938" t="e">
        <v>#N/A</v>
      </c>
      <c r="C369" s="839" t="e">
        <v>#N/A</v>
      </c>
      <c r="D369" s="2029" t="e">
        <v>#N/A</v>
      </c>
      <c r="E369" s="839" t="e">
        <v>#N/A</v>
      </c>
      <c r="F369" s="2839" t="e">
        <v>#N/A</v>
      </c>
      <c r="G369" s="439" t="e">
        <v>#N/A</v>
      </c>
      <c r="H369" s="254" t="e">
        <v>#N/A</v>
      </c>
    </row>
    <row r="370" spans="1:8">
      <c r="A370" s="63">
        <f t="shared" si="3"/>
        <v>2028.01</v>
      </c>
      <c r="B370" s="1938" t="e">
        <v>#N/A</v>
      </c>
      <c r="C370" s="839" t="e">
        <v>#N/A</v>
      </c>
      <c r="D370" s="2029" t="e">
        <v>#N/A</v>
      </c>
      <c r="E370" s="839" t="e">
        <v>#N/A</v>
      </c>
      <c r="F370" s="2839" t="e">
        <v>#N/A</v>
      </c>
      <c r="G370" s="439" t="e">
        <v>#N/A</v>
      </c>
      <c r="H370" s="254" t="e">
        <v>#N/A</v>
      </c>
    </row>
    <row r="371" spans="1:8">
      <c r="A371" s="63">
        <f t="shared" si="3"/>
        <v>2028.02</v>
      </c>
      <c r="B371" s="1938" t="e">
        <v>#N/A</v>
      </c>
      <c r="C371" s="839" t="e">
        <v>#N/A</v>
      </c>
      <c r="D371" s="2029" t="e">
        <v>#N/A</v>
      </c>
      <c r="E371" s="839" t="e">
        <v>#N/A</v>
      </c>
      <c r="F371" s="2839" t="e">
        <v>#N/A</v>
      </c>
      <c r="G371" s="439" t="e">
        <v>#N/A</v>
      </c>
      <c r="H371" s="254" t="e">
        <v>#N/A</v>
      </c>
    </row>
    <row r="372" spans="1:8">
      <c r="A372" s="63">
        <f t="shared" si="3"/>
        <v>2028.03</v>
      </c>
      <c r="B372" s="1938" t="e">
        <v>#N/A</v>
      </c>
      <c r="C372" s="839" t="e">
        <v>#N/A</v>
      </c>
      <c r="D372" s="2029" t="e">
        <v>#N/A</v>
      </c>
      <c r="E372" s="839" t="e">
        <v>#N/A</v>
      </c>
      <c r="F372" s="2839" t="e">
        <v>#N/A</v>
      </c>
      <c r="G372" s="439" t="e">
        <v>#N/A</v>
      </c>
      <c r="H372" s="254" t="e">
        <v>#N/A</v>
      </c>
    </row>
    <row r="373" spans="1:8">
      <c r="A373" s="63">
        <f t="shared" si="3"/>
        <v>2028.04</v>
      </c>
      <c r="B373" s="1938" t="e">
        <v>#N/A</v>
      </c>
      <c r="C373" s="839" t="e">
        <v>#N/A</v>
      </c>
      <c r="D373" s="2029" t="e">
        <v>#N/A</v>
      </c>
      <c r="E373" s="839" t="e">
        <v>#N/A</v>
      </c>
      <c r="F373" s="2839" t="e">
        <v>#N/A</v>
      </c>
      <c r="G373" s="439" t="e">
        <v>#N/A</v>
      </c>
      <c r="H373" s="254" t="e">
        <v>#N/A</v>
      </c>
    </row>
    <row r="374" spans="1:8">
      <c r="A374" s="63">
        <f t="shared" si="3"/>
        <v>2028.05</v>
      </c>
      <c r="B374" s="1938" t="e">
        <v>#N/A</v>
      </c>
      <c r="C374" s="839" t="e">
        <v>#N/A</v>
      </c>
      <c r="D374" s="2029" t="e">
        <v>#N/A</v>
      </c>
      <c r="E374" s="839" t="e">
        <v>#N/A</v>
      </c>
      <c r="F374" s="2839" t="e">
        <v>#N/A</v>
      </c>
      <c r="G374" s="439" t="e">
        <v>#N/A</v>
      </c>
      <c r="H374" s="254" t="e">
        <v>#N/A</v>
      </c>
    </row>
    <row r="375" spans="1:8">
      <c r="A375" s="63">
        <f t="shared" si="3"/>
        <v>2028.06</v>
      </c>
      <c r="B375" s="1938" t="e">
        <v>#N/A</v>
      </c>
      <c r="C375" s="839" t="e">
        <v>#N/A</v>
      </c>
      <c r="D375" s="2029" t="e">
        <v>#N/A</v>
      </c>
      <c r="E375" s="839" t="e">
        <v>#N/A</v>
      </c>
      <c r="F375" s="2839" t="e">
        <v>#N/A</v>
      </c>
      <c r="G375" s="439" t="e">
        <v>#N/A</v>
      </c>
      <c r="H375" s="254" t="e">
        <v>#N/A</v>
      </c>
    </row>
    <row r="376" spans="1:8">
      <c r="A376" s="63">
        <f t="shared" si="3"/>
        <v>2028.07</v>
      </c>
      <c r="B376" s="1938" t="e">
        <v>#N/A</v>
      </c>
      <c r="C376" s="839" t="e">
        <v>#N/A</v>
      </c>
      <c r="D376" s="2029" t="e">
        <v>#N/A</v>
      </c>
      <c r="E376" s="839" t="e">
        <v>#N/A</v>
      </c>
      <c r="F376" s="2839" t="e">
        <v>#N/A</v>
      </c>
      <c r="G376" s="439" t="e">
        <v>#N/A</v>
      </c>
      <c r="H376" s="254" t="e">
        <v>#N/A</v>
      </c>
    </row>
    <row r="377" spans="1:8">
      <c r="A377" s="63">
        <f t="shared" si="3"/>
        <v>2028.08</v>
      </c>
      <c r="B377" s="1938" t="e">
        <v>#N/A</v>
      </c>
      <c r="C377" s="839" t="e">
        <v>#N/A</v>
      </c>
      <c r="D377" s="2029" t="e">
        <v>#N/A</v>
      </c>
      <c r="E377" s="839" t="e">
        <v>#N/A</v>
      </c>
      <c r="F377" s="2839" t="e">
        <v>#N/A</v>
      </c>
      <c r="G377" s="439" t="e">
        <v>#N/A</v>
      </c>
      <c r="H377" s="254" t="e">
        <v>#N/A</v>
      </c>
    </row>
    <row r="378" spans="1:8">
      <c r="A378" s="63">
        <f t="shared" si="3"/>
        <v>2028.09</v>
      </c>
      <c r="B378" s="1938" t="e">
        <v>#N/A</v>
      </c>
      <c r="C378" s="839" t="e">
        <v>#N/A</v>
      </c>
      <c r="D378" s="2029" t="e">
        <v>#N/A</v>
      </c>
      <c r="E378" s="839" t="e">
        <v>#N/A</v>
      </c>
      <c r="F378" s="2839" t="e">
        <v>#N/A</v>
      </c>
      <c r="G378" s="439" t="e">
        <v>#N/A</v>
      </c>
      <c r="H378" s="254" t="e">
        <v>#N/A</v>
      </c>
    </row>
    <row r="379" spans="1:8">
      <c r="A379" s="63">
        <f t="shared" si="3"/>
        <v>2028.1</v>
      </c>
      <c r="B379" s="1938" t="e">
        <v>#N/A</v>
      </c>
      <c r="C379" s="839" t="e">
        <v>#N/A</v>
      </c>
      <c r="D379" s="2029" t="e">
        <v>#N/A</v>
      </c>
      <c r="E379" s="839" t="e">
        <v>#N/A</v>
      </c>
      <c r="F379" s="2839" t="e">
        <v>#N/A</v>
      </c>
      <c r="G379" s="439" t="e">
        <v>#N/A</v>
      </c>
      <c r="H379" s="254" t="e">
        <v>#N/A</v>
      </c>
    </row>
    <row r="380" spans="1:8">
      <c r="A380" s="63">
        <f t="shared" si="3"/>
        <v>2028.11</v>
      </c>
      <c r="B380" s="1938" t="e">
        <v>#N/A</v>
      </c>
      <c r="C380" s="839" t="e">
        <v>#N/A</v>
      </c>
      <c r="D380" s="2029" t="e">
        <v>#N/A</v>
      </c>
      <c r="E380" s="839" t="e">
        <v>#N/A</v>
      </c>
      <c r="F380" s="2839" t="e">
        <v>#N/A</v>
      </c>
      <c r="G380" s="439" t="e">
        <v>#N/A</v>
      </c>
      <c r="H380" s="254" t="e">
        <v>#N/A</v>
      </c>
    </row>
    <row r="381" spans="1:8">
      <c r="A381" s="63">
        <f t="shared" si="3"/>
        <v>2028.12</v>
      </c>
      <c r="B381" s="1938" t="e">
        <v>#N/A</v>
      </c>
      <c r="C381" s="839" t="e">
        <v>#N/A</v>
      </c>
      <c r="D381" s="2029" t="e">
        <v>#N/A</v>
      </c>
      <c r="E381" s="839" t="e">
        <v>#N/A</v>
      </c>
      <c r="F381" s="2839" t="e">
        <v>#N/A</v>
      </c>
      <c r="G381" s="439" t="e">
        <v>#N/A</v>
      </c>
      <c r="H381" s="254" t="e">
        <v>#N/A</v>
      </c>
    </row>
    <row r="382" spans="1:8">
      <c r="A382" s="63">
        <f t="shared" si="3"/>
        <v>2029.01</v>
      </c>
      <c r="B382" s="1938" t="e">
        <v>#N/A</v>
      </c>
      <c r="C382" s="839" t="e">
        <v>#N/A</v>
      </c>
      <c r="D382" s="2029" t="e">
        <v>#N/A</v>
      </c>
      <c r="E382" s="839" t="e">
        <v>#N/A</v>
      </c>
      <c r="F382" s="2839" t="e">
        <v>#N/A</v>
      </c>
      <c r="G382" s="439" t="e">
        <v>#N/A</v>
      </c>
      <c r="H382" s="254" t="e">
        <v>#N/A</v>
      </c>
    </row>
    <row r="383" spans="1:8">
      <c r="A383" s="63">
        <f t="shared" si="3"/>
        <v>2029.02</v>
      </c>
      <c r="B383" s="1938" t="e">
        <v>#N/A</v>
      </c>
      <c r="C383" s="839" t="e">
        <v>#N/A</v>
      </c>
      <c r="D383" s="2029" t="e">
        <v>#N/A</v>
      </c>
      <c r="E383" s="839" t="e">
        <v>#N/A</v>
      </c>
      <c r="F383" s="2839" t="e">
        <v>#N/A</v>
      </c>
      <c r="G383" s="439" t="e">
        <v>#N/A</v>
      </c>
      <c r="H383" s="254" t="e">
        <v>#N/A</v>
      </c>
    </row>
    <row r="384" spans="1:8">
      <c r="A384" s="63">
        <f t="shared" si="3"/>
        <v>2029.03</v>
      </c>
      <c r="B384" s="1938" t="e">
        <v>#N/A</v>
      </c>
      <c r="C384" s="839" t="e">
        <v>#N/A</v>
      </c>
      <c r="D384" s="2029" t="e">
        <v>#N/A</v>
      </c>
      <c r="E384" s="839" t="e">
        <v>#N/A</v>
      </c>
      <c r="F384" s="2839" t="e">
        <v>#N/A</v>
      </c>
      <c r="G384" s="439" t="e">
        <v>#N/A</v>
      </c>
      <c r="H384" s="254" t="e">
        <v>#N/A</v>
      </c>
    </row>
    <row r="385" spans="1:8">
      <c r="A385" s="63">
        <f t="shared" si="3"/>
        <v>2029.04</v>
      </c>
      <c r="B385" s="1938" t="e">
        <v>#N/A</v>
      </c>
      <c r="C385" s="839" t="e">
        <v>#N/A</v>
      </c>
      <c r="D385" s="2029" t="e">
        <v>#N/A</v>
      </c>
      <c r="E385" s="839" t="e">
        <v>#N/A</v>
      </c>
      <c r="F385" s="2839" t="e">
        <v>#N/A</v>
      </c>
      <c r="G385" s="439" t="e">
        <v>#N/A</v>
      </c>
      <c r="H385" s="254" t="e">
        <v>#N/A</v>
      </c>
    </row>
    <row r="386" spans="1:8">
      <c r="A386" s="63">
        <f t="shared" ref="A386:A405" si="4">A374+1</f>
        <v>2029.05</v>
      </c>
      <c r="B386" s="1938" t="e">
        <v>#N/A</v>
      </c>
      <c r="C386" s="839" t="e">
        <v>#N/A</v>
      </c>
      <c r="D386" s="2029" t="e">
        <v>#N/A</v>
      </c>
      <c r="E386" s="839" t="e">
        <v>#N/A</v>
      </c>
      <c r="F386" s="2839" t="e">
        <v>#N/A</v>
      </c>
      <c r="G386" s="439" t="e">
        <v>#N/A</v>
      </c>
      <c r="H386" s="254" t="e">
        <v>#N/A</v>
      </c>
    </row>
    <row r="387" spans="1:8">
      <c r="A387" s="63">
        <f t="shared" si="4"/>
        <v>2029.06</v>
      </c>
      <c r="B387" s="1938" t="e">
        <v>#N/A</v>
      </c>
      <c r="C387" s="839" t="e">
        <v>#N/A</v>
      </c>
      <c r="D387" s="2029" t="e">
        <v>#N/A</v>
      </c>
      <c r="E387" s="839" t="e">
        <v>#N/A</v>
      </c>
      <c r="F387" s="2839" t="e">
        <v>#N/A</v>
      </c>
      <c r="G387" s="439" t="e">
        <v>#N/A</v>
      </c>
      <c r="H387" s="254" t="e">
        <v>#N/A</v>
      </c>
    </row>
    <row r="388" spans="1:8">
      <c r="A388" s="63">
        <f t="shared" si="4"/>
        <v>2029.07</v>
      </c>
      <c r="B388" s="1938" t="e">
        <v>#N/A</v>
      </c>
      <c r="C388" s="839" t="e">
        <v>#N/A</v>
      </c>
      <c r="D388" s="2029" t="e">
        <v>#N/A</v>
      </c>
      <c r="E388" s="839" t="e">
        <v>#N/A</v>
      </c>
      <c r="F388" s="2839" t="e">
        <v>#N/A</v>
      </c>
      <c r="G388" s="439" t="e">
        <v>#N/A</v>
      </c>
      <c r="H388" s="254" t="e">
        <v>#N/A</v>
      </c>
    </row>
    <row r="389" spans="1:8">
      <c r="A389" s="63">
        <f t="shared" si="4"/>
        <v>2029.08</v>
      </c>
      <c r="B389" s="1938" t="e">
        <v>#N/A</v>
      </c>
      <c r="C389" s="839" t="e">
        <v>#N/A</v>
      </c>
      <c r="D389" s="2029" t="e">
        <v>#N/A</v>
      </c>
      <c r="E389" s="839" t="e">
        <v>#N/A</v>
      </c>
      <c r="F389" s="2839" t="e">
        <v>#N/A</v>
      </c>
      <c r="G389" s="439" t="e">
        <v>#N/A</v>
      </c>
      <c r="H389" s="254" t="e">
        <v>#N/A</v>
      </c>
    </row>
    <row r="390" spans="1:8">
      <c r="A390" s="63">
        <f t="shared" si="4"/>
        <v>2029.09</v>
      </c>
      <c r="B390" s="1938" t="e">
        <v>#N/A</v>
      </c>
      <c r="C390" s="839" t="e">
        <v>#N/A</v>
      </c>
      <c r="D390" s="2029" t="e">
        <v>#N/A</v>
      </c>
      <c r="E390" s="839" t="e">
        <v>#N/A</v>
      </c>
      <c r="F390" s="2839" t="e">
        <v>#N/A</v>
      </c>
      <c r="G390" s="439" t="e">
        <v>#N/A</v>
      </c>
      <c r="H390" s="254" t="e">
        <v>#N/A</v>
      </c>
    </row>
    <row r="391" spans="1:8">
      <c r="A391" s="63">
        <f t="shared" si="4"/>
        <v>2029.1</v>
      </c>
      <c r="B391" s="1938" t="e">
        <v>#N/A</v>
      </c>
      <c r="C391" s="839" t="e">
        <v>#N/A</v>
      </c>
      <c r="D391" s="2029" t="e">
        <v>#N/A</v>
      </c>
      <c r="E391" s="839" t="e">
        <v>#N/A</v>
      </c>
      <c r="F391" s="2839" t="e">
        <v>#N/A</v>
      </c>
      <c r="G391" s="439" t="e">
        <v>#N/A</v>
      </c>
      <c r="H391" s="254" t="e">
        <v>#N/A</v>
      </c>
    </row>
    <row r="392" spans="1:8">
      <c r="A392" s="63">
        <f t="shared" si="4"/>
        <v>2029.11</v>
      </c>
      <c r="B392" s="1938" t="e">
        <v>#N/A</v>
      </c>
      <c r="C392" s="839" t="e">
        <v>#N/A</v>
      </c>
      <c r="D392" s="2029" t="e">
        <v>#N/A</v>
      </c>
      <c r="E392" s="839" t="e">
        <v>#N/A</v>
      </c>
      <c r="F392" s="2839" t="e">
        <v>#N/A</v>
      </c>
      <c r="G392" s="439" t="e">
        <v>#N/A</v>
      </c>
      <c r="H392" s="254" t="e">
        <v>#N/A</v>
      </c>
    </row>
    <row r="393" spans="1:8">
      <c r="A393" s="63">
        <f t="shared" si="4"/>
        <v>2029.12</v>
      </c>
      <c r="B393" s="1938" t="e">
        <v>#N/A</v>
      </c>
      <c r="C393" s="839" t="e">
        <v>#N/A</v>
      </c>
      <c r="D393" s="2029" t="e">
        <v>#N/A</v>
      </c>
      <c r="E393" s="839" t="e">
        <v>#N/A</v>
      </c>
      <c r="F393" s="2839" t="e">
        <v>#N/A</v>
      </c>
      <c r="G393" s="439" t="e">
        <v>#N/A</v>
      </c>
      <c r="H393" s="254" t="e">
        <v>#N/A</v>
      </c>
    </row>
    <row r="394" spans="1:8">
      <c r="A394" s="63">
        <f t="shared" si="4"/>
        <v>2030.01</v>
      </c>
      <c r="B394" s="1938" t="e">
        <v>#N/A</v>
      </c>
      <c r="C394" s="839" t="e">
        <v>#N/A</v>
      </c>
      <c r="D394" s="2029" t="e">
        <v>#N/A</v>
      </c>
      <c r="E394" s="839" t="e">
        <v>#N/A</v>
      </c>
      <c r="F394" s="2839" t="e">
        <v>#N/A</v>
      </c>
      <c r="G394" s="439" t="e">
        <v>#N/A</v>
      </c>
      <c r="H394" s="254" t="e">
        <v>#N/A</v>
      </c>
    </row>
    <row r="395" spans="1:8">
      <c r="A395" s="63">
        <f t="shared" si="4"/>
        <v>2030.02</v>
      </c>
      <c r="B395" s="1938" t="e">
        <v>#N/A</v>
      </c>
      <c r="C395" s="839" t="e">
        <v>#N/A</v>
      </c>
      <c r="D395" s="2029" t="e">
        <v>#N/A</v>
      </c>
      <c r="E395" s="839" t="e">
        <v>#N/A</v>
      </c>
      <c r="F395" s="2839" t="e">
        <v>#N/A</v>
      </c>
      <c r="G395" s="439" t="e">
        <v>#N/A</v>
      </c>
      <c r="H395" s="254" t="e">
        <v>#N/A</v>
      </c>
    </row>
    <row r="396" spans="1:8">
      <c r="A396" s="63">
        <f t="shared" si="4"/>
        <v>2030.03</v>
      </c>
      <c r="B396" s="1938" t="e">
        <v>#N/A</v>
      </c>
      <c r="C396" s="839" t="e">
        <v>#N/A</v>
      </c>
      <c r="D396" s="2029" t="e">
        <v>#N/A</v>
      </c>
      <c r="E396" s="839" t="e">
        <v>#N/A</v>
      </c>
      <c r="F396" s="2839" t="e">
        <v>#N/A</v>
      </c>
      <c r="G396" s="439" t="e">
        <v>#N/A</v>
      </c>
      <c r="H396" s="254" t="e">
        <v>#N/A</v>
      </c>
    </row>
    <row r="397" spans="1:8">
      <c r="A397" s="63">
        <f t="shared" si="4"/>
        <v>2030.04</v>
      </c>
      <c r="B397" s="1938" t="e">
        <v>#N/A</v>
      </c>
      <c r="C397" s="839" t="e">
        <v>#N/A</v>
      </c>
      <c r="D397" s="2029" t="e">
        <v>#N/A</v>
      </c>
      <c r="E397" s="839" t="e">
        <v>#N/A</v>
      </c>
      <c r="F397" s="2839" t="e">
        <v>#N/A</v>
      </c>
      <c r="G397" s="439" t="e">
        <v>#N/A</v>
      </c>
      <c r="H397" s="254" t="e">
        <v>#N/A</v>
      </c>
    </row>
    <row r="398" spans="1:8">
      <c r="A398" s="63">
        <f t="shared" si="4"/>
        <v>2030.05</v>
      </c>
      <c r="B398" s="1938" t="e">
        <v>#N/A</v>
      </c>
      <c r="C398" s="839" t="e">
        <v>#N/A</v>
      </c>
      <c r="D398" s="2029" t="e">
        <v>#N/A</v>
      </c>
      <c r="E398" s="839" t="e">
        <v>#N/A</v>
      </c>
      <c r="F398" s="2839" t="e">
        <v>#N/A</v>
      </c>
      <c r="G398" s="439" t="e">
        <v>#N/A</v>
      </c>
      <c r="H398" s="254" t="e">
        <v>#N/A</v>
      </c>
    </row>
    <row r="399" spans="1:8">
      <c r="A399" s="63">
        <f t="shared" si="4"/>
        <v>2030.06</v>
      </c>
      <c r="B399" s="1938" t="e">
        <v>#N/A</v>
      </c>
      <c r="C399" s="839" t="e">
        <v>#N/A</v>
      </c>
      <c r="D399" s="2029" t="e">
        <v>#N/A</v>
      </c>
      <c r="E399" s="839" t="e">
        <v>#N/A</v>
      </c>
      <c r="F399" s="2839" t="e">
        <v>#N/A</v>
      </c>
      <c r="G399" s="439" t="e">
        <v>#N/A</v>
      </c>
      <c r="H399" s="254" t="e">
        <v>#N/A</v>
      </c>
    </row>
    <row r="400" spans="1:8">
      <c r="A400" s="63">
        <f t="shared" si="4"/>
        <v>2030.07</v>
      </c>
      <c r="B400" s="1938" t="e">
        <v>#N/A</v>
      </c>
      <c r="C400" s="839" t="e">
        <v>#N/A</v>
      </c>
      <c r="D400" s="2029" t="e">
        <v>#N/A</v>
      </c>
      <c r="E400" s="839" t="e">
        <v>#N/A</v>
      </c>
      <c r="F400" s="2839" t="e">
        <v>#N/A</v>
      </c>
      <c r="G400" s="439" t="e">
        <v>#N/A</v>
      </c>
      <c r="H400" s="254" t="e">
        <v>#N/A</v>
      </c>
    </row>
    <row r="401" spans="1:8">
      <c r="A401" s="63">
        <f t="shared" si="4"/>
        <v>2030.08</v>
      </c>
      <c r="B401" s="1938" t="e">
        <v>#N/A</v>
      </c>
      <c r="C401" s="839" t="e">
        <v>#N/A</v>
      </c>
      <c r="D401" s="2029" t="e">
        <v>#N/A</v>
      </c>
      <c r="E401" s="839" t="e">
        <v>#N/A</v>
      </c>
      <c r="F401" s="2839" t="e">
        <v>#N/A</v>
      </c>
      <c r="G401" s="439" t="e">
        <v>#N/A</v>
      </c>
      <c r="H401" s="254" t="e">
        <v>#N/A</v>
      </c>
    </row>
    <row r="402" spans="1:8">
      <c r="A402" s="63">
        <f t="shared" si="4"/>
        <v>2030.09</v>
      </c>
      <c r="B402" s="1938" t="e">
        <v>#N/A</v>
      </c>
      <c r="C402" s="839" t="e">
        <v>#N/A</v>
      </c>
      <c r="D402" s="2029" t="e">
        <v>#N/A</v>
      </c>
      <c r="E402" s="839" t="e">
        <v>#N/A</v>
      </c>
      <c r="F402" s="2839" t="e">
        <v>#N/A</v>
      </c>
      <c r="G402" s="439" t="e">
        <v>#N/A</v>
      </c>
      <c r="H402" s="254" t="e">
        <v>#N/A</v>
      </c>
    </row>
    <row r="403" spans="1:8">
      <c r="A403" s="63">
        <f t="shared" si="4"/>
        <v>2030.1</v>
      </c>
      <c r="B403" s="1938" t="e">
        <v>#N/A</v>
      </c>
      <c r="C403" s="839" t="e">
        <v>#N/A</v>
      </c>
      <c r="D403" s="2029" t="e">
        <v>#N/A</v>
      </c>
      <c r="E403" s="839" t="e">
        <v>#N/A</v>
      </c>
      <c r="F403" s="2839" t="e">
        <v>#N/A</v>
      </c>
      <c r="G403" s="439" t="e">
        <v>#N/A</v>
      </c>
      <c r="H403" s="254" t="e">
        <v>#N/A</v>
      </c>
    </row>
    <row r="404" spans="1:8">
      <c r="A404" s="63">
        <f t="shared" si="4"/>
        <v>2030.11</v>
      </c>
      <c r="B404" s="1938" t="e">
        <v>#N/A</v>
      </c>
      <c r="C404" s="839" t="e">
        <v>#N/A</v>
      </c>
      <c r="D404" s="2029" t="e">
        <v>#N/A</v>
      </c>
      <c r="E404" s="839" t="e">
        <v>#N/A</v>
      </c>
      <c r="F404" s="2839" t="e">
        <v>#N/A</v>
      </c>
      <c r="G404" s="439" t="e">
        <v>#N/A</v>
      </c>
      <c r="H404" s="254" t="e">
        <v>#N/A</v>
      </c>
    </row>
    <row r="405" spans="1:8">
      <c r="A405" s="63">
        <f t="shared" si="4"/>
        <v>2030.12</v>
      </c>
      <c r="B405" s="1938" t="e">
        <v>#N/A</v>
      </c>
      <c r="C405" s="839" t="e">
        <v>#N/A</v>
      </c>
      <c r="D405" s="2029" t="e">
        <v>#N/A</v>
      </c>
      <c r="E405" s="839" t="e">
        <v>#N/A</v>
      </c>
      <c r="F405" s="2839" t="e">
        <v>#N/A</v>
      </c>
      <c r="G405" s="439" t="e">
        <v>#N/A</v>
      </c>
      <c r="H405" s="254" t="e">
        <v>#N/A</v>
      </c>
    </row>
  </sheetData>
  <phoneticPr fontId="0" type="noConversion"/>
  <hyperlinks>
    <hyperlink ref="A5" location="INDICE!A13" display="VOLVER AL INDICE" xr:uid="{00000000-0004-0000-2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9">
    <pageSetUpPr autoPageBreaks="0" fitToPage="1"/>
  </sheetPr>
  <dimension ref="A1:K309"/>
  <sheetViews>
    <sheetView zoomScale="130" zoomScaleNormal="130" workbookViewId="0">
      <pane xSplit="1" ySplit="9" topLeftCell="J222" activePane="bottomRight" state="frozen"/>
      <selection pane="topRight" activeCell="Y299" sqref="Y299"/>
      <selection pane="bottomLeft" activeCell="Y299" sqref="Y299"/>
      <selection pane="bottomRight" activeCell="A5" sqref="A5"/>
    </sheetView>
  </sheetViews>
  <sheetFormatPr baseColWidth="10" defaultColWidth="11.42578125" defaultRowHeight="12.75"/>
  <cols>
    <col min="1" max="1" width="10.5703125" style="24" customWidth="1"/>
    <col min="2" max="2" width="14.5703125" style="24" bestFit="1" customWidth="1"/>
    <col min="3" max="4" width="15.5703125" style="24" customWidth="1"/>
    <col min="5" max="5" width="14.5703125" style="24" bestFit="1" customWidth="1"/>
    <col min="6" max="7" width="15.5703125" style="24" customWidth="1"/>
    <col min="8" max="8" width="14.5703125" style="24" bestFit="1" customWidth="1"/>
    <col min="9" max="10" width="15.5703125" style="24" customWidth="1"/>
    <col min="11" max="16384" width="11.42578125" style="9"/>
  </cols>
  <sheetData>
    <row r="1" spans="1:10" s="13" customFormat="1" ht="3" customHeight="1">
      <c r="A1" s="34"/>
      <c r="B1" s="77"/>
      <c r="C1" s="78"/>
      <c r="D1" s="78"/>
      <c r="E1" s="78"/>
      <c r="F1" s="78"/>
      <c r="G1" s="78"/>
      <c r="H1" s="78"/>
      <c r="I1" s="78"/>
      <c r="J1" s="79"/>
    </row>
    <row r="2" spans="1:10" s="13" customFormat="1" ht="17.25" customHeight="1">
      <c r="A2" s="59" t="s">
        <v>105</v>
      </c>
      <c r="B2" s="66" t="s">
        <v>1159</v>
      </c>
      <c r="C2" s="1788"/>
      <c r="D2" s="2379"/>
      <c r="E2" s="1788"/>
      <c r="F2" s="1788"/>
      <c r="G2" s="1882"/>
      <c r="H2" s="1788"/>
      <c r="I2" s="1788"/>
      <c r="J2" s="1882"/>
    </row>
    <row r="3" spans="1:10" s="13" customFormat="1">
      <c r="A3" s="36" t="s">
        <v>109</v>
      </c>
      <c r="B3" s="66" t="s">
        <v>132</v>
      </c>
      <c r="C3" s="1788"/>
      <c r="D3" s="2379"/>
      <c r="E3" s="1788"/>
      <c r="F3" s="1788"/>
      <c r="G3" s="1882"/>
      <c r="H3" s="1788"/>
      <c r="I3" s="1788"/>
      <c r="J3" s="1882"/>
    </row>
    <row r="4" spans="1:10" s="13" customFormat="1" ht="3" hidden="1" customHeight="1">
      <c r="A4" s="34"/>
      <c r="B4" s="77"/>
      <c r="C4" s="78"/>
      <c r="D4" s="78"/>
      <c r="E4" s="78"/>
      <c r="F4" s="78"/>
      <c r="G4" s="78"/>
      <c r="H4" s="78"/>
      <c r="I4" s="78"/>
      <c r="J4" s="79"/>
    </row>
    <row r="5" spans="1:10" s="13" customFormat="1" ht="22.5">
      <c r="A5" s="2390" t="s">
        <v>137</v>
      </c>
      <c r="B5" s="175" t="s">
        <v>1160</v>
      </c>
      <c r="C5" s="2085"/>
      <c r="D5" s="2448"/>
      <c r="E5" s="1963" t="s">
        <v>758</v>
      </c>
      <c r="F5" s="2085"/>
      <c r="G5" s="2085"/>
      <c r="H5" s="1963" t="s">
        <v>824</v>
      </c>
      <c r="I5" s="2085"/>
      <c r="J5" s="2128"/>
    </row>
    <row r="6" spans="1:10" s="13" customFormat="1" ht="23.25" thickBot="1">
      <c r="A6" s="72"/>
      <c r="B6" s="1970" t="s">
        <v>1161</v>
      </c>
      <c r="C6" s="1318" t="s">
        <v>1162</v>
      </c>
      <c r="D6" s="8" t="s">
        <v>1163</v>
      </c>
      <c r="E6" s="2434" t="s">
        <v>1161</v>
      </c>
      <c r="F6" s="1318" t="s">
        <v>1162</v>
      </c>
      <c r="G6" s="8" t="s">
        <v>1163</v>
      </c>
      <c r="H6" s="2434" t="s">
        <v>1161</v>
      </c>
      <c r="I6" s="1318" t="s">
        <v>1162</v>
      </c>
      <c r="J6" s="1" t="s">
        <v>1163</v>
      </c>
    </row>
    <row r="7" spans="1:10" s="13" customFormat="1" ht="22.5">
      <c r="A7" s="2373" t="s">
        <v>123</v>
      </c>
      <c r="B7" s="1093" t="s">
        <v>1164</v>
      </c>
      <c r="C7" s="1089" t="s">
        <v>1164</v>
      </c>
      <c r="D7" s="1090" t="s">
        <v>1164</v>
      </c>
      <c r="E7" s="2403" t="s">
        <v>1164</v>
      </c>
      <c r="F7" s="1089" t="s">
        <v>1164</v>
      </c>
      <c r="G7" s="1090" t="s">
        <v>1164</v>
      </c>
      <c r="H7" s="2403" t="s">
        <v>1164</v>
      </c>
      <c r="I7" s="1089" t="s">
        <v>1164</v>
      </c>
      <c r="J7" s="1091" t="s">
        <v>1164</v>
      </c>
    </row>
    <row r="8" spans="1:10" s="13" customFormat="1" ht="13.5" customHeight="1" thickBot="1">
      <c r="A8" s="147" t="s">
        <v>141</v>
      </c>
      <c r="B8" s="1092" t="s">
        <v>1165</v>
      </c>
      <c r="C8" s="1085" t="s">
        <v>1166</v>
      </c>
      <c r="D8" s="1086" t="s">
        <v>1167</v>
      </c>
      <c r="E8" s="1087" t="s">
        <v>1168</v>
      </c>
      <c r="F8" s="1085" t="s">
        <v>1169</v>
      </c>
      <c r="G8" s="1086" t="s">
        <v>1170</v>
      </c>
      <c r="H8" s="1087" t="s">
        <v>1171</v>
      </c>
      <c r="I8" s="1085" t="s">
        <v>1172</v>
      </c>
      <c r="J8" s="1088" t="s">
        <v>1173</v>
      </c>
    </row>
    <row r="9" spans="1:10" s="14" customFormat="1" ht="13.5" hidden="1" thickBot="1">
      <c r="A9" s="72"/>
      <c r="B9" s="2129"/>
      <c r="C9" s="1794"/>
      <c r="D9" s="580"/>
      <c r="E9" s="792"/>
      <c r="F9" s="1794"/>
      <c r="G9" s="580"/>
      <c r="H9" s="792"/>
      <c r="I9" s="1794"/>
      <c r="J9" s="2028"/>
    </row>
    <row r="10" spans="1:10">
      <c r="A10" s="67">
        <v>2006.01</v>
      </c>
      <c r="B10" s="2853"/>
      <c r="C10" s="2854"/>
      <c r="D10" s="2855"/>
      <c r="E10" s="55">
        <v>170159</v>
      </c>
      <c r="F10" s="767">
        <v>50456</v>
      </c>
      <c r="G10" s="2856"/>
      <c r="H10" s="864"/>
      <c r="I10" s="913"/>
      <c r="J10" s="2857"/>
    </row>
    <row r="11" spans="1:10">
      <c r="A11" s="63">
        <v>2006.02</v>
      </c>
      <c r="B11" s="2130"/>
      <c r="C11" s="3153"/>
      <c r="D11" s="2131"/>
      <c r="E11" s="260">
        <v>158004</v>
      </c>
      <c r="F11" s="3034">
        <v>54586</v>
      </c>
      <c r="G11" s="2131"/>
      <c r="H11" s="1968"/>
      <c r="I11" s="3153"/>
      <c r="J11" s="2132"/>
    </row>
    <row r="12" spans="1:10">
      <c r="A12" s="63">
        <v>2006.03</v>
      </c>
      <c r="B12" s="2130"/>
      <c r="C12" s="3153"/>
      <c r="D12" s="2131"/>
      <c r="E12" s="260">
        <v>175894</v>
      </c>
      <c r="F12" s="3034">
        <v>71036</v>
      </c>
      <c r="G12" s="2131"/>
      <c r="H12" s="1968"/>
      <c r="I12" s="3153"/>
      <c r="J12" s="2132"/>
    </row>
    <row r="13" spans="1:10">
      <c r="A13" s="63">
        <v>2006.04</v>
      </c>
      <c r="B13" s="2130"/>
      <c r="C13" s="3153"/>
      <c r="D13" s="2131"/>
      <c r="E13" s="260">
        <v>162150</v>
      </c>
      <c r="F13" s="3034">
        <v>65531</v>
      </c>
      <c r="G13" s="2131"/>
      <c r="H13" s="1968"/>
      <c r="I13" s="3153"/>
      <c r="J13" s="2132"/>
    </row>
    <row r="14" spans="1:10">
      <c r="A14" s="63">
        <v>2006.05</v>
      </c>
      <c r="B14" s="2130"/>
      <c r="C14" s="3153"/>
      <c r="D14" s="2131"/>
      <c r="E14" s="260">
        <v>176731</v>
      </c>
      <c r="F14" s="3034">
        <v>64637</v>
      </c>
      <c r="G14" s="2131"/>
      <c r="H14" s="1968"/>
      <c r="I14" s="3153"/>
      <c r="J14" s="2132"/>
    </row>
    <row r="15" spans="1:10">
      <c r="A15" s="63">
        <v>2006.06</v>
      </c>
      <c r="B15" s="2130"/>
      <c r="C15" s="3153"/>
      <c r="D15" s="2131"/>
      <c r="E15" s="260">
        <v>165150</v>
      </c>
      <c r="F15" s="3034">
        <v>62660</v>
      </c>
      <c r="G15" s="2131"/>
      <c r="H15" s="1968"/>
      <c r="I15" s="3153"/>
      <c r="J15" s="2132"/>
    </row>
    <row r="16" spans="1:10">
      <c r="A16" s="63">
        <v>2006.07</v>
      </c>
      <c r="B16" s="2130"/>
      <c r="C16" s="3153"/>
      <c r="D16" s="2131"/>
      <c r="E16" s="260">
        <v>172453</v>
      </c>
      <c r="F16" s="3034">
        <v>75356</v>
      </c>
      <c r="G16" s="2131"/>
      <c r="H16" s="1968"/>
      <c r="I16" s="3153"/>
      <c r="J16" s="2132"/>
    </row>
    <row r="17" spans="1:10">
      <c r="A17" s="63">
        <v>2006.08</v>
      </c>
      <c r="B17" s="2130"/>
      <c r="C17" s="3153"/>
      <c r="D17" s="2131"/>
      <c r="E17" s="260">
        <v>172174</v>
      </c>
      <c r="F17" s="3034">
        <v>76857</v>
      </c>
      <c r="G17" s="2131"/>
      <c r="H17" s="1968"/>
      <c r="I17" s="3153"/>
      <c r="J17" s="2132"/>
    </row>
    <row r="18" spans="1:10">
      <c r="A18" s="63">
        <v>2006.09</v>
      </c>
      <c r="B18" s="2130"/>
      <c r="C18" s="3153"/>
      <c r="D18" s="2131"/>
      <c r="E18" s="260">
        <v>166080</v>
      </c>
      <c r="F18" s="3034">
        <v>70553</v>
      </c>
      <c r="G18" s="2131"/>
      <c r="H18" s="1968"/>
      <c r="I18" s="3153"/>
      <c r="J18" s="2132"/>
    </row>
    <row r="19" spans="1:10">
      <c r="A19" s="63">
        <v>2006.1</v>
      </c>
      <c r="B19" s="2130"/>
      <c r="C19" s="3153"/>
      <c r="D19" s="2131"/>
      <c r="E19" s="260">
        <v>174065</v>
      </c>
      <c r="F19" s="3034">
        <v>73602</v>
      </c>
      <c r="G19" s="2131"/>
      <c r="H19" s="1968"/>
      <c r="I19" s="3153"/>
      <c r="J19" s="2132"/>
    </row>
    <row r="20" spans="1:10">
      <c r="A20" s="63">
        <v>2006.11</v>
      </c>
      <c r="B20" s="2130"/>
      <c r="C20" s="3153"/>
      <c r="D20" s="2131"/>
      <c r="E20" s="260">
        <v>167790</v>
      </c>
      <c r="F20" s="3034">
        <v>72671</v>
      </c>
      <c r="G20" s="2131"/>
      <c r="H20" s="1968"/>
      <c r="I20" s="3153"/>
      <c r="J20" s="2132"/>
    </row>
    <row r="21" spans="1:10">
      <c r="A21" s="63">
        <v>2006.12</v>
      </c>
      <c r="B21" s="2130"/>
      <c r="C21" s="3153"/>
      <c r="D21" s="2131"/>
      <c r="E21" s="260">
        <v>169570</v>
      </c>
      <c r="F21" s="3034">
        <v>60557</v>
      </c>
      <c r="G21" s="2131"/>
      <c r="H21" s="1968"/>
      <c r="I21" s="3153"/>
      <c r="J21" s="2132"/>
    </row>
    <row r="22" spans="1:10">
      <c r="A22" s="63">
        <v>2007.01</v>
      </c>
      <c r="B22" s="38">
        <v>69626</v>
      </c>
      <c r="C22" s="3066">
        <v>21146</v>
      </c>
      <c r="D22" s="2131"/>
      <c r="E22" s="260">
        <v>179583</v>
      </c>
      <c r="F22" s="3034">
        <v>46839</v>
      </c>
      <c r="G22" s="2131"/>
      <c r="H22" s="223">
        <v>31333</v>
      </c>
      <c r="I22" s="3066">
        <v>12204</v>
      </c>
      <c r="J22" s="2132"/>
    </row>
    <row r="23" spans="1:10">
      <c r="A23" s="63">
        <v>2007.02</v>
      </c>
      <c r="B23" s="252">
        <v>62692</v>
      </c>
      <c r="C23" s="3034">
        <v>19601</v>
      </c>
      <c r="D23" s="2131"/>
      <c r="E23" s="260">
        <v>165676</v>
      </c>
      <c r="F23" s="3034">
        <v>46998</v>
      </c>
      <c r="G23" s="2131"/>
      <c r="H23" s="260">
        <v>28308</v>
      </c>
      <c r="I23" s="3034">
        <v>11985</v>
      </c>
      <c r="J23" s="2132"/>
    </row>
    <row r="24" spans="1:10">
      <c r="A24" s="63">
        <v>2007.03</v>
      </c>
      <c r="B24" s="252">
        <v>69471</v>
      </c>
      <c r="C24" s="3034">
        <v>19479</v>
      </c>
      <c r="D24" s="2131"/>
      <c r="E24" s="260">
        <v>177599</v>
      </c>
      <c r="F24" s="3034">
        <v>56803</v>
      </c>
      <c r="G24" s="2131"/>
      <c r="H24" s="260">
        <v>31341</v>
      </c>
      <c r="I24" s="3034">
        <v>11580</v>
      </c>
      <c r="J24" s="2132"/>
    </row>
    <row r="25" spans="1:10">
      <c r="A25" s="63">
        <v>2007.04</v>
      </c>
      <c r="B25" s="252">
        <v>66690</v>
      </c>
      <c r="C25" s="3034">
        <v>18231</v>
      </c>
      <c r="D25" s="2131"/>
      <c r="E25" s="260">
        <v>174570</v>
      </c>
      <c r="F25" s="3034">
        <v>56469</v>
      </c>
      <c r="G25" s="2131"/>
      <c r="H25" s="260">
        <v>30420</v>
      </c>
      <c r="I25" s="3034">
        <v>12862</v>
      </c>
      <c r="J25" s="2132"/>
    </row>
    <row r="26" spans="1:10">
      <c r="A26" s="63">
        <v>2007.05</v>
      </c>
      <c r="B26" s="252">
        <v>69688</v>
      </c>
      <c r="C26" s="3034">
        <v>22237</v>
      </c>
      <c r="D26" s="2131"/>
      <c r="E26" s="260">
        <v>189844</v>
      </c>
      <c r="F26" s="3034">
        <v>59092</v>
      </c>
      <c r="G26" s="2131"/>
      <c r="H26" s="260">
        <v>30318</v>
      </c>
      <c r="I26" s="3034">
        <v>11770</v>
      </c>
      <c r="J26" s="2132"/>
    </row>
    <row r="27" spans="1:10">
      <c r="A27" s="63">
        <v>2007.06</v>
      </c>
      <c r="B27" s="252">
        <v>66900</v>
      </c>
      <c r="C27" s="3034">
        <v>19312</v>
      </c>
      <c r="D27" s="2131"/>
      <c r="E27" s="260">
        <v>178080</v>
      </c>
      <c r="F27" s="3034">
        <v>53201</v>
      </c>
      <c r="G27" s="2131"/>
      <c r="H27" s="260">
        <v>29248</v>
      </c>
      <c r="I27" s="3034">
        <v>11353</v>
      </c>
      <c r="J27" s="2132"/>
    </row>
    <row r="28" spans="1:10">
      <c r="A28" s="63">
        <v>2007.07</v>
      </c>
      <c r="B28" s="252">
        <v>68820</v>
      </c>
      <c r="C28" s="3034">
        <v>27260</v>
      </c>
      <c r="D28" s="2131"/>
      <c r="E28" s="260">
        <v>183551</v>
      </c>
      <c r="F28" s="3034">
        <v>67376</v>
      </c>
      <c r="G28" s="2131"/>
      <c r="H28" s="260">
        <v>30318</v>
      </c>
      <c r="I28" s="3034">
        <v>13104</v>
      </c>
      <c r="J28" s="2132"/>
    </row>
    <row r="29" spans="1:10">
      <c r="A29" s="63">
        <v>2007.08</v>
      </c>
      <c r="B29" s="252">
        <v>69843</v>
      </c>
      <c r="C29" s="3034">
        <v>28751</v>
      </c>
      <c r="D29" s="2131"/>
      <c r="E29" s="260">
        <v>186899</v>
      </c>
      <c r="F29" s="3034">
        <v>68275</v>
      </c>
      <c r="G29" s="2131"/>
      <c r="H29" s="260">
        <v>30203</v>
      </c>
      <c r="I29" s="3034">
        <v>12605</v>
      </c>
      <c r="J29" s="2132"/>
    </row>
    <row r="30" spans="1:10">
      <c r="A30" s="63">
        <v>2007.09</v>
      </c>
      <c r="B30" s="252">
        <v>67320</v>
      </c>
      <c r="C30" s="3034">
        <v>28062</v>
      </c>
      <c r="D30" s="2131"/>
      <c r="E30" s="260">
        <v>176670</v>
      </c>
      <c r="F30" s="3034">
        <v>59344</v>
      </c>
      <c r="G30" s="2131"/>
      <c r="H30" s="260">
        <v>30720</v>
      </c>
      <c r="I30" s="3034">
        <v>15662</v>
      </c>
      <c r="J30" s="2132"/>
    </row>
    <row r="31" spans="1:10">
      <c r="A31" s="63">
        <v>2007.1</v>
      </c>
      <c r="B31" s="252">
        <v>69564</v>
      </c>
      <c r="C31" s="3034">
        <v>27451</v>
      </c>
      <c r="D31" s="2131"/>
      <c r="E31" s="260">
        <v>179366</v>
      </c>
      <c r="F31" s="3034">
        <v>60407</v>
      </c>
      <c r="G31" s="2131"/>
      <c r="H31" s="260">
        <v>30499</v>
      </c>
      <c r="I31" s="3034">
        <v>13317</v>
      </c>
      <c r="J31" s="2132"/>
    </row>
    <row r="32" spans="1:10">
      <c r="A32" s="63">
        <v>2007.11</v>
      </c>
      <c r="B32" s="252">
        <v>67230</v>
      </c>
      <c r="C32" s="3034">
        <v>28767</v>
      </c>
      <c r="D32" s="2131"/>
      <c r="E32" s="260">
        <v>170820</v>
      </c>
      <c r="F32" s="3034">
        <v>60482</v>
      </c>
      <c r="G32" s="2131"/>
      <c r="H32" s="260">
        <v>29668</v>
      </c>
      <c r="I32" s="3034">
        <v>13611</v>
      </c>
      <c r="J32" s="2132"/>
    </row>
    <row r="33" spans="1:10">
      <c r="A33" s="63">
        <v>2007.12</v>
      </c>
      <c r="B33" s="252">
        <v>68939</v>
      </c>
      <c r="C33" s="3034">
        <v>23320</v>
      </c>
      <c r="D33" s="2131"/>
      <c r="E33" s="260">
        <v>178224</v>
      </c>
      <c r="F33" s="3034">
        <v>45920</v>
      </c>
      <c r="G33" s="2131"/>
      <c r="H33" s="260">
        <v>30637</v>
      </c>
      <c r="I33" s="3034">
        <v>12820</v>
      </c>
      <c r="J33" s="2132"/>
    </row>
    <row r="34" spans="1:10">
      <c r="A34" s="63">
        <f t="shared" ref="A34:A65" si="0">A22+1</f>
        <v>2008.01</v>
      </c>
      <c r="B34" s="252">
        <v>68572</v>
      </c>
      <c r="C34" s="3034">
        <v>18403</v>
      </c>
      <c r="D34" s="60">
        <v>1402</v>
      </c>
      <c r="E34" s="260">
        <v>178343</v>
      </c>
      <c r="F34" s="3034">
        <v>51944</v>
      </c>
      <c r="G34" s="60">
        <v>4869</v>
      </c>
      <c r="H34" s="260">
        <v>29816</v>
      </c>
      <c r="I34" s="3034">
        <v>16603</v>
      </c>
      <c r="J34" s="151">
        <v>114</v>
      </c>
    </row>
    <row r="35" spans="1:10">
      <c r="A35" s="63">
        <f t="shared" si="0"/>
        <v>2008.02</v>
      </c>
      <c r="B35" s="252">
        <v>64148</v>
      </c>
      <c r="C35" s="3034">
        <v>19677</v>
      </c>
      <c r="D35" s="169">
        <v>2098</v>
      </c>
      <c r="E35" s="260">
        <v>167997</v>
      </c>
      <c r="F35" s="3034">
        <v>46735</v>
      </c>
      <c r="G35" s="169">
        <v>4897</v>
      </c>
      <c r="H35" s="260">
        <v>28449</v>
      </c>
      <c r="I35" s="3034">
        <v>10664</v>
      </c>
      <c r="J35" s="380">
        <v>164</v>
      </c>
    </row>
    <row r="36" spans="1:10">
      <c r="A36" s="63">
        <f t="shared" si="0"/>
        <v>2008.03</v>
      </c>
      <c r="B36" s="252">
        <v>68851</v>
      </c>
      <c r="C36" s="3034">
        <v>18272</v>
      </c>
      <c r="D36" s="169">
        <v>1182</v>
      </c>
      <c r="E36" s="260">
        <v>183148</v>
      </c>
      <c r="F36" s="3034">
        <v>60542</v>
      </c>
      <c r="G36" s="169">
        <v>6403</v>
      </c>
      <c r="H36" s="260">
        <v>33604</v>
      </c>
      <c r="I36" s="3034">
        <v>10803</v>
      </c>
      <c r="J36" s="380">
        <v>120</v>
      </c>
    </row>
    <row r="37" spans="1:10">
      <c r="A37" s="63">
        <f t="shared" si="0"/>
        <v>2008.04</v>
      </c>
      <c r="B37" s="252">
        <v>67050</v>
      </c>
      <c r="C37" s="3034">
        <v>19091</v>
      </c>
      <c r="D37" s="169">
        <v>1055</v>
      </c>
      <c r="E37" s="260">
        <v>175950</v>
      </c>
      <c r="F37" s="3034">
        <v>54553</v>
      </c>
      <c r="G37" s="169">
        <v>5935</v>
      </c>
      <c r="H37" s="260">
        <v>29430</v>
      </c>
      <c r="I37" s="3034">
        <v>11964</v>
      </c>
      <c r="J37" s="380">
        <v>340</v>
      </c>
    </row>
    <row r="38" spans="1:10">
      <c r="A38" s="63">
        <f t="shared" si="0"/>
        <v>2008.05</v>
      </c>
      <c r="B38" s="252">
        <v>68510</v>
      </c>
      <c r="C38" s="3034">
        <v>21225</v>
      </c>
      <c r="D38" s="169">
        <v>1588</v>
      </c>
      <c r="E38" s="260">
        <v>182094</v>
      </c>
      <c r="F38" s="3034">
        <v>54401</v>
      </c>
      <c r="G38" s="169">
        <v>5218</v>
      </c>
      <c r="H38" s="260">
        <v>30411</v>
      </c>
      <c r="I38" s="3034">
        <v>11199</v>
      </c>
      <c r="J38" s="380">
        <v>139</v>
      </c>
    </row>
    <row r="39" spans="1:10">
      <c r="A39" s="63">
        <f t="shared" si="0"/>
        <v>2008.06</v>
      </c>
      <c r="B39" s="252">
        <v>66870</v>
      </c>
      <c r="C39" s="3034">
        <v>15889</v>
      </c>
      <c r="D39" s="169">
        <v>1009</v>
      </c>
      <c r="E39" s="260">
        <v>176460</v>
      </c>
      <c r="F39" s="3034">
        <v>55885</v>
      </c>
      <c r="G39" s="169">
        <v>5733</v>
      </c>
      <c r="H39" s="260">
        <v>29430</v>
      </c>
      <c r="I39" s="3034">
        <v>12078</v>
      </c>
      <c r="J39" s="380">
        <v>136</v>
      </c>
    </row>
    <row r="40" spans="1:10">
      <c r="A40" s="63">
        <f t="shared" si="0"/>
        <v>2008.07</v>
      </c>
      <c r="B40" s="252">
        <v>68107</v>
      </c>
      <c r="C40" s="3034">
        <v>21048</v>
      </c>
      <c r="D40" s="169">
        <v>1813</v>
      </c>
      <c r="E40" s="260">
        <v>181474</v>
      </c>
      <c r="F40" s="3034">
        <v>67618</v>
      </c>
      <c r="G40" s="169">
        <v>5849</v>
      </c>
      <c r="H40" s="260">
        <v>29264</v>
      </c>
      <c r="I40" s="3034">
        <v>12173</v>
      </c>
      <c r="J40" s="380">
        <v>54</v>
      </c>
    </row>
    <row r="41" spans="1:10">
      <c r="A41" s="63">
        <f t="shared" si="0"/>
        <v>2008.08</v>
      </c>
      <c r="B41" s="252">
        <v>68479</v>
      </c>
      <c r="C41" s="3034">
        <v>23099</v>
      </c>
      <c r="D41" s="169">
        <v>1289</v>
      </c>
      <c r="E41" s="260">
        <v>182714</v>
      </c>
      <c r="F41" s="3034">
        <v>67292</v>
      </c>
      <c r="G41" s="169">
        <v>6666</v>
      </c>
      <c r="H41" s="260">
        <v>30070</v>
      </c>
      <c r="I41" s="3034">
        <v>12173</v>
      </c>
      <c r="J41" s="380">
        <v>742</v>
      </c>
    </row>
    <row r="42" spans="1:10">
      <c r="A42" s="63">
        <f t="shared" si="0"/>
        <v>2008.09</v>
      </c>
      <c r="B42" s="252">
        <v>66270</v>
      </c>
      <c r="C42" s="3034">
        <v>20734</v>
      </c>
      <c r="D42" s="169">
        <v>1277</v>
      </c>
      <c r="E42" s="260">
        <v>176490</v>
      </c>
      <c r="F42" s="3034">
        <v>60934</v>
      </c>
      <c r="G42" s="169">
        <v>6276</v>
      </c>
      <c r="H42" s="260">
        <v>28800</v>
      </c>
      <c r="I42" s="3034">
        <v>12163</v>
      </c>
      <c r="J42" s="380">
        <v>117</v>
      </c>
    </row>
    <row r="43" spans="1:10">
      <c r="A43" s="63">
        <f t="shared" si="0"/>
        <v>2008.1</v>
      </c>
      <c r="B43" s="252">
        <v>68758</v>
      </c>
      <c r="C43" s="3034">
        <v>25108</v>
      </c>
      <c r="D43" s="169">
        <v>1613</v>
      </c>
      <c r="E43" s="260">
        <v>181784</v>
      </c>
      <c r="F43" s="3034">
        <v>64952</v>
      </c>
      <c r="G43" s="169">
        <v>7045</v>
      </c>
      <c r="H43" s="260">
        <v>29698</v>
      </c>
      <c r="I43" s="3034">
        <v>11583</v>
      </c>
      <c r="J43" s="380">
        <v>1142</v>
      </c>
    </row>
    <row r="44" spans="1:10">
      <c r="A44" s="63">
        <f t="shared" si="0"/>
        <v>2008.11</v>
      </c>
      <c r="B44" s="252">
        <v>66720</v>
      </c>
      <c r="C44" s="3034">
        <v>20265</v>
      </c>
      <c r="D44" s="169">
        <v>1254</v>
      </c>
      <c r="E44" s="260">
        <v>177450</v>
      </c>
      <c r="F44" s="3034">
        <v>58702</v>
      </c>
      <c r="G44" s="169">
        <v>7965</v>
      </c>
      <c r="H44" s="260">
        <v>28350</v>
      </c>
      <c r="I44" s="3034">
        <v>10540</v>
      </c>
      <c r="J44" s="380">
        <v>135</v>
      </c>
    </row>
    <row r="45" spans="1:10">
      <c r="A45" s="63">
        <f t="shared" si="0"/>
        <v>2008.12</v>
      </c>
      <c r="B45" s="252">
        <v>69905</v>
      </c>
      <c r="C45" s="3034">
        <v>15217</v>
      </c>
      <c r="D45" s="169">
        <v>1125</v>
      </c>
      <c r="E45" s="260">
        <v>181413</v>
      </c>
      <c r="F45" s="3034">
        <v>46309</v>
      </c>
      <c r="G45" s="169">
        <v>4274</v>
      </c>
      <c r="H45" s="260">
        <v>27720</v>
      </c>
      <c r="I45" s="3034">
        <v>8762</v>
      </c>
      <c r="J45" s="380">
        <v>29</v>
      </c>
    </row>
    <row r="46" spans="1:10">
      <c r="A46" s="63">
        <f t="shared" si="0"/>
        <v>2009.01</v>
      </c>
      <c r="B46" s="252">
        <v>67630</v>
      </c>
      <c r="C46" s="3034">
        <v>12602</v>
      </c>
      <c r="D46" s="169">
        <v>1094</v>
      </c>
      <c r="E46" s="260">
        <v>184851</v>
      </c>
      <c r="F46" s="3034">
        <v>38697</v>
      </c>
      <c r="G46" s="169">
        <v>3086</v>
      </c>
      <c r="H46" s="260">
        <v>27286</v>
      </c>
      <c r="I46" s="3034">
        <v>6428</v>
      </c>
      <c r="J46" s="380">
        <v>34</v>
      </c>
    </row>
    <row r="47" spans="1:10">
      <c r="A47" s="63">
        <f t="shared" si="0"/>
        <v>2009.02</v>
      </c>
      <c r="B47" s="252">
        <v>61432</v>
      </c>
      <c r="C47" s="3034">
        <v>14284</v>
      </c>
      <c r="D47" s="169">
        <v>1601</v>
      </c>
      <c r="E47" s="260">
        <v>166796</v>
      </c>
      <c r="F47" s="3034">
        <v>40894</v>
      </c>
      <c r="G47" s="169">
        <v>2851</v>
      </c>
      <c r="H47" s="260">
        <v>24808</v>
      </c>
      <c r="I47" s="3034">
        <v>5337</v>
      </c>
      <c r="J47" s="380">
        <v>53</v>
      </c>
    </row>
    <row r="48" spans="1:10">
      <c r="A48" s="63">
        <f t="shared" si="0"/>
        <v>2009.03</v>
      </c>
      <c r="B48" s="252">
        <v>68789</v>
      </c>
      <c r="C48" s="3034">
        <v>14359</v>
      </c>
      <c r="D48" s="169">
        <v>912</v>
      </c>
      <c r="E48" s="260">
        <v>184915</v>
      </c>
      <c r="F48" s="3034">
        <v>45729</v>
      </c>
      <c r="G48" s="169">
        <v>3051</v>
      </c>
      <c r="H48" s="260">
        <v>27652</v>
      </c>
      <c r="I48" s="3034">
        <v>8720</v>
      </c>
      <c r="J48" s="380">
        <v>48</v>
      </c>
    </row>
    <row r="49" spans="1:10">
      <c r="A49" s="63">
        <f t="shared" si="0"/>
        <v>2009.04</v>
      </c>
      <c r="B49" s="252">
        <v>64950</v>
      </c>
      <c r="C49" s="3034">
        <v>14470</v>
      </c>
      <c r="D49" s="169">
        <v>1255</v>
      </c>
      <c r="E49" s="260">
        <v>176580</v>
      </c>
      <c r="F49" s="3034">
        <v>47916</v>
      </c>
      <c r="G49" s="169">
        <v>2996</v>
      </c>
      <c r="H49" s="260">
        <v>27870</v>
      </c>
      <c r="I49" s="3034">
        <v>9970</v>
      </c>
      <c r="J49" s="380">
        <v>261</v>
      </c>
    </row>
    <row r="50" spans="1:10">
      <c r="A50" s="63">
        <f t="shared" si="0"/>
        <v>2009.05</v>
      </c>
      <c r="B50" s="252">
        <v>68138</v>
      </c>
      <c r="C50" s="3034">
        <v>16974</v>
      </c>
      <c r="D50" s="169">
        <v>1103</v>
      </c>
      <c r="E50" s="260">
        <v>183427</v>
      </c>
      <c r="F50" s="3034">
        <v>48502</v>
      </c>
      <c r="G50" s="169">
        <v>2643</v>
      </c>
      <c r="H50" s="260">
        <v>27652</v>
      </c>
      <c r="I50" s="3034">
        <v>8826</v>
      </c>
      <c r="J50" s="380">
        <v>122</v>
      </c>
    </row>
    <row r="51" spans="1:10">
      <c r="A51" s="63">
        <f t="shared" si="0"/>
        <v>2009.06</v>
      </c>
      <c r="B51" s="252">
        <v>65130</v>
      </c>
      <c r="C51" s="3034">
        <v>15304</v>
      </c>
      <c r="D51" s="169">
        <v>951</v>
      </c>
      <c r="E51" s="260">
        <v>179070</v>
      </c>
      <c r="F51" s="3034">
        <v>41669</v>
      </c>
      <c r="G51" s="169">
        <v>3261</v>
      </c>
      <c r="H51" s="260">
        <v>27870</v>
      </c>
      <c r="I51" s="3034">
        <v>9787</v>
      </c>
      <c r="J51" s="380">
        <v>249</v>
      </c>
    </row>
    <row r="52" spans="1:10">
      <c r="A52" s="63">
        <f t="shared" si="0"/>
        <v>2009.07</v>
      </c>
      <c r="B52" s="252">
        <v>67828</v>
      </c>
      <c r="C52" s="3034">
        <v>11961</v>
      </c>
      <c r="D52" s="169">
        <v>461</v>
      </c>
      <c r="E52" s="260">
        <v>185145</v>
      </c>
      <c r="F52" s="3034">
        <v>36173</v>
      </c>
      <c r="G52" s="169">
        <v>3246</v>
      </c>
      <c r="H52" s="260">
        <v>27652</v>
      </c>
      <c r="I52" s="3034">
        <v>8479</v>
      </c>
      <c r="J52" s="380">
        <v>0</v>
      </c>
    </row>
    <row r="53" spans="1:10">
      <c r="A53" s="63">
        <f t="shared" si="0"/>
        <v>2009.08</v>
      </c>
      <c r="B53" s="252">
        <v>67890</v>
      </c>
      <c r="C53" s="3034">
        <v>15689</v>
      </c>
      <c r="D53" s="169">
        <v>752</v>
      </c>
      <c r="E53" s="260">
        <v>184270</v>
      </c>
      <c r="F53" s="3034">
        <v>47196</v>
      </c>
      <c r="G53" s="169">
        <v>6043</v>
      </c>
      <c r="H53" s="260">
        <v>27652</v>
      </c>
      <c r="I53" s="3034">
        <v>8090</v>
      </c>
      <c r="J53" s="380">
        <v>218</v>
      </c>
    </row>
    <row r="54" spans="1:10">
      <c r="A54" s="63">
        <f t="shared" si="0"/>
        <v>2009.09</v>
      </c>
      <c r="B54" s="252">
        <v>66000</v>
      </c>
      <c r="C54" s="3034">
        <v>13753</v>
      </c>
      <c r="D54" s="169">
        <v>1191</v>
      </c>
      <c r="E54" s="260">
        <v>179550</v>
      </c>
      <c r="F54" s="3034">
        <v>51122</v>
      </c>
      <c r="G54" s="169">
        <v>6629</v>
      </c>
      <c r="H54" s="260">
        <v>27870</v>
      </c>
      <c r="I54" s="3034">
        <v>8757</v>
      </c>
      <c r="J54" s="380">
        <v>219</v>
      </c>
    </row>
    <row r="55" spans="1:10">
      <c r="A55" s="63">
        <f t="shared" si="0"/>
        <v>2009.1</v>
      </c>
      <c r="B55" s="252">
        <v>68479</v>
      </c>
      <c r="C55" s="3034">
        <v>21394</v>
      </c>
      <c r="D55" s="169">
        <v>1227</v>
      </c>
      <c r="E55" s="260">
        <v>184760</v>
      </c>
      <c r="F55" s="3034">
        <v>61903</v>
      </c>
      <c r="G55" s="169">
        <v>6174</v>
      </c>
      <c r="H55" s="260">
        <v>28365</v>
      </c>
      <c r="I55" s="3034">
        <v>11386</v>
      </c>
      <c r="J55" s="380">
        <v>258</v>
      </c>
    </row>
    <row r="56" spans="1:10">
      <c r="A56" s="63">
        <f t="shared" si="0"/>
        <v>2009.11</v>
      </c>
      <c r="B56" s="252">
        <v>67470</v>
      </c>
      <c r="C56" s="3034">
        <v>17457</v>
      </c>
      <c r="D56" s="169">
        <v>907</v>
      </c>
      <c r="E56" s="260">
        <v>179580</v>
      </c>
      <c r="F56" s="3034">
        <v>54744</v>
      </c>
      <c r="G56" s="169">
        <v>5704</v>
      </c>
      <c r="H56" s="260">
        <v>28350</v>
      </c>
      <c r="I56" s="3034">
        <v>12743</v>
      </c>
      <c r="J56" s="380">
        <v>168</v>
      </c>
    </row>
    <row r="57" spans="1:10">
      <c r="A57" s="63">
        <f t="shared" si="0"/>
        <v>2009.12</v>
      </c>
      <c r="B57" s="252">
        <v>67340</v>
      </c>
      <c r="C57" s="3034">
        <v>11965</v>
      </c>
      <c r="D57" s="169">
        <v>741</v>
      </c>
      <c r="E57" s="260">
        <v>184078</v>
      </c>
      <c r="F57" s="3034">
        <v>41997</v>
      </c>
      <c r="G57" s="169">
        <v>4004</v>
      </c>
      <c r="H57" s="260">
        <v>28915</v>
      </c>
      <c r="I57" s="3034">
        <v>9623</v>
      </c>
      <c r="J57" s="380">
        <v>118</v>
      </c>
    </row>
    <row r="58" spans="1:10">
      <c r="A58" s="63">
        <f t="shared" si="0"/>
        <v>2010.01</v>
      </c>
      <c r="B58" s="252">
        <v>64667</v>
      </c>
      <c r="C58" s="3034">
        <v>10287</v>
      </c>
      <c r="D58" s="169">
        <v>1366</v>
      </c>
      <c r="E58" s="260">
        <v>189552</v>
      </c>
      <c r="F58" s="3034">
        <v>36628</v>
      </c>
      <c r="G58" s="169">
        <v>3950</v>
      </c>
      <c r="H58" s="260">
        <v>28489</v>
      </c>
      <c r="I58" s="3034">
        <v>9721</v>
      </c>
      <c r="J58" s="380">
        <v>165</v>
      </c>
    </row>
    <row r="59" spans="1:10">
      <c r="A59" s="63">
        <f t="shared" si="0"/>
        <v>2010.02</v>
      </c>
      <c r="B59" s="252">
        <v>62804</v>
      </c>
      <c r="C59" s="3034">
        <v>10104</v>
      </c>
      <c r="D59" s="169">
        <v>1133</v>
      </c>
      <c r="E59" s="260">
        <v>172816</v>
      </c>
      <c r="F59" s="3034">
        <v>37538</v>
      </c>
      <c r="G59" s="169">
        <v>3712</v>
      </c>
      <c r="H59" s="260">
        <v>24276</v>
      </c>
      <c r="I59" s="3034">
        <v>6972</v>
      </c>
      <c r="J59" s="380">
        <v>15</v>
      </c>
    </row>
    <row r="60" spans="1:10">
      <c r="A60" s="63">
        <f t="shared" si="0"/>
        <v>2010.03</v>
      </c>
      <c r="B60" s="252">
        <v>68634</v>
      </c>
      <c r="C60" s="3034">
        <v>10162</v>
      </c>
      <c r="D60" s="169">
        <v>787</v>
      </c>
      <c r="E60" s="260">
        <v>200818</v>
      </c>
      <c r="F60" s="3034">
        <v>51121</v>
      </c>
      <c r="G60" s="169">
        <v>5755</v>
      </c>
      <c r="H60" s="260">
        <v>27652</v>
      </c>
      <c r="I60" s="3034">
        <v>8710</v>
      </c>
      <c r="J60" s="380">
        <v>78</v>
      </c>
    </row>
    <row r="61" spans="1:10">
      <c r="A61" s="63">
        <f t="shared" si="0"/>
        <v>2010.04</v>
      </c>
      <c r="B61" s="252">
        <v>66030</v>
      </c>
      <c r="C61" s="3034">
        <v>11934</v>
      </c>
      <c r="D61" s="169">
        <v>786</v>
      </c>
      <c r="E61" s="260">
        <v>192510</v>
      </c>
      <c r="F61" s="3034">
        <v>52430</v>
      </c>
      <c r="G61" s="169">
        <v>6457</v>
      </c>
      <c r="H61" s="260">
        <v>26760</v>
      </c>
      <c r="I61" s="3034">
        <v>8314</v>
      </c>
      <c r="J61" s="380">
        <v>120</v>
      </c>
    </row>
    <row r="62" spans="1:10">
      <c r="A62" s="63">
        <f t="shared" si="0"/>
        <v>2010.05</v>
      </c>
      <c r="B62" s="252">
        <v>68169</v>
      </c>
      <c r="C62" s="3034">
        <v>12614</v>
      </c>
      <c r="D62" s="225">
        <v>1564</v>
      </c>
      <c r="E62" s="260">
        <v>201655</v>
      </c>
      <c r="F62" s="3034">
        <v>57590</v>
      </c>
      <c r="G62" s="169">
        <v>4500</v>
      </c>
      <c r="H62" s="260">
        <v>28458</v>
      </c>
      <c r="I62" s="3034">
        <v>7868</v>
      </c>
      <c r="J62" s="380">
        <v>89</v>
      </c>
    </row>
    <row r="63" spans="1:10">
      <c r="A63" s="63">
        <f t="shared" si="0"/>
        <v>2010.06</v>
      </c>
      <c r="B63" s="252">
        <v>65790</v>
      </c>
      <c r="C63" s="3034">
        <v>11181</v>
      </c>
      <c r="D63" s="169">
        <v>2368</v>
      </c>
      <c r="E63" s="260">
        <v>194430</v>
      </c>
      <c r="F63" s="3034">
        <v>53088</v>
      </c>
      <c r="G63" s="169">
        <v>7445</v>
      </c>
      <c r="H63" s="260">
        <v>25950</v>
      </c>
      <c r="I63" s="3034">
        <v>5861</v>
      </c>
      <c r="J63" s="380">
        <v>44</v>
      </c>
    </row>
    <row r="64" spans="1:10">
      <c r="A64" s="63">
        <f t="shared" si="0"/>
        <v>2010.07</v>
      </c>
      <c r="B64" s="252">
        <v>67983</v>
      </c>
      <c r="C64" s="3034">
        <v>14452</v>
      </c>
      <c r="D64" s="169">
        <v>1569</v>
      </c>
      <c r="E64" s="260">
        <v>202864</v>
      </c>
      <c r="F64" s="3034">
        <v>65579</v>
      </c>
      <c r="G64" s="169">
        <v>6336</v>
      </c>
      <c r="H64" s="260">
        <v>28799</v>
      </c>
      <c r="I64" s="3034">
        <v>7961</v>
      </c>
      <c r="J64" s="380">
        <v>44</v>
      </c>
    </row>
    <row r="65" spans="1:11">
      <c r="A65" s="63">
        <f t="shared" si="0"/>
        <v>2010.08</v>
      </c>
      <c r="B65" s="252">
        <v>68851</v>
      </c>
      <c r="C65" s="3034">
        <v>13365</v>
      </c>
      <c r="D65" s="169">
        <v>1024</v>
      </c>
      <c r="E65" s="260">
        <v>202430</v>
      </c>
      <c r="F65" s="3034">
        <v>63141</v>
      </c>
      <c r="G65" s="169">
        <v>6410</v>
      </c>
      <c r="H65" s="260">
        <v>29202</v>
      </c>
      <c r="I65" s="3034">
        <v>8456</v>
      </c>
      <c r="J65" s="380">
        <v>92</v>
      </c>
      <c r="K65" s="201"/>
    </row>
    <row r="66" spans="1:11">
      <c r="A66" s="63">
        <f t="shared" ref="A66:A97" si="1">A54+1</f>
        <v>2010.09</v>
      </c>
      <c r="B66" s="252">
        <v>64830</v>
      </c>
      <c r="C66" s="3034">
        <v>14075</v>
      </c>
      <c r="D66" s="169">
        <v>2048</v>
      </c>
      <c r="E66" s="260">
        <v>193770</v>
      </c>
      <c r="F66" s="3034">
        <v>63881</v>
      </c>
      <c r="G66" s="169">
        <v>6963</v>
      </c>
      <c r="H66" s="260">
        <v>28410</v>
      </c>
      <c r="I66" s="3034">
        <v>8713</v>
      </c>
      <c r="J66" s="380">
        <v>106</v>
      </c>
      <c r="K66" s="201"/>
    </row>
    <row r="67" spans="1:11">
      <c r="A67" s="63">
        <f t="shared" si="1"/>
        <v>2010.1</v>
      </c>
      <c r="B67" s="252">
        <v>68076</v>
      </c>
      <c r="C67" s="3034">
        <v>16006</v>
      </c>
      <c r="D67" s="169">
        <v>1542</v>
      </c>
      <c r="E67" s="260">
        <v>202926</v>
      </c>
      <c r="F67" s="3034">
        <v>63923</v>
      </c>
      <c r="G67" s="169">
        <v>3836</v>
      </c>
      <c r="H67" s="260">
        <v>31000</v>
      </c>
      <c r="I67" s="3034">
        <v>8857</v>
      </c>
      <c r="J67" s="380">
        <v>191</v>
      </c>
      <c r="K67" s="201"/>
    </row>
    <row r="68" spans="1:11">
      <c r="A68" s="63">
        <f t="shared" si="1"/>
        <v>2010.11</v>
      </c>
      <c r="B68" s="252">
        <v>64470</v>
      </c>
      <c r="C68" s="3034">
        <v>13802</v>
      </c>
      <c r="D68" s="169">
        <v>937</v>
      </c>
      <c r="E68" s="260">
        <v>195390</v>
      </c>
      <c r="F68" s="3034">
        <v>59286</v>
      </c>
      <c r="G68" s="169">
        <v>4372</v>
      </c>
      <c r="H68" s="260">
        <v>28410</v>
      </c>
      <c r="I68" s="3034">
        <v>8531</v>
      </c>
      <c r="J68" s="380">
        <v>108</v>
      </c>
      <c r="K68" s="201"/>
    </row>
    <row r="69" spans="1:11">
      <c r="A69" s="63">
        <f t="shared" si="1"/>
        <v>2010.12</v>
      </c>
      <c r="B69" s="252">
        <v>67642</v>
      </c>
      <c r="C69" s="3034">
        <v>11761</v>
      </c>
      <c r="D69" s="169">
        <v>656</v>
      </c>
      <c r="E69" s="260">
        <v>201536</v>
      </c>
      <c r="F69" s="3034">
        <v>51936</v>
      </c>
      <c r="G69" s="169">
        <v>4562</v>
      </c>
      <c r="H69" s="260">
        <v>29893</v>
      </c>
      <c r="I69" s="3034">
        <v>7562</v>
      </c>
      <c r="J69" s="380">
        <v>85</v>
      </c>
      <c r="K69" s="1321"/>
    </row>
    <row r="70" spans="1:11">
      <c r="A70" s="63">
        <f t="shared" si="1"/>
        <v>2011.01</v>
      </c>
      <c r="B70" s="252">
        <v>66960</v>
      </c>
      <c r="C70" s="3034">
        <v>11068</v>
      </c>
      <c r="D70" s="169">
        <v>1075</v>
      </c>
      <c r="E70" s="260">
        <v>190278</v>
      </c>
      <c r="F70" s="3034">
        <v>47268</v>
      </c>
      <c r="G70" s="169">
        <v>3674</v>
      </c>
      <c r="H70" s="260">
        <v>31544</v>
      </c>
      <c r="I70" s="3034">
        <v>6855</v>
      </c>
      <c r="J70" s="380">
        <v>22</v>
      </c>
      <c r="K70" s="201"/>
    </row>
    <row r="71" spans="1:11">
      <c r="A71" s="63">
        <f t="shared" si="1"/>
        <v>2011.02</v>
      </c>
      <c r="B71" s="252">
        <v>60480</v>
      </c>
      <c r="C71" s="3034">
        <v>12016</v>
      </c>
      <c r="D71" s="169">
        <v>1422</v>
      </c>
      <c r="E71" s="260">
        <v>172844</v>
      </c>
      <c r="F71" s="3034">
        <v>49311</v>
      </c>
      <c r="G71" s="169">
        <v>4213</v>
      </c>
      <c r="H71" s="260">
        <v>26824</v>
      </c>
      <c r="I71" s="3034">
        <v>7397</v>
      </c>
      <c r="J71" s="380">
        <v>61</v>
      </c>
      <c r="K71" s="201"/>
    </row>
    <row r="72" spans="1:11">
      <c r="A72" s="63">
        <f t="shared" si="1"/>
        <v>2011.03</v>
      </c>
      <c r="B72" s="252">
        <v>67053</v>
      </c>
      <c r="C72" s="3034">
        <v>14763</v>
      </c>
      <c r="D72" s="169">
        <v>1078</v>
      </c>
      <c r="E72" s="260">
        <v>204693</v>
      </c>
      <c r="F72" s="3034">
        <v>61166</v>
      </c>
      <c r="G72" s="169">
        <v>4756</v>
      </c>
      <c r="H72" s="260">
        <v>30442</v>
      </c>
      <c r="I72" s="3034">
        <v>8319</v>
      </c>
      <c r="J72" s="380">
        <v>173</v>
      </c>
      <c r="K72" s="201"/>
    </row>
    <row r="73" spans="1:11">
      <c r="A73" s="63">
        <f t="shared" si="1"/>
        <v>2011.04</v>
      </c>
      <c r="B73" s="252">
        <v>64890</v>
      </c>
      <c r="C73" s="3034">
        <v>15471</v>
      </c>
      <c r="D73" s="169">
        <v>1128</v>
      </c>
      <c r="E73" s="260">
        <v>202290</v>
      </c>
      <c r="F73" s="3034">
        <v>59254</v>
      </c>
      <c r="G73" s="169">
        <v>4484</v>
      </c>
      <c r="H73" s="260">
        <v>29400</v>
      </c>
      <c r="I73" s="3034">
        <v>8823</v>
      </c>
      <c r="J73" s="380">
        <v>92</v>
      </c>
      <c r="K73" s="201"/>
    </row>
    <row r="74" spans="1:11">
      <c r="A74" s="63">
        <f t="shared" si="1"/>
        <v>2011.05</v>
      </c>
      <c r="B74" s="252">
        <v>67084</v>
      </c>
      <c r="C74" s="3034">
        <v>15397</v>
      </c>
      <c r="D74" s="169">
        <v>955</v>
      </c>
      <c r="E74" s="260">
        <v>207481</v>
      </c>
      <c r="F74" s="3034">
        <v>54957</v>
      </c>
      <c r="G74" s="169">
        <v>3129</v>
      </c>
      <c r="H74" s="260">
        <v>31744</v>
      </c>
      <c r="I74" s="3034">
        <v>8622</v>
      </c>
      <c r="J74" s="380">
        <v>120</v>
      </c>
      <c r="K74" s="201"/>
    </row>
    <row r="75" spans="1:11">
      <c r="A75" s="63">
        <f t="shared" si="1"/>
        <v>2011.06</v>
      </c>
      <c r="B75" s="252">
        <v>64890</v>
      </c>
      <c r="C75" s="3034">
        <v>16055</v>
      </c>
      <c r="D75" s="169">
        <v>1598</v>
      </c>
      <c r="E75" s="260">
        <v>202470</v>
      </c>
      <c r="F75" s="3034">
        <v>62719</v>
      </c>
      <c r="G75" s="169">
        <v>3425</v>
      </c>
      <c r="H75" s="260">
        <v>29400</v>
      </c>
      <c r="I75" s="3034">
        <v>7671</v>
      </c>
      <c r="J75" s="380">
        <v>80</v>
      </c>
      <c r="K75" s="201"/>
    </row>
    <row r="76" spans="1:11">
      <c r="A76" s="63">
        <f t="shared" si="1"/>
        <v>2011.07</v>
      </c>
      <c r="B76" s="252">
        <v>67053</v>
      </c>
      <c r="C76" s="3034">
        <v>16704</v>
      </c>
      <c r="D76" s="169">
        <v>5138</v>
      </c>
      <c r="E76" s="260">
        <v>210707</v>
      </c>
      <c r="F76" s="3034">
        <v>73125</v>
      </c>
      <c r="G76" s="169">
        <v>5112</v>
      </c>
      <c r="H76" s="260">
        <v>31527</v>
      </c>
      <c r="I76" s="3034">
        <v>8019</v>
      </c>
      <c r="J76" s="380">
        <v>95</v>
      </c>
      <c r="K76" s="201"/>
    </row>
    <row r="77" spans="1:11">
      <c r="A77" s="63">
        <f t="shared" si="1"/>
        <v>2011.08</v>
      </c>
      <c r="B77" s="252">
        <v>67053</v>
      </c>
      <c r="C77" s="3034">
        <v>16805</v>
      </c>
      <c r="D77" s="169">
        <v>1089</v>
      </c>
      <c r="E77" s="260">
        <v>208940</v>
      </c>
      <c r="F77" s="3034">
        <v>67404</v>
      </c>
      <c r="G77" s="169">
        <v>4980</v>
      </c>
      <c r="H77" s="260">
        <v>31527</v>
      </c>
      <c r="I77" s="3034">
        <v>8692</v>
      </c>
      <c r="J77" s="380">
        <v>127</v>
      </c>
      <c r="K77" s="201"/>
    </row>
    <row r="78" spans="1:11">
      <c r="A78" s="63">
        <f t="shared" si="1"/>
        <v>2011.09</v>
      </c>
      <c r="B78" s="252">
        <v>65220</v>
      </c>
      <c r="C78" s="3034">
        <v>17758</v>
      </c>
      <c r="D78" s="169">
        <v>1363</v>
      </c>
      <c r="E78" s="260">
        <v>202140</v>
      </c>
      <c r="F78" s="3034">
        <v>71032</v>
      </c>
      <c r="G78" s="169">
        <v>4747</v>
      </c>
      <c r="H78" s="260">
        <v>29010</v>
      </c>
      <c r="I78" s="3034">
        <v>7625</v>
      </c>
      <c r="J78" s="380">
        <v>22</v>
      </c>
      <c r="K78" s="201"/>
    </row>
    <row r="79" spans="1:11">
      <c r="A79" s="63">
        <f t="shared" si="1"/>
        <v>2011.1</v>
      </c>
      <c r="B79" s="252">
        <v>67363</v>
      </c>
      <c r="C79" s="3034">
        <v>17000</v>
      </c>
      <c r="D79" s="169">
        <v>1146</v>
      </c>
      <c r="E79" s="260">
        <v>210676</v>
      </c>
      <c r="F79" s="3034">
        <v>65885</v>
      </c>
      <c r="G79" s="169">
        <v>4961</v>
      </c>
      <c r="H79" s="260">
        <v>30721</v>
      </c>
      <c r="I79" s="3034">
        <v>9459</v>
      </c>
      <c r="J79" s="380">
        <v>78</v>
      </c>
      <c r="K79" s="201"/>
    </row>
    <row r="80" spans="1:11">
      <c r="A80" s="63">
        <f t="shared" si="1"/>
        <v>2011.11</v>
      </c>
      <c r="B80" s="252">
        <v>64590</v>
      </c>
      <c r="C80" s="3034">
        <v>14272</v>
      </c>
      <c r="D80" s="169">
        <v>2261</v>
      </c>
      <c r="E80" s="260">
        <v>202590</v>
      </c>
      <c r="F80" s="3034">
        <v>62730</v>
      </c>
      <c r="G80" s="169">
        <v>4163</v>
      </c>
      <c r="H80" s="260">
        <v>30510</v>
      </c>
      <c r="I80" s="3034">
        <v>8098</v>
      </c>
      <c r="J80" s="380">
        <v>80</v>
      </c>
      <c r="K80" s="201"/>
    </row>
    <row r="81" spans="1:11">
      <c r="A81" s="63">
        <f t="shared" si="1"/>
        <v>2011.12</v>
      </c>
      <c r="B81" s="252">
        <v>67115</v>
      </c>
      <c r="C81" s="3034">
        <v>13962</v>
      </c>
      <c r="D81" s="169">
        <v>1409</v>
      </c>
      <c r="E81" s="260">
        <v>209826</v>
      </c>
      <c r="F81" s="3034">
        <v>58827</v>
      </c>
      <c r="G81" s="169">
        <v>4021</v>
      </c>
      <c r="H81" s="260">
        <v>29679</v>
      </c>
      <c r="I81" s="3034">
        <v>6982</v>
      </c>
      <c r="J81" s="380">
        <v>92</v>
      </c>
      <c r="K81" s="201"/>
    </row>
    <row r="82" spans="1:11">
      <c r="A82" s="63">
        <f t="shared" si="1"/>
        <v>2012.01</v>
      </c>
      <c r="B82" s="252">
        <v>67053</v>
      </c>
      <c r="C82" s="3034">
        <v>13410</v>
      </c>
      <c r="D82" s="169">
        <v>1449</v>
      </c>
      <c r="E82" s="260">
        <v>212802</v>
      </c>
      <c r="F82" s="3034">
        <v>56662</v>
      </c>
      <c r="G82" s="169">
        <v>7848</v>
      </c>
      <c r="H82" s="260">
        <v>29357</v>
      </c>
      <c r="I82" s="3034">
        <v>6221</v>
      </c>
      <c r="J82" s="380">
        <v>125</v>
      </c>
      <c r="K82" s="201"/>
    </row>
    <row r="83" spans="1:11">
      <c r="A83" s="63">
        <f t="shared" si="1"/>
        <v>2012.02</v>
      </c>
      <c r="B83" s="252">
        <v>61741</v>
      </c>
      <c r="C83" s="3034">
        <v>13400</v>
      </c>
      <c r="D83" s="169">
        <v>1611</v>
      </c>
      <c r="E83" s="260">
        <v>195170</v>
      </c>
      <c r="F83" s="3034">
        <v>56966</v>
      </c>
      <c r="G83" s="169">
        <v>6282</v>
      </c>
      <c r="H83" s="260">
        <v>27463</v>
      </c>
      <c r="I83" s="3034">
        <v>7346</v>
      </c>
      <c r="J83" s="380">
        <v>70</v>
      </c>
      <c r="K83" s="201"/>
    </row>
    <row r="84" spans="1:11">
      <c r="A84" s="63">
        <f t="shared" si="1"/>
        <v>2012.03</v>
      </c>
      <c r="B84" s="252">
        <v>65999</v>
      </c>
      <c r="C84" s="3034">
        <v>12244</v>
      </c>
      <c r="D84" s="169">
        <v>1108</v>
      </c>
      <c r="E84" s="260">
        <v>215140</v>
      </c>
      <c r="F84" s="3034">
        <v>52147</v>
      </c>
      <c r="G84" s="169">
        <v>5836</v>
      </c>
      <c r="H84" s="260">
        <v>29760</v>
      </c>
      <c r="I84" s="3034">
        <v>6722</v>
      </c>
      <c r="J84" s="380">
        <v>16</v>
      </c>
      <c r="K84" s="201"/>
    </row>
    <row r="85" spans="1:11">
      <c r="A85" s="63">
        <f t="shared" si="1"/>
        <v>2012.04</v>
      </c>
      <c r="B85" s="252">
        <v>64620</v>
      </c>
      <c r="C85" s="3034">
        <v>14294</v>
      </c>
      <c r="D85" s="169">
        <v>920</v>
      </c>
      <c r="E85" s="260">
        <v>204480</v>
      </c>
      <c r="F85" s="3034">
        <v>63762</v>
      </c>
      <c r="G85" s="169">
        <v>6050</v>
      </c>
      <c r="H85" s="260">
        <v>29940</v>
      </c>
      <c r="I85" s="3034">
        <v>6417</v>
      </c>
      <c r="J85" s="380">
        <v>75</v>
      </c>
      <c r="K85" s="201"/>
    </row>
    <row r="86" spans="1:11">
      <c r="A86" s="63">
        <f t="shared" si="1"/>
        <v>2012.05</v>
      </c>
      <c r="B86" s="252">
        <v>65999</v>
      </c>
      <c r="C86" s="3034">
        <v>14488</v>
      </c>
      <c r="D86" s="169">
        <v>977</v>
      </c>
      <c r="E86" s="260">
        <v>211854</v>
      </c>
      <c r="F86" s="3034">
        <v>55635</v>
      </c>
      <c r="G86" s="169">
        <v>6423</v>
      </c>
      <c r="H86" s="260">
        <v>30504</v>
      </c>
      <c r="I86" s="3034">
        <v>7849</v>
      </c>
      <c r="J86" s="380">
        <v>64</v>
      </c>
      <c r="K86" s="201"/>
    </row>
    <row r="87" spans="1:11">
      <c r="A87" s="63">
        <f t="shared" si="1"/>
        <v>2012.06</v>
      </c>
      <c r="B87" s="252">
        <v>63870</v>
      </c>
      <c r="C87" s="3034">
        <v>15942</v>
      </c>
      <c r="D87" s="169">
        <v>1095</v>
      </c>
      <c r="E87" s="260">
        <v>205620</v>
      </c>
      <c r="F87" s="3034">
        <v>60742</v>
      </c>
      <c r="G87" s="169">
        <v>5991</v>
      </c>
      <c r="H87" s="260">
        <v>29940</v>
      </c>
      <c r="I87" s="3034">
        <v>7358</v>
      </c>
      <c r="J87" s="380">
        <v>120</v>
      </c>
      <c r="K87" s="201"/>
    </row>
    <row r="88" spans="1:11">
      <c r="A88" s="63">
        <f t="shared" si="1"/>
        <v>2012.07</v>
      </c>
      <c r="B88" s="252">
        <v>66464</v>
      </c>
      <c r="C88" s="3034">
        <v>16135</v>
      </c>
      <c r="D88" s="169">
        <v>1524</v>
      </c>
      <c r="E88" s="260">
        <v>209188</v>
      </c>
      <c r="F88" s="3034">
        <v>77425</v>
      </c>
      <c r="G88" s="169">
        <v>6573</v>
      </c>
      <c r="H88" s="260">
        <v>31558</v>
      </c>
      <c r="I88" s="3034">
        <v>8426</v>
      </c>
      <c r="J88" s="380">
        <v>38</v>
      </c>
      <c r="K88" s="201"/>
    </row>
    <row r="89" spans="1:11">
      <c r="A89" s="63">
        <f t="shared" si="1"/>
        <v>2012.08</v>
      </c>
      <c r="B89" s="252">
        <v>66526</v>
      </c>
      <c r="C89" s="3034">
        <v>17760</v>
      </c>
      <c r="D89" s="169">
        <v>1338</v>
      </c>
      <c r="E89" s="260">
        <v>209932</v>
      </c>
      <c r="F89" s="3034">
        <v>70644</v>
      </c>
      <c r="G89" s="169">
        <v>5600</v>
      </c>
      <c r="H89" s="260">
        <v>31248</v>
      </c>
      <c r="I89" s="3034">
        <v>8495</v>
      </c>
      <c r="J89" s="380">
        <v>170</v>
      </c>
      <c r="K89" s="201"/>
    </row>
    <row r="90" spans="1:11">
      <c r="A90" s="63">
        <f t="shared" si="1"/>
        <v>2012.09</v>
      </c>
      <c r="B90" s="252">
        <v>64680</v>
      </c>
      <c r="C90" s="3034">
        <v>16935</v>
      </c>
      <c r="D90" s="169">
        <v>3158</v>
      </c>
      <c r="E90" s="260">
        <v>204360</v>
      </c>
      <c r="F90" s="3034">
        <v>63273</v>
      </c>
      <c r="G90" s="169">
        <v>5984</v>
      </c>
      <c r="H90" s="260">
        <v>30240</v>
      </c>
      <c r="I90" s="3034">
        <v>8306</v>
      </c>
      <c r="J90" s="380">
        <v>71</v>
      </c>
      <c r="K90" s="201"/>
    </row>
    <row r="91" spans="1:11">
      <c r="A91" s="63">
        <f t="shared" si="1"/>
        <v>2012.1</v>
      </c>
      <c r="B91" s="252">
        <v>67580</v>
      </c>
      <c r="C91" s="3034">
        <v>20701</v>
      </c>
      <c r="D91" s="169">
        <v>2434</v>
      </c>
      <c r="E91" s="260">
        <v>210149</v>
      </c>
      <c r="F91" s="3034">
        <v>63395</v>
      </c>
      <c r="G91" s="169">
        <v>7708</v>
      </c>
      <c r="H91" s="260">
        <v>29698</v>
      </c>
      <c r="I91" s="3034">
        <v>8298</v>
      </c>
      <c r="J91" s="380">
        <v>132</v>
      </c>
      <c r="K91" s="201"/>
    </row>
    <row r="92" spans="1:11">
      <c r="A92" s="63">
        <f t="shared" si="1"/>
        <v>2012.11</v>
      </c>
      <c r="B92" s="252">
        <v>64050</v>
      </c>
      <c r="C92" s="3034">
        <v>18405</v>
      </c>
      <c r="D92" s="169">
        <v>1458</v>
      </c>
      <c r="E92" s="260">
        <v>206760</v>
      </c>
      <c r="F92" s="3034">
        <v>62604</v>
      </c>
      <c r="G92" s="169">
        <v>6648</v>
      </c>
      <c r="H92" s="260">
        <v>30240</v>
      </c>
      <c r="I92" s="3034">
        <v>8307</v>
      </c>
      <c r="J92" s="380">
        <v>90</v>
      </c>
      <c r="K92" s="201"/>
    </row>
    <row r="93" spans="1:11">
      <c r="A93" s="63">
        <f t="shared" si="1"/>
        <v>2012.12</v>
      </c>
      <c r="B93" s="252">
        <v>65759</v>
      </c>
      <c r="C93" s="3034">
        <v>16587</v>
      </c>
      <c r="D93" s="169">
        <v>736</v>
      </c>
      <c r="E93" s="260">
        <v>211505</v>
      </c>
      <c r="F93" s="3034">
        <v>56586</v>
      </c>
      <c r="G93" s="169">
        <v>4872</v>
      </c>
      <c r="H93" s="260">
        <v>30535</v>
      </c>
      <c r="I93" s="3034">
        <v>6772</v>
      </c>
      <c r="J93" s="380">
        <v>86</v>
      </c>
      <c r="K93" s="1321"/>
    </row>
    <row r="94" spans="1:11">
      <c r="A94" s="63">
        <f t="shared" si="1"/>
        <v>2013.01</v>
      </c>
      <c r="B94" s="252">
        <v>64325</v>
      </c>
      <c r="C94" s="3034">
        <v>10994</v>
      </c>
      <c r="D94" s="169">
        <v>968</v>
      </c>
      <c r="E94" s="260">
        <v>211766</v>
      </c>
      <c r="F94" s="3034">
        <v>53978</v>
      </c>
      <c r="G94" s="169">
        <v>6298</v>
      </c>
      <c r="H94" s="260">
        <v>30194</v>
      </c>
      <c r="I94" s="3034">
        <v>6423</v>
      </c>
      <c r="J94" s="380">
        <v>9</v>
      </c>
      <c r="K94" s="201"/>
    </row>
    <row r="95" spans="1:11">
      <c r="A95" s="63">
        <f t="shared" si="1"/>
        <v>2013.02</v>
      </c>
      <c r="B95" s="252">
        <v>60200</v>
      </c>
      <c r="C95" s="3034">
        <v>11828</v>
      </c>
      <c r="D95" s="169">
        <v>1001</v>
      </c>
      <c r="E95" s="260">
        <v>194572</v>
      </c>
      <c r="F95" s="3034">
        <v>55052</v>
      </c>
      <c r="G95" s="169">
        <v>4086</v>
      </c>
      <c r="H95" s="260">
        <v>27272</v>
      </c>
      <c r="I95" s="3034">
        <v>6154</v>
      </c>
      <c r="J95" s="380">
        <v>74</v>
      </c>
      <c r="K95" s="201"/>
    </row>
    <row r="96" spans="1:11">
      <c r="A96" s="63">
        <f t="shared" si="1"/>
        <v>2013.03</v>
      </c>
      <c r="B96" s="252">
        <v>66650</v>
      </c>
      <c r="C96" s="3034">
        <v>13037</v>
      </c>
      <c r="D96" s="169">
        <v>966</v>
      </c>
      <c r="E96" s="260">
        <v>214830</v>
      </c>
      <c r="F96" s="3034">
        <v>54328</v>
      </c>
      <c r="G96" s="169">
        <v>8707</v>
      </c>
      <c r="H96" s="260">
        <v>30256</v>
      </c>
      <c r="I96" s="3034">
        <v>6701</v>
      </c>
      <c r="J96" s="380">
        <v>73</v>
      </c>
      <c r="K96" s="201"/>
    </row>
    <row r="97" spans="1:11">
      <c r="A97" s="63">
        <f t="shared" si="1"/>
        <v>2013.04</v>
      </c>
      <c r="B97" s="252">
        <v>64500</v>
      </c>
      <c r="C97" s="3034">
        <v>13246</v>
      </c>
      <c r="D97" s="169">
        <v>921</v>
      </c>
      <c r="E97" s="260">
        <v>208200</v>
      </c>
      <c r="F97" s="3034">
        <v>52753</v>
      </c>
      <c r="G97" s="169">
        <v>6081</v>
      </c>
      <c r="H97" s="260">
        <v>29220</v>
      </c>
      <c r="I97" s="3034">
        <v>6395</v>
      </c>
      <c r="J97" s="380">
        <v>81</v>
      </c>
      <c r="K97" s="201"/>
    </row>
    <row r="98" spans="1:11">
      <c r="A98" s="63">
        <f t="shared" ref="A98:A161" si="2">A86+1</f>
        <v>2013.05</v>
      </c>
      <c r="B98" s="252">
        <v>66774</v>
      </c>
      <c r="C98" s="3034">
        <v>14856</v>
      </c>
      <c r="D98" s="169">
        <v>1229</v>
      </c>
      <c r="E98" s="260">
        <v>215388</v>
      </c>
      <c r="F98" s="3034">
        <v>61475</v>
      </c>
      <c r="G98" s="169">
        <v>7058</v>
      </c>
      <c r="H98" s="260">
        <v>30194</v>
      </c>
      <c r="I98" s="3034">
        <v>6289</v>
      </c>
      <c r="J98" s="380">
        <v>39</v>
      </c>
      <c r="K98" s="201"/>
    </row>
    <row r="99" spans="1:11">
      <c r="A99" s="63">
        <f t="shared" si="2"/>
        <v>2013.06</v>
      </c>
      <c r="B99" s="252">
        <v>62250</v>
      </c>
      <c r="C99" s="3034">
        <v>14914</v>
      </c>
      <c r="D99" s="169">
        <v>1339</v>
      </c>
      <c r="E99" s="260">
        <v>208770</v>
      </c>
      <c r="F99" s="3034">
        <v>58546</v>
      </c>
      <c r="G99" s="169">
        <v>5567</v>
      </c>
      <c r="H99" s="260">
        <v>30210</v>
      </c>
      <c r="I99" s="3034">
        <v>6024</v>
      </c>
      <c r="J99" s="380">
        <v>236</v>
      </c>
      <c r="K99" s="201"/>
    </row>
    <row r="100" spans="1:11">
      <c r="A100" s="63">
        <f t="shared" si="2"/>
        <v>2013.07</v>
      </c>
      <c r="B100" s="252">
        <v>64480</v>
      </c>
      <c r="C100" s="3034">
        <v>15478</v>
      </c>
      <c r="D100" s="169">
        <v>1178</v>
      </c>
      <c r="E100" s="260">
        <v>214582</v>
      </c>
      <c r="F100" s="3034">
        <v>73872</v>
      </c>
      <c r="G100" s="169">
        <v>7933</v>
      </c>
      <c r="H100" s="260">
        <v>31217</v>
      </c>
      <c r="I100" s="3034">
        <v>6939</v>
      </c>
      <c r="J100" s="380">
        <v>54</v>
      </c>
      <c r="K100" s="201"/>
    </row>
    <row r="101" spans="1:11">
      <c r="A101" s="63">
        <f t="shared" si="2"/>
        <v>2013.08</v>
      </c>
      <c r="B101" s="252">
        <v>64418</v>
      </c>
      <c r="C101" s="3034">
        <v>19239</v>
      </c>
      <c r="D101" s="169">
        <v>1898</v>
      </c>
      <c r="E101" s="260">
        <v>212970</v>
      </c>
      <c r="F101" s="3034">
        <v>64688</v>
      </c>
      <c r="G101" s="169">
        <v>5633</v>
      </c>
      <c r="H101" s="260">
        <v>31279</v>
      </c>
      <c r="I101" s="3034">
        <v>8154</v>
      </c>
      <c r="J101" s="380">
        <v>112</v>
      </c>
      <c r="K101" s="201"/>
    </row>
    <row r="102" spans="1:11">
      <c r="A102" s="63">
        <f t="shared" si="2"/>
        <v>2013.09</v>
      </c>
      <c r="B102" s="252">
        <v>61680</v>
      </c>
      <c r="C102" s="3034">
        <v>15773</v>
      </c>
      <c r="D102" s="169">
        <v>1094</v>
      </c>
      <c r="E102" s="260">
        <v>206574</v>
      </c>
      <c r="F102" s="3034">
        <v>61897</v>
      </c>
      <c r="G102" s="169">
        <v>7164</v>
      </c>
      <c r="H102" s="260">
        <v>28320</v>
      </c>
      <c r="I102" s="3034">
        <v>6682</v>
      </c>
      <c r="J102" s="380">
        <v>138</v>
      </c>
      <c r="K102" s="201"/>
    </row>
    <row r="103" spans="1:11">
      <c r="A103" s="63">
        <f t="shared" si="2"/>
        <v>2013.1</v>
      </c>
      <c r="B103" s="252">
        <v>63736</v>
      </c>
      <c r="C103" s="3034">
        <v>15975</v>
      </c>
      <c r="D103" s="169">
        <v>1341</v>
      </c>
      <c r="E103" s="260">
        <v>214148</v>
      </c>
      <c r="F103" s="3034">
        <v>66826</v>
      </c>
      <c r="G103" s="169">
        <v>7269</v>
      </c>
      <c r="H103" s="260">
        <v>30070</v>
      </c>
      <c r="I103" s="3034">
        <v>7542</v>
      </c>
      <c r="J103" s="380">
        <v>115</v>
      </c>
      <c r="K103" s="201"/>
    </row>
    <row r="104" spans="1:11">
      <c r="A104" s="63">
        <f t="shared" si="2"/>
        <v>2013.11</v>
      </c>
      <c r="B104" s="252">
        <v>63570</v>
      </c>
      <c r="C104" s="3034">
        <v>15851</v>
      </c>
      <c r="D104" s="169">
        <v>1226</v>
      </c>
      <c r="E104" s="260">
        <v>206550</v>
      </c>
      <c r="F104" s="3034">
        <v>63630</v>
      </c>
      <c r="G104" s="169">
        <v>7328</v>
      </c>
      <c r="H104" s="260">
        <v>30090</v>
      </c>
      <c r="I104" s="3034">
        <v>7736</v>
      </c>
      <c r="J104" s="380">
        <v>114</v>
      </c>
      <c r="K104" s="201"/>
    </row>
    <row r="105" spans="1:11">
      <c r="A105" s="63">
        <f t="shared" si="2"/>
        <v>2013.12</v>
      </c>
      <c r="B105" s="252">
        <v>65268</v>
      </c>
      <c r="C105" s="3034">
        <v>13537</v>
      </c>
      <c r="D105" s="169">
        <v>813</v>
      </c>
      <c r="E105" s="260">
        <v>211265</v>
      </c>
      <c r="F105" s="3034">
        <v>49393</v>
      </c>
      <c r="G105" s="169">
        <v>5698</v>
      </c>
      <c r="H105" s="260">
        <v>31003</v>
      </c>
      <c r="I105" s="3034">
        <v>6391</v>
      </c>
      <c r="J105" s="380">
        <v>78</v>
      </c>
      <c r="K105" s="201"/>
    </row>
    <row r="106" spans="1:11">
      <c r="A106" s="63">
        <f t="shared" si="2"/>
        <v>2014.01</v>
      </c>
      <c r="B106" s="252">
        <v>65441</v>
      </c>
      <c r="C106" s="3034">
        <v>11670</v>
      </c>
      <c r="D106" s="169">
        <v>1225</v>
      </c>
      <c r="E106" s="260">
        <v>215760</v>
      </c>
      <c r="F106" s="3034">
        <v>55493</v>
      </c>
      <c r="G106" s="169">
        <v>10003</v>
      </c>
      <c r="H106" s="260">
        <v>31372</v>
      </c>
      <c r="I106" s="3034">
        <v>5745</v>
      </c>
      <c r="J106" s="380">
        <v>88</v>
      </c>
      <c r="K106" s="201"/>
    </row>
    <row r="107" spans="1:11">
      <c r="A107" s="63">
        <f t="shared" si="2"/>
        <v>2014.02</v>
      </c>
      <c r="B107" s="252">
        <v>59192</v>
      </c>
      <c r="C107" s="3034">
        <v>12161</v>
      </c>
      <c r="D107" s="169">
        <v>960</v>
      </c>
      <c r="E107" s="260">
        <v>191268</v>
      </c>
      <c r="F107" s="3034">
        <v>51801</v>
      </c>
      <c r="G107" s="169">
        <v>5545</v>
      </c>
      <c r="H107" s="260">
        <v>28336</v>
      </c>
      <c r="I107" s="3034">
        <v>5995</v>
      </c>
      <c r="J107" s="380">
        <v>80</v>
      </c>
      <c r="K107" s="201"/>
    </row>
    <row r="108" spans="1:11">
      <c r="A108" s="63">
        <f t="shared" si="2"/>
        <v>2014.03</v>
      </c>
      <c r="B108" s="252">
        <v>65379</v>
      </c>
      <c r="C108" s="3034">
        <v>14879</v>
      </c>
      <c r="D108" s="169">
        <v>1172</v>
      </c>
      <c r="E108" s="260">
        <v>212257</v>
      </c>
      <c r="F108" s="3034">
        <v>61078</v>
      </c>
      <c r="G108" s="169">
        <v>6350</v>
      </c>
      <c r="H108" s="260">
        <v>32395</v>
      </c>
      <c r="I108" s="3034">
        <v>8245</v>
      </c>
      <c r="J108" s="380">
        <v>180</v>
      </c>
      <c r="K108" s="201"/>
    </row>
    <row r="109" spans="1:11">
      <c r="A109" s="63">
        <f t="shared" si="2"/>
        <v>2014.04</v>
      </c>
      <c r="B109" s="252">
        <v>63240</v>
      </c>
      <c r="C109" s="3034">
        <v>14317</v>
      </c>
      <c r="D109" s="169">
        <v>1484</v>
      </c>
      <c r="E109" s="260">
        <v>204810</v>
      </c>
      <c r="F109" s="3034">
        <v>60769</v>
      </c>
      <c r="G109" s="169">
        <v>8736</v>
      </c>
      <c r="H109" s="260">
        <v>31410</v>
      </c>
      <c r="I109" s="3034">
        <v>6948</v>
      </c>
      <c r="J109" s="380">
        <v>91</v>
      </c>
      <c r="K109" s="201"/>
    </row>
    <row r="110" spans="1:11">
      <c r="A110" s="63">
        <f t="shared" si="2"/>
        <v>2014.05</v>
      </c>
      <c r="B110" s="252">
        <v>65348</v>
      </c>
      <c r="C110" s="3034">
        <v>14979</v>
      </c>
      <c r="D110" s="169">
        <v>1090</v>
      </c>
      <c r="E110" s="260">
        <v>212412</v>
      </c>
      <c r="F110" s="3034">
        <v>66091</v>
      </c>
      <c r="G110" s="169">
        <v>6860</v>
      </c>
      <c r="H110" s="260">
        <v>31220</v>
      </c>
      <c r="I110" s="3034">
        <v>6381</v>
      </c>
      <c r="J110" s="380">
        <v>46</v>
      </c>
      <c r="K110" s="201"/>
    </row>
    <row r="111" spans="1:11">
      <c r="A111" s="63">
        <f t="shared" si="2"/>
        <v>2014.06</v>
      </c>
      <c r="B111" s="252">
        <v>63240</v>
      </c>
      <c r="C111" s="3034">
        <v>13897</v>
      </c>
      <c r="D111" s="169">
        <v>901</v>
      </c>
      <c r="E111" s="260">
        <v>204630</v>
      </c>
      <c r="F111" s="3034">
        <v>64796</v>
      </c>
      <c r="G111" s="169">
        <v>5951</v>
      </c>
      <c r="H111" s="260">
        <v>30300</v>
      </c>
      <c r="I111" s="3034">
        <v>6359</v>
      </c>
      <c r="J111" s="380">
        <v>38</v>
      </c>
      <c r="K111" s="201"/>
    </row>
    <row r="112" spans="1:11">
      <c r="A112" s="63">
        <f t="shared" si="2"/>
        <v>2014.07</v>
      </c>
      <c r="B112" s="252">
        <v>65348</v>
      </c>
      <c r="C112" s="3034">
        <v>14911</v>
      </c>
      <c r="D112" s="169">
        <v>895</v>
      </c>
      <c r="E112" s="260">
        <v>207545</v>
      </c>
      <c r="F112" s="3034">
        <v>71865</v>
      </c>
      <c r="G112" s="169">
        <v>6096</v>
      </c>
      <c r="H112" s="260">
        <v>31310</v>
      </c>
      <c r="I112" s="3034">
        <v>6865</v>
      </c>
      <c r="J112" s="380">
        <v>67</v>
      </c>
      <c r="K112" s="2133"/>
    </row>
    <row r="113" spans="1:11">
      <c r="A113" s="63">
        <f t="shared" si="2"/>
        <v>2014.08</v>
      </c>
      <c r="B113" s="252">
        <v>65348</v>
      </c>
      <c r="C113" s="3034">
        <v>15149</v>
      </c>
      <c r="D113" s="169">
        <v>1027</v>
      </c>
      <c r="E113" s="260">
        <v>208537</v>
      </c>
      <c r="F113" s="3034">
        <v>71839</v>
      </c>
      <c r="G113" s="169">
        <v>6382</v>
      </c>
      <c r="H113" s="260">
        <v>31310</v>
      </c>
      <c r="I113" s="3034">
        <v>6857</v>
      </c>
      <c r="J113" s="380">
        <v>83</v>
      </c>
      <c r="K113" s="201"/>
    </row>
    <row r="114" spans="1:11">
      <c r="A114" s="63">
        <f t="shared" si="2"/>
        <v>2014.09</v>
      </c>
      <c r="B114" s="252">
        <v>63360</v>
      </c>
      <c r="C114" s="3034">
        <v>14363</v>
      </c>
      <c r="D114" s="225">
        <v>1172</v>
      </c>
      <c r="E114" s="260">
        <v>201900</v>
      </c>
      <c r="F114" s="3034">
        <v>65809</v>
      </c>
      <c r="G114" s="169">
        <v>7736</v>
      </c>
      <c r="H114" s="260">
        <v>30300</v>
      </c>
      <c r="I114" s="3034">
        <v>6797</v>
      </c>
      <c r="J114" s="380">
        <v>66</v>
      </c>
      <c r="K114" s="201"/>
    </row>
    <row r="115" spans="1:11">
      <c r="A115" s="63">
        <f t="shared" si="2"/>
        <v>2014.1</v>
      </c>
      <c r="B115" s="252">
        <v>64666</v>
      </c>
      <c r="C115" s="3034">
        <v>15937</v>
      </c>
      <c r="D115" s="169">
        <v>1997</v>
      </c>
      <c r="E115" s="260">
        <v>208506</v>
      </c>
      <c r="F115" s="3034">
        <v>71347</v>
      </c>
      <c r="G115" s="169">
        <v>9369</v>
      </c>
      <c r="H115" s="260">
        <v>31310</v>
      </c>
      <c r="I115" s="3034">
        <v>6816</v>
      </c>
      <c r="J115" s="380">
        <v>101</v>
      </c>
      <c r="K115" s="201"/>
    </row>
    <row r="116" spans="1:11">
      <c r="A116" s="63">
        <f t="shared" si="2"/>
        <v>2014.11</v>
      </c>
      <c r="B116" s="252">
        <v>62490</v>
      </c>
      <c r="C116" s="3034">
        <v>15376</v>
      </c>
      <c r="D116" s="169">
        <v>1003</v>
      </c>
      <c r="E116" s="260">
        <v>197100</v>
      </c>
      <c r="F116" s="3034">
        <v>67143</v>
      </c>
      <c r="G116" s="169">
        <v>8214</v>
      </c>
      <c r="H116" s="260">
        <v>30270</v>
      </c>
      <c r="I116" s="3034">
        <v>6740</v>
      </c>
      <c r="J116" s="380">
        <v>103</v>
      </c>
      <c r="K116" s="201"/>
    </row>
    <row r="117" spans="1:11">
      <c r="A117" s="63">
        <f t="shared" si="2"/>
        <v>2014.12</v>
      </c>
      <c r="B117" s="252">
        <v>64582</v>
      </c>
      <c r="C117" s="3034">
        <v>12177</v>
      </c>
      <c r="D117" s="169">
        <v>1057</v>
      </c>
      <c r="E117" s="260">
        <v>211079</v>
      </c>
      <c r="F117" s="3034">
        <v>59810</v>
      </c>
      <c r="G117" s="169">
        <v>5670</v>
      </c>
      <c r="H117" s="260">
        <v>30318</v>
      </c>
      <c r="I117" s="3034">
        <v>6091</v>
      </c>
      <c r="J117" s="380">
        <v>7</v>
      </c>
      <c r="K117" s="201"/>
    </row>
    <row r="118" spans="1:11">
      <c r="A118" s="63">
        <f t="shared" si="2"/>
        <v>2015.01</v>
      </c>
      <c r="B118" s="252">
        <v>64882</v>
      </c>
      <c r="C118" s="3034">
        <v>10362</v>
      </c>
      <c r="D118" s="169">
        <v>1155</v>
      </c>
      <c r="E118" s="260">
        <v>212753</v>
      </c>
      <c r="F118" s="3034">
        <v>54306</v>
      </c>
      <c r="G118" s="169">
        <v>7101</v>
      </c>
      <c r="H118" s="260">
        <v>31279</v>
      </c>
      <c r="I118" s="3034">
        <v>6239</v>
      </c>
      <c r="J118" s="380">
        <v>97</v>
      </c>
      <c r="K118" s="256"/>
    </row>
    <row r="119" spans="1:11">
      <c r="A119" s="63">
        <f t="shared" si="2"/>
        <v>2015.02</v>
      </c>
      <c r="B119" s="252">
        <v>58464</v>
      </c>
      <c r="C119" s="3034">
        <v>12859</v>
      </c>
      <c r="D119" s="169">
        <v>963</v>
      </c>
      <c r="E119" s="260">
        <v>187656</v>
      </c>
      <c r="F119" s="3034">
        <v>56729</v>
      </c>
      <c r="G119" s="169">
        <v>5526</v>
      </c>
      <c r="H119" s="260">
        <v>28252</v>
      </c>
      <c r="I119" s="3034">
        <v>6090</v>
      </c>
      <c r="J119" s="380">
        <v>102</v>
      </c>
      <c r="K119" s="201"/>
    </row>
    <row r="120" spans="1:11">
      <c r="A120" s="63">
        <f t="shared" si="2"/>
        <v>2015.03</v>
      </c>
      <c r="B120" s="252">
        <v>65410</v>
      </c>
      <c r="C120" s="3034">
        <v>13041</v>
      </c>
      <c r="D120" s="169">
        <v>849</v>
      </c>
      <c r="E120" s="260">
        <v>207483</v>
      </c>
      <c r="F120" s="3034">
        <v>58782</v>
      </c>
      <c r="G120" s="169">
        <v>6334</v>
      </c>
      <c r="H120" s="260">
        <v>31279</v>
      </c>
      <c r="I120" s="3034">
        <v>6135</v>
      </c>
      <c r="J120" s="380">
        <v>103</v>
      </c>
      <c r="K120" s="201"/>
    </row>
    <row r="121" spans="1:11">
      <c r="A121" s="63">
        <f t="shared" si="2"/>
        <v>2015.04</v>
      </c>
      <c r="B121" s="252">
        <v>63360</v>
      </c>
      <c r="C121" s="3034">
        <v>13526</v>
      </c>
      <c r="D121" s="169">
        <v>802</v>
      </c>
      <c r="E121" s="260">
        <v>201120</v>
      </c>
      <c r="F121" s="3034">
        <v>53446</v>
      </c>
      <c r="G121" s="169">
        <v>5691</v>
      </c>
      <c r="H121" s="260">
        <v>30270</v>
      </c>
      <c r="I121" s="3034">
        <v>5526</v>
      </c>
      <c r="J121" s="380">
        <v>126</v>
      </c>
      <c r="K121" s="201"/>
    </row>
    <row r="122" spans="1:11">
      <c r="A122" s="63">
        <f t="shared" si="2"/>
        <v>2015.05</v>
      </c>
      <c r="B122" s="252">
        <v>65162</v>
      </c>
      <c r="C122" s="3034">
        <v>12929</v>
      </c>
      <c r="D122" s="169">
        <v>586</v>
      </c>
      <c r="E122" s="260">
        <v>206212</v>
      </c>
      <c r="F122" s="3034">
        <v>63562</v>
      </c>
      <c r="G122" s="169">
        <v>6156</v>
      </c>
      <c r="H122" s="260">
        <v>31310</v>
      </c>
      <c r="I122" s="3034">
        <v>6140</v>
      </c>
      <c r="J122" s="380">
        <v>74</v>
      </c>
      <c r="K122" s="201"/>
    </row>
    <row r="123" spans="1:11">
      <c r="A123" s="63">
        <f t="shared" si="2"/>
        <v>2015.06</v>
      </c>
      <c r="B123" s="252">
        <v>63120</v>
      </c>
      <c r="C123" s="3034">
        <v>13167</v>
      </c>
      <c r="D123" s="169">
        <v>949</v>
      </c>
      <c r="E123" s="260">
        <v>199650</v>
      </c>
      <c r="F123" s="3034">
        <v>57253</v>
      </c>
      <c r="G123" s="169">
        <v>7848</v>
      </c>
      <c r="H123" s="260">
        <v>30300</v>
      </c>
      <c r="I123" s="3034">
        <v>6195</v>
      </c>
      <c r="J123" s="380">
        <v>76</v>
      </c>
      <c r="K123" s="201"/>
    </row>
    <row r="124" spans="1:11">
      <c r="A124" s="63">
        <f t="shared" si="2"/>
        <v>2015.07</v>
      </c>
      <c r="B124" s="252">
        <v>65224</v>
      </c>
      <c r="C124" s="3034">
        <v>14809</v>
      </c>
      <c r="D124" s="169">
        <v>921</v>
      </c>
      <c r="E124" s="260">
        <v>213869</v>
      </c>
      <c r="F124" s="3034">
        <v>68858</v>
      </c>
      <c r="G124" s="169">
        <v>7380</v>
      </c>
      <c r="H124" s="260">
        <v>31310</v>
      </c>
      <c r="I124" s="3034">
        <v>6839</v>
      </c>
      <c r="J124" s="380">
        <v>80</v>
      </c>
      <c r="K124" s="201"/>
    </row>
    <row r="125" spans="1:11">
      <c r="A125" s="63">
        <f t="shared" si="2"/>
        <v>2015.08</v>
      </c>
      <c r="B125" s="252">
        <v>65596</v>
      </c>
      <c r="C125" s="3034">
        <v>17923</v>
      </c>
      <c r="D125" s="169">
        <v>684</v>
      </c>
      <c r="E125" s="260">
        <v>214737</v>
      </c>
      <c r="F125" s="3034">
        <v>61426</v>
      </c>
      <c r="G125" s="169">
        <v>6998</v>
      </c>
      <c r="H125" s="260">
        <v>31310</v>
      </c>
      <c r="I125" s="3034">
        <v>7476</v>
      </c>
      <c r="J125" s="380">
        <v>86</v>
      </c>
      <c r="K125" s="201"/>
    </row>
    <row r="126" spans="1:11">
      <c r="A126" s="63">
        <f t="shared" si="2"/>
        <v>2015.09</v>
      </c>
      <c r="B126" s="252">
        <v>62640</v>
      </c>
      <c r="C126" s="3034">
        <v>14830</v>
      </c>
      <c r="D126" s="169">
        <v>751</v>
      </c>
      <c r="E126" s="260">
        <v>208080</v>
      </c>
      <c r="F126" s="3034">
        <v>64620</v>
      </c>
      <c r="G126" s="169">
        <v>5576</v>
      </c>
      <c r="H126" s="260">
        <v>30300</v>
      </c>
      <c r="I126" s="3034">
        <v>7000</v>
      </c>
      <c r="J126" s="380">
        <v>84</v>
      </c>
      <c r="K126"/>
    </row>
    <row r="127" spans="1:11">
      <c r="A127" s="63">
        <f t="shared" si="2"/>
        <v>2015.1</v>
      </c>
      <c r="B127" s="252">
        <v>64728</v>
      </c>
      <c r="C127" s="3034">
        <v>14695</v>
      </c>
      <c r="D127" s="169">
        <v>788</v>
      </c>
      <c r="E127" s="260">
        <v>212443</v>
      </c>
      <c r="F127" s="3034">
        <v>67278</v>
      </c>
      <c r="G127" s="169">
        <v>6361</v>
      </c>
      <c r="H127" s="260">
        <v>31310</v>
      </c>
      <c r="I127" s="3034">
        <v>7329</v>
      </c>
      <c r="J127" s="380">
        <v>87</v>
      </c>
      <c r="K127" s="201"/>
    </row>
    <row r="128" spans="1:11">
      <c r="A128" s="63">
        <f t="shared" si="2"/>
        <v>2015.11</v>
      </c>
      <c r="B128" s="252">
        <v>62700</v>
      </c>
      <c r="C128" s="3034">
        <v>13759</v>
      </c>
      <c r="D128" s="169">
        <v>933</v>
      </c>
      <c r="E128" s="260">
        <v>206790</v>
      </c>
      <c r="F128" s="3034">
        <v>67284</v>
      </c>
      <c r="G128" s="169">
        <v>7253</v>
      </c>
      <c r="H128" s="260">
        <v>30300</v>
      </c>
      <c r="I128" s="3034">
        <v>6791</v>
      </c>
      <c r="J128" s="380">
        <v>83</v>
      </c>
      <c r="K128" s="201"/>
    </row>
    <row r="129" spans="1:11">
      <c r="A129" s="63">
        <f t="shared" si="2"/>
        <v>2015.12</v>
      </c>
      <c r="B129" s="252">
        <v>65255</v>
      </c>
      <c r="C129" s="3034">
        <v>11894</v>
      </c>
      <c r="D129" s="169">
        <v>739</v>
      </c>
      <c r="E129" s="260">
        <v>213179</v>
      </c>
      <c r="F129" s="3034">
        <v>54635</v>
      </c>
      <c r="G129" s="169">
        <v>7824</v>
      </c>
      <c r="H129" s="260">
        <v>32457</v>
      </c>
      <c r="I129" s="3034">
        <v>6505</v>
      </c>
      <c r="J129" s="380">
        <v>44</v>
      </c>
      <c r="K129" s="201"/>
    </row>
    <row r="130" spans="1:11">
      <c r="A130" s="63">
        <f t="shared" si="2"/>
        <v>2016.01</v>
      </c>
      <c r="B130" s="252">
        <v>64644</v>
      </c>
      <c r="C130" s="3034">
        <v>10654</v>
      </c>
      <c r="D130" s="169">
        <v>1045</v>
      </c>
      <c r="E130" s="260">
        <v>229059</v>
      </c>
      <c r="F130" s="3034">
        <v>61451</v>
      </c>
      <c r="G130" s="169">
        <v>7127</v>
      </c>
      <c r="H130" s="260">
        <v>30535</v>
      </c>
      <c r="I130" s="3034">
        <v>5288</v>
      </c>
      <c r="J130" s="380">
        <v>46</v>
      </c>
      <c r="K130" s="201"/>
    </row>
    <row r="131" spans="1:11">
      <c r="A131" s="63">
        <f t="shared" si="2"/>
        <v>2016.02</v>
      </c>
      <c r="B131" s="252">
        <v>60436</v>
      </c>
      <c r="C131" s="3034">
        <v>11807</v>
      </c>
      <c r="D131" s="169">
        <v>776</v>
      </c>
      <c r="E131" s="260">
        <v>214426</v>
      </c>
      <c r="F131" s="3034">
        <v>64514</v>
      </c>
      <c r="G131" s="169">
        <v>6595</v>
      </c>
      <c r="H131" s="260">
        <v>29203</v>
      </c>
      <c r="I131" s="3034">
        <v>5231</v>
      </c>
      <c r="J131" s="380">
        <v>49</v>
      </c>
      <c r="K131" s="201"/>
    </row>
    <row r="132" spans="1:11">
      <c r="A132" s="63">
        <f t="shared" si="2"/>
        <v>2016.03</v>
      </c>
      <c r="B132" s="252">
        <v>63798</v>
      </c>
      <c r="C132" s="3034">
        <v>13540</v>
      </c>
      <c r="D132" s="169">
        <v>726</v>
      </c>
      <c r="E132" s="260">
        <v>228439</v>
      </c>
      <c r="F132" s="3034">
        <v>61124</v>
      </c>
      <c r="G132" s="169">
        <v>8048</v>
      </c>
      <c r="H132" s="260">
        <v>29326</v>
      </c>
      <c r="I132" s="3034">
        <v>5807</v>
      </c>
      <c r="J132" s="380">
        <v>147</v>
      </c>
      <c r="K132" s="201"/>
    </row>
    <row r="133" spans="1:11">
      <c r="A133" s="63">
        <f t="shared" si="2"/>
        <v>2016.04</v>
      </c>
      <c r="B133" s="252">
        <v>61740</v>
      </c>
      <c r="C133" s="3034">
        <v>13584</v>
      </c>
      <c r="D133" s="169">
        <v>880</v>
      </c>
      <c r="E133" s="260">
        <v>222150</v>
      </c>
      <c r="F133" s="3034">
        <v>55568</v>
      </c>
      <c r="G133" s="169">
        <v>6850</v>
      </c>
      <c r="H133" s="260">
        <v>29100</v>
      </c>
      <c r="I133" s="3034">
        <v>6453</v>
      </c>
      <c r="J133" s="380">
        <v>107</v>
      </c>
      <c r="K133" s="201"/>
    </row>
    <row r="134" spans="1:11">
      <c r="A134" s="63">
        <f t="shared" si="2"/>
        <v>2016.05</v>
      </c>
      <c r="B134" s="252">
        <v>64325</v>
      </c>
      <c r="C134" s="3034">
        <v>12707</v>
      </c>
      <c r="D134" s="225">
        <v>634</v>
      </c>
      <c r="E134" s="169">
        <v>228222</v>
      </c>
      <c r="F134" s="3034">
        <v>55541</v>
      </c>
      <c r="G134" s="225">
        <v>6531</v>
      </c>
      <c r="H134" s="169">
        <v>29326</v>
      </c>
      <c r="I134" s="3034">
        <v>7772</v>
      </c>
      <c r="J134" s="380">
        <v>122</v>
      </c>
      <c r="K134" s="201"/>
    </row>
    <row r="135" spans="1:11">
      <c r="A135" s="63">
        <f t="shared" si="2"/>
        <v>2016.06</v>
      </c>
      <c r="B135" s="252">
        <v>62430</v>
      </c>
      <c r="C135" s="3034">
        <v>13174</v>
      </c>
      <c r="D135" s="169">
        <v>1322</v>
      </c>
      <c r="E135" s="260">
        <v>220620</v>
      </c>
      <c r="F135" s="3034">
        <v>70074</v>
      </c>
      <c r="G135" s="169">
        <v>8190</v>
      </c>
      <c r="H135" s="260">
        <v>29790</v>
      </c>
      <c r="I135" s="3034">
        <v>6996</v>
      </c>
      <c r="J135" s="380">
        <v>97</v>
      </c>
      <c r="K135" s="201"/>
    </row>
    <row r="136" spans="1:11">
      <c r="A136" s="63">
        <f t="shared" si="2"/>
        <v>2016.07</v>
      </c>
      <c r="B136" s="252">
        <v>65689</v>
      </c>
      <c r="C136" s="3034">
        <v>13844</v>
      </c>
      <c r="D136" s="169">
        <v>802</v>
      </c>
      <c r="E136" s="260">
        <v>226052</v>
      </c>
      <c r="F136" s="3034">
        <v>75527</v>
      </c>
      <c r="G136" s="169">
        <v>8849</v>
      </c>
      <c r="H136" s="260">
        <v>31961</v>
      </c>
      <c r="I136" s="3034">
        <v>10055</v>
      </c>
      <c r="J136" s="380">
        <v>194</v>
      </c>
      <c r="K136" s="201"/>
    </row>
    <row r="137" spans="1:11">
      <c r="A137" s="63">
        <f t="shared" si="2"/>
        <v>2016.08</v>
      </c>
      <c r="B137" s="252">
        <v>65689</v>
      </c>
      <c r="C137" s="3034">
        <v>14546</v>
      </c>
      <c r="D137" s="169">
        <v>577</v>
      </c>
      <c r="E137" s="260">
        <v>227292</v>
      </c>
      <c r="F137" s="3034">
        <v>71673</v>
      </c>
      <c r="G137" s="169">
        <v>7456</v>
      </c>
      <c r="H137" s="260">
        <v>28737</v>
      </c>
      <c r="I137" s="3034">
        <v>8828</v>
      </c>
      <c r="J137" s="380">
        <v>111</v>
      </c>
      <c r="K137" s="256"/>
    </row>
    <row r="138" spans="1:11">
      <c r="A138" s="63">
        <f t="shared" si="2"/>
        <v>2016.09</v>
      </c>
      <c r="B138" s="252">
        <v>63870</v>
      </c>
      <c r="C138" s="3034">
        <v>15332</v>
      </c>
      <c r="D138" s="169">
        <v>1010</v>
      </c>
      <c r="E138" s="260">
        <v>219750</v>
      </c>
      <c r="F138" s="3034">
        <v>71583</v>
      </c>
      <c r="G138" s="169">
        <v>10034</v>
      </c>
      <c r="H138" s="260">
        <v>27810</v>
      </c>
      <c r="I138" s="3034">
        <v>9149</v>
      </c>
      <c r="J138" s="380">
        <v>132</v>
      </c>
      <c r="K138" s="201"/>
    </row>
    <row r="139" spans="1:11">
      <c r="A139" s="63">
        <f t="shared" si="2"/>
        <v>2016.1</v>
      </c>
      <c r="B139" s="252">
        <v>65689</v>
      </c>
      <c r="C139" s="3034">
        <v>16326</v>
      </c>
      <c r="D139" s="169">
        <v>1020</v>
      </c>
      <c r="E139" s="260">
        <v>227075</v>
      </c>
      <c r="F139" s="3034">
        <v>72555</v>
      </c>
      <c r="G139" s="169">
        <v>8367</v>
      </c>
      <c r="H139" s="260">
        <v>29109</v>
      </c>
      <c r="I139" s="3034">
        <v>7816</v>
      </c>
      <c r="J139" s="380">
        <v>78</v>
      </c>
      <c r="K139" s="201"/>
    </row>
    <row r="140" spans="1:11">
      <c r="A140" s="63">
        <f t="shared" si="2"/>
        <v>2016.11</v>
      </c>
      <c r="B140" s="252">
        <v>63480</v>
      </c>
      <c r="C140" s="3034">
        <v>17563</v>
      </c>
      <c r="D140" s="169">
        <v>902</v>
      </c>
      <c r="E140" s="260">
        <v>220950</v>
      </c>
      <c r="F140" s="3034">
        <v>73436</v>
      </c>
      <c r="G140" s="169">
        <v>8855</v>
      </c>
      <c r="H140" s="260">
        <v>28440</v>
      </c>
      <c r="I140" s="3034">
        <v>9744</v>
      </c>
      <c r="J140" s="380">
        <v>215</v>
      </c>
      <c r="K140" s="201"/>
    </row>
    <row r="141" spans="1:11">
      <c r="A141" s="63">
        <f t="shared" si="2"/>
        <v>2016.12</v>
      </c>
      <c r="B141" s="252">
        <v>65348</v>
      </c>
      <c r="C141" s="3034">
        <v>16548</v>
      </c>
      <c r="D141" s="169">
        <v>554</v>
      </c>
      <c r="E141" s="260">
        <v>227912</v>
      </c>
      <c r="F141" s="3034">
        <v>59280</v>
      </c>
      <c r="G141" s="169">
        <v>6313</v>
      </c>
      <c r="H141" s="260">
        <v>29208</v>
      </c>
      <c r="I141" s="3034">
        <v>7866</v>
      </c>
      <c r="J141" s="380">
        <v>117</v>
      </c>
      <c r="K141" s="201"/>
    </row>
    <row r="142" spans="1:11">
      <c r="A142" s="63">
        <f t="shared" si="2"/>
        <v>2017.01</v>
      </c>
      <c r="B142" s="252">
        <v>71099</v>
      </c>
      <c r="C142" s="3034">
        <v>17812</v>
      </c>
      <c r="D142" s="169">
        <v>1175</v>
      </c>
      <c r="E142" s="260">
        <v>225584</v>
      </c>
      <c r="F142" s="3034">
        <v>63216</v>
      </c>
      <c r="G142" s="169">
        <v>7270</v>
      </c>
      <c r="H142" s="260">
        <v>28923</v>
      </c>
      <c r="I142" s="3034">
        <v>5768</v>
      </c>
      <c r="J142" s="380">
        <v>252</v>
      </c>
      <c r="K142" s="201"/>
    </row>
    <row r="143" spans="1:11">
      <c r="A143" s="63">
        <f t="shared" si="2"/>
        <v>2017.02</v>
      </c>
      <c r="B143" s="252">
        <v>65268</v>
      </c>
      <c r="C143" s="3034">
        <v>20378</v>
      </c>
      <c r="D143" s="169">
        <v>989</v>
      </c>
      <c r="E143" s="260">
        <v>208264</v>
      </c>
      <c r="F143" s="3034">
        <v>61962</v>
      </c>
      <c r="G143" s="169">
        <v>8386</v>
      </c>
      <c r="H143" s="260">
        <v>26124</v>
      </c>
      <c r="I143" s="3034">
        <v>6714</v>
      </c>
      <c r="J143" s="380">
        <v>140</v>
      </c>
      <c r="K143" s="201"/>
    </row>
    <row r="144" spans="1:11">
      <c r="A144" s="63">
        <f t="shared" si="2"/>
        <v>2017.03</v>
      </c>
      <c r="B144" s="252">
        <v>72323</v>
      </c>
      <c r="C144" s="3034">
        <v>21209</v>
      </c>
      <c r="D144" s="169">
        <v>1015</v>
      </c>
      <c r="E144" s="260">
        <v>230578</v>
      </c>
      <c r="F144" s="3034">
        <v>64054</v>
      </c>
      <c r="G144" s="169">
        <v>10513</v>
      </c>
      <c r="H144" s="260">
        <v>28923</v>
      </c>
      <c r="I144" s="3034">
        <v>6705</v>
      </c>
      <c r="J144" s="380">
        <v>83</v>
      </c>
      <c r="K144" s="201"/>
    </row>
    <row r="145" spans="1:11">
      <c r="A145" s="63">
        <f t="shared" si="2"/>
        <v>2017.04</v>
      </c>
      <c r="B145" s="252">
        <v>68970</v>
      </c>
      <c r="C145" s="3034">
        <v>21414</v>
      </c>
      <c r="D145" s="169">
        <v>1106</v>
      </c>
      <c r="E145" s="260">
        <v>219420</v>
      </c>
      <c r="F145" s="3034">
        <v>63678</v>
      </c>
      <c r="G145" s="169">
        <v>8162</v>
      </c>
      <c r="H145" s="260">
        <v>27990</v>
      </c>
      <c r="I145" s="3034">
        <v>6193</v>
      </c>
      <c r="J145" s="380">
        <v>130</v>
      </c>
      <c r="K145" s="201"/>
    </row>
    <row r="146" spans="1:11">
      <c r="A146" s="63">
        <f t="shared" si="2"/>
        <v>2017.05</v>
      </c>
      <c r="B146" s="252">
        <v>71269</v>
      </c>
      <c r="C146" s="3034">
        <v>20754</v>
      </c>
      <c r="D146" s="169">
        <v>690</v>
      </c>
      <c r="E146" s="260">
        <v>226641</v>
      </c>
      <c r="F146" s="3034">
        <v>65166</v>
      </c>
      <c r="G146" s="169">
        <v>7032</v>
      </c>
      <c r="H146" s="260">
        <v>29481</v>
      </c>
      <c r="I146" s="3034">
        <v>7526</v>
      </c>
      <c r="J146" s="380">
        <v>146</v>
      </c>
      <c r="K146" s="201"/>
    </row>
    <row r="147" spans="1:11">
      <c r="A147" s="63">
        <f t="shared" si="2"/>
        <v>2017.06</v>
      </c>
      <c r="B147" s="252">
        <v>69180</v>
      </c>
      <c r="C147" s="3034">
        <v>21730</v>
      </c>
      <c r="D147" s="169">
        <v>925</v>
      </c>
      <c r="E147" s="260">
        <v>219600</v>
      </c>
      <c r="F147" s="3034">
        <v>67414</v>
      </c>
      <c r="G147" s="169">
        <v>7212</v>
      </c>
      <c r="H147" s="260">
        <v>28530</v>
      </c>
      <c r="I147" s="3034">
        <v>7996</v>
      </c>
      <c r="J147" s="380">
        <v>168</v>
      </c>
      <c r="K147" s="201"/>
    </row>
    <row r="148" spans="1:11">
      <c r="A148" s="63">
        <f t="shared" si="2"/>
        <v>2017.07</v>
      </c>
      <c r="B148" s="252">
        <v>71486</v>
      </c>
      <c r="C148" s="3034">
        <v>22348</v>
      </c>
      <c r="D148" s="169">
        <v>833</v>
      </c>
      <c r="E148" s="260">
        <v>226920</v>
      </c>
      <c r="F148" s="3034">
        <v>78425</v>
      </c>
      <c r="G148" s="169">
        <v>8905</v>
      </c>
      <c r="H148" s="260">
        <v>29481</v>
      </c>
      <c r="I148" s="3034">
        <v>8232</v>
      </c>
      <c r="J148" s="380">
        <v>208</v>
      </c>
      <c r="K148" s="201"/>
    </row>
    <row r="149" spans="1:11">
      <c r="A149" s="63">
        <f t="shared" si="2"/>
        <v>2017.08</v>
      </c>
      <c r="B149" s="252">
        <v>70277</v>
      </c>
      <c r="C149" s="3034">
        <v>20090</v>
      </c>
      <c r="D149" s="169">
        <v>812</v>
      </c>
      <c r="E149" s="260">
        <v>226920</v>
      </c>
      <c r="F149" s="3034">
        <v>68428</v>
      </c>
      <c r="G149" s="169">
        <v>8088</v>
      </c>
      <c r="H149" s="260">
        <v>29481</v>
      </c>
      <c r="I149" s="3034">
        <v>7550</v>
      </c>
      <c r="J149" s="380">
        <v>124</v>
      </c>
      <c r="K149" s="201"/>
    </row>
    <row r="150" spans="1:11">
      <c r="A150" s="63">
        <f t="shared" si="2"/>
        <v>2017.09</v>
      </c>
      <c r="B150" s="252">
        <v>67380</v>
      </c>
      <c r="C150" s="3034">
        <v>22425</v>
      </c>
      <c r="D150" s="169">
        <v>1236</v>
      </c>
      <c r="E150" s="260">
        <v>220920</v>
      </c>
      <c r="F150" s="3034">
        <v>70477</v>
      </c>
      <c r="G150" s="169">
        <v>8493</v>
      </c>
      <c r="H150" s="260">
        <v>27900</v>
      </c>
      <c r="I150" s="3034">
        <v>7100</v>
      </c>
      <c r="J150" s="380">
        <v>80</v>
      </c>
      <c r="K150" s="201"/>
    </row>
    <row r="151" spans="1:11">
      <c r="A151" s="63">
        <f t="shared" si="2"/>
        <v>2017.1</v>
      </c>
      <c r="B151" s="252">
        <v>68789</v>
      </c>
      <c r="C151" s="3034">
        <v>22551</v>
      </c>
      <c r="D151" s="169">
        <v>920</v>
      </c>
      <c r="E151" s="260">
        <v>228284</v>
      </c>
      <c r="F151" s="3034">
        <v>73337</v>
      </c>
      <c r="G151" s="169">
        <v>8801</v>
      </c>
      <c r="H151" s="260">
        <v>28830</v>
      </c>
      <c r="I151" s="3034">
        <v>6377</v>
      </c>
      <c r="J151" s="380">
        <v>69</v>
      </c>
      <c r="K151" s="201"/>
    </row>
    <row r="152" spans="1:11">
      <c r="A152" s="63">
        <f t="shared" si="2"/>
        <v>2017.11</v>
      </c>
      <c r="B152" s="252">
        <v>66570</v>
      </c>
      <c r="C152" s="3034">
        <v>23279</v>
      </c>
      <c r="D152" s="169">
        <v>1453</v>
      </c>
      <c r="E152" s="260">
        <v>220920</v>
      </c>
      <c r="F152" s="3034">
        <v>75327</v>
      </c>
      <c r="G152" s="169">
        <v>9424</v>
      </c>
      <c r="H152" s="260">
        <v>28020</v>
      </c>
      <c r="I152" s="3034">
        <v>6673</v>
      </c>
      <c r="J152" s="380">
        <v>81</v>
      </c>
      <c r="K152" s="256"/>
    </row>
    <row r="153" spans="1:11">
      <c r="A153" s="63">
        <f t="shared" si="2"/>
        <v>2017.12</v>
      </c>
      <c r="B153" s="252">
        <v>68789</v>
      </c>
      <c r="C153" s="3034">
        <v>20991</v>
      </c>
      <c r="D153" s="169">
        <v>1187</v>
      </c>
      <c r="E153" s="260">
        <v>226741</v>
      </c>
      <c r="F153" s="3034">
        <v>59660</v>
      </c>
      <c r="G153" s="169">
        <v>5600</v>
      </c>
      <c r="H153" s="260">
        <v>28954</v>
      </c>
      <c r="I153" s="3034">
        <v>6343</v>
      </c>
      <c r="J153" s="380">
        <v>51</v>
      </c>
      <c r="K153" s="201"/>
    </row>
    <row r="154" spans="1:11">
      <c r="A154" s="63">
        <f t="shared" si="2"/>
        <v>2018.01</v>
      </c>
      <c r="B154" s="252">
        <v>69400</v>
      </c>
      <c r="C154" s="3034">
        <v>19583</v>
      </c>
      <c r="D154" s="169">
        <v>1383</v>
      </c>
      <c r="E154" s="260">
        <v>227663</v>
      </c>
      <c r="F154" s="3034">
        <v>61868</v>
      </c>
      <c r="G154" s="169">
        <v>10375</v>
      </c>
      <c r="H154" s="260">
        <v>29481</v>
      </c>
      <c r="I154" s="3034">
        <v>7771</v>
      </c>
      <c r="J154" s="380">
        <v>93</v>
      </c>
      <c r="K154" s="201"/>
    </row>
    <row r="155" spans="1:11">
      <c r="A155" s="63">
        <f t="shared" si="2"/>
        <v>2018.02</v>
      </c>
      <c r="B155" s="252">
        <v>61936</v>
      </c>
      <c r="C155" s="3034">
        <v>19351</v>
      </c>
      <c r="D155" s="169">
        <v>1402</v>
      </c>
      <c r="E155" s="260">
        <v>206080</v>
      </c>
      <c r="F155" s="3034">
        <v>61366</v>
      </c>
      <c r="G155" s="169">
        <v>5876</v>
      </c>
      <c r="H155" s="260">
        <v>25872</v>
      </c>
      <c r="I155" s="3034">
        <v>12121</v>
      </c>
      <c r="J155" s="380">
        <v>386</v>
      </c>
      <c r="K155" s="201"/>
    </row>
    <row r="156" spans="1:11">
      <c r="A156" s="63">
        <f t="shared" si="2"/>
        <v>2018.03</v>
      </c>
      <c r="B156" s="252">
        <v>69192</v>
      </c>
      <c r="C156" s="3034">
        <v>21065</v>
      </c>
      <c r="D156" s="169">
        <v>1438</v>
      </c>
      <c r="E156" s="260">
        <v>228377</v>
      </c>
      <c r="F156" s="3034">
        <v>63371</v>
      </c>
      <c r="G156" s="169">
        <v>6693</v>
      </c>
      <c r="H156" s="260">
        <v>29388</v>
      </c>
      <c r="I156" s="3034">
        <v>12705</v>
      </c>
      <c r="J156" s="380">
        <v>268</v>
      </c>
      <c r="K156" s="201"/>
    </row>
    <row r="157" spans="1:11">
      <c r="A157" s="63">
        <f t="shared" si="2"/>
        <v>2018.04</v>
      </c>
      <c r="B157" s="252">
        <v>68580</v>
      </c>
      <c r="C157" s="3034">
        <v>22696</v>
      </c>
      <c r="D157" s="169">
        <v>1471</v>
      </c>
      <c r="E157" s="260">
        <v>221010</v>
      </c>
      <c r="F157" s="3034">
        <v>62414</v>
      </c>
      <c r="G157" s="169">
        <v>6270</v>
      </c>
      <c r="H157" s="260">
        <v>28080</v>
      </c>
      <c r="I157" s="3034">
        <v>14469</v>
      </c>
      <c r="J157" s="380">
        <v>226</v>
      </c>
      <c r="K157" s="201"/>
    </row>
    <row r="158" spans="1:11">
      <c r="A158" s="63">
        <f t="shared" si="2"/>
        <v>2018.05</v>
      </c>
      <c r="B158" s="252">
        <v>71579</v>
      </c>
      <c r="C158" s="3034">
        <v>25748</v>
      </c>
      <c r="D158" s="169">
        <v>958</v>
      </c>
      <c r="E158" s="260">
        <v>228160</v>
      </c>
      <c r="F158" s="3034">
        <v>62983</v>
      </c>
      <c r="G158" s="169">
        <v>5432</v>
      </c>
      <c r="H158" s="260">
        <v>29016</v>
      </c>
      <c r="I158" s="3034">
        <v>16403</v>
      </c>
      <c r="J158" s="380">
        <v>491</v>
      </c>
      <c r="K158" s="201"/>
    </row>
    <row r="159" spans="1:11">
      <c r="A159" s="63">
        <f t="shared" si="2"/>
        <v>2018.06</v>
      </c>
      <c r="B159" s="252">
        <v>69270</v>
      </c>
      <c r="C159" s="3034">
        <v>22118</v>
      </c>
      <c r="D159" s="169">
        <v>1528</v>
      </c>
      <c r="E159" s="260">
        <v>220920</v>
      </c>
      <c r="F159" s="3034">
        <v>59352</v>
      </c>
      <c r="G159" s="169">
        <v>5668</v>
      </c>
      <c r="H159" s="260">
        <v>28080</v>
      </c>
      <c r="I159" s="3034">
        <v>15672</v>
      </c>
      <c r="J159" s="380">
        <v>198</v>
      </c>
      <c r="K159" s="201"/>
    </row>
    <row r="160" spans="1:11">
      <c r="A160" s="63">
        <f t="shared" si="2"/>
        <v>2018.07</v>
      </c>
      <c r="B160" s="252">
        <v>71579</v>
      </c>
      <c r="C160" s="3034">
        <v>26486</v>
      </c>
      <c r="D160" s="169">
        <v>2094</v>
      </c>
      <c r="E160" s="260">
        <v>225711</v>
      </c>
      <c r="F160" s="3034">
        <v>75679</v>
      </c>
      <c r="G160" s="169">
        <v>6894</v>
      </c>
      <c r="H160" s="260">
        <v>29078</v>
      </c>
      <c r="I160" s="3034">
        <v>17217</v>
      </c>
      <c r="J160" s="380">
        <v>194</v>
      </c>
      <c r="K160" s="201"/>
    </row>
    <row r="161" spans="1:10">
      <c r="A161" s="63">
        <f t="shared" si="2"/>
        <v>2018.08</v>
      </c>
      <c r="B161" s="252">
        <v>71579</v>
      </c>
      <c r="C161" s="3034">
        <v>27096</v>
      </c>
      <c r="D161" s="169">
        <v>1817</v>
      </c>
      <c r="E161" s="260">
        <v>225711</v>
      </c>
      <c r="F161" s="3034">
        <v>71013</v>
      </c>
      <c r="G161" s="169">
        <v>7120</v>
      </c>
      <c r="H161" s="260">
        <v>29078</v>
      </c>
      <c r="I161" s="3034">
        <v>16031</v>
      </c>
      <c r="J161" s="380">
        <v>225</v>
      </c>
    </row>
    <row r="162" spans="1:10">
      <c r="A162" s="63">
        <f t="shared" ref="A162:A225" si="3">A150+1</f>
        <v>2018.09</v>
      </c>
      <c r="B162" s="252">
        <v>69000</v>
      </c>
      <c r="C162" s="3034">
        <v>22725</v>
      </c>
      <c r="D162" s="169">
        <v>1614</v>
      </c>
      <c r="E162" s="260">
        <v>218820</v>
      </c>
      <c r="F162" s="3034">
        <v>65582</v>
      </c>
      <c r="G162" s="169">
        <v>7397</v>
      </c>
      <c r="H162" s="260">
        <v>28080</v>
      </c>
      <c r="I162" s="3034">
        <v>16138</v>
      </c>
      <c r="J162" s="380">
        <v>212</v>
      </c>
    </row>
    <row r="163" spans="1:10">
      <c r="A163" s="63">
        <f t="shared" si="3"/>
        <v>2018.1</v>
      </c>
      <c r="B163" s="252">
        <v>71300</v>
      </c>
      <c r="C163" s="3034">
        <v>13278</v>
      </c>
      <c r="D163" s="169">
        <v>1262</v>
      </c>
      <c r="E163" s="260">
        <v>228833</v>
      </c>
      <c r="F163" s="3034">
        <v>38132</v>
      </c>
      <c r="G163" s="169">
        <v>3177</v>
      </c>
      <c r="H163" s="260">
        <v>29016</v>
      </c>
      <c r="I163" s="3034">
        <v>15019</v>
      </c>
      <c r="J163" s="380">
        <f>15217-I163</f>
        <v>198</v>
      </c>
    </row>
    <row r="164" spans="1:10">
      <c r="A164" s="63">
        <f t="shared" si="3"/>
        <v>2018.11</v>
      </c>
      <c r="B164" s="252">
        <v>68220</v>
      </c>
      <c r="C164" s="3034">
        <v>12663</v>
      </c>
      <c r="D164" s="169">
        <v>1130</v>
      </c>
      <c r="E164" s="260">
        <v>220920</v>
      </c>
      <c r="F164" s="3034">
        <v>41113</v>
      </c>
      <c r="G164" s="169">
        <v>4504</v>
      </c>
      <c r="H164" s="260">
        <v>28080</v>
      </c>
      <c r="I164" s="3034">
        <v>12925</v>
      </c>
      <c r="J164" s="380">
        <v>319</v>
      </c>
    </row>
    <row r="165" spans="1:10">
      <c r="A165" s="63">
        <f t="shared" si="3"/>
        <v>2018.12</v>
      </c>
      <c r="B165" s="252">
        <v>71486</v>
      </c>
      <c r="C165" s="3034">
        <v>20148</v>
      </c>
      <c r="D165" s="169">
        <v>1247</v>
      </c>
      <c r="E165" s="260">
        <v>228108</v>
      </c>
      <c r="F165" s="3034">
        <v>55989</v>
      </c>
      <c r="G165" s="169">
        <v>6692</v>
      </c>
      <c r="H165" s="260">
        <v>27404</v>
      </c>
      <c r="I165" s="3034">
        <v>13202</v>
      </c>
      <c r="J165" s="380">
        <v>284</v>
      </c>
    </row>
    <row r="166" spans="1:10">
      <c r="A166" s="63">
        <f t="shared" si="3"/>
        <v>2019.01</v>
      </c>
      <c r="B166" s="252">
        <v>69564</v>
      </c>
      <c r="C166" s="3034">
        <v>19012</v>
      </c>
      <c r="D166" s="169">
        <v>1431</v>
      </c>
      <c r="E166" s="260">
        <v>235166</v>
      </c>
      <c r="F166" s="3034">
        <v>56439</v>
      </c>
      <c r="G166" s="169">
        <v>11853</v>
      </c>
      <c r="H166" s="260">
        <v>26660</v>
      </c>
      <c r="I166" s="3034">
        <v>10849</v>
      </c>
      <c r="J166" s="380">
        <v>184</v>
      </c>
    </row>
    <row r="167" spans="1:10">
      <c r="A167" s="63">
        <f t="shared" si="3"/>
        <v>2019.02</v>
      </c>
      <c r="B167" s="252">
        <v>63812</v>
      </c>
      <c r="C167" s="3034">
        <v>18930</v>
      </c>
      <c r="D167" s="169">
        <v>1014</v>
      </c>
      <c r="E167" s="260">
        <v>212912</v>
      </c>
      <c r="F167" s="3034">
        <v>55904</v>
      </c>
      <c r="G167" s="169">
        <v>7321</v>
      </c>
      <c r="H167" s="260">
        <v>24080</v>
      </c>
      <c r="I167" s="3034">
        <v>9783</v>
      </c>
      <c r="J167" s="380">
        <v>163</v>
      </c>
    </row>
    <row r="168" spans="1:10">
      <c r="A168" s="63">
        <f t="shared" si="3"/>
        <v>2019.03</v>
      </c>
      <c r="B168" s="252">
        <v>70060</v>
      </c>
      <c r="C168" s="3034">
        <v>20196</v>
      </c>
      <c r="D168" s="169">
        <v>1310</v>
      </c>
      <c r="E168" s="260">
        <v>236189</v>
      </c>
      <c r="F168" s="3034">
        <v>67464</v>
      </c>
      <c r="G168" s="169">
        <v>12461</v>
      </c>
      <c r="H168" s="260">
        <v>26660</v>
      </c>
      <c r="I168" s="3034">
        <v>9348</v>
      </c>
      <c r="J168" s="380">
        <v>172</v>
      </c>
    </row>
    <row r="169" spans="1:10">
      <c r="A169" s="63">
        <f t="shared" si="3"/>
        <v>2019.04</v>
      </c>
      <c r="B169" s="252">
        <v>67890</v>
      </c>
      <c r="C169" s="3034">
        <v>20677</v>
      </c>
      <c r="D169" s="169">
        <v>1895</v>
      </c>
      <c r="E169" s="260">
        <v>228540</v>
      </c>
      <c r="F169" s="3034">
        <v>58429</v>
      </c>
      <c r="G169" s="169">
        <v>9517</v>
      </c>
      <c r="H169" s="260">
        <v>27360</v>
      </c>
      <c r="I169" s="3034">
        <v>8746</v>
      </c>
      <c r="J169" s="380">
        <v>269</v>
      </c>
    </row>
    <row r="170" spans="1:10">
      <c r="A170" s="63">
        <f t="shared" si="3"/>
        <v>2019.05</v>
      </c>
      <c r="B170" s="252">
        <v>70153</v>
      </c>
      <c r="C170" s="3034">
        <v>19616</v>
      </c>
      <c r="D170" s="169">
        <v>1628</v>
      </c>
      <c r="E170" s="260">
        <v>238855</v>
      </c>
      <c r="F170" s="3034">
        <v>61930</v>
      </c>
      <c r="G170" s="169">
        <v>10175</v>
      </c>
      <c r="H170" s="260">
        <v>28210</v>
      </c>
      <c r="I170" s="3034">
        <v>10787</v>
      </c>
      <c r="J170" s="380">
        <v>236</v>
      </c>
    </row>
    <row r="171" spans="1:10">
      <c r="A171" s="63">
        <f t="shared" si="3"/>
        <v>2019.06</v>
      </c>
      <c r="B171" s="252">
        <v>68970</v>
      </c>
      <c r="C171" s="3034">
        <v>18140</v>
      </c>
      <c r="D171" s="169">
        <v>3842</v>
      </c>
      <c r="E171" s="260">
        <v>230940</v>
      </c>
      <c r="F171" s="3034">
        <v>69709</v>
      </c>
      <c r="G171" s="169">
        <v>12673</v>
      </c>
      <c r="H171" s="260">
        <v>27300</v>
      </c>
      <c r="I171" s="3034">
        <v>7079</v>
      </c>
      <c r="J171" s="380">
        <v>136</v>
      </c>
    </row>
    <row r="172" spans="1:10">
      <c r="A172" s="63">
        <f t="shared" si="3"/>
        <v>2019.07</v>
      </c>
      <c r="B172" s="252">
        <v>70773</v>
      </c>
      <c r="C172" s="3034">
        <v>20990</v>
      </c>
      <c r="D172" s="169">
        <v>3606</v>
      </c>
      <c r="E172" s="260">
        <v>238855</v>
      </c>
      <c r="F172" s="3034">
        <v>79573</v>
      </c>
      <c r="G172" s="169">
        <v>11235</v>
      </c>
      <c r="H172" s="260">
        <v>26815</v>
      </c>
      <c r="I172" s="3034">
        <v>6262</v>
      </c>
      <c r="J172" s="380">
        <v>167</v>
      </c>
    </row>
    <row r="173" spans="1:10">
      <c r="A173" s="63">
        <f t="shared" si="3"/>
        <v>2019.08</v>
      </c>
      <c r="B173" s="260">
        <v>70773</v>
      </c>
      <c r="C173" s="3034">
        <v>21453</v>
      </c>
      <c r="D173" s="169">
        <v>1668</v>
      </c>
      <c r="E173" s="260">
        <v>238855</v>
      </c>
      <c r="F173" s="3034">
        <v>68396</v>
      </c>
      <c r="G173" s="169">
        <v>12364</v>
      </c>
      <c r="H173" s="260">
        <v>26815</v>
      </c>
      <c r="I173" s="3034">
        <v>6206</v>
      </c>
      <c r="J173" s="380">
        <v>197</v>
      </c>
    </row>
    <row r="174" spans="1:10">
      <c r="A174" s="63">
        <f t="shared" si="3"/>
        <v>2019.09</v>
      </c>
      <c r="B174" s="252">
        <v>68490</v>
      </c>
      <c r="C174" s="3034">
        <v>22484</v>
      </c>
      <c r="D174" s="169">
        <v>1463</v>
      </c>
      <c r="E174" s="260">
        <v>231150</v>
      </c>
      <c r="F174" s="3034">
        <v>64808</v>
      </c>
      <c r="G174" s="169">
        <v>12410</v>
      </c>
      <c r="H174" s="260">
        <v>26010</v>
      </c>
      <c r="I174" s="3034">
        <v>8763</v>
      </c>
      <c r="J174" s="380">
        <v>379</v>
      </c>
    </row>
    <row r="175" spans="1:10">
      <c r="A175" s="63">
        <f t="shared" si="3"/>
        <v>2019.1</v>
      </c>
      <c r="B175" s="252">
        <v>70804</v>
      </c>
      <c r="C175" s="3034">
        <v>19816</v>
      </c>
      <c r="D175" s="169">
        <v>1024</v>
      </c>
      <c r="E175" s="260">
        <v>238452</v>
      </c>
      <c r="F175" s="3034">
        <v>68012</v>
      </c>
      <c r="G175" s="169">
        <v>9141</v>
      </c>
      <c r="H175" s="260">
        <v>25079</v>
      </c>
      <c r="I175" s="3034">
        <v>5451</v>
      </c>
      <c r="J175" s="380">
        <v>182</v>
      </c>
    </row>
    <row r="176" spans="1:10">
      <c r="A176" s="63">
        <f t="shared" si="3"/>
        <v>2019.11</v>
      </c>
      <c r="B176" s="252">
        <v>70080</v>
      </c>
      <c r="C176" s="3034">
        <v>19792</v>
      </c>
      <c r="D176" s="169">
        <v>2121</v>
      </c>
      <c r="E176" s="260">
        <v>229440</v>
      </c>
      <c r="F176" s="3034">
        <v>72150</v>
      </c>
      <c r="G176" s="169">
        <v>9783</v>
      </c>
      <c r="H176" s="260">
        <v>24780</v>
      </c>
      <c r="I176" s="3034">
        <v>5249</v>
      </c>
      <c r="J176" s="380">
        <v>203</v>
      </c>
    </row>
    <row r="177" spans="1:10">
      <c r="A177" s="63">
        <f t="shared" si="3"/>
        <v>2019.12</v>
      </c>
      <c r="B177" s="252">
        <v>72137</v>
      </c>
      <c r="C177" s="3034">
        <v>19045</v>
      </c>
      <c r="D177" s="169">
        <v>1587</v>
      </c>
      <c r="E177" s="260">
        <v>236853</v>
      </c>
      <c r="F177" s="3034">
        <v>53663</v>
      </c>
      <c r="G177" s="169">
        <v>8987</v>
      </c>
      <c r="H177" s="260">
        <v>25606</v>
      </c>
      <c r="I177" s="3034">
        <v>4081</v>
      </c>
      <c r="J177" s="380">
        <v>93</v>
      </c>
    </row>
    <row r="178" spans="1:10">
      <c r="A178" s="63">
        <f t="shared" si="3"/>
        <v>2020.01</v>
      </c>
      <c r="B178" s="252">
        <v>70742</v>
      </c>
      <c r="C178" s="3034">
        <v>18820</v>
      </c>
      <c r="D178" s="169">
        <v>2325</v>
      </c>
      <c r="E178" s="260">
        <v>228284</v>
      </c>
      <c r="F178" s="3034">
        <v>49500</v>
      </c>
      <c r="G178" s="169">
        <v>9889</v>
      </c>
      <c r="H178" s="260">
        <v>29946</v>
      </c>
      <c r="I178" s="3034">
        <v>5148</v>
      </c>
      <c r="J178" s="380">
        <v>188</v>
      </c>
    </row>
    <row r="179" spans="1:10">
      <c r="A179" s="63">
        <f t="shared" si="3"/>
        <v>2020.02</v>
      </c>
      <c r="B179" s="252">
        <v>66932</v>
      </c>
      <c r="C179" s="3034">
        <v>23959</v>
      </c>
      <c r="D179" s="169">
        <v>2013</v>
      </c>
      <c r="E179" s="260">
        <v>216511</v>
      </c>
      <c r="F179" s="3034">
        <v>62160</v>
      </c>
      <c r="G179" s="169">
        <v>8871</v>
      </c>
      <c r="H179" s="260">
        <v>28130</v>
      </c>
      <c r="I179" s="3034">
        <v>4299</v>
      </c>
      <c r="J179" s="380">
        <v>346</v>
      </c>
    </row>
    <row r="180" spans="1:10" s="1288" customFormat="1">
      <c r="A180" s="63">
        <f t="shared" si="3"/>
        <v>2020.03</v>
      </c>
      <c r="B180" s="1291">
        <v>45143</v>
      </c>
      <c r="C180" s="3034">
        <v>12804</v>
      </c>
      <c r="D180" s="169">
        <v>411</v>
      </c>
      <c r="E180" s="260">
        <v>145854</v>
      </c>
      <c r="F180" s="3192" t="e">
        <v>#N/A</v>
      </c>
      <c r="G180" s="3154" t="e">
        <v>#N/A</v>
      </c>
      <c r="H180" s="260">
        <v>20068</v>
      </c>
      <c r="I180" s="3192" t="e">
        <v>#N/A</v>
      </c>
      <c r="J180" s="3193" t="e">
        <v>#N/A</v>
      </c>
    </row>
    <row r="181" spans="1:10" s="1288" customFormat="1">
      <c r="A181" s="63">
        <f t="shared" si="3"/>
        <v>2020.04</v>
      </c>
      <c r="B181" s="1291" t="e">
        <v>#N/A</v>
      </c>
      <c r="C181" s="3192" t="e">
        <v>#N/A</v>
      </c>
      <c r="D181" s="2134" t="e">
        <v>#N/A</v>
      </c>
      <c r="E181" s="1290" t="e">
        <v>#N/A</v>
      </c>
      <c r="F181" s="3192" t="e">
        <v>#N/A</v>
      </c>
      <c r="G181" s="3154" t="e">
        <v>#N/A</v>
      </c>
      <c r="H181" s="1289" t="e">
        <v>#N/A</v>
      </c>
      <c r="I181" s="3192" t="e">
        <v>#N/A</v>
      </c>
      <c r="J181" s="3193" t="e">
        <v>#N/A</v>
      </c>
    </row>
    <row r="182" spans="1:10" s="1288" customFormat="1">
      <c r="A182" s="63">
        <f t="shared" si="3"/>
        <v>2020.05</v>
      </c>
      <c r="B182" s="1291" t="e">
        <v>#N/A</v>
      </c>
      <c r="C182" s="3192" t="e">
        <v>#N/A</v>
      </c>
      <c r="D182" s="2134" t="e">
        <v>#N/A</v>
      </c>
      <c r="E182" s="1290" t="e">
        <v>#N/A</v>
      </c>
      <c r="F182" s="3192" t="e">
        <v>#N/A</v>
      </c>
      <c r="G182" s="3154" t="e">
        <v>#N/A</v>
      </c>
      <c r="H182" s="1289" t="e">
        <v>#N/A</v>
      </c>
      <c r="I182" s="3192" t="e">
        <v>#N/A</v>
      </c>
      <c r="J182" s="3193" t="e">
        <v>#N/A</v>
      </c>
    </row>
    <row r="183" spans="1:10" s="1288" customFormat="1">
      <c r="A183" s="63">
        <f t="shared" si="3"/>
        <v>2020.06</v>
      </c>
      <c r="B183" s="252">
        <v>40020</v>
      </c>
      <c r="C183" s="3192" t="e">
        <v>#N/A</v>
      </c>
      <c r="D183" s="2134" t="e">
        <v>#N/A</v>
      </c>
      <c r="E183" s="260">
        <v>82230</v>
      </c>
      <c r="F183" s="3192" t="e">
        <v>#N/A</v>
      </c>
      <c r="G183" s="3154" t="e">
        <v>#N/A</v>
      </c>
      <c r="H183" s="1292">
        <v>10890</v>
      </c>
      <c r="I183" s="3192" t="e">
        <v>#N/A</v>
      </c>
      <c r="J183" s="3193" t="e">
        <v>#N/A</v>
      </c>
    </row>
    <row r="184" spans="1:10" s="1288" customFormat="1">
      <c r="A184" s="63">
        <f t="shared" si="3"/>
        <v>2020.07</v>
      </c>
      <c r="B184" s="252">
        <v>41354</v>
      </c>
      <c r="C184" s="3192" t="e">
        <v>#N/A</v>
      </c>
      <c r="D184" s="2134" t="e">
        <v>#N/A</v>
      </c>
      <c r="E184" s="260">
        <v>89001</v>
      </c>
      <c r="F184" s="3192" t="e">
        <v>#N/A</v>
      </c>
      <c r="G184" s="3154" t="e">
        <v>#N/A</v>
      </c>
      <c r="H184" s="1292">
        <v>11253</v>
      </c>
      <c r="I184" s="3192" t="e">
        <v>#N/A</v>
      </c>
      <c r="J184" s="3193" t="e">
        <v>#N/A</v>
      </c>
    </row>
    <row r="185" spans="1:10">
      <c r="A185" s="63">
        <f t="shared" si="3"/>
        <v>2020.08</v>
      </c>
      <c r="B185" s="252">
        <v>41664</v>
      </c>
      <c r="C185" s="3192" t="e">
        <v>#N/A</v>
      </c>
      <c r="D185" s="2134" t="e">
        <v>#N/A</v>
      </c>
      <c r="E185" s="260">
        <v>90179</v>
      </c>
      <c r="F185" s="3192" t="e">
        <v>#N/A</v>
      </c>
      <c r="G185" s="3154" t="e">
        <v>#N/A</v>
      </c>
      <c r="H185" s="1292">
        <v>11253</v>
      </c>
      <c r="I185" s="3192" t="e">
        <v>#N/A</v>
      </c>
      <c r="J185" s="3193" t="e">
        <v>#N/A</v>
      </c>
    </row>
    <row r="186" spans="1:10">
      <c r="A186" s="63">
        <f t="shared" si="3"/>
        <v>2020.09</v>
      </c>
      <c r="B186" s="252">
        <v>39496</v>
      </c>
      <c r="C186" s="3192" t="e">
        <v>#N/A</v>
      </c>
      <c r="D186" s="2134" t="e">
        <v>#N/A</v>
      </c>
      <c r="E186" s="260">
        <v>87270</v>
      </c>
      <c r="F186" s="3192" t="e">
        <v>#N/A</v>
      </c>
      <c r="G186" s="3154" t="e">
        <v>#N/A</v>
      </c>
      <c r="H186" s="1292">
        <v>17880</v>
      </c>
      <c r="I186" s="3192" t="e">
        <v>#N/A</v>
      </c>
      <c r="J186" s="3193" t="e">
        <v>#N/A</v>
      </c>
    </row>
    <row r="187" spans="1:10">
      <c r="A187" s="63">
        <f t="shared" si="3"/>
        <v>2020.1</v>
      </c>
      <c r="B187" s="252">
        <v>43245</v>
      </c>
      <c r="C187" s="3192" t="e">
        <v>#N/A</v>
      </c>
      <c r="D187" s="2134" t="e">
        <v>#N/A</v>
      </c>
      <c r="E187" s="260">
        <v>93773</v>
      </c>
      <c r="F187" s="3192" t="e">
        <v>#N/A</v>
      </c>
      <c r="G187" s="3154" t="e">
        <v>#N/A</v>
      </c>
      <c r="H187" s="1292">
        <v>18476</v>
      </c>
      <c r="I187" s="3192" t="e">
        <v>#N/A</v>
      </c>
      <c r="J187" s="3193" t="e">
        <v>#N/A</v>
      </c>
    </row>
    <row r="188" spans="1:10">
      <c r="A188" s="63">
        <f t="shared" si="3"/>
        <v>2020.11</v>
      </c>
      <c r="B188" s="252">
        <v>42570</v>
      </c>
      <c r="C188" s="3192" t="e">
        <v>#N/A</v>
      </c>
      <c r="D188" s="2134" t="e">
        <v>#N/A</v>
      </c>
      <c r="E188" s="260">
        <v>100890</v>
      </c>
      <c r="F188" s="3192" t="e">
        <v>#N/A</v>
      </c>
      <c r="G188" s="3154" t="e">
        <v>#N/A</v>
      </c>
      <c r="H188" s="1293">
        <v>18900</v>
      </c>
      <c r="I188" s="3192" t="e">
        <v>#N/A</v>
      </c>
      <c r="J188" s="3193" t="e">
        <v>#N/A</v>
      </c>
    </row>
    <row r="189" spans="1:10">
      <c r="A189" s="63">
        <f t="shared" si="3"/>
        <v>2020.12</v>
      </c>
      <c r="B189" s="252">
        <v>57598</v>
      </c>
      <c r="C189" s="3192" t="e">
        <v>#N/A</v>
      </c>
      <c r="D189" s="2134" t="e">
        <v>#N/A</v>
      </c>
      <c r="E189" s="260">
        <v>121120</v>
      </c>
      <c r="F189" s="3192" t="e">
        <v>#N/A</v>
      </c>
      <c r="G189" s="3154" t="e">
        <v>#N/A</v>
      </c>
      <c r="H189" s="1292">
        <v>28210</v>
      </c>
      <c r="I189" s="3192" t="e">
        <v>#N/A</v>
      </c>
      <c r="J189" s="3193" t="e">
        <v>#N/A</v>
      </c>
    </row>
    <row r="190" spans="1:10">
      <c r="A190" s="63">
        <f t="shared" si="3"/>
        <v>2021.01</v>
      </c>
      <c r="B190" s="252">
        <v>51274</v>
      </c>
      <c r="C190" s="3034">
        <v>7465</v>
      </c>
      <c r="D190" s="169">
        <v>119</v>
      </c>
      <c r="E190" s="260">
        <v>170314</v>
      </c>
      <c r="F190" s="3034">
        <v>30139</v>
      </c>
      <c r="G190" s="1294">
        <v>821</v>
      </c>
      <c r="H190" s="1292">
        <v>22692</v>
      </c>
      <c r="I190" s="3154">
        <v>1270</v>
      </c>
      <c r="J190" s="3035">
        <v>0</v>
      </c>
    </row>
    <row r="191" spans="1:10">
      <c r="A191" s="63">
        <f t="shared" si="3"/>
        <v>2021.02</v>
      </c>
      <c r="B191" s="252">
        <v>48860</v>
      </c>
      <c r="C191" s="3034">
        <v>8174</v>
      </c>
      <c r="D191" s="169">
        <v>103</v>
      </c>
      <c r="E191" s="260">
        <v>164920</v>
      </c>
      <c r="F191" s="3034">
        <v>39608</v>
      </c>
      <c r="G191" s="1294">
        <v>2454</v>
      </c>
      <c r="H191" s="1292">
        <v>20328</v>
      </c>
      <c r="I191" s="3154">
        <v>1378</v>
      </c>
      <c r="J191" s="3035">
        <v>0</v>
      </c>
    </row>
    <row r="192" spans="1:10">
      <c r="A192" s="63">
        <f t="shared" si="3"/>
        <v>2021.03</v>
      </c>
      <c r="B192" s="252">
        <v>50065</v>
      </c>
      <c r="C192" s="3034">
        <v>7350</v>
      </c>
      <c r="D192" s="3034">
        <v>74</v>
      </c>
      <c r="E192" s="260">
        <v>194546</v>
      </c>
      <c r="F192" s="3034">
        <v>38368</v>
      </c>
      <c r="G192" s="1294">
        <v>2335</v>
      </c>
      <c r="H192" s="1292">
        <v>21607</v>
      </c>
      <c r="I192" s="3154">
        <v>1156</v>
      </c>
      <c r="J192" s="3035">
        <v>0</v>
      </c>
    </row>
    <row r="193" spans="1:10">
      <c r="A193" s="63">
        <f t="shared" si="3"/>
        <v>2021.04</v>
      </c>
      <c r="B193" s="252">
        <v>46050</v>
      </c>
      <c r="C193" s="3034">
        <v>6134</v>
      </c>
      <c r="D193" s="3034">
        <v>19</v>
      </c>
      <c r="E193" s="260">
        <v>190980</v>
      </c>
      <c r="F193" s="3034">
        <v>32342</v>
      </c>
      <c r="G193" s="1295">
        <v>2344</v>
      </c>
      <c r="H193" s="1292">
        <v>20160</v>
      </c>
      <c r="I193" s="3154">
        <v>1045</v>
      </c>
      <c r="J193" s="3035">
        <v>0</v>
      </c>
    </row>
    <row r="194" spans="1:10">
      <c r="A194" s="63">
        <f t="shared" si="3"/>
        <v>2021.05</v>
      </c>
      <c r="B194" s="252">
        <v>50637</v>
      </c>
      <c r="C194" s="3192">
        <v>4909</v>
      </c>
      <c r="D194" s="3034">
        <v>15</v>
      </c>
      <c r="E194" s="260">
        <v>187953</v>
      </c>
      <c r="F194" s="3192">
        <v>17618</v>
      </c>
      <c r="G194" s="1295">
        <v>2062</v>
      </c>
      <c r="H194" s="1292">
        <v>20832</v>
      </c>
      <c r="I194" s="3192">
        <v>691</v>
      </c>
      <c r="J194" s="3035">
        <v>0</v>
      </c>
    </row>
    <row r="195" spans="1:10">
      <c r="A195" s="63">
        <f t="shared" si="3"/>
        <v>2021.06</v>
      </c>
      <c r="B195" s="252">
        <v>44250</v>
      </c>
      <c r="C195" s="3034">
        <v>3633</v>
      </c>
      <c r="D195" s="3034">
        <v>13</v>
      </c>
      <c r="E195" s="260">
        <v>186960</v>
      </c>
      <c r="F195" s="3034">
        <v>18054</v>
      </c>
      <c r="G195" s="1294">
        <v>1506</v>
      </c>
      <c r="H195" s="1292">
        <v>20160</v>
      </c>
      <c r="I195" s="3154">
        <v>728</v>
      </c>
      <c r="J195" s="3035">
        <v>0</v>
      </c>
    </row>
    <row r="196" spans="1:10">
      <c r="A196" s="63">
        <f t="shared" si="3"/>
        <v>2021.07</v>
      </c>
      <c r="B196" s="252">
        <v>48920</v>
      </c>
      <c r="C196" s="3034">
        <v>9373</v>
      </c>
      <c r="D196" s="3034">
        <v>13</v>
      </c>
      <c r="E196" s="260">
        <v>195813</v>
      </c>
      <c r="F196" s="3034">
        <v>44441</v>
      </c>
      <c r="G196" s="1294">
        <v>1174</v>
      </c>
      <c r="H196" s="1292">
        <v>20832</v>
      </c>
      <c r="I196" s="3154">
        <v>1275</v>
      </c>
      <c r="J196" s="3035">
        <v>0</v>
      </c>
    </row>
    <row r="197" spans="1:10">
      <c r="A197" s="63">
        <f t="shared" si="3"/>
        <v>2021.08</v>
      </c>
      <c r="B197" s="252">
        <v>52080</v>
      </c>
      <c r="C197" s="3034">
        <v>9726</v>
      </c>
      <c r="D197" s="3034">
        <v>0</v>
      </c>
      <c r="E197" s="260">
        <v>198183</v>
      </c>
      <c r="F197" s="3034">
        <v>42740</v>
      </c>
      <c r="G197" s="1294">
        <v>1288</v>
      </c>
      <c r="H197" s="1292">
        <v>20832</v>
      </c>
      <c r="I197" s="3154">
        <v>1362</v>
      </c>
      <c r="J197" s="3035">
        <v>0</v>
      </c>
    </row>
    <row r="198" spans="1:10">
      <c r="A198" s="63">
        <f t="shared" si="3"/>
        <v>2021.09</v>
      </c>
      <c r="B198" s="252">
        <v>50400</v>
      </c>
      <c r="C198" s="3034">
        <v>10293</v>
      </c>
      <c r="D198" s="3034">
        <v>14</v>
      </c>
      <c r="E198" s="260">
        <v>189060</v>
      </c>
      <c r="F198" s="3034">
        <v>52780</v>
      </c>
      <c r="G198" s="1294">
        <v>2167</v>
      </c>
      <c r="H198" s="1293">
        <v>18030</v>
      </c>
      <c r="I198" s="3192">
        <v>671</v>
      </c>
      <c r="J198" s="3035">
        <v>2</v>
      </c>
    </row>
    <row r="199" spans="1:10">
      <c r="A199" s="63">
        <f t="shared" si="3"/>
        <v>2021.1</v>
      </c>
      <c r="B199" s="252">
        <v>52638</v>
      </c>
      <c r="C199" s="3034">
        <v>13723</v>
      </c>
      <c r="D199" s="3034">
        <v>147</v>
      </c>
      <c r="E199" s="260">
        <v>198462</v>
      </c>
      <c r="F199" s="3034">
        <v>63847</v>
      </c>
      <c r="G199" s="1294">
        <v>2495</v>
      </c>
      <c r="H199" s="1292">
        <v>23281</v>
      </c>
      <c r="I199" s="3154">
        <v>2185</v>
      </c>
      <c r="J199" s="3035">
        <v>1</v>
      </c>
    </row>
    <row r="200" spans="1:10">
      <c r="A200" s="63">
        <f t="shared" si="3"/>
        <v>2021.11</v>
      </c>
      <c r="B200" s="252">
        <v>50580</v>
      </c>
      <c r="C200" s="3034">
        <v>13808</v>
      </c>
      <c r="D200" s="169">
        <v>246</v>
      </c>
      <c r="E200" s="260">
        <v>191610</v>
      </c>
      <c r="F200" s="3034">
        <v>64443</v>
      </c>
      <c r="G200" s="1294">
        <v>4780</v>
      </c>
      <c r="H200" s="1292" t="e">
        <v>#N/A</v>
      </c>
      <c r="I200" s="3154" t="e">
        <v>#N/A</v>
      </c>
      <c r="J200" s="3193" t="e">
        <v>#N/A</v>
      </c>
    </row>
    <row r="201" spans="1:10">
      <c r="A201" s="63">
        <f t="shared" si="3"/>
        <v>2021.12</v>
      </c>
      <c r="B201" s="252">
        <v>54932</v>
      </c>
      <c r="C201" s="3034">
        <v>15041</v>
      </c>
      <c r="D201" s="169">
        <v>565</v>
      </c>
      <c r="E201" s="260">
        <v>194131</v>
      </c>
      <c r="F201" s="3034">
        <v>60020</v>
      </c>
      <c r="G201" s="169">
        <v>3981</v>
      </c>
      <c r="H201" s="1292" t="e">
        <v>#N/A</v>
      </c>
      <c r="I201" s="3154" t="e">
        <v>#N/A</v>
      </c>
      <c r="J201" s="3193" t="e">
        <v>#N/A</v>
      </c>
    </row>
    <row r="202" spans="1:10">
      <c r="A202" s="63">
        <f t="shared" si="3"/>
        <v>2022.01</v>
      </c>
      <c r="B202" s="252">
        <v>56234</v>
      </c>
      <c r="C202" s="3034">
        <v>12575</v>
      </c>
      <c r="D202" s="169">
        <v>758</v>
      </c>
      <c r="E202" s="260">
        <v>171431</v>
      </c>
      <c r="F202" s="3034">
        <v>55242</v>
      </c>
      <c r="G202" s="169">
        <v>3476</v>
      </c>
      <c r="H202" s="1292">
        <v>29233</v>
      </c>
      <c r="I202" s="3034">
        <v>2515</v>
      </c>
      <c r="J202" s="3035">
        <v>0</v>
      </c>
    </row>
    <row r="203" spans="1:10">
      <c r="A203" s="63">
        <f t="shared" si="3"/>
        <v>2022.02</v>
      </c>
      <c r="B203" s="252">
        <v>51464</v>
      </c>
      <c r="C203" s="3034">
        <v>13792</v>
      </c>
      <c r="D203" s="169">
        <v>778</v>
      </c>
      <c r="E203" s="260">
        <v>162500</v>
      </c>
      <c r="F203" s="3034">
        <v>60874</v>
      </c>
      <c r="G203" s="169">
        <v>4306</v>
      </c>
      <c r="H203" s="260">
        <v>26236</v>
      </c>
      <c r="I203" s="3034">
        <v>3562</v>
      </c>
      <c r="J203" s="3035">
        <v>10</v>
      </c>
    </row>
    <row r="204" spans="1:10">
      <c r="A204" s="63">
        <f t="shared" si="3"/>
        <v>2022.03</v>
      </c>
      <c r="B204" s="252">
        <v>56978</v>
      </c>
      <c r="C204" s="3034">
        <v>14059</v>
      </c>
      <c r="D204" s="169">
        <v>2633</v>
      </c>
      <c r="E204" s="260">
        <v>177310</v>
      </c>
      <c r="F204" s="3034">
        <v>61075</v>
      </c>
      <c r="G204" s="169">
        <v>5663</v>
      </c>
      <c r="H204" s="260">
        <v>29047</v>
      </c>
      <c r="I204" s="3034">
        <v>4287</v>
      </c>
      <c r="J204" s="3035">
        <v>65</v>
      </c>
    </row>
    <row r="205" spans="1:10">
      <c r="A205" s="63">
        <f t="shared" si="3"/>
        <v>2022.04</v>
      </c>
      <c r="B205" s="252">
        <v>55380</v>
      </c>
      <c r="C205" s="3034">
        <v>15400</v>
      </c>
      <c r="D205" s="169">
        <v>2151</v>
      </c>
      <c r="E205" s="260">
        <v>174110</v>
      </c>
      <c r="F205" s="3034">
        <v>64918</v>
      </c>
      <c r="G205" s="169">
        <v>10968</v>
      </c>
      <c r="H205" s="260">
        <v>28110</v>
      </c>
      <c r="I205" s="3034">
        <v>4225</v>
      </c>
      <c r="J205" s="380">
        <v>220</v>
      </c>
    </row>
    <row r="206" spans="1:10">
      <c r="A206" s="63">
        <f t="shared" si="3"/>
        <v>2022.05</v>
      </c>
      <c r="B206" s="252">
        <v>57350</v>
      </c>
      <c r="C206" s="3034">
        <v>16912</v>
      </c>
      <c r="D206" s="169">
        <v>2409</v>
      </c>
      <c r="E206" s="260">
        <v>184688</v>
      </c>
      <c r="F206" s="3034">
        <v>63453</v>
      </c>
      <c r="G206" s="169">
        <v>11845</v>
      </c>
      <c r="H206" s="260">
        <v>28737</v>
      </c>
      <c r="I206" s="3034">
        <v>4506</v>
      </c>
      <c r="J206" s="3193" t="e">
        <v>#N/A</v>
      </c>
    </row>
    <row r="207" spans="1:10">
      <c r="A207" s="63">
        <f t="shared" si="3"/>
        <v>2022.06</v>
      </c>
      <c r="B207" s="252">
        <v>56130</v>
      </c>
      <c r="C207" s="3034">
        <v>16665</v>
      </c>
      <c r="D207" s="169">
        <v>749</v>
      </c>
      <c r="E207" s="260">
        <v>176442</v>
      </c>
      <c r="F207" s="3034">
        <v>63660</v>
      </c>
      <c r="G207" s="169">
        <v>9038</v>
      </c>
      <c r="H207" s="260">
        <v>27870</v>
      </c>
      <c r="I207" s="3034">
        <v>4133</v>
      </c>
      <c r="J207" s="3193" t="e">
        <v>#N/A</v>
      </c>
    </row>
    <row r="208" spans="1:10">
      <c r="A208" s="63">
        <f t="shared" si="3"/>
        <v>2022.07</v>
      </c>
      <c r="B208" s="252">
        <v>60326</v>
      </c>
      <c r="C208" s="3034">
        <v>21961</v>
      </c>
      <c r="D208" s="169">
        <v>1929</v>
      </c>
      <c r="E208" s="260">
        <v>186028</v>
      </c>
      <c r="F208" s="3034">
        <v>68548</v>
      </c>
      <c r="G208" s="169">
        <v>10608</v>
      </c>
      <c r="H208" s="260">
        <v>29791</v>
      </c>
      <c r="I208" s="3034">
        <v>5254</v>
      </c>
      <c r="J208" s="3193" t="e">
        <v>#N/A</v>
      </c>
    </row>
    <row r="209" spans="1:10">
      <c r="A209" s="63">
        <f t="shared" si="3"/>
        <v>2022.08</v>
      </c>
      <c r="B209" s="252">
        <v>60636</v>
      </c>
      <c r="C209" s="3034">
        <v>18333</v>
      </c>
      <c r="D209" s="169">
        <v>1684</v>
      </c>
      <c r="E209" s="260">
        <v>186723</v>
      </c>
      <c r="F209" s="3034">
        <v>66595</v>
      </c>
      <c r="G209" s="169">
        <v>7904</v>
      </c>
      <c r="H209" s="260">
        <v>29915</v>
      </c>
      <c r="I209" s="3034">
        <v>4959</v>
      </c>
      <c r="J209" s="380">
        <v>477</v>
      </c>
    </row>
    <row r="210" spans="1:10">
      <c r="A210" s="63">
        <f t="shared" si="3"/>
        <v>2022.09</v>
      </c>
      <c r="B210" s="252">
        <v>59100</v>
      </c>
      <c r="C210" s="3034">
        <v>18118</v>
      </c>
      <c r="D210" s="169">
        <v>1328</v>
      </c>
      <c r="E210" s="260">
        <v>179516</v>
      </c>
      <c r="F210" s="3034">
        <v>64467</v>
      </c>
      <c r="G210" s="169">
        <v>8104</v>
      </c>
      <c r="H210" s="260">
        <v>28950</v>
      </c>
      <c r="I210" s="3034">
        <v>3703</v>
      </c>
      <c r="J210" s="380">
        <v>648</v>
      </c>
    </row>
    <row r="211" spans="1:10">
      <c r="A211" s="63">
        <f t="shared" si="3"/>
        <v>2022.1</v>
      </c>
      <c r="B211" s="252">
        <v>60760</v>
      </c>
      <c r="C211" s="3034">
        <v>19241</v>
      </c>
      <c r="D211" s="169">
        <v>1571</v>
      </c>
      <c r="E211" s="260">
        <v>185408</v>
      </c>
      <c r="F211" s="3034">
        <v>63565</v>
      </c>
      <c r="G211" s="169">
        <v>6882</v>
      </c>
      <c r="H211" s="260">
        <v>28055</v>
      </c>
      <c r="I211" s="3034">
        <v>4522</v>
      </c>
      <c r="J211" s="3193" t="e">
        <v>#N/A</v>
      </c>
    </row>
    <row r="212" spans="1:10">
      <c r="A212" s="63">
        <f t="shared" si="3"/>
        <v>2022.11</v>
      </c>
      <c r="B212" s="252">
        <v>58500</v>
      </c>
      <c r="C212" s="3034">
        <v>17973</v>
      </c>
      <c r="D212" s="169">
        <v>1626</v>
      </c>
      <c r="E212" s="260">
        <v>179340</v>
      </c>
      <c r="F212" s="3034">
        <v>68631</v>
      </c>
      <c r="G212" s="169">
        <v>6637</v>
      </c>
      <c r="H212" s="260">
        <v>27150</v>
      </c>
      <c r="I212" s="3034">
        <v>3877</v>
      </c>
      <c r="J212" s="380">
        <v>116</v>
      </c>
    </row>
    <row r="213" spans="1:10">
      <c r="A213" s="63">
        <f t="shared" si="3"/>
        <v>2022.12</v>
      </c>
      <c r="B213" s="252">
        <v>58470</v>
      </c>
      <c r="C213" s="3034">
        <v>14665</v>
      </c>
      <c r="D213" s="169">
        <v>1392</v>
      </c>
      <c r="E213" s="260">
        <v>186919</v>
      </c>
      <c r="F213" s="3034">
        <v>48457</v>
      </c>
      <c r="G213" s="169">
        <v>6564</v>
      </c>
      <c r="H213" s="260">
        <v>28582</v>
      </c>
      <c r="I213" s="3034">
        <v>3722</v>
      </c>
      <c r="J213" s="380" t="e">
        <v>#N/A</v>
      </c>
    </row>
    <row r="214" spans="1:10">
      <c r="A214" s="63">
        <f t="shared" si="3"/>
        <v>2023.01</v>
      </c>
      <c r="B214" s="252">
        <v>63689</v>
      </c>
      <c r="C214" s="3034">
        <v>20073</v>
      </c>
      <c r="D214" s="169">
        <v>3489</v>
      </c>
      <c r="E214" s="260">
        <v>188633</v>
      </c>
      <c r="F214" s="3034">
        <v>51687</v>
      </c>
      <c r="G214" s="169">
        <v>6229</v>
      </c>
      <c r="H214" s="260">
        <v>28923</v>
      </c>
      <c r="I214" s="3034">
        <v>4891</v>
      </c>
      <c r="J214" s="380" t="e">
        <v>#N/A</v>
      </c>
    </row>
    <row r="215" spans="1:10">
      <c r="A215" s="63">
        <f t="shared" si="3"/>
        <v>2023.02</v>
      </c>
      <c r="B215" s="252">
        <v>58912</v>
      </c>
      <c r="C215" s="3034">
        <v>18499</v>
      </c>
      <c r="D215" s="169">
        <v>1714</v>
      </c>
      <c r="E215" s="260">
        <v>175000</v>
      </c>
      <c r="F215" s="3034">
        <v>53359</v>
      </c>
      <c r="G215" s="169">
        <v>5858</v>
      </c>
      <c r="H215" s="260">
        <v>25648</v>
      </c>
      <c r="I215" s="3034">
        <v>4748</v>
      </c>
      <c r="J215" s="380" t="e">
        <v>#N/A</v>
      </c>
    </row>
    <row r="216" spans="1:10">
      <c r="A216" s="63">
        <f t="shared" si="3"/>
        <v>2023.03</v>
      </c>
      <c r="B216" s="252">
        <v>61814</v>
      </c>
      <c r="C216" s="3034">
        <v>19490</v>
      </c>
      <c r="D216" s="169">
        <v>2220</v>
      </c>
      <c r="E216" s="260">
        <v>191084</v>
      </c>
      <c r="F216" s="3034">
        <v>57084</v>
      </c>
      <c r="G216" s="169">
        <v>6099</v>
      </c>
      <c r="H216" s="260">
        <v>29357</v>
      </c>
      <c r="I216" s="3034">
        <v>4677</v>
      </c>
      <c r="J216" s="380" t="e">
        <v>#N/A</v>
      </c>
    </row>
    <row r="217" spans="1:10">
      <c r="A217" s="63">
        <f t="shared" si="3"/>
        <v>2023.04</v>
      </c>
      <c r="B217" s="252">
        <v>63234</v>
      </c>
      <c r="C217" s="3034">
        <v>20107</v>
      </c>
      <c r="D217" s="169">
        <v>3191</v>
      </c>
      <c r="E217" s="260">
        <v>186180</v>
      </c>
      <c r="F217" s="3034">
        <v>48131</v>
      </c>
      <c r="G217" s="169">
        <v>6685</v>
      </c>
      <c r="H217" s="260">
        <v>28320</v>
      </c>
      <c r="I217" s="3034">
        <v>4463</v>
      </c>
      <c r="J217" s="380" t="e">
        <v>#N/A</v>
      </c>
    </row>
    <row r="218" spans="1:10">
      <c r="A218" s="63">
        <f t="shared" si="3"/>
        <v>2023.05</v>
      </c>
      <c r="B218" s="252">
        <v>64459</v>
      </c>
      <c r="C218" s="3034">
        <v>18082</v>
      </c>
      <c r="D218" s="169">
        <v>2479</v>
      </c>
      <c r="E218" s="260">
        <v>210490</v>
      </c>
      <c r="F218" s="3034">
        <v>54360</v>
      </c>
      <c r="G218" s="169">
        <v>6609</v>
      </c>
      <c r="H218" s="260">
        <v>27683</v>
      </c>
      <c r="I218" s="3034">
        <v>4012</v>
      </c>
      <c r="J218" s="380" t="e">
        <v>#N/A</v>
      </c>
    </row>
    <row r="219" spans="1:10">
      <c r="A219" s="63">
        <f t="shared" si="3"/>
        <v>2023.06</v>
      </c>
      <c r="B219" s="252">
        <v>62520</v>
      </c>
      <c r="C219" s="3034">
        <v>17432</v>
      </c>
      <c r="D219" s="169">
        <v>1692</v>
      </c>
      <c r="E219" s="260">
        <v>193410</v>
      </c>
      <c r="F219" s="3034">
        <v>57116</v>
      </c>
      <c r="G219" s="169">
        <v>6587</v>
      </c>
      <c r="H219" s="260">
        <v>27570</v>
      </c>
      <c r="I219" s="3034">
        <v>4363</v>
      </c>
      <c r="J219" s="380" t="e">
        <v>#N/A</v>
      </c>
    </row>
    <row r="220" spans="1:10">
      <c r="A220" s="63">
        <f t="shared" si="3"/>
        <v>2023.07</v>
      </c>
      <c r="B220" s="252">
        <v>66123</v>
      </c>
      <c r="C220" s="3034">
        <v>21741</v>
      </c>
      <c r="D220" s="169">
        <v>3493</v>
      </c>
      <c r="E220" s="260">
        <v>199051</v>
      </c>
      <c r="F220" s="3034">
        <v>60209</v>
      </c>
      <c r="G220" s="169">
        <v>7307</v>
      </c>
      <c r="H220" s="260">
        <v>27745</v>
      </c>
      <c r="I220" s="3034">
        <v>5301</v>
      </c>
      <c r="J220" s="380">
        <v>104</v>
      </c>
    </row>
    <row r="221" spans="1:10">
      <c r="A221" s="63">
        <f t="shared" si="3"/>
        <v>2023.08</v>
      </c>
      <c r="B221" s="252">
        <v>65782</v>
      </c>
      <c r="C221" s="3034">
        <v>19897</v>
      </c>
      <c r="D221" s="169">
        <v>1734</v>
      </c>
      <c r="E221" s="260">
        <v>194184</v>
      </c>
      <c r="F221" s="3034">
        <v>57685</v>
      </c>
      <c r="G221" s="169">
        <v>7410</v>
      </c>
      <c r="H221" s="260">
        <v>28551</v>
      </c>
      <c r="I221" s="3034">
        <v>5290</v>
      </c>
      <c r="J221" s="380">
        <v>352</v>
      </c>
    </row>
    <row r="222" spans="1:10">
      <c r="A222" s="63">
        <f t="shared" si="3"/>
        <v>2023.09</v>
      </c>
      <c r="B222" s="252">
        <v>64110</v>
      </c>
      <c r="C222" s="3034">
        <v>21513</v>
      </c>
      <c r="D222" s="169">
        <v>3152</v>
      </c>
      <c r="E222" s="260">
        <v>188100</v>
      </c>
      <c r="F222" s="3034">
        <v>59355</v>
      </c>
      <c r="G222" s="169">
        <v>7419</v>
      </c>
      <c r="H222" s="260">
        <v>27720</v>
      </c>
      <c r="I222" s="3034">
        <v>4915</v>
      </c>
      <c r="J222" s="380" t="e">
        <v>#N/A</v>
      </c>
    </row>
    <row r="223" spans="1:10">
      <c r="A223" s="63">
        <f t="shared" si="3"/>
        <v>2023.1</v>
      </c>
      <c r="B223" s="252">
        <v>65751</v>
      </c>
      <c r="C223" s="3034">
        <v>19405</v>
      </c>
      <c r="D223" s="169">
        <v>1894</v>
      </c>
      <c r="E223" s="260">
        <v>193130</v>
      </c>
      <c r="F223" s="3034">
        <v>57522</v>
      </c>
      <c r="G223" s="169">
        <v>6246</v>
      </c>
      <c r="H223" s="260">
        <v>27962</v>
      </c>
      <c r="I223" s="3034">
        <v>6157</v>
      </c>
      <c r="J223" s="380">
        <v>341</v>
      </c>
    </row>
    <row r="224" spans="1:10">
      <c r="A224" s="63">
        <f t="shared" si="3"/>
        <v>2023.11</v>
      </c>
      <c r="B224" s="252">
        <v>63330</v>
      </c>
      <c r="C224" s="3034">
        <v>17635</v>
      </c>
      <c r="D224" s="169">
        <v>2241</v>
      </c>
      <c r="E224" s="260">
        <v>189330</v>
      </c>
      <c r="F224" s="3034">
        <v>59993</v>
      </c>
      <c r="G224" s="169">
        <v>8651</v>
      </c>
      <c r="H224" s="260">
        <v>27030</v>
      </c>
      <c r="I224" s="3034">
        <v>3822</v>
      </c>
      <c r="J224" s="380" t="e">
        <v>#N/A</v>
      </c>
    </row>
    <row r="225" spans="1:10">
      <c r="A225" s="63">
        <f t="shared" si="3"/>
        <v>2023.12</v>
      </c>
      <c r="B225" s="252">
        <v>64019</v>
      </c>
      <c r="C225" s="3034">
        <v>16101</v>
      </c>
      <c r="D225" s="169">
        <v>1524</v>
      </c>
      <c r="E225" s="260">
        <v>197896</v>
      </c>
      <c r="F225" s="3034">
        <v>49871</v>
      </c>
      <c r="G225" s="169">
        <v>7625</v>
      </c>
      <c r="H225" s="260">
        <v>27993</v>
      </c>
      <c r="I225" s="3034">
        <v>3877</v>
      </c>
      <c r="J225" s="380" t="e">
        <v>#N/A</v>
      </c>
    </row>
    <row r="226" spans="1:10">
      <c r="A226" s="63">
        <f t="shared" ref="A226:A289" si="4">A214+1</f>
        <v>2024.01</v>
      </c>
      <c r="B226" s="252">
        <v>66116</v>
      </c>
      <c r="C226" s="3034">
        <v>14785</v>
      </c>
      <c r="D226" s="169">
        <v>1910</v>
      </c>
      <c r="E226" s="260">
        <v>211772</v>
      </c>
      <c r="F226" s="3034">
        <v>48484</v>
      </c>
      <c r="G226" s="169">
        <v>5117</v>
      </c>
      <c r="H226" s="260">
        <v>28675</v>
      </c>
      <c r="I226" s="3034">
        <v>4514</v>
      </c>
      <c r="J226" s="380" t="e">
        <v>#N/A</v>
      </c>
    </row>
    <row r="227" spans="1:10">
      <c r="A227" s="63">
        <f t="shared" si="4"/>
        <v>2024.02</v>
      </c>
      <c r="B227" s="252">
        <v>61857</v>
      </c>
      <c r="C227" s="3034">
        <v>16233</v>
      </c>
      <c r="D227" s="169">
        <v>1497</v>
      </c>
      <c r="E227" s="260">
        <v>215528</v>
      </c>
      <c r="F227" s="3034">
        <v>56318</v>
      </c>
      <c r="G227" s="169">
        <v>5582</v>
      </c>
      <c r="H227" s="260">
        <v>26564</v>
      </c>
      <c r="I227" s="3034">
        <v>4477</v>
      </c>
      <c r="J227" s="380" t="e">
        <v>#N/A</v>
      </c>
    </row>
    <row r="228" spans="1:10">
      <c r="A228" s="63">
        <f t="shared" si="4"/>
        <v>2024.03</v>
      </c>
      <c r="B228" s="252">
        <v>66588</v>
      </c>
      <c r="C228" s="3034">
        <v>14982</v>
      </c>
      <c r="D228" s="169">
        <v>2326</v>
      </c>
      <c r="E228" s="260">
        <v>224223</v>
      </c>
      <c r="F228" s="3034">
        <v>50166</v>
      </c>
      <c r="G228" s="169">
        <v>4880</v>
      </c>
      <c r="H228" s="260">
        <v>28582</v>
      </c>
      <c r="I228" s="3034">
        <v>5024</v>
      </c>
      <c r="J228" s="380" t="e">
        <v>#N/A</v>
      </c>
    </row>
    <row r="229" spans="1:10">
      <c r="A229" s="63">
        <f t="shared" si="4"/>
        <v>2024.04</v>
      </c>
      <c r="B229" s="252">
        <v>64080</v>
      </c>
      <c r="C229" s="3034">
        <v>13833</v>
      </c>
      <c r="D229" s="169">
        <v>1005</v>
      </c>
      <c r="E229" s="260">
        <v>218280</v>
      </c>
      <c r="F229" s="3034">
        <v>42622</v>
      </c>
      <c r="G229" s="169">
        <v>3636</v>
      </c>
      <c r="H229" s="260">
        <v>27840</v>
      </c>
      <c r="I229" s="3034">
        <v>4711</v>
      </c>
      <c r="J229" s="380" t="e">
        <v>#N/A</v>
      </c>
    </row>
    <row r="230" spans="1:10">
      <c r="A230" s="63">
        <f t="shared" si="4"/>
        <v>2024.05</v>
      </c>
      <c r="B230" s="252">
        <v>65999</v>
      </c>
      <c r="C230" s="3034">
        <v>14686</v>
      </c>
      <c r="D230" s="169">
        <v>911</v>
      </c>
      <c r="E230" s="260">
        <v>223324</v>
      </c>
      <c r="F230" s="3034">
        <v>51665</v>
      </c>
      <c r="G230" s="169">
        <v>4878</v>
      </c>
      <c r="H230" s="260">
        <v>28768</v>
      </c>
      <c r="I230" s="3034">
        <v>5014</v>
      </c>
      <c r="J230" s="380" t="e">
        <v>#N/A</v>
      </c>
    </row>
    <row r="231" spans="1:10">
      <c r="A231" s="63">
        <f t="shared" si="4"/>
        <v>2024.06</v>
      </c>
      <c r="B231" s="252">
        <v>63600</v>
      </c>
      <c r="C231" s="3034">
        <v>15675</v>
      </c>
      <c r="D231" s="169">
        <v>1002</v>
      </c>
      <c r="E231" s="260">
        <v>217080</v>
      </c>
      <c r="F231" s="3034">
        <v>53271</v>
      </c>
      <c r="G231" s="169">
        <v>3835</v>
      </c>
      <c r="H231" s="260">
        <v>28170</v>
      </c>
      <c r="I231" s="3034">
        <v>5756</v>
      </c>
      <c r="J231" s="380" t="e">
        <v>#N/A</v>
      </c>
    </row>
    <row r="232" spans="1:10">
      <c r="A232" s="63">
        <f t="shared" si="4"/>
        <v>2024.07</v>
      </c>
      <c r="B232" s="252">
        <v>65906</v>
      </c>
      <c r="C232" s="3034">
        <v>17475</v>
      </c>
      <c r="D232" s="169">
        <v>2013</v>
      </c>
      <c r="E232" s="260">
        <v>229834</v>
      </c>
      <c r="F232" s="3034">
        <v>61467</v>
      </c>
      <c r="G232" s="169">
        <v>5462</v>
      </c>
      <c r="H232" s="260">
        <v>29109</v>
      </c>
      <c r="I232" s="3034">
        <v>5467</v>
      </c>
      <c r="J232" s="380">
        <v>245</v>
      </c>
    </row>
    <row r="233" spans="1:10">
      <c r="A233" s="63">
        <f t="shared" si="4"/>
        <v>2024.08</v>
      </c>
      <c r="B233" s="252">
        <v>64976</v>
      </c>
      <c r="C233" s="3034">
        <v>19281</v>
      </c>
      <c r="D233" s="169">
        <v>1506</v>
      </c>
      <c r="E233" s="260">
        <v>229679</v>
      </c>
      <c r="F233" s="3034">
        <v>57359</v>
      </c>
      <c r="G233" s="169">
        <v>4913</v>
      </c>
      <c r="H233" s="260">
        <v>27733</v>
      </c>
      <c r="I233" s="3034">
        <v>5694</v>
      </c>
      <c r="J233" s="380">
        <v>823</v>
      </c>
    </row>
    <row r="234" spans="1:10">
      <c r="A234" s="63">
        <f t="shared" si="4"/>
        <v>2024.09</v>
      </c>
      <c r="B234" s="252">
        <v>63090</v>
      </c>
      <c r="C234" s="3034">
        <v>18429</v>
      </c>
      <c r="D234" s="169">
        <v>2174</v>
      </c>
      <c r="E234" s="260">
        <v>223230</v>
      </c>
      <c r="F234" s="3034">
        <v>60099</v>
      </c>
      <c r="G234" s="169">
        <v>6919</v>
      </c>
      <c r="H234" s="260">
        <v>28410</v>
      </c>
      <c r="I234" s="3034">
        <v>5833</v>
      </c>
      <c r="J234" s="380" t="e">
        <v>#N/A</v>
      </c>
    </row>
    <row r="235" spans="1:10">
      <c r="A235" s="63">
        <f t="shared" si="4"/>
        <v>2024.1</v>
      </c>
      <c r="B235" s="252">
        <v>65069</v>
      </c>
      <c r="C235" s="3034">
        <v>21655</v>
      </c>
      <c r="D235" s="169">
        <v>1470</v>
      </c>
      <c r="E235" s="260">
        <v>230640</v>
      </c>
      <c r="F235" s="3034">
        <v>65839</v>
      </c>
      <c r="G235" s="169">
        <v>7812</v>
      </c>
      <c r="H235" s="260">
        <v>29078</v>
      </c>
      <c r="I235" s="3034">
        <v>5783</v>
      </c>
      <c r="J235" s="380" t="e">
        <v>#N/A</v>
      </c>
    </row>
    <row r="236" spans="1:10">
      <c r="A236" s="63">
        <f t="shared" si="4"/>
        <v>2024.11</v>
      </c>
      <c r="B236" s="3194">
        <v>63030</v>
      </c>
      <c r="C236" s="3194">
        <v>20230</v>
      </c>
      <c r="D236" s="939">
        <v>1839</v>
      </c>
      <c r="E236" s="260">
        <v>223920</v>
      </c>
      <c r="F236" s="3034">
        <v>66783</v>
      </c>
      <c r="G236" s="169">
        <v>8571</v>
      </c>
      <c r="H236" s="260">
        <v>28140</v>
      </c>
      <c r="I236" s="3034">
        <v>5174</v>
      </c>
      <c r="J236" s="380" t="e">
        <v>#N/A</v>
      </c>
    </row>
    <row r="237" spans="1:10">
      <c r="A237" s="63">
        <f t="shared" si="4"/>
        <v>2024.12</v>
      </c>
      <c r="B237" s="3194">
        <v>63050</v>
      </c>
      <c r="C237" s="3194">
        <v>16628</v>
      </c>
      <c r="D237" s="939">
        <v>1405</v>
      </c>
      <c r="E237" s="260">
        <v>231056</v>
      </c>
      <c r="F237" s="3034">
        <v>48958</v>
      </c>
      <c r="G237" s="169">
        <v>5170</v>
      </c>
      <c r="H237" s="260">
        <v>29078</v>
      </c>
      <c r="I237" s="3034">
        <v>4424</v>
      </c>
      <c r="J237" s="380" t="e">
        <v>#N/A</v>
      </c>
    </row>
    <row r="238" spans="1:10">
      <c r="A238" s="63">
        <f t="shared" si="4"/>
        <v>2025.01</v>
      </c>
      <c r="B238" s="3194">
        <v>65186</v>
      </c>
      <c r="C238" s="3194">
        <v>16438</v>
      </c>
      <c r="D238" s="939">
        <v>1415</v>
      </c>
      <c r="E238" s="260">
        <v>237538</v>
      </c>
      <c r="F238" s="3034">
        <v>37956</v>
      </c>
      <c r="G238" s="169">
        <v>5363</v>
      </c>
      <c r="H238" s="260">
        <v>27094</v>
      </c>
      <c r="I238" s="3034">
        <v>4875</v>
      </c>
      <c r="J238" s="380" t="e">
        <v>#N/A</v>
      </c>
    </row>
    <row r="239" spans="1:10">
      <c r="A239" s="63">
        <f t="shared" si="4"/>
        <v>2025.02</v>
      </c>
      <c r="B239" s="3195">
        <v>59500</v>
      </c>
      <c r="C239" s="3195">
        <v>17558</v>
      </c>
      <c r="D239" s="1419">
        <v>1242</v>
      </c>
      <c r="E239" s="1420">
        <v>216888</v>
      </c>
      <c r="F239" s="3195">
        <v>45620</v>
      </c>
      <c r="G239" s="3195">
        <v>4561</v>
      </c>
      <c r="H239" s="1420">
        <v>26432</v>
      </c>
      <c r="I239" s="3195">
        <v>4987</v>
      </c>
      <c r="J239" s="2519" t="e">
        <v>#N/A</v>
      </c>
    </row>
    <row r="240" spans="1:10">
      <c r="A240" s="63">
        <f t="shared" si="4"/>
        <v>2025.03</v>
      </c>
      <c r="B240" s="3195">
        <v>65224</v>
      </c>
      <c r="C240" s="3195">
        <v>19577</v>
      </c>
      <c r="D240" s="1419">
        <v>2195</v>
      </c>
      <c r="E240" s="1420">
        <v>233926</v>
      </c>
      <c r="F240" s="3195">
        <v>55487</v>
      </c>
      <c r="G240" s="3195">
        <v>5297</v>
      </c>
      <c r="H240" s="1420">
        <v>28737</v>
      </c>
      <c r="I240" s="3195">
        <v>4583</v>
      </c>
      <c r="J240" s="2519" t="e">
        <v>#N/A</v>
      </c>
    </row>
    <row r="241" spans="1:10">
      <c r="A241" s="63">
        <f t="shared" si="4"/>
        <v>2025.04</v>
      </c>
      <c r="B241" s="252" t="e">
        <v>#N/A</v>
      </c>
      <c r="C241" s="3034" t="e">
        <v>#N/A</v>
      </c>
      <c r="D241" s="169" t="e">
        <v>#N/A</v>
      </c>
      <c r="E241" s="260" t="e">
        <v>#N/A</v>
      </c>
      <c r="F241" s="3034" t="e">
        <v>#N/A</v>
      </c>
      <c r="G241" s="169" t="e">
        <v>#N/A</v>
      </c>
      <c r="H241" s="260" t="e">
        <v>#N/A</v>
      </c>
      <c r="I241" s="3034" t="e">
        <v>#N/A</v>
      </c>
      <c r="J241" s="380" t="e">
        <v>#N/A</v>
      </c>
    </row>
    <row r="242" spans="1:10">
      <c r="A242" s="63">
        <f t="shared" si="4"/>
        <v>2025.05</v>
      </c>
      <c r="B242" s="252" t="e">
        <v>#N/A</v>
      </c>
      <c r="C242" s="3034" t="e">
        <v>#N/A</v>
      </c>
      <c r="D242" s="169" t="e">
        <v>#N/A</v>
      </c>
      <c r="E242" s="260" t="e">
        <v>#N/A</v>
      </c>
      <c r="F242" s="3034" t="e">
        <v>#N/A</v>
      </c>
      <c r="G242" s="169" t="e">
        <v>#N/A</v>
      </c>
      <c r="H242" s="260" t="e">
        <v>#N/A</v>
      </c>
      <c r="I242" s="3034" t="e">
        <v>#N/A</v>
      </c>
      <c r="J242" s="380" t="e">
        <v>#N/A</v>
      </c>
    </row>
    <row r="243" spans="1:10">
      <c r="A243" s="63">
        <f t="shared" si="4"/>
        <v>2025.06</v>
      </c>
      <c r="B243" s="252" t="e">
        <v>#N/A</v>
      </c>
      <c r="C243" s="3034" t="e">
        <v>#N/A</v>
      </c>
      <c r="D243" s="169" t="e">
        <v>#N/A</v>
      </c>
      <c r="E243" s="260" t="e">
        <v>#N/A</v>
      </c>
      <c r="F243" s="3034" t="e">
        <v>#N/A</v>
      </c>
      <c r="G243" s="169" t="e">
        <v>#N/A</v>
      </c>
      <c r="H243" s="260" t="e">
        <v>#N/A</v>
      </c>
      <c r="I243" s="3034" t="e">
        <v>#N/A</v>
      </c>
      <c r="J243" s="380" t="e">
        <v>#N/A</v>
      </c>
    </row>
    <row r="244" spans="1:10">
      <c r="A244" s="63">
        <f t="shared" si="4"/>
        <v>2025.07</v>
      </c>
      <c r="B244" s="252" t="e">
        <v>#N/A</v>
      </c>
      <c r="C244" s="3034" t="e">
        <v>#N/A</v>
      </c>
      <c r="D244" s="169" t="e">
        <v>#N/A</v>
      </c>
      <c r="E244" s="260" t="e">
        <v>#N/A</v>
      </c>
      <c r="F244" s="3034" t="e">
        <v>#N/A</v>
      </c>
      <c r="G244" s="169" t="e">
        <v>#N/A</v>
      </c>
      <c r="H244" s="260" t="e">
        <v>#N/A</v>
      </c>
      <c r="I244" s="3034" t="e">
        <v>#N/A</v>
      </c>
      <c r="J244" s="380" t="e">
        <v>#N/A</v>
      </c>
    </row>
    <row r="245" spans="1:10">
      <c r="A245" s="63">
        <f t="shared" si="4"/>
        <v>2025.08</v>
      </c>
      <c r="B245" s="252" t="e">
        <v>#N/A</v>
      </c>
      <c r="C245" s="3034" t="e">
        <v>#N/A</v>
      </c>
      <c r="D245" s="169" t="e">
        <v>#N/A</v>
      </c>
      <c r="E245" s="260" t="e">
        <v>#N/A</v>
      </c>
      <c r="F245" s="3034" t="e">
        <v>#N/A</v>
      </c>
      <c r="G245" s="169" t="e">
        <v>#N/A</v>
      </c>
      <c r="H245" s="260" t="e">
        <v>#N/A</v>
      </c>
      <c r="I245" s="3034" t="e">
        <v>#N/A</v>
      </c>
      <c r="J245" s="380" t="e">
        <v>#N/A</v>
      </c>
    </row>
    <row r="246" spans="1:10">
      <c r="A246" s="63">
        <f t="shared" si="4"/>
        <v>2025.09</v>
      </c>
      <c r="B246" s="252" t="e">
        <v>#N/A</v>
      </c>
      <c r="C246" s="3034" t="e">
        <v>#N/A</v>
      </c>
      <c r="D246" s="169" t="e">
        <v>#N/A</v>
      </c>
      <c r="E246" s="260" t="e">
        <v>#N/A</v>
      </c>
      <c r="F246" s="3034" t="e">
        <v>#N/A</v>
      </c>
      <c r="G246" s="169" t="e">
        <v>#N/A</v>
      </c>
      <c r="H246" s="260" t="e">
        <v>#N/A</v>
      </c>
      <c r="I246" s="3034" t="e">
        <v>#N/A</v>
      </c>
      <c r="J246" s="380" t="e">
        <v>#N/A</v>
      </c>
    </row>
    <row r="247" spans="1:10">
      <c r="A247" s="63">
        <f t="shared" si="4"/>
        <v>2025.1</v>
      </c>
      <c r="B247" s="252" t="e">
        <v>#N/A</v>
      </c>
      <c r="C247" s="3034" t="e">
        <v>#N/A</v>
      </c>
      <c r="D247" s="169" t="e">
        <v>#N/A</v>
      </c>
      <c r="E247" s="260" t="e">
        <v>#N/A</v>
      </c>
      <c r="F247" s="3034" t="e">
        <v>#N/A</v>
      </c>
      <c r="G247" s="169" t="e">
        <v>#N/A</v>
      </c>
      <c r="H247" s="260" t="e">
        <v>#N/A</v>
      </c>
      <c r="I247" s="3034" t="e">
        <v>#N/A</v>
      </c>
      <c r="J247" s="380" t="e">
        <v>#N/A</v>
      </c>
    </row>
    <row r="248" spans="1:10">
      <c r="A248" s="63">
        <f t="shared" si="4"/>
        <v>2025.11</v>
      </c>
      <c r="B248" s="252" t="e">
        <v>#N/A</v>
      </c>
      <c r="C248" s="3034" t="e">
        <v>#N/A</v>
      </c>
      <c r="D248" s="169" t="e">
        <v>#N/A</v>
      </c>
      <c r="E248" s="260" t="e">
        <v>#N/A</v>
      </c>
      <c r="F248" s="3034" t="e">
        <v>#N/A</v>
      </c>
      <c r="G248" s="169" t="e">
        <v>#N/A</v>
      </c>
      <c r="H248" s="260" t="e">
        <v>#N/A</v>
      </c>
      <c r="I248" s="3034" t="e">
        <v>#N/A</v>
      </c>
      <c r="J248" s="380" t="e">
        <v>#N/A</v>
      </c>
    </row>
    <row r="249" spans="1:10">
      <c r="A249" s="63">
        <f t="shared" si="4"/>
        <v>2025.12</v>
      </c>
      <c r="B249" s="252" t="e">
        <v>#N/A</v>
      </c>
      <c r="C249" s="3034" t="e">
        <v>#N/A</v>
      </c>
      <c r="D249" s="169" t="e">
        <v>#N/A</v>
      </c>
      <c r="E249" s="260" t="e">
        <v>#N/A</v>
      </c>
      <c r="F249" s="3034" t="e">
        <v>#N/A</v>
      </c>
      <c r="G249" s="169" t="e">
        <v>#N/A</v>
      </c>
      <c r="H249" s="260" t="e">
        <v>#N/A</v>
      </c>
      <c r="I249" s="3034" t="e">
        <v>#N/A</v>
      </c>
      <c r="J249" s="380" t="e">
        <v>#N/A</v>
      </c>
    </row>
    <row r="250" spans="1:10">
      <c r="A250" s="63">
        <f t="shared" si="4"/>
        <v>2026.01</v>
      </c>
      <c r="B250" s="252" t="e">
        <v>#N/A</v>
      </c>
      <c r="C250" s="3034" t="e">
        <v>#N/A</v>
      </c>
      <c r="D250" s="169" t="e">
        <v>#N/A</v>
      </c>
      <c r="E250" s="260" t="e">
        <v>#N/A</v>
      </c>
      <c r="F250" s="3034" t="e">
        <v>#N/A</v>
      </c>
      <c r="G250" s="169" t="e">
        <v>#N/A</v>
      </c>
      <c r="H250" s="260" t="e">
        <v>#N/A</v>
      </c>
      <c r="I250" s="3034" t="e">
        <v>#N/A</v>
      </c>
      <c r="J250" s="380" t="e">
        <v>#N/A</v>
      </c>
    </row>
    <row r="251" spans="1:10">
      <c r="A251" s="63">
        <f t="shared" si="4"/>
        <v>2026.02</v>
      </c>
      <c r="B251" s="252" t="e">
        <v>#N/A</v>
      </c>
      <c r="C251" s="3034" t="e">
        <v>#N/A</v>
      </c>
      <c r="D251" s="169" t="e">
        <v>#N/A</v>
      </c>
      <c r="E251" s="260" t="e">
        <v>#N/A</v>
      </c>
      <c r="F251" s="3034" t="e">
        <v>#N/A</v>
      </c>
      <c r="G251" s="169" t="e">
        <v>#N/A</v>
      </c>
      <c r="H251" s="260" t="e">
        <v>#N/A</v>
      </c>
      <c r="I251" s="3034" t="e">
        <v>#N/A</v>
      </c>
      <c r="J251" s="380" t="e">
        <v>#N/A</v>
      </c>
    </row>
    <row r="252" spans="1:10">
      <c r="A252" s="63">
        <f t="shared" si="4"/>
        <v>2026.03</v>
      </c>
      <c r="B252" s="252" t="e">
        <v>#N/A</v>
      </c>
      <c r="C252" s="3034" t="e">
        <v>#N/A</v>
      </c>
      <c r="D252" s="169" t="e">
        <v>#N/A</v>
      </c>
      <c r="E252" s="260" t="e">
        <v>#N/A</v>
      </c>
      <c r="F252" s="3034" t="e">
        <v>#N/A</v>
      </c>
      <c r="G252" s="169" t="e">
        <v>#N/A</v>
      </c>
      <c r="H252" s="260" t="e">
        <v>#N/A</v>
      </c>
      <c r="I252" s="3034" t="e">
        <v>#N/A</v>
      </c>
      <c r="J252" s="380" t="e">
        <v>#N/A</v>
      </c>
    </row>
    <row r="253" spans="1:10">
      <c r="A253" s="63">
        <f t="shared" si="4"/>
        <v>2026.04</v>
      </c>
      <c r="B253" s="252" t="e">
        <v>#N/A</v>
      </c>
      <c r="C253" s="3034" t="e">
        <v>#N/A</v>
      </c>
      <c r="D253" s="169" t="e">
        <v>#N/A</v>
      </c>
      <c r="E253" s="260" t="e">
        <v>#N/A</v>
      </c>
      <c r="F253" s="3034" t="e">
        <v>#N/A</v>
      </c>
      <c r="G253" s="169" t="e">
        <v>#N/A</v>
      </c>
      <c r="H253" s="260" t="e">
        <v>#N/A</v>
      </c>
      <c r="I253" s="3034" t="e">
        <v>#N/A</v>
      </c>
      <c r="J253" s="380" t="e">
        <v>#N/A</v>
      </c>
    </row>
    <row r="254" spans="1:10">
      <c r="A254" s="63">
        <f t="shared" si="4"/>
        <v>2026.05</v>
      </c>
      <c r="B254" s="252" t="e">
        <v>#N/A</v>
      </c>
      <c r="C254" s="3034" t="e">
        <v>#N/A</v>
      </c>
      <c r="D254" s="169" t="e">
        <v>#N/A</v>
      </c>
      <c r="E254" s="260" t="e">
        <v>#N/A</v>
      </c>
      <c r="F254" s="3034" t="e">
        <v>#N/A</v>
      </c>
      <c r="G254" s="169" t="e">
        <v>#N/A</v>
      </c>
      <c r="H254" s="260" t="e">
        <v>#N/A</v>
      </c>
      <c r="I254" s="3034" t="e">
        <v>#N/A</v>
      </c>
      <c r="J254" s="380" t="e">
        <v>#N/A</v>
      </c>
    </row>
    <row r="255" spans="1:10">
      <c r="A255" s="63">
        <f t="shared" si="4"/>
        <v>2026.06</v>
      </c>
      <c r="B255" s="252" t="e">
        <v>#N/A</v>
      </c>
      <c r="C255" s="3034" t="e">
        <v>#N/A</v>
      </c>
      <c r="D255" s="169" t="e">
        <v>#N/A</v>
      </c>
      <c r="E255" s="260" t="e">
        <v>#N/A</v>
      </c>
      <c r="F255" s="3034" t="e">
        <v>#N/A</v>
      </c>
      <c r="G255" s="169" t="e">
        <v>#N/A</v>
      </c>
      <c r="H255" s="260" t="e">
        <v>#N/A</v>
      </c>
      <c r="I255" s="3034" t="e">
        <v>#N/A</v>
      </c>
      <c r="J255" s="380" t="e">
        <v>#N/A</v>
      </c>
    </row>
    <row r="256" spans="1:10">
      <c r="A256" s="63">
        <f t="shared" si="4"/>
        <v>2026.07</v>
      </c>
      <c r="B256" s="252" t="e">
        <v>#N/A</v>
      </c>
      <c r="C256" s="3034" t="e">
        <v>#N/A</v>
      </c>
      <c r="D256" s="169" t="e">
        <v>#N/A</v>
      </c>
      <c r="E256" s="260" t="e">
        <v>#N/A</v>
      </c>
      <c r="F256" s="3034" t="e">
        <v>#N/A</v>
      </c>
      <c r="G256" s="169" t="e">
        <v>#N/A</v>
      </c>
      <c r="H256" s="260" t="e">
        <v>#N/A</v>
      </c>
      <c r="I256" s="3034" t="e">
        <v>#N/A</v>
      </c>
      <c r="J256" s="380" t="e">
        <v>#N/A</v>
      </c>
    </row>
    <row r="257" spans="1:10">
      <c r="A257" s="63">
        <f t="shared" si="4"/>
        <v>2026.08</v>
      </c>
      <c r="B257" s="252" t="e">
        <v>#N/A</v>
      </c>
      <c r="C257" s="3034" t="e">
        <v>#N/A</v>
      </c>
      <c r="D257" s="169" t="e">
        <v>#N/A</v>
      </c>
      <c r="E257" s="260" t="e">
        <v>#N/A</v>
      </c>
      <c r="F257" s="3034" t="e">
        <v>#N/A</v>
      </c>
      <c r="G257" s="169" t="e">
        <v>#N/A</v>
      </c>
      <c r="H257" s="260" t="e">
        <v>#N/A</v>
      </c>
      <c r="I257" s="3034" t="e">
        <v>#N/A</v>
      </c>
      <c r="J257" s="380" t="e">
        <v>#N/A</v>
      </c>
    </row>
    <row r="258" spans="1:10">
      <c r="A258" s="63">
        <f t="shared" si="4"/>
        <v>2026.09</v>
      </c>
      <c r="B258" s="252" t="e">
        <v>#N/A</v>
      </c>
      <c r="C258" s="3034" t="e">
        <v>#N/A</v>
      </c>
      <c r="D258" s="169" t="e">
        <v>#N/A</v>
      </c>
      <c r="E258" s="260" t="e">
        <v>#N/A</v>
      </c>
      <c r="F258" s="3034" t="e">
        <v>#N/A</v>
      </c>
      <c r="G258" s="169" t="e">
        <v>#N/A</v>
      </c>
      <c r="H258" s="260" t="e">
        <v>#N/A</v>
      </c>
      <c r="I258" s="3034" t="e">
        <v>#N/A</v>
      </c>
      <c r="J258" s="380" t="e">
        <v>#N/A</v>
      </c>
    </row>
    <row r="259" spans="1:10">
      <c r="A259" s="63">
        <f t="shared" si="4"/>
        <v>2026.1</v>
      </c>
      <c r="B259" s="252" t="e">
        <v>#N/A</v>
      </c>
      <c r="C259" s="3034" t="e">
        <v>#N/A</v>
      </c>
      <c r="D259" s="169" t="e">
        <v>#N/A</v>
      </c>
      <c r="E259" s="260" t="e">
        <v>#N/A</v>
      </c>
      <c r="F259" s="3034" t="e">
        <v>#N/A</v>
      </c>
      <c r="G259" s="169" t="e">
        <v>#N/A</v>
      </c>
      <c r="H259" s="260" t="e">
        <v>#N/A</v>
      </c>
      <c r="I259" s="3034" t="e">
        <v>#N/A</v>
      </c>
      <c r="J259" s="380" t="e">
        <v>#N/A</v>
      </c>
    </row>
    <row r="260" spans="1:10">
      <c r="A260" s="63">
        <f t="shared" si="4"/>
        <v>2026.11</v>
      </c>
      <c r="B260" s="252" t="e">
        <v>#N/A</v>
      </c>
      <c r="C260" s="3034" t="e">
        <v>#N/A</v>
      </c>
      <c r="D260" s="169" t="e">
        <v>#N/A</v>
      </c>
      <c r="E260" s="260" t="e">
        <v>#N/A</v>
      </c>
      <c r="F260" s="3034" t="e">
        <v>#N/A</v>
      </c>
      <c r="G260" s="169" t="e">
        <v>#N/A</v>
      </c>
      <c r="H260" s="260" t="e">
        <v>#N/A</v>
      </c>
      <c r="I260" s="3034" t="e">
        <v>#N/A</v>
      </c>
      <c r="J260" s="380" t="e">
        <v>#N/A</v>
      </c>
    </row>
    <row r="261" spans="1:10">
      <c r="A261" s="63">
        <f t="shared" si="4"/>
        <v>2026.12</v>
      </c>
      <c r="B261" s="252" t="e">
        <v>#N/A</v>
      </c>
      <c r="C261" s="3034" t="e">
        <v>#N/A</v>
      </c>
      <c r="D261" s="169" t="e">
        <v>#N/A</v>
      </c>
      <c r="E261" s="260" t="e">
        <v>#N/A</v>
      </c>
      <c r="F261" s="3034" t="e">
        <v>#N/A</v>
      </c>
      <c r="G261" s="169" t="e">
        <v>#N/A</v>
      </c>
      <c r="H261" s="260" t="e">
        <v>#N/A</v>
      </c>
      <c r="I261" s="3034" t="e">
        <v>#N/A</v>
      </c>
      <c r="J261" s="380" t="e">
        <v>#N/A</v>
      </c>
    </row>
    <row r="262" spans="1:10">
      <c r="A262" s="63">
        <f t="shared" si="4"/>
        <v>2027.01</v>
      </c>
      <c r="B262" s="252" t="e">
        <v>#N/A</v>
      </c>
      <c r="C262" s="3034" t="e">
        <v>#N/A</v>
      </c>
      <c r="D262" s="169" t="e">
        <v>#N/A</v>
      </c>
      <c r="E262" s="260" t="e">
        <v>#N/A</v>
      </c>
      <c r="F262" s="3034" t="e">
        <v>#N/A</v>
      </c>
      <c r="G262" s="169" t="e">
        <v>#N/A</v>
      </c>
      <c r="H262" s="260" t="e">
        <v>#N/A</v>
      </c>
      <c r="I262" s="3034" t="e">
        <v>#N/A</v>
      </c>
      <c r="J262" s="380" t="e">
        <v>#N/A</v>
      </c>
    </row>
    <row r="263" spans="1:10">
      <c r="A263" s="63">
        <f t="shared" si="4"/>
        <v>2027.02</v>
      </c>
      <c r="B263" s="252" t="e">
        <v>#N/A</v>
      </c>
      <c r="C263" s="3034" t="e">
        <v>#N/A</v>
      </c>
      <c r="D263" s="169" t="e">
        <v>#N/A</v>
      </c>
      <c r="E263" s="260" t="e">
        <v>#N/A</v>
      </c>
      <c r="F263" s="3034" t="e">
        <v>#N/A</v>
      </c>
      <c r="G263" s="169" t="e">
        <v>#N/A</v>
      </c>
      <c r="H263" s="260" t="e">
        <v>#N/A</v>
      </c>
      <c r="I263" s="3034" t="e">
        <v>#N/A</v>
      </c>
      <c r="J263" s="380" t="e">
        <v>#N/A</v>
      </c>
    </row>
    <row r="264" spans="1:10">
      <c r="A264" s="63">
        <f t="shared" si="4"/>
        <v>2027.03</v>
      </c>
      <c r="B264" s="252" t="e">
        <v>#N/A</v>
      </c>
      <c r="C264" s="3034" t="e">
        <v>#N/A</v>
      </c>
      <c r="D264" s="169" t="e">
        <v>#N/A</v>
      </c>
      <c r="E264" s="260" t="e">
        <v>#N/A</v>
      </c>
      <c r="F264" s="3034" t="e">
        <v>#N/A</v>
      </c>
      <c r="G264" s="169" t="e">
        <v>#N/A</v>
      </c>
      <c r="H264" s="260" t="e">
        <v>#N/A</v>
      </c>
      <c r="I264" s="3034" t="e">
        <v>#N/A</v>
      </c>
      <c r="J264" s="380" t="e">
        <v>#N/A</v>
      </c>
    </row>
    <row r="265" spans="1:10">
      <c r="A265" s="63">
        <f t="shared" si="4"/>
        <v>2027.04</v>
      </c>
      <c r="B265" s="252" t="e">
        <v>#N/A</v>
      </c>
      <c r="C265" s="3034" t="e">
        <v>#N/A</v>
      </c>
      <c r="D265" s="169" t="e">
        <v>#N/A</v>
      </c>
      <c r="E265" s="260" t="e">
        <v>#N/A</v>
      </c>
      <c r="F265" s="3034" t="e">
        <v>#N/A</v>
      </c>
      <c r="G265" s="169" t="e">
        <v>#N/A</v>
      </c>
      <c r="H265" s="260" t="e">
        <v>#N/A</v>
      </c>
      <c r="I265" s="3034" t="e">
        <v>#N/A</v>
      </c>
      <c r="J265" s="380" t="e">
        <v>#N/A</v>
      </c>
    </row>
    <row r="266" spans="1:10">
      <c r="A266" s="63">
        <f t="shared" si="4"/>
        <v>2027.05</v>
      </c>
      <c r="B266" s="252" t="e">
        <v>#N/A</v>
      </c>
      <c r="C266" s="3034" t="e">
        <v>#N/A</v>
      </c>
      <c r="D266" s="169" t="e">
        <v>#N/A</v>
      </c>
      <c r="E266" s="260" t="e">
        <v>#N/A</v>
      </c>
      <c r="F266" s="3034" t="e">
        <v>#N/A</v>
      </c>
      <c r="G266" s="169" t="e">
        <v>#N/A</v>
      </c>
      <c r="H266" s="260" t="e">
        <v>#N/A</v>
      </c>
      <c r="I266" s="3034" t="e">
        <v>#N/A</v>
      </c>
      <c r="J266" s="380" t="e">
        <v>#N/A</v>
      </c>
    </row>
    <row r="267" spans="1:10">
      <c r="A267" s="63">
        <f t="shared" si="4"/>
        <v>2027.06</v>
      </c>
      <c r="B267" s="252" t="e">
        <v>#N/A</v>
      </c>
      <c r="C267" s="3034" t="e">
        <v>#N/A</v>
      </c>
      <c r="D267" s="169" t="e">
        <v>#N/A</v>
      </c>
      <c r="E267" s="260" t="e">
        <v>#N/A</v>
      </c>
      <c r="F267" s="3034" t="e">
        <v>#N/A</v>
      </c>
      <c r="G267" s="169" t="e">
        <v>#N/A</v>
      </c>
      <c r="H267" s="260" t="e">
        <v>#N/A</v>
      </c>
      <c r="I267" s="3034" t="e">
        <v>#N/A</v>
      </c>
      <c r="J267" s="380" t="e">
        <v>#N/A</v>
      </c>
    </row>
    <row r="268" spans="1:10">
      <c r="A268" s="63">
        <f t="shared" si="4"/>
        <v>2027.07</v>
      </c>
      <c r="B268" s="252" t="e">
        <v>#N/A</v>
      </c>
      <c r="C268" s="3034" t="e">
        <v>#N/A</v>
      </c>
      <c r="D268" s="169" t="e">
        <v>#N/A</v>
      </c>
      <c r="E268" s="260" t="e">
        <v>#N/A</v>
      </c>
      <c r="F268" s="3034" t="e">
        <v>#N/A</v>
      </c>
      <c r="G268" s="169" t="e">
        <v>#N/A</v>
      </c>
      <c r="H268" s="260" t="e">
        <v>#N/A</v>
      </c>
      <c r="I268" s="3034" t="e">
        <v>#N/A</v>
      </c>
      <c r="J268" s="380" t="e">
        <v>#N/A</v>
      </c>
    </row>
    <row r="269" spans="1:10">
      <c r="A269" s="63">
        <f t="shared" si="4"/>
        <v>2027.08</v>
      </c>
      <c r="B269" s="252" t="e">
        <v>#N/A</v>
      </c>
      <c r="C269" s="3034" t="e">
        <v>#N/A</v>
      </c>
      <c r="D269" s="169" t="e">
        <v>#N/A</v>
      </c>
      <c r="E269" s="260" t="e">
        <v>#N/A</v>
      </c>
      <c r="F269" s="3034" t="e">
        <v>#N/A</v>
      </c>
      <c r="G269" s="169" t="e">
        <v>#N/A</v>
      </c>
      <c r="H269" s="260" t="e">
        <v>#N/A</v>
      </c>
      <c r="I269" s="3034" t="e">
        <v>#N/A</v>
      </c>
      <c r="J269" s="380" t="e">
        <v>#N/A</v>
      </c>
    </row>
    <row r="270" spans="1:10">
      <c r="A270" s="63">
        <f t="shared" si="4"/>
        <v>2027.09</v>
      </c>
      <c r="B270" s="252" t="e">
        <v>#N/A</v>
      </c>
      <c r="C270" s="3034" t="e">
        <v>#N/A</v>
      </c>
      <c r="D270" s="169" t="e">
        <v>#N/A</v>
      </c>
      <c r="E270" s="260" t="e">
        <v>#N/A</v>
      </c>
      <c r="F270" s="3034" t="e">
        <v>#N/A</v>
      </c>
      <c r="G270" s="169" t="e">
        <v>#N/A</v>
      </c>
      <c r="H270" s="260" t="e">
        <v>#N/A</v>
      </c>
      <c r="I270" s="3034" t="e">
        <v>#N/A</v>
      </c>
      <c r="J270" s="380" t="e">
        <v>#N/A</v>
      </c>
    </row>
    <row r="271" spans="1:10">
      <c r="A271" s="63">
        <f t="shared" si="4"/>
        <v>2027.1</v>
      </c>
      <c r="B271" s="252" t="e">
        <v>#N/A</v>
      </c>
      <c r="C271" s="3034" t="e">
        <v>#N/A</v>
      </c>
      <c r="D271" s="169" t="e">
        <v>#N/A</v>
      </c>
      <c r="E271" s="260" t="e">
        <v>#N/A</v>
      </c>
      <c r="F271" s="3034" t="e">
        <v>#N/A</v>
      </c>
      <c r="G271" s="169" t="e">
        <v>#N/A</v>
      </c>
      <c r="H271" s="260" t="e">
        <v>#N/A</v>
      </c>
      <c r="I271" s="3034" t="e">
        <v>#N/A</v>
      </c>
      <c r="J271" s="380" t="e">
        <v>#N/A</v>
      </c>
    </row>
    <row r="272" spans="1:10">
      <c r="A272" s="63">
        <f t="shared" si="4"/>
        <v>2027.11</v>
      </c>
      <c r="B272" s="252" t="e">
        <v>#N/A</v>
      </c>
      <c r="C272" s="3034" t="e">
        <v>#N/A</v>
      </c>
      <c r="D272" s="169" t="e">
        <v>#N/A</v>
      </c>
      <c r="E272" s="260" t="e">
        <v>#N/A</v>
      </c>
      <c r="F272" s="3034" t="e">
        <v>#N/A</v>
      </c>
      <c r="G272" s="169" t="e">
        <v>#N/A</v>
      </c>
      <c r="H272" s="260" t="e">
        <v>#N/A</v>
      </c>
      <c r="I272" s="3034" t="e">
        <v>#N/A</v>
      </c>
      <c r="J272" s="380" t="e">
        <v>#N/A</v>
      </c>
    </row>
    <row r="273" spans="1:10">
      <c r="A273" s="63">
        <f t="shared" si="4"/>
        <v>2027.12</v>
      </c>
      <c r="B273" s="252" t="e">
        <v>#N/A</v>
      </c>
      <c r="C273" s="3034" t="e">
        <v>#N/A</v>
      </c>
      <c r="D273" s="169" t="e">
        <v>#N/A</v>
      </c>
      <c r="E273" s="260" t="e">
        <v>#N/A</v>
      </c>
      <c r="F273" s="3034" t="e">
        <v>#N/A</v>
      </c>
      <c r="G273" s="169" t="e">
        <v>#N/A</v>
      </c>
      <c r="H273" s="260" t="e">
        <v>#N/A</v>
      </c>
      <c r="I273" s="3034" t="e">
        <v>#N/A</v>
      </c>
      <c r="J273" s="380" t="e">
        <v>#N/A</v>
      </c>
    </row>
    <row r="274" spans="1:10">
      <c r="A274" s="63">
        <f t="shared" si="4"/>
        <v>2028.01</v>
      </c>
      <c r="B274" s="252" t="e">
        <v>#N/A</v>
      </c>
      <c r="C274" s="3034" t="e">
        <v>#N/A</v>
      </c>
      <c r="D274" s="169" t="e">
        <v>#N/A</v>
      </c>
      <c r="E274" s="260" t="e">
        <v>#N/A</v>
      </c>
      <c r="F274" s="3034" t="e">
        <v>#N/A</v>
      </c>
      <c r="G274" s="169" t="e">
        <v>#N/A</v>
      </c>
      <c r="H274" s="260" t="e">
        <v>#N/A</v>
      </c>
      <c r="I274" s="3034" t="e">
        <v>#N/A</v>
      </c>
      <c r="J274" s="380" t="e">
        <v>#N/A</v>
      </c>
    </row>
    <row r="275" spans="1:10">
      <c r="A275" s="63">
        <f t="shared" si="4"/>
        <v>2028.02</v>
      </c>
      <c r="B275" s="252" t="e">
        <v>#N/A</v>
      </c>
      <c r="C275" s="3034" t="e">
        <v>#N/A</v>
      </c>
      <c r="D275" s="169" t="e">
        <v>#N/A</v>
      </c>
      <c r="E275" s="260" t="e">
        <v>#N/A</v>
      </c>
      <c r="F275" s="3034" t="e">
        <v>#N/A</v>
      </c>
      <c r="G275" s="169" t="e">
        <v>#N/A</v>
      </c>
      <c r="H275" s="260" t="e">
        <v>#N/A</v>
      </c>
      <c r="I275" s="3034" t="e">
        <v>#N/A</v>
      </c>
      <c r="J275" s="380" t="e">
        <v>#N/A</v>
      </c>
    </row>
    <row r="276" spans="1:10">
      <c r="A276" s="63">
        <f t="shared" si="4"/>
        <v>2028.03</v>
      </c>
      <c r="B276" s="252" t="e">
        <v>#N/A</v>
      </c>
      <c r="C276" s="3034" t="e">
        <v>#N/A</v>
      </c>
      <c r="D276" s="169" t="e">
        <v>#N/A</v>
      </c>
      <c r="E276" s="260" t="e">
        <v>#N/A</v>
      </c>
      <c r="F276" s="3034" t="e">
        <v>#N/A</v>
      </c>
      <c r="G276" s="169" t="e">
        <v>#N/A</v>
      </c>
      <c r="H276" s="260" t="e">
        <v>#N/A</v>
      </c>
      <c r="I276" s="3034" t="e">
        <v>#N/A</v>
      </c>
      <c r="J276" s="380" t="e">
        <v>#N/A</v>
      </c>
    </row>
    <row r="277" spans="1:10">
      <c r="A277" s="63">
        <f t="shared" si="4"/>
        <v>2028.04</v>
      </c>
      <c r="B277" s="252" t="e">
        <v>#N/A</v>
      </c>
      <c r="C277" s="3034" t="e">
        <v>#N/A</v>
      </c>
      <c r="D277" s="169" t="e">
        <v>#N/A</v>
      </c>
      <c r="E277" s="260" t="e">
        <v>#N/A</v>
      </c>
      <c r="F277" s="3034" t="e">
        <v>#N/A</v>
      </c>
      <c r="G277" s="169" t="e">
        <v>#N/A</v>
      </c>
      <c r="H277" s="260" t="e">
        <v>#N/A</v>
      </c>
      <c r="I277" s="3034" t="e">
        <v>#N/A</v>
      </c>
      <c r="J277" s="380" t="e">
        <v>#N/A</v>
      </c>
    </row>
    <row r="278" spans="1:10">
      <c r="A278" s="63">
        <f t="shared" si="4"/>
        <v>2028.05</v>
      </c>
      <c r="B278" s="252" t="e">
        <v>#N/A</v>
      </c>
      <c r="C278" s="3034" t="e">
        <v>#N/A</v>
      </c>
      <c r="D278" s="169" t="e">
        <v>#N/A</v>
      </c>
      <c r="E278" s="260" t="e">
        <v>#N/A</v>
      </c>
      <c r="F278" s="3034" t="e">
        <v>#N/A</v>
      </c>
      <c r="G278" s="169" t="e">
        <v>#N/A</v>
      </c>
      <c r="H278" s="260" t="e">
        <v>#N/A</v>
      </c>
      <c r="I278" s="3034" t="e">
        <v>#N/A</v>
      </c>
      <c r="J278" s="380" t="e">
        <v>#N/A</v>
      </c>
    </row>
    <row r="279" spans="1:10">
      <c r="A279" s="63">
        <f t="shared" si="4"/>
        <v>2028.06</v>
      </c>
      <c r="B279" s="252" t="e">
        <v>#N/A</v>
      </c>
      <c r="C279" s="3034" t="e">
        <v>#N/A</v>
      </c>
      <c r="D279" s="169" t="e">
        <v>#N/A</v>
      </c>
      <c r="E279" s="260" t="e">
        <v>#N/A</v>
      </c>
      <c r="F279" s="3034" t="e">
        <v>#N/A</v>
      </c>
      <c r="G279" s="169" t="e">
        <v>#N/A</v>
      </c>
      <c r="H279" s="260" t="e">
        <v>#N/A</v>
      </c>
      <c r="I279" s="3034" t="e">
        <v>#N/A</v>
      </c>
      <c r="J279" s="380" t="e">
        <v>#N/A</v>
      </c>
    </row>
    <row r="280" spans="1:10">
      <c r="A280" s="63">
        <f t="shared" si="4"/>
        <v>2028.07</v>
      </c>
      <c r="B280" s="252" t="e">
        <v>#N/A</v>
      </c>
      <c r="C280" s="3034" t="e">
        <v>#N/A</v>
      </c>
      <c r="D280" s="169" t="e">
        <v>#N/A</v>
      </c>
      <c r="E280" s="260" t="e">
        <v>#N/A</v>
      </c>
      <c r="F280" s="3034" t="e">
        <v>#N/A</v>
      </c>
      <c r="G280" s="169" t="e">
        <v>#N/A</v>
      </c>
      <c r="H280" s="260" t="e">
        <v>#N/A</v>
      </c>
      <c r="I280" s="3034" t="e">
        <v>#N/A</v>
      </c>
      <c r="J280" s="380" t="e">
        <v>#N/A</v>
      </c>
    </row>
    <row r="281" spans="1:10">
      <c r="A281" s="63">
        <f t="shared" si="4"/>
        <v>2028.08</v>
      </c>
      <c r="B281" s="252" t="e">
        <v>#N/A</v>
      </c>
      <c r="C281" s="3034" t="e">
        <v>#N/A</v>
      </c>
      <c r="D281" s="169" t="e">
        <v>#N/A</v>
      </c>
      <c r="E281" s="260" t="e">
        <v>#N/A</v>
      </c>
      <c r="F281" s="3034" t="e">
        <v>#N/A</v>
      </c>
      <c r="G281" s="169" t="e">
        <v>#N/A</v>
      </c>
      <c r="H281" s="260" t="e">
        <v>#N/A</v>
      </c>
      <c r="I281" s="3034" t="e">
        <v>#N/A</v>
      </c>
      <c r="J281" s="380" t="e">
        <v>#N/A</v>
      </c>
    </row>
    <row r="282" spans="1:10">
      <c r="A282" s="63">
        <f t="shared" si="4"/>
        <v>2028.09</v>
      </c>
      <c r="B282" s="252" t="e">
        <v>#N/A</v>
      </c>
      <c r="C282" s="3034" t="e">
        <v>#N/A</v>
      </c>
      <c r="D282" s="169" t="e">
        <v>#N/A</v>
      </c>
      <c r="E282" s="260" t="e">
        <v>#N/A</v>
      </c>
      <c r="F282" s="3034" t="e">
        <v>#N/A</v>
      </c>
      <c r="G282" s="169" t="e">
        <v>#N/A</v>
      </c>
      <c r="H282" s="260" t="e">
        <v>#N/A</v>
      </c>
      <c r="I282" s="3034" t="e">
        <v>#N/A</v>
      </c>
      <c r="J282" s="380" t="e">
        <v>#N/A</v>
      </c>
    </row>
    <row r="283" spans="1:10">
      <c r="A283" s="63">
        <f t="shared" si="4"/>
        <v>2028.1</v>
      </c>
      <c r="B283" s="252" t="e">
        <v>#N/A</v>
      </c>
      <c r="C283" s="3034" t="e">
        <v>#N/A</v>
      </c>
      <c r="D283" s="169" t="e">
        <v>#N/A</v>
      </c>
      <c r="E283" s="260" t="e">
        <v>#N/A</v>
      </c>
      <c r="F283" s="3034" t="e">
        <v>#N/A</v>
      </c>
      <c r="G283" s="169" t="e">
        <v>#N/A</v>
      </c>
      <c r="H283" s="260" t="e">
        <v>#N/A</v>
      </c>
      <c r="I283" s="3034" t="e">
        <v>#N/A</v>
      </c>
      <c r="J283" s="380" t="e">
        <v>#N/A</v>
      </c>
    </row>
    <row r="284" spans="1:10">
      <c r="A284" s="63">
        <f t="shared" si="4"/>
        <v>2028.11</v>
      </c>
      <c r="B284" s="252" t="e">
        <v>#N/A</v>
      </c>
      <c r="C284" s="3034" t="e">
        <v>#N/A</v>
      </c>
      <c r="D284" s="169" t="e">
        <v>#N/A</v>
      </c>
      <c r="E284" s="260" t="e">
        <v>#N/A</v>
      </c>
      <c r="F284" s="3034" t="e">
        <v>#N/A</v>
      </c>
      <c r="G284" s="169" t="e">
        <v>#N/A</v>
      </c>
      <c r="H284" s="260" t="e">
        <v>#N/A</v>
      </c>
      <c r="I284" s="3034" t="e">
        <v>#N/A</v>
      </c>
      <c r="J284" s="380" t="e">
        <v>#N/A</v>
      </c>
    </row>
    <row r="285" spans="1:10">
      <c r="A285" s="63">
        <f t="shared" si="4"/>
        <v>2028.12</v>
      </c>
      <c r="B285" s="252" t="e">
        <v>#N/A</v>
      </c>
      <c r="C285" s="3034" t="e">
        <v>#N/A</v>
      </c>
      <c r="D285" s="169" t="e">
        <v>#N/A</v>
      </c>
      <c r="E285" s="260" t="e">
        <v>#N/A</v>
      </c>
      <c r="F285" s="3034" t="e">
        <v>#N/A</v>
      </c>
      <c r="G285" s="169" t="e">
        <v>#N/A</v>
      </c>
      <c r="H285" s="260" t="e">
        <v>#N/A</v>
      </c>
      <c r="I285" s="3034" t="e">
        <v>#N/A</v>
      </c>
      <c r="J285" s="380" t="e">
        <v>#N/A</v>
      </c>
    </row>
    <row r="286" spans="1:10">
      <c r="A286" s="63">
        <f t="shared" si="4"/>
        <v>2029.01</v>
      </c>
      <c r="B286" s="252" t="e">
        <v>#N/A</v>
      </c>
      <c r="C286" s="3034" t="e">
        <v>#N/A</v>
      </c>
      <c r="D286" s="169" t="e">
        <v>#N/A</v>
      </c>
      <c r="E286" s="260" t="e">
        <v>#N/A</v>
      </c>
      <c r="F286" s="3034" t="e">
        <v>#N/A</v>
      </c>
      <c r="G286" s="169" t="e">
        <v>#N/A</v>
      </c>
      <c r="H286" s="260" t="e">
        <v>#N/A</v>
      </c>
      <c r="I286" s="3034" t="e">
        <v>#N/A</v>
      </c>
      <c r="J286" s="380" t="e">
        <v>#N/A</v>
      </c>
    </row>
    <row r="287" spans="1:10">
      <c r="A287" s="63">
        <f t="shared" si="4"/>
        <v>2029.02</v>
      </c>
      <c r="B287" s="252" t="e">
        <v>#N/A</v>
      </c>
      <c r="C287" s="3034" t="e">
        <v>#N/A</v>
      </c>
      <c r="D287" s="169" t="e">
        <v>#N/A</v>
      </c>
      <c r="E287" s="260" t="e">
        <v>#N/A</v>
      </c>
      <c r="F287" s="3034" t="e">
        <v>#N/A</v>
      </c>
      <c r="G287" s="169" t="e">
        <v>#N/A</v>
      </c>
      <c r="H287" s="260" t="e">
        <v>#N/A</v>
      </c>
      <c r="I287" s="3034" t="e">
        <v>#N/A</v>
      </c>
      <c r="J287" s="380" t="e">
        <v>#N/A</v>
      </c>
    </row>
    <row r="288" spans="1:10">
      <c r="A288" s="63">
        <f t="shared" si="4"/>
        <v>2029.03</v>
      </c>
      <c r="B288" s="252" t="e">
        <v>#N/A</v>
      </c>
      <c r="C288" s="3034" t="e">
        <v>#N/A</v>
      </c>
      <c r="D288" s="169" t="e">
        <v>#N/A</v>
      </c>
      <c r="E288" s="260" t="e">
        <v>#N/A</v>
      </c>
      <c r="F288" s="3034" t="e">
        <v>#N/A</v>
      </c>
      <c r="G288" s="169" t="e">
        <v>#N/A</v>
      </c>
      <c r="H288" s="260" t="e">
        <v>#N/A</v>
      </c>
      <c r="I288" s="3034" t="e">
        <v>#N/A</v>
      </c>
      <c r="J288" s="380" t="e">
        <v>#N/A</v>
      </c>
    </row>
    <row r="289" spans="1:10">
      <c r="A289" s="63">
        <f t="shared" si="4"/>
        <v>2029.04</v>
      </c>
      <c r="B289" s="252" t="e">
        <v>#N/A</v>
      </c>
      <c r="C289" s="3034" t="e">
        <v>#N/A</v>
      </c>
      <c r="D289" s="169" t="e">
        <v>#N/A</v>
      </c>
      <c r="E289" s="260" t="e">
        <v>#N/A</v>
      </c>
      <c r="F289" s="3034" t="e">
        <v>#N/A</v>
      </c>
      <c r="G289" s="169" t="e">
        <v>#N/A</v>
      </c>
      <c r="H289" s="260" t="e">
        <v>#N/A</v>
      </c>
      <c r="I289" s="3034" t="e">
        <v>#N/A</v>
      </c>
      <c r="J289" s="380" t="e">
        <v>#N/A</v>
      </c>
    </row>
    <row r="290" spans="1:10">
      <c r="A290" s="63">
        <f t="shared" ref="A290:A309" si="5">A278+1</f>
        <v>2029.05</v>
      </c>
      <c r="B290" s="252" t="e">
        <v>#N/A</v>
      </c>
      <c r="C290" s="3034" t="e">
        <v>#N/A</v>
      </c>
      <c r="D290" s="169" t="e">
        <v>#N/A</v>
      </c>
      <c r="E290" s="260" t="e">
        <v>#N/A</v>
      </c>
      <c r="F290" s="3034" t="e">
        <v>#N/A</v>
      </c>
      <c r="G290" s="169" t="e">
        <v>#N/A</v>
      </c>
      <c r="H290" s="260" t="e">
        <v>#N/A</v>
      </c>
      <c r="I290" s="3034" t="e">
        <v>#N/A</v>
      </c>
      <c r="J290" s="380" t="e">
        <v>#N/A</v>
      </c>
    </row>
    <row r="291" spans="1:10">
      <c r="A291" s="63">
        <f t="shared" si="5"/>
        <v>2029.06</v>
      </c>
      <c r="B291" s="252" t="e">
        <v>#N/A</v>
      </c>
      <c r="C291" s="3034" t="e">
        <v>#N/A</v>
      </c>
      <c r="D291" s="169" t="e">
        <v>#N/A</v>
      </c>
      <c r="E291" s="260" t="e">
        <v>#N/A</v>
      </c>
      <c r="F291" s="3034" t="e">
        <v>#N/A</v>
      </c>
      <c r="G291" s="169" t="e">
        <v>#N/A</v>
      </c>
      <c r="H291" s="260" t="e">
        <v>#N/A</v>
      </c>
      <c r="I291" s="3034" t="e">
        <v>#N/A</v>
      </c>
      <c r="J291" s="380" t="e">
        <v>#N/A</v>
      </c>
    </row>
    <row r="292" spans="1:10">
      <c r="A292" s="63">
        <f t="shared" si="5"/>
        <v>2029.07</v>
      </c>
      <c r="B292" s="252" t="e">
        <v>#N/A</v>
      </c>
      <c r="C292" s="3034" t="e">
        <v>#N/A</v>
      </c>
      <c r="D292" s="169" t="e">
        <v>#N/A</v>
      </c>
      <c r="E292" s="260" t="e">
        <v>#N/A</v>
      </c>
      <c r="F292" s="3034" t="e">
        <v>#N/A</v>
      </c>
      <c r="G292" s="169" t="e">
        <v>#N/A</v>
      </c>
      <c r="H292" s="260" t="e">
        <v>#N/A</v>
      </c>
      <c r="I292" s="3034" t="e">
        <v>#N/A</v>
      </c>
      <c r="J292" s="380" t="e">
        <v>#N/A</v>
      </c>
    </row>
    <row r="293" spans="1:10">
      <c r="A293" s="63">
        <f t="shared" si="5"/>
        <v>2029.08</v>
      </c>
      <c r="B293" s="252" t="e">
        <v>#N/A</v>
      </c>
      <c r="C293" s="3034" t="e">
        <v>#N/A</v>
      </c>
      <c r="D293" s="169" t="e">
        <v>#N/A</v>
      </c>
      <c r="E293" s="260" t="e">
        <v>#N/A</v>
      </c>
      <c r="F293" s="3034" t="e">
        <v>#N/A</v>
      </c>
      <c r="G293" s="169" t="e">
        <v>#N/A</v>
      </c>
      <c r="H293" s="260" t="e">
        <v>#N/A</v>
      </c>
      <c r="I293" s="3034" t="e">
        <v>#N/A</v>
      </c>
      <c r="J293" s="380" t="e">
        <v>#N/A</v>
      </c>
    </row>
    <row r="294" spans="1:10">
      <c r="A294" s="63">
        <f t="shared" si="5"/>
        <v>2029.09</v>
      </c>
      <c r="B294" s="252" t="e">
        <v>#N/A</v>
      </c>
      <c r="C294" s="3034" t="e">
        <v>#N/A</v>
      </c>
      <c r="D294" s="169" t="e">
        <v>#N/A</v>
      </c>
      <c r="E294" s="260" t="e">
        <v>#N/A</v>
      </c>
      <c r="F294" s="3034" t="e">
        <v>#N/A</v>
      </c>
      <c r="G294" s="169" t="e">
        <v>#N/A</v>
      </c>
      <c r="H294" s="260" t="e">
        <v>#N/A</v>
      </c>
      <c r="I294" s="3034" t="e">
        <v>#N/A</v>
      </c>
      <c r="J294" s="380" t="e">
        <v>#N/A</v>
      </c>
    </row>
    <row r="295" spans="1:10">
      <c r="A295" s="63">
        <f t="shared" si="5"/>
        <v>2029.1</v>
      </c>
      <c r="B295" s="252" t="e">
        <v>#N/A</v>
      </c>
      <c r="C295" s="3034" t="e">
        <v>#N/A</v>
      </c>
      <c r="D295" s="169" t="e">
        <v>#N/A</v>
      </c>
      <c r="E295" s="260" t="e">
        <v>#N/A</v>
      </c>
      <c r="F295" s="3034" t="e">
        <v>#N/A</v>
      </c>
      <c r="G295" s="169" t="e">
        <v>#N/A</v>
      </c>
      <c r="H295" s="260" t="e">
        <v>#N/A</v>
      </c>
      <c r="I295" s="3034" t="e">
        <v>#N/A</v>
      </c>
      <c r="J295" s="380" t="e">
        <v>#N/A</v>
      </c>
    </row>
    <row r="296" spans="1:10">
      <c r="A296" s="63">
        <f t="shared" si="5"/>
        <v>2029.11</v>
      </c>
      <c r="B296" s="252" t="e">
        <v>#N/A</v>
      </c>
      <c r="C296" s="3034" t="e">
        <v>#N/A</v>
      </c>
      <c r="D296" s="169" t="e">
        <v>#N/A</v>
      </c>
      <c r="E296" s="260" t="e">
        <v>#N/A</v>
      </c>
      <c r="F296" s="3034" t="e">
        <v>#N/A</v>
      </c>
      <c r="G296" s="169" t="e">
        <v>#N/A</v>
      </c>
      <c r="H296" s="260" t="e">
        <v>#N/A</v>
      </c>
      <c r="I296" s="3034" t="e">
        <v>#N/A</v>
      </c>
      <c r="J296" s="380" t="e">
        <v>#N/A</v>
      </c>
    </row>
    <row r="297" spans="1:10">
      <c r="A297" s="63">
        <f t="shared" si="5"/>
        <v>2029.12</v>
      </c>
      <c r="B297" s="252" t="e">
        <v>#N/A</v>
      </c>
      <c r="C297" s="3034" t="e">
        <v>#N/A</v>
      </c>
      <c r="D297" s="169" t="e">
        <v>#N/A</v>
      </c>
      <c r="E297" s="260" t="e">
        <v>#N/A</v>
      </c>
      <c r="F297" s="3034" t="e">
        <v>#N/A</v>
      </c>
      <c r="G297" s="169" t="e">
        <v>#N/A</v>
      </c>
      <c r="H297" s="260" t="e">
        <v>#N/A</v>
      </c>
      <c r="I297" s="3034" t="e">
        <v>#N/A</v>
      </c>
      <c r="J297" s="380" t="e">
        <v>#N/A</v>
      </c>
    </row>
    <row r="298" spans="1:10">
      <c r="A298" s="63">
        <f t="shared" si="5"/>
        <v>2030.01</v>
      </c>
      <c r="B298" s="252" t="e">
        <v>#N/A</v>
      </c>
      <c r="C298" s="3034" t="e">
        <v>#N/A</v>
      </c>
      <c r="D298" s="169" t="e">
        <v>#N/A</v>
      </c>
      <c r="E298" s="260" t="e">
        <v>#N/A</v>
      </c>
      <c r="F298" s="3034" t="e">
        <v>#N/A</v>
      </c>
      <c r="G298" s="169" t="e">
        <v>#N/A</v>
      </c>
      <c r="H298" s="260" t="e">
        <v>#N/A</v>
      </c>
      <c r="I298" s="3034" t="e">
        <v>#N/A</v>
      </c>
      <c r="J298" s="380" t="e">
        <v>#N/A</v>
      </c>
    </row>
    <row r="299" spans="1:10">
      <c r="A299" s="63">
        <f t="shared" si="5"/>
        <v>2030.02</v>
      </c>
      <c r="B299" s="252" t="e">
        <v>#N/A</v>
      </c>
      <c r="C299" s="3034" t="e">
        <v>#N/A</v>
      </c>
      <c r="D299" s="169" t="e">
        <v>#N/A</v>
      </c>
      <c r="E299" s="260" t="e">
        <v>#N/A</v>
      </c>
      <c r="F299" s="3034" t="e">
        <v>#N/A</v>
      </c>
      <c r="G299" s="169" t="e">
        <v>#N/A</v>
      </c>
      <c r="H299" s="260" t="e">
        <v>#N/A</v>
      </c>
      <c r="I299" s="3034" t="e">
        <v>#N/A</v>
      </c>
      <c r="J299" s="380" t="e">
        <v>#N/A</v>
      </c>
    </row>
    <row r="300" spans="1:10">
      <c r="A300" s="63">
        <f t="shared" si="5"/>
        <v>2030.03</v>
      </c>
      <c r="B300" s="252" t="e">
        <v>#N/A</v>
      </c>
      <c r="C300" s="3034" t="e">
        <v>#N/A</v>
      </c>
      <c r="D300" s="169" t="e">
        <v>#N/A</v>
      </c>
      <c r="E300" s="260" t="e">
        <v>#N/A</v>
      </c>
      <c r="F300" s="3034" t="e">
        <v>#N/A</v>
      </c>
      <c r="G300" s="169" t="e">
        <v>#N/A</v>
      </c>
      <c r="H300" s="260" t="e">
        <v>#N/A</v>
      </c>
      <c r="I300" s="3034" t="e">
        <v>#N/A</v>
      </c>
      <c r="J300" s="380" t="e">
        <v>#N/A</v>
      </c>
    </row>
    <row r="301" spans="1:10">
      <c r="A301" s="63">
        <f t="shared" si="5"/>
        <v>2030.04</v>
      </c>
      <c r="B301" s="252" t="e">
        <v>#N/A</v>
      </c>
      <c r="C301" s="3034" t="e">
        <v>#N/A</v>
      </c>
      <c r="D301" s="169" t="e">
        <v>#N/A</v>
      </c>
      <c r="E301" s="260" t="e">
        <v>#N/A</v>
      </c>
      <c r="F301" s="3034" t="e">
        <v>#N/A</v>
      </c>
      <c r="G301" s="169" t="e">
        <v>#N/A</v>
      </c>
      <c r="H301" s="260" t="e">
        <v>#N/A</v>
      </c>
      <c r="I301" s="3034" t="e">
        <v>#N/A</v>
      </c>
      <c r="J301" s="380" t="e">
        <v>#N/A</v>
      </c>
    </row>
    <row r="302" spans="1:10">
      <c r="A302" s="63">
        <f t="shared" si="5"/>
        <v>2030.05</v>
      </c>
      <c r="B302" s="252" t="e">
        <v>#N/A</v>
      </c>
      <c r="C302" s="3034" t="e">
        <v>#N/A</v>
      </c>
      <c r="D302" s="169" t="e">
        <v>#N/A</v>
      </c>
      <c r="E302" s="260" t="e">
        <v>#N/A</v>
      </c>
      <c r="F302" s="3034" t="e">
        <v>#N/A</v>
      </c>
      <c r="G302" s="169" t="e">
        <v>#N/A</v>
      </c>
      <c r="H302" s="260" t="e">
        <v>#N/A</v>
      </c>
      <c r="I302" s="3034" t="e">
        <v>#N/A</v>
      </c>
      <c r="J302" s="380" t="e">
        <v>#N/A</v>
      </c>
    </row>
    <row r="303" spans="1:10">
      <c r="A303" s="63">
        <f t="shared" si="5"/>
        <v>2030.06</v>
      </c>
      <c r="B303" s="252" t="e">
        <v>#N/A</v>
      </c>
      <c r="C303" s="3034" t="e">
        <v>#N/A</v>
      </c>
      <c r="D303" s="169" t="e">
        <v>#N/A</v>
      </c>
      <c r="E303" s="260" t="e">
        <v>#N/A</v>
      </c>
      <c r="F303" s="3034" t="e">
        <v>#N/A</v>
      </c>
      <c r="G303" s="169" t="e">
        <v>#N/A</v>
      </c>
      <c r="H303" s="260" t="e">
        <v>#N/A</v>
      </c>
      <c r="I303" s="3034" t="e">
        <v>#N/A</v>
      </c>
      <c r="J303" s="380" t="e">
        <v>#N/A</v>
      </c>
    </row>
    <row r="304" spans="1:10">
      <c r="A304" s="63">
        <f t="shared" si="5"/>
        <v>2030.07</v>
      </c>
      <c r="B304" s="252" t="e">
        <v>#N/A</v>
      </c>
      <c r="C304" s="3034" t="e">
        <v>#N/A</v>
      </c>
      <c r="D304" s="169" t="e">
        <v>#N/A</v>
      </c>
      <c r="E304" s="260" t="e">
        <v>#N/A</v>
      </c>
      <c r="F304" s="3034" t="e">
        <v>#N/A</v>
      </c>
      <c r="G304" s="169" t="e">
        <v>#N/A</v>
      </c>
      <c r="H304" s="260" t="e">
        <v>#N/A</v>
      </c>
      <c r="I304" s="3034" t="e">
        <v>#N/A</v>
      </c>
      <c r="J304" s="380" t="e">
        <v>#N/A</v>
      </c>
    </row>
    <row r="305" spans="1:10">
      <c r="A305" s="63">
        <f t="shared" si="5"/>
        <v>2030.08</v>
      </c>
      <c r="B305" s="252" t="e">
        <v>#N/A</v>
      </c>
      <c r="C305" s="3034" t="e">
        <v>#N/A</v>
      </c>
      <c r="D305" s="169" t="e">
        <v>#N/A</v>
      </c>
      <c r="E305" s="260" t="e">
        <v>#N/A</v>
      </c>
      <c r="F305" s="3034" t="e">
        <v>#N/A</v>
      </c>
      <c r="G305" s="169" t="e">
        <v>#N/A</v>
      </c>
      <c r="H305" s="260" t="e">
        <v>#N/A</v>
      </c>
      <c r="I305" s="3034" t="e">
        <v>#N/A</v>
      </c>
      <c r="J305" s="380" t="e">
        <v>#N/A</v>
      </c>
    </row>
    <row r="306" spans="1:10">
      <c r="A306" s="63">
        <f t="shared" si="5"/>
        <v>2030.09</v>
      </c>
      <c r="B306" s="252" t="e">
        <v>#N/A</v>
      </c>
      <c r="C306" s="3034" t="e">
        <v>#N/A</v>
      </c>
      <c r="D306" s="169" t="e">
        <v>#N/A</v>
      </c>
      <c r="E306" s="260" t="e">
        <v>#N/A</v>
      </c>
      <c r="F306" s="3034" t="e">
        <v>#N/A</v>
      </c>
      <c r="G306" s="169" t="e">
        <v>#N/A</v>
      </c>
      <c r="H306" s="260" t="e">
        <v>#N/A</v>
      </c>
      <c r="I306" s="3034" t="e">
        <v>#N/A</v>
      </c>
      <c r="J306" s="380" t="e">
        <v>#N/A</v>
      </c>
    </row>
    <row r="307" spans="1:10">
      <c r="A307" s="63">
        <f t="shared" si="5"/>
        <v>2030.1</v>
      </c>
      <c r="B307" s="252" t="e">
        <v>#N/A</v>
      </c>
      <c r="C307" s="3034" t="e">
        <v>#N/A</v>
      </c>
      <c r="D307" s="169" t="e">
        <v>#N/A</v>
      </c>
      <c r="E307" s="260" t="e">
        <v>#N/A</v>
      </c>
      <c r="F307" s="3034" t="e">
        <v>#N/A</v>
      </c>
      <c r="G307" s="169" t="e">
        <v>#N/A</v>
      </c>
      <c r="H307" s="260" t="e">
        <v>#N/A</v>
      </c>
      <c r="I307" s="3034" t="e">
        <v>#N/A</v>
      </c>
      <c r="J307" s="380" t="e">
        <v>#N/A</v>
      </c>
    </row>
    <row r="308" spans="1:10">
      <c r="A308" s="63">
        <f t="shared" si="5"/>
        <v>2030.11</v>
      </c>
      <c r="B308" s="252" t="e">
        <v>#N/A</v>
      </c>
      <c r="C308" s="3034" t="e">
        <v>#N/A</v>
      </c>
      <c r="D308" s="169" t="e">
        <v>#N/A</v>
      </c>
      <c r="E308" s="260" t="e">
        <v>#N/A</v>
      </c>
      <c r="F308" s="3034" t="e">
        <v>#N/A</v>
      </c>
      <c r="G308" s="169" t="e">
        <v>#N/A</v>
      </c>
      <c r="H308" s="260" t="e">
        <v>#N/A</v>
      </c>
      <c r="I308" s="3034" t="e">
        <v>#N/A</v>
      </c>
      <c r="J308" s="380" t="e">
        <v>#N/A</v>
      </c>
    </row>
    <row r="309" spans="1:10">
      <c r="A309" s="63">
        <f t="shared" si="5"/>
        <v>2030.12</v>
      </c>
      <c r="B309" s="252" t="e">
        <v>#N/A</v>
      </c>
      <c r="C309" s="3034" t="e">
        <v>#N/A</v>
      </c>
      <c r="D309" s="169" t="e">
        <v>#N/A</v>
      </c>
      <c r="E309" s="260" t="e">
        <v>#N/A</v>
      </c>
      <c r="F309" s="3034" t="e">
        <v>#N/A</v>
      </c>
      <c r="G309" s="169" t="e">
        <v>#N/A</v>
      </c>
      <c r="H309" s="260" t="e">
        <v>#N/A</v>
      </c>
      <c r="I309" s="3034" t="e">
        <v>#N/A</v>
      </c>
      <c r="J309" s="380" t="e">
        <v>#N/A</v>
      </c>
    </row>
  </sheetData>
  <phoneticPr fontId="0" type="noConversion"/>
  <hyperlinks>
    <hyperlink ref="A5" location="INDICE!A13" display="VOLVER AL INDICE" xr:uid="{00000000-0004-0000-2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60">
    <pageSetUpPr autoPageBreaks="0"/>
  </sheetPr>
  <dimension ref="A1:D465"/>
  <sheetViews>
    <sheetView zoomScale="130" zoomScaleNormal="130" workbookViewId="0">
      <pane xSplit="1" ySplit="9" topLeftCell="B130" activePane="bottomRight" state="frozen"/>
      <selection pane="topRight" activeCell="Y299" sqref="Y299"/>
      <selection pane="bottomLeft" activeCell="Y299" sqref="Y299"/>
      <selection pane="bottomRight" activeCell="I156" sqref="I156"/>
    </sheetView>
  </sheetViews>
  <sheetFormatPr baseColWidth="10" defaultColWidth="11.42578125" defaultRowHeight="12.75"/>
  <cols>
    <col min="1" max="1" width="10.42578125" style="346" bestFit="1" customWidth="1"/>
    <col min="2" max="16384" width="11.42578125" style="344"/>
  </cols>
  <sheetData>
    <row r="1" spans="1:1">
      <c r="A1" s="34"/>
    </row>
    <row r="2" spans="1:1">
      <c r="A2" s="59" t="s">
        <v>105</v>
      </c>
    </row>
    <row r="3" spans="1:1">
      <c r="A3" s="36" t="s">
        <v>212</v>
      </c>
    </row>
    <row r="4" spans="1:1">
      <c r="A4" s="34"/>
    </row>
    <row r="5" spans="1:1" ht="22.5">
      <c r="A5" s="2390" t="s">
        <v>137</v>
      </c>
    </row>
    <row r="6" spans="1:1" ht="3.75" hidden="1" customHeight="1">
      <c r="A6" s="34"/>
    </row>
    <row r="7" spans="1:1" ht="22.5">
      <c r="A7" s="2373" t="s">
        <v>123</v>
      </c>
    </row>
    <row r="8" spans="1:1">
      <c r="A8" s="147" t="s">
        <v>141</v>
      </c>
    </row>
    <row r="9" spans="1:1" ht="13.5" hidden="1" thickBot="1">
      <c r="A9" s="72"/>
    </row>
    <row r="10" spans="1:1">
      <c r="A10" s="345">
        <v>1993.01</v>
      </c>
    </row>
    <row r="11" spans="1:1">
      <c r="A11" s="345">
        <v>1993.02</v>
      </c>
    </row>
    <row r="12" spans="1:1">
      <c r="A12" s="345">
        <v>1993.03</v>
      </c>
    </row>
    <row r="13" spans="1:1">
      <c r="A13" s="345">
        <v>1993.04</v>
      </c>
    </row>
    <row r="14" spans="1:1">
      <c r="A14" s="345">
        <v>1993.05</v>
      </c>
    </row>
    <row r="15" spans="1:1">
      <c r="A15" s="345">
        <v>1993.06</v>
      </c>
    </row>
    <row r="16" spans="1:1">
      <c r="A16" s="345">
        <v>1993.07</v>
      </c>
    </row>
    <row r="17" spans="1:1">
      <c r="A17" s="345">
        <v>1993.08</v>
      </c>
    </row>
    <row r="18" spans="1:1">
      <c r="A18" s="345">
        <v>1993.09</v>
      </c>
    </row>
    <row r="19" spans="1:1">
      <c r="A19" s="345">
        <v>1993.1</v>
      </c>
    </row>
    <row r="20" spans="1:1">
      <c r="A20" s="345">
        <v>1993.11</v>
      </c>
    </row>
    <row r="21" spans="1:1">
      <c r="A21" s="345">
        <v>1993.12</v>
      </c>
    </row>
    <row r="22" spans="1:1">
      <c r="A22" s="345">
        <v>1994.01</v>
      </c>
    </row>
    <row r="23" spans="1:1">
      <c r="A23" s="345">
        <v>1994.02</v>
      </c>
    </row>
    <row r="24" spans="1:1">
      <c r="A24" s="345">
        <v>1994.03</v>
      </c>
    </row>
    <row r="25" spans="1:1">
      <c r="A25" s="345">
        <v>1994.04</v>
      </c>
    </row>
    <row r="26" spans="1:1">
      <c r="A26" s="345">
        <v>1994.05</v>
      </c>
    </row>
    <row r="27" spans="1:1">
      <c r="A27" s="345">
        <v>1994.06</v>
      </c>
    </row>
    <row r="28" spans="1:1">
      <c r="A28" s="345">
        <v>1994.07</v>
      </c>
    </row>
    <row r="29" spans="1:1">
      <c r="A29" s="345">
        <v>1994.08</v>
      </c>
    </row>
    <row r="30" spans="1:1">
      <c r="A30" s="345">
        <v>1994.09</v>
      </c>
    </row>
    <row r="31" spans="1:1">
      <c r="A31" s="345">
        <v>1994.1</v>
      </c>
    </row>
    <row r="32" spans="1:1">
      <c r="A32" s="345">
        <v>1994.11</v>
      </c>
    </row>
    <row r="33" spans="1:1">
      <c r="A33" s="345">
        <v>1994.12</v>
      </c>
    </row>
    <row r="34" spans="1:1">
      <c r="A34" s="345">
        <v>1995.01</v>
      </c>
    </row>
    <row r="35" spans="1:1">
      <c r="A35" s="345">
        <v>1995.02</v>
      </c>
    </row>
    <row r="36" spans="1:1">
      <c r="A36" s="345">
        <v>1995.03</v>
      </c>
    </row>
    <row r="37" spans="1:1">
      <c r="A37" s="345">
        <v>1995.04</v>
      </c>
    </row>
    <row r="38" spans="1:1">
      <c r="A38" s="345">
        <v>1995.05</v>
      </c>
    </row>
    <row r="39" spans="1:1">
      <c r="A39" s="345">
        <v>1995.06</v>
      </c>
    </row>
    <row r="40" spans="1:1">
      <c r="A40" s="345">
        <v>1995.07</v>
      </c>
    </row>
    <row r="41" spans="1:1">
      <c r="A41" s="345">
        <v>1995.08</v>
      </c>
    </row>
    <row r="42" spans="1:1">
      <c r="A42" s="345">
        <v>1995.09</v>
      </c>
    </row>
    <row r="43" spans="1:1">
      <c r="A43" s="345">
        <v>1995.1</v>
      </c>
    </row>
    <row r="44" spans="1:1">
      <c r="A44" s="345">
        <v>1995.11</v>
      </c>
    </row>
    <row r="45" spans="1:1">
      <c r="A45" s="345">
        <v>1995.12</v>
      </c>
    </row>
    <row r="46" spans="1:1">
      <c r="A46" s="345">
        <v>1996.01</v>
      </c>
    </row>
    <row r="47" spans="1:1">
      <c r="A47" s="345">
        <v>1996.02</v>
      </c>
    </row>
    <row r="48" spans="1:1">
      <c r="A48" s="345">
        <v>1996.03</v>
      </c>
    </row>
    <row r="49" spans="1:1">
      <c r="A49" s="345">
        <v>1996.04</v>
      </c>
    </row>
    <row r="50" spans="1:1">
      <c r="A50" s="345">
        <v>1996.05</v>
      </c>
    </row>
    <row r="51" spans="1:1">
      <c r="A51" s="345">
        <v>1996.06</v>
      </c>
    </row>
    <row r="52" spans="1:1">
      <c r="A52" s="345">
        <v>1996.07</v>
      </c>
    </row>
    <row r="53" spans="1:1">
      <c r="A53" s="345">
        <v>1996.08</v>
      </c>
    </row>
    <row r="54" spans="1:1">
      <c r="A54" s="345">
        <v>1996.09</v>
      </c>
    </row>
    <row r="55" spans="1:1">
      <c r="A55" s="345">
        <v>1996.1</v>
      </c>
    </row>
    <row r="56" spans="1:1">
      <c r="A56" s="345">
        <v>1996.11</v>
      </c>
    </row>
    <row r="57" spans="1:1">
      <c r="A57" s="345">
        <v>1996.12</v>
      </c>
    </row>
    <row r="58" spans="1:1">
      <c r="A58" s="345">
        <v>1997.01</v>
      </c>
    </row>
    <row r="59" spans="1:1">
      <c r="A59" s="345">
        <v>1997.02</v>
      </c>
    </row>
    <row r="60" spans="1:1">
      <c r="A60" s="345">
        <v>1997.03</v>
      </c>
    </row>
    <row r="61" spans="1:1">
      <c r="A61" s="345">
        <v>1997.04</v>
      </c>
    </row>
    <row r="62" spans="1:1">
      <c r="A62" s="345">
        <v>1997.05</v>
      </c>
    </row>
    <row r="63" spans="1:1">
      <c r="A63" s="345">
        <v>1997.06</v>
      </c>
    </row>
    <row r="64" spans="1:1">
      <c r="A64" s="345">
        <v>1997.07</v>
      </c>
    </row>
    <row r="65" spans="1:1">
      <c r="A65" s="345">
        <v>1997.08</v>
      </c>
    </row>
    <row r="66" spans="1:1">
      <c r="A66" s="345">
        <v>1997.09</v>
      </c>
    </row>
    <row r="67" spans="1:1">
      <c r="A67" s="345">
        <v>1997.1</v>
      </c>
    </row>
    <row r="68" spans="1:1">
      <c r="A68" s="345">
        <v>1997.11</v>
      </c>
    </row>
    <row r="69" spans="1:1">
      <c r="A69" s="345">
        <v>1997.12</v>
      </c>
    </row>
    <row r="70" spans="1:1">
      <c r="A70" s="345">
        <v>1998.01</v>
      </c>
    </row>
    <row r="71" spans="1:1">
      <c r="A71" s="345">
        <v>1998.02</v>
      </c>
    </row>
    <row r="72" spans="1:1">
      <c r="A72" s="345">
        <v>1998.03</v>
      </c>
    </row>
    <row r="73" spans="1:1">
      <c r="A73" s="345">
        <v>1998.04</v>
      </c>
    </row>
    <row r="74" spans="1:1">
      <c r="A74" s="345">
        <v>1998.05</v>
      </c>
    </row>
    <row r="75" spans="1:1">
      <c r="A75" s="345">
        <v>1998.06</v>
      </c>
    </row>
    <row r="76" spans="1:1">
      <c r="A76" s="345">
        <v>1998.07</v>
      </c>
    </row>
    <row r="77" spans="1:1">
      <c r="A77" s="345">
        <v>1998.08</v>
      </c>
    </row>
    <row r="78" spans="1:1">
      <c r="A78" s="345">
        <v>1998.09</v>
      </c>
    </row>
    <row r="79" spans="1:1">
      <c r="A79" s="345">
        <v>1998.1</v>
      </c>
    </row>
    <row r="80" spans="1:1">
      <c r="A80" s="345">
        <v>1998.11</v>
      </c>
    </row>
    <row r="81" spans="1:1">
      <c r="A81" s="345">
        <v>1998.12</v>
      </c>
    </row>
    <row r="82" spans="1:1">
      <c r="A82" s="345">
        <v>1999.01</v>
      </c>
    </row>
    <row r="83" spans="1:1">
      <c r="A83" s="345">
        <v>1999.02</v>
      </c>
    </row>
    <row r="84" spans="1:1">
      <c r="A84" s="345">
        <v>1999.03</v>
      </c>
    </row>
    <row r="85" spans="1:1">
      <c r="A85" s="345">
        <v>1999.04</v>
      </c>
    </row>
    <row r="86" spans="1:1">
      <c r="A86" s="345">
        <v>1999.05</v>
      </c>
    </row>
    <row r="87" spans="1:1">
      <c r="A87" s="345">
        <v>1999.06</v>
      </c>
    </row>
    <row r="88" spans="1:1">
      <c r="A88" s="345">
        <v>1999.07</v>
      </c>
    </row>
    <row r="89" spans="1:1">
      <c r="A89" s="345">
        <v>1999.08</v>
      </c>
    </row>
    <row r="90" spans="1:1">
      <c r="A90" s="345">
        <v>1999.09</v>
      </c>
    </row>
    <row r="91" spans="1:1">
      <c r="A91" s="345">
        <v>1999.1</v>
      </c>
    </row>
    <row r="92" spans="1:1">
      <c r="A92" s="345">
        <v>1999.11</v>
      </c>
    </row>
    <row r="93" spans="1:1">
      <c r="A93" s="345">
        <v>1999.12</v>
      </c>
    </row>
    <row r="94" spans="1:1">
      <c r="A94" s="345">
        <v>2000.01</v>
      </c>
    </row>
    <row r="95" spans="1:1">
      <c r="A95" s="345">
        <v>2000.02</v>
      </c>
    </row>
    <row r="96" spans="1:1">
      <c r="A96" s="345">
        <v>2000.03</v>
      </c>
    </row>
    <row r="97" spans="1:2">
      <c r="A97" s="345">
        <v>2000.04</v>
      </c>
    </row>
    <row r="98" spans="1:2">
      <c r="A98" s="345">
        <v>2000.05</v>
      </c>
    </row>
    <row r="99" spans="1:2">
      <c r="A99" s="345">
        <v>2000.06</v>
      </c>
    </row>
    <row r="100" spans="1:2">
      <c r="A100" s="345">
        <v>2000.07</v>
      </c>
    </row>
    <row r="101" spans="1:2">
      <c r="A101" s="345">
        <v>2000.08</v>
      </c>
      <c r="B101" s="1147"/>
    </row>
    <row r="102" spans="1:2">
      <c r="A102" s="345">
        <v>2000.09</v>
      </c>
      <c r="B102" s="1147"/>
    </row>
    <row r="103" spans="1:2">
      <c r="A103" s="345">
        <v>2000.1</v>
      </c>
      <c r="B103" s="1147"/>
    </row>
    <row r="104" spans="1:2">
      <c r="A104" s="345">
        <v>2000.11</v>
      </c>
      <c r="B104" s="1147"/>
    </row>
    <row r="105" spans="1:2">
      <c r="A105" s="345">
        <v>2000.12</v>
      </c>
      <c r="B105" s="1147"/>
    </row>
    <row r="106" spans="1:2">
      <c r="A106" s="345">
        <v>2001.01</v>
      </c>
      <c r="B106" s="1147"/>
    </row>
    <row r="107" spans="1:2">
      <c r="A107" s="345">
        <v>2001.02</v>
      </c>
      <c r="B107" s="1147"/>
    </row>
    <row r="108" spans="1:2">
      <c r="A108" s="345">
        <v>2001.03</v>
      </c>
      <c r="B108" s="1147"/>
    </row>
    <row r="109" spans="1:2">
      <c r="A109" s="345">
        <v>2001.04</v>
      </c>
      <c r="B109" s="1147"/>
    </row>
    <row r="110" spans="1:2">
      <c r="A110" s="345">
        <v>2001.05</v>
      </c>
      <c r="B110" s="1147"/>
    </row>
    <row r="111" spans="1:2">
      <c r="A111" s="345">
        <v>2001.06</v>
      </c>
      <c r="B111" s="1147"/>
    </row>
    <row r="112" spans="1:2">
      <c r="A112" s="345">
        <v>2001.07</v>
      </c>
      <c r="B112" s="1147"/>
    </row>
    <row r="113" spans="1:2">
      <c r="A113" s="345">
        <v>2001.08</v>
      </c>
      <c r="B113" s="1147"/>
    </row>
    <row r="114" spans="1:2">
      <c r="A114" s="345">
        <v>2001.09</v>
      </c>
      <c r="B114" s="1147"/>
    </row>
    <row r="115" spans="1:2">
      <c r="A115" s="345">
        <v>2001.1</v>
      </c>
      <c r="B115" s="1147"/>
    </row>
    <row r="116" spans="1:2">
      <c r="A116" s="345">
        <v>2001.11</v>
      </c>
      <c r="B116" s="1147"/>
    </row>
    <row r="117" spans="1:2">
      <c r="A117" s="345">
        <v>2001.12</v>
      </c>
      <c r="B117" s="1147"/>
    </row>
    <row r="118" spans="1:2">
      <c r="A118" s="345">
        <v>2002.01</v>
      </c>
      <c r="B118" s="1147"/>
    </row>
    <row r="119" spans="1:2">
      <c r="A119" s="345">
        <v>2002.02</v>
      </c>
      <c r="B119" s="1147"/>
    </row>
    <row r="120" spans="1:2">
      <c r="A120" s="345">
        <v>2002.03</v>
      </c>
      <c r="B120" s="1147"/>
    </row>
    <row r="121" spans="1:2">
      <c r="A121" s="345">
        <v>2002.04</v>
      </c>
      <c r="B121" s="1147"/>
    </row>
    <row r="122" spans="1:2">
      <c r="A122" s="345">
        <v>2002.05</v>
      </c>
      <c r="B122" s="1147"/>
    </row>
    <row r="123" spans="1:2">
      <c r="A123" s="345">
        <v>2002.06</v>
      </c>
      <c r="B123" s="1147"/>
    </row>
    <row r="124" spans="1:2">
      <c r="A124" s="345">
        <v>2002.07</v>
      </c>
      <c r="B124" s="1147"/>
    </row>
    <row r="125" spans="1:2">
      <c r="A125" s="345">
        <v>2002.08</v>
      </c>
      <c r="B125" s="1147"/>
    </row>
    <row r="126" spans="1:2">
      <c r="A126" s="345">
        <v>2002.09</v>
      </c>
      <c r="B126" s="1147"/>
    </row>
    <row r="127" spans="1:2">
      <c r="A127" s="345">
        <v>2002.1</v>
      </c>
      <c r="B127" s="1147"/>
    </row>
    <row r="128" spans="1:2">
      <c r="A128" s="345">
        <v>2002.11</v>
      </c>
      <c r="B128" s="1147"/>
    </row>
    <row r="129" spans="1:2">
      <c r="A129" s="345">
        <v>2002.12</v>
      </c>
      <c r="B129" s="1147"/>
    </row>
    <row r="130" spans="1:2">
      <c r="A130" s="345">
        <v>2003.01</v>
      </c>
      <c r="B130" s="1147"/>
    </row>
    <row r="131" spans="1:2">
      <c r="A131" s="345">
        <v>2003.02</v>
      </c>
      <c r="B131" s="1147"/>
    </row>
    <row r="132" spans="1:2">
      <c r="A132" s="345">
        <v>2003.03</v>
      </c>
      <c r="B132" s="1147"/>
    </row>
    <row r="133" spans="1:2">
      <c r="A133" s="345">
        <v>2003.04</v>
      </c>
      <c r="B133" s="1147"/>
    </row>
    <row r="134" spans="1:2">
      <c r="A134" s="345">
        <v>2003.05</v>
      </c>
      <c r="B134" s="1147"/>
    </row>
    <row r="135" spans="1:2">
      <c r="A135" s="345">
        <v>2003.06</v>
      </c>
      <c r="B135" s="1147"/>
    </row>
    <row r="136" spans="1:2">
      <c r="A136" s="345">
        <v>2003.07</v>
      </c>
      <c r="B136" s="1147"/>
    </row>
    <row r="137" spans="1:2">
      <c r="A137" s="345">
        <v>2003.08</v>
      </c>
      <c r="B137" s="1147"/>
    </row>
    <row r="138" spans="1:2">
      <c r="A138" s="345">
        <v>2003.09</v>
      </c>
      <c r="B138" s="1147"/>
    </row>
    <row r="139" spans="1:2">
      <c r="A139" s="345">
        <v>2003.1</v>
      </c>
      <c r="B139" s="1147"/>
    </row>
    <row r="140" spans="1:2">
      <c r="A140" s="345">
        <v>2003.11</v>
      </c>
      <c r="B140" s="1147"/>
    </row>
    <row r="141" spans="1:2">
      <c r="A141" s="345">
        <v>2003.12</v>
      </c>
      <c r="B141" s="1147"/>
    </row>
    <row r="142" spans="1:2">
      <c r="A142" s="345">
        <v>2004.01</v>
      </c>
      <c r="B142" s="1147"/>
    </row>
    <row r="143" spans="1:2">
      <c r="A143" s="345">
        <v>2004.02</v>
      </c>
      <c r="B143" s="1147"/>
    </row>
    <row r="144" spans="1:2">
      <c r="A144" s="345">
        <v>2004.03</v>
      </c>
      <c r="B144" s="1147"/>
    </row>
    <row r="145" spans="1:2">
      <c r="A145" s="345">
        <v>2004.04</v>
      </c>
      <c r="B145" s="1147"/>
    </row>
    <row r="146" spans="1:2">
      <c r="A146" s="345">
        <v>2004.05</v>
      </c>
      <c r="B146" s="1147"/>
    </row>
    <row r="147" spans="1:2">
      <c r="A147" s="345">
        <v>2004.06</v>
      </c>
      <c r="B147" s="1147"/>
    </row>
    <row r="148" spans="1:2">
      <c r="A148" s="345">
        <v>2004.07</v>
      </c>
      <c r="B148" s="1147"/>
    </row>
    <row r="149" spans="1:2">
      <c r="A149" s="345">
        <v>2004.08</v>
      </c>
      <c r="B149" s="1147"/>
    </row>
    <row r="150" spans="1:2">
      <c r="A150" s="345">
        <v>2004.09</v>
      </c>
      <c r="B150" s="1147"/>
    </row>
    <row r="151" spans="1:2">
      <c r="A151" s="345">
        <v>2004.1</v>
      </c>
      <c r="B151" s="1147"/>
    </row>
    <row r="152" spans="1:2">
      <c r="A152" s="345">
        <v>2004.11</v>
      </c>
      <c r="B152" s="1147"/>
    </row>
    <row r="153" spans="1:2">
      <c r="A153" s="345">
        <v>2004.12</v>
      </c>
      <c r="B153" s="1147"/>
    </row>
    <row r="154" spans="1:2">
      <c r="A154" s="345">
        <v>2005.01</v>
      </c>
      <c r="B154" s="1147"/>
    </row>
    <row r="155" spans="1:2">
      <c r="A155" s="345">
        <v>2005.02</v>
      </c>
      <c r="B155" s="1147"/>
    </row>
    <row r="156" spans="1:2">
      <c r="A156" s="345">
        <v>2005.03</v>
      </c>
      <c r="B156" s="1147"/>
    </row>
    <row r="157" spans="1:2">
      <c r="A157" s="345">
        <v>2005.04</v>
      </c>
      <c r="B157" s="1147"/>
    </row>
    <row r="158" spans="1:2">
      <c r="A158" s="345">
        <v>2005.05</v>
      </c>
      <c r="B158" s="1147"/>
    </row>
    <row r="159" spans="1:2">
      <c r="A159" s="345">
        <v>2005.06</v>
      </c>
      <c r="B159" s="1147"/>
    </row>
    <row r="160" spans="1:2">
      <c r="A160" s="345">
        <v>2005.07</v>
      </c>
      <c r="B160" s="1147"/>
    </row>
    <row r="161" spans="1:2">
      <c r="A161" s="345">
        <v>2005.08</v>
      </c>
      <c r="B161" s="1147"/>
    </row>
    <row r="162" spans="1:2">
      <c r="A162" s="345">
        <v>2005.09</v>
      </c>
      <c r="B162" s="1147"/>
    </row>
    <row r="163" spans="1:2">
      <c r="A163" s="345">
        <v>2005.1</v>
      </c>
      <c r="B163" s="1147"/>
    </row>
    <row r="164" spans="1:2">
      <c r="A164" s="345">
        <v>2005.11</v>
      </c>
      <c r="B164" s="1147"/>
    </row>
    <row r="165" spans="1:2">
      <c r="A165" s="345">
        <v>2005.12</v>
      </c>
      <c r="B165" s="1147"/>
    </row>
    <row r="166" spans="1:2">
      <c r="A166" s="345">
        <v>2006.01</v>
      </c>
      <c r="B166" s="1147"/>
    </row>
    <row r="167" spans="1:2">
      <c r="A167" s="345">
        <v>2006.02</v>
      </c>
      <c r="B167" s="1147"/>
    </row>
    <row r="168" spans="1:2">
      <c r="A168" s="345">
        <v>2006.03</v>
      </c>
      <c r="B168" s="1147"/>
    </row>
    <row r="169" spans="1:2">
      <c r="A169" s="345">
        <v>2006.04</v>
      </c>
      <c r="B169" s="1147"/>
    </row>
    <row r="170" spans="1:2">
      <c r="A170" s="345">
        <v>2006.05</v>
      </c>
      <c r="B170" s="1147"/>
    </row>
    <row r="171" spans="1:2">
      <c r="A171" s="345">
        <v>2006.06</v>
      </c>
      <c r="B171" s="1147"/>
    </row>
    <row r="172" spans="1:2">
      <c r="A172" s="345">
        <v>2006.07</v>
      </c>
      <c r="B172" s="1147"/>
    </row>
    <row r="173" spans="1:2">
      <c r="A173" s="345">
        <v>2006.08</v>
      </c>
      <c r="B173" s="1147"/>
    </row>
    <row r="174" spans="1:2">
      <c r="A174" s="345">
        <v>2006.09</v>
      </c>
      <c r="B174" s="1147"/>
    </row>
    <row r="175" spans="1:2">
      <c r="A175" s="345">
        <v>2006.1</v>
      </c>
      <c r="B175" s="1147"/>
    </row>
    <row r="176" spans="1:2">
      <c r="A176" s="345">
        <v>2006.11</v>
      </c>
      <c r="B176" s="1147"/>
    </row>
    <row r="177" spans="1:2">
      <c r="A177" s="345">
        <v>2006.12</v>
      </c>
      <c r="B177" s="1147"/>
    </row>
    <row r="178" spans="1:2">
      <c r="A178" s="345">
        <v>2007.01</v>
      </c>
      <c r="B178" s="1147"/>
    </row>
    <row r="179" spans="1:2">
      <c r="A179" s="345">
        <v>2007.02</v>
      </c>
      <c r="B179" s="1147"/>
    </row>
    <row r="180" spans="1:2">
      <c r="A180" s="345">
        <v>2007.03</v>
      </c>
      <c r="B180" s="1147"/>
    </row>
    <row r="181" spans="1:2">
      <c r="A181" s="345">
        <v>2007.04</v>
      </c>
      <c r="B181" s="1147"/>
    </row>
    <row r="182" spans="1:2">
      <c r="A182" s="345">
        <v>2007.05</v>
      </c>
      <c r="B182" s="1147"/>
    </row>
    <row r="183" spans="1:2">
      <c r="A183" s="345">
        <v>2007.06</v>
      </c>
      <c r="B183" s="1147"/>
    </row>
    <row r="184" spans="1:2">
      <c r="A184" s="345">
        <v>2007.07</v>
      </c>
      <c r="B184" s="1147"/>
    </row>
    <row r="185" spans="1:2">
      <c r="A185" s="345">
        <v>2007.08</v>
      </c>
      <c r="B185" s="1147"/>
    </row>
    <row r="186" spans="1:2">
      <c r="A186" s="345">
        <v>2007.09</v>
      </c>
      <c r="B186" s="1147"/>
    </row>
    <row r="187" spans="1:2">
      <c r="A187" s="345">
        <v>2007.1</v>
      </c>
      <c r="B187" s="1147"/>
    </row>
    <row r="188" spans="1:2">
      <c r="A188" s="345">
        <v>2007.11</v>
      </c>
      <c r="B188" s="1147"/>
    </row>
    <row r="189" spans="1:2">
      <c r="A189" s="345">
        <v>2007.12</v>
      </c>
      <c r="B189" s="1147"/>
    </row>
    <row r="190" spans="1:2">
      <c r="A190" s="345">
        <v>2008.01</v>
      </c>
      <c r="B190" s="1147"/>
    </row>
    <row r="191" spans="1:2">
      <c r="A191" s="345">
        <v>2008.02</v>
      </c>
      <c r="B191" s="1147"/>
    </row>
    <row r="192" spans="1:2">
      <c r="A192" s="345">
        <v>2008.03</v>
      </c>
      <c r="B192" s="1147"/>
    </row>
    <row r="193" spans="1:2">
      <c r="A193" s="345">
        <v>2008.04</v>
      </c>
      <c r="B193" s="1147"/>
    </row>
    <row r="194" spans="1:2">
      <c r="A194" s="345">
        <v>2008.05</v>
      </c>
      <c r="B194" s="1147"/>
    </row>
    <row r="195" spans="1:2">
      <c r="A195" s="345">
        <v>2008.06</v>
      </c>
      <c r="B195" s="1147"/>
    </row>
    <row r="196" spans="1:2">
      <c r="A196" s="345">
        <v>2008.07</v>
      </c>
      <c r="B196" s="1147"/>
    </row>
    <row r="197" spans="1:2">
      <c r="A197" s="345">
        <v>2008.08</v>
      </c>
      <c r="B197" s="1147"/>
    </row>
    <row r="198" spans="1:2">
      <c r="A198" s="345">
        <v>2008.09</v>
      </c>
      <c r="B198" s="1147"/>
    </row>
    <row r="199" spans="1:2">
      <c r="A199" s="345">
        <v>2008.1</v>
      </c>
      <c r="B199" s="1147"/>
    </row>
    <row r="200" spans="1:2">
      <c r="A200" s="345">
        <v>2008.11</v>
      </c>
      <c r="B200" s="1147"/>
    </row>
    <row r="201" spans="1:2">
      <c r="A201" s="345">
        <v>2008.12</v>
      </c>
      <c r="B201" s="1147"/>
    </row>
    <row r="202" spans="1:2">
      <c r="A202" s="345">
        <f t="shared" ref="A202:A265" si="0">A190+1</f>
        <v>2009.01</v>
      </c>
      <c r="B202" s="1147"/>
    </row>
    <row r="203" spans="1:2">
      <c r="A203" s="345">
        <f t="shared" si="0"/>
        <v>2009.02</v>
      </c>
      <c r="B203" s="1147"/>
    </row>
    <row r="204" spans="1:2">
      <c r="A204" s="345">
        <f t="shared" si="0"/>
        <v>2009.03</v>
      </c>
      <c r="B204" s="1147"/>
    </row>
    <row r="205" spans="1:2">
      <c r="A205" s="345">
        <f t="shared" si="0"/>
        <v>2009.04</v>
      </c>
      <c r="B205" s="1147"/>
    </row>
    <row r="206" spans="1:2">
      <c r="A206" s="345">
        <f t="shared" si="0"/>
        <v>2009.05</v>
      </c>
      <c r="B206" s="1147"/>
    </row>
    <row r="207" spans="1:2">
      <c r="A207" s="345">
        <f t="shared" si="0"/>
        <v>2009.06</v>
      </c>
      <c r="B207" s="1147"/>
    </row>
    <row r="208" spans="1:2">
      <c r="A208" s="345">
        <f t="shared" si="0"/>
        <v>2009.07</v>
      </c>
      <c r="B208" s="1147"/>
    </row>
    <row r="209" spans="1:2">
      <c r="A209" s="345">
        <f t="shared" si="0"/>
        <v>2009.08</v>
      </c>
      <c r="B209" s="1147"/>
    </row>
    <row r="210" spans="1:2">
      <c r="A210" s="345">
        <f t="shared" si="0"/>
        <v>2009.09</v>
      </c>
      <c r="B210" s="1147"/>
    </row>
    <row r="211" spans="1:2">
      <c r="A211" s="345">
        <f t="shared" si="0"/>
        <v>2009.1</v>
      </c>
      <c r="B211" s="1147"/>
    </row>
    <row r="212" spans="1:2">
      <c r="A212" s="345">
        <f t="shared" si="0"/>
        <v>2009.11</v>
      </c>
      <c r="B212" s="1147"/>
    </row>
    <row r="213" spans="1:2">
      <c r="A213" s="345">
        <f t="shared" si="0"/>
        <v>2009.12</v>
      </c>
      <c r="B213" s="1147"/>
    </row>
    <row r="214" spans="1:2">
      <c r="A214" s="345">
        <f t="shared" si="0"/>
        <v>2010.01</v>
      </c>
      <c r="B214" s="1147"/>
    </row>
    <row r="215" spans="1:2">
      <c r="A215" s="345">
        <f t="shared" si="0"/>
        <v>2010.02</v>
      </c>
      <c r="B215" s="1147"/>
    </row>
    <row r="216" spans="1:2">
      <c r="A216" s="345">
        <f t="shared" si="0"/>
        <v>2010.03</v>
      </c>
      <c r="B216" s="1147"/>
    </row>
    <row r="217" spans="1:2">
      <c r="A217" s="345">
        <f t="shared" si="0"/>
        <v>2010.04</v>
      </c>
      <c r="B217" s="1147"/>
    </row>
    <row r="218" spans="1:2">
      <c r="A218" s="345">
        <f t="shared" si="0"/>
        <v>2010.05</v>
      </c>
      <c r="B218" s="1147"/>
    </row>
    <row r="219" spans="1:2">
      <c r="A219" s="345">
        <f t="shared" si="0"/>
        <v>2010.06</v>
      </c>
      <c r="B219" s="1147"/>
    </row>
    <row r="220" spans="1:2">
      <c r="A220" s="345">
        <f t="shared" si="0"/>
        <v>2010.07</v>
      </c>
      <c r="B220" s="1147"/>
    </row>
    <row r="221" spans="1:2">
      <c r="A221" s="345">
        <f t="shared" si="0"/>
        <v>2010.08</v>
      </c>
      <c r="B221" s="1147"/>
    </row>
    <row r="222" spans="1:2">
      <c r="A222" s="345">
        <f t="shared" si="0"/>
        <v>2010.09</v>
      </c>
      <c r="B222" s="1147"/>
    </row>
    <row r="223" spans="1:2">
      <c r="A223" s="345">
        <f t="shared" si="0"/>
        <v>2010.1</v>
      </c>
      <c r="B223" s="1147"/>
    </row>
    <row r="224" spans="1:2">
      <c r="A224" s="345">
        <f t="shared" si="0"/>
        <v>2010.11</v>
      </c>
      <c r="B224" s="1147"/>
    </row>
    <row r="225" spans="1:2">
      <c r="A225" s="345">
        <f t="shared" si="0"/>
        <v>2010.12</v>
      </c>
      <c r="B225" s="1147"/>
    </row>
    <row r="226" spans="1:2">
      <c r="A226" s="345">
        <f t="shared" si="0"/>
        <v>2011.01</v>
      </c>
      <c r="B226" s="1147"/>
    </row>
    <row r="227" spans="1:2">
      <c r="A227" s="345">
        <f t="shared" si="0"/>
        <v>2011.02</v>
      </c>
      <c r="B227" s="1147"/>
    </row>
    <row r="228" spans="1:2">
      <c r="A228" s="345">
        <f t="shared" si="0"/>
        <v>2011.03</v>
      </c>
      <c r="B228" s="1147"/>
    </row>
    <row r="229" spans="1:2">
      <c r="A229" s="345">
        <f t="shared" si="0"/>
        <v>2011.04</v>
      </c>
      <c r="B229" s="1147"/>
    </row>
    <row r="230" spans="1:2">
      <c r="A230" s="345">
        <f t="shared" si="0"/>
        <v>2011.05</v>
      </c>
      <c r="B230" s="1147"/>
    </row>
    <row r="231" spans="1:2">
      <c r="A231" s="345">
        <f t="shared" si="0"/>
        <v>2011.06</v>
      </c>
      <c r="B231" s="1147"/>
    </row>
    <row r="232" spans="1:2">
      <c r="A232" s="345">
        <f t="shared" si="0"/>
        <v>2011.07</v>
      </c>
      <c r="B232" s="1147"/>
    </row>
    <row r="233" spans="1:2">
      <c r="A233" s="345">
        <f t="shared" si="0"/>
        <v>2011.08</v>
      </c>
      <c r="B233" s="1147"/>
    </row>
    <row r="234" spans="1:2">
      <c r="A234" s="345">
        <f t="shared" si="0"/>
        <v>2011.09</v>
      </c>
      <c r="B234" s="1147"/>
    </row>
    <row r="235" spans="1:2">
      <c r="A235" s="345">
        <f t="shared" si="0"/>
        <v>2011.1</v>
      </c>
      <c r="B235" s="1147"/>
    </row>
    <row r="236" spans="1:2">
      <c r="A236" s="345">
        <f t="shared" si="0"/>
        <v>2011.11</v>
      </c>
      <c r="B236" s="1147"/>
    </row>
    <row r="237" spans="1:2">
      <c r="A237" s="345">
        <f t="shared" si="0"/>
        <v>2011.12</v>
      </c>
      <c r="B237" s="1147"/>
    </row>
    <row r="238" spans="1:2">
      <c r="A238" s="345">
        <f t="shared" si="0"/>
        <v>2012.01</v>
      </c>
      <c r="B238" s="1147"/>
    </row>
    <row r="239" spans="1:2">
      <c r="A239" s="345">
        <f t="shared" si="0"/>
        <v>2012.02</v>
      </c>
      <c r="B239" s="1147"/>
    </row>
    <row r="240" spans="1:2">
      <c r="A240" s="345">
        <f t="shared" si="0"/>
        <v>2012.03</v>
      </c>
      <c r="B240" s="1147"/>
    </row>
    <row r="241" spans="1:2">
      <c r="A241" s="345">
        <f t="shared" si="0"/>
        <v>2012.04</v>
      </c>
      <c r="B241" s="1147"/>
    </row>
    <row r="242" spans="1:2">
      <c r="A242" s="345">
        <f t="shared" si="0"/>
        <v>2012.05</v>
      </c>
      <c r="B242" s="1147"/>
    </row>
    <row r="243" spans="1:2">
      <c r="A243" s="345">
        <f t="shared" si="0"/>
        <v>2012.06</v>
      </c>
      <c r="B243" s="1147"/>
    </row>
    <row r="244" spans="1:2">
      <c r="A244" s="345">
        <f t="shared" si="0"/>
        <v>2012.07</v>
      </c>
      <c r="B244" s="1147"/>
    </row>
    <row r="245" spans="1:2">
      <c r="A245" s="345">
        <f t="shared" si="0"/>
        <v>2012.08</v>
      </c>
      <c r="B245" s="1147"/>
    </row>
    <row r="246" spans="1:2">
      <c r="A246" s="345">
        <f t="shared" si="0"/>
        <v>2012.09</v>
      </c>
      <c r="B246" s="1147"/>
    </row>
    <row r="247" spans="1:2">
      <c r="A247" s="345">
        <f t="shared" si="0"/>
        <v>2012.1</v>
      </c>
      <c r="B247" s="1147"/>
    </row>
    <row r="248" spans="1:2">
      <c r="A248" s="345">
        <f t="shared" si="0"/>
        <v>2012.11</v>
      </c>
      <c r="B248" s="1147"/>
    </row>
    <row r="249" spans="1:2">
      <c r="A249" s="345">
        <f t="shared" si="0"/>
        <v>2012.12</v>
      </c>
      <c r="B249" s="1147"/>
    </row>
    <row r="250" spans="1:2">
      <c r="A250" s="345">
        <f t="shared" si="0"/>
        <v>2013.01</v>
      </c>
      <c r="B250" s="1147"/>
    </row>
    <row r="251" spans="1:2">
      <c r="A251" s="345">
        <f t="shared" si="0"/>
        <v>2013.02</v>
      </c>
      <c r="B251" s="1147"/>
    </row>
    <row r="252" spans="1:2">
      <c r="A252" s="345">
        <f t="shared" si="0"/>
        <v>2013.03</v>
      </c>
      <c r="B252" s="1147"/>
    </row>
    <row r="253" spans="1:2">
      <c r="A253" s="345">
        <f t="shared" si="0"/>
        <v>2013.04</v>
      </c>
      <c r="B253" s="1147"/>
    </row>
    <row r="254" spans="1:2">
      <c r="A254" s="345">
        <f t="shared" si="0"/>
        <v>2013.05</v>
      </c>
      <c r="B254" s="1147"/>
    </row>
    <row r="255" spans="1:2">
      <c r="A255" s="345">
        <f t="shared" si="0"/>
        <v>2013.06</v>
      </c>
      <c r="B255" s="1147"/>
    </row>
    <row r="256" spans="1:2">
      <c r="A256" s="345">
        <f t="shared" si="0"/>
        <v>2013.07</v>
      </c>
      <c r="B256" s="1147"/>
    </row>
    <row r="257" spans="1:2">
      <c r="A257" s="345">
        <f t="shared" si="0"/>
        <v>2013.08</v>
      </c>
      <c r="B257" s="1147"/>
    </row>
    <row r="258" spans="1:2">
      <c r="A258" s="345">
        <f t="shared" si="0"/>
        <v>2013.09</v>
      </c>
      <c r="B258" s="1147"/>
    </row>
    <row r="259" spans="1:2">
      <c r="A259" s="345">
        <f t="shared" si="0"/>
        <v>2013.1</v>
      </c>
      <c r="B259" s="1147"/>
    </row>
    <row r="260" spans="1:2">
      <c r="A260" s="345">
        <f t="shared" si="0"/>
        <v>2013.11</v>
      </c>
      <c r="B260" s="1147"/>
    </row>
    <row r="261" spans="1:2">
      <c r="A261" s="345">
        <f t="shared" si="0"/>
        <v>2013.12</v>
      </c>
      <c r="B261" s="1147"/>
    </row>
    <row r="262" spans="1:2">
      <c r="A262" s="345">
        <f t="shared" si="0"/>
        <v>2014.01</v>
      </c>
      <c r="B262" s="1147"/>
    </row>
    <row r="263" spans="1:2">
      <c r="A263" s="345">
        <f t="shared" si="0"/>
        <v>2014.02</v>
      </c>
      <c r="B263" s="1147"/>
    </row>
    <row r="264" spans="1:2">
      <c r="A264" s="345">
        <f t="shared" si="0"/>
        <v>2014.03</v>
      </c>
      <c r="B264" s="1147"/>
    </row>
    <row r="265" spans="1:2">
      <c r="A265" s="345">
        <f t="shared" si="0"/>
        <v>2014.04</v>
      </c>
      <c r="B265" s="1147"/>
    </row>
    <row r="266" spans="1:2">
      <c r="A266" s="345">
        <f t="shared" ref="A266:A329" si="1">A254+1</f>
        <v>2014.05</v>
      </c>
      <c r="B266" s="1147"/>
    </row>
    <row r="267" spans="1:2">
      <c r="A267" s="345">
        <f t="shared" si="1"/>
        <v>2014.06</v>
      </c>
      <c r="B267" s="1147"/>
    </row>
    <row r="268" spans="1:2">
      <c r="A268" s="345">
        <f t="shared" si="1"/>
        <v>2014.07</v>
      </c>
      <c r="B268" s="1147"/>
    </row>
    <row r="269" spans="1:2">
      <c r="A269" s="345">
        <f t="shared" si="1"/>
        <v>2014.08</v>
      </c>
      <c r="B269" s="1147"/>
    </row>
    <row r="270" spans="1:2">
      <c r="A270" s="345">
        <f t="shared" si="1"/>
        <v>2014.09</v>
      </c>
      <c r="B270" s="1147"/>
    </row>
    <row r="271" spans="1:2">
      <c r="A271" s="345">
        <f t="shared" si="1"/>
        <v>2014.1</v>
      </c>
      <c r="B271" s="1147"/>
    </row>
    <row r="272" spans="1:2">
      <c r="A272" s="345">
        <f t="shared" si="1"/>
        <v>2014.11</v>
      </c>
      <c r="B272" s="1147"/>
    </row>
    <row r="273" spans="1:2">
      <c r="A273" s="345">
        <f t="shared" si="1"/>
        <v>2014.12</v>
      </c>
      <c r="B273" s="1147"/>
    </row>
    <row r="274" spans="1:2">
      <c r="A274" s="345">
        <f t="shared" si="1"/>
        <v>2015.01</v>
      </c>
      <c r="B274" s="1147"/>
    </row>
    <row r="275" spans="1:2">
      <c r="A275" s="345">
        <f t="shared" si="1"/>
        <v>2015.02</v>
      </c>
      <c r="B275" s="1147"/>
    </row>
    <row r="276" spans="1:2">
      <c r="A276" s="345">
        <f t="shared" si="1"/>
        <v>2015.03</v>
      </c>
      <c r="B276" s="1147"/>
    </row>
    <row r="277" spans="1:2">
      <c r="A277" s="345">
        <f t="shared" si="1"/>
        <v>2015.04</v>
      </c>
      <c r="B277" s="1147"/>
    </row>
    <row r="278" spans="1:2">
      <c r="A278" s="345">
        <f t="shared" si="1"/>
        <v>2015.05</v>
      </c>
      <c r="B278" s="1147"/>
    </row>
    <row r="279" spans="1:2">
      <c r="A279" s="345">
        <f t="shared" si="1"/>
        <v>2015.06</v>
      </c>
      <c r="B279" s="1147"/>
    </row>
    <row r="280" spans="1:2">
      <c r="A280" s="345">
        <f t="shared" si="1"/>
        <v>2015.07</v>
      </c>
      <c r="B280" s="1147"/>
    </row>
    <row r="281" spans="1:2">
      <c r="A281" s="345">
        <f t="shared" si="1"/>
        <v>2015.08</v>
      </c>
      <c r="B281" s="1147"/>
    </row>
    <row r="282" spans="1:2">
      <c r="A282" s="345">
        <f t="shared" si="1"/>
        <v>2015.09</v>
      </c>
      <c r="B282" s="1147"/>
    </row>
    <row r="283" spans="1:2">
      <c r="A283" s="345">
        <f t="shared" si="1"/>
        <v>2015.1</v>
      </c>
      <c r="B283" s="1147"/>
    </row>
    <row r="284" spans="1:2">
      <c r="A284" s="345">
        <f t="shared" si="1"/>
        <v>2015.11</v>
      </c>
      <c r="B284" s="1147"/>
    </row>
    <row r="285" spans="1:2">
      <c r="A285" s="345">
        <f t="shared" si="1"/>
        <v>2015.12</v>
      </c>
      <c r="B285" s="1147"/>
    </row>
    <row r="286" spans="1:2">
      <c r="A286" s="345">
        <f t="shared" si="1"/>
        <v>2016.01</v>
      </c>
      <c r="B286" s="1147"/>
    </row>
    <row r="287" spans="1:2">
      <c r="A287" s="345">
        <f t="shared" si="1"/>
        <v>2016.02</v>
      </c>
      <c r="B287" s="1147"/>
    </row>
    <row r="288" spans="1:2">
      <c r="A288" s="345">
        <f t="shared" si="1"/>
        <v>2016.03</v>
      </c>
      <c r="B288" s="1147"/>
    </row>
    <row r="289" spans="1:2">
      <c r="A289" s="345">
        <f t="shared" si="1"/>
        <v>2016.04</v>
      </c>
      <c r="B289" s="1147"/>
    </row>
    <row r="290" spans="1:2">
      <c r="A290" s="345">
        <f t="shared" si="1"/>
        <v>2016.05</v>
      </c>
      <c r="B290" s="1147"/>
    </row>
    <row r="291" spans="1:2">
      <c r="A291" s="345">
        <f t="shared" si="1"/>
        <v>2016.06</v>
      </c>
      <c r="B291" s="1147"/>
    </row>
    <row r="292" spans="1:2">
      <c r="A292" s="345">
        <f t="shared" si="1"/>
        <v>2016.07</v>
      </c>
      <c r="B292" s="1147"/>
    </row>
    <row r="293" spans="1:2">
      <c r="A293" s="345">
        <f t="shared" si="1"/>
        <v>2016.08</v>
      </c>
      <c r="B293" s="1147"/>
    </row>
    <row r="294" spans="1:2">
      <c r="A294" s="345">
        <f t="shared" si="1"/>
        <v>2016.09</v>
      </c>
      <c r="B294" s="1147"/>
    </row>
    <row r="295" spans="1:2">
      <c r="A295" s="345">
        <f t="shared" si="1"/>
        <v>2016.1</v>
      </c>
      <c r="B295" s="1147"/>
    </row>
    <row r="296" spans="1:2">
      <c r="A296" s="345">
        <f t="shared" si="1"/>
        <v>2016.11</v>
      </c>
      <c r="B296" s="1147"/>
    </row>
    <row r="297" spans="1:2">
      <c r="A297" s="345">
        <f t="shared" si="1"/>
        <v>2016.12</v>
      </c>
      <c r="B297" s="1147"/>
    </row>
    <row r="298" spans="1:2">
      <c r="A298" s="345">
        <f t="shared" si="1"/>
        <v>2017.01</v>
      </c>
      <c r="B298" s="1147"/>
    </row>
    <row r="299" spans="1:2">
      <c r="A299" s="345">
        <f t="shared" si="1"/>
        <v>2017.02</v>
      </c>
      <c r="B299" s="1147"/>
    </row>
    <row r="300" spans="1:2">
      <c r="A300" s="345">
        <f t="shared" si="1"/>
        <v>2017.03</v>
      </c>
      <c r="B300" s="1147"/>
    </row>
    <row r="301" spans="1:2">
      <c r="A301" s="345">
        <f t="shared" si="1"/>
        <v>2017.04</v>
      </c>
      <c r="B301" s="1147"/>
    </row>
    <row r="302" spans="1:2">
      <c r="A302" s="345">
        <f t="shared" si="1"/>
        <v>2017.05</v>
      </c>
      <c r="B302" s="1147"/>
    </row>
    <row r="303" spans="1:2">
      <c r="A303" s="345">
        <f t="shared" si="1"/>
        <v>2017.06</v>
      </c>
      <c r="B303" s="1147"/>
    </row>
    <row r="304" spans="1:2">
      <c r="A304" s="345">
        <f t="shared" si="1"/>
        <v>2017.07</v>
      </c>
      <c r="B304" s="1147"/>
    </row>
    <row r="305" spans="1:2">
      <c r="A305" s="345">
        <f t="shared" si="1"/>
        <v>2017.08</v>
      </c>
      <c r="B305" s="1147"/>
    </row>
    <row r="306" spans="1:2">
      <c r="A306" s="345">
        <f t="shared" si="1"/>
        <v>2017.09</v>
      </c>
      <c r="B306" s="1147"/>
    </row>
    <row r="307" spans="1:2">
      <c r="A307" s="345">
        <f t="shared" si="1"/>
        <v>2017.1</v>
      </c>
      <c r="B307" s="1147"/>
    </row>
    <row r="308" spans="1:2">
      <c r="A308" s="345">
        <f t="shared" si="1"/>
        <v>2017.11</v>
      </c>
      <c r="B308" s="1147"/>
    </row>
    <row r="309" spans="1:2">
      <c r="A309" s="345">
        <f t="shared" si="1"/>
        <v>2017.12</v>
      </c>
      <c r="B309" s="1147"/>
    </row>
    <row r="310" spans="1:2">
      <c r="A310" s="345">
        <f t="shared" si="1"/>
        <v>2018.01</v>
      </c>
      <c r="B310" s="1147"/>
    </row>
    <row r="311" spans="1:2">
      <c r="A311" s="345">
        <f t="shared" si="1"/>
        <v>2018.02</v>
      </c>
      <c r="B311" s="1147"/>
    </row>
    <row r="312" spans="1:2">
      <c r="A312" s="345">
        <f t="shared" si="1"/>
        <v>2018.03</v>
      </c>
      <c r="B312" s="1147"/>
    </row>
    <row r="313" spans="1:2">
      <c r="A313" s="345">
        <f t="shared" si="1"/>
        <v>2018.04</v>
      </c>
      <c r="B313" s="1147"/>
    </row>
    <row r="314" spans="1:2">
      <c r="A314" s="345">
        <f t="shared" si="1"/>
        <v>2018.05</v>
      </c>
      <c r="B314" s="1147"/>
    </row>
    <row r="315" spans="1:2">
      <c r="A315" s="345">
        <f t="shared" si="1"/>
        <v>2018.06</v>
      </c>
      <c r="B315" s="1147"/>
    </row>
    <row r="316" spans="1:2">
      <c r="A316" s="345">
        <f t="shared" si="1"/>
        <v>2018.07</v>
      </c>
      <c r="B316" s="1147"/>
    </row>
    <row r="317" spans="1:2">
      <c r="A317" s="345">
        <f t="shared" si="1"/>
        <v>2018.08</v>
      </c>
      <c r="B317" s="1147"/>
    </row>
    <row r="318" spans="1:2">
      <c r="A318" s="345">
        <f t="shared" si="1"/>
        <v>2018.09</v>
      </c>
      <c r="B318" s="1147"/>
    </row>
    <row r="319" spans="1:2">
      <c r="A319" s="345">
        <f t="shared" si="1"/>
        <v>2018.1</v>
      </c>
      <c r="B319" s="1147"/>
    </row>
    <row r="320" spans="1:2">
      <c r="A320" s="345">
        <f t="shared" si="1"/>
        <v>2018.11</v>
      </c>
      <c r="B320" s="1147"/>
    </row>
    <row r="321" spans="1:2">
      <c r="A321" s="345">
        <f t="shared" si="1"/>
        <v>2018.12</v>
      </c>
      <c r="B321" s="1147"/>
    </row>
    <row r="322" spans="1:2">
      <c r="A322" s="345">
        <f t="shared" si="1"/>
        <v>2019.01</v>
      </c>
      <c r="B322" s="1147"/>
    </row>
    <row r="323" spans="1:2">
      <c r="A323" s="345">
        <f t="shared" si="1"/>
        <v>2019.02</v>
      </c>
      <c r="B323" s="1147"/>
    </row>
    <row r="324" spans="1:2">
      <c r="A324" s="345">
        <f t="shared" si="1"/>
        <v>2019.03</v>
      </c>
      <c r="B324" s="1147"/>
    </row>
    <row r="325" spans="1:2">
      <c r="A325" s="345">
        <f t="shared" si="1"/>
        <v>2019.04</v>
      </c>
      <c r="B325" s="1147"/>
    </row>
    <row r="326" spans="1:2">
      <c r="A326" s="345">
        <f t="shared" si="1"/>
        <v>2019.05</v>
      </c>
      <c r="B326" s="1147"/>
    </row>
    <row r="327" spans="1:2">
      <c r="A327" s="345">
        <f t="shared" si="1"/>
        <v>2019.06</v>
      </c>
      <c r="B327" s="1147"/>
    </row>
    <row r="328" spans="1:2">
      <c r="A328" s="345">
        <f t="shared" si="1"/>
        <v>2019.07</v>
      </c>
      <c r="B328" s="1147"/>
    </row>
    <row r="329" spans="1:2">
      <c r="A329" s="345">
        <f t="shared" si="1"/>
        <v>2019.08</v>
      </c>
      <c r="B329" s="1147"/>
    </row>
    <row r="330" spans="1:2">
      <c r="A330" s="345">
        <f t="shared" ref="A330:A393" si="2">A318+1</f>
        <v>2019.09</v>
      </c>
      <c r="B330" s="1147"/>
    </row>
    <row r="331" spans="1:2">
      <c r="A331" s="345">
        <f t="shared" si="2"/>
        <v>2019.1</v>
      </c>
      <c r="B331" s="1147"/>
    </row>
    <row r="332" spans="1:2">
      <c r="A332" s="345">
        <f t="shared" si="2"/>
        <v>2019.11</v>
      </c>
      <c r="B332" s="1147"/>
    </row>
    <row r="333" spans="1:2">
      <c r="A333" s="345">
        <f t="shared" si="2"/>
        <v>2019.12</v>
      </c>
      <c r="B333" s="1147"/>
    </row>
    <row r="334" spans="1:2">
      <c r="A334" s="345">
        <f t="shared" si="2"/>
        <v>2020.01</v>
      </c>
      <c r="B334" s="1156"/>
    </row>
    <row r="335" spans="1:2">
      <c r="A335" s="345">
        <f t="shared" si="2"/>
        <v>2020.02</v>
      </c>
      <c r="B335" s="1156"/>
    </row>
    <row r="336" spans="1:2">
      <c r="A336" s="345">
        <f t="shared" si="2"/>
        <v>2020.03</v>
      </c>
      <c r="B336" s="1156"/>
    </row>
    <row r="337" spans="1:2">
      <c r="A337" s="345">
        <f t="shared" si="2"/>
        <v>2020.04</v>
      </c>
      <c r="B337" s="1156"/>
    </row>
    <row r="338" spans="1:2">
      <c r="A338" s="345">
        <f t="shared" si="2"/>
        <v>2020.05</v>
      </c>
      <c r="B338" s="1156"/>
    </row>
    <row r="339" spans="1:2">
      <c r="A339" s="345">
        <f t="shared" si="2"/>
        <v>2020.06</v>
      </c>
      <c r="B339" s="1156"/>
    </row>
    <row r="340" spans="1:2">
      <c r="A340" s="345">
        <f t="shared" si="2"/>
        <v>2020.07</v>
      </c>
      <c r="B340" s="1156"/>
    </row>
    <row r="341" spans="1:2">
      <c r="A341" s="345">
        <f t="shared" si="2"/>
        <v>2020.08</v>
      </c>
      <c r="B341" s="1156"/>
    </row>
    <row r="342" spans="1:2">
      <c r="A342" s="345">
        <f t="shared" si="2"/>
        <v>2020.09</v>
      </c>
      <c r="B342" s="1156"/>
    </row>
    <row r="343" spans="1:2">
      <c r="A343" s="345">
        <f t="shared" si="2"/>
        <v>2020.1</v>
      </c>
      <c r="B343" s="1156"/>
    </row>
    <row r="344" spans="1:2">
      <c r="A344" s="345">
        <f t="shared" si="2"/>
        <v>2020.11</v>
      </c>
      <c r="B344" s="1156"/>
    </row>
    <row r="345" spans="1:2">
      <c r="A345" s="345">
        <f t="shared" si="2"/>
        <v>2020.12</v>
      </c>
      <c r="B345" s="1156"/>
    </row>
    <row r="346" spans="1:2">
      <c r="A346" s="345">
        <f t="shared" si="2"/>
        <v>2021.01</v>
      </c>
    </row>
    <row r="347" spans="1:2">
      <c r="A347" s="345">
        <f t="shared" si="2"/>
        <v>2021.02</v>
      </c>
    </row>
    <row r="348" spans="1:2">
      <c r="A348" s="345">
        <f t="shared" si="2"/>
        <v>2021.03</v>
      </c>
    </row>
    <row r="349" spans="1:2">
      <c r="A349" s="345">
        <f t="shared" si="2"/>
        <v>2021.04</v>
      </c>
    </row>
    <row r="350" spans="1:2">
      <c r="A350" s="345">
        <f t="shared" si="2"/>
        <v>2021.05</v>
      </c>
    </row>
    <row r="351" spans="1:2">
      <c r="A351" s="345">
        <f t="shared" si="2"/>
        <v>2021.06</v>
      </c>
    </row>
    <row r="352" spans="1:2">
      <c r="A352" s="345">
        <f t="shared" si="2"/>
        <v>2021.07</v>
      </c>
    </row>
    <row r="353" spans="1:1">
      <c r="A353" s="345">
        <f t="shared" si="2"/>
        <v>2021.08</v>
      </c>
    </row>
    <row r="354" spans="1:1">
      <c r="A354" s="345">
        <f t="shared" si="2"/>
        <v>2021.09</v>
      </c>
    </row>
    <row r="355" spans="1:1">
      <c r="A355" s="345">
        <f t="shared" si="2"/>
        <v>2021.1</v>
      </c>
    </row>
    <row r="356" spans="1:1">
      <c r="A356" s="345">
        <f t="shared" si="2"/>
        <v>2021.11</v>
      </c>
    </row>
    <row r="357" spans="1:1">
      <c r="A357" s="345">
        <f t="shared" si="2"/>
        <v>2021.12</v>
      </c>
    </row>
    <row r="358" spans="1:1">
      <c r="A358" s="345">
        <f t="shared" si="2"/>
        <v>2022.01</v>
      </c>
    </row>
    <row r="359" spans="1:1">
      <c r="A359" s="345">
        <f t="shared" si="2"/>
        <v>2022.02</v>
      </c>
    </row>
    <row r="360" spans="1:1">
      <c r="A360" s="345">
        <f t="shared" si="2"/>
        <v>2022.03</v>
      </c>
    </row>
    <row r="361" spans="1:1">
      <c r="A361" s="345">
        <f t="shared" si="2"/>
        <v>2022.04</v>
      </c>
    </row>
    <row r="362" spans="1:1">
      <c r="A362" s="345">
        <f t="shared" si="2"/>
        <v>2022.05</v>
      </c>
    </row>
    <row r="363" spans="1:1">
      <c r="A363" s="345">
        <f t="shared" si="2"/>
        <v>2022.06</v>
      </c>
    </row>
    <row r="364" spans="1:1">
      <c r="A364" s="345">
        <f t="shared" si="2"/>
        <v>2022.07</v>
      </c>
    </row>
    <row r="365" spans="1:1">
      <c r="A365" s="345">
        <f t="shared" si="2"/>
        <v>2022.08</v>
      </c>
    </row>
    <row r="366" spans="1:1">
      <c r="A366" s="345">
        <f t="shared" si="2"/>
        <v>2022.09</v>
      </c>
    </row>
    <row r="367" spans="1:1">
      <c r="A367" s="345">
        <f t="shared" si="2"/>
        <v>2022.1</v>
      </c>
    </row>
    <row r="368" spans="1:1">
      <c r="A368" s="345">
        <f t="shared" si="2"/>
        <v>2022.11</v>
      </c>
    </row>
    <row r="369" spans="1:1">
      <c r="A369" s="345">
        <f t="shared" si="2"/>
        <v>2022.12</v>
      </c>
    </row>
    <row r="370" spans="1:1">
      <c r="A370" s="345">
        <f t="shared" si="2"/>
        <v>2023.01</v>
      </c>
    </row>
    <row r="371" spans="1:1">
      <c r="A371" s="345">
        <f t="shared" si="2"/>
        <v>2023.02</v>
      </c>
    </row>
    <row r="372" spans="1:1">
      <c r="A372" s="345">
        <f t="shared" si="2"/>
        <v>2023.03</v>
      </c>
    </row>
    <row r="373" spans="1:1">
      <c r="A373" s="345">
        <f t="shared" si="2"/>
        <v>2023.04</v>
      </c>
    </row>
    <row r="374" spans="1:1">
      <c r="A374" s="345">
        <f t="shared" si="2"/>
        <v>2023.05</v>
      </c>
    </row>
    <row r="375" spans="1:1">
      <c r="A375" s="345">
        <f t="shared" si="2"/>
        <v>2023.06</v>
      </c>
    </row>
    <row r="376" spans="1:1">
      <c r="A376" s="345">
        <f t="shared" si="2"/>
        <v>2023.07</v>
      </c>
    </row>
    <row r="377" spans="1:1">
      <c r="A377" s="345">
        <f t="shared" si="2"/>
        <v>2023.08</v>
      </c>
    </row>
    <row r="378" spans="1:1">
      <c r="A378" s="345">
        <f t="shared" si="2"/>
        <v>2023.09</v>
      </c>
    </row>
    <row r="379" spans="1:1">
      <c r="A379" s="345">
        <f t="shared" si="2"/>
        <v>2023.1</v>
      </c>
    </row>
    <row r="380" spans="1:1">
      <c r="A380" s="345">
        <f t="shared" si="2"/>
        <v>2023.11</v>
      </c>
    </row>
    <row r="381" spans="1:1">
      <c r="A381" s="345">
        <f t="shared" si="2"/>
        <v>2023.12</v>
      </c>
    </row>
    <row r="382" spans="1:1">
      <c r="A382" s="345">
        <f t="shared" si="2"/>
        <v>2024.01</v>
      </c>
    </row>
    <row r="383" spans="1:1">
      <c r="A383" s="345">
        <f t="shared" si="2"/>
        <v>2024.02</v>
      </c>
    </row>
    <row r="384" spans="1:1">
      <c r="A384" s="345">
        <f t="shared" si="2"/>
        <v>2024.03</v>
      </c>
    </row>
    <row r="385" spans="1:4">
      <c r="A385" s="345">
        <f t="shared" si="2"/>
        <v>2024.04</v>
      </c>
    </row>
    <row r="386" spans="1:4">
      <c r="A386" s="345">
        <f t="shared" si="2"/>
        <v>2024.05</v>
      </c>
    </row>
    <row r="387" spans="1:4">
      <c r="A387" s="345">
        <f t="shared" si="2"/>
        <v>2024.06</v>
      </c>
    </row>
    <row r="388" spans="1:4">
      <c r="A388" s="345">
        <f t="shared" si="2"/>
        <v>2024.07</v>
      </c>
    </row>
    <row r="389" spans="1:4">
      <c r="A389" s="345">
        <f t="shared" si="2"/>
        <v>2024.08</v>
      </c>
    </row>
    <row r="390" spans="1:4">
      <c r="A390" s="345">
        <f t="shared" si="2"/>
        <v>2024.09</v>
      </c>
    </row>
    <row r="391" spans="1:4">
      <c r="A391" s="345">
        <f t="shared" si="2"/>
        <v>2024.1</v>
      </c>
    </row>
    <row r="392" spans="1:4">
      <c r="A392" s="345">
        <f t="shared" si="2"/>
        <v>2024.11</v>
      </c>
    </row>
    <row r="393" spans="1:4">
      <c r="A393" s="345">
        <f t="shared" si="2"/>
        <v>2024.12</v>
      </c>
      <c r="B393" s="1156" t="e">
        <f>+SUM(#REF!)</f>
        <v>#REF!</v>
      </c>
      <c r="D393" s="1156" t="e">
        <f>SUM(#REF!)</f>
        <v>#REF!</v>
      </c>
    </row>
    <row r="394" spans="1:4">
      <c r="A394" s="345">
        <f t="shared" ref="A394:A457" si="3">A382+1</f>
        <v>2025.01</v>
      </c>
    </row>
    <row r="395" spans="1:4">
      <c r="A395" s="345">
        <f t="shared" si="3"/>
        <v>2025.02</v>
      </c>
      <c r="B395" s="1156" t="e">
        <f>+SUM(#REF!)</f>
        <v>#REF!</v>
      </c>
      <c r="C395" s="1156" t="e">
        <f>+SUM(#REF!)</f>
        <v>#REF!</v>
      </c>
      <c r="D395" s="1156" t="e">
        <f>+SUM(#REF!)</f>
        <v>#REF!</v>
      </c>
    </row>
    <row r="396" spans="1:4">
      <c r="A396" s="345">
        <f t="shared" si="3"/>
        <v>2025.03</v>
      </c>
    </row>
    <row r="397" spans="1:4">
      <c r="A397" s="345">
        <f t="shared" si="3"/>
        <v>2025.04</v>
      </c>
      <c r="B397" s="344" t="e">
        <f>+B395/B393-1</f>
        <v>#REF!</v>
      </c>
    </row>
    <row r="398" spans="1:4">
      <c r="A398" s="345">
        <f t="shared" si="3"/>
        <v>2025.05</v>
      </c>
    </row>
    <row r="399" spans="1:4">
      <c r="A399" s="345">
        <f t="shared" si="3"/>
        <v>2025.06</v>
      </c>
    </row>
    <row r="400" spans="1:4">
      <c r="A400" s="345">
        <f t="shared" si="3"/>
        <v>2025.07</v>
      </c>
    </row>
    <row r="401" spans="1:1">
      <c r="A401" s="345">
        <f t="shared" si="3"/>
        <v>2025.08</v>
      </c>
    </row>
    <row r="402" spans="1:1">
      <c r="A402" s="345">
        <f t="shared" si="3"/>
        <v>2025.09</v>
      </c>
    </row>
    <row r="403" spans="1:1">
      <c r="A403" s="345">
        <f t="shared" si="3"/>
        <v>2025.1</v>
      </c>
    </row>
    <row r="404" spans="1:1">
      <c r="A404" s="345">
        <f t="shared" si="3"/>
        <v>2025.11</v>
      </c>
    </row>
    <row r="405" spans="1:1">
      <c r="A405" s="345">
        <f t="shared" si="3"/>
        <v>2025.12</v>
      </c>
    </row>
    <row r="406" spans="1:1">
      <c r="A406" s="345">
        <f t="shared" si="3"/>
        <v>2026.01</v>
      </c>
    </row>
    <row r="407" spans="1:1">
      <c r="A407" s="345">
        <f t="shared" si="3"/>
        <v>2026.02</v>
      </c>
    </row>
    <row r="408" spans="1:1">
      <c r="A408" s="345">
        <f t="shared" si="3"/>
        <v>2026.03</v>
      </c>
    </row>
    <row r="409" spans="1:1">
      <c r="A409" s="345">
        <f t="shared" si="3"/>
        <v>2026.04</v>
      </c>
    </row>
    <row r="410" spans="1:1">
      <c r="A410" s="345">
        <f t="shared" si="3"/>
        <v>2026.05</v>
      </c>
    </row>
    <row r="411" spans="1:1">
      <c r="A411" s="345">
        <f t="shared" si="3"/>
        <v>2026.06</v>
      </c>
    </row>
    <row r="412" spans="1:1">
      <c r="A412" s="345">
        <f t="shared" si="3"/>
        <v>2026.07</v>
      </c>
    </row>
    <row r="413" spans="1:1">
      <c r="A413" s="345">
        <f t="shared" si="3"/>
        <v>2026.08</v>
      </c>
    </row>
    <row r="414" spans="1:1">
      <c r="A414" s="345">
        <f t="shared" si="3"/>
        <v>2026.09</v>
      </c>
    </row>
    <row r="415" spans="1:1">
      <c r="A415" s="345">
        <f t="shared" si="3"/>
        <v>2026.1</v>
      </c>
    </row>
    <row r="416" spans="1:1">
      <c r="A416" s="345">
        <f t="shared" si="3"/>
        <v>2026.11</v>
      </c>
    </row>
    <row r="417" spans="1:1">
      <c r="A417" s="345">
        <f t="shared" si="3"/>
        <v>2026.12</v>
      </c>
    </row>
    <row r="418" spans="1:1">
      <c r="A418" s="345">
        <f t="shared" si="3"/>
        <v>2027.01</v>
      </c>
    </row>
    <row r="419" spans="1:1">
      <c r="A419" s="345">
        <f t="shared" si="3"/>
        <v>2027.02</v>
      </c>
    </row>
    <row r="420" spans="1:1">
      <c r="A420" s="345">
        <f t="shared" si="3"/>
        <v>2027.03</v>
      </c>
    </row>
    <row r="421" spans="1:1">
      <c r="A421" s="345">
        <f t="shared" si="3"/>
        <v>2027.04</v>
      </c>
    </row>
    <row r="422" spans="1:1">
      <c r="A422" s="345">
        <f t="shared" si="3"/>
        <v>2027.05</v>
      </c>
    </row>
    <row r="423" spans="1:1">
      <c r="A423" s="345">
        <f t="shared" si="3"/>
        <v>2027.06</v>
      </c>
    </row>
    <row r="424" spans="1:1">
      <c r="A424" s="345">
        <f t="shared" si="3"/>
        <v>2027.07</v>
      </c>
    </row>
    <row r="425" spans="1:1">
      <c r="A425" s="345">
        <f t="shared" si="3"/>
        <v>2027.08</v>
      </c>
    </row>
    <row r="426" spans="1:1">
      <c r="A426" s="345">
        <f t="shared" si="3"/>
        <v>2027.09</v>
      </c>
    </row>
    <row r="427" spans="1:1">
      <c r="A427" s="345">
        <f t="shared" si="3"/>
        <v>2027.1</v>
      </c>
    </row>
    <row r="428" spans="1:1">
      <c r="A428" s="345">
        <f t="shared" si="3"/>
        <v>2027.11</v>
      </c>
    </row>
    <row r="429" spans="1:1">
      <c r="A429" s="345">
        <f t="shared" si="3"/>
        <v>2027.12</v>
      </c>
    </row>
    <row r="430" spans="1:1">
      <c r="A430" s="345">
        <f t="shared" si="3"/>
        <v>2028.01</v>
      </c>
    </row>
    <row r="431" spans="1:1">
      <c r="A431" s="345">
        <f t="shared" si="3"/>
        <v>2028.02</v>
      </c>
    </row>
    <row r="432" spans="1:1">
      <c r="A432" s="345">
        <f t="shared" si="3"/>
        <v>2028.03</v>
      </c>
    </row>
    <row r="433" spans="1:1">
      <c r="A433" s="345">
        <f t="shared" si="3"/>
        <v>2028.04</v>
      </c>
    </row>
    <row r="434" spans="1:1">
      <c r="A434" s="345">
        <f t="shared" si="3"/>
        <v>2028.05</v>
      </c>
    </row>
    <row r="435" spans="1:1">
      <c r="A435" s="345">
        <f t="shared" si="3"/>
        <v>2028.06</v>
      </c>
    </row>
    <row r="436" spans="1:1">
      <c r="A436" s="345">
        <f t="shared" si="3"/>
        <v>2028.07</v>
      </c>
    </row>
    <row r="437" spans="1:1">
      <c r="A437" s="345">
        <f t="shared" si="3"/>
        <v>2028.08</v>
      </c>
    </row>
    <row r="438" spans="1:1">
      <c r="A438" s="345">
        <f t="shared" si="3"/>
        <v>2028.09</v>
      </c>
    </row>
    <row r="439" spans="1:1">
      <c r="A439" s="345">
        <f t="shared" si="3"/>
        <v>2028.1</v>
      </c>
    </row>
    <row r="440" spans="1:1">
      <c r="A440" s="345">
        <f t="shared" si="3"/>
        <v>2028.11</v>
      </c>
    </row>
    <row r="441" spans="1:1">
      <c r="A441" s="345">
        <f t="shared" si="3"/>
        <v>2028.12</v>
      </c>
    </row>
    <row r="442" spans="1:1">
      <c r="A442" s="345">
        <f t="shared" si="3"/>
        <v>2029.01</v>
      </c>
    </row>
    <row r="443" spans="1:1">
      <c r="A443" s="345">
        <f t="shared" si="3"/>
        <v>2029.02</v>
      </c>
    </row>
    <row r="444" spans="1:1">
      <c r="A444" s="345">
        <f t="shared" si="3"/>
        <v>2029.03</v>
      </c>
    </row>
    <row r="445" spans="1:1">
      <c r="A445" s="345">
        <f t="shared" si="3"/>
        <v>2029.04</v>
      </c>
    </row>
    <row r="446" spans="1:1">
      <c r="A446" s="345">
        <f t="shared" si="3"/>
        <v>2029.05</v>
      </c>
    </row>
    <row r="447" spans="1:1">
      <c r="A447" s="345">
        <f t="shared" si="3"/>
        <v>2029.06</v>
      </c>
    </row>
    <row r="448" spans="1:1">
      <c r="A448" s="345">
        <f t="shared" si="3"/>
        <v>2029.07</v>
      </c>
    </row>
    <row r="449" spans="1:1">
      <c r="A449" s="345">
        <f t="shared" si="3"/>
        <v>2029.08</v>
      </c>
    </row>
    <row r="450" spans="1:1">
      <c r="A450" s="345">
        <f t="shared" si="3"/>
        <v>2029.09</v>
      </c>
    </row>
    <row r="451" spans="1:1">
      <c r="A451" s="345">
        <f t="shared" si="3"/>
        <v>2029.1</v>
      </c>
    </row>
    <row r="452" spans="1:1">
      <c r="A452" s="345">
        <f t="shared" si="3"/>
        <v>2029.11</v>
      </c>
    </row>
    <row r="453" spans="1:1">
      <c r="A453" s="345">
        <f t="shared" si="3"/>
        <v>2029.12</v>
      </c>
    </row>
    <row r="454" spans="1:1">
      <c r="A454" s="345">
        <f t="shared" si="3"/>
        <v>2030.01</v>
      </c>
    </row>
    <row r="455" spans="1:1">
      <c r="A455" s="345">
        <f t="shared" si="3"/>
        <v>2030.02</v>
      </c>
    </row>
    <row r="456" spans="1:1">
      <c r="A456" s="345">
        <f t="shared" si="3"/>
        <v>2030.03</v>
      </c>
    </row>
    <row r="457" spans="1:1">
      <c r="A457" s="345">
        <f t="shared" si="3"/>
        <v>2030.04</v>
      </c>
    </row>
    <row r="458" spans="1:1">
      <c r="A458" s="345">
        <f t="shared" ref="A458:A465" si="4">A446+1</f>
        <v>2030.05</v>
      </c>
    </row>
    <row r="459" spans="1:1">
      <c r="A459" s="345">
        <f t="shared" si="4"/>
        <v>2030.06</v>
      </c>
    </row>
    <row r="460" spans="1:1">
      <c r="A460" s="345">
        <f t="shared" si="4"/>
        <v>2030.07</v>
      </c>
    </row>
    <row r="461" spans="1:1">
      <c r="A461" s="345">
        <f t="shared" si="4"/>
        <v>2030.08</v>
      </c>
    </row>
    <row r="462" spans="1:1">
      <c r="A462" s="345">
        <f t="shared" si="4"/>
        <v>2030.09</v>
      </c>
    </row>
    <row r="463" spans="1:1">
      <c r="A463" s="345">
        <f t="shared" si="4"/>
        <v>2030.1</v>
      </c>
    </row>
    <row r="464" spans="1:1">
      <c r="A464" s="345">
        <f t="shared" si="4"/>
        <v>2030.11</v>
      </c>
    </row>
    <row r="465" spans="1:1">
      <c r="A465" s="345">
        <f t="shared" si="4"/>
        <v>2030.12</v>
      </c>
    </row>
  </sheetData>
  <hyperlinks>
    <hyperlink ref="A5" location="INDICE!A13" display="VOLVER AL INDICE" xr:uid="{00000000-0004-0000-2500-000000000000}"/>
  </hyperlinks>
  <pageMargins left="0.75" right="0.75" top="1" bottom="1" header="0" footer="0"/>
  <pageSetup paperSize="9"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0EB-87AA-4AC4-9BF2-3BD21EA6316B}">
  <sheetPr codeName="Hoja61"/>
  <dimension ref="A1:Q319"/>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9.7109375" style="62" bestFit="1" customWidth="1"/>
    <col min="2" max="5" width="15.5703125" style="1659" customWidth="1"/>
    <col min="6" max="17" width="15.5703125" style="1660" customWidth="1"/>
    <col min="18" max="16384" width="11.42578125" style="347"/>
  </cols>
  <sheetData>
    <row r="1" spans="1:17" ht="3.75" customHeight="1">
      <c r="A1" s="34"/>
      <c r="B1" s="2451"/>
      <c r="C1" s="1576"/>
      <c r="D1" s="1224"/>
      <c r="E1" s="1224"/>
      <c r="F1" s="2452"/>
      <c r="G1" s="1577"/>
      <c r="H1" s="1578"/>
      <c r="I1" s="1578"/>
      <c r="J1" s="1578"/>
      <c r="K1" s="1578"/>
      <c r="L1" s="168"/>
      <c r="M1" s="168"/>
      <c r="N1" s="1579"/>
      <c r="O1" s="1579"/>
      <c r="P1" s="1579"/>
      <c r="Q1" s="1580"/>
    </row>
    <row r="2" spans="1:17" ht="22.5">
      <c r="A2" s="1581" t="s">
        <v>105</v>
      </c>
      <c r="B2" s="1582" t="s">
        <v>1174</v>
      </c>
      <c r="C2" s="1583"/>
      <c r="D2" s="1584"/>
      <c r="E2" s="1585"/>
      <c r="F2" s="1584" t="s">
        <v>1174</v>
      </c>
      <c r="G2" s="1586"/>
      <c r="H2" s="1586"/>
      <c r="I2" s="1586"/>
      <c r="J2" s="1586"/>
      <c r="K2" s="1587"/>
      <c r="L2" s="1588"/>
      <c r="M2" s="1586"/>
      <c r="N2" s="1586"/>
      <c r="O2" s="1586"/>
      <c r="P2" s="1586"/>
      <c r="Q2" s="1589"/>
    </row>
    <row r="3" spans="1:17">
      <c r="A3" s="1590" t="s">
        <v>109</v>
      </c>
      <c r="B3" s="1591" t="s">
        <v>1175</v>
      </c>
      <c r="C3" s="1592"/>
      <c r="D3" s="2453"/>
      <c r="E3" s="1592"/>
      <c r="F3" s="1593" t="s">
        <v>1175</v>
      </c>
      <c r="G3" s="1594"/>
      <c r="H3" s="1594"/>
      <c r="I3" s="1594"/>
      <c r="J3" s="1594"/>
      <c r="K3" s="1595"/>
      <c r="L3" s="1593"/>
      <c r="M3" s="1594"/>
      <c r="N3" s="1596"/>
      <c r="O3" s="1596"/>
      <c r="P3" s="1596"/>
      <c r="Q3" s="1597"/>
    </row>
    <row r="4" spans="1:17">
      <c r="A4" s="1060"/>
      <c r="B4" s="1584" t="s">
        <v>1176</v>
      </c>
      <c r="C4" s="1598"/>
      <c r="D4" s="2454"/>
      <c r="E4" s="1598"/>
      <c r="F4" s="1599" t="s">
        <v>1177</v>
      </c>
      <c r="G4" s="1600"/>
      <c r="H4" s="1600"/>
      <c r="I4" s="1600"/>
      <c r="J4" s="1600"/>
      <c r="K4" s="1601"/>
      <c r="L4" s="1584"/>
      <c r="M4" s="1602"/>
      <c r="N4" s="1602"/>
      <c r="O4" s="1602"/>
      <c r="P4" s="1602"/>
      <c r="Q4" s="1603"/>
    </row>
    <row r="5" spans="1:17" ht="22.5">
      <c r="A5" s="2455" t="s">
        <v>137</v>
      </c>
      <c r="B5" s="1604" t="s">
        <v>831</v>
      </c>
      <c r="C5" s="1605"/>
      <c r="D5" s="2456" t="s">
        <v>1178</v>
      </c>
      <c r="E5" s="1605"/>
      <c r="F5" s="1606" t="s">
        <v>831</v>
      </c>
      <c r="G5" s="1607"/>
      <c r="H5" s="1607"/>
      <c r="I5" s="1607"/>
      <c r="J5" s="1607"/>
      <c r="K5" s="1608"/>
      <c r="L5" s="2456" t="s">
        <v>1178</v>
      </c>
      <c r="M5" s="1607"/>
      <c r="N5" s="1607"/>
      <c r="O5" s="1607"/>
      <c r="P5" s="1607"/>
      <c r="Q5" s="1609"/>
    </row>
    <row r="6" spans="1:17" ht="22.5">
      <c r="A6" s="2457" t="s">
        <v>1179</v>
      </c>
      <c r="B6" s="1610" t="s">
        <v>1180</v>
      </c>
      <c r="C6" s="1611" t="s">
        <v>1181</v>
      </c>
      <c r="D6" s="1610" t="s">
        <v>1180</v>
      </c>
      <c r="E6" s="1611" t="s">
        <v>1181</v>
      </c>
      <c r="F6" s="1612" t="s">
        <v>1182</v>
      </c>
      <c r="G6" s="1613" t="s">
        <v>1183</v>
      </c>
      <c r="H6" s="1613" t="s">
        <v>1184</v>
      </c>
      <c r="I6" s="1613" t="s">
        <v>1185</v>
      </c>
      <c r="J6" s="1613" t="s">
        <v>1186</v>
      </c>
      <c r="K6" s="1614" t="s">
        <v>1187</v>
      </c>
      <c r="L6" s="1615" t="s">
        <v>1182</v>
      </c>
      <c r="M6" s="1616" t="s">
        <v>1183</v>
      </c>
      <c r="N6" s="1616" t="s">
        <v>1184</v>
      </c>
      <c r="O6" s="1616" t="s">
        <v>1185</v>
      </c>
      <c r="P6" s="1613" t="s">
        <v>1186</v>
      </c>
      <c r="Q6" s="1617" t="s">
        <v>1187</v>
      </c>
    </row>
    <row r="7" spans="1:17" ht="22.5">
      <c r="A7" s="2457" t="s">
        <v>123</v>
      </c>
      <c r="B7" s="1618" t="s">
        <v>1188</v>
      </c>
      <c r="C7" s="1619" t="s">
        <v>1188</v>
      </c>
      <c r="D7" s="1618" t="s">
        <v>1188</v>
      </c>
      <c r="E7" s="1619" t="s">
        <v>1188</v>
      </c>
      <c r="F7" s="1620" t="s">
        <v>125</v>
      </c>
      <c r="G7" s="1621" t="s">
        <v>125</v>
      </c>
      <c r="H7" s="1621" t="s">
        <v>125</v>
      </c>
      <c r="I7" s="1621" t="s">
        <v>125</v>
      </c>
      <c r="J7" s="1621" t="s">
        <v>125</v>
      </c>
      <c r="K7" s="1622" t="s">
        <v>125</v>
      </c>
      <c r="L7" s="1623" t="s">
        <v>125</v>
      </c>
      <c r="M7" s="1621" t="s">
        <v>125</v>
      </c>
      <c r="N7" s="1621" t="s">
        <v>125</v>
      </c>
      <c r="O7" s="1621" t="s">
        <v>125</v>
      </c>
      <c r="P7" s="1621" t="s">
        <v>125</v>
      </c>
      <c r="Q7" s="1624" t="s">
        <v>125</v>
      </c>
    </row>
    <row r="8" spans="1:17">
      <c r="A8" s="1061" t="s">
        <v>141</v>
      </c>
      <c r="B8" s="1661" t="s">
        <v>1189</v>
      </c>
      <c r="C8" s="1662" t="s">
        <v>1190</v>
      </c>
      <c r="D8" s="1661" t="s">
        <v>1191</v>
      </c>
      <c r="E8" s="1662" t="s">
        <v>1192</v>
      </c>
      <c r="F8" s="1663" t="s">
        <v>1193</v>
      </c>
      <c r="G8" s="1664" t="s">
        <v>1194</v>
      </c>
      <c r="H8" s="1664" t="s">
        <v>1195</v>
      </c>
      <c r="I8" s="1664" t="s">
        <v>1196</v>
      </c>
      <c r="J8" s="1664" t="s">
        <v>1197</v>
      </c>
      <c r="K8" s="1665" t="s">
        <v>1198</v>
      </c>
      <c r="L8" s="1666" t="s">
        <v>1199</v>
      </c>
      <c r="M8" s="1664" t="s">
        <v>1200</v>
      </c>
      <c r="N8" s="1664" t="s">
        <v>1201</v>
      </c>
      <c r="O8" s="1664" t="s">
        <v>1202</v>
      </c>
      <c r="P8" s="1664" t="s">
        <v>1203</v>
      </c>
      <c r="Q8" s="1667" t="s">
        <v>1204</v>
      </c>
    </row>
    <row r="9" spans="1:17" ht="6.75" hidden="1" customHeight="1" thickBot="1">
      <c r="A9" s="1625"/>
      <c r="B9" s="1626"/>
      <c r="C9" s="1627"/>
      <c r="D9" s="2458"/>
      <c r="E9" s="1627"/>
      <c r="F9" s="1628"/>
      <c r="G9" s="1616"/>
      <c r="H9" s="1616"/>
      <c r="I9" s="1616"/>
      <c r="J9" s="1616"/>
      <c r="K9" s="1629"/>
      <c r="L9" s="1615"/>
      <c r="M9" s="1616"/>
      <c r="N9" s="1616"/>
      <c r="O9" s="1616"/>
      <c r="P9" s="1616"/>
      <c r="Q9" s="1630"/>
    </row>
    <row r="10" spans="1:17">
      <c r="A10" s="1631">
        <v>2014.1</v>
      </c>
      <c r="B10" s="1632">
        <v>2191</v>
      </c>
      <c r="C10" s="1633">
        <v>1576</v>
      </c>
      <c r="D10" s="1634">
        <v>213076</v>
      </c>
      <c r="E10" s="1633">
        <v>195755</v>
      </c>
      <c r="F10" s="1635">
        <v>809689.91</v>
      </c>
      <c r="G10" s="1636">
        <v>6219723.9000000004</v>
      </c>
      <c r="H10" s="1636">
        <v>539478.06999999995</v>
      </c>
      <c r="I10" s="1636">
        <v>198963.18</v>
      </c>
      <c r="J10" s="1636">
        <v>657800</v>
      </c>
      <c r="K10" s="1633">
        <v>1424751.89</v>
      </c>
      <c r="L10" s="1635">
        <v>4854210.8099999996</v>
      </c>
      <c r="M10" s="1636">
        <v>11187555.23</v>
      </c>
      <c r="N10" s="1636">
        <v>6013060.5700000003</v>
      </c>
      <c r="O10" s="1636">
        <v>5548026.9299999997</v>
      </c>
      <c r="P10" s="1636">
        <v>666971</v>
      </c>
      <c r="Q10" s="1637">
        <v>1451061.35</v>
      </c>
    </row>
    <row r="11" spans="1:17">
      <c r="A11" s="1631">
        <v>2014.2</v>
      </c>
      <c r="B11" s="1638">
        <v>4614</v>
      </c>
      <c r="C11" s="1639">
        <v>3103</v>
      </c>
      <c r="D11" s="1638">
        <v>233380</v>
      </c>
      <c r="E11" s="1639">
        <v>214339</v>
      </c>
      <c r="F11" s="1640">
        <v>947848.06</v>
      </c>
      <c r="G11" s="1641">
        <v>16798504</v>
      </c>
      <c r="H11" s="1641">
        <v>574404.04</v>
      </c>
      <c r="I11" s="1641">
        <v>258055.99</v>
      </c>
      <c r="J11" s="1641">
        <v>1336569</v>
      </c>
      <c r="K11" s="1639">
        <v>2147864</v>
      </c>
      <c r="L11" s="1642">
        <v>6823898.0099999998</v>
      </c>
      <c r="M11" s="1641">
        <v>23580642.280000001</v>
      </c>
      <c r="N11" s="1641">
        <v>7007247.5599999996</v>
      </c>
      <c r="O11" s="1641">
        <v>6820957.1900000004</v>
      </c>
      <c r="P11" s="1641">
        <v>1387034</v>
      </c>
      <c r="Q11" s="1643">
        <v>2199007.0299999998</v>
      </c>
    </row>
    <row r="12" spans="1:17">
      <c r="A12" s="1631">
        <v>2014.3</v>
      </c>
      <c r="B12" s="1638">
        <v>4683</v>
      </c>
      <c r="C12" s="1639">
        <v>4920</v>
      </c>
      <c r="D12" s="1638">
        <v>219946</v>
      </c>
      <c r="E12" s="1639">
        <v>215814</v>
      </c>
      <c r="F12" s="1640">
        <v>681149.35</v>
      </c>
      <c r="G12" s="1641">
        <v>15173968.279999999</v>
      </c>
      <c r="H12" s="1641">
        <v>749774.86</v>
      </c>
      <c r="I12" s="1641">
        <v>293972.11</v>
      </c>
      <c r="J12" s="1641">
        <v>1548392</v>
      </c>
      <c r="K12" s="1639">
        <v>1238748.0900000001</v>
      </c>
      <c r="L12" s="1642">
        <v>7644657.8499999996</v>
      </c>
      <c r="M12" s="1641">
        <v>20743103.010000002</v>
      </c>
      <c r="N12" s="1641">
        <v>7037270.46</v>
      </c>
      <c r="O12" s="1641">
        <v>6117652.2800000003</v>
      </c>
      <c r="P12" s="1641">
        <v>1767636</v>
      </c>
      <c r="Q12" s="1643">
        <v>1459348.65</v>
      </c>
    </row>
    <row r="13" spans="1:17">
      <c r="A13" s="1631">
        <v>2014.4</v>
      </c>
      <c r="B13" s="1638">
        <v>3570</v>
      </c>
      <c r="C13" s="1639">
        <v>3342</v>
      </c>
      <c r="D13" s="1638">
        <v>209483</v>
      </c>
      <c r="E13" s="1639">
        <v>197732</v>
      </c>
      <c r="F13" s="1640">
        <v>887894.52</v>
      </c>
      <c r="G13" s="1641">
        <v>11343488</v>
      </c>
      <c r="H13" s="1641">
        <v>686085.06</v>
      </c>
      <c r="I13" s="1641">
        <v>342371.99</v>
      </c>
      <c r="J13" s="1641">
        <v>677861</v>
      </c>
      <c r="K13" s="1639">
        <v>998850</v>
      </c>
      <c r="L13" s="1642">
        <v>5059029.22</v>
      </c>
      <c r="M13" s="1641">
        <v>14246881.49</v>
      </c>
      <c r="N13" s="1641">
        <v>6829991.2699999996</v>
      </c>
      <c r="O13" s="1641">
        <v>6749742.21</v>
      </c>
      <c r="P13" s="1641">
        <v>947906</v>
      </c>
      <c r="Q13" s="1643">
        <v>1346395.88</v>
      </c>
    </row>
    <row r="14" spans="1:17">
      <c r="A14" s="1631">
        <f t="shared" ref="A14:A77" si="0">A10+1</f>
        <v>2015.1</v>
      </c>
      <c r="B14" s="1638">
        <v>3094</v>
      </c>
      <c r="C14" s="1639">
        <v>2688</v>
      </c>
      <c r="D14" s="1638">
        <v>188393</v>
      </c>
      <c r="E14" s="1639">
        <v>193638</v>
      </c>
      <c r="F14" s="1640">
        <v>407447.6</v>
      </c>
      <c r="G14" s="1641">
        <v>10854450.109999999</v>
      </c>
      <c r="H14" s="1641">
        <v>909879.5</v>
      </c>
      <c r="I14" s="1641">
        <v>296253.33</v>
      </c>
      <c r="J14" s="1641">
        <v>1116189</v>
      </c>
      <c r="K14" s="1639">
        <v>1310038</v>
      </c>
      <c r="L14" s="1642">
        <v>3907670.25</v>
      </c>
      <c r="M14" s="1641">
        <v>14815729.199999999</v>
      </c>
      <c r="N14" s="1641">
        <v>6792594.1399999997</v>
      </c>
      <c r="O14" s="1641">
        <v>6018210.3300000001</v>
      </c>
      <c r="P14" s="1641">
        <v>1307730</v>
      </c>
      <c r="Q14" s="1643">
        <v>1507718.47</v>
      </c>
    </row>
    <row r="15" spans="1:17">
      <c r="A15" s="1631">
        <f t="shared" si="0"/>
        <v>2015.2</v>
      </c>
      <c r="B15" s="1638">
        <v>3640</v>
      </c>
      <c r="C15" s="1639">
        <v>4032</v>
      </c>
      <c r="D15" s="1638">
        <v>223610</v>
      </c>
      <c r="E15" s="1639">
        <v>228389</v>
      </c>
      <c r="F15" s="1640">
        <v>491890.53</v>
      </c>
      <c r="G15" s="1641">
        <v>17813063.469999999</v>
      </c>
      <c r="H15" s="1641">
        <v>1259235.56</v>
      </c>
      <c r="I15" s="1641">
        <v>173330.8</v>
      </c>
      <c r="J15" s="1641">
        <v>1278224</v>
      </c>
      <c r="K15" s="1639">
        <v>1518840</v>
      </c>
      <c r="L15" s="1642">
        <v>5679756.4800000004</v>
      </c>
      <c r="M15" s="1641">
        <v>25012983.719999999</v>
      </c>
      <c r="N15" s="1641">
        <v>7706239.1399999997</v>
      </c>
      <c r="O15" s="1641">
        <v>6302350.9900000002</v>
      </c>
      <c r="P15" s="1641">
        <v>1439381</v>
      </c>
      <c r="Q15" s="1643">
        <v>1713975.6</v>
      </c>
    </row>
    <row r="16" spans="1:17">
      <c r="A16" s="1631">
        <f t="shared" si="0"/>
        <v>2015.3</v>
      </c>
      <c r="B16" s="1638">
        <v>5096</v>
      </c>
      <c r="C16" s="1639">
        <v>5222</v>
      </c>
      <c r="D16" s="1638">
        <v>226802</v>
      </c>
      <c r="E16" s="1639">
        <v>227574</v>
      </c>
      <c r="F16" s="1640">
        <v>501414</v>
      </c>
      <c r="G16" s="1641">
        <v>18504291.370000001</v>
      </c>
      <c r="H16" s="1641">
        <v>1211049.75</v>
      </c>
      <c r="I16" s="1641">
        <v>278192.59999999998</v>
      </c>
      <c r="J16" s="1641">
        <v>1542363</v>
      </c>
      <c r="K16" s="1639">
        <v>2400979</v>
      </c>
      <c r="L16" s="1642">
        <v>6660226.5999999996</v>
      </c>
      <c r="M16" s="1641">
        <v>23800575.120000001</v>
      </c>
      <c r="N16" s="1641">
        <v>4838794.1500000004</v>
      </c>
      <c r="O16" s="1641">
        <v>9882701.2200000007</v>
      </c>
      <c r="P16" s="1641">
        <v>1835901</v>
      </c>
      <c r="Q16" s="1643">
        <v>2667801.15</v>
      </c>
    </row>
    <row r="17" spans="1:17">
      <c r="A17" s="1631">
        <f t="shared" si="0"/>
        <v>2015.4</v>
      </c>
      <c r="B17" s="1638">
        <v>3883</v>
      </c>
      <c r="C17" s="1639">
        <v>3979</v>
      </c>
      <c r="D17" s="1638">
        <v>205661</v>
      </c>
      <c r="E17" s="1639">
        <v>206516</v>
      </c>
      <c r="F17" s="1640">
        <v>674915.5</v>
      </c>
      <c r="G17" s="1641">
        <v>11930368.939999999</v>
      </c>
      <c r="H17" s="1641">
        <v>1032994.25</v>
      </c>
      <c r="I17" s="1641">
        <v>318235.17</v>
      </c>
      <c r="J17" s="1641">
        <v>1128608</v>
      </c>
      <c r="K17" s="1639">
        <v>3016733</v>
      </c>
      <c r="L17" s="1642">
        <v>4805887.0999999996</v>
      </c>
      <c r="M17" s="1641">
        <v>15680494.189999999</v>
      </c>
      <c r="N17" s="1641">
        <v>4194499.41</v>
      </c>
      <c r="O17" s="1641">
        <v>8939890.1199999992</v>
      </c>
      <c r="P17" s="1641">
        <v>1356369</v>
      </c>
      <c r="Q17" s="1643">
        <v>3255400.86</v>
      </c>
    </row>
    <row r="18" spans="1:17">
      <c r="A18" s="1631">
        <f t="shared" si="0"/>
        <v>2016.1</v>
      </c>
      <c r="B18" s="1638">
        <v>5414</v>
      </c>
      <c r="C18" s="1639">
        <v>5764</v>
      </c>
      <c r="D18" s="1638">
        <v>204327</v>
      </c>
      <c r="E18" s="1639">
        <v>195888</v>
      </c>
      <c r="F18" s="1640">
        <v>636172.75</v>
      </c>
      <c r="G18" s="1641">
        <v>17798908.57</v>
      </c>
      <c r="H18" s="1641">
        <v>1032534.57</v>
      </c>
      <c r="I18" s="1641">
        <v>314704.09000000003</v>
      </c>
      <c r="J18" s="1641">
        <v>471954</v>
      </c>
      <c r="K18" s="1639">
        <v>1273087</v>
      </c>
      <c r="L18" s="1642">
        <v>4415441.43</v>
      </c>
      <c r="M18" s="1641">
        <v>24326054.23</v>
      </c>
      <c r="N18" s="1641">
        <v>6254208.6399999997</v>
      </c>
      <c r="O18" s="1641">
        <v>5843470.4000000004</v>
      </c>
      <c r="P18" s="1641">
        <v>662049</v>
      </c>
      <c r="Q18" s="1643">
        <v>1383509.49</v>
      </c>
    </row>
    <row r="19" spans="1:17">
      <c r="A19" s="1631">
        <f t="shared" si="0"/>
        <v>2016.2</v>
      </c>
      <c r="B19" s="1638">
        <v>8060</v>
      </c>
      <c r="C19" s="1639">
        <v>9733</v>
      </c>
      <c r="D19" s="1638">
        <v>215927</v>
      </c>
      <c r="E19" s="1639">
        <v>207650</v>
      </c>
      <c r="F19" s="1640">
        <v>615601</v>
      </c>
      <c r="G19" s="1641">
        <v>18337228.109999999</v>
      </c>
      <c r="H19" s="1641">
        <v>1304528.18</v>
      </c>
      <c r="I19" s="1641">
        <v>284977.53000000003</v>
      </c>
      <c r="J19" s="1641">
        <v>754793</v>
      </c>
      <c r="K19" s="1639">
        <v>1256734</v>
      </c>
      <c r="L19" s="1642">
        <v>5583001.9500000002</v>
      </c>
      <c r="M19" s="1641">
        <v>26855285.09</v>
      </c>
      <c r="N19" s="1641">
        <v>6878675.6900000004</v>
      </c>
      <c r="O19" s="1641">
        <v>5868602.5999999996</v>
      </c>
      <c r="P19" s="1641">
        <v>904895</v>
      </c>
      <c r="Q19" s="1643">
        <v>1460531.3</v>
      </c>
    </row>
    <row r="20" spans="1:17">
      <c r="A20" s="1631">
        <f t="shared" si="0"/>
        <v>2016.3</v>
      </c>
      <c r="B20" s="1638">
        <v>7382</v>
      </c>
      <c r="C20" s="1639">
        <v>7889</v>
      </c>
      <c r="D20" s="1638">
        <v>223532</v>
      </c>
      <c r="E20" s="1639">
        <v>209362</v>
      </c>
      <c r="F20" s="1640">
        <v>405951.78</v>
      </c>
      <c r="G20" s="1641">
        <v>17632598.870000001</v>
      </c>
      <c r="H20" s="1641">
        <v>1146327.05</v>
      </c>
      <c r="I20" s="1641">
        <v>298297.62</v>
      </c>
      <c r="J20" s="1641">
        <v>584117.44999999995</v>
      </c>
      <c r="K20" s="1639">
        <v>1345094.11</v>
      </c>
      <c r="L20" s="1642">
        <v>6221365.3300000001</v>
      </c>
      <c r="M20" s="1641">
        <v>24962820.809999999</v>
      </c>
      <c r="N20" s="1641">
        <v>6653960.0899999999</v>
      </c>
      <c r="O20" s="1641">
        <v>5772548.8499999996</v>
      </c>
      <c r="P20" s="1641">
        <v>754211.45</v>
      </c>
      <c r="Q20" s="1643">
        <v>1580092.38</v>
      </c>
    </row>
    <row r="21" spans="1:17">
      <c r="A21" s="1631">
        <f t="shared" si="0"/>
        <v>2016.4</v>
      </c>
      <c r="B21" s="1638">
        <v>7697</v>
      </c>
      <c r="C21" s="1639">
        <v>6793</v>
      </c>
      <c r="D21" s="1638">
        <v>206649</v>
      </c>
      <c r="E21" s="1639">
        <v>187592</v>
      </c>
      <c r="F21" s="1640">
        <v>751038.97</v>
      </c>
      <c r="G21" s="1641">
        <v>14231485.35</v>
      </c>
      <c r="H21" s="1641">
        <v>885628.44</v>
      </c>
      <c r="I21" s="1641">
        <v>292864.48</v>
      </c>
      <c r="J21" s="1641">
        <v>210526.36</v>
      </c>
      <c r="K21" s="1639">
        <v>740709.71</v>
      </c>
      <c r="L21" s="1642">
        <v>4074987.04</v>
      </c>
      <c r="M21" s="1641">
        <v>20062436.399999999</v>
      </c>
      <c r="N21" s="1641">
        <v>5951153.29</v>
      </c>
      <c r="O21" s="1641">
        <v>5678270.9100000001</v>
      </c>
      <c r="P21" s="1641">
        <v>325146.36</v>
      </c>
      <c r="Q21" s="1643">
        <v>938714.53</v>
      </c>
    </row>
    <row r="22" spans="1:17">
      <c r="A22" s="1631">
        <f t="shared" si="0"/>
        <v>2017.1</v>
      </c>
      <c r="B22" s="1638">
        <v>7475</v>
      </c>
      <c r="C22" s="1639">
        <v>6793</v>
      </c>
      <c r="D22" s="1638">
        <v>184436</v>
      </c>
      <c r="E22" s="1639">
        <v>177835</v>
      </c>
      <c r="F22" s="1640">
        <v>638862.16</v>
      </c>
      <c r="G22" s="1641">
        <v>14984190.210000001</v>
      </c>
      <c r="H22" s="1641">
        <v>975536.59</v>
      </c>
      <c r="I22" s="1641">
        <v>252175.35</v>
      </c>
      <c r="J22" s="1641">
        <v>413472.81</v>
      </c>
      <c r="K22" s="1639">
        <v>755409.43</v>
      </c>
      <c r="L22" s="1642">
        <v>3223594.81</v>
      </c>
      <c r="M22" s="1641">
        <v>20790556.66</v>
      </c>
      <c r="N22" s="1641">
        <v>5643126.4500000002</v>
      </c>
      <c r="O22" s="1641">
        <v>5764114.0599999996</v>
      </c>
      <c r="P22" s="1641">
        <v>617787.81000000006</v>
      </c>
      <c r="Q22" s="1643">
        <v>961829.47</v>
      </c>
    </row>
    <row r="23" spans="1:17">
      <c r="A23" s="1631">
        <f t="shared" si="0"/>
        <v>2017.2</v>
      </c>
      <c r="B23" s="1638">
        <v>7337</v>
      </c>
      <c r="C23" s="1639">
        <v>7471</v>
      </c>
      <c r="D23" s="1638">
        <v>215857</v>
      </c>
      <c r="E23" s="1639">
        <v>215234</v>
      </c>
      <c r="F23" s="1640">
        <v>788604.43</v>
      </c>
      <c r="G23" s="1641">
        <v>19120603.809999999</v>
      </c>
      <c r="H23" s="1641">
        <v>1129071.94</v>
      </c>
      <c r="I23" s="1641">
        <v>200156.09</v>
      </c>
      <c r="J23" s="1641">
        <v>538037.56999999995</v>
      </c>
      <c r="K23" s="1639">
        <v>1516015.78</v>
      </c>
      <c r="L23" s="1642">
        <v>6321573.3399999999</v>
      </c>
      <c r="M23" s="1641">
        <v>26289367.460000001</v>
      </c>
      <c r="N23" s="1641">
        <v>6077087.8099999996</v>
      </c>
      <c r="O23" s="1641">
        <v>6231025.96</v>
      </c>
      <c r="P23" s="1644">
        <v>706903.07</v>
      </c>
      <c r="Q23" s="1643">
        <v>1664910.34</v>
      </c>
    </row>
    <row r="24" spans="1:17">
      <c r="A24" s="1631">
        <f t="shared" si="0"/>
        <v>2017.3</v>
      </c>
      <c r="B24" s="1638">
        <v>8760</v>
      </c>
      <c r="C24" s="1639">
        <v>9990</v>
      </c>
      <c r="D24" s="1638">
        <v>231407</v>
      </c>
      <c r="E24" s="1639">
        <v>238184</v>
      </c>
      <c r="F24" s="1640">
        <v>678989.42</v>
      </c>
      <c r="G24" s="1641">
        <v>19284783.899999999</v>
      </c>
      <c r="H24" s="1641">
        <v>1142318.76</v>
      </c>
      <c r="I24" s="1641">
        <v>226882.05</v>
      </c>
      <c r="J24" s="1641">
        <v>207899.78</v>
      </c>
      <c r="K24" s="1639">
        <v>1535210.37</v>
      </c>
      <c r="L24" s="1642">
        <v>6493913.9800000004</v>
      </c>
      <c r="M24" s="1641">
        <v>25611462.850000001</v>
      </c>
      <c r="N24" s="1641">
        <v>6293496.2300000004</v>
      </c>
      <c r="O24" s="1641">
        <v>6053094.4000000004</v>
      </c>
      <c r="P24" s="1644">
        <v>374604.78</v>
      </c>
      <c r="Q24" s="1643">
        <v>1757206.86</v>
      </c>
    </row>
    <row r="25" spans="1:17">
      <c r="A25" s="1631">
        <f t="shared" si="0"/>
        <v>2017.4</v>
      </c>
      <c r="B25" s="1638">
        <v>9944</v>
      </c>
      <c r="C25" s="1639">
        <v>8711</v>
      </c>
      <c r="D25" s="1638">
        <v>230065</v>
      </c>
      <c r="E25" s="1639">
        <v>232603</v>
      </c>
      <c r="F25" s="1640">
        <v>842341.37</v>
      </c>
      <c r="G25" s="1641">
        <v>15570764.91</v>
      </c>
      <c r="H25" s="1641">
        <v>814174.88</v>
      </c>
      <c r="I25" s="1641">
        <v>298347.14</v>
      </c>
      <c r="J25" s="1641">
        <v>114669.45</v>
      </c>
      <c r="K25" s="1639">
        <v>1006906.76</v>
      </c>
      <c r="L25" s="1642">
        <v>6291305.8099999996</v>
      </c>
      <c r="M25" s="1641">
        <v>21822386.559999999</v>
      </c>
      <c r="N25" s="1641">
        <v>5104333.78</v>
      </c>
      <c r="O25" s="1641">
        <v>5376851.8799999999</v>
      </c>
      <c r="P25" s="1644">
        <v>144925.45000000001</v>
      </c>
      <c r="Q25" s="1643">
        <v>1093377.82</v>
      </c>
    </row>
    <row r="26" spans="1:17">
      <c r="A26" s="1631">
        <f t="shared" si="0"/>
        <v>2018.1</v>
      </c>
      <c r="B26" s="1645">
        <v>9010</v>
      </c>
      <c r="C26" s="1646">
        <v>9655</v>
      </c>
      <c r="D26" s="1645">
        <v>254808</v>
      </c>
      <c r="E26" s="1646">
        <v>233082</v>
      </c>
      <c r="F26" s="1647">
        <v>720296</v>
      </c>
      <c r="G26" s="1644">
        <v>16367784</v>
      </c>
      <c r="H26" s="1644">
        <v>907970</v>
      </c>
      <c r="I26" s="1644">
        <v>255171</v>
      </c>
      <c r="J26" s="1644">
        <v>389062</v>
      </c>
      <c r="K26" s="1646">
        <v>562329</v>
      </c>
      <c r="L26" s="1648">
        <v>3905918</v>
      </c>
      <c r="M26" s="1644">
        <v>23173573</v>
      </c>
      <c r="N26" s="1644">
        <v>5134644</v>
      </c>
      <c r="O26" s="1644">
        <v>4677352</v>
      </c>
      <c r="P26" s="1644">
        <v>703225</v>
      </c>
      <c r="Q26" s="1649">
        <v>944696</v>
      </c>
    </row>
    <row r="27" spans="1:17">
      <c r="A27" s="1631">
        <f t="shared" si="0"/>
        <v>2018.2</v>
      </c>
      <c r="B27" s="1645">
        <v>10362</v>
      </c>
      <c r="C27" s="1646">
        <v>9402</v>
      </c>
      <c r="D27" s="1645">
        <v>256154</v>
      </c>
      <c r="E27" s="1646">
        <v>244058</v>
      </c>
      <c r="F27" s="1647">
        <v>842382.57</v>
      </c>
      <c r="G27" s="1644">
        <v>14962605.93</v>
      </c>
      <c r="H27" s="1644">
        <v>995458.66</v>
      </c>
      <c r="I27" s="1644">
        <v>325926.81</v>
      </c>
      <c r="J27" s="1644">
        <v>592472.11</v>
      </c>
      <c r="K27" s="1646">
        <v>469593.8</v>
      </c>
      <c r="L27" s="1648">
        <v>6943571.8700000001</v>
      </c>
      <c r="M27" s="1644">
        <v>20349310.59</v>
      </c>
      <c r="N27" s="1644">
        <v>4826488.33</v>
      </c>
      <c r="O27" s="1644">
        <v>4945961.99</v>
      </c>
      <c r="P27" s="1644">
        <v>867434.17</v>
      </c>
      <c r="Q27" s="1649">
        <v>623998.74</v>
      </c>
    </row>
    <row r="28" spans="1:17">
      <c r="A28" s="1631">
        <f t="shared" si="0"/>
        <v>2018.3</v>
      </c>
      <c r="B28" s="1645">
        <v>8624</v>
      </c>
      <c r="C28" s="1646">
        <v>10635</v>
      </c>
      <c r="D28" s="1645">
        <v>253374</v>
      </c>
      <c r="E28" s="1646">
        <v>250122</v>
      </c>
      <c r="F28" s="1647">
        <v>1226039.21</v>
      </c>
      <c r="G28" s="1644">
        <v>14770066.050000001</v>
      </c>
      <c r="H28" s="1644">
        <v>787988.5</v>
      </c>
      <c r="I28" s="1644">
        <v>196531.1</v>
      </c>
      <c r="J28" s="1644">
        <v>335503.93</v>
      </c>
      <c r="K28" s="1646">
        <v>582462.69999999995</v>
      </c>
      <c r="L28" s="1648">
        <v>7183438.4699999997</v>
      </c>
      <c r="M28" s="1644">
        <v>19585497.329999998</v>
      </c>
      <c r="N28" s="1644">
        <v>4891011.84</v>
      </c>
      <c r="O28" s="1644">
        <v>4891708.58</v>
      </c>
      <c r="P28" s="1644">
        <v>649337.22</v>
      </c>
      <c r="Q28" s="1649">
        <v>901607.89</v>
      </c>
    </row>
    <row r="29" spans="1:17">
      <c r="A29" s="1631">
        <f t="shared" si="0"/>
        <v>2018.4</v>
      </c>
      <c r="B29" s="1645">
        <v>7949</v>
      </c>
      <c r="C29" s="1646">
        <v>5832</v>
      </c>
      <c r="D29" s="1645">
        <v>224395</v>
      </c>
      <c r="E29" s="1646">
        <v>197217</v>
      </c>
      <c r="F29" s="1647">
        <v>1458887.14</v>
      </c>
      <c r="G29" s="1644">
        <v>14300391.33</v>
      </c>
      <c r="H29" s="1644">
        <v>821853.71</v>
      </c>
      <c r="I29" s="1644">
        <v>251374.32</v>
      </c>
      <c r="J29" s="1644">
        <v>329228.78999999998</v>
      </c>
      <c r="K29" s="1646">
        <v>679667.85</v>
      </c>
      <c r="L29" s="1648">
        <v>4871303.8099999996</v>
      </c>
      <c r="M29" s="1644">
        <v>20435762.170000002</v>
      </c>
      <c r="N29" s="1644">
        <v>5199623.3</v>
      </c>
      <c r="O29" s="1644">
        <v>5818237.6100000003</v>
      </c>
      <c r="P29" s="1644">
        <v>484113.99</v>
      </c>
      <c r="Q29" s="1649">
        <v>922385.08</v>
      </c>
    </row>
    <row r="30" spans="1:17">
      <c r="A30" s="1631">
        <f t="shared" si="0"/>
        <v>2019.1</v>
      </c>
      <c r="B30" s="1638">
        <v>6866</v>
      </c>
      <c r="C30" s="1639">
        <v>7181</v>
      </c>
      <c r="D30" s="1638">
        <v>188297</v>
      </c>
      <c r="E30" s="1639">
        <v>183726</v>
      </c>
      <c r="F30" s="1647">
        <v>1275407.24</v>
      </c>
      <c r="G30" s="1641">
        <v>16120865.93</v>
      </c>
      <c r="H30" s="1641">
        <v>817586.98</v>
      </c>
      <c r="I30" s="1641">
        <v>255991.26</v>
      </c>
      <c r="J30" s="1641">
        <v>233630.71</v>
      </c>
      <c r="K30" s="1639">
        <v>458176.12</v>
      </c>
      <c r="L30" s="1642">
        <v>3848566.59</v>
      </c>
      <c r="M30" s="1641">
        <v>22316552.23</v>
      </c>
      <c r="N30" s="1641">
        <v>4116533.5</v>
      </c>
      <c r="O30" s="1641">
        <v>5269633.04</v>
      </c>
      <c r="P30" s="1641">
        <v>745095.69</v>
      </c>
      <c r="Q30" s="1643">
        <v>812387.07</v>
      </c>
    </row>
    <row r="31" spans="1:17">
      <c r="A31" s="1631">
        <f t="shared" si="0"/>
        <v>2019.2</v>
      </c>
      <c r="B31" s="1638">
        <v>6292</v>
      </c>
      <c r="C31" s="1639">
        <v>3272</v>
      </c>
      <c r="D31" s="1638">
        <v>210740</v>
      </c>
      <c r="E31" s="1639">
        <v>209192</v>
      </c>
      <c r="F31" s="1640">
        <v>547048.82999999996</v>
      </c>
      <c r="G31" s="1641">
        <v>21425534.399999999</v>
      </c>
      <c r="H31" s="1641">
        <v>771438.02</v>
      </c>
      <c r="I31" s="1641">
        <v>237635</v>
      </c>
      <c r="J31" s="1641">
        <v>223149.02</v>
      </c>
      <c r="K31" s="1639">
        <v>448818.94</v>
      </c>
      <c r="L31" s="1642">
        <v>4724227.2699999996</v>
      </c>
      <c r="M31" s="1641">
        <v>29533387.940000001</v>
      </c>
      <c r="N31" s="1641">
        <v>4059537</v>
      </c>
      <c r="O31" s="1641">
        <v>4949577.46</v>
      </c>
      <c r="P31" s="1641">
        <v>815703.49</v>
      </c>
      <c r="Q31" s="1643">
        <v>896761.5</v>
      </c>
    </row>
    <row r="32" spans="1:17">
      <c r="A32" s="1631">
        <f t="shared" si="0"/>
        <v>2019.3</v>
      </c>
      <c r="B32" s="1638">
        <v>10685</v>
      </c>
      <c r="C32" s="1639">
        <v>422</v>
      </c>
      <c r="D32" s="1638">
        <v>226299</v>
      </c>
      <c r="E32" s="1639">
        <v>208466</v>
      </c>
      <c r="F32" s="1640">
        <v>512011.31</v>
      </c>
      <c r="G32" s="1641">
        <v>20842163.210000001</v>
      </c>
      <c r="H32" s="1641">
        <v>785787.64</v>
      </c>
      <c r="I32" s="1641">
        <v>155069.64000000001</v>
      </c>
      <c r="J32" s="1641">
        <v>356731.53</v>
      </c>
      <c r="K32" s="1639">
        <v>805696.66</v>
      </c>
      <c r="L32" s="1642">
        <v>4491165.8600000003</v>
      </c>
      <c r="M32" s="1641">
        <v>28643190.489999998</v>
      </c>
      <c r="N32" s="1641">
        <v>4654007.57</v>
      </c>
      <c r="O32" s="1641">
        <v>4628493.18</v>
      </c>
      <c r="P32" s="1641">
        <v>1124619.74</v>
      </c>
      <c r="Q32" s="1643">
        <v>1380046.93</v>
      </c>
    </row>
    <row r="33" spans="1:17">
      <c r="A33" s="1631">
        <f t="shared" si="0"/>
        <v>2019.4</v>
      </c>
      <c r="B33" s="1638">
        <v>7549</v>
      </c>
      <c r="C33" s="1639">
        <v>250</v>
      </c>
      <c r="D33" s="1638">
        <v>216674</v>
      </c>
      <c r="E33" s="1639">
        <v>199558</v>
      </c>
      <c r="F33" s="1640">
        <v>503928.32000000001</v>
      </c>
      <c r="G33" s="1641">
        <v>19133181.32</v>
      </c>
      <c r="H33" s="1641">
        <v>727734.71</v>
      </c>
      <c r="I33" s="1641">
        <v>45643.54</v>
      </c>
      <c r="J33" s="1641">
        <v>185362.35</v>
      </c>
      <c r="K33" s="1639">
        <v>555077.9</v>
      </c>
      <c r="L33" s="1642">
        <v>2447130.64</v>
      </c>
      <c r="M33" s="1641">
        <v>27009726.82</v>
      </c>
      <c r="N33" s="1641">
        <v>4368632.57</v>
      </c>
      <c r="O33" s="1641">
        <v>4552756.38</v>
      </c>
      <c r="P33" s="1641">
        <v>743575.24</v>
      </c>
      <c r="Q33" s="1643">
        <v>930736.42</v>
      </c>
    </row>
    <row r="34" spans="1:17">
      <c r="A34" s="1631">
        <f t="shared" si="0"/>
        <v>2020.1</v>
      </c>
      <c r="B34" s="1638">
        <v>4862</v>
      </c>
      <c r="C34" s="1639">
        <v>2333</v>
      </c>
      <c r="D34" s="1638">
        <v>193133</v>
      </c>
      <c r="E34" s="1639">
        <v>183176</v>
      </c>
      <c r="F34" s="1647">
        <v>992259.51</v>
      </c>
      <c r="G34" s="1641">
        <v>22590044.550000001</v>
      </c>
      <c r="H34" s="1641">
        <v>897289.54</v>
      </c>
      <c r="I34" s="1641">
        <v>20484</v>
      </c>
      <c r="J34" s="1641">
        <v>74378.17</v>
      </c>
      <c r="K34" s="1639">
        <v>342730.22</v>
      </c>
      <c r="L34" s="1642">
        <v>4749765.8499999996</v>
      </c>
      <c r="M34" s="1641">
        <v>30408489.329999998</v>
      </c>
      <c r="N34" s="1641">
        <v>5634854.0800000001</v>
      </c>
      <c r="O34" s="1641">
        <v>5794467.29</v>
      </c>
      <c r="P34" s="1641">
        <v>745710.65</v>
      </c>
      <c r="Q34" s="1643">
        <v>954475.32</v>
      </c>
    </row>
    <row r="35" spans="1:17">
      <c r="A35" s="1631">
        <f t="shared" si="0"/>
        <v>2020.2</v>
      </c>
      <c r="B35" s="1638">
        <v>6007</v>
      </c>
      <c r="C35" s="1639">
        <v>2657</v>
      </c>
      <c r="D35" s="1638">
        <v>202058</v>
      </c>
      <c r="E35" s="1639">
        <v>197948</v>
      </c>
      <c r="F35" s="1640">
        <v>276228.90000000002</v>
      </c>
      <c r="G35" s="1641">
        <v>21956283.170000002</v>
      </c>
      <c r="H35" s="1641">
        <v>605505.57999999996</v>
      </c>
      <c r="I35" s="1641">
        <v>63982</v>
      </c>
      <c r="J35" s="1641">
        <v>156553.42000000001</v>
      </c>
      <c r="K35" s="1639">
        <v>415449.36</v>
      </c>
      <c r="L35" s="1642">
        <v>3751559.97</v>
      </c>
      <c r="M35" s="1641">
        <v>31489157.059999999</v>
      </c>
      <c r="N35" s="1641">
        <v>3499950.34</v>
      </c>
      <c r="O35" s="1641">
        <v>3139577.04</v>
      </c>
      <c r="P35" s="1641">
        <v>715153.45</v>
      </c>
      <c r="Q35" s="1643">
        <v>906828.83</v>
      </c>
    </row>
    <row r="36" spans="1:17">
      <c r="A36" s="1631">
        <f t="shared" si="0"/>
        <v>2020.3</v>
      </c>
      <c r="B36" s="1638">
        <v>4536</v>
      </c>
      <c r="C36" s="1639">
        <v>2523</v>
      </c>
      <c r="D36" s="1638">
        <v>191830</v>
      </c>
      <c r="E36" s="1639">
        <v>190660</v>
      </c>
      <c r="F36" s="1640">
        <v>633821.57999999996</v>
      </c>
      <c r="G36" s="1641">
        <v>19444712.289999999</v>
      </c>
      <c r="H36" s="1641">
        <v>689917.87</v>
      </c>
      <c r="I36" s="1641">
        <v>104298.95</v>
      </c>
      <c r="J36" s="1641">
        <v>156050.03</v>
      </c>
      <c r="K36" s="1639">
        <v>493299.35</v>
      </c>
      <c r="L36" s="1642">
        <v>5391399.0800000001</v>
      </c>
      <c r="M36" s="1641">
        <v>26757180.57</v>
      </c>
      <c r="N36" s="1641">
        <v>4413725.2699999996</v>
      </c>
      <c r="O36" s="1641">
        <v>3772114.35</v>
      </c>
      <c r="P36" s="1641">
        <v>527123.87</v>
      </c>
      <c r="Q36" s="1643">
        <v>942532.54</v>
      </c>
    </row>
    <row r="37" spans="1:17">
      <c r="A37" s="1631">
        <f t="shared" si="0"/>
        <v>2020.4</v>
      </c>
      <c r="B37" s="1638">
        <v>5094</v>
      </c>
      <c r="C37" s="1639">
        <v>3123</v>
      </c>
      <c r="D37" s="1638">
        <v>252812</v>
      </c>
      <c r="E37" s="1639">
        <v>248800</v>
      </c>
      <c r="F37" s="1640">
        <v>606557.77</v>
      </c>
      <c r="G37" s="1641">
        <v>10905158.390000001</v>
      </c>
      <c r="H37" s="1641">
        <v>634220.85</v>
      </c>
      <c r="I37" s="1641">
        <v>68633.820000000007</v>
      </c>
      <c r="J37" s="1641">
        <v>263960.08</v>
      </c>
      <c r="K37" s="1639">
        <v>382181.06</v>
      </c>
      <c r="L37" s="1642">
        <v>4024493.51</v>
      </c>
      <c r="M37" s="1641">
        <v>14854941.27</v>
      </c>
      <c r="N37" s="1641">
        <v>4104728.27</v>
      </c>
      <c r="O37" s="1641">
        <v>3643771.22</v>
      </c>
      <c r="P37" s="1641">
        <v>691674.42</v>
      </c>
      <c r="Q37" s="1643">
        <v>761759.44</v>
      </c>
    </row>
    <row r="38" spans="1:17">
      <c r="A38" s="1631">
        <f t="shared" si="0"/>
        <v>2021.1</v>
      </c>
      <c r="B38" s="1638">
        <v>4985</v>
      </c>
      <c r="C38" s="1639">
        <v>3697</v>
      </c>
      <c r="D38" s="1638">
        <v>211282</v>
      </c>
      <c r="E38" s="1639">
        <v>216701</v>
      </c>
      <c r="F38" s="1647">
        <v>616786.25</v>
      </c>
      <c r="G38" s="1641">
        <v>15906419.699999999</v>
      </c>
      <c r="H38" s="1641">
        <v>672031.21</v>
      </c>
      <c r="I38" s="1641">
        <v>24206</v>
      </c>
      <c r="J38" s="1641">
        <v>209286.48</v>
      </c>
      <c r="K38" s="1639">
        <v>465272.54</v>
      </c>
      <c r="L38" s="1642">
        <v>4192135.22</v>
      </c>
      <c r="M38" s="1641">
        <v>22320169.370000001</v>
      </c>
      <c r="N38" s="1641">
        <v>4459675</v>
      </c>
      <c r="O38" s="1641">
        <v>3679789.97</v>
      </c>
      <c r="P38" s="1641">
        <v>581305.74</v>
      </c>
      <c r="Q38" s="1643">
        <v>980784.59</v>
      </c>
    </row>
    <row r="39" spans="1:17">
      <c r="A39" s="1631">
        <f t="shared" si="0"/>
        <v>2021.2</v>
      </c>
      <c r="B39" s="1638">
        <v>9094</v>
      </c>
      <c r="C39" s="1639">
        <v>4928</v>
      </c>
      <c r="D39" s="1638">
        <v>233049</v>
      </c>
      <c r="E39" s="1639">
        <v>240299</v>
      </c>
      <c r="F39" s="1640">
        <v>488822.7</v>
      </c>
      <c r="G39" s="1641">
        <v>21708493.59</v>
      </c>
      <c r="H39" s="1641">
        <v>1065285.47</v>
      </c>
      <c r="I39" s="1641">
        <v>46006.13</v>
      </c>
      <c r="J39" s="1641">
        <v>296047.08</v>
      </c>
      <c r="K39" s="1639">
        <v>340707.22</v>
      </c>
      <c r="L39" s="1642">
        <v>6014522.6699999999</v>
      </c>
      <c r="M39" s="1641">
        <v>30322163.620000001</v>
      </c>
      <c r="N39" s="1641">
        <v>4987331.87</v>
      </c>
      <c r="O39" s="1641">
        <v>4173432.45</v>
      </c>
      <c r="P39" s="1641">
        <v>683331.08</v>
      </c>
      <c r="Q39" s="1643">
        <v>633383.12</v>
      </c>
    </row>
    <row r="40" spans="1:17">
      <c r="A40" s="1631">
        <f t="shared" si="0"/>
        <v>2021.3</v>
      </c>
      <c r="B40" s="1638">
        <v>5673</v>
      </c>
      <c r="C40" s="1639">
        <v>2785</v>
      </c>
      <c r="D40" s="1638">
        <v>245586</v>
      </c>
      <c r="E40" s="1639">
        <v>228483</v>
      </c>
      <c r="F40" s="1640">
        <v>997610.65</v>
      </c>
      <c r="G40" s="1641">
        <v>22271678.800000001</v>
      </c>
      <c r="H40" s="1641">
        <v>1002325.66</v>
      </c>
      <c r="I40" s="1641">
        <v>88110</v>
      </c>
      <c r="J40" s="1641">
        <v>84345.61</v>
      </c>
      <c r="K40" s="1639">
        <v>382727.29</v>
      </c>
      <c r="L40" s="1642">
        <v>7181107.3799999999</v>
      </c>
      <c r="M40" s="1641">
        <v>32293089.059999999</v>
      </c>
      <c r="N40" s="1641">
        <v>4772111.04</v>
      </c>
      <c r="O40" s="1641">
        <v>3762456.08</v>
      </c>
      <c r="P40" s="1641">
        <v>448440.21</v>
      </c>
      <c r="Q40" s="1643">
        <v>809900.65</v>
      </c>
    </row>
    <row r="41" spans="1:17">
      <c r="A41" s="1631">
        <f t="shared" si="0"/>
        <v>2021.4</v>
      </c>
      <c r="B41" s="1638">
        <v>4653</v>
      </c>
      <c r="C41" s="1639">
        <v>3976</v>
      </c>
      <c r="D41" s="1638">
        <v>183475</v>
      </c>
      <c r="E41" s="1639">
        <v>182510</v>
      </c>
      <c r="F41" s="1640">
        <v>1031283.7</v>
      </c>
      <c r="G41" s="1641">
        <v>16811488.850000001</v>
      </c>
      <c r="H41" s="1641">
        <v>942645.26</v>
      </c>
      <c r="I41" s="1641">
        <v>46230.03</v>
      </c>
      <c r="J41" s="1641">
        <v>166817.70000000001</v>
      </c>
      <c r="K41" s="1639">
        <v>232488.88</v>
      </c>
      <c r="L41" s="1642">
        <v>5156912.87</v>
      </c>
      <c r="M41" s="1641">
        <v>23671022.969999999</v>
      </c>
      <c r="N41" s="1641">
        <v>4287623.01</v>
      </c>
      <c r="O41" s="1641">
        <v>3921633.85</v>
      </c>
      <c r="P41" s="1641">
        <v>474282.06</v>
      </c>
      <c r="Q41" s="1643">
        <v>667813.46</v>
      </c>
    </row>
    <row r="42" spans="1:17">
      <c r="A42" s="1631">
        <f t="shared" si="0"/>
        <v>2022.1</v>
      </c>
      <c r="B42" s="1638">
        <v>4994</v>
      </c>
      <c r="C42" s="1639">
        <v>3393</v>
      </c>
      <c r="D42" s="1638">
        <v>203481</v>
      </c>
      <c r="E42" s="1639">
        <v>195666</v>
      </c>
      <c r="F42" s="1647">
        <v>881749.23</v>
      </c>
      <c r="G42" s="1641">
        <v>23677800.41</v>
      </c>
      <c r="H42" s="1641">
        <v>1945742.27</v>
      </c>
      <c r="I42" s="1641">
        <v>207135.95</v>
      </c>
      <c r="J42" s="1641">
        <v>85351.46</v>
      </c>
      <c r="K42" s="1639">
        <v>303666.18</v>
      </c>
      <c r="L42" s="1642">
        <v>6223483.9100000001</v>
      </c>
      <c r="M42" s="1641">
        <v>36484351.280000001</v>
      </c>
      <c r="N42" s="1641">
        <v>6091325.5099999998</v>
      </c>
      <c r="O42" s="1641">
        <v>5226606.3</v>
      </c>
      <c r="P42" s="1641">
        <v>568761.61</v>
      </c>
      <c r="Q42" s="1643">
        <v>816645.68</v>
      </c>
    </row>
    <row r="43" spans="1:17">
      <c r="A43" s="1631">
        <f t="shared" si="0"/>
        <v>2022.2</v>
      </c>
      <c r="B43" s="1638">
        <v>4032</v>
      </c>
      <c r="C43" s="1639">
        <v>6225</v>
      </c>
      <c r="D43" s="1638">
        <v>205386</v>
      </c>
      <c r="E43" s="1639">
        <v>208138</v>
      </c>
      <c r="F43" s="1640">
        <v>538396.14</v>
      </c>
      <c r="G43" s="1641">
        <v>14356618.779999999</v>
      </c>
      <c r="H43" s="1641">
        <v>833771.43</v>
      </c>
      <c r="I43" s="1641">
        <v>47542.21</v>
      </c>
      <c r="J43" s="1641">
        <v>37970.199999999997</v>
      </c>
      <c r="K43" s="1639">
        <v>243986.82</v>
      </c>
      <c r="L43" s="1642">
        <v>4784281.83</v>
      </c>
      <c r="M43" s="1641">
        <v>19759587.98</v>
      </c>
      <c r="N43" s="1641">
        <v>3311672.54</v>
      </c>
      <c r="O43" s="1641">
        <v>2922664.89</v>
      </c>
      <c r="P43" s="1641">
        <v>363477.59</v>
      </c>
      <c r="Q43" s="1643">
        <v>491399.41</v>
      </c>
    </row>
    <row r="44" spans="1:17">
      <c r="A44" s="1631">
        <f t="shared" si="0"/>
        <v>2022.3</v>
      </c>
      <c r="B44" s="1638">
        <v>5503</v>
      </c>
      <c r="C44" s="1639">
        <v>5305</v>
      </c>
      <c r="D44" s="1638">
        <v>225207</v>
      </c>
      <c r="E44" s="1639">
        <v>234913</v>
      </c>
      <c r="F44" s="1640">
        <v>706684.81</v>
      </c>
      <c r="G44" s="1641">
        <v>17159654.75</v>
      </c>
      <c r="H44" s="1641">
        <v>1189772.08</v>
      </c>
      <c r="I44" s="1641">
        <v>59652.44</v>
      </c>
      <c r="J44" s="1641">
        <v>284833.37</v>
      </c>
      <c r="K44" s="1639">
        <v>676416.42</v>
      </c>
      <c r="L44" s="1642">
        <v>6539168.2000000002</v>
      </c>
      <c r="M44" s="1641">
        <v>25894948.16</v>
      </c>
      <c r="N44" s="1641">
        <v>5419997.5499999998</v>
      </c>
      <c r="O44" s="1641">
        <v>4440327.22</v>
      </c>
      <c r="P44" s="1641">
        <v>709511.77</v>
      </c>
      <c r="Q44" s="1643">
        <v>853887.07</v>
      </c>
    </row>
    <row r="45" spans="1:17">
      <c r="A45" s="1631">
        <f t="shared" si="0"/>
        <v>2022.4</v>
      </c>
      <c r="B45" s="1638">
        <v>2795</v>
      </c>
      <c r="C45" s="1639">
        <v>3744</v>
      </c>
      <c r="D45" s="1638">
        <v>207598</v>
      </c>
      <c r="E45" s="1639">
        <v>198836</v>
      </c>
      <c r="F45" s="1640">
        <v>1020661.44</v>
      </c>
      <c r="G45" s="1641">
        <v>22539661.93</v>
      </c>
      <c r="H45" s="1641">
        <v>2052017.08</v>
      </c>
      <c r="I45" s="1641">
        <v>261673.19</v>
      </c>
      <c r="J45" s="1641">
        <v>665075.23</v>
      </c>
      <c r="K45" s="1639">
        <v>980813.45</v>
      </c>
      <c r="L45" s="1642">
        <v>4097770.96</v>
      </c>
      <c r="M45" s="1641">
        <v>30043682.23</v>
      </c>
      <c r="N45" s="1641">
        <v>6212288.3899999997</v>
      </c>
      <c r="O45" s="1641">
        <v>4712789.6100000003</v>
      </c>
      <c r="P45" s="1641">
        <v>994444.88</v>
      </c>
      <c r="Q45" s="1643">
        <v>1155903.05</v>
      </c>
    </row>
    <row r="46" spans="1:17" s="1650" customFormat="1" ht="15">
      <c r="A46" s="1631">
        <f t="shared" si="0"/>
        <v>2023.1</v>
      </c>
      <c r="B46" s="1638">
        <v>1168</v>
      </c>
      <c r="C46" s="1639">
        <v>5849</v>
      </c>
      <c r="D46" s="1638">
        <v>173403</v>
      </c>
      <c r="E46" s="1639">
        <v>172218</v>
      </c>
      <c r="F46" s="1640">
        <v>916401</v>
      </c>
      <c r="G46" s="1641">
        <v>9204286.6699999999</v>
      </c>
      <c r="H46" s="1641">
        <v>1053798.07</v>
      </c>
      <c r="I46" s="1641">
        <v>116000</v>
      </c>
      <c r="J46" s="1641">
        <v>211066.91</v>
      </c>
      <c r="K46" s="1639">
        <v>387520.06</v>
      </c>
      <c r="L46" s="1642">
        <v>4374085.6500000004</v>
      </c>
      <c r="M46" s="1641">
        <v>15373303.470000001</v>
      </c>
      <c r="N46" s="1641">
        <v>5153941.7699999996</v>
      </c>
      <c r="O46" s="1641">
        <v>4207044.51</v>
      </c>
      <c r="P46" s="1641">
        <v>561520.64000000001</v>
      </c>
      <c r="Q46" s="1643">
        <v>608539.53</v>
      </c>
    </row>
    <row r="47" spans="1:17">
      <c r="A47" s="1631">
        <f t="shared" si="0"/>
        <v>2023.2</v>
      </c>
      <c r="B47" s="1638">
        <v>1721</v>
      </c>
      <c r="C47" s="1639">
        <v>4341</v>
      </c>
      <c r="D47" s="1638">
        <v>184789</v>
      </c>
      <c r="E47" s="1639">
        <v>196359</v>
      </c>
      <c r="F47" s="1640">
        <v>1532669.06</v>
      </c>
      <c r="G47" s="1641">
        <v>13574434.140000001</v>
      </c>
      <c r="H47" s="1641">
        <v>922139.8</v>
      </c>
      <c r="I47" s="1641">
        <v>121070.18</v>
      </c>
      <c r="J47" s="1641">
        <v>281805.40999999997</v>
      </c>
      <c r="K47" s="1639">
        <v>486367.76</v>
      </c>
      <c r="L47" s="1642">
        <v>6642208.4400000004</v>
      </c>
      <c r="M47" s="1641">
        <v>22060058.66</v>
      </c>
      <c r="N47" s="1641">
        <v>4255185.16</v>
      </c>
      <c r="O47" s="1641">
        <v>4081440.78</v>
      </c>
      <c r="P47" s="1641">
        <v>733574.91</v>
      </c>
      <c r="Q47" s="1643">
        <v>762885.85</v>
      </c>
    </row>
    <row r="48" spans="1:17">
      <c r="A48" s="1631">
        <f t="shared" si="0"/>
        <v>2023.3</v>
      </c>
      <c r="B48" s="1638">
        <v>3904</v>
      </c>
      <c r="C48" s="1639">
        <v>5270</v>
      </c>
      <c r="D48" s="1638">
        <v>217825</v>
      </c>
      <c r="E48" s="1639">
        <v>220392</v>
      </c>
      <c r="F48" s="1640">
        <v>1000366.04</v>
      </c>
      <c r="G48" s="1641">
        <v>12800173.310000001</v>
      </c>
      <c r="H48" s="1641">
        <v>1031474.49</v>
      </c>
      <c r="I48" s="1641">
        <v>142289.26999999999</v>
      </c>
      <c r="J48" s="1641">
        <v>439844.67</v>
      </c>
      <c r="K48" s="1639">
        <v>647926.67000000004</v>
      </c>
      <c r="L48" s="1642">
        <v>5103112.67</v>
      </c>
      <c r="M48" s="1641">
        <v>22315744.100000001</v>
      </c>
      <c r="N48" s="1641">
        <v>4650266.5999999996</v>
      </c>
      <c r="O48" s="1641">
        <v>3679848.52</v>
      </c>
      <c r="P48" s="1641">
        <v>917674.56</v>
      </c>
      <c r="Q48" s="1643">
        <v>931198.81</v>
      </c>
    </row>
    <row r="49" spans="1:17">
      <c r="A49" s="1631">
        <f t="shared" si="0"/>
        <v>2023.4</v>
      </c>
      <c r="B49" s="1638">
        <v>3617</v>
      </c>
      <c r="C49" s="1639">
        <v>3062</v>
      </c>
      <c r="D49" s="1638">
        <v>166539</v>
      </c>
      <c r="E49" s="1639">
        <v>143728</v>
      </c>
      <c r="F49" s="1640">
        <v>849611.42</v>
      </c>
      <c r="G49" s="1641">
        <v>8863614.1999999993</v>
      </c>
      <c r="H49" s="1641">
        <v>759905.79</v>
      </c>
      <c r="I49" s="1641">
        <v>66077</v>
      </c>
      <c r="J49" s="1641">
        <v>629779.62</v>
      </c>
      <c r="K49" s="1639">
        <v>1158612.97</v>
      </c>
      <c r="L49" s="1642">
        <v>3163051.05</v>
      </c>
      <c r="M49" s="1641">
        <v>14175040.73</v>
      </c>
      <c r="N49" s="1641">
        <v>4183748.15</v>
      </c>
      <c r="O49" s="1641">
        <v>3586830.28</v>
      </c>
      <c r="P49" s="1641">
        <v>1246110.26</v>
      </c>
      <c r="Q49" s="1643">
        <v>1464763.56</v>
      </c>
    </row>
    <row r="50" spans="1:17">
      <c r="A50" s="1631">
        <f t="shared" si="0"/>
        <v>2024.1</v>
      </c>
      <c r="B50" s="1751">
        <v>5482</v>
      </c>
      <c r="C50" s="1752">
        <v>2711</v>
      </c>
      <c r="D50" s="1751">
        <v>171355</v>
      </c>
      <c r="E50" s="1752">
        <v>158374</v>
      </c>
      <c r="F50" s="1753">
        <v>586567.23</v>
      </c>
      <c r="G50" s="1754">
        <v>15128130.26</v>
      </c>
      <c r="H50" s="1754">
        <v>742433.36</v>
      </c>
      <c r="I50" s="1754">
        <v>42833</v>
      </c>
      <c r="J50" s="1754">
        <v>408422.91</v>
      </c>
      <c r="K50" s="1752">
        <v>670918.5</v>
      </c>
      <c r="L50" s="1755">
        <v>2606953.8199999998</v>
      </c>
      <c r="M50" s="1754">
        <v>23083496.420000002</v>
      </c>
      <c r="N50" s="1754">
        <v>4045051.75</v>
      </c>
      <c r="O50" s="1754">
        <v>3832508.46</v>
      </c>
      <c r="P50" s="1754">
        <v>1004788.43</v>
      </c>
      <c r="Q50" s="1756">
        <v>1007168</v>
      </c>
    </row>
    <row r="51" spans="1:17">
      <c r="A51" s="1631">
        <f t="shared" si="0"/>
        <v>2024.2</v>
      </c>
      <c r="B51" s="1751">
        <v>6104</v>
      </c>
      <c r="C51" s="1752">
        <v>5408</v>
      </c>
      <c r="D51" s="1751">
        <v>148611</v>
      </c>
      <c r="E51" s="1752">
        <v>140475</v>
      </c>
      <c r="F51" s="1753">
        <v>389772.36</v>
      </c>
      <c r="G51" s="1754">
        <v>20070463.59</v>
      </c>
      <c r="H51" s="1754">
        <v>965309.49</v>
      </c>
      <c r="I51" s="1754">
        <v>24913</v>
      </c>
      <c r="J51" s="1754">
        <v>400113.7</v>
      </c>
      <c r="K51" s="1752">
        <v>638440.82999999996</v>
      </c>
      <c r="L51" s="1755">
        <v>4264095.91</v>
      </c>
      <c r="M51" s="1754">
        <v>28269810.16</v>
      </c>
      <c r="N51" s="1754">
        <v>3700958.12</v>
      </c>
      <c r="O51" s="1754">
        <v>4030910.27</v>
      </c>
      <c r="P51" s="1754">
        <v>975355</v>
      </c>
      <c r="Q51" s="1756">
        <v>960820.61</v>
      </c>
    </row>
    <row r="52" spans="1:17">
      <c r="A52" s="1631">
        <f t="shared" si="0"/>
        <v>2024.3</v>
      </c>
      <c r="B52" s="1751">
        <v>7157</v>
      </c>
      <c r="C52" s="1752">
        <v>7416</v>
      </c>
      <c r="D52" s="1751">
        <v>180218</v>
      </c>
      <c r="E52" s="1752">
        <v>193354</v>
      </c>
      <c r="F52" s="1753">
        <v>412352.32</v>
      </c>
      <c r="G52" s="1754">
        <v>16264646.66</v>
      </c>
      <c r="H52" s="1754">
        <v>975332.77</v>
      </c>
      <c r="I52" s="1754">
        <v>37682.32</v>
      </c>
      <c r="J52" s="1754">
        <v>182402.59</v>
      </c>
      <c r="K52" s="1752">
        <v>256522.57</v>
      </c>
      <c r="L52" s="1755">
        <v>4538691.5999999996</v>
      </c>
      <c r="M52" s="1754">
        <v>24642168.510000002</v>
      </c>
      <c r="N52" s="1754">
        <v>4378426.26</v>
      </c>
      <c r="O52" s="1754">
        <v>4142697.24</v>
      </c>
      <c r="P52" s="1754">
        <v>896088.63</v>
      </c>
      <c r="Q52" s="1756">
        <v>540987.47</v>
      </c>
    </row>
    <row r="53" spans="1:17">
      <c r="A53" s="1631">
        <f t="shared" si="0"/>
        <v>2024.4</v>
      </c>
      <c r="B53" s="1751">
        <v>2431</v>
      </c>
      <c r="C53" s="1752">
        <v>2665</v>
      </c>
      <c r="D53" s="1751">
        <v>23285</v>
      </c>
      <c r="E53" s="1752">
        <v>23956</v>
      </c>
      <c r="F53" s="1753">
        <v>242467.72</v>
      </c>
      <c r="G53" s="1754">
        <v>8136568.3399999999</v>
      </c>
      <c r="H53" s="1754">
        <v>375609.88</v>
      </c>
      <c r="I53" s="1754">
        <v>30473</v>
      </c>
      <c r="J53" s="1754">
        <v>96454.3</v>
      </c>
      <c r="K53" s="1752">
        <v>180470.01</v>
      </c>
      <c r="L53" s="1755">
        <v>1116743.8700000001</v>
      </c>
      <c r="M53" s="1754">
        <v>10238993.07</v>
      </c>
      <c r="N53" s="1754">
        <v>603110.30000000005</v>
      </c>
      <c r="O53" s="1754">
        <v>1110038.4099999999</v>
      </c>
      <c r="P53" s="1754">
        <v>212223.22</v>
      </c>
      <c r="Q53" s="1756">
        <v>240379.96</v>
      </c>
    </row>
    <row r="54" spans="1:17">
      <c r="A54" s="1631">
        <f t="shared" si="0"/>
        <v>2025.1</v>
      </c>
      <c r="B54" s="1651" t="e">
        <v>#N/A</v>
      </c>
      <c r="C54" s="1652" t="e">
        <v>#N/A</v>
      </c>
      <c r="D54" s="1653" t="e">
        <v>#N/A</v>
      </c>
      <c r="E54" s="1652" t="e">
        <v>#N/A</v>
      </c>
      <c r="F54" s="1654" t="e">
        <v>#N/A</v>
      </c>
      <c r="G54" s="1655" t="e">
        <v>#N/A</v>
      </c>
      <c r="H54" s="1655" t="e">
        <v>#N/A</v>
      </c>
      <c r="I54" s="1655" t="e">
        <v>#N/A</v>
      </c>
      <c r="J54" s="1655" t="e">
        <v>#N/A</v>
      </c>
      <c r="K54" s="1656" t="e">
        <v>#N/A</v>
      </c>
      <c r="L54" s="1657" t="e">
        <v>#N/A</v>
      </c>
      <c r="M54" s="1655" t="e">
        <v>#N/A</v>
      </c>
      <c r="N54" s="1655" t="e">
        <v>#N/A</v>
      </c>
      <c r="O54" s="1655" t="e">
        <v>#N/A</v>
      </c>
      <c r="P54" s="1655" t="e">
        <v>#N/A</v>
      </c>
      <c r="Q54" s="1658" t="e">
        <v>#N/A</v>
      </c>
    </row>
    <row r="55" spans="1:17">
      <c r="A55" s="1631">
        <f t="shared" si="0"/>
        <v>2025.2</v>
      </c>
      <c r="B55" s="1651" t="e">
        <v>#N/A</v>
      </c>
      <c r="C55" s="1652" t="e">
        <v>#N/A</v>
      </c>
      <c r="D55" s="1653" t="e">
        <v>#N/A</v>
      </c>
      <c r="E55" s="1652" t="e">
        <v>#N/A</v>
      </c>
      <c r="F55" s="1654" t="e">
        <v>#N/A</v>
      </c>
      <c r="G55" s="1655" t="e">
        <v>#N/A</v>
      </c>
      <c r="H55" s="1655" t="e">
        <v>#N/A</v>
      </c>
      <c r="I55" s="1655" t="e">
        <v>#N/A</v>
      </c>
      <c r="J55" s="1655" t="e">
        <v>#N/A</v>
      </c>
      <c r="K55" s="1656" t="e">
        <v>#N/A</v>
      </c>
      <c r="L55" s="1657" t="e">
        <v>#N/A</v>
      </c>
      <c r="M55" s="1655" t="e">
        <v>#N/A</v>
      </c>
      <c r="N55" s="1655" t="e">
        <v>#N/A</v>
      </c>
      <c r="O55" s="1655" t="e">
        <v>#N/A</v>
      </c>
      <c r="P55" s="1655" t="e">
        <v>#N/A</v>
      </c>
      <c r="Q55" s="1658" t="e">
        <v>#N/A</v>
      </c>
    </row>
    <row r="56" spans="1:17">
      <c r="A56" s="1631">
        <f t="shared" si="0"/>
        <v>2025.3</v>
      </c>
      <c r="B56" s="1651" t="e">
        <v>#N/A</v>
      </c>
      <c r="C56" s="1652" t="e">
        <v>#N/A</v>
      </c>
      <c r="D56" s="1653" t="e">
        <v>#N/A</v>
      </c>
      <c r="E56" s="1652" t="e">
        <v>#N/A</v>
      </c>
      <c r="F56" s="1654" t="e">
        <v>#N/A</v>
      </c>
      <c r="G56" s="1655" t="e">
        <v>#N/A</v>
      </c>
      <c r="H56" s="1655" t="e">
        <v>#N/A</v>
      </c>
      <c r="I56" s="1655" t="e">
        <v>#N/A</v>
      </c>
      <c r="J56" s="1655" t="e">
        <v>#N/A</v>
      </c>
      <c r="K56" s="1656" t="e">
        <v>#N/A</v>
      </c>
      <c r="L56" s="1657" t="e">
        <v>#N/A</v>
      </c>
      <c r="M56" s="1655" t="e">
        <v>#N/A</v>
      </c>
      <c r="N56" s="1655" t="e">
        <v>#N/A</v>
      </c>
      <c r="O56" s="1655" t="e">
        <v>#N/A</v>
      </c>
      <c r="P56" s="1655" t="e">
        <v>#N/A</v>
      </c>
      <c r="Q56" s="1658" t="e">
        <v>#N/A</v>
      </c>
    </row>
    <row r="57" spans="1:17">
      <c r="A57" s="1631">
        <f t="shared" si="0"/>
        <v>2025.4</v>
      </c>
      <c r="B57" s="1651" t="e">
        <v>#N/A</v>
      </c>
      <c r="C57" s="1652" t="e">
        <v>#N/A</v>
      </c>
      <c r="D57" s="1653" t="e">
        <v>#N/A</v>
      </c>
      <c r="E57" s="1652" t="e">
        <v>#N/A</v>
      </c>
      <c r="F57" s="1654" t="e">
        <v>#N/A</v>
      </c>
      <c r="G57" s="1655" t="e">
        <v>#N/A</v>
      </c>
      <c r="H57" s="1655" t="e">
        <v>#N/A</v>
      </c>
      <c r="I57" s="1655" t="e">
        <v>#N/A</v>
      </c>
      <c r="J57" s="1655" t="e">
        <v>#N/A</v>
      </c>
      <c r="K57" s="1656" t="e">
        <v>#N/A</v>
      </c>
      <c r="L57" s="1657" t="e">
        <v>#N/A</v>
      </c>
      <c r="M57" s="1655" t="e">
        <v>#N/A</v>
      </c>
      <c r="N57" s="1655" t="e">
        <v>#N/A</v>
      </c>
      <c r="O57" s="1655" t="e">
        <v>#N/A</v>
      </c>
      <c r="P57" s="1655" t="e">
        <v>#N/A</v>
      </c>
      <c r="Q57" s="1658" t="e">
        <v>#N/A</v>
      </c>
    </row>
    <row r="58" spans="1:17">
      <c r="A58" s="1631">
        <f t="shared" si="0"/>
        <v>2026.1</v>
      </c>
      <c r="B58" s="1651" t="e">
        <v>#N/A</v>
      </c>
      <c r="C58" s="1652" t="e">
        <v>#N/A</v>
      </c>
      <c r="D58" s="1653" t="e">
        <v>#N/A</v>
      </c>
      <c r="E58" s="1652" t="e">
        <v>#N/A</v>
      </c>
      <c r="F58" s="1654" t="e">
        <v>#N/A</v>
      </c>
      <c r="G58" s="1655" t="e">
        <v>#N/A</v>
      </c>
      <c r="H58" s="1655" t="e">
        <v>#N/A</v>
      </c>
      <c r="I58" s="1655" t="e">
        <v>#N/A</v>
      </c>
      <c r="J58" s="1655" t="e">
        <v>#N/A</v>
      </c>
      <c r="K58" s="1656" t="e">
        <v>#N/A</v>
      </c>
      <c r="L58" s="1657" t="e">
        <v>#N/A</v>
      </c>
      <c r="M58" s="1655" t="e">
        <v>#N/A</v>
      </c>
      <c r="N58" s="1655" t="e">
        <v>#N/A</v>
      </c>
      <c r="O58" s="1655" t="e">
        <v>#N/A</v>
      </c>
      <c r="P58" s="1655" t="e">
        <v>#N/A</v>
      </c>
      <c r="Q58" s="1658" t="e">
        <v>#N/A</v>
      </c>
    </row>
    <row r="59" spans="1:17">
      <c r="A59" s="1631">
        <f t="shared" si="0"/>
        <v>2026.2</v>
      </c>
      <c r="B59" s="1651" t="e">
        <v>#N/A</v>
      </c>
      <c r="C59" s="1652" t="e">
        <v>#N/A</v>
      </c>
      <c r="D59" s="1653" t="e">
        <v>#N/A</v>
      </c>
      <c r="E59" s="1652" t="e">
        <v>#N/A</v>
      </c>
      <c r="F59" s="1654" t="e">
        <v>#N/A</v>
      </c>
      <c r="G59" s="1655" t="e">
        <v>#N/A</v>
      </c>
      <c r="H59" s="1655" t="e">
        <v>#N/A</v>
      </c>
      <c r="I59" s="1655" t="e">
        <v>#N/A</v>
      </c>
      <c r="J59" s="1655" t="e">
        <v>#N/A</v>
      </c>
      <c r="K59" s="1656" t="e">
        <v>#N/A</v>
      </c>
      <c r="L59" s="1657" t="e">
        <v>#N/A</v>
      </c>
      <c r="M59" s="1655" t="e">
        <v>#N/A</v>
      </c>
      <c r="N59" s="1655" t="e">
        <v>#N/A</v>
      </c>
      <c r="O59" s="1655" t="e">
        <v>#N/A</v>
      </c>
      <c r="P59" s="1655" t="e">
        <v>#N/A</v>
      </c>
      <c r="Q59" s="1658" t="e">
        <v>#N/A</v>
      </c>
    </row>
    <row r="60" spans="1:17">
      <c r="A60" s="1631">
        <f t="shared" si="0"/>
        <v>2026.3</v>
      </c>
      <c r="B60" s="1651" t="e">
        <v>#N/A</v>
      </c>
      <c r="C60" s="1652" t="e">
        <v>#N/A</v>
      </c>
      <c r="D60" s="1653" t="e">
        <v>#N/A</v>
      </c>
      <c r="E60" s="1652" t="e">
        <v>#N/A</v>
      </c>
      <c r="F60" s="1654" t="e">
        <v>#N/A</v>
      </c>
      <c r="G60" s="1655" t="e">
        <v>#N/A</v>
      </c>
      <c r="H60" s="1655" t="e">
        <v>#N/A</v>
      </c>
      <c r="I60" s="1655" t="e">
        <v>#N/A</v>
      </c>
      <c r="J60" s="1655" t="e">
        <v>#N/A</v>
      </c>
      <c r="K60" s="1656" t="e">
        <v>#N/A</v>
      </c>
      <c r="L60" s="1657" t="e">
        <v>#N/A</v>
      </c>
      <c r="M60" s="1655" t="e">
        <v>#N/A</v>
      </c>
      <c r="N60" s="1655" t="e">
        <v>#N/A</v>
      </c>
      <c r="O60" s="1655" t="e">
        <v>#N/A</v>
      </c>
      <c r="P60" s="1655" t="e">
        <v>#N/A</v>
      </c>
      <c r="Q60" s="1658" t="e">
        <v>#N/A</v>
      </c>
    </row>
    <row r="61" spans="1:17">
      <c r="A61" s="1631">
        <f t="shared" si="0"/>
        <v>2026.4</v>
      </c>
      <c r="B61" s="1651" t="e">
        <v>#N/A</v>
      </c>
      <c r="C61" s="1652" t="e">
        <v>#N/A</v>
      </c>
      <c r="D61" s="1653" t="e">
        <v>#N/A</v>
      </c>
      <c r="E61" s="1652" t="e">
        <v>#N/A</v>
      </c>
      <c r="F61" s="1654" t="e">
        <v>#N/A</v>
      </c>
      <c r="G61" s="1655" t="e">
        <v>#N/A</v>
      </c>
      <c r="H61" s="1655" t="e">
        <v>#N/A</v>
      </c>
      <c r="I61" s="1655" t="e">
        <v>#N/A</v>
      </c>
      <c r="J61" s="1655" t="e">
        <v>#N/A</v>
      </c>
      <c r="K61" s="1656" t="e">
        <v>#N/A</v>
      </c>
      <c r="L61" s="1657" t="e">
        <v>#N/A</v>
      </c>
      <c r="M61" s="1655" t="e">
        <v>#N/A</v>
      </c>
      <c r="N61" s="1655" t="e">
        <v>#N/A</v>
      </c>
      <c r="O61" s="1655" t="e">
        <v>#N/A</v>
      </c>
      <c r="P61" s="1655" t="e">
        <v>#N/A</v>
      </c>
      <c r="Q61" s="1658" t="e">
        <v>#N/A</v>
      </c>
    </row>
    <row r="62" spans="1:17">
      <c r="A62" s="1631">
        <f t="shared" si="0"/>
        <v>2027.1</v>
      </c>
      <c r="B62" s="1651" t="e">
        <v>#N/A</v>
      </c>
      <c r="C62" s="1652" t="e">
        <v>#N/A</v>
      </c>
      <c r="D62" s="1653" t="e">
        <v>#N/A</v>
      </c>
      <c r="E62" s="1652" t="e">
        <v>#N/A</v>
      </c>
      <c r="F62" s="1654" t="e">
        <v>#N/A</v>
      </c>
      <c r="G62" s="1655" t="e">
        <v>#N/A</v>
      </c>
      <c r="H62" s="1655" t="e">
        <v>#N/A</v>
      </c>
      <c r="I62" s="1655" t="e">
        <v>#N/A</v>
      </c>
      <c r="J62" s="1655" t="e">
        <v>#N/A</v>
      </c>
      <c r="K62" s="1656" t="e">
        <v>#N/A</v>
      </c>
      <c r="L62" s="1657" t="e">
        <v>#N/A</v>
      </c>
      <c r="M62" s="1655" t="e">
        <v>#N/A</v>
      </c>
      <c r="N62" s="1655" t="e">
        <v>#N/A</v>
      </c>
      <c r="O62" s="1655" t="e">
        <v>#N/A</v>
      </c>
      <c r="P62" s="1655" t="e">
        <v>#N/A</v>
      </c>
      <c r="Q62" s="1658" t="e">
        <v>#N/A</v>
      </c>
    </row>
    <row r="63" spans="1:17">
      <c r="A63" s="1631">
        <f t="shared" si="0"/>
        <v>2027.2</v>
      </c>
      <c r="B63" s="1651" t="e">
        <v>#N/A</v>
      </c>
      <c r="C63" s="1652" t="e">
        <v>#N/A</v>
      </c>
      <c r="D63" s="1653" t="e">
        <v>#N/A</v>
      </c>
      <c r="E63" s="1652" t="e">
        <v>#N/A</v>
      </c>
      <c r="F63" s="1654" t="e">
        <v>#N/A</v>
      </c>
      <c r="G63" s="1655" t="e">
        <v>#N/A</v>
      </c>
      <c r="H63" s="1655" t="e">
        <v>#N/A</v>
      </c>
      <c r="I63" s="1655" t="e">
        <v>#N/A</v>
      </c>
      <c r="J63" s="1655" t="e">
        <v>#N/A</v>
      </c>
      <c r="K63" s="1656" t="e">
        <v>#N/A</v>
      </c>
      <c r="L63" s="1657" t="e">
        <v>#N/A</v>
      </c>
      <c r="M63" s="1655" t="e">
        <v>#N/A</v>
      </c>
      <c r="N63" s="1655" t="e">
        <v>#N/A</v>
      </c>
      <c r="O63" s="1655" t="e">
        <v>#N/A</v>
      </c>
      <c r="P63" s="1655" t="e">
        <v>#N/A</v>
      </c>
      <c r="Q63" s="1658" t="e">
        <v>#N/A</v>
      </c>
    </row>
    <row r="64" spans="1:17">
      <c r="A64" s="1631">
        <f t="shared" si="0"/>
        <v>2027.3</v>
      </c>
      <c r="B64" s="1651" t="e">
        <v>#N/A</v>
      </c>
      <c r="C64" s="1652" t="e">
        <v>#N/A</v>
      </c>
      <c r="D64" s="1653" t="e">
        <v>#N/A</v>
      </c>
      <c r="E64" s="1652" t="e">
        <v>#N/A</v>
      </c>
      <c r="F64" s="1654" t="e">
        <v>#N/A</v>
      </c>
      <c r="G64" s="1655" t="e">
        <v>#N/A</v>
      </c>
      <c r="H64" s="1655" t="e">
        <v>#N/A</v>
      </c>
      <c r="I64" s="1655" t="e">
        <v>#N/A</v>
      </c>
      <c r="J64" s="1655" t="e">
        <v>#N/A</v>
      </c>
      <c r="K64" s="1656" t="e">
        <v>#N/A</v>
      </c>
      <c r="L64" s="1657" t="e">
        <v>#N/A</v>
      </c>
      <c r="M64" s="1655" t="e">
        <v>#N/A</v>
      </c>
      <c r="N64" s="1655" t="e">
        <v>#N/A</v>
      </c>
      <c r="O64" s="1655" t="e">
        <v>#N/A</v>
      </c>
      <c r="P64" s="1655" t="e">
        <v>#N/A</v>
      </c>
      <c r="Q64" s="1658" t="e">
        <v>#N/A</v>
      </c>
    </row>
    <row r="65" spans="1:17">
      <c r="A65" s="1631">
        <f t="shared" si="0"/>
        <v>2027.4</v>
      </c>
      <c r="B65" s="1651" t="e">
        <v>#N/A</v>
      </c>
      <c r="C65" s="1652" t="e">
        <v>#N/A</v>
      </c>
      <c r="D65" s="1653" t="e">
        <v>#N/A</v>
      </c>
      <c r="E65" s="1652" t="e">
        <v>#N/A</v>
      </c>
      <c r="F65" s="1654" t="e">
        <v>#N/A</v>
      </c>
      <c r="G65" s="1655" t="e">
        <v>#N/A</v>
      </c>
      <c r="H65" s="1655" t="e">
        <v>#N/A</v>
      </c>
      <c r="I65" s="1655" t="e">
        <v>#N/A</v>
      </c>
      <c r="J65" s="1655" t="e">
        <v>#N/A</v>
      </c>
      <c r="K65" s="1656" t="e">
        <v>#N/A</v>
      </c>
      <c r="L65" s="1657" t="e">
        <v>#N/A</v>
      </c>
      <c r="M65" s="1655" t="e">
        <v>#N/A</v>
      </c>
      <c r="N65" s="1655" t="e">
        <v>#N/A</v>
      </c>
      <c r="O65" s="1655" t="e">
        <v>#N/A</v>
      </c>
      <c r="P65" s="1655" t="e">
        <v>#N/A</v>
      </c>
      <c r="Q65" s="1658" t="e">
        <v>#N/A</v>
      </c>
    </row>
    <row r="66" spans="1:17">
      <c r="A66" s="1631">
        <f t="shared" si="0"/>
        <v>2028.1</v>
      </c>
      <c r="B66" s="1651" t="e">
        <v>#N/A</v>
      </c>
      <c r="C66" s="1652" t="e">
        <v>#N/A</v>
      </c>
      <c r="D66" s="1653" t="e">
        <v>#N/A</v>
      </c>
      <c r="E66" s="1652" t="e">
        <v>#N/A</v>
      </c>
      <c r="F66" s="1654" t="e">
        <v>#N/A</v>
      </c>
      <c r="G66" s="1655" t="e">
        <v>#N/A</v>
      </c>
      <c r="H66" s="1655" t="e">
        <v>#N/A</v>
      </c>
      <c r="I66" s="1655" t="e">
        <v>#N/A</v>
      </c>
      <c r="J66" s="1655" t="e">
        <v>#N/A</v>
      </c>
      <c r="K66" s="1656" t="e">
        <v>#N/A</v>
      </c>
      <c r="L66" s="1657" t="e">
        <v>#N/A</v>
      </c>
      <c r="M66" s="1655" t="e">
        <v>#N/A</v>
      </c>
      <c r="N66" s="1655" t="e">
        <v>#N/A</v>
      </c>
      <c r="O66" s="1655" t="e">
        <v>#N/A</v>
      </c>
      <c r="P66" s="1655" t="e">
        <v>#N/A</v>
      </c>
      <c r="Q66" s="1658" t="e">
        <v>#N/A</v>
      </c>
    </row>
    <row r="67" spans="1:17">
      <c r="A67" s="1631">
        <f t="shared" si="0"/>
        <v>2028.2</v>
      </c>
      <c r="B67" s="1651" t="e">
        <v>#N/A</v>
      </c>
      <c r="C67" s="1652" t="e">
        <v>#N/A</v>
      </c>
      <c r="D67" s="1653" t="e">
        <v>#N/A</v>
      </c>
      <c r="E67" s="1652" t="e">
        <v>#N/A</v>
      </c>
      <c r="F67" s="1654" t="e">
        <v>#N/A</v>
      </c>
      <c r="G67" s="1655" t="e">
        <v>#N/A</v>
      </c>
      <c r="H67" s="1655" t="e">
        <v>#N/A</v>
      </c>
      <c r="I67" s="1655" t="e">
        <v>#N/A</v>
      </c>
      <c r="J67" s="1655" t="e">
        <v>#N/A</v>
      </c>
      <c r="K67" s="1656" t="e">
        <v>#N/A</v>
      </c>
      <c r="L67" s="1657" t="e">
        <v>#N/A</v>
      </c>
      <c r="M67" s="1655" t="e">
        <v>#N/A</v>
      </c>
      <c r="N67" s="1655" t="e">
        <v>#N/A</v>
      </c>
      <c r="O67" s="1655" t="e">
        <v>#N/A</v>
      </c>
      <c r="P67" s="1655" t="e">
        <v>#N/A</v>
      </c>
      <c r="Q67" s="1658" t="e">
        <v>#N/A</v>
      </c>
    </row>
    <row r="68" spans="1:17">
      <c r="A68" s="1631">
        <f t="shared" si="0"/>
        <v>2028.3</v>
      </c>
      <c r="B68" s="1651" t="e">
        <v>#N/A</v>
      </c>
      <c r="C68" s="1652" t="e">
        <v>#N/A</v>
      </c>
      <c r="D68" s="1653" t="e">
        <v>#N/A</v>
      </c>
      <c r="E68" s="1652" t="e">
        <v>#N/A</v>
      </c>
      <c r="F68" s="1654" t="e">
        <v>#N/A</v>
      </c>
      <c r="G68" s="1655" t="e">
        <v>#N/A</v>
      </c>
      <c r="H68" s="1655" t="e">
        <v>#N/A</v>
      </c>
      <c r="I68" s="1655" t="e">
        <v>#N/A</v>
      </c>
      <c r="J68" s="1655" t="e">
        <v>#N/A</v>
      </c>
      <c r="K68" s="1656" t="e">
        <v>#N/A</v>
      </c>
      <c r="L68" s="1657" t="e">
        <v>#N/A</v>
      </c>
      <c r="M68" s="1655" t="e">
        <v>#N/A</v>
      </c>
      <c r="N68" s="1655" t="e">
        <v>#N/A</v>
      </c>
      <c r="O68" s="1655" t="e">
        <v>#N/A</v>
      </c>
      <c r="P68" s="1655" t="e">
        <v>#N/A</v>
      </c>
      <c r="Q68" s="1658" t="e">
        <v>#N/A</v>
      </c>
    </row>
    <row r="69" spans="1:17">
      <c r="A69" s="1631">
        <f t="shared" si="0"/>
        <v>2028.4</v>
      </c>
      <c r="B69" s="1651" t="e">
        <v>#N/A</v>
      </c>
      <c r="C69" s="1652" t="e">
        <v>#N/A</v>
      </c>
      <c r="D69" s="1653" t="e">
        <v>#N/A</v>
      </c>
      <c r="E69" s="1652" t="e">
        <v>#N/A</v>
      </c>
      <c r="F69" s="1654" t="e">
        <v>#N/A</v>
      </c>
      <c r="G69" s="1655" t="e">
        <v>#N/A</v>
      </c>
      <c r="H69" s="1655" t="e">
        <v>#N/A</v>
      </c>
      <c r="I69" s="1655" t="e">
        <v>#N/A</v>
      </c>
      <c r="J69" s="1655" t="e">
        <v>#N/A</v>
      </c>
      <c r="K69" s="1656" t="e">
        <v>#N/A</v>
      </c>
      <c r="L69" s="1657" t="e">
        <v>#N/A</v>
      </c>
      <c r="M69" s="1655" t="e">
        <v>#N/A</v>
      </c>
      <c r="N69" s="1655" t="e">
        <v>#N/A</v>
      </c>
      <c r="O69" s="1655" t="e">
        <v>#N/A</v>
      </c>
      <c r="P69" s="1655" t="e">
        <v>#N/A</v>
      </c>
      <c r="Q69" s="1658" t="e">
        <v>#N/A</v>
      </c>
    </row>
    <row r="70" spans="1:17">
      <c r="A70" s="1631">
        <f t="shared" si="0"/>
        <v>2029.1</v>
      </c>
      <c r="B70" s="1651" t="e">
        <v>#N/A</v>
      </c>
      <c r="C70" s="1652" t="e">
        <v>#N/A</v>
      </c>
      <c r="D70" s="1653" t="e">
        <v>#N/A</v>
      </c>
      <c r="E70" s="1652" t="e">
        <v>#N/A</v>
      </c>
      <c r="F70" s="1654" t="e">
        <v>#N/A</v>
      </c>
      <c r="G70" s="1655" t="e">
        <v>#N/A</v>
      </c>
      <c r="H70" s="1655" t="e">
        <v>#N/A</v>
      </c>
      <c r="I70" s="1655" t="e">
        <v>#N/A</v>
      </c>
      <c r="J70" s="1655" t="e">
        <v>#N/A</v>
      </c>
      <c r="K70" s="1656" t="e">
        <v>#N/A</v>
      </c>
      <c r="L70" s="1657" t="e">
        <v>#N/A</v>
      </c>
      <c r="M70" s="1655" t="e">
        <v>#N/A</v>
      </c>
      <c r="N70" s="1655" t="e">
        <v>#N/A</v>
      </c>
      <c r="O70" s="1655" t="e">
        <v>#N/A</v>
      </c>
      <c r="P70" s="1655" t="e">
        <v>#N/A</v>
      </c>
      <c r="Q70" s="1658" t="e">
        <v>#N/A</v>
      </c>
    </row>
    <row r="71" spans="1:17">
      <c r="A71" s="1631">
        <f t="shared" si="0"/>
        <v>2029.2</v>
      </c>
      <c r="B71" s="1651" t="e">
        <v>#N/A</v>
      </c>
      <c r="C71" s="1652" t="e">
        <v>#N/A</v>
      </c>
      <c r="D71" s="1653" t="e">
        <v>#N/A</v>
      </c>
      <c r="E71" s="1652" t="e">
        <v>#N/A</v>
      </c>
      <c r="F71" s="1654" t="e">
        <v>#N/A</v>
      </c>
      <c r="G71" s="1655" t="e">
        <v>#N/A</v>
      </c>
      <c r="H71" s="1655" t="e">
        <v>#N/A</v>
      </c>
      <c r="I71" s="1655" t="e">
        <v>#N/A</v>
      </c>
      <c r="J71" s="1655" t="e">
        <v>#N/A</v>
      </c>
      <c r="K71" s="1656" t="e">
        <v>#N/A</v>
      </c>
      <c r="L71" s="1657" t="e">
        <v>#N/A</v>
      </c>
      <c r="M71" s="1655" t="e">
        <v>#N/A</v>
      </c>
      <c r="N71" s="1655" t="e">
        <v>#N/A</v>
      </c>
      <c r="O71" s="1655" t="e">
        <v>#N/A</v>
      </c>
      <c r="P71" s="1655" t="e">
        <v>#N/A</v>
      </c>
      <c r="Q71" s="1658" t="e">
        <v>#N/A</v>
      </c>
    </row>
    <row r="72" spans="1:17">
      <c r="A72" s="1631">
        <f t="shared" si="0"/>
        <v>2029.3</v>
      </c>
      <c r="B72" s="1651" t="e">
        <v>#N/A</v>
      </c>
      <c r="C72" s="1652" t="e">
        <v>#N/A</v>
      </c>
      <c r="D72" s="1653" t="e">
        <v>#N/A</v>
      </c>
      <c r="E72" s="1652" t="e">
        <v>#N/A</v>
      </c>
      <c r="F72" s="1654" t="e">
        <v>#N/A</v>
      </c>
      <c r="G72" s="1655" t="e">
        <v>#N/A</v>
      </c>
      <c r="H72" s="1655" t="e">
        <v>#N/A</v>
      </c>
      <c r="I72" s="1655" t="e">
        <v>#N/A</v>
      </c>
      <c r="J72" s="1655" t="e">
        <v>#N/A</v>
      </c>
      <c r="K72" s="1656" t="e">
        <v>#N/A</v>
      </c>
      <c r="L72" s="1657" t="e">
        <v>#N/A</v>
      </c>
      <c r="M72" s="1655" t="e">
        <v>#N/A</v>
      </c>
      <c r="N72" s="1655" t="e">
        <v>#N/A</v>
      </c>
      <c r="O72" s="1655" t="e">
        <v>#N/A</v>
      </c>
      <c r="P72" s="1655" t="e">
        <v>#N/A</v>
      </c>
      <c r="Q72" s="1658" t="e">
        <v>#N/A</v>
      </c>
    </row>
    <row r="73" spans="1:17">
      <c r="A73" s="1631">
        <f t="shared" si="0"/>
        <v>2029.4</v>
      </c>
      <c r="B73" s="1651" t="e">
        <v>#N/A</v>
      </c>
      <c r="C73" s="1652" t="e">
        <v>#N/A</v>
      </c>
      <c r="D73" s="1653" t="e">
        <v>#N/A</v>
      </c>
      <c r="E73" s="1652" t="e">
        <v>#N/A</v>
      </c>
      <c r="F73" s="1654" t="e">
        <v>#N/A</v>
      </c>
      <c r="G73" s="1655" t="e">
        <v>#N/A</v>
      </c>
      <c r="H73" s="1655" t="e">
        <v>#N/A</v>
      </c>
      <c r="I73" s="1655" t="e">
        <v>#N/A</v>
      </c>
      <c r="J73" s="1655" t="e">
        <v>#N/A</v>
      </c>
      <c r="K73" s="1656" t="e">
        <v>#N/A</v>
      </c>
      <c r="L73" s="1657" t="e">
        <v>#N/A</v>
      </c>
      <c r="M73" s="1655" t="e">
        <v>#N/A</v>
      </c>
      <c r="N73" s="1655" t="e">
        <v>#N/A</v>
      </c>
      <c r="O73" s="1655" t="e">
        <v>#N/A</v>
      </c>
      <c r="P73" s="1655" t="e">
        <v>#N/A</v>
      </c>
      <c r="Q73" s="1658" t="e">
        <v>#N/A</v>
      </c>
    </row>
    <row r="74" spans="1:17">
      <c r="A74" s="1631">
        <f t="shared" si="0"/>
        <v>2030.1</v>
      </c>
      <c r="B74" s="1651" t="e">
        <v>#N/A</v>
      </c>
      <c r="C74" s="1652" t="e">
        <v>#N/A</v>
      </c>
      <c r="D74" s="1653" t="e">
        <v>#N/A</v>
      </c>
      <c r="E74" s="1652" t="e">
        <v>#N/A</v>
      </c>
      <c r="F74" s="1654" t="e">
        <v>#N/A</v>
      </c>
      <c r="G74" s="1655" t="e">
        <v>#N/A</v>
      </c>
      <c r="H74" s="1655" t="e">
        <v>#N/A</v>
      </c>
      <c r="I74" s="1655" t="e">
        <v>#N/A</v>
      </c>
      <c r="J74" s="1655" t="e">
        <v>#N/A</v>
      </c>
      <c r="K74" s="1656" t="e">
        <v>#N/A</v>
      </c>
      <c r="L74" s="1657" t="e">
        <v>#N/A</v>
      </c>
      <c r="M74" s="1655" t="e">
        <v>#N/A</v>
      </c>
      <c r="N74" s="1655" t="e">
        <v>#N/A</v>
      </c>
      <c r="O74" s="1655" t="e">
        <v>#N/A</v>
      </c>
      <c r="P74" s="1655" t="e">
        <v>#N/A</v>
      </c>
      <c r="Q74" s="1658" t="e">
        <v>#N/A</v>
      </c>
    </row>
    <row r="75" spans="1:17">
      <c r="A75" s="1631">
        <f t="shared" si="0"/>
        <v>2030.2</v>
      </c>
      <c r="B75" s="1651" t="e">
        <v>#N/A</v>
      </c>
      <c r="C75" s="1652" t="e">
        <v>#N/A</v>
      </c>
      <c r="D75" s="1653" t="e">
        <v>#N/A</v>
      </c>
      <c r="E75" s="1652" t="e">
        <v>#N/A</v>
      </c>
      <c r="F75" s="1654" t="e">
        <v>#N/A</v>
      </c>
      <c r="G75" s="1655" t="e">
        <v>#N/A</v>
      </c>
      <c r="H75" s="1655" t="e">
        <v>#N/A</v>
      </c>
      <c r="I75" s="1655" t="e">
        <v>#N/A</v>
      </c>
      <c r="J75" s="1655" t="e">
        <v>#N/A</v>
      </c>
      <c r="K75" s="1656" t="e">
        <v>#N/A</v>
      </c>
      <c r="L75" s="1657" t="e">
        <v>#N/A</v>
      </c>
      <c r="M75" s="1655" t="e">
        <v>#N/A</v>
      </c>
      <c r="N75" s="1655" t="e">
        <v>#N/A</v>
      </c>
      <c r="O75" s="1655" t="e">
        <v>#N/A</v>
      </c>
      <c r="P75" s="1655" t="e">
        <v>#N/A</v>
      </c>
      <c r="Q75" s="1658" t="e">
        <v>#N/A</v>
      </c>
    </row>
    <row r="76" spans="1:17">
      <c r="A76" s="1631">
        <f t="shared" si="0"/>
        <v>2030.3</v>
      </c>
      <c r="B76" s="1651" t="e">
        <v>#N/A</v>
      </c>
      <c r="C76" s="1652" t="e">
        <v>#N/A</v>
      </c>
      <c r="D76" s="1653" t="e">
        <v>#N/A</v>
      </c>
      <c r="E76" s="1652" t="e">
        <v>#N/A</v>
      </c>
      <c r="F76" s="1654" t="e">
        <v>#N/A</v>
      </c>
      <c r="G76" s="1655" t="e">
        <v>#N/A</v>
      </c>
      <c r="H76" s="1655" t="e">
        <v>#N/A</v>
      </c>
      <c r="I76" s="1655" t="e">
        <v>#N/A</v>
      </c>
      <c r="J76" s="1655" t="e">
        <v>#N/A</v>
      </c>
      <c r="K76" s="1656" t="e">
        <v>#N/A</v>
      </c>
      <c r="L76" s="1657" t="e">
        <v>#N/A</v>
      </c>
      <c r="M76" s="1655" t="e">
        <v>#N/A</v>
      </c>
      <c r="N76" s="1655" t="e">
        <v>#N/A</v>
      </c>
      <c r="O76" s="1655" t="e">
        <v>#N/A</v>
      </c>
      <c r="P76" s="1655" t="e">
        <v>#N/A</v>
      </c>
      <c r="Q76" s="1658" t="e">
        <v>#N/A</v>
      </c>
    </row>
    <row r="77" spans="1:17">
      <c r="A77" s="1631">
        <f t="shared" si="0"/>
        <v>2030.4</v>
      </c>
      <c r="B77" s="1651" t="e">
        <v>#N/A</v>
      </c>
      <c r="C77" s="1652" t="e">
        <v>#N/A</v>
      </c>
      <c r="D77" s="1653" t="e">
        <v>#N/A</v>
      </c>
      <c r="E77" s="1652" t="e">
        <v>#N/A</v>
      </c>
      <c r="F77" s="1654" t="e">
        <v>#N/A</v>
      </c>
      <c r="G77" s="1655" t="e">
        <v>#N/A</v>
      </c>
      <c r="H77" s="1655" t="e">
        <v>#N/A</v>
      </c>
      <c r="I77" s="1655" t="e">
        <v>#N/A</v>
      </c>
      <c r="J77" s="1655" t="e">
        <v>#N/A</v>
      </c>
      <c r="K77" s="1656" t="e">
        <v>#N/A</v>
      </c>
      <c r="L77" s="1657" t="e">
        <v>#N/A</v>
      </c>
      <c r="M77" s="1655" t="e">
        <v>#N/A</v>
      </c>
      <c r="N77" s="1655" t="e">
        <v>#N/A</v>
      </c>
      <c r="O77" s="1655" t="e">
        <v>#N/A</v>
      </c>
      <c r="P77" s="1655" t="e">
        <v>#N/A</v>
      </c>
      <c r="Q77" s="1658" t="e">
        <v>#N/A</v>
      </c>
    </row>
    <row r="78" spans="1:17">
      <c r="A78" s="201"/>
      <c r="B78" s="201"/>
      <c r="C78" s="201"/>
      <c r="D78" s="201"/>
      <c r="E78" s="201"/>
      <c r="F78" s="201"/>
      <c r="G78" s="201"/>
      <c r="H78" s="201"/>
      <c r="I78" s="201"/>
      <c r="J78" s="201"/>
      <c r="K78" s="201"/>
      <c r="L78" s="201"/>
      <c r="M78" s="201"/>
      <c r="N78" s="201"/>
      <c r="O78" s="201"/>
      <c r="P78" s="201"/>
      <c r="Q78" s="201"/>
    </row>
    <row r="79" spans="1:17">
      <c r="A79" s="201"/>
      <c r="B79" s="201"/>
      <c r="C79" s="201"/>
      <c r="D79" s="201"/>
      <c r="E79" s="201"/>
      <c r="F79" s="201"/>
      <c r="G79" s="201"/>
      <c r="H79" s="201"/>
      <c r="I79" s="201"/>
      <c r="J79" s="201"/>
      <c r="K79" s="201"/>
      <c r="L79" s="201"/>
      <c r="M79" s="201"/>
      <c r="N79" s="201"/>
      <c r="O79" s="201"/>
      <c r="P79" s="201"/>
      <c r="Q79" s="201"/>
    </row>
    <row r="80" spans="1:17">
      <c r="A80" s="201"/>
      <c r="B80" s="201"/>
      <c r="C80" s="201"/>
      <c r="D80" s="201"/>
      <c r="E80" s="201"/>
      <c r="F80" s="201"/>
      <c r="G80" s="201"/>
      <c r="H80" s="201"/>
      <c r="I80" s="201"/>
      <c r="J80" s="201"/>
      <c r="K80" s="201"/>
      <c r="L80" s="201"/>
      <c r="M80" s="201"/>
      <c r="N80" s="201"/>
      <c r="O80" s="201"/>
      <c r="P80" s="201"/>
      <c r="Q80" s="201"/>
    </row>
    <row r="81" spans="1:17">
      <c r="A81" s="201"/>
      <c r="B81" s="201"/>
      <c r="C81" s="201"/>
      <c r="D81" s="201"/>
      <c r="E81" s="201"/>
      <c r="F81" s="201"/>
      <c r="G81" s="201"/>
      <c r="H81" s="201"/>
      <c r="I81" s="201"/>
      <c r="J81" s="201"/>
      <c r="K81" s="201"/>
      <c r="L81" s="201"/>
      <c r="M81" s="201"/>
      <c r="N81" s="201"/>
      <c r="O81" s="201"/>
      <c r="P81" s="201"/>
      <c r="Q81" s="201"/>
    </row>
    <row r="82" spans="1:17">
      <c r="A82" s="201"/>
      <c r="B82" s="201"/>
      <c r="C82" s="201"/>
      <c r="D82" s="201"/>
      <c r="E82" s="201"/>
      <c r="F82" s="201"/>
      <c r="G82" s="201"/>
      <c r="H82" s="201"/>
      <c r="I82" s="201"/>
      <c r="J82" s="201"/>
      <c r="K82" s="201"/>
      <c r="L82" s="201"/>
      <c r="M82" s="201"/>
      <c r="N82" s="201"/>
      <c r="O82" s="201"/>
      <c r="P82" s="201"/>
      <c r="Q82" s="201"/>
    </row>
    <row r="83" spans="1:17">
      <c r="A83" s="201"/>
      <c r="B83" s="201"/>
      <c r="C83" s="201"/>
      <c r="D83" s="201"/>
      <c r="E83" s="201"/>
      <c r="F83" s="201"/>
      <c r="G83" s="201"/>
      <c r="H83" s="201"/>
      <c r="I83" s="201"/>
      <c r="J83" s="201"/>
      <c r="K83" s="201"/>
      <c r="L83" s="201"/>
      <c r="M83" s="201"/>
      <c r="N83" s="201"/>
      <c r="O83" s="201"/>
      <c r="P83" s="201"/>
      <c r="Q83" s="201"/>
    </row>
    <row r="84" spans="1:17">
      <c r="A84" s="201"/>
      <c r="B84" s="201"/>
      <c r="C84" s="201"/>
      <c r="D84" s="201"/>
      <c r="E84" s="201"/>
      <c r="F84" s="201"/>
      <c r="G84" s="201"/>
      <c r="H84" s="201"/>
      <c r="I84" s="201"/>
      <c r="J84" s="201"/>
      <c r="K84" s="201"/>
      <c r="L84" s="201"/>
      <c r="M84" s="201"/>
      <c r="N84" s="201"/>
      <c r="O84" s="201"/>
      <c r="P84" s="201"/>
      <c r="Q84" s="201"/>
    </row>
    <row r="85" spans="1:17">
      <c r="A85" s="201"/>
      <c r="B85" s="201"/>
      <c r="C85" s="201"/>
      <c r="D85" s="201"/>
      <c r="E85" s="201"/>
      <c r="F85" s="201"/>
      <c r="G85" s="201"/>
      <c r="H85" s="201"/>
      <c r="I85" s="201"/>
      <c r="J85" s="201"/>
      <c r="K85" s="201"/>
      <c r="L85" s="201"/>
      <c r="M85" s="201"/>
      <c r="N85" s="201"/>
      <c r="O85" s="201"/>
      <c r="P85" s="201"/>
      <c r="Q85" s="201"/>
    </row>
    <row r="86" spans="1:17">
      <c r="A86" s="201"/>
      <c r="B86" s="201"/>
      <c r="C86" s="201"/>
      <c r="D86" s="201"/>
      <c r="E86" s="201"/>
      <c r="F86" s="201"/>
      <c r="G86" s="201"/>
      <c r="H86" s="201"/>
      <c r="I86" s="201"/>
      <c r="J86" s="201"/>
      <c r="K86" s="201"/>
      <c r="L86" s="201"/>
      <c r="M86" s="201"/>
      <c r="N86" s="201"/>
      <c r="O86" s="201"/>
      <c r="P86" s="201"/>
      <c r="Q86" s="201"/>
    </row>
    <row r="87" spans="1:17">
      <c r="A87" s="201"/>
      <c r="B87" s="201"/>
      <c r="C87" s="201"/>
      <c r="D87" s="201"/>
      <c r="E87" s="201"/>
      <c r="F87" s="201"/>
      <c r="G87" s="201"/>
      <c r="H87" s="201"/>
      <c r="I87" s="201"/>
      <c r="J87" s="201"/>
      <c r="K87" s="201"/>
      <c r="L87" s="201"/>
      <c r="M87" s="201"/>
      <c r="N87" s="201"/>
      <c r="O87" s="201"/>
      <c r="P87" s="201"/>
      <c r="Q87" s="201"/>
    </row>
    <row r="88" spans="1:17">
      <c r="A88" s="201"/>
      <c r="B88" s="201"/>
      <c r="C88" s="201"/>
      <c r="D88" s="201"/>
      <c r="E88" s="201"/>
      <c r="F88" s="201"/>
      <c r="G88" s="201"/>
      <c r="H88" s="201"/>
      <c r="I88" s="201"/>
      <c r="J88" s="201"/>
      <c r="K88" s="201"/>
      <c r="L88" s="201"/>
      <c r="M88" s="201"/>
      <c r="N88" s="201"/>
      <c r="O88" s="201"/>
      <c r="P88" s="201"/>
      <c r="Q88" s="201"/>
    </row>
    <row r="89" spans="1:17">
      <c r="A89" s="201"/>
      <c r="B89" s="201"/>
      <c r="C89" s="201"/>
      <c r="D89" s="201"/>
      <c r="E89" s="201"/>
      <c r="F89" s="201"/>
      <c r="G89" s="201"/>
      <c r="H89" s="201"/>
      <c r="I89" s="201"/>
      <c r="J89" s="201"/>
      <c r="K89" s="201"/>
      <c r="L89" s="201"/>
      <c r="M89" s="201"/>
      <c r="N89" s="201"/>
      <c r="O89" s="201"/>
      <c r="P89" s="201"/>
      <c r="Q89" s="201"/>
    </row>
    <row r="90" spans="1:17">
      <c r="A90" s="201"/>
      <c r="B90" s="201"/>
      <c r="C90" s="201"/>
      <c r="D90" s="201"/>
      <c r="E90" s="201"/>
      <c r="F90" s="201"/>
      <c r="G90" s="201"/>
      <c r="H90" s="201"/>
      <c r="I90" s="201"/>
      <c r="J90" s="201"/>
      <c r="K90" s="201"/>
      <c r="L90" s="201"/>
      <c r="M90" s="201"/>
      <c r="N90" s="201"/>
      <c r="O90" s="201"/>
      <c r="P90" s="201"/>
      <c r="Q90" s="201"/>
    </row>
    <row r="91" spans="1:17">
      <c r="A91" s="201"/>
      <c r="B91" s="201"/>
      <c r="C91" s="201"/>
      <c r="D91" s="201"/>
      <c r="E91" s="201"/>
      <c r="F91" s="201"/>
      <c r="G91" s="201"/>
      <c r="H91" s="201"/>
      <c r="I91" s="201"/>
      <c r="J91" s="201"/>
      <c r="K91" s="201"/>
      <c r="L91" s="201"/>
      <c r="M91" s="201"/>
      <c r="N91" s="201"/>
      <c r="O91" s="201"/>
      <c r="P91" s="201"/>
      <c r="Q91" s="201"/>
    </row>
    <row r="92" spans="1:17">
      <c r="A92" s="201"/>
      <c r="B92" s="201"/>
      <c r="C92" s="201"/>
      <c r="D92" s="201"/>
      <c r="E92" s="201"/>
      <c r="F92" s="201"/>
      <c r="G92" s="201"/>
      <c r="H92" s="201"/>
      <c r="I92" s="201"/>
      <c r="J92" s="201"/>
      <c r="K92" s="201"/>
      <c r="L92" s="201"/>
      <c r="M92" s="201"/>
      <c r="N92" s="201"/>
      <c r="O92" s="201"/>
      <c r="P92" s="201"/>
      <c r="Q92" s="201"/>
    </row>
    <row r="93" spans="1:17">
      <c r="A93" s="201"/>
      <c r="B93" s="201"/>
      <c r="C93" s="201"/>
      <c r="D93" s="201"/>
      <c r="E93" s="201"/>
      <c r="F93" s="201"/>
      <c r="G93" s="201"/>
      <c r="H93" s="201"/>
      <c r="I93" s="201"/>
      <c r="J93" s="201"/>
      <c r="K93" s="201"/>
      <c r="L93" s="201"/>
      <c r="M93" s="201"/>
      <c r="N93" s="201"/>
      <c r="O93" s="201"/>
      <c r="P93" s="201"/>
      <c r="Q93" s="201"/>
    </row>
    <row r="94" spans="1:17">
      <c r="A94" s="201"/>
      <c r="B94" s="201"/>
      <c r="C94" s="201"/>
      <c r="D94" s="201"/>
      <c r="E94" s="201"/>
      <c r="F94" s="201"/>
      <c r="G94" s="201"/>
      <c r="H94" s="201"/>
      <c r="I94" s="201"/>
      <c r="J94" s="201"/>
      <c r="K94" s="201"/>
      <c r="L94" s="201"/>
      <c r="M94" s="201"/>
      <c r="N94" s="201"/>
      <c r="O94" s="201"/>
      <c r="P94" s="201"/>
      <c r="Q94" s="201"/>
    </row>
    <row r="95" spans="1:17">
      <c r="A95" s="201"/>
      <c r="B95" s="201"/>
      <c r="C95" s="201"/>
      <c r="D95" s="201"/>
      <c r="E95" s="201"/>
      <c r="F95" s="201"/>
      <c r="G95" s="201"/>
      <c r="H95" s="201"/>
      <c r="I95" s="201"/>
      <c r="J95" s="201"/>
      <c r="K95" s="201"/>
      <c r="L95" s="201"/>
      <c r="M95" s="201"/>
      <c r="N95" s="201"/>
      <c r="O95" s="201"/>
      <c r="P95" s="201"/>
      <c r="Q95" s="201"/>
    </row>
    <row r="96" spans="1:17">
      <c r="A96" s="201"/>
      <c r="B96" s="201"/>
      <c r="C96" s="201"/>
      <c r="D96" s="201"/>
      <c r="E96" s="201"/>
      <c r="F96" s="201"/>
      <c r="G96" s="201"/>
      <c r="H96" s="201"/>
      <c r="I96" s="201"/>
      <c r="J96" s="201"/>
      <c r="K96" s="201"/>
      <c r="L96" s="201"/>
      <c r="M96" s="201"/>
      <c r="N96" s="201"/>
      <c r="O96" s="201"/>
      <c r="P96" s="201"/>
      <c r="Q96" s="201"/>
    </row>
    <row r="97" spans="1:17">
      <c r="A97" s="201"/>
      <c r="B97" s="201"/>
      <c r="C97" s="201"/>
      <c r="D97" s="201"/>
      <c r="E97" s="201"/>
      <c r="F97" s="201"/>
      <c r="G97" s="201"/>
      <c r="H97" s="201"/>
      <c r="I97" s="201"/>
      <c r="J97" s="201"/>
      <c r="K97" s="201"/>
      <c r="L97" s="201"/>
      <c r="M97" s="201"/>
      <c r="N97" s="201"/>
      <c r="O97" s="201"/>
      <c r="P97" s="201"/>
      <c r="Q97" s="201"/>
    </row>
    <row r="98" spans="1:17">
      <c r="A98" s="201"/>
      <c r="B98" s="201"/>
      <c r="C98" s="201"/>
      <c r="D98" s="201"/>
      <c r="E98" s="201"/>
      <c r="F98" s="201"/>
      <c r="G98" s="201"/>
      <c r="H98" s="201"/>
      <c r="I98" s="201"/>
      <c r="J98" s="201"/>
      <c r="K98" s="201"/>
      <c r="L98" s="201"/>
      <c r="M98" s="201"/>
      <c r="N98" s="201"/>
      <c r="O98" s="201"/>
      <c r="P98" s="201"/>
      <c r="Q98" s="201"/>
    </row>
    <row r="99" spans="1:17">
      <c r="A99" s="201"/>
      <c r="B99" s="201"/>
      <c r="C99" s="201"/>
      <c r="D99" s="201"/>
      <c r="E99" s="201"/>
      <c r="F99" s="201"/>
      <c r="G99" s="201"/>
      <c r="H99" s="201"/>
      <c r="I99" s="201"/>
      <c r="J99" s="201"/>
      <c r="K99" s="201"/>
      <c r="L99" s="201"/>
      <c r="M99" s="201"/>
      <c r="N99" s="201"/>
      <c r="O99" s="201"/>
      <c r="P99" s="201"/>
      <c r="Q99" s="201"/>
    </row>
    <row r="100" spans="1:17">
      <c r="A100" s="201"/>
      <c r="B100" s="201"/>
      <c r="C100" s="201"/>
      <c r="D100" s="201"/>
      <c r="E100" s="201"/>
      <c r="F100" s="201"/>
      <c r="G100" s="201"/>
      <c r="H100" s="201"/>
      <c r="I100" s="201"/>
      <c r="J100" s="201"/>
      <c r="K100" s="201"/>
      <c r="L100" s="201"/>
      <c r="M100" s="201"/>
      <c r="N100" s="201"/>
      <c r="O100" s="201"/>
      <c r="P100" s="201"/>
      <c r="Q100" s="201"/>
    </row>
    <row r="101" spans="1:17">
      <c r="A101" s="201"/>
      <c r="B101" s="201"/>
      <c r="C101" s="201"/>
      <c r="D101" s="201"/>
      <c r="E101" s="201"/>
      <c r="F101" s="201"/>
      <c r="G101" s="201"/>
      <c r="H101" s="201"/>
      <c r="I101" s="201"/>
      <c r="J101" s="201"/>
      <c r="K101" s="201"/>
      <c r="L101" s="201"/>
      <c r="M101" s="201"/>
      <c r="N101" s="201"/>
      <c r="O101" s="201"/>
      <c r="P101" s="201"/>
      <c r="Q101" s="201"/>
    </row>
    <row r="102" spans="1:17">
      <c r="A102" s="201"/>
      <c r="B102" s="201"/>
      <c r="C102" s="201"/>
      <c r="D102" s="201"/>
      <c r="E102" s="201"/>
      <c r="F102" s="201"/>
      <c r="G102" s="201"/>
      <c r="H102" s="201"/>
      <c r="I102" s="201"/>
      <c r="J102" s="201"/>
      <c r="K102" s="201"/>
      <c r="L102" s="201"/>
      <c r="M102" s="201"/>
      <c r="N102" s="201"/>
      <c r="O102" s="201"/>
      <c r="P102" s="201"/>
      <c r="Q102" s="201"/>
    </row>
    <row r="103" spans="1:17">
      <c r="A103" s="201"/>
      <c r="B103" s="201"/>
      <c r="C103" s="201"/>
      <c r="D103" s="201"/>
      <c r="E103" s="201"/>
      <c r="F103" s="201"/>
      <c r="G103" s="201"/>
      <c r="H103" s="201"/>
      <c r="I103" s="201"/>
      <c r="J103" s="201"/>
      <c r="K103" s="201"/>
      <c r="L103" s="201"/>
      <c r="M103" s="201"/>
      <c r="N103" s="201"/>
      <c r="O103" s="201"/>
      <c r="P103" s="201"/>
      <c r="Q103" s="201"/>
    </row>
    <row r="104" spans="1:17">
      <c r="A104" s="201"/>
      <c r="B104" s="201"/>
      <c r="C104" s="201"/>
      <c r="D104" s="201"/>
      <c r="E104" s="201"/>
      <c r="F104" s="201"/>
      <c r="G104" s="201"/>
      <c r="H104" s="201"/>
      <c r="I104" s="201"/>
      <c r="J104" s="201"/>
      <c r="K104" s="201"/>
      <c r="L104" s="201"/>
      <c r="M104" s="201"/>
      <c r="N104" s="201"/>
      <c r="O104" s="201"/>
      <c r="P104" s="201"/>
      <c r="Q104" s="201"/>
    </row>
    <row r="105" spans="1:17">
      <c r="A105" s="201"/>
      <c r="B105" s="201"/>
      <c r="C105" s="201"/>
      <c r="D105" s="201"/>
      <c r="E105" s="201"/>
      <c r="F105" s="201"/>
      <c r="G105" s="201"/>
      <c r="H105" s="201"/>
      <c r="I105" s="201"/>
      <c r="J105" s="201"/>
      <c r="K105" s="201"/>
      <c r="L105" s="201"/>
      <c r="M105" s="201"/>
      <c r="N105" s="201"/>
      <c r="O105" s="201"/>
      <c r="P105" s="201"/>
      <c r="Q105" s="201"/>
    </row>
    <row r="106" spans="1:17">
      <c r="A106" s="201"/>
      <c r="B106" s="201"/>
      <c r="C106" s="201"/>
      <c r="D106" s="201"/>
      <c r="E106" s="201"/>
      <c r="F106" s="201"/>
      <c r="G106" s="201"/>
      <c r="H106" s="201"/>
      <c r="I106" s="201"/>
      <c r="J106" s="201"/>
      <c r="K106" s="201"/>
      <c r="L106" s="201"/>
      <c r="M106" s="201"/>
      <c r="N106" s="201"/>
      <c r="O106" s="201"/>
      <c r="P106" s="201"/>
      <c r="Q106" s="201"/>
    </row>
    <row r="107" spans="1:17">
      <c r="A107" s="201"/>
      <c r="B107" s="201"/>
      <c r="C107" s="201"/>
      <c r="D107" s="201"/>
      <c r="E107" s="201"/>
      <c r="F107" s="201"/>
      <c r="G107" s="201"/>
      <c r="H107" s="201"/>
      <c r="I107" s="201"/>
      <c r="J107" s="201"/>
      <c r="K107" s="201"/>
      <c r="L107" s="201"/>
      <c r="M107" s="201"/>
      <c r="N107" s="201"/>
      <c r="O107" s="201"/>
      <c r="P107" s="201"/>
      <c r="Q107" s="201"/>
    </row>
    <row r="108" spans="1:17">
      <c r="A108" s="201"/>
      <c r="B108" s="201"/>
      <c r="C108" s="201"/>
      <c r="D108" s="201"/>
      <c r="E108" s="201"/>
      <c r="F108" s="201"/>
      <c r="G108" s="201"/>
      <c r="H108" s="201"/>
      <c r="I108" s="201"/>
      <c r="J108" s="201"/>
      <c r="K108" s="201"/>
      <c r="L108" s="201"/>
      <c r="M108" s="201"/>
      <c r="N108" s="201"/>
      <c r="O108" s="201"/>
      <c r="P108" s="201"/>
      <c r="Q108" s="201"/>
    </row>
    <row r="109" spans="1:17">
      <c r="A109" s="201"/>
      <c r="B109" s="201"/>
      <c r="C109" s="201"/>
      <c r="D109" s="201"/>
      <c r="E109" s="201"/>
      <c r="F109" s="201"/>
      <c r="G109" s="201"/>
      <c r="H109" s="201"/>
      <c r="I109" s="201"/>
      <c r="J109" s="201"/>
      <c r="K109" s="201"/>
      <c r="L109" s="201"/>
      <c r="M109" s="201"/>
      <c r="N109" s="201"/>
      <c r="O109" s="201"/>
      <c r="P109" s="201"/>
      <c r="Q109" s="201"/>
    </row>
    <row r="110" spans="1:17">
      <c r="A110" s="201"/>
      <c r="B110" s="201"/>
      <c r="C110" s="201"/>
      <c r="D110" s="201"/>
      <c r="E110" s="201"/>
      <c r="F110" s="201"/>
      <c r="G110" s="201"/>
      <c r="H110" s="201"/>
      <c r="I110" s="201"/>
      <c r="J110" s="201"/>
      <c r="K110" s="201"/>
      <c r="L110" s="201"/>
      <c r="M110" s="201"/>
      <c r="N110" s="201"/>
      <c r="O110" s="201"/>
      <c r="P110" s="201"/>
      <c r="Q110" s="201"/>
    </row>
    <row r="111" spans="1:17">
      <c r="A111" s="201"/>
      <c r="B111" s="201"/>
      <c r="C111" s="201"/>
      <c r="D111" s="201"/>
      <c r="E111" s="201"/>
      <c r="F111" s="201"/>
      <c r="G111" s="201"/>
      <c r="H111" s="201"/>
      <c r="I111" s="201"/>
      <c r="J111" s="201"/>
      <c r="K111" s="201"/>
      <c r="L111" s="201"/>
      <c r="M111" s="201"/>
      <c r="N111" s="201"/>
      <c r="O111" s="201"/>
      <c r="P111" s="201"/>
      <c r="Q111" s="201"/>
    </row>
    <row r="112" spans="1:17">
      <c r="A112" s="201"/>
      <c r="B112" s="201"/>
      <c r="C112" s="201"/>
      <c r="D112" s="201"/>
      <c r="E112" s="201"/>
      <c r="F112" s="201"/>
      <c r="G112" s="201"/>
      <c r="H112" s="201"/>
      <c r="I112" s="201"/>
      <c r="J112" s="201"/>
      <c r="K112" s="201"/>
      <c r="L112" s="201"/>
      <c r="M112" s="201"/>
      <c r="N112" s="201"/>
      <c r="O112" s="201"/>
      <c r="P112" s="201"/>
      <c r="Q112" s="201"/>
    </row>
    <row r="113" spans="1:17">
      <c r="A113" s="201"/>
      <c r="B113" s="201"/>
      <c r="C113" s="201"/>
      <c r="D113" s="201"/>
      <c r="E113" s="201"/>
      <c r="F113" s="201"/>
      <c r="G113" s="201"/>
      <c r="H113" s="201"/>
      <c r="I113" s="201"/>
      <c r="J113" s="201"/>
      <c r="K113" s="201"/>
      <c r="L113" s="201"/>
      <c r="M113" s="201"/>
      <c r="N113" s="201"/>
      <c r="O113" s="201"/>
      <c r="P113" s="201"/>
      <c r="Q113" s="201"/>
    </row>
    <row r="114" spans="1:17">
      <c r="A114" s="201"/>
      <c r="B114" s="201"/>
      <c r="C114" s="201"/>
      <c r="D114" s="201"/>
      <c r="E114" s="201"/>
      <c r="F114" s="201"/>
      <c r="G114" s="201"/>
      <c r="H114" s="201"/>
      <c r="I114" s="201"/>
      <c r="J114" s="201"/>
      <c r="K114" s="201"/>
      <c r="L114" s="201"/>
      <c r="M114" s="201"/>
      <c r="N114" s="201"/>
      <c r="O114" s="201"/>
      <c r="P114" s="201"/>
      <c r="Q114" s="201"/>
    </row>
    <row r="115" spans="1:17">
      <c r="A115" s="201"/>
      <c r="B115" s="201"/>
      <c r="C115" s="201"/>
      <c r="D115" s="201"/>
      <c r="E115" s="201"/>
      <c r="F115" s="201"/>
      <c r="G115" s="201"/>
      <c r="H115" s="201"/>
      <c r="I115" s="201"/>
      <c r="J115" s="201"/>
      <c r="K115" s="201"/>
      <c r="L115" s="201"/>
      <c r="M115" s="201"/>
      <c r="N115" s="201"/>
      <c r="O115" s="201"/>
      <c r="P115" s="201"/>
      <c r="Q115" s="201"/>
    </row>
    <row r="116" spans="1:17">
      <c r="A116" s="201"/>
      <c r="B116" s="201"/>
      <c r="C116" s="201"/>
      <c r="D116" s="201"/>
      <c r="E116" s="201"/>
      <c r="F116" s="201"/>
      <c r="G116" s="201"/>
      <c r="H116" s="201"/>
      <c r="I116" s="201"/>
      <c r="J116" s="201"/>
      <c r="K116" s="201"/>
      <c r="L116" s="201"/>
      <c r="M116" s="201"/>
      <c r="N116" s="201"/>
      <c r="O116" s="201"/>
      <c r="P116" s="201"/>
      <c r="Q116" s="201"/>
    </row>
    <row r="117" spans="1:17">
      <c r="A117" s="201"/>
      <c r="B117" s="201"/>
      <c r="C117" s="201"/>
      <c r="D117" s="201"/>
      <c r="E117" s="201"/>
      <c r="F117" s="201"/>
      <c r="G117" s="201"/>
      <c r="H117" s="201"/>
      <c r="I117" s="201"/>
      <c r="J117" s="201"/>
      <c r="K117" s="201"/>
      <c r="L117" s="201"/>
      <c r="M117" s="201"/>
      <c r="N117" s="201"/>
      <c r="O117" s="201"/>
      <c r="P117" s="201"/>
      <c r="Q117" s="201"/>
    </row>
    <row r="118" spans="1:17">
      <c r="A118" s="201"/>
      <c r="B118" s="201"/>
      <c r="C118" s="201"/>
      <c r="D118" s="201"/>
      <c r="E118" s="201"/>
      <c r="F118" s="201"/>
      <c r="G118" s="201"/>
      <c r="H118" s="201"/>
      <c r="I118" s="201"/>
      <c r="J118" s="201"/>
      <c r="K118" s="201"/>
      <c r="L118" s="201"/>
      <c r="M118" s="201"/>
      <c r="N118" s="201"/>
      <c r="O118" s="201"/>
      <c r="P118" s="201"/>
      <c r="Q118" s="201"/>
    </row>
    <row r="119" spans="1:17">
      <c r="A119" s="201"/>
      <c r="B119" s="201"/>
      <c r="C119" s="201"/>
      <c r="D119" s="201"/>
      <c r="E119" s="201"/>
      <c r="F119" s="201"/>
      <c r="G119" s="201"/>
      <c r="H119" s="201"/>
      <c r="I119" s="201"/>
      <c r="J119" s="201"/>
      <c r="K119" s="201"/>
      <c r="L119" s="201"/>
      <c r="M119" s="201"/>
      <c r="N119" s="201"/>
      <c r="O119" s="201"/>
      <c r="P119" s="201"/>
      <c r="Q119" s="201"/>
    </row>
    <row r="120" spans="1:17">
      <c r="A120" s="201"/>
      <c r="B120" s="201"/>
      <c r="C120" s="201"/>
      <c r="D120" s="201"/>
      <c r="E120" s="201"/>
      <c r="F120" s="201"/>
      <c r="G120" s="201"/>
      <c r="H120" s="201"/>
      <c r="I120" s="201"/>
      <c r="J120" s="201"/>
      <c r="K120" s="201"/>
      <c r="L120" s="201"/>
      <c r="M120" s="201"/>
      <c r="N120" s="201"/>
      <c r="O120" s="201"/>
      <c r="P120" s="201"/>
      <c r="Q120" s="201"/>
    </row>
    <row r="121" spans="1:17">
      <c r="A121" s="201"/>
      <c r="B121" s="201"/>
      <c r="C121" s="201"/>
      <c r="D121" s="201"/>
      <c r="E121" s="201"/>
      <c r="F121" s="201"/>
      <c r="G121" s="201"/>
      <c r="H121" s="201"/>
      <c r="I121" s="201"/>
      <c r="J121" s="201"/>
      <c r="K121" s="201"/>
      <c r="L121" s="201"/>
      <c r="M121" s="201"/>
      <c r="N121" s="201"/>
      <c r="O121" s="201"/>
      <c r="P121" s="201"/>
      <c r="Q121" s="201"/>
    </row>
    <row r="122" spans="1:17">
      <c r="A122" s="201"/>
      <c r="B122" s="201"/>
      <c r="C122" s="201"/>
      <c r="D122" s="201"/>
      <c r="E122" s="201"/>
      <c r="F122" s="201"/>
      <c r="G122" s="201"/>
      <c r="H122" s="201"/>
      <c r="I122" s="201"/>
      <c r="J122" s="201"/>
      <c r="K122" s="201"/>
      <c r="L122" s="201"/>
      <c r="M122" s="201"/>
      <c r="N122" s="201"/>
      <c r="O122" s="201"/>
      <c r="P122" s="201"/>
      <c r="Q122" s="201"/>
    </row>
    <row r="123" spans="1:17">
      <c r="A123" s="201"/>
      <c r="B123" s="201"/>
      <c r="C123" s="201"/>
      <c r="D123" s="201"/>
      <c r="E123" s="201"/>
      <c r="F123" s="201"/>
      <c r="G123" s="201"/>
      <c r="H123" s="201"/>
      <c r="I123" s="201"/>
      <c r="J123" s="201"/>
      <c r="K123" s="201"/>
      <c r="L123" s="201"/>
      <c r="M123" s="201"/>
      <c r="N123" s="201"/>
      <c r="O123" s="201"/>
      <c r="P123" s="201"/>
      <c r="Q123" s="201"/>
    </row>
    <row r="124" spans="1:17">
      <c r="A124" s="201"/>
      <c r="B124" s="201"/>
      <c r="C124" s="201"/>
      <c r="D124" s="201"/>
      <c r="E124" s="201"/>
      <c r="F124" s="201"/>
      <c r="G124" s="201"/>
      <c r="H124" s="201"/>
      <c r="I124" s="201"/>
      <c r="J124" s="201"/>
      <c r="K124" s="201"/>
      <c r="L124" s="201"/>
      <c r="M124" s="201"/>
      <c r="N124" s="201"/>
      <c r="O124" s="201"/>
      <c r="P124" s="201"/>
      <c r="Q124" s="201"/>
    </row>
    <row r="125" spans="1:17">
      <c r="A125" s="201"/>
      <c r="B125" s="201"/>
      <c r="C125" s="201"/>
      <c r="D125" s="201"/>
      <c r="E125" s="201"/>
      <c r="F125" s="201"/>
      <c r="G125" s="201"/>
      <c r="H125" s="201"/>
      <c r="I125" s="201"/>
      <c r="J125" s="201"/>
      <c r="K125" s="201"/>
      <c r="L125" s="201"/>
      <c r="M125" s="201"/>
      <c r="N125" s="201"/>
      <c r="O125" s="201"/>
      <c r="P125" s="201"/>
      <c r="Q125" s="201"/>
    </row>
    <row r="126" spans="1:17">
      <c r="A126" s="201"/>
      <c r="B126" s="201"/>
      <c r="C126" s="201"/>
      <c r="D126" s="201"/>
      <c r="E126" s="201"/>
      <c r="F126" s="201"/>
      <c r="G126" s="201"/>
      <c r="H126" s="201"/>
      <c r="I126" s="201"/>
      <c r="J126" s="201"/>
      <c r="K126" s="201"/>
      <c r="L126" s="201"/>
      <c r="M126" s="201"/>
      <c r="N126" s="201"/>
      <c r="O126" s="201"/>
      <c r="P126" s="201"/>
      <c r="Q126" s="201"/>
    </row>
    <row r="127" spans="1:17">
      <c r="A127" s="201"/>
      <c r="B127" s="201"/>
      <c r="C127" s="201"/>
      <c r="D127" s="201"/>
      <c r="E127" s="201"/>
      <c r="F127" s="201"/>
      <c r="G127" s="201"/>
      <c r="H127" s="201"/>
      <c r="I127" s="201"/>
      <c r="J127" s="201"/>
      <c r="K127" s="201"/>
      <c r="L127" s="201"/>
      <c r="M127" s="201"/>
      <c r="N127" s="201"/>
      <c r="O127" s="201"/>
      <c r="P127" s="201"/>
      <c r="Q127" s="201"/>
    </row>
    <row r="128" spans="1:17">
      <c r="A128" s="201"/>
      <c r="B128" s="201"/>
      <c r="C128" s="201"/>
      <c r="D128" s="201"/>
      <c r="E128" s="201"/>
      <c r="F128" s="201"/>
      <c r="G128" s="201"/>
      <c r="H128" s="201"/>
      <c r="I128" s="201"/>
      <c r="J128" s="201"/>
      <c r="K128" s="201"/>
      <c r="L128" s="201"/>
      <c r="M128" s="201"/>
      <c r="N128" s="201"/>
      <c r="O128" s="201"/>
      <c r="P128" s="201"/>
      <c r="Q128" s="201"/>
    </row>
    <row r="129" spans="1:17">
      <c r="A129" s="201"/>
      <c r="B129" s="201"/>
      <c r="C129" s="201"/>
      <c r="D129" s="201"/>
      <c r="E129" s="201"/>
      <c r="F129" s="201"/>
      <c r="G129" s="201"/>
      <c r="H129" s="201"/>
      <c r="I129" s="201"/>
      <c r="J129" s="201"/>
      <c r="K129" s="201"/>
      <c r="L129" s="201"/>
      <c r="M129" s="201"/>
      <c r="N129" s="201"/>
      <c r="O129" s="201"/>
      <c r="P129" s="201"/>
      <c r="Q129" s="201"/>
    </row>
    <row r="130" spans="1:17">
      <c r="A130" s="201"/>
      <c r="B130" s="201"/>
      <c r="C130" s="201"/>
      <c r="D130" s="201"/>
      <c r="E130" s="201"/>
      <c r="F130" s="201"/>
      <c r="G130" s="201"/>
      <c r="H130" s="201"/>
      <c r="I130" s="201"/>
      <c r="J130" s="201"/>
      <c r="K130" s="201"/>
      <c r="L130" s="201"/>
      <c r="M130" s="201"/>
      <c r="N130" s="201"/>
      <c r="O130" s="201"/>
      <c r="P130" s="201"/>
      <c r="Q130" s="201"/>
    </row>
    <row r="131" spans="1:17">
      <c r="A131" s="201"/>
      <c r="B131" s="201"/>
      <c r="C131" s="201"/>
      <c r="D131" s="201"/>
      <c r="E131" s="201"/>
      <c r="F131" s="201"/>
      <c r="G131" s="201"/>
      <c r="H131" s="201"/>
      <c r="I131" s="201"/>
      <c r="J131" s="201"/>
      <c r="K131" s="201"/>
      <c r="L131" s="201"/>
      <c r="M131" s="201"/>
      <c r="N131" s="201"/>
      <c r="O131" s="201"/>
      <c r="P131" s="201"/>
      <c r="Q131" s="201"/>
    </row>
    <row r="132" spans="1:17">
      <c r="A132" s="201"/>
      <c r="B132" s="201"/>
      <c r="C132" s="201"/>
      <c r="D132" s="201"/>
      <c r="E132" s="201"/>
      <c r="F132" s="201"/>
      <c r="G132" s="201"/>
      <c r="H132" s="201"/>
      <c r="I132" s="201"/>
      <c r="J132" s="201"/>
      <c r="K132" s="201"/>
      <c r="L132" s="201"/>
      <c r="M132" s="201"/>
      <c r="N132" s="201"/>
      <c r="O132" s="201"/>
      <c r="P132" s="201"/>
      <c r="Q132" s="201"/>
    </row>
    <row r="133" spans="1:17">
      <c r="A133" s="201"/>
      <c r="B133" s="201"/>
      <c r="C133" s="201"/>
      <c r="D133" s="201"/>
      <c r="E133" s="201"/>
      <c r="F133" s="201"/>
      <c r="G133" s="201"/>
      <c r="H133" s="201"/>
      <c r="I133" s="201"/>
      <c r="J133" s="201"/>
      <c r="K133" s="201"/>
      <c r="L133" s="201"/>
      <c r="M133" s="201"/>
      <c r="N133" s="201"/>
      <c r="O133" s="201"/>
      <c r="P133" s="201"/>
      <c r="Q133" s="201"/>
    </row>
    <row r="134" spans="1:17">
      <c r="A134" s="201"/>
      <c r="B134" s="201"/>
      <c r="C134" s="201"/>
      <c r="D134" s="201"/>
      <c r="E134" s="201"/>
      <c r="F134" s="201"/>
      <c r="G134" s="201"/>
      <c r="H134" s="201"/>
      <c r="I134" s="201"/>
      <c r="J134" s="201"/>
      <c r="K134" s="201"/>
      <c r="L134" s="201"/>
      <c r="M134" s="201"/>
      <c r="N134" s="201"/>
      <c r="O134" s="201"/>
      <c r="P134" s="201"/>
      <c r="Q134" s="201"/>
    </row>
    <row r="135" spans="1:17">
      <c r="A135" s="201"/>
      <c r="B135" s="201"/>
      <c r="C135" s="201"/>
      <c r="D135" s="201"/>
      <c r="E135" s="201"/>
      <c r="F135" s="201"/>
      <c r="G135" s="201"/>
      <c r="H135" s="201"/>
      <c r="I135" s="201"/>
      <c r="J135" s="201"/>
      <c r="K135" s="201"/>
      <c r="L135" s="201"/>
      <c r="M135" s="201"/>
      <c r="N135" s="201"/>
      <c r="O135" s="201"/>
      <c r="P135" s="201"/>
      <c r="Q135" s="201"/>
    </row>
    <row r="136" spans="1:17">
      <c r="A136" s="201"/>
      <c r="B136" s="201"/>
      <c r="C136" s="201"/>
      <c r="D136" s="201"/>
      <c r="E136" s="201"/>
      <c r="F136" s="201"/>
      <c r="G136" s="201"/>
      <c r="H136" s="201"/>
      <c r="I136" s="201"/>
      <c r="J136" s="201"/>
      <c r="K136" s="201"/>
      <c r="L136" s="201"/>
      <c r="M136" s="201"/>
      <c r="N136" s="201"/>
      <c r="O136" s="201"/>
      <c r="P136" s="201"/>
      <c r="Q136" s="201"/>
    </row>
    <row r="137" spans="1:17">
      <c r="A137" s="201"/>
      <c r="B137" s="201"/>
      <c r="C137" s="201"/>
      <c r="D137" s="201"/>
      <c r="E137" s="201"/>
      <c r="F137" s="201"/>
      <c r="G137" s="201"/>
      <c r="H137" s="201"/>
      <c r="I137" s="201"/>
      <c r="J137" s="201"/>
      <c r="K137" s="201"/>
      <c r="L137" s="201"/>
      <c r="M137" s="201"/>
      <c r="N137" s="201"/>
      <c r="O137" s="201"/>
      <c r="P137" s="201"/>
      <c r="Q137" s="201"/>
    </row>
    <row r="138" spans="1:17">
      <c r="A138" s="201"/>
      <c r="B138" s="201"/>
      <c r="C138" s="201"/>
      <c r="D138" s="201"/>
      <c r="E138" s="201"/>
      <c r="F138" s="201"/>
      <c r="G138" s="201"/>
      <c r="H138" s="201"/>
      <c r="I138" s="201"/>
      <c r="J138" s="201"/>
      <c r="K138" s="201"/>
      <c r="L138" s="201"/>
      <c r="M138" s="201"/>
      <c r="N138" s="201"/>
      <c r="O138" s="201"/>
      <c r="P138" s="201"/>
      <c r="Q138" s="201"/>
    </row>
    <row r="139" spans="1:17">
      <c r="A139" s="201"/>
      <c r="B139" s="201"/>
      <c r="C139" s="201"/>
      <c r="D139" s="201"/>
      <c r="E139" s="201"/>
      <c r="F139" s="201"/>
      <c r="G139" s="201"/>
      <c r="H139" s="201"/>
      <c r="I139" s="201"/>
      <c r="J139" s="201"/>
      <c r="K139" s="201"/>
      <c r="L139" s="201"/>
      <c r="M139" s="201"/>
      <c r="N139" s="201"/>
      <c r="O139" s="201"/>
      <c r="P139" s="201"/>
      <c r="Q139" s="201"/>
    </row>
    <row r="140" spans="1:17">
      <c r="A140" s="201"/>
      <c r="B140" s="201"/>
      <c r="C140" s="201"/>
      <c r="D140" s="201"/>
      <c r="E140" s="201"/>
      <c r="F140" s="201"/>
      <c r="G140" s="201"/>
      <c r="H140" s="201"/>
      <c r="I140" s="201"/>
      <c r="J140" s="201"/>
      <c r="K140" s="201"/>
      <c r="L140" s="201"/>
      <c r="M140" s="201"/>
      <c r="N140" s="201"/>
      <c r="O140" s="201"/>
      <c r="P140" s="201"/>
      <c r="Q140" s="201"/>
    </row>
    <row r="141" spans="1:17">
      <c r="A141" s="201"/>
      <c r="B141" s="201"/>
      <c r="C141" s="201"/>
      <c r="D141" s="201"/>
      <c r="E141" s="201"/>
      <c r="F141" s="201"/>
      <c r="G141" s="201"/>
      <c r="H141" s="201"/>
      <c r="I141" s="201"/>
      <c r="J141" s="201"/>
      <c r="K141" s="201"/>
      <c r="L141" s="201"/>
      <c r="M141" s="201"/>
      <c r="N141" s="201"/>
      <c r="O141" s="201"/>
      <c r="P141" s="201"/>
      <c r="Q141" s="201"/>
    </row>
    <row r="142" spans="1:17">
      <c r="A142" s="201"/>
      <c r="B142" s="201"/>
      <c r="C142" s="201"/>
      <c r="D142" s="201"/>
      <c r="E142" s="201"/>
      <c r="F142" s="201"/>
      <c r="G142" s="201"/>
      <c r="H142" s="201"/>
      <c r="I142" s="201"/>
      <c r="J142" s="201"/>
      <c r="K142" s="201"/>
      <c r="L142" s="201"/>
      <c r="M142" s="201"/>
      <c r="N142" s="201"/>
      <c r="O142" s="201"/>
      <c r="P142" s="201"/>
      <c r="Q142" s="201"/>
    </row>
    <row r="143" spans="1:17">
      <c r="A143" s="201"/>
      <c r="B143" s="201"/>
      <c r="C143" s="201"/>
      <c r="D143" s="201"/>
      <c r="E143" s="201"/>
      <c r="F143" s="201"/>
      <c r="G143" s="201"/>
      <c r="H143" s="201"/>
      <c r="I143" s="201"/>
      <c r="J143" s="201"/>
      <c r="K143" s="201"/>
      <c r="L143" s="201"/>
      <c r="M143" s="201"/>
      <c r="N143" s="201"/>
      <c r="O143" s="201"/>
      <c r="P143" s="201"/>
      <c r="Q143" s="201"/>
    </row>
    <row r="144" spans="1:17">
      <c r="A144" s="201"/>
      <c r="B144" s="201"/>
      <c r="C144" s="201"/>
      <c r="D144" s="201"/>
      <c r="E144" s="201"/>
      <c r="F144" s="201"/>
      <c r="G144" s="201"/>
      <c r="H144" s="201"/>
      <c r="I144" s="201"/>
      <c r="J144" s="201"/>
      <c r="K144" s="201"/>
      <c r="L144" s="201"/>
      <c r="M144" s="201"/>
      <c r="N144" s="201"/>
      <c r="O144" s="201"/>
      <c r="P144" s="201"/>
      <c r="Q144" s="201"/>
    </row>
    <row r="145" spans="1:17">
      <c r="A145" s="201"/>
      <c r="B145" s="201"/>
      <c r="C145" s="201"/>
      <c r="D145" s="201"/>
      <c r="E145" s="201"/>
      <c r="F145" s="201"/>
      <c r="G145" s="201"/>
      <c r="H145" s="201"/>
      <c r="I145" s="201"/>
      <c r="J145" s="201"/>
      <c r="K145" s="201"/>
      <c r="L145" s="201"/>
      <c r="M145" s="201"/>
      <c r="N145" s="201"/>
      <c r="O145" s="201"/>
      <c r="P145" s="201"/>
      <c r="Q145" s="201"/>
    </row>
    <row r="146" spans="1:17">
      <c r="A146" s="201"/>
      <c r="B146" s="201"/>
      <c r="C146" s="201"/>
      <c r="D146" s="201"/>
      <c r="E146" s="201"/>
      <c r="F146" s="201"/>
      <c r="G146" s="201"/>
      <c r="H146" s="201"/>
      <c r="I146" s="201"/>
      <c r="J146" s="201"/>
      <c r="K146" s="201"/>
      <c r="L146" s="201"/>
      <c r="M146" s="201"/>
      <c r="N146" s="201"/>
      <c r="O146" s="201"/>
      <c r="P146" s="201"/>
      <c r="Q146" s="201"/>
    </row>
    <row r="147" spans="1:17">
      <c r="A147" s="201"/>
      <c r="B147" s="201"/>
      <c r="C147" s="201"/>
      <c r="D147" s="201"/>
      <c r="E147" s="201"/>
      <c r="F147" s="201"/>
      <c r="G147" s="201"/>
      <c r="H147" s="201"/>
      <c r="I147" s="201"/>
      <c r="J147" s="201"/>
      <c r="K147" s="201"/>
      <c r="L147" s="201"/>
      <c r="M147" s="201"/>
      <c r="N147" s="201"/>
      <c r="O147" s="201"/>
      <c r="P147" s="201"/>
      <c r="Q147" s="201"/>
    </row>
    <row r="148" spans="1:17">
      <c r="A148" s="201"/>
      <c r="B148" s="201"/>
      <c r="C148" s="201"/>
      <c r="D148" s="201"/>
      <c r="E148" s="201"/>
      <c r="F148" s="201"/>
      <c r="G148" s="201"/>
      <c r="H148" s="201"/>
      <c r="I148" s="201"/>
      <c r="J148" s="201"/>
      <c r="K148" s="201"/>
      <c r="L148" s="201"/>
      <c r="M148" s="201"/>
      <c r="N148" s="201"/>
      <c r="O148" s="201"/>
      <c r="P148" s="201"/>
      <c r="Q148" s="201"/>
    </row>
    <row r="149" spans="1:17">
      <c r="A149" s="201"/>
      <c r="B149" s="201"/>
      <c r="C149" s="201"/>
      <c r="D149" s="201"/>
      <c r="E149" s="201"/>
      <c r="F149" s="201"/>
      <c r="G149" s="201"/>
      <c r="H149" s="201"/>
      <c r="I149" s="201"/>
      <c r="J149" s="201"/>
      <c r="K149" s="201"/>
      <c r="L149" s="201"/>
      <c r="M149" s="201"/>
      <c r="N149" s="201"/>
      <c r="O149" s="201"/>
      <c r="P149" s="201"/>
      <c r="Q149" s="201"/>
    </row>
    <row r="150" spans="1:17">
      <c r="A150" s="201"/>
      <c r="B150" s="201"/>
      <c r="C150" s="201"/>
      <c r="D150" s="201"/>
      <c r="E150" s="201"/>
      <c r="F150" s="201"/>
      <c r="G150" s="201"/>
      <c r="H150" s="201"/>
      <c r="I150" s="201"/>
      <c r="J150" s="201"/>
      <c r="K150" s="201"/>
      <c r="L150" s="201"/>
      <c r="M150" s="201"/>
      <c r="N150" s="201"/>
      <c r="O150" s="201"/>
      <c r="P150" s="201"/>
      <c r="Q150" s="201"/>
    </row>
    <row r="151" spans="1:17">
      <c r="A151" s="201"/>
      <c r="B151" s="201"/>
      <c r="C151" s="201"/>
      <c r="D151" s="201"/>
      <c r="E151" s="201"/>
      <c r="F151" s="201"/>
      <c r="G151" s="201"/>
      <c r="H151" s="201"/>
      <c r="I151" s="201"/>
      <c r="J151" s="201"/>
      <c r="K151" s="201"/>
      <c r="L151" s="201"/>
      <c r="M151" s="201"/>
      <c r="N151" s="201"/>
      <c r="O151" s="201"/>
      <c r="P151" s="201"/>
      <c r="Q151" s="201"/>
    </row>
    <row r="152" spans="1:17">
      <c r="A152" s="201"/>
      <c r="B152" s="201"/>
      <c r="C152" s="201"/>
      <c r="D152" s="201"/>
      <c r="E152" s="201"/>
      <c r="F152" s="201"/>
      <c r="G152" s="201"/>
      <c r="H152" s="201"/>
      <c r="I152" s="201"/>
      <c r="J152" s="201"/>
      <c r="K152" s="201"/>
      <c r="L152" s="201"/>
      <c r="M152" s="201"/>
      <c r="N152" s="201"/>
      <c r="O152" s="201"/>
      <c r="P152" s="201"/>
      <c r="Q152" s="201"/>
    </row>
    <row r="153" spans="1:17">
      <c r="A153" s="201"/>
      <c r="B153" s="201"/>
      <c r="C153" s="201"/>
      <c r="D153" s="201"/>
      <c r="E153" s="201"/>
      <c r="F153" s="201"/>
      <c r="G153" s="201"/>
      <c r="H153" s="201"/>
      <c r="I153" s="201"/>
      <c r="J153" s="201"/>
      <c r="K153" s="201"/>
      <c r="L153" s="201"/>
      <c r="M153" s="201"/>
      <c r="N153" s="201"/>
      <c r="O153" s="201"/>
      <c r="P153" s="201"/>
      <c r="Q153" s="201"/>
    </row>
    <row r="154" spans="1:17">
      <c r="A154" s="201"/>
      <c r="B154" s="201"/>
      <c r="C154" s="201"/>
      <c r="D154" s="201"/>
      <c r="E154" s="201"/>
      <c r="F154" s="201"/>
      <c r="G154" s="201"/>
      <c r="H154" s="201"/>
      <c r="I154" s="201"/>
      <c r="J154" s="201"/>
      <c r="K154" s="201"/>
      <c r="L154" s="201"/>
      <c r="M154" s="201"/>
      <c r="N154" s="201"/>
      <c r="O154" s="201"/>
      <c r="P154" s="201"/>
      <c r="Q154" s="201"/>
    </row>
    <row r="155" spans="1:17">
      <c r="A155" s="201"/>
      <c r="B155" s="201"/>
      <c r="C155" s="201"/>
      <c r="D155" s="201"/>
      <c r="E155" s="201"/>
      <c r="F155" s="201"/>
      <c r="G155" s="201"/>
      <c r="H155" s="201"/>
      <c r="I155" s="201"/>
      <c r="J155" s="201"/>
      <c r="K155" s="201"/>
      <c r="L155" s="201"/>
      <c r="M155" s="201"/>
      <c r="N155" s="201"/>
      <c r="O155" s="201"/>
      <c r="P155" s="201"/>
      <c r="Q155" s="201"/>
    </row>
    <row r="156" spans="1:17">
      <c r="A156" s="201"/>
      <c r="B156" s="201"/>
      <c r="C156" s="201"/>
      <c r="D156" s="201"/>
      <c r="E156" s="201"/>
      <c r="F156" s="201"/>
      <c r="G156" s="201"/>
      <c r="H156" s="201"/>
      <c r="I156" s="201"/>
      <c r="J156" s="201"/>
      <c r="K156" s="201"/>
      <c r="L156" s="201"/>
      <c r="M156" s="201"/>
      <c r="N156" s="201"/>
      <c r="O156" s="201"/>
      <c r="P156" s="201"/>
      <c r="Q156" s="201"/>
    </row>
    <row r="157" spans="1:17">
      <c r="A157" s="201"/>
      <c r="B157" s="201"/>
      <c r="C157" s="201"/>
      <c r="D157" s="201"/>
      <c r="E157" s="201"/>
      <c r="F157" s="201"/>
      <c r="G157" s="201"/>
      <c r="H157" s="201"/>
      <c r="I157" s="201"/>
      <c r="J157" s="201"/>
      <c r="K157" s="201"/>
      <c r="L157" s="201"/>
      <c r="M157" s="201"/>
      <c r="N157" s="201"/>
      <c r="O157" s="201"/>
      <c r="P157" s="201"/>
      <c r="Q157" s="201"/>
    </row>
    <row r="158" spans="1:17">
      <c r="A158" s="201"/>
      <c r="B158" s="201"/>
      <c r="C158" s="201"/>
      <c r="D158" s="201"/>
      <c r="E158" s="201"/>
      <c r="F158" s="201"/>
      <c r="G158" s="201"/>
      <c r="H158" s="201"/>
      <c r="I158" s="201"/>
      <c r="J158" s="201"/>
      <c r="K158" s="201"/>
      <c r="L158" s="201"/>
      <c r="M158" s="201"/>
      <c r="N158" s="201"/>
      <c r="O158" s="201"/>
      <c r="P158" s="201"/>
      <c r="Q158" s="201"/>
    </row>
    <row r="159" spans="1:17">
      <c r="A159" s="201"/>
      <c r="B159" s="201"/>
      <c r="C159" s="201"/>
      <c r="D159" s="201"/>
      <c r="E159" s="201"/>
      <c r="F159" s="201"/>
      <c r="G159" s="201"/>
      <c r="H159" s="201"/>
      <c r="I159" s="201"/>
      <c r="J159" s="201"/>
      <c r="K159" s="201"/>
      <c r="L159" s="201"/>
      <c r="M159" s="201"/>
      <c r="N159" s="201"/>
      <c r="O159" s="201"/>
      <c r="P159" s="201"/>
      <c r="Q159" s="201"/>
    </row>
    <row r="160" spans="1:17">
      <c r="A160" s="201"/>
      <c r="B160" s="201"/>
      <c r="C160" s="201"/>
      <c r="D160" s="201"/>
      <c r="E160" s="201"/>
      <c r="F160" s="201"/>
      <c r="G160" s="201"/>
      <c r="H160" s="201"/>
      <c r="I160" s="201"/>
      <c r="J160" s="201"/>
      <c r="K160" s="201"/>
      <c r="L160" s="201"/>
      <c r="M160" s="201"/>
      <c r="N160" s="201"/>
      <c r="O160" s="201"/>
      <c r="P160" s="201"/>
      <c r="Q160" s="201"/>
    </row>
    <row r="161" spans="1:17">
      <c r="A161" s="201"/>
      <c r="B161" s="201"/>
      <c r="C161" s="201"/>
      <c r="D161" s="201"/>
      <c r="E161" s="201"/>
      <c r="F161" s="201"/>
      <c r="G161" s="201"/>
      <c r="H161" s="201"/>
      <c r="I161" s="201"/>
      <c r="J161" s="201"/>
      <c r="K161" s="201"/>
      <c r="L161" s="201"/>
      <c r="M161" s="201"/>
      <c r="N161" s="201"/>
      <c r="O161" s="201"/>
      <c r="P161" s="201"/>
      <c r="Q161" s="201"/>
    </row>
    <row r="162" spans="1:17">
      <c r="A162" s="201"/>
      <c r="B162" s="201"/>
      <c r="C162" s="201"/>
      <c r="D162" s="201"/>
      <c r="E162" s="201"/>
      <c r="F162" s="201"/>
      <c r="G162" s="201"/>
      <c r="H162" s="201"/>
      <c r="I162" s="201"/>
      <c r="J162" s="201"/>
      <c r="K162" s="201"/>
      <c r="L162" s="201"/>
      <c r="M162" s="201"/>
      <c r="N162" s="201"/>
      <c r="O162" s="201"/>
      <c r="P162" s="201"/>
      <c r="Q162" s="201"/>
    </row>
    <row r="163" spans="1:17">
      <c r="A163" s="201"/>
      <c r="B163" s="201"/>
      <c r="C163" s="201"/>
      <c r="D163" s="201"/>
      <c r="E163" s="201"/>
      <c r="F163" s="201"/>
      <c r="G163" s="201"/>
      <c r="H163" s="201"/>
      <c r="I163" s="201"/>
      <c r="J163" s="201"/>
      <c r="K163" s="201"/>
      <c r="L163" s="201"/>
      <c r="M163" s="201"/>
      <c r="N163" s="201"/>
      <c r="O163" s="201"/>
      <c r="P163" s="201"/>
      <c r="Q163" s="201"/>
    </row>
    <row r="164" spans="1:17">
      <c r="A164" s="201"/>
      <c r="B164" s="201"/>
      <c r="C164" s="201"/>
      <c r="D164" s="201"/>
      <c r="E164" s="201"/>
      <c r="F164" s="201"/>
      <c r="G164" s="201"/>
      <c r="H164" s="201"/>
      <c r="I164" s="201"/>
      <c r="J164" s="201"/>
      <c r="K164" s="201"/>
      <c r="L164" s="201"/>
      <c r="M164" s="201"/>
      <c r="N164" s="201"/>
      <c r="O164" s="201"/>
      <c r="P164" s="201"/>
      <c r="Q164" s="201"/>
    </row>
    <row r="165" spans="1:17">
      <c r="A165" s="201"/>
      <c r="B165" s="201"/>
      <c r="C165" s="201"/>
      <c r="D165" s="201"/>
      <c r="E165" s="201"/>
      <c r="F165" s="201"/>
      <c r="G165" s="201"/>
      <c r="H165" s="201"/>
      <c r="I165" s="201"/>
      <c r="J165" s="201"/>
      <c r="K165" s="201"/>
      <c r="L165" s="201"/>
      <c r="M165" s="201"/>
      <c r="N165" s="201"/>
      <c r="O165" s="201"/>
      <c r="P165" s="201"/>
      <c r="Q165" s="201"/>
    </row>
    <row r="166" spans="1:17">
      <c r="A166" s="201"/>
      <c r="B166" s="201"/>
      <c r="C166" s="201"/>
      <c r="D166" s="201"/>
      <c r="E166" s="201"/>
      <c r="F166" s="201"/>
      <c r="G166" s="201"/>
      <c r="H166" s="201"/>
      <c r="I166" s="201"/>
      <c r="J166" s="201"/>
      <c r="K166" s="201"/>
      <c r="L166" s="201"/>
      <c r="M166" s="201"/>
      <c r="N166" s="201"/>
      <c r="O166" s="201"/>
      <c r="P166" s="201"/>
      <c r="Q166" s="201"/>
    </row>
    <row r="167" spans="1:17">
      <c r="A167" s="201"/>
      <c r="B167" s="201"/>
      <c r="C167" s="201"/>
      <c r="D167" s="201"/>
      <c r="E167" s="201"/>
      <c r="F167" s="201"/>
      <c r="G167" s="201"/>
      <c r="H167" s="201"/>
      <c r="I167" s="201"/>
      <c r="J167" s="201"/>
      <c r="K167" s="201"/>
      <c r="L167" s="201"/>
      <c r="M167" s="201"/>
      <c r="N167" s="201"/>
      <c r="O167" s="201"/>
      <c r="P167" s="201"/>
      <c r="Q167" s="201"/>
    </row>
    <row r="168" spans="1:17">
      <c r="A168" s="201"/>
      <c r="B168" s="201"/>
      <c r="C168" s="201"/>
      <c r="D168" s="201"/>
      <c r="E168" s="201"/>
      <c r="F168" s="201"/>
      <c r="G168" s="201"/>
      <c r="H168" s="201"/>
      <c r="I168" s="201"/>
      <c r="J168" s="201"/>
      <c r="K168" s="201"/>
      <c r="L168" s="201"/>
      <c r="M168" s="201"/>
      <c r="N168" s="201"/>
      <c r="O168" s="201"/>
      <c r="P168" s="201"/>
      <c r="Q168" s="201"/>
    </row>
    <row r="169" spans="1:17">
      <c r="A169" s="201"/>
      <c r="B169" s="201"/>
      <c r="C169" s="201"/>
      <c r="D169" s="201"/>
      <c r="E169" s="201"/>
      <c r="F169" s="201"/>
      <c r="G169" s="201"/>
      <c r="H169" s="201"/>
      <c r="I169" s="201"/>
      <c r="J169" s="201"/>
      <c r="K169" s="201"/>
      <c r="L169" s="201"/>
      <c r="M169" s="201"/>
      <c r="N169" s="201"/>
      <c r="O169" s="201"/>
      <c r="P169" s="201"/>
      <c r="Q169" s="201"/>
    </row>
    <row r="170" spans="1:17">
      <c r="A170" s="201"/>
      <c r="B170" s="201"/>
      <c r="C170" s="201"/>
      <c r="D170" s="201"/>
      <c r="E170" s="201"/>
      <c r="F170" s="201"/>
      <c r="G170" s="201"/>
      <c r="H170" s="201"/>
      <c r="I170" s="201"/>
      <c r="J170" s="201"/>
      <c r="K170" s="201"/>
      <c r="L170" s="201"/>
      <c r="M170" s="201"/>
      <c r="N170" s="201"/>
      <c r="O170" s="201"/>
      <c r="P170" s="201"/>
      <c r="Q170" s="201"/>
    </row>
    <row r="171" spans="1:17">
      <c r="A171" s="201"/>
      <c r="B171" s="201"/>
      <c r="C171" s="201"/>
      <c r="D171" s="201"/>
      <c r="E171" s="201"/>
      <c r="F171" s="201"/>
      <c r="G171" s="201"/>
      <c r="H171" s="201"/>
      <c r="I171" s="201"/>
      <c r="J171" s="201"/>
      <c r="K171" s="201"/>
      <c r="L171" s="201"/>
      <c r="M171" s="201"/>
      <c r="N171" s="201"/>
      <c r="O171" s="201"/>
      <c r="P171" s="201"/>
      <c r="Q171" s="201"/>
    </row>
    <row r="172" spans="1:17">
      <c r="A172" s="201"/>
      <c r="B172" s="201"/>
      <c r="C172" s="201"/>
      <c r="D172" s="201"/>
      <c r="E172" s="201"/>
      <c r="F172" s="201"/>
      <c r="G172" s="201"/>
      <c r="H172" s="201"/>
      <c r="I172" s="201"/>
      <c r="J172" s="201"/>
      <c r="K172" s="201"/>
      <c r="L172" s="201"/>
      <c r="M172" s="201"/>
      <c r="N172" s="201"/>
      <c r="O172" s="201"/>
      <c r="P172" s="201"/>
      <c r="Q172" s="201"/>
    </row>
    <row r="173" spans="1:17">
      <c r="A173" s="201"/>
      <c r="B173" s="201"/>
      <c r="C173" s="201"/>
      <c r="D173" s="201"/>
      <c r="E173" s="201"/>
      <c r="F173" s="201"/>
      <c r="G173" s="201"/>
      <c r="H173" s="201"/>
      <c r="I173" s="201"/>
      <c r="J173" s="201"/>
      <c r="K173" s="201"/>
      <c r="L173" s="201"/>
      <c r="M173" s="201"/>
      <c r="N173" s="201"/>
      <c r="O173" s="201"/>
      <c r="P173" s="201"/>
      <c r="Q173" s="201"/>
    </row>
    <row r="174" spans="1:17">
      <c r="A174" s="201"/>
      <c r="B174" s="201"/>
      <c r="C174" s="201"/>
      <c r="D174" s="201"/>
      <c r="E174" s="201"/>
      <c r="F174" s="201"/>
      <c r="G174" s="201"/>
      <c r="H174" s="201"/>
      <c r="I174" s="201"/>
      <c r="J174" s="201"/>
      <c r="K174" s="201"/>
      <c r="L174" s="201"/>
      <c r="M174" s="201"/>
      <c r="N174" s="201"/>
      <c r="O174" s="201"/>
      <c r="P174" s="201"/>
      <c r="Q174" s="201"/>
    </row>
    <row r="175" spans="1:17">
      <c r="A175" s="201"/>
      <c r="B175" s="201"/>
      <c r="C175" s="201"/>
      <c r="D175" s="201"/>
      <c r="E175" s="201"/>
      <c r="F175" s="201"/>
      <c r="G175" s="201"/>
      <c r="H175" s="201"/>
      <c r="I175" s="201"/>
      <c r="J175" s="201"/>
      <c r="K175" s="201"/>
      <c r="L175" s="201"/>
      <c r="M175" s="201"/>
      <c r="N175" s="201"/>
      <c r="O175" s="201"/>
      <c r="P175" s="201"/>
      <c r="Q175" s="201"/>
    </row>
    <row r="176" spans="1:17">
      <c r="A176" s="201"/>
      <c r="B176" s="201"/>
      <c r="C176" s="201"/>
      <c r="D176" s="201"/>
      <c r="E176" s="201"/>
      <c r="F176" s="201"/>
      <c r="G176" s="201"/>
      <c r="H176" s="201"/>
      <c r="I176" s="201"/>
      <c r="J176" s="201"/>
      <c r="K176" s="201"/>
      <c r="L176" s="201"/>
      <c r="M176" s="201"/>
      <c r="N176" s="201"/>
      <c r="O176" s="201"/>
      <c r="P176" s="201"/>
      <c r="Q176" s="201"/>
    </row>
    <row r="177" spans="1:17">
      <c r="A177" s="201"/>
      <c r="B177" s="201"/>
      <c r="C177" s="201"/>
      <c r="D177" s="201"/>
      <c r="E177" s="201"/>
      <c r="F177" s="201"/>
      <c r="G177" s="201"/>
      <c r="H177" s="201"/>
      <c r="I177" s="201"/>
      <c r="J177" s="201"/>
      <c r="K177" s="201"/>
      <c r="L177" s="201"/>
      <c r="M177" s="201"/>
      <c r="N177" s="201"/>
      <c r="O177" s="201"/>
      <c r="P177" s="201"/>
      <c r="Q177" s="201"/>
    </row>
    <row r="178" spans="1:17">
      <c r="A178" s="201"/>
      <c r="B178" s="201"/>
      <c r="C178" s="201"/>
      <c r="D178" s="201"/>
      <c r="E178" s="201"/>
      <c r="F178" s="201"/>
      <c r="G178" s="201"/>
      <c r="H178" s="201"/>
      <c r="I178" s="201"/>
      <c r="J178" s="201"/>
      <c r="K178" s="201"/>
      <c r="L178" s="201"/>
      <c r="M178" s="201"/>
      <c r="N178" s="201"/>
      <c r="O178" s="201"/>
      <c r="P178" s="201"/>
      <c r="Q178" s="201"/>
    </row>
    <row r="179" spans="1:17">
      <c r="A179" s="201"/>
      <c r="B179" s="201"/>
      <c r="C179" s="201"/>
      <c r="D179" s="201"/>
      <c r="E179" s="201"/>
      <c r="F179" s="201"/>
      <c r="G179" s="201"/>
      <c r="H179" s="201"/>
      <c r="I179" s="201"/>
      <c r="J179" s="201"/>
      <c r="K179" s="201"/>
      <c r="L179" s="201"/>
      <c r="M179" s="201"/>
      <c r="N179" s="201"/>
      <c r="O179" s="201"/>
      <c r="P179" s="201"/>
      <c r="Q179" s="201"/>
    </row>
    <row r="180" spans="1:17">
      <c r="A180" s="201"/>
      <c r="B180" s="201"/>
      <c r="C180" s="201"/>
      <c r="D180" s="201"/>
      <c r="E180" s="201"/>
      <c r="F180" s="201"/>
      <c r="G180" s="201"/>
      <c r="H180" s="201"/>
      <c r="I180" s="201"/>
      <c r="J180" s="201"/>
      <c r="K180" s="201"/>
      <c r="L180" s="201"/>
      <c r="M180" s="201"/>
      <c r="N180" s="201"/>
      <c r="O180" s="201"/>
      <c r="P180" s="201"/>
      <c r="Q180" s="201"/>
    </row>
    <row r="181" spans="1:17">
      <c r="A181" s="201"/>
      <c r="B181" s="201"/>
      <c r="C181" s="201"/>
      <c r="D181" s="201"/>
      <c r="E181" s="201"/>
      <c r="F181" s="201"/>
      <c r="G181" s="201"/>
      <c r="H181" s="201"/>
      <c r="I181" s="201"/>
      <c r="J181" s="201"/>
      <c r="K181" s="201"/>
      <c r="L181" s="201"/>
      <c r="M181" s="201"/>
      <c r="N181" s="201"/>
      <c r="O181" s="201"/>
      <c r="P181" s="201"/>
      <c r="Q181" s="201"/>
    </row>
    <row r="182" spans="1:17">
      <c r="A182" s="201"/>
      <c r="B182" s="201"/>
      <c r="C182" s="201"/>
      <c r="D182" s="201"/>
      <c r="E182" s="201"/>
      <c r="F182" s="201"/>
      <c r="G182" s="201"/>
      <c r="H182" s="201"/>
      <c r="I182" s="201"/>
      <c r="J182" s="201"/>
      <c r="K182" s="201"/>
      <c r="L182" s="201"/>
      <c r="M182" s="201"/>
      <c r="N182" s="201"/>
      <c r="O182" s="201"/>
      <c r="P182" s="201"/>
      <c r="Q182" s="201"/>
    </row>
    <row r="183" spans="1:17">
      <c r="A183" s="201"/>
      <c r="B183" s="201"/>
      <c r="C183" s="201"/>
      <c r="D183" s="201"/>
      <c r="E183" s="201"/>
      <c r="F183" s="201"/>
      <c r="G183" s="201"/>
      <c r="H183" s="201"/>
      <c r="I183" s="201"/>
      <c r="J183" s="201"/>
      <c r="K183" s="201"/>
      <c r="L183" s="201"/>
      <c r="M183" s="201"/>
      <c r="N183" s="201"/>
      <c r="O183" s="201"/>
      <c r="P183" s="201"/>
      <c r="Q183" s="201"/>
    </row>
    <row r="184" spans="1:17">
      <c r="A184" s="201"/>
      <c r="B184" s="201"/>
      <c r="C184" s="201"/>
      <c r="D184" s="201"/>
      <c r="E184" s="201"/>
      <c r="F184" s="201"/>
      <c r="G184" s="201"/>
      <c r="H184" s="201"/>
      <c r="I184" s="201"/>
      <c r="J184" s="201"/>
      <c r="K184" s="201"/>
      <c r="L184" s="201"/>
      <c r="M184" s="201"/>
      <c r="N184" s="201"/>
      <c r="O184" s="201"/>
      <c r="P184" s="201"/>
      <c r="Q184" s="201"/>
    </row>
    <row r="185" spans="1:17">
      <c r="A185" s="201"/>
      <c r="B185" s="201"/>
      <c r="C185" s="201"/>
      <c r="D185" s="201"/>
      <c r="E185" s="201"/>
      <c r="F185" s="201"/>
      <c r="G185" s="201"/>
      <c r="H185" s="201"/>
      <c r="I185" s="201"/>
      <c r="J185" s="201"/>
      <c r="K185" s="201"/>
      <c r="L185" s="201"/>
      <c r="M185" s="201"/>
      <c r="N185" s="201"/>
      <c r="O185" s="201"/>
      <c r="P185" s="201"/>
      <c r="Q185" s="201"/>
    </row>
    <row r="186" spans="1:17">
      <c r="A186" s="201"/>
      <c r="B186" s="201"/>
      <c r="C186" s="201"/>
      <c r="D186" s="201"/>
      <c r="E186" s="201"/>
      <c r="F186" s="201"/>
      <c r="G186" s="201"/>
      <c r="H186" s="201"/>
      <c r="I186" s="201"/>
      <c r="J186" s="201"/>
      <c r="K186" s="201"/>
      <c r="L186" s="201"/>
      <c r="M186" s="201"/>
      <c r="N186" s="201"/>
      <c r="O186" s="201"/>
      <c r="P186" s="201"/>
      <c r="Q186" s="201"/>
    </row>
    <row r="187" spans="1:17">
      <c r="A187" s="201"/>
      <c r="B187" s="201"/>
      <c r="C187" s="201"/>
      <c r="D187" s="201"/>
      <c r="E187" s="201"/>
      <c r="F187" s="201"/>
      <c r="G187" s="201"/>
      <c r="H187" s="201"/>
      <c r="I187" s="201"/>
      <c r="J187" s="201"/>
      <c r="K187" s="201"/>
      <c r="L187" s="201"/>
      <c r="M187" s="201"/>
      <c r="N187" s="201"/>
      <c r="O187" s="201"/>
      <c r="P187" s="201"/>
      <c r="Q187" s="201"/>
    </row>
    <row r="188" spans="1:17">
      <c r="A188" s="201"/>
      <c r="B188" s="201"/>
      <c r="C188" s="201"/>
      <c r="D188" s="201"/>
      <c r="E188" s="201"/>
      <c r="F188" s="201"/>
      <c r="G188" s="201"/>
      <c r="H188" s="201"/>
      <c r="I188" s="201"/>
      <c r="J188" s="201"/>
      <c r="K188" s="201"/>
      <c r="L188" s="201"/>
      <c r="M188" s="201"/>
      <c r="N188" s="201"/>
      <c r="O188" s="201"/>
      <c r="P188" s="201"/>
      <c r="Q188" s="201"/>
    </row>
    <row r="189" spans="1:17">
      <c r="A189" s="201"/>
      <c r="B189" s="201"/>
      <c r="C189" s="201"/>
      <c r="D189" s="201"/>
      <c r="E189" s="201"/>
      <c r="F189" s="201"/>
      <c r="G189" s="201"/>
      <c r="H189" s="201"/>
      <c r="I189" s="201"/>
      <c r="J189" s="201"/>
      <c r="K189" s="201"/>
      <c r="L189" s="201"/>
      <c r="M189" s="201"/>
      <c r="N189" s="201"/>
      <c r="O189" s="201"/>
      <c r="P189" s="201"/>
      <c r="Q189" s="201"/>
    </row>
    <row r="190" spans="1:17">
      <c r="A190" s="201"/>
      <c r="B190" s="201"/>
      <c r="C190" s="201"/>
      <c r="D190" s="201"/>
      <c r="E190" s="201"/>
      <c r="F190" s="201"/>
      <c r="G190" s="201"/>
      <c r="H190" s="201"/>
      <c r="I190" s="201"/>
      <c r="J190" s="201"/>
      <c r="K190" s="201"/>
      <c r="L190" s="201"/>
      <c r="M190" s="201"/>
      <c r="N190" s="201"/>
      <c r="O190" s="201"/>
      <c r="P190" s="201"/>
      <c r="Q190" s="201"/>
    </row>
    <row r="191" spans="1:17">
      <c r="A191" s="201"/>
      <c r="B191" s="201"/>
      <c r="C191" s="201"/>
      <c r="D191" s="201"/>
      <c r="E191" s="201"/>
      <c r="F191" s="201"/>
      <c r="G191" s="201"/>
      <c r="H191" s="201"/>
      <c r="I191" s="201"/>
      <c r="J191" s="201"/>
      <c r="K191" s="201"/>
      <c r="L191" s="201"/>
      <c r="M191" s="201"/>
      <c r="N191" s="201"/>
      <c r="O191" s="201"/>
      <c r="P191" s="201"/>
      <c r="Q191" s="201"/>
    </row>
    <row r="192" spans="1:17">
      <c r="A192" s="201"/>
      <c r="B192" s="201"/>
      <c r="C192" s="201"/>
      <c r="D192" s="201"/>
      <c r="E192" s="201"/>
      <c r="F192" s="201"/>
      <c r="G192" s="201"/>
      <c r="H192" s="201"/>
      <c r="I192" s="201"/>
      <c r="J192" s="201"/>
      <c r="K192" s="201"/>
      <c r="L192" s="201"/>
      <c r="M192" s="201"/>
      <c r="N192" s="201"/>
      <c r="O192" s="201"/>
      <c r="P192" s="201"/>
      <c r="Q192" s="201"/>
    </row>
    <row r="193" spans="1:17">
      <c r="A193" s="201"/>
      <c r="B193" s="201"/>
      <c r="C193" s="201"/>
      <c r="D193" s="201"/>
      <c r="E193" s="201"/>
      <c r="F193" s="201"/>
      <c r="G193" s="201"/>
      <c r="H193" s="201"/>
      <c r="I193" s="201"/>
      <c r="J193" s="201"/>
      <c r="K193" s="201"/>
      <c r="L193" s="201"/>
      <c r="M193" s="201"/>
      <c r="N193" s="201"/>
      <c r="O193" s="201"/>
      <c r="P193" s="201"/>
      <c r="Q193" s="201"/>
    </row>
    <row r="194" spans="1:17">
      <c r="A194" s="201"/>
      <c r="B194" s="201"/>
      <c r="C194" s="201"/>
      <c r="D194" s="201"/>
      <c r="E194" s="201"/>
      <c r="F194" s="201"/>
      <c r="G194" s="201"/>
      <c r="H194" s="201"/>
      <c r="I194" s="201"/>
      <c r="J194" s="201"/>
      <c r="K194" s="201"/>
      <c r="L194" s="201"/>
      <c r="M194" s="201"/>
      <c r="N194" s="201"/>
      <c r="O194" s="201"/>
      <c r="P194" s="201"/>
      <c r="Q194" s="201"/>
    </row>
    <row r="195" spans="1:17">
      <c r="A195" s="201"/>
      <c r="B195" s="201"/>
      <c r="C195" s="201"/>
      <c r="D195" s="201"/>
      <c r="E195" s="201"/>
      <c r="F195" s="201"/>
      <c r="G195" s="201"/>
      <c r="H195" s="201"/>
      <c r="I195" s="201"/>
      <c r="J195" s="201"/>
      <c r="K195" s="201"/>
      <c r="L195" s="201"/>
      <c r="M195" s="201"/>
      <c r="N195" s="201"/>
      <c r="O195" s="201"/>
      <c r="P195" s="201"/>
      <c r="Q195" s="201"/>
    </row>
    <row r="196" spans="1:17">
      <c r="A196" s="201"/>
      <c r="B196" s="201"/>
      <c r="C196" s="201"/>
      <c r="D196" s="201"/>
      <c r="E196" s="201"/>
      <c r="F196" s="201"/>
      <c r="G196" s="201"/>
      <c r="H196" s="201"/>
      <c r="I196" s="201"/>
      <c r="J196" s="201"/>
      <c r="K196" s="201"/>
      <c r="L196" s="201"/>
      <c r="M196" s="201"/>
      <c r="N196" s="201"/>
      <c r="O196" s="201"/>
      <c r="P196" s="201"/>
      <c r="Q196" s="201"/>
    </row>
    <row r="197" spans="1:17">
      <c r="A197" s="201"/>
      <c r="B197" s="201"/>
      <c r="C197" s="201"/>
      <c r="D197" s="201"/>
      <c r="E197" s="201"/>
      <c r="F197" s="201"/>
      <c r="G197" s="201"/>
      <c r="H197" s="201"/>
      <c r="I197" s="201"/>
      <c r="J197" s="201"/>
      <c r="K197" s="201"/>
      <c r="L197" s="201"/>
      <c r="M197" s="201"/>
      <c r="N197" s="201"/>
      <c r="O197" s="201"/>
      <c r="P197" s="201"/>
      <c r="Q197" s="201"/>
    </row>
    <row r="198" spans="1:17">
      <c r="A198" s="201"/>
      <c r="B198" s="201"/>
      <c r="C198" s="201"/>
      <c r="D198" s="201"/>
      <c r="E198" s="201"/>
      <c r="F198" s="201"/>
      <c r="G198" s="201"/>
      <c r="H198" s="201"/>
      <c r="I198" s="201"/>
      <c r="J198" s="201"/>
      <c r="K198" s="201"/>
      <c r="L198" s="201"/>
      <c r="M198" s="201"/>
      <c r="N198" s="201"/>
      <c r="O198" s="201"/>
      <c r="P198" s="201"/>
      <c r="Q198" s="201"/>
    </row>
    <row r="199" spans="1:17">
      <c r="A199" s="201"/>
      <c r="B199" s="201"/>
      <c r="C199" s="201"/>
      <c r="D199" s="201"/>
      <c r="E199" s="201"/>
      <c r="F199" s="201"/>
      <c r="G199" s="201"/>
      <c r="H199" s="201"/>
      <c r="I199" s="201"/>
      <c r="J199" s="201"/>
      <c r="K199" s="201"/>
      <c r="L199" s="201"/>
      <c r="M199" s="201"/>
      <c r="N199" s="201"/>
      <c r="O199" s="201"/>
      <c r="P199" s="201"/>
      <c r="Q199" s="201"/>
    </row>
    <row r="200" spans="1:17">
      <c r="A200" s="201"/>
      <c r="B200" s="201"/>
      <c r="C200" s="201"/>
      <c r="D200" s="201"/>
      <c r="E200" s="201"/>
      <c r="F200" s="201"/>
      <c r="G200" s="201"/>
      <c r="H200" s="201"/>
      <c r="I200" s="201"/>
      <c r="J200" s="201"/>
      <c r="K200" s="201"/>
      <c r="L200" s="201"/>
      <c r="M200" s="201"/>
      <c r="N200" s="201"/>
      <c r="O200" s="201"/>
      <c r="P200" s="201"/>
      <c r="Q200" s="201"/>
    </row>
    <row r="201" spans="1:17">
      <c r="A201" s="201"/>
      <c r="B201" s="201"/>
      <c r="C201" s="201"/>
      <c r="D201" s="201"/>
      <c r="E201" s="201"/>
      <c r="F201" s="201"/>
      <c r="G201" s="201"/>
      <c r="H201" s="201"/>
      <c r="I201" s="201"/>
      <c r="J201" s="201"/>
      <c r="K201" s="201"/>
      <c r="L201" s="201"/>
      <c r="M201" s="201"/>
      <c r="N201" s="201"/>
      <c r="O201" s="201"/>
      <c r="P201" s="201"/>
      <c r="Q201" s="201"/>
    </row>
    <row r="202" spans="1:17">
      <c r="A202" s="201"/>
      <c r="B202" s="201"/>
      <c r="C202" s="201"/>
      <c r="D202" s="201"/>
      <c r="E202" s="201"/>
      <c r="F202" s="201"/>
      <c r="G202" s="201"/>
      <c r="H202" s="201"/>
      <c r="I202" s="201"/>
      <c r="J202" s="201"/>
      <c r="K202" s="201"/>
      <c r="L202" s="201"/>
      <c r="M202" s="201"/>
      <c r="N202" s="201"/>
      <c r="O202" s="201"/>
      <c r="P202" s="201"/>
      <c r="Q202" s="201"/>
    </row>
    <row r="203" spans="1:17">
      <c r="A203" s="201"/>
      <c r="B203" s="201"/>
      <c r="C203" s="201"/>
      <c r="D203" s="201"/>
      <c r="E203" s="201"/>
      <c r="F203" s="201"/>
      <c r="G203" s="201"/>
      <c r="H203" s="201"/>
      <c r="I203" s="201"/>
      <c r="J203" s="201"/>
      <c r="K203" s="201"/>
      <c r="L203" s="201"/>
      <c r="M203" s="201"/>
      <c r="N203" s="201"/>
      <c r="O203" s="201"/>
      <c r="P203" s="201"/>
      <c r="Q203" s="201"/>
    </row>
    <row r="204" spans="1:17">
      <c r="A204" s="201"/>
      <c r="B204" s="201"/>
      <c r="C204" s="201"/>
      <c r="D204" s="201"/>
      <c r="E204" s="201"/>
      <c r="F204" s="201"/>
      <c r="G204" s="201"/>
      <c r="H204" s="201"/>
      <c r="I204" s="201"/>
      <c r="J204" s="201"/>
      <c r="K204" s="201"/>
      <c r="L204" s="201"/>
      <c r="M204" s="201"/>
      <c r="N204" s="201"/>
      <c r="O204" s="201"/>
      <c r="P204" s="201"/>
      <c r="Q204" s="201"/>
    </row>
    <row r="205" spans="1:17">
      <c r="A205" s="201"/>
      <c r="B205" s="201"/>
      <c r="C205" s="201"/>
      <c r="D205" s="201"/>
      <c r="E205" s="201"/>
      <c r="F205" s="201"/>
      <c r="G205" s="201"/>
      <c r="H205" s="201"/>
      <c r="I205" s="201"/>
      <c r="J205" s="201"/>
      <c r="K205" s="201"/>
      <c r="L205" s="201"/>
      <c r="M205" s="201"/>
      <c r="N205" s="201"/>
      <c r="O205" s="201"/>
      <c r="P205" s="201"/>
      <c r="Q205" s="201"/>
    </row>
    <row r="206" spans="1:17">
      <c r="A206" s="201"/>
      <c r="B206" s="201"/>
      <c r="C206" s="201"/>
      <c r="D206" s="201"/>
      <c r="E206" s="201"/>
      <c r="F206" s="201"/>
      <c r="G206" s="201"/>
      <c r="H206" s="201"/>
      <c r="I206" s="201"/>
      <c r="J206" s="201"/>
      <c r="K206" s="201"/>
      <c r="L206" s="201"/>
      <c r="M206" s="201"/>
      <c r="N206" s="201"/>
      <c r="O206" s="201"/>
      <c r="P206" s="201"/>
      <c r="Q206" s="201"/>
    </row>
    <row r="207" spans="1:17">
      <c r="A207" s="201"/>
      <c r="B207" s="201"/>
      <c r="C207" s="201"/>
      <c r="D207" s="201"/>
      <c r="E207" s="201"/>
      <c r="F207" s="201"/>
      <c r="G207" s="201"/>
      <c r="H207" s="201"/>
      <c r="I207" s="201"/>
      <c r="J207" s="201"/>
      <c r="K207" s="201"/>
      <c r="L207" s="201"/>
      <c r="M207" s="201"/>
      <c r="N207" s="201"/>
      <c r="O207" s="201"/>
      <c r="P207" s="201"/>
      <c r="Q207" s="201"/>
    </row>
    <row r="208" spans="1:17">
      <c r="A208" s="201"/>
      <c r="B208" s="201"/>
      <c r="C208" s="201"/>
      <c r="D208" s="201"/>
      <c r="E208" s="201"/>
      <c r="F208" s="201"/>
      <c r="G208" s="201"/>
      <c r="H208" s="201"/>
      <c r="I208" s="201"/>
      <c r="J208" s="201"/>
      <c r="K208" s="201"/>
      <c r="L208" s="201"/>
      <c r="M208" s="201"/>
      <c r="N208" s="201"/>
      <c r="O208" s="201"/>
      <c r="P208" s="201"/>
      <c r="Q208" s="201"/>
    </row>
    <row r="209" spans="1:17">
      <c r="A209" s="201"/>
      <c r="B209" s="201"/>
      <c r="C209" s="201"/>
      <c r="D209" s="201"/>
      <c r="E209" s="201"/>
      <c r="F209" s="201"/>
      <c r="G209" s="201"/>
      <c r="H209" s="201"/>
      <c r="I209" s="201"/>
      <c r="J209" s="201"/>
      <c r="K209" s="201"/>
      <c r="L209" s="201"/>
      <c r="M209" s="201"/>
      <c r="N209" s="201"/>
      <c r="O209" s="201"/>
      <c r="P209" s="201"/>
      <c r="Q209" s="201"/>
    </row>
    <row r="210" spans="1:17">
      <c r="A210" s="201"/>
      <c r="B210" s="201"/>
      <c r="C210" s="201"/>
      <c r="D210" s="201"/>
      <c r="E210" s="201"/>
      <c r="F210" s="201"/>
      <c r="G210" s="201"/>
      <c r="H210" s="201"/>
      <c r="I210" s="201"/>
      <c r="J210" s="201"/>
      <c r="K210" s="201"/>
      <c r="L210" s="201"/>
      <c r="M210" s="201"/>
      <c r="N210" s="201"/>
      <c r="O210" s="201"/>
      <c r="P210" s="201"/>
      <c r="Q210" s="201"/>
    </row>
    <row r="211" spans="1:17">
      <c r="A211" s="201"/>
      <c r="B211" s="201"/>
      <c r="C211" s="201"/>
      <c r="D211" s="201"/>
      <c r="E211" s="201"/>
      <c r="F211" s="201"/>
      <c r="G211" s="201"/>
      <c r="H211" s="201"/>
      <c r="I211" s="201"/>
      <c r="J211" s="201"/>
      <c r="K211" s="201"/>
      <c r="L211" s="201"/>
      <c r="M211" s="201"/>
      <c r="N211" s="201"/>
      <c r="O211" s="201"/>
      <c r="P211" s="201"/>
      <c r="Q211" s="201"/>
    </row>
    <row r="212" spans="1:17">
      <c r="A212" s="201"/>
      <c r="B212" s="201"/>
      <c r="C212" s="201"/>
      <c r="D212" s="201"/>
      <c r="E212" s="201"/>
      <c r="F212" s="201"/>
      <c r="G212" s="201"/>
      <c r="H212" s="201"/>
      <c r="I212" s="201"/>
      <c r="J212" s="201"/>
      <c r="K212" s="201"/>
      <c r="L212" s="201"/>
      <c r="M212" s="201"/>
      <c r="N212" s="201"/>
      <c r="O212" s="201"/>
      <c r="P212" s="201"/>
      <c r="Q212" s="201"/>
    </row>
    <row r="213" spans="1:17">
      <c r="A213" s="201"/>
      <c r="B213" s="201"/>
      <c r="C213" s="201"/>
      <c r="D213" s="201"/>
      <c r="E213" s="201"/>
      <c r="F213" s="201"/>
      <c r="G213" s="201"/>
      <c r="H213" s="201"/>
      <c r="I213" s="201"/>
      <c r="J213" s="201"/>
      <c r="K213" s="201"/>
      <c r="L213" s="201"/>
      <c r="M213" s="201"/>
      <c r="N213" s="201"/>
      <c r="O213" s="201"/>
      <c r="P213" s="201"/>
      <c r="Q213" s="201"/>
    </row>
    <row r="214" spans="1:17">
      <c r="A214" s="201"/>
      <c r="B214" s="201"/>
      <c r="C214" s="201"/>
      <c r="D214" s="201"/>
      <c r="E214" s="201"/>
      <c r="F214" s="201"/>
      <c r="G214" s="201"/>
      <c r="H214" s="201"/>
      <c r="I214" s="201"/>
      <c r="J214" s="201"/>
      <c r="K214" s="201"/>
      <c r="L214" s="201"/>
      <c r="M214" s="201"/>
      <c r="N214" s="201"/>
      <c r="O214" s="201"/>
      <c r="P214" s="201"/>
      <c r="Q214" s="201"/>
    </row>
    <row r="215" spans="1:17">
      <c r="A215" s="201"/>
      <c r="B215" s="201"/>
      <c r="C215" s="201"/>
      <c r="D215" s="201"/>
      <c r="E215" s="201"/>
      <c r="F215" s="201"/>
      <c r="G215" s="201"/>
      <c r="H215" s="201"/>
      <c r="I215" s="201"/>
      <c r="J215" s="201"/>
      <c r="K215" s="201"/>
      <c r="L215" s="201"/>
      <c r="M215" s="201"/>
      <c r="N215" s="201"/>
      <c r="O215" s="201"/>
      <c r="P215" s="201"/>
      <c r="Q215" s="201"/>
    </row>
    <row r="216" spans="1:17">
      <c r="A216" s="201"/>
      <c r="B216" s="201"/>
      <c r="C216" s="201"/>
      <c r="D216" s="201"/>
      <c r="E216" s="201"/>
      <c r="F216" s="201"/>
      <c r="G216" s="201"/>
      <c r="H216" s="201"/>
      <c r="I216" s="201"/>
      <c r="J216" s="201"/>
      <c r="K216" s="201"/>
      <c r="L216" s="201"/>
      <c r="M216" s="201"/>
      <c r="N216" s="201"/>
      <c r="O216" s="201"/>
      <c r="P216" s="201"/>
      <c r="Q216" s="201"/>
    </row>
    <row r="217" spans="1:17">
      <c r="A217" s="201"/>
      <c r="B217" s="201"/>
      <c r="C217" s="201"/>
      <c r="D217" s="201"/>
      <c r="E217" s="201"/>
      <c r="F217" s="201"/>
      <c r="G217" s="201"/>
      <c r="H217" s="201"/>
      <c r="I217" s="201"/>
      <c r="J217" s="201"/>
      <c r="K217" s="201"/>
      <c r="L217" s="201"/>
      <c r="M217" s="201"/>
      <c r="N217" s="201"/>
      <c r="O217" s="201"/>
      <c r="P217" s="201"/>
      <c r="Q217" s="201"/>
    </row>
    <row r="218" spans="1:17">
      <c r="A218" s="201"/>
      <c r="B218" s="201"/>
      <c r="C218" s="201"/>
      <c r="D218" s="201"/>
      <c r="E218" s="201"/>
      <c r="F218" s="201"/>
      <c r="G218" s="201"/>
      <c r="H218" s="201"/>
      <c r="I218" s="201"/>
      <c r="J218" s="201"/>
      <c r="K218" s="201"/>
      <c r="L218" s="201"/>
      <c r="M218" s="201"/>
      <c r="N218" s="201"/>
      <c r="O218" s="201"/>
      <c r="P218" s="201"/>
      <c r="Q218" s="201"/>
    </row>
    <row r="219" spans="1:17">
      <c r="A219" s="201"/>
      <c r="B219" s="201"/>
      <c r="C219" s="201"/>
      <c r="D219" s="201"/>
      <c r="E219" s="201"/>
      <c r="F219" s="201"/>
      <c r="G219" s="201"/>
      <c r="H219" s="201"/>
      <c r="I219" s="201"/>
      <c r="J219" s="201"/>
      <c r="K219" s="201"/>
      <c r="L219" s="201"/>
      <c r="M219" s="201"/>
      <c r="N219" s="201"/>
      <c r="O219" s="201"/>
      <c r="P219" s="201"/>
      <c r="Q219" s="201"/>
    </row>
    <row r="220" spans="1:17">
      <c r="A220" s="201"/>
      <c r="B220" s="201"/>
      <c r="C220" s="201"/>
      <c r="D220" s="201"/>
      <c r="E220" s="201"/>
      <c r="F220" s="201"/>
      <c r="G220" s="201"/>
      <c r="H220" s="201"/>
      <c r="I220" s="201"/>
      <c r="J220" s="201"/>
      <c r="K220" s="201"/>
      <c r="L220" s="201"/>
      <c r="M220" s="201"/>
      <c r="N220" s="201"/>
      <c r="O220" s="201"/>
      <c r="P220" s="201"/>
      <c r="Q220" s="201"/>
    </row>
    <row r="221" spans="1:17">
      <c r="A221" s="201"/>
      <c r="B221" s="201"/>
      <c r="C221" s="201"/>
      <c r="D221" s="201"/>
      <c r="E221" s="201"/>
      <c r="F221" s="201"/>
      <c r="G221" s="201"/>
      <c r="H221" s="201"/>
      <c r="I221" s="201"/>
      <c r="J221" s="201"/>
      <c r="K221" s="201"/>
      <c r="L221" s="201"/>
      <c r="M221" s="201"/>
      <c r="N221" s="201"/>
      <c r="O221" s="201"/>
      <c r="P221" s="201"/>
      <c r="Q221" s="201"/>
    </row>
    <row r="222" spans="1:17">
      <c r="A222" s="201"/>
      <c r="B222" s="201"/>
      <c r="C222" s="201"/>
      <c r="D222" s="201"/>
      <c r="E222" s="201"/>
      <c r="F222" s="201"/>
      <c r="G222" s="201"/>
      <c r="H222" s="201"/>
      <c r="I222" s="201"/>
      <c r="J222" s="201"/>
      <c r="K222" s="201"/>
      <c r="L222" s="201"/>
      <c r="M222" s="201"/>
      <c r="N222" s="201"/>
      <c r="O222" s="201"/>
      <c r="P222" s="201"/>
      <c r="Q222" s="201"/>
    </row>
    <row r="223" spans="1:17">
      <c r="A223" s="201"/>
      <c r="B223" s="201"/>
      <c r="C223" s="201"/>
      <c r="D223" s="201"/>
      <c r="E223" s="201"/>
      <c r="F223" s="201"/>
      <c r="G223" s="201"/>
      <c r="H223" s="201"/>
      <c r="I223" s="201"/>
      <c r="J223" s="201"/>
      <c r="K223" s="201"/>
      <c r="L223" s="201"/>
      <c r="M223" s="201"/>
      <c r="N223" s="201"/>
      <c r="O223" s="201"/>
      <c r="P223" s="201"/>
      <c r="Q223" s="201"/>
    </row>
    <row r="224" spans="1:17">
      <c r="A224" s="201"/>
      <c r="B224" s="201"/>
      <c r="C224" s="201"/>
      <c r="D224" s="201"/>
      <c r="E224" s="201"/>
      <c r="F224" s="201"/>
      <c r="G224" s="201"/>
      <c r="H224" s="201"/>
      <c r="I224" s="201"/>
      <c r="J224" s="201"/>
      <c r="K224" s="201"/>
      <c r="L224" s="201"/>
      <c r="M224" s="201"/>
      <c r="N224" s="201"/>
      <c r="O224" s="201"/>
      <c r="P224" s="201"/>
      <c r="Q224" s="201"/>
    </row>
    <row r="225" spans="1:17">
      <c r="A225" s="201"/>
      <c r="B225" s="201"/>
      <c r="C225" s="201"/>
      <c r="D225" s="201"/>
      <c r="E225" s="201"/>
      <c r="F225" s="201"/>
      <c r="G225" s="201"/>
      <c r="H225" s="201"/>
      <c r="I225" s="201"/>
      <c r="J225" s="201"/>
      <c r="K225" s="201"/>
      <c r="L225" s="201"/>
      <c r="M225" s="201"/>
      <c r="N225" s="201"/>
      <c r="O225" s="201"/>
      <c r="P225" s="201"/>
      <c r="Q225" s="201"/>
    </row>
    <row r="226" spans="1:17">
      <c r="A226" s="201"/>
      <c r="B226" s="201"/>
      <c r="C226" s="201"/>
      <c r="D226" s="201"/>
      <c r="E226" s="201"/>
      <c r="F226" s="201"/>
      <c r="G226" s="201"/>
      <c r="H226" s="201"/>
      <c r="I226" s="201"/>
      <c r="J226" s="201"/>
      <c r="K226" s="201"/>
      <c r="L226" s="201"/>
      <c r="M226" s="201"/>
      <c r="N226" s="201"/>
      <c r="O226" s="201"/>
      <c r="P226" s="201"/>
      <c r="Q226" s="201"/>
    </row>
    <row r="227" spans="1:17">
      <c r="A227" s="201"/>
      <c r="B227" s="201"/>
      <c r="C227" s="201"/>
      <c r="D227" s="201"/>
      <c r="E227" s="201"/>
      <c r="F227" s="201"/>
      <c r="G227" s="201"/>
      <c r="H227" s="201"/>
      <c r="I227" s="201"/>
      <c r="J227" s="201"/>
      <c r="K227" s="201"/>
      <c r="L227" s="201"/>
      <c r="M227" s="201"/>
      <c r="N227" s="201"/>
      <c r="O227" s="201"/>
      <c r="P227" s="201"/>
      <c r="Q227" s="201"/>
    </row>
    <row r="228" spans="1:17">
      <c r="A228" s="201"/>
      <c r="B228" s="201"/>
      <c r="C228" s="201"/>
      <c r="D228" s="201"/>
      <c r="E228" s="201"/>
      <c r="F228" s="201"/>
      <c r="G228" s="201"/>
      <c r="H228" s="201"/>
      <c r="I228" s="201"/>
      <c r="J228" s="201"/>
      <c r="K228" s="201"/>
      <c r="L228" s="201"/>
      <c r="M228" s="201"/>
      <c r="N228" s="201"/>
      <c r="O228" s="201"/>
      <c r="P228" s="201"/>
      <c r="Q228" s="201"/>
    </row>
    <row r="229" spans="1:17">
      <c r="A229" s="201"/>
      <c r="B229" s="201"/>
      <c r="C229" s="201"/>
      <c r="D229" s="201"/>
      <c r="E229" s="201"/>
      <c r="F229" s="201"/>
      <c r="G229" s="201"/>
      <c r="H229" s="201"/>
      <c r="I229" s="201"/>
      <c r="J229" s="201"/>
      <c r="K229" s="201"/>
      <c r="L229" s="201"/>
      <c r="M229" s="201"/>
      <c r="N229" s="201"/>
      <c r="O229" s="201"/>
      <c r="P229" s="201"/>
      <c r="Q229" s="201"/>
    </row>
    <row r="230" spans="1:17">
      <c r="A230" s="201"/>
      <c r="B230" s="201"/>
      <c r="C230" s="201"/>
      <c r="D230" s="201"/>
      <c r="E230" s="201"/>
      <c r="F230" s="201"/>
      <c r="G230" s="201"/>
      <c r="H230" s="201"/>
      <c r="I230" s="201"/>
      <c r="J230" s="201"/>
      <c r="K230" s="201"/>
      <c r="L230" s="201"/>
      <c r="M230" s="201"/>
      <c r="N230" s="201"/>
      <c r="O230" s="201"/>
      <c r="P230" s="201"/>
      <c r="Q230" s="201"/>
    </row>
    <row r="231" spans="1:17">
      <c r="A231" s="201"/>
      <c r="B231" s="201"/>
      <c r="C231" s="201"/>
      <c r="D231" s="201"/>
      <c r="E231" s="201"/>
      <c r="F231" s="201"/>
      <c r="G231" s="201"/>
      <c r="H231" s="201"/>
      <c r="I231" s="201"/>
      <c r="J231" s="201"/>
      <c r="K231" s="201"/>
      <c r="L231" s="201"/>
      <c r="M231" s="201"/>
      <c r="N231" s="201"/>
      <c r="O231" s="201"/>
      <c r="P231" s="201"/>
      <c r="Q231" s="201"/>
    </row>
    <row r="232" spans="1:17">
      <c r="A232" s="201"/>
      <c r="B232" s="201"/>
      <c r="C232" s="201"/>
      <c r="D232" s="201"/>
      <c r="E232" s="201"/>
      <c r="F232" s="201"/>
      <c r="G232" s="201"/>
      <c r="H232" s="201"/>
      <c r="I232" s="201"/>
      <c r="J232" s="201"/>
      <c r="K232" s="201"/>
      <c r="L232" s="201"/>
      <c r="M232" s="201"/>
      <c r="N232" s="201"/>
      <c r="O232" s="201"/>
      <c r="P232" s="201"/>
      <c r="Q232" s="201"/>
    </row>
    <row r="233" spans="1:17">
      <c r="A233" s="201"/>
      <c r="B233" s="201"/>
      <c r="C233" s="201"/>
      <c r="D233" s="201"/>
      <c r="E233" s="201"/>
      <c r="F233" s="201"/>
      <c r="G233" s="201"/>
      <c r="H233" s="201"/>
      <c r="I233" s="201"/>
      <c r="J233" s="201"/>
      <c r="K233" s="201"/>
      <c r="L233" s="201"/>
      <c r="M233" s="201"/>
      <c r="N233" s="201"/>
      <c r="O233" s="201"/>
      <c r="P233" s="201"/>
      <c r="Q233" s="201"/>
    </row>
    <row r="234" spans="1:17">
      <c r="A234" s="201"/>
      <c r="B234" s="201"/>
      <c r="C234" s="201"/>
      <c r="D234" s="201"/>
      <c r="E234" s="201"/>
      <c r="F234" s="201"/>
      <c r="G234" s="201"/>
      <c r="H234" s="201"/>
      <c r="I234" s="201"/>
      <c r="J234" s="201"/>
      <c r="K234" s="201"/>
      <c r="L234" s="201"/>
      <c r="M234" s="201"/>
      <c r="N234" s="201"/>
      <c r="O234" s="201"/>
      <c r="P234" s="201"/>
      <c r="Q234" s="201"/>
    </row>
    <row r="235" spans="1:17">
      <c r="A235" s="201"/>
      <c r="B235" s="201"/>
      <c r="C235" s="201"/>
      <c r="D235" s="201"/>
      <c r="E235" s="201"/>
      <c r="F235" s="201"/>
      <c r="G235" s="201"/>
      <c r="H235" s="201"/>
      <c r="I235" s="201"/>
      <c r="J235" s="201"/>
      <c r="K235" s="201"/>
      <c r="L235" s="201"/>
      <c r="M235" s="201"/>
      <c r="N235" s="201"/>
      <c r="O235" s="201"/>
      <c r="P235" s="201"/>
      <c r="Q235" s="201"/>
    </row>
    <row r="236" spans="1:17">
      <c r="A236" s="201"/>
      <c r="B236" s="201"/>
      <c r="C236" s="201"/>
      <c r="D236" s="201"/>
      <c r="E236" s="201"/>
      <c r="F236" s="201"/>
      <c r="G236" s="201"/>
      <c r="H236" s="201"/>
      <c r="I236" s="201"/>
      <c r="J236" s="201"/>
      <c r="K236" s="201"/>
      <c r="L236" s="201"/>
      <c r="M236" s="201"/>
      <c r="N236" s="201"/>
      <c r="O236" s="201"/>
      <c r="P236" s="201"/>
      <c r="Q236" s="201"/>
    </row>
    <row r="237" spans="1:17">
      <c r="A237" s="201"/>
      <c r="B237" s="201"/>
      <c r="C237" s="201"/>
      <c r="D237" s="201"/>
      <c r="E237" s="201"/>
      <c r="F237" s="201"/>
      <c r="G237" s="201"/>
      <c r="H237" s="201"/>
      <c r="I237" s="201"/>
      <c r="J237" s="201"/>
      <c r="K237" s="201"/>
      <c r="L237" s="201"/>
      <c r="M237" s="201"/>
      <c r="N237" s="201"/>
      <c r="O237" s="201"/>
      <c r="P237" s="201"/>
      <c r="Q237" s="201"/>
    </row>
    <row r="238" spans="1:17">
      <c r="A238" s="201"/>
      <c r="B238" s="201"/>
      <c r="C238" s="201"/>
      <c r="D238" s="201"/>
      <c r="E238" s="201"/>
      <c r="F238" s="201"/>
      <c r="G238" s="201"/>
      <c r="H238" s="201"/>
      <c r="I238" s="201"/>
      <c r="J238" s="201"/>
      <c r="K238" s="201"/>
      <c r="L238" s="201"/>
      <c r="M238" s="201"/>
      <c r="N238" s="201"/>
      <c r="O238" s="201"/>
      <c r="P238" s="201"/>
      <c r="Q238" s="201"/>
    </row>
    <row r="239" spans="1:17">
      <c r="A239" s="201"/>
      <c r="B239" s="201"/>
      <c r="C239" s="201"/>
      <c r="D239" s="201"/>
      <c r="E239" s="201"/>
      <c r="F239" s="201"/>
      <c r="G239" s="201"/>
      <c r="H239" s="201"/>
      <c r="I239" s="201"/>
      <c r="J239" s="201"/>
      <c r="K239" s="201"/>
      <c r="L239" s="201"/>
      <c r="M239" s="201"/>
      <c r="N239" s="201"/>
      <c r="O239" s="201"/>
      <c r="P239" s="201"/>
      <c r="Q239" s="201"/>
    </row>
    <row r="240" spans="1:17">
      <c r="A240" s="201"/>
      <c r="B240" s="201"/>
      <c r="C240" s="201"/>
      <c r="D240" s="201"/>
      <c r="E240" s="201"/>
      <c r="F240" s="201"/>
      <c r="G240" s="201"/>
      <c r="H240" s="201"/>
      <c r="I240" s="201"/>
      <c r="J240" s="201"/>
      <c r="K240" s="201"/>
      <c r="L240" s="201"/>
      <c r="M240" s="201"/>
      <c r="N240" s="201"/>
      <c r="O240" s="201"/>
      <c r="P240" s="201"/>
      <c r="Q240" s="201"/>
    </row>
    <row r="241" spans="1:17">
      <c r="A241" s="201"/>
      <c r="B241" s="201"/>
      <c r="C241" s="201"/>
      <c r="D241" s="201"/>
      <c r="E241" s="201"/>
      <c r="F241" s="201"/>
      <c r="G241" s="201"/>
      <c r="H241" s="201"/>
      <c r="I241" s="201"/>
      <c r="J241" s="201"/>
      <c r="K241" s="201"/>
      <c r="L241" s="201"/>
      <c r="M241" s="201"/>
      <c r="N241" s="201"/>
      <c r="O241" s="201"/>
      <c r="P241" s="201"/>
      <c r="Q241" s="201"/>
    </row>
    <row r="242" spans="1:17">
      <c r="A242" s="201"/>
      <c r="B242" s="201"/>
      <c r="C242" s="201"/>
      <c r="D242" s="201"/>
      <c r="E242" s="201"/>
      <c r="F242" s="201"/>
      <c r="G242" s="201"/>
      <c r="H242" s="201"/>
      <c r="I242" s="201"/>
      <c r="J242" s="201"/>
      <c r="K242" s="201"/>
      <c r="L242" s="201"/>
      <c r="M242" s="201"/>
      <c r="N242" s="201"/>
      <c r="O242" s="201"/>
      <c r="P242" s="201"/>
      <c r="Q242" s="201"/>
    </row>
    <row r="243" spans="1:17">
      <c r="A243" s="201"/>
      <c r="B243" s="201"/>
      <c r="C243" s="201"/>
      <c r="D243" s="201"/>
      <c r="E243" s="201"/>
      <c r="F243" s="201"/>
      <c r="G243" s="201"/>
      <c r="H243" s="201"/>
      <c r="I243" s="201"/>
      <c r="J243" s="201"/>
      <c r="K243" s="201"/>
      <c r="L243" s="201"/>
      <c r="M243" s="201"/>
      <c r="N243" s="201"/>
      <c r="O243" s="201"/>
      <c r="P243" s="201"/>
      <c r="Q243" s="201"/>
    </row>
    <row r="244" spans="1:17">
      <c r="A244" s="201"/>
      <c r="B244" s="201"/>
      <c r="C244" s="201"/>
      <c r="D244" s="201"/>
      <c r="E244" s="201"/>
      <c r="F244" s="201"/>
      <c r="G244" s="201"/>
      <c r="H244" s="201"/>
      <c r="I244" s="201"/>
      <c r="J244" s="201"/>
      <c r="K244" s="201"/>
      <c r="L244" s="201"/>
      <c r="M244" s="201"/>
      <c r="N244" s="201"/>
      <c r="O244" s="201"/>
      <c r="P244" s="201"/>
      <c r="Q244" s="201"/>
    </row>
    <row r="245" spans="1:17">
      <c r="A245" s="201"/>
      <c r="B245" s="201"/>
      <c r="C245" s="201"/>
      <c r="D245" s="201"/>
      <c r="E245" s="201"/>
      <c r="F245" s="201"/>
      <c r="G245" s="201"/>
      <c r="H245" s="201"/>
      <c r="I245" s="201"/>
      <c r="J245" s="201"/>
      <c r="K245" s="201"/>
      <c r="L245" s="201"/>
      <c r="M245" s="201"/>
      <c r="N245" s="201"/>
      <c r="O245" s="201"/>
      <c r="P245" s="201"/>
      <c r="Q245" s="201"/>
    </row>
    <row r="246" spans="1:17">
      <c r="A246" s="201"/>
      <c r="B246" s="201"/>
      <c r="C246" s="201"/>
      <c r="D246" s="201"/>
      <c r="E246" s="201"/>
      <c r="F246" s="201"/>
      <c r="G246" s="201"/>
      <c r="H246" s="201"/>
      <c r="I246" s="201"/>
      <c r="J246" s="201"/>
      <c r="K246" s="201"/>
      <c r="L246" s="201"/>
      <c r="M246" s="201"/>
      <c r="N246" s="201"/>
      <c r="O246" s="201"/>
      <c r="P246" s="201"/>
      <c r="Q246" s="201"/>
    </row>
    <row r="247" spans="1:17">
      <c r="A247" s="201"/>
      <c r="B247" s="201"/>
      <c r="C247" s="201"/>
      <c r="D247" s="201"/>
      <c r="E247" s="201"/>
      <c r="F247" s="201"/>
      <c r="G247" s="201"/>
      <c r="H247" s="201"/>
      <c r="I247" s="201"/>
      <c r="J247" s="201"/>
      <c r="K247" s="201"/>
      <c r="L247" s="201"/>
      <c r="M247" s="201"/>
      <c r="N247" s="201"/>
      <c r="O247" s="201"/>
      <c r="P247" s="201"/>
      <c r="Q247" s="201"/>
    </row>
    <row r="248" spans="1:17">
      <c r="A248" s="201"/>
      <c r="B248" s="201"/>
      <c r="C248" s="201"/>
      <c r="D248" s="201"/>
      <c r="E248" s="201"/>
      <c r="F248" s="201"/>
      <c r="G248" s="201"/>
      <c r="H248" s="201"/>
      <c r="I248" s="201"/>
      <c r="J248" s="201"/>
      <c r="K248" s="201"/>
      <c r="L248" s="201"/>
      <c r="M248" s="201"/>
      <c r="N248" s="201"/>
      <c r="O248" s="201"/>
      <c r="P248" s="201"/>
      <c r="Q248" s="201"/>
    </row>
    <row r="249" spans="1:17">
      <c r="A249" s="201"/>
      <c r="B249" s="201"/>
      <c r="C249" s="201"/>
      <c r="D249" s="201"/>
      <c r="E249" s="201"/>
      <c r="F249" s="201"/>
      <c r="G249" s="201"/>
      <c r="H249" s="201"/>
      <c r="I249" s="201"/>
      <c r="J249" s="201"/>
      <c r="K249" s="201"/>
      <c r="L249" s="201"/>
      <c r="M249" s="201"/>
      <c r="N249" s="201"/>
      <c r="O249" s="201"/>
      <c r="P249" s="201"/>
      <c r="Q249" s="201"/>
    </row>
    <row r="250" spans="1:17">
      <c r="A250" s="201"/>
      <c r="B250" s="201"/>
      <c r="C250" s="201"/>
      <c r="D250" s="201"/>
      <c r="E250" s="201"/>
      <c r="F250" s="201"/>
      <c r="G250" s="201"/>
      <c r="H250" s="201"/>
      <c r="I250" s="201"/>
      <c r="J250" s="201"/>
      <c r="K250" s="201"/>
      <c r="L250" s="201"/>
      <c r="M250" s="201"/>
      <c r="N250" s="201"/>
      <c r="O250" s="201"/>
      <c r="P250" s="201"/>
      <c r="Q250" s="201"/>
    </row>
    <row r="251" spans="1:17">
      <c r="A251" s="201"/>
      <c r="B251" s="201"/>
      <c r="C251" s="201"/>
      <c r="D251" s="201"/>
      <c r="E251" s="201"/>
      <c r="F251" s="201"/>
      <c r="G251" s="201"/>
      <c r="H251" s="201"/>
      <c r="I251" s="201"/>
      <c r="J251" s="201"/>
      <c r="K251" s="201"/>
      <c r="L251" s="201"/>
      <c r="M251" s="201"/>
      <c r="N251" s="201"/>
      <c r="O251" s="201"/>
      <c r="P251" s="201"/>
      <c r="Q251" s="201"/>
    </row>
    <row r="252" spans="1:17">
      <c r="A252" s="201"/>
      <c r="B252" s="201"/>
      <c r="C252" s="201"/>
      <c r="D252" s="201"/>
      <c r="E252" s="201"/>
      <c r="F252" s="201"/>
      <c r="G252" s="201"/>
      <c r="H252" s="201"/>
      <c r="I252" s="201"/>
      <c r="J252" s="201"/>
      <c r="K252" s="201"/>
      <c r="L252" s="201"/>
      <c r="M252" s="201"/>
      <c r="N252" s="201"/>
      <c r="O252" s="201"/>
      <c r="P252" s="201"/>
      <c r="Q252" s="201"/>
    </row>
    <row r="253" spans="1:17">
      <c r="A253" s="201"/>
      <c r="B253" s="201"/>
      <c r="C253" s="201"/>
      <c r="D253" s="201"/>
      <c r="E253" s="201"/>
      <c r="F253" s="201"/>
      <c r="G253" s="201"/>
      <c r="H253" s="201"/>
      <c r="I253" s="201"/>
      <c r="J253" s="201"/>
      <c r="K253" s="201"/>
      <c r="L253" s="201"/>
      <c r="M253" s="201"/>
      <c r="N253" s="201"/>
      <c r="O253" s="201"/>
      <c r="P253" s="201"/>
      <c r="Q253" s="201"/>
    </row>
    <row r="254" spans="1:17">
      <c r="A254" s="201"/>
      <c r="B254" s="201"/>
      <c r="C254" s="201"/>
      <c r="D254" s="201"/>
      <c r="E254" s="201"/>
      <c r="F254" s="201"/>
      <c r="G254" s="201"/>
      <c r="H254" s="201"/>
      <c r="I254" s="201"/>
      <c r="J254" s="201"/>
      <c r="K254" s="201"/>
      <c r="L254" s="201"/>
      <c r="M254" s="201"/>
      <c r="N254" s="201"/>
      <c r="O254" s="201"/>
      <c r="P254" s="201"/>
      <c r="Q254" s="201"/>
    </row>
    <row r="255" spans="1:17">
      <c r="A255" s="201"/>
      <c r="B255" s="201"/>
      <c r="C255" s="201"/>
      <c r="D255" s="201"/>
      <c r="E255" s="201"/>
      <c r="F255" s="201"/>
      <c r="G255" s="201"/>
      <c r="H255" s="201"/>
      <c r="I255" s="201"/>
      <c r="J255" s="201"/>
      <c r="K255" s="201"/>
      <c r="L255" s="201"/>
      <c r="M255" s="201"/>
      <c r="N255" s="201"/>
      <c r="O255" s="201"/>
      <c r="P255" s="201"/>
      <c r="Q255" s="201"/>
    </row>
    <row r="256" spans="1:17">
      <c r="A256" s="201"/>
      <c r="B256" s="201"/>
      <c r="C256" s="201"/>
      <c r="D256" s="201"/>
      <c r="E256" s="201"/>
      <c r="F256" s="201"/>
      <c r="G256" s="201"/>
      <c r="H256" s="201"/>
      <c r="I256" s="201"/>
      <c r="J256" s="201"/>
      <c r="K256" s="201"/>
      <c r="L256" s="201"/>
      <c r="M256" s="201"/>
      <c r="N256" s="201"/>
      <c r="O256" s="201"/>
      <c r="P256" s="201"/>
      <c r="Q256" s="201"/>
    </row>
    <row r="257" spans="1:17">
      <c r="A257" s="201"/>
      <c r="B257" s="201"/>
      <c r="C257" s="201"/>
      <c r="D257" s="201"/>
      <c r="E257" s="201"/>
      <c r="F257" s="201"/>
      <c r="G257" s="201"/>
      <c r="H257" s="201"/>
      <c r="I257" s="201"/>
      <c r="J257" s="201"/>
      <c r="K257" s="201"/>
      <c r="L257" s="201"/>
      <c r="M257" s="201"/>
      <c r="N257" s="201"/>
      <c r="O257" s="201"/>
      <c r="P257" s="201"/>
      <c r="Q257" s="201"/>
    </row>
    <row r="258" spans="1:17">
      <c r="A258" s="201"/>
      <c r="B258" s="201"/>
      <c r="C258" s="201"/>
      <c r="D258" s="201"/>
      <c r="E258" s="201"/>
      <c r="F258" s="201"/>
      <c r="G258" s="201"/>
      <c r="H258" s="201"/>
      <c r="I258" s="201"/>
      <c r="J258" s="201"/>
      <c r="K258" s="201"/>
      <c r="L258" s="201"/>
      <c r="M258" s="201"/>
      <c r="N258" s="201"/>
      <c r="O258" s="201"/>
      <c r="P258" s="201"/>
      <c r="Q258" s="201"/>
    </row>
    <row r="259" spans="1:17">
      <c r="A259" s="201"/>
      <c r="B259" s="201"/>
      <c r="C259" s="201"/>
      <c r="D259" s="201"/>
      <c r="E259" s="201"/>
      <c r="F259" s="201"/>
      <c r="G259" s="201"/>
      <c r="H259" s="201"/>
      <c r="I259" s="201"/>
      <c r="J259" s="201"/>
      <c r="K259" s="201"/>
      <c r="L259" s="201"/>
      <c r="M259" s="201"/>
      <c r="N259" s="201"/>
      <c r="O259" s="201"/>
      <c r="P259" s="201"/>
      <c r="Q259" s="201"/>
    </row>
    <row r="260" spans="1:17">
      <c r="A260" s="201"/>
      <c r="B260" s="201"/>
      <c r="C260" s="201"/>
      <c r="D260" s="201"/>
      <c r="E260" s="201"/>
      <c r="F260" s="201"/>
      <c r="G260" s="201"/>
      <c r="H260" s="201"/>
      <c r="I260" s="201"/>
      <c r="J260" s="201"/>
      <c r="K260" s="201"/>
      <c r="L260" s="201"/>
      <c r="M260" s="201"/>
      <c r="N260" s="201"/>
      <c r="O260" s="201"/>
      <c r="P260" s="201"/>
      <c r="Q260" s="201"/>
    </row>
    <row r="261" spans="1:17">
      <c r="A261" s="201"/>
      <c r="B261" s="201"/>
      <c r="C261" s="201"/>
      <c r="D261" s="201"/>
      <c r="E261" s="201"/>
      <c r="F261" s="201"/>
      <c r="G261" s="201"/>
      <c r="H261" s="201"/>
      <c r="I261" s="201"/>
      <c r="J261" s="201"/>
      <c r="K261" s="201"/>
      <c r="L261" s="201"/>
      <c r="M261" s="201"/>
      <c r="N261" s="201"/>
      <c r="O261" s="201"/>
      <c r="P261" s="201"/>
      <c r="Q261" s="201"/>
    </row>
    <row r="262" spans="1:17">
      <c r="A262" s="201"/>
      <c r="B262" s="201"/>
      <c r="C262" s="201"/>
      <c r="D262" s="201"/>
      <c r="E262" s="201"/>
      <c r="F262" s="201"/>
      <c r="G262" s="201"/>
      <c r="H262" s="201"/>
      <c r="I262" s="201"/>
      <c r="J262" s="201"/>
      <c r="K262" s="201"/>
      <c r="L262" s="201"/>
      <c r="M262" s="201"/>
      <c r="N262" s="201"/>
      <c r="O262" s="201"/>
      <c r="P262" s="201"/>
      <c r="Q262" s="201"/>
    </row>
    <row r="263" spans="1:17">
      <c r="A263" s="201"/>
      <c r="B263" s="201"/>
      <c r="C263" s="201"/>
      <c r="D263" s="201"/>
      <c r="E263" s="201"/>
      <c r="F263" s="201"/>
      <c r="G263" s="201"/>
      <c r="H263" s="201"/>
      <c r="I263" s="201"/>
      <c r="J263" s="201"/>
      <c r="K263" s="201"/>
      <c r="L263" s="201"/>
      <c r="M263" s="201"/>
      <c r="N263" s="201"/>
      <c r="O263" s="201"/>
      <c r="P263" s="201"/>
      <c r="Q263" s="201"/>
    </row>
    <row r="264" spans="1:17">
      <c r="A264" s="201"/>
      <c r="B264" s="201"/>
      <c r="C264" s="201"/>
      <c r="D264" s="201"/>
      <c r="E264" s="201"/>
      <c r="F264" s="201"/>
      <c r="G264" s="201"/>
      <c r="H264" s="201"/>
      <c r="I264" s="201"/>
      <c r="J264" s="201"/>
      <c r="K264" s="201"/>
      <c r="L264" s="201"/>
      <c r="M264" s="201"/>
      <c r="N264" s="201"/>
      <c r="O264" s="201"/>
      <c r="P264" s="201"/>
      <c r="Q264" s="201"/>
    </row>
    <row r="265" spans="1:17">
      <c r="A265" s="201"/>
      <c r="B265" s="201"/>
      <c r="C265" s="201"/>
      <c r="D265" s="201"/>
      <c r="E265" s="201"/>
      <c r="F265" s="201"/>
      <c r="G265" s="201"/>
      <c r="H265" s="201"/>
      <c r="I265" s="201"/>
      <c r="J265" s="201"/>
      <c r="K265" s="201"/>
      <c r="L265" s="201"/>
      <c r="M265" s="201"/>
      <c r="N265" s="201"/>
      <c r="O265" s="201"/>
      <c r="P265" s="201"/>
      <c r="Q265" s="201"/>
    </row>
    <row r="266" spans="1:17">
      <c r="A266" s="201"/>
      <c r="B266" s="201"/>
      <c r="C266" s="201"/>
      <c r="D266" s="201"/>
      <c r="E266" s="201"/>
      <c r="F266" s="201"/>
      <c r="G266" s="201"/>
      <c r="H266" s="201"/>
      <c r="I266" s="201"/>
      <c r="J266" s="201"/>
      <c r="K266" s="201"/>
      <c r="L266" s="201"/>
      <c r="M266" s="201"/>
      <c r="N266" s="201"/>
      <c r="O266" s="201"/>
      <c r="P266" s="201"/>
      <c r="Q266" s="201"/>
    </row>
    <row r="267" spans="1:17">
      <c r="A267" s="201"/>
      <c r="B267" s="201"/>
      <c r="C267" s="201"/>
      <c r="D267" s="201"/>
      <c r="E267" s="201"/>
      <c r="F267" s="201"/>
      <c r="G267" s="201"/>
      <c r="H267" s="201"/>
      <c r="I267" s="201"/>
      <c r="J267" s="201"/>
      <c r="K267" s="201"/>
      <c r="L267" s="201"/>
      <c r="M267" s="201"/>
      <c r="N267" s="201"/>
      <c r="O267" s="201"/>
      <c r="P267" s="201"/>
      <c r="Q267" s="201"/>
    </row>
    <row r="268" spans="1:17">
      <c r="A268" s="201"/>
      <c r="B268" s="201"/>
      <c r="C268" s="201"/>
      <c r="D268" s="201"/>
      <c r="E268" s="201"/>
      <c r="F268" s="201"/>
      <c r="G268" s="201"/>
      <c r="H268" s="201"/>
      <c r="I268" s="201"/>
      <c r="J268" s="201"/>
      <c r="K268" s="201"/>
      <c r="L268" s="201"/>
      <c r="M268" s="201"/>
      <c r="N268" s="201"/>
      <c r="O268" s="201"/>
      <c r="P268" s="201"/>
      <c r="Q268" s="201"/>
    </row>
    <row r="269" spans="1:17">
      <c r="A269" s="201"/>
      <c r="B269" s="201"/>
      <c r="C269" s="201"/>
      <c r="D269" s="201"/>
      <c r="E269" s="201"/>
      <c r="F269" s="201"/>
      <c r="G269" s="201"/>
      <c r="H269" s="201"/>
      <c r="I269" s="201"/>
      <c r="J269" s="201"/>
      <c r="K269" s="201"/>
      <c r="L269" s="201"/>
      <c r="M269" s="201"/>
      <c r="N269" s="201"/>
      <c r="O269" s="201"/>
      <c r="P269" s="201"/>
      <c r="Q269" s="201"/>
    </row>
    <row r="270" spans="1:17">
      <c r="A270" s="201"/>
      <c r="B270" s="201"/>
      <c r="C270" s="201"/>
      <c r="D270" s="201"/>
      <c r="E270" s="201"/>
      <c r="F270" s="201"/>
      <c r="G270" s="201"/>
      <c r="H270" s="201"/>
      <c r="I270" s="201"/>
      <c r="J270" s="201"/>
      <c r="K270" s="201"/>
      <c r="L270" s="201"/>
      <c r="M270" s="201"/>
      <c r="N270" s="201"/>
      <c r="O270" s="201"/>
      <c r="P270" s="201"/>
      <c r="Q270" s="201"/>
    </row>
    <row r="271" spans="1:17">
      <c r="A271" s="201"/>
      <c r="B271" s="201"/>
      <c r="C271" s="201"/>
      <c r="D271" s="201"/>
      <c r="E271" s="201"/>
      <c r="F271" s="201"/>
      <c r="G271" s="201"/>
      <c r="H271" s="201"/>
      <c r="I271" s="201"/>
      <c r="J271" s="201"/>
      <c r="K271" s="201"/>
      <c r="L271" s="201"/>
      <c r="M271" s="201"/>
      <c r="N271" s="201"/>
      <c r="O271" s="201"/>
      <c r="P271" s="201"/>
      <c r="Q271" s="201"/>
    </row>
    <row r="272" spans="1:17">
      <c r="A272" s="201"/>
      <c r="B272" s="201"/>
      <c r="C272" s="201"/>
      <c r="D272" s="201"/>
      <c r="E272" s="201"/>
      <c r="F272" s="201"/>
      <c r="G272" s="201"/>
      <c r="H272" s="201"/>
      <c r="I272" s="201"/>
      <c r="J272" s="201"/>
      <c r="K272" s="201"/>
      <c r="L272" s="201"/>
      <c r="M272" s="201"/>
      <c r="N272" s="201"/>
      <c r="O272" s="201"/>
      <c r="P272" s="201"/>
      <c r="Q272" s="201"/>
    </row>
    <row r="273" spans="1:17">
      <c r="A273" s="201"/>
      <c r="B273" s="201"/>
      <c r="C273" s="201"/>
      <c r="D273" s="201"/>
      <c r="E273" s="201"/>
      <c r="F273" s="201"/>
      <c r="G273" s="201"/>
      <c r="H273" s="201"/>
      <c r="I273" s="201"/>
      <c r="J273" s="201"/>
      <c r="K273" s="201"/>
      <c r="L273" s="201"/>
      <c r="M273" s="201"/>
      <c r="N273" s="201"/>
      <c r="O273" s="201"/>
      <c r="P273" s="201"/>
      <c r="Q273" s="201"/>
    </row>
    <row r="274" spans="1:17">
      <c r="A274" s="201"/>
      <c r="B274" s="201"/>
      <c r="C274" s="201"/>
      <c r="D274" s="201"/>
      <c r="E274" s="201"/>
      <c r="F274" s="201"/>
      <c r="G274" s="201"/>
      <c r="H274" s="201"/>
      <c r="I274" s="201"/>
      <c r="J274" s="201"/>
      <c r="K274" s="201"/>
      <c r="L274" s="201"/>
      <c r="M274" s="201"/>
      <c r="N274" s="201"/>
      <c r="O274" s="201"/>
      <c r="P274" s="201"/>
      <c r="Q274" s="201"/>
    </row>
    <row r="275" spans="1:17">
      <c r="A275" s="201"/>
      <c r="B275" s="201"/>
      <c r="C275" s="201"/>
      <c r="D275" s="201"/>
      <c r="E275" s="201"/>
      <c r="F275" s="201"/>
      <c r="G275" s="201"/>
      <c r="H275" s="201"/>
      <c r="I275" s="201"/>
      <c r="J275" s="201"/>
      <c r="K275" s="201"/>
      <c r="L275" s="201"/>
      <c r="M275" s="201"/>
      <c r="N275" s="201"/>
      <c r="O275" s="201"/>
      <c r="P275" s="201"/>
      <c r="Q275" s="201"/>
    </row>
    <row r="276" spans="1:17">
      <c r="A276" s="201"/>
      <c r="B276" s="201"/>
      <c r="C276" s="201"/>
      <c r="D276" s="201"/>
      <c r="E276" s="201"/>
      <c r="F276" s="201"/>
      <c r="G276" s="201"/>
      <c r="H276" s="201"/>
      <c r="I276" s="201"/>
      <c r="J276" s="201"/>
      <c r="K276" s="201"/>
      <c r="L276" s="201"/>
      <c r="M276" s="201"/>
      <c r="N276" s="201"/>
      <c r="O276" s="201"/>
      <c r="P276" s="201"/>
      <c r="Q276" s="201"/>
    </row>
    <row r="277" spans="1:17">
      <c r="A277" s="201"/>
      <c r="B277" s="201"/>
      <c r="C277" s="201"/>
      <c r="D277" s="201"/>
      <c r="E277" s="201"/>
      <c r="F277" s="201"/>
      <c r="G277" s="201"/>
      <c r="H277" s="201"/>
      <c r="I277" s="201"/>
      <c r="J277" s="201"/>
      <c r="K277" s="201"/>
      <c r="L277" s="201"/>
      <c r="M277" s="201"/>
      <c r="N277" s="201"/>
      <c r="O277" s="201"/>
      <c r="P277" s="201"/>
      <c r="Q277" s="201"/>
    </row>
    <row r="278" spans="1:17">
      <c r="A278" s="201"/>
      <c r="B278" s="201"/>
      <c r="C278" s="201"/>
      <c r="D278" s="201"/>
      <c r="E278" s="201"/>
      <c r="F278" s="201"/>
      <c r="G278" s="201"/>
      <c r="H278" s="201"/>
      <c r="I278" s="201"/>
      <c r="J278" s="201"/>
      <c r="K278" s="201"/>
      <c r="L278" s="201"/>
      <c r="M278" s="201"/>
      <c r="N278" s="201"/>
      <c r="O278" s="201"/>
      <c r="P278" s="201"/>
      <c r="Q278" s="201"/>
    </row>
    <row r="279" spans="1:17">
      <c r="A279" s="201"/>
      <c r="B279" s="201"/>
      <c r="C279" s="201"/>
      <c r="D279" s="201"/>
      <c r="E279" s="201"/>
      <c r="F279" s="201"/>
      <c r="G279" s="201"/>
      <c r="H279" s="201"/>
      <c r="I279" s="201"/>
      <c r="J279" s="201"/>
      <c r="K279" s="201"/>
      <c r="L279" s="201"/>
      <c r="M279" s="201"/>
      <c r="N279" s="201"/>
      <c r="O279" s="201"/>
      <c r="P279" s="201"/>
      <c r="Q279" s="201"/>
    </row>
    <row r="280" spans="1:17">
      <c r="A280" s="201"/>
      <c r="B280" s="201"/>
      <c r="C280" s="201"/>
      <c r="D280" s="201"/>
      <c r="E280" s="201"/>
      <c r="F280" s="201"/>
      <c r="G280" s="201"/>
      <c r="H280" s="201"/>
      <c r="I280" s="201"/>
      <c r="J280" s="201"/>
      <c r="K280" s="201"/>
      <c r="L280" s="201"/>
      <c r="M280" s="201"/>
      <c r="N280" s="201"/>
      <c r="O280" s="201"/>
      <c r="P280" s="201"/>
      <c r="Q280" s="201"/>
    </row>
    <row r="281" spans="1:17">
      <c r="A281" s="201"/>
      <c r="B281" s="201"/>
      <c r="C281" s="201"/>
      <c r="D281" s="201"/>
      <c r="E281" s="201"/>
      <c r="F281" s="201"/>
      <c r="G281" s="201"/>
      <c r="H281" s="201"/>
      <c r="I281" s="201"/>
      <c r="J281" s="201"/>
      <c r="K281" s="201"/>
      <c r="L281" s="201"/>
      <c r="M281" s="201"/>
      <c r="N281" s="201"/>
      <c r="O281" s="201"/>
      <c r="P281" s="201"/>
      <c r="Q281" s="201"/>
    </row>
    <row r="282" spans="1:17">
      <c r="A282" s="201"/>
      <c r="B282" s="201"/>
      <c r="C282" s="201"/>
      <c r="D282" s="201"/>
      <c r="E282" s="201"/>
      <c r="F282" s="201"/>
      <c r="G282" s="201"/>
      <c r="H282" s="201"/>
      <c r="I282" s="201"/>
      <c r="J282" s="201"/>
      <c r="K282" s="201"/>
      <c r="L282" s="201"/>
      <c r="M282" s="201"/>
      <c r="N282" s="201"/>
      <c r="O282" s="201"/>
      <c r="P282" s="201"/>
      <c r="Q282" s="201"/>
    </row>
    <row r="283" spans="1:17">
      <c r="A283" s="201"/>
      <c r="B283" s="201"/>
      <c r="C283" s="201"/>
      <c r="D283" s="201"/>
      <c r="E283" s="201"/>
      <c r="F283" s="201"/>
      <c r="G283" s="201"/>
      <c r="H283" s="201"/>
      <c r="I283" s="201"/>
      <c r="J283" s="201"/>
      <c r="K283" s="201"/>
      <c r="L283" s="201"/>
      <c r="M283" s="201"/>
      <c r="N283" s="201"/>
      <c r="O283" s="201"/>
      <c r="P283" s="201"/>
      <c r="Q283" s="201"/>
    </row>
    <row r="284" spans="1:17">
      <c r="A284" s="201"/>
      <c r="B284" s="201"/>
      <c r="C284" s="201"/>
      <c r="D284" s="201"/>
      <c r="E284" s="201"/>
      <c r="F284" s="201"/>
      <c r="G284" s="201"/>
      <c r="H284" s="201"/>
      <c r="I284" s="201"/>
      <c r="J284" s="201"/>
      <c r="K284" s="201"/>
      <c r="L284" s="201"/>
      <c r="M284" s="201"/>
      <c r="N284" s="201"/>
      <c r="O284" s="201"/>
      <c r="P284" s="201"/>
      <c r="Q284" s="201"/>
    </row>
    <row r="285" spans="1:17">
      <c r="A285" s="201"/>
      <c r="B285" s="201"/>
      <c r="C285" s="201"/>
      <c r="D285" s="201"/>
      <c r="E285" s="201"/>
      <c r="F285" s="201"/>
      <c r="G285" s="201"/>
      <c r="H285" s="201"/>
      <c r="I285" s="201"/>
      <c r="J285" s="201"/>
      <c r="K285" s="201"/>
      <c r="L285" s="201"/>
      <c r="M285" s="201"/>
      <c r="N285" s="201"/>
      <c r="O285" s="201"/>
      <c r="P285" s="201"/>
      <c r="Q285" s="201"/>
    </row>
    <row r="286" spans="1:17">
      <c r="A286" s="201"/>
      <c r="B286" s="201"/>
      <c r="C286" s="201"/>
      <c r="D286" s="201"/>
      <c r="E286" s="201"/>
      <c r="F286" s="201"/>
      <c r="G286" s="201"/>
      <c r="H286" s="201"/>
      <c r="I286" s="201"/>
      <c r="J286" s="201"/>
      <c r="K286" s="201"/>
      <c r="L286" s="201"/>
      <c r="M286" s="201"/>
      <c r="N286" s="201"/>
      <c r="O286" s="201"/>
      <c r="P286" s="201"/>
      <c r="Q286" s="201"/>
    </row>
    <row r="287" spans="1:17">
      <c r="A287" s="201"/>
      <c r="B287" s="201"/>
      <c r="C287" s="201"/>
      <c r="D287" s="201"/>
      <c r="E287" s="201"/>
      <c r="F287" s="201"/>
      <c r="G287" s="201"/>
      <c r="H287" s="201"/>
      <c r="I287" s="201"/>
      <c r="J287" s="201"/>
      <c r="K287" s="201"/>
      <c r="L287" s="201"/>
      <c r="M287" s="201"/>
      <c r="N287" s="201"/>
      <c r="O287" s="201"/>
      <c r="P287" s="201"/>
      <c r="Q287" s="201"/>
    </row>
    <row r="288" spans="1:17">
      <c r="A288" s="201"/>
      <c r="B288" s="201"/>
      <c r="C288" s="201"/>
      <c r="D288" s="201"/>
      <c r="E288" s="201"/>
      <c r="F288" s="201"/>
      <c r="G288" s="201"/>
      <c r="H288" s="201"/>
      <c r="I288" s="201"/>
      <c r="J288" s="201"/>
      <c r="K288" s="201"/>
      <c r="L288" s="201"/>
      <c r="M288" s="201"/>
      <c r="N288" s="201"/>
      <c r="O288" s="201"/>
      <c r="P288" s="201"/>
      <c r="Q288" s="201"/>
    </row>
    <row r="289" spans="1:17">
      <c r="A289" s="201"/>
      <c r="B289" s="201"/>
      <c r="C289" s="201"/>
      <c r="D289" s="201"/>
      <c r="E289" s="201"/>
      <c r="F289" s="201"/>
      <c r="G289" s="201"/>
      <c r="H289" s="201"/>
      <c r="I289" s="201"/>
      <c r="J289" s="201"/>
      <c r="K289" s="201"/>
      <c r="L289" s="201"/>
      <c r="M289" s="201"/>
      <c r="N289" s="201"/>
      <c r="O289" s="201"/>
      <c r="P289" s="201"/>
      <c r="Q289" s="201"/>
    </row>
    <row r="290" spans="1:17">
      <c r="A290" s="201"/>
      <c r="B290" s="201"/>
      <c r="C290" s="201"/>
      <c r="D290" s="201"/>
      <c r="E290" s="201"/>
      <c r="F290" s="201"/>
      <c r="G290" s="201"/>
      <c r="H290" s="201"/>
      <c r="I290" s="201"/>
      <c r="J290" s="201"/>
      <c r="K290" s="201"/>
      <c r="L290" s="201"/>
      <c r="M290" s="201"/>
      <c r="N290" s="201"/>
      <c r="O290" s="201"/>
      <c r="P290" s="201"/>
      <c r="Q290" s="201"/>
    </row>
    <row r="291" spans="1:17">
      <c r="A291" s="201"/>
      <c r="B291" s="201"/>
      <c r="C291" s="201"/>
      <c r="D291" s="201"/>
      <c r="E291" s="201"/>
      <c r="F291" s="201"/>
      <c r="G291" s="201"/>
      <c r="H291" s="201"/>
      <c r="I291" s="201"/>
      <c r="J291" s="201"/>
      <c r="K291" s="201"/>
      <c r="L291" s="201"/>
      <c r="M291" s="201"/>
      <c r="N291" s="201"/>
      <c r="O291" s="201"/>
      <c r="P291" s="201"/>
      <c r="Q291" s="201"/>
    </row>
    <row r="292" spans="1:17">
      <c r="A292" s="201"/>
      <c r="B292" s="201"/>
      <c r="C292" s="201"/>
      <c r="D292" s="201"/>
      <c r="E292" s="201"/>
      <c r="F292" s="201"/>
      <c r="G292" s="201"/>
      <c r="H292" s="201"/>
      <c r="I292" s="201"/>
      <c r="J292" s="201"/>
      <c r="K292" s="201"/>
      <c r="L292" s="201"/>
      <c r="M292" s="201"/>
      <c r="N292" s="201"/>
      <c r="O292" s="201"/>
      <c r="P292" s="201"/>
      <c r="Q292" s="201"/>
    </row>
    <row r="293" spans="1:17">
      <c r="A293" s="201"/>
      <c r="B293" s="201"/>
      <c r="C293" s="201"/>
      <c r="D293" s="201"/>
      <c r="E293" s="201"/>
      <c r="F293" s="201"/>
      <c r="G293" s="201"/>
      <c r="H293" s="201"/>
      <c r="I293" s="201"/>
      <c r="J293" s="201"/>
      <c r="K293" s="201"/>
      <c r="L293" s="201"/>
      <c r="M293" s="201"/>
      <c r="N293" s="201"/>
      <c r="O293" s="201"/>
      <c r="P293" s="201"/>
      <c r="Q293" s="201"/>
    </row>
    <row r="294" spans="1:17">
      <c r="A294" s="201"/>
      <c r="B294" s="201"/>
      <c r="C294" s="201"/>
      <c r="D294" s="201"/>
      <c r="E294" s="201"/>
      <c r="F294" s="201"/>
      <c r="G294" s="201"/>
      <c r="H294" s="201"/>
      <c r="I294" s="201"/>
      <c r="J294" s="201"/>
      <c r="K294" s="201"/>
      <c r="L294" s="201"/>
      <c r="M294" s="201"/>
      <c r="N294" s="201"/>
      <c r="O294" s="201"/>
      <c r="P294" s="201"/>
      <c r="Q294" s="201"/>
    </row>
    <row r="295" spans="1:17">
      <c r="A295" s="201"/>
      <c r="B295" s="201"/>
      <c r="C295" s="201"/>
      <c r="D295" s="201"/>
      <c r="E295" s="201"/>
      <c r="F295" s="201"/>
      <c r="G295" s="201"/>
      <c r="H295" s="201"/>
      <c r="I295" s="201"/>
      <c r="J295" s="201"/>
      <c r="K295" s="201"/>
      <c r="L295" s="201"/>
      <c r="M295" s="201"/>
      <c r="N295" s="201"/>
      <c r="O295" s="201"/>
      <c r="P295" s="201"/>
      <c r="Q295" s="201"/>
    </row>
    <row r="296" spans="1:17">
      <c r="A296" s="201"/>
      <c r="B296" s="201"/>
      <c r="C296" s="201"/>
      <c r="D296" s="201"/>
      <c r="E296" s="201"/>
      <c r="F296" s="201"/>
      <c r="G296" s="201"/>
      <c r="H296" s="201"/>
      <c r="I296" s="201"/>
      <c r="J296" s="201"/>
      <c r="K296" s="201"/>
      <c r="L296" s="201"/>
      <c r="M296" s="201"/>
      <c r="N296" s="201"/>
      <c r="O296" s="201"/>
      <c r="P296" s="201"/>
      <c r="Q296" s="201"/>
    </row>
    <row r="297" spans="1:17">
      <c r="A297" s="201"/>
      <c r="B297" s="201"/>
      <c r="C297" s="201"/>
      <c r="D297" s="201"/>
      <c r="E297" s="201"/>
      <c r="F297" s="201"/>
      <c r="G297" s="201"/>
      <c r="H297" s="201"/>
      <c r="I297" s="201"/>
      <c r="J297" s="201"/>
      <c r="K297" s="201"/>
      <c r="L297" s="201"/>
      <c r="M297" s="201"/>
      <c r="N297" s="201"/>
      <c r="O297" s="201"/>
      <c r="P297" s="201"/>
      <c r="Q297" s="201"/>
    </row>
    <row r="298" spans="1:17">
      <c r="A298" s="201"/>
      <c r="B298" s="201"/>
      <c r="C298" s="201"/>
      <c r="D298" s="201"/>
      <c r="E298" s="201"/>
      <c r="F298" s="201"/>
      <c r="G298" s="201"/>
      <c r="H298" s="201"/>
      <c r="I298" s="201"/>
      <c r="J298" s="201"/>
      <c r="K298" s="201"/>
      <c r="L298" s="201"/>
      <c r="M298" s="201"/>
      <c r="N298" s="201"/>
      <c r="O298" s="201"/>
      <c r="P298" s="201"/>
      <c r="Q298" s="201"/>
    </row>
    <row r="299" spans="1:17">
      <c r="A299" s="201"/>
      <c r="B299" s="201"/>
      <c r="C299" s="201"/>
      <c r="D299" s="201"/>
      <c r="E299" s="201"/>
      <c r="F299" s="201"/>
      <c r="G299" s="201"/>
      <c r="H299" s="201"/>
      <c r="I299" s="201"/>
      <c r="J299" s="201"/>
      <c r="K299" s="201"/>
      <c r="L299" s="201"/>
      <c r="M299" s="201"/>
      <c r="N299" s="201"/>
      <c r="O299" s="201"/>
      <c r="P299" s="201"/>
      <c r="Q299" s="201"/>
    </row>
    <row r="300" spans="1:17">
      <c r="A300" s="201"/>
      <c r="B300" s="201"/>
      <c r="C300" s="201"/>
      <c r="D300" s="201"/>
      <c r="E300" s="201"/>
      <c r="F300" s="201"/>
      <c r="G300" s="201"/>
      <c r="H300" s="201"/>
      <c r="I300" s="201"/>
      <c r="J300" s="201"/>
      <c r="K300" s="201"/>
      <c r="L300" s="201"/>
      <c r="M300" s="201"/>
      <c r="N300" s="201"/>
      <c r="O300" s="201"/>
      <c r="P300" s="201"/>
      <c r="Q300" s="201"/>
    </row>
    <row r="301" spans="1:17">
      <c r="A301" s="201"/>
      <c r="B301" s="201"/>
      <c r="C301" s="201"/>
      <c r="D301" s="201"/>
      <c r="E301" s="201"/>
      <c r="F301" s="201"/>
      <c r="G301" s="201"/>
      <c r="H301" s="201"/>
      <c r="I301" s="201"/>
      <c r="J301" s="201"/>
      <c r="K301" s="201"/>
      <c r="L301" s="201"/>
      <c r="M301" s="201"/>
      <c r="N301" s="201"/>
      <c r="O301" s="201"/>
      <c r="P301" s="201"/>
      <c r="Q301" s="201"/>
    </row>
    <row r="302" spans="1:17">
      <c r="A302" s="201"/>
      <c r="B302" s="201"/>
      <c r="C302" s="201"/>
      <c r="D302" s="201"/>
      <c r="E302" s="201"/>
      <c r="F302" s="201"/>
      <c r="G302" s="201"/>
      <c r="H302" s="201"/>
      <c r="I302" s="201"/>
      <c r="J302" s="201"/>
      <c r="K302" s="201"/>
      <c r="L302" s="201"/>
      <c r="M302" s="201"/>
      <c r="N302" s="201"/>
      <c r="O302" s="201"/>
      <c r="P302" s="201"/>
      <c r="Q302" s="201"/>
    </row>
    <row r="303" spans="1:17">
      <c r="A303" s="201"/>
      <c r="B303" s="201"/>
      <c r="C303" s="201"/>
      <c r="D303" s="201"/>
      <c r="E303" s="201"/>
      <c r="F303" s="201"/>
      <c r="G303" s="201"/>
      <c r="H303" s="201"/>
      <c r="I303" s="201"/>
      <c r="J303" s="201"/>
      <c r="K303" s="201"/>
      <c r="L303" s="201"/>
      <c r="M303" s="201"/>
      <c r="N303" s="201"/>
      <c r="O303" s="201"/>
      <c r="P303" s="201"/>
      <c r="Q303" s="201"/>
    </row>
    <row r="304" spans="1:17">
      <c r="A304" s="201"/>
      <c r="B304" s="201"/>
      <c r="C304" s="201"/>
      <c r="D304" s="201"/>
      <c r="E304" s="201"/>
      <c r="F304" s="201"/>
      <c r="G304" s="201"/>
      <c r="H304" s="201"/>
      <c r="I304" s="201"/>
      <c r="J304" s="201"/>
      <c r="K304" s="201"/>
      <c r="L304" s="201"/>
      <c r="M304" s="201"/>
      <c r="N304" s="201"/>
      <c r="O304" s="201"/>
      <c r="P304" s="201"/>
      <c r="Q304" s="201"/>
    </row>
    <row r="305" spans="1:17">
      <c r="A305" s="201"/>
      <c r="B305" s="201"/>
      <c r="C305" s="201"/>
      <c r="D305" s="201"/>
      <c r="E305" s="201"/>
      <c r="F305" s="201"/>
      <c r="G305" s="201"/>
      <c r="H305" s="201"/>
      <c r="I305" s="201"/>
      <c r="J305" s="201"/>
      <c r="K305" s="201"/>
      <c r="L305" s="201"/>
      <c r="M305" s="201"/>
      <c r="N305" s="201"/>
      <c r="O305" s="201"/>
      <c r="P305" s="201"/>
      <c r="Q305" s="201"/>
    </row>
    <row r="306" spans="1:17">
      <c r="A306" s="201"/>
      <c r="B306" s="201"/>
      <c r="C306" s="201"/>
      <c r="D306" s="201"/>
      <c r="E306" s="201"/>
      <c r="F306" s="201"/>
      <c r="G306" s="201"/>
      <c r="H306" s="201"/>
      <c r="I306" s="201"/>
      <c r="J306" s="201"/>
      <c r="K306" s="201"/>
      <c r="L306" s="201"/>
      <c r="M306" s="201"/>
      <c r="N306" s="201"/>
      <c r="O306" s="201"/>
      <c r="P306" s="201"/>
      <c r="Q306" s="201"/>
    </row>
    <row r="307" spans="1:17">
      <c r="A307" s="201"/>
      <c r="B307" s="201"/>
      <c r="C307" s="201"/>
      <c r="D307" s="201"/>
      <c r="E307" s="201"/>
      <c r="F307" s="201"/>
      <c r="G307" s="201"/>
      <c r="H307" s="201"/>
      <c r="I307" s="201"/>
      <c r="J307" s="201"/>
      <c r="K307" s="201"/>
      <c r="L307" s="201"/>
      <c r="M307" s="201"/>
      <c r="N307" s="201"/>
      <c r="O307" s="201"/>
      <c r="P307" s="201"/>
      <c r="Q307" s="201"/>
    </row>
    <row r="308" spans="1:17">
      <c r="A308" s="201"/>
      <c r="B308" s="201"/>
      <c r="C308" s="201"/>
      <c r="D308" s="201"/>
      <c r="E308" s="201"/>
      <c r="F308" s="201"/>
      <c r="G308" s="201"/>
      <c r="H308" s="201"/>
      <c r="I308" s="201"/>
      <c r="J308" s="201"/>
      <c r="K308" s="201"/>
      <c r="L308" s="201"/>
      <c r="M308" s="201"/>
      <c r="N308" s="201"/>
      <c r="O308" s="201"/>
      <c r="P308" s="201"/>
      <c r="Q308" s="201"/>
    </row>
    <row r="309" spans="1:17">
      <c r="A309" s="201"/>
      <c r="B309" s="201"/>
      <c r="C309" s="201"/>
      <c r="D309" s="201"/>
      <c r="E309" s="201"/>
      <c r="F309" s="201"/>
      <c r="G309" s="201"/>
      <c r="H309" s="201"/>
      <c r="I309" s="201"/>
      <c r="J309" s="201"/>
      <c r="K309" s="201"/>
      <c r="L309" s="201"/>
      <c r="M309" s="201"/>
      <c r="N309" s="201"/>
      <c r="O309" s="201"/>
      <c r="P309" s="201"/>
      <c r="Q309" s="201"/>
    </row>
    <row r="310" spans="1:17">
      <c r="A310" s="201"/>
      <c r="B310" s="201"/>
      <c r="C310" s="201"/>
      <c r="D310" s="201"/>
      <c r="E310" s="201"/>
      <c r="F310" s="201"/>
      <c r="G310" s="201"/>
      <c r="H310" s="201"/>
      <c r="I310" s="201"/>
      <c r="J310" s="201"/>
      <c r="K310" s="201"/>
      <c r="L310" s="201"/>
      <c r="M310" s="201"/>
      <c r="N310" s="201"/>
      <c r="O310" s="201"/>
      <c r="P310" s="201"/>
      <c r="Q310" s="201"/>
    </row>
    <row r="311" spans="1:17">
      <c r="A311" s="201"/>
      <c r="B311" s="201"/>
      <c r="C311" s="201"/>
      <c r="D311" s="201"/>
      <c r="E311" s="201"/>
      <c r="F311" s="201"/>
      <c r="G311" s="201"/>
      <c r="H311" s="201"/>
      <c r="I311" s="201"/>
      <c r="J311" s="201"/>
      <c r="K311" s="201"/>
      <c r="L311" s="201"/>
      <c r="M311" s="201"/>
      <c r="N311" s="201"/>
      <c r="O311" s="201"/>
      <c r="P311" s="201"/>
      <c r="Q311" s="201"/>
    </row>
    <row r="312" spans="1:17">
      <c r="A312" s="201"/>
      <c r="B312" s="201"/>
      <c r="C312" s="201"/>
      <c r="D312" s="201"/>
      <c r="E312" s="201"/>
      <c r="F312" s="201"/>
      <c r="G312" s="201"/>
      <c r="H312" s="201"/>
      <c r="I312" s="201"/>
      <c r="J312" s="201"/>
      <c r="K312" s="201"/>
      <c r="L312" s="201"/>
      <c r="M312" s="201"/>
      <c r="N312" s="201"/>
      <c r="O312" s="201"/>
      <c r="P312" s="201"/>
      <c r="Q312" s="201"/>
    </row>
    <row r="313" spans="1:17">
      <c r="A313" s="201"/>
      <c r="B313" s="201"/>
      <c r="C313" s="201"/>
      <c r="D313" s="201"/>
      <c r="E313" s="201"/>
      <c r="F313" s="201"/>
      <c r="G313" s="201"/>
      <c r="H313" s="201"/>
      <c r="I313" s="201"/>
      <c r="J313" s="201"/>
      <c r="K313" s="201"/>
      <c r="L313" s="201"/>
      <c r="M313" s="201"/>
      <c r="N313" s="201"/>
      <c r="O313" s="201"/>
      <c r="P313" s="201"/>
      <c r="Q313" s="201"/>
    </row>
    <row r="314" spans="1:17">
      <c r="A314" s="201"/>
      <c r="B314" s="201"/>
      <c r="C314" s="201"/>
      <c r="D314" s="201"/>
      <c r="E314" s="201"/>
      <c r="F314" s="201"/>
      <c r="G314" s="201"/>
      <c r="H314" s="201"/>
      <c r="I314" s="201"/>
      <c r="J314" s="201"/>
      <c r="K314" s="201"/>
      <c r="L314" s="201"/>
      <c r="M314" s="201"/>
      <c r="N314" s="201"/>
      <c r="O314" s="201"/>
      <c r="P314" s="201"/>
      <c r="Q314" s="201"/>
    </row>
    <row r="315" spans="1:17">
      <c r="A315" s="201"/>
      <c r="B315" s="201"/>
      <c r="C315" s="201"/>
      <c r="D315" s="201"/>
      <c r="E315" s="201"/>
      <c r="F315" s="201"/>
      <c r="G315" s="201"/>
      <c r="H315" s="201"/>
      <c r="I315" s="201"/>
      <c r="J315" s="201"/>
      <c r="K315" s="201"/>
      <c r="L315" s="201"/>
      <c r="M315" s="201"/>
      <c r="N315" s="201"/>
      <c r="O315" s="201"/>
      <c r="P315" s="201"/>
      <c r="Q315" s="201"/>
    </row>
    <row r="316" spans="1:17">
      <c r="A316" s="201"/>
      <c r="B316" s="201"/>
      <c r="C316" s="201"/>
      <c r="D316" s="201"/>
      <c r="E316" s="201"/>
      <c r="F316" s="201"/>
      <c r="G316" s="201"/>
      <c r="H316" s="201"/>
      <c r="I316" s="201"/>
      <c r="J316" s="201"/>
      <c r="K316" s="201"/>
      <c r="L316" s="201"/>
      <c r="M316" s="201"/>
      <c r="N316" s="201"/>
      <c r="O316" s="201"/>
      <c r="P316" s="201"/>
      <c r="Q316" s="201"/>
    </row>
    <row r="317" spans="1:17">
      <c r="A317" s="201"/>
      <c r="B317" s="201"/>
      <c r="C317" s="201"/>
      <c r="D317" s="201"/>
      <c r="E317" s="201"/>
      <c r="F317" s="201"/>
      <c r="G317" s="201"/>
      <c r="H317" s="201"/>
      <c r="I317" s="201"/>
      <c r="J317" s="201"/>
      <c r="K317" s="201"/>
      <c r="L317" s="201"/>
      <c r="M317" s="201"/>
      <c r="N317" s="201"/>
      <c r="O317" s="201"/>
      <c r="P317" s="201"/>
      <c r="Q317" s="201"/>
    </row>
    <row r="318" spans="1:17">
      <c r="A318" s="201"/>
      <c r="B318" s="201"/>
      <c r="C318" s="201"/>
      <c r="D318" s="201"/>
      <c r="E318" s="201"/>
      <c r="F318" s="201"/>
      <c r="G318" s="201"/>
      <c r="H318" s="201"/>
      <c r="I318" s="201"/>
      <c r="J318" s="201"/>
      <c r="K318" s="201"/>
      <c r="L318" s="201"/>
      <c r="M318" s="201"/>
      <c r="N318" s="201"/>
      <c r="O318" s="201"/>
      <c r="P318" s="201"/>
      <c r="Q318" s="201"/>
    </row>
    <row r="319" spans="1:17">
      <c r="A319" s="201"/>
      <c r="B319" s="201"/>
      <c r="C319" s="201"/>
      <c r="D319" s="201"/>
      <c r="E319" s="201"/>
      <c r="F319" s="201"/>
      <c r="G319" s="201"/>
      <c r="H319" s="201"/>
      <c r="I319" s="201"/>
      <c r="J319" s="201"/>
      <c r="K319" s="201"/>
      <c r="L319" s="201"/>
      <c r="M319" s="201"/>
      <c r="N319" s="201"/>
      <c r="O319" s="201"/>
      <c r="P319" s="201"/>
      <c r="Q319" s="201"/>
    </row>
  </sheetData>
  <phoneticPr fontId="62" type="noConversion"/>
  <hyperlinks>
    <hyperlink ref="A5" location="INDICE!A13" display="VOLVER AL INDICE" xr:uid="{714B7DD4-E33E-44CC-AA7C-94861EED8428}"/>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5">
    <pageSetUpPr autoPageBreaks="0"/>
  </sheetPr>
  <dimension ref="A1:P465"/>
  <sheetViews>
    <sheetView zoomScale="130" zoomScaleNormal="130" workbookViewId="0">
      <pane xSplit="1" ySplit="9" topLeftCell="J381" activePane="bottomRight" state="frozen"/>
      <selection pane="topRight" activeCell="B5" sqref="B5"/>
      <selection pane="bottomLeft" activeCell="B5" sqref="B5"/>
      <selection pane="bottomRight" activeCell="A5" sqref="A5"/>
    </sheetView>
  </sheetViews>
  <sheetFormatPr baseColWidth="10" defaultColWidth="11.42578125" defaultRowHeight="12.75"/>
  <cols>
    <col min="1" max="1" width="12" style="24" bestFit="1" customWidth="1"/>
    <col min="2" max="10" width="13.5703125" style="24" customWidth="1"/>
    <col min="11" max="11" width="19.42578125" style="24" customWidth="1"/>
    <col min="12" max="14" width="14.42578125" style="24" customWidth="1"/>
    <col min="15" max="16384" width="11.42578125" style="9"/>
  </cols>
  <sheetData>
    <row r="1" spans="1:16" ht="4.5" customHeight="1">
      <c r="A1" s="34"/>
      <c r="B1" s="73"/>
      <c r="C1" s="74"/>
      <c r="D1" s="74"/>
      <c r="E1" s="74"/>
      <c r="F1" s="74"/>
      <c r="G1" s="74"/>
      <c r="H1" s="74"/>
      <c r="I1" s="74"/>
      <c r="J1" s="74"/>
      <c r="K1" s="75"/>
      <c r="L1" s="2135"/>
      <c r="M1" s="2135"/>
      <c r="N1" s="2136"/>
      <c r="O1" s="201"/>
      <c r="P1" s="201"/>
    </row>
    <row r="2" spans="1:16" ht="45">
      <c r="A2" s="59" t="s">
        <v>105</v>
      </c>
      <c r="B2" s="66" t="s">
        <v>1205</v>
      </c>
      <c r="C2" s="1788"/>
      <c r="D2" s="1788"/>
      <c r="E2" s="1788"/>
      <c r="F2" s="1963"/>
      <c r="G2" s="1963"/>
      <c r="H2" s="1963"/>
      <c r="I2" s="1963"/>
      <c r="J2" s="1963"/>
      <c r="K2" s="1788" t="s">
        <v>1206</v>
      </c>
      <c r="L2" s="1788" t="s">
        <v>1207</v>
      </c>
      <c r="M2" s="1963"/>
      <c r="N2" s="1884"/>
      <c r="O2" s="201"/>
      <c r="P2" s="201"/>
    </row>
    <row r="3" spans="1:16">
      <c r="A3" s="37" t="s">
        <v>109</v>
      </c>
      <c r="B3" s="66" t="s">
        <v>114</v>
      </c>
      <c r="C3" s="1788"/>
      <c r="D3" s="1788"/>
      <c r="E3" s="1788"/>
      <c r="F3" s="1963"/>
      <c r="G3" s="1963"/>
      <c r="H3" s="1963"/>
      <c r="I3" s="1963"/>
      <c r="J3" s="1963"/>
      <c r="K3" s="1788" t="s">
        <v>1208</v>
      </c>
      <c r="L3" s="1788" t="s">
        <v>1208</v>
      </c>
      <c r="M3" s="1963"/>
      <c r="N3" s="1884"/>
      <c r="O3" s="201"/>
      <c r="P3" s="201"/>
    </row>
    <row r="4" spans="1:16">
      <c r="A4" s="76"/>
      <c r="B4" s="175" t="s">
        <v>1209</v>
      </c>
      <c r="C4" s="1963"/>
      <c r="D4" s="1963"/>
      <c r="E4" s="1963"/>
      <c r="F4" s="1963"/>
      <c r="G4" s="1963"/>
      <c r="H4" s="1963"/>
      <c r="I4" s="1963"/>
      <c r="J4" s="1963"/>
      <c r="K4" s="2137"/>
      <c r="L4" s="2459" t="s">
        <v>1210</v>
      </c>
      <c r="M4" s="155"/>
      <c r="N4" s="156"/>
      <c r="O4" s="201"/>
      <c r="P4" s="201"/>
    </row>
    <row r="5" spans="1:16" ht="33.75">
      <c r="A5" s="2390" t="s">
        <v>137</v>
      </c>
      <c r="B5" s="801" t="s">
        <v>1211</v>
      </c>
      <c r="C5" s="2138" t="s">
        <v>1212</v>
      </c>
      <c r="D5" s="804" t="s">
        <v>1213</v>
      </c>
      <c r="E5" s="1335" t="s">
        <v>1214</v>
      </c>
      <c r="F5" s="804" t="s">
        <v>1215</v>
      </c>
      <c r="G5" s="1335" t="s">
        <v>1216</v>
      </c>
      <c r="H5" s="804" t="s">
        <v>1217</v>
      </c>
      <c r="I5" s="1335" t="s">
        <v>1218</v>
      </c>
      <c r="J5" s="1735" t="s">
        <v>1219</v>
      </c>
      <c r="K5" s="1736" t="s">
        <v>1216</v>
      </c>
      <c r="L5" s="6" t="s">
        <v>1220</v>
      </c>
      <c r="M5" s="1318" t="s">
        <v>1221</v>
      </c>
      <c r="N5" s="1" t="s">
        <v>1222</v>
      </c>
      <c r="O5" s="201"/>
      <c r="P5" s="201"/>
    </row>
    <row r="6" spans="1:16" ht="3.75" hidden="1" customHeight="1">
      <c r="A6" s="76"/>
      <c r="B6" s="152"/>
      <c r="C6" s="909"/>
      <c r="D6" s="908"/>
      <c r="E6" s="153"/>
      <c r="F6" s="908"/>
      <c r="G6" s="153"/>
      <c r="H6" s="908"/>
      <c r="I6" s="153"/>
      <c r="J6" s="910">
        <v>0.30989999999999995</v>
      </c>
      <c r="K6" s="2137"/>
      <c r="L6" s="2460"/>
      <c r="M6" s="911"/>
      <c r="N6" s="154"/>
      <c r="O6" s="201"/>
      <c r="P6" s="201"/>
    </row>
    <row r="7" spans="1:16" ht="22.5">
      <c r="A7" s="2373" t="s">
        <v>123</v>
      </c>
      <c r="B7" s="6" t="s">
        <v>1223</v>
      </c>
      <c r="C7" s="1991" t="s">
        <v>1223</v>
      </c>
      <c r="D7" s="1318" t="s">
        <v>1223</v>
      </c>
      <c r="E7" s="8" t="s">
        <v>1223</v>
      </c>
      <c r="F7" s="1318" t="s">
        <v>1223</v>
      </c>
      <c r="G7" s="8" t="s">
        <v>1223</v>
      </c>
      <c r="H7" s="1318" t="s">
        <v>1223</v>
      </c>
      <c r="I7" s="8" t="s">
        <v>1223</v>
      </c>
      <c r="J7" s="794" t="s">
        <v>1223</v>
      </c>
      <c r="K7" s="1942" t="s">
        <v>1223</v>
      </c>
      <c r="L7" s="6" t="s">
        <v>1223</v>
      </c>
      <c r="M7" s="1318" t="s">
        <v>1223</v>
      </c>
      <c r="N7" s="1" t="s">
        <v>1223</v>
      </c>
      <c r="O7" s="201"/>
      <c r="P7" s="201"/>
    </row>
    <row r="8" spans="1:16" ht="13.5" customHeight="1">
      <c r="A8" s="147" t="s">
        <v>141</v>
      </c>
      <c r="B8" s="150" t="s">
        <v>1224</v>
      </c>
      <c r="C8" s="773" t="s">
        <v>1225</v>
      </c>
      <c r="D8" s="639" t="s">
        <v>1226</v>
      </c>
      <c r="E8" s="150" t="s">
        <v>1227</v>
      </c>
      <c r="F8" s="639" t="s">
        <v>1228</v>
      </c>
      <c r="G8" s="150" t="s">
        <v>1229</v>
      </c>
      <c r="H8" s="639" t="s">
        <v>1230</v>
      </c>
      <c r="I8" s="150" t="s">
        <v>1231</v>
      </c>
      <c r="J8" s="560" t="s">
        <v>1232</v>
      </c>
      <c r="K8" s="1964" t="s">
        <v>1233</v>
      </c>
      <c r="L8" s="2400" t="s">
        <v>1234</v>
      </c>
      <c r="M8" s="639" t="s">
        <v>1235</v>
      </c>
      <c r="N8" s="148" t="s">
        <v>1236</v>
      </c>
      <c r="O8" s="201"/>
      <c r="P8" s="201"/>
    </row>
    <row r="9" spans="1:16" ht="18" hidden="1" customHeight="1">
      <c r="A9" s="2990"/>
      <c r="B9" s="2643"/>
      <c r="C9" s="2644"/>
      <c r="D9" s="1319"/>
      <c r="E9" s="2645"/>
      <c r="F9" s="2646"/>
      <c r="G9" s="2645"/>
      <c r="H9" s="1319"/>
      <c r="I9" s="1319"/>
      <c r="J9" s="2645"/>
      <c r="K9" s="2647"/>
      <c r="L9" s="2436"/>
      <c r="M9" s="2646"/>
      <c r="N9" s="2648"/>
      <c r="O9" s="201"/>
      <c r="P9" s="201"/>
    </row>
    <row r="10" spans="1:16">
      <c r="A10" s="1340">
        <v>1993.01</v>
      </c>
      <c r="B10" s="38">
        <v>119114</v>
      </c>
      <c r="C10" s="2640">
        <v>7523</v>
      </c>
      <c r="D10" s="3196">
        <v>2983</v>
      </c>
      <c r="E10" s="199">
        <v>2063</v>
      </c>
      <c r="F10" s="3196">
        <v>25858</v>
      </c>
      <c r="G10" s="199">
        <v>77442</v>
      </c>
      <c r="H10" s="3197">
        <f>F10+G10</f>
        <v>103300</v>
      </c>
      <c r="I10" s="199">
        <v>252</v>
      </c>
      <c r="J10" s="2641">
        <v>2993</v>
      </c>
      <c r="K10" s="2642"/>
      <c r="L10" s="199">
        <v>8461</v>
      </c>
      <c r="M10" s="3196">
        <v>0</v>
      </c>
      <c r="N10" s="200">
        <v>99885</v>
      </c>
      <c r="O10" s="201"/>
      <c r="P10" s="201"/>
    </row>
    <row r="11" spans="1:16">
      <c r="A11" s="1340">
        <v>1993.02</v>
      </c>
      <c r="B11" s="252">
        <v>113930</v>
      </c>
      <c r="C11" s="2139">
        <v>6333</v>
      </c>
      <c r="D11" s="3198">
        <v>1624</v>
      </c>
      <c r="E11" s="2140">
        <v>2222</v>
      </c>
      <c r="F11" s="3198">
        <v>28684</v>
      </c>
      <c r="G11" s="2140">
        <v>71887</v>
      </c>
      <c r="H11" s="3199">
        <f>F11+G11</f>
        <v>100571</v>
      </c>
      <c r="I11" s="169">
        <v>337</v>
      </c>
      <c r="J11" s="2141">
        <v>2843</v>
      </c>
      <c r="K11" s="2131"/>
      <c r="L11" s="2142">
        <v>8319</v>
      </c>
      <c r="M11" s="3198">
        <v>0</v>
      </c>
      <c r="N11" s="2143">
        <v>96098</v>
      </c>
      <c r="O11" s="201"/>
      <c r="P11" s="201"/>
    </row>
    <row r="12" spans="1:16">
      <c r="A12" s="1340">
        <v>1993.03</v>
      </c>
      <c r="B12" s="252">
        <v>142901</v>
      </c>
      <c r="C12" s="2139">
        <v>6923</v>
      </c>
      <c r="D12" s="3198">
        <v>2151</v>
      </c>
      <c r="E12" s="2140">
        <v>1329</v>
      </c>
      <c r="F12" s="3198">
        <v>46339</v>
      </c>
      <c r="G12" s="2140">
        <v>82038</v>
      </c>
      <c r="H12" s="3199">
        <f t="shared" ref="H12:H75" si="0">F12+G12</f>
        <v>128377</v>
      </c>
      <c r="I12" s="169">
        <v>583</v>
      </c>
      <c r="J12" s="2141">
        <v>3538</v>
      </c>
      <c r="K12" s="2131"/>
      <c r="L12" s="2142">
        <v>11322</v>
      </c>
      <c r="M12" s="3198">
        <v>0</v>
      </c>
      <c r="N12" s="2143">
        <v>120535</v>
      </c>
      <c r="O12" s="201"/>
      <c r="P12" s="201"/>
    </row>
    <row r="13" spans="1:16">
      <c r="A13" s="1340">
        <v>1993.04</v>
      </c>
      <c r="B13" s="252">
        <v>133583</v>
      </c>
      <c r="C13" s="2139">
        <v>8599</v>
      </c>
      <c r="D13" s="3198">
        <v>2459</v>
      </c>
      <c r="E13" s="2140">
        <v>736</v>
      </c>
      <c r="F13" s="3198">
        <v>39270</v>
      </c>
      <c r="G13" s="2140">
        <v>78293</v>
      </c>
      <c r="H13" s="3199">
        <f t="shared" si="0"/>
        <v>117563</v>
      </c>
      <c r="I13" s="169">
        <v>751</v>
      </c>
      <c r="J13" s="2141">
        <v>3475</v>
      </c>
      <c r="K13" s="2131"/>
      <c r="L13" s="2142">
        <v>11035</v>
      </c>
      <c r="M13" s="3198">
        <v>0</v>
      </c>
      <c r="N13" s="2143">
        <v>109723</v>
      </c>
      <c r="O13" s="201"/>
      <c r="P13" s="201"/>
    </row>
    <row r="14" spans="1:16">
      <c r="A14" s="1340">
        <v>1993.05</v>
      </c>
      <c r="B14" s="252">
        <v>144213</v>
      </c>
      <c r="C14" s="2139">
        <v>23801</v>
      </c>
      <c r="D14" s="3198">
        <v>4789</v>
      </c>
      <c r="E14" s="2140">
        <v>577</v>
      </c>
      <c r="F14" s="3198">
        <v>27313</v>
      </c>
      <c r="G14" s="2140">
        <v>82644</v>
      </c>
      <c r="H14" s="3199">
        <f t="shared" si="0"/>
        <v>109957</v>
      </c>
      <c r="I14" s="169">
        <v>1371</v>
      </c>
      <c r="J14" s="2141">
        <v>3718</v>
      </c>
      <c r="K14" s="2131"/>
      <c r="L14" s="2142">
        <v>19232</v>
      </c>
      <c r="M14" s="3198">
        <v>0</v>
      </c>
      <c r="N14" s="2143">
        <v>96091</v>
      </c>
      <c r="O14" s="201"/>
      <c r="P14" s="201"/>
    </row>
    <row r="15" spans="1:16">
      <c r="A15" s="1340">
        <v>1993.06</v>
      </c>
      <c r="B15" s="252">
        <v>131956</v>
      </c>
      <c r="C15" s="2139">
        <v>36433</v>
      </c>
      <c r="D15" s="3198">
        <v>4776</v>
      </c>
      <c r="E15" s="2140">
        <v>1393</v>
      </c>
      <c r="F15" s="3198">
        <v>22281</v>
      </c>
      <c r="G15" s="2140">
        <v>60761</v>
      </c>
      <c r="H15" s="3199">
        <f t="shared" si="0"/>
        <v>83042</v>
      </c>
      <c r="I15" s="169">
        <v>2319</v>
      </c>
      <c r="J15" s="2141">
        <v>3993</v>
      </c>
      <c r="K15" s="2131"/>
      <c r="L15" s="2142">
        <v>20064</v>
      </c>
      <c r="M15" s="3198">
        <v>0</v>
      </c>
      <c r="N15" s="2143">
        <v>69147</v>
      </c>
      <c r="O15" s="201"/>
      <c r="P15" s="201"/>
    </row>
    <row r="16" spans="1:16">
      <c r="A16" s="1340">
        <v>1993.07</v>
      </c>
      <c r="B16" s="252">
        <v>126294</v>
      </c>
      <c r="C16" s="2139">
        <v>36650</v>
      </c>
      <c r="D16" s="3198">
        <v>5000</v>
      </c>
      <c r="E16" s="2140">
        <v>1281</v>
      </c>
      <c r="F16" s="3198">
        <v>13882</v>
      </c>
      <c r="G16" s="2140">
        <v>63178</v>
      </c>
      <c r="H16" s="3199">
        <f t="shared" si="0"/>
        <v>77060</v>
      </c>
      <c r="I16" s="169">
        <v>2294</v>
      </c>
      <c r="J16" s="2141">
        <v>4009</v>
      </c>
      <c r="K16" s="2131"/>
      <c r="L16" s="2142">
        <v>16259</v>
      </c>
      <c r="M16" s="3198">
        <v>0</v>
      </c>
      <c r="N16" s="2143">
        <v>67082</v>
      </c>
      <c r="O16" s="201"/>
      <c r="P16" s="201"/>
    </row>
    <row r="17" spans="1:14">
      <c r="A17" s="1340">
        <v>1993.08</v>
      </c>
      <c r="B17" s="252">
        <v>145076</v>
      </c>
      <c r="C17" s="2139">
        <v>29697</v>
      </c>
      <c r="D17" s="3198">
        <v>4163</v>
      </c>
      <c r="E17" s="2140">
        <v>1417</v>
      </c>
      <c r="F17" s="3198">
        <v>17981</v>
      </c>
      <c r="G17" s="2140">
        <v>85112</v>
      </c>
      <c r="H17" s="3199">
        <f t="shared" si="0"/>
        <v>103093</v>
      </c>
      <c r="I17" s="169">
        <v>2288</v>
      </c>
      <c r="J17" s="2141">
        <v>4418</v>
      </c>
      <c r="K17" s="2131"/>
      <c r="L17" s="2142">
        <v>18428</v>
      </c>
      <c r="M17" s="3198">
        <v>0</v>
      </c>
      <c r="N17" s="2143">
        <v>90245</v>
      </c>
    </row>
    <row r="18" spans="1:14">
      <c r="A18" s="1340">
        <v>1993.09</v>
      </c>
      <c r="B18" s="252">
        <v>136136</v>
      </c>
      <c r="C18" s="2139">
        <v>21194</v>
      </c>
      <c r="D18" s="3198">
        <v>3260</v>
      </c>
      <c r="E18" s="2140">
        <v>934</v>
      </c>
      <c r="F18" s="3198">
        <v>17535</v>
      </c>
      <c r="G18" s="2140">
        <v>86961</v>
      </c>
      <c r="H18" s="3199">
        <f t="shared" si="0"/>
        <v>104496</v>
      </c>
      <c r="I18" s="169">
        <v>1870</v>
      </c>
      <c r="J18" s="2141">
        <v>4382</v>
      </c>
      <c r="K18" s="2131"/>
      <c r="L18" s="2142">
        <v>17210</v>
      </c>
      <c r="M18" s="3198">
        <v>0</v>
      </c>
      <c r="N18" s="2143">
        <v>91480</v>
      </c>
    </row>
    <row r="19" spans="1:14">
      <c r="A19" s="1340">
        <v>1993.1</v>
      </c>
      <c r="B19" s="252">
        <v>128568</v>
      </c>
      <c r="C19" s="2139">
        <v>14154</v>
      </c>
      <c r="D19" s="3198">
        <v>2989</v>
      </c>
      <c r="E19" s="2140">
        <v>807</v>
      </c>
      <c r="F19" s="3198">
        <v>11574</v>
      </c>
      <c r="G19" s="2140">
        <v>92986</v>
      </c>
      <c r="H19" s="3199">
        <f t="shared" si="0"/>
        <v>104560</v>
      </c>
      <c r="I19" s="169">
        <v>1447</v>
      </c>
      <c r="J19" s="2141">
        <v>4611</v>
      </c>
      <c r="K19" s="2131"/>
      <c r="L19" s="2142">
        <v>16441</v>
      </c>
      <c r="M19" s="3198">
        <v>0</v>
      </c>
      <c r="N19" s="2143">
        <v>91915</v>
      </c>
    </row>
    <row r="20" spans="1:14">
      <c r="A20" s="1340">
        <v>1993.11</v>
      </c>
      <c r="B20" s="252">
        <v>138105</v>
      </c>
      <c r="C20" s="2139">
        <v>9130</v>
      </c>
      <c r="D20" s="3198">
        <v>1979</v>
      </c>
      <c r="E20" s="2140">
        <v>486</v>
      </c>
      <c r="F20" s="3198">
        <v>25007</v>
      </c>
      <c r="G20" s="2140">
        <v>96213</v>
      </c>
      <c r="H20" s="3199">
        <f t="shared" si="0"/>
        <v>121220</v>
      </c>
      <c r="I20" s="169">
        <v>932</v>
      </c>
      <c r="J20" s="2141">
        <v>4358</v>
      </c>
      <c r="K20" s="2131"/>
      <c r="L20" s="2142">
        <v>15087</v>
      </c>
      <c r="M20" s="3198">
        <v>0</v>
      </c>
      <c r="N20" s="2143">
        <v>108598</v>
      </c>
    </row>
    <row r="21" spans="1:14">
      <c r="A21" s="1340">
        <v>1993.12</v>
      </c>
      <c r="B21" s="252">
        <v>113753</v>
      </c>
      <c r="C21" s="2139">
        <v>10768</v>
      </c>
      <c r="D21" s="3198">
        <v>1980</v>
      </c>
      <c r="E21" s="2140">
        <v>402</v>
      </c>
      <c r="F21" s="3198">
        <v>8941</v>
      </c>
      <c r="G21" s="2140">
        <v>85894</v>
      </c>
      <c r="H21" s="3199">
        <f t="shared" si="0"/>
        <v>94835</v>
      </c>
      <c r="I21" s="169">
        <v>1080</v>
      </c>
      <c r="J21" s="2141">
        <v>4688</v>
      </c>
      <c r="K21" s="2131"/>
      <c r="L21" s="2142">
        <v>14532</v>
      </c>
      <c r="M21" s="3198">
        <v>0</v>
      </c>
      <c r="N21" s="2143">
        <v>82685</v>
      </c>
    </row>
    <row r="22" spans="1:14">
      <c r="A22" s="1340">
        <v>1994.01</v>
      </c>
      <c r="B22" s="252">
        <v>108378</v>
      </c>
      <c r="C22" s="1313">
        <v>7350</v>
      </c>
      <c r="D22" s="3034">
        <v>2456</v>
      </c>
      <c r="E22" s="2140">
        <v>394</v>
      </c>
      <c r="F22" s="3034">
        <v>1393</v>
      </c>
      <c r="G22" s="169">
        <v>91459</v>
      </c>
      <c r="H22" s="3199">
        <f t="shared" si="0"/>
        <v>92852</v>
      </c>
      <c r="I22" s="169">
        <v>739</v>
      </c>
      <c r="J22" s="2144">
        <v>4587</v>
      </c>
      <c r="K22" s="2131"/>
      <c r="L22" s="260">
        <v>15603</v>
      </c>
      <c r="M22" s="3198">
        <v>0</v>
      </c>
      <c r="N22" s="380">
        <v>80099</v>
      </c>
    </row>
    <row r="23" spans="1:14">
      <c r="A23" s="1340">
        <v>1994.02</v>
      </c>
      <c r="B23" s="252">
        <v>99990</v>
      </c>
      <c r="C23" s="1313">
        <v>6137</v>
      </c>
      <c r="D23" s="3034">
        <v>1984</v>
      </c>
      <c r="E23" s="2140">
        <v>378</v>
      </c>
      <c r="F23" s="3034">
        <v>11185</v>
      </c>
      <c r="G23" s="169">
        <v>75227</v>
      </c>
      <c r="H23" s="3199">
        <f t="shared" si="0"/>
        <v>86412</v>
      </c>
      <c r="I23" s="169">
        <v>802</v>
      </c>
      <c r="J23" s="2144">
        <v>4277</v>
      </c>
      <c r="K23" s="2131"/>
      <c r="L23" s="260">
        <v>12801</v>
      </c>
      <c r="M23" s="3198">
        <v>0</v>
      </c>
      <c r="N23" s="380">
        <v>75973</v>
      </c>
    </row>
    <row r="24" spans="1:14">
      <c r="A24" s="1340">
        <v>1994.03</v>
      </c>
      <c r="B24" s="252">
        <v>130743</v>
      </c>
      <c r="C24" s="1313">
        <v>8167</v>
      </c>
      <c r="D24" s="3034">
        <v>1026</v>
      </c>
      <c r="E24" s="2140">
        <v>324</v>
      </c>
      <c r="F24" s="3034">
        <v>25516</v>
      </c>
      <c r="G24" s="169">
        <v>89500</v>
      </c>
      <c r="H24" s="3199">
        <f t="shared" si="0"/>
        <v>115016</v>
      </c>
      <c r="I24" s="169">
        <v>1085</v>
      </c>
      <c r="J24" s="2144">
        <v>5125</v>
      </c>
      <c r="K24" s="2131"/>
      <c r="L24" s="260">
        <v>14200</v>
      </c>
      <c r="M24" s="3198">
        <v>0</v>
      </c>
      <c r="N24" s="380">
        <v>102166</v>
      </c>
    </row>
    <row r="25" spans="1:14">
      <c r="A25" s="1340">
        <v>1994.04</v>
      </c>
      <c r="B25" s="252">
        <v>121959</v>
      </c>
      <c r="C25" s="1313">
        <v>12603</v>
      </c>
      <c r="D25" s="3034">
        <v>2666</v>
      </c>
      <c r="E25" s="2140">
        <v>463</v>
      </c>
      <c r="F25" s="3034">
        <v>13491</v>
      </c>
      <c r="G25" s="169">
        <v>86386</v>
      </c>
      <c r="H25" s="3199">
        <f t="shared" si="0"/>
        <v>99877</v>
      </c>
      <c r="I25" s="169">
        <v>1505</v>
      </c>
      <c r="J25" s="2144">
        <v>4845</v>
      </c>
      <c r="K25" s="2131"/>
      <c r="L25" s="260">
        <v>15571</v>
      </c>
      <c r="M25" s="3198">
        <v>0</v>
      </c>
      <c r="N25" s="380">
        <v>87435</v>
      </c>
    </row>
    <row r="26" spans="1:14">
      <c r="A26" s="1340">
        <v>1994.05</v>
      </c>
      <c r="B26" s="252">
        <v>150866</v>
      </c>
      <c r="C26" s="1313">
        <v>15385</v>
      </c>
      <c r="D26" s="3034">
        <v>3217</v>
      </c>
      <c r="E26" s="2140">
        <v>598</v>
      </c>
      <c r="F26" s="3034">
        <v>26033</v>
      </c>
      <c r="G26" s="169">
        <v>98040</v>
      </c>
      <c r="H26" s="3199">
        <f t="shared" si="0"/>
        <v>124073</v>
      </c>
      <c r="I26" s="169">
        <v>2283</v>
      </c>
      <c r="J26" s="2144">
        <v>5310</v>
      </c>
      <c r="K26" s="2131"/>
      <c r="L26" s="260">
        <v>17628</v>
      </c>
      <c r="M26" s="3198">
        <v>0</v>
      </c>
      <c r="N26" s="380">
        <v>110260</v>
      </c>
    </row>
    <row r="27" spans="1:14">
      <c r="A27" s="1340">
        <v>1994.06</v>
      </c>
      <c r="B27" s="252">
        <v>158568</v>
      </c>
      <c r="C27" s="1313">
        <v>31235</v>
      </c>
      <c r="D27" s="3034">
        <v>4028</v>
      </c>
      <c r="E27" s="2140">
        <v>830</v>
      </c>
      <c r="F27" s="3034">
        <v>19453</v>
      </c>
      <c r="G27" s="169">
        <v>94519</v>
      </c>
      <c r="H27" s="3199">
        <f t="shared" si="0"/>
        <v>113972</v>
      </c>
      <c r="I27" s="169">
        <v>3260</v>
      </c>
      <c r="J27" s="2144">
        <v>5243</v>
      </c>
      <c r="K27" s="2131"/>
      <c r="L27" s="260">
        <v>18603</v>
      </c>
      <c r="M27" s="3198">
        <v>0</v>
      </c>
      <c r="N27" s="380">
        <v>100227</v>
      </c>
    </row>
    <row r="28" spans="1:14">
      <c r="A28" s="1340">
        <v>1994.07</v>
      </c>
      <c r="B28" s="252">
        <v>156425</v>
      </c>
      <c r="C28" s="1313">
        <v>31893</v>
      </c>
      <c r="D28" s="3034">
        <v>4392</v>
      </c>
      <c r="E28" s="2140">
        <v>1938</v>
      </c>
      <c r="F28" s="3034">
        <v>15396</v>
      </c>
      <c r="G28" s="169">
        <v>94024</v>
      </c>
      <c r="H28" s="3199">
        <f t="shared" si="0"/>
        <v>109420</v>
      </c>
      <c r="I28" s="169">
        <v>3268</v>
      </c>
      <c r="J28" s="2144">
        <v>5514</v>
      </c>
      <c r="K28" s="2131"/>
      <c r="L28" s="260">
        <v>18994</v>
      </c>
      <c r="M28" s="3198">
        <v>0</v>
      </c>
      <c r="N28" s="380">
        <v>96756</v>
      </c>
    </row>
    <row r="29" spans="1:14">
      <c r="A29" s="1340">
        <v>1994.08</v>
      </c>
      <c r="B29" s="252">
        <v>140699</v>
      </c>
      <c r="C29" s="1313">
        <v>23803</v>
      </c>
      <c r="D29" s="3034">
        <v>5070</v>
      </c>
      <c r="E29" s="2140">
        <v>1424</v>
      </c>
      <c r="F29" s="3034">
        <v>23330</v>
      </c>
      <c r="G29" s="169">
        <v>77895</v>
      </c>
      <c r="H29" s="3199">
        <f t="shared" si="0"/>
        <v>101225</v>
      </c>
      <c r="I29" s="169">
        <v>3033</v>
      </c>
      <c r="J29" s="2144">
        <v>6144</v>
      </c>
      <c r="K29" s="2131"/>
      <c r="L29" s="260">
        <v>15978</v>
      </c>
      <c r="M29" s="3198">
        <v>0</v>
      </c>
      <c r="N29" s="380">
        <v>91741</v>
      </c>
    </row>
    <row r="30" spans="1:14">
      <c r="A30" s="1340">
        <v>1994.09</v>
      </c>
      <c r="B30" s="252">
        <v>137254</v>
      </c>
      <c r="C30" s="1313">
        <v>27448</v>
      </c>
      <c r="D30" s="3034">
        <v>3540</v>
      </c>
      <c r="E30" s="2140">
        <v>899</v>
      </c>
      <c r="F30" s="3034">
        <v>19962</v>
      </c>
      <c r="G30" s="169">
        <v>77672</v>
      </c>
      <c r="H30" s="3199">
        <f t="shared" si="0"/>
        <v>97634</v>
      </c>
      <c r="I30" s="169">
        <v>1985</v>
      </c>
      <c r="J30" s="2144">
        <v>5748</v>
      </c>
      <c r="K30" s="2131"/>
      <c r="L30" s="260">
        <v>13709</v>
      </c>
      <c r="M30" s="3198">
        <v>0</v>
      </c>
      <c r="N30" s="380">
        <v>88364</v>
      </c>
    </row>
    <row r="31" spans="1:14">
      <c r="A31" s="1340">
        <v>1994.1</v>
      </c>
      <c r="B31" s="252">
        <v>113668</v>
      </c>
      <c r="C31" s="1313">
        <v>15202</v>
      </c>
      <c r="D31" s="3034">
        <v>2608</v>
      </c>
      <c r="E31" s="2140">
        <v>594</v>
      </c>
      <c r="F31" s="3034">
        <v>10980</v>
      </c>
      <c r="G31" s="169">
        <v>77184</v>
      </c>
      <c r="H31" s="3199">
        <f t="shared" si="0"/>
        <v>88164</v>
      </c>
      <c r="I31" s="169">
        <v>1234</v>
      </c>
      <c r="J31" s="2144">
        <v>5866</v>
      </c>
      <c r="K31" s="2131"/>
      <c r="L31" s="260">
        <v>12012</v>
      </c>
      <c r="M31" s="3198">
        <v>0</v>
      </c>
      <c r="N31" s="380">
        <v>79354</v>
      </c>
    </row>
    <row r="32" spans="1:14">
      <c r="A32" s="1340">
        <v>1994.11</v>
      </c>
      <c r="B32" s="252">
        <v>133814</v>
      </c>
      <c r="C32" s="1313">
        <v>9257</v>
      </c>
      <c r="D32" s="3034">
        <v>2252</v>
      </c>
      <c r="E32" s="2140">
        <v>319</v>
      </c>
      <c r="F32" s="3034">
        <v>20103</v>
      </c>
      <c r="G32" s="169">
        <v>94645</v>
      </c>
      <c r="H32" s="3199">
        <f t="shared" si="0"/>
        <v>114748</v>
      </c>
      <c r="I32" s="169">
        <v>1122</v>
      </c>
      <c r="J32" s="2144">
        <v>6116</v>
      </c>
      <c r="K32" s="2131"/>
      <c r="L32" s="260">
        <v>11818</v>
      </c>
      <c r="M32" s="3198">
        <v>0</v>
      </c>
      <c r="N32" s="380">
        <v>105501</v>
      </c>
    </row>
    <row r="33" spans="1:16">
      <c r="A33" s="1340">
        <v>1994.12</v>
      </c>
      <c r="B33" s="252">
        <v>139863</v>
      </c>
      <c r="C33" s="1313">
        <v>7340</v>
      </c>
      <c r="D33" s="3034">
        <v>1595</v>
      </c>
      <c r="E33" s="2140">
        <v>324</v>
      </c>
      <c r="F33" s="3034">
        <v>37603</v>
      </c>
      <c r="G33" s="169">
        <v>86093</v>
      </c>
      <c r="H33" s="3199">
        <f t="shared" si="0"/>
        <v>123696</v>
      </c>
      <c r="I33" s="169">
        <v>919</v>
      </c>
      <c r="J33" s="2144">
        <v>5989</v>
      </c>
      <c r="K33" s="2131"/>
      <c r="L33" s="260">
        <v>10781</v>
      </c>
      <c r="M33" s="3198">
        <v>0</v>
      </c>
      <c r="N33" s="380">
        <v>114834</v>
      </c>
      <c r="O33" s="201"/>
      <c r="P33" s="201"/>
    </row>
    <row r="34" spans="1:16">
      <c r="A34" s="1340">
        <v>1995.01</v>
      </c>
      <c r="B34" s="252">
        <v>129367</v>
      </c>
      <c r="C34" s="1313">
        <v>6809</v>
      </c>
      <c r="D34" s="3034">
        <v>1851</v>
      </c>
      <c r="E34" s="2140">
        <v>247</v>
      </c>
      <c r="F34" s="3034">
        <v>24701</v>
      </c>
      <c r="G34" s="169">
        <v>89131</v>
      </c>
      <c r="H34" s="3199">
        <f t="shared" si="0"/>
        <v>113832</v>
      </c>
      <c r="I34" s="169">
        <v>811</v>
      </c>
      <c r="J34" s="2144">
        <v>5817</v>
      </c>
      <c r="K34" s="60">
        <v>80528</v>
      </c>
      <c r="L34" s="260">
        <v>10730</v>
      </c>
      <c r="M34" s="3198">
        <v>0</v>
      </c>
      <c r="N34" s="380">
        <v>105200</v>
      </c>
      <c r="O34" s="201"/>
      <c r="P34" s="1321"/>
    </row>
    <row r="35" spans="1:16">
      <c r="A35" s="1340">
        <v>1995.02</v>
      </c>
      <c r="B35" s="252">
        <v>123833</v>
      </c>
      <c r="C35" s="1313">
        <v>5443</v>
      </c>
      <c r="D35" s="3034">
        <v>1949</v>
      </c>
      <c r="E35" s="2140">
        <v>340</v>
      </c>
      <c r="F35" s="3034">
        <v>35319</v>
      </c>
      <c r="G35" s="169">
        <v>74365</v>
      </c>
      <c r="H35" s="3199">
        <f t="shared" si="0"/>
        <v>109684</v>
      </c>
      <c r="I35" s="169">
        <v>890</v>
      </c>
      <c r="J35" s="2144">
        <v>5527</v>
      </c>
      <c r="K35" s="169">
        <v>66649</v>
      </c>
      <c r="L35" s="260">
        <v>10028</v>
      </c>
      <c r="M35" s="3198">
        <v>0</v>
      </c>
      <c r="N35" s="380">
        <v>101945</v>
      </c>
      <c r="O35" s="201"/>
      <c r="P35" s="1321"/>
    </row>
    <row r="36" spans="1:16">
      <c r="A36" s="1340">
        <v>1995.03</v>
      </c>
      <c r="B36" s="252">
        <v>132611</v>
      </c>
      <c r="C36" s="1313">
        <v>6830</v>
      </c>
      <c r="D36" s="3034">
        <v>2674</v>
      </c>
      <c r="E36" s="2140">
        <v>362</v>
      </c>
      <c r="F36" s="3034">
        <v>29032</v>
      </c>
      <c r="G36" s="169">
        <v>86583</v>
      </c>
      <c r="H36" s="3199">
        <f t="shared" si="0"/>
        <v>115615</v>
      </c>
      <c r="I36" s="169">
        <v>1348</v>
      </c>
      <c r="J36" s="2144">
        <v>5782</v>
      </c>
      <c r="K36" s="169">
        <v>76648</v>
      </c>
      <c r="L36" s="260">
        <v>13031</v>
      </c>
      <c r="M36" s="3198">
        <v>0</v>
      </c>
      <c r="N36" s="380">
        <v>105620</v>
      </c>
      <c r="O36" s="201"/>
      <c r="P36" s="1321"/>
    </row>
    <row r="37" spans="1:16">
      <c r="A37" s="1340">
        <v>1995.04</v>
      </c>
      <c r="B37" s="252">
        <v>137699</v>
      </c>
      <c r="C37" s="1313">
        <v>15189</v>
      </c>
      <c r="D37" s="3034">
        <v>2870</v>
      </c>
      <c r="E37" s="2140">
        <v>430</v>
      </c>
      <c r="F37" s="3034">
        <v>21778</v>
      </c>
      <c r="G37" s="169">
        <v>90017</v>
      </c>
      <c r="H37" s="3199">
        <f t="shared" si="0"/>
        <v>111795</v>
      </c>
      <c r="I37" s="169">
        <v>1470</v>
      </c>
      <c r="J37" s="2144">
        <v>5945</v>
      </c>
      <c r="K37" s="169">
        <v>80825</v>
      </c>
      <c r="L37" s="260">
        <v>12543</v>
      </c>
      <c r="M37" s="3198">
        <v>0</v>
      </c>
      <c r="N37" s="380">
        <v>102552</v>
      </c>
      <c r="O37" s="201"/>
      <c r="P37" s="1321"/>
    </row>
    <row r="38" spans="1:16">
      <c r="A38" s="1340">
        <v>1995.05</v>
      </c>
      <c r="B38" s="252">
        <v>140340</v>
      </c>
      <c r="C38" s="1313">
        <v>20481</v>
      </c>
      <c r="D38" s="3034">
        <v>3830</v>
      </c>
      <c r="E38" s="2140">
        <v>627</v>
      </c>
      <c r="F38" s="3034">
        <v>7563</v>
      </c>
      <c r="G38" s="169">
        <v>98934</v>
      </c>
      <c r="H38" s="3199">
        <f t="shared" si="0"/>
        <v>106497</v>
      </c>
      <c r="I38" s="169">
        <v>2313</v>
      </c>
      <c r="J38" s="2144">
        <v>6592</v>
      </c>
      <c r="K38" s="169">
        <v>88721</v>
      </c>
      <c r="L38" s="260">
        <v>14753</v>
      </c>
      <c r="M38" s="3198">
        <v>0</v>
      </c>
      <c r="N38" s="380">
        <v>96201</v>
      </c>
      <c r="O38" s="201"/>
      <c r="P38" s="1321"/>
    </row>
    <row r="39" spans="1:16">
      <c r="A39" s="1340">
        <v>1995.06</v>
      </c>
      <c r="B39" s="252">
        <v>159419</v>
      </c>
      <c r="C39" s="1313">
        <v>32335</v>
      </c>
      <c r="D39" s="3034">
        <v>3953</v>
      </c>
      <c r="E39" s="2140">
        <v>974</v>
      </c>
      <c r="F39" s="3034">
        <v>20700</v>
      </c>
      <c r="G39" s="169">
        <v>91781</v>
      </c>
      <c r="H39" s="3199">
        <f t="shared" si="0"/>
        <v>112481</v>
      </c>
      <c r="I39" s="169">
        <v>3462</v>
      </c>
      <c r="J39" s="2144">
        <v>6214</v>
      </c>
      <c r="K39" s="169">
        <v>81660</v>
      </c>
      <c r="L39" s="260">
        <v>15093</v>
      </c>
      <c r="M39" s="3198">
        <v>0</v>
      </c>
      <c r="N39" s="380">
        <v>102315</v>
      </c>
      <c r="O39" s="201"/>
      <c r="P39" s="1321"/>
    </row>
    <row r="40" spans="1:16">
      <c r="A40" s="1340">
        <v>1995.07</v>
      </c>
      <c r="B40" s="252">
        <v>170478</v>
      </c>
      <c r="C40" s="1313">
        <v>44679</v>
      </c>
      <c r="D40" s="3034">
        <v>5484</v>
      </c>
      <c r="E40" s="2140">
        <v>1211</v>
      </c>
      <c r="F40" s="3034">
        <v>19049</v>
      </c>
      <c r="G40" s="169">
        <v>90104</v>
      </c>
      <c r="H40" s="3199">
        <f t="shared" si="0"/>
        <v>109153</v>
      </c>
      <c r="I40" s="169">
        <v>3975</v>
      </c>
      <c r="J40" s="2144">
        <v>5976</v>
      </c>
      <c r="K40" s="169">
        <v>80291</v>
      </c>
      <c r="L40" s="260">
        <v>16558</v>
      </c>
      <c r="M40" s="3198">
        <v>0</v>
      </c>
      <c r="N40" s="380">
        <v>99290</v>
      </c>
      <c r="O40" s="201"/>
      <c r="P40" s="1321"/>
    </row>
    <row r="41" spans="1:16">
      <c r="A41" s="1340">
        <v>1995.08</v>
      </c>
      <c r="B41" s="252">
        <v>161321</v>
      </c>
      <c r="C41" s="1313">
        <v>33784</v>
      </c>
      <c r="D41" s="3034">
        <v>5371</v>
      </c>
      <c r="E41" s="2140">
        <v>1320</v>
      </c>
      <c r="F41" s="3034">
        <v>13672</v>
      </c>
      <c r="G41" s="169">
        <v>96854</v>
      </c>
      <c r="H41" s="3199">
        <f t="shared" si="0"/>
        <v>110526</v>
      </c>
      <c r="I41" s="169">
        <v>3641</v>
      </c>
      <c r="J41" s="2144">
        <v>6679</v>
      </c>
      <c r="K41" s="169">
        <v>86954</v>
      </c>
      <c r="L41" s="260">
        <v>16652</v>
      </c>
      <c r="M41" s="3198">
        <v>0</v>
      </c>
      <c r="N41" s="380">
        <v>100565</v>
      </c>
      <c r="O41" s="201"/>
      <c r="P41" s="1321"/>
    </row>
    <row r="42" spans="1:16">
      <c r="A42" s="1340">
        <v>1995.09</v>
      </c>
      <c r="B42" s="252">
        <v>145349</v>
      </c>
      <c r="C42" s="1313">
        <v>16585</v>
      </c>
      <c r="D42" s="3034">
        <v>3357</v>
      </c>
      <c r="E42" s="2140">
        <v>668</v>
      </c>
      <c r="F42" s="3034">
        <v>19616</v>
      </c>
      <c r="G42" s="169">
        <v>96675</v>
      </c>
      <c r="H42" s="3199">
        <f t="shared" si="0"/>
        <v>116291</v>
      </c>
      <c r="I42" s="169">
        <v>1927</v>
      </c>
      <c r="J42" s="2144">
        <v>6521</v>
      </c>
      <c r="K42" s="169">
        <v>87500</v>
      </c>
      <c r="L42" s="260">
        <v>13240</v>
      </c>
      <c r="M42" s="3198">
        <v>0</v>
      </c>
      <c r="N42" s="380">
        <v>107076</v>
      </c>
      <c r="O42" s="201"/>
      <c r="P42" s="1321"/>
    </row>
    <row r="43" spans="1:16">
      <c r="A43" s="1340">
        <v>1995.1</v>
      </c>
      <c r="B43" s="252">
        <v>126972</v>
      </c>
      <c r="C43" s="1313">
        <v>15436</v>
      </c>
      <c r="D43" s="3034">
        <v>3045</v>
      </c>
      <c r="E43" s="2140">
        <v>551</v>
      </c>
      <c r="F43" s="3034">
        <v>7027</v>
      </c>
      <c r="G43" s="169">
        <v>93023</v>
      </c>
      <c r="H43" s="3199">
        <f t="shared" si="0"/>
        <v>100050</v>
      </c>
      <c r="I43" s="169">
        <v>1529</v>
      </c>
      <c r="J43" s="2144">
        <v>6361</v>
      </c>
      <c r="K43" s="169">
        <v>84258</v>
      </c>
      <c r="L43" s="260">
        <v>12399</v>
      </c>
      <c r="M43" s="3198">
        <v>0</v>
      </c>
      <c r="N43" s="380">
        <v>91247</v>
      </c>
      <c r="O43" s="201"/>
      <c r="P43" s="1321"/>
    </row>
    <row r="44" spans="1:16">
      <c r="A44" s="1340">
        <v>1995.11</v>
      </c>
      <c r="B44" s="252">
        <v>121287</v>
      </c>
      <c r="C44" s="1313">
        <v>9819</v>
      </c>
      <c r="D44" s="3034">
        <v>2581</v>
      </c>
      <c r="E44" s="2140">
        <v>365</v>
      </c>
      <c r="F44" s="3034">
        <v>7311</v>
      </c>
      <c r="G44" s="169">
        <v>93540</v>
      </c>
      <c r="H44" s="3199">
        <f t="shared" si="0"/>
        <v>100851</v>
      </c>
      <c r="I44" s="169">
        <v>1193</v>
      </c>
      <c r="J44" s="2144">
        <v>6478</v>
      </c>
      <c r="K44" s="169">
        <v>84769</v>
      </c>
      <c r="L44" s="260">
        <v>11774</v>
      </c>
      <c r="M44" s="3198">
        <v>0</v>
      </c>
      <c r="N44" s="380">
        <v>92023</v>
      </c>
      <c r="O44" s="201"/>
      <c r="P44" s="1321"/>
    </row>
    <row r="45" spans="1:16">
      <c r="A45" s="1340">
        <v>1995.12</v>
      </c>
      <c r="B45" s="252">
        <v>125323</v>
      </c>
      <c r="C45" s="1313">
        <v>7670</v>
      </c>
      <c r="D45" s="3034">
        <v>2733</v>
      </c>
      <c r="E45" s="2140">
        <v>341</v>
      </c>
      <c r="F45" s="3034">
        <v>16462</v>
      </c>
      <c r="G45" s="169">
        <v>90947</v>
      </c>
      <c r="H45" s="3199">
        <f t="shared" si="0"/>
        <v>107409</v>
      </c>
      <c r="I45" s="169">
        <v>937</v>
      </c>
      <c r="J45" s="2144">
        <v>6233</v>
      </c>
      <c r="K45" s="169">
        <v>82683</v>
      </c>
      <c r="L45" s="260">
        <v>11433</v>
      </c>
      <c r="M45" s="3198">
        <v>0</v>
      </c>
      <c r="N45" s="380">
        <v>99050</v>
      </c>
      <c r="O45" s="201"/>
      <c r="P45" s="1321"/>
    </row>
    <row r="46" spans="1:16">
      <c r="A46" s="1340">
        <v>1996.01</v>
      </c>
      <c r="B46" s="252">
        <v>128151</v>
      </c>
      <c r="C46" s="1313">
        <v>7902</v>
      </c>
      <c r="D46" s="3034">
        <v>2170</v>
      </c>
      <c r="E46" s="2140">
        <v>288</v>
      </c>
      <c r="F46" s="3034">
        <v>21170</v>
      </c>
      <c r="G46" s="169">
        <v>89368</v>
      </c>
      <c r="H46" s="3199">
        <f t="shared" si="0"/>
        <v>110538</v>
      </c>
      <c r="I46" s="169">
        <v>719</v>
      </c>
      <c r="J46" s="2144">
        <v>6534</v>
      </c>
      <c r="K46" s="169">
        <v>80696</v>
      </c>
      <c r="L46" s="260">
        <v>11141</v>
      </c>
      <c r="M46" s="3198">
        <v>0</v>
      </c>
      <c r="N46" s="380">
        <v>101855</v>
      </c>
      <c r="O46" s="201"/>
      <c r="P46" s="1321"/>
    </row>
    <row r="47" spans="1:16">
      <c r="A47" s="1340">
        <v>1996.02</v>
      </c>
      <c r="B47" s="252">
        <v>115099</v>
      </c>
      <c r="C47" s="1313">
        <v>7605</v>
      </c>
      <c r="D47" s="3034">
        <v>2279</v>
      </c>
      <c r="E47" s="2140">
        <v>284</v>
      </c>
      <c r="F47" s="3034">
        <v>13056</v>
      </c>
      <c r="G47" s="169">
        <v>85299</v>
      </c>
      <c r="H47" s="3199">
        <f t="shared" si="0"/>
        <v>98355</v>
      </c>
      <c r="I47" s="169">
        <v>1027</v>
      </c>
      <c r="J47" s="2144">
        <v>5549</v>
      </c>
      <c r="K47" s="169">
        <v>77724</v>
      </c>
      <c r="L47" s="260">
        <v>10157</v>
      </c>
      <c r="M47" s="3198">
        <v>0</v>
      </c>
      <c r="N47" s="380">
        <v>90761</v>
      </c>
      <c r="O47" s="201"/>
      <c r="P47" s="1321"/>
    </row>
    <row r="48" spans="1:16">
      <c r="A48" s="1340">
        <v>1996.03</v>
      </c>
      <c r="B48" s="252">
        <v>126949</v>
      </c>
      <c r="C48" s="1313">
        <v>10073</v>
      </c>
      <c r="D48" s="3034">
        <v>2527</v>
      </c>
      <c r="E48" s="2140">
        <v>348</v>
      </c>
      <c r="F48" s="3034">
        <v>18261</v>
      </c>
      <c r="G48" s="169">
        <v>87804</v>
      </c>
      <c r="H48" s="3199">
        <f t="shared" si="0"/>
        <v>106065</v>
      </c>
      <c r="I48" s="169">
        <v>1369</v>
      </c>
      <c r="J48" s="2144">
        <v>6567</v>
      </c>
      <c r="K48" s="169">
        <v>78100</v>
      </c>
      <c r="L48" s="260">
        <v>12608</v>
      </c>
      <c r="M48" s="3198">
        <v>0</v>
      </c>
      <c r="N48" s="380">
        <v>96332</v>
      </c>
      <c r="O48" s="201"/>
      <c r="P48" s="1321"/>
    </row>
    <row r="49" spans="1:16">
      <c r="A49" s="1340">
        <v>1996.04</v>
      </c>
      <c r="B49" s="252">
        <v>124646</v>
      </c>
      <c r="C49" s="1313">
        <v>11926</v>
      </c>
      <c r="D49" s="3034">
        <v>3140</v>
      </c>
      <c r="E49" s="2140">
        <v>387</v>
      </c>
      <c r="F49" s="3034">
        <v>10098</v>
      </c>
      <c r="G49" s="169">
        <v>90863</v>
      </c>
      <c r="H49" s="3199">
        <f t="shared" si="0"/>
        <v>100961</v>
      </c>
      <c r="I49" s="169">
        <v>1833</v>
      </c>
      <c r="J49" s="2144">
        <v>6399</v>
      </c>
      <c r="K49" s="169">
        <v>81134</v>
      </c>
      <c r="L49" s="260">
        <v>13277</v>
      </c>
      <c r="M49" s="3198">
        <v>0</v>
      </c>
      <c r="N49" s="380">
        <v>91211</v>
      </c>
      <c r="O49" s="201"/>
      <c r="P49" s="1321"/>
    </row>
    <row r="50" spans="1:16">
      <c r="A50" s="1340">
        <v>1996.05</v>
      </c>
      <c r="B50" s="252">
        <v>147216</v>
      </c>
      <c r="C50" s="1313">
        <v>20320</v>
      </c>
      <c r="D50" s="3034">
        <v>4268</v>
      </c>
      <c r="E50" s="2140">
        <v>615</v>
      </c>
      <c r="F50" s="3034">
        <v>12073</v>
      </c>
      <c r="G50" s="169">
        <v>100306</v>
      </c>
      <c r="H50" s="3199">
        <f t="shared" si="0"/>
        <v>112379</v>
      </c>
      <c r="I50" s="169">
        <v>2822</v>
      </c>
      <c r="J50" s="2144">
        <v>6812</v>
      </c>
      <c r="K50" s="169">
        <v>90196</v>
      </c>
      <c r="L50" s="260">
        <v>14993</v>
      </c>
      <c r="M50" s="3198">
        <v>0</v>
      </c>
      <c r="N50" s="380">
        <v>102269</v>
      </c>
      <c r="O50" s="201"/>
      <c r="P50" s="1321"/>
    </row>
    <row r="51" spans="1:16">
      <c r="A51" s="1340">
        <v>1996.06</v>
      </c>
      <c r="B51" s="252">
        <v>157062</v>
      </c>
      <c r="C51" s="1313">
        <v>40211</v>
      </c>
      <c r="D51" s="3034">
        <v>4997</v>
      </c>
      <c r="E51" s="2140">
        <v>965</v>
      </c>
      <c r="F51" s="3034">
        <v>8131</v>
      </c>
      <c r="G51" s="169">
        <v>92290</v>
      </c>
      <c r="H51" s="3199">
        <f t="shared" si="0"/>
        <v>100421</v>
      </c>
      <c r="I51" s="169">
        <v>4029</v>
      </c>
      <c r="J51" s="2144">
        <v>6439</v>
      </c>
      <c r="K51" s="169">
        <v>81615</v>
      </c>
      <c r="L51" s="260">
        <v>15648</v>
      </c>
      <c r="M51" s="3198">
        <v>0</v>
      </c>
      <c r="N51" s="380">
        <v>90735</v>
      </c>
      <c r="O51" s="201"/>
      <c r="P51" s="1321"/>
    </row>
    <row r="52" spans="1:16">
      <c r="A52" s="1340">
        <v>1996.07</v>
      </c>
      <c r="B52" s="252">
        <v>158832</v>
      </c>
      <c r="C52" s="1313">
        <v>41428</v>
      </c>
      <c r="D52" s="3034">
        <v>6467</v>
      </c>
      <c r="E52" s="2140">
        <v>1372</v>
      </c>
      <c r="F52" s="3034">
        <v>2785</v>
      </c>
      <c r="G52" s="169">
        <v>93342</v>
      </c>
      <c r="H52" s="3199">
        <f t="shared" si="0"/>
        <v>96127</v>
      </c>
      <c r="I52" s="169">
        <v>5921</v>
      </c>
      <c r="J52" s="2144">
        <v>7517</v>
      </c>
      <c r="K52" s="169">
        <v>81800</v>
      </c>
      <c r="L52" s="260">
        <v>19391</v>
      </c>
      <c r="M52" s="3198">
        <v>0</v>
      </c>
      <c r="N52" s="380">
        <v>84575</v>
      </c>
      <c r="O52" s="201"/>
      <c r="P52" s="1321"/>
    </row>
    <row r="53" spans="1:16">
      <c r="A53" s="1340">
        <v>1996.08</v>
      </c>
      <c r="B53" s="252">
        <v>155946</v>
      </c>
      <c r="C53" s="1313">
        <v>23699</v>
      </c>
      <c r="D53" s="3034">
        <v>4668</v>
      </c>
      <c r="E53" s="2140">
        <v>1074</v>
      </c>
      <c r="F53" s="3034">
        <v>17284</v>
      </c>
      <c r="G53" s="169">
        <v>99125</v>
      </c>
      <c r="H53" s="3199">
        <f t="shared" si="0"/>
        <v>116409</v>
      </c>
      <c r="I53" s="169">
        <v>3091</v>
      </c>
      <c r="J53" s="2144">
        <v>7005</v>
      </c>
      <c r="K53" s="169">
        <v>88882</v>
      </c>
      <c r="L53" s="260">
        <v>15993</v>
      </c>
      <c r="M53" s="3198">
        <v>0</v>
      </c>
      <c r="N53" s="380">
        <v>106158</v>
      </c>
      <c r="O53" s="201"/>
      <c r="P53" s="1321"/>
    </row>
    <row r="54" spans="1:16">
      <c r="A54" s="1340">
        <v>1996.09</v>
      </c>
      <c r="B54" s="252">
        <v>152110</v>
      </c>
      <c r="C54" s="1313">
        <v>18242</v>
      </c>
      <c r="D54" s="3034">
        <v>4001</v>
      </c>
      <c r="E54" s="2140">
        <v>824</v>
      </c>
      <c r="F54" s="3034">
        <v>19468</v>
      </c>
      <c r="G54" s="169">
        <v>99681</v>
      </c>
      <c r="H54" s="3199">
        <f t="shared" si="0"/>
        <v>119149</v>
      </c>
      <c r="I54" s="169">
        <v>2857</v>
      </c>
      <c r="J54" s="2144">
        <v>7037</v>
      </c>
      <c r="K54" s="169">
        <v>89356</v>
      </c>
      <c r="L54" s="260">
        <v>15151</v>
      </c>
      <c r="M54" s="3198">
        <v>0</v>
      </c>
      <c r="N54" s="380">
        <v>108823</v>
      </c>
      <c r="O54" s="201"/>
      <c r="P54" s="1321"/>
    </row>
    <row r="55" spans="1:16">
      <c r="A55" s="1340">
        <v>1996.1</v>
      </c>
      <c r="B55" s="252">
        <v>134236</v>
      </c>
      <c r="C55" s="1313">
        <v>13025</v>
      </c>
      <c r="D55" s="3034">
        <v>2966</v>
      </c>
      <c r="E55" s="2140">
        <v>561</v>
      </c>
      <c r="F55" s="3034">
        <v>10878</v>
      </c>
      <c r="G55" s="169">
        <v>97588</v>
      </c>
      <c r="H55" s="3199">
        <f t="shared" si="0"/>
        <v>108466</v>
      </c>
      <c r="I55" s="169">
        <v>1715</v>
      </c>
      <c r="J55" s="2144">
        <v>7503</v>
      </c>
      <c r="K55" s="169">
        <v>87278</v>
      </c>
      <c r="L55" s="260">
        <v>13842</v>
      </c>
      <c r="M55" s="3198">
        <v>0</v>
      </c>
      <c r="N55" s="380">
        <v>98151</v>
      </c>
      <c r="O55" s="201"/>
      <c r="P55" s="1321"/>
    </row>
    <row r="56" spans="1:16">
      <c r="A56" s="1340">
        <v>1996.11</v>
      </c>
      <c r="B56" s="252">
        <v>142736</v>
      </c>
      <c r="C56" s="1313">
        <v>12461</v>
      </c>
      <c r="D56" s="3034">
        <v>2910</v>
      </c>
      <c r="E56" s="2140">
        <v>423</v>
      </c>
      <c r="F56" s="3034">
        <v>24167</v>
      </c>
      <c r="G56" s="169">
        <v>94454</v>
      </c>
      <c r="H56" s="3199">
        <f t="shared" si="0"/>
        <v>118621</v>
      </c>
      <c r="I56" s="169">
        <v>1278</v>
      </c>
      <c r="J56" s="2144">
        <v>7043</v>
      </c>
      <c r="K56" s="169">
        <v>84402</v>
      </c>
      <c r="L56" s="260">
        <v>13394</v>
      </c>
      <c r="M56" s="3198">
        <v>0</v>
      </c>
      <c r="N56" s="380">
        <v>108560</v>
      </c>
      <c r="O56" s="201"/>
      <c r="P56" s="1321"/>
    </row>
    <row r="57" spans="1:16">
      <c r="A57" s="1340">
        <v>1996.12</v>
      </c>
      <c r="B57" s="252">
        <v>140703</v>
      </c>
      <c r="C57" s="1313">
        <v>10178</v>
      </c>
      <c r="D57" s="3034">
        <v>2934</v>
      </c>
      <c r="E57" s="2140">
        <v>388</v>
      </c>
      <c r="F57" s="3034">
        <v>29731</v>
      </c>
      <c r="G57" s="169">
        <v>88531</v>
      </c>
      <c r="H57" s="3199">
        <f t="shared" si="0"/>
        <v>118262</v>
      </c>
      <c r="I57" s="169">
        <v>1215</v>
      </c>
      <c r="J57" s="2144">
        <v>7726</v>
      </c>
      <c r="K57" s="169">
        <v>78561</v>
      </c>
      <c r="L57" s="260">
        <v>13294</v>
      </c>
      <c r="M57" s="3198">
        <v>0</v>
      </c>
      <c r="N57" s="380">
        <v>108290</v>
      </c>
      <c r="O57" s="201"/>
      <c r="P57" s="1321"/>
    </row>
    <row r="58" spans="1:16">
      <c r="A58" s="1340">
        <v>1997.01</v>
      </c>
      <c r="B58" s="252">
        <v>125815</v>
      </c>
      <c r="C58" s="1313">
        <v>8643</v>
      </c>
      <c r="D58" s="3034">
        <v>2347</v>
      </c>
      <c r="E58" s="2140">
        <v>282</v>
      </c>
      <c r="F58" s="3034">
        <v>32262</v>
      </c>
      <c r="G58" s="169">
        <v>74293</v>
      </c>
      <c r="H58" s="3199">
        <f t="shared" si="0"/>
        <v>106555</v>
      </c>
      <c r="I58" s="169">
        <v>893</v>
      </c>
      <c r="J58" s="2144">
        <v>7095</v>
      </c>
      <c r="K58" s="169">
        <v>65513</v>
      </c>
      <c r="L58" s="260">
        <v>11412</v>
      </c>
      <c r="M58" s="3198">
        <v>0</v>
      </c>
      <c r="N58" s="380">
        <v>97772</v>
      </c>
      <c r="O58" s="201"/>
      <c r="P58" s="1321"/>
    </row>
    <row r="59" spans="1:16">
      <c r="A59" s="1340">
        <v>1997.02</v>
      </c>
      <c r="B59" s="252">
        <v>119423</v>
      </c>
      <c r="C59" s="1313">
        <v>8050</v>
      </c>
      <c r="D59" s="3034">
        <v>2391</v>
      </c>
      <c r="E59" s="2140">
        <v>307</v>
      </c>
      <c r="F59" s="3034">
        <v>21715</v>
      </c>
      <c r="G59" s="169">
        <v>79087</v>
      </c>
      <c r="H59" s="3199">
        <f t="shared" si="0"/>
        <v>100802</v>
      </c>
      <c r="I59" s="169">
        <v>1121</v>
      </c>
      <c r="J59" s="2144">
        <v>6752</v>
      </c>
      <c r="K59" s="169">
        <v>70973</v>
      </c>
      <c r="L59" s="260">
        <v>10815</v>
      </c>
      <c r="M59" s="3198">
        <v>0</v>
      </c>
      <c r="N59" s="380">
        <v>92685</v>
      </c>
      <c r="O59" s="201"/>
      <c r="P59" s="1321"/>
    </row>
    <row r="60" spans="1:16">
      <c r="A60" s="1340">
        <v>1997.03</v>
      </c>
      <c r="B60" s="252">
        <v>138201</v>
      </c>
      <c r="C60" s="1313">
        <v>9955</v>
      </c>
      <c r="D60" s="3034">
        <v>3177</v>
      </c>
      <c r="E60" s="2140">
        <v>357</v>
      </c>
      <c r="F60" s="3034">
        <v>26387</v>
      </c>
      <c r="G60" s="169">
        <v>89529</v>
      </c>
      <c r="H60" s="3199">
        <f t="shared" si="0"/>
        <v>115916</v>
      </c>
      <c r="I60" s="169">
        <v>1484</v>
      </c>
      <c r="J60" s="2144">
        <v>7312</v>
      </c>
      <c r="K60" s="169">
        <v>79680</v>
      </c>
      <c r="L60" s="260">
        <v>13388</v>
      </c>
      <c r="M60" s="3198">
        <v>0</v>
      </c>
      <c r="N60" s="380">
        <v>106062</v>
      </c>
      <c r="O60" s="201"/>
      <c r="P60" s="1321"/>
    </row>
    <row r="61" spans="1:16">
      <c r="A61" s="1340">
        <v>1997.04</v>
      </c>
      <c r="B61" s="252">
        <v>149022</v>
      </c>
      <c r="C61" s="1313">
        <v>11905</v>
      </c>
      <c r="D61" s="3034">
        <v>3238</v>
      </c>
      <c r="E61" s="2140">
        <v>399</v>
      </c>
      <c r="F61" s="3034">
        <v>27481</v>
      </c>
      <c r="G61" s="169">
        <v>95704</v>
      </c>
      <c r="H61" s="3199">
        <f t="shared" si="0"/>
        <v>123185</v>
      </c>
      <c r="I61" s="169">
        <v>1875</v>
      </c>
      <c r="J61" s="2144">
        <v>8420</v>
      </c>
      <c r="K61" s="169">
        <v>84749</v>
      </c>
      <c r="L61" s="260">
        <v>14594</v>
      </c>
      <c r="M61" s="3198">
        <v>0</v>
      </c>
      <c r="N61" s="380">
        <v>112228</v>
      </c>
      <c r="O61" s="201"/>
      <c r="P61" s="1321"/>
    </row>
    <row r="62" spans="1:16">
      <c r="A62" s="1340">
        <v>1997.05</v>
      </c>
      <c r="B62" s="252">
        <v>154939</v>
      </c>
      <c r="C62" s="1313">
        <v>21444</v>
      </c>
      <c r="D62" s="3034">
        <v>3405</v>
      </c>
      <c r="E62" s="2140">
        <v>524</v>
      </c>
      <c r="F62" s="3034">
        <v>20309</v>
      </c>
      <c r="G62" s="169">
        <v>98715</v>
      </c>
      <c r="H62" s="3199">
        <f t="shared" si="0"/>
        <v>119024</v>
      </c>
      <c r="I62" s="169">
        <v>2579</v>
      </c>
      <c r="J62" s="2144">
        <v>7963</v>
      </c>
      <c r="K62" s="169">
        <v>87996</v>
      </c>
      <c r="L62" s="260">
        <v>14649</v>
      </c>
      <c r="M62" s="3198">
        <v>0</v>
      </c>
      <c r="N62" s="380">
        <v>108304</v>
      </c>
      <c r="O62" s="201"/>
      <c r="P62" s="1321"/>
    </row>
    <row r="63" spans="1:16">
      <c r="A63" s="1340">
        <v>1997.06</v>
      </c>
      <c r="B63" s="252">
        <v>165533</v>
      </c>
      <c r="C63" s="1313">
        <v>39608</v>
      </c>
      <c r="D63" s="3034">
        <v>5102</v>
      </c>
      <c r="E63" s="2140">
        <v>1107</v>
      </c>
      <c r="F63" s="3034">
        <v>6119</v>
      </c>
      <c r="G63" s="169">
        <v>100922</v>
      </c>
      <c r="H63" s="3199">
        <f t="shared" si="0"/>
        <v>107041</v>
      </c>
      <c r="I63" s="169">
        <v>4545</v>
      </c>
      <c r="J63" s="2144">
        <v>8130</v>
      </c>
      <c r="K63" s="169">
        <v>90540</v>
      </c>
      <c r="L63" s="260">
        <v>16595</v>
      </c>
      <c r="M63" s="3198">
        <v>0</v>
      </c>
      <c r="N63" s="380">
        <v>96655</v>
      </c>
      <c r="O63" s="201"/>
      <c r="P63" s="1321"/>
    </row>
    <row r="64" spans="1:16">
      <c r="A64" s="1340">
        <v>1997.07</v>
      </c>
      <c r="B64" s="252">
        <v>159170</v>
      </c>
      <c r="C64" s="1313">
        <v>38144</v>
      </c>
      <c r="D64" s="3034">
        <v>5879</v>
      </c>
      <c r="E64" s="2140">
        <v>1420</v>
      </c>
      <c r="F64" s="3034">
        <v>688</v>
      </c>
      <c r="G64" s="169">
        <v>99394</v>
      </c>
      <c r="H64" s="3199">
        <f t="shared" si="0"/>
        <v>100082</v>
      </c>
      <c r="I64" s="169">
        <v>5370</v>
      </c>
      <c r="J64" s="2144">
        <v>8275</v>
      </c>
      <c r="K64" s="169">
        <v>89124</v>
      </c>
      <c r="L64" s="260">
        <v>18400</v>
      </c>
      <c r="M64" s="3198">
        <v>0</v>
      </c>
      <c r="N64" s="380">
        <v>88981</v>
      </c>
      <c r="O64" s="201"/>
      <c r="P64" s="1321"/>
    </row>
    <row r="65" spans="1:16">
      <c r="A65" s="1340">
        <v>1997.08</v>
      </c>
      <c r="B65" s="252">
        <v>150258</v>
      </c>
      <c r="C65" s="1313">
        <v>32925</v>
      </c>
      <c r="D65" s="3034">
        <v>5162</v>
      </c>
      <c r="E65" s="2140">
        <v>1032</v>
      </c>
      <c r="F65" s="3034">
        <v>7314</v>
      </c>
      <c r="G65" s="169">
        <v>90999</v>
      </c>
      <c r="H65" s="3199">
        <f t="shared" si="0"/>
        <v>98313</v>
      </c>
      <c r="I65" s="169">
        <v>4447</v>
      </c>
      <c r="J65" s="2144">
        <v>8379</v>
      </c>
      <c r="K65" s="169">
        <v>80331</v>
      </c>
      <c r="L65" s="260">
        <v>16868</v>
      </c>
      <c r="M65" s="3198">
        <v>0</v>
      </c>
      <c r="N65" s="380">
        <v>87639</v>
      </c>
      <c r="O65" s="201"/>
      <c r="P65" s="1321"/>
    </row>
    <row r="66" spans="1:16">
      <c r="A66" s="1340">
        <v>1997.09</v>
      </c>
      <c r="B66" s="252">
        <v>151245</v>
      </c>
      <c r="C66" s="1313">
        <v>21826</v>
      </c>
      <c r="D66" s="3034">
        <v>4418</v>
      </c>
      <c r="E66" s="2140">
        <v>788</v>
      </c>
      <c r="F66" s="3034">
        <v>11561</v>
      </c>
      <c r="G66" s="169">
        <v>101574</v>
      </c>
      <c r="H66" s="3199">
        <f t="shared" si="0"/>
        <v>113135</v>
      </c>
      <c r="I66" s="169">
        <v>2644</v>
      </c>
      <c r="J66" s="2144">
        <v>8434</v>
      </c>
      <c r="K66" s="169">
        <v>90750</v>
      </c>
      <c r="L66" s="260">
        <v>16034</v>
      </c>
      <c r="M66" s="3198">
        <v>0</v>
      </c>
      <c r="N66" s="380">
        <v>102307</v>
      </c>
      <c r="O66" s="201"/>
      <c r="P66" s="1321"/>
    </row>
    <row r="67" spans="1:16">
      <c r="A67" s="1340">
        <v>1997.1</v>
      </c>
      <c r="B67" s="252">
        <v>155702</v>
      </c>
      <c r="C67" s="1313">
        <v>14206</v>
      </c>
      <c r="D67" s="3034">
        <v>3569</v>
      </c>
      <c r="E67" s="2140">
        <v>536</v>
      </c>
      <c r="F67" s="3034">
        <v>15352</v>
      </c>
      <c r="G67" s="169">
        <v>111098</v>
      </c>
      <c r="H67" s="3199">
        <f t="shared" si="0"/>
        <v>126450</v>
      </c>
      <c r="I67" s="169">
        <v>1929</v>
      </c>
      <c r="J67" s="2144">
        <v>9012</v>
      </c>
      <c r="K67" s="169">
        <v>100415</v>
      </c>
      <c r="L67" s="260">
        <v>14791</v>
      </c>
      <c r="M67" s="3198">
        <v>0</v>
      </c>
      <c r="N67" s="380">
        <v>115764</v>
      </c>
      <c r="O67" s="201"/>
      <c r="P67" s="1321"/>
    </row>
    <row r="68" spans="1:16">
      <c r="A68" s="1340">
        <v>1997.11</v>
      </c>
      <c r="B68" s="252">
        <v>145514</v>
      </c>
      <c r="C68" s="1313">
        <v>10455</v>
      </c>
      <c r="D68" s="3034">
        <v>3494</v>
      </c>
      <c r="E68" s="2140">
        <v>438</v>
      </c>
      <c r="F68" s="3034">
        <v>20167</v>
      </c>
      <c r="G68" s="169">
        <v>101259</v>
      </c>
      <c r="H68" s="3199">
        <f t="shared" si="0"/>
        <v>121426</v>
      </c>
      <c r="I68" s="169">
        <v>1543</v>
      </c>
      <c r="J68" s="2144">
        <v>8158</v>
      </c>
      <c r="K68" s="169">
        <v>92161</v>
      </c>
      <c r="L68" s="260">
        <v>13039</v>
      </c>
      <c r="M68" s="3198">
        <v>0</v>
      </c>
      <c r="N68" s="380">
        <v>112319</v>
      </c>
      <c r="O68" s="201"/>
      <c r="P68" s="1321"/>
    </row>
    <row r="69" spans="1:16">
      <c r="A69" s="1340">
        <v>1997.12</v>
      </c>
      <c r="B69" s="252">
        <v>143071</v>
      </c>
      <c r="C69" s="1313">
        <v>11570</v>
      </c>
      <c r="D69" s="3034">
        <v>3194</v>
      </c>
      <c r="E69" s="2140">
        <v>344</v>
      </c>
      <c r="F69" s="3034">
        <v>18289</v>
      </c>
      <c r="G69" s="169">
        <v>98931</v>
      </c>
      <c r="H69" s="3199">
        <f t="shared" si="0"/>
        <v>117220</v>
      </c>
      <c r="I69" s="169">
        <v>1356</v>
      </c>
      <c r="J69" s="2144">
        <v>9387</v>
      </c>
      <c r="K69" s="169">
        <v>89798</v>
      </c>
      <c r="L69" s="260">
        <v>12674</v>
      </c>
      <c r="M69" s="3198">
        <v>0</v>
      </c>
      <c r="N69" s="380">
        <v>108084</v>
      </c>
      <c r="O69" s="201"/>
      <c r="P69" s="1321"/>
    </row>
    <row r="70" spans="1:16">
      <c r="A70" s="1340">
        <v>1998.01</v>
      </c>
      <c r="B70" s="252">
        <v>139475</v>
      </c>
      <c r="C70" s="1313">
        <v>9277</v>
      </c>
      <c r="D70" s="3034">
        <v>2702</v>
      </c>
      <c r="E70" s="2140">
        <v>298</v>
      </c>
      <c r="F70" s="3034">
        <v>18401</v>
      </c>
      <c r="G70" s="169">
        <v>99058</v>
      </c>
      <c r="H70" s="3199">
        <f t="shared" si="0"/>
        <v>117459</v>
      </c>
      <c r="I70" s="169">
        <v>1275</v>
      </c>
      <c r="J70" s="2144">
        <v>8464</v>
      </c>
      <c r="K70" s="169">
        <v>91071</v>
      </c>
      <c r="L70" s="260">
        <v>10989</v>
      </c>
      <c r="M70" s="3198">
        <v>0</v>
      </c>
      <c r="N70" s="380">
        <v>109470</v>
      </c>
      <c r="O70" s="201"/>
      <c r="P70" s="1321"/>
    </row>
    <row r="71" spans="1:16">
      <c r="A71" s="1340">
        <v>1998.02</v>
      </c>
      <c r="B71" s="252">
        <v>122423</v>
      </c>
      <c r="C71" s="1313">
        <v>8372</v>
      </c>
      <c r="D71" s="3034">
        <v>2760</v>
      </c>
      <c r="E71" s="2140">
        <v>310</v>
      </c>
      <c r="F71" s="3034">
        <v>15654</v>
      </c>
      <c r="G71" s="169">
        <v>86395</v>
      </c>
      <c r="H71" s="3199">
        <f t="shared" si="0"/>
        <v>102049</v>
      </c>
      <c r="I71" s="169">
        <v>1246</v>
      </c>
      <c r="J71" s="2144">
        <v>7686</v>
      </c>
      <c r="K71" s="169">
        <v>78303</v>
      </c>
      <c r="L71" s="260">
        <v>11161</v>
      </c>
      <c r="M71" s="3198">
        <v>0</v>
      </c>
      <c r="N71" s="380">
        <v>93958</v>
      </c>
      <c r="O71" s="201"/>
      <c r="P71" s="1321"/>
    </row>
    <row r="72" spans="1:16">
      <c r="A72" s="1340">
        <v>1998.03</v>
      </c>
      <c r="B72" s="252">
        <v>143907</v>
      </c>
      <c r="C72" s="1313">
        <v>10866</v>
      </c>
      <c r="D72" s="3034">
        <v>4306</v>
      </c>
      <c r="E72" s="2140">
        <v>356</v>
      </c>
      <c r="F72" s="3034">
        <v>13423</v>
      </c>
      <c r="G72" s="169">
        <v>103874</v>
      </c>
      <c r="H72" s="3199">
        <f t="shared" si="0"/>
        <v>117297</v>
      </c>
      <c r="I72" s="169">
        <v>2265</v>
      </c>
      <c r="J72" s="2144">
        <v>8817</v>
      </c>
      <c r="K72" s="169">
        <v>92450</v>
      </c>
      <c r="L72" s="260">
        <v>16090</v>
      </c>
      <c r="M72" s="3198">
        <v>0</v>
      </c>
      <c r="N72" s="380">
        <v>105869</v>
      </c>
      <c r="O72" s="201"/>
      <c r="P72" s="1321"/>
    </row>
    <row r="73" spans="1:16">
      <c r="A73" s="1340">
        <v>1998.04</v>
      </c>
      <c r="B73" s="252">
        <v>140611</v>
      </c>
      <c r="C73" s="1313">
        <v>12899</v>
      </c>
      <c r="D73" s="3034">
        <v>4231</v>
      </c>
      <c r="E73" s="2140">
        <v>410</v>
      </c>
      <c r="F73" s="3034">
        <v>1097</v>
      </c>
      <c r="G73" s="169">
        <v>110047</v>
      </c>
      <c r="H73" s="3199">
        <f t="shared" si="0"/>
        <v>111144</v>
      </c>
      <c r="I73" s="169">
        <v>2702</v>
      </c>
      <c r="J73" s="2144">
        <v>9225</v>
      </c>
      <c r="K73" s="169">
        <v>100215</v>
      </c>
      <c r="L73" s="260">
        <v>14480</v>
      </c>
      <c r="M73" s="3198">
        <v>0</v>
      </c>
      <c r="N73" s="380">
        <v>101305</v>
      </c>
      <c r="O73" s="201"/>
      <c r="P73" s="1321"/>
    </row>
    <row r="74" spans="1:16">
      <c r="A74" s="1340">
        <v>1998.05</v>
      </c>
      <c r="B74" s="252">
        <v>175519</v>
      </c>
      <c r="C74" s="1313">
        <v>24391</v>
      </c>
      <c r="D74" s="3034">
        <v>4901</v>
      </c>
      <c r="E74" s="2140">
        <v>573</v>
      </c>
      <c r="F74" s="3034">
        <v>13946</v>
      </c>
      <c r="G74" s="169">
        <v>118739</v>
      </c>
      <c r="H74" s="3199">
        <f t="shared" si="0"/>
        <v>132685</v>
      </c>
      <c r="I74" s="169">
        <v>4145</v>
      </c>
      <c r="J74" s="2144">
        <v>8824</v>
      </c>
      <c r="K74" s="169">
        <v>108881</v>
      </c>
      <c r="L74" s="260">
        <v>15336</v>
      </c>
      <c r="M74" s="3198">
        <v>0</v>
      </c>
      <c r="N74" s="380">
        <v>122823</v>
      </c>
      <c r="O74" s="201"/>
      <c r="P74" s="1321"/>
    </row>
    <row r="75" spans="1:16">
      <c r="A75" s="1340">
        <v>1998.06</v>
      </c>
      <c r="B75" s="252">
        <v>185579</v>
      </c>
      <c r="C75" s="1313">
        <v>36131</v>
      </c>
      <c r="D75" s="3034">
        <v>6130</v>
      </c>
      <c r="E75" s="2140">
        <v>972</v>
      </c>
      <c r="F75" s="3034">
        <v>11359</v>
      </c>
      <c r="G75" s="169">
        <v>115433</v>
      </c>
      <c r="H75" s="3199">
        <f t="shared" si="0"/>
        <v>126792</v>
      </c>
      <c r="I75" s="169">
        <v>6160</v>
      </c>
      <c r="J75" s="2144">
        <v>9394</v>
      </c>
      <c r="K75" s="169">
        <v>105226</v>
      </c>
      <c r="L75" s="260">
        <v>17313</v>
      </c>
      <c r="M75" s="3198">
        <v>0</v>
      </c>
      <c r="N75" s="380">
        <v>116581</v>
      </c>
      <c r="O75" s="201"/>
      <c r="P75" s="1321"/>
    </row>
    <row r="76" spans="1:16">
      <c r="A76" s="1340">
        <v>1998.07</v>
      </c>
      <c r="B76" s="252">
        <v>189764</v>
      </c>
      <c r="C76" s="1313">
        <v>36461</v>
      </c>
      <c r="D76" s="3034">
        <v>5531</v>
      </c>
      <c r="E76" s="2140">
        <v>998</v>
      </c>
      <c r="F76" s="3034">
        <v>15814</v>
      </c>
      <c r="G76" s="169">
        <v>115999</v>
      </c>
      <c r="H76" s="3199">
        <f t="shared" ref="H76:H139" si="1">F76+G76</f>
        <v>131813</v>
      </c>
      <c r="I76" s="169">
        <v>5403</v>
      </c>
      <c r="J76" s="2144">
        <v>9558</v>
      </c>
      <c r="K76" s="169">
        <v>106942</v>
      </c>
      <c r="L76" s="260">
        <v>15716</v>
      </c>
      <c r="M76" s="3198">
        <v>0</v>
      </c>
      <c r="N76" s="380">
        <v>122626</v>
      </c>
      <c r="O76" s="201"/>
      <c r="P76" s="1321"/>
    </row>
    <row r="77" spans="1:16">
      <c r="A77" s="1340">
        <v>1998.08</v>
      </c>
      <c r="B77" s="252">
        <v>187387</v>
      </c>
      <c r="C77" s="1313">
        <v>34044</v>
      </c>
      <c r="D77" s="3034">
        <v>6150</v>
      </c>
      <c r="E77" s="2140">
        <v>1101</v>
      </c>
      <c r="F77" s="3034">
        <v>13787</v>
      </c>
      <c r="G77" s="169">
        <v>117192</v>
      </c>
      <c r="H77" s="3199">
        <f t="shared" si="1"/>
        <v>130979</v>
      </c>
      <c r="I77" s="169">
        <v>5347</v>
      </c>
      <c r="J77" s="2144">
        <v>9766</v>
      </c>
      <c r="K77" s="169">
        <v>107524</v>
      </c>
      <c r="L77" s="260">
        <v>16842</v>
      </c>
      <c r="M77" s="3198">
        <v>0</v>
      </c>
      <c r="N77" s="380">
        <v>121388</v>
      </c>
      <c r="O77" s="201"/>
      <c r="P77" s="1321"/>
    </row>
    <row r="78" spans="1:16">
      <c r="A78" s="1340">
        <v>1998.09</v>
      </c>
      <c r="B78" s="252">
        <v>181071</v>
      </c>
      <c r="C78" s="1313">
        <v>28484</v>
      </c>
      <c r="D78" s="3034">
        <v>4696</v>
      </c>
      <c r="E78" s="2140">
        <v>811</v>
      </c>
      <c r="F78" s="3034">
        <v>17664</v>
      </c>
      <c r="G78" s="169">
        <v>115162</v>
      </c>
      <c r="H78" s="3199">
        <f t="shared" si="1"/>
        <v>132826</v>
      </c>
      <c r="I78" s="169">
        <v>4030</v>
      </c>
      <c r="J78" s="2144">
        <v>10224</v>
      </c>
      <c r="K78" s="169">
        <v>105919</v>
      </c>
      <c r="L78" s="260">
        <v>14755</v>
      </c>
      <c r="M78" s="3198">
        <v>0</v>
      </c>
      <c r="N78" s="380">
        <v>123578</v>
      </c>
      <c r="O78" s="201"/>
      <c r="P78" s="1321"/>
    </row>
    <row r="79" spans="1:16">
      <c r="A79" s="1340">
        <v>1998.1</v>
      </c>
      <c r="B79" s="252">
        <v>147925</v>
      </c>
      <c r="C79" s="1313">
        <v>14470</v>
      </c>
      <c r="D79" s="3034">
        <v>3838</v>
      </c>
      <c r="E79" s="2140">
        <v>524</v>
      </c>
      <c r="F79" s="3034">
        <v>3360</v>
      </c>
      <c r="G79" s="169">
        <v>114088</v>
      </c>
      <c r="H79" s="3199">
        <f t="shared" si="1"/>
        <v>117448</v>
      </c>
      <c r="I79" s="169">
        <v>2126</v>
      </c>
      <c r="J79" s="2144">
        <v>9519</v>
      </c>
      <c r="K79" s="169">
        <v>105707</v>
      </c>
      <c r="L79" s="260">
        <v>12769</v>
      </c>
      <c r="M79" s="3198">
        <v>0</v>
      </c>
      <c r="N79" s="380">
        <v>109041</v>
      </c>
      <c r="O79" s="201"/>
      <c r="P79" s="1321"/>
    </row>
    <row r="80" spans="1:16">
      <c r="A80" s="1340">
        <v>1998.11</v>
      </c>
      <c r="B80" s="252">
        <v>140179</v>
      </c>
      <c r="C80" s="1313">
        <v>12397</v>
      </c>
      <c r="D80" s="3034">
        <v>3239</v>
      </c>
      <c r="E80" s="2140">
        <v>393</v>
      </c>
      <c r="F80" s="3034">
        <v>2679</v>
      </c>
      <c r="G80" s="169">
        <v>110133</v>
      </c>
      <c r="H80" s="3199">
        <f t="shared" si="1"/>
        <v>112812</v>
      </c>
      <c r="I80" s="169">
        <v>1763</v>
      </c>
      <c r="J80" s="2144">
        <v>9575</v>
      </c>
      <c r="K80" s="169">
        <v>101645</v>
      </c>
      <c r="L80" s="260">
        <v>12146</v>
      </c>
      <c r="M80" s="3198">
        <v>0</v>
      </c>
      <c r="N80" s="380">
        <v>104298</v>
      </c>
      <c r="O80" s="201"/>
      <c r="P80" s="1321"/>
    </row>
    <row r="81" spans="1:16">
      <c r="A81" s="1340">
        <v>1998.12</v>
      </c>
      <c r="B81" s="252">
        <v>145173</v>
      </c>
      <c r="C81" s="1313">
        <v>13522</v>
      </c>
      <c r="D81" s="3034">
        <v>3428</v>
      </c>
      <c r="E81" s="2140">
        <v>346</v>
      </c>
      <c r="F81" s="3034">
        <v>29137</v>
      </c>
      <c r="G81" s="169">
        <v>87231</v>
      </c>
      <c r="H81" s="3199">
        <f t="shared" si="1"/>
        <v>116368</v>
      </c>
      <c r="I81" s="169">
        <v>1534</v>
      </c>
      <c r="J81" s="2144">
        <v>9975</v>
      </c>
      <c r="K81" s="169">
        <v>79464</v>
      </c>
      <c r="L81" s="260">
        <v>11726</v>
      </c>
      <c r="M81" s="3198">
        <v>0</v>
      </c>
      <c r="N81" s="380">
        <v>108416</v>
      </c>
      <c r="O81" s="201"/>
      <c r="P81" s="1321"/>
    </row>
    <row r="82" spans="1:16">
      <c r="A82" s="1340">
        <v>1999.01</v>
      </c>
      <c r="B82" s="252">
        <v>122978</v>
      </c>
      <c r="C82" s="1313">
        <v>9675</v>
      </c>
      <c r="D82" s="3034">
        <v>2745</v>
      </c>
      <c r="E82" s="2140">
        <v>234</v>
      </c>
      <c r="F82" s="3034">
        <v>27237</v>
      </c>
      <c r="G82" s="169">
        <v>72784</v>
      </c>
      <c r="H82" s="3199">
        <f t="shared" si="1"/>
        <v>100021</v>
      </c>
      <c r="I82" s="169">
        <v>1170</v>
      </c>
      <c r="J82" s="2144">
        <v>9133</v>
      </c>
      <c r="K82" s="169">
        <v>65742</v>
      </c>
      <c r="L82" s="260">
        <v>10020</v>
      </c>
      <c r="M82" s="3198">
        <v>0</v>
      </c>
      <c r="N82" s="380">
        <v>92980</v>
      </c>
      <c r="O82" s="201"/>
      <c r="P82" s="1321"/>
    </row>
    <row r="83" spans="1:16">
      <c r="A83" s="1340">
        <v>1999.02</v>
      </c>
      <c r="B83" s="252">
        <v>107081</v>
      </c>
      <c r="C83" s="1313">
        <v>8850</v>
      </c>
      <c r="D83" s="3034">
        <v>2916</v>
      </c>
      <c r="E83" s="2140">
        <v>279</v>
      </c>
      <c r="F83" s="3034">
        <v>22310</v>
      </c>
      <c r="G83" s="169">
        <v>62875</v>
      </c>
      <c r="H83" s="3199">
        <f t="shared" si="1"/>
        <v>85185</v>
      </c>
      <c r="I83" s="169">
        <v>1340</v>
      </c>
      <c r="J83" s="2144">
        <v>8511</v>
      </c>
      <c r="K83" s="169">
        <v>55515</v>
      </c>
      <c r="L83" s="260">
        <v>10555</v>
      </c>
      <c r="M83" s="3198">
        <v>0</v>
      </c>
      <c r="N83" s="380">
        <v>77825</v>
      </c>
      <c r="O83" s="201"/>
      <c r="P83" s="1321"/>
    </row>
    <row r="84" spans="1:16">
      <c r="A84" s="1340">
        <v>1999.03</v>
      </c>
      <c r="B84" s="252">
        <v>134391</v>
      </c>
      <c r="C84" s="1313">
        <v>11205</v>
      </c>
      <c r="D84" s="3034">
        <v>3553</v>
      </c>
      <c r="E84" s="2140">
        <v>269</v>
      </c>
      <c r="F84" s="3034">
        <v>28026</v>
      </c>
      <c r="G84" s="169">
        <v>79786</v>
      </c>
      <c r="H84" s="3199">
        <f t="shared" si="1"/>
        <v>107812</v>
      </c>
      <c r="I84" s="169">
        <v>1795</v>
      </c>
      <c r="J84" s="2144">
        <v>9757</v>
      </c>
      <c r="K84" s="169">
        <v>70723</v>
      </c>
      <c r="L84" s="260">
        <v>12886</v>
      </c>
      <c r="M84" s="3198">
        <v>0</v>
      </c>
      <c r="N84" s="380">
        <v>98748</v>
      </c>
      <c r="O84" s="201"/>
      <c r="P84" s="1321"/>
    </row>
    <row r="85" spans="1:16">
      <c r="A85" s="1340">
        <v>1999.04</v>
      </c>
      <c r="B85" s="252">
        <v>161333</v>
      </c>
      <c r="C85" s="1313">
        <v>19739</v>
      </c>
      <c r="D85" s="3034">
        <v>4354</v>
      </c>
      <c r="E85" s="2140">
        <v>405</v>
      </c>
      <c r="F85" s="3034">
        <v>17622</v>
      </c>
      <c r="G85" s="169">
        <v>106130</v>
      </c>
      <c r="H85" s="3199">
        <f t="shared" si="1"/>
        <v>123752</v>
      </c>
      <c r="I85" s="169">
        <v>3177</v>
      </c>
      <c r="J85" s="2144">
        <v>9906</v>
      </c>
      <c r="K85" s="169">
        <v>97011</v>
      </c>
      <c r="L85" s="260">
        <v>13879</v>
      </c>
      <c r="M85" s="3198">
        <v>0</v>
      </c>
      <c r="N85" s="380">
        <v>114632</v>
      </c>
      <c r="O85" s="201"/>
      <c r="P85" s="1321"/>
    </row>
    <row r="86" spans="1:16">
      <c r="A86" s="1340">
        <v>1999.05</v>
      </c>
      <c r="B86" s="252">
        <v>171461</v>
      </c>
      <c r="C86" s="1313">
        <v>29466</v>
      </c>
      <c r="D86" s="3034">
        <v>5271</v>
      </c>
      <c r="E86" s="2140">
        <v>756</v>
      </c>
      <c r="F86" s="3034">
        <v>11395</v>
      </c>
      <c r="G86" s="169">
        <v>110891</v>
      </c>
      <c r="H86" s="3199">
        <f t="shared" si="1"/>
        <v>122286</v>
      </c>
      <c r="I86" s="169">
        <v>4100</v>
      </c>
      <c r="J86" s="2144">
        <v>9582</v>
      </c>
      <c r="K86" s="169">
        <v>102214</v>
      </c>
      <c r="L86" s="260">
        <v>14705</v>
      </c>
      <c r="M86" s="3198">
        <v>0</v>
      </c>
      <c r="N86" s="380">
        <v>113608</v>
      </c>
      <c r="O86" s="201"/>
      <c r="P86" s="1321"/>
    </row>
    <row r="87" spans="1:16">
      <c r="A87" s="1340">
        <v>1999.06</v>
      </c>
      <c r="B87" s="252">
        <v>172633</v>
      </c>
      <c r="C87" s="1313">
        <v>42692</v>
      </c>
      <c r="D87" s="3034">
        <v>6367</v>
      </c>
      <c r="E87" s="2140">
        <v>1230</v>
      </c>
      <c r="F87" s="3034">
        <v>7827</v>
      </c>
      <c r="G87" s="169">
        <v>97087</v>
      </c>
      <c r="H87" s="3199">
        <f t="shared" si="1"/>
        <v>104914</v>
      </c>
      <c r="I87" s="169">
        <v>7079</v>
      </c>
      <c r="J87" s="2144">
        <v>10351</v>
      </c>
      <c r="K87" s="169">
        <v>87921</v>
      </c>
      <c r="L87" s="260">
        <v>16765</v>
      </c>
      <c r="M87" s="3198">
        <v>0</v>
      </c>
      <c r="N87" s="380">
        <v>95746</v>
      </c>
      <c r="O87" s="201"/>
      <c r="P87" s="1321"/>
    </row>
    <row r="88" spans="1:16">
      <c r="A88" s="1340">
        <v>1999.07</v>
      </c>
      <c r="B88" s="252">
        <v>183101</v>
      </c>
      <c r="C88" s="1313">
        <v>48420</v>
      </c>
      <c r="D88" s="3034">
        <v>7116</v>
      </c>
      <c r="E88" s="2140">
        <v>1329</v>
      </c>
      <c r="F88" s="3034">
        <v>8655</v>
      </c>
      <c r="G88" s="169">
        <v>100013</v>
      </c>
      <c r="H88" s="3199">
        <f t="shared" si="1"/>
        <v>108668</v>
      </c>
      <c r="I88" s="169">
        <v>7594</v>
      </c>
      <c r="J88" s="2144">
        <v>9974</v>
      </c>
      <c r="K88" s="169">
        <v>91948</v>
      </c>
      <c r="L88" s="260">
        <v>16518</v>
      </c>
      <c r="M88" s="3198">
        <v>0</v>
      </c>
      <c r="N88" s="380">
        <v>100595</v>
      </c>
      <c r="O88" s="201"/>
      <c r="P88" s="1321"/>
    </row>
    <row r="89" spans="1:16">
      <c r="A89" s="1340">
        <v>1999.08</v>
      </c>
      <c r="B89" s="252">
        <v>180337</v>
      </c>
      <c r="C89" s="1313">
        <v>39833</v>
      </c>
      <c r="D89" s="3034">
        <v>7557</v>
      </c>
      <c r="E89" s="2140">
        <v>1204</v>
      </c>
      <c r="F89" s="3034">
        <v>8348</v>
      </c>
      <c r="G89" s="169">
        <v>107395</v>
      </c>
      <c r="H89" s="3199">
        <f t="shared" si="1"/>
        <v>115743</v>
      </c>
      <c r="I89" s="169">
        <v>6085</v>
      </c>
      <c r="J89" s="2144">
        <v>9915</v>
      </c>
      <c r="K89" s="169">
        <v>98161</v>
      </c>
      <c r="L89" s="260">
        <v>18104</v>
      </c>
      <c r="M89" s="3198">
        <v>0</v>
      </c>
      <c r="N89" s="380">
        <v>106400</v>
      </c>
      <c r="O89" s="201"/>
      <c r="P89" s="1321"/>
    </row>
    <row r="90" spans="1:16">
      <c r="A90" s="1340">
        <v>1999.09</v>
      </c>
      <c r="B90" s="252">
        <v>162180</v>
      </c>
      <c r="C90" s="1313">
        <v>20426</v>
      </c>
      <c r="D90" s="3034">
        <v>4313</v>
      </c>
      <c r="E90" s="2140">
        <v>795</v>
      </c>
      <c r="F90" s="3034">
        <v>13988</v>
      </c>
      <c r="G90" s="169">
        <v>109224</v>
      </c>
      <c r="H90" s="3199">
        <f t="shared" si="1"/>
        <v>123212</v>
      </c>
      <c r="I90" s="169">
        <v>3182</v>
      </c>
      <c r="J90" s="2144">
        <v>10252</v>
      </c>
      <c r="K90" s="169">
        <v>101158</v>
      </c>
      <c r="L90" s="260">
        <v>13268</v>
      </c>
      <c r="M90" s="3198">
        <v>0</v>
      </c>
      <c r="N90" s="380">
        <v>115052</v>
      </c>
      <c r="O90" s="201"/>
      <c r="P90" s="1321"/>
    </row>
    <row r="91" spans="1:16">
      <c r="A91" s="1340">
        <v>1999.1</v>
      </c>
      <c r="B91" s="252">
        <v>164237</v>
      </c>
      <c r="C91" s="1313">
        <v>15156</v>
      </c>
      <c r="D91" s="3034">
        <v>3633</v>
      </c>
      <c r="E91" s="2140">
        <v>567</v>
      </c>
      <c r="F91" s="3034">
        <v>22156</v>
      </c>
      <c r="G91" s="169">
        <v>110256</v>
      </c>
      <c r="H91" s="3199">
        <f t="shared" si="1"/>
        <v>132412</v>
      </c>
      <c r="I91" s="169">
        <v>2470</v>
      </c>
      <c r="J91" s="2144">
        <v>9999</v>
      </c>
      <c r="K91" s="169">
        <v>89116</v>
      </c>
      <c r="L91" s="260">
        <v>12205</v>
      </c>
      <c r="M91" s="3198">
        <v>0</v>
      </c>
      <c r="N91" s="380">
        <v>124407</v>
      </c>
      <c r="O91" s="201"/>
      <c r="P91" s="1321"/>
    </row>
    <row r="92" spans="1:16">
      <c r="A92" s="1340">
        <v>1999.11</v>
      </c>
      <c r="B92" s="252">
        <v>162889</v>
      </c>
      <c r="C92" s="1313">
        <v>14960</v>
      </c>
      <c r="D92" s="3034">
        <v>3446</v>
      </c>
      <c r="E92" s="2140">
        <v>404</v>
      </c>
      <c r="F92" s="3034">
        <v>24758</v>
      </c>
      <c r="G92" s="169">
        <v>107446</v>
      </c>
      <c r="H92" s="3199">
        <f t="shared" si="1"/>
        <v>132204</v>
      </c>
      <c r="I92" s="169">
        <v>1843</v>
      </c>
      <c r="J92" s="2144">
        <v>10032</v>
      </c>
      <c r="K92" s="169">
        <v>99161</v>
      </c>
      <c r="L92" s="260">
        <v>12143</v>
      </c>
      <c r="M92" s="3198">
        <v>0</v>
      </c>
      <c r="N92" s="380">
        <v>123911</v>
      </c>
      <c r="O92" s="201"/>
      <c r="P92" s="1321"/>
    </row>
    <row r="93" spans="1:16">
      <c r="A93" s="1340">
        <v>1999.12</v>
      </c>
      <c r="B93" s="252">
        <v>161938</v>
      </c>
      <c r="C93" s="1313">
        <v>16706</v>
      </c>
      <c r="D93" s="3034">
        <v>3529</v>
      </c>
      <c r="E93" s="2140">
        <v>343</v>
      </c>
      <c r="F93" s="3034">
        <v>26016</v>
      </c>
      <c r="G93" s="169">
        <v>103480</v>
      </c>
      <c r="H93" s="3199">
        <f t="shared" si="1"/>
        <v>129496</v>
      </c>
      <c r="I93" s="169">
        <v>1717</v>
      </c>
      <c r="J93" s="2144">
        <v>10147</v>
      </c>
      <c r="K93" s="169">
        <v>96519</v>
      </c>
      <c r="L93" s="260">
        <v>11137</v>
      </c>
      <c r="M93" s="3198">
        <v>0</v>
      </c>
      <c r="N93" s="380">
        <v>122231</v>
      </c>
      <c r="O93" s="201"/>
      <c r="P93" s="1321"/>
    </row>
    <row r="94" spans="1:16">
      <c r="A94" s="1340">
        <v>2000.01</v>
      </c>
      <c r="B94" s="252">
        <v>145370</v>
      </c>
      <c r="C94" s="1313">
        <v>9977</v>
      </c>
      <c r="D94" s="3034">
        <v>2771</v>
      </c>
      <c r="E94" s="2140">
        <v>277</v>
      </c>
      <c r="F94" s="3034">
        <v>20956</v>
      </c>
      <c r="G94" s="169">
        <v>100423</v>
      </c>
      <c r="H94" s="3199">
        <f t="shared" si="1"/>
        <v>121379</v>
      </c>
      <c r="I94" s="169">
        <v>1602</v>
      </c>
      <c r="J94" s="2144">
        <v>9364</v>
      </c>
      <c r="K94" s="169">
        <v>94206</v>
      </c>
      <c r="L94" s="260">
        <v>9278</v>
      </c>
      <c r="M94" s="3198">
        <v>0</v>
      </c>
      <c r="N94" s="380">
        <v>115149</v>
      </c>
      <c r="O94" s="201"/>
      <c r="P94" s="1321"/>
    </row>
    <row r="95" spans="1:16">
      <c r="A95" s="1340">
        <v>2000.02</v>
      </c>
      <c r="B95" s="252">
        <v>140112</v>
      </c>
      <c r="C95" s="1313">
        <v>9502</v>
      </c>
      <c r="D95" s="3034">
        <v>2929</v>
      </c>
      <c r="E95" s="2140">
        <v>275</v>
      </c>
      <c r="F95" s="3034">
        <v>21273</v>
      </c>
      <c r="G95" s="169">
        <v>94707</v>
      </c>
      <c r="H95" s="3199">
        <f t="shared" si="1"/>
        <v>115980</v>
      </c>
      <c r="I95" s="169">
        <v>2036</v>
      </c>
      <c r="J95" s="2144">
        <v>9390</v>
      </c>
      <c r="K95" s="169">
        <v>87015</v>
      </c>
      <c r="L95" s="260">
        <v>10897</v>
      </c>
      <c r="M95" s="3198">
        <v>0</v>
      </c>
      <c r="N95" s="380">
        <v>108287</v>
      </c>
      <c r="O95" s="201"/>
      <c r="P95" s="1321"/>
    </row>
    <row r="96" spans="1:16">
      <c r="A96" s="1340">
        <v>2000.03</v>
      </c>
      <c r="B96" s="252">
        <v>155596</v>
      </c>
      <c r="C96" s="1313">
        <v>11423</v>
      </c>
      <c r="D96" s="3034">
        <v>4293</v>
      </c>
      <c r="E96" s="2140">
        <v>349</v>
      </c>
      <c r="F96" s="3034">
        <v>18842</v>
      </c>
      <c r="G96" s="169">
        <v>107824</v>
      </c>
      <c r="H96" s="3199">
        <f t="shared" si="1"/>
        <v>126666</v>
      </c>
      <c r="I96" s="169">
        <v>2573</v>
      </c>
      <c r="J96" s="2144">
        <v>10292</v>
      </c>
      <c r="K96" s="169">
        <v>98498</v>
      </c>
      <c r="L96" s="260">
        <v>13969</v>
      </c>
      <c r="M96" s="3198">
        <v>0</v>
      </c>
      <c r="N96" s="380">
        <v>117339</v>
      </c>
      <c r="O96" s="201"/>
      <c r="P96" s="1321"/>
    </row>
    <row r="97" spans="1:16">
      <c r="A97" s="1340">
        <v>2000.04</v>
      </c>
      <c r="B97" s="252">
        <v>159526</v>
      </c>
      <c r="C97" s="1313">
        <v>15341</v>
      </c>
      <c r="D97" s="3034">
        <v>3956</v>
      </c>
      <c r="E97" s="2140">
        <v>401</v>
      </c>
      <c r="F97" s="3034">
        <v>16482</v>
      </c>
      <c r="G97" s="169">
        <v>110733</v>
      </c>
      <c r="H97" s="3199">
        <f t="shared" si="1"/>
        <v>127215</v>
      </c>
      <c r="I97" s="169">
        <v>2704</v>
      </c>
      <c r="J97" s="2144">
        <v>9909</v>
      </c>
      <c r="K97" s="169">
        <v>115969</v>
      </c>
      <c r="L97" s="260">
        <v>11848</v>
      </c>
      <c r="M97" s="3198">
        <v>0</v>
      </c>
      <c r="N97" s="380">
        <v>119724</v>
      </c>
      <c r="O97" s="201"/>
      <c r="P97" s="1321"/>
    </row>
    <row r="98" spans="1:16">
      <c r="A98" s="1340">
        <v>2000.05</v>
      </c>
      <c r="B98" s="252">
        <v>179430</v>
      </c>
      <c r="C98" s="1313">
        <v>34670</v>
      </c>
      <c r="D98" s="3034">
        <v>6164</v>
      </c>
      <c r="E98" s="2140">
        <v>800</v>
      </c>
      <c r="F98" s="3034">
        <v>3498</v>
      </c>
      <c r="G98" s="169">
        <v>117348</v>
      </c>
      <c r="H98" s="3199">
        <f t="shared" si="1"/>
        <v>120846</v>
      </c>
      <c r="I98" s="169">
        <v>5851</v>
      </c>
      <c r="J98" s="2144">
        <v>11099</v>
      </c>
      <c r="K98" s="169">
        <v>108705</v>
      </c>
      <c r="L98" s="260">
        <v>15610</v>
      </c>
      <c r="M98" s="3198">
        <v>0</v>
      </c>
      <c r="N98" s="380">
        <v>112200</v>
      </c>
      <c r="O98" s="201"/>
      <c r="P98" s="1321"/>
    </row>
    <row r="99" spans="1:16">
      <c r="A99" s="1340">
        <v>2000.06</v>
      </c>
      <c r="B99" s="252">
        <v>171079</v>
      </c>
      <c r="C99" s="1313">
        <v>41299</v>
      </c>
      <c r="D99" s="3034">
        <v>6224</v>
      </c>
      <c r="E99" s="2140">
        <v>1026</v>
      </c>
      <c r="F99" s="3034">
        <v>2430</v>
      </c>
      <c r="G99" s="169">
        <v>101643</v>
      </c>
      <c r="H99" s="3199">
        <f t="shared" si="1"/>
        <v>104073</v>
      </c>
      <c r="I99" s="169">
        <v>7670</v>
      </c>
      <c r="J99" s="2144">
        <v>10787</v>
      </c>
      <c r="K99" s="169">
        <v>93224</v>
      </c>
      <c r="L99" s="260">
        <v>15824</v>
      </c>
      <c r="M99" s="3198">
        <v>0</v>
      </c>
      <c r="N99" s="380">
        <v>95499</v>
      </c>
      <c r="O99" s="201"/>
      <c r="P99" s="1321"/>
    </row>
    <row r="100" spans="1:16">
      <c r="A100" s="1340">
        <v>2000.07</v>
      </c>
      <c r="B100" s="252">
        <v>188813</v>
      </c>
      <c r="C100" s="1313">
        <v>60830</v>
      </c>
      <c r="D100" s="3034">
        <v>7216</v>
      </c>
      <c r="E100" s="2140">
        <v>1435</v>
      </c>
      <c r="F100" s="3034">
        <v>2184</v>
      </c>
      <c r="G100" s="169">
        <v>97089</v>
      </c>
      <c r="H100" s="3199">
        <f t="shared" si="1"/>
        <v>99273</v>
      </c>
      <c r="I100" s="169">
        <v>9244</v>
      </c>
      <c r="J100" s="2144">
        <v>10815</v>
      </c>
      <c r="K100" s="169">
        <v>89092</v>
      </c>
      <c r="L100" s="260">
        <v>16646</v>
      </c>
      <c r="M100" s="3198">
        <v>0</v>
      </c>
      <c r="N100" s="380">
        <v>91278</v>
      </c>
      <c r="O100" s="201"/>
      <c r="P100" s="1321"/>
    </row>
    <row r="101" spans="1:16">
      <c r="A101" s="1340">
        <v>2000.08</v>
      </c>
      <c r="B101" s="252">
        <v>182160</v>
      </c>
      <c r="C101" s="1313">
        <v>39177</v>
      </c>
      <c r="D101" s="3034">
        <v>7464</v>
      </c>
      <c r="E101" s="2140">
        <v>1403</v>
      </c>
      <c r="F101" s="3034">
        <v>3177</v>
      </c>
      <c r="G101" s="169">
        <v>112485</v>
      </c>
      <c r="H101" s="3199">
        <f t="shared" si="1"/>
        <v>115662</v>
      </c>
      <c r="I101" s="169">
        <v>6914</v>
      </c>
      <c r="J101" s="2144">
        <v>11540</v>
      </c>
      <c r="K101" s="169">
        <v>104513</v>
      </c>
      <c r="L101" s="260">
        <v>16841</v>
      </c>
      <c r="M101" s="3198">
        <v>0</v>
      </c>
      <c r="N101" s="380">
        <v>107688</v>
      </c>
      <c r="O101" s="201"/>
      <c r="P101" s="1321"/>
    </row>
    <row r="102" spans="1:16">
      <c r="A102" s="1340">
        <v>2000.09</v>
      </c>
      <c r="B102" s="252">
        <v>167267</v>
      </c>
      <c r="C102" s="1313">
        <v>28324</v>
      </c>
      <c r="D102" s="3034">
        <v>5462</v>
      </c>
      <c r="E102" s="2140">
        <v>1050</v>
      </c>
      <c r="F102" s="3034">
        <v>4529</v>
      </c>
      <c r="G102" s="169">
        <v>111604</v>
      </c>
      <c r="H102" s="3199">
        <f t="shared" si="1"/>
        <v>116133</v>
      </c>
      <c r="I102" s="169">
        <v>4912</v>
      </c>
      <c r="J102" s="2144">
        <v>11386</v>
      </c>
      <c r="K102" s="169">
        <v>104166</v>
      </c>
      <c r="L102" s="260">
        <v>13952</v>
      </c>
      <c r="M102" s="3198">
        <v>0</v>
      </c>
      <c r="N102" s="380">
        <v>108693</v>
      </c>
      <c r="O102" s="201"/>
      <c r="P102" s="1321"/>
    </row>
    <row r="103" spans="1:16">
      <c r="A103" s="1340">
        <v>2000.1</v>
      </c>
      <c r="B103" s="252">
        <v>155199</v>
      </c>
      <c r="C103" s="1313">
        <v>15635</v>
      </c>
      <c r="D103" s="3034">
        <v>4144</v>
      </c>
      <c r="E103" s="2140">
        <v>593</v>
      </c>
      <c r="F103" s="3034">
        <v>8945</v>
      </c>
      <c r="G103" s="169">
        <v>111491</v>
      </c>
      <c r="H103" s="3199">
        <f t="shared" si="1"/>
        <v>120436</v>
      </c>
      <c r="I103" s="169">
        <v>2954</v>
      </c>
      <c r="J103" s="2144">
        <v>11437</v>
      </c>
      <c r="K103" s="169">
        <v>104554</v>
      </c>
      <c r="L103" s="260">
        <v>11676</v>
      </c>
      <c r="M103" s="3198">
        <v>0</v>
      </c>
      <c r="N103" s="380">
        <v>113497</v>
      </c>
      <c r="O103" s="201"/>
      <c r="P103" s="1321"/>
    </row>
    <row r="104" spans="1:16">
      <c r="A104" s="1340">
        <v>2000.11</v>
      </c>
      <c r="B104" s="252">
        <v>145987</v>
      </c>
      <c r="C104" s="1313">
        <v>14424</v>
      </c>
      <c r="D104" s="3034">
        <v>4273</v>
      </c>
      <c r="E104" s="2140">
        <v>463</v>
      </c>
      <c r="F104" s="3034">
        <v>2920</v>
      </c>
      <c r="G104" s="169">
        <v>109680</v>
      </c>
      <c r="H104" s="3199">
        <f t="shared" si="1"/>
        <v>112600</v>
      </c>
      <c r="I104" s="169">
        <v>2535</v>
      </c>
      <c r="J104" s="2144">
        <v>11692</v>
      </c>
      <c r="K104" s="169">
        <v>102450</v>
      </c>
      <c r="L104" s="260">
        <v>11969</v>
      </c>
      <c r="M104" s="3198">
        <v>0</v>
      </c>
      <c r="N104" s="380">
        <v>105367</v>
      </c>
      <c r="O104" s="201"/>
      <c r="P104" s="1321"/>
    </row>
    <row r="105" spans="1:16">
      <c r="A105" s="1340">
        <v>2000.12</v>
      </c>
      <c r="B105" s="252">
        <v>154640</v>
      </c>
      <c r="C105" s="1313">
        <v>11044</v>
      </c>
      <c r="D105" s="3034">
        <v>3541</v>
      </c>
      <c r="E105" s="2140">
        <v>361</v>
      </c>
      <c r="F105" s="3034">
        <v>22981</v>
      </c>
      <c r="G105" s="169">
        <v>103232</v>
      </c>
      <c r="H105" s="3199">
        <f t="shared" si="1"/>
        <v>126213</v>
      </c>
      <c r="I105" s="169">
        <v>2093</v>
      </c>
      <c r="J105" s="2144">
        <v>11388</v>
      </c>
      <c r="K105" s="169">
        <v>96681</v>
      </c>
      <c r="L105" s="260">
        <v>10455</v>
      </c>
      <c r="M105" s="3198">
        <v>0</v>
      </c>
      <c r="N105" s="380">
        <v>119660</v>
      </c>
      <c r="O105" s="201"/>
      <c r="P105" s="1321"/>
    </row>
    <row r="106" spans="1:16">
      <c r="A106" s="1340">
        <v>2001.01</v>
      </c>
      <c r="B106" s="252">
        <v>132758</v>
      </c>
      <c r="C106" s="1313">
        <v>10859</v>
      </c>
      <c r="D106" s="3034">
        <v>3389</v>
      </c>
      <c r="E106" s="2140">
        <v>298</v>
      </c>
      <c r="F106" s="3034">
        <v>8370</v>
      </c>
      <c r="G106" s="169">
        <v>96768</v>
      </c>
      <c r="H106" s="3199">
        <f t="shared" si="1"/>
        <v>105138</v>
      </c>
      <c r="I106" s="169">
        <v>1903</v>
      </c>
      <c r="J106" s="2144">
        <v>11171</v>
      </c>
      <c r="K106" s="169">
        <v>91340</v>
      </c>
      <c r="L106" s="260">
        <v>9589</v>
      </c>
      <c r="M106" s="3198">
        <v>0</v>
      </c>
      <c r="N106" s="380">
        <v>99236</v>
      </c>
      <c r="O106" s="201"/>
      <c r="P106" s="1321"/>
    </row>
    <row r="107" spans="1:16">
      <c r="A107" s="1340">
        <v>2001.02</v>
      </c>
      <c r="B107" s="252">
        <v>107873</v>
      </c>
      <c r="C107" s="1313">
        <v>9841</v>
      </c>
      <c r="D107" s="3034">
        <v>3028</v>
      </c>
      <c r="E107" s="2140">
        <v>284</v>
      </c>
      <c r="F107" s="3034">
        <v>4033</v>
      </c>
      <c r="G107" s="169">
        <v>78651</v>
      </c>
      <c r="H107" s="3199">
        <f t="shared" si="1"/>
        <v>82684</v>
      </c>
      <c r="I107" s="169">
        <v>1867</v>
      </c>
      <c r="J107" s="2144">
        <v>10169</v>
      </c>
      <c r="K107" s="169">
        <v>72209</v>
      </c>
      <c r="L107" s="260">
        <v>9753</v>
      </c>
      <c r="M107" s="3198">
        <v>0</v>
      </c>
      <c r="N107" s="380">
        <v>76243</v>
      </c>
      <c r="O107" s="201"/>
      <c r="P107" s="1321"/>
    </row>
    <row r="108" spans="1:16">
      <c r="A108" s="1340">
        <v>2001.03</v>
      </c>
      <c r="B108" s="252">
        <v>140781</v>
      </c>
      <c r="C108" s="1313">
        <v>11032</v>
      </c>
      <c r="D108" s="3034">
        <v>4551</v>
      </c>
      <c r="E108" s="2140">
        <v>300</v>
      </c>
      <c r="F108" s="3034">
        <v>10306</v>
      </c>
      <c r="G108" s="169">
        <v>100406</v>
      </c>
      <c r="H108" s="3199">
        <f t="shared" si="1"/>
        <v>110712</v>
      </c>
      <c r="I108" s="169">
        <v>2459</v>
      </c>
      <c r="J108" s="2144">
        <v>11727</v>
      </c>
      <c r="K108" s="169">
        <v>92875</v>
      </c>
      <c r="L108" s="260">
        <v>12384</v>
      </c>
      <c r="M108" s="3198">
        <v>0</v>
      </c>
      <c r="N108" s="380">
        <v>103179</v>
      </c>
      <c r="O108" s="201"/>
      <c r="P108" s="1321"/>
    </row>
    <row r="109" spans="1:16">
      <c r="A109" s="1340">
        <v>2001.04</v>
      </c>
      <c r="B109" s="252">
        <v>148492</v>
      </c>
      <c r="C109" s="1313">
        <v>16907</v>
      </c>
      <c r="D109" s="3034">
        <v>4271</v>
      </c>
      <c r="E109" s="2140">
        <v>362</v>
      </c>
      <c r="F109" s="3034">
        <v>1596</v>
      </c>
      <c r="G109" s="169">
        <v>110349</v>
      </c>
      <c r="H109" s="3199">
        <f t="shared" si="1"/>
        <v>111945</v>
      </c>
      <c r="I109" s="169">
        <v>3139</v>
      </c>
      <c r="J109" s="2144">
        <v>11868</v>
      </c>
      <c r="K109" s="169">
        <v>103035</v>
      </c>
      <c r="L109" s="260">
        <v>11950</v>
      </c>
      <c r="M109" s="3198">
        <v>0</v>
      </c>
      <c r="N109" s="380">
        <v>104628</v>
      </c>
      <c r="O109" s="201"/>
      <c r="P109" s="1321"/>
    </row>
    <row r="110" spans="1:16">
      <c r="A110" s="1340">
        <v>2001.05</v>
      </c>
      <c r="B110" s="252">
        <v>174970</v>
      </c>
      <c r="C110" s="1313">
        <v>35471</v>
      </c>
      <c r="D110" s="3034">
        <v>7091</v>
      </c>
      <c r="E110" s="2140">
        <v>989</v>
      </c>
      <c r="F110" s="3034">
        <v>374</v>
      </c>
      <c r="G110" s="169">
        <v>112240</v>
      </c>
      <c r="H110" s="3199">
        <f t="shared" si="1"/>
        <v>112614</v>
      </c>
      <c r="I110" s="169">
        <v>6627</v>
      </c>
      <c r="J110" s="2144">
        <v>12178</v>
      </c>
      <c r="K110" s="169">
        <v>104721</v>
      </c>
      <c r="L110" s="260">
        <v>15602</v>
      </c>
      <c r="M110" s="3198">
        <v>0</v>
      </c>
      <c r="N110" s="380">
        <v>105092</v>
      </c>
      <c r="O110" s="201"/>
      <c r="P110" s="1321"/>
    </row>
    <row r="111" spans="1:16">
      <c r="A111" s="1340">
        <v>2001.06</v>
      </c>
      <c r="B111" s="252">
        <v>167653</v>
      </c>
      <c r="C111" s="1313">
        <v>37952</v>
      </c>
      <c r="D111" s="3034">
        <v>6236</v>
      </c>
      <c r="E111" s="2140">
        <v>913</v>
      </c>
      <c r="F111" s="3034">
        <v>720</v>
      </c>
      <c r="G111" s="169">
        <v>103148</v>
      </c>
      <c r="H111" s="3199">
        <f t="shared" si="1"/>
        <v>103868</v>
      </c>
      <c r="I111" s="169">
        <v>6799</v>
      </c>
      <c r="J111" s="2144">
        <v>11885</v>
      </c>
      <c r="K111" s="169">
        <v>95959</v>
      </c>
      <c r="L111" s="260">
        <v>14336</v>
      </c>
      <c r="M111" s="3198">
        <v>0</v>
      </c>
      <c r="N111" s="380">
        <v>96681</v>
      </c>
      <c r="O111" s="201"/>
      <c r="P111" s="1321"/>
    </row>
    <row r="112" spans="1:16">
      <c r="A112" s="1340">
        <v>2001.07</v>
      </c>
      <c r="B112" s="252">
        <v>184252</v>
      </c>
      <c r="C112" s="1313">
        <v>46223</v>
      </c>
      <c r="D112" s="3034">
        <v>7269</v>
      </c>
      <c r="E112" s="2140">
        <v>1431</v>
      </c>
      <c r="F112" s="3034">
        <v>127</v>
      </c>
      <c r="G112" s="169">
        <v>108607</v>
      </c>
      <c r="H112" s="3199">
        <f t="shared" si="1"/>
        <v>108734</v>
      </c>
      <c r="I112" s="169">
        <v>8014</v>
      </c>
      <c r="J112" s="2144">
        <v>12581</v>
      </c>
      <c r="K112" s="169">
        <v>101222</v>
      </c>
      <c r="L112" s="260">
        <v>16084</v>
      </c>
      <c r="M112" s="3198">
        <v>0</v>
      </c>
      <c r="N112" s="380">
        <v>101350</v>
      </c>
      <c r="O112" s="201"/>
      <c r="P112" s="1321"/>
    </row>
    <row r="113" spans="1:16">
      <c r="A113" s="1340">
        <v>2001.08</v>
      </c>
      <c r="B113" s="252">
        <v>166695</v>
      </c>
      <c r="C113" s="1313">
        <v>28285</v>
      </c>
      <c r="D113" s="3034">
        <v>6615</v>
      </c>
      <c r="E113" s="2140">
        <v>1151</v>
      </c>
      <c r="F113" s="3034">
        <v>229</v>
      </c>
      <c r="G113" s="169">
        <v>111053</v>
      </c>
      <c r="H113" s="3199">
        <f t="shared" si="1"/>
        <v>111282</v>
      </c>
      <c r="I113" s="169">
        <v>6090</v>
      </c>
      <c r="J113" s="2144">
        <v>13272</v>
      </c>
      <c r="K113" s="169">
        <v>103708</v>
      </c>
      <c r="L113" s="260">
        <v>15111</v>
      </c>
      <c r="M113" s="3198">
        <v>0</v>
      </c>
      <c r="N113" s="380">
        <v>103937</v>
      </c>
      <c r="O113" s="201"/>
      <c r="P113" s="1321"/>
    </row>
    <row r="114" spans="1:16">
      <c r="A114" s="1340">
        <v>2001.09</v>
      </c>
      <c r="B114" s="252">
        <v>135594</v>
      </c>
      <c r="C114" s="1313">
        <v>30085</v>
      </c>
      <c r="D114" s="3034">
        <v>5103</v>
      </c>
      <c r="E114" s="2140">
        <v>891</v>
      </c>
      <c r="F114" s="3034">
        <v>132</v>
      </c>
      <c r="G114" s="169">
        <v>81982</v>
      </c>
      <c r="H114" s="3199">
        <f t="shared" si="1"/>
        <v>82114</v>
      </c>
      <c r="I114" s="169">
        <v>5252</v>
      </c>
      <c r="J114" s="2144">
        <v>12149</v>
      </c>
      <c r="K114" s="169">
        <v>75401</v>
      </c>
      <c r="L114" s="260">
        <v>12575</v>
      </c>
      <c r="M114" s="3198">
        <v>0</v>
      </c>
      <c r="N114" s="380">
        <v>75533</v>
      </c>
      <c r="O114" s="201"/>
      <c r="P114" s="1321"/>
    </row>
    <row r="115" spans="1:16">
      <c r="A115" s="1340">
        <v>2001.1</v>
      </c>
      <c r="B115" s="252">
        <v>138496</v>
      </c>
      <c r="C115" s="1313">
        <v>18842</v>
      </c>
      <c r="D115" s="3034">
        <v>4684</v>
      </c>
      <c r="E115" s="2140">
        <v>712</v>
      </c>
      <c r="F115" s="3034">
        <v>1880</v>
      </c>
      <c r="G115" s="169">
        <v>95062</v>
      </c>
      <c r="H115" s="3199">
        <f t="shared" si="1"/>
        <v>96942</v>
      </c>
      <c r="I115" s="169">
        <v>3850</v>
      </c>
      <c r="J115" s="2144">
        <v>13466</v>
      </c>
      <c r="K115" s="169">
        <v>88263</v>
      </c>
      <c r="L115" s="260">
        <v>12195</v>
      </c>
      <c r="M115" s="3198">
        <v>0</v>
      </c>
      <c r="N115" s="380">
        <v>90143</v>
      </c>
      <c r="O115" s="201"/>
      <c r="P115" s="1321"/>
    </row>
    <row r="116" spans="1:16">
      <c r="A116" s="1340">
        <v>2001.11</v>
      </c>
      <c r="B116" s="252">
        <v>126580</v>
      </c>
      <c r="C116" s="1313">
        <v>13327</v>
      </c>
      <c r="D116" s="3034">
        <v>3693</v>
      </c>
      <c r="E116" s="2140">
        <v>427</v>
      </c>
      <c r="F116" s="3034">
        <v>403</v>
      </c>
      <c r="G116" s="169">
        <v>93523</v>
      </c>
      <c r="H116" s="3199">
        <f t="shared" si="1"/>
        <v>93926</v>
      </c>
      <c r="I116" s="169">
        <v>2727</v>
      </c>
      <c r="J116" s="2144">
        <v>12480</v>
      </c>
      <c r="K116" s="169">
        <v>87325</v>
      </c>
      <c r="L116" s="260">
        <v>10322</v>
      </c>
      <c r="M116" s="3198">
        <v>0</v>
      </c>
      <c r="N116" s="380">
        <v>87724</v>
      </c>
      <c r="O116" s="201"/>
      <c r="P116" s="1321"/>
    </row>
    <row r="117" spans="1:16">
      <c r="A117" s="1340">
        <v>2001.12</v>
      </c>
      <c r="B117" s="252">
        <v>125821</v>
      </c>
      <c r="C117" s="1313">
        <v>15433</v>
      </c>
      <c r="D117" s="3034">
        <v>3319</v>
      </c>
      <c r="E117" s="2140">
        <v>362</v>
      </c>
      <c r="F117" s="3034">
        <v>3991</v>
      </c>
      <c r="G117" s="169">
        <v>89050</v>
      </c>
      <c r="H117" s="3199">
        <f t="shared" si="1"/>
        <v>93041</v>
      </c>
      <c r="I117" s="169">
        <v>2349</v>
      </c>
      <c r="J117" s="2144">
        <v>11317</v>
      </c>
      <c r="K117" s="169">
        <v>83888</v>
      </c>
      <c r="L117" s="260">
        <v>8845</v>
      </c>
      <c r="M117" s="3198">
        <v>0</v>
      </c>
      <c r="N117" s="380">
        <v>87877</v>
      </c>
      <c r="O117" s="201"/>
      <c r="P117" s="1321"/>
    </row>
    <row r="118" spans="1:16">
      <c r="A118" s="1340">
        <v>2002.01</v>
      </c>
      <c r="B118" s="252">
        <v>114559</v>
      </c>
      <c r="C118" s="1313">
        <v>11559</v>
      </c>
      <c r="D118" s="3034">
        <v>2978</v>
      </c>
      <c r="E118" s="2140">
        <v>292</v>
      </c>
      <c r="F118" s="3034">
        <v>188</v>
      </c>
      <c r="G118" s="169">
        <v>85103</v>
      </c>
      <c r="H118" s="3199">
        <f t="shared" si="1"/>
        <v>85291</v>
      </c>
      <c r="I118" s="169">
        <v>2275</v>
      </c>
      <c r="J118" s="2144">
        <v>12164</v>
      </c>
      <c r="K118" s="169">
        <v>80478</v>
      </c>
      <c r="L118" s="260">
        <v>7896</v>
      </c>
      <c r="M118" s="3198">
        <v>0</v>
      </c>
      <c r="N118" s="380">
        <v>80665</v>
      </c>
      <c r="O118" s="201"/>
      <c r="P118" s="1321"/>
    </row>
    <row r="119" spans="1:16">
      <c r="A119" s="1340">
        <v>2002.02</v>
      </c>
      <c r="B119" s="252">
        <v>104600</v>
      </c>
      <c r="C119" s="1313">
        <v>10200</v>
      </c>
      <c r="D119" s="3034">
        <v>2737</v>
      </c>
      <c r="E119" s="2140">
        <v>310</v>
      </c>
      <c r="F119" s="3034">
        <v>2071</v>
      </c>
      <c r="G119" s="169">
        <v>76566</v>
      </c>
      <c r="H119" s="3199">
        <f t="shared" si="1"/>
        <v>78637</v>
      </c>
      <c r="I119" s="169">
        <v>2265</v>
      </c>
      <c r="J119" s="2144">
        <v>10451</v>
      </c>
      <c r="K119" s="169">
        <v>70800</v>
      </c>
      <c r="L119" s="260">
        <v>8812</v>
      </c>
      <c r="M119" s="3198">
        <v>0</v>
      </c>
      <c r="N119" s="380">
        <v>72872</v>
      </c>
      <c r="O119" s="201"/>
      <c r="P119" s="1321"/>
    </row>
    <row r="120" spans="1:16">
      <c r="A120" s="1340">
        <v>2002.03</v>
      </c>
      <c r="B120" s="252">
        <v>126411</v>
      </c>
      <c r="C120" s="1313">
        <v>12370</v>
      </c>
      <c r="D120" s="3034">
        <v>4290</v>
      </c>
      <c r="E120" s="2140">
        <v>289</v>
      </c>
      <c r="F120" s="3034">
        <v>472</v>
      </c>
      <c r="G120" s="169">
        <v>95539</v>
      </c>
      <c r="H120" s="3199">
        <f t="shared" si="1"/>
        <v>96011</v>
      </c>
      <c r="I120" s="169">
        <v>2525</v>
      </c>
      <c r="J120" s="2144">
        <v>10926</v>
      </c>
      <c r="K120" s="169">
        <v>88412</v>
      </c>
      <c r="L120" s="260">
        <v>11708</v>
      </c>
      <c r="M120" s="3198">
        <v>0</v>
      </c>
      <c r="N120" s="380">
        <v>88882</v>
      </c>
      <c r="O120" s="201"/>
      <c r="P120" s="1321"/>
    </row>
    <row r="121" spans="1:16">
      <c r="A121" s="1340">
        <v>2002.04</v>
      </c>
      <c r="B121" s="252">
        <v>154594</v>
      </c>
      <c r="C121" s="1313">
        <v>22696</v>
      </c>
      <c r="D121" s="3034">
        <v>5484</v>
      </c>
      <c r="E121" s="2140">
        <v>445</v>
      </c>
      <c r="F121" s="3034">
        <v>1082</v>
      </c>
      <c r="G121" s="169">
        <v>108008</v>
      </c>
      <c r="H121" s="3199">
        <f t="shared" si="1"/>
        <v>109090</v>
      </c>
      <c r="I121" s="169">
        <v>4022</v>
      </c>
      <c r="J121" s="2144">
        <v>12857</v>
      </c>
      <c r="K121" s="169">
        <v>100279</v>
      </c>
      <c r="L121" s="260">
        <v>13658</v>
      </c>
      <c r="M121" s="3198">
        <v>0</v>
      </c>
      <c r="N121" s="380">
        <v>101361</v>
      </c>
      <c r="O121" s="201"/>
      <c r="P121" s="1321"/>
    </row>
    <row r="122" spans="1:16">
      <c r="A122" s="1340">
        <v>2002.05</v>
      </c>
      <c r="B122" s="252">
        <v>170669</v>
      </c>
      <c r="C122" s="1313">
        <v>24376</v>
      </c>
      <c r="D122" s="3034">
        <v>6029</v>
      </c>
      <c r="E122" s="2140">
        <v>581</v>
      </c>
      <c r="F122" s="3034">
        <v>207</v>
      </c>
      <c r="G122" s="169">
        <v>121251</v>
      </c>
      <c r="H122" s="3199">
        <f t="shared" si="1"/>
        <v>121458</v>
      </c>
      <c r="I122" s="169">
        <v>5152</v>
      </c>
      <c r="J122" s="2144">
        <v>13073</v>
      </c>
      <c r="K122" s="169">
        <v>113549</v>
      </c>
      <c r="L122" s="260">
        <v>14312</v>
      </c>
      <c r="M122" s="3198">
        <v>0</v>
      </c>
      <c r="N122" s="380">
        <v>113756</v>
      </c>
      <c r="O122" s="201"/>
      <c r="P122" s="1321"/>
    </row>
    <row r="123" spans="1:16">
      <c r="A123" s="1340">
        <v>2002.06</v>
      </c>
      <c r="B123" s="252">
        <v>178225</v>
      </c>
      <c r="C123" s="1313">
        <v>49162</v>
      </c>
      <c r="D123" s="3034">
        <v>6843</v>
      </c>
      <c r="E123" s="2140">
        <v>1176</v>
      </c>
      <c r="F123" s="3034">
        <v>175</v>
      </c>
      <c r="G123" s="169">
        <v>100446</v>
      </c>
      <c r="H123" s="3199">
        <f t="shared" si="1"/>
        <v>100621</v>
      </c>
      <c r="I123" s="169">
        <v>8077</v>
      </c>
      <c r="J123" s="2144">
        <v>12346</v>
      </c>
      <c r="K123" s="169">
        <v>92793</v>
      </c>
      <c r="L123" s="260">
        <v>15675</v>
      </c>
      <c r="M123" s="3198">
        <v>0</v>
      </c>
      <c r="N123" s="380">
        <v>92965</v>
      </c>
      <c r="O123" s="201"/>
      <c r="P123" s="1321"/>
    </row>
    <row r="124" spans="1:16">
      <c r="A124" s="1340">
        <v>2002.07</v>
      </c>
      <c r="B124" s="252">
        <v>196146</v>
      </c>
      <c r="C124" s="1313">
        <v>48570</v>
      </c>
      <c r="D124" s="3034">
        <v>8469</v>
      </c>
      <c r="E124" s="2140">
        <v>1835</v>
      </c>
      <c r="F124" s="3034">
        <v>114</v>
      </c>
      <c r="G124" s="169">
        <v>112874</v>
      </c>
      <c r="H124" s="3199">
        <f t="shared" si="1"/>
        <v>112988</v>
      </c>
      <c r="I124" s="169">
        <v>9652</v>
      </c>
      <c r="J124" s="2144">
        <v>14632</v>
      </c>
      <c r="K124" s="169">
        <v>104083</v>
      </c>
      <c r="L124" s="260">
        <v>19099</v>
      </c>
      <c r="M124" s="3198">
        <v>0</v>
      </c>
      <c r="N124" s="380">
        <v>104193</v>
      </c>
      <c r="O124" s="201"/>
      <c r="P124" s="1321"/>
    </row>
    <row r="125" spans="1:16">
      <c r="A125" s="1340">
        <v>2002.08</v>
      </c>
      <c r="B125" s="252">
        <v>187069</v>
      </c>
      <c r="C125" s="1313">
        <v>36896</v>
      </c>
      <c r="D125" s="3034">
        <v>6764</v>
      </c>
      <c r="E125" s="2140">
        <v>1446</v>
      </c>
      <c r="F125" s="3034">
        <v>299</v>
      </c>
      <c r="G125" s="169">
        <v>120977</v>
      </c>
      <c r="H125" s="3199">
        <f t="shared" si="1"/>
        <v>121276</v>
      </c>
      <c r="I125" s="169">
        <v>6754</v>
      </c>
      <c r="J125" s="2144">
        <v>13933</v>
      </c>
      <c r="K125" s="169">
        <v>113174</v>
      </c>
      <c r="L125" s="260">
        <v>16016</v>
      </c>
      <c r="M125" s="3198">
        <v>0</v>
      </c>
      <c r="N125" s="380">
        <v>113470</v>
      </c>
      <c r="O125" s="201"/>
      <c r="P125" s="1321"/>
    </row>
    <row r="126" spans="1:16">
      <c r="A126" s="1340">
        <v>2002.09</v>
      </c>
      <c r="B126" s="252">
        <v>166495</v>
      </c>
      <c r="C126" s="1313">
        <v>24132</v>
      </c>
      <c r="D126" s="3034">
        <v>4652</v>
      </c>
      <c r="E126" s="2140">
        <v>905</v>
      </c>
      <c r="F126" s="3034">
        <v>364</v>
      </c>
      <c r="G126" s="169">
        <v>117023</v>
      </c>
      <c r="H126" s="3199">
        <f t="shared" si="1"/>
        <v>117387</v>
      </c>
      <c r="I126" s="169">
        <v>5249</v>
      </c>
      <c r="J126" s="2144">
        <v>14170</v>
      </c>
      <c r="K126" s="169">
        <v>109202</v>
      </c>
      <c r="L126" s="260">
        <v>13377</v>
      </c>
      <c r="M126" s="3198">
        <v>0</v>
      </c>
      <c r="N126" s="380">
        <v>109567</v>
      </c>
      <c r="O126" s="201"/>
      <c r="P126" s="1321"/>
    </row>
    <row r="127" spans="1:16">
      <c r="A127" s="1340">
        <v>2002.1</v>
      </c>
      <c r="B127" s="252">
        <v>157591</v>
      </c>
      <c r="C127" s="1313">
        <v>13714</v>
      </c>
      <c r="D127" s="3034">
        <v>3712</v>
      </c>
      <c r="E127" s="2140">
        <v>492</v>
      </c>
      <c r="F127" s="3034">
        <v>567</v>
      </c>
      <c r="G127" s="169">
        <v>121162</v>
      </c>
      <c r="H127" s="3199">
        <f t="shared" si="1"/>
        <v>121729</v>
      </c>
      <c r="I127" s="169">
        <v>3338</v>
      </c>
      <c r="J127" s="2144">
        <v>14606</v>
      </c>
      <c r="K127" s="169">
        <v>113706</v>
      </c>
      <c r="L127" s="260">
        <v>11660</v>
      </c>
      <c r="M127" s="3198">
        <v>0</v>
      </c>
      <c r="N127" s="380">
        <v>114273</v>
      </c>
      <c r="O127" s="201"/>
      <c r="P127" s="1321"/>
    </row>
    <row r="128" spans="1:16">
      <c r="A128" s="1340">
        <v>2002.11</v>
      </c>
      <c r="B128" s="252">
        <v>146556</v>
      </c>
      <c r="C128" s="1313">
        <v>10414</v>
      </c>
      <c r="D128" s="3034">
        <v>3839</v>
      </c>
      <c r="E128" s="2140">
        <v>454</v>
      </c>
      <c r="F128" s="3034">
        <v>726</v>
      </c>
      <c r="G128" s="169">
        <v>113425</v>
      </c>
      <c r="H128" s="3199">
        <f t="shared" si="1"/>
        <v>114151</v>
      </c>
      <c r="I128" s="169">
        <v>3130</v>
      </c>
      <c r="J128" s="2144">
        <v>14568</v>
      </c>
      <c r="K128" s="169">
        <v>105461</v>
      </c>
      <c r="L128" s="260">
        <v>12256</v>
      </c>
      <c r="M128" s="3198">
        <v>0</v>
      </c>
      <c r="N128" s="380">
        <v>106188</v>
      </c>
      <c r="O128" s="201"/>
      <c r="P128" s="1321"/>
    </row>
    <row r="129" spans="1:16">
      <c r="A129" s="1340">
        <v>2002.12</v>
      </c>
      <c r="B129" s="252">
        <v>145088</v>
      </c>
      <c r="C129" s="1313">
        <v>11782</v>
      </c>
      <c r="D129" s="3034">
        <v>3340</v>
      </c>
      <c r="E129" s="2140">
        <v>352</v>
      </c>
      <c r="F129" s="3034">
        <v>612</v>
      </c>
      <c r="G129" s="169">
        <v>111817</v>
      </c>
      <c r="H129" s="3199">
        <f t="shared" si="1"/>
        <v>112429</v>
      </c>
      <c r="I129" s="169">
        <v>2890</v>
      </c>
      <c r="J129" s="2144">
        <v>14295</v>
      </c>
      <c r="K129" s="169">
        <v>104532</v>
      </c>
      <c r="L129" s="260">
        <v>10976</v>
      </c>
      <c r="M129" s="3198">
        <v>0</v>
      </c>
      <c r="N129" s="380">
        <v>105145</v>
      </c>
      <c r="O129" s="201"/>
      <c r="P129" s="1321"/>
    </row>
    <row r="130" spans="1:16">
      <c r="A130" s="1340">
        <v>2003.01</v>
      </c>
      <c r="B130" s="252">
        <v>140312</v>
      </c>
      <c r="C130" s="1313">
        <v>12710</v>
      </c>
      <c r="D130" s="3034">
        <v>3265</v>
      </c>
      <c r="E130" s="2140">
        <v>300</v>
      </c>
      <c r="F130" s="3034">
        <v>140</v>
      </c>
      <c r="G130" s="169">
        <v>105628</v>
      </c>
      <c r="H130" s="3199">
        <f t="shared" si="1"/>
        <v>105768</v>
      </c>
      <c r="I130" s="169">
        <v>2732</v>
      </c>
      <c r="J130" s="2144">
        <v>15537</v>
      </c>
      <c r="K130" s="169">
        <v>98545</v>
      </c>
      <c r="L130" s="260">
        <v>10649</v>
      </c>
      <c r="M130" s="3198">
        <v>0</v>
      </c>
      <c r="N130" s="380">
        <v>98684</v>
      </c>
      <c r="O130" s="201"/>
      <c r="P130" s="1321"/>
    </row>
    <row r="131" spans="1:16">
      <c r="A131" s="1340">
        <v>2003.02</v>
      </c>
      <c r="B131" s="252">
        <v>127628</v>
      </c>
      <c r="C131" s="1313">
        <v>11460</v>
      </c>
      <c r="D131" s="3034">
        <v>3751</v>
      </c>
      <c r="E131" s="2140">
        <v>301</v>
      </c>
      <c r="F131" s="3034">
        <v>522</v>
      </c>
      <c r="G131" s="169">
        <v>95313</v>
      </c>
      <c r="H131" s="3199">
        <f t="shared" si="1"/>
        <v>95835</v>
      </c>
      <c r="I131" s="169">
        <v>2742</v>
      </c>
      <c r="J131" s="2144">
        <v>13539</v>
      </c>
      <c r="K131" s="169">
        <v>88607</v>
      </c>
      <c r="L131" s="260">
        <v>11621</v>
      </c>
      <c r="M131" s="3198">
        <v>0</v>
      </c>
      <c r="N131" s="380">
        <v>88266</v>
      </c>
      <c r="O131" s="201"/>
      <c r="P131" s="1321"/>
    </row>
    <row r="132" spans="1:16">
      <c r="A132" s="1340">
        <v>2003.03</v>
      </c>
      <c r="B132" s="252">
        <v>146529</v>
      </c>
      <c r="C132" s="1313">
        <v>13413</v>
      </c>
      <c r="D132" s="3034">
        <v>4739</v>
      </c>
      <c r="E132" s="2140">
        <v>358</v>
      </c>
      <c r="F132" s="3034">
        <v>385</v>
      </c>
      <c r="G132" s="169">
        <v>109910</v>
      </c>
      <c r="H132" s="3199">
        <f t="shared" si="1"/>
        <v>110295</v>
      </c>
      <c r="I132" s="169">
        <v>3329</v>
      </c>
      <c r="J132" s="2144">
        <v>14395</v>
      </c>
      <c r="K132" s="169">
        <v>101880</v>
      </c>
      <c r="L132" s="260">
        <v>13128</v>
      </c>
      <c r="M132" s="3198">
        <v>0</v>
      </c>
      <c r="N132" s="380">
        <v>102264</v>
      </c>
      <c r="O132" s="201"/>
      <c r="P132" s="1321"/>
    </row>
    <row r="133" spans="1:16">
      <c r="A133" s="1340">
        <v>2003.04</v>
      </c>
      <c r="B133" s="252">
        <v>168187</v>
      </c>
      <c r="C133" s="1313">
        <v>18964</v>
      </c>
      <c r="D133" s="3034">
        <v>4109</v>
      </c>
      <c r="E133" s="2140">
        <v>402</v>
      </c>
      <c r="F133" s="3034">
        <v>2627</v>
      </c>
      <c r="G133" s="169">
        <v>121176</v>
      </c>
      <c r="H133" s="3199">
        <f t="shared" si="1"/>
        <v>123803</v>
      </c>
      <c r="I133" s="169">
        <v>4188</v>
      </c>
      <c r="J133" s="2144">
        <v>16721</v>
      </c>
      <c r="K133" s="169">
        <v>112342</v>
      </c>
      <c r="L133" s="260">
        <v>13346</v>
      </c>
      <c r="M133" s="3198">
        <v>0</v>
      </c>
      <c r="N133" s="380">
        <v>114968</v>
      </c>
      <c r="O133" s="201"/>
      <c r="P133" s="1321"/>
    </row>
    <row r="134" spans="1:16">
      <c r="A134" s="1340">
        <v>2003.05</v>
      </c>
      <c r="B134" s="252">
        <v>189352</v>
      </c>
      <c r="C134" s="1313">
        <v>32328</v>
      </c>
      <c r="D134" s="3034">
        <v>5850</v>
      </c>
      <c r="E134" s="2140">
        <v>679</v>
      </c>
      <c r="F134" s="3034">
        <v>3</v>
      </c>
      <c r="G134" s="169">
        <v>127802</v>
      </c>
      <c r="H134" s="3199">
        <f t="shared" si="1"/>
        <v>127805</v>
      </c>
      <c r="I134" s="169">
        <v>6441</v>
      </c>
      <c r="J134" s="2144">
        <v>16249</v>
      </c>
      <c r="K134" s="169">
        <v>118955</v>
      </c>
      <c r="L134" s="260">
        <v>15376</v>
      </c>
      <c r="M134" s="3198">
        <v>0</v>
      </c>
      <c r="N134" s="380">
        <v>118958</v>
      </c>
      <c r="O134" s="201"/>
      <c r="P134" s="1321"/>
    </row>
    <row r="135" spans="1:16">
      <c r="A135" s="1340">
        <v>2003.06</v>
      </c>
      <c r="B135" s="252">
        <v>185704</v>
      </c>
      <c r="C135" s="1313">
        <v>35438</v>
      </c>
      <c r="D135" s="3034">
        <v>6821</v>
      </c>
      <c r="E135" s="2140">
        <v>1166</v>
      </c>
      <c r="F135" s="3034">
        <v>243</v>
      </c>
      <c r="G135" s="169">
        <v>117525</v>
      </c>
      <c r="H135" s="3199">
        <f t="shared" si="1"/>
        <v>117768</v>
      </c>
      <c r="I135" s="169">
        <v>7913</v>
      </c>
      <c r="J135" s="2144">
        <v>16598</v>
      </c>
      <c r="K135" s="169">
        <v>108360</v>
      </c>
      <c r="L135" s="260">
        <v>17156</v>
      </c>
      <c r="M135" s="3198">
        <v>0</v>
      </c>
      <c r="N135" s="380">
        <v>108599</v>
      </c>
      <c r="O135" s="201"/>
      <c r="P135" s="1321"/>
    </row>
    <row r="136" spans="1:16">
      <c r="A136" s="1340">
        <v>2003.07</v>
      </c>
      <c r="B136" s="252">
        <v>193139</v>
      </c>
      <c r="C136" s="1313">
        <v>52907</v>
      </c>
      <c r="D136" s="3034">
        <v>6320</v>
      </c>
      <c r="E136" s="2140">
        <v>1190</v>
      </c>
      <c r="F136" s="3034">
        <v>311</v>
      </c>
      <c r="G136" s="169">
        <v>103638</v>
      </c>
      <c r="H136" s="3199">
        <f t="shared" si="1"/>
        <v>103949</v>
      </c>
      <c r="I136" s="169">
        <v>10583</v>
      </c>
      <c r="J136" s="2144">
        <v>18190</v>
      </c>
      <c r="K136" s="169">
        <v>93751</v>
      </c>
      <c r="L136" s="260">
        <v>17401</v>
      </c>
      <c r="M136" s="3198">
        <v>0</v>
      </c>
      <c r="N136" s="380">
        <v>94058</v>
      </c>
      <c r="O136" s="201"/>
      <c r="P136" s="1321"/>
    </row>
    <row r="137" spans="1:16">
      <c r="A137" s="1340">
        <v>2003.08</v>
      </c>
      <c r="B137" s="252">
        <v>189969</v>
      </c>
      <c r="C137" s="1313">
        <v>44158</v>
      </c>
      <c r="D137" s="3034">
        <v>7575</v>
      </c>
      <c r="E137" s="2140">
        <v>1536</v>
      </c>
      <c r="F137" s="3034">
        <v>162</v>
      </c>
      <c r="G137" s="169">
        <v>108432</v>
      </c>
      <c r="H137" s="3199">
        <f t="shared" si="1"/>
        <v>108594</v>
      </c>
      <c r="I137" s="169">
        <v>9801</v>
      </c>
      <c r="J137" s="2144">
        <v>18305</v>
      </c>
      <c r="K137" s="169">
        <v>97974</v>
      </c>
      <c r="L137" s="260">
        <v>19567</v>
      </c>
      <c r="M137" s="3198">
        <v>0</v>
      </c>
      <c r="N137" s="380">
        <v>98138</v>
      </c>
      <c r="O137" s="201"/>
      <c r="P137" s="1321"/>
    </row>
    <row r="138" spans="1:16">
      <c r="A138" s="1340">
        <v>2003.09</v>
      </c>
      <c r="B138" s="252">
        <v>197808</v>
      </c>
      <c r="C138" s="1313">
        <v>33323</v>
      </c>
      <c r="D138" s="3034">
        <v>6304</v>
      </c>
      <c r="E138" s="2140">
        <v>1270</v>
      </c>
      <c r="F138" s="3034">
        <v>1944</v>
      </c>
      <c r="G138" s="169">
        <v>129876</v>
      </c>
      <c r="H138" s="3199">
        <f t="shared" si="1"/>
        <v>131820</v>
      </c>
      <c r="I138" s="169">
        <v>6667</v>
      </c>
      <c r="J138" s="2144">
        <v>18424</v>
      </c>
      <c r="K138" s="169">
        <v>119404</v>
      </c>
      <c r="L138" s="260">
        <v>18045</v>
      </c>
      <c r="M138" s="3198">
        <v>0</v>
      </c>
      <c r="N138" s="380">
        <v>121349</v>
      </c>
      <c r="O138" s="201"/>
      <c r="P138" s="1321"/>
    </row>
    <row r="139" spans="1:16">
      <c r="A139" s="1340">
        <v>2003.1</v>
      </c>
      <c r="B139" s="252">
        <v>179005</v>
      </c>
      <c r="C139" s="1313">
        <v>17566</v>
      </c>
      <c r="D139" s="3034">
        <v>4737</v>
      </c>
      <c r="E139" s="2140">
        <v>641</v>
      </c>
      <c r="F139" s="3034">
        <v>41</v>
      </c>
      <c r="G139" s="169">
        <v>132642</v>
      </c>
      <c r="H139" s="3199">
        <f t="shared" si="1"/>
        <v>132683</v>
      </c>
      <c r="I139" s="169">
        <v>4359</v>
      </c>
      <c r="J139" s="2144">
        <v>19019</v>
      </c>
      <c r="K139" s="169">
        <v>122592</v>
      </c>
      <c r="L139" s="260">
        <v>15427</v>
      </c>
      <c r="M139" s="3198">
        <v>0</v>
      </c>
      <c r="N139" s="380">
        <v>122634</v>
      </c>
      <c r="O139" s="201"/>
      <c r="P139" s="1321"/>
    </row>
    <row r="140" spans="1:16">
      <c r="A140" s="1340">
        <v>2003.11</v>
      </c>
      <c r="B140" s="252">
        <v>165677</v>
      </c>
      <c r="C140" s="1313">
        <v>14365</v>
      </c>
      <c r="D140" s="3034">
        <v>4460</v>
      </c>
      <c r="E140" s="2140">
        <v>470</v>
      </c>
      <c r="F140" s="3034">
        <v>385</v>
      </c>
      <c r="G140" s="169">
        <v>125344</v>
      </c>
      <c r="H140" s="3199">
        <f t="shared" ref="H140:H203" si="2">F140+G140</f>
        <v>125729</v>
      </c>
      <c r="I140" s="169">
        <v>3064</v>
      </c>
      <c r="J140" s="2144">
        <v>17589</v>
      </c>
      <c r="K140" s="169">
        <v>116012</v>
      </c>
      <c r="L140" s="260">
        <v>14549</v>
      </c>
      <c r="M140" s="3198">
        <v>0</v>
      </c>
      <c r="N140" s="380">
        <v>116110</v>
      </c>
      <c r="O140" s="201"/>
      <c r="P140" s="1321"/>
    </row>
    <row r="141" spans="1:16">
      <c r="A141" s="1340">
        <v>2003.12</v>
      </c>
      <c r="B141" s="252">
        <v>172152</v>
      </c>
      <c r="C141" s="1313">
        <v>12783</v>
      </c>
      <c r="D141" s="3034">
        <v>6513</v>
      </c>
      <c r="E141" s="2140">
        <v>532</v>
      </c>
      <c r="F141" s="3034">
        <v>148</v>
      </c>
      <c r="G141" s="169">
        <v>126170</v>
      </c>
      <c r="H141" s="3199">
        <f t="shared" si="2"/>
        <v>126318</v>
      </c>
      <c r="I141" s="169">
        <v>4546</v>
      </c>
      <c r="J141" s="2144">
        <v>21460</v>
      </c>
      <c r="K141" s="169">
        <v>115384</v>
      </c>
      <c r="L141" s="260">
        <v>17831</v>
      </c>
      <c r="M141" s="3198">
        <v>0</v>
      </c>
      <c r="N141" s="380">
        <v>115532</v>
      </c>
      <c r="O141" s="201"/>
      <c r="P141" s="1321"/>
    </row>
    <row r="142" spans="1:16">
      <c r="A142" s="1340">
        <v>2004.01</v>
      </c>
      <c r="B142" s="252">
        <v>157353</v>
      </c>
      <c r="C142" s="1313">
        <v>11961</v>
      </c>
      <c r="D142" s="3034">
        <v>3421</v>
      </c>
      <c r="E142" s="2140">
        <v>304</v>
      </c>
      <c r="F142" s="3034">
        <v>437</v>
      </c>
      <c r="G142" s="169">
        <v>119930</v>
      </c>
      <c r="H142" s="3199">
        <f t="shared" si="2"/>
        <v>120367</v>
      </c>
      <c r="I142" s="169">
        <v>3118</v>
      </c>
      <c r="J142" s="2144">
        <v>18182</v>
      </c>
      <c r="K142" s="169">
        <v>111284</v>
      </c>
      <c r="L142" s="260">
        <v>12371</v>
      </c>
      <c r="M142" s="3198">
        <v>0</v>
      </c>
      <c r="N142" s="380">
        <v>111721</v>
      </c>
      <c r="O142" s="201"/>
      <c r="P142" s="1321"/>
    </row>
    <row r="143" spans="1:16">
      <c r="A143" s="1340">
        <v>2004.02</v>
      </c>
      <c r="B143" s="252">
        <v>149895</v>
      </c>
      <c r="C143" s="1313">
        <v>11072</v>
      </c>
      <c r="D143" s="3034">
        <v>3733</v>
      </c>
      <c r="E143" s="2140">
        <v>311</v>
      </c>
      <c r="F143" s="3034">
        <v>1380</v>
      </c>
      <c r="G143" s="169">
        <v>112860</v>
      </c>
      <c r="H143" s="3199">
        <f t="shared" si="2"/>
        <v>114240</v>
      </c>
      <c r="I143" s="169">
        <v>2907</v>
      </c>
      <c r="J143" s="2144">
        <v>17632</v>
      </c>
      <c r="K143" s="169">
        <v>102852</v>
      </c>
      <c r="L143" s="260">
        <v>14053</v>
      </c>
      <c r="M143" s="3198">
        <v>0</v>
      </c>
      <c r="N143" s="380">
        <v>104231</v>
      </c>
      <c r="O143" s="201"/>
      <c r="P143" s="1321"/>
    </row>
    <row r="144" spans="1:16">
      <c r="A144" s="1340">
        <v>2004.03</v>
      </c>
      <c r="B144" s="252">
        <v>161779</v>
      </c>
      <c r="C144" s="1313">
        <v>11948</v>
      </c>
      <c r="D144" s="3034">
        <v>5574</v>
      </c>
      <c r="E144" s="2140">
        <v>335</v>
      </c>
      <c r="F144" s="3034">
        <v>1145</v>
      </c>
      <c r="G144" s="169">
        <v>119542</v>
      </c>
      <c r="H144" s="3199">
        <f t="shared" si="2"/>
        <v>120687</v>
      </c>
      <c r="I144" s="169">
        <v>3825</v>
      </c>
      <c r="J144" s="2144">
        <v>19410</v>
      </c>
      <c r="K144" s="169">
        <v>107487</v>
      </c>
      <c r="L144" s="260">
        <v>17965</v>
      </c>
      <c r="M144" s="3198">
        <v>0</v>
      </c>
      <c r="N144" s="380">
        <v>108631</v>
      </c>
      <c r="O144" s="201"/>
      <c r="P144" s="1321"/>
    </row>
    <row r="145" spans="1:16">
      <c r="A145" s="1340">
        <v>2004.04</v>
      </c>
      <c r="B145" s="252">
        <v>176361</v>
      </c>
      <c r="C145" s="1313">
        <v>18952</v>
      </c>
      <c r="D145" s="3034">
        <v>4994</v>
      </c>
      <c r="E145" s="2140">
        <v>433</v>
      </c>
      <c r="F145" s="3034">
        <v>5141</v>
      </c>
      <c r="G145" s="169">
        <v>122919</v>
      </c>
      <c r="H145" s="3199">
        <f t="shared" si="2"/>
        <v>128060</v>
      </c>
      <c r="I145" s="169">
        <v>4316</v>
      </c>
      <c r="J145" s="2144">
        <v>19606</v>
      </c>
      <c r="K145" s="169">
        <v>111796</v>
      </c>
      <c r="L145" s="260">
        <v>16551</v>
      </c>
      <c r="M145" s="3198">
        <v>0</v>
      </c>
      <c r="N145" s="380">
        <v>116936</v>
      </c>
      <c r="O145" s="201"/>
      <c r="P145" s="1321"/>
    </row>
    <row r="146" spans="1:16">
      <c r="A146" s="1340">
        <v>2004.05</v>
      </c>
      <c r="B146" s="252">
        <v>193485</v>
      </c>
      <c r="C146" s="1313">
        <v>45003</v>
      </c>
      <c r="D146" s="3034">
        <v>6942</v>
      </c>
      <c r="E146" s="2140">
        <v>846</v>
      </c>
      <c r="F146" s="3034">
        <v>17</v>
      </c>
      <c r="G146" s="169">
        <v>111751</v>
      </c>
      <c r="H146" s="3199">
        <f t="shared" si="2"/>
        <v>111768</v>
      </c>
      <c r="I146" s="169">
        <v>8566</v>
      </c>
      <c r="J146" s="2144">
        <v>20360</v>
      </c>
      <c r="K146" s="169">
        <v>100021</v>
      </c>
      <c r="L146" s="260">
        <v>19508</v>
      </c>
      <c r="M146" s="3198">
        <v>0</v>
      </c>
      <c r="N146" s="380">
        <v>100048</v>
      </c>
      <c r="O146" s="201"/>
      <c r="P146" s="1321"/>
    </row>
    <row r="147" spans="1:16">
      <c r="A147" s="1340">
        <v>2004.06</v>
      </c>
      <c r="B147" s="252">
        <v>189349</v>
      </c>
      <c r="C147" s="1313">
        <v>45044</v>
      </c>
      <c r="D147" s="3034">
        <v>9920</v>
      </c>
      <c r="E147" s="2140">
        <v>1855</v>
      </c>
      <c r="F147" s="3034">
        <v>94</v>
      </c>
      <c r="G147" s="169">
        <v>102488</v>
      </c>
      <c r="H147" s="3199">
        <f t="shared" si="2"/>
        <v>102582</v>
      </c>
      <c r="I147" s="169">
        <v>10565</v>
      </c>
      <c r="J147" s="2144">
        <v>19383</v>
      </c>
      <c r="K147" s="169">
        <v>89572</v>
      </c>
      <c r="L147" s="260">
        <v>24685</v>
      </c>
      <c r="M147" s="3198">
        <v>0</v>
      </c>
      <c r="N147" s="380">
        <v>89672</v>
      </c>
      <c r="O147" s="201"/>
      <c r="P147" s="1321"/>
    </row>
    <row r="148" spans="1:16">
      <c r="A148" s="1340">
        <v>2004.07</v>
      </c>
      <c r="B148" s="252">
        <v>189990</v>
      </c>
      <c r="C148" s="1313">
        <v>50137</v>
      </c>
      <c r="D148" s="3034">
        <v>7419</v>
      </c>
      <c r="E148" s="2140">
        <v>1453</v>
      </c>
      <c r="F148" s="3034">
        <v>14</v>
      </c>
      <c r="G148" s="169">
        <v>99267</v>
      </c>
      <c r="H148" s="3199">
        <f t="shared" si="2"/>
        <v>99281</v>
      </c>
      <c r="I148" s="169">
        <v>10294</v>
      </c>
      <c r="J148" s="2144">
        <v>21406</v>
      </c>
      <c r="K148" s="169">
        <v>87402</v>
      </c>
      <c r="L148" s="260">
        <v>20731</v>
      </c>
      <c r="M148" s="3198">
        <v>0</v>
      </c>
      <c r="N148" s="380">
        <v>87422</v>
      </c>
      <c r="O148" s="201"/>
      <c r="P148" s="1321"/>
    </row>
    <row r="149" spans="1:16">
      <c r="A149" s="1340">
        <v>2004.08</v>
      </c>
      <c r="B149" s="252">
        <v>188897</v>
      </c>
      <c r="C149" s="1313">
        <v>39673</v>
      </c>
      <c r="D149" s="3034">
        <v>6857</v>
      </c>
      <c r="E149" s="2140">
        <v>1328</v>
      </c>
      <c r="F149" s="3034">
        <v>1296</v>
      </c>
      <c r="G149" s="169">
        <v>109081</v>
      </c>
      <c r="H149" s="3199">
        <f t="shared" si="2"/>
        <v>110377</v>
      </c>
      <c r="I149" s="169">
        <v>9871</v>
      </c>
      <c r="J149" s="2144">
        <v>20791</v>
      </c>
      <c r="K149" s="169">
        <v>97179</v>
      </c>
      <c r="L149" s="260">
        <v>20083</v>
      </c>
      <c r="M149" s="3198">
        <v>0</v>
      </c>
      <c r="N149" s="380">
        <v>98479</v>
      </c>
      <c r="O149" s="201"/>
      <c r="P149" s="1321"/>
    </row>
    <row r="150" spans="1:16">
      <c r="A150" s="1340">
        <v>2004.09</v>
      </c>
      <c r="B150" s="252">
        <v>193041</v>
      </c>
      <c r="C150" s="1313">
        <v>27041</v>
      </c>
      <c r="D150" s="3034">
        <v>6290</v>
      </c>
      <c r="E150" s="2140">
        <v>1046</v>
      </c>
      <c r="F150" s="3034">
        <v>6171</v>
      </c>
      <c r="G150" s="169">
        <v>126415</v>
      </c>
      <c r="H150" s="3199">
        <f t="shared" si="2"/>
        <v>132586</v>
      </c>
      <c r="I150" s="169">
        <v>5530</v>
      </c>
      <c r="J150" s="2144">
        <v>20548</v>
      </c>
      <c r="K150" s="169">
        <v>114794</v>
      </c>
      <c r="L150" s="260">
        <v>18959</v>
      </c>
      <c r="M150" s="3198">
        <v>0</v>
      </c>
      <c r="N150" s="380">
        <v>120963</v>
      </c>
      <c r="O150" s="201"/>
      <c r="P150" s="1321"/>
    </row>
    <row r="151" spans="1:16">
      <c r="A151" s="1340">
        <v>2004.1</v>
      </c>
      <c r="B151" s="252">
        <v>181072</v>
      </c>
      <c r="C151" s="1313">
        <v>18337</v>
      </c>
      <c r="D151" s="3034">
        <v>4702</v>
      </c>
      <c r="E151" s="2140">
        <v>548</v>
      </c>
      <c r="F151" s="3034">
        <v>463</v>
      </c>
      <c r="G151" s="169">
        <v>131165</v>
      </c>
      <c r="H151" s="3199">
        <f t="shared" si="2"/>
        <v>131628</v>
      </c>
      <c r="I151" s="169">
        <v>4463</v>
      </c>
      <c r="J151" s="2144">
        <v>21394</v>
      </c>
      <c r="K151" s="169">
        <v>119847</v>
      </c>
      <c r="L151" s="260">
        <v>16566</v>
      </c>
      <c r="M151" s="3198">
        <v>0</v>
      </c>
      <c r="N151" s="380">
        <v>120312</v>
      </c>
      <c r="O151" s="201"/>
      <c r="P151" s="1321"/>
    </row>
    <row r="152" spans="1:16">
      <c r="A152" s="1340">
        <v>2004.11</v>
      </c>
      <c r="B152" s="252">
        <v>171426</v>
      </c>
      <c r="C152" s="1313">
        <v>14593</v>
      </c>
      <c r="D152" s="3034">
        <v>4338</v>
      </c>
      <c r="E152" s="2140">
        <v>437</v>
      </c>
      <c r="F152" s="3034">
        <v>659</v>
      </c>
      <c r="G152" s="169">
        <v>126943</v>
      </c>
      <c r="H152" s="3199">
        <f t="shared" si="2"/>
        <v>127602</v>
      </c>
      <c r="I152" s="169">
        <v>3982</v>
      </c>
      <c r="J152" s="2144">
        <v>20474</v>
      </c>
      <c r="K152" s="169">
        <v>115449</v>
      </c>
      <c r="L152" s="260">
        <v>16269</v>
      </c>
      <c r="M152" s="3198">
        <v>0</v>
      </c>
      <c r="N152" s="380">
        <v>116108</v>
      </c>
      <c r="O152" s="201"/>
      <c r="P152" s="1321"/>
    </row>
    <row r="153" spans="1:16">
      <c r="A153" s="1340">
        <v>2004.12</v>
      </c>
      <c r="B153" s="252">
        <v>166369</v>
      </c>
      <c r="C153" s="1313">
        <v>14203</v>
      </c>
      <c r="D153" s="3034">
        <v>2958</v>
      </c>
      <c r="E153" s="2140">
        <v>278</v>
      </c>
      <c r="F153" s="3034">
        <v>4731</v>
      </c>
      <c r="G153" s="169">
        <v>119450</v>
      </c>
      <c r="H153" s="3199">
        <f t="shared" si="2"/>
        <v>124181</v>
      </c>
      <c r="I153" s="169">
        <v>3074</v>
      </c>
      <c r="J153" s="2144">
        <v>21675</v>
      </c>
      <c r="K153" s="169">
        <v>109981</v>
      </c>
      <c r="L153" s="260">
        <v>12706</v>
      </c>
      <c r="M153" s="3198">
        <v>0</v>
      </c>
      <c r="N153" s="380">
        <v>114711</v>
      </c>
      <c r="O153" s="201"/>
      <c r="P153" s="1321"/>
    </row>
    <row r="154" spans="1:16">
      <c r="A154" s="1340">
        <v>2005.01</v>
      </c>
      <c r="B154" s="252">
        <v>188523</v>
      </c>
      <c r="C154" s="1313">
        <v>13056</v>
      </c>
      <c r="D154" s="3034">
        <v>3727</v>
      </c>
      <c r="E154" s="2140">
        <v>298</v>
      </c>
      <c r="F154" s="3034">
        <v>26706</v>
      </c>
      <c r="G154" s="169">
        <v>122168</v>
      </c>
      <c r="H154" s="3199">
        <f t="shared" si="2"/>
        <v>148874</v>
      </c>
      <c r="I154" s="169">
        <v>3063</v>
      </c>
      <c r="J154" s="2144">
        <v>19505</v>
      </c>
      <c r="K154" s="169">
        <v>113088</v>
      </c>
      <c r="L154" s="260">
        <v>13105</v>
      </c>
      <c r="M154" s="3198">
        <v>0</v>
      </c>
      <c r="N154" s="380">
        <v>139794</v>
      </c>
      <c r="O154" s="201"/>
      <c r="P154" s="1321"/>
    </row>
    <row r="155" spans="1:16">
      <c r="A155" s="1340">
        <v>2005.02</v>
      </c>
      <c r="B155" s="252">
        <v>177151</v>
      </c>
      <c r="C155" s="1313">
        <v>11905</v>
      </c>
      <c r="D155" s="3034">
        <v>4209</v>
      </c>
      <c r="E155" s="2140">
        <v>291</v>
      </c>
      <c r="F155" s="3034">
        <v>23438</v>
      </c>
      <c r="G155" s="169">
        <v>115707</v>
      </c>
      <c r="H155" s="3199">
        <f t="shared" si="2"/>
        <v>139145</v>
      </c>
      <c r="I155" s="169">
        <v>3170</v>
      </c>
      <c r="J155" s="2144">
        <v>18431</v>
      </c>
      <c r="K155" s="169">
        <v>105585</v>
      </c>
      <c r="L155" s="260">
        <v>14623</v>
      </c>
      <c r="M155" s="3198">
        <v>0</v>
      </c>
      <c r="N155" s="380">
        <v>129022</v>
      </c>
      <c r="O155" s="201"/>
      <c r="P155" s="1321"/>
    </row>
    <row r="156" spans="1:16">
      <c r="A156" s="1340">
        <v>2005.03</v>
      </c>
      <c r="B156" s="252">
        <v>184818</v>
      </c>
      <c r="C156" s="1313">
        <v>14712</v>
      </c>
      <c r="D156" s="3034">
        <v>5810</v>
      </c>
      <c r="E156" s="2140">
        <v>309</v>
      </c>
      <c r="F156" s="3034">
        <v>9468</v>
      </c>
      <c r="G156" s="169">
        <v>129501</v>
      </c>
      <c r="H156" s="3199">
        <f t="shared" si="2"/>
        <v>138969</v>
      </c>
      <c r="I156" s="169">
        <v>4274</v>
      </c>
      <c r="J156" s="2144">
        <v>20744</v>
      </c>
      <c r="K156" s="169">
        <v>117171</v>
      </c>
      <c r="L156" s="260">
        <v>18117</v>
      </c>
      <c r="M156" s="3198">
        <v>0</v>
      </c>
      <c r="N156" s="380">
        <v>126971</v>
      </c>
      <c r="O156" s="201"/>
      <c r="P156" s="1321"/>
    </row>
    <row r="157" spans="1:16">
      <c r="A157" s="1340">
        <v>2005.04</v>
      </c>
      <c r="B157" s="252">
        <v>210098</v>
      </c>
      <c r="C157" s="1313">
        <v>25415</v>
      </c>
      <c r="D157" s="3034">
        <v>4210</v>
      </c>
      <c r="E157" s="2140">
        <v>292</v>
      </c>
      <c r="F157" s="3034">
        <v>21951</v>
      </c>
      <c r="G157" s="169">
        <v>132115</v>
      </c>
      <c r="H157" s="3199">
        <f t="shared" si="2"/>
        <v>154066</v>
      </c>
      <c r="I157" s="169">
        <v>5361</v>
      </c>
      <c r="J157" s="2144">
        <v>20754</v>
      </c>
      <c r="K157" s="169">
        <v>120160</v>
      </c>
      <c r="L157" s="260">
        <v>16455</v>
      </c>
      <c r="M157" s="3198">
        <v>0</v>
      </c>
      <c r="N157" s="380">
        <v>142113</v>
      </c>
      <c r="O157" s="201"/>
      <c r="P157" s="1321"/>
    </row>
    <row r="158" spans="1:16">
      <c r="A158" s="1340">
        <v>2005.05</v>
      </c>
      <c r="B158" s="252">
        <v>200048</v>
      </c>
      <c r="C158" s="1313">
        <v>36350</v>
      </c>
      <c r="D158" s="3034">
        <v>5920</v>
      </c>
      <c r="E158" s="2140">
        <v>762</v>
      </c>
      <c r="F158" s="3034">
        <v>2918</v>
      </c>
      <c r="G158" s="169">
        <v>124027</v>
      </c>
      <c r="H158" s="3199">
        <f t="shared" si="2"/>
        <v>126945</v>
      </c>
      <c r="I158" s="169">
        <v>8827</v>
      </c>
      <c r="J158" s="2144">
        <v>21244</v>
      </c>
      <c r="K158" s="169">
        <v>112263</v>
      </c>
      <c r="L158" s="260">
        <v>18447</v>
      </c>
      <c r="M158" s="3198">
        <v>0</v>
      </c>
      <c r="N158" s="380">
        <v>115180</v>
      </c>
      <c r="O158" s="201"/>
      <c r="P158" s="1321"/>
    </row>
    <row r="159" spans="1:16">
      <c r="A159" s="1340">
        <v>2005.06</v>
      </c>
      <c r="B159" s="252">
        <v>189458</v>
      </c>
      <c r="C159" s="1313">
        <v>38199</v>
      </c>
      <c r="D159" s="3034">
        <v>6717</v>
      </c>
      <c r="E159" s="2140">
        <v>1082</v>
      </c>
      <c r="F159" s="3034">
        <v>133</v>
      </c>
      <c r="G159" s="169">
        <v>112405</v>
      </c>
      <c r="H159" s="3199">
        <f t="shared" si="2"/>
        <v>112538</v>
      </c>
      <c r="I159" s="169">
        <v>10378</v>
      </c>
      <c r="J159" s="2144">
        <v>20544</v>
      </c>
      <c r="K159" s="169">
        <v>100533</v>
      </c>
      <c r="L159" s="260">
        <v>19671</v>
      </c>
      <c r="M159" s="3198">
        <v>0</v>
      </c>
      <c r="N159" s="380">
        <v>100666</v>
      </c>
      <c r="O159" s="201"/>
      <c r="P159" s="1321"/>
    </row>
    <row r="160" spans="1:16">
      <c r="A160" s="1340">
        <v>2005.07</v>
      </c>
      <c r="B160" s="252">
        <v>190867</v>
      </c>
      <c r="C160" s="1313">
        <v>52433</v>
      </c>
      <c r="D160" s="3034">
        <v>7535</v>
      </c>
      <c r="E160" s="2140">
        <v>1431</v>
      </c>
      <c r="F160" s="3034">
        <v>706</v>
      </c>
      <c r="G160" s="169">
        <v>94958</v>
      </c>
      <c r="H160" s="3199">
        <f t="shared" si="2"/>
        <v>95664</v>
      </c>
      <c r="I160" s="169">
        <v>12023</v>
      </c>
      <c r="J160" s="2144">
        <v>21781</v>
      </c>
      <c r="K160" s="169">
        <v>82845</v>
      </c>
      <c r="L160" s="260">
        <v>21079</v>
      </c>
      <c r="M160" s="3198">
        <v>0</v>
      </c>
      <c r="N160" s="380">
        <v>83551</v>
      </c>
      <c r="O160" s="201"/>
      <c r="P160" s="1321"/>
    </row>
    <row r="161" spans="1:16">
      <c r="A161" s="1340">
        <v>2005.08</v>
      </c>
      <c r="B161" s="252">
        <v>220026</v>
      </c>
      <c r="C161" s="1313">
        <v>47316</v>
      </c>
      <c r="D161" s="3034">
        <v>7638</v>
      </c>
      <c r="E161" s="2140">
        <v>1398</v>
      </c>
      <c r="F161" s="3034">
        <v>853</v>
      </c>
      <c r="G161" s="169">
        <v>130168</v>
      </c>
      <c r="H161" s="3199">
        <f t="shared" si="2"/>
        <v>131021</v>
      </c>
      <c r="I161" s="169">
        <v>10906</v>
      </c>
      <c r="J161" s="2144">
        <v>21747</v>
      </c>
      <c r="K161" s="169">
        <v>117639</v>
      </c>
      <c r="L161" s="260">
        <v>21564</v>
      </c>
      <c r="M161" s="3198">
        <v>0</v>
      </c>
      <c r="N161" s="380">
        <v>118493</v>
      </c>
      <c r="O161" s="201"/>
      <c r="P161" s="1321"/>
    </row>
    <row r="162" spans="1:16">
      <c r="A162" s="1340">
        <v>2005.09</v>
      </c>
      <c r="B162" s="252">
        <v>217192</v>
      </c>
      <c r="C162" s="1313">
        <v>43286</v>
      </c>
      <c r="D162" s="3034">
        <v>7668</v>
      </c>
      <c r="E162" s="2140">
        <v>1406</v>
      </c>
      <c r="F162" s="3034">
        <v>320</v>
      </c>
      <c r="G162" s="169">
        <v>134535</v>
      </c>
      <c r="H162" s="3199">
        <f t="shared" si="2"/>
        <v>134855</v>
      </c>
      <c r="I162" s="169">
        <v>9034</v>
      </c>
      <c r="J162" s="2144">
        <v>20943</v>
      </c>
      <c r="K162" s="169">
        <v>121899</v>
      </c>
      <c r="L162" s="260">
        <v>21710</v>
      </c>
      <c r="M162" s="3198">
        <v>0</v>
      </c>
      <c r="N162" s="380">
        <v>122219</v>
      </c>
      <c r="O162" s="201"/>
      <c r="P162" s="1321"/>
    </row>
    <row r="163" spans="1:16">
      <c r="A163" s="1340">
        <v>2005.1</v>
      </c>
      <c r="B163" s="252">
        <v>203144</v>
      </c>
      <c r="C163" s="1313">
        <v>28975</v>
      </c>
      <c r="D163" s="3034">
        <v>6464</v>
      </c>
      <c r="E163" s="2140">
        <v>891</v>
      </c>
      <c r="F163" s="3034">
        <v>1156</v>
      </c>
      <c r="G163" s="169">
        <v>139060</v>
      </c>
      <c r="H163" s="3199">
        <f t="shared" si="2"/>
        <v>140216</v>
      </c>
      <c r="I163" s="169">
        <v>5136</v>
      </c>
      <c r="J163" s="2144">
        <v>21462</v>
      </c>
      <c r="K163" s="169">
        <v>128226</v>
      </c>
      <c r="L163" s="260">
        <v>18190</v>
      </c>
      <c r="M163" s="3198">
        <v>0</v>
      </c>
      <c r="N163" s="380">
        <v>129381</v>
      </c>
      <c r="O163" s="201"/>
      <c r="P163" s="1321"/>
    </row>
    <row r="164" spans="1:16">
      <c r="A164" s="1340">
        <v>2005.11</v>
      </c>
      <c r="B164" s="252">
        <v>180538</v>
      </c>
      <c r="C164" s="1313">
        <v>16081</v>
      </c>
      <c r="D164" s="3034">
        <v>4886</v>
      </c>
      <c r="E164" s="2140">
        <v>479</v>
      </c>
      <c r="F164" s="3034">
        <v>5909</v>
      </c>
      <c r="G164" s="169">
        <v>128686</v>
      </c>
      <c r="H164" s="3199">
        <f t="shared" si="2"/>
        <v>134595</v>
      </c>
      <c r="I164" s="169">
        <v>4102</v>
      </c>
      <c r="J164" s="2144">
        <v>20395</v>
      </c>
      <c r="K164" s="169">
        <v>117491</v>
      </c>
      <c r="L164" s="260">
        <v>16563</v>
      </c>
      <c r="M164" s="3198">
        <v>0</v>
      </c>
      <c r="N164" s="380">
        <v>123397</v>
      </c>
      <c r="O164" s="201"/>
      <c r="P164" s="1321"/>
    </row>
    <row r="165" spans="1:16">
      <c r="A165" s="1340">
        <v>2005.12</v>
      </c>
      <c r="B165" s="252">
        <v>195193</v>
      </c>
      <c r="C165" s="1313">
        <v>16449</v>
      </c>
      <c r="D165" s="3034">
        <v>5620</v>
      </c>
      <c r="E165" s="2140">
        <v>445</v>
      </c>
      <c r="F165" s="3034">
        <v>9487</v>
      </c>
      <c r="G165" s="169">
        <v>137944</v>
      </c>
      <c r="H165" s="3199">
        <f t="shared" si="2"/>
        <v>147431</v>
      </c>
      <c r="I165" s="169">
        <v>3838</v>
      </c>
      <c r="J165" s="2144">
        <v>21410</v>
      </c>
      <c r="K165" s="169">
        <v>126625</v>
      </c>
      <c r="L165" s="260">
        <v>17384</v>
      </c>
      <c r="M165" s="3198">
        <v>0</v>
      </c>
      <c r="N165" s="380">
        <v>136112</v>
      </c>
      <c r="O165" s="201"/>
      <c r="P165" s="1321"/>
    </row>
    <row r="166" spans="1:16">
      <c r="A166" s="1340">
        <v>2006.01</v>
      </c>
      <c r="B166" s="252">
        <v>177681</v>
      </c>
      <c r="C166" s="1313">
        <v>12706</v>
      </c>
      <c r="D166" s="3034">
        <v>3822</v>
      </c>
      <c r="E166" s="2140">
        <v>284</v>
      </c>
      <c r="F166" s="3034">
        <v>802</v>
      </c>
      <c r="G166" s="169">
        <v>137516</v>
      </c>
      <c r="H166" s="3199">
        <f t="shared" si="2"/>
        <v>138318</v>
      </c>
      <c r="I166" s="169">
        <v>3208</v>
      </c>
      <c r="J166" s="2144">
        <v>19343</v>
      </c>
      <c r="K166" s="169">
        <v>127943</v>
      </c>
      <c r="L166" s="260">
        <v>13680</v>
      </c>
      <c r="M166" s="3198">
        <v>0</v>
      </c>
      <c r="N166" s="380">
        <v>128744</v>
      </c>
      <c r="O166" s="201"/>
      <c r="P166" s="1321"/>
    </row>
    <row r="167" spans="1:16">
      <c r="A167" s="1340">
        <v>2006.02</v>
      </c>
      <c r="B167" s="252">
        <v>160328</v>
      </c>
      <c r="C167" s="1313">
        <v>12100</v>
      </c>
      <c r="D167" s="3034">
        <v>3642</v>
      </c>
      <c r="E167" s="2140">
        <v>250</v>
      </c>
      <c r="F167" s="3034">
        <v>1474</v>
      </c>
      <c r="G167" s="169">
        <v>121471</v>
      </c>
      <c r="H167" s="3199">
        <f t="shared" si="2"/>
        <v>122945</v>
      </c>
      <c r="I167" s="169">
        <v>3324</v>
      </c>
      <c r="J167" s="2144">
        <v>18067</v>
      </c>
      <c r="K167" s="169">
        <v>111238</v>
      </c>
      <c r="L167" s="260">
        <v>14126</v>
      </c>
      <c r="M167" s="3198">
        <v>0</v>
      </c>
      <c r="N167" s="380">
        <v>112711</v>
      </c>
      <c r="O167" s="201"/>
      <c r="P167" s="1321"/>
    </row>
    <row r="168" spans="1:16">
      <c r="A168" s="1340">
        <v>2006.03</v>
      </c>
      <c r="B168" s="252">
        <v>194006</v>
      </c>
      <c r="C168" s="1313">
        <v>15629</v>
      </c>
      <c r="D168" s="3034">
        <v>5788</v>
      </c>
      <c r="E168" s="2140">
        <v>316</v>
      </c>
      <c r="F168" s="3034">
        <v>2276</v>
      </c>
      <c r="G168" s="169">
        <v>144749</v>
      </c>
      <c r="H168" s="3199">
        <f t="shared" si="2"/>
        <v>147025</v>
      </c>
      <c r="I168" s="169">
        <v>4683</v>
      </c>
      <c r="J168" s="2144">
        <v>20565</v>
      </c>
      <c r="K168" s="169">
        <v>128777</v>
      </c>
      <c r="L168" s="260">
        <v>22075</v>
      </c>
      <c r="M168" s="3198">
        <v>87</v>
      </c>
      <c r="N168" s="380">
        <v>130967</v>
      </c>
      <c r="O168" s="201"/>
      <c r="P168" s="1321"/>
    </row>
    <row r="169" spans="1:16">
      <c r="A169" s="1340">
        <v>2006.04</v>
      </c>
      <c r="B169" s="252">
        <v>199441</v>
      </c>
      <c r="C169" s="1313">
        <v>20316</v>
      </c>
      <c r="D169" s="3034">
        <v>4893</v>
      </c>
      <c r="E169" s="2140">
        <v>244</v>
      </c>
      <c r="F169" s="3034">
        <v>2003</v>
      </c>
      <c r="G169" s="169">
        <v>147323</v>
      </c>
      <c r="H169" s="3199">
        <f t="shared" si="2"/>
        <v>149326</v>
      </c>
      <c r="I169" s="169">
        <v>4709</v>
      </c>
      <c r="J169" s="2144">
        <v>19953</v>
      </c>
      <c r="K169" s="169">
        <v>137120</v>
      </c>
      <c r="L169" s="260">
        <v>15340</v>
      </c>
      <c r="M169" s="3198">
        <v>60</v>
      </c>
      <c r="N169" s="380">
        <v>139063</v>
      </c>
      <c r="O169" s="201"/>
      <c r="P169" s="1321"/>
    </row>
    <row r="170" spans="1:16">
      <c r="A170" s="1340">
        <v>2006.05</v>
      </c>
      <c r="B170" s="252">
        <v>233926</v>
      </c>
      <c r="C170" s="1313">
        <v>50258</v>
      </c>
      <c r="D170" s="3034">
        <v>5757</v>
      </c>
      <c r="E170" s="2140">
        <v>698</v>
      </c>
      <c r="F170" s="3034">
        <v>284</v>
      </c>
      <c r="G170" s="169">
        <v>145596</v>
      </c>
      <c r="H170" s="3199">
        <f t="shared" si="2"/>
        <v>145880</v>
      </c>
      <c r="I170" s="169">
        <v>10295</v>
      </c>
      <c r="J170" s="2144">
        <v>21038</v>
      </c>
      <c r="K170" s="169">
        <v>133284</v>
      </c>
      <c r="L170" s="260">
        <v>18769</v>
      </c>
      <c r="M170" s="3198">
        <v>14</v>
      </c>
      <c r="N170" s="380">
        <v>133552</v>
      </c>
      <c r="O170" s="201"/>
      <c r="P170" s="1321"/>
    </row>
    <row r="171" spans="1:16">
      <c r="A171" s="1340">
        <v>2006.06</v>
      </c>
      <c r="B171" s="252">
        <v>222147</v>
      </c>
      <c r="C171" s="1313">
        <v>46535</v>
      </c>
      <c r="D171" s="3034">
        <v>7201</v>
      </c>
      <c r="E171" s="2140">
        <v>1195</v>
      </c>
      <c r="F171" s="3034">
        <v>163</v>
      </c>
      <c r="G171" s="169">
        <v>135203</v>
      </c>
      <c r="H171" s="3199">
        <f t="shared" si="2"/>
        <v>135366</v>
      </c>
      <c r="I171" s="169">
        <v>12520</v>
      </c>
      <c r="J171" s="2144">
        <v>19330</v>
      </c>
      <c r="K171" s="169">
        <v>122733</v>
      </c>
      <c r="L171" s="260">
        <v>20865</v>
      </c>
      <c r="M171" s="3198">
        <v>12</v>
      </c>
      <c r="N171" s="380">
        <v>122885</v>
      </c>
      <c r="O171" s="201"/>
      <c r="P171" s="1321"/>
    </row>
    <row r="172" spans="1:16">
      <c r="A172" s="1340">
        <v>2006.07</v>
      </c>
      <c r="B172" s="252">
        <v>227805</v>
      </c>
      <c r="C172" s="1313">
        <v>46089</v>
      </c>
      <c r="D172" s="3034">
        <v>7508</v>
      </c>
      <c r="E172" s="2140">
        <v>1388</v>
      </c>
      <c r="F172" s="3034">
        <v>788</v>
      </c>
      <c r="G172" s="169">
        <v>140220</v>
      </c>
      <c r="H172" s="3199">
        <f t="shared" si="2"/>
        <v>141008</v>
      </c>
      <c r="I172" s="169">
        <v>11246</v>
      </c>
      <c r="J172" s="2144">
        <v>20566</v>
      </c>
      <c r="K172" s="169">
        <v>127572</v>
      </c>
      <c r="L172" s="260">
        <v>21544</v>
      </c>
      <c r="M172" s="3198">
        <v>25</v>
      </c>
      <c r="N172" s="380">
        <v>128335</v>
      </c>
      <c r="O172" s="201"/>
      <c r="P172" s="1321"/>
    </row>
    <row r="173" spans="1:16">
      <c r="A173" s="1340">
        <v>2006.08</v>
      </c>
      <c r="B173" s="252">
        <v>228156</v>
      </c>
      <c r="C173" s="1313">
        <v>57260</v>
      </c>
      <c r="D173" s="3034">
        <v>8247</v>
      </c>
      <c r="E173" s="2140">
        <v>1461</v>
      </c>
      <c r="F173" s="3034">
        <v>299</v>
      </c>
      <c r="G173" s="169">
        <v>126648</v>
      </c>
      <c r="H173" s="3199">
        <f t="shared" si="2"/>
        <v>126947</v>
      </c>
      <c r="I173" s="169">
        <v>13203</v>
      </c>
      <c r="J173" s="2144">
        <v>21038</v>
      </c>
      <c r="K173" s="169">
        <v>113286</v>
      </c>
      <c r="L173" s="260">
        <v>23070</v>
      </c>
      <c r="M173" s="3198">
        <v>29</v>
      </c>
      <c r="N173" s="380">
        <v>113556</v>
      </c>
      <c r="O173" s="201"/>
      <c r="P173" s="1321"/>
    </row>
    <row r="174" spans="1:16">
      <c r="A174" s="1340">
        <v>2006.09</v>
      </c>
      <c r="B174" s="252">
        <v>215942</v>
      </c>
      <c r="C174" s="1313">
        <v>37045</v>
      </c>
      <c r="D174" s="3034">
        <v>7441</v>
      </c>
      <c r="E174" s="2140">
        <v>1431</v>
      </c>
      <c r="F174" s="3034">
        <v>531</v>
      </c>
      <c r="G174" s="169">
        <v>140633</v>
      </c>
      <c r="H174" s="3199">
        <f t="shared" si="2"/>
        <v>141164</v>
      </c>
      <c r="I174" s="169">
        <v>8815</v>
      </c>
      <c r="J174" s="2144">
        <v>20046</v>
      </c>
      <c r="K174" s="169">
        <v>128101</v>
      </c>
      <c r="L174" s="260">
        <v>21404</v>
      </c>
      <c r="M174" s="3198">
        <v>31</v>
      </c>
      <c r="N174" s="380">
        <v>128601</v>
      </c>
      <c r="O174" s="201"/>
      <c r="P174" s="1321"/>
    </row>
    <row r="175" spans="1:16">
      <c r="A175" s="1340">
        <v>2006.1</v>
      </c>
      <c r="B175" s="252">
        <v>193729</v>
      </c>
      <c r="C175" s="1313">
        <v>15998</v>
      </c>
      <c r="D175" s="3034">
        <v>5086</v>
      </c>
      <c r="E175" s="2140">
        <v>692</v>
      </c>
      <c r="F175" s="3034">
        <v>1288</v>
      </c>
      <c r="G175" s="169">
        <v>145488</v>
      </c>
      <c r="H175" s="3199">
        <f t="shared" si="2"/>
        <v>146776</v>
      </c>
      <c r="I175" s="169">
        <v>5270</v>
      </c>
      <c r="J175" s="2144">
        <v>19907</v>
      </c>
      <c r="K175" s="169">
        <v>133876</v>
      </c>
      <c r="L175" s="260">
        <v>17625</v>
      </c>
      <c r="M175" s="3034">
        <v>56</v>
      </c>
      <c r="N175" s="380">
        <v>134873</v>
      </c>
      <c r="O175" s="201"/>
      <c r="P175" s="1321"/>
    </row>
    <row r="176" spans="1:16">
      <c r="A176" s="1340">
        <v>2006.11</v>
      </c>
      <c r="B176" s="252">
        <v>188490</v>
      </c>
      <c r="C176" s="1313">
        <v>15188</v>
      </c>
      <c r="D176" s="3034">
        <v>4570</v>
      </c>
      <c r="E176" s="2140">
        <v>443</v>
      </c>
      <c r="F176" s="3034">
        <v>3777</v>
      </c>
      <c r="G176" s="169">
        <v>139812</v>
      </c>
      <c r="H176" s="3199">
        <f t="shared" si="2"/>
        <v>143589</v>
      </c>
      <c r="I176" s="169">
        <v>5134</v>
      </c>
      <c r="J176" s="2144">
        <v>19566</v>
      </c>
      <c r="K176" s="169">
        <v>127834</v>
      </c>
      <c r="L176" s="260">
        <v>16992</v>
      </c>
      <c r="M176" s="3034">
        <v>62</v>
      </c>
      <c r="N176" s="380">
        <v>131548</v>
      </c>
      <c r="O176" s="201"/>
      <c r="P176" s="1321"/>
    </row>
    <row r="177" spans="1:16">
      <c r="A177" s="1340">
        <v>2006.12</v>
      </c>
      <c r="B177" s="252">
        <v>189650</v>
      </c>
      <c r="C177" s="1313">
        <v>12700</v>
      </c>
      <c r="D177" s="3034">
        <v>2984</v>
      </c>
      <c r="E177" s="2140">
        <v>293</v>
      </c>
      <c r="F177" s="3034">
        <v>8035</v>
      </c>
      <c r="G177" s="169">
        <v>141748</v>
      </c>
      <c r="H177" s="3199">
        <f t="shared" si="2"/>
        <v>149783</v>
      </c>
      <c r="I177" s="169">
        <v>4211</v>
      </c>
      <c r="J177" s="2144">
        <v>19679</v>
      </c>
      <c r="K177" s="169">
        <v>131328</v>
      </c>
      <c r="L177" s="260">
        <v>13697</v>
      </c>
      <c r="M177" s="3034">
        <v>54</v>
      </c>
      <c r="N177" s="380">
        <v>139309</v>
      </c>
      <c r="O177" s="201"/>
      <c r="P177" s="1321"/>
    </row>
    <row r="178" spans="1:16">
      <c r="A178" s="1340">
        <v>2007.01</v>
      </c>
      <c r="B178" s="252">
        <v>185254</v>
      </c>
      <c r="C178" s="1313">
        <v>12842</v>
      </c>
      <c r="D178" s="3034">
        <v>3932</v>
      </c>
      <c r="E178" s="2140">
        <v>292</v>
      </c>
      <c r="F178" s="3034">
        <v>4288</v>
      </c>
      <c r="G178" s="169">
        <v>140878</v>
      </c>
      <c r="H178" s="3199">
        <f t="shared" si="2"/>
        <v>145166</v>
      </c>
      <c r="I178" s="169">
        <v>4216</v>
      </c>
      <c r="J178" s="2144">
        <v>18806</v>
      </c>
      <c r="K178" s="169">
        <v>130846</v>
      </c>
      <c r="L178" s="260">
        <v>14257</v>
      </c>
      <c r="M178" s="3034">
        <v>61</v>
      </c>
      <c r="N178" s="380">
        <v>135072</v>
      </c>
      <c r="O178" s="201"/>
      <c r="P178" s="1321"/>
    </row>
    <row r="179" spans="1:16">
      <c r="A179" s="1340">
        <v>2007.02</v>
      </c>
      <c r="B179" s="252">
        <v>164753</v>
      </c>
      <c r="C179" s="1313">
        <v>12308</v>
      </c>
      <c r="D179" s="3034">
        <v>4239</v>
      </c>
      <c r="E179" s="2140">
        <v>293</v>
      </c>
      <c r="F179" s="3034">
        <v>2290</v>
      </c>
      <c r="G179" s="169">
        <v>124174</v>
      </c>
      <c r="H179" s="3199">
        <f t="shared" si="2"/>
        <v>126464</v>
      </c>
      <c r="I179" s="169">
        <v>4099</v>
      </c>
      <c r="J179" s="2144">
        <v>17350</v>
      </c>
      <c r="K179" s="169">
        <v>112851</v>
      </c>
      <c r="L179" s="260">
        <v>15855</v>
      </c>
      <c r="M179" s="3034">
        <v>66</v>
      </c>
      <c r="N179" s="380">
        <v>115075</v>
      </c>
      <c r="O179" s="201"/>
      <c r="P179" s="1321"/>
    </row>
    <row r="180" spans="1:16">
      <c r="A180" s="1340">
        <v>2007.03</v>
      </c>
      <c r="B180" s="252">
        <v>194550</v>
      </c>
      <c r="C180" s="1313">
        <v>13098</v>
      </c>
      <c r="D180" s="3034">
        <v>5955</v>
      </c>
      <c r="E180" s="2140">
        <v>305</v>
      </c>
      <c r="F180" s="3034">
        <v>2490</v>
      </c>
      <c r="G180" s="169">
        <v>148220</v>
      </c>
      <c r="H180" s="3199">
        <f t="shared" si="2"/>
        <v>150710</v>
      </c>
      <c r="I180" s="169">
        <v>5479</v>
      </c>
      <c r="J180" s="2144">
        <v>19003</v>
      </c>
      <c r="K180" s="169">
        <v>135812</v>
      </c>
      <c r="L180" s="260">
        <v>18668</v>
      </c>
      <c r="M180" s="3034">
        <v>111</v>
      </c>
      <c r="N180" s="380">
        <v>138191</v>
      </c>
      <c r="O180" s="201"/>
      <c r="P180" s="1321"/>
    </row>
    <row r="181" spans="1:16">
      <c r="A181" s="1340">
        <v>2007.04</v>
      </c>
      <c r="B181" s="252">
        <v>206804</v>
      </c>
      <c r="C181" s="1313">
        <v>21739</v>
      </c>
      <c r="D181" s="3034">
        <v>6867</v>
      </c>
      <c r="E181" s="2140">
        <v>368</v>
      </c>
      <c r="F181" s="3034">
        <v>2854</v>
      </c>
      <c r="G181" s="169">
        <v>150490</v>
      </c>
      <c r="H181" s="3199">
        <f t="shared" si="2"/>
        <v>153344</v>
      </c>
      <c r="I181" s="169">
        <v>6172</v>
      </c>
      <c r="J181" s="2144">
        <v>18314</v>
      </c>
      <c r="K181" s="169">
        <v>139309</v>
      </c>
      <c r="L181" s="260">
        <v>18415</v>
      </c>
      <c r="M181" s="3034">
        <v>155</v>
      </c>
      <c r="N181" s="380">
        <v>142009</v>
      </c>
      <c r="O181" s="201"/>
      <c r="P181" s="1321"/>
    </row>
    <row r="182" spans="1:16">
      <c r="A182" s="1340">
        <v>2007.05</v>
      </c>
      <c r="B182" s="252">
        <v>238789</v>
      </c>
      <c r="C182" s="1313">
        <v>61283</v>
      </c>
      <c r="D182" s="3034">
        <v>8003</v>
      </c>
      <c r="E182" s="2140">
        <v>869</v>
      </c>
      <c r="F182" s="3034">
        <v>432</v>
      </c>
      <c r="G182" s="169">
        <v>134506</v>
      </c>
      <c r="H182" s="3199">
        <f t="shared" si="2"/>
        <v>134938</v>
      </c>
      <c r="I182" s="169">
        <v>13803</v>
      </c>
      <c r="J182" s="2144">
        <v>19893</v>
      </c>
      <c r="K182" s="169">
        <v>120537</v>
      </c>
      <c r="L182" s="260">
        <v>22841</v>
      </c>
      <c r="M182" s="3034">
        <v>79</v>
      </c>
      <c r="N182" s="380">
        <v>120890</v>
      </c>
      <c r="O182" s="201"/>
      <c r="P182" s="1321"/>
    </row>
    <row r="183" spans="1:16">
      <c r="A183" s="1340">
        <v>2007.06</v>
      </c>
      <c r="B183" s="252">
        <v>212484</v>
      </c>
      <c r="C183" s="1313">
        <v>70914</v>
      </c>
      <c r="D183" s="3034">
        <v>8899</v>
      </c>
      <c r="E183" s="2140">
        <v>1547</v>
      </c>
      <c r="F183" s="3034">
        <v>31</v>
      </c>
      <c r="G183" s="169">
        <v>95769</v>
      </c>
      <c r="H183" s="3199">
        <f t="shared" si="2"/>
        <v>95800</v>
      </c>
      <c r="I183" s="169">
        <v>16595</v>
      </c>
      <c r="J183" s="2144">
        <v>18729</v>
      </c>
      <c r="K183" s="169">
        <v>82556</v>
      </c>
      <c r="L183" s="260">
        <v>23659</v>
      </c>
      <c r="M183" s="3034">
        <v>59</v>
      </c>
      <c r="N183" s="380">
        <v>82528</v>
      </c>
      <c r="O183" s="201"/>
      <c r="P183" s="1321"/>
    </row>
    <row r="184" spans="1:16">
      <c r="A184" s="1340">
        <v>2007.07</v>
      </c>
      <c r="B184" s="252">
        <v>228112</v>
      </c>
      <c r="C184" s="1313">
        <v>85054</v>
      </c>
      <c r="D184" s="3034">
        <v>10851</v>
      </c>
      <c r="E184" s="2140">
        <v>2123</v>
      </c>
      <c r="F184" s="3034">
        <v>4</v>
      </c>
      <c r="G184" s="169">
        <v>92571</v>
      </c>
      <c r="H184" s="3199">
        <f t="shared" si="2"/>
        <v>92575</v>
      </c>
      <c r="I184" s="169">
        <v>19391</v>
      </c>
      <c r="J184" s="2144">
        <v>18118</v>
      </c>
      <c r="K184" s="169">
        <v>78241</v>
      </c>
      <c r="L184" s="260">
        <v>27304</v>
      </c>
      <c r="M184" s="3034">
        <v>49</v>
      </c>
      <c r="N184" s="380">
        <v>78196</v>
      </c>
      <c r="O184" s="201"/>
      <c r="P184" s="1321"/>
    </row>
    <row r="185" spans="1:16">
      <c r="A185" s="1340">
        <v>2007.08</v>
      </c>
      <c r="B185" s="252">
        <v>218689</v>
      </c>
      <c r="C185" s="1313">
        <v>76436</v>
      </c>
      <c r="D185" s="3034">
        <v>11167</v>
      </c>
      <c r="E185" s="2140">
        <v>2224</v>
      </c>
      <c r="F185" s="3034">
        <v>4</v>
      </c>
      <c r="G185" s="169">
        <v>90093</v>
      </c>
      <c r="H185" s="3199">
        <f t="shared" si="2"/>
        <v>90097</v>
      </c>
      <c r="I185" s="169">
        <v>18956</v>
      </c>
      <c r="J185" s="2144">
        <v>19809</v>
      </c>
      <c r="K185" s="169">
        <v>75258</v>
      </c>
      <c r="L185" s="260">
        <v>28227</v>
      </c>
      <c r="M185" s="3034">
        <v>48</v>
      </c>
      <c r="N185" s="380">
        <v>75213</v>
      </c>
      <c r="O185" s="201"/>
      <c r="P185" s="1321"/>
    </row>
    <row r="186" spans="1:16">
      <c r="A186" s="1340">
        <v>2007.09</v>
      </c>
      <c r="B186" s="252">
        <v>178039</v>
      </c>
      <c r="C186" s="1313">
        <v>38444</v>
      </c>
      <c r="D186" s="3034">
        <v>8411</v>
      </c>
      <c r="E186" s="2140">
        <v>1577</v>
      </c>
      <c r="F186" s="3034">
        <v>1241</v>
      </c>
      <c r="G186" s="169">
        <v>100959</v>
      </c>
      <c r="H186" s="3199">
        <f t="shared" si="2"/>
        <v>102200</v>
      </c>
      <c r="I186" s="169">
        <v>8897</v>
      </c>
      <c r="J186" s="2144">
        <v>18510</v>
      </c>
      <c r="K186" s="169">
        <v>88544</v>
      </c>
      <c r="L186" s="260">
        <v>22403</v>
      </c>
      <c r="M186" s="3034">
        <v>62</v>
      </c>
      <c r="N186" s="380">
        <v>89723</v>
      </c>
      <c r="O186" s="201"/>
      <c r="P186" s="1321"/>
    </row>
    <row r="187" spans="1:16">
      <c r="A187" s="1340">
        <v>2007.1</v>
      </c>
      <c r="B187" s="252">
        <v>204872</v>
      </c>
      <c r="C187" s="1313">
        <v>24180</v>
      </c>
      <c r="D187" s="3034">
        <v>6028</v>
      </c>
      <c r="E187" s="2140">
        <v>826</v>
      </c>
      <c r="F187" s="3034">
        <v>1451</v>
      </c>
      <c r="G187" s="169">
        <v>147056</v>
      </c>
      <c r="H187" s="3199">
        <f t="shared" si="2"/>
        <v>148507</v>
      </c>
      <c r="I187" s="169">
        <v>6143</v>
      </c>
      <c r="J187" s="2144">
        <v>19188</v>
      </c>
      <c r="K187" s="169">
        <v>133987</v>
      </c>
      <c r="L187" s="260">
        <v>19924</v>
      </c>
      <c r="M187" s="3034">
        <v>115</v>
      </c>
      <c r="N187" s="380">
        <v>135322</v>
      </c>
      <c r="O187" s="201"/>
      <c r="P187" s="1321"/>
    </row>
    <row r="188" spans="1:16">
      <c r="A188" s="1340">
        <v>2007.11</v>
      </c>
      <c r="B188" s="252">
        <v>210683</v>
      </c>
      <c r="C188" s="1313">
        <v>22103</v>
      </c>
      <c r="D188" s="3034">
        <v>5828</v>
      </c>
      <c r="E188" s="2140">
        <v>587</v>
      </c>
      <c r="F188" s="3034">
        <v>2736</v>
      </c>
      <c r="G188" s="169">
        <v>155817</v>
      </c>
      <c r="H188" s="3199">
        <f t="shared" si="2"/>
        <v>158553</v>
      </c>
      <c r="I188" s="169">
        <v>5038</v>
      </c>
      <c r="J188" s="2144">
        <v>18574</v>
      </c>
      <c r="K188" s="169">
        <v>143171</v>
      </c>
      <c r="L188" s="260">
        <v>19061</v>
      </c>
      <c r="M188" s="3034">
        <v>90</v>
      </c>
      <c r="N188" s="380">
        <v>145817</v>
      </c>
      <c r="O188" s="201"/>
      <c r="P188" s="1321"/>
    </row>
    <row r="189" spans="1:16">
      <c r="A189" s="1340">
        <v>2007.12</v>
      </c>
      <c r="B189" s="252">
        <v>213290</v>
      </c>
      <c r="C189" s="1313">
        <v>12764</v>
      </c>
      <c r="D189" s="3034">
        <v>5285</v>
      </c>
      <c r="E189" s="2140">
        <v>417</v>
      </c>
      <c r="F189" s="3034">
        <v>6017</v>
      </c>
      <c r="G189" s="169">
        <v>165648</v>
      </c>
      <c r="H189" s="3199">
        <f t="shared" si="2"/>
        <v>171665</v>
      </c>
      <c r="I189" s="169">
        <v>4187</v>
      </c>
      <c r="J189" s="2144">
        <v>18972</v>
      </c>
      <c r="K189" s="169">
        <v>154488</v>
      </c>
      <c r="L189" s="260">
        <v>16862</v>
      </c>
      <c r="M189" s="3034">
        <v>73</v>
      </c>
      <c r="N189" s="380">
        <v>160432</v>
      </c>
      <c r="O189" s="201"/>
      <c r="P189" s="1321"/>
    </row>
    <row r="190" spans="1:16">
      <c r="A190" s="1340">
        <f t="shared" ref="A190:A253" si="3">A178+1</f>
        <v>2008.01</v>
      </c>
      <c r="B190" s="252">
        <v>201338</v>
      </c>
      <c r="C190" s="1313">
        <v>14260</v>
      </c>
      <c r="D190" s="3034">
        <v>4181</v>
      </c>
      <c r="E190" s="2140">
        <v>332</v>
      </c>
      <c r="F190" s="3034">
        <v>7369</v>
      </c>
      <c r="G190" s="169">
        <v>153630</v>
      </c>
      <c r="H190" s="3199">
        <f t="shared" si="2"/>
        <v>160999</v>
      </c>
      <c r="I190" s="169">
        <v>4296</v>
      </c>
      <c r="J190" s="2144">
        <v>17270</v>
      </c>
      <c r="K190" s="169">
        <v>142748</v>
      </c>
      <c r="L190" s="260">
        <v>15395</v>
      </c>
      <c r="M190" s="3034">
        <v>74</v>
      </c>
      <c r="N190" s="380">
        <v>150043</v>
      </c>
      <c r="O190" s="201"/>
      <c r="P190" s="1321"/>
    </row>
    <row r="191" spans="1:16">
      <c r="A191" s="1340">
        <f t="shared" si="3"/>
        <v>2008.02</v>
      </c>
      <c r="B191" s="252">
        <v>190084</v>
      </c>
      <c r="C191" s="1313">
        <v>12698</v>
      </c>
      <c r="D191" s="3034">
        <v>4189</v>
      </c>
      <c r="E191" s="2140">
        <v>307</v>
      </c>
      <c r="F191" s="3034">
        <v>18942</v>
      </c>
      <c r="G191" s="169">
        <v>133045</v>
      </c>
      <c r="H191" s="3199">
        <f t="shared" si="2"/>
        <v>151987</v>
      </c>
      <c r="I191" s="169">
        <v>4349</v>
      </c>
      <c r="J191" s="2144">
        <v>16554</v>
      </c>
      <c r="K191" s="169">
        <v>121240</v>
      </c>
      <c r="L191" s="260">
        <v>16293</v>
      </c>
      <c r="M191" s="3034">
        <v>171</v>
      </c>
      <c r="N191" s="380">
        <v>140019</v>
      </c>
      <c r="O191" s="201"/>
      <c r="P191" s="1321"/>
    </row>
    <row r="192" spans="1:16">
      <c r="A192" s="1340">
        <f t="shared" si="3"/>
        <v>2008.03</v>
      </c>
      <c r="B192" s="252">
        <v>180658</v>
      </c>
      <c r="C192" s="1313">
        <v>13497</v>
      </c>
      <c r="D192" s="3034">
        <v>6445</v>
      </c>
      <c r="E192" s="2140">
        <v>313</v>
      </c>
      <c r="F192" s="3034">
        <v>5966</v>
      </c>
      <c r="G192" s="169">
        <v>131707</v>
      </c>
      <c r="H192" s="3199">
        <f t="shared" si="2"/>
        <v>137673</v>
      </c>
      <c r="I192" s="169">
        <v>5176</v>
      </c>
      <c r="J192" s="2144">
        <v>17554</v>
      </c>
      <c r="K192" s="169">
        <v>119981</v>
      </c>
      <c r="L192" s="260">
        <v>18327</v>
      </c>
      <c r="M192" s="3034">
        <v>373</v>
      </c>
      <c r="N192" s="380">
        <v>125731</v>
      </c>
      <c r="O192" s="201"/>
      <c r="P192" s="1321"/>
    </row>
    <row r="193" spans="1:16">
      <c r="A193" s="1340">
        <f t="shared" si="3"/>
        <v>2008.04</v>
      </c>
      <c r="B193" s="252">
        <v>206361</v>
      </c>
      <c r="C193" s="1313">
        <v>24124</v>
      </c>
      <c r="D193" s="3034">
        <v>4835</v>
      </c>
      <c r="E193" s="2140">
        <v>452</v>
      </c>
      <c r="F193" s="3034">
        <v>3923</v>
      </c>
      <c r="G193" s="169">
        <v>149094</v>
      </c>
      <c r="H193" s="3199">
        <f t="shared" si="2"/>
        <v>153017</v>
      </c>
      <c r="I193" s="169">
        <v>6632</v>
      </c>
      <c r="J193" s="2144">
        <v>17301</v>
      </c>
      <c r="K193" s="169">
        <v>135824</v>
      </c>
      <c r="L193" s="260">
        <v>18557</v>
      </c>
      <c r="M193" s="3034">
        <v>167</v>
      </c>
      <c r="N193" s="380">
        <v>139580</v>
      </c>
      <c r="O193" s="201"/>
      <c r="P193" s="1321"/>
    </row>
    <row r="194" spans="1:16">
      <c r="A194" s="1340">
        <f t="shared" si="3"/>
        <v>2008.05</v>
      </c>
      <c r="B194" s="252">
        <v>213125</v>
      </c>
      <c r="C194" s="1313">
        <v>46849</v>
      </c>
      <c r="D194" s="3034">
        <v>5892</v>
      </c>
      <c r="E194" s="2140">
        <v>903</v>
      </c>
      <c r="F194" s="3034">
        <v>1577</v>
      </c>
      <c r="G194" s="169">
        <v>129732</v>
      </c>
      <c r="H194" s="3199">
        <f t="shared" si="2"/>
        <v>131309</v>
      </c>
      <c r="I194" s="169">
        <v>10177</v>
      </c>
      <c r="J194" s="2144">
        <v>17995</v>
      </c>
      <c r="K194" s="169">
        <v>116556</v>
      </c>
      <c r="L194" s="260">
        <v>19782</v>
      </c>
      <c r="M194" s="3034">
        <v>151</v>
      </c>
      <c r="N194" s="380">
        <v>118171</v>
      </c>
      <c r="O194" s="201"/>
      <c r="P194" s="1321"/>
    </row>
    <row r="195" spans="1:16">
      <c r="A195" s="1340">
        <f t="shared" si="3"/>
        <v>2008.06</v>
      </c>
      <c r="B195" s="252">
        <v>196068</v>
      </c>
      <c r="C195" s="1313">
        <v>70097</v>
      </c>
      <c r="D195" s="3034">
        <v>7177</v>
      </c>
      <c r="E195" s="2140">
        <v>1533</v>
      </c>
      <c r="F195" s="3034">
        <v>1022</v>
      </c>
      <c r="G195" s="169">
        <v>81210</v>
      </c>
      <c r="H195" s="3199">
        <f t="shared" si="2"/>
        <v>82232</v>
      </c>
      <c r="I195" s="169">
        <v>17125</v>
      </c>
      <c r="J195" s="2144">
        <v>17904</v>
      </c>
      <c r="K195" s="169">
        <v>68985</v>
      </c>
      <c r="L195" s="260">
        <v>20678</v>
      </c>
      <c r="M195" s="3034">
        <v>126</v>
      </c>
      <c r="N195" s="380">
        <v>70138</v>
      </c>
      <c r="O195" s="201"/>
      <c r="P195" s="1321"/>
    </row>
    <row r="196" spans="1:16">
      <c r="A196" s="1340">
        <f t="shared" si="3"/>
        <v>2008.07</v>
      </c>
      <c r="B196" s="252">
        <v>208379</v>
      </c>
      <c r="C196" s="1313">
        <v>52406</v>
      </c>
      <c r="D196" s="3034">
        <v>9064</v>
      </c>
      <c r="E196" s="2140">
        <v>2044</v>
      </c>
      <c r="F196" s="3034">
        <v>1809</v>
      </c>
      <c r="G196" s="169">
        <v>109371</v>
      </c>
      <c r="H196" s="3199">
        <f t="shared" si="2"/>
        <v>111180</v>
      </c>
      <c r="I196" s="169">
        <v>15125</v>
      </c>
      <c r="J196" s="2144">
        <v>18560</v>
      </c>
      <c r="K196" s="169">
        <v>95131</v>
      </c>
      <c r="L196" s="260">
        <v>25181</v>
      </c>
      <c r="M196" s="3034">
        <v>206</v>
      </c>
      <c r="N196" s="380">
        <v>96901</v>
      </c>
      <c r="O196" s="201"/>
      <c r="P196" s="1321"/>
    </row>
    <row r="197" spans="1:16">
      <c r="A197" s="1340">
        <f t="shared" si="3"/>
        <v>2008.08</v>
      </c>
      <c r="B197" s="252">
        <v>211076</v>
      </c>
      <c r="C197" s="1313">
        <v>57532</v>
      </c>
      <c r="D197" s="3034">
        <v>7992</v>
      </c>
      <c r="E197" s="2140">
        <v>1806</v>
      </c>
      <c r="F197" s="3034">
        <v>521</v>
      </c>
      <c r="G197" s="169">
        <v>109949</v>
      </c>
      <c r="H197" s="3199">
        <f t="shared" si="2"/>
        <v>110470</v>
      </c>
      <c r="I197" s="169">
        <v>14377</v>
      </c>
      <c r="J197" s="2144">
        <v>18899</v>
      </c>
      <c r="K197" s="169">
        <v>97016</v>
      </c>
      <c r="L197" s="260">
        <v>22731</v>
      </c>
      <c r="M197" s="3034">
        <v>192</v>
      </c>
      <c r="N197" s="380">
        <v>97345</v>
      </c>
      <c r="O197" s="201"/>
      <c r="P197" s="1321"/>
    </row>
    <row r="198" spans="1:16">
      <c r="A198" s="1340">
        <f t="shared" si="3"/>
        <v>2008.09</v>
      </c>
      <c r="B198" s="252">
        <v>211195</v>
      </c>
      <c r="C198" s="1313">
        <v>48188</v>
      </c>
      <c r="D198" s="3034">
        <v>7616</v>
      </c>
      <c r="E198" s="2140">
        <v>1797</v>
      </c>
      <c r="F198" s="3034">
        <v>478</v>
      </c>
      <c r="G198" s="169">
        <v>123835</v>
      </c>
      <c r="H198" s="3199">
        <f t="shared" si="2"/>
        <v>124313</v>
      </c>
      <c r="I198" s="169">
        <v>11066</v>
      </c>
      <c r="J198" s="2144">
        <v>18215</v>
      </c>
      <c r="K198" s="169">
        <v>110695</v>
      </c>
      <c r="L198" s="260">
        <v>22553</v>
      </c>
      <c r="M198" s="3034">
        <v>118</v>
      </c>
      <c r="N198" s="380">
        <v>111055</v>
      </c>
      <c r="O198" s="201"/>
      <c r="P198" s="1321"/>
    </row>
    <row r="199" spans="1:16">
      <c r="A199" s="1340">
        <f t="shared" si="3"/>
        <v>2008.1</v>
      </c>
      <c r="B199" s="252">
        <v>216275</v>
      </c>
      <c r="C199" s="1313">
        <v>28169</v>
      </c>
      <c r="D199" s="3034">
        <v>5996</v>
      </c>
      <c r="E199" s="2140">
        <v>1138</v>
      </c>
      <c r="F199" s="3034">
        <v>2159</v>
      </c>
      <c r="G199" s="169">
        <v>153395</v>
      </c>
      <c r="H199" s="3199">
        <f t="shared" si="2"/>
        <v>155554</v>
      </c>
      <c r="I199" s="169">
        <v>6784</v>
      </c>
      <c r="J199" s="2144">
        <v>18634</v>
      </c>
      <c r="K199" s="169">
        <v>141383</v>
      </c>
      <c r="L199" s="260">
        <v>19147</v>
      </c>
      <c r="M199" s="3034">
        <v>167</v>
      </c>
      <c r="N199" s="380">
        <v>143374</v>
      </c>
      <c r="O199" s="201"/>
      <c r="P199" s="1321"/>
    </row>
    <row r="200" spans="1:16">
      <c r="A200" s="1340">
        <f t="shared" si="3"/>
        <v>2008.11</v>
      </c>
      <c r="B200" s="252">
        <v>194067</v>
      </c>
      <c r="C200" s="1313">
        <v>20251</v>
      </c>
      <c r="D200" s="3034">
        <v>4656</v>
      </c>
      <c r="E200" s="2140">
        <v>701</v>
      </c>
      <c r="F200" s="3034">
        <v>11739</v>
      </c>
      <c r="G200" s="169">
        <v>135253</v>
      </c>
      <c r="H200" s="3199">
        <f t="shared" si="2"/>
        <v>146992</v>
      </c>
      <c r="I200" s="169">
        <v>4023</v>
      </c>
      <c r="J200" s="2144">
        <v>17444</v>
      </c>
      <c r="K200" s="169">
        <v>124895</v>
      </c>
      <c r="L200" s="260">
        <v>15714</v>
      </c>
      <c r="M200" s="3034">
        <v>144</v>
      </c>
      <c r="N200" s="380">
        <v>136491</v>
      </c>
      <c r="O200" s="201"/>
      <c r="P200" s="1321"/>
    </row>
    <row r="201" spans="1:16">
      <c r="A201" s="1340">
        <f t="shared" si="3"/>
        <v>2008.12</v>
      </c>
      <c r="B201" s="252">
        <v>153993</v>
      </c>
      <c r="C201" s="1313">
        <v>23945</v>
      </c>
      <c r="D201" s="3034">
        <v>4789</v>
      </c>
      <c r="E201" s="2140">
        <v>616</v>
      </c>
      <c r="F201" s="3034">
        <v>2954</v>
      </c>
      <c r="G201" s="169">
        <v>99216</v>
      </c>
      <c r="H201" s="3199">
        <f t="shared" si="2"/>
        <v>102170</v>
      </c>
      <c r="I201" s="169">
        <v>4512</v>
      </c>
      <c r="J201" s="2144">
        <v>17961</v>
      </c>
      <c r="K201" s="169">
        <v>89738</v>
      </c>
      <c r="L201" s="260">
        <v>14883</v>
      </c>
      <c r="M201" s="3034">
        <v>150</v>
      </c>
      <c r="N201" s="380">
        <v>92542</v>
      </c>
      <c r="O201" s="201"/>
      <c r="P201" s="1321"/>
    </row>
    <row r="202" spans="1:16">
      <c r="A202" s="1340">
        <f t="shared" si="3"/>
        <v>2009.01</v>
      </c>
      <c r="B202" s="252">
        <v>159411</v>
      </c>
      <c r="C202" s="1313">
        <v>15006</v>
      </c>
      <c r="D202" s="3034">
        <v>3880</v>
      </c>
      <c r="E202" s="2140">
        <v>428</v>
      </c>
      <c r="F202" s="3034">
        <v>16083</v>
      </c>
      <c r="G202" s="169">
        <v>103625</v>
      </c>
      <c r="H202" s="3199">
        <f t="shared" si="2"/>
        <v>119708</v>
      </c>
      <c r="I202" s="169">
        <v>3887</v>
      </c>
      <c r="J202" s="2144">
        <v>16502</v>
      </c>
      <c r="K202" s="169">
        <v>94590</v>
      </c>
      <c r="L202" s="260">
        <v>13344</v>
      </c>
      <c r="M202" s="3034">
        <v>113</v>
      </c>
      <c r="N202" s="380">
        <v>110559</v>
      </c>
      <c r="O202" s="201"/>
      <c r="P202" s="1321"/>
    </row>
    <row r="203" spans="1:16">
      <c r="A203" s="1340">
        <f t="shared" si="3"/>
        <v>2009.02</v>
      </c>
      <c r="B203" s="252">
        <v>164641</v>
      </c>
      <c r="C203" s="1313">
        <v>13235</v>
      </c>
      <c r="D203" s="3034">
        <v>3598</v>
      </c>
      <c r="E203" s="2140">
        <v>381</v>
      </c>
      <c r="F203" s="3034">
        <v>13155</v>
      </c>
      <c r="G203" s="169">
        <v>115061</v>
      </c>
      <c r="H203" s="3199">
        <f t="shared" si="2"/>
        <v>128216</v>
      </c>
      <c r="I203" s="169">
        <v>3816</v>
      </c>
      <c r="J203" s="2144">
        <v>15395</v>
      </c>
      <c r="K203" s="169">
        <v>105314</v>
      </c>
      <c r="L203" s="260">
        <v>13727</v>
      </c>
      <c r="M203" s="3034">
        <v>174</v>
      </c>
      <c r="N203" s="380">
        <v>118294</v>
      </c>
      <c r="O203" s="201"/>
      <c r="P203" s="1321"/>
    </row>
    <row r="204" spans="1:16">
      <c r="A204" s="1340">
        <f t="shared" si="3"/>
        <v>2009.03</v>
      </c>
      <c r="B204" s="252">
        <v>170426</v>
      </c>
      <c r="C204" s="1313">
        <v>14078</v>
      </c>
      <c r="D204" s="3034">
        <v>4716</v>
      </c>
      <c r="E204" s="2140">
        <v>415</v>
      </c>
      <c r="F204" s="3034">
        <v>21639</v>
      </c>
      <c r="G204" s="169">
        <v>107658</v>
      </c>
      <c r="H204" s="3199">
        <f t="shared" ref="H204:H209" si="4">F204+G204</f>
        <v>129297</v>
      </c>
      <c r="I204" s="169">
        <v>4782</v>
      </c>
      <c r="J204" s="2144">
        <v>17138</v>
      </c>
      <c r="K204" s="169">
        <v>96236</v>
      </c>
      <c r="L204" s="260">
        <v>16553</v>
      </c>
      <c r="M204" s="3034">
        <v>259</v>
      </c>
      <c r="N204" s="380">
        <v>117616</v>
      </c>
      <c r="O204" s="201"/>
      <c r="P204" s="1321"/>
    </row>
    <row r="205" spans="1:16">
      <c r="A205" s="1340">
        <f t="shared" si="3"/>
        <v>2009.04</v>
      </c>
      <c r="B205" s="252">
        <v>205342</v>
      </c>
      <c r="C205" s="1313">
        <v>16998</v>
      </c>
      <c r="D205" s="3034">
        <v>4303</v>
      </c>
      <c r="E205" s="2140">
        <v>516</v>
      </c>
      <c r="F205" s="3034">
        <v>14753</v>
      </c>
      <c r="G205" s="169">
        <v>146889</v>
      </c>
      <c r="H205" s="3199">
        <f t="shared" si="4"/>
        <v>161642</v>
      </c>
      <c r="I205" s="169">
        <v>4997</v>
      </c>
      <c r="J205" s="2144">
        <v>16886</v>
      </c>
      <c r="K205" s="169">
        <v>135937</v>
      </c>
      <c r="L205" s="260">
        <v>15771</v>
      </c>
      <c r="M205" s="3034">
        <v>265</v>
      </c>
      <c r="N205" s="380">
        <v>150425</v>
      </c>
      <c r="O205" s="201"/>
      <c r="P205" s="1321"/>
    </row>
    <row r="206" spans="1:16">
      <c r="A206" s="1340">
        <f t="shared" si="3"/>
        <v>2009.05</v>
      </c>
      <c r="B206" s="252">
        <v>210330</v>
      </c>
      <c r="C206" s="1313">
        <v>41017</v>
      </c>
      <c r="D206" s="3034">
        <v>4916</v>
      </c>
      <c r="E206" s="2140">
        <v>831</v>
      </c>
      <c r="F206" s="3034">
        <v>838</v>
      </c>
      <c r="G206" s="169">
        <v>137419</v>
      </c>
      <c r="H206" s="3199">
        <f t="shared" si="4"/>
        <v>138257</v>
      </c>
      <c r="I206" s="169">
        <v>7606</v>
      </c>
      <c r="J206" s="2144">
        <v>17703</v>
      </c>
      <c r="K206" s="169">
        <v>126804</v>
      </c>
      <c r="L206" s="260">
        <v>16367</v>
      </c>
      <c r="M206" s="3034">
        <v>266</v>
      </c>
      <c r="N206" s="380">
        <v>127371</v>
      </c>
      <c r="O206" s="201"/>
      <c r="P206" s="1321"/>
    </row>
    <row r="207" spans="1:16">
      <c r="A207" s="1340">
        <f t="shared" si="3"/>
        <v>2009.06</v>
      </c>
      <c r="B207" s="252">
        <v>241342</v>
      </c>
      <c r="C207" s="1313">
        <v>69963</v>
      </c>
      <c r="D207" s="3034">
        <v>6602</v>
      </c>
      <c r="E207" s="2140">
        <v>1782</v>
      </c>
      <c r="F207" s="3034">
        <v>124</v>
      </c>
      <c r="G207" s="169">
        <v>128395</v>
      </c>
      <c r="H207" s="3199">
        <f t="shared" si="4"/>
        <v>128519</v>
      </c>
      <c r="I207" s="169">
        <v>16794</v>
      </c>
      <c r="J207" s="2144">
        <v>17682</v>
      </c>
      <c r="K207" s="169">
        <v>116658</v>
      </c>
      <c r="L207" s="260">
        <v>20122</v>
      </c>
      <c r="M207" s="3034">
        <v>230</v>
      </c>
      <c r="N207" s="380">
        <v>116551</v>
      </c>
      <c r="O207" s="201"/>
      <c r="P207" s="1321"/>
    </row>
    <row r="208" spans="1:16">
      <c r="A208" s="1340">
        <f t="shared" si="3"/>
        <v>2009.07</v>
      </c>
      <c r="B208" s="252">
        <v>237833</v>
      </c>
      <c r="C208" s="1313">
        <v>83068</v>
      </c>
      <c r="D208" s="3034">
        <v>8823</v>
      </c>
      <c r="E208" s="2140">
        <v>2529</v>
      </c>
      <c r="F208" s="3034">
        <v>56</v>
      </c>
      <c r="G208" s="169">
        <v>107712</v>
      </c>
      <c r="H208" s="3199">
        <f t="shared" si="4"/>
        <v>107768</v>
      </c>
      <c r="I208" s="169">
        <v>17985</v>
      </c>
      <c r="J208" s="2144">
        <v>17660</v>
      </c>
      <c r="K208" s="169">
        <v>94719</v>
      </c>
      <c r="L208" s="260">
        <v>24346</v>
      </c>
      <c r="M208" s="3034">
        <v>227</v>
      </c>
      <c r="N208" s="380">
        <v>94547</v>
      </c>
      <c r="O208" s="201"/>
      <c r="P208" s="1321"/>
    </row>
    <row r="209" spans="1:16">
      <c r="A209" s="1340">
        <f t="shared" si="3"/>
        <v>2009.08</v>
      </c>
      <c r="B209" s="252">
        <v>193456</v>
      </c>
      <c r="C209" s="1313">
        <v>50367</v>
      </c>
      <c r="D209" s="3034">
        <v>8414</v>
      </c>
      <c r="E209" s="2140">
        <v>2200</v>
      </c>
      <c r="F209" s="3034">
        <v>351</v>
      </c>
      <c r="G209" s="169">
        <v>101438</v>
      </c>
      <c r="H209" s="3199">
        <f t="shared" si="4"/>
        <v>101789</v>
      </c>
      <c r="I209" s="169">
        <v>12347</v>
      </c>
      <c r="J209" s="2144">
        <v>18339</v>
      </c>
      <c r="K209" s="169">
        <v>89940</v>
      </c>
      <c r="L209" s="260">
        <v>22042</v>
      </c>
      <c r="M209" s="3034">
        <v>271</v>
      </c>
      <c r="N209" s="380">
        <v>90090</v>
      </c>
      <c r="O209" s="201"/>
      <c r="P209" s="1321"/>
    </row>
    <row r="210" spans="1:16">
      <c r="A210" s="1340">
        <f t="shared" si="3"/>
        <v>2009.09</v>
      </c>
      <c r="B210" s="252">
        <v>209101</v>
      </c>
      <c r="C210" s="1313">
        <v>54996</v>
      </c>
      <c r="D210" s="3034">
        <v>7431</v>
      </c>
      <c r="E210" s="2140">
        <v>1799</v>
      </c>
      <c r="F210" s="3034">
        <v>513</v>
      </c>
      <c r="G210" s="169">
        <v>115665</v>
      </c>
      <c r="H210" s="3199">
        <f>F210+G210</f>
        <v>116178</v>
      </c>
      <c r="I210" s="169">
        <v>10560</v>
      </c>
      <c r="J210" s="2144">
        <v>18137</v>
      </c>
      <c r="K210" s="169">
        <v>103474</v>
      </c>
      <c r="L210" s="260">
        <v>21420</v>
      </c>
      <c r="M210" s="3034">
        <v>265</v>
      </c>
      <c r="N210" s="380">
        <v>103723</v>
      </c>
      <c r="O210" s="201"/>
      <c r="P210" s="1321"/>
    </row>
    <row r="211" spans="1:16">
      <c r="A211" s="1340">
        <f t="shared" si="3"/>
        <v>2009.1</v>
      </c>
      <c r="B211" s="252">
        <v>195592</v>
      </c>
      <c r="C211" s="1313">
        <v>27910</v>
      </c>
      <c r="D211" s="3034">
        <v>5955</v>
      </c>
      <c r="E211" s="2140">
        <v>1263</v>
      </c>
      <c r="F211" s="3034">
        <v>357</v>
      </c>
      <c r="G211" s="169">
        <v>134989</v>
      </c>
      <c r="H211" s="3199">
        <f>F211+G211</f>
        <v>135346</v>
      </c>
      <c r="I211" s="169">
        <v>6733</v>
      </c>
      <c r="J211" s="2144">
        <v>18385</v>
      </c>
      <c r="K211" s="169">
        <v>123533</v>
      </c>
      <c r="L211" s="260">
        <v>18674</v>
      </c>
      <c r="M211" s="3034">
        <v>323</v>
      </c>
      <c r="N211" s="380">
        <v>123567</v>
      </c>
      <c r="O211" s="201"/>
      <c r="P211" s="1321"/>
    </row>
    <row r="212" spans="1:16">
      <c r="A212" s="1340">
        <f t="shared" si="3"/>
        <v>2009.11</v>
      </c>
      <c r="B212" s="252">
        <v>170742</v>
      </c>
      <c r="C212" s="1313">
        <v>18453</v>
      </c>
      <c r="D212" s="3034">
        <v>4772</v>
      </c>
      <c r="E212" s="2140">
        <v>745</v>
      </c>
      <c r="F212" s="3034">
        <v>2566</v>
      </c>
      <c r="G212" s="169">
        <v>122645</v>
      </c>
      <c r="H212" s="3199">
        <f>F212+G212</f>
        <v>125211</v>
      </c>
      <c r="I212" s="169">
        <v>4364</v>
      </c>
      <c r="J212" s="2144">
        <v>17197</v>
      </c>
      <c r="K212" s="169">
        <v>112042</v>
      </c>
      <c r="L212" s="260">
        <v>16121</v>
      </c>
      <c r="M212" s="3034">
        <v>342</v>
      </c>
      <c r="N212" s="380">
        <v>114265</v>
      </c>
      <c r="O212" s="201"/>
      <c r="P212" s="1321"/>
    </row>
    <row r="213" spans="1:16">
      <c r="A213" s="1340">
        <f t="shared" si="3"/>
        <v>2009.12</v>
      </c>
      <c r="B213" s="252">
        <v>174253</v>
      </c>
      <c r="C213" s="1313">
        <v>20199</v>
      </c>
      <c r="D213" s="3034">
        <v>3794</v>
      </c>
      <c r="E213" s="2140">
        <v>447</v>
      </c>
      <c r="F213" s="3034">
        <v>1600</v>
      </c>
      <c r="G213" s="169">
        <v>125375</v>
      </c>
      <c r="H213" s="3199">
        <f>F213+G213</f>
        <v>126975</v>
      </c>
      <c r="I213" s="169">
        <v>4428</v>
      </c>
      <c r="J213" s="2144">
        <v>18410</v>
      </c>
      <c r="K213" s="169">
        <v>115492</v>
      </c>
      <c r="L213" s="260">
        <v>14124</v>
      </c>
      <c r="M213" s="3034">
        <v>289</v>
      </c>
      <c r="N213" s="380">
        <v>116803</v>
      </c>
      <c r="O213" s="201"/>
      <c r="P213" s="1321"/>
    </row>
    <row r="214" spans="1:16">
      <c r="A214" s="1340">
        <f t="shared" si="3"/>
        <v>2010.01</v>
      </c>
      <c r="B214" s="252">
        <v>158367</v>
      </c>
      <c r="C214" s="1313">
        <v>15127</v>
      </c>
      <c r="D214" s="3034">
        <v>4187</v>
      </c>
      <c r="E214" s="2140">
        <v>387</v>
      </c>
      <c r="F214" s="3034">
        <v>2750</v>
      </c>
      <c r="G214" s="169">
        <v>115578</v>
      </c>
      <c r="H214" s="3199">
        <f t="shared" ref="H214:H277" si="5">F214+G214</f>
        <v>118328</v>
      </c>
      <c r="I214" s="169">
        <v>3626</v>
      </c>
      <c r="J214" s="2144">
        <v>16712</v>
      </c>
      <c r="K214" s="169">
        <v>107025</v>
      </c>
      <c r="L214" s="260">
        <v>12985</v>
      </c>
      <c r="M214" s="3034">
        <v>427</v>
      </c>
      <c r="N214" s="380">
        <v>109490</v>
      </c>
      <c r="O214" s="201"/>
      <c r="P214" s="1321"/>
    </row>
    <row r="215" spans="1:16">
      <c r="A215" s="1340">
        <f t="shared" si="3"/>
        <v>2010.02</v>
      </c>
      <c r="B215" s="252">
        <v>150759</v>
      </c>
      <c r="C215" s="1313">
        <v>14048</v>
      </c>
      <c r="D215" s="3034">
        <v>3890</v>
      </c>
      <c r="E215" s="2140">
        <v>312</v>
      </c>
      <c r="F215" s="3034">
        <v>4211</v>
      </c>
      <c r="G215" s="169">
        <v>108500</v>
      </c>
      <c r="H215" s="3199">
        <f t="shared" si="5"/>
        <v>112711</v>
      </c>
      <c r="I215" s="169">
        <v>4218</v>
      </c>
      <c r="J215" s="2144">
        <v>15580</v>
      </c>
      <c r="K215" s="169">
        <v>98777</v>
      </c>
      <c r="L215" s="260">
        <v>13781</v>
      </c>
      <c r="M215" s="3034">
        <v>448</v>
      </c>
      <c r="N215" s="380">
        <v>102684</v>
      </c>
      <c r="O215" s="201"/>
      <c r="P215" s="1321"/>
    </row>
    <row r="216" spans="1:16">
      <c r="A216" s="1340">
        <f t="shared" si="3"/>
        <v>2010.03</v>
      </c>
      <c r="B216" s="252">
        <v>173937</v>
      </c>
      <c r="C216" s="1313">
        <v>15415</v>
      </c>
      <c r="D216" s="3034">
        <v>7336</v>
      </c>
      <c r="E216" s="2140">
        <v>426</v>
      </c>
      <c r="F216" s="3034">
        <v>1886</v>
      </c>
      <c r="G216" s="169">
        <v>126269</v>
      </c>
      <c r="H216" s="3199">
        <f t="shared" si="5"/>
        <v>128155</v>
      </c>
      <c r="I216" s="169">
        <v>5066</v>
      </c>
      <c r="J216" s="2144">
        <v>17539</v>
      </c>
      <c r="K216" s="169">
        <v>114316</v>
      </c>
      <c r="L216" s="260">
        <v>19444</v>
      </c>
      <c r="M216" s="3034">
        <v>944</v>
      </c>
      <c r="N216" s="380">
        <v>115529</v>
      </c>
      <c r="O216" s="201"/>
      <c r="P216" s="1321"/>
    </row>
    <row r="217" spans="1:16">
      <c r="A217" s="1340">
        <f t="shared" si="3"/>
        <v>2010.04</v>
      </c>
      <c r="B217" s="252">
        <v>218270</v>
      </c>
      <c r="C217" s="1313">
        <v>26094</v>
      </c>
      <c r="D217" s="3034">
        <v>5017</v>
      </c>
      <c r="E217" s="2140">
        <v>580</v>
      </c>
      <c r="F217" s="3034">
        <v>913</v>
      </c>
      <c r="G217" s="169">
        <v>161621</v>
      </c>
      <c r="H217" s="3199">
        <f>F217+G217</f>
        <v>162534</v>
      </c>
      <c r="I217" s="169">
        <v>6553</v>
      </c>
      <c r="J217" s="2144">
        <v>17492</v>
      </c>
      <c r="K217" s="169">
        <v>150049</v>
      </c>
      <c r="L217" s="260">
        <v>17021</v>
      </c>
      <c r="M217" s="3034">
        <v>501</v>
      </c>
      <c r="N217" s="380">
        <v>150609</v>
      </c>
      <c r="O217" s="201"/>
      <c r="P217" s="1321"/>
    </row>
    <row r="218" spans="1:16">
      <c r="A218" s="1340">
        <f t="shared" si="3"/>
        <v>2010.05</v>
      </c>
      <c r="B218" s="252">
        <v>251658</v>
      </c>
      <c r="C218" s="1313">
        <v>48564</v>
      </c>
      <c r="D218" s="3034">
        <v>6802</v>
      </c>
      <c r="E218" s="2140">
        <v>1099</v>
      </c>
      <c r="F218" s="3034">
        <v>419</v>
      </c>
      <c r="G218" s="169">
        <v>166222</v>
      </c>
      <c r="H218" s="3199">
        <f>F218+G218</f>
        <v>166641</v>
      </c>
      <c r="I218" s="169">
        <v>10467</v>
      </c>
      <c r="J218" s="2144">
        <v>18085</v>
      </c>
      <c r="K218" s="169">
        <v>154929</v>
      </c>
      <c r="L218" s="260">
        <v>19193</v>
      </c>
      <c r="M218" s="3034">
        <v>294</v>
      </c>
      <c r="N218" s="380">
        <v>155055</v>
      </c>
      <c r="O218" s="201"/>
      <c r="P218" s="1321"/>
    </row>
    <row r="219" spans="1:16">
      <c r="A219" s="1340">
        <f t="shared" si="3"/>
        <v>2010.06</v>
      </c>
      <c r="B219" s="252">
        <v>235434</v>
      </c>
      <c r="C219" s="1313">
        <v>65764</v>
      </c>
      <c r="D219" s="3034">
        <v>7546</v>
      </c>
      <c r="E219" s="2140">
        <v>2025</v>
      </c>
      <c r="F219" s="3034">
        <v>58</v>
      </c>
      <c r="G219" s="169">
        <v>124388</v>
      </c>
      <c r="H219" s="3199">
        <f t="shared" si="5"/>
        <v>124446</v>
      </c>
      <c r="I219" s="169">
        <v>17553</v>
      </c>
      <c r="J219" s="2144">
        <v>18100</v>
      </c>
      <c r="K219" s="169">
        <v>112068</v>
      </c>
      <c r="L219" s="260">
        <v>22283</v>
      </c>
      <c r="M219" s="3034">
        <v>390</v>
      </c>
      <c r="N219" s="380">
        <v>111344</v>
      </c>
      <c r="O219" s="201"/>
      <c r="P219" s="1321"/>
    </row>
    <row r="220" spans="1:16">
      <c r="A220" s="1340">
        <f t="shared" si="3"/>
        <v>2010.07</v>
      </c>
      <c r="B220" s="252">
        <v>220423</v>
      </c>
      <c r="C220" s="1313">
        <v>88404</v>
      </c>
      <c r="D220" s="3034">
        <v>9060</v>
      </c>
      <c r="E220" s="2140">
        <v>2325</v>
      </c>
      <c r="F220" s="3034">
        <v>1</v>
      </c>
      <c r="G220" s="169">
        <v>83130</v>
      </c>
      <c r="H220" s="3199">
        <f t="shared" si="5"/>
        <v>83131</v>
      </c>
      <c r="I220" s="169">
        <v>18461</v>
      </c>
      <c r="J220" s="2144">
        <v>19042</v>
      </c>
      <c r="K220" s="169">
        <v>70726</v>
      </c>
      <c r="L220" s="260">
        <v>23751</v>
      </c>
      <c r="M220" s="3034">
        <v>362</v>
      </c>
      <c r="N220" s="380">
        <v>70403</v>
      </c>
      <c r="O220" s="201"/>
      <c r="P220" s="1321"/>
    </row>
    <row r="221" spans="1:16">
      <c r="A221" s="1340">
        <f t="shared" si="3"/>
        <v>2010.08</v>
      </c>
      <c r="B221" s="252">
        <v>272978</v>
      </c>
      <c r="C221" s="1313">
        <v>82656</v>
      </c>
      <c r="D221" s="3034">
        <v>10450</v>
      </c>
      <c r="E221" s="2140">
        <v>2772</v>
      </c>
      <c r="F221" s="3034">
        <v>233</v>
      </c>
      <c r="G221" s="169">
        <v>140206</v>
      </c>
      <c r="H221" s="3199">
        <f t="shared" si="5"/>
        <v>140439</v>
      </c>
      <c r="I221" s="169">
        <v>17578</v>
      </c>
      <c r="J221" s="2144">
        <v>19083</v>
      </c>
      <c r="K221" s="169">
        <v>127072</v>
      </c>
      <c r="L221" s="260">
        <v>26273</v>
      </c>
      <c r="M221" s="3034">
        <v>423</v>
      </c>
      <c r="N221" s="380">
        <v>126965</v>
      </c>
      <c r="O221" s="201"/>
      <c r="P221" s="1321"/>
    </row>
    <row r="222" spans="1:16">
      <c r="A222" s="1340">
        <f t="shared" si="3"/>
        <v>2010.09</v>
      </c>
      <c r="B222" s="252">
        <v>248855</v>
      </c>
      <c r="C222" s="1313">
        <v>54379</v>
      </c>
      <c r="D222" s="3034">
        <v>8728</v>
      </c>
      <c r="E222" s="2140">
        <v>2191</v>
      </c>
      <c r="F222" s="3034">
        <v>644</v>
      </c>
      <c r="G222" s="169">
        <v>153504</v>
      </c>
      <c r="H222" s="3199">
        <f t="shared" si="5"/>
        <v>154148</v>
      </c>
      <c r="I222" s="169">
        <v>10894</v>
      </c>
      <c r="J222" s="2144">
        <v>18515</v>
      </c>
      <c r="K222" s="169">
        <v>141458</v>
      </c>
      <c r="L222" s="260">
        <v>22891</v>
      </c>
      <c r="M222" s="3034">
        <v>380</v>
      </c>
      <c r="N222" s="380">
        <v>141796</v>
      </c>
      <c r="O222" s="201"/>
      <c r="P222" s="1321"/>
    </row>
    <row r="223" spans="1:16">
      <c r="A223" s="1340">
        <f t="shared" si="3"/>
        <v>2010.1</v>
      </c>
      <c r="B223" s="252">
        <v>226309</v>
      </c>
      <c r="C223" s="1313">
        <v>33217</v>
      </c>
      <c r="D223" s="3034">
        <v>6324</v>
      </c>
      <c r="E223" s="2140">
        <v>1194</v>
      </c>
      <c r="F223" s="3034">
        <v>79</v>
      </c>
      <c r="G223" s="169">
        <v>159769</v>
      </c>
      <c r="H223" s="3199">
        <f t="shared" si="5"/>
        <v>159848</v>
      </c>
      <c r="I223" s="169">
        <v>6893</v>
      </c>
      <c r="J223" s="2144">
        <v>18833</v>
      </c>
      <c r="K223" s="169">
        <v>149236</v>
      </c>
      <c r="L223" s="260">
        <v>17946</v>
      </c>
      <c r="M223" s="3034">
        <v>429</v>
      </c>
      <c r="N223" s="380">
        <v>148991</v>
      </c>
      <c r="O223" s="201"/>
      <c r="P223" s="1321"/>
    </row>
    <row r="224" spans="1:16">
      <c r="A224" s="1340">
        <f t="shared" si="3"/>
        <v>2010.11</v>
      </c>
      <c r="B224" s="252">
        <v>198230</v>
      </c>
      <c r="C224" s="1313">
        <v>18946</v>
      </c>
      <c r="D224" s="3034">
        <v>5205</v>
      </c>
      <c r="E224" s="2140">
        <v>777</v>
      </c>
      <c r="F224" s="3034">
        <v>978</v>
      </c>
      <c r="G224" s="169">
        <v>149040</v>
      </c>
      <c r="H224" s="3199">
        <f t="shared" si="5"/>
        <v>150018</v>
      </c>
      <c r="I224" s="169">
        <v>5229</v>
      </c>
      <c r="J224" s="2144">
        <v>18055</v>
      </c>
      <c r="K224" s="169">
        <v>137853</v>
      </c>
      <c r="L224" s="260">
        <v>17036</v>
      </c>
      <c r="M224" s="3034">
        <v>489</v>
      </c>
      <c r="N224" s="380">
        <v>138475</v>
      </c>
      <c r="O224" s="201"/>
      <c r="P224" s="1321"/>
    </row>
    <row r="225" spans="1:16">
      <c r="A225" s="1340">
        <f t="shared" si="3"/>
        <v>2010.12</v>
      </c>
      <c r="B225" s="252">
        <v>175530</v>
      </c>
      <c r="C225" s="1313">
        <v>16210</v>
      </c>
      <c r="D225" s="3034">
        <v>4816</v>
      </c>
      <c r="E225" s="2140">
        <v>517</v>
      </c>
      <c r="F225" s="3034">
        <v>3052</v>
      </c>
      <c r="G225" s="169">
        <v>127757</v>
      </c>
      <c r="H225" s="3199">
        <f t="shared" si="5"/>
        <v>130809</v>
      </c>
      <c r="I225" s="169">
        <v>4236</v>
      </c>
      <c r="J225" s="2144">
        <v>18942</v>
      </c>
      <c r="K225" s="169">
        <v>117686</v>
      </c>
      <c r="L225" s="260">
        <v>15268</v>
      </c>
      <c r="M225" s="3034">
        <v>505</v>
      </c>
      <c r="N225" s="380">
        <v>120369</v>
      </c>
      <c r="O225" s="201"/>
      <c r="P225" s="1321"/>
    </row>
    <row r="226" spans="1:16">
      <c r="A226" s="1340">
        <f t="shared" si="3"/>
        <v>2011.01</v>
      </c>
      <c r="B226" s="252">
        <v>183280</v>
      </c>
      <c r="C226" s="1313">
        <v>15250</v>
      </c>
      <c r="D226" s="3034">
        <v>4311</v>
      </c>
      <c r="E226" s="2140">
        <v>371</v>
      </c>
      <c r="F226" s="3034">
        <v>11653</v>
      </c>
      <c r="G226" s="169">
        <v>130503</v>
      </c>
      <c r="H226" s="3199">
        <f t="shared" si="5"/>
        <v>142156</v>
      </c>
      <c r="I226" s="169">
        <v>3914</v>
      </c>
      <c r="J226" s="2144">
        <v>17278</v>
      </c>
      <c r="K226" s="169">
        <v>121951</v>
      </c>
      <c r="L226" s="260">
        <v>13233</v>
      </c>
      <c r="M226" s="3034">
        <v>380</v>
      </c>
      <c r="N226" s="380">
        <v>133225</v>
      </c>
      <c r="O226" s="201"/>
      <c r="P226" s="1321"/>
    </row>
    <row r="227" spans="1:16">
      <c r="A227" s="1340">
        <f t="shared" si="3"/>
        <v>2011.02</v>
      </c>
      <c r="B227" s="252">
        <v>161841</v>
      </c>
      <c r="C227" s="1313">
        <v>13478</v>
      </c>
      <c r="D227" s="3034">
        <v>4047</v>
      </c>
      <c r="E227" s="2140">
        <v>325</v>
      </c>
      <c r="F227" s="3034">
        <v>1689</v>
      </c>
      <c r="G227" s="169">
        <v>121877</v>
      </c>
      <c r="H227" s="3199">
        <f t="shared" si="5"/>
        <v>123566</v>
      </c>
      <c r="I227" s="169">
        <v>4180</v>
      </c>
      <c r="J227" s="2144">
        <v>16245</v>
      </c>
      <c r="K227" s="169">
        <v>112436</v>
      </c>
      <c r="L227" s="260">
        <v>13813</v>
      </c>
      <c r="M227" s="3034">
        <v>411</v>
      </c>
      <c r="N227" s="380">
        <v>113714</v>
      </c>
      <c r="O227" s="201"/>
      <c r="P227" s="1321"/>
    </row>
    <row r="228" spans="1:16">
      <c r="A228" s="1340">
        <f t="shared" si="3"/>
        <v>2011.03</v>
      </c>
      <c r="B228" s="252">
        <v>203230</v>
      </c>
      <c r="C228" s="1313">
        <v>18812</v>
      </c>
      <c r="D228" s="3034">
        <v>6498</v>
      </c>
      <c r="E228" s="2140">
        <v>406</v>
      </c>
      <c r="F228" s="3034">
        <v>1168</v>
      </c>
      <c r="G228" s="169">
        <v>152787</v>
      </c>
      <c r="H228" s="3199">
        <f t="shared" si="5"/>
        <v>153955</v>
      </c>
      <c r="I228" s="169">
        <v>5328</v>
      </c>
      <c r="J228" s="2144">
        <v>18231</v>
      </c>
      <c r="K228" s="169">
        <v>141525</v>
      </c>
      <c r="L228" s="260">
        <v>18164</v>
      </c>
      <c r="M228" s="3034">
        <v>491</v>
      </c>
      <c r="N228" s="380">
        <v>142204</v>
      </c>
      <c r="O228" s="201"/>
      <c r="P228" s="1321"/>
    </row>
    <row r="229" spans="1:16">
      <c r="A229" s="1340">
        <f t="shared" si="3"/>
        <v>2011.04</v>
      </c>
      <c r="B229" s="252">
        <v>223070</v>
      </c>
      <c r="C229" s="1313">
        <v>24035</v>
      </c>
      <c r="D229" s="3034">
        <v>5280</v>
      </c>
      <c r="E229" s="2140">
        <v>568</v>
      </c>
      <c r="F229" s="3034">
        <v>774</v>
      </c>
      <c r="G229" s="169">
        <v>168205</v>
      </c>
      <c r="H229" s="3199">
        <f t="shared" si="5"/>
        <v>168979</v>
      </c>
      <c r="I229" s="169">
        <v>6129</v>
      </c>
      <c r="J229" s="2144">
        <v>18079</v>
      </c>
      <c r="K229" s="169">
        <v>156227</v>
      </c>
      <c r="L229" s="260">
        <v>17824</v>
      </c>
      <c r="M229" s="3034">
        <v>454</v>
      </c>
      <c r="N229" s="380">
        <v>156549</v>
      </c>
      <c r="O229" s="201"/>
      <c r="P229" s="1321"/>
    </row>
    <row r="230" spans="1:16">
      <c r="A230" s="1340">
        <f t="shared" si="3"/>
        <v>2011.05</v>
      </c>
      <c r="B230" s="252">
        <v>261640</v>
      </c>
      <c r="C230" s="1313">
        <v>50355</v>
      </c>
      <c r="D230" s="3034">
        <v>6021</v>
      </c>
      <c r="E230" s="2140">
        <v>1083</v>
      </c>
      <c r="F230" s="3034">
        <v>152</v>
      </c>
      <c r="G230" s="169">
        <v>173531</v>
      </c>
      <c r="H230" s="3199">
        <f t="shared" si="5"/>
        <v>173683</v>
      </c>
      <c r="I230" s="169">
        <v>11669</v>
      </c>
      <c r="J230" s="2144">
        <v>18829</v>
      </c>
      <c r="K230" s="169">
        <v>161874</v>
      </c>
      <c r="L230" s="260">
        <v>18718</v>
      </c>
      <c r="M230" s="3034">
        <v>457</v>
      </c>
      <c r="N230" s="380">
        <v>161612</v>
      </c>
      <c r="O230" s="201"/>
      <c r="P230" s="1321"/>
    </row>
    <row r="231" spans="1:16">
      <c r="A231" s="1340">
        <f t="shared" si="3"/>
        <v>2011.06</v>
      </c>
      <c r="B231" s="252">
        <v>242710</v>
      </c>
      <c r="C231" s="1313">
        <v>79510</v>
      </c>
      <c r="D231" s="3034">
        <v>9152</v>
      </c>
      <c r="E231" s="2140">
        <v>2079</v>
      </c>
      <c r="F231" s="3034">
        <v>108</v>
      </c>
      <c r="G231" s="169">
        <v>114300</v>
      </c>
      <c r="H231" s="3199">
        <f>F231+G231</f>
        <v>114408</v>
      </c>
      <c r="I231" s="169">
        <v>18781</v>
      </c>
      <c r="J231" s="2144">
        <v>18780</v>
      </c>
      <c r="K231" s="169">
        <v>101524</v>
      </c>
      <c r="L231" s="260">
        <v>23893</v>
      </c>
      <c r="M231" s="3034">
        <v>560</v>
      </c>
      <c r="N231" s="380">
        <v>101186</v>
      </c>
      <c r="O231" s="201"/>
      <c r="P231" s="1321"/>
    </row>
    <row r="232" spans="1:16">
      <c r="A232" s="1340">
        <f t="shared" si="3"/>
        <v>2011.07</v>
      </c>
      <c r="B232" s="252">
        <v>266733</v>
      </c>
      <c r="C232" s="1313">
        <v>99788</v>
      </c>
      <c r="D232" s="3034">
        <v>11287</v>
      </c>
      <c r="E232" s="2140">
        <v>2806</v>
      </c>
      <c r="F232" s="3034">
        <v>321</v>
      </c>
      <c r="G232" s="169">
        <v>112477</v>
      </c>
      <c r="H232" s="3199">
        <f t="shared" si="5"/>
        <v>112798</v>
      </c>
      <c r="I232" s="169">
        <v>20315</v>
      </c>
      <c r="J232" s="2144">
        <v>19739</v>
      </c>
      <c r="K232" s="169">
        <v>99344</v>
      </c>
      <c r="L232" s="260">
        <v>27092</v>
      </c>
      <c r="M232" s="3034">
        <v>587</v>
      </c>
      <c r="N232" s="380">
        <v>99212</v>
      </c>
      <c r="O232" s="201"/>
      <c r="P232" s="1321"/>
    </row>
    <row r="233" spans="1:16">
      <c r="A233" s="1340">
        <f t="shared" si="3"/>
        <v>2011.08</v>
      </c>
      <c r="B233" s="252">
        <v>254340</v>
      </c>
      <c r="C233" s="1313">
        <v>90121</v>
      </c>
      <c r="D233" s="3034">
        <v>10903</v>
      </c>
      <c r="E233" s="2140">
        <v>2899</v>
      </c>
      <c r="F233" s="3034">
        <v>885</v>
      </c>
      <c r="G233" s="169">
        <v>109800</v>
      </c>
      <c r="H233" s="3199">
        <f t="shared" si="5"/>
        <v>110685</v>
      </c>
      <c r="I233" s="169">
        <v>20002</v>
      </c>
      <c r="J233" s="2144">
        <v>19730</v>
      </c>
      <c r="K233" s="169">
        <v>97086</v>
      </c>
      <c r="L233" s="260">
        <v>26597</v>
      </c>
      <c r="M233" s="3034">
        <v>548</v>
      </c>
      <c r="N233" s="380">
        <v>97342</v>
      </c>
      <c r="O233" s="201"/>
      <c r="P233" s="1321"/>
    </row>
    <row r="234" spans="1:16">
      <c r="A234" s="1340">
        <f t="shared" si="3"/>
        <v>2011.09</v>
      </c>
      <c r="B234" s="252">
        <v>251135</v>
      </c>
      <c r="C234" s="1313">
        <v>46737</v>
      </c>
      <c r="D234" s="3034">
        <v>8287</v>
      </c>
      <c r="E234" s="2140">
        <v>1980</v>
      </c>
      <c r="F234" s="3034">
        <v>1836</v>
      </c>
      <c r="G234" s="169">
        <v>162627</v>
      </c>
      <c r="H234" s="3199">
        <f t="shared" si="5"/>
        <v>164463</v>
      </c>
      <c r="I234" s="169">
        <v>10712</v>
      </c>
      <c r="J234" s="2144">
        <v>18956</v>
      </c>
      <c r="K234" s="169">
        <v>150611</v>
      </c>
      <c r="L234" s="260">
        <v>22148</v>
      </c>
      <c r="M234" s="3034">
        <v>524</v>
      </c>
      <c r="N234" s="380">
        <v>152058</v>
      </c>
      <c r="O234" s="201"/>
      <c r="P234" s="1321"/>
    </row>
    <row r="235" spans="1:16">
      <c r="A235" s="1340">
        <f t="shared" si="3"/>
        <v>2011.1</v>
      </c>
      <c r="B235" s="252">
        <v>226303</v>
      </c>
      <c r="C235" s="1313">
        <v>29709</v>
      </c>
      <c r="D235" s="3034">
        <v>6241</v>
      </c>
      <c r="E235" s="2140">
        <v>1199</v>
      </c>
      <c r="F235" s="3034">
        <v>1399</v>
      </c>
      <c r="G235" s="169">
        <v>161104</v>
      </c>
      <c r="H235" s="3199">
        <f t="shared" si="5"/>
        <v>162503</v>
      </c>
      <c r="I235" s="169">
        <v>7144</v>
      </c>
      <c r="J235" s="2144">
        <v>19507</v>
      </c>
      <c r="K235" s="169">
        <v>149910</v>
      </c>
      <c r="L235" s="260">
        <v>18632</v>
      </c>
      <c r="M235" s="3034">
        <v>424</v>
      </c>
      <c r="N235" s="380">
        <v>150887</v>
      </c>
      <c r="O235" s="201"/>
      <c r="P235" s="1321"/>
    </row>
    <row r="236" spans="1:16">
      <c r="A236" s="1340">
        <f t="shared" si="3"/>
        <v>2011.11</v>
      </c>
      <c r="B236" s="252">
        <v>191922</v>
      </c>
      <c r="C236" s="1313">
        <v>13720</v>
      </c>
      <c r="D236" s="3034">
        <v>4815</v>
      </c>
      <c r="E236" s="2140">
        <v>698</v>
      </c>
      <c r="F236" s="3034">
        <v>6830</v>
      </c>
      <c r="G236" s="169">
        <v>141679</v>
      </c>
      <c r="H236" s="3199">
        <f t="shared" si="5"/>
        <v>148509</v>
      </c>
      <c r="I236" s="169">
        <v>5335</v>
      </c>
      <c r="J236" s="2144">
        <v>18845</v>
      </c>
      <c r="K236" s="169">
        <v>130674</v>
      </c>
      <c r="L236" s="260">
        <v>16519</v>
      </c>
      <c r="M236" s="3034">
        <v>440</v>
      </c>
      <c r="N236" s="380">
        <v>137063</v>
      </c>
      <c r="O236" s="201"/>
      <c r="P236" s="1321"/>
    </row>
    <row r="237" spans="1:16">
      <c r="A237" s="1340">
        <f t="shared" si="3"/>
        <v>2011.12</v>
      </c>
      <c r="B237" s="252">
        <v>202527</v>
      </c>
      <c r="C237" s="1313">
        <v>14503</v>
      </c>
      <c r="D237" s="3034">
        <v>5026</v>
      </c>
      <c r="E237" s="2140">
        <v>457</v>
      </c>
      <c r="F237" s="3034">
        <v>9808</v>
      </c>
      <c r="G237" s="169">
        <v>148732</v>
      </c>
      <c r="H237" s="3199">
        <f t="shared" si="5"/>
        <v>158540</v>
      </c>
      <c r="I237" s="169">
        <v>4482</v>
      </c>
      <c r="J237" s="2144">
        <v>19519</v>
      </c>
      <c r="K237" s="169">
        <v>138442</v>
      </c>
      <c r="L237" s="260">
        <v>15621</v>
      </c>
      <c r="M237" s="3034">
        <v>566</v>
      </c>
      <c r="N237" s="380">
        <v>147836</v>
      </c>
      <c r="O237" s="201"/>
      <c r="P237" s="1321"/>
    </row>
    <row r="238" spans="1:16">
      <c r="A238" s="1340">
        <f t="shared" si="3"/>
        <v>2012.01</v>
      </c>
      <c r="B238" s="252">
        <v>201834</v>
      </c>
      <c r="C238" s="1313">
        <v>14648</v>
      </c>
      <c r="D238" s="3034">
        <v>4173</v>
      </c>
      <c r="E238" s="2140">
        <v>408</v>
      </c>
      <c r="F238" s="3034">
        <v>24498</v>
      </c>
      <c r="G238" s="169">
        <v>136066</v>
      </c>
      <c r="H238" s="3199">
        <f t="shared" si="5"/>
        <v>160564</v>
      </c>
      <c r="I238" s="169">
        <v>4330</v>
      </c>
      <c r="J238" s="2144">
        <v>17711</v>
      </c>
      <c r="K238" s="169">
        <v>127044</v>
      </c>
      <c r="L238" s="260">
        <v>13436</v>
      </c>
      <c r="M238" s="3034">
        <v>677</v>
      </c>
      <c r="N238" s="380">
        <v>151032</v>
      </c>
      <c r="O238" s="201"/>
      <c r="P238" s="1321"/>
    </row>
    <row r="239" spans="1:16">
      <c r="A239" s="1340">
        <f t="shared" si="3"/>
        <v>2012.02</v>
      </c>
      <c r="B239" s="252">
        <v>185348</v>
      </c>
      <c r="C239" s="1313">
        <v>13808</v>
      </c>
      <c r="D239" s="3034">
        <v>4237</v>
      </c>
      <c r="E239" s="2140">
        <v>341</v>
      </c>
      <c r="F239" s="3034">
        <v>15488</v>
      </c>
      <c r="G239" s="169">
        <v>129912</v>
      </c>
      <c r="H239" s="3199">
        <f t="shared" si="5"/>
        <v>145400</v>
      </c>
      <c r="I239" s="169">
        <v>5060</v>
      </c>
      <c r="J239" s="2144">
        <v>16502</v>
      </c>
      <c r="K239" s="169">
        <v>120239</v>
      </c>
      <c r="L239" s="260">
        <v>14252</v>
      </c>
      <c r="M239" s="3034">
        <v>411</v>
      </c>
      <c r="N239" s="380">
        <v>135315</v>
      </c>
      <c r="O239" s="201"/>
      <c r="P239" s="1321"/>
    </row>
    <row r="240" spans="1:16">
      <c r="A240" s="1340">
        <f t="shared" si="3"/>
        <v>2012.03</v>
      </c>
      <c r="B240" s="252">
        <v>194060</v>
      </c>
      <c r="C240" s="1313">
        <v>19100</v>
      </c>
      <c r="D240" s="3034">
        <v>5881</v>
      </c>
      <c r="E240" s="2140">
        <v>390</v>
      </c>
      <c r="F240" s="3034">
        <v>4462</v>
      </c>
      <c r="G240" s="169">
        <v>139968</v>
      </c>
      <c r="H240" s="3199">
        <f t="shared" si="5"/>
        <v>144430</v>
      </c>
      <c r="I240" s="169">
        <v>4660</v>
      </c>
      <c r="J240" s="2144">
        <v>19599</v>
      </c>
      <c r="K240" s="169">
        <v>128880</v>
      </c>
      <c r="L240" s="260">
        <v>17358</v>
      </c>
      <c r="M240" s="3034">
        <v>615</v>
      </c>
      <c r="N240" s="380">
        <v>132728</v>
      </c>
      <c r="O240" s="201"/>
      <c r="P240" s="1321"/>
    </row>
    <row r="241" spans="1:16">
      <c r="A241" s="1340">
        <f t="shared" si="3"/>
        <v>2012.04</v>
      </c>
      <c r="B241" s="252">
        <v>216155</v>
      </c>
      <c r="C241" s="1313">
        <v>28135</v>
      </c>
      <c r="D241" s="3034">
        <v>5634</v>
      </c>
      <c r="E241" s="2140">
        <v>580</v>
      </c>
      <c r="F241" s="3034">
        <v>1506</v>
      </c>
      <c r="G241" s="169">
        <v>156165</v>
      </c>
      <c r="H241" s="3199">
        <f t="shared" si="5"/>
        <v>157671</v>
      </c>
      <c r="I241" s="169">
        <v>5955</v>
      </c>
      <c r="J241" s="2144">
        <v>18180</v>
      </c>
      <c r="K241" s="169">
        <v>145432</v>
      </c>
      <c r="L241" s="260">
        <v>16948</v>
      </c>
      <c r="M241" s="3034">
        <v>506</v>
      </c>
      <c r="N241" s="380">
        <v>146431</v>
      </c>
      <c r="O241" s="201"/>
      <c r="P241" s="1321"/>
    </row>
    <row r="242" spans="1:16">
      <c r="A242" s="1340">
        <f t="shared" si="3"/>
        <v>2012.05</v>
      </c>
      <c r="B242" s="252">
        <v>237949</v>
      </c>
      <c r="C242" s="1313">
        <v>40456</v>
      </c>
      <c r="D242" s="3034">
        <v>6025</v>
      </c>
      <c r="E242" s="2140">
        <v>1108</v>
      </c>
      <c r="F242" s="3034">
        <v>694</v>
      </c>
      <c r="G242" s="169">
        <v>158569</v>
      </c>
      <c r="H242" s="3199">
        <f t="shared" si="5"/>
        <v>159263</v>
      </c>
      <c r="I242" s="169">
        <v>13170</v>
      </c>
      <c r="J242" s="2144">
        <v>17927</v>
      </c>
      <c r="K242" s="169">
        <v>147420</v>
      </c>
      <c r="L242" s="260">
        <v>18282</v>
      </c>
      <c r="M242" s="3034">
        <v>468</v>
      </c>
      <c r="N242" s="380">
        <v>147646</v>
      </c>
      <c r="O242" s="201"/>
      <c r="P242" s="1321"/>
    </row>
    <row r="243" spans="1:16">
      <c r="A243" s="1340">
        <f t="shared" si="3"/>
        <v>2012.06</v>
      </c>
      <c r="B243" s="252">
        <v>241028</v>
      </c>
      <c r="C243" s="1313">
        <v>81910</v>
      </c>
      <c r="D243" s="3034">
        <v>9183</v>
      </c>
      <c r="E243" s="2140">
        <v>2120</v>
      </c>
      <c r="F243" s="3034">
        <v>548</v>
      </c>
      <c r="G243" s="169">
        <v>109773</v>
      </c>
      <c r="H243" s="3199">
        <f t="shared" si="5"/>
        <v>110321</v>
      </c>
      <c r="I243" s="169">
        <v>19358</v>
      </c>
      <c r="J243" s="2144">
        <v>18136</v>
      </c>
      <c r="K243" s="169">
        <v>97550</v>
      </c>
      <c r="L243" s="260">
        <v>23525</v>
      </c>
      <c r="M243" s="3034">
        <v>397</v>
      </c>
      <c r="N243" s="380">
        <v>97702</v>
      </c>
      <c r="O243" s="201"/>
      <c r="P243" s="1321"/>
    </row>
    <row r="244" spans="1:16">
      <c r="A244" s="1340">
        <f t="shared" si="3"/>
        <v>2012.07</v>
      </c>
      <c r="B244" s="252">
        <v>267692</v>
      </c>
      <c r="C244" s="1313">
        <v>119401</v>
      </c>
      <c r="D244" s="3034">
        <v>11049</v>
      </c>
      <c r="E244" s="2140">
        <v>2989</v>
      </c>
      <c r="F244" s="3034">
        <v>225</v>
      </c>
      <c r="G244" s="169">
        <v>91148</v>
      </c>
      <c r="H244" s="3199">
        <f t="shared" si="5"/>
        <v>91373</v>
      </c>
      <c r="I244" s="169">
        <v>22714</v>
      </c>
      <c r="J244" s="2144">
        <v>20166</v>
      </c>
      <c r="K244" s="169">
        <v>78907</v>
      </c>
      <c r="L244" s="260">
        <v>26661</v>
      </c>
      <c r="M244" s="3034">
        <v>459</v>
      </c>
      <c r="N244" s="380">
        <v>78291</v>
      </c>
      <c r="O244" s="201"/>
      <c r="P244" s="1321"/>
    </row>
    <row r="245" spans="1:16">
      <c r="A245" s="1340">
        <f t="shared" si="3"/>
        <v>2012.08</v>
      </c>
      <c r="B245" s="252">
        <v>228655</v>
      </c>
      <c r="C245" s="1313">
        <v>75532</v>
      </c>
      <c r="D245" s="3034">
        <v>9850</v>
      </c>
      <c r="E245" s="2140">
        <v>2494</v>
      </c>
      <c r="F245" s="3034">
        <v>420</v>
      </c>
      <c r="G245" s="169">
        <v>102396</v>
      </c>
      <c r="H245" s="3199">
        <f t="shared" si="5"/>
        <v>102816</v>
      </c>
      <c r="I245" s="169">
        <v>18216</v>
      </c>
      <c r="J245" s="2144">
        <v>19747</v>
      </c>
      <c r="K245" s="169">
        <v>90759</v>
      </c>
      <c r="L245" s="260">
        <v>23980</v>
      </c>
      <c r="M245" s="3034">
        <v>468</v>
      </c>
      <c r="N245" s="380">
        <v>90712</v>
      </c>
      <c r="O245" s="201"/>
      <c r="P245" s="1321"/>
    </row>
    <row r="246" spans="1:16">
      <c r="A246" s="1340">
        <f t="shared" si="3"/>
        <v>2012.09</v>
      </c>
      <c r="B246" s="252">
        <v>229574</v>
      </c>
      <c r="C246" s="1313">
        <v>48546</v>
      </c>
      <c r="D246" s="3034">
        <v>7670</v>
      </c>
      <c r="E246" s="2140">
        <v>1805</v>
      </c>
      <c r="F246" s="3034">
        <v>1250</v>
      </c>
      <c r="G246" s="169">
        <v>140727</v>
      </c>
      <c r="H246" s="3199">
        <f t="shared" si="5"/>
        <v>141977</v>
      </c>
      <c r="I246" s="169">
        <v>10444</v>
      </c>
      <c r="J246" s="2144">
        <v>19132</v>
      </c>
      <c r="K246" s="169">
        <v>130237</v>
      </c>
      <c r="L246" s="260">
        <v>19965</v>
      </c>
      <c r="M246" s="3034">
        <v>457</v>
      </c>
      <c r="N246" s="380">
        <v>131030</v>
      </c>
      <c r="O246" s="201"/>
      <c r="P246" s="1321"/>
    </row>
    <row r="247" spans="1:16">
      <c r="A247" s="1340">
        <f t="shared" si="3"/>
        <v>2012.1</v>
      </c>
      <c r="B247" s="252">
        <v>212169</v>
      </c>
      <c r="C247" s="1313">
        <v>29967</v>
      </c>
      <c r="D247" s="3034">
        <v>6678</v>
      </c>
      <c r="E247" s="2140">
        <v>1304</v>
      </c>
      <c r="F247" s="3034">
        <v>6024</v>
      </c>
      <c r="G247" s="169">
        <v>139727</v>
      </c>
      <c r="H247" s="3199">
        <f t="shared" si="5"/>
        <v>145751</v>
      </c>
      <c r="I247" s="169">
        <v>9117</v>
      </c>
      <c r="J247" s="2144">
        <v>19352</v>
      </c>
      <c r="K247" s="169">
        <v>128436</v>
      </c>
      <c r="L247" s="260">
        <v>19273</v>
      </c>
      <c r="M247" s="3034">
        <v>497</v>
      </c>
      <c r="N247" s="380">
        <v>133963</v>
      </c>
      <c r="O247" s="201"/>
      <c r="P247" s="1321"/>
    </row>
    <row r="248" spans="1:16">
      <c r="A248" s="1340">
        <f t="shared" si="3"/>
        <v>2012.11</v>
      </c>
      <c r="B248" s="252">
        <v>211878</v>
      </c>
      <c r="C248" s="1313">
        <v>25167</v>
      </c>
      <c r="D248" s="3034">
        <v>5057</v>
      </c>
      <c r="E248" s="2140">
        <v>1105</v>
      </c>
      <c r="F248" s="3034">
        <v>15706</v>
      </c>
      <c r="G248" s="169">
        <v>140413</v>
      </c>
      <c r="H248" s="3199">
        <f t="shared" si="5"/>
        <v>156119</v>
      </c>
      <c r="I248" s="169">
        <v>5782</v>
      </c>
      <c r="J248" s="2144">
        <v>18648</v>
      </c>
      <c r="K248" s="169">
        <v>130148</v>
      </c>
      <c r="L248" s="260">
        <v>16426</v>
      </c>
      <c r="M248" s="3034">
        <v>462</v>
      </c>
      <c r="N248" s="380">
        <v>145393</v>
      </c>
      <c r="O248" s="201"/>
      <c r="P248" s="1321"/>
    </row>
    <row r="249" spans="1:16">
      <c r="A249" s="1340">
        <f t="shared" si="3"/>
        <v>2012.12</v>
      </c>
      <c r="B249" s="252">
        <v>176322</v>
      </c>
      <c r="C249" s="1313">
        <v>18009</v>
      </c>
      <c r="D249" s="3034">
        <v>6338</v>
      </c>
      <c r="E249" s="2140">
        <v>780</v>
      </c>
      <c r="F249" s="3034">
        <v>6339</v>
      </c>
      <c r="G249" s="169">
        <v>121000</v>
      </c>
      <c r="H249" s="3199">
        <f t="shared" si="5"/>
        <v>127339</v>
      </c>
      <c r="I249" s="169">
        <v>4999</v>
      </c>
      <c r="J249" s="2144">
        <v>18857</v>
      </c>
      <c r="K249" s="169">
        <v>112125</v>
      </c>
      <c r="L249" s="260">
        <v>15993</v>
      </c>
      <c r="M249" s="3034">
        <v>384</v>
      </c>
      <c r="N249" s="380">
        <v>118080</v>
      </c>
      <c r="O249" s="201"/>
      <c r="P249" s="1321"/>
    </row>
    <row r="250" spans="1:16">
      <c r="A250" s="1340">
        <f t="shared" si="3"/>
        <v>2013.01</v>
      </c>
      <c r="B250" s="252">
        <v>185453</v>
      </c>
      <c r="C250" s="1313">
        <v>15978</v>
      </c>
      <c r="D250" s="3034">
        <v>4278</v>
      </c>
      <c r="E250" s="2140">
        <v>571</v>
      </c>
      <c r="F250" s="3034">
        <v>21180</v>
      </c>
      <c r="G250" s="169">
        <v>120635</v>
      </c>
      <c r="H250" s="3199">
        <f t="shared" si="5"/>
        <v>141815</v>
      </c>
      <c r="I250" s="169">
        <v>5192</v>
      </c>
      <c r="J250" s="2144">
        <v>17619</v>
      </c>
      <c r="K250" s="169">
        <v>112644</v>
      </c>
      <c r="L250" s="260">
        <v>12974</v>
      </c>
      <c r="M250" s="3034">
        <v>369</v>
      </c>
      <c r="N250" s="380">
        <v>133321</v>
      </c>
      <c r="O250" s="201"/>
      <c r="P250" s="1321"/>
    </row>
    <row r="251" spans="1:16">
      <c r="A251" s="1340">
        <f t="shared" si="3"/>
        <v>2013.02</v>
      </c>
      <c r="B251" s="252">
        <v>166685</v>
      </c>
      <c r="C251" s="1313">
        <v>14873</v>
      </c>
      <c r="D251" s="3034">
        <v>3924</v>
      </c>
      <c r="E251" s="2140">
        <v>491</v>
      </c>
      <c r="F251" s="3034">
        <v>17655</v>
      </c>
      <c r="G251" s="169">
        <v>108778</v>
      </c>
      <c r="H251" s="3199">
        <f t="shared" si="5"/>
        <v>126433</v>
      </c>
      <c r="I251" s="169">
        <v>4858</v>
      </c>
      <c r="J251" s="2144">
        <v>16106</v>
      </c>
      <c r="K251" s="169">
        <v>99551</v>
      </c>
      <c r="L251" s="260">
        <v>13644</v>
      </c>
      <c r="M251" s="3034">
        <v>445</v>
      </c>
      <c r="N251" s="380">
        <v>116759</v>
      </c>
      <c r="O251" s="201"/>
      <c r="P251" s="1321"/>
    </row>
    <row r="252" spans="1:16">
      <c r="A252" s="1340">
        <f t="shared" si="3"/>
        <v>2013.03</v>
      </c>
      <c r="B252" s="252">
        <v>196410</v>
      </c>
      <c r="C252" s="1313">
        <v>24780</v>
      </c>
      <c r="D252" s="3034">
        <v>5671</v>
      </c>
      <c r="E252" s="2140">
        <v>626</v>
      </c>
      <c r="F252" s="3034">
        <v>3096</v>
      </c>
      <c r="G252" s="169">
        <v>137615</v>
      </c>
      <c r="H252" s="3199">
        <f t="shared" si="5"/>
        <v>140711</v>
      </c>
      <c r="I252" s="169">
        <v>6180</v>
      </c>
      <c r="J252" s="2144">
        <v>18442</v>
      </c>
      <c r="K252" s="169">
        <v>126716</v>
      </c>
      <c r="L252" s="260">
        <v>17197</v>
      </c>
      <c r="M252" s="3034">
        <v>525</v>
      </c>
      <c r="N252" s="380">
        <v>129286</v>
      </c>
      <c r="O252" s="201"/>
      <c r="P252" s="1321"/>
    </row>
    <row r="253" spans="1:16">
      <c r="A253" s="1340">
        <f t="shared" si="3"/>
        <v>2013.04</v>
      </c>
      <c r="B253" s="252">
        <v>229911</v>
      </c>
      <c r="C253" s="1313">
        <v>28131</v>
      </c>
      <c r="D253" s="3034">
        <v>4989</v>
      </c>
      <c r="E253" s="2140">
        <v>903</v>
      </c>
      <c r="F253" s="3034">
        <v>2073</v>
      </c>
      <c r="G253" s="169">
        <v>168891</v>
      </c>
      <c r="H253" s="3199">
        <f t="shared" si="5"/>
        <v>170964</v>
      </c>
      <c r="I253" s="169">
        <v>6928</v>
      </c>
      <c r="J253" s="2144">
        <v>17996</v>
      </c>
      <c r="K253" s="169">
        <v>157944</v>
      </c>
      <c r="L253" s="260">
        <v>16838</v>
      </c>
      <c r="M253" s="3034">
        <v>467</v>
      </c>
      <c r="N253" s="380">
        <v>159551</v>
      </c>
      <c r="O253" s="201"/>
      <c r="P253" s="1321"/>
    </row>
    <row r="254" spans="1:16">
      <c r="A254" s="1340">
        <f t="shared" ref="A254:A317" si="6">A242+1</f>
        <v>2013.05</v>
      </c>
      <c r="B254" s="252">
        <v>250569</v>
      </c>
      <c r="C254" s="1313">
        <v>58009</v>
      </c>
      <c r="D254" s="3034">
        <v>6414</v>
      </c>
      <c r="E254" s="2140">
        <v>1504</v>
      </c>
      <c r="F254" s="3034">
        <v>1392</v>
      </c>
      <c r="G254" s="169">
        <v>150685</v>
      </c>
      <c r="H254" s="3199">
        <f t="shared" si="5"/>
        <v>152077</v>
      </c>
      <c r="I254" s="169">
        <v>13480</v>
      </c>
      <c r="J254" s="2144">
        <v>19085</v>
      </c>
      <c r="K254" s="169">
        <v>138774</v>
      </c>
      <c r="L254" s="260">
        <v>19829</v>
      </c>
      <c r="M254" s="3034">
        <v>671</v>
      </c>
      <c r="N254" s="380">
        <v>139495</v>
      </c>
      <c r="O254" s="201"/>
      <c r="P254" s="1321"/>
    </row>
    <row r="255" spans="1:16">
      <c r="A255" s="1340">
        <f t="shared" si="6"/>
        <v>2013.06</v>
      </c>
      <c r="B255" s="252">
        <v>250407</v>
      </c>
      <c r="C255" s="1313">
        <v>80445</v>
      </c>
      <c r="D255" s="3034">
        <v>9043</v>
      </c>
      <c r="E255" s="2140">
        <v>2813</v>
      </c>
      <c r="F255" s="3034">
        <v>1238</v>
      </c>
      <c r="G255" s="169">
        <v>118863</v>
      </c>
      <c r="H255" s="3199">
        <f t="shared" si="5"/>
        <v>120101</v>
      </c>
      <c r="I255" s="169">
        <v>19118</v>
      </c>
      <c r="J255" s="2144">
        <v>18887</v>
      </c>
      <c r="K255" s="169">
        <v>107398</v>
      </c>
      <c r="L255" s="260">
        <v>23321</v>
      </c>
      <c r="M255" s="3034">
        <v>639</v>
      </c>
      <c r="N255" s="380">
        <v>107997</v>
      </c>
      <c r="O255" s="201"/>
      <c r="P255" s="1321"/>
    </row>
    <row r="256" spans="1:16">
      <c r="A256" s="1340">
        <f t="shared" si="6"/>
        <v>2013.07</v>
      </c>
      <c r="B256" s="252">
        <v>273866</v>
      </c>
      <c r="C256" s="1313">
        <v>110787</v>
      </c>
      <c r="D256" s="3034">
        <v>10069</v>
      </c>
      <c r="E256" s="2140">
        <v>3584</v>
      </c>
      <c r="F256" s="3034">
        <v>1252</v>
      </c>
      <c r="G256" s="169">
        <v>107640</v>
      </c>
      <c r="H256" s="3199">
        <f t="shared" si="5"/>
        <v>108892</v>
      </c>
      <c r="I256" s="169">
        <v>22921</v>
      </c>
      <c r="J256" s="2144">
        <v>17965</v>
      </c>
      <c r="K256" s="169">
        <v>94815</v>
      </c>
      <c r="L256" s="260">
        <v>26459</v>
      </c>
      <c r="M256" s="3034">
        <v>298</v>
      </c>
      <c r="N256" s="380">
        <v>95788</v>
      </c>
      <c r="O256" s="201"/>
      <c r="P256" s="1321"/>
    </row>
    <row r="257" spans="1:16">
      <c r="A257" s="1340">
        <f t="shared" si="6"/>
        <v>2013.08</v>
      </c>
      <c r="B257" s="252">
        <v>265778</v>
      </c>
      <c r="C257" s="1313">
        <v>93256</v>
      </c>
      <c r="D257" s="3034">
        <v>9647</v>
      </c>
      <c r="E257" s="2140">
        <v>3603</v>
      </c>
      <c r="F257" s="3034">
        <v>992</v>
      </c>
      <c r="G257" s="169">
        <v>114978</v>
      </c>
      <c r="H257" s="3199">
        <f t="shared" si="5"/>
        <v>115970</v>
      </c>
      <c r="I257" s="169">
        <v>21452</v>
      </c>
      <c r="J257" s="2144">
        <v>22724</v>
      </c>
      <c r="K257" s="169">
        <v>103773</v>
      </c>
      <c r="L257" s="260">
        <v>24454</v>
      </c>
      <c r="M257" s="3034">
        <v>1040</v>
      </c>
      <c r="N257" s="380">
        <v>103726</v>
      </c>
      <c r="O257" s="201"/>
      <c r="P257" s="1321"/>
    </row>
    <row r="258" spans="1:16">
      <c r="A258" s="1340">
        <f t="shared" si="6"/>
        <v>2013.09</v>
      </c>
      <c r="B258" s="252">
        <v>245653</v>
      </c>
      <c r="C258" s="1313">
        <v>58597</v>
      </c>
      <c r="D258" s="3034">
        <v>7229</v>
      </c>
      <c r="E258" s="2140">
        <v>2727</v>
      </c>
      <c r="F258" s="3034">
        <v>1027</v>
      </c>
      <c r="G258" s="169">
        <v>142140</v>
      </c>
      <c r="H258" s="3199">
        <f t="shared" si="5"/>
        <v>143167</v>
      </c>
      <c r="I258" s="169">
        <v>14626</v>
      </c>
      <c r="J258" s="2144">
        <v>19307</v>
      </c>
      <c r="K258" s="169">
        <v>130853</v>
      </c>
      <c r="L258" s="260">
        <v>21242</v>
      </c>
      <c r="M258" s="3034">
        <v>691</v>
      </c>
      <c r="N258" s="380">
        <v>131190</v>
      </c>
      <c r="O258" s="201"/>
      <c r="P258" s="1321"/>
    </row>
    <row r="259" spans="1:16">
      <c r="A259" s="1340">
        <f t="shared" si="6"/>
        <v>2013.1</v>
      </c>
      <c r="B259" s="252">
        <v>226520</v>
      </c>
      <c r="C259" s="1313">
        <v>31062</v>
      </c>
      <c r="D259" s="3034">
        <v>6187</v>
      </c>
      <c r="E259" s="2140">
        <v>1999</v>
      </c>
      <c r="F259" s="3034">
        <v>6900</v>
      </c>
      <c r="G259" s="169">
        <v>151713</v>
      </c>
      <c r="H259" s="3199">
        <f t="shared" si="5"/>
        <v>158613</v>
      </c>
      <c r="I259" s="169">
        <v>9028</v>
      </c>
      <c r="J259" s="2144">
        <v>19631</v>
      </c>
      <c r="K259" s="169">
        <v>140431</v>
      </c>
      <c r="L259" s="260">
        <v>19470</v>
      </c>
      <c r="M259" s="3034">
        <v>566</v>
      </c>
      <c r="N259" s="380">
        <v>146763</v>
      </c>
      <c r="O259" s="201"/>
      <c r="P259" s="1321"/>
    </row>
    <row r="260" spans="1:16">
      <c r="A260" s="1340">
        <f t="shared" si="6"/>
        <v>2013.11</v>
      </c>
      <c r="B260" s="252">
        <v>204292</v>
      </c>
      <c r="C260" s="1313">
        <v>15667</v>
      </c>
      <c r="D260" s="3034">
        <v>4678</v>
      </c>
      <c r="E260" s="2140">
        <v>1065</v>
      </c>
      <c r="F260" s="3034">
        <v>14020</v>
      </c>
      <c r="G260" s="169">
        <v>143815</v>
      </c>
      <c r="H260" s="3199">
        <f t="shared" si="5"/>
        <v>157835</v>
      </c>
      <c r="I260" s="169">
        <v>6252</v>
      </c>
      <c r="J260" s="2144">
        <v>18795</v>
      </c>
      <c r="K260" s="169">
        <v>133658</v>
      </c>
      <c r="L260" s="260">
        <v>15900</v>
      </c>
      <c r="M260" s="3034">
        <v>901</v>
      </c>
      <c r="N260" s="380">
        <v>146777</v>
      </c>
      <c r="O260" s="201"/>
      <c r="P260" s="1321"/>
    </row>
    <row r="261" spans="1:16">
      <c r="A261" s="1340">
        <f t="shared" si="6"/>
        <v>2013.12</v>
      </c>
      <c r="B261" s="252">
        <v>184331</v>
      </c>
      <c r="C261" s="1313">
        <v>15866</v>
      </c>
      <c r="D261" s="3034">
        <v>2597</v>
      </c>
      <c r="E261" s="2140">
        <v>903</v>
      </c>
      <c r="F261" s="3034">
        <v>14935</v>
      </c>
      <c r="G261" s="169">
        <v>124917</v>
      </c>
      <c r="H261" s="3199">
        <f t="shared" si="5"/>
        <v>139852</v>
      </c>
      <c r="I261" s="169">
        <v>5663</v>
      </c>
      <c r="J261" s="2144">
        <v>19450</v>
      </c>
      <c r="K261" s="169">
        <v>115695</v>
      </c>
      <c r="L261" s="260">
        <v>12724</v>
      </c>
      <c r="M261" s="3034">
        <v>653</v>
      </c>
      <c r="N261" s="380">
        <v>129975</v>
      </c>
      <c r="O261" s="201"/>
      <c r="P261" s="1321"/>
    </row>
    <row r="262" spans="1:16">
      <c r="A262" s="1340">
        <f t="shared" si="6"/>
        <v>2014.01</v>
      </c>
      <c r="B262" s="252">
        <v>186624</v>
      </c>
      <c r="C262" s="1313">
        <v>14993</v>
      </c>
      <c r="D262" s="3034">
        <v>3901</v>
      </c>
      <c r="E262" s="2140">
        <v>513</v>
      </c>
      <c r="F262" s="3034">
        <v>17462</v>
      </c>
      <c r="G262" s="169">
        <v>126631</v>
      </c>
      <c r="H262" s="3199">
        <f t="shared" si="5"/>
        <v>144093</v>
      </c>
      <c r="I262" s="169">
        <v>5236</v>
      </c>
      <c r="J262" s="2144">
        <v>17888</v>
      </c>
      <c r="K262" s="169">
        <v>117814</v>
      </c>
      <c r="L262" s="260">
        <v>13231</v>
      </c>
      <c r="M262" s="3034">
        <v>731</v>
      </c>
      <c r="N262" s="380">
        <v>134545</v>
      </c>
      <c r="O262" s="201"/>
      <c r="P262" s="1321"/>
    </row>
    <row r="263" spans="1:16">
      <c r="A263" s="1340">
        <f t="shared" si="6"/>
        <v>2014.02</v>
      </c>
      <c r="B263" s="252">
        <v>170648</v>
      </c>
      <c r="C263" s="1313">
        <v>14352</v>
      </c>
      <c r="D263" s="3034">
        <v>3662</v>
      </c>
      <c r="E263" s="2140">
        <v>463</v>
      </c>
      <c r="F263" s="3034">
        <v>6466</v>
      </c>
      <c r="G263" s="169">
        <v>123362</v>
      </c>
      <c r="H263" s="3199">
        <f t="shared" si="5"/>
        <v>129828</v>
      </c>
      <c r="I263" s="169">
        <v>5716</v>
      </c>
      <c r="J263" s="2144">
        <v>16627</v>
      </c>
      <c r="K263" s="169">
        <v>114003</v>
      </c>
      <c r="L263" s="260">
        <v>13485</v>
      </c>
      <c r="M263" s="3034">
        <v>677</v>
      </c>
      <c r="N263" s="380">
        <v>119791</v>
      </c>
      <c r="O263" s="201"/>
      <c r="P263" s="1321"/>
    </row>
    <row r="264" spans="1:16">
      <c r="A264" s="1340">
        <f t="shared" si="6"/>
        <v>2014.03</v>
      </c>
      <c r="B264" s="252">
        <v>210106</v>
      </c>
      <c r="C264" s="1313">
        <v>20134</v>
      </c>
      <c r="D264" s="3034">
        <v>5008</v>
      </c>
      <c r="E264" s="2140">
        <v>618</v>
      </c>
      <c r="F264" s="3034">
        <v>14176</v>
      </c>
      <c r="G264" s="169">
        <v>145686</v>
      </c>
      <c r="H264" s="3199">
        <f t="shared" si="5"/>
        <v>159862</v>
      </c>
      <c r="I264" s="169">
        <v>5627</v>
      </c>
      <c r="J264" s="2144">
        <v>18857</v>
      </c>
      <c r="K264" s="169">
        <v>135030</v>
      </c>
      <c r="L264" s="260">
        <v>16282</v>
      </c>
      <c r="M264" s="3034">
        <v>655</v>
      </c>
      <c r="N264" s="380">
        <v>148551</v>
      </c>
      <c r="O264" s="201"/>
      <c r="P264" s="1321"/>
    </row>
    <row r="265" spans="1:16">
      <c r="A265" s="1340">
        <f t="shared" si="6"/>
        <v>2014.04</v>
      </c>
      <c r="B265" s="252">
        <v>238379</v>
      </c>
      <c r="C265" s="1313">
        <v>30031</v>
      </c>
      <c r="D265" s="3034">
        <v>4583</v>
      </c>
      <c r="E265" s="2140">
        <v>683</v>
      </c>
      <c r="F265" s="3034">
        <v>1683</v>
      </c>
      <c r="G265" s="169">
        <v>174265</v>
      </c>
      <c r="H265" s="3199">
        <f t="shared" si="5"/>
        <v>175948</v>
      </c>
      <c r="I265" s="169">
        <v>8310</v>
      </c>
      <c r="J265" s="2144">
        <v>18824</v>
      </c>
      <c r="K265" s="169">
        <v>163798</v>
      </c>
      <c r="L265" s="260">
        <v>15732</v>
      </c>
      <c r="M265" s="3034">
        <v>836</v>
      </c>
      <c r="N265" s="380">
        <v>164646</v>
      </c>
      <c r="O265" s="201"/>
      <c r="P265" s="1321"/>
    </row>
    <row r="266" spans="1:16">
      <c r="A266" s="1340">
        <f t="shared" si="6"/>
        <v>2014.05</v>
      </c>
      <c r="B266" s="252">
        <v>267548</v>
      </c>
      <c r="C266" s="1313">
        <v>55487</v>
      </c>
      <c r="D266" s="3034">
        <v>8049</v>
      </c>
      <c r="E266" s="2140">
        <v>1415</v>
      </c>
      <c r="F266" s="3034">
        <v>1338</v>
      </c>
      <c r="G266" s="169">
        <v>167617</v>
      </c>
      <c r="H266" s="3199">
        <f t="shared" si="5"/>
        <v>168955</v>
      </c>
      <c r="I266" s="169">
        <v>13657</v>
      </c>
      <c r="J266" s="2144">
        <v>19985</v>
      </c>
      <c r="K266" s="169">
        <v>155292</v>
      </c>
      <c r="L266" s="260">
        <v>21788</v>
      </c>
      <c r="M266" s="3034">
        <v>825</v>
      </c>
      <c r="N266" s="380">
        <v>155806</v>
      </c>
      <c r="O266" s="201"/>
      <c r="P266" s="1321"/>
    </row>
    <row r="267" spans="1:16">
      <c r="A267" s="1340">
        <f t="shared" si="6"/>
        <v>2014.06</v>
      </c>
      <c r="B267" s="252">
        <v>260087</v>
      </c>
      <c r="C267" s="1313">
        <v>88973</v>
      </c>
      <c r="D267" s="3034">
        <v>10351</v>
      </c>
      <c r="E267" s="2140">
        <v>2523</v>
      </c>
      <c r="F267" s="3034">
        <v>1066</v>
      </c>
      <c r="G267" s="169">
        <v>117878</v>
      </c>
      <c r="H267" s="3199">
        <f t="shared" si="5"/>
        <v>118944</v>
      </c>
      <c r="I267" s="169">
        <v>19743</v>
      </c>
      <c r="J267" s="2144">
        <v>19553</v>
      </c>
      <c r="K267" s="169">
        <v>105355</v>
      </c>
      <c r="L267" s="260">
        <v>25398</v>
      </c>
      <c r="M267" s="3034">
        <v>1559</v>
      </c>
      <c r="N267" s="380">
        <v>104861</v>
      </c>
      <c r="O267" s="201"/>
      <c r="P267" s="1321"/>
    </row>
    <row r="268" spans="1:16">
      <c r="A268" s="1340">
        <f t="shared" si="6"/>
        <v>2014.07</v>
      </c>
      <c r="B268" s="252">
        <v>274981</v>
      </c>
      <c r="C268" s="1313">
        <v>99832</v>
      </c>
      <c r="D268" s="3034">
        <v>10142</v>
      </c>
      <c r="E268" s="2140">
        <v>3242</v>
      </c>
      <c r="F268" s="3034">
        <v>1292</v>
      </c>
      <c r="G268" s="169">
        <v>117570</v>
      </c>
      <c r="H268" s="3199">
        <f t="shared" si="5"/>
        <v>118862</v>
      </c>
      <c r="I268" s="169">
        <v>22502</v>
      </c>
      <c r="J268" s="2144">
        <v>20401</v>
      </c>
      <c r="K268" s="169">
        <v>105586</v>
      </c>
      <c r="L268" s="260">
        <v>25368</v>
      </c>
      <c r="M268" s="3034">
        <v>898</v>
      </c>
      <c r="N268" s="380">
        <v>105980</v>
      </c>
      <c r="O268" s="201"/>
      <c r="P268" s="1321"/>
    </row>
    <row r="269" spans="1:16">
      <c r="A269" s="1340">
        <f t="shared" si="6"/>
        <v>2014.08</v>
      </c>
      <c r="B269" s="252">
        <v>280859</v>
      </c>
      <c r="C269" s="1313">
        <v>71014</v>
      </c>
      <c r="D269" s="3034">
        <v>9921</v>
      </c>
      <c r="E269" s="2140">
        <v>2952</v>
      </c>
      <c r="F269" s="3034">
        <v>3443</v>
      </c>
      <c r="G269" s="169">
        <v>156652</v>
      </c>
      <c r="H269" s="3199">
        <f t="shared" si="5"/>
        <v>160095</v>
      </c>
      <c r="I269" s="169">
        <v>15849</v>
      </c>
      <c r="J269" s="2144">
        <v>21028</v>
      </c>
      <c r="K269" s="2097">
        <v>146364</v>
      </c>
      <c r="L269" s="260">
        <v>23160</v>
      </c>
      <c r="M269" s="3034">
        <v>647</v>
      </c>
      <c r="N269" s="380">
        <v>149161</v>
      </c>
      <c r="O269" s="201"/>
      <c r="P269" s="1321"/>
    </row>
    <row r="270" spans="1:16">
      <c r="A270" s="1340">
        <f t="shared" si="6"/>
        <v>2014.09</v>
      </c>
      <c r="B270" s="252">
        <v>249447</v>
      </c>
      <c r="C270" s="1313">
        <v>47568</v>
      </c>
      <c r="D270" s="3034">
        <v>7098</v>
      </c>
      <c r="E270" s="2140">
        <v>2215</v>
      </c>
      <c r="F270" s="3034">
        <v>825</v>
      </c>
      <c r="G270" s="169">
        <v>159918</v>
      </c>
      <c r="H270" s="3199">
        <f t="shared" si="5"/>
        <v>160743</v>
      </c>
      <c r="I270" s="169">
        <v>10911</v>
      </c>
      <c r="J270" s="2144">
        <v>20912</v>
      </c>
      <c r="K270" s="169">
        <v>150034</v>
      </c>
      <c r="L270" s="260">
        <v>19196</v>
      </c>
      <c r="M270" s="3034">
        <v>710</v>
      </c>
      <c r="N270" s="380">
        <v>150150</v>
      </c>
      <c r="O270" s="201"/>
      <c r="P270" s="1321"/>
    </row>
    <row r="271" spans="1:16">
      <c r="A271" s="1340">
        <f t="shared" si="6"/>
        <v>2014.1</v>
      </c>
      <c r="B271" s="252">
        <v>211347</v>
      </c>
      <c r="C271" s="1313">
        <v>29063</v>
      </c>
      <c r="D271" s="3034">
        <v>5488</v>
      </c>
      <c r="E271" s="2140">
        <v>1600</v>
      </c>
      <c r="F271" s="3034">
        <v>5119</v>
      </c>
      <c r="G271" s="169">
        <v>140612</v>
      </c>
      <c r="H271" s="3199">
        <f t="shared" si="5"/>
        <v>145731</v>
      </c>
      <c r="I271" s="169">
        <v>7966</v>
      </c>
      <c r="J271" s="2144">
        <v>21499</v>
      </c>
      <c r="K271" s="169">
        <v>129966</v>
      </c>
      <c r="L271" s="260">
        <v>17736</v>
      </c>
      <c r="M271" s="3034">
        <v>720</v>
      </c>
      <c r="N271" s="380">
        <v>134363</v>
      </c>
      <c r="O271" s="201"/>
      <c r="P271" s="1321"/>
    </row>
    <row r="272" spans="1:16">
      <c r="A272" s="1340">
        <f t="shared" si="6"/>
        <v>2014.11</v>
      </c>
      <c r="B272" s="252">
        <v>200147</v>
      </c>
      <c r="C272" s="1313">
        <v>11339</v>
      </c>
      <c r="D272" s="3034">
        <v>4328</v>
      </c>
      <c r="E272" s="2140">
        <v>913</v>
      </c>
      <c r="F272" s="3034">
        <v>3939</v>
      </c>
      <c r="G272" s="169">
        <v>153208</v>
      </c>
      <c r="H272" s="3199">
        <f t="shared" si="5"/>
        <v>157147</v>
      </c>
      <c r="I272" s="169">
        <v>6223</v>
      </c>
      <c r="J272" s="2144">
        <v>20197</v>
      </c>
      <c r="K272" s="169">
        <v>143562</v>
      </c>
      <c r="L272" s="260">
        <v>14883</v>
      </c>
      <c r="M272" s="3034">
        <v>810</v>
      </c>
      <c r="N272" s="380">
        <v>146695</v>
      </c>
      <c r="O272" s="201"/>
      <c r="P272" s="1321"/>
    </row>
    <row r="273" spans="1:16">
      <c r="A273" s="1340">
        <f t="shared" si="6"/>
        <v>2014.12</v>
      </c>
      <c r="B273" s="252">
        <v>179205</v>
      </c>
      <c r="C273" s="1313">
        <v>8498</v>
      </c>
      <c r="D273" s="3034">
        <v>4085</v>
      </c>
      <c r="E273" s="2140">
        <v>680</v>
      </c>
      <c r="F273" s="3034">
        <v>3268</v>
      </c>
      <c r="G273" s="169">
        <v>135004</v>
      </c>
      <c r="H273" s="3199">
        <f>F273+G273</f>
        <v>138272</v>
      </c>
      <c r="I273" s="169">
        <v>5705</v>
      </c>
      <c r="J273" s="2144">
        <v>21965</v>
      </c>
      <c r="K273" s="169">
        <v>125288</v>
      </c>
      <c r="L273" s="260">
        <v>14482</v>
      </c>
      <c r="M273" s="3034">
        <v>1127</v>
      </c>
      <c r="N273" s="380">
        <v>127428</v>
      </c>
      <c r="O273" s="201"/>
      <c r="P273" s="1321"/>
    </row>
    <row r="274" spans="1:16">
      <c r="A274" s="1340">
        <f t="shared" si="6"/>
        <v>2015.01</v>
      </c>
      <c r="B274" s="252">
        <v>175933</v>
      </c>
      <c r="C274" s="1313">
        <v>15183</v>
      </c>
      <c r="D274" s="3034">
        <v>3093</v>
      </c>
      <c r="E274" s="2140">
        <v>726</v>
      </c>
      <c r="F274" s="3034">
        <v>36940</v>
      </c>
      <c r="G274" s="169">
        <v>94482</v>
      </c>
      <c r="H274" s="3199">
        <f t="shared" si="5"/>
        <v>131422</v>
      </c>
      <c r="I274" s="169">
        <v>5183</v>
      </c>
      <c r="J274" s="2144">
        <v>20326</v>
      </c>
      <c r="K274" s="169">
        <v>116718</v>
      </c>
      <c r="L274" s="260">
        <v>12440</v>
      </c>
      <c r="M274" s="3034">
        <v>844</v>
      </c>
      <c r="N274" s="380">
        <v>121957</v>
      </c>
      <c r="O274" s="201"/>
      <c r="P274" s="1321"/>
    </row>
    <row r="275" spans="1:16">
      <c r="A275" s="1340">
        <f t="shared" si="6"/>
        <v>2015.02</v>
      </c>
      <c r="B275" s="252">
        <v>170990</v>
      </c>
      <c r="C275" s="1313">
        <v>15368</v>
      </c>
      <c r="D275" s="3034">
        <v>3989</v>
      </c>
      <c r="E275" s="2140">
        <v>507</v>
      </c>
      <c r="F275" s="3034">
        <v>3258</v>
      </c>
      <c r="G275" s="169">
        <v>123256</v>
      </c>
      <c r="H275" s="3199">
        <f t="shared" si="5"/>
        <v>126514</v>
      </c>
      <c r="I275" s="169">
        <v>6101</v>
      </c>
      <c r="J275" s="2144">
        <v>18511</v>
      </c>
      <c r="K275" s="169">
        <v>114169</v>
      </c>
      <c r="L275" s="260">
        <v>13583</v>
      </c>
      <c r="M275" s="3034">
        <v>590</v>
      </c>
      <c r="N275" s="380">
        <v>116837</v>
      </c>
      <c r="O275" s="201"/>
      <c r="P275" s="1321"/>
    </row>
    <row r="276" spans="1:16">
      <c r="A276" s="1340">
        <f t="shared" si="6"/>
        <v>2015.03</v>
      </c>
      <c r="B276" s="252">
        <v>181499</v>
      </c>
      <c r="C276" s="1313">
        <v>19327</v>
      </c>
      <c r="D276" s="3034">
        <v>4304</v>
      </c>
      <c r="E276" s="2140">
        <v>572</v>
      </c>
      <c r="F276" s="3034">
        <v>5498</v>
      </c>
      <c r="G276" s="169">
        <v>125593</v>
      </c>
      <c r="H276" s="3199">
        <f t="shared" si="5"/>
        <v>131091</v>
      </c>
      <c r="I276" s="169">
        <v>5885</v>
      </c>
      <c r="J276" s="2144">
        <v>20320</v>
      </c>
      <c r="K276" s="169">
        <v>115432</v>
      </c>
      <c r="L276" s="260">
        <v>15036</v>
      </c>
      <c r="M276" s="3034">
        <v>804</v>
      </c>
      <c r="N276" s="380">
        <v>120127</v>
      </c>
      <c r="O276" s="201"/>
      <c r="P276" s="1321"/>
    </row>
    <row r="277" spans="1:16">
      <c r="A277" s="1340">
        <f t="shared" si="6"/>
        <v>2015.04</v>
      </c>
      <c r="B277" s="252">
        <v>206067</v>
      </c>
      <c r="C277" s="1313">
        <v>20127</v>
      </c>
      <c r="D277" s="3034">
        <v>5073</v>
      </c>
      <c r="E277" s="2140">
        <v>545</v>
      </c>
      <c r="F277" s="3034">
        <v>5201</v>
      </c>
      <c r="G277" s="169">
        <v>147440</v>
      </c>
      <c r="H277" s="3199">
        <f t="shared" si="5"/>
        <v>152641</v>
      </c>
      <c r="I277" s="169">
        <v>7115</v>
      </c>
      <c r="J277" s="2144">
        <v>20566</v>
      </c>
      <c r="K277" s="169">
        <v>137570</v>
      </c>
      <c r="L277" s="260">
        <v>15487</v>
      </c>
      <c r="M277" s="3034">
        <v>1183</v>
      </c>
      <c r="N277" s="380">
        <v>141589</v>
      </c>
      <c r="O277" s="201"/>
      <c r="P277" s="1321"/>
    </row>
    <row r="278" spans="1:16">
      <c r="A278" s="1340">
        <f t="shared" si="6"/>
        <v>2015.05</v>
      </c>
      <c r="B278" s="252">
        <v>238834</v>
      </c>
      <c r="C278" s="1313">
        <v>42009</v>
      </c>
      <c r="D278" s="3034">
        <v>5838</v>
      </c>
      <c r="E278" s="2140">
        <v>806</v>
      </c>
      <c r="F278" s="3034">
        <v>3710</v>
      </c>
      <c r="G278" s="169">
        <v>154878</v>
      </c>
      <c r="H278" s="3199">
        <f t="shared" ref="H278:H285" si="7">F278+G278</f>
        <v>158588</v>
      </c>
      <c r="I278" s="169">
        <v>10415</v>
      </c>
      <c r="J278" s="2144">
        <v>21178</v>
      </c>
      <c r="K278" s="169">
        <v>144549</v>
      </c>
      <c r="L278" s="260">
        <v>16972</v>
      </c>
      <c r="M278" s="3034">
        <v>1540</v>
      </c>
      <c r="N278" s="380">
        <v>146720</v>
      </c>
      <c r="O278" s="201"/>
      <c r="P278" s="1321"/>
    </row>
    <row r="279" spans="1:16">
      <c r="A279" s="1340">
        <f t="shared" si="6"/>
        <v>2015.06</v>
      </c>
      <c r="B279" s="252">
        <v>260649</v>
      </c>
      <c r="C279" s="1313">
        <v>76884</v>
      </c>
      <c r="D279" s="3034">
        <v>7690</v>
      </c>
      <c r="E279" s="2140">
        <v>1508</v>
      </c>
      <c r="F279" s="3034">
        <v>871</v>
      </c>
      <c r="G279" s="169">
        <v>133875</v>
      </c>
      <c r="H279" s="3199">
        <f t="shared" si="7"/>
        <v>134746</v>
      </c>
      <c r="I279" s="169">
        <v>18681</v>
      </c>
      <c r="J279" s="2144">
        <v>21140</v>
      </c>
      <c r="K279" s="169">
        <v>122563</v>
      </c>
      <c r="L279" s="260">
        <v>20510</v>
      </c>
      <c r="M279" s="3034">
        <v>1277</v>
      </c>
      <c r="N279" s="380">
        <v>122157</v>
      </c>
      <c r="O279" s="201"/>
      <c r="P279" s="1321"/>
    </row>
    <row r="280" spans="1:16">
      <c r="A280" s="1340">
        <f t="shared" si="6"/>
        <v>2015.07</v>
      </c>
      <c r="B280" s="252">
        <v>297293</v>
      </c>
      <c r="C280" s="1313">
        <v>94497</v>
      </c>
      <c r="D280" s="3034">
        <v>10345</v>
      </c>
      <c r="E280" s="2140">
        <v>1991</v>
      </c>
      <c r="F280" s="3034">
        <v>996</v>
      </c>
      <c r="G280" s="169">
        <v>146196</v>
      </c>
      <c r="H280" s="3199">
        <f>F280+G280</f>
        <v>147192</v>
      </c>
      <c r="I280" s="169">
        <v>21301</v>
      </c>
      <c r="J280" s="2144">
        <v>21967</v>
      </c>
      <c r="K280" s="169">
        <v>134798</v>
      </c>
      <c r="L280" s="260">
        <v>23734</v>
      </c>
      <c r="M280" s="3034">
        <v>1293</v>
      </c>
      <c r="N280" s="380">
        <v>134501</v>
      </c>
      <c r="O280" s="201"/>
      <c r="P280" s="1321"/>
    </row>
    <row r="281" spans="1:16">
      <c r="A281" s="1340">
        <f t="shared" si="6"/>
        <v>2015.08</v>
      </c>
      <c r="B281" s="252">
        <v>283055</v>
      </c>
      <c r="C281" s="1313">
        <v>67328</v>
      </c>
      <c r="D281" s="3034">
        <v>9597</v>
      </c>
      <c r="E281" s="2140">
        <v>1955</v>
      </c>
      <c r="F281" s="3034">
        <v>962</v>
      </c>
      <c r="G281" s="169">
        <v>164363</v>
      </c>
      <c r="H281" s="3199">
        <f t="shared" si="7"/>
        <v>165325</v>
      </c>
      <c r="I281" s="169">
        <v>17536</v>
      </c>
      <c r="J281" s="2144">
        <v>21314</v>
      </c>
      <c r="K281" s="169">
        <v>154339</v>
      </c>
      <c r="L281" s="260">
        <v>21576</v>
      </c>
      <c r="M281" s="3034">
        <v>1421</v>
      </c>
      <c r="N281" s="380">
        <v>153880</v>
      </c>
      <c r="O281" s="201"/>
      <c r="P281" s="1321"/>
    </row>
    <row r="282" spans="1:16">
      <c r="A282" s="1340">
        <f t="shared" si="6"/>
        <v>2015.09</v>
      </c>
      <c r="B282" s="252">
        <v>265895</v>
      </c>
      <c r="C282" s="1313">
        <v>60984</v>
      </c>
      <c r="D282" s="3034">
        <v>7827</v>
      </c>
      <c r="E282" s="2140">
        <v>1369</v>
      </c>
      <c r="F282" s="3034">
        <v>408</v>
      </c>
      <c r="G282" s="169">
        <v>160943</v>
      </c>
      <c r="H282" s="3199">
        <f t="shared" si="7"/>
        <v>161351</v>
      </c>
      <c r="I282" s="169">
        <v>13023</v>
      </c>
      <c r="J282" s="2144">
        <v>21341</v>
      </c>
      <c r="K282" s="169">
        <v>150074</v>
      </c>
      <c r="L282" s="260">
        <v>20065</v>
      </c>
      <c r="M282" s="3034">
        <v>861</v>
      </c>
      <c r="N282" s="380">
        <v>149621</v>
      </c>
      <c r="O282" s="201"/>
      <c r="P282" s="1321"/>
    </row>
    <row r="283" spans="1:16">
      <c r="A283" s="1340">
        <f t="shared" si="6"/>
        <v>2015.1</v>
      </c>
      <c r="B283" s="252">
        <v>252396</v>
      </c>
      <c r="C283" s="1313">
        <v>40287</v>
      </c>
      <c r="D283" s="3034">
        <v>6999</v>
      </c>
      <c r="E283" s="2140">
        <v>1267</v>
      </c>
      <c r="F283" s="3034">
        <v>1056</v>
      </c>
      <c r="G283" s="169">
        <v>169804</v>
      </c>
      <c r="H283" s="3199">
        <f t="shared" si="7"/>
        <v>170860</v>
      </c>
      <c r="I283" s="169">
        <v>10695</v>
      </c>
      <c r="J283" s="2144">
        <v>22288</v>
      </c>
      <c r="K283" s="169">
        <v>159267</v>
      </c>
      <c r="L283" s="260">
        <v>18803</v>
      </c>
      <c r="M283" s="3034">
        <v>1973</v>
      </c>
      <c r="N283" s="380">
        <v>158350</v>
      </c>
      <c r="O283" s="201"/>
      <c r="P283" s="1321"/>
    </row>
    <row r="284" spans="1:16">
      <c r="A284" s="1340">
        <f t="shared" si="6"/>
        <v>2015.11</v>
      </c>
      <c r="B284" s="252">
        <v>208884</v>
      </c>
      <c r="C284" s="1313">
        <v>24847</v>
      </c>
      <c r="D284" s="3034">
        <v>5470</v>
      </c>
      <c r="E284" s="2140">
        <v>752</v>
      </c>
      <c r="F284" s="3034">
        <v>1520</v>
      </c>
      <c r="G284" s="169">
        <v>146908</v>
      </c>
      <c r="H284" s="3199">
        <f t="shared" si="7"/>
        <v>148428</v>
      </c>
      <c r="I284" s="169">
        <v>8453</v>
      </c>
      <c r="J284" s="2144">
        <v>20934</v>
      </c>
      <c r="K284" s="169">
        <v>137738</v>
      </c>
      <c r="L284" s="260">
        <v>15393</v>
      </c>
      <c r="M284" s="3034">
        <v>814</v>
      </c>
      <c r="N284" s="380">
        <v>138443</v>
      </c>
      <c r="O284" s="201"/>
      <c r="P284" s="1321"/>
    </row>
    <row r="285" spans="1:16">
      <c r="A285" s="1340">
        <f t="shared" si="6"/>
        <v>2015.12</v>
      </c>
      <c r="B285" s="252">
        <v>202462</v>
      </c>
      <c r="C285" s="1313">
        <v>25227</v>
      </c>
      <c r="D285" s="3034">
        <v>5288</v>
      </c>
      <c r="E285" s="2140">
        <v>791</v>
      </c>
      <c r="F285" s="3034">
        <v>4772</v>
      </c>
      <c r="G285" s="169">
        <v>140658</v>
      </c>
      <c r="H285" s="3199">
        <f t="shared" si="7"/>
        <v>145430</v>
      </c>
      <c r="I285" s="169">
        <v>4020</v>
      </c>
      <c r="J285" s="2144">
        <v>21706</v>
      </c>
      <c r="K285" s="169">
        <v>131929</v>
      </c>
      <c r="L285" s="260">
        <v>14809</v>
      </c>
      <c r="M285" s="3034">
        <v>866</v>
      </c>
      <c r="N285" s="380">
        <v>135834</v>
      </c>
      <c r="O285" s="201"/>
      <c r="P285" s="1321"/>
    </row>
    <row r="286" spans="1:16">
      <c r="A286" s="1340">
        <f t="shared" si="6"/>
        <v>2016.01</v>
      </c>
      <c r="B286" s="252">
        <v>213447</v>
      </c>
      <c r="C286" s="1313">
        <v>16285</v>
      </c>
      <c r="D286" s="3034">
        <v>3833</v>
      </c>
      <c r="E286" s="2140">
        <v>523</v>
      </c>
      <c r="F286" s="3034">
        <v>9204</v>
      </c>
      <c r="G286" s="169">
        <v>158614</v>
      </c>
      <c r="H286" s="3199">
        <f t="shared" ref="H286:H299" si="8">F286+G286</f>
        <v>167818</v>
      </c>
      <c r="I286" s="169">
        <v>5275</v>
      </c>
      <c r="J286" s="2144">
        <v>19713</v>
      </c>
      <c r="K286" s="169">
        <v>150924</v>
      </c>
      <c r="L286" s="260">
        <v>12048</v>
      </c>
      <c r="M286" s="3034">
        <v>642</v>
      </c>
      <c r="N286" s="380">
        <v>159484</v>
      </c>
      <c r="O286" s="201"/>
      <c r="P286" s="1321"/>
    </row>
    <row r="287" spans="1:16">
      <c r="A287" s="1340">
        <f t="shared" si="6"/>
        <v>2016.02</v>
      </c>
      <c r="B287" s="252">
        <v>194842</v>
      </c>
      <c r="C287" s="1313">
        <v>15901</v>
      </c>
      <c r="D287" s="3034">
        <v>3652</v>
      </c>
      <c r="E287" s="2140">
        <v>517</v>
      </c>
      <c r="F287" s="3034">
        <v>3711</v>
      </c>
      <c r="G287" s="169">
        <v>147015</v>
      </c>
      <c r="H287" s="3199">
        <f t="shared" si="8"/>
        <v>150726</v>
      </c>
      <c r="I287" s="169">
        <v>5283</v>
      </c>
      <c r="J287" s="2144">
        <v>18763</v>
      </c>
      <c r="K287" s="169">
        <v>139055</v>
      </c>
      <c r="L287" s="260">
        <v>12127</v>
      </c>
      <c r="M287" s="3034">
        <v>532</v>
      </c>
      <c r="N287" s="380">
        <v>142236</v>
      </c>
      <c r="O287" s="201"/>
      <c r="P287" s="1321"/>
    </row>
    <row r="288" spans="1:16">
      <c r="A288" s="1340">
        <f t="shared" si="6"/>
        <v>2016.03</v>
      </c>
      <c r="B288" s="252">
        <v>216344</v>
      </c>
      <c r="C288" s="1313">
        <v>18895</v>
      </c>
      <c r="D288" s="3034">
        <v>4183</v>
      </c>
      <c r="E288" s="2140">
        <v>575</v>
      </c>
      <c r="F288" s="3034">
        <v>5627</v>
      </c>
      <c r="G288" s="169">
        <v>160167</v>
      </c>
      <c r="H288" s="3199">
        <f t="shared" si="8"/>
        <v>165794</v>
      </c>
      <c r="I288" s="169">
        <v>6290</v>
      </c>
      <c r="J288" s="2144">
        <v>20607</v>
      </c>
      <c r="K288" s="169">
        <v>150699</v>
      </c>
      <c r="L288" s="260">
        <v>14227</v>
      </c>
      <c r="M288" s="3034">
        <v>1359</v>
      </c>
      <c r="N288" s="380">
        <v>154966</v>
      </c>
      <c r="O288" s="201"/>
      <c r="P288" s="1321"/>
    </row>
    <row r="289" spans="1:16">
      <c r="A289" s="1340">
        <f t="shared" si="6"/>
        <v>2016.04</v>
      </c>
      <c r="B289" s="252">
        <v>221603</v>
      </c>
      <c r="C289" s="1313">
        <v>35924</v>
      </c>
      <c r="D289" s="3034">
        <v>8044</v>
      </c>
      <c r="E289" s="2140">
        <v>664</v>
      </c>
      <c r="F289" s="3034">
        <v>399</v>
      </c>
      <c r="G289" s="169">
        <v>146901</v>
      </c>
      <c r="H289" s="3199">
        <f t="shared" si="8"/>
        <v>147300</v>
      </c>
      <c r="I289" s="169">
        <v>9916</v>
      </c>
      <c r="J289" s="2144">
        <v>19755</v>
      </c>
      <c r="K289" s="169">
        <v>138690</v>
      </c>
      <c r="L289" s="260">
        <v>16919</v>
      </c>
      <c r="M289" s="3034">
        <v>1284</v>
      </c>
      <c r="N289" s="380">
        <v>137805</v>
      </c>
      <c r="O289" s="201"/>
      <c r="P289" s="1321"/>
    </row>
    <row r="290" spans="1:16">
      <c r="A290" s="1340">
        <f t="shared" si="6"/>
        <v>2016.05</v>
      </c>
      <c r="B290" s="252">
        <v>282300</v>
      </c>
      <c r="C290" s="1313">
        <v>74356</v>
      </c>
      <c r="D290" s="3034">
        <v>7791</v>
      </c>
      <c r="E290" s="2140">
        <v>1423</v>
      </c>
      <c r="F290" s="3034">
        <v>84</v>
      </c>
      <c r="G290" s="169">
        <v>158917</v>
      </c>
      <c r="H290" s="3199">
        <f t="shared" si="8"/>
        <v>159001</v>
      </c>
      <c r="I290" s="169">
        <v>19530</v>
      </c>
      <c r="J290" s="2144">
        <v>20199</v>
      </c>
      <c r="K290" s="169">
        <v>145624</v>
      </c>
      <c r="L290" s="260">
        <v>22507</v>
      </c>
      <c r="M290" s="3034">
        <v>905</v>
      </c>
      <c r="N290" s="380">
        <v>144803</v>
      </c>
      <c r="O290" s="201"/>
      <c r="P290" s="1321"/>
    </row>
    <row r="291" spans="1:16">
      <c r="A291" s="1340">
        <f t="shared" si="6"/>
        <v>2016.06</v>
      </c>
      <c r="B291" s="252">
        <v>273213</v>
      </c>
      <c r="C291" s="1313">
        <v>96790</v>
      </c>
      <c r="D291" s="3034">
        <v>9600</v>
      </c>
      <c r="E291" s="2140">
        <v>2091</v>
      </c>
      <c r="F291" s="3034">
        <v>145</v>
      </c>
      <c r="G291" s="169">
        <v>122699</v>
      </c>
      <c r="H291" s="3199">
        <f t="shared" si="8"/>
        <v>122844</v>
      </c>
      <c r="I291" s="169">
        <v>22406</v>
      </c>
      <c r="J291" s="2144">
        <v>19482</v>
      </c>
      <c r="K291" s="169">
        <v>113085</v>
      </c>
      <c r="L291" s="260">
        <v>21305</v>
      </c>
      <c r="M291" s="3034">
        <v>1128</v>
      </c>
      <c r="N291" s="380">
        <v>112102</v>
      </c>
      <c r="O291" s="201"/>
      <c r="P291" s="1321"/>
    </row>
    <row r="292" spans="1:16">
      <c r="A292" s="1340">
        <f t="shared" si="6"/>
        <v>2016.07</v>
      </c>
      <c r="B292" s="252">
        <v>296634</v>
      </c>
      <c r="C292" s="1313">
        <v>103007</v>
      </c>
      <c r="D292" s="3034">
        <v>3975</v>
      </c>
      <c r="E292" s="2140">
        <v>2528</v>
      </c>
      <c r="F292" s="3034">
        <v>80</v>
      </c>
      <c r="G292" s="169">
        <v>145515</v>
      </c>
      <c r="H292" s="3199">
        <f t="shared" si="8"/>
        <v>145595</v>
      </c>
      <c r="I292" s="169">
        <v>21247</v>
      </c>
      <c r="J292" s="2144">
        <v>20282</v>
      </c>
      <c r="K292" s="169">
        <v>128278</v>
      </c>
      <c r="L292" s="260">
        <v>23741</v>
      </c>
      <c r="M292" s="3034">
        <v>1083</v>
      </c>
      <c r="N292" s="380">
        <v>127274</v>
      </c>
      <c r="O292" s="201"/>
      <c r="P292" s="1321"/>
    </row>
    <row r="293" spans="1:16">
      <c r="A293" s="1340">
        <f t="shared" si="6"/>
        <v>2016.08</v>
      </c>
      <c r="B293" s="252">
        <v>287242</v>
      </c>
      <c r="C293" s="1313">
        <v>98432</v>
      </c>
      <c r="D293" s="3034">
        <v>3828</v>
      </c>
      <c r="E293" s="2140">
        <v>2416</v>
      </c>
      <c r="F293" s="3034">
        <v>379</v>
      </c>
      <c r="G293" s="169">
        <v>148861</v>
      </c>
      <c r="H293" s="3199">
        <f t="shared" si="8"/>
        <v>149240</v>
      </c>
      <c r="I293" s="169">
        <v>13271</v>
      </c>
      <c r="J293" s="2144">
        <v>20055</v>
      </c>
      <c r="K293" s="169">
        <v>132394</v>
      </c>
      <c r="L293" s="260">
        <v>22711</v>
      </c>
      <c r="M293" s="3034">
        <v>1160</v>
      </c>
      <c r="N293" s="380">
        <v>131613</v>
      </c>
      <c r="O293" s="201"/>
      <c r="P293" s="1321"/>
    </row>
    <row r="294" spans="1:16">
      <c r="A294" s="1340">
        <f t="shared" si="6"/>
        <v>2016.09</v>
      </c>
      <c r="B294" s="252">
        <v>242887</v>
      </c>
      <c r="C294" s="1313">
        <v>66267</v>
      </c>
      <c r="D294" s="3034">
        <v>2138</v>
      </c>
      <c r="E294" s="2140">
        <v>2068</v>
      </c>
      <c r="F294" s="3034">
        <v>2</v>
      </c>
      <c r="G294" s="169">
        <v>136501</v>
      </c>
      <c r="H294" s="3199">
        <f t="shared" si="8"/>
        <v>136503</v>
      </c>
      <c r="I294" s="169">
        <v>16362</v>
      </c>
      <c r="J294" s="2144">
        <v>19549</v>
      </c>
      <c r="K294" s="169">
        <v>123456</v>
      </c>
      <c r="L294" s="260">
        <v>17252</v>
      </c>
      <c r="M294" s="3034">
        <v>1064</v>
      </c>
      <c r="N294" s="380">
        <v>122393</v>
      </c>
      <c r="O294" s="201"/>
      <c r="P294" s="1321"/>
    </row>
    <row r="295" spans="1:16">
      <c r="A295" s="1340">
        <f t="shared" si="6"/>
        <v>2016.1</v>
      </c>
      <c r="B295" s="252">
        <v>250770</v>
      </c>
      <c r="C295" s="1313">
        <v>51129</v>
      </c>
      <c r="D295" s="3034">
        <v>3121</v>
      </c>
      <c r="E295" s="2140">
        <v>3406</v>
      </c>
      <c r="F295" s="3034">
        <v>0</v>
      </c>
      <c r="G295" s="169">
        <v>164876</v>
      </c>
      <c r="H295" s="3199">
        <f t="shared" si="8"/>
        <v>164876</v>
      </c>
      <c r="I295" s="169">
        <v>8810</v>
      </c>
      <c r="J295" s="2144">
        <v>19428</v>
      </c>
      <c r="K295" s="169">
        <v>149049</v>
      </c>
      <c r="L295" s="260">
        <v>22240</v>
      </c>
      <c r="M295" s="3034">
        <v>1129</v>
      </c>
      <c r="N295" s="380">
        <v>148034</v>
      </c>
      <c r="O295" s="201"/>
      <c r="P295" s="1321"/>
    </row>
    <row r="296" spans="1:16">
      <c r="A296" s="1340">
        <f t="shared" si="6"/>
        <v>2016.11</v>
      </c>
      <c r="B296" s="252">
        <v>220709</v>
      </c>
      <c r="C296" s="1313">
        <v>26440</v>
      </c>
      <c r="D296" s="3034">
        <v>4019</v>
      </c>
      <c r="E296" s="2140">
        <v>1855</v>
      </c>
      <c r="F296" s="3034">
        <v>5945</v>
      </c>
      <c r="G296" s="169">
        <v>153523</v>
      </c>
      <c r="H296" s="3199">
        <f t="shared" si="8"/>
        <v>159468</v>
      </c>
      <c r="I296" s="169">
        <v>10464</v>
      </c>
      <c r="J296" s="2144">
        <v>18463</v>
      </c>
      <c r="K296" s="169">
        <v>141995</v>
      </c>
      <c r="L296" s="260">
        <v>17403</v>
      </c>
      <c r="M296" s="3034">
        <v>1044</v>
      </c>
      <c r="N296" s="380">
        <v>146895</v>
      </c>
      <c r="O296" s="201"/>
      <c r="P296" s="1321"/>
    </row>
    <row r="297" spans="1:16">
      <c r="A297" s="1340">
        <f t="shared" si="6"/>
        <v>2016.12</v>
      </c>
      <c r="B297" s="252">
        <v>197498</v>
      </c>
      <c r="C297" s="1313">
        <v>8298</v>
      </c>
      <c r="D297" s="3034">
        <v>2448</v>
      </c>
      <c r="E297" s="2140">
        <v>1844</v>
      </c>
      <c r="F297" s="3034">
        <v>15117</v>
      </c>
      <c r="G297" s="169">
        <v>148413</v>
      </c>
      <c r="H297" s="3199">
        <f t="shared" si="8"/>
        <v>163530</v>
      </c>
      <c r="I297" s="169">
        <v>2201</v>
      </c>
      <c r="J297" s="2144">
        <v>19177</v>
      </c>
      <c r="K297" s="169">
        <v>136066</v>
      </c>
      <c r="L297" s="260">
        <v>16640</v>
      </c>
      <c r="M297" s="3034">
        <v>1074</v>
      </c>
      <c r="N297" s="380">
        <v>150108</v>
      </c>
      <c r="O297" s="201"/>
      <c r="P297" s="1321"/>
    </row>
    <row r="298" spans="1:16">
      <c r="A298" s="1340">
        <f t="shared" si="6"/>
        <v>2017.01</v>
      </c>
      <c r="B298" s="252">
        <v>201027</v>
      </c>
      <c r="C298" s="1313">
        <v>16971</v>
      </c>
      <c r="D298" s="3034">
        <v>2181</v>
      </c>
      <c r="E298" s="2140">
        <v>526</v>
      </c>
      <c r="F298" s="3034">
        <v>13524</v>
      </c>
      <c r="G298" s="169">
        <v>146298</v>
      </c>
      <c r="H298" s="3199">
        <f t="shared" si="8"/>
        <v>159822</v>
      </c>
      <c r="I298" s="169">
        <v>3781</v>
      </c>
      <c r="J298" s="2144">
        <v>17746</v>
      </c>
      <c r="K298" s="169">
        <v>137271</v>
      </c>
      <c r="L298" s="260">
        <v>11734</v>
      </c>
      <c r="M298" s="3034">
        <v>810</v>
      </c>
      <c r="N298" s="380">
        <v>149985</v>
      </c>
      <c r="O298" s="201"/>
      <c r="P298" s="1321"/>
    </row>
    <row r="299" spans="1:16">
      <c r="A299" s="1340">
        <f t="shared" si="6"/>
        <v>2017.02</v>
      </c>
      <c r="B299" s="252">
        <v>170143</v>
      </c>
      <c r="C299" s="1313">
        <v>14358</v>
      </c>
      <c r="D299" s="3034">
        <v>2206</v>
      </c>
      <c r="E299" s="2140">
        <v>514</v>
      </c>
      <c r="F299" s="3034">
        <v>3779</v>
      </c>
      <c r="G299" s="169">
        <v>127603</v>
      </c>
      <c r="H299" s="3199">
        <f t="shared" si="8"/>
        <v>131382</v>
      </c>
      <c r="I299" s="169">
        <v>4996</v>
      </c>
      <c r="J299" s="2144">
        <v>16687</v>
      </c>
      <c r="K299" s="169">
        <v>117822</v>
      </c>
      <c r="L299" s="260">
        <v>12723</v>
      </c>
      <c r="M299" s="3034">
        <v>1175</v>
      </c>
      <c r="N299" s="380">
        <v>120204</v>
      </c>
      <c r="O299" s="201"/>
      <c r="P299" s="1321"/>
    </row>
    <row r="300" spans="1:16">
      <c r="A300" s="1340">
        <f t="shared" si="6"/>
        <v>2017.03</v>
      </c>
      <c r="B300" s="252">
        <v>217240</v>
      </c>
      <c r="C300" s="1313">
        <v>18979</v>
      </c>
      <c r="D300" s="3034">
        <v>3209</v>
      </c>
      <c r="E300" s="2140">
        <v>636</v>
      </c>
      <c r="F300" s="3034">
        <v>6803</v>
      </c>
      <c r="G300" s="169">
        <v>163413</v>
      </c>
      <c r="H300" s="3199">
        <f t="shared" ref="H300:H345" si="9">F300+G300</f>
        <v>170216</v>
      </c>
      <c r="I300" s="169">
        <v>5914</v>
      </c>
      <c r="J300" s="2144">
        <v>18286</v>
      </c>
      <c r="K300" s="169">
        <v>151661</v>
      </c>
      <c r="L300" s="260">
        <v>16292</v>
      </c>
      <c r="M300" s="3034">
        <v>1060</v>
      </c>
      <c r="N300" s="380">
        <v>156709</v>
      </c>
      <c r="O300" s="201"/>
      <c r="P300" s="1321"/>
    </row>
    <row r="301" spans="1:16">
      <c r="A301" s="1340">
        <f t="shared" si="6"/>
        <v>2017.04</v>
      </c>
      <c r="B301" s="252">
        <v>241714</v>
      </c>
      <c r="C301" s="1313">
        <v>28327</v>
      </c>
      <c r="D301" s="3034">
        <v>2904</v>
      </c>
      <c r="E301" s="2140">
        <v>665</v>
      </c>
      <c r="F301" s="3034">
        <v>3475</v>
      </c>
      <c r="G301" s="169">
        <v>180773</v>
      </c>
      <c r="H301" s="3199">
        <f t="shared" si="9"/>
        <v>184248</v>
      </c>
      <c r="I301" s="169">
        <v>7658</v>
      </c>
      <c r="J301" s="2144">
        <v>17912</v>
      </c>
      <c r="K301" s="169">
        <v>168762</v>
      </c>
      <c r="L301" s="2145">
        <v>15896</v>
      </c>
      <c r="M301" s="3034">
        <v>867</v>
      </c>
      <c r="N301" s="2146">
        <v>171054</v>
      </c>
      <c r="O301" s="201"/>
      <c r="P301" s="1321"/>
    </row>
    <row r="302" spans="1:16">
      <c r="A302" s="1340">
        <f t="shared" si="6"/>
        <v>2017.05</v>
      </c>
      <c r="B302" s="252">
        <v>288185</v>
      </c>
      <c r="C302" s="1313">
        <v>61286</v>
      </c>
      <c r="D302" s="3034">
        <v>2877</v>
      </c>
      <c r="E302" s="2140">
        <v>1263</v>
      </c>
      <c r="F302" s="3034">
        <v>1</v>
      </c>
      <c r="G302" s="169">
        <v>191700</v>
      </c>
      <c r="H302" s="3199">
        <f t="shared" si="9"/>
        <v>191701</v>
      </c>
      <c r="I302" s="169">
        <v>12887</v>
      </c>
      <c r="J302" s="2144">
        <v>18171</v>
      </c>
      <c r="K302" s="169">
        <v>177835</v>
      </c>
      <c r="L302" s="2145">
        <v>18004</v>
      </c>
      <c r="M302" s="3034">
        <v>987</v>
      </c>
      <c r="N302" s="380">
        <v>176850</v>
      </c>
      <c r="O302" s="201"/>
      <c r="P302" s="1321"/>
    </row>
    <row r="303" spans="1:16">
      <c r="A303" s="1340">
        <f t="shared" si="6"/>
        <v>2017.06</v>
      </c>
      <c r="B303" s="252">
        <v>292406</v>
      </c>
      <c r="C303" s="1313">
        <v>82910</v>
      </c>
      <c r="D303" s="3034">
        <v>3462</v>
      </c>
      <c r="E303" s="2140">
        <v>2489</v>
      </c>
      <c r="F303" s="3034">
        <v>24</v>
      </c>
      <c r="G303" s="169">
        <v>167667</v>
      </c>
      <c r="H303" s="3199">
        <f t="shared" si="9"/>
        <v>167691</v>
      </c>
      <c r="I303" s="169">
        <v>17952</v>
      </c>
      <c r="J303" s="2144">
        <v>17902</v>
      </c>
      <c r="K303" s="169">
        <v>149882</v>
      </c>
      <c r="L303" s="2145">
        <v>23737</v>
      </c>
      <c r="M303" s="3034">
        <v>1219</v>
      </c>
      <c r="N303" s="380">
        <v>148686</v>
      </c>
      <c r="O303" s="201"/>
      <c r="P303" s="1321"/>
    </row>
    <row r="304" spans="1:16">
      <c r="A304" s="1340">
        <f t="shared" si="6"/>
        <v>2017.07</v>
      </c>
      <c r="B304" s="252">
        <v>278798</v>
      </c>
      <c r="C304" s="1313">
        <v>84809</v>
      </c>
      <c r="D304" s="3034">
        <v>3748</v>
      </c>
      <c r="E304" s="2140">
        <v>2912</v>
      </c>
      <c r="F304" s="3034">
        <v>3</v>
      </c>
      <c r="G304" s="169">
        <v>150387</v>
      </c>
      <c r="H304" s="3199">
        <f t="shared" si="9"/>
        <v>150390</v>
      </c>
      <c r="I304" s="169">
        <v>18443</v>
      </c>
      <c r="J304" s="2144">
        <v>18496</v>
      </c>
      <c r="K304" s="169">
        <v>135447</v>
      </c>
      <c r="L304" s="260">
        <v>21600</v>
      </c>
      <c r="M304" s="3034">
        <v>1001</v>
      </c>
      <c r="N304" s="380">
        <v>134449</v>
      </c>
      <c r="O304" s="201"/>
      <c r="P304" s="1321"/>
    </row>
    <row r="305" spans="1:16">
      <c r="A305" s="1340">
        <f t="shared" si="6"/>
        <v>2017.08</v>
      </c>
      <c r="B305" s="252">
        <v>255461</v>
      </c>
      <c r="C305" s="1313">
        <v>66838</v>
      </c>
      <c r="D305" s="3034">
        <v>3450</v>
      </c>
      <c r="E305" s="2140">
        <v>2854</v>
      </c>
      <c r="F305" s="3034">
        <v>0</v>
      </c>
      <c r="G305" s="169">
        <v>147808</v>
      </c>
      <c r="H305" s="3199">
        <f t="shared" si="9"/>
        <v>147808</v>
      </c>
      <c r="I305" s="169">
        <v>15824</v>
      </c>
      <c r="J305" s="2144">
        <v>18687</v>
      </c>
      <c r="K305" s="169">
        <v>135006</v>
      </c>
      <c r="L305" s="260">
        <v>19105</v>
      </c>
      <c r="M305" s="3034">
        <v>997</v>
      </c>
      <c r="N305" s="380">
        <v>134010</v>
      </c>
      <c r="O305" s="201"/>
      <c r="P305" s="1321"/>
    </row>
    <row r="306" spans="1:16">
      <c r="A306" s="1340">
        <f t="shared" si="6"/>
        <v>2017.09</v>
      </c>
      <c r="B306" s="252">
        <v>244602</v>
      </c>
      <c r="C306" s="1313">
        <v>49181</v>
      </c>
      <c r="D306" s="3034">
        <v>3043</v>
      </c>
      <c r="E306" s="2140">
        <v>2242</v>
      </c>
      <c r="F306" s="3034">
        <v>0</v>
      </c>
      <c r="G306" s="169">
        <v>159710</v>
      </c>
      <c r="H306" s="3199">
        <f t="shared" si="9"/>
        <v>159710</v>
      </c>
      <c r="I306" s="169">
        <v>12730</v>
      </c>
      <c r="J306" s="2144">
        <v>17696</v>
      </c>
      <c r="K306" s="169">
        <v>144896</v>
      </c>
      <c r="L306" s="260">
        <v>20099</v>
      </c>
      <c r="M306" s="3034">
        <v>1057</v>
      </c>
      <c r="N306" s="380">
        <v>143839</v>
      </c>
      <c r="O306" s="201"/>
      <c r="P306" s="1321"/>
    </row>
    <row r="307" spans="1:16">
      <c r="A307" s="1340">
        <f t="shared" si="6"/>
        <v>2017.1</v>
      </c>
      <c r="B307" s="252">
        <v>239902</v>
      </c>
      <c r="C307" s="1313">
        <v>31252</v>
      </c>
      <c r="D307" s="3034">
        <v>2783</v>
      </c>
      <c r="E307" s="2140">
        <v>1800</v>
      </c>
      <c r="F307" s="3034">
        <v>13331</v>
      </c>
      <c r="G307" s="169">
        <v>164162</v>
      </c>
      <c r="H307" s="3199">
        <f>F307+G307</f>
        <v>177493</v>
      </c>
      <c r="I307" s="169">
        <v>8333</v>
      </c>
      <c r="J307" s="2144">
        <v>18241</v>
      </c>
      <c r="K307" s="169">
        <v>153877</v>
      </c>
      <c r="L307" s="260">
        <v>14870</v>
      </c>
      <c r="M307" s="3034">
        <v>1145</v>
      </c>
      <c r="N307" s="380">
        <v>166061</v>
      </c>
      <c r="O307" s="201"/>
      <c r="P307" s="1321"/>
    </row>
    <row r="308" spans="1:16">
      <c r="A308" s="1340">
        <f t="shared" si="6"/>
        <v>2017.11</v>
      </c>
      <c r="B308" s="252">
        <v>212349</v>
      </c>
      <c r="C308" s="1313">
        <v>17784</v>
      </c>
      <c r="D308" s="3034">
        <v>2577</v>
      </c>
      <c r="E308" s="2140">
        <v>1192</v>
      </c>
      <c r="F308" s="3034">
        <v>17307</v>
      </c>
      <c r="G308" s="169">
        <v>149516</v>
      </c>
      <c r="H308" s="3199">
        <f t="shared" si="9"/>
        <v>166823</v>
      </c>
      <c r="I308" s="169">
        <v>6206</v>
      </c>
      <c r="J308" s="2144">
        <v>17767</v>
      </c>
      <c r="K308" s="169">
        <v>137662</v>
      </c>
      <c r="L308" s="260">
        <v>15624</v>
      </c>
      <c r="M308" s="3034">
        <v>980</v>
      </c>
      <c r="N308" s="380">
        <v>153988</v>
      </c>
      <c r="O308" s="201"/>
      <c r="P308" s="1321"/>
    </row>
    <row r="309" spans="1:16">
      <c r="A309" s="1340">
        <f t="shared" si="6"/>
        <v>2017.12</v>
      </c>
      <c r="B309" s="252">
        <v>184314</v>
      </c>
      <c r="C309" s="1313">
        <v>18965</v>
      </c>
      <c r="D309" s="3034">
        <v>3111</v>
      </c>
      <c r="E309" s="2140">
        <v>857</v>
      </c>
      <c r="F309" s="3034">
        <v>14195</v>
      </c>
      <c r="G309" s="169">
        <v>124146</v>
      </c>
      <c r="H309" s="3199">
        <f t="shared" si="9"/>
        <v>138341</v>
      </c>
      <c r="I309" s="169">
        <v>5107</v>
      </c>
      <c r="J309" s="2144">
        <v>17933</v>
      </c>
      <c r="K309" s="169">
        <v>117575</v>
      </c>
      <c r="L309" s="260">
        <v>10540</v>
      </c>
      <c r="M309" s="3034">
        <v>634</v>
      </c>
      <c r="N309" s="380">
        <v>131135</v>
      </c>
      <c r="O309" s="201"/>
      <c r="P309" s="1321"/>
    </row>
    <row r="310" spans="1:16">
      <c r="A310" s="1340">
        <f t="shared" si="6"/>
        <v>2018.01</v>
      </c>
      <c r="B310" s="252">
        <v>201292</v>
      </c>
      <c r="C310" s="1313">
        <v>16429</v>
      </c>
      <c r="D310" s="3034">
        <v>5675</v>
      </c>
      <c r="E310" s="2140">
        <v>714</v>
      </c>
      <c r="F310" s="3034">
        <v>8375</v>
      </c>
      <c r="G310" s="169">
        <v>148915</v>
      </c>
      <c r="H310" s="3199">
        <f t="shared" si="9"/>
        <v>157290</v>
      </c>
      <c r="I310" s="169">
        <v>5137</v>
      </c>
      <c r="J310" s="2144">
        <v>16047</v>
      </c>
      <c r="K310" s="169">
        <v>141031</v>
      </c>
      <c r="L310" s="260">
        <v>14154</v>
      </c>
      <c r="M310" s="3034">
        <v>320</v>
      </c>
      <c r="N310" s="380">
        <v>149205</v>
      </c>
      <c r="O310" s="201"/>
      <c r="P310" s="1321"/>
    </row>
    <row r="311" spans="1:16">
      <c r="A311" s="1340">
        <f t="shared" si="6"/>
        <v>2018.02</v>
      </c>
      <c r="B311" s="252">
        <v>167514</v>
      </c>
      <c r="C311" s="1313">
        <v>14193</v>
      </c>
      <c r="D311" s="3034">
        <v>3100</v>
      </c>
      <c r="E311" s="2140">
        <v>364</v>
      </c>
      <c r="F311" s="3034">
        <v>1463</v>
      </c>
      <c r="G311" s="169">
        <v>128540</v>
      </c>
      <c r="H311" s="3199">
        <f t="shared" si="9"/>
        <v>130003</v>
      </c>
      <c r="I311" s="169">
        <v>4662</v>
      </c>
      <c r="J311" s="2144">
        <v>15192</v>
      </c>
      <c r="K311" s="169">
        <v>121222</v>
      </c>
      <c r="L311" s="260">
        <v>10782</v>
      </c>
      <c r="M311" s="3034">
        <v>858</v>
      </c>
      <c r="N311" s="380">
        <v>121827</v>
      </c>
      <c r="O311" s="201"/>
      <c r="P311" s="1321"/>
    </row>
    <row r="312" spans="1:16">
      <c r="A312" s="1340">
        <f t="shared" si="6"/>
        <v>2018.03</v>
      </c>
      <c r="B312" s="252">
        <v>199382</v>
      </c>
      <c r="C312" s="1313">
        <v>18979</v>
      </c>
      <c r="D312" s="3034">
        <v>2635</v>
      </c>
      <c r="E312" s="2140">
        <v>359</v>
      </c>
      <c r="F312" s="3034">
        <v>177</v>
      </c>
      <c r="G312" s="169">
        <v>154370</v>
      </c>
      <c r="H312" s="3199">
        <f t="shared" si="9"/>
        <v>154547</v>
      </c>
      <c r="I312" s="169">
        <v>5668</v>
      </c>
      <c r="J312" s="2144">
        <v>17194</v>
      </c>
      <c r="K312" s="169">
        <v>143238</v>
      </c>
      <c r="L312" s="260">
        <v>14127</v>
      </c>
      <c r="M312" s="3034">
        <v>200</v>
      </c>
      <c r="N312" s="380">
        <v>143214</v>
      </c>
      <c r="O312" s="201"/>
      <c r="P312" s="1321"/>
    </row>
    <row r="313" spans="1:16">
      <c r="A313" s="1340">
        <f t="shared" si="6"/>
        <v>2018.04</v>
      </c>
      <c r="B313" s="252">
        <v>206229</v>
      </c>
      <c r="C313" s="1313">
        <v>18366</v>
      </c>
      <c r="D313" s="3034">
        <v>2431</v>
      </c>
      <c r="E313" s="2140">
        <v>373</v>
      </c>
      <c r="F313" s="3034">
        <v>33</v>
      </c>
      <c r="G313" s="169">
        <v>162320</v>
      </c>
      <c r="H313" s="3199">
        <f t="shared" si="9"/>
        <v>162353</v>
      </c>
      <c r="I313" s="169">
        <v>6510</v>
      </c>
      <c r="J313" s="2144">
        <v>16196</v>
      </c>
      <c r="K313" s="169">
        <v>149917</v>
      </c>
      <c r="L313" s="260">
        <v>15207</v>
      </c>
      <c r="M313" s="3034">
        <v>234</v>
      </c>
      <c r="N313" s="380">
        <v>149716</v>
      </c>
      <c r="O313" s="201"/>
      <c r="P313" s="1321"/>
    </row>
    <row r="314" spans="1:16">
      <c r="A314" s="1340">
        <f t="shared" si="6"/>
        <v>2018.05</v>
      </c>
      <c r="B314" s="252">
        <v>252769</v>
      </c>
      <c r="C314" s="1313">
        <v>47138</v>
      </c>
      <c r="D314" s="3034">
        <v>3331</v>
      </c>
      <c r="E314" s="2140">
        <v>364</v>
      </c>
      <c r="F314" s="3034">
        <v>0</v>
      </c>
      <c r="G314" s="169">
        <v>174296</v>
      </c>
      <c r="H314" s="3199">
        <f t="shared" si="9"/>
        <v>174296</v>
      </c>
      <c r="I314" s="169">
        <v>10925</v>
      </c>
      <c r="J314" s="2144">
        <v>16715</v>
      </c>
      <c r="K314" s="169">
        <v>158116</v>
      </c>
      <c r="L314" s="260">
        <v>19833</v>
      </c>
      <c r="M314" s="3034">
        <v>0</v>
      </c>
      <c r="N314" s="380">
        <v>158158</v>
      </c>
      <c r="O314" s="201"/>
      <c r="P314" s="1321"/>
    </row>
    <row r="315" spans="1:16">
      <c r="A315" s="1340">
        <f t="shared" si="6"/>
        <v>2018.06</v>
      </c>
      <c r="B315" s="252">
        <v>296756</v>
      </c>
      <c r="C315" s="1313">
        <v>86165</v>
      </c>
      <c r="D315" s="3034">
        <v>4213</v>
      </c>
      <c r="E315" s="2140">
        <v>360</v>
      </c>
      <c r="F315" s="3034">
        <v>0</v>
      </c>
      <c r="G315" s="169">
        <v>169570</v>
      </c>
      <c r="H315" s="3199">
        <f t="shared" si="9"/>
        <v>169570</v>
      </c>
      <c r="I315" s="169">
        <v>20175</v>
      </c>
      <c r="J315" s="2144">
        <v>16273</v>
      </c>
      <c r="K315" s="169">
        <v>153570</v>
      </c>
      <c r="L315" s="260">
        <v>20414</v>
      </c>
      <c r="M315" s="3034">
        <v>0</v>
      </c>
      <c r="N315" s="380">
        <v>153729</v>
      </c>
      <c r="O315" s="201"/>
      <c r="P315" s="1321"/>
    </row>
    <row r="316" spans="1:16">
      <c r="A316" s="1340">
        <f t="shared" si="6"/>
        <v>2018.07</v>
      </c>
      <c r="B316" s="252">
        <v>297352</v>
      </c>
      <c r="C316" s="1313">
        <v>93277</v>
      </c>
      <c r="D316" s="3034">
        <v>3384</v>
      </c>
      <c r="E316" s="2140">
        <v>387</v>
      </c>
      <c r="F316" s="3034">
        <v>0</v>
      </c>
      <c r="G316" s="169">
        <v>161543</v>
      </c>
      <c r="H316" s="3199">
        <f t="shared" si="9"/>
        <v>161543</v>
      </c>
      <c r="I316" s="169">
        <v>21488</v>
      </c>
      <c r="J316" s="2144">
        <v>17273</v>
      </c>
      <c r="K316" s="169">
        <v>140238</v>
      </c>
      <c r="L316" s="260">
        <v>25075</v>
      </c>
      <c r="M316" s="3034">
        <v>0</v>
      </c>
      <c r="N316" s="380">
        <v>140239</v>
      </c>
      <c r="O316" s="201"/>
      <c r="P316" s="1321"/>
    </row>
    <row r="317" spans="1:16">
      <c r="A317" s="1340">
        <f t="shared" si="6"/>
        <v>2018.08</v>
      </c>
      <c r="B317" s="252">
        <v>272437</v>
      </c>
      <c r="C317" s="1313">
        <v>84003</v>
      </c>
      <c r="D317" s="3034">
        <v>3381</v>
      </c>
      <c r="E317" s="2140">
        <v>383</v>
      </c>
      <c r="F317" s="3034">
        <v>0</v>
      </c>
      <c r="G317" s="169">
        <v>148521</v>
      </c>
      <c r="H317" s="3199">
        <f t="shared" si="9"/>
        <v>148521</v>
      </c>
      <c r="I317" s="169">
        <v>18670</v>
      </c>
      <c r="J317" s="2144">
        <v>17479</v>
      </c>
      <c r="K317" s="169">
        <v>136256</v>
      </c>
      <c r="L317" s="260">
        <v>15941</v>
      </c>
      <c r="M317" s="3034">
        <v>432</v>
      </c>
      <c r="N317" s="380">
        <v>135912</v>
      </c>
      <c r="O317" s="201"/>
      <c r="P317" s="1321"/>
    </row>
    <row r="318" spans="1:16">
      <c r="A318" s="1340">
        <f t="shared" ref="A318:A381" si="10">A306+1</f>
        <v>2018.09</v>
      </c>
      <c r="B318" s="252">
        <v>217301</v>
      </c>
      <c r="C318" s="1313">
        <v>32046</v>
      </c>
      <c r="D318" s="3034">
        <v>2931</v>
      </c>
      <c r="E318" s="2140">
        <v>363</v>
      </c>
      <c r="F318" s="3034">
        <v>0</v>
      </c>
      <c r="G318" s="169">
        <v>156398</v>
      </c>
      <c r="H318" s="3199">
        <f t="shared" si="9"/>
        <v>156398</v>
      </c>
      <c r="I318" s="169">
        <v>9042</v>
      </c>
      <c r="J318" s="2144">
        <v>16521</v>
      </c>
      <c r="K318" s="169">
        <v>137956</v>
      </c>
      <c r="L318" s="260">
        <v>21645</v>
      </c>
      <c r="M318" s="3034">
        <v>344</v>
      </c>
      <c r="N318" s="380">
        <v>137703</v>
      </c>
      <c r="O318" s="201"/>
      <c r="P318" s="1321"/>
    </row>
    <row r="319" spans="1:16">
      <c r="A319" s="1340">
        <f t="shared" si="10"/>
        <v>2018.1</v>
      </c>
      <c r="B319" s="252">
        <v>218974</v>
      </c>
      <c r="C319" s="1313">
        <v>26291</v>
      </c>
      <c r="D319" s="3034">
        <v>2660</v>
      </c>
      <c r="E319" s="2140">
        <v>389</v>
      </c>
      <c r="F319" s="3034">
        <v>0</v>
      </c>
      <c r="G319" s="169">
        <v>165631</v>
      </c>
      <c r="H319" s="3199">
        <f t="shared" si="9"/>
        <v>165631</v>
      </c>
      <c r="I319" s="169">
        <v>6928</v>
      </c>
      <c r="J319" s="2144">
        <v>17075</v>
      </c>
      <c r="K319" s="169">
        <v>153094</v>
      </c>
      <c r="L319" s="260">
        <v>15585</v>
      </c>
      <c r="M319" s="3034">
        <v>421</v>
      </c>
      <c r="N319" s="380">
        <v>152674</v>
      </c>
      <c r="O319" s="201"/>
      <c r="P319" s="1321"/>
    </row>
    <row r="320" spans="1:16">
      <c r="A320" s="1340">
        <f t="shared" si="10"/>
        <v>2018.11</v>
      </c>
      <c r="B320" s="252">
        <v>207176</v>
      </c>
      <c r="C320" s="1313">
        <v>22206</v>
      </c>
      <c r="D320" s="3034">
        <v>2429</v>
      </c>
      <c r="E320" s="2140">
        <v>388</v>
      </c>
      <c r="F320" s="3034">
        <v>0</v>
      </c>
      <c r="G320" s="169">
        <v>160450</v>
      </c>
      <c r="H320" s="3199">
        <f t="shared" si="9"/>
        <v>160450</v>
      </c>
      <c r="I320" s="169">
        <v>5811</v>
      </c>
      <c r="J320" s="2144">
        <v>15892</v>
      </c>
      <c r="K320" s="169">
        <v>151422</v>
      </c>
      <c r="L320" s="260">
        <v>11396</v>
      </c>
      <c r="M320" s="3034">
        <v>359</v>
      </c>
      <c r="N320" s="380">
        <v>151512</v>
      </c>
      <c r="O320" s="201"/>
      <c r="P320" s="1321"/>
    </row>
    <row r="321" spans="1:16">
      <c r="A321" s="1340">
        <f t="shared" si="10"/>
        <v>2018.12</v>
      </c>
      <c r="B321" s="252">
        <v>165843</v>
      </c>
      <c r="C321" s="1313">
        <v>14556</v>
      </c>
      <c r="D321" s="3034">
        <v>6565</v>
      </c>
      <c r="E321" s="2140">
        <v>679</v>
      </c>
      <c r="F321" s="3034">
        <v>0</v>
      </c>
      <c r="G321" s="169">
        <v>121639</v>
      </c>
      <c r="H321" s="3199">
        <f t="shared" si="9"/>
        <v>121639</v>
      </c>
      <c r="I321" s="169">
        <v>5040</v>
      </c>
      <c r="J321" s="2144">
        <v>17364</v>
      </c>
      <c r="K321" s="169">
        <v>129135</v>
      </c>
      <c r="L321" s="260">
        <v>12553</v>
      </c>
      <c r="M321" s="3034">
        <v>315</v>
      </c>
      <c r="N321" s="380">
        <v>116015</v>
      </c>
      <c r="O321" s="201"/>
      <c r="P321" s="1321"/>
    </row>
    <row r="322" spans="1:16">
      <c r="A322" s="1340">
        <f t="shared" si="10"/>
        <v>2019.01</v>
      </c>
      <c r="B322" s="252">
        <v>171354</v>
      </c>
      <c r="C322" s="1313">
        <v>14988</v>
      </c>
      <c r="D322" s="3034">
        <v>8737</v>
      </c>
      <c r="E322" s="2140">
        <v>160</v>
      </c>
      <c r="F322" s="3034">
        <v>405</v>
      </c>
      <c r="G322" s="169">
        <v>128244</v>
      </c>
      <c r="H322" s="3199">
        <f>F322+G322</f>
        <v>128649</v>
      </c>
      <c r="I322" s="169">
        <v>2994</v>
      </c>
      <c r="J322" s="2144">
        <v>15827</v>
      </c>
      <c r="K322" s="169">
        <v>124571</v>
      </c>
      <c r="L322" s="260">
        <v>12708</v>
      </c>
      <c r="M322" s="3034">
        <v>0</v>
      </c>
      <c r="N322" s="380">
        <v>124838</v>
      </c>
      <c r="O322" s="201"/>
      <c r="P322" s="1321"/>
    </row>
    <row r="323" spans="1:16">
      <c r="A323" s="1340">
        <f t="shared" si="10"/>
        <v>2019.02</v>
      </c>
      <c r="B323" s="252">
        <v>153107</v>
      </c>
      <c r="C323" s="1313">
        <v>13447</v>
      </c>
      <c r="D323" s="3034">
        <v>9279</v>
      </c>
      <c r="E323" s="2140">
        <v>474</v>
      </c>
      <c r="F323" s="3034">
        <v>781</v>
      </c>
      <c r="G323" s="169">
        <v>111106</v>
      </c>
      <c r="H323" s="3199">
        <f>F323+G323</f>
        <v>111887</v>
      </c>
      <c r="I323" s="169">
        <v>3041</v>
      </c>
      <c r="J323" s="2144">
        <v>14978</v>
      </c>
      <c r="K323" s="169">
        <v>107556</v>
      </c>
      <c r="L323" s="260">
        <v>13303</v>
      </c>
      <c r="M323" s="3034">
        <v>202</v>
      </c>
      <c r="N323" s="380">
        <v>108135</v>
      </c>
      <c r="O323" s="201"/>
      <c r="P323" s="1321"/>
    </row>
    <row r="324" spans="1:16">
      <c r="A324" s="1340">
        <f t="shared" si="10"/>
        <v>2019.03</v>
      </c>
      <c r="B324" s="252">
        <v>178686</v>
      </c>
      <c r="C324" s="1313">
        <v>18118</v>
      </c>
      <c r="D324" s="3034">
        <v>11638</v>
      </c>
      <c r="E324" s="2140">
        <v>580</v>
      </c>
      <c r="F324" s="3034">
        <v>8</v>
      </c>
      <c r="G324" s="169">
        <v>127952</v>
      </c>
      <c r="H324" s="3199">
        <f t="shared" si="9"/>
        <v>127960</v>
      </c>
      <c r="I324" s="169">
        <v>3920</v>
      </c>
      <c r="J324" s="2144">
        <v>16469</v>
      </c>
      <c r="K324" s="169">
        <v>122618</v>
      </c>
      <c r="L324" s="260">
        <v>17552</v>
      </c>
      <c r="M324" s="3034">
        <v>308</v>
      </c>
      <c r="N324" s="380">
        <v>122318</v>
      </c>
      <c r="O324" s="201"/>
      <c r="P324" s="1321"/>
    </row>
    <row r="325" spans="1:16">
      <c r="A325" s="1340">
        <f t="shared" si="10"/>
        <v>2019.04</v>
      </c>
      <c r="B325" s="252">
        <v>203478</v>
      </c>
      <c r="C325" s="1313">
        <v>23818</v>
      </c>
      <c r="D325" s="3034">
        <v>9850</v>
      </c>
      <c r="E325" s="2140">
        <v>549</v>
      </c>
      <c r="F325" s="3034">
        <v>274</v>
      </c>
      <c r="G325" s="169">
        <v>147472</v>
      </c>
      <c r="H325" s="3199">
        <f t="shared" si="9"/>
        <v>147746</v>
      </c>
      <c r="I325" s="169">
        <v>5212</v>
      </c>
      <c r="J325" s="2144">
        <v>16303</v>
      </c>
      <c r="K325" s="169">
        <v>142466</v>
      </c>
      <c r="L325" s="260">
        <v>15404</v>
      </c>
      <c r="M325" s="3034">
        <v>234</v>
      </c>
      <c r="N325" s="380">
        <v>142507</v>
      </c>
      <c r="O325" s="201"/>
      <c r="P325" s="1321"/>
    </row>
    <row r="326" spans="1:16">
      <c r="A326" s="1340">
        <f t="shared" si="10"/>
        <v>2019.05</v>
      </c>
      <c r="B326" s="252">
        <v>240412</v>
      </c>
      <c r="C326" s="1313">
        <v>51105</v>
      </c>
      <c r="D326" s="3034">
        <v>12028</v>
      </c>
      <c r="E326" s="2140">
        <v>1189</v>
      </c>
      <c r="F326" s="3034">
        <v>37</v>
      </c>
      <c r="G326" s="169">
        <v>151676</v>
      </c>
      <c r="H326" s="3199">
        <f t="shared" si="9"/>
        <v>151713</v>
      </c>
      <c r="I326" s="169">
        <v>7503</v>
      </c>
      <c r="J326" s="2144">
        <v>16874</v>
      </c>
      <c r="K326" s="169">
        <v>146933</v>
      </c>
      <c r="L326" s="260">
        <v>17961</v>
      </c>
      <c r="M326" s="3034">
        <v>319</v>
      </c>
      <c r="N326" s="380">
        <v>146650</v>
      </c>
      <c r="O326" s="201"/>
      <c r="P326" s="1321"/>
    </row>
    <row r="327" spans="1:16">
      <c r="A327" s="1340">
        <f t="shared" si="10"/>
        <v>2019.06</v>
      </c>
      <c r="B327" s="252">
        <v>257716</v>
      </c>
      <c r="C327" s="1313">
        <v>66338</v>
      </c>
      <c r="D327" s="3034">
        <v>11359</v>
      </c>
      <c r="E327" s="2140">
        <v>2017</v>
      </c>
      <c r="F327" s="3034">
        <v>94</v>
      </c>
      <c r="G327" s="169">
        <v>150504</v>
      </c>
      <c r="H327" s="3199">
        <f t="shared" si="9"/>
        <v>150598</v>
      </c>
      <c r="I327" s="169">
        <v>10619</v>
      </c>
      <c r="J327" s="2144">
        <v>16786</v>
      </c>
      <c r="K327" s="169">
        <v>144053</v>
      </c>
      <c r="L327" s="260">
        <v>19826</v>
      </c>
      <c r="M327" s="3034">
        <v>350</v>
      </c>
      <c r="N327" s="380">
        <v>143797</v>
      </c>
      <c r="O327" s="201"/>
      <c r="P327" s="1321"/>
    </row>
    <row r="328" spans="1:16">
      <c r="A328" s="1340">
        <f t="shared" si="10"/>
        <v>2019.07</v>
      </c>
      <c r="B328" s="252">
        <v>270746</v>
      </c>
      <c r="C328" s="1313">
        <v>91248</v>
      </c>
      <c r="D328" s="3034">
        <v>11633</v>
      </c>
      <c r="E328" s="2140">
        <v>2982</v>
      </c>
      <c r="F328" s="3034">
        <v>232</v>
      </c>
      <c r="G328" s="169">
        <v>132706</v>
      </c>
      <c r="H328" s="3199">
        <f t="shared" si="9"/>
        <v>132938</v>
      </c>
      <c r="I328" s="169">
        <v>14412</v>
      </c>
      <c r="J328" s="2144">
        <v>17533</v>
      </c>
      <c r="K328" s="169">
        <v>124036</v>
      </c>
      <c r="L328" s="260">
        <v>23285</v>
      </c>
      <c r="M328" s="3034">
        <v>310</v>
      </c>
      <c r="N328" s="380">
        <v>123958</v>
      </c>
      <c r="O328" s="201"/>
      <c r="P328" s="1321"/>
    </row>
    <row r="329" spans="1:16">
      <c r="A329" s="1340">
        <f t="shared" si="10"/>
        <v>2019.08</v>
      </c>
      <c r="B329" s="252">
        <v>200537</v>
      </c>
      <c r="C329" s="1313">
        <v>19822</v>
      </c>
      <c r="D329" s="3034">
        <v>12340</v>
      </c>
      <c r="E329" s="2140">
        <v>3159</v>
      </c>
      <c r="F329" s="3034">
        <v>69</v>
      </c>
      <c r="G329" s="169">
        <v>134991</v>
      </c>
      <c r="H329" s="3199">
        <f t="shared" si="9"/>
        <v>135060</v>
      </c>
      <c r="I329" s="169">
        <v>12259</v>
      </c>
      <c r="J329" s="2144">
        <v>17897</v>
      </c>
      <c r="K329" s="169">
        <v>127289</v>
      </c>
      <c r="L329" s="260">
        <v>23202</v>
      </c>
      <c r="M329" s="3034">
        <v>323</v>
      </c>
      <c r="N329" s="380">
        <v>127035</v>
      </c>
      <c r="O329" s="201"/>
      <c r="P329" s="1321"/>
    </row>
    <row r="330" spans="1:16">
      <c r="A330" s="1340">
        <f t="shared" si="10"/>
        <v>2019.09</v>
      </c>
      <c r="B330" s="252">
        <v>221093</v>
      </c>
      <c r="C330" s="1313">
        <v>49382</v>
      </c>
      <c r="D330" s="3034">
        <v>9919</v>
      </c>
      <c r="E330" s="2140">
        <v>2790</v>
      </c>
      <c r="F330" s="3034">
        <v>4</v>
      </c>
      <c r="G330" s="169">
        <v>133186</v>
      </c>
      <c r="H330" s="3199">
        <f t="shared" si="9"/>
        <v>133190</v>
      </c>
      <c r="I330" s="169">
        <v>8923</v>
      </c>
      <c r="J330" s="2144">
        <v>16890</v>
      </c>
      <c r="K330" s="169">
        <v>126502</v>
      </c>
      <c r="L330" s="260">
        <v>19392</v>
      </c>
      <c r="M330" s="3034">
        <v>249</v>
      </c>
      <c r="N330" s="380">
        <v>126258</v>
      </c>
      <c r="O330" s="201"/>
      <c r="P330" s="1321"/>
    </row>
    <row r="331" spans="1:16">
      <c r="A331" s="1340">
        <f t="shared" si="10"/>
        <v>2019.1</v>
      </c>
      <c r="B331" s="252">
        <v>210523</v>
      </c>
      <c r="C331" s="1313">
        <v>28946</v>
      </c>
      <c r="D331" s="3034">
        <v>10717</v>
      </c>
      <c r="E331" s="2140">
        <v>1776</v>
      </c>
      <c r="F331" s="3034">
        <v>161</v>
      </c>
      <c r="G331" s="169">
        <v>145879</v>
      </c>
      <c r="H331" s="3199">
        <f t="shared" si="9"/>
        <v>146040</v>
      </c>
      <c r="I331" s="169">
        <v>5293</v>
      </c>
      <c r="J331" s="2144">
        <v>17752</v>
      </c>
      <c r="K331" s="169">
        <v>141049</v>
      </c>
      <c r="L331" s="260">
        <v>17323</v>
      </c>
      <c r="M331" s="3034">
        <v>231</v>
      </c>
      <c r="N331" s="380">
        <v>140979</v>
      </c>
      <c r="O331" s="201"/>
      <c r="P331" s="1321"/>
    </row>
    <row r="332" spans="1:16">
      <c r="A332" s="1340">
        <f t="shared" si="10"/>
        <v>2019.11</v>
      </c>
      <c r="B332" s="252">
        <v>171896</v>
      </c>
      <c r="C332" s="1313">
        <v>15387</v>
      </c>
      <c r="D332" s="3034">
        <v>9767</v>
      </c>
      <c r="E332" s="2140">
        <v>1020</v>
      </c>
      <c r="F332" s="3034">
        <v>135</v>
      </c>
      <c r="G332" s="169">
        <v>125220</v>
      </c>
      <c r="H332" s="3199">
        <f>F332+G332</f>
        <v>125355</v>
      </c>
      <c r="I332" s="169">
        <v>3286</v>
      </c>
      <c r="J332" s="2144">
        <v>17082</v>
      </c>
      <c r="K332" s="169">
        <v>121124</v>
      </c>
      <c r="L332" s="260">
        <v>14882</v>
      </c>
      <c r="M332" s="3034">
        <v>213</v>
      </c>
      <c r="N332" s="380">
        <v>121047</v>
      </c>
      <c r="O332" s="201"/>
      <c r="P332" s="1321"/>
    </row>
    <row r="333" spans="1:16">
      <c r="A333" s="1340">
        <f t="shared" si="10"/>
        <v>2019.12</v>
      </c>
      <c r="B333" s="252">
        <v>150469</v>
      </c>
      <c r="C333" s="1313">
        <v>16628</v>
      </c>
      <c r="D333" s="3034">
        <v>9388</v>
      </c>
      <c r="E333" s="2140">
        <v>671</v>
      </c>
      <c r="F333" s="3034">
        <v>440</v>
      </c>
      <c r="G333" s="169">
        <v>102778</v>
      </c>
      <c r="H333" s="3199">
        <f t="shared" si="9"/>
        <v>103218</v>
      </c>
      <c r="I333" s="169">
        <v>2910</v>
      </c>
      <c r="J333" s="2144">
        <v>17655</v>
      </c>
      <c r="K333" s="169">
        <v>99054</v>
      </c>
      <c r="L333" s="260">
        <v>13783</v>
      </c>
      <c r="M333" s="3034">
        <v>151</v>
      </c>
      <c r="N333" s="380">
        <v>99343</v>
      </c>
      <c r="O333" s="201"/>
      <c r="P333" s="201"/>
    </row>
    <row r="334" spans="1:16">
      <c r="A334" s="1340">
        <f t="shared" si="10"/>
        <v>2020.01</v>
      </c>
      <c r="B334" s="252">
        <v>141050</v>
      </c>
      <c r="C334" s="1313">
        <v>15194</v>
      </c>
      <c r="D334" s="3034">
        <v>8726</v>
      </c>
      <c r="E334" s="2140">
        <v>506</v>
      </c>
      <c r="F334" s="3034">
        <v>236</v>
      </c>
      <c r="G334" s="169">
        <v>97101</v>
      </c>
      <c r="H334" s="3199">
        <f t="shared" si="9"/>
        <v>97337</v>
      </c>
      <c r="I334" s="169">
        <v>2909</v>
      </c>
      <c r="J334" s="2144">
        <v>16378</v>
      </c>
      <c r="K334" s="169">
        <v>93987</v>
      </c>
      <c r="L334" s="260">
        <v>12346</v>
      </c>
      <c r="M334" s="3034">
        <v>162</v>
      </c>
      <c r="N334" s="380">
        <v>94060</v>
      </c>
      <c r="O334" s="201"/>
      <c r="P334" s="201"/>
    </row>
    <row r="335" spans="1:16">
      <c r="A335" s="1340">
        <f t="shared" si="10"/>
        <v>2020.02</v>
      </c>
      <c r="B335" s="252">
        <v>153198</v>
      </c>
      <c r="C335" s="1313">
        <v>15096</v>
      </c>
      <c r="D335" s="3034">
        <v>9508</v>
      </c>
      <c r="E335" s="2140">
        <v>477</v>
      </c>
      <c r="F335" s="3034">
        <v>1760</v>
      </c>
      <c r="G335" s="169">
        <v>107731</v>
      </c>
      <c r="H335" s="3199">
        <f t="shared" si="9"/>
        <v>109491</v>
      </c>
      <c r="I335" s="169">
        <v>2907</v>
      </c>
      <c r="J335" s="2144">
        <v>15720</v>
      </c>
      <c r="K335" s="169">
        <v>104807</v>
      </c>
      <c r="L335" s="260">
        <v>12908</v>
      </c>
      <c r="M335" s="3034">
        <v>216</v>
      </c>
      <c r="N335" s="380">
        <v>106351</v>
      </c>
      <c r="O335" s="201"/>
      <c r="P335" s="201"/>
    </row>
    <row r="336" spans="1:16">
      <c r="A336" s="1340">
        <f t="shared" si="10"/>
        <v>2020.03</v>
      </c>
      <c r="B336" s="252">
        <v>151041</v>
      </c>
      <c r="C336" s="1313">
        <v>16968</v>
      </c>
      <c r="D336" s="3034">
        <v>10092</v>
      </c>
      <c r="E336" s="2140">
        <v>503</v>
      </c>
      <c r="F336" s="3034">
        <v>150</v>
      </c>
      <c r="G336" s="169">
        <v>108172</v>
      </c>
      <c r="H336" s="3199">
        <f t="shared" si="9"/>
        <v>108322</v>
      </c>
      <c r="I336" s="169">
        <v>3463</v>
      </c>
      <c r="J336" s="2144">
        <v>11695</v>
      </c>
      <c r="K336" s="169">
        <v>104530</v>
      </c>
      <c r="L336" s="260">
        <v>14236</v>
      </c>
      <c r="M336" s="3034">
        <v>309</v>
      </c>
      <c r="N336" s="380">
        <v>104371</v>
      </c>
      <c r="O336" s="201"/>
      <c r="P336" s="201"/>
    </row>
    <row r="337" spans="1:14">
      <c r="A337" s="1340">
        <f t="shared" si="10"/>
        <v>2020.04</v>
      </c>
      <c r="B337" s="252">
        <v>145162</v>
      </c>
      <c r="C337" s="1313">
        <v>26221</v>
      </c>
      <c r="D337" s="3034">
        <v>8938</v>
      </c>
      <c r="E337" s="2140">
        <v>267</v>
      </c>
      <c r="F337" s="3034">
        <v>1</v>
      </c>
      <c r="G337" s="169">
        <v>99186</v>
      </c>
      <c r="H337" s="3199">
        <f t="shared" si="9"/>
        <v>99187</v>
      </c>
      <c r="I337" s="169">
        <v>4352</v>
      </c>
      <c r="J337" s="2144">
        <v>6197</v>
      </c>
      <c r="K337" s="169">
        <v>96808</v>
      </c>
      <c r="L337" s="260">
        <v>11583</v>
      </c>
      <c r="M337" s="3034">
        <v>182</v>
      </c>
      <c r="N337" s="380">
        <v>96627</v>
      </c>
    </row>
    <row r="338" spans="1:14">
      <c r="A338" s="1340">
        <f t="shared" si="10"/>
        <v>2020.05</v>
      </c>
      <c r="B338" s="252">
        <v>192417</v>
      </c>
      <c r="C338" s="1313">
        <v>54817</v>
      </c>
      <c r="D338" s="3034">
        <v>9778</v>
      </c>
      <c r="E338" s="2140">
        <v>773</v>
      </c>
      <c r="F338" s="3034">
        <v>0</v>
      </c>
      <c r="G338" s="169">
        <v>109579</v>
      </c>
      <c r="H338" s="3199">
        <f t="shared" si="9"/>
        <v>109579</v>
      </c>
      <c r="I338" s="169">
        <v>7566</v>
      </c>
      <c r="J338" s="2144">
        <v>9903</v>
      </c>
      <c r="K338" s="169">
        <v>106688</v>
      </c>
      <c r="L338" s="260">
        <v>13442</v>
      </c>
      <c r="M338" s="3034">
        <v>545</v>
      </c>
      <c r="N338" s="380">
        <v>106143</v>
      </c>
    </row>
    <row r="339" spans="1:14">
      <c r="A339" s="1340">
        <f t="shared" si="10"/>
        <v>2020.06</v>
      </c>
      <c r="B339" s="252">
        <v>224643</v>
      </c>
      <c r="C339" s="1313">
        <v>80370</v>
      </c>
      <c r="D339" s="3034">
        <v>10382</v>
      </c>
      <c r="E339" s="2140">
        <v>1240</v>
      </c>
      <c r="F339" s="3034">
        <v>1</v>
      </c>
      <c r="G339" s="169">
        <v>106254</v>
      </c>
      <c r="H339" s="3199">
        <f t="shared" si="9"/>
        <v>106255</v>
      </c>
      <c r="I339" s="169">
        <v>14029</v>
      </c>
      <c r="J339" s="2144">
        <v>12366</v>
      </c>
      <c r="K339" s="169">
        <v>103397</v>
      </c>
      <c r="L339" s="260">
        <v>14479</v>
      </c>
      <c r="M339" s="3034">
        <v>680</v>
      </c>
      <c r="N339" s="380">
        <v>102719</v>
      </c>
    </row>
    <row r="340" spans="1:14">
      <c r="A340" s="1340">
        <f t="shared" si="10"/>
        <v>2020.07</v>
      </c>
      <c r="B340" s="252">
        <v>281043</v>
      </c>
      <c r="C340" s="1313">
        <v>102857</v>
      </c>
      <c r="D340" s="3034">
        <v>12065</v>
      </c>
      <c r="E340" s="2140">
        <v>1847</v>
      </c>
      <c r="F340" s="3034">
        <v>312</v>
      </c>
      <c r="G340" s="169">
        <v>133259</v>
      </c>
      <c r="H340" s="3199">
        <f t="shared" si="9"/>
        <v>133571</v>
      </c>
      <c r="I340" s="169">
        <v>16431</v>
      </c>
      <c r="J340" s="2144">
        <v>14272</v>
      </c>
      <c r="K340" s="169">
        <v>128125</v>
      </c>
      <c r="L340" s="260">
        <v>19048</v>
      </c>
      <c r="M340" s="3034">
        <v>541</v>
      </c>
      <c r="N340" s="380">
        <v>127896</v>
      </c>
    </row>
    <row r="341" spans="1:14">
      <c r="A341" s="1340">
        <f t="shared" si="10"/>
        <v>2020.08</v>
      </c>
      <c r="B341" s="252">
        <v>228270</v>
      </c>
      <c r="C341" s="1313">
        <v>67168</v>
      </c>
      <c r="D341" s="3034">
        <v>11020</v>
      </c>
      <c r="E341" s="2140">
        <v>1842</v>
      </c>
      <c r="F341" s="3034">
        <v>186</v>
      </c>
      <c r="G341" s="169">
        <v>124131</v>
      </c>
      <c r="H341" s="3199">
        <f t="shared" si="9"/>
        <v>124317</v>
      </c>
      <c r="I341" s="169">
        <v>10717</v>
      </c>
      <c r="J341" s="2144">
        <v>13206</v>
      </c>
      <c r="K341" s="169">
        <v>118845</v>
      </c>
      <c r="L341" s="260">
        <v>18148</v>
      </c>
      <c r="M341" s="3034">
        <v>441</v>
      </c>
      <c r="N341" s="380">
        <v>118589</v>
      </c>
    </row>
    <row r="342" spans="1:14">
      <c r="A342" s="1340">
        <f t="shared" si="10"/>
        <v>2020.09</v>
      </c>
      <c r="B342" s="252">
        <v>194813</v>
      </c>
      <c r="C342" s="1313">
        <v>48148</v>
      </c>
      <c r="D342" s="3034">
        <v>11505</v>
      </c>
      <c r="E342" s="2140">
        <v>1486</v>
      </c>
      <c r="F342" s="3034">
        <v>24</v>
      </c>
      <c r="G342" s="169">
        <v>112250</v>
      </c>
      <c r="H342" s="3199">
        <f t="shared" si="9"/>
        <v>112274</v>
      </c>
      <c r="I342" s="169">
        <v>9238</v>
      </c>
      <c r="J342" s="2144">
        <v>12163</v>
      </c>
      <c r="K342" s="169">
        <v>107436</v>
      </c>
      <c r="L342" s="260">
        <v>17804</v>
      </c>
      <c r="M342" s="3034">
        <v>409</v>
      </c>
      <c r="N342" s="380">
        <v>107051</v>
      </c>
    </row>
    <row r="343" spans="1:14">
      <c r="A343" s="1340">
        <f t="shared" si="10"/>
        <v>2020.1</v>
      </c>
      <c r="B343" s="252">
        <v>179810</v>
      </c>
      <c r="C343" s="1313">
        <v>16474</v>
      </c>
      <c r="D343" s="3034">
        <v>11070</v>
      </c>
      <c r="E343" s="2140">
        <v>1016</v>
      </c>
      <c r="F343" s="3034">
        <v>0</v>
      </c>
      <c r="G343" s="169">
        <v>121633</v>
      </c>
      <c r="H343" s="3199">
        <f t="shared" si="9"/>
        <v>121633</v>
      </c>
      <c r="I343" s="169">
        <v>5236</v>
      </c>
      <c r="J343" s="2144">
        <v>13273</v>
      </c>
      <c r="K343" s="169">
        <v>118116</v>
      </c>
      <c r="L343" s="260">
        <v>15603</v>
      </c>
      <c r="M343" s="3034">
        <v>345</v>
      </c>
      <c r="N343" s="380">
        <v>117770</v>
      </c>
    </row>
    <row r="344" spans="1:14">
      <c r="A344" s="1340">
        <f t="shared" si="10"/>
        <v>2020.11</v>
      </c>
      <c r="B344" s="252">
        <v>156152</v>
      </c>
      <c r="C344" s="1313">
        <v>16474</v>
      </c>
      <c r="D344" s="3034">
        <v>9592</v>
      </c>
      <c r="E344" s="2140">
        <v>657</v>
      </c>
      <c r="F344" s="3034">
        <v>203</v>
      </c>
      <c r="G344" s="169">
        <v>111020</v>
      </c>
      <c r="H344" s="3199">
        <f t="shared" si="9"/>
        <v>111223</v>
      </c>
      <c r="I344" s="169">
        <v>4154</v>
      </c>
      <c r="J344" s="2144">
        <v>14052</v>
      </c>
      <c r="K344" s="169">
        <v>107943</v>
      </c>
      <c r="L344" s="260">
        <v>13327</v>
      </c>
      <c r="M344" s="3034">
        <v>328</v>
      </c>
      <c r="N344" s="380">
        <v>107818</v>
      </c>
    </row>
    <row r="345" spans="1:14">
      <c r="A345" s="1340">
        <f t="shared" si="10"/>
        <v>2020.12</v>
      </c>
      <c r="B345" s="252">
        <v>125329</v>
      </c>
      <c r="C345" s="1313">
        <v>16167</v>
      </c>
      <c r="D345" s="3034">
        <v>7622</v>
      </c>
      <c r="E345" s="2140">
        <v>481</v>
      </c>
      <c r="F345" s="3034">
        <v>110</v>
      </c>
      <c r="G345" s="169">
        <v>80570</v>
      </c>
      <c r="H345" s="3199">
        <f t="shared" si="9"/>
        <v>80680</v>
      </c>
      <c r="I345" s="169">
        <v>4490</v>
      </c>
      <c r="J345" s="2144">
        <v>15888</v>
      </c>
      <c r="K345" s="169">
        <v>77561</v>
      </c>
      <c r="L345" s="260">
        <v>12902</v>
      </c>
      <c r="M345" s="3034">
        <v>336</v>
      </c>
      <c r="N345" s="380">
        <v>94077</v>
      </c>
    </row>
    <row r="346" spans="1:14">
      <c r="A346" s="1340">
        <f t="shared" si="10"/>
        <v>2021.01</v>
      </c>
      <c r="B346" s="252">
        <v>168555</v>
      </c>
      <c r="C346" s="1313">
        <v>14393</v>
      </c>
      <c r="D346" s="3034">
        <v>8891</v>
      </c>
      <c r="E346" s="2140">
        <v>417</v>
      </c>
      <c r="F346" s="3034">
        <v>84</v>
      </c>
      <c r="G346" s="169">
        <v>127127</v>
      </c>
      <c r="H346" s="3199">
        <f t="shared" ref="H346:H405" si="11">F346+G346</f>
        <v>127211</v>
      </c>
      <c r="I346" s="169">
        <v>3022</v>
      </c>
      <c r="J346" s="2144">
        <v>14621</v>
      </c>
      <c r="K346" s="169">
        <v>124306</v>
      </c>
      <c r="L346" s="260">
        <v>12129</v>
      </c>
      <c r="M346" s="3034">
        <v>430</v>
      </c>
      <c r="N346" s="380">
        <v>123959</v>
      </c>
    </row>
    <row r="347" spans="1:14">
      <c r="A347" s="1340">
        <f t="shared" si="10"/>
        <v>2021.02</v>
      </c>
      <c r="B347" s="252">
        <v>165229</v>
      </c>
      <c r="C347" s="1313">
        <v>14077</v>
      </c>
      <c r="D347" s="3034">
        <v>9617</v>
      </c>
      <c r="E347" s="2140">
        <v>389</v>
      </c>
      <c r="F347" s="3034">
        <v>0</v>
      </c>
      <c r="G347" s="169">
        <v>123996</v>
      </c>
      <c r="H347" s="3199">
        <f t="shared" si="11"/>
        <v>123996</v>
      </c>
      <c r="I347" s="169">
        <v>2843</v>
      </c>
      <c r="J347" s="2144">
        <v>14307</v>
      </c>
      <c r="K347" s="169">
        <v>121417</v>
      </c>
      <c r="L347" s="260">
        <v>12585</v>
      </c>
      <c r="M347" s="3034">
        <v>439</v>
      </c>
      <c r="N347" s="380">
        <v>120978</v>
      </c>
    </row>
    <row r="348" spans="1:14">
      <c r="A348" s="1340">
        <f t="shared" si="10"/>
        <v>2021.03</v>
      </c>
      <c r="B348" s="252">
        <v>188238</v>
      </c>
      <c r="C348" s="1313">
        <v>17347</v>
      </c>
      <c r="D348" s="3034">
        <v>12718</v>
      </c>
      <c r="E348" s="2140">
        <v>491</v>
      </c>
      <c r="F348" s="3034">
        <v>417</v>
      </c>
      <c r="G348" s="169">
        <v>137250</v>
      </c>
      <c r="H348" s="3199">
        <f t="shared" si="11"/>
        <v>137667</v>
      </c>
      <c r="I348" s="169">
        <v>3509</v>
      </c>
      <c r="J348" s="2144">
        <v>16506</v>
      </c>
      <c r="K348" s="169">
        <v>133063</v>
      </c>
      <c r="L348" s="260">
        <v>17397</v>
      </c>
      <c r="M348" s="3034">
        <v>520</v>
      </c>
      <c r="N348" s="380">
        <v>132960</v>
      </c>
    </row>
    <row r="349" spans="1:14">
      <c r="A349" s="1340">
        <f t="shared" si="10"/>
        <v>2021.04</v>
      </c>
      <c r="B349" s="252">
        <v>201460</v>
      </c>
      <c r="C349" s="1313">
        <v>18942</v>
      </c>
      <c r="D349" s="3034">
        <v>12417</v>
      </c>
      <c r="E349" s="2140">
        <v>580</v>
      </c>
      <c r="F349" s="3034">
        <v>77</v>
      </c>
      <c r="G349" s="169">
        <v>150160</v>
      </c>
      <c r="H349" s="3199">
        <f t="shared" si="11"/>
        <v>150237</v>
      </c>
      <c r="I349" s="169">
        <v>4193</v>
      </c>
      <c r="J349" s="2144">
        <v>15091</v>
      </c>
      <c r="K349" s="169">
        <v>145357</v>
      </c>
      <c r="L349" s="260">
        <v>17800</v>
      </c>
      <c r="M349" s="3034">
        <v>421</v>
      </c>
      <c r="N349" s="380">
        <v>145014</v>
      </c>
    </row>
    <row r="350" spans="1:14">
      <c r="A350" s="1340">
        <v>2021.05</v>
      </c>
      <c r="B350" s="252">
        <v>252139</v>
      </c>
      <c r="C350" s="1313">
        <v>65409</v>
      </c>
      <c r="D350" s="3034">
        <v>10059</v>
      </c>
      <c r="E350" s="2140">
        <v>944</v>
      </c>
      <c r="F350" s="3034">
        <v>636</v>
      </c>
      <c r="G350" s="169">
        <v>153101</v>
      </c>
      <c r="H350" s="3199">
        <v>153737</v>
      </c>
      <c r="I350" s="169">
        <v>8503</v>
      </c>
      <c r="J350" s="2144">
        <v>13488</v>
      </c>
      <c r="K350" s="169">
        <v>148941</v>
      </c>
      <c r="L350" s="260">
        <v>15163</v>
      </c>
      <c r="M350" s="3034">
        <v>439</v>
      </c>
      <c r="N350" s="380">
        <v>149138</v>
      </c>
    </row>
    <row r="351" spans="1:14">
      <c r="A351" s="1340">
        <v>2021.06</v>
      </c>
      <c r="B351" s="252">
        <v>274513</v>
      </c>
      <c r="C351" s="1313">
        <v>85014</v>
      </c>
      <c r="D351" s="3034">
        <v>9145</v>
      </c>
      <c r="E351" s="2140">
        <v>2120</v>
      </c>
      <c r="F351" s="3034">
        <v>101</v>
      </c>
      <c r="G351" s="169">
        <v>149511</v>
      </c>
      <c r="H351" s="3199">
        <v>149612</v>
      </c>
      <c r="I351" s="169">
        <v>14592</v>
      </c>
      <c r="J351" s="2144">
        <v>14029</v>
      </c>
      <c r="K351" s="169">
        <v>142323</v>
      </c>
      <c r="L351" s="260">
        <v>18453</v>
      </c>
      <c r="M351" s="3034">
        <v>464</v>
      </c>
      <c r="N351" s="380">
        <v>141961</v>
      </c>
    </row>
    <row r="352" spans="1:14">
      <c r="A352" s="1340">
        <v>2021.07</v>
      </c>
      <c r="B352" s="252">
        <v>289578</v>
      </c>
      <c r="C352" s="1313">
        <v>87100</v>
      </c>
      <c r="D352" s="3034">
        <v>9838</v>
      </c>
      <c r="E352" s="2140">
        <v>3479</v>
      </c>
      <c r="F352" s="3034">
        <v>253</v>
      </c>
      <c r="G352" s="169">
        <v>156406</v>
      </c>
      <c r="H352" s="3199">
        <v>156659</v>
      </c>
      <c r="I352" s="169">
        <v>16183</v>
      </c>
      <c r="J352" s="2144">
        <v>16319</v>
      </c>
      <c r="K352" s="169">
        <v>147548</v>
      </c>
      <c r="L352" s="260">
        <v>22175</v>
      </c>
      <c r="M352" s="3034">
        <v>548</v>
      </c>
      <c r="N352" s="380">
        <v>147253</v>
      </c>
    </row>
    <row r="353" spans="1:14">
      <c r="A353" s="1340">
        <v>2021.08</v>
      </c>
      <c r="B353" s="252">
        <v>255155</v>
      </c>
      <c r="C353" s="1313">
        <v>62285</v>
      </c>
      <c r="D353" s="3034">
        <v>9099</v>
      </c>
      <c r="E353" s="2140">
        <v>3845</v>
      </c>
      <c r="F353" s="3034">
        <v>315</v>
      </c>
      <c r="G353" s="169">
        <v>150001</v>
      </c>
      <c r="H353" s="3199">
        <v>150316</v>
      </c>
      <c r="I353" s="169">
        <v>12943</v>
      </c>
      <c r="J353" s="2144">
        <v>16665</v>
      </c>
      <c r="K353" s="169">
        <v>141326</v>
      </c>
      <c r="L353" s="260">
        <v>21620</v>
      </c>
      <c r="M353" s="3034">
        <v>562</v>
      </c>
      <c r="N353" s="380">
        <v>141080</v>
      </c>
    </row>
    <row r="354" spans="1:14">
      <c r="A354" s="1340">
        <v>2021.09</v>
      </c>
      <c r="B354" s="252">
        <v>225690</v>
      </c>
      <c r="C354" s="1313">
        <v>37134</v>
      </c>
      <c r="D354" s="3034">
        <v>8568</v>
      </c>
      <c r="E354" s="2140">
        <v>3283</v>
      </c>
      <c r="F354" s="3034">
        <v>0</v>
      </c>
      <c r="G354" s="169">
        <v>152629</v>
      </c>
      <c r="H354" s="3199">
        <v>152629</v>
      </c>
      <c r="I354" s="169">
        <v>7281</v>
      </c>
      <c r="J354" s="2144">
        <v>16794</v>
      </c>
      <c r="K354" s="169">
        <v>144930</v>
      </c>
      <c r="L354" s="260">
        <v>19550</v>
      </c>
      <c r="M354" s="3034">
        <v>532</v>
      </c>
      <c r="N354" s="380">
        <v>144399</v>
      </c>
    </row>
    <row r="355" spans="1:14">
      <c r="A355" s="1340">
        <v>2021.1</v>
      </c>
      <c r="B355" s="252">
        <v>189249</v>
      </c>
      <c r="C355" s="1313">
        <v>24070</v>
      </c>
      <c r="D355" s="3034">
        <v>8677</v>
      </c>
      <c r="E355" s="2140">
        <v>2035</v>
      </c>
      <c r="F355" s="3034">
        <v>108</v>
      </c>
      <c r="G355" s="169">
        <v>131558</v>
      </c>
      <c r="H355" s="3199">
        <v>131666</v>
      </c>
      <c r="I355" s="169">
        <v>5471</v>
      </c>
      <c r="J355" s="2144">
        <v>17331</v>
      </c>
      <c r="K355" s="169">
        <v>124726</v>
      </c>
      <c r="L355" s="260">
        <v>17544</v>
      </c>
      <c r="M355" s="3034">
        <v>522</v>
      </c>
      <c r="N355" s="380">
        <v>124313</v>
      </c>
    </row>
    <row r="356" spans="1:14">
      <c r="A356" s="1340">
        <v>2021.11</v>
      </c>
      <c r="B356" s="252">
        <v>176966</v>
      </c>
      <c r="C356" s="1313">
        <v>14748</v>
      </c>
      <c r="D356" s="3034">
        <v>9130</v>
      </c>
      <c r="E356" s="2140">
        <v>1389</v>
      </c>
      <c r="F356" s="3034">
        <v>273</v>
      </c>
      <c r="G356" s="169">
        <v>130075</v>
      </c>
      <c r="H356" s="3199">
        <v>130348</v>
      </c>
      <c r="I356" s="169">
        <v>4495</v>
      </c>
      <c r="J356" s="2144">
        <v>16855</v>
      </c>
      <c r="K356" s="169">
        <v>123734</v>
      </c>
      <c r="L356" s="260">
        <v>16859</v>
      </c>
      <c r="M356" s="3034">
        <v>565</v>
      </c>
      <c r="N356" s="380">
        <v>123442</v>
      </c>
    </row>
    <row r="357" spans="1:14">
      <c r="A357" s="1340">
        <v>2021.12</v>
      </c>
      <c r="B357" s="252">
        <v>165548</v>
      </c>
      <c r="C357" s="1313">
        <v>9934</v>
      </c>
      <c r="D357" s="3034">
        <v>8188</v>
      </c>
      <c r="E357" s="2140">
        <v>920</v>
      </c>
      <c r="F357" s="3034">
        <v>637</v>
      </c>
      <c r="G357" s="169">
        <v>124726</v>
      </c>
      <c r="H357" s="3199">
        <v>125363</v>
      </c>
      <c r="I357" s="169">
        <v>3619</v>
      </c>
      <c r="J357" s="2144">
        <v>17523</v>
      </c>
      <c r="K357" s="169">
        <v>119110</v>
      </c>
      <c r="L357" s="260">
        <v>14724</v>
      </c>
      <c r="M357" s="3034">
        <v>461</v>
      </c>
      <c r="N357" s="380">
        <v>119286</v>
      </c>
    </row>
    <row r="358" spans="1:14">
      <c r="A358" s="1340">
        <v>2022.01</v>
      </c>
      <c r="B358" s="252">
        <v>153279</v>
      </c>
      <c r="C358" s="1313">
        <v>13092</v>
      </c>
      <c r="D358" s="3034">
        <v>6398</v>
      </c>
      <c r="E358" s="2140">
        <v>672</v>
      </c>
      <c r="F358" s="3034">
        <v>1196</v>
      </c>
      <c r="G358" s="169">
        <v>114372</v>
      </c>
      <c r="H358" s="3199">
        <v>115568</v>
      </c>
      <c r="I358" s="169">
        <v>3138</v>
      </c>
      <c r="J358" s="2144">
        <v>14412</v>
      </c>
      <c r="K358" s="169">
        <v>109803</v>
      </c>
      <c r="L358" s="260">
        <v>11639</v>
      </c>
      <c r="M358" s="3034">
        <v>432</v>
      </c>
      <c r="N358" s="380">
        <v>110567</v>
      </c>
    </row>
    <row r="359" spans="1:14">
      <c r="A359" s="1340">
        <v>2022.02</v>
      </c>
      <c r="B359" s="252">
        <v>150006</v>
      </c>
      <c r="C359" s="1313">
        <v>14318</v>
      </c>
      <c r="D359" s="3034">
        <v>7562</v>
      </c>
      <c r="E359" s="2140">
        <v>673</v>
      </c>
      <c r="F359" s="3034">
        <v>344</v>
      </c>
      <c r="G359" s="169">
        <v>108870</v>
      </c>
      <c r="H359" s="3199">
        <v>109214</v>
      </c>
      <c r="I359" s="169">
        <v>3594</v>
      </c>
      <c r="J359" s="2144">
        <v>14644</v>
      </c>
      <c r="K359" s="169">
        <v>103608</v>
      </c>
      <c r="L359" s="260">
        <v>13498</v>
      </c>
      <c r="M359" s="3034">
        <v>426</v>
      </c>
      <c r="N359" s="380">
        <v>103527</v>
      </c>
    </row>
    <row r="360" spans="1:14">
      <c r="A360" s="1340">
        <v>2022.03</v>
      </c>
      <c r="B360" s="2147">
        <v>179855</v>
      </c>
      <c r="C360" s="1732">
        <v>22537</v>
      </c>
      <c r="D360" s="3034">
        <v>8542</v>
      </c>
      <c r="E360" s="2140">
        <v>760</v>
      </c>
      <c r="F360" s="3034">
        <v>1192</v>
      </c>
      <c r="G360" s="169">
        <v>125628</v>
      </c>
      <c r="H360" s="3199">
        <v>126820</v>
      </c>
      <c r="I360" s="169">
        <v>4712</v>
      </c>
      <c r="J360" s="2144">
        <v>16484</v>
      </c>
      <c r="K360" s="169">
        <v>119262</v>
      </c>
      <c r="L360" s="260">
        <v>15668</v>
      </c>
      <c r="M360" s="3034">
        <v>479</v>
      </c>
      <c r="N360" s="380">
        <v>119975</v>
      </c>
    </row>
    <row r="361" spans="1:14">
      <c r="A361" s="1340">
        <v>2022.04</v>
      </c>
      <c r="B361" s="252">
        <v>205011</v>
      </c>
      <c r="C361" s="1313">
        <v>31361</v>
      </c>
      <c r="D361" s="3034">
        <v>8732</v>
      </c>
      <c r="E361" s="2140">
        <v>1080</v>
      </c>
      <c r="F361" s="3034">
        <v>14</v>
      </c>
      <c r="G361" s="169">
        <v>141907</v>
      </c>
      <c r="H361" s="3199">
        <v>141921</v>
      </c>
      <c r="I361" s="169">
        <v>5548</v>
      </c>
      <c r="J361" s="2144">
        <v>16369</v>
      </c>
      <c r="K361" s="169">
        <v>134181</v>
      </c>
      <c r="L361" s="260">
        <v>17538</v>
      </c>
      <c r="M361" s="3034">
        <v>475</v>
      </c>
      <c r="N361" s="380">
        <v>133720</v>
      </c>
    </row>
    <row r="362" spans="1:14">
      <c r="A362" s="1340">
        <v>2022.05</v>
      </c>
      <c r="B362" s="252">
        <v>258392</v>
      </c>
      <c r="C362" s="1313">
        <v>70662</v>
      </c>
      <c r="D362" s="3034">
        <v>8491</v>
      </c>
      <c r="E362" s="2140">
        <v>2074</v>
      </c>
      <c r="F362" s="3034">
        <v>1</v>
      </c>
      <c r="G362" s="169">
        <v>149908</v>
      </c>
      <c r="H362" s="3199">
        <v>149909</v>
      </c>
      <c r="I362" s="169">
        <v>11207</v>
      </c>
      <c r="J362" s="2144">
        <v>16736</v>
      </c>
      <c r="K362" s="169">
        <v>141654</v>
      </c>
      <c r="L362" s="260">
        <v>18819</v>
      </c>
      <c r="M362" s="3034">
        <v>495</v>
      </c>
      <c r="N362" s="380">
        <v>141159</v>
      </c>
    </row>
    <row r="363" spans="1:14">
      <c r="A363" s="1340">
        <v>2022.06</v>
      </c>
      <c r="B363" s="252">
        <v>306169</v>
      </c>
      <c r="C363" s="1313">
        <v>103284</v>
      </c>
      <c r="D363" s="3034">
        <v>7472</v>
      </c>
      <c r="E363" s="2140">
        <v>3639</v>
      </c>
      <c r="F363" s="3034">
        <v>6</v>
      </c>
      <c r="G363" s="169">
        <v>159845</v>
      </c>
      <c r="H363" s="3199">
        <v>159851</v>
      </c>
      <c r="I363" s="169">
        <v>15279</v>
      </c>
      <c r="J363" s="2144">
        <v>16643</v>
      </c>
      <c r="K363" s="169">
        <v>149546</v>
      </c>
      <c r="L363" s="260">
        <v>21411</v>
      </c>
      <c r="M363" s="3034">
        <v>464</v>
      </c>
      <c r="N363" s="380">
        <v>149089</v>
      </c>
    </row>
    <row r="364" spans="1:14">
      <c r="A364" s="1340">
        <v>2022.07</v>
      </c>
      <c r="B364" s="252">
        <v>266569</v>
      </c>
      <c r="C364" s="1313">
        <v>85758</v>
      </c>
      <c r="D364" s="3034">
        <v>7275</v>
      </c>
      <c r="E364" s="2140">
        <v>4299</v>
      </c>
      <c r="F364" s="3034">
        <v>125</v>
      </c>
      <c r="G364" s="169">
        <v>138570</v>
      </c>
      <c r="H364" s="3199">
        <v>138695</v>
      </c>
      <c r="I364" s="169">
        <v>13179</v>
      </c>
      <c r="J364" s="2144">
        <v>16823</v>
      </c>
      <c r="K364" s="169">
        <v>127326</v>
      </c>
      <c r="L364" s="260">
        <v>22819</v>
      </c>
      <c r="M364" s="3034">
        <v>542</v>
      </c>
      <c r="N364" s="380">
        <v>126908</v>
      </c>
    </row>
    <row r="365" spans="1:14">
      <c r="A365" s="1340">
        <f t="shared" si="10"/>
        <v>2022.08</v>
      </c>
      <c r="B365" s="252">
        <v>227967</v>
      </c>
      <c r="C365" s="1313">
        <v>71975</v>
      </c>
      <c r="D365" s="3034">
        <v>7131</v>
      </c>
      <c r="E365" s="2140">
        <v>3887</v>
      </c>
      <c r="F365" s="3034">
        <v>321</v>
      </c>
      <c r="G365" s="169">
        <v>115422</v>
      </c>
      <c r="H365" s="3199">
        <v>138695</v>
      </c>
      <c r="I365" s="169">
        <v>12595</v>
      </c>
      <c r="J365" s="2144">
        <v>16636</v>
      </c>
      <c r="K365" s="169">
        <v>104366</v>
      </c>
      <c r="L365" s="260">
        <v>21711</v>
      </c>
      <c r="M365" s="3034">
        <v>511</v>
      </c>
      <c r="N365" s="380">
        <v>104176</v>
      </c>
    </row>
    <row r="366" spans="1:14">
      <c r="A366" s="1340">
        <f t="shared" si="10"/>
        <v>2022.09</v>
      </c>
      <c r="B366" s="252">
        <v>198152</v>
      </c>
      <c r="C366" s="1313">
        <v>42127</v>
      </c>
      <c r="D366" s="3034">
        <v>6997</v>
      </c>
      <c r="E366" s="2140">
        <v>3349</v>
      </c>
      <c r="F366" s="3034">
        <v>23</v>
      </c>
      <c r="G366" s="169">
        <v>120473</v>
      </c>
      <c r="H366" s="3199">
        <f t="shared" si="11"/>
        <v>120496</v>
      </c>
      <c r="I366" s="169">
        <v>9073</v>
      </c>
      <c r="J366" s="2144">
        <v>16109</v>
      </c>
      <c r="K366" s="169">
        <v>110757</v>
      </c>
      <c r="L366" s="260">
        <v>20062</v>
      </c>
      <c r="M366" s="3034">
        <v>521</v>
      </c>
      <c r="N366" s="380">
        <v>110258</v>
      </c>
    </row>
    <row r="367" spans="1:14">
      <c r="A367" s="1340">
        <f t="shared" si="10"/>
        <v>2022.1</v>
      </c>
      <c r="B367" s="252">
        <v>189942</v>
      </c>
      <c r="C367" s="1313">
        <v>26562</v>
      </c>
      <c r="D367" s="3034">
        <v>6539</v>
      </c>
      <c r="E367" s="2140">
        <v>2432</v>
      </c>
      <c r="F367" s="3034">
        <v>262</v>
      </c>
      <c r="G367" s="169">
        <v>132298</v>
      </c>
      <c r="H367" s="3199">
        <f t="shared" si="11"/>
        <v>132560</v>
      </c>
      <c r="I367" s="169">
        <v>5547</v>
      </c>
      <c r="J367" s="2144">
        <v>16302</v>
      </c>
      <c r="K367" s="169">
        <v>124182</v>
      </c>
      <c r="L367" s="260">
        <v>17087</v>
      </c>
      <c r="M367" s="3034">
        <v>520</v>
      </c>
      <c r="N367" s="380">
        <v>123925</v>
      </c>
    </row>
    <row r="368" spans="1:14">
      <c r="A368" s="1340">
        <f t="shared" si="10"/>
        <v>2022.11</v>
      </c>
      <c r="B368" s="252">
        <v>182186</v>
      </c>
      <c r="C368" s="1313">
        <v>13658</v>
      </c>
      <c r="D368" s="3034">
        <v>6922</v>
      </c>
      <c r="E368" s="2140">
        <v>1694</v>
      </c>
      <c r="F368" s="3034">
        <v>315</v>
      </c>
      <c r="G368" s="169">
        <v>139471</v>
      </c>
      <c r="H368" s="3199">
        <f t="shared" si="11"/>
        <v>139786</v>
      </c>
      <c r="I368" s="169">
        <v>4558</v>
      </c>
      <c r="J368" s="2144">
        <v>15569</v>
      </c>
      <c r="K368" s="169">
        <v>131556</v>
      </c>
      <c r="L368" s="260">
        <v>16529</v>
      </c>
      <c r="M368" s="3034">
        <v>498</v>
      </c>
      <c r="N368" s="380">
        <v>131374</v>
      </c>
    </row>
    <row r="369" spans="1:14">
      <c r="A369" s="1340">
        <f t="shared" si="10"/>
        <v>2022.12</v>
      </c>
      <c r="B369" s="252">
        <v>166931</v>
      </c>
      <c r="C369" s="1313">
        <v>11692</v>
      </c>
      <c r="D369" s="3034">
        <v>6345</v>
      </c>
      <c r="E369" s="2140">
        <v>1081</v>
      </c>
      <c r="F369" s="3034">
        <v>2195</v>
      </c>
      <c r="G369" s="169">
        <v>126029</v>
      </c>
      <c r="H369" s="3199">
        <f t="shared" si="11"/>
        <v>128224</v>
      </c>
      <c r="I369" s="169">
        <v>3737</v>
      </c>
      <c r="J369" s="2144">
        <v>15852</v>
      </c>
      <c r="K369" s="169">
        <v>119435</v>
      </c>
      <c r="L369" s="260">
        <v>14019</v>
      </c>
      <c r="M369" s="3034">
        <v>481</v>
      </c>
      <c r="N369" s="380">
        <v>121150</v>
      </c>
    </row>
    <row r="370" spans="1:14">
      <c r="A370" s="1340">
        <f t="shared" si="10"/>
        <v>2023.01</v>
      </c>
      <c r="B370" s="252">
        <v>142736</v>
      </c>
      <c r="C370" s="1313">
        <v>10418</v>
      </c>
      <c r="D370" s="3034">
        <v>5771</v>
      </c>
      <c r="E370" s="2140">
        <v>817</v>
      </c>
      <c r="F370" s="3034">
        <v>348</v>
      </c>
      <c r="G370" s="169">
        <v>107344</v>
      </c>
      <c r="H370" s="3199">
        <f t="shared" si="11"/>
        <v>107692</v>
      </c>
      <c r="I370" s="169">
        <v>3441</v>
      </c>
      <c r="J370" s="2144">
        <v>14597</v>
      </c>
      <c r="K370" s="169">
        <v>101282</v>
      </c>
      <c r="L370" s="260">
        <v>12651</v>
      </c>
      <c r="M370" s="3034">
        <v>478</v>
      </c>
      <c r="N370" s="380">
        <v>101152</v>
      </c>
    </row>
    <row r="371" spans="1:14">
      <c r="A371" s="1340">
        <f t="shared" si="10"/>
        <v>2023.02</v>
      </c>
      <c r="B371" s="252">
        <v>132166</v>
      </c>
      <c r="C371" s="1313">
        <v>12720</v>
      </c>
      <c r="D371" s="3034">
        <v>6069</v>
      </c>
      <c r="E371" s="2140">
        <v>759</v>
      </c>
      <c r="F371" s="3034">
        <v>1475</v>
      </c>
      <c r="G371" s="169">
        <v>94163</v>
      </c>
      <c r="H371" s="3199">
        <f t="shared" si="11"/>
        <v>95638</v>
      </c>
      <c r="I371" s="169">
        <v>3288</v>
      </c>
      <c r="J371" s="2144">
        <v>13692</v>
      </c>
      <c r="K371" s="169">
        <v>88406</v>
      </c>
      <c r="L371" s="260">
        <v>12575</v>
      </c>
      <c r="M371" s="3034">
        <v>448</v>
      </c>
      <c r="N371" s="380">
        <v>89443</v>
      </c>
    </row>
    <row r="372" spans="1:14">
      <c r="A372" s="1340">
        <f t="shared" si="10"/>
        <v>2023.03</v>
      </c>
      <c r="B372" s="252">
        <v>154835</v>
      </c>
      <c r="C372" s="1313">
        <v>14745</v>
      </c>
      <c r="D372" s="3034">
        <v>6815</v>
      </c>
      <c r="E372" s="2140">
        <v>840</v>
      </c>
      <c r="F372" s="3034">
        <v>493</v>
      </c>
      <c r="G372" s="169">
        <v>112057</v>
      </c>
      <c r="H372" s="3199">
        <f t="shared" si="11"/>
        <v>112550</v>
      </c>
      <c r="I372" s="169">
        <v>4095</v>
      </c>
      <c r="J372" s="2144">
        <v>15792</v>
      </c>
      <c r="K372" s="169">
        <v>105769</v>
      </c>
      <c r="L372" s="260">
        <v>14339</v>
      </c>
      <c r="M372" s="3034">
        <v>523</v>
      </c>
      <c r="N372" s="380">
        <v>105740</v>
      </c>
    </row>
    <row r="373" spans="1:14">
      <c r="A373" s="1340">
        <f t="shared" si="10"/>
        <v>2023.04</v>
      </c>
      <c r="B373" s="252">
        <v>177658</v>
      </c>
      <c r="C373" s="1313">
        <v>25690</v>
      </c>
      <c r="D373" s="3034">
        <v>10652</v>
      </c>
      <c r="E373" s="2140">
        <v>1157</v>
      </c>
      <c r="F373" s="3034">
        <v>120</v>
      </c>
      <c r="G373" s="169">
        <v>120678</v>
      </c>
      <c r="H373" s="3199">
        <f t="shared" si="11"/>
        <v>120798</v>
      </c>
      <c r="I373" s="169">
        <v>4432</v>
      </c>
      <c r="J373" s="2144">
        <v>14930</v>
      </c>
      <c r="K373" s="169">
        <v>115515</v>
      </c>
      <c r="L373" s="260">
        <v>16972</v>
      </c>
      <c r="M373" s="3034">
        <v>539</v>
      </c>
      <c r="N373" s="380">
        <v>115095</v>
      </c>
    </row>
    <row r="374" spans="1:14">
      <c r="A374" s="1340">
        <f t="shared" si="10"/>
        <v>2023.05</v>
      </c>
      <c r="B374" s="252">
        <v>214967</v>
      </c>
      <c r="C374" s="1313">
        <v>44716</v>
      </c>
      <c r="D374" s="3034">
        <v>9411</v>
      </c>
      <c r="E374" s="2140">
        <v>1723</v>
      </c>
      <c r="F374" s="3034">
        <v>14</v>
      </c>
      <c r="G374" s="169">
        <v>136420</v>
      </c>
      <c r="H374" s="3199">
        <f t="shared" si="11"/>
        <v>136434</v>
      </c>
      <c r="I374" s="169">
        <v>7206</v>
      </c>
      <c r="J374" s="2144">
        <v>15479</v>
      </c>
      <c r="K374" s="169">
        <v>130585</v>
      </c>
      <c r="L374" s="260">
        <v>16969</v>
      </c>
      <c r="M374" s="3034">
        <v>447</v>
      </c>
      <c r="N374" s="380">
        <v>130151</v>
      </c>
    </row>
    <row r="375" spans="1:14">
      <c r="A375" s="1340">
        <f t="shared" si="10"/>
        <v>2023.06</v>
      </c>
      <c r="B375" s="252">
        <v>240779</v>
      </c>
      <c r="C375" s="1313">
        <v>75683</v>
      </c>
      <c r="D375" s="3034">
        <v>9145</v>
      </c>
      <c r="E375" s="2140">
        <v>2539</v>
      </c>
      <c r="F375" s="3034">
        <v>189</v>
      </c>
      <c r="G375" s="169">
        <v>125795</v>
      </c>
      <c r="H375" s="3199">
        <f t="shared" si="11"/>
        <v>125984</v>
      </c>
      <c r="I375" s="169">
        <v>12043</v>
      </c>
      <c r="J375" s="2144">
        <v>15384</v>
      </c>
      <c r="K375" s="169">
        <v>119209</v>
      </c>
      <c r="L375" s="260">
        <v>18271</v>
      </c>
      <c r="M375" s="3034">
        <v>481</v>
      </c>
      <c r="N375" s="380">
        <v>118917</v>
      </c>
    </row>
    <row r="376" spans="1:14">
      <c r="A376" s="1340">
        <f t="shared" si="10"/>
        <v>2023.07</v>
      </c>
      <c r="B376" s="252">
        <v>236814</v>
      </c>
      <c r="C376" s="1313">
        <v>89695</v>
      </c>
      <c r="D376" s="3034">
        <v>8564</v>
      </c>
      <c r="E376" s="2140">
        <v>3501</v>
      </c>
      <c r="F376" s="3034">
        <v>0</v>
      </c>
      <c r="G376" s="169">
        <v>106198</v>
      </c>
      <c r="H376" s="3199">
        <f t="shared" si="11"/>
        <v>106198</v>
      </c>
      <c r="I376" s="169">
        <v>13193</v>
      </c>
      <c r="J376" s="2144">
        <v>15664</v>
      </c>
      <c r="K376" s="169">
        <v>98293</v>
      </c>
      <c r="L376" s="260">
        <v>19969</v>
      </c>
      <c r="M376" s="3034">
        <f>411</f>
        <v>411</v>
      </c>
      <c r="N376" s="380">
        <v>97883</v>
      </c>
    </row>
    <row r="377" spans="1:14">
      <c r="A377" s="1340">
        <f t="shared" si="10"/>
        <v>2023.08</v>
      </c>
      <c r="B377" s="252">
        <v>208424</v>
      </c>
      <c r="C377" s="1313">
        <v>67333</v>
      </c>
      <c r="D377" s="3034">
        <v>9196</v>
      </c>
      <c r="E377" s="2140">
        <v>3888</v>
      </c>
      <c r="F377" s="3034">
        <v>493</v>
      </c>
      <c r="G377" s="169">
        <v>100274</v>
      </c>
      <c r="H377" s="3199">
        <f t="shared" si="11"/>
        <v>100767</v>
      </c>
      <c r="I377" s="169">
        <v>11471</v>
      </c>
      <c r="J377" s="2144">
        <v>15769</v>
      </c>
      <c r="K377" s="169">
        <v>90964</v>
      </c>
      <c r="L377" s="260">
        <v>22394</v>
      </c>
      <c r="M377" s="3034">
        <v>429</v>
      </c>
      <c r="N377" s="380">
        <v>91029</v>
      </c>
    </row>
    <row r="378" spans="1:14">
      <c r="A378" s="1340">
        <f t="shared" si="10"/>
        <v>2023.09</v>
      </c>
      <c r="B378" s="252">
        <v>199852</v>
      </c>
      <c r="C378" s="1313">
        <v>51722</v>
      </c>
      <c r="D378" s="3034">
        <v>9236</v>
      </c>
      <c r="E378" s="2140">
        <v>3513</v>
      </c>
      <c r="F378" s="3034">
        <v>554</v>
      </c>
      <c r="G378" s="169">
        <v>110468</v>
      </c>
      <c r="H378" s="3199">
        <f t="shared" si="11"/>
        <v>111022</v>
      </c>
      <c r="I378" s="169">
        <v>9217</v>
      </c>
      <c r="J378" s="2144">
        <v>15142</v>
      </c>
      <c r="K378" s="169">
        <v>102385</v>
      </c>
      <c r="L378" s="260">
        <v>20815</v>
      </c>
      <c r="M378" s="3034">
        <v>401</v>
      </c>
      <c r="N378" s="380">
        <v>102556</v>
      </c>
    </row>
    <row r="379" spans="1:14">
      <c r="A379" s="1340">
        <f t="shared" si="10"/>
        <v>2023.1</v>
      </c>
      <c r="B379" s="252">
        <v>175829</v>
      </c>
      <c r="C379" s="1313">
        <v>24810</v>
      </c>
      <c r="D379" s="3034">
        <v>9041</v>
      </c>
      <c r="E379" s="2140">
        <v>2707</v>
      </c>
      <c r="F379" s="3034">
        <v>1282</v>
      </c>
      <c r="G379" s="169">
        <v>117144</v>
      </c>
      <c r="H379" s="3199">
        <f t="shared" si="11"/>
        <v>118426</v>
      </c>
      <c r="I379" s="169">
        <v>5348</v>
      </c>
      <c r="J379" s="2144">
        <v>15499</v>
      </c>
      <c r="K379" s="169">
        <v>110124</v>
      </c>
      <c r="L379" s="260">
        <v>18312</v>
      </c>
      <c r="M379" s="3034">
        <v>389</v>
      </c>
      <c r="N379" s="380">
        <v>111018</v>
      </c>
    </row>
    <row r="380" spans="1:14">
      <c r="A380" s="1340">
        <f t="shared" si="10"/>
        <v>2023.11</v>
      </c>
      <c r="B380" s="252">
        <v>162066</v>
      </c>
      <c r="C380" s="1313">
        <v>21219</v>
      </c>
      <c r="D380" s="3034">
        <v>8700</v>
      </c>
      <c r="E380" s="2140">
        <v>1725</v>
      </c>
      <c r="F380" s="3034">
        <v>666</v>
      </c>
      <c r="G380" s="169">
        <v>109895</v>
      </c>
      <c r="H380" s="3199">
        <f t="shared" si="11"/>
        <v>110561</v>
      </c>
      <c r="I380" s="169">
        <v>4874</v>
      </c>
      <c r="J380" s="2144">
        <v>14987</v>
      </c>
      <c r="K380" s="169">
        <v>103894</v>
      </c>
      <c r="L380" s="260">
        <v>15825</v>
      </c>
      <c r="M380" s="3034">
        <v>460</v>
      </c>
      <c r="N380" s="380">
        <v>104100</v>
      </c>
    </row>
    <row r="381" spans="1:14">
      <c r="A381" s="1340">
        <f t="shared" si="10"/>
        <v>2023.12</v>
      </c>
      <c r="B381" s="252">
        <v>131655</v>
      </c>
      <c r="C381" s="1313">
        <v>15923</v>
      </c>
      <c r="D381" s="3034">
        <v>7705</v>
      </c>
      <c r="E381" s="2140">
        <v>1288</v>
      </c>
      <c r="F381" s="3034">
        <v>1013</v>
      </c>
      <c r="G381" s="169">
        <v>86802</v>
      </c>
      <c r="H381" s="3199">
        <f t="shared" si="11"/>
        <v>87815</v>
      </c>
      <c r="I381" s="169">
        <v>3509</v>
      </c>
      <c r="J381" s="2144">
        <v>15414</v>
      </c>
      <c r="K381" s="169">
        <v>81155</v>
      </c>
      <c r="L381" s="260">
        <v>13696</v>
      </c>
      <c r="M381" s="3034">
        <v>270</v>
      </c>
      <c r="N381" s="380">
        <v>81898</v>
      </c>
    </row>
    <row r="382" spans="1:14">
      <c r="A382" s="1340">
        <f t="shared" ref="A382:A445" si="12">A370+1</f>
        <v>2024.01</v>
      </c>
      <c r="B382" s="252">
        <v>142347</v>
      </c>
      <c r="C382" s="1313">
        <v>14457</v>
      </c>
      <c r="D382" s="3034">
        <v>3799</v>
      </c>
      <c r="E382" s="2140">
        <v>210</v>
      </c>
      <c r="F382" s="3034">
        <v>1015</v>
      </c>
      <c r="G382" s="169">
        <v>105093</v>
      </c>
      <c r="H382" s="3199">
        <f t="shared" si="11"/>
        <v>106108</v>
      </c>
      <c r="I382" s="169">
        <v>4183</v>
      </c>
      <c r="J382" s="2144">
        <v>13589</v>
      </c>
      <c r="K382" s="169">
        <v>97083</v>
      </c>
      <c r="L382" s="260">
        <v>12019</v>
      </c>
      <c r="M382" s="3034">
        <v>322</v>
      </c>
      <c r="N382" s="380">
        <v>97776</v>
      </c>
    </row>
    <row r="383" spans="1:14">
      <c r="A383" s="1340">
        <f t="shared" si="12"/>
        <v>2024.02</v>
      </c>
      <c r="B383" s="252">
        <v>143844</v>
      </c>
      <c r="C383" s="1313">
        <v>14520</v>
      </c>
      <c r="D383" s="3034">
        <v>7493</v>
      </c>
      <c r="E383" s="2140">
        <v>810</v>
      </c>
      <c r="F383" s="3034">
        <v>720</v>
      </c>
      <c r="G383" s="169">
        <v>103276</v>
      </c>
      <c r="H383" s="3199">
        <f t="shared" si="11"/>
        <v>103996</v>
      </c>
      <c r="I383" s="169">
        <v>3901</v>
      </c>
      <c r="J383" s="2144">
        <v>13124</v>
      </c>
      <c r="K383" s="169">
        <v>98884</v>
      </c>
      <c r="L383" s="260">
        <v>12695</v>
      </c>
      <c r="M383" s="3034">
        <v>368</v>
      </c>
      <c r="N383" s="380">
        <v>99237</v>
      </c>
    </row>
    <row r="384" spans="1:14">
      <c r="A384" s="1340">
        <f t="shared" si="12"/>
        <v>2024.03</v>
      </c>
      <c r="B384" s="252">
        <v>150913</v>
      </c>
      <c r="C384" s="1313">
        <v>18422</v>
      </c>
      <c r="D384" s="3034">
        <v>5304</v>
      </c>
      <c r="E384" s="2140">
        <v>231</v>
      </c>
      <c r="F384" s="3034">
        <v>637</v>
      </c>
      <c r="G384" s="169">
        <v>107492</v>
      </c>
      <c r="H384" s="3199">
        <f t="shared" si="11"/>
        <v>108129</v>
      </c>
      <c r="I384" s="169">
        <v>4867</v>
      </c>
      <c r="J384" s="2144">
        <v>13959</v>
      </c>
      <c r="K384" s="169">
        <v>97747</v>
      </c>
      <c r="L384" s="260">
        <v>15280</v>
      </c>
      <c r="M384" s="3034">
        <v>487</v>
      </c>
      <c r="N384" s="380">
        <v>97897</v>
      </c>
    </row>
    <row r="385" spans="1:14">
      <c r="A385" s="1340">
        <f t="shared" si="12"/>
        <v>2024.04</v>
      </c>
      <c r="B385" s="252">
        <v>180419</v>
      </c>
      <c r="C385" s="1313">
        <v>26356</v>
      </c>
      <c r="D385" s="3034">
        <v>5502</v>
      </c>
      <c r="E385" s="2140">
        <v>376</v>
      </c>
      <c r="F385" s="3034">
        <v>1</v>
      </c>
      <c r="G385" s="169">
        <v>128874</v>
      </c>
      <c r="H385" s="3199">
        <f t="shared" si="11"/>
        <v>128875</v>
      </c>
      <c r="I385" s="169">
        <v>5714</v>
      </c>
      <c r="J385" s="2144">
        <v>13595</v>
      </c>
      <c r="K385" s="169">
        <v>117405</v>
      </c>
      <c r="L385" s="260">
        <v>17348</v>
      </c>
      <c r="M385" s="3034">
        <v>446</v>
      </c>
      <c r="N385" s="380">
        <v>116959</v>
      </c>
    </row>
    <row r="386" spans="1:14">
      <c r="A386" s="1340">
        <f t="shared" si="12"/>
        <v>2024.05</v>
      </c>
      <c r="B386" s="252">
        <v>253549</v>
      </c>
      <c r="C386" s="1313">
        <v>83633</v>
      </c>
      <c r="D386" s="3034">
        <v>6747</v>
      </c>
      <c r="E386" s="2140">
        <v>907</v>
      </c>
      <c r="F386" s="3034">
        <v>27</v>
      </c>
      <c r="G386" s="169">
        <v>133023</v>
      </c>
      <c r="H386" s="3199">
        <f t="shared" si="11"/>
        <v>133050</v>
      </c>
      <c r="I386" s="169">
        <v>14799</v>
      </c>
      <c r="J386" s="2144">
        <v>14413</v>
      </c>
      <c r="K386" s="169">
        <v>121318</v>
      </c>
      <c r="L386" s="260">
        <v>19359</v>
      </c>
      <c r="M386" s="3034">
        <v>501</v>
      </c>
      <c r="N386" s="380">
        <v>120845</v>
      </c>
    </row>
    <row r="387" spans="1:14">
      <c r="A387" s="1340">
        <f t="shared" si="12"/>
        <v>2024.06</v>
      </c>
      <c r="B387" s="252">
        <v>246493</v>
      </c>
      <c r="C387" s="1313">
        <v>69472</v>
      </c>
      <c r="D387" s="3034">
        <v>8187</v>
      </c>
      <c r="E387" s="2140">
        <v>1277</v>
      </c>
      <c r="F387" s="3034">
        <v>970</v>
      </c>
      <c r="G387" s="169">
        <v>140530</v>
      </c>
      <c r="H387" s="3199">
        <f>F387+G387</f>
        <v>141500</v>
      </c>
      <c r="I387" s="169">
        <v>12255</v>
      </c>
      <c r="J387" s="2144">
        <v>13802</v>
      </c>
      <c r="K387" s="169">
        <v>129289</v>
      </c>
      <c r="L387" s="260">
        <v>20705</v>
      </c>
      <c r="M387" s="3034">
        <v>451</v>
      </c>
      <c r="N387" s="380">
        <v>129809</v>
      </c>
    </row>
    <row r="388" spans="1:14">
      <c r="A388" s="1340">
        <f t="shared" si="12"/>
        <v>2024.07</v>
      </c>
      <c r="B388" s="252">
        <v>278597</v>
      </c>
      <c r="C388" s="1313">
        <v>99029</v>
      </c>
      <c r="D388" s="3034">
        <v>8665</v>
      </c>
      <c r="E388" s="2515">
        <v>1681</v>
      </c>
      <c r="F388" s="3034">
        <v>239</v>
      </c>
      <c r="G388" s="169">
        <v>134474</v>
      </c>
      <c r="H388" s="3199">
        <f t="shared" si="11"/>
        <v>134713</v>
      </c>
      <c r="I388" s="169">
        <v>20163</v>
      </c>
      <c r="J388" s="2144">
        <v>14346</v>
      </c>
      <c r="K388" s="169">
        <v>122453</v>
      </c>
      <c r="L388" s="260">
        <v>22367</v>
      </c>
      <c r="M388" s="3034">
        <v>460</v>
      </c>
      <c r="N388" s="380">
        <v>122233</v>
      </c>
    </row>
    <row r="389" spans="1:14">
      <c r="A389" s="1340">
        <f t="shared" si="12"/>
        <v>2024.08</v>
      </c>
      <c r="B389" s="252">
        <v>240084</v>
      </c>
      <c r="C389" s="1313">
        <v>85998</v>
      </c>
      <c r="D389" s="3034">
        <v>8128</v>
      </c>
      <c r="E389" s="2140">
        <v>1825</v>
      </c>
      <c r="F389" s="3034">
        <v>166</v>
      </c>
      <c r="G389" s="169">
        <v>112725</v>
      </c>
      <c r="H389" s="3199">
        <f t="shared" si="11"/>
        <v>112891</v>
      </c>
      <c r="I389" s="169">
        <v>16733</v>
      </c>
      <c r="J389" s="2144">
        <v>14509</v>
      </c>
      <c r="K389" s="169">
        <v>99845</v>
      </c>
      <c r="L389" s="260">
        <v>22832</v>
      </c>
      <c r="M389" s="3034">
        <v>436</v>
      </c>
      <c r="N389" s="380">
        <v>99574</v>
      </c>
    </row>
    <row r="390" spans="1:14">
      <c r="A390" s="1340">
        <f t="shared" si="12"/>
        <v>2024.09</v>
      </c>
      <c r="B390" s="252">
        <v>172356</v>
      </c>
      <c r="C390" s="1313">
        <v>33727</v>
      </c>
      <c r="D390" s="3034">
        <v>7192</v>
      </c>
      <c r="E390" s="2140">
        <v>1100</v>
      </c>
      <c r="F390" s="3034">
        <v>211</v>
      </c>
      <c r="G390" s="169">
        <v>108468</v>
      </c>
      <c r="H390" s="3199">
        <f t="shared" si="11"/>
        <v>108679</v>
      </c>
      <c r="I390" s="169">
        <v>8057</v>
      </c>
      <c r="J390" s="2144">
        <v>13600</v>
      </c>
      <c r="K390" s="169">
        <v>96503</v>
      </c>
      <c r="L390" s="260">
        <v>20258</v>
      </c>
      <c r="M390" s="3034">
        <v>499</v>
      </c>
      <c r="N390" s="380">
        <v>96215</v>
      </c>
    </row>
    <row r="391" spans="1:14">
      <c r="A391" s="1340">
        <f t="shared" si="12"/>
        <v>2024.1</v>
      </c>
      <c r="B391" s="252">
        <v>182982</v>
      </c>
      <c r="C391" s="1313">
        <v>19586</v>
      </c>
      <c r="D391" s="3034">
        <v>11380</v>
      </c>
      <c r="E391" s="2140">
        <v>1742</v>
      </c>
      <c r="F391" s="3034">
        <v>447</v>
      </c>
      <c r="G391" s="169">
        <v>130601</v>
      </c>
      <c r="H391" s="3199">
        <f t="shared" si="11"/>
        <v>131048</v>
      </c>
      <c r="I391" s="169">
        <v>4914</v>
      </c>
      <c r="J391" s="2144">
        <v>14312</v>
      </c>
      <c r="K391" s="169">
        <v>124640</v>
      </c>
      <c r="L391" s="260">
        <v>19083</v>
      </c>
      <c r="M391" s="3034">
        <v>514</v>
      </c>
      <c r="N391" s="380">
        <v>124573</v>
      </c>
    </row>
    <row r="392" spans="1:14">
      <c r="A392" s="1340">
        <f t="shared" si="12"/>
        <v>2024.11</v>
      </c>
      <c r="B392" s="252">
        <v>161509</v>
      </c>
      <c r="C392" s="1313">
        <v>17331</v>
      </c>
      <c r="D392" s="3034">
        <v>10679</v>
      </c>
      <c r="E392" s="2140">
        <v>742</v>
      </c>
      <c r="F392" s="3034">
        <v>400</v>
      </c>
      <c r="G392" s="169">
        <v>115222</v>
      </c>
      <c r="H392" s="3199">
        <f t="shared" si="11"/>
        <v>115622</v>
      </c>
      <c r="I392" s="169">
        <v>3284</v>
      </c>
      <c r="J392" s="2144">
        <v>13852</v>
      </c>
      <c r="K392" s="169" t="e">
        <v>#N/A</v>
      </c>
      <c r="L392" s="260">
        <v>15429</v>
      </c>
      <c r="M392" s="3034">
        <v>453</v>
      </c>
      <c r="N392" s="380">
        <v>111161</v>
      </c>
    </row>
    <row r="393" spans="1:14">
      <c r="A393" s="1340">
        <f t="shared" si="12"/>
        <v>2024.12</v>
      </c>
      <c r="B393" s="252">
        <v>143153</v>
      </c>
      <c r="C393" s="1313">
        <v>17666</v>
      </c>
      <c r="D393" s="3034">
        <v>8367</v>
      </c>
      <c r="E393" s="2140">
        <v>560</v>
      </c>
      <c r="F393" s="3034">
        <v>300</v>
      </c>
      <c r="G393" s="169">
        <v>98582</v>
      </c>
      <c r="H393" s="3199">
        <f t="shared" si="11"/>
        <v>98882</v>
      </c>
      <c r="I393" s="169">
        <v>3710</v>
      </c>
      <c r="J393" s="2144">
        <v>13967</v>
      </c>
      <c r="K393" s="169">
        <v>94649</v>
      </c>
      <c r="L393" s="260">
        <v>12861</v>
      </c>
      <c r="M393" s="3034">
        <v>386</v>
      </c>
      <c r="N393" s="380">
        <v>94563</v>
      </c>
    </row>
    <row r="394" spans="1:14">
      <c r="A394" s="1340">
        <f t="shared" si="12"/>
        <v>2025.01</v>
      </c>
      <c r="B394" s="252">
        <v>143123</v>
      </c>
      <c r="C394" s="1313">
        <v>13996</v>
      </c>
      <c r="D394" s="3034">
        <v>7600</v>
      </c>
      <c r="E394" s="2140">
        <v>447</v>
      </c>
      <c r="F394" s="3034">
        <v>267</v>
      </c>
      <c r="G394" s="169">
        <v>104954</v>
      </c>
      <c r="H394" s="3199">
        <f t="shared" si="11"/>
        <v>105221</v>
      </c>
      <c r="I394" s="169">
        <v>3237</v>
      </c>
      <c r="J394" s="2144">
        <v>12622</v>
      </c>
      <c r="K394" s="169">
        <v>101246</v>
      </c>
      <c r="L394" s="260">
        <v>11755</v>
      </c>
      <c r="M394" s="3034">
        <v>315</v>
      </c>
      <c r="N394" s="380">
        <v>101197</v>
      </c>
    </row>
    <row r="395" spans="1:14">
      <c r="A395" s="1340">
        <f t="shared" si="12"/>
        <v>2025.02</v>
      </c>
      <c r="B395" s="252">
        <v>136747</v>
      </c>
      <c r="C395" s="1313">
        <v>12765</v>
      </c>
      <c r="D395" s="3034">
        <v>9432</v>
      </c>
      <c r="E395" s="2140">
        <v>326</v>
      </c>
      <c r="F395" s="3034">
        <v>842</v>
      </c>
      <c r="G395" s="169">
        <v>99082</v>
      </c>
      <c r="H395" s="3199">
        <f t="shared" si="11"/>
        <v>99924</v>
      </c>
      <c r="I395" s="169">
        <v>2375</v>
      </c>
      <c r="J395" s="2144">
        <v>11926</v>
      </c>
      <c r="K395" s="169">
        <v>95598</v>
      </c>
      <c r="L395" s="260">
        <v>13241</v>
      </c>
      <c r="M395" s="3034">
        <v>426</v>
      </c>
      <c r="N395" s="380">
        <v>96013</v>
      </c>
    </row>
    <row r="396" spans="1:14">
      <c r="A396" s="1340">
        <f t="shared" si="12"/>
        <v>2025.03</v>
      </c>
      <c r="B396" s="252">
        <v>142577</v>
      </c>
      <c r="C396" s="1313">
        <v>19942</v>
      </c>
      <c r="D396" s="3034">
        <v>10490</v>
      </c>
      <c r="E396" s="2140">
        <v>336</v>
      </c>
      <c r="F396" s="3034">
        <v>154</v>
      </c>
      <c r="G396" s="169">
        <v>96087</v>
      </c>
      <c r="H396" s="3199">
        <f t="shared" si="11"/>
        <v>96241</v>
      </c>
      <c r="I396" s="169">
        <v>2503</v>
      </c>
      <c r="J396" s="2144">
        <v>13065</v>
      </c>
      <c r="K396" s="169" t="e">
        <v>#N/A</v>
      </c>
      <c r="L396" s="260">
        <v>14798</v>
      </c>
      <c r="M396" s="3034">
        <v>471</v>
      </c>
      <c r="N396" s="380">
        <v>91798</v>
      </c>
    </row>
    <row r="397" spans="1:14">
      <c r="A397" s="1340">
        <f t="shared" si="12"/>
        <v>2025.04</v>
      </c>
      <c r="B397" s="252" t="e">
        <v>#N/A</v>
      </c>
      <c r="C397" s="1313" t="e">
        <v>#N/A</v>
      </c>
      <c r="D397" s="3034" t="e">
        <v>#N/A</v>
      </c>
      <c r="E397" s="2140" t="e">
        <v>#N/A</v>
      </c>
      <c r="F397" s="3034" t="e">
        <v>#N/A</v>
      </c>
      <c r="G397" s="169" t="e">
        <v>#N/A</v>
      </c>
      <c r="H397" s="3199" t="e">
        <f t="shared" si="11"/>
        <v>#N/A</v>
      </c>
      <c r="I397" s="169" t="e">
        <v>#N/A</v>
      </c>
      <c r="J397" s="2144" t="e">
        <v>#N/A</v>
      </c>
      <c r="K397" s="169" t="e">
        <v>#N/A</v>
      </c>
      <c r="L397" s="260" t="e">
        <v>#N/A</v>
      </c>
      <c r="M397" s="3034" t="e">
        <v>#N/A</v>
      </c>
      <c r="N397" s="380" t="e">
        <v>#N/A</v>
      </c>
    </row>
    <row r="398" spans="1:14">
      <c r="A398" s="1340">
        <f t="shared" si="12"/>
        <v>2025.05</v>
      </c>
      <c r="B398" s="252" t="e">
        <v>#N/A</v>
      </c>
      <c r="C398" s="1313" t="e">
        <v>#N/A</v>
      </c>
      <c r="D398" s="3034" t="e">
        <v>#N/A</v>
      </c>
      <c r="E398" s="2140" t="e">
        <v>#N/A</v>
      </c>
      <c r="F398" s="3034" t="e">
        <v>#N/A</v>
      </c>
      <c r="G398" s="169" t="e">
        <v>#N/A</v>
      </c>
      <c r="H398" s="3199" t="e">
        <f t="shared" si="11"/>
        <v>#N/A</v>
      </c>
      <c r="I398" s="169" t="e">
        <v>#N/A</v>
      </c>
      <c r="J398" s="2144" t="e">
        <v>#N/A</v>
      </c>
      <c r="K398" s="169" t="e">
        <v>#N/A</v>
      </c>
      <c r="L398" s="260" t="e">
        <v>#N/A</v>
      </c>
      <c r="M398" s="3034" t="e">
        <v>#N/A</v>
      </c>
      <c r="N398" s="380" t="e">
        <v>#N/A</v>
      </c>
    </row>
    <row r="399" spans="1:14">
      <c r="A399" s="1340">
        <f t="shared" si="12"/>
        <v>2025.06</v>
      </c>
      <c r="B399" s="252" t="e">
        <v>#N/A</v>
      </c>
      <c r="C399" s="1313" t="e">
        <v>#N/A</v>
      </c>
      <c r="D399" s="3034" t="e">
        <v>#N/A</v>
      </c>
      <c r="E399" s="2140" t="e">
        <v>#N/A</v>
      </c>
      <c r="F399" s="3034" t="e">
        <v>#N/A</v>
      </c>
      <c r="G399" s="169" t="e">
        <v>#N/A</v>
      </c>
      <c r="H399" s="3199" t="e">
        <f t="shared" si="11"/>
        <v>#N/A</v>
      </c>
      <c r="I399" s="169" t="e">
        <v>#N/A</v>
      </c>
      <c r="J399" s="2144" t="e">
        <v>#N/A</v>
      </c>
      <c r="K399" s="169" t="e">
        <v>#N/A</v>
      </c>
      <c r="L399" s="260" t="e">
        <v>#N/A</v>
      </c>
      <c r="M399" s="3034" t="e">
        <v>#N/A</v>
      </c>
      <c r="N399" s="380" t="e">
        <v>#N/A</v>
      </c>
    </row>
    <row r="400" spans="1:14">
      <c r="A400" s="1340">
        <f t="shared" si="12"/>
        <v>2025.07</v>
      </c>
      <c r="B400" s="252" t="e">
        <v>#N/A</v>
      </c>
      <c r="C400" s="1313" t="e">
        <v>#N/A</v>
      </c>
      <c r="D400" s="3034" t="e">
        <v>#N/A</v>
      </c>
      <c r="E400" s="2140" t="e">
        <v>#N/A</v>
      </c>
      <c r="F400" s="3034" t="e">
        <v>#N/A</v>
      </c>
      <c r="G400" s="169" t="e">
        <v>#N/A</v>
      </c>
      <c r="H400" s="3199" t="e">
        <f t="shared" si="11"/>
        <v>#N/A</v>
      </c>
      <c r="I400" s="169" t="e">
        <v>#N/A</v>
      </c>
      <c r="J400" s="2144" t="e">
        <v>#N/A</v>
      </c>
      <c r="K400" s="169" t="e">
        <v>#N/A</v>
      </c>
      <c r="L400" s="260" t="e">
        <v>#N/A</v>
      </c>
      <c r="M400" s="3034" t="e">
        <v>#N/A</v>
      </c>
      <c r="N400" s="380" t="e">
        <v>#N/A</v>
      </c>
    </row>
    <row r="401" spans="1:14">
      <c r="A401" s="1340">
        <f t="shared" si="12"/>
        <v>2025.08</v>
      </c>
      <c r="B401" s="252" t="e">
        <v>#N/A</v>
      </c>
      <c r="C401" s="1313" t="e">
        <v>#N/A</v>
      </c>
      <c r="D401" s="3034" t="e">
        <v>#N/A</v>
      </c>
      <c r="E401" s="2140" t="e">
        <v>#N/A</v>
      </c>
      <c r="F401" s="3034" t="e">
        <v>#N/A</v>
      </c>
      <c r="G401" s="169" t="e">
        <v>#N/A</v>
      </c>
      <c r="H401" s="3199" t="e">
        <f t="shared" si="11"/>
        <v>#N/A</v>
      </c>
      <c r="I401" s="169" t="e">
        <v>#N/A</v>
      </c>
      <c r="J401" s="2144" t="e">
        <v>#N/A</v>
      </c>
      <c r="K401" s="169" t="e">
        <v>#N/A</v>
      </c>
      <c r="L401" s="260" t="e">
        <v>#N/A</v>
      </c>
      <c r="M401" s="3034" t="e">
        <v>#N/A</v>
      </c>
      <c r="N401" s="380" t="e">
        <v>#N/A</v>
      </c>
    </row>
    <row r="402" spans="1:14">
      <c r="A402" s="1340">
        <f t="shared" si="12"/>
        <v>2025.09</v>
      </c>
      <c r="B402" s="252" t="e">
        <v>#N/A</v>
      </c>
      <c r="C402" s="1313" t="e">
        <v>#N/A</v>
      </c>
      <c r="D402" s="3034" t="e">
        <v>#N/A</v>
      </c>
      <c r="E402" s="2140" t="e">
        <v>#N/A</v>
      </c>
      <c r="F402" s="3034" t="e">
        <v>#N/A</v>
      </c>
      <c r="G402" s="169" t="e">
        <v>#N/A</v>
      </c>
      <c r="H402" s="3199" t="e">
        <f t="shared" si="11"/>
        <v>#N/A</v>
      </c>
      <c r="I402" s="169" t="e">
        <v>#N/A</v>
      </c>
      <c r="J402" s="2144" t="e">
        <v>#N/A</v>
      </c>
      <c r="K402" s="169" t="e">
        <v>#N/A</v>
      </c>
      <c r="L402" s="260" t="e">
        <v>#N/A</v>
      </c>
      <c r="M402" s="3034" t="e">
        <v>#N/A</v>
      </c>
      <c r="N402" s="380" t="e">
        <v>#N/A</v>
      </c>
    </row>
    <row r="403" spans="1:14">
      <c r="A403" s="1340">
        <f t="shared" si="12"/>
        <v>2025.1</v>
      </c>
      <c r="B403" s="252" t="e">
        <v>#N/A</v>
      </c>
      <c r="C403" s="1313" t="e">
        <v>#N/A</v>
      </c>
      <c r="D403" s="3034" t="e">
        <v>#N/A</v>
      </c>
      <c r="E403" s="2140" t="e">
        <v>#N/A</v>
      </c>
      <c r="F403" s="3034" t="e">
        <v>#N/A</v>
      </c>
      <c r="G403" s="169" t="e">
        <v>#N/A</v>
      </c>
      <c r="H403" s="3199" t="e">
        <f t="shared" si="11"/>
        <v>#N/A</v>
      </c>
      <c r="I403" s="169" t="e">
        <v>#N/A</v>
      </c>
      <c r="J403" s="2144" t="e">
        <v>#N/A</v>
      </c>
      <c r="K403" s="169" t="e">
        <v>#N/A</v>
      </c>
      <c r="L403" s="260" t="e">
        <v>#N/A</v>
      </c>
      <c r="M403" s="3034" t="e">
        <v>#N/A</v>
      </c>
      <c r="N403" s="380" t="e">
        <v>#N/A</v>
      </c>
    </row>
    <row r="404" spans="1:14">
      <c r="A404" s="1340">
        <f t="shared" si="12"/>
        <v>2025.11</v>
      </c>
      <c r="B404" s="252" t="e">
        <v>#N/A</v>
      </c>
      <c r="C404" s="1313" t="e">
        <v>#N/A</v>
      </c>
      <c r="D404" s="3034" t="e">
        <v>#N/A</v>
      </c>
      <c r="E404" s="2140" t="e">
        <v>#N/A</v>
      </c>
      <c r="F404" s="3034" t="e">
        <v>#N/A</v>
      </c>
      <c r="G404" s="169" t="e">
        <v>#N/A</v>
      </c>
      <c r="H404" s="3199" t="e">
        <f t="shared" si="11"/>
        <v>#N/A</v>
      </c>
      <c r="I404" s="169" t="e">
        <v>#N/A</v>
      </c>
      <c r="J404" s="2144" t="e">
        <v>#N/A</v>
      </c>
      <c r="K404" s="169" t="e">
        <v>#N/A</v>
      </c>
      <c r="L404" s="260" t="e">
        <v>#N/A</v>
      </c>
      <c r="M404" s="3034" t="e">
        <v>#N/A</v>
      </c>
      <c r="N404" s="380" t="e">
        <v>#N/A</v>
      </c>
    </row>
    <row r="405" spans="1:14">
      <c r="A405" s="1340">
        <f t="shared" si="12"/>
        <v>2025.12</v>
      </c>
      <c r="B405" s="252" t="e">
        <v>#N/A</v>
      </c>
      <c r="C405" s="1313" t="e">
        <v>#N/A</v>
      </c>
      <c r="D405" s="3034" t="e">
        <v>#N/A</v>
      </c>
      <c r="E405" s="2140" t="e">
        <v>#N/A</v>
      </c>
      <c r="F405" s="3034" t="e">
        <v>#N/A</v>
      </c>
      <c r="G405" s="169" t="e">
        <v>#N/A</v>
      </c>
      <c r="H405" s="3199" t="e">
        <f t="shared" si="11"/>
        <v>#N/A</v>
      </c>
      <c r="I405" s="169" t="e">
        <v>#N/A</v>
      </c>
      <c r="J405" s="2144" t="e">
        <v>#N/A</v>
      </c>
      <c r="K405" s="169" t="e">
        <v>#N/A</v>
      </c>
      <c r="L405" s="260" t="e">
        <v>#N/A</v>
      </c>
      <c r="M405" s="3034" t="e">
        <v>#N/A</v>
      </c>
      <c r="N405" s="380" t="e">
        <v>#N/A</v>
      </c>
    </row>
    <row r="406" spans="1:14">
      <c r="A406" s="1340">
        <f t="shared" si="12"/>
        <v>2026.01</v>
      </c>
      <c r="B406" s="252" t="e">
        <v>#N/A</v>
      </c>
      <c r="C406" s="1313" t="e">
        <v>#N/A</v>
      </c>
      <c r="D406" s="3034" t="e">
        <v>#N/A</v>
      </c>
      <c r="E406" s="2140" t="e">
        <v>#N/A</v>
      </c>
      <c r="F406" s="3034" t="e">
        <v>#N/A</v>
      </c>
      <c r="G406" s="169" t="e">
        <v>#N/A</v>
      </c>
      <c r="H406" s="3199" t="e">
        <f t="shared" ref="H406:H420" si="13">F406+G406</f>
        <v>#N/A</v>
      </c>
      <c r="I406" s="169" t="e">
        <v>#N/A</v>
      </c>
      <c r="J406" s="2144" t="e">
        <v>#N/A</v>
      </c>
      <c r="K406" s="169" t="e">
        <v>#N/A</v>
      </c>
      <c r="L406" s="260" t="e">
        <v>#N/A</v>
      </c>
      <c r="M406" s="3034" t="e">
        <v>#N/A</v>
      </c>
      <c r="N406" s="380" t="e">
        <v>#N/A</v>
      </c>
    </row>
    <row r="407" spans="1:14">
      <c r="A407" s="1340">
        <f t="shared" si="12"/>
        <v>2026.02</v>
      </c>
      <c r="B407" s="252" t="e">
        <v>#N/A</v>
      </c>
      <c r="C407" s="1313" t="e">
        <v>#N/A</v>
      </c>
      <c r="D407" s="3034" t="e">
        <v>#N/A</v>
      </c>
      <c r="E407" s="2140" t="e">
        <v>#N/A</v>
      </c>
      <c r="F407" s="3034" t="e">
        <v>#N/A</v>
      </c>
      <c r="G407" s="169" t="e">
        <v>#N/A</v>
      </c>
      <c r="H407" s="3199" t="e">
        <f t="shared" si="13"/>
        <v>#N/A</v>
      </c>
      <c r="I407" s="169" t="e">
        <v>#N/A</v>
      </c>
      <c r="J407" s="2144" t="e">
        <v>#N/A</v>
      </c>
      <c r="K407" s="169" t="e">
        <v>#N/A</v>
      </c>
      <c r="L407" s="260" t="e">
        <v>#N/A</v>
      </c>
      <c r="M407" s="3034" t="e">
        <v>#N/A</v>
      </c>
      <c r="N407" s="380" t="e">
        <v>#N/A</v>
      </c>
    </row>
    <row r="408" spans="1:14">
      <c r="A408" s="1340">
        <f t="shared" si="12"/>
        <v>2026.03</v>
      </c>
      <c r="B408" s="252" t="e">
        <v>#N/A</v>
      </c>
      <c r="C408" s="1313" t="e">
        <v>#N/A</v>
      </c>
      <c r="D408" s="3034" t="e">
        <v>#N/A</v>
      </c>
      <c r="E408" s="2140" t="e">
        <v>#N/A</v>
      </c>
      <c r="F408" s="3034" t="e">
        <v>#N/A</v>
      </c>
      <c r="G408" s="169" t="e">
        <v>#N/A</v>
      </c>
      <c r="H408" s="3199" t="e">
        <f t="shared" si="13"/>
        <v>#N/A</v>
      </c>
      <c r="I408" s="169" t="e">
        <v>#N/A</v>
      </c>
      <c r="J408" s="2144" t="e">
        <v>#N/A</v>
      </c>
      <c r="K408" s="169" t="e">
        <v>#N/A</v>
      </c>
      <c r="L408" s="260" t="e">
        <v>#N/A</v>
      </c>
      <c r="M408" s="3034" t="e">
        <v>#N/A</v>
      </c>
      <c r="N408" s="380" t="e">
        <v>#N/A</v>
      </c>
    </row>
    <row r="409" spans="1:14">
      <c r="A409" s="1340">
        <f t="shared" si="12"/>
        <v>2026.04</v>
      </c>
      <c r="B409" s="252" t="e">
        <v>#N/A</v>
      </c>
      <c r="C409" s="1313" t="e">
        <v>#N/A</v>
      </c>
      <c r="D409" s="3034" t="e">
        <v>#N/A</v>
      </c>
      <c r="E409" s="2140" t="e">
        <v>#N/A</v>
      </c>
      <c r="F409" s="3034" t="e">
        <v>#N/A</v>
      </c>
      <c r="G409" s="169" t="e">
        <v>#N/A</v>
      </c>
      <c r="H409" s="3199" t="e">
        <f t="shared" si="13"/>
        <v>#N/A</v>
      </c>
      <c r="I409" s="169" t="e">
        <v>#N/A</v>
      </c>
      <c r="J409" s="2144" t="e">
        <v>#N/A</v>
      </c>
      <c r="K409" s="169" t="e">
        <v>#N/A</v>
      </c>
      <c r="L409" s="260" t="e">
        <v>#N/A</v>
      </c>
      <c r="M409" s="3034" t="e">
        <v>#N/A</v>
      </c>
      <c r="N409" s="380" t="e">
        <v>#N/A</v>
      </c>
    </row>
    <row r="410" spans="1:14">
      <c r="A410" s="1340">
        <f t="shared" si="12"/>
        <v>2026.05</v>
      </c>
      <c r="B410" s="252" t="e">
        <v>#N/A</v>
      </c>
      <c r="C410" s="1313" t="e">
        <v>#N/A</v>
      </c>
      <c r="D410" s="3034" t="e">
        <v>#N/A</v>
      </c>
      <c r="E410" s="2140" t="e">
        <v>#N/A</v>
      </c>
      <c r="F410" s="3034" t="e">
        <v>#N/A</v>
      </c>
      <c r="G410" s="169" t="e">
        <v>#N/A</v>
      </c>
      <c r="H410" s="3199" t="e">
        <f t="shared" si="13"/>
        <v>#N/A</v>
      </c>
      <c r="I410" s="169" t="e">
        <v>#N/A</v>
      </c>
      <c r="J410" s="2144" t="e">
        <v>#N/A</v>
      </c>
      <c r="K410" s="169" t="e">
        <v>#N/A</v>
      </c>
      <c r="L410" s="260" t="e">
        <v>#N/A</v>
      </c>
      <c r="M410" s="3034" t="e">
        <v>#N/A</v>
      </c>
      <c r="N410" s="380" t="e">
        <v>#N/A</v>
      </c>
    </row>
    <row r="411" spans="1:14">
      <c r="A411" s="1340">
        <f t="shared" si="12"/>
        <v>2026.06</v>
      </c>
      <c r="B411" s="252" t="e">
        <v>#N/A</v>
      </c>
      <c r="C411" s="1313" t="e">
        <v>#N/A</v>
      </c>
      <c r="D411" s="3034" t="e">
        <v>#N/A</v>
      </c>
      <c r="E411" s="2140" t="e">
        <v>#N/A</v>
      </c>
      <c r="F411" s="3034" t="e">
        <v>#N/A</v>
      </c>
      <c r="G411" s="169" t="e">
        <v>#N/A</v>
      </c>
      <c r="H411" s="3199" t="e">
        <f t="shared" si="13"/>
        <v>#N/A</v>
      </c>
      <c r="I411" s="169" t="e">
        <v>#N/A</v>
      </c>
      <c r="J411" s="2144" t="e">
        <v>#N/A</v>
      </c>
      <c r="K411" s="169" t="e">
        <v>#N/A</v>
      </c>
      <c r="L411" s="260" t="e">
        <v>#N/A</v>
      </c>
      <c r="M411" s="3034" t="e">
        <v>#N/A</v>
      </c>
      <c r="N411" s="380" t="e">
        <v>#N/A</v>
      </c>
    </row>
    <row r="412" spans="1:14">
      <c r="A412" s="1340">
        <f t="shared" si="12"/>
        <v>2026.07</v>
      </c>
      <c r="B412" s="252" t="e">
        <v>#N/A</v>
      </c>
      <c r="C412" s="1313" t="e">
        <v>#N/A</v>
      </c>
      <c r="D412" s="3034" t="e">
        <v>#N/A</v>
      </c>
      <c r="E412" s="2140" t="e">
        <v>#N/A</v>
      </c>
      <c r="F412" s="3034" t="e">
        <v>#N/A</v>
      </c>
      <c r="G412" s="169" t="e">
        <v>#N/A</v>
      </c>
      <c r="H412" s="3199" t="e">
        <f t="shared" si="13"/>
        <v>#N/A</v>
      </c>
      <c r="I412" s="169" t="e">
        <v>#N/A</v>
      </c>
      <c r="J412" s="2144" t="e">
        <v>#N/A</v>
      </c>
      <c r="K412" s="169" t="e">
        <v>#N/A</v>
      </c>
      <c r="L412" s="260" t="e">
        <v>#N/A</v>
      </c>
      <c r="M412" s="3034" t="e">
        <v>#N/A</v>
      </c>
      <c r="N412" s="380" t="e">
        <v>#N/A</v>
      </c>
    </row>
    <row r="413" spans="1:14">
      <c r="A413" s="1340">
        <f t="shared" si="12"/>
        <v>2026.08</v>
      </c>
      <c r="B413" s="252" t="e">
        <v>#N/A</v>
      </c>
      <c r="C413" s="1313" t="e">
        <v>#N/A</v>
      </c>
      <c r="D413" s="3034" t="e">
        <v>#N/A</v>
      </c>
      <c r="E413" s="2140" t="e">
        <v>#N/A</v>
      </c>
      <c r="F413" s="3034" t="e">
        <v>#N/A</v>
      </c>
      <c r="G413" s="169" t="e">
        <v>#N/A</v>
      </c>
      <c r="H413" s="3199" t="e">
        <f t="shared" si="13"/>
        <v>#N/A</v>
      </c>
      <c r="I413" s="169" t="e">
        <v>#N/A</v>
      </c>
      <c r="J413" s="2144" t="e">
        <v>#N/A</v>
      </c>
      <c r="K413" s="169" t="e">
        <v>#N/A</v>
      </c>
      <c r="L413" s="260" t="e">
        <v>#N/A</v>
      </c>
      <c r="M413" s="3034" t="e">
        <v>#N/A</v>
      </c>
      <c r="N413" s="380" t="e">
        <v>#N/A</v>
      </c>
    </row>
    <row r="414" spans="1:14">
      <c r="A414" s="1340">
        <f t="shared" si="12"/>
        <v>2026.09</v>
      </c>
      <c r="B414" s="252" t="e">
        <v>#N/A</v>
      </c>
      <c r="C414" s="1313" t="e">
        <v>#N/A</v>
      </c>
      <c r="D414" s="3034" t="e">
        <v>#N/A</v>
      </c>
      <c r="E414" s="2140" t="e">
        <v>#N/A</v>
      </c>
      <c r="F414" s="3034" t="e">
        <v>#N/A</v>
      </c>
      <c r="G414" s="169" t="e">
        <v>#N/A</v>
      </c>
      <c r="H414" s="3199" t="e">
        <f t="shared" si="13"/>
        <v>#N/A</v>
      </c>
      <c r="I414" s="169" t="e">
        <v>#N/A</v>
      </c>
      <c r="J414" s="2144" t="e">
        <v>#N/A</v>
      </c>
      <c r="K414" s="169" t="e">
        <v>#N/A</v>
      </c>
      <c r="L414" s="260" t="e">
        <v>#N/A</v>
      </c>
      <c r="M414" s="3034" t="e">
        <v>#N/A</v>
      </c>
      <c r="N414" s="380" t="e">
        <v>#N/A</v>
      </c>
    </row>
    <row r="415" spans="1:14">
      <c r="A415" s="1340">
        <f t="shared" si="12"/>
        <v>2026.1</v>
      </c>
      <c r="B415" s="252" t="e">
        <v>#N/A</v>
      </c>
      <c r="C415" s="1313" t="e">
        <v>#N/A</v>
      </c>
      <c r="D415" s="3034" t="e">
        <v>#N/A</v>
      </c>
      <c r="E415" s="2140" t="e">
        <v>#N/A</v>
      </c>
      <c r="F415" s="3034" t="e">
        <v>#N/A</v>
      </c>
      <c r="G415" s="169" t="e">
        <v>#N/A</v>
      </c>
      <c r="H415" s="3199" t="e">
        <f t="shared" si="13"/>
        <v>#N/A</v>
      </c>
      <c r="I415" s="169" t="e">
        <v>#N/A</v>
      </c>
      <c r="J415" s="2144" t="e">
        <v>#N/A</v>
      </c>
      <c r="K415" s="169" t="e">
        <v>#N/A</v>
      </c>
      <c r="L415" s="260" t="e">
        <v>#N/A</v>
      </c>
      <c r="M415" s="3034" t="e">
        <v>#N/A</v>
      </c>
      <c r="N415" s="380" t="e">
        <v>#N/A</v>
      </c>
    </row>
    <row r="416" spans="1:14">
      <c r="A416" s="1340">
        <f t="shared" si="12"/>
        <v>2026.11</v>
      </c>
      <c r="B416" s="252" t="e">
        <v>#N/A</v>
      </c>
      <c r="C416" s="1313" t="e">
        <v>#N/A</v>
      </c>
      <c r="D416" s="3034" t="e">
        <v>#N/A</v>
      </c>
      <c r="E416" s="2140" t="e">
        <v>#N/A</v>
      </c>
      <c r="F416" s="3034" t="e">
        <v>#N/A</v>
      </c>
      <c r="G416" s="169" t="e">
        <v>#N/A</v>
      </c>
      <c r="H416" s="3199" t="e">
        <f t="shared" si="13"/>
        <v>#N/A</v>
      </c>
      <c r="I416" s="169" t="e">
        <v>#N/A</v>
      </c>
      <c r="J416" s="2144" t="e">
        <v>#N/A</v>
      </c>
      <c r="K416" s="169" t="e">
        <v>#N/A</v>
      </c>
      <c r="L416" s="260" t="e">
        <v>#N/A</v>
      </c>
      <c r="M416" s="3034" t="e">
        <v>#N/A</v>
      </c>
      <c r="N416" s="380" t="e">
        <v>#N/A</v>
      </c>
    </row>
    <row r="417" spans="1:14">
      <c r="A417" s="1340">
        <f t="shared" si="12"/>
        <v>2026.12</v>
      </c>
      <c r="B417" s="252" t="e">
        <v>#N/A</v>
      </c>
      <c r="C417" s="1313" t="e">
        <v>#N/A</v>
      </c>
      <c r="D417" s="3034" t="e">
        <v>#N/A</v>
      </c>
      <c r="E417" s="2140" t="e">
        <v>#N/A</v>
      </c>
      <c r="F417" s="3034" t="e">
        <v>#N/A</v>
      </c>
      <c r="G417" s="169" t="e">
        <v>#N/A</v>
      </c>
      <c r="H417" s="3199" t="e">
        <f t="shared" si="13"/>
        <v>#N/A</v>
      </c>
      <c r="I417" s="169" t="e">
        <v>#N/A</v>
      </c>
      <c r="J417" s="2144" t="e">
        <v>#N/A</v>
      </c>
      <c r="K417" s="169" t="e">
        <v>#N/A</v>
      </c>
      <c r="L417" s="260" t="e">
        <v>#N/A</v>
      </c>
      <c r="M417" s="3034" t="e">
        <v>#N/A</v>
      </c>
      <c r="N417" s="380" t="e">
        <v>#N/A</v>
      </c>
    </row>
    <row r="418" spans="1:14">
      <c r="A418" s="1340">
        <f t="shared" si="12"/>
        <v>2027.01</v>
      </c>
      <c r="B418" s="252" t="e">
        <v>#N/A</v>
      </c>
      <c r="C418" s="1313" t="e">
        <v>#N/A</v>
      </c>
      <c r="D418" s="3034" t="e">
        <v>#N/A</v>
      </c>
      <c r="E418" s="2140" t="e">
        <v>#N/A</v>
      </c>
      <c r="F418" s="3034" t="e">
        <v>#N/A</v>
      </c>
      <c r="G418" s="169" t="e">
        <v>#N/A</v>
      </c>
      <c r="H418" s="3199" t="e">
        <f t="shared" si="13"/>
        <v>#N/A</v>
      </c>
      <c r="I418" s="169" t="e">
        <v>#N/A</v>
      </c>
      <c r="J418" s="2144" t="e">
        <v>#N/A</v>
      </c>
      <c r="K418" s="169" t="e">
        <v>#N/A</v>
      </c>
      <c r="L418" s="260" t="e">
        <v>#N/A</v>
      </c>
      <c r="M418" s="3034" t="e">
        <v>#N/A</v>
      </c>
      <c r="N418" s="380" t="e">
        <v>#N/A</v>
      </c>
    </row>
    <row r="419" spans="1:14">
      <c r="A419" s="1340">
        <f t="shared" si="12"/>
        <v>2027.02</v>
      </c>
      <c r="B419" s="252" t="e">
        <v>#N/A</v>
      </c>
      <c r="C419" s="1313" t="e">
        <v>#N/A</v>
      </c>
      <c r="D419" s="3034" t="e">
        <v>#N/A</v>
      </c>
      <c r="E419" s="2140" t="e">
        <v>#N/A</v>
      </c>
      <c r="F419" s="3034" t="e">
        <v>#N/A</v>
      </c>
      <c r="G419" s="169" t="e">
        <v>#N/A</v>
      </c>
      <c r="H419" s="3199" t="e">
        <f t="shared" si="13"/>
        <v>#N/A</v>
      </c>
      <c r="I419" s="169" t="e">
        <v>#N/A</v>
      </c>
      <c r="J419" s="2144" t="e">
        <v>#N/A</v>
      </c>
      <c r="K419" s="169" t="e">
        <v>#N/A</v>
      </c>
      <c r="L419" s="260" t="e">
        <v>#N/A</v>
      </c>
      <c r="M419" s="3034" t="e">
        <v>#N/A</v>
      </c>
      <c r="N419" s="380" t="e">
        <v>#N/A</v>
      </c>
    </row>
    <row r="420" spans="1:14">
      <c r="A420" s="1340">
        <f t="shared" si="12"/>
        <v>2027.03</v>
      </c>
      <c r="B420" s="252" t="e">
        <v>#N/A</v>
      </c>
      <c r="C420" s="1313" t="e">
        <v>#N/A</v>
      </c>
      <c r="D420" s="3034" t="e">
        <v>#N/A</v>
      </c>
      <c r="E420" s="2140" t="e">
        <v>#N/A</v>
      </c>
      <c r="F420" s="3034" t="e">
        <v>#N/A</v>
      </c>
      <c r="G420" s="169" t="e">
        <v>#N/A</v>
      </c>
      <c r="H420" s="3199" t="e">
        <f t="shared" si="13"/>
        <v>#N/A</v>
      </c>
      <c r="I420" s="169" t="e">
        <v>#N/A</v>
      </c>
      <c r="J420" s="2144" t="e">
        <v>#N/A</v>
      </c>
      <c r="K420" s="169" t="e">
        <v>#N/A</v>
      </c>
      <c r="L420" s="260" t="e">
        <v>#N/A</v>
      </c>
      <c r="M420" s="3034" t="e">
        <v>#N/A</v>
      </c>
      <c r="N420" s="380" t="e">
        <v>#N/A</v>
      </c>
    </row>
    <row r="421" spans="1:14">
      <c r="A421" s="1340">
        <f t="shared" si="12"/>
        <v>2027.04</v>
      </c>
      <c r="B421" s="252" t="e">
        <v>#N/A</v>
      </c>
      <c r="C421" s="1313" t="e">
        <v>#N/A</v>
      </c>
      <c r="D421" s="3034" t="e">
        <v>#N/A</v>
      </c>
      <c r="E421" s="2140" t="e">
        <v>#N/A</v>
      </c>
      <c r="F421" s="3034" t="e">
        <v>#N/A</v>
      </c>
      <c r="G421" s="169" t="e">
        <v>#N/A</v>
      </c>
      <c r="H421" s="3199" t="e">
        <f t="shared" ref="H421:H465" si="14">F421+G421</f>
        <v>#N/A</v>
      </c>
      <c r="I421" s="169" t="e">
        <v>#N/A</v>
      </c>
      <c r="J421" s="2144" t="e">
        <v>#N/A</v>
      </c>
      <c r="K421" s="169" t="e">
        <v>#N/A</v>
      </c>
      <c r="L421" s="260" t="e">
        <v>#N/A</v>
      </c>
      <c r="M421" s="3034" t="e">
        <v>#N/A</v>
      </c>
      <c r="N421" s="380" t="e">
        <v>#N/A</v>
      </c>
    </row>
    <row r="422" spans="1:14">
      <c r="A422" s="1340">
        <f t="shared" si="12"/>
        <v>2027.05</v>
      </c>
      <c r="B422" s="252" t="e">
        <v>#N/A</v>
      </c>
      <c r="C422" s="1313" t="e">
        <v>#N/A</v>
      </c>
      <c r="D422" s="3034" t="e">
        <v>#N/A</v>
      </c>
      <c r="E422" s="2140" t="e">
        <v>#N/A</v>
      </c>
      <c r="F422" s="3034" t="e">
        <v>#N/A</v>
      </c>
      <c r="G422" s="169" t="e">
        <v>#N/A</v>
      </c>
      <c r="H422" s="3199" t="e">
        <f t="shared" si="14"/>
        <v>#N/A</v>
      </c>
      <c r="I422" s="169" t="e">
        <v>#N/A</v>
      </c>
      <c r="J422" s="2144" t="e">
        <v>#N/A</v>
      </c>
      <c r="K422" s="169" t="e">
        <v>#N/A</v>
      </c>
      <c r="L422" s="260" t="e">
        <v>#N/A</v>
      </c>
      <c r="M422" s="3034" t="e">
        <v>#N/A</v>
      </c>
      <c r="N422" s="380" t="e">
        <v>#N/A</v>
      </c>
    </row>
    <row r="423" spans="1:14">
      <c r="A423" s="1340">
        <f t="shared" si="12"/>
        <v>2027.06</v>
      </c>
      <c r="B423" s="252" t="e">
        <v>#N/A</v>
      </c>
      <c r="C423" s="1313" t="e">
        <v>#N/A</v>
      </c>
      <c r="D423" s="3034" t="e">
        <v>#N/A</v>
      </c>
      <c r="E423" s="2140" t="e">
        <v>#N/A</v>
      </c>
      <c r="F423" s="3034" t="e">
        <v>#N/A</v>
      </c>
      <c r="G423" s="169" t="e">
        <v>#N/A</v>
      </c>
      <c r="H423" s="3199" t="e">
        <f t="shared" si="14"/>
        <v>#N/A</v>
      </c>
      <c r="I423" s="169" t="e">
        <v>#N/A</v>
      </c>
      <c r="J423" s="2144" t="e">
        <v>#N/A</v>
      </c>
      <c r="K423" s="169" t="e">
        <v>#N/A</v>
      </c>
      <c r="L423" s="260" t="e">
        <v>#N/A</v>
      </c>
      <c r="M423" s="3034" t="e">
        <v>#N/A</v>
      </c>
      <c r="N423" s="380" t="e">
        <v>#N/A</v>
      </c>
    </row>
    <row r="424" spans="1:14">
      <c r="A424" s="1340">
        <f t="shared" si="12"/>
        <v>2027.07</v>
      </c>
      <c r="B424" s="252" t="e">
        <v>#N/A</v>
      </c>
      <c r="C424" s="1313" t="e">
        <v>#N/A</v>
      </c>
      <c r="D424" s="3034" t="e">
        <v>#N/A</v>
      </c>
      <c r="E424" s="2140" t="e">
        <v>#N/A</v>
      </c>
      <c r="F424" s="3034" t="e">
        <v>#N/A</v>
      </c>
      <c r="G424" s="169" t="e">
        <v>#N/A</v>
      </c>
      <c r="H424" s="3199" t="e">
        <f t="shared" si="14"/>
        <v>#N/A</v>
      </c>
      <c r="I424" s="169" t="e">
        <v>#N/A</v>
      </c>
      <c r="J424" s="2144" t="e">
        <v>#N/A</v>
      </c>
      <c r="K424" s="169" t="e">
        <v>#N/A</v>
      </c>
      <c r="L424" s="260" t="e">
        <v>#N/A</v>
      </c>
      <c r="M424" s="3034" t="e">
        <v>#N/A</v>
      </c>
      <c r="N424" s="380" t="e">
        <v>#N/A</v>
      </c>
    </row>
    <row r="425" spans="1:14">
      <c r="A425" s="1340">
        <f t="shared" si="12"/>
        <v>2027.08</v>
      </c>
      <c r="B425" s="252" t="e">
        <v>#N/A</v>
      </c>
      <c r="C425" s="1313" t="e">
        <v>#N/A</v>
      </c>
      <c r="D425" s="3034" t="e">
        <v>#N/A</v>
      </c>
      <c r="E425" s="2140" t="e">
        <v>#N/A</v>
      </c>
      <c r="F425" s="3034" t="e">
        <v>#N/A</v>
      </c>
      <c r="G425" s="169" t="e">
        <v>#N/A</v>
      </c>
      <c r="H425" s="3199" t="e">
        <f t="shared" si="14"/>
        <v>#N/A</v>
      </c>
      <c r="I425" s="169" t="e">
        <v>#N/A</v>
      </c>
      <c r="J425" s="2144" t="e">
        <v>#N/A</v>
      </c>
      <c r="K425" s="169" t="e">
        <v>#N/A</v>
      </c>
      <c r="L425" s="260" t="e">
        <v>#N/A</v>
      </c>
      <c r="M425" s="3034" t="e">
        <v>#N/A</v>
      </c>
      <c r="N425" s="380" t="e">
        <v>#N/A</v>
      </c>
    </row>
    <row r="426" spans="1:14">
      <c r="A426" s="1340">
        <f t="shared" si="12"/>
        <v>2027.09</v>
      </c>
      <c r="B426" s="252" t="e">
        <v>#N/A</v>
      </c>
      <c r="C426" s="1313" t="e">
        <v>#N/A</v>
      </c>
      <c r="D426" s="3034" t="e">
        <v>#N/A</v>
      </c>
      <c r="E426" s="2140" t="e">
        <v>#N/A</v>
      </c>
      <c r="F426" s="3034" t="e">
        <v>#N/A</v>
      </c>
      <c r="G426" s="169" t="e">
        <v>#N/A</v>
      </c>
      <c r="H426" s="3199" t="e">
        <f t="shared" si="14"/>
        <v>#N/A</v>
      </c>
      <c r="I426" s="169" t="e">
        <v>#N/A</v>
      </c>
      <c r="J426" s="2144" t="e">
        <v>#N/A</v>
      </c>
      <c r="K426" s="169" t="e">
        <v>#N/A</v>
      </c>
      <c r="L426" s="260" t="e">
        <v>#N/A</v>
      </c>
      <c r="M426" s="3034" t="e">
        <v>#N/A</v>
      </c>
      <c r="N426" s="380" t="e">
        <v>#N/A</v>
      </c>
    </row>
    <row r="427" spans="1:14">
      <c r="A427" s="1340">
        <f t="shared" si="12"/>
        <v>2027.1</v>
      </c>
      <c r="B427" s="252" t="e">
        <v>#N/A</v>
      </c>
      <c r="C427" s="1313" t="e">
        <v>#N/A</v>
      </c>
      <c r="D427" s="3034" t="e">
        <v>#N/A</v>
      </c>
      <c r="E427" s="2140" t="e">
        <v>#N/A</v>
      </c>
      <c r="F427" s="3034" t="e">
        <v>#N/A</v>
      </c>
      <c r="G427" s="169" t="e">
        <v>#N/A</v>
      </c>
      <c r="H427" s="3199" t="e">
        <f t="shared" si="14"/>
        <v>#N/A</v>
      </c>
      <c r="I427" s="169" t="e">
        <v>#N/A</v>
      </c>
      <c r="J427" s="2144" t="e">
        <v>#N/A</v>
      </c>
      <c r="K427" s="169" t="e">
        <v>#N/A</v>
      </c>
      <c r="L427" s="260" t="e">
        <v>#N/A</v>
      </c>
      <c r="M427" s="3034" t="e">
        <v>#N/A</v>
      </c>
      <c r="N427" s="380" t="e">
        <v>#N/A</v>
      </c>
    </row>
    <row r="428" spans="1:14">
      <c r="A428" s="1340">
        <f t="shared" si="12"/>
        <v>2027.11</v>
      </c>
      <c r="B428" s="252" t="e">
        <v>#N/A</v>
      </c>
      <c r="C428" s="1313" t="e">
        <v>#N/A</v>
      </c>
      <c r="D428" s="3034" t="e">
        <v>#N/A</v>
      </c>
      <c r="E428" s="2140" t="e">
        <v>#N/A</v>
      </c>
      <c r="F428" s="3034" t="e">
        <v>#N/A</v>
      </c>
      <c r="G428" s="169" t="e">
        <v>#N/A</v>
      </c>
      <c r="H428" s="3199" t="e">
        <f t="shared" si="14"/>
        <v>#N/A</v>
      </c>
      <c r="I428" s="169" t="e">
        <v>#N/A</v>
      </c>
      <c r="J428" s="2144" t="e">
        <v>#N/A</v>
      </c>
      <c r="K428" s="169" t="e">
        <v>#N/A</v>
      </c>
      <c r="L428" s="260" t="e">
        <v>#N/A</v>
      </c>
      <c r="M428" s="3034" t="e">
        <v>#N/A</v>
      </c>
      <c r="N428" s="380" t="e">
        <v>#N/A</v>
      </c>
    </row>
    <row r="429" spans="1:14">
      <c r="A429" s="1340">
        <f t="shared" si="12"/>
        <v>2027.12</v>
      </c>
      <c r="B429" s="252" t="e">
        <v>#N/A</v>
      </c>
      <c r="C429" s="1313" t="e">
        <v>#N/A</v>
      </c>
      <c r="D429" s="3034" t="e">
        <v>#N/A</v>
      </c>
      <c r="E429" s="2140" t="e">
        <v>#N/A</v>
      </c>
      <c r="F429" s="3034" t="e">
        <v>#N/A</v>
      </c>
      <c r="G429" s="169" t="e">
        <v>#N/A</v>
      </c>
      <c r="H429" s="3199" t="e">
        <f t="shared" si="14"/>
        <v>#N/A</v>
      </c>
      <c r="I429" s="169" t="e">
        <v>#N/A</v>
      </c>
      <c r="J429" s="2144" t="e">
        <v>#N/A</v>
      </c>
      <c r="K429" s="169" t="e">
        <v>#N/A</v>
      </c>
      <c r="L429" s="260" t="e">
        <v>#N/A</v>
      </c>
      <c r="M429" s="3034" t="e">
        <v>#N/A</v>
      </c>
      <c r="N429" s="380" t="e">
        <v>#N/A</v>
      </c>
    </row>
    <row r="430" spans="1:14">
      <c r="A430" s="1340">
        <f t="shared" si="12"/>
        <v>2028.01</v>
      </c>
      <c r="B430" s="252" t="e">
        <v>#N/A</v>
      </c>
      <c r="C430" s="1313" t="e">
        <v>#N/A</v>
      </c>
      <c r="D430" s="3034" t="e">
        <v>#N/A</v>
      </c>
      <c r="E430" s="2140" t="e">
        <v>#N/A</v>
      </c>
      <c r="F430" s="3034" t="e">
        <v>#N/A</v>
      </c>
      <c r="G430" s="169" t="e">
        <v>#N/A</v>
      </c>
      <c r="H430" s="3199" t="e">
        <f t="shared" si="14"/>
        <v>#N/A</v>
      </c>
      <c r="I430" s="169" t="e">
        <v>#N/A</v>
      </c>
      <c r="J430" s="2144" t="e">
        <v>#N/A</v>
      </c>
      <c r="K430" s="169" t="e">
        <v>#N/A</v>
      </c>
      <c r="L430" s="260" t="e">
        <v>#N/A</v>
      </c>
      <c r="M430" s="3034" t="e">
        <v>#N/A</v>
      </c>
      <c r="N430" s="380" t="e">
        <v>#N/A</v>
      </c>
    </row>
    <row r="431" spans="1:14">
      <c r="A431" s="1340">
        <f t="shared" si="12"/>
        <v>2028.02</v>
      </c>
      <c r="B431" s="252" t="e">
        <v>#N/A</v>
      </c>
      <c r="C431" s="1313" t="e">
        <v>#N/A</v>
      </c>
      <c r="D431" s="3034" t="e">
        <v>#N/A</v>
      </c>
      <c r="E431" s="2140" t="e">
        <v>#N/A</v>
      </c>
      <c r="F431" s="3034" t="e">
        <v>#N/A</v>
      </c>
      <c r="G431" s="169" t="e">
        <v>#N/A</v>
      </c>
      <c r="H431" s="3199" t="e">
        <f t="shared" si="14"/>
        <v>#N/A</v>
      </c>
      <c r="I431" s="169" t="e">
        <v>#N/A</v>
      </c>
      <c r="J431" s="2144" t="e">
        <v>#N/A</v>
      </c>
      <c r="K431" s="169" t="e">
        <v>#N/A</v>
      </c>
      <c r="L431" s="260" t="e">
        <v>#N/A</v>
      </c>
      <c r="M431" s="3034" t="e">
        <v>#N/A</v>
      </c>
      <c r="N431" s="380" t="e">
        <v>#N/A</v>
      </c>
    </row>
    <row r="432" spans="1:14">
      <c r="A432" s="1340">
        <f t="shared" si="12"/>
        <v>2028.03</v>
      </c>
      <c r="B432" s="252" t="e">
        <v>#N/A</v>
      </c>
      <c r="C432" s="1313" t="e">
        <v>#N/A</v>
      </c>
      <c r="D432" s="3034" t="e">
        <v>#N/A</v>
      </c>
      <c r="E432" s="2140" t="e">
        <v>#N/A</v>
      </c>
      <c r="F432" s="3034" t="e">
        <v>#N/A</v>
      </c>
      <c r="G432" s="169" t="e">
        <v>#N/A</v>
      </c>
      <c r="H432" s="3199" t="e">
        <f t="shared" si="14"/>
        <v>#N/A</v>
      </c>
      <c r="I432" s="169" t="e">
        <v>#N/A</v>
      </c>
      <c r="J432" s="2144" t="e">
        <v>#N/A</v>
      </c>
      <c r="K432" s="169" t="e">
        <v>#N/A</v>
      </c>
      <c r="L432" s="260" t="e">
        <v>#N/A</v>
      </c>
      <c r="M432" s="3034" t="e">
        <v>#N/A</v>
      </c>
      <c r="N432" s="380" t="e">
        <v>#N/A</v>
      </c>
    </row>
    <row r="433" spans="1:14">
      <c r="A433" s="1340">
        <f t="shared" si="12"/>
        <v>2028.04</v>
      </c>
      <c r="B433" s="252" t="e">
        <v>#N/A</v>
      </c>
      <c r="C433" s="1313" t="e">
        <v>#N/A</v>
      </c>
      <c r="D433" s="3034" t="e">
        <v>#N/A</v>
      </c>
      <c r="E433" s="2140" t="e">
        <v>#N/A</v>
      </c>
      <c r="F433" s="3034" t="e">
        <v>#N/A</v>
      </c>
      <c r="G433" s="169" t="e">
        <v>#N/A</v>
      </c>
      <c r="H433" s="3199" t="e">
        <f t="shared" si="14"/>
        <v>#N/A</v>
      </c>
      <c r="I433" s="169" t="e">
        <v>#N/A</v>
      </c>
      <c r="J433" s="2144" t="e">
        <v>#N/A</v>
      </c>
      <c r="K433" s="169" t="e">
        <v>#N/A</v>
      </c>
      <c r="L433" s="260" t="e">
        <v>#N/A</v>
      </c>
      <c r="M433" s="3034" t="e">
        <v>#N/A</v>
      </c>
      <c r="N433" s="380" t="e">
        <v>#N/A</v>
      </c>
    </row>
    <row r="434" spans="1:14">
      <c r="A434" s="1340">
        <f t="shared" si="12"/>
        <v>2028.05</v>
      </c>
      <c r="B434" s="252" t="e">
        <v>#N/A</v>
      </c>
      <c r="C434" s="1313" t="e">
        <v>#N/A</v>
      </c>
      <c r="D434" s="3034" t="e">
        <v>#N/A</v>
      </c>
      <c r="E434" s="2140" t="e">
        <v>#N/A</v>
      </c>
      <c r="F434" s="3034" t="e">
        <v>#N/A</v>
      </c>
      <c r="G434" s="169" t="e">
        <v>#N/A</v>
      </c>
      <c r="H434" s="3199" t="e">
        <f t="shared" si="14"/>
        <v>#N/A</v>
      </c>
      <c r="I434" s="169" t="e">
        <v>#N/A</v>
      </c>
      <c r="J434" s="2144" t="e">
        <v>#N/A</v>
      </c>
      <c r="K434" s="169" t="e">
        <v>#N/A</v>
      </c>
      <c r="L434" s="260" t="e">
        <v>#N/A</v>
      </c>
      <c r="M434" s="3034" t="e">
        <v>#N/A</v>
      </c>
      <c r="N434" s="380" t="e">
        <v>#N/A</v>
      </c>
    </row>
    <row r="435" spans="1:14">
      <c r="A435" s="1340">
        <f t="shared" si="12"/>
        <v>2028.06</v>
      </c>
      <c r="B435" s="252" t="e">
        <v>#N/A</v>
      </c>
      <c r="C435" s="1313" t="e">
        <v>#N/A</v>
      </c>
      <c r="D435" s="3034" t="e">
        <v>#N/A</v>
      </c>
      <c r="E435" s="2140" t="e">
        <v>#N/A</v>
      </c>
      <c r="F435" s="3034" t="e">
        <v>#N/A</v>
      </c>
      <c r="G435" s="169" t="e">
        <v>#N/A</v>
      </c>
      <c r="H435" s="3199" t="e">
        <f t="shared" si="14"/>
        <v>#N/A</v>
      </c>
      <c r="I435" s="169" t="e">
        <v>#N/A</v>
      </c>
      <c r="J435" s="2144" t="e">
        <v>#N/A</v>
      </c>
      <c r="K435" s="169" t="e">
        <v>#N/A</v>
      </c>
      <c r="L435" s="260" t="e">
        <v>#N/A</v>
      </c>
      <c r="M435" s="3034" t="e">
        <v>#N/A</v>
      </c>
      <c r="N435" s="380" t="e">
        <v>#N/A</v>
      </c>
    </row>
    <row r="436" spans="1:14">
      <c r="A436" s="1340">
        <f t="shared" si="12"/>
        <v>2028.07</v>
      </c>
      <c r="B436" s="252" t="e">
        <v>#N/A</v>
      </c>
      <c r="C436" s="1313" t="e">
        <v>#N/A</v>
      </c>
      <c r="D436" s="3034" t="e">
        <v>#N/A</v>
      </c>
      <c r="E436" s="2140" t="e">
        <v>#N/A</v>
      </c>
      <c r="F436" s="3034" t="e">
        <v>#N/A</v>
      </c>
      <c r="G436" s="169" t="e">
        <v>#N/A</v>
      </c>
      <c r="H436" s="3199" t="e">
        <f t="shared" si="14"/>
        <v>#N/A</v>
      </c>
      <c r="I436" s="169" t="e">
        <v>#N/A</v>
      </c>
      <c r="J436" s="2144" t="e">
        <v>#N/A</v>
      </c>
      <c r="K436" s="169" t="e">
        <v>#N/A</v>
      </c>
      <c r="L436" s="260" t="e">
        <v>#N/A</v>
      </c>
      <c r="M436" s="3034" t="e">
        <v>#N/A</v>
      </c>
      <c r="N436" s="380" t="e">
        <v>#N/A</v>
      </c>
    </row>
    <row r="437" spans="1:14">
      <c r="A437" s="1340">
        <f t="shared" si="12"/>
        <v>2028.08</v>
      </c>
      <c r="B437" s="252" t="e">
        <v>#N/A</v>
      </c>
      <c r="C437" s="1313" t="e">
        <v>#N/A</v>
      </c>
      <c r="D437" s="3034" t="e">
        <v>#N/A</v>
      </c>
      <c r="E437" s="2140" t="e">
        <v>#N/A</v>
      </c>
      <c r="F437" s="3034" t="e">
        <v>#N/A</v>
      </c>
      <c r="G437" s="169" t="e">
        <v>#N/A</v>
      </c>
      <c r="H437" s="3199" t="e">
        <f t="shared" si="14"/>
        <v>#N/A</v>
      </c>
      <c r="I437" s="169" t="e">
        <v>#N/A</v>
      </c>
      <c r="J437" s="2144" t="e">
        <v>#N/A</v>
      </c>
      <c r="K437" s="169" t="e">
        <v>#N/A</v>
      </c>
      <c r="L437" s="260" t="e">
        <v>#N/A</v>
      </c>
      <c r="M437" s="3034" t="e">
        <v>#N/A</v>
      </c>
      <c r="N437" s="380" t="e">
        <v>#N/A</v>
      </c>
    </row>
    <row r="438" spans="1:14">
      <c r="A438" s="1340">
        <f t="shared" si="12"/>
        <v>2028.09</v>
      </c>
      <c r="B438" s="252" t="e">
        <v>#N/A</v>
      </c>
      <c r="C438" s="1313" t="e">
        <v>#N/A</v>
      </c>
      <c r="D438" s="3034" t="e">
        <v>#N/A</v>
      </c>
      <c r="E438" s="2140" t="e">
        <v>#N/A</v>
      </c>
      <c r="F438" s="3034" t="e">
        <v>#N/A</v>
      </c>
      <c r="G438" s="169" t="e">
        <v>#N/A</v>
      </c>
      <c r="H438" s="3199" t="e">
        <f t="shared" si="14"/>
        <v>#N/A</v>
      </c>
      <c r="I438" s="169" t="e">
        <v>#N/A</v>
      </c>
      <c r="J438" s="2144" t="e">
        <v>#N/A</v>
      </c>
      <c r="K438" s="169" t="e">
        <v>#N/A</v>
      </c>
      <c r="L438" s="260" t="e">
        <v>#N/A</v>
      </c>
      <c r="M438" s="3034" t="e">
        <v>#N/A</v>
      </c>
      <c r="N438" s="380" t="e">
        <v>#N/A</v>
      </c>
    </row>
    <row r="439" spans="1:14">
      <c r="A439" s="1340">
        <f t="shared" si="12"/>
        <v>2028.1</v>
      </c>
      <c r="B439" s="252" t="e">
        <v>#N/A</v>
      </c>
      <c r="C439" s="1313" t="e">
        <v>#N/A</v>
      </c>
      <c r="D439" s="3034" t="e">
        <v>#N/A</v>
      </c>
      <c r="E439" s="2140" t="e">
        <v>#N/A</v>
      </c>
      <c r="F439" s="3034" t="e">
        <v>#N/A</v>
      </c>
      <c r="G439" s="169" t="e">
        <v>#N/A</v>
      </c>
      <c r="H439" s="3199" t="e">
        <f t="shared" si="14"/>
        <v>#N/A</v>
      </c>
      <c r="I439" s="169" t="e">
        <v>#N/A</v>
      </c>
      <c r="J439" s="2144" t="e">
        <v>#N/A</v>
      </c>
      <c r="K439" s="169" t="e">
        <v>#N/A</v>
      </c>
      <c r="L439" s="260" t="e">
        <v>#N/A</v>
      </c>
      <c r="M439" s="3034" t="e">
        <v>#N/A</v>
      </c>
      <c r="N439" s="380" t="e">
        <v>#N/A</v>
      </c>
    </row>
    <row r="440" spans="1:14">
      <c r="A440" s="1340">
        <f t="shared" si="12"/>
        <v>2028.11</v>
      </c>
      <c r="B440" s="252" t="e">
        <v>#N/A</v>
      </c>
      <c r="C440" s="1313" t="e">
        <v>#N/A</v>
      </c>
      <c r="D440" s="3034" t="e">
        <v>#N/A</v>
      </c>
      <c r="E440" s="2140" t="e">
        <v>#N/A</v>
      </c>
      <c r="F440" s="3034" t="e">
        <v>#N/A</v>
      </c>
      <c r="G440" s="169" t="e">
        <v>#N/A</v>
      </c>
      <c r="H440" s="3199" t="e">
        <f t="shared" si="14"/>
        <v>#N/A</v>
      </c>
      <c r="I440" s="169" t="e">
        <v>#N/A</v>
      </c>
      <c r="J440" s="2144" t="e">
        <v>#N/A</v>
      </c>
      <c r="K440" s="169" t="e">
        <v>#N/A</v>
      </c>
      <c r="L440" s="260" t="e">
        <v>#N/A</v>
      </c>
      <c r="M440" s="3034" t="e">
        <v>#N/A</v>
      </c>
      <c r="N440" s="380" t="e">
        <v>#N/A</v>
      </c>
    </row>
    <row r="441" spans="1:14">
      <c r="A441" s="1340">
        <f t="shared" si="12"/>
        <v>2028.12</v>
      </c>
      <c r="B441" s="252" t="e">
        <v>#N/A</v>
      </c>
      <c r="C441" s="1313" t="e">
        <v>#N/A</v>
      </c>
      <c r="D441" s="3034" t="e">
        <v>#N/A</v>
      </c>
      <c r="E441" s="2140" t="e">
        <v>#N/A</v>
      </c>
      <c r="F441" s="3034" t="e">
        <v>#N/A</v>
      </c>
      <c r="G441" s="169" t="e">
        <v>#N/A</v>
      </c>
      <c r="H441" s="3199" t="e">
        <f t="shared" si="14"/>
        <v>#N/A</v>
      </c>
      <c r="I441" s="169" t="e">
        <v>#N/A</v>
      </c>
      <c r="J441" s="2144" t="e">
        <v>#N/A</v>
      </c>
      <c r="K441" s="169" t="e">
        <v>#N/A</v>
      </c>
      <c r="L441" s="260" t="e">
        <v>#N/A</v>
      </c>
      <c r="M441" s="3034" t="e">
        <v>#N/A</v>
      </c>
      <c r="N441" s="380" t="e">
        <v>#N/A</v>
      </c>
    </row>
    <row r="442" spans="1:14">
      <c r="A442" s="1340">
        <f t="shared" si="12"/>
        <v>2029.01</v>
      </c>
      <c r="B442" s="252" t="e">
        <v>#N/A</v>
      </c>
      <c r="C442" s="1313" t="e">
        <v>#N/A</v>
      </c>
      <c r="D442" s="3034" t="e">
        <v>#N/A</v>
      </c>
      <c r="E442" s="2140" t="e">
        <v>#N/A</v>
      </c>
      <c r="F442" s="3034" t="e">
        <v>#N/A</v>
      </c>
      <c r="G442" s="169" t="e">
        <v>#N/A</v>
      </c>
      <c r="H442" s="3199" t="e">
        <f t="shared" si="14"/>
        <v>#N/A</v>
      </c>
      <c r="I442" s="169" t="e">
        <v>#N/A</v>
      </c>
      <c r="J442" s="2144" t="e">
        <v>#N/A</v>
      </c>
      <c r="K442" s="169" t="e">
        <v>#N/A</v>
      </c>
      <c r="L442" s="260" t="e">
        <v>#N/A</v>
      </c>
      <c r="M442" s="3034" t="e">
        <v>#N/A</v>
      </c>
      <c r="N442" s="380" t="e">
        <v>#N/A</v>
      </c>
    </row>
    <row r="443" spans="1:14">
      <c r="A443" s="1340">
        <f t="shared" si="12"/>
        <v>2029.02</v>
      </c>
      <c r="B443" s="252" t="e">
        <v>#N/A</v>
      </c>
      <c r="C443" s="1313" t="e">
        <v>#N/A</v>
      </c>
      <c r="D443" s="3034" t="e">
        <v>#N/A</v>
      </c>
      <c r="E443" s="2140" t="e">
        <v>#N/A</v>
      </c>
      <c r="F443" s="3034" t="e">
        <v>#N/A</v>
      </c>
      <c r="G443" s="169" t="e">
        <v>#N/A</v>
      </c>
      <c r="H443" s="3199" t="e">
        <f t="shared" si="14"/>
        <v>#N/A</v>
      </c>
      <c r="I443" s="169" t="e">
        <v>#N/A</v>
      </c>
      <c r="J443" s="2144" t="e">
        <v>#N/A</v>
      </c>
      <c r="K443" s="169" t="e">
        <v>#N/A</v>
      </c>
      <c r="L443" s="260" t="e">
        <v>#N/A</v>
      </c>
      <c r="M443" s="3034" t="e">
        <v>#N/A</v>
      </c>
      <c r="N443" s="380" t="e">
        <v>#N/A</v>
      </c>
    </row>
    <row r="444" spans="1:14">
      <c r="A444" s="1340">
        <f t="shared" si="12"/>
        <v>2029.03</v>
      </c>
      <c r="B444" s="252" t="e">
        <v>#N/A</v>
      </c>
      <c r="C444" s="1313" t="e">
        <v>#N/A</v>
      </c>
      <c r="D444" s="3034" t="e">
        <v>#N/A</v>
      </c>
      <c r="E444" s="2140" t="e">
        <v>#N/A</v>
      </c>
      <c r="F444" s="3034" t="e">
        <v>#N/A</v>
      </c>
      <c r="G444" s="169" t="e">
        <v>#N/A</v>
      </c>
      <c r="H444" s="3199" t="e">
        <f t="shared" si="14"/>
        <v>#N/A</v>
      </c>
      <c r="I444" s="169" t="e">
        <v>#N/A</v>
      </c>
      <c r="J444" s="2144" t="e">
        <v>#N/A</v>
      </c>
      <c r="K444" s="169" t="e">
        <v>#N/A</v>
      </c>
      <c r="L444" s="260" t="e">
        <v>#N/A</v>
      </c>
      <c r="M444" s="3034" t="e">
        <v>#N/A</v>
      </c>
      <c r="N444" s="380" t="e">
        <v>#N/A</v>
      </c>
    </row>
    <row r="445" spans="1:14">
      <c r="A445" s="1340">
        <f t="shared" si="12"/>
        <v>2029.04</v>
      </c>
      <c r="B445" s="252" t="e">
        <v>#N/A</v>
      </c>
      <c r="C445" s="1313" t="e">
        <v>#N/A</v>
      </c>
      <c r="D445" s="3034" t="e">
        <v>#N/A</v>
      </c>
      <c r="E445" s="2140" t="e">
        <v>#N/A</v>
      </c>
      <c r="F445" s="3034" t="e">
        <v>#N/A</v>
      </c>
      <c r="G445" s="169" t="e">
        <v>#N/A</v>
      </c>
      <c r="H445" s="3199" t="e">
        <f t="shared" si="14"/>
        <v>#N/A</v>
      </c>
      <c r="I445" s="169" t="e">
        <v>#N/A</v>
      </c>
      <c r="J445" s="2144" t="e">
        <v>#N/A</v>
      </c>
      <c r="K445" s="169" t="e">
        <v>#N/A</v>
      </c>
      <c r="L445" s="260" t="e">
        <v>#N/A</v>
      </c>
      <c r="M445" s="3034" t="e">
        <v>#N/A</v>
      </c>
      <c r="N445" s="380" t="e">
        <v>#N/A</v>
      </c>
    </row>
    <row r="446" spans="1:14">
      <c r="A446" s="1340">
        <f t="shared" ref="A446:A465" si="15">A434+1</f>
        <v>2029.05</v>
      </c>
      <c r="B446" s="252" t="e">
        <v>#N/A</v>
      </c>
      <c r="C446" s="1313" t="e">
        <v>#N/A</v>
      </c>
      <c r="D446" s="3034" t="e">
        <v>#N/A</v>
      </c>
      <c r="E446" s="2140" t="e">
        <v>#N/A</v>
      </c>
      <c r="F446" s="3034" t="e">
        <v>#N/A</v>
      </c>
      <c r="G446" s="169" t="e">
        <v>#N/A</v>
      </c>
      <c r="H446" s="3199" t="e">
        <f t="shared" si="14"/>
        <v>#N/A</v>
      </c>
      <c r="I446" s="169" t="e">
        <v>#N/A</v>
      </c>
      <c r="J446" s="2144" t="e">
        <v>#N/A</v>
      </c>
      <c r="K446" s="169" t="e">
        <v>#N/A</v>
      </c>
      <c r="L446" s="260" t="e">
        <v>#N/A</v>
      </c>
      <c r="M446" s="3034" t="e">
        <v>#N/A</v>
      </c>
      <c r="N446" s="380" t="e">
        <v>#N/A</v>
      </c>
    </row>
    <row r="447" spans="1:14">
      <c r="A447" s="1340">
        <f t="shared" si="15"/>
        <v>2029.06</v>
      </c>
      <c r="B447" s="252" t="e">
        <v>#N/A</v>
      </c>
      <c r="C447" s="1313" t="e">
        <v>#N/A</v>
      </c>
      <c r="D447" s="3034" t="e">
        <v>#N/A</v>
      </c>
      <c r="E447" s="2140" t="e">
        <v>#N/A</v>
      </c>
      <c r="F447" s="3034" t="e">
        <v>#N/A</v>
      </c>
      <c r="G447" s="169" t="e">
        <v>#N/A</v>
      </c>
      <c r="H447" s="3199" t="e">
        <f t="shared" si="14"/>
        <v>#N/A</v>
      </c>
      <c r="I447" s="169" t="e">
        <v>#N/A</v>
      </c>
      <c r="J447" s="2144" t="e">
        <v>#N/A</v>
      </c>
      <c r="K447" s="169" t="e">
        <v>#N/A</v>
      </c>
      <c r="L447" s="260" t="e">
        <v>#N/A</v>
      </c>
      <c r="M447" s="3034" t="e">
        <v>#N/A</v>
      </c>
      <c r="N447" s="380" t="e">
        <v>#N/A</v>
      </c>
    </row>
    <row r="448" spans="1:14">
      <c r="A448" s="1340">
        <f t="shared" si="15"/>
        <v>2029.07</v>
      </c>
      <c r="B448" s="252" t="e">
        <v>#N/A</v>
      </c>
      <c r="C448" s="1313" t="e">
        <v>#N/A</v>
      </c>
      <c r="D448" s="3034" t="e">
        <v>#N/A</v>
      </c>
      <c r="E448" s="2140" t="e">
        <v>#N/A</v>
      </c>
      <c r="F448" s="3034" t="e">
        <v>#N/A</v>
      </c>
      <c r="G448" s="169" t="e">
        <v>#N/A</v>
      </c>
      <c r="H448" s="3199" t="e">
        <f t="shared" si="14"/>
        <v>#N/A</v>
      </c>
      <c r="I448" s="169" t="e">
        <v>#N/A</v>
      </c>
      <c r="J448" s="2144" t="e">
        <v>#N/A</v>
      </c>
      <c r="K448" s="169" t="e">
        <v>#N/A</v>
      </c>
      <c r="L448" s="260" t="e">
        <v>#N/A</v>
      </c>
      <c r="M448" s="3034" t="e">
        <v>#N/A</v>
      </c>
      <c r="N448" s="380" t="e">
        <v>#N/A</v>
      </c>
    </row>
    <row r="449" spans="1:14">
      <c r="A449" s="1340">
        <f t="shared" si="15"/>
        <v>2029.08</v>
      </c>
      <c r="B449" s="252" t="e">
        <v>#N/A</v>
      </c>
      <c r="C449" s="1313" t="e">
        <v>#N/A</v>
      </c>
      <c r="D449" s="3034" t="e">
        <v>#N/A</v>
      </c>
      <c r="E449" s="2140" t="e">
        <v>#N/A</v>
      </c>
      <c r="F449" s="3034" t="e">
        <v>#N/A</v>
      </c>
      <c r="G449" s="169" t="e">
        <v>#N/A</v>
      </c>
      <c r="H449" s="3199" t="e">
        <f t="shared" si="14"/>
        <v>#N/A</v>
      </c>
      <c r="I449" s="169" t="e">
        <v>#N/A</v>
      </c>
      <c r="J449" s="2144" t="e">
        <v>#N/A</v>
      </c>
      <c r="K449" s="169" t="e">
        <v>#N/A</v>
      </c>
      <c r="L449" s="260" t="e">
        <v>#N/A</v>
      </c>
      <c r="M449" s="3034" t="e">
        <v>#N/A</v>
      </c>
      <c r="N449" s="380" t="e">
        <v>#N/A</v>
      </c>
    </row>
    <row r="450" spans="1:14">
      <c r="A450" s="1340">
        <f t="shared" si="15"/>
        <v>2029.09</v>
      </c>
      <c r="B450" s="252" t="e">
        <v>#N/A</v>
      </c>
      <c r="C450" s="1313" t="e">
        <v>#N/A</v>
      </c>
      <c r="D450" s="3034" t="e">
        <v>#N/A</v>
      </c>
      <c r="E450" s="2140" t="e">
        <v>#N/A</v>
      </c>
      <c r="F450" s="3034" t="e">
        <v>#N/A</v>
      </c>
      <c r="G450" s="169" t="e">
        <v>#N/A</v>
      </c>
      <c r="H450" s="3199" t="e">
        <f t="shared" si="14"/>
        <v>#N/A</v>
      </c>
      <c r="I450" s="169" t="e">
        <v>#N/A</v>
      </c>
      <c r="J450" s="2144" t="e">
        <v>#N/A</v>
      </c>
      <c r="K450" s="169" t="e">
        <v>#N/A</v>
      </c>
      <c r="L450" s="260" t="e">
        <v>#N/A</v>
      </c>
      <c r="M450" s="3034" t="e">
        <v>#N/A</v>
      </c>
      <c r="N450" s="380" t="e">
        <v>#N/A</v>
      </c>
    </row>
    <row r="451" spans="1:14">
      <c r="A451" s="1340">
        <f t="shared" si="15"/>
        <v>2029.1</v>
      </c>
      <c r="B451" s="252" t="e">
        <v>#N/A</v>
      </c>
      <c r="C451" s="1313" t="e">
        <v>#N/A</v>
      </c>
      <c r="D451" s="3034" t="e">
        <v>#N/A</v>
      </c>
      <c r="E451" s="2140" t="e">
        <v>#N/A</v>
      </c>
      <c r="F451" s="3034" t="e">
        <v>#N/A</v>
      </c>
      <c r="G451" s="169" t="e">
        <v>#N/A</v>
      </c>
      <c r="H451" s="3199" t="e">
        <f t="shared" si="14"/>
        <v>#N/A</v>
      </c>
      <c r="I451" s="169" t="e">
        <v>#N/A</v>
      </c>
      <c r="J451" s="2144" t="e">
        <v>#N/A</v>
      </c>
      <c r="K451" s="169" t="e">
        <v>#N/A</v>
      </c>
      <c r="L451" s="260" t="e">
        <v>#N/A</v>
      </c>
      <c r="M451" s="3034" t="e">
        <v>#N/A</v>
      </c>
      <c r="N451" s="380" t="e">
        <v>#N/A</v>
      </c>
    </row>
    <row r="452" spans="1:14">
      <c r="A452" s="1340">
        <f t="shared" si="15"/>
        <v>2029.11</v>
      </c>
      <c r="B452" s="252" t="e">
        <v>#N/A</v>
      </c>
      <c r="C452" s="1313" t="e">
        <v>#N/A</v>
      </c>
      <c r="D452" s="3034" t="e">
        <v>#N/A</v>
      </c>
      <c r="E452" s="2140" t="e">
        <v>#N/A</v>
      </c>
      <c r="F452" s="3034" t="e">
        <v>#N/A</v>
      </c>
      <c r="G452" s="169" t="e">
        <v>#N/A</v>
      </c>
      <c r="H452" s="3199" t="e">
        <f t="shared" si="14"/>
        <v>#N/A</v>
      </c>
      <c r="I452" s="169" t="e">
        <v>#N/A</v>
      </c>
      <c r="J452" s="2144" t="e">
        <v>#N/A</v>
      </c>
      <c r="K452" s="169" t="e">
        <v>#N/A</v>
      </c>
      <c r="L452" s="260" t="e">
        <v>#N/A</v>
      </c>
      <c r="M452" s="3034" t="e">
        <v>#N/A</v>
      </c>
      <c r="N452" s="380" t="e">
        <v>#N/A</v>
      </c>
    </row>
    <row r="453" spans="1:14">
      <c r="A453" s="1340">
        <f t="shared" si="15"/>
        <v>2029.12</v>
      </c>
      <c r="B453" s="252" t="e">
        <v>#N/A</v>
      </c>
      <c r="C453" s="1313" t="e">
        <v>#N/A</v>
      </c>
      <c r="D453" s="3034" t="e">
        <v>#N/A</v>
      </c>
      <c r="E453" s="2140" t="e">
        <v>#N/A</v>
      </c>
      <c r="F453" s="3034" t="e">
        <v>#N/A</v>
      </c>
      <c r="G453" s="169" t="e">
        <v>#N/A</v>
      </c>
      <c r="H453" s="3199" t="e">
        <f t="shared" si="14"/>
        <v>#N/A</v>
      </c>
      <c r="I453" s="169" t="e">
        <v>#N/A</v>
      </c>
      <c r="J453" s="2144" t="e">
        <v>#N/A</v>
      </c>
      <c r="K453" s="169" t="e">
        <v>#N/A</v>
      </c>
      <c r="L453" s="260" t="e">
        <v>#N/A</v>
      </c>
      <c r="M453" s="3034" t="e">
        <v>#N/A</v>
      </c>
      <c r="N453" s="380" t="e">
        <v>#N/A</v>
      </c>
    </row>
    <row r="454" spans="1:14">
      <c r="A454" s="1340">
        <f t="shared" si="15"/>
        <v>2030.01</v>
      </c>
      <c r="B454" s="252" t="e">
        <v>#N/A</v>
      </c>
      <c r="C454" s="1313" t="e">
        <v>#N/A</v>
      </c>
      <c r="D454" s="3034" t="e">
        <v>#N/A</v>
      </c>
      <c r="E454" s="2140" t="e">
        <v>#N/A</v>
      </c>
      <c r="F454" s="3034" t="e">
        <v>#N/A</v>
      </c>
      <c r="G454" s="169" t="e">
        <v>#N/A</v>
      </c>
      <c r="H454" s="3199" t="e">
        <f t="shared" si="14"/>
        <v>#N/A</v>
      </c>
      <c r="I454" s="169" t="e">
        <v>#N/A</v>
      </c>
      <c r="J454" s="2144" t="e">
        <v>#N/A</v>
      </c>
      <c r="K454" s="169" t="e">
        <v>#N/A</v>
      </c>
      <c r="L454" s="260" t="e">
        <v>#N/A</v>
      </c>
      <c r="M454" s="3034" t="e">
        <v>#N/A</v>
      </c>
      <c r="N454" s="380" t="e">
        <v>#N/A</v>
      </c>
    </row>
    <row r="455" spans="1:14">
      <c r="A455" s="1340">
        <f t="shared" si="15"/>
        <v>2030.02</v>
      </c>
      <c r="B455" s="252" t="e">
        <v>#N/A</v>
      </c>
      <c r="C455" s="1313" t="e">
        <v>#N/A</v>
      </c>
      <c r="D455" s="3034" t="e">
        <v>#N/A</v>
      </c>
      <c r="E455" s="2140" t="e">
        <v>#N/A</v>
      </c>
      <c r="F455" s="3034" t="e">
        <v>#N/A</v>
      </c>
      <c r="G455" s="169" t="e">
        <v>#N/A</v>
      </c>
      <c r="H455" s="3199" t="e">
        <f t="shared" si="14"/>
        <v>#N/A</v>
      </c>
      <c r="I455" s="169" t="e">
        <v>#N/A</v>
      </c>
      <c r="J455" s="2144" t="e">
        <v>#N/A</v>
      </c>
      <c r="K455" s="169" t="e">
        <v>#N/A</v>
      </c>
      <c r="L455" s="260" t="e">
        <v>#N/A</v>
      </c>
      <c r="M455" s="3034" t="e">
        <v>#N/A</v>
      </c>
      <c r="N455" s="380" t="e">
        <v>#N/A</v>
      </c>
    </row>
    <row r="456" spans="1:14">
      <c r="A456" s="1340">
        <f t="shared" si="15"/>
        <v>2030.03</v>
      </c>
      <c r="B456" s="252" t="e">
        <v>#N/A</v>
      </c>
      <c r="C456" s="1313" t="e">
        <v>#N/A</v>
      </c>
      <c r="D456" s="3034" t="e">
        <v>#N/A</v>
      </c>
      <c r="E456" s="2140" t="e">
        <v>#N/A</v>
      </c>
      <c r="F456" s="3034" t="e">
        <v>#N/A</v>
      </c>
      <c r="G456" s="169" t="e">
        <v>#N/A</v>
      </c>
      <c r="H456" s="3199" t="e">
        <f t="shared" si="14"/>
        <v>#N/A</v>
      </c>
      <c r="I456" s="169" t="e">
        <v>#N/A</v>
      </c>
      <c r="J456" s="2144" t="e">
        <v>#N/A</v>
      </c>
      <c r="K456" s="169" t="e">
        <v>#N/A</v>
      </c>
      <c r="L456" s="260" t="e">
        <v>#N/A</v>
      </c>
      <c r="M456" s="3034" t="e">
        <v>#N/A</v>
      </c>
      <c r="N456" s="380" t="e">
        <v>#N/A</v>
      </c>
    </row>
    <row r="457" spans="1:14">
      <c r="A457" s="1340">
        <f t="shared" si="15"/>
        <v>2030.04</v>
      </c>
      <c r="B457" s="252" t="e">
        <v>#N/A</v>
      </c>
      <c r="C457" s="1313" t="e">
        <v>#N/A</v>
      </c>
      <c r="D457" s="3034" t="e">
        <v>#N/A</v>
      </c>
      <c r="E457" s="2140" t="e">
        <v>#N/A</v>
      </c>
      <c r="F457" s="3034" t="e">
        <v>#N/A</v>
      </c>
      <c r="G457" s="169" t="e">
        <v>#N/A</v>
      </c>
      <c r="H457" s="3199" t="e">
        <f t="shared" si="14"/>
        <v>#N/A</v>
      </c>
      <c r="I457" s="169" t="e">
        <v>#N/A</v>
      </c>
      <c r="J457" s="2144" t="e">
        <v>#N/A</v>
      </c>
      <c r="K457" s="169" t="e">
        <v>#N/A</v>
      </c>
      <c r="L457" s="260" t="e">
        <v>#N/A</v>
      </c>
      <c r="M457" s="3034" t="e">
        <v>#N/A</v>
      </c>
      <c r="N457" s="380" t="e">
        <v>#N/A</v>
      </c>
    </row>
    <row r="458" spans="1:14">
      <c r="A458" s="1340">
        <f t="shared" si="15"/>
        <v>2030.05</v>
      </c>
      <c r="B458" s="252" t="e">
        <v>#N/A</v>
      </c>
      <c r="C458" s="1313" t="e">
        <v>#N/A</v>
      </c>
      <c r="D458" s="3034" t="e">
        <v>#N/A</v>
      </c>
      <c r="E458" s="2140" t="e">
        <v>#N/A</v>
      </c>
      <c r="F458" s="3034" t="e">
        <v>#N/A</v>
      </c>
      <c r="G458" s="169" t="e">
        <v>#N/A</v>
      </c>
      <c r="H458" s="3199" t="e">
        <f t="shared" si="14"/>
        <v>#N/A</v>
      </c>
      <c r="I458" s="169" t="e">
        <v>#N/A</v>
      </c>
      <c r="J458" s="2144" t="e">
        <v>#N/A</v>
      </c>
      <c r="K458" s="169" t="e">
        <v>#N/A</v>
      </c>
      <c r="L458" s="260" t="e">
        <v>#N/A</v>
      </c>
      <c r="M458" s="3034" t="e">
        <v>#N/A</v>
      </c>
      <c r="N458" s="380" t="e">
        <v>#N/A</v>
      </c>
    </row>
    <row r="459" spans="1:14">
      <c r="A459" s="1340">
        <f t="shared" si="15"/>
        <v>2030.06</v>
      </c>
      <c r="B459" s="252" t="e">
        <v>#N/A</v>
      </c>
      <c r="C459" s="1313" t="e">
        <v>#N/A</v>
      </c>
      <c r="D459" s="3034" t="e">
        <v>#N/A</v>
      </c>
      <c r="E459" s="2140" t="e">
        <v>#N/A</v>
      </c>
      <c r="F459" s="3034" t="e">
        <v>#N/A</v>
      </c>
      <c r="G459" s="169" t="e">
        <v>#N/A</v>
      </c>
      <c r="H459" s="3199" t="e">
        <f t="shared" si="14"/>
        <v>#N/A</v>
      </c>
      <c r="I459" s="169" t="e">
        <v>#N/A</v>
      </c>
      <c r="J459" s="2144" t="e">
        <v>#N/A</v>
      </c>
      <c r="K459" s="169" t="e">
        <v>#N/A</v>
      </c>
      <c r="L459" s="260" t="e">
        <v>#N/A</v>
      </c>
      <c r="M459" s="3034" t="e">
        <v>#N/A</v>
      </c>
      <c r="N459" s="380" t="e">
        <v>#N/A</v>
      </c>
    </row>
    <row r="460" spans="1:14">
      <c r="A460" s="1340">
        <f t="shared" si="15"/>
        <v>2030.07</v>
      </c>
      <c r="B460" s="252" t="e">
        <v>#N/A</v>
      </c>
      <c r="C460" s="1313" t="e">
        <v>#N/A</v>
      </c>
      <c r="D460" s="3034" t="e">
        <v>#N/A</v>
      </c>
      <c r="E460" s="2140" t="e">
        <v>#N/A</v>
      </c>
      <c r="F460" s="3034" t="e">
        <v>#N/A</v>
      </c>
      <c r="G460" s="169" t="e">
        <v>#N/A</v>
      </c>
      <c r="H460" s="3199" t="e">
        <f t="shared" si="14"/>
        <v>#N/A</v>
      </c>
      <c r="I460" s="169" t="e">
        <v>#N/A</v>
      </c>
      <c r="J460" s="2144" t="e">
        <v>#N/A</v>
      </c>
      <c r="K460" s="169" t="e">
        <v>#N/A</v>
      </c>
      <c r="L460" s="260" t="e">
        <v>#N/A</v>
      </c>
      <c r="M460" s="3034" t="e">
        <v>#N/A</v>
      </c>
      <c r="N460" s="380" t="e">
        <v>#N/A</v>
      </c>
    </row>
    <row r="461" spans="1:14">
      <c r="A461" s="1340">
        <f t="shared" si="15"/>
        <v>2030.08</v>
      </c>
      <c r="B461" s="252" t="e">
        <v>#N/A</v>
      </c>
      <c r="C461" s="1313" t="e">
        <v>#N/A</v>
      </c>
      <c r="D461" s="3034" t="e">
        <v>#N/A</v>
      </c>
      <c r="E461" s="2140" t="e">
        <v>#N/A</v>
      </c>
      <c r="F461" s="3034" t="e">
        <v>#N/A</v>
      </c>
      <c r="G461" s="169" t="e">
        <v>#N/A</v>
      </c>
      <c r="H461" s="3199" t="e">
        <f t="shared" si="14"/>
        <v>#N/A</v>
      </c>
      <c r="I461" s="169" t="e">
        <v>#N/A</v>
      </c>
      <c r="J461" s="2144" t="e">
        <v>#N/A</v>
      </c>
      <c r="K461" s="169" t="e">
        <v>#N/A</v>
      </c>
      <c r="L461" s="260" t="e">
        <v>#N/A</v>
      </c>
      <c r="M461" s="3034" t="e">
        <v>#N/A</v>
      </c>
      <c r="N461" s="380" t="e">
        <v>#N/A</v>
      </c>
    </row>
    <row r="462" spans="1:14">
      <c r="A462" s="1340">
        <f t="shared" si="15"/>
        <v>2030.09</v>
      </c>
      <c r="B462" s="252" t="e">
        <v>#N/A</v>
      </c>
      <c r="C462" s="1313" t="e">
        <v>#N/A</v>
      </c>
      <c r="D462" s="3034" t="e">
        <v>#N/A</v>
      </c>
      <c r="E462" s="2140" t="e">
        <v>#N/A</v>
      </c>
      <c r="F462" s="3034" t="e">
        <v>#N/A</v>
      </c>
      <c r="G462" s="169" t="e">
        <v>#N/A</v>
      </c>
      <c r="H462" s="3199" t="e">
        <f t="shared" si="14"/>
        <v>#N/A</v>
      </c>
      <c r="I462" s="169" t="e">
        <v>#N/A</v>
      </c>
      <c r="J462" s="2144" t="e">
        <v>#N/A</v>
      </c>
      <c r="K462" s="169" t="e">
        <v>#N/A</v>
      </c>
      <c r="L462" s="260" t="e">
        <v>#N/A</v>
      </c>
      <c r="M462" s="3034" t="e">
        <v>#N/A</v>
      </c>
      <c r="N462" s="380" t="e">
        <v>#N/A</v>
      </c>
    </row>
    <row r="463" spans="1:14">
      <c r="A463" s="1340">
        <f t="shared" si="15"/>
        <v>2030.1</v>
      </c>
      <c r="B463" s="252" t="e">
        <v>#N/A</v>
      </c>
      <c r="C463" s="1313" t="e">
        <v>#N/A</v>
      </c>
      <c r="D463" s="3034" t="e">
        <v>#N/A</v>
      </c>
      <c r="E463" s="2140" t="e">
        <v>#N/A</v>
      </c>
      <c r="F463" s="3034" t="e">
        <v>#N/A</v>
      </c>
      <c r="G463" s="169" t="e">
        <v>#N/A</v>
      </c>
      <c r="H463" s="3199" t="e">
        <f t="shared" si="14"/>
        <v>#N/A</v>
      </c>
      <c r="I463" s="169" t="e">
        <v>#N/A</v>
      </c>
      <c r="J463" s="2144" t="e">
        <v>#N/A</v>
      </c>
      <c r="K463" s="169" t="e">
        <v>#N/A</v>
      </c>
      <c r="L463" s="260" t="e">
        <v>#N/A</v>
      </c>
      <c r="M463" s="3034" t="e">
        <v>#N/A</v>
      </c>
      <c r="N463" s="380" t="e">
        <v>#N/A</v>
      </c>
    </row>
    <row r="464" spans="1:14">
      <c r="A464" s="1340">
        <f t="shared" si="15"/>
        <v>2030.11</v>
      </c>
      <c r="B464" s="252" t="e">
        <v>#N/A</v>
      </c>
      <c r="C464" s="1313" t="e">
        <v>#N/A</v>
      </c>
      <c r="D464" s="3034" t="e">
        <v>#N/A</v>
      </c>
      <c r="E464" s="2140" t="e">
        <v>#N/A</v>
      </c>
      <c r="F464" s="3034" t="e">
        <v>#N/A</v>
      </c>
      <c r="G464" s="169" t="e">
        <v>#N/A</v>
      </c>
      <c r="H464" s="3199" t="e">
        <f t="shared" si="14"/>
        <v>#N/A</v>
      </c>
      <c r="I464" s="169" t="e">
        <v>#N/A</v>
      </c>
      <c r="J464" s="2144" t="e">
        <v>#N/A</v>
      </c>
      <c r="K464" s="169" t="e">
        <v>#N/A</v>
      </c>
      <c r="L464" s="260" t="e">
        <v>#N/A</v>
      </c>
      <c r="M464" s="3034" t="e">
        <v>#N/A</v>
      </c>
      <c r="N464" s="380" t="e">
        <v>#N/A</v>
      </c>
    </row>
    <row r="465" spans="1:14">
      <c r="A465" s="1340">
        <f t="shared" si="15"/>
        <v>2030.12</v>
      </c>
      <c r="B465" s="252" t="e">
        <v>#N/A</v>
      </c>
      <c r="C465" s="1313" t="e">
        <v>#N/A</v>
      </c>
      <c r="D465" s="3034" t="e">
        <v>#N/A</v>
      </c>
      <c r="E465" s="2140" t="e">
        <v>#N/A</v>
      </c>
      <c r="F465" s="3034" t="e">
        <v>#N/A</v>
      </c>
      <c r="G465" s="169" t="e">
        <v>#N/A</v>
      </c>
      <c r="H465" s="3199" t="e">
        <f t="shared" si="14"/>
        <v>#N/A</v>
      </c>
      <c r="I465" s="169" t="e">
        <v>#N/A</v>
      </c>
      <c r="J465" s="2144" t="e">
        <v>#N/A</v>
      </c>
      <c r="K465" s="169" t="e">
        <v>#N/A</v>
      </c>
      <c r="L465" s="260" t="e">
        <v>#N/A</v>
      </c>
      <c r="M465" s="3034" t="e">
        <v>#N/A</v>
      </c>
      <c r="N465" s="380" t="e">
        <v>#N/A</v>
      </c>
    </row>
  </sheetData>
  <phoneticPr fontId="0" type="noConversion"/>
  <hyperlinks>
    <hyperlink ref="A5" location="INDICE!A13" display="VOLVER AL INDICE" xr:uid="{00000000-0004-0000-2600-000000000000}"/>
  </hyperlinks>
  <pageMargins left="0.75" right="0.75" top="1" bottom="1" header="0" footer="0"/>
  <pageSetup paperSize="9" orientation="portrait" horizontalDpi="300" verticalDpi="300"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62">
    <pageSetUpPr autoPageBreaks="0"/>
  </sheetPr>
  <dimension ref="A1:C453"/>
  <sheetViews>
    <sheetView zoomScale="130" zoomScaleNormal="130" workbookViewId="0">
      <pane xSplit="1" ySplit="9" topLeftCell="B10" activePane="bottomRight" state="frozen"/>
      <selection pane="topRight" activeCell="Y299" sqref="Y299"/>
      <selection pane="bottomLeft" activeCell="Y299" sqref="Y299"/>
      <selection pane="bottomRight" activeCell="H27" sqref="H27"/>
    </sheetView>
  </sheetViews>
  <sheetFormatPr baseColWidth="10" defaultColWidth="11.42578125" defaultRowHeight="12.75"/>
  <cols>
    <col min="1" max="1" width="11.42578125" style="1325"/>
    <col min="2" max="16384" width="11.42578125" style="1330"/>
  </cols>
  <sheetData>
    <row r="1" spans="1:2">
      <c r="A1" s="1329"/>
    </row>
    <row r="2" spans="1:2">
      <c r="A2" s="1331" t="s">
        <v>105</v>
      </c>
    </row>
    <row r="3" spans="1:2">
      <c r="A3" s="1332" t="s">
        <v>109</v>
      </c>
    </row>
    <row r="4" spans="1:2" ht="19.5" customHeight="1">
      <c r="A4" s="1333"/>
    </row>
    <row r="5" spans="1:2" ht="76.5" customHeight="1">
      <c r="A5" s="2461" t="s">
        <v>137</v>
      </c>
    </row>
    <row r="6" spans="1:2" ht="3.75" hidden="1" customHeight="1">
      <c r="A6" s="1336"/>
    </row>
    <row r="7" spans="1:2" ht="22.5">
      <c r="A7" s="2462" t="s">
        <v>123</v>
      </c>
    </row>
    <row r="8" spans="1:2" ht="13.5" customHeight="1">
      <c r="A8" s="1337" t="s">
        <v>141</v>
      </c>
    </row>
    <row r="9" spans="1:2" ht="13.5" thickBot="1">
      <c r="A9" s="3200"/>
    </row>
    <row r="10" spans="1:2">
      <c r="A10" s="1338">
        <v>1994.01</v>
      </c>
      <c r="B10" s="1339"/>
    </row>
    <row r="11" spans="1:2">
      <c r="A11" s="1340">
        <v>1994.02</v>
      </c>
      <c r="B11" s="1339"/>
    </row>
    <row r="12" spans="1:2">
      <c r="A12" s="1340">
        <v>1994.03</v>
      </c>
      <c r="B12" s="1339"/>
    </row>
    <row r="13" spans="1:2">
      <c r="A13" s="1340">
        <v>1994.04</v>
      </c>
      <c r="B13" s="1339"/>
    </row>
    <row r="14" spans="1:2">
      <c r="A14" s="1340">
        <v>1994.05</v>
      </c>
      <c r="B14" s="1339"/>
    </row>
    <row r="15" spans="1:2">
      <c r="A15" s="1340">
        <v>1994.06</v>
      </c>
      <c r="B15" s="1339"/>
    </row>
    <row r="16" spans="1:2">
      <c r="A16" s="1340">
        <v>1994.07</v>
      </c>
      <c r="B16" s="1339"/>
    </row>
    <row r="17" spans="1:2">
      <c r="A17" s="1340">
        <v>1994.08</v>
      </c>
      <c r="B17" s="1339"/>
    </row>
    <row r="18" spans="1:2">
      <c r="A18" s="1340">
        <v>1994.09</v>
      </c>
      <c r="B18" s="1339"/>
    </row>
    <row r="19" spans="1:2">
      <c r="A19" s="1340">
        <v>1994.1</v>
      </c>
      <c r="B19" s="1339"/>
    </row>
    <row r="20" spans="1:2">
      <c r="A20" s="1340">
        <v>1994.11</v>
      </c>
      <c r="B20" s="1339"/>
    </row>
    <row r="21" spans="1:2">
      <c r="A21" s="1340">
        <v>1994.12</v>
      </c>
      <c r="B21" s="1339"/>
    </row>
    <row r="22" spans="1:2">
      <c r="A22" s="1340">
        <v>1995.01</v>
      </c>
      <c r="B22" s="1339"/>
    </row>
    <row r="23" spans="1:2">
      <c r="A23" s="1340">
        <v>1995.02</v>
      </c>
      <c r="B23" s="1339"/>
    </row>
    <row r="24" spans="1:2">
      <c r="A24" s="1340">
        <v>1995.03</v>
      </c>
      <c r="B24" s="1339"/>
    </row>
    <row r="25" spans="1:2">
      <c r="A25" s="1340">
        <v>1995.04</v>
      </c>
      <c r="B25" s="1339"/>
    </row>
    <row r="26" spans="1:2">
      <c r="A26" s="1340">
        <v>1995.05</v>
      </c>
      <c r="B26" s="1339"/>
    </row>
    <row r="27" spans="1:2">
      <c r="A27" s="1340">
        <v>1995.06</v>
      </c>
      <c r="B27" s="1339"/>
    </row>
    <row r="28" spans="1:2">
      <c r="A28" s="1340">
        <v>1995.07</v>
      </c>
      <c r="B28" s="1339"/>
    </row>
    <row r="29" spans="1:2">
      <c r="A29" s="1340">
        <v>1995.08</v>
      </c>
      <c r="B29" s="1339"/>
    </row>
    <row r="30" spans="1:2">
      <c r="A30" s="1340">
        <v>1995.09</v>
      </c>
      <c r="B30" s="1339"/>
    </row>
    <row r="31" spans="1:2">
      <c r="A31" s="1340">
        <v>1995.1</v>
      </c>
      <c r="B31" s="1339"/>
    </row>
    <row r="32" spans="1:2">
      <c r="A32" s="1340">
        <v>1995.11</v>
      </c>
      <c r="B32" s="1339"/>
    </row>
    <row r="33" spans="1:2">
      <c r="A33" s="1340">
        <v>1995.12</v>
      </c>
      <c r="B33" s="1339"/>
    </row>
    <row r="34" spans="1:2">
      <c r="A34" s="1340">
        <v>1996.01</v>
      </c>
      <c r="B34" s="1339"/>
    </row>
    <row r="35" spans="1:2">
      <c r="A35" s="1340">
        <v>1996.02</v>
      </c>
      <c r="B35" s="1339"/>
    </row>
    <row r="36" spans="1:2">
      <c r="A36" s="1340">
        <v>1996.03</v>
      </c>
      <c r="B36" s="1339"/>
    </row>
    <row r="37" spans="1:2">
      <c r="A37" s="1340">
        <v>1996.04</v>
      </c>
      <c r="B37" s="1339"/>
    </row>
    <row r="38" spans="1:2">
      <c r="A38" s="1340">
        <v>1996.05</v>
      </c>
      <c r="B38" s="1339"/>
    </row>
    <row r="39" spans="1:2">
      <c r="A39" s="1340">
        <v>1996.06</v>
      </c>
      <c r="B39" s="1339"/>
    </row>
    <row r="40" spans="1:2">
      <c r="A40" s="1340">
        <v>1996.07</v>
      </c>
      <c r="B40" s="1339"/>
    </row>
    <row r="41" spans="1:2">
      <c r="A41" s="1340">
        <v>1996.08</v>
      </c>
      <c r="B41" s="1339"/>
    </row>
    <row r="42" spans="1:2">
      <c r="A42" s="1340">
        <v>1996.09</v>
      </c>
      <c r="B42" s="1339"/>
    </row>
    <row r="43" spans="1:2">
      <c r="A43" s="1340">
        <v>1996.1</v>
      </c>
      <c r="B43" s="1339"/>
    </row>
    <row r="44" spans="1:2">
      <c r="A44" s="1340">
        <v>1996.11</v>
      </c>
      <c r="B44" s="1339"/>
    </row>
    <row r="45" spans="1:2">
      <c r="A45" s="1340">
        <v>1996.12</v>
      </c>
      <c r="B45" s="1339"/>
    </row>
    <row r="46" spans="1:2">
      <c r="A46" s="1340">
        <v>1997.01</v>
      </c>
      <c r="B46" s="1339"/>
    </row>
    <row r="47" spans="1:2">
      <c r="A47" s="1340">
        <v>1997.02</v>
      </c>
      <c r="B47" s="1339"/>
    </row>
    <row r="48" spans="1:2">
      <c r="A48" s="1340">
        <v>1997.03</v>
      </c>
      <c r="B48" s="1339"/>
    </row>
    <row r="49" spans="1:2">
      <c r="A49" s="1340">
        <v>1997.04</v>
      </c>
      <c r="B49" s="1339"/>
    </row>
    <row r="50" spans="1:2">
      <c r="A50" s="1340">
        <v>1997.05</v>
      </c>
      <c r="B50" s="1339"/>
    </row>
    <row r="51" spans="1:2">
      <c r="A51" s="1340">
        <v>1997.06</v>
      </c>
      <c r="B51" s="1339"/>
    </row>
    <row r="52" spans="1:2">
      <c r="A52" s="1340">
        <v>1997.07</v>
      </c>
      <c r="B52" s="1339"/>
    </row>
    <row r="53" spans="1:2">
      <c r="A53" s="1340">
        <v>1997.08</v>
      </c>
      <c r="B53" s="1339"/>
    </row>
    <row r="54" spans="1:2">
      <c r="A54" s="1340">
        <v>1997.09</v>
      </c>
      <c r="B54" s="1339"/>
    </row>
    <row r="55" spans="1:2">
      <c r="A55" s="1340">
        <v>1997.1</v>
      </c>
      <c r="B55" s="1339"/>
    </row>
    <row r="56" spans="1:2">
      <c r="A56" s="1340">
        <v>1997.11</v>
      </c>
      <c r="B56" s="1339"/>
    </row>
    <row r="57" spans="1:2">
      <c r="A57" s="1340">
        <v>1997.12</v>
      </c>
      <c r="B57" s="1339"/>
    </row>
    <row r="58" spans="1:2">
      <c r="A58" s="1340">
        <v>1998.01</v>
      </c>
      <c r="B58" s="1339"/>
    </row>
    <row r="59" spans="1:2">
      <c r="A59" s="1340">
        <v>1998.02</v>
      </c>
      <c r="B59" s="1339"/>
    </row>
    <row r="60" spans="1:2">
      <c r="A60" s="1340">
        <v>1998.03</v>
      </c>
      <c r="B60" s="1339"/>
    </row>
    <row r="61" spans="1:2">
      <c r="A61" s="1340">
        <v>1998.04</v>
      </c>
      <c r="B61" s="1339"/>
    </row>
    <row r="62" spans="1:2">
      <c r="A62" s="1340">
        <v>1998.05</v>
      </c>
      <c r="B62" s="1339"/>
    </row>
    <row r="63" spans="1:2">
      <c r="A63" s="1340">
        <v>1998.06</v>
      </c>
      <c r="B63" s="1339"/>
    </row>
    <row r="64" spans="1:2">
      <c r="A64" s="1340">
        <v>1998.07</v>
      </c>
      <c r="B64" s="1339"/>
    </row>
    <row r="65" spans="1:2">
      <c r="A65" s="1340">
        <v>1998.08</v>
      </c>
      <c r="B65" s="1339"/>
    </row>
    <row r="66" spans="1:2">
      <c r="A66" s="1340">
        <v>1998.09</v>
      </c>
      <c r="B66" s="1339"/>
    </row>
    <row r="67" spans="1:2">
      <c r="A67" s="1340">
        <v>1998.1</v>
      </c>
      <c r="B67" s="1339"/>
    </row>
    <row r="68" spans="1:2">
      <c r="A68" s="1340">
        <v>1998.11</v>
      </c>
      <c r="B68" s="1339"/>
    </row>
    <row r="69" spans="1:2">
      <c r="A69" s="1340">
        <v>1998.12</v>
      </c>
      <c r="B69" s="1339"/>
    </row>
    <row r="70" spans="1:2">
      <c r="A70" s="1340">
        <v>1999.01</v>
      </c>
      <c r="B70" s="1339"/>
    </row>
    <row r="71" spans="1:2">
      <c r="A71" s="1340">
        <v>1999.02</v>
      </c>
      <c r="B71" s="1339"/>
    </row>
    <row r="72" spans="1:2">
      <c r="A72" s="1340">
        <v>1999.03</v>
      </c>
      <c r="B72" s="1339"/>
    </row>
    <row r="73" spans="1:2">
      <c r="A73" s="1340">
        <v>1999.04</v>
      </c>
      <c r="B73" s="1339"/>
    </row>
    <row r="74" spans="1:2">
      <c r="A74" s="1340">
        <v>1999.05</v>
      </c>
      <c r="B74" s="1339"/>
    </row>
    <row r="75" spans="1:2">
      <c r="A75" s="1340">
        <v>1999.06</v>
      </c>
      <c r="B75" s="1339"/>
    </row>
    <row r="76" spans="1:2">
      <c r="A76" s="1340">
        <v>1999.07</v>
      </c>
      <c r="B76" s="1339"/>
    </row>
    <row r="77" spans="1:2">
      <c r="A77" s="1340">
        <v>1999.08</v>
      </c>
      <c r="B77" s="1339"/>
    </row>
    <row r="78" spans="1:2">
      <c r="A78" s="1340">
        <v>1999.09</v>
      </c>
      <c r="B78" s="1339"/>
    </row>
    <row r="79" spans="1:2">
      <c r="A79" s="1340">
        <v>1999.1</v>
      </c>
      <c r="B79" s="1339"/>
    </row>
    <row r="80" spans="1:2">
      <c r="A80" s="1340">
        <v>1999.11</v>
      </c>
      <c r="B80" s="1339"/>
    </row>
    <row r="81" spans="1:2">
      <c r="A81" s="1340">
        <v>1999.12</v>
      </c>
      <c r="B81" s="1339"/>
    </row>
    <row r="82" spans="1:2">
      <c r="A82" s="1340">
        <v>2000.01</v>
      </c>
      <c r="B82" s="1339"/>
    </row>
    <row r="83" spans="1:2">
      <c r="A83" s="1340">
        <v>2000.02</v>
      </c>
      <c r="B83" s="1339"/>
    </row>
    <row r="84" spans="1:2">
      <c r="A84" s="1340">
        <v>2000.03</v>
      </c>
      <c r="B84" s="1339"/>
    </row>
    <row r="85" spans="1:2">
      <c r="A85" s="1340">
        <v>2000.04</v>
      </c>
      <c r="B85" s="1339"/>
    </row>
    <row r="86" spans="1:2">
      <c r="A86" s="1340">
        <v>2000.05</v>
      </c>
      <c r="B86" s="1339"/>
    </row>
    <row r="87" spans="1:2">
      <c r="A87" s="1340">
        <v>2000.06</v>
      </c>
      <c r="B87" s="1339"/>
    </row>
    <row r="88" spans="1:2">
      <c r="A88" s="1340">
        <v>2000.07</v>
      </c>
      <c r="B88" s="1339"/>
    </row>
    <row r="89" spans="1:2">
      <c r="A89" s="1340">
        <v>2000.08</v>
      </c>
      <c r="B89" s="1339"/>
    </row>
    <row r="90" spans="1:2">
      <c r="A90" s="1340">
        <v>2000.09</v>
      </c>
      <c r="B90" s="1339"/>
    </row>
    <row r="91" spans="1:2">
      <c r="A91" s="1340">
        <v>2000.1</v>
      </c>
      <c r="B91" s="1339"/>
    </row>
    <row r="92" spans="1:2">
      <c r="A92" s="1340">
        <v>2000.11</v>
      </c>
      <c r="B92" s="1339"/>
    </row>
    <row r="93" spans="1:2">
      <c r="A93" s="1340">
        <v>2000.12</v>
      </c>
      <c r="B93" s="1339"/>
    </row>
    <row r="94" spans="1:2">
      <c r="A94" s="1340">
        <v>2001.01</v>
      </c>
      <c r="B94" s="1339"/>
    </row>
    <row r="95" spans="1:2">
      <c r="A95" s="1340">
        <v>2001.02</v>
      </c>
      <c r="B95" s="1339"/>
    </row>
    <row r="96" spans="1:2">
      <c r="A96" s="1340">
        <v>2001.03</v>
      </c>
      <c r="B96" s="1339"/>
    </row>
    <row r="97" spans="1:2">
      <c r="A97" s="1340">
        <v>2001.04</v>
      </c>
      <c r="B97" s="1339"/>
    </row>
    <row r="98" spans="1:2">
      <c r="A98" s="1340">
        <v>2001.05</v>
      </c>
      <c r="B98" s="1339"/>
    </row>
    <row r="99" spans="1:2">
      <c r="A99" s="1340">
        <v>2001.06</v>
      </c>
      <c r="B99" s="1339"/>
    </row>
    <row r="100" spans="1:2">
      <c r="A100" s="1340">
        <v>2001.07</v>
      </c>
      <c r="B100" s="1339"/>
    </row>
    <row r="101" spans="1:2">
      <c r="A101" s="1340">
        <v>2001.08</v>
      </c>
      <c r="B101" s="1339"/>
    </row>
    <row r="102" spans="1:2">
      <c r="A102" s="1340">
        <v>2001.09</v>
      </c>
      <c r="B102" s="1339"/>
    </row>
    <row r="103" spans="1:2">
      <c r="A103" s="1340">
        <v>2001.1</v>
      </c>
      <c r="B103" s="1339"/>
    </row>
    <row r="104" spans="1:2">
      <c r="A104" s="1340">
        <v>2001.11</v>
      </c>
      <c r="B104" s="1339"/>
    </row>
    <row r="105" spans="1:2">
      <c r="A105" s="1340">
        <v>2001.12</v>
      </c>
      <c r="B105" s="1339"/>
    </row>
    <row r="106" spans="1:2">
      <c r="A106" s="1340">
        <v>2002.01</v>
      </c>
      <c r="B106" s="1339"/>
    </row>
    <row r="107" spans="1:2">
      <c r="A107" s="1340">
        <v>2002.02</v>
      </c>
      <c r="B107" s="1339"/>
    </row>
    <row r="108" spans="1:2">
      <c r="A108" s="1340">
        <v>2002.03</v>
      </c>
      <c r="B108" s="1339"/>
    </row>
    <row r="109" spans="1:2">
      <c r="A109" s="1340">
        <v>2002.04</v>
      </c>
      <c r="B109" s="1339"/>
    </row>
    <row r="110" spans="1:2">
      <c r="A110" s="1340">
        <v>2002.05</v>
      </c>
      <c r="B110" s="1339"/>
    </row>
    <row r="111" spans="1:2">
      <c r="A111" s="1340">
        <v>2002.06</v>
      </c>
      <c r="B111" s="1339"/>
    </row>
    <row r="112" spans="1:2">
      <c r="A112" s="1340">
        <v>2002.07</v>
      </c>
      <c r="B112" s="1339"/>
    </row>
    <row r="113" spans="1:2">
      <c r="A113" s="1340">
        <v>2002.08</v>
      </c>
      <c r="B113" s="1339"/>
    </row>
    <row r="114" spans="1:2">
      <c r="A114" s="1340">
        <v>2002.09</v>
      </c>
      <c r="B114" s="1339"/>
    </row>
    <row r="115" spans="1:2">
      <c r="A115" s="1340">
        <v>2002.1</v>
      </c>
      <c r="B115" s="1339"/>
    </row>
    <row r="116" spans="1:2">
      <c r="A116" s="1340">
        <v>2002.11</v>
      </c>
      <c r="B116" s="1339"/>
    </row>
    <row r="117" spans="1:2">
      <c r="A117" s="1340">
        <v>2002.12</v>
      </c>
      <c r="B117" s="1339"/>
    </row>
    <row r="118" spans="1:2">
      <c r="A118" s="1340">
        <v>2003.01</v>
      </c>
      <c r="B118" s="1339"/>
    </row>
    <row r="119" spans="1:2">
      <c r="A119" s="1340">
        <v>2003.02</v>
      </c>
      <c r="B119" s="1339"/>
    </row>
    <row r="120" spans="1:2">
      <c r="A120" s="1340">
        <v>2003.03</v>
      </c>
      <c r="B120" s="1339"/>
    </row>
    <row r="121" spans="1:2">
      <c r="A121" s="1340">
        <v>2003.04</v>
      </c>
      <c r="B121" s="1339"/>
    </row>
    <row r="122" spans="1:2">
      <c r="A122" s="1340">
        <v>2003.05</v>
      </c>
      <c r="B122" s="1339"/>
    </row>
    <row r="123" spans="1:2">
      <c r="A123" s="1340">
        <v>2003.06</v>
      </c>
      <c r="B123" s="1339"/>
    </row>
    <row r="124" spans="1:2">
      <c r="A124" s="1340">
        <v>2003.07</v>
      </c>
      <c r="B124" s="1339"/>
    </row>
    <row r="125" spans="1:2">
      <c r="A125" s="1340">
        <v>2003.08</v>
      </c>
      <c r="B125" s="1339"/>
    </row>
    <row r="126" spans="1:2">
      <c r="A126" s="1340">
        <v>2003.09</v>
      </c>
      <c r="B126" s="1339"/>
    </row>
    <row r="127" spans="1:2">
      <c r="A127" s="1340">
        <v>2003.1</v>
      </c>
      <c r="B127" s="1339"/>
    </row>
    <row r="128" spans="1:2">
      <c r="A128" s="1340">
        <v>2003.11</v>
      </c>
      <c r="B128" s="1339"/>
    </row>
    <row r="129" spans="1:2">
      <c r="A129" s="1340">
        <v>2003.12</v>
      </c>
      <c r="B129" s="1339"/>
    </row>
    <row r="130" spans="1:2">
      <c r="A130" s="1340">
        <v>2004.01</v>
      </c>
      <c r="B130" s="1339"/>
    </row>
    <row r="131" spans="1:2">
      <c r="A131" s="1340">
        <v>2004.02</v>
      </c>
      <c r="B131" s="1339"/>
    </row>
    <row r="132" spans="1:2">
      <c r="A132" s="1340">
        <v>2004.03</v>
      </c>
      <c r="B132" s="1339"/>
    </row>
    <row r="133" spans="1:2">
      <c r="A133" s="1340">
        <v>2004.04</v>
      </c>
      <c r="B133" s="1339"/>
    </row>
    <row r="134" spans="1:2">
      <c r="A134" s="1340">
        <v>2004.05</v>
      </c>
      <c r="B134" s="1339"/>
    </row>
    <row r="135" spans="1:2">
      <c r="A135" s="1340">
        <v>2004.06</v>
      </c>
      <c r="B135" s="1339"/>
    </row>
    <row r="136" spans="1:2">
      <c r="A136" s="1340">
        <v>2004.07</v>
      </c>
      <c r="B136" s="1339"/>
    </row>
    <row r="137" spans="1:2">
      <c r="A137" s="1340">
        <v>2004.08</v>
      </c>
      <c r="B137" s="1339"/>
    </row>
    <row r="138" spans="1:2">
      <c r="A138" s="1340">
        <v>2004.09</v>
      </c>
      <c r="B138" s="1339"/>
    </row>
    <row r="139" spans="1:2">
      <c r="A139" s="1340">
        <v>2004.1</v>
      </c>
      <c r="B139" s="1339"/>
    </row>
    <row r="140" spans="1:2">
      <c r="A140" s="1340">
        <v>2004.11</v>
      </c>
      <c r="B140" s="1339"/>
    </row>
    <row r="141" spans="1:2">
      <c r="A141" s="1340">
        <v>2004.12</v>
      </c>
      <c r="B141" s="1339"/>
    </row>
    <row r="142" spans="1:2">
      <c r="A142" s="1340">
        <v>2005.01</v>
      </c>
      <c r="B142" s="1339"/>
    </row>
    <row r="143" spans="1:2">
      <c r="A143" s="1340">
        <v>2005.02</v>
      </c>
      <c r="B143" s="1339"/>
    </row>
    <row r="144" spans="1:2">
      <c r="A144" s="1340">
        <v>2005.03</v>
      </c>
      <c r="B144" s="1339"/>
    </row>
    <row r="145" spans="1:2">
      <c r="A145" s="1340">
        <v>2005.04</v>
      </c>
      <c r="B145" s="1339"/>
    </row>
    <row r="146" spans="1:2">
      <c r="A146" s="1340">
        <v>2005.05</v>
      </c>
      <c r="B146" s="1339"/>
    </row>
    <row r="147" spans="1:2">
      <c r="A147" s="1340">
        <v>2005.06</v>
      </c>
      <c r="B147" s="1339"/>
    </row>
    <row r="148" spans="1:2">
      <c r="A148" s="1340">
        <v>2005.07</v>
      </c>
      <c r="B148" s="1339"/>
    </row>
    <row r="149" spans="1:2">
      <c r="A149" s="1340">
        <v>2005.08</v>
      </c>
      <c r="B149" s="1339"/>
    </row>
    <row r="150" spans="1:2">
      <c r="A150" s="1340">
        <v>2005.09</v>
      </c>
      <c r="B150" s="1339"/>
    </row>
    <row r="151" spans="1:2">
      <c r="A151" s="1340">
        <v>2005.1</v>
      </c>
      <c r="B151" s="1339"/>
    </row>
    <row r="152" spans="1:2">
      <c r="A152" s="1340">
        <v>2005.11</v>
      </c>
      <c r="B152" s="1339"/>
    </row>
    <row r="153" spans="1:2">
      <c r="A153" s="1340">
        <v>2005.12</v>
      </c>
      <c r="B153" s="1339"/>
    </row>
    <row r="154" spans="1:2">
      <c r="A154" s="1340">
        <v>2006.01</v>
      </c>
      <c r="B154" s="1339"/>
    </row>
    <row r="155" spans="1:2">
      <c r="A155" s="1340">
        <v>2006.02</v>
      </c>
      <c r="B155" s="1339"/>
    </row>
    <row r="156" spans="1:2">
      <c r="A156" s="1340">
        <v>2006.03</v>
      </c>
      <c r="B156" s="1339"/>
    </row>
    <row r="157" spans="1:2">
      <c r="A157" s="1340">
        <v>2006.04</v>
      </c>
      <c r="B157" s="1339"/>
    </row>
    <row r="158" spans="1:2">
      <c r="A158" s="1340">
        <v>2006.05</v>
      </c>
      <c r="B158" s="1339"/>
    </row>
    <row r="159" spans="1:2">
      <c r="A159" s="1340">
        <v>2006.06</v>
      </c>
      <c r="B159" s="1339"/>
    </row>
    <row r="160" spans="1:2">
      <c r="A160" s="1340">
        <v>2006.07</v>
      </c>
      <c r="B160" s="1339"/>
    </row>
    <row r="161" spans="1:2">
      <c r="A161" s="1340">
        <v>2006.08</v>
      </c>
      <c r="B161" s="1339"/>
    </row>
    <row r="162" spans="1:2">
      <c r="A162" s="1340">
        <v>2006.09</v>
      </c>
      <c r="B162" s="1339"/>
    </row>
    <row r="163" spans="1:2">
      <c r="A163" s="1340">
        <v>2006.1</v>
      </c>
      <c r="B163" s="1339"/>
    </row>
    <row r="164" spans="1:2">
      <c r="A164" s="1340">
        <v>2006.11</v>
      </c>
      <c r="B164" s="1339"/>
    </row>
    <row r="165" spans="1:2">
      <c r="A165" s="1340">
        <v>2006.12</v>
      </c>
      <c r="B165" s="1339"/>
    </row>
    <row r="166" spans="1:2">
      <c r="A166" s="1340">
        <v>2007.01</v>
      </c>
      <c r="B166" s="1339"/>
    </row>
    <row r="167" spans="1:2">
      <c r="A167" s="1340">
        <v>2007.02</v>
      </c>
      <c r="B167" s="1339"/>
    </row>
    <row r="168" spans="1:2">
      <c r="A168" s="1340">
        <v>2007.03</v>
      </c>
      <c r="B168" s="1339"/>
    </row>
    <row r="169" spans="1:2">
      <c r="A169" s="1340">
        <v>2007.04</v>
      </c>
      <c r="B169" s="1339"/>
    </row>
    <row r="170" spans="1:2">
      <c r="A170" s="1340">
        <v>2007.05</v>
      </c>
      <c r="B170" s="1339"/>
    </row>
    <row r="171" spans="1:2">
      <c r="A171" s="1340">
        <v>2007.06</v>
      </c>
      <c r="B171" s="1339"/>
    </row>
    <row r="172" spans="1:2">
      <c r="A172" s="1340">
        <v>2007.07</v>
      </c>
      <c r="B172" s="1339"/>
    </row>
    <row r="173" spans="1:2">
      <c r="A173" s="1340">
        <v>2007.08</v>
      </c>
      <c r="B173" s="1339"/>
    </row>
    <row r="174" spans="1:2">
      <c r="A174" s="1340">
        <v>2007.09</v>
      </c>
      <c r="B174" s="1339"/>
    </row>
    <row r="175" spans="1:2">
      <c r="A175" s="1340">
        <v>2007.1</v>
      </c>
      <c r="B175" s="1339"/>
    </row>
    <row r="176" spans="1:2">
      <c r="A176" s="1340">
        <v>2007.11</v>
      </c>
      <c r="B176" s="1339"/>
    </row>
    <row r="177" spans="1:2">
      <c r="A177" s="1340">
        <v>2007.12</v>
      </c>
      <c r="B177" s="1339"/>
    </row>
    <row r="178" spans="1:2">
      <c r="A178" s="1340">
        <f t="shared" ref="A178:A241" si="0">A166+1</f>
        <v>2008.01</v>
      </c>
      <c r="B178" s="1339"/>
    </row>
    <row r="179" spans="1:2">
      <c r="A179" s="1340">
        <f t="shared" si="0"/>
        <v>2008.02</v>
      </c>
      <c r="B179" s="1339"/>
    </row>
    <row r="180" spans="1:2">
      <c r="A180" s="1340">
        <f t="shared" si="0"/>
        <v>2008.03</v>
      </c>
      <c r="B180" s="1339"/>
    </row>
    <row r="181" spans="1:2">
      <c r="A181" s="1340">
        <f t="shared" si="0"/>
        <v>2008.04</v>
      </c>
      <c r="B181" s="1339"/>
    </row>
    <row r="182" spans="1:2">
      <c r="A182" s="1340">
        <f t="shared" si="0"/>
        <v>2008.05</v>
      </c>
      <c r="B182" s="1339"/>
    </row>
    <row r="183" spans="1:2">
      <c r="A183" s="1340">
        <f t="shared" si="0"/>
        <v>2008.06</v>
      </c>
      <c r="B183" s="1339"/>
    </row>
    <row r="184" spans="1:2">
      <c r="A184" s="1340">
        <f t="shared" si="0"/>
        <v>2008.07</v>
      </c>
      <c r="B184" s="1339"/>
    </row>
    <row r="185" spans="1:2">
      <c r="A185" s="1340">
        <f t="shared" si="0"/>
        <v>2008.08</v>
      </c>
      <c r="B185" s="1339"/>
    </row>
    <row r="186" spans="1:2">
      <c r="A186" s="1340">
        <f t="shared" si="0"/>
        <v>2008.09</v>
      </c>
      <c r="B186" s="1339"/>
    </row>
    <row r="187" spans="1:2">
      <c r="A187" s="1340">
        <f t="shared" si="0"/>
        <v>2008.1</v>
      </c>
      <c r="B187" s="1339"/>
    </row>
    <row r="188" spans="1:2">
      <c r="A188" s="1340">
        <f t="shared" si="0"/>
        <v>2008.11</v>
      </c>
      <c r="B188" s="1339"/>
    </row>
    <row r="189" spans="1:2">
      <c r="A189" s="1340">
        <f t="shared" si="0"/>
        <v>2008.12</v>
      </c>
      <c r="B189" s="1339"/>
    </row>
    <row r="190" spans="1:2">
      <c r="A190" s="1340">
        <f t="shared" si="0"/>
        <v>2009.01</v>
      </c>
      <c r="B190" s="1339"/>
    </row>
    <row r="191" spans="1:2">
      <c r="A191" s="1340">
        <f t="shared" si="0"/>
        <v>2009.02</v>
      </c>
      <c r="B191" s="1339"/>
    </row>
    <row r="192" spans="1:2">
      <c r="A192" s="1340">
        <f t="shared" si="0"/>
        <v>2009.03</v>
      </c>
      <c r="B192" s="1339"/>
    </row>
    <row r="193" spans="1:2">
      <c r="A193" s="1340">
        <f t="shared" si="0"/>
        <v>2009.04</v>
      </c>
      <c r="B193" s="1339"/>
    </row>
    <row r="194" spans="1:2">
      <c r="A194" s="1340">
        <f t="shared" si="0"/>
        <v>2009.05</v>
      </c>
      <c r="B194" s="1339"/>
    </row>
    <row r="195" spans="1:2">
      <c r="A195" s="1340">
        <f t="shared" si="0"/>
        <v>2009.06</v>
      </c>
      <c r="B195" s="1339"/>
    </row>
    <row r="196" spans="1:2">
      <c r="A196" s="1340">
        <f t="shared" si="0"/>
        <v>2009.07</v>
      </c>
      <c r="B196" s="1339"/>
    </row>
    <row r="197" spans="1:2">
      <c r="A197" s="1340">
        <f t="shared" si="0"/>
        <v>2009.08</v>
      </c>
      <c r="B197" s="1339"/>
    </row>
    <row r="198" spans="1:2">
      <c r="A198" s="1340">
        <f t="shared" si="0"/>
        <v>2009.09</v>
      </c>
      <c r="B198" s="1339"/>
    </row>
    <row r="199" spans="1:2">
      <c r="A199" s="1340">
        <f t="shared" si="0"/>
        <v>2009.1</v>
      </c>
      <c r="B199" s="1339"/>
    </row>
    <row r="200" spans="1:2">
      <c r="A200" s="1340">
        <f t="shared" si="0"/>
        <v>2009.11</v>
      </c>
      <c r="B200" s="1339"/>
    </row>
    <row r="201" spans="1:2">
      <c r="A201" s="1340">
        <f t="shared" si="0"/>
        <v>2009.12</v>
      </c>
      <c r="B201" s="1339"/>
    </row>
    <row r="202" spans="1:2">
      <c r="A202" s="1340">
        <f t="shared" si="0"/>
        <v>2010.01</v>
      </c>
      <c r="B202" s="1339"/>
    </row>
    <row r="203" spans="1:2">
      <c r="A203" s="1340">
        <f t="shared" si="0"/>
        <v>2010.02</v>
      </c>
      <c r="B203" s="1339"/>
    </row>
    <row r="204" spans="1:2">
      <c r="A204" s="1340">
        <f t="shared" si="0"/>
        <v>2010.03</v>
      </c>
      <c r="B204" s="1339"/>
    </row>
    <row r="205" spans="1:2">
      <c r="A205" s="1340">
        <f t="shared" si="0"/>
        <v>2010.04</v>
      </c>
      <c r="B205" s="1339"/>
    </row>
    <row r="206" spans="1:2">
      <c r="A206" s="1340">
        <f t="shared" si="0"/>
        <v>2010.05</v>
      </c>
      <c r="B206" s="1339"/>
    </row>
    <row r="207" spans="1:2">
      <c r="A207" s="1340">
        <f t="shared" si="0"/>
        <v>2010.06</v>
      </c>
      <c r="B207" s="1339"/>
    </row>
    <row r="208" spans="1:2">
      <c r="A208" s="1340">
        <f t="shared" si="0"/>
        <v>2010.07</v>
      </c>
      <c r="B208" s="1339"/>
    </row>
    <row r="209" spans="1:2">
      <c r="A209" s="1340">
        <f t="shared" si="0"/>
        <v>2010.08</v>
      </c>
      <c r="B209" s="1339"/>
    </row>
    <row r="210" spans="1:2">
      <c r="A210" s="1340">
        <f t="shared" si="0"/>
        <v>2010.09</v>
      </c>
      <c r="B210" s="1339"/>
    </row>
    <row r="211" spans="1:2">
      <c r="A211" s="1340">
        <f t="shared" si="0"/>
        <v>2010.1</v>
      </c>
      <c r="B211" s="1339"/>
    </row>
    <row r="212" spans="1:2">
      <c r="A212" s="1340">
        <f t="shared" si="0"/>
        <v>2010.11</v>
      </c>
      <c r="B212" s="1339"/>
    </row>
    <row r="213" spans="1:2">
      <c r="A213" s="1340">
        <f t="shared" si="0"/>
        <v>2010.12</v>
      </c>
      <c r="B213" s="1339"/>
    </row>
    <row r="214" spans="1:2">
      <c r="A214" s="1340">
        <f t="shared" si="0"/>
        <v>2011.01</v>
      </c>
      <c r="B214" s="1339"/>
    </row>
    <row r="215" spans="1:2">
      <c r="A215" s="1340">
        <f t="shared" si="0"/>
        <v>2011.02</v>
      </c>
      <c r="B215" s="1339"/>
    </row>
    <row r="216" spans="1:2">
      <c r="A216" s="1340">
        <f t="shared" si="0"/>
        <v>2011.03</v>
      </c>
      <c r="B216" s="1339"/>
    </row>
    <row r="217" spans="1:2">
      <c r="A217" s="1340">
        <f t="shared" si="0"/>
        <v>2011.04</v>
      </c>
      <c r="B217" s="1339"/>
    </row>
    <row r="218" spans="1:2">
      <c r="A218" s="1340">
        <f t="shared" si="0"/>
        <v>2011.05</v>
      </c>
      <c r="B218" s="1339"/>
    </row>
    <row r="219" spans="1:2">
      <c r="A219" s="1340">
        <f t="shared" si="0"/>
        <v>2011.06</v>
      </c>
      <c r="B219" s="1339"/>
    </row>
    <row r="220" spans="1:2">
      <c r="A220" s="1340">
        <f t="shared" si="0"/>
        <v>2011.07</v>
      </c>
      <c r="B220" s="1339"/>
    </row>
    <row r="221" spans="1:2">
      <c r="A221" s="1340">
        <f t="shared" si="0"/>
        <v>2011.08</v>
      </c>
      <c r="B221" s="1339"/>
    </row>
    <row r="222" spans="1:2">
      <c r="A222" s="1340">
        <f t="shared" si="0"/>
        <v>2011.09</v>
      </c>
      <c r="B222" s="1339"/>
    </row>
    <row r="223" spans="1:2">
      <c r="A223" s="1340">
        <f t="shared" si="0"/>
        <v>2011.1</v>
      </c>
      <c r="B223" s="1339"/>
    </row>
    <row r="224" spans="1:2">
      <c r="A224" s="1340">
        <f t="shared" si="0"/>
        <v>2011.11</v>
      </c>
      <c r="B224" s="1339"/>
    </row>
    <row r="225" spans="1:2">
      <c r="A225" s="1340">
        <f t="shared" si="0"/>
        <v>2011.12</v>
      </c>
      <c r="B225" s="1339"/>
    </row>
    <row r="226" spans="1:2">
      <c r="A226" s="1340">
        <f t="shared" si="0"/>
        <v>2012.01</v>
      </c>
      <c r="B226" s="1339"/>
    </row>
    <row r="227" spans="1:2">
      <c r="A227" s="1340">
        <f t="shared" si="0"/>
        <v>2012.02</v>
      </c>
      <c r="B227" s="1339"/>
    </row>
    <row r="228" spans="1:2">
      <c r="A228" s="1340">
        <f t="shared" si="0"/>
        <v>2012.03</v>
      </c>
      <c r="B228" s="1339"/>
    </row>
    <row r="229" spans="1:2">
      <c r="A229" s="1340">
        <f t="shared" si="0"/>
        <v>2012.04</v>
      </c>
      <c r="B229" s="1339"/>
    </row>
    <row r="230" spans="1:2">
      <c r="A230" s="1340">
        <f t="shared" si="0"/>
        <v>2012.05</v>
      </c>
      <c r="B230" s="1339"/>
    </row>
    <row r="231" spans="1:2">
      <c r="A231" s="1340">
        <f t="shared" si="0"/>
        <v>2012.06</v>
      </c>
      <c r="B231" s="1339"/>
    </row>
    <row r="232" spans="1:2">
      <c r="A232" s="1340">
        <f t="shared" si="0"/>
        <v>2012.07</v>
      </c>
      <c r="B232" s="1339"/>
    </row>
    <row r="233" spans="1:2">
      <c r="A233" s="1340">
        <f t="shared" si="0"/>
        <v>2012.08</v>
      </c>
      <c r="B233" s="1339"/>
    </row>
    <row r="234" spans="1:2">
      <c r="A234" s="1340">
        <f t="shared" si="0"/>
        <v>2012.09</v>
      </c>
      <c r="B234" s="1339"/>
    </row>
    <row r="235" spans="1:2">
      <c r="A235" s="1340">
        <f t="shared" si="0"/>
        <v>2012.1</v>
      </c>
      <c r="B235" s="1339"/>
    </row>
    <row r="236" spans="1:2">
      <c r="A236" s="1340">
        <f t="shared" si="0"/>
        <v>2012.11</v>
      </c>
      <c r="B236" s="1339"/>
    </row>
    <row r="237" spans="1:2">
      <c r="A237" s="1340">
        <f t="shared" si="0"/>
        <v>2012.12</v>
      </c>
      <c r="B237" s="1339"/>
    </row>
    <row r="238" spans="1:2">
      <c r="A238" s="1340">
        <f t="shared" si="0"/>
        <v>2013.01</v>
      </c>
      <c r="B238" s="1339"/>
    </row>
    <row r="239" spans="1:2">
      <c r="A239" s="1340">
        <f t="shared" si="0"/>
        <v>2013.02</v>
      </c>
      <c r="B239" s="1339"/>
    </row>
    <row r="240" spans="1:2">
      <c r="A240" s="1340">
        <f t="shared" si="0"/>
        <v>2013.03</v>
      </c>
      <c r="B240" s="1339"/>
    </row>
    <row r="241" spans="1:2">
      <c r="A241" s="1340">
        <f t="shared" si="0"/>
        <v>2013.04</v>
      </c>
      <c r="B241" s="1339"/>
    </row>
    <row r="242" spans="1:2">
      <c r="A242" s="1340">
        <f t="shared" ref="A242:A305" si="1">A230+1</f>
        <v>2013.05</v>
      </c>
      <c r="B242" s="1339"/>
    </row>
    <row r="243" spans="1:2">
      <c r="A243" s="1340">
        <f t="shared" si="1"/>
        <v>2013.06</v>
      </c>
      <c r="B243" s="1339"/>
    </row>
    <row r="244" spans="1:2">
      <c r="A244" s="1340">
        <f t="shared" si="1"/>
        <v>2013.07</v>
      </c>
      <c r="B244" s="1339"/>
    </row>
    <row r="245" spans="1:2">
      <c r="A245" s="1340">
        <f t="shared" si="1"/>
        <v>2013.08</v>
      </c>
      <c r="B245" s="1339"/>
    </row>
    <row r="246" spans="1:2">
      <c r="A246" s="1340">
        <f t="shared" si="1"/>
        <v>2013.09</v>
      </c>
      <c r="B246" s="1339"/>
    </row>
    <row r="247" spans="1:2">
      <c r="A247" s="1340">
        <f t="shared" si="1"/>
        <v>2013.1</v>
      </c>
      <c r="B247" s="1339"/>
    </row>
    <row r="248" spans="1:2">
      <c r="A248" s="1340">
        <f t="shared" si="1"/>
        <v>2013.11</v>
      </c>
      <c r="B248" s="1339"/>
    </row>
    <row r="249" spans="1:2">
      <c r="A249" s="1340">
        <f t="shared" si="1"/>
        <v>2013.12</v>
      </c>
      <c r="B249" s="1339"/>
    </row>
    <row r="250" spans="1:2">
      <c r="A250" s="1340">
        <f t="shared" si="1"/>
        <v>2014.01</v>
      </c>
      <c r="B250" s="1339"/>
    </row>
    <row r="251" spans="1:2">
      <c r="A251" s="1340">
        <f t="shared" si="1"/>
        <v>2014.02</v>
      </c>
      <c r="B251" s="1339"/>
    </row>
    <row r="252" spans="1:2">
      <c r="A252" s="1340">
        <f t="shared" si="1"/>
        <v>2014.03</v>
      </c>
      <c r="B252" s="1339"/>
    </row>
    <row r="253" spans="1:2">
      <c r="A253" s="1340">
        <f t="shared" si="1"/>
        <v>2014.04</v>
      </c>
      <c r="B253" s="1339"/>
    </row>
    <row r="254" spans="1:2">
      <c r="A254" s="1340">
        <f t="shared" si="1"/>
        <v>2014.05</v>
      </c>
      <c r="B254" s="1339"/>
    </row>
    <row r="255" spans="1:2">
      <c r="A255" s="1340">
        <f t="shared" si="1"/>
        <v>2014.06</v>
      </c>
      <c r="B255" s="1339"/>
    </row>
    <row r="256" spans="1:2">
      <c r="A256" s="1340">
        <f t="shared" si="1"/>
        <v>2014.07</v>
      </c>
      <c r="B256" s="1339"/>
    </row>
    <row r="257" spans="1:3">
      <c r="A257" s="1340">
        <f t="shared" si="1"/>
        <v>2014.08</v>
      </c>
      <c r="B257" s="1339"/>
    </row>
    <row r="258" spans="1:3">
      <c r="A258" s="1340">
        <f t="shared" si="1"/>
        <v>2014.09</v>
      </c>
      <c r="B258" s="1339"/>
    </row>
    <row r="259" spans="1:3">
      <c r="A259" s="1340">
        <f t="shared" si="1"/>
        <v>2014.1</v>
      </c>
      <c r="B259" s="1339"/>
    </row>
    <row r="260" spans="1:3">
      <c r="A260" s="1340">
        <f t="shared" si="1"/>
        <v>2014.11</v>
      </c>
      <c r="B260" s="1339"/>
    </row>
    <row r="261" spans="1:3">
      <c r="A261" s="1340">
        <f t="shared" si="1"/>
        <v>2014.12</v>
      </c>
      <c r="B261" s="1339"/>
    </row>
    <row r="262" spans="1:3">
      <c r="A262" s="1340">
        <f t="shared" si="1"/>
        <v>2015.01</v>
      </c>
      <c r="B262" s="1339"/>
    </row>
    <row r="263" spans="1:3">
      <c r="A263" s="1340">
        <f t="shared" si="1"/>
        <v>2015.02</v>
      </c>
      <c r="B263" s="1339"/>
    </row>
    <row r="264" spans="1:3">
      <c r="A264" s="1340">
        <f t="shared" si="1"/>
        <v>2015.03</v>
      </c>
      <c r="B264" s="1339"/>
      <c r="C264" s="1341"/>
    </row>
    <row r="265" spans="1:3">
      <c r="A265" s="1340">
        <f t="shared" si="1"/>
        <v>2015.04</v>
      </c>
      <c r="B265" s="1339"/>
    </row>
    <row r="266" spans="1:3">
      <c r="A266" s="1340">
        <f t="shared" si="1"/>
        <v>2015.05</v>
      </c>
      <c r="B266" s="1339"/>
    </row>
    <row r="267" spans="1:3">
      <c r="A267" s="1340">
        <f t="shared" si="1"/>
        <v>2015.06</v>
      </c>
      <c r="B267" s="1339"/>
    </row>
    <row r="268" spans="1:3">
      <c r="A268" s="1340">
        <f t="shared" si="1"/>
        <v>2015.07</v>
      </c>
      <c r="B268" s="1339"/>
    </row>
    <row r="269" spans="1:3">
      <c r="A269" s="1340">
        <f t="shared" si="1"/>
        <v>2015.08</v>
      </c>
      <c r="B269" s="1339"/>
    </row>
    <row r="270" spans="1:3">
      <c r="A270" s="1340">
        <f t="shared" si="1"/>
        <v>2015.09</v>
      </c>
      <c r="B270" s="1339"/>
    </row>
    <row r="271" spans="1:3">
      <c r="A271" s="1340">
        <f t="shared" si="1"/>
        <v>2015.1</v>
      </c>
      <c r="B271" s="1339"/>
    </row>
    <row r="272" spans="1:3">
      <c r="A272" s="1340">
        <f t="shared" si="1"/>
        <v>2015.11</v>
      </c>
      <c r="B272" s="1339"/>
    </row>
    <row r="273" spans="1:2">
      <c r="A273" s="1340">
        <f t="shared" si="1"/>
        <v>2015.12</v>
      </c>
      <c r="B273" s="1339"/>
    </row>
    <row r="274" spans="1:2">
      <c r="A274" s="1340">
        <f t="shared" si="1"/>
        <v>2016.01</v>
      </c>
    </row>
    <row r="275" spans="1:2">
      <c r="A275" s="1340">
        <f t="shared" si="1"/>
        <v>2016.02</v>
      </c>
    </row>
    <row r="276" spans="1:2">
      <c r="A276" s="1340">
        <f t="shared" si="1"/>
        <v>2016.03</v>
      </c>
    </row>
    <row r="277" spans="1:2">
      <c r="A277" s="1340">
        <f t="shared" si="1"/>
        <v>2016.04</v>
      </c>
    </row>
    <row r="278" spans="1:2">
      <c r="A278" s="1340">
        <f t="shared" si="1"/>
        <v>2016.05</v>
      </c>
    </row>
    <row r="279" spans="1:2">
      <c r="A279" s="1340">
        <f t="shared" si="1"/>
        <v>2016.06</v>
      </c>
    </row>
    <row r="280" spans="1:2">
      <c r="A280" s="1340">
        <f t="shared" si="1"/>
        <v>2016.07</v>
      </c>
    </row>
    <row r="281" spans="1:2">
      <c r="A281" s="1340">
        <f t="shared" si="1"/>
        <v>2016.08</v>
      </c>
    </row>
    <row r="282" spans="1:2">
      <c r="A282" s="1340">
        <f t="shared" si="1"/>
        <v>2016.09</v>
      </c>
    </row>
    <row r="283" spans="1:2">
      <c r="A283" s="1340">
        <f t="shared" si="1"/>
        <v>2016.1</v>
      </c>
    </row>
    <row r="284" spans="1:2">
      <c r="A284" s="1340">
        <f t="shared" si="1"/>
        <v>2016.11</v>
      </c>
    </row>
    <row r="285" spans="1:2">
      <c r="A285" s="1340">
        <f t="shared" si="1"/>
        <v>2016.12</v>
      </c>
    </row>
    <row r="286" spans="1:2">
      <c r="A286" s="1340">
        <f t="shared" si="1"/>
        <v>2017.01</v>
      </c>
    </row>
    <row r="287" spans="1:2">
      <c r="A287" s="1340">
        <f t="shared" si="1"/>
        <v>2017.02</v>
      </c>
    </row>
    <row r="288" spans="1:2">
      <c r="A288" s="1340">
        <f t="shared" si="1"/>
        <v>2017.03</v>
      </c>
    </row>
    <row r="289" spans="1:1">
      <c r="A289" s="1340">
        <f t="shared" si="1"/>
        <v>2017.04</v>
      </c>
    </row>
    <row r="290" spans="1:1">
      <c r="A290" s="1340">
        <f t="shared" si="1"/>
        <v>2017.05</v>
      </c>
    </row>
    <row r="291" spans="1:1">
      <c r="A291" s="1340">
        <f t="shared" si="1"/>
        <v>2017.06</v>
      </c>
    </row>
    <row r="292" spans="1:1">
      <c r="A292" s="1340">
        <f t="shared" si="1"/>
        <v>2017.07</v>
      </c>
    </row>
    <row r="293" spans="1:1">
      <c r="A293" s="1340">
        <f t="shared" si="1"/>
        <v>2017.08</v>
      </c>
    </row>
    <row r="294" spans="1:1">
      <c r="A294" s="1340">
        <f t="shared" si="1"/>
        <v>2017.09</v>
      </c>
    </row>
    <row r="295" spans="1:1">
      <c r="A295" s="1340">
        <f t="shared" si="1"/>
        <v>2017.1</v>
      </c>
    </row>
    <row r="296" spans="1:1">
      <c r="A296" s="1340">
        <f t="shared" si="1"/>
        <v>2017.11</v>
      </c>
    </row>
    <row r="297" spans="1:1">
      <c r="A297" s="1340">
        <f t="shared" si="1"/>
        <v>2017.12</v>
      </c>
    </row>
    <row r="298" spans="1:1">
      <c r="A298" s="1340">
        <f t="shared" si="1"/>
        <v>2018.01</v>
      </c>
    </row>
    <row r="299" spans="1:1">
      <c r="A299" s="1340">
        <f t="shared" si="1"/>
        <v>2018.02</v>
      </c>
    </row>
    <row r="300" spans="1:1">
      <c r="A300" s="1340">
        <f t="shared" si="1"/>
        <v>2018.03</v>
      </c>
    </row>
    <row r="301" spans="1:1">
      <c r="A301" s="1340">
        <f t="shared" si="1"/>
        <v>2018.04</v>
      </c>
    </row>
    <row r="302" spans="1:1">
      <c r="A302" s="1340">
        <f t="shared" si="1"/>
        <v>2018.05</v>
      </c>
    </row>
    <row r="303" spans="1:1">
      <c r="A303" s="1340">
        <f t="shared" si="1"/>
        <v>2018.06</v>
      </c>
    </row>
    <row r="304" spans="1:1">
      <c r="A304" s="1340">
        <f t="shared" si="1"/>
        <v>2018.07</v>
      </c>
    </row>
    <row r="305" spans="1:1">
      <c r="A305" s="1340">
        <f t="shared" si="1"/>
        <v>2018.08</v>
      </c>
    </row>
    <row r="306" spans="1:1">
      <c r="A306" s="1340">
        <f t="shared" ref="A306:A369" si="2">A294+1</f>
        <v>2018.09</v>
      </c>
    </row>
    <row r="307" spans="1:1">
      <c r="A307" s="1340">
        <f t="shared" si="2"/>
        <v>2018.1</v>
      </c>
    </row>
    <row r="308" spans="1:1">
      <c r="A308" s="1340">
        <f t="shared" si="2"/>
        <v>2018.11</v>
      </c>
    </row>
    <row r="309" spans="1:1">
      <c r="A309" s="1340">
        <f t="shared" si="2"/>
        <v>2018.12</v>
      </c>
    </row>
    <row r="310" spans="1:1">
      <c r="A310" s="1340">
        <f t="shared" si="2"/>
        <v>2019.01</v>
      </c>
    </row>
    <row r="311" spans="1:1">
      <c r="A311" s="1340">
        <f t="shared" si="2"/>
        <v>2019.02</v>
      </c>
    </row>
    <row r="312" spans="1:1">
      <c r="A312" s="1340">
        <f t="shared" si="2"/>
        <v>2019.03</v>
      </c>
    </row>
    <row r="313" spans="1:1">
      <c r="A313" s="1340">
        <f t="shared" si="2"/>
        <v>2019.04</v>
      </c>
    </row>
    <row r="314" spans="1:1">
      <c r="A314" s="1340">
        <f t="shared" si="2"/>
        <v>2019.05</v>
      </c>
    </row>
    <row r="315" spans="1:1">
      <c r="A315" s="1340">
        <f t="shared" si="2"/>
        <v>2019.06</v>
      </c>
    </row>
    <row r="316" spans="1:1">
      <c r="A316" s="1340">
        <f t="shared" si="2"/>
        <v>2019.07</v>
      </c>
    </row>
    <row r="317" spans="1:1">
      <c r="A317" s="1340">
        <f t="shared" si="2"/>
        <v>2019.08</v>
      </c>
    </row>
    <row r="318" spans="1:1">
      <c r="A318" s="1340">
        <f t="shared" si="2"/>
        <v>2019.09</v>
      </c>
    </row>
    <row r="319" spans="1:1">
      <c r="A319" s="1340">
        <f t="shared" si="2"/>
        <v>2019.1</v>
      </c>
    </row>
    <row r="320" spans="1:1">
      <c r="A320" s="1340">
        <f t="shared" si="2"/>
        <v>2019.11</v>
      </c>
    </row>
    <row r="321" spans="1:1">
      <c r="A321" s="1340">
        <f t="shared" si="2"/>
        <v>2019.12</v>
      </c>
    </row>
    <row r="322" spans="1:1">
      <c r="A322" s="1340">
        <f t="shared" si="2"/>
        <v>2020.01</v>
      </c>
    </row>
    <row r="323" spans="1:1">
      <c r="A323" s="1340">
        <f t="shared" si="2"/>
        <v>2020.02</v>
      </c>
    </row>
    <row r="324" spans="1:1">
      <c r="A324" s="1340">
        <f t="shared" si="2"/>
        <v>2020.03</v>
      </c>
    </row>
    <row r="325" spans="1:1">
      <c r="A325" s="1340">
        <f t="shared" si="2"/>
        <v>2020.04</v>
      </c>
    </row>
    <row r="326" spans="1:1">
      <c r="A326" s="1340">
        <f t="shared" si="2"/>
        <v>2020.05</v>
      </c>
    </row>
    <row r="327" spans="1:1">
      <c r="A327" s="1340">
        <f t="shared" si="2"/>
        <v>2020.06</v>
      </c>
    </row>
    <row r="328" spans="1:1">
      <c r="A328" s="1340">
        <f t="shared" si="2"/>
        <v>2020.07</v>
      </c>
    </row>
    <row r="329" spans="1:1">
      <c r="A329" s="1340">
        <f t="shared" si="2"/>
        <v>2020.08</v>
      </c>
    </row>
    <row r="330" spans="1:1">
      <c r="A330" s="1340">
        <f t="shared" si="2"/>
        <v>2020.09</v>
      </c>
    </row>
    <row r="331" spans="1:1">
      <c r="A331" s="1340">
        <f t="shared" si="2"/>
        <v>2020.1</v>
      </c>
    </row>
    <row r="332" spans="1:1">
      <c r="A332" s="1340">
        <f t="shared" si="2"/>
        <v>2020.11</v>
      </c>
    </row>
    <row r="333" spans="1:1">
      <c r="A333" s="1340">
        <f t="shared" si="2"/>
        <v>2020.12</v>
      </c>
    </row>
    <row r="334" spans="1:1">
      <c r="A334" s="1340">
        <f t="shared" si="2"/>
        <v>2021.01</v>
      </c>
    </row>
    <row r="335" spans="1:1">
      <c r="A335" s="1340">
        <f t="shared" si="2"/>
        <v>2021.02</v>
      </c>
    </row>
    <row r="336" spans="1:1">
      <c r="A336" s="1340">
        <f t="shared" si="2"/>
        <v>2021.03</v>
      </c>
    </row>
    <row r="337" spans="1:1">
      <c r="A337" s="1340">
        <f t="shared" si="2"/>
        <v>2021.04</v>
      </c>
    </row>
    <row r="338" spans="1:1">
      <c r="A338" s="1340">
        <f t="shared" si="2"/>
        <v>2021.05</v>
      </c>
    </row>
    <row r="339" spans="1:1">
      <c r="A339" s="1340">
        <f t="shared" si="2"/>
        <v>2021.06</v>
      </c>
    </row>
    <row r="340" spans="1:1">
      <c r="A340" s="1340">
        <f t="shared" si="2"/>
        <v>2021.07</v>
      </c>
    </row>
    <row r="341" spans="1:1">
      <c r="A341" s="1340">
        <f t="shared" si="2"/>
        <v>2021.08</v>
      </c>
    </row>
    <row r="342" spans="1:1">
      <c r="A342" s="1340">
        <f t="shared" si="2"/>
        <v>2021.09</v>
      </c>
    </row>
    <row r="343" spans="1:1">
      <c r="A343" s="1340">
        <f t="shared" si="2"/>
        <v>2021.1</v>
      </c>
    </row>
    <row r="344" spans="1:1">
      <c r="A344" s="1340">
        <f t="shared" si="2"/>
        <v>2021.11</v>
      </c>
    </row>
    <row r="345" spans="1:1">
      <c r="A345" s="1340">
        <f t="shared" si="2"/>
        <v>2021.12</v>
      </c>
    </row>
    <row r="346" spans="1:1">
      <c r="A346" s="1340">
        <f t="shared" si="2"/>
        <v>2022.01</v>
      </c>
    </row>
    <row r="347" spans="1:1">
      <c r="A347" s="1340">
        <f t="shared" si="2"/>
        <v>2022.02</v>
      </c>
    </row>
    <row r="348" spans="1:1">
      <c r="A348" s="1340">
        <f t="shared" si="2"/>
        <v>2022.03</v>
      </c>
    </row>
    <row r="349" spans="1:1">
      <c r="A349" s="1340">
        <f t="shared" si="2"/>
        <v>2022.04</v>
      </c>
    </row>
    <row r="350" spans="1:1">
      <c r="A350" s="1340">
        <f t="shared" si="2"/>
        <v>2022.05</v>
      </c>
    </row>
    <row r="351" spans="1:1">
      <c r="A351" s="1340">
        <f t="shared" si="2"/>
        <v>2022.06</v>
      </c>
    </row>
    <row r="352" spans="1:1">
      <c r="A352" s="1340">
        <f t="shared" si="2"/>
        <v>2022.07</v>
      </c>
    </row>
    <row r="353" spans="1:1">
      <c r="A353" s="1340">
        <f t="shared" si="2"/>
        <v>2022.08</v>
      </c>
    </row>
    <row r="354" spans="1:1">
      <c r="A354" s="1340">
        <f t="shared" si="2"/>
        <v>2022.09</v>
      </c>
    </row>
    <row r="355" spans="1:1">
      <c r="A355" s="1340">
        <f t="shared" si="2"/>
        <v>2022.1</v>
      </c>
    </row>
    <row r="356" spans="1:1">
      <c r="A356" s="1340">
        <f t="shared" si="2"/>
        <v>2022.11</v>
      </c>
    </row>
    <row r="357" spans="1:1">
      <c r="A357" s="1340">
        <f t="shared" si="2"/>
        <v>2022.12</v>
      </c>
    </row>
    <row r="358" spans="1:1">
      <c r="A358" s="1340">
        <f t="shared" si="2"/>
        <v>2023.01</v>
      </c>
    </row>
    <row r="359" spans="1:1">
      <c r="A359" s="1340">
        <f t="shared" si="2"/>
        <v>2023.02</v>
      </c>
    </row>
    <row r="360" spans="1:1">
      <c r="A360" s="1340">
        <f t="shared" si="2"/>
        <v>2023.03</v>
      </c>
    </row>
    <row r="361" spans="1:1">
      <c r="A361" s="1340">
        <f t="shared" si="2"/>
        <v>2023.04</v>
      </c>
    </row>
    <row r="362" spans="1:1">
      <c r="A362" s="1340">
        <f t="shared" si="2"/>
        <v>2023.05</v>
      </c>
    </row>
    <row r="363" spans="1:1">
      <c r="A363" s="1340">
        <f t="shared" si="2"/>
        <v>2023.06</v>
      </c>
    </row>
    <row r="364" spans="1:1">
      <c r="A364" s="1340">
        <f t="shared" si="2"/>
        <v>2023.07</v>
      </c>
    </row>
    <row r="365" spans="1:1">
      <c r="A365" s="1340">
        <f t="shared" si="2"/>
        <v>2023.08</v>
      </c>
    </row>
    <row r="366" spans="1:1">
      <c r="A366" s="1340">
        <f t="shared" si="2"/>
        <v>2023.09</v>
      </c>
    </row>
    <row r="367" spans="1:1">
      <c r="A367" s="1340">
        <f t="shared" si="2"/>
        <v>2023.1</v>
      </c>
    </row>
    <row r="368" spans="1:1">
      <c r="A368" s="1340">
        <f t="shared" si="2"/>
        <v>2023.11</v>
      </c>
    </row>
    <row r="369" spans="1:1">
      <c r="A369" s="1340">
        <f t="shared" si="2"/>
        <v>2023.12</v>
      </c>
    </row>
    <row r="370" spans="1:1">
      <c r="A370" s="1340">
        <f t="shared" ref="A370:A435" si="3">A358+1</f>
        <v>2024.01</v>
      </c>
    </row>
    <row r="371" spans="1:1">
      <c r="A371" s="1340">
        <f t="shared" si="3"/>
        <v>2024.02</v>
      </c>
    </row>
    <row r="372" spans="1:1">
      <c r="A372" s="1340">
        <f t="shared" si="3"/>
        <v>2024.03</v>
      </c>
    </row>
    <row r="373" spans="1:1">
      <c r="A373" s="1340">
        <f t="shared" si="3"/>
        <v>2024.04</v>
      </c>
    </row>
    <row r="374" spans="1:1">
      <c r="A374" s="1340">
        <f t="shared" si="3"/>
        <v>2024.05</v>
      </c>
    </row>
    <row r="375" spans="1:1">
      <c r="A375" s="1340">
        <f t="shared" si="3"/>
        <v>2024.06</v>
      </c>
    </row>
    <row r="376" spans="1:1">
      <c r="A376" s="1340">
        <f t="shared" si="3"/>
        <v>2024.07</v>
      </c>
    </row>
    <row r="377" spans="1:1">
      <c r="A377" s="1340">
        <f t="shared" si="3"/>
        <v>2024.08</v>
      </c>
    </row>
    <row r="378" spans="1:1">
      <c r="A378" s="1340">
        <f t="shared" si="3"/>
        <v>2024.09</v>
      </c>
    </row>
    <row r="379" spans="1:1">
      <c r="A379" s="1340">
        <f t="shared" si="3"/>
        <v>2024.1</v>
      </c>
    </row>
    <row r="380" spans="1:1">
      <c r="A380" s="1340">
        <f t="shared" si="3"/>
        <v>2024.11</v>
      </c>
    </row>
    <row r="381" spans="1:1">
      <c r="A381" s="1340">
        <f t="shared" si="3"/>
        <v>2024.12</v>
      </c>
    </row>
    <row r="382" spans="1:1">
      <c r="A382" s="1340">
        <f t="shared" si="3"/>
        <v>2025.01</v>
      </c>
    </row>
    <row r="383" spans="1:1">
      <c r="A383" s="1340">
        <f t="shared" si="3"/>
        <v>2025.02</v>
      </c>
    </row>
    <row r="384" spans="1:1">
      <c r="A384" s="1340">
        <f t="shared" si="3"/>
        <v>2025.03</v>
      </c>
    </row>
    <row r="385" spans="1:1">
      <c r="A385" s="1340">
        <f t="shared" si="3"/>
        <v>2025.04</v>
      </c>
    </row>
    <row r="386" spans="1:1">
      <c r="A386" s="1340">
        <f t="shared" si="3"/>
        <v>2025.05</v>
      </c>
    </row>
    <row r="387" spans="1:1">
      <c r="A387" s="1340">
        <f t="shared" si="3"/>
        <v>2025.06</v>
      </c>
    </row>
    <row r="388" spans="1:1">
      <c r="A388" s="1340">
        <f t="shared" si="3"/>
        <v>2025.07</v>
      </c>
    </row>
    <row r="389" spans="1:1">
      <c r="A389" s="1340">
        <f t="shared" si="3"/>
        <v>2025.08</v>
      </c>
    </row>
    <row r="390" spans="1:1">
      <c r="A390" s="1340">
        <f t="shared" si="3"/>
        <v>2025.09</v>
      </c>
    </row>
    <row r="391" spans="1:1">
      <c r="A391" s="1340">
        <f t="shared" si="3"/>
        <v>2025.1</v>
      </c>
    </row>
    <row r="392" spans="1:1">
      <c r="A392" s="1340">
        <f t="shared" si="3"/>
        <v>2025.11</v>
      </c>
    </row>
    <row r="393" spans="1:1">
      <c r="A393" s="1340">
        <f t="shared" si="3"/>
        <v>2025.12</v>
      </c>
    </row>
    <row r="394" spans="1:1">
      <c r="A394" s="1340">
        <f t="shared" si="3"/>
        <v>2026.01</v>
      </c>
    </row>
    <row r="395" spans="1:1">
      <c r="A395" s="1340">
        <f t="shared" si="3"/>
        <v>2026.02</v>
      </c>
    </row>
    <row r="396" spans="1:1">
      <c r="A396" s="1340">
        <f t="shared" si="3"/>
        <v>2026.03</v>
      </c>
    </row>
    <row r="397" spans="1:1">
      <c r="A397" s="1340">
        <f t="shared" si="3"/>
        <v>2026.04</v>
      </c>
    </row>
    <row r="398" spans="1:1">
      <c r="A398" s="1340">
        <f t="shared" si="3"/>
        <v>2026.05</v>
      </c>
    </row>
    <row r="399" spans="1:1">
      <c r="A399" s="1340">
        <f t="shared" si="3"/>
        <v>2026.06</v>
      </c>
    </row>
    <row r="400" spans="1:1">
      <c r="A400" s="1340">
        <f t="shared" si="3"/>
        <v>2026.07</v>
      </c>
    </row>
    <row r="401" spans="1:1">
      <c r="A401" s="1340">
        <f t="shared" si="3"/>
        <v>2026.08</v>
      </c>
    </row>
    <row r="402" spans="1:1">
      <c r="A402" s="1340">
        <f t="shared" si="3"/>
        <v>2026.09</v>
      </c>
    </row>
    <row r="403" spans="1:1">
      <c r="A403" s="1340">
        <f t="shared" si="3"/>
        <v>2026.1</v>
      </c>
    </row>
    <row r="404" spans="1:1">
      <c r="A404" s="1340">
        <f t="shared" si="3"/>
        <v>2026.11</v>
      </c>
    </row>
    <row r="405" spans="1:1">
      <c r="A405" s="1340">
        <f t="shared" si="3"/>
        <v>2026.12</v>
      </c>
    </row>
    <row r="406" spans="1:1">
      <c r="A406" s="1340">
        <f t="shared" si="3"/>
        <v>2027.01</v>
      </c>
    </row>
    <row r="407" spans="1:1">
      <c r="A407" s="1340">
        <f t="shared" si="3"/>
        <v>2027.02</v>
      </c>
    </row>
    <row r="408" spans="1:1">
      <c r="A408" s="1340">
        <f t="shared" si="3"/>
        <v>2027.03</v>
      </c>
    </row>
    <row r="409" spans="1:1">
      <c r="A409" s="1340">
        <f t="shared" si="3"/>
        <v>2027.04</v>
      </c>
    </row>
    <row r="410" spans="1:1">
      <c r="A410" s="1340">
        <f t="shared" si="3"/>
        <v>2027.05</v>
      </c>
    </row>
    <row r="411" spans="1:1">
      <c r="A411" s="1340">
        <f t="shared" si="3"/>
        <v>2027.06</v>
      </c>
    </row>
    <row r="412" spans="1:1">
      <c r="A412" s="1340">
        <f t="shared" si="3"/>
        <v>2027.07</v>
      </c>
    </row>
    <row r="413" spans="1:1">
      <c r="A413" s="1340">
        <f t="shared" si="3"/>
        <v>2027.08</v>
      </c>
    </row>
    <row r="414" spans="1:1">
      <c r="A414" s="1340">
        <f t="shared" si="3"/>
        <v>2027.09</v>
      </c>
    </row>
    <row r="415" spans="1:1">
      <c r="A415" s="1340">
        <f t="shared" si="3"/>
        <v>2027.1</v>
      </c>
    </row>
    <row r="416" spans="1:1">
      <c r="A416" s="1340">
        <f t="shared" si="3"/>
        <v>2027.11</v>
      </c>
    </row>
    <row r="417" spans="1:1">
      <c r="A417" s="1340">
        <f t="shared" si="3"/>
        <v>2027.12</v>
      </c>
    </row>
    <row r="418" spans="1:1">
      <c r="A418" s="1340">
        <f t="shared" si="3"/>
        <v>2028.01</v>
      </c>
    </row>
    <row r="419" spans="1:1">
      <c r="A419" s="1340">
        <f t="shared" si="3"/>
        <v>2028.02</v>
      </c>
    </row>
    <row r="420" spans="1:1">
      <c r="A420" s="1340">
        <f t="shared" si="3"/>
        <v>2028.03</v>
      </c>
    </row>
    <row r="421" spans="1:1">
      <c r="A421" s="1340">
        <f t="shared" si="3"/>
        <v>2028.04</v>
      </c>
    </row>
    <row r="422" spans="1:1">
      <c r="A422" s="1340">
        <f t="shared" si="3"/>
        <v>2028.05</v>
      </c>
    </row>
    <row r="423" spans="1:1">
      <c r="A423" s="1340">
        <f t="shared" si="3"/>
        <v>2028.06</v>
      </c>
    </row>
    <row r="424" spans="1:1">
      <c r="A424" s="1340">
        <f t="shared" si="3"/>
        <v>2028.07</v>
      </c>
    </row>
    <row r="425" spans="1:1">
      <c r="A425" s="1340">
        <f t="shared" si="3"/>
        <v>2028.08</v>
      </c>
    </row>
    <row r="426" spans="1:1">
      <c r="A426" s="1340">
        <f t="shared" si="3"/>
        <v>2028.09</v>
      </c>
    </row>
    <row r="427" spans="1:1">
      <c r="A427" s="1340">
        <f t="shared" si="3"/>
        <v>2028.1</v>
      </c>
    </row>
    <row r="428" spans="1:1">
      <c r="A428" s="1340">
        <f t="shared" si="3"/>
        <v>2028.11</v>
      </c>
    </row>
    <row r="429" spans="1:1">
      <c r="A429" s="1340">
        <f t="shared" si="3"/>
        <v>2028.12</v>
      </c>
    </row>
    <row r="430" spans="1:1">
      <c r="A430" s="1340">
        <f t="shared" si="3"/>
        <v>2029.01</v>
      </c>
    </row>
    <row r="431" spans="1:1">
      <c r="A431" s="1340">
        <f t="shared" si="3"/>
        <v>2029.02</v>
      </c>
    </row>
    <row r="432" spans="1:1">
      <c r="A432" s="1340">
        <f t="shared" si="3"/>
        <v>2029.03</v>
      </c>
    </row>
    <row r="433" spans="1:1">
      <c r="A433" s="1340">
        <f t="shared" si="3"/>
        <v>2029.04</v>
      </c>
    </row>
    <row r="434" spans="1:1">
      <c r="A434" s="1340">
        <f t="shared" ref="A434" si="4">A422+1</f>
        <v>2029.05</v>
      </c>
    </row>
    <row r="435" spans="1:1">
      <c r="A435" s="1340">
        <f t="shared" si="3"/>
        <v>2029.06</v>
      </c>
    </row>
    <row r="436" spans="1:1">
      <c r="A436" s="1340">
        <f t="shared" ref="A436:A453" si="5">A424+1</f>
        <v>2029.07</v>
      </c>
    </row>
    <row r="437" spans="1:1">
      <c r="A437" s="1340">
        <f t="shared" si="5"/>
        <v>2029.08</v>
      </c>
    </row>
    <row r="438" spans="1:1">
      <c r="A438" s="1340">
        <f t="shared" si="5"/>
        <v>2029.09</v>
      </c>
    </row>
    <row r="439" spans="1:1">
      <c r="A439" s="1340">
        <f t="shared" si="5"/>
        <v>2029.1</v>
      </c>
    </row>
    <row r="440" spans="1:1">
      <c r="A440" s="1340">
        <f t="shared" si="5"/>
        <v>2029.11</v>
      </c>
    </row>
    <row r="441" spans="1:1">
      <c r="A441" s="1340">
        <f t="shared" si="5"/>
        <v>2029.12</v>
      </c>
    </row>
    <row r="442" spans="1:1">
      <c r="A442" s="1340">
        <f t="shared" si="5"/>
        <v>2030.01</v>
      </c>
    </row>
    <row r="443" spans="1:1">
      <c r="A443" s="1340">
        <f t="shared" si="5"/>
        <v>2030.02</v>
      </c>
    </row>
    <row r="444" spans="1:1">
      <c r="A444" s="1340">
        <f t="shared" si="5"/>
        <v>2030.03</v>
      </c>
    </row>
    <row r="445" spans="1:1">
      <c r="A445" s="1340">
        <f t="shared" si="5"/>
        <v>2030.04</v>
      </c>
    </row>
    <row r="446" spans="1:1">
      <c r="A446" s="1340">
        <f t="shared" si="5"/>
        <v>2030.05</v>
      </c>
    </row>
    <row r="447" spans="1:1">
      <c r="A447" s="1340">
        <f t="shared" si="5"/>
        <v>2030.06</v>
      </c>
    </row>
    <row r="448" spans="1:1">
      <c r="A448" s="1340">
        <f t="shared" si="5"/>
        <v>2030.07</v>
      </c>
    </row>
    <row r="449" spans="1:1">
      <c r="A449" s="1340">
        <f t="shared" si="5"/>
        <v>2030.08</v>
      </c>
    </row>
    <row r="450" spans="1:1">
      <c r="A450" s="1340">
        <f t="shared" si="5"/>
        <v>2030.09</v>
      </c>
    </row>
    <row r="451" spans="1:1">
      <c r="A451" s="1340">
        <f t="shared" si="5"/>
        <v>2030.1</v>
      </c>
    </row>
    <row r="452" spans="1:1">
      <c r="A452" s="1340">
        <f t="shared" si="5"/>
        <v>2030.11</v>
      </c>
    </row>
    <row r="453" spans="1:1">
      <c r="A453" s="1340">
        <f t="shared" si="5"/>
        <v>2030.12</v>
      </c>
    </row>
  </sheetData>
  <phoneticPr fontId="62" type="noConversion"/>
  <hyperlinks>
    <hyperlink ref="A5" location="INDICE!A13" display="VOLVER AL INDICE" xr:uid="{00000000-0004-0000-2700-000000000000}"/>
  </hyperlinks>
  <pageMargins left="0.75" right="0.75" top="1" bottom="1" header="0" footer="0"/>
  <pageSetup paperSize="9"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27">
    <pageSetUpPr autoPageBreaks="0"/>
  </sheetPr>
  <dimension ref="A1:V453"/>
  <sheetViews>
    <sheetView zoomScale="130" zoomScaleNormal="130" workbookViewId="0">
      <pane xSplit="1" ySplit="9" topLeftCell="R37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24" bestFit="1" customWidth="1"/>
    <col min="2" max="22" width="11" style="24" customWidth="1"/>
    <col min="23" max="16384" width="11.42578125" style="9"/>
  </cols>
  <sheetData>
    <row r="1" spans="1:22" ht="3" customHeight="1">
      <c r="A1" s="34"/>
      <c r="B1" s="44"/>
      <c r="C1" s="44"/>
      <c r="D1" s="44"/>
      <c r="E1" s="44"/>
      <c r="F1" s="44"/>
      <c r="G1" s="44"/>
      <c r="H1" s="44"/>
      <c r="I1" s="44"/>
      <c r="J1" s="44"/>
      <c r="K1" s="44"/>
      <c r="L1" s="15"/>
      <c r="M1" s="15"/>
      <c r="N1" s="15"/>
      <c r="O1" s="15"/>
      <c r="P1" s="44"/>
      <c r="Q1" s="15"/>
      <c r="R1" s="15"/>
      <c r="S1" s="15"/>
      <c r="T1" s="15"/>
      <c r="U1" s="15"/>
      <c r="V1" s="12"/>
    </row>
    <row r="2" spans="1:22">
      <c r="A2" s="36" t="s">
        <v>105</v>
      </c>
      <c r="B2" s="2148" t="s">
        <v>1237</v>
      </c>
      <c r="C2" s="45"/>
      <c r="D2" s="45"/>
      <c r="E2" s="45"/>
      <c r="F2" s="45"/>
      <c r="G2" s="45"/>
      <c r="H2" s="45"/>
      <c r="I2" s="45"/>
      <c r="J2" s="45"/>
      <c r="K2" s="45"/>
      <c r="L2" s="84"/>
      <c r="M2" s="84"/>
      <c r="N2" s="84"/>
      <c r="O2" s="382"/>
      <c r="P2" s="382"/>
      <c r="Q2" s="84"/>
      <c r="R2" s="84"/>
      <c r="S2" s="84"/>
      <c r="T2" s="84"/>
      <c r="U2" s="84"/>
      <c r="V2" s="85"/>
    </row>
    <row r="3" spans="1:22">
      <c r="A3" s="36" t="s">
        <v>212</v>
      </c>
      <c r="B3" s="2148" t="s">
        <v>112</v>
      </c>
      <c r="C3" s="45"/>
      <c r="D3" s="45"/>
      <c r="E3" s="45"/>
      <c r="F3" s="45"/>
      <c r="G3" s="45"/>
      <c r="H3" s="45"/>
      <c r="I3" s="45"/>
      <c r="J3" s="45"/>
      <c r="K3" s="45"/>
      <c r="L3" s="84"/>
      <c r="M3" s="84"/>
      <c r="N3" s="84"/>
      <c r="O3" s="382"/>
      <c r="P3" s="382"/>
      <c r="Q3" s="84"/>
      <c r="R3" s="84"/>
      <c r="S3" s="84"/>
      <c r="T3" s="84"/>
      <c r="U3" s="84"/>
      <c r="V3" s="85"/>
    </row>
    <row r="4" spans="1:22" ht="3" hidden="1" customHeight="1">
      <c r="A4" s="34"/>
      <c r="B4" s="44"/>
      <c r="C4" s="44"/>
      <c r="D4" s="44"/>
      <c r="E4" s="44"/>
      <c r="F4" s="44"/>
      <c r="G4" s="44"/>
      <c r="H4" s="44"/>
      <c r="I4" s="44"/>
      <c r="J4" s="44"/>
      <c r="K4" s="44"/>
      <c r="L4" s="15"/>
      <c r="M4" s="15"/>
      <c r="N4" s="15"/>
      <c r="O4" s="15"/>
      <c r="P4" s="44"/>
      <c r="Q4" s="15"/>
      <c r="R4" s="15"/>
      <c r="S4" s="15"/>
      <c r="T4" s="15"/>
      <c r="U4" s="15"/>
      <c r="V4" s="12"/>
    </row>
    <row r="5" spans="1:22" ht="45.75" customHeight="1">
      <c r="A5" s="2390" t="s">
        <v>137</v>
      </c>
      <c r="B5" s="1736" t="s">
        <v>1238</v>
      </c>
      <c r="C5" s="1736" t="s">
        <v>1239</v>
      </c>
      <c r="D5" s="1736" t="s">
        <v>1240</v>
      </c>
      <c r="E5" s="1736" t="s">
        <v>1241</v>
      </c>
      <c r="F5" s="1736" t="s">
        <v>1242</v>
      </c>
      <c r="G5" s="1736"/>
      <c r="H5" s="2149"/>
      <c r="I5" s="1736" t="s">
        <v>1243</v>
      </c>
      <c r="J5" s="1736"/>
      <c r="K5" s="2086"/>
      <c r="L5" s="2374" t="s">
        <v>1244</v>
      </c>
      <c r="M5" s="802"/>
      <c r="N5" s="1763" t="s">
        <v>1245</v>
      </c>
      <c r="O5" s="3201" t="s">
        <v>1246</v>
      </c>
      <c r="P5" s="1763" t="s">
        <v>1247</v>
      </c>
      <c r="Q5" s="1763" t="s">
        <v>1248</v>
      </c>
      <c r="R5" s="2440" t="s">
        <v>1249</v>
      </c>
      <c r="S5" s="2440" t="s">
        <v>1250</v>
      </c>
      <c r="T5" s="2374" t="s">
        <v>1251</v>
      </c>
      <c r="U5" s="2374"/>
      <c r="V5" s="2054" t="s">
        <v>1252</v>
      </c>
    </row>
    <row r="6" spans="1:22" ht="33.75">
      <c r="A6" s="147"/>
      <c r="B6" s="3202" t="s">
        <v>338</v>
      </c>
      <c r="C6" s="3202" t="s">
        <v>338</v>
      </c>
      <c r="D6" s="3202" t="s">
        <v>338</v>
      </c>
      <c r="E6" s="3202" t="s">
        <v>338</v>
      </c>
      <c r="F6" s="3143" t="s">
        <v>1253</v>
      </c>
      <c r="G6" s="3338" t="s">
        <v>1254</v>
      </c>
      <c r="H6" s="3203" t="s">
        <v>338</v>
      </c>
      <c r="I6" s="3143" t="s">
        <v>1253</v>
      </c>
      <c r="J6" s="3339" t="s">
        <v>1254</v>
      </c>
      <c r="K6" s="3202" t="s">
        <v>1255</v>
      </c>
      <c r="L6" s="3204" t="s">
        <v>1253</v>
      </c>
      <c r="M6" s="3205" t="s">
        <v>1254</v>
      </c>
      <c r="N6" s="3201" t="s">
        <v>338</v>
      </c>
      <c r="O6" s="3201" t="s">
        <v>1246</v>
      </c>
      <c r="P6" s="3147" t="s">
        <v>1253</v>
      </c>
      <c r="Q6" s="3147" t="s">
        <v>1253</v>
      </c>
      <c r="R6" s="3147" t="s">
        <v>1253</v>
      </c>
      <c r="S6" s="3201" t="s">
        <v>1254</v>
      </c>
      <c r="T6" s="3204" t="s">
        <v>1253</v>
      </c>
      <c r="U6" s="3206" t="s">
        <v>1254</v>
      </c>
      <c r="V6" s="3340" t="str">
        <f>V5</f>
        <v>Total Naftas</v>
      </c>
    </row>
    <row r="7" spans="1:22" ht="22.5">
      <c r="A7" s="2373" t="s">
        <v>123</v>
      </c>
      <c r="B7" s="1963" t="s">
        <v>1256</v>
      </c>
      <c r="C7" s="1963" t="s">
        <v>1256</v>
      </c>
      <c r="D7" s="1963" t="s">
        <v>125</v>
      </c>
      <c r="E7" s="1963" t="s">
        <v>1256</v>
      </c>
      <c r="F7" s="2402" t="s">
        <v>1256</v>
      </c>
      <c r="G7" s="2053" t="s">
        <v>1256</v>
      </c>
      <c r="H7" s="158" t="s">
        <v>1256</v>
      </c>
      <c r="I7" s="2402" t="s">
        <v>1256</v>
      </c>
      <c r="J7" s="2150" t="s">
        <v>1256</v>
      </c>
      <c r="K7" s="1963" t="s">
        <v>1256</v>
      </c>
      <c r="L7" s="780" t="s">
        <v>1256</v>
      </c>
      <c r="M7" s="158" t="s">
        <v>1256</v>
      </c>
      <c r="N7" s="1963" t="s">
        <v>1257</v>
      </c>
      <c r="O7" s="1963" t="s">
        <v>1256</v>
      </c>
      <c r="P7" s="1963" t="s">
        <v>1256</v>
      </c>
      <c r="Q7" s="1963" t="s">
        <v>1256</v>
      </c>
      <c r="R7" s="1963" t="s">
        <v>1256</v>
      </c>
      <c r="S7" s="1963" t="s">
        <v>1256</v>
      </c>
      <c r="T7" s="780" t="s">
        <v>1256</v>
      </c>
      <c r="U7" s="158" t="s">
        <v>1256</v>
      </c>
      <c r="V7" s="1884" t="s">
        <v>1256</v>
      </c>
    </row>
    <row r="8" spans="1:22" ht="13.5" thickBot="1">
      <c r="A8" s="147" t="s">
        <v>141</v>
      </c>
      <c r="B8" s="1964" t="s">
        <v>1258</v>
      </c>
      <c r="C8" s="1964" t="s">
        <v>1259</v>
      </c>
      <c r="D8" s="1964" t="s">
        <v>1260</v>
      </c>
      <c r="E8" s="1964" t="s">
        <v>1261</v>
      </c>
      <c r="F8" s="2400" t="s">
        <v>1262</v>
      </c>
      <c r="G8" s="639" t="s">
        <v>1263</v>
      </c>
      <c r="H8" s="149" t="s">
        <v>1264</v>
      </c>
      <c r="I8" s="2400" t="s">
        <v>1265</v>
      </c>
      <c r="J8" s="735" t="s">
        <v>1266</v>
      </c>
      <c r="K8" s="1964" t="s">
        <v>1267</v>
      </c>
      <c r="L8" s="773" t="s">
        <v>1268</v>
      </c>
      <c r="M8" s="149" t="s">
        <v>1269</v>
      </c>
      <c r="N8" s="1964" t="s">
        <v>1270</v>
      </c>
      <c r="O8" s="1964" t="s">
        <v>1271</v>
      </c>
      <c r="P8" s="1964" t="s">
        <v>1272</v>
      </c>
      <c r="Q8" s="1964" t="s">
        <v>1273</v>
      </c>
      <c r="R8" s="1964" t="s">
        <v>1274</v>
      </c>
      <c r="S8" s="1964" t="s">
        <v>1275</v>
      </c>
      <c r="T8" s="773" t="s">
        <v>1276</v>
      </c>
      <c r="U8" s="149" t="s">
        <v>1277</v>
      </c>
      <c r="V8" s="1979" t="s">
        <v>1278</v>
      </c>
    </row>
    <row r="9" spans="1:22" ht="9.6" hidden="1" customHeight="1" thickBot="1">
      <c r="A9" s="2990"/>
      <c r="B9" s="1935"/>
      <c r="C9" s="2151"/>
      <c r="D9" s="2151"/>
      <c r="E9" s="2151"/>
      <c r="F9" s="941"/>
      <c r="G9" s="2152"/>
      <c r="H9" s="207"/>
      <c r="I9" s="945"/>
      <c r="J9" s="2153"/>
      <c r="K9" s="917"/>
      <c r="L9" s="945"/>
      <c r="M9" s="2154"/>
      <c r="N9" s="2155"/>
      <c r="O9" s="1417"/>
      <c r="P9" s="941"/>
      <c r="Q9" s="941"/>
      <c r="R9" s="941"/>
      <c r="S9" s="2154"/>
      <c r="T9" s="2649"/>
      <c r="U9" s="2154"/>
      <c r="V9" s="1418"/>
    </row>
    <row r="10" spans="1:22">
      <c r="A10" s="1340">
        <v>1994.01</v>
      </c>
      <c r="B10" s="55">
        <v>5</v>
      </c>
      <c r="C10" s="191">
        <v>181</v>
      </c>
      <c r="D10" s="157"/>
      <c r="E10" s="191">
        <v>1248</v>
      </c>
      <c r="F10" s="768">
        <v>0</v>
      </c>
      <c r="G10" s="913"/>
      <c r="H10" s="914">
        <f>F10+G10</f>
        <v>0</v>
      </c>
      <c r="I10" s="776">
        <v>14153</v>
      </c>
      <c r="J10" s="915"/>
      <c r="K10" s="414">
        <f>I10+J10</f>
        <v>14153</v>
      </c>
      <c r="L10" s="918">
        <v>85738</v>
      </c>
      <c r="M10" s="912">
        <v>0</v>
      </c>
      <c r="N10" s="2650"/>
      <c r="O10" s="415">
        <f>L10+M10+N10</f>
        <v>85738</v>
      </c>
      <c r="P10" s="191">
        <v>16675</v>
      </c>
      <c r="Q10" s="191">
        <v>34426</v>
      </c>
      <c r="R10" s="205">
        <v>0</v>
      </c>
      <c r="S10" s="157"/>
      <c r="T10" s="920"/>
      <c r="U10" s="919"/>
      <c r="V10" s="416">
        <f>SUM(P10:U10)</f>
        <v>51101</v>
      </c>
    </row>
    <row r="11" spans="1:22">
      <c r="A11" s="1340">
        <v>1994.02</v>
      </c>
      <c r="B11" s="260">
        <v>56</v>
      </c>
      <c r="C11" s="2097">
        <v>155</v>
      </c>
      <c r="D11" s="2156"/>
      <c r="E11" s="2097">
        <v>1201</v>
      </c>
      <c r="F11" s="260">
        <v>0</v>
      </c>
      <c r="G11" s="3153"/>
      <c r="H11" s="196">
        <f>F11+G11</f>
        <v>0</v>
      </c>
      <c r="I11" s="260">
        <v>28611.7109375</v>
      </c>
      <c r="J11" s="2157"/>
      <c r="K11" s="263">
        <f t="shared" ref="K11:K73" si="0">I11+J11</f>
        <v>28611.7109375</v>
      </c>
      <c r="L11" s="1313">
        <v>78037</v>
      </c>
      <c r="M11" s="225">
        <v>0</v>
      </c>
      <c r="N11" s="1969"/>
      <c r="O11" s="2158">
        <f>L11+M11+N11</f>
        <v>78037</v>
      </c>
      <c r="P11" s="2097">
        <v>17005</v>
      </c>
      <c r="Q11" s="2097">
        <v>27930</v>
      </c>
      <c r="R11" s="2097">
        <v>0</v>
      </c>
      <c r="S11" s="1969"/>
      <c r="T11" s="921"/>
      <c r="U11" s="2002"/>
      <c r="V11" s="206">
        <f>SUM(P11:U11)</f>
        <v>44935</v>
      </c>
    </row>
    <row r="12" spans="1:22">
      <c r="A12" s="1340">
        <v>1994.03</v>
      </c>
      <c r="B12" s="260">
        <v>1</v>
      </c>
      <c r="C12" s="2097">
        <v>183</v>
      </c>
      <c r="D12" s="2156"/>
      <c r="E12" s="2097">
        <v>2597</v>
      </c>
      <c r="F12" s="260">
        <v>0</v>
      </c>
      <c r="G12" s="3153"/>
      <c r="H12" s="196">
        <f t="shared" ref="H12:H73" si="1">F12+G12</f>
        <v>0</v>
      </c>
      <c r="I12" s="260">
        <v>38518.421875</v>
      </c>
      <c r="J12" s="2157"/>
      <c r="K12" s="263">
        <f t="shared" si="0"/>
        <v>38518.421875</v>
      </c>
      <c r="L12" s="1313">
        <v>109029</v>
      </c>
      <c r="M12" s="225">
        <v>0</v>
      </c>
      <c r="N12" s="1969"/>
      <c r="O12" s="2158">
        <f t="shared" ref="O12:O75" si="2">L12+M12+N12</f>
        <v>109029</v>
      </c>
      <c r="P12" s="2097">
        <v>20332</v>
      </c>
      <c r="Q12" s="2097">
        <v>32900</v>
      </c>
      <c r="R12" s="2097">
        <v>0</v>
      </c>
      <c r="S12" s="1969"/>
      <c r="T12" s="921"/>
      <c r="U12" s="2002"/>
      <c r="V12" s="206">
        <f t="shared" ref="V12:V75" si="3">SUM(P12:U12)</f>
        <v>53232</v>
      </c>
    </row>
    <row r="13" spans="1:22">
      <c r="A13" s="1340">
        <v>1994.04</v>
      </c>
      <c r="B13" s="260">
        <v>28136</v>
      </c>
      <c r="C13" s="2097">
        <v>65</v>
      </c>
      <c r="D13" s="2156"/>
      <c r="E13" s="2097">
        <v>3698</v>
      </c>
      <c r="F13" s="260">
        <v>0</v>
      </c>
      <c r="G13" s="3153"/>
      <c r="H13" s="196">
        <f t="shared" si="1"/>
        <v>0</v>
      </c>
      <c r="I13" s="260">
        <v>32558.369140625</v>
      </c>
      <c r="J13" s="2157"/>
      <c r="K13" s="263">
        <f t="shared" si="0"/>
        <v>32558.369140625</v>
      </c>
      <c r="L13" s="1313">
        <v>59359</v>
      </c>
      <c r="M13" s="225">
        <v>0</v>
      </c>
      <c r="N13" s="1969"/>
      <c r="O13" s="2158">
        <f t="shared" si="2"/>
        <v>59359</v>
      </c>
      <c r="P13" s="2097">
        <v>18059</v>
      </c>
      <c r="Q13" s="2097">
        <v>28912</v>
      </c>
      <c r="R13" s="2097">
        <v>0</v>
      </c>
      <c r="S13" s="1969"/>
      <c r="T13" s="921"/>
      <c r="U13" s="2002"/>
      <c r="V13" s="206">
        <f t="shared" si="3"/>
        <v>46971</v>
      </c>
    </row>
    <row r="14" spans="1:22">
      <c r="A14" s="1340">
        <v>1994.05</v>
      </c>
      <c r="B14" s="260">
        <v>5</v>
      </c>
      <c r="C14" s="2097">
        <v>33</v>
      </c>
      <c r="D14" s="2156"/>
      <c r="E14" s="2097">
        <v>4434</v>
      </c>
      <c r="F14" s="260">
        <v>0</v>
      </c>
      <c r="G14" s="3153"/>
      <c r="H14" s="196">
        <f t="shared" si="1"/>
        <v>0</v>
      </c>
      <c r="I14" s="260">
        <v>18747.4296875</v>
      </c>
      <c r="J14" s="2157"/>
      <c r="K14" s="263">
        <f t="shared" si="0"/>
        <v>18747.4296875</v>
      </c>
      <c r="L14" s="1313">
        <v>96850</v>
      </c>
      <c r="M14" s="225">
        <v>0</v>
      </c>
      <c r="N14" s="1969"/>
      <c r="O14" s="2158">
        <f t="shared" si="2"/>
        <v>96850</v>
      </c>
      <c r="P14" s="2097">
        <v>18285</v>
      </c>
      <c r="Q14" s="2097">
        <v>26048</v>
      </c>
      <c r="R14" s="2097">
        <v>0</v>
      </c>
      <c r="S14" s="1969"/>
      <c r="T14" s="921"/>
      <c r="U14" s="2002"/>
      <c r="V14" s="206">
        <f t="shared" si="3"/>
        <v>44333</v>
      </c>
    </row>
    <row r="15" spans="1:22">
      <c r="A15" s="1340">
        <v>1994.06</v>
      </c>
      <c r="B15" s="260">
        <v>25</v>
      </c>
      <c r="C15" s="2097">
        <v>41</v>
      </c>
      <c r="D15" s="2156"/>
      <c r="E15" s="2097">
        <v>9641</v>
      </c>
      <c r="F15" s="260">
        <v>0</v>
      </c>
      <c r="G15" s="3153"/>
      <c r="H15" s="196">
        <f t="shared" si="1"/>
        <v>0</v>
      </c>
      <c r="I15" s="260">
        <v>17029.2001953125</v>
      </c>
      <c r="J15" s="2157"/>
      <c r="K15" s="263">
        <f t="shared" si="0"/>
        <v>17029.2001953125</v>
      </c>
      <c r="L15" s="1313">
        <v>114416</v>
      </c>
      <c r="M15" s="225">
        <v>0</v>
      </c>
      <c r="N15" s="1969"/>
      <c r="O15" s="2158">
        <f t="shared" si="2"/>
        <v>114416</v>
      </c>
      <c r="P15" s="2097">
        <v>18831</v>
      </c>
      <c r="Q15" s="2097">
        <v>29043</v>
      </c>
      <c r="R15" s="2097">
        <v>0</v>
      </c>
      <c r="S15" s="1969"/>
      <c r="T15" s="921"/>
      <c r="U15" s="2002"/>
      <c r="V15" s="206">
        <f t="shared" si="3"/>
        <v>47874</v>
      </c>
    </row>
    <row r="16" spans="1:22">
      <c r="A16" s="1340">
        <v>1994.07</v>
      </c>
      <c r="B16" s="260">
        <v>43</v>
      </c>
      <c r="C16" s="2097">
        <v>53</v>
      </c>
      <c r="D16" s="2156"/>
      <c r="E16" s="2097">
        <v>12840</v>
      </c>
      <c r="F16" s="260">
        <v>0</v>
      </c>
      <c r="G16" s="3153"/>
      <c r="H16" s="196">
        <f t="shared" si="1"/>
        <v>0</v>
      </c>
      <c r="I16" s="260">
        <v>26332.119140625</v>
      </c>
      <c r="J16" s="2157"/>
      <c r="K16" s="263">
        <f t="shared" si="0"/>
        <v>26332.119140625</v>
      </c>
      <c r="L16" s="1313">
        <v>102843</v>
      </c>
      <c r="M16" s="225">
        <v>0</v>
      </c>
      <c r="N16" s="1969"/>
      <c r="O16" s="2158">
        <f t="shared" si="2"/>
        <v>102843</v>
      </c>
      <c r="P16" s="2097">
        <v>20098</v>
      </c>
      <c r="Q16" s="2097">
        <v>31912</v>
      </c>
      <c r="R16" s="2097">
        <v>0</v>
      </c>
      <c r="S16" s="1969"/>
      <c r="T16" s="921"/>
      <c r="U16" s="2002"/>
      <c r="V16" s="206">
        <f t="shared" si="3"/>
        <v>52010</v>
      </c>
    </row>
    <row r="17" spans="1:22">
      <c r="A17" s="1340">
        <v>1994.08</v>
      </c>
      <c r="B17" s="260">
        <v>59</v>
      </c>
      <c r="C17" s="2097">
        <v>61</v>
      </c>
      <c r="D17" s="2156"/>
      <c r="E17" s="2097">
        <v>7390</v>
      </c>
      <c r="F17" s="260">
        <v>0</v>
      </c>
      <c r="G17" s="3153"/>
      <c r="H17" s="196">
        <f t="shared" si="1"/>
        <v>0</v>
      </c>
      <c r="I17" s="260">
        <v>13315.48046875</v>
      </c>
      <c r="J17" s="2157"/>
      <c r="K17" s="263">
        <f t="shared" si="0"/>
        <v>13315.48046875</v>
      </c>
      <c r="L17" s="1313">
        <v>95698</v>
      </c>
      <c r="M17" s="225">
        <v>0</v>
      </c>
      <c r="N17" s="1969"/>
      <c r="O17" s="2158">
        <f t="shared" si="2"/>
        <v>95698</v>
      </c>
      <c r="P17" s="2097">
        <v>18953</v>
      </c>
      <c r="Q17" s="2097">
        <v>29213</v>
      </c>
      <c r="R17" s="2097">
        <v>0</v>
      </c>
      <c r="S17" s="1969"/>
      <c r="T17" s="921"/>
      <c r="U17" s="2002"/>
      <c r="V17" s="206">
        <f t="shared" si="3"/>
        <v>48166</v>
      </c>
    </row>
    <row r="18" spans="1:22">
      <c r="A18" s="1340">
        <v>1994.09</v>
      </c>
      <c r="B18" s="260">
        <v>8</v>
      </c>
      <c r="C18" s="2097">
        <v>55</v>
      </c>
      <c r="D18" s="2156"/>
      <c r="E18" s="2097">
        <v>3254</v>
      </c>
      <c r="F18" s="260">
        <v>0</v>
      </c>
      <c r="G18" s="3153"/>
      <c r="H18" s="196">
        <f t="shared" si="1"/>
        <v>0</v>
      </c>
      <c r="I18" s="260">
        <v>30711</v>
      </c>
      <c r="J18" s="2157"/>
      <c r="K18" s="263">
        <f t="shared" si="0"/>
        <v>30711</v>
      </c>
      <c r="L18" s="1313">
        <v>92467</v>
      </c>
      <c r="M18" s="225">
        <v>0</v>
      </c>
      <c r="N18" s="1969"/>
      <c r="O18" s="2158">
        <f t="shared" si="2"/>
        <v>92467</v>
      </c>
      <c r="P18" s="2097">
        <v>18945</v>
      </c>
      <c r="Q18" s="2097">
        <v>28227</v>
      </c>
      <c r="R18" s="2097">
        <v>0</v>
      </c>
      <c r="S18" s="1969"/>
      <c r="T18" s="921"/>
      <c r="U18" s="2002"/>
      <c r="V18" s="206">
        <f t="shared" si="3"/>
        <v>47172</v>
      </c>
    </row>
    <row r="19" spans="1:22">
      <c r="A19" s="1340">
        <v>1994.1</v>
      </c>
      <c r="B19" s="260">
        <v>67</v>
      </c>
      <c r="C19" s="2097">
        <v>60</v>
      </c>
      <c r="D19" s="2156"/>
      <c r="E19" s="2097">
        <v>1039</v>
      </c>
      <c r="F19" s="260">
        <v>0</v>
      </c>
      <c r="G19" s="3153"/>
      <c r="H19" s="196">
        <f t="shared" si="1"/>
        <v>0</v>
      </c>
      <c r="I19" s="260">
        <v>9414.18994140625</v>
      </c>
      <c r="J19" s="2157"/>
      <c r="K19" s="263">
        <f t="shared" si="0"/>
        <v>9414.18994140625</v>
      </c>
      <c r="L19" s="1313">
        <v>93737</v>
      </c>
      <c r="M19" s="225">
        <v>0</v>
      </c>
      <c r="N19" s="1969"/>
      <c r="O19" s="2158">
        <f t="shared" si="2"/>
        <v>93737</v>
      </c>
      <c r="P19" s="2097">
        <v>16884</v>
      </c>
      <c r="Q19" s="2097">
        <v>24896</v>
      </c>
      <c r="R19" s="2097">
        <v>0</v>
      </c>
      <c r="S19" s="1969"/>
      <c r="T19" s="921"/>
      <c r="U19" s="2002"/>
      <c r="V19" s="206">
        <f t="shared" si="3"/>
        <v>41780</v>
      </c>
    </row>
    <row r="20" spans="1:22">
      <c r="A20" s="1340">
        <v>1994.11</v>
      </c>
      <c r="B20" s="260">
        <v>106</v>
      </c>
      <c r="C20" s="2097">
        <v>110</v>
      </c>
      <c r="D20" s="2156"/>
      <c r="E20" s="2097">
        <v>1044</v>
      </c>
      <c r="F20" s="260">
        <v>0</v>
      </c>
      <c r="G20" s="3153"/>
      <c r="H20" s="196">
        <f t="shared" si="1"/>
        <v>0</v>
      </c>
      <c r="I20" s="260">
        <v>11131.1201171875</v>
      </c>
      <c r="J20" s="2157"/>
      <c r="K20" s="263">
        <f t="shared" si="0"/>
        <v>11131.1201171875</v>
      </c>
      <c r="L20" s="1313">
        <v>112609</v>
      </c>
      <c r="M20" s="225">
        <v>0</v>
      </c>
      <c r="N20" s="1969"/>
      <c r="O20" s="2158">
        <f t="shared" si="2"/>
        <v>112609</v>
      </c>
      <c r="P20" s="2097">
        <v>17474</v>
      </c>
      <c r="Q20" s="2097">
        <v>27323</v>
      </c>
      <c r="R20" s="2097">
        <v>0</v>
      </c>
      <c r="S20" s="1969"/>
      <c r="T20" s="921"/>
      <c r="U20" s="2002"/>
      <c r="V20" s="206">
        <f t="shared" si="3"/>
        <v>44797</v>
      </c>
    </row>
    <row r="21" spans="1:22">
      <c r="A21" s="1340">
        <v>1994.12</v>
      </c>
      <c r="B21" s="260">
        <v>95</v>
      </c>
      <c r="C21" s="2097">
        <v>260</v>
      </c>
      <c r="D21" s="2156"/>
      <c r="E21" s="2097">
        <v>925</v>
      </c>
      <c r="F21" s="260">
        <v>0</v>
      </c>
      <c r="G21" s="3153"/>
      <c r="H21" s="196">
        <f t="shared" si="1"/>
        <v>0</v>
      </c>
      <c r="I21" s="260">
        <v>35228</v>
      </c>
      <c r="J21" s="2157"/>
      <c r="K21" s="263">
        <f t="shared" si="0"/>
        <v>35228</v>
      </c>
      <c r="L21" s="1313">
        <v>101035</v>
      </c>
      <c r="M21" s="225">
        <v>0</v>
      </c>
      <c r="N21" s="1969"/>
      <c r="O21" s="2158">
        <f t="shared" si="2"/>
        <v>101035</v>
      </c>
      <c r="P21" s="2097">
        <v>19444</v>
      </c>
      <c r="Q21" s="2097">
        <v>29846</v>
      </c>
      <c r="R21" s="2097">
        <v>0</v>
      </c>
      <c r="S21" s="1969"/>
      <c r="T21" s="921"/>
      <c r="U21" s="2002"/>
      <c r="V21" s="206">
        <f t="shared" si="3"/>
        <v>49290</v>
      </c>
    </row>
    <row r="22" spans="1:22">
      <c r="A22" s="1340">
        <v>1995.01</v>
      </c>
      <c r="B22" s="260">
        <v>59</v>
      </c>
      <c r="C22" s="2097">
        <v>249</v>
      </c>
      <c r="D22" s="2156"/>
      <c r="E22" s="2097">
        <v>1163</v>
      </c>
      <c r="F22" s="260">
        <v>0</v>
      </c>
      <c r="G22" s="3153"/>
      <c r="H22" s="196">
        <f t="shared" si="1"/>
        <v>0</v>
      </c>
      <c r="I22" s="260">
        <v>2453</v>
      </c>
      <c r="J22" s="2157"/>
      <c r="K22" s="263">
        <f t="shared" si="0"/>
        <v>2453</v>
      </c>
      <c r="L22" s="1313">
        <v>87281</v>
      </c>
      <c r="M22" s="225">
        <v>0</v>
      </c>
      <c r="N22" s="1969"/>
      <c r="O22" s="2158">
        <f t="shared" si="2"/>
        <v>87281</v>
      </c>
      <c r="P22" s="2097">
        <v>16411</v>
      </c>
      <c r="Q22" s="2097">
        <v>25441</v>
      </c>
      <c r="R22" s="2097">
        <v>0</v>
      </c>
      <c r="S22" s="1969"/>
      <c r="T22" s="921"/>
      <c r="U22" s="2002"/>
      <c r="V22" s="206">
        <f t="shared" si="3"/>
        <v>41852</v>
      </c>
    </row>
    <row r="23" spans="1:22">
      <c r="A23" s="1340">
        <v>1995.02</v>
      </c>
      <c r="B23" s="260">
        <v>20</v>
      </c>
      <c r="C23" s="2097">
        <v>83</v>
      </c>
      <c r="D23" s="2156"/>
      <c r="E23" s="2097">
        <v>1165</v>
      </c>
      <c r="F23" s="260">
        <v>0</v>
      </c>
      <c r="G23" s="3153"/>
      <c r="H23" s="196">
        <f t="shared" si="1"/>
        <v>0</v>
      </c>
      <c r="I23" s="260">
        <v>1969</v>
      </c>
      <c r="J23" s="2157"/>
      <c r="K23" s="263">
        <f t="shared" si="0"/>
        <v>1969</v>
      </c>
      <c r="L23" s="1313">
        <v>81824</v>
      </c>
      <c r="M23" s="225">
        <v>0</v>
      </c>
      <c r="N23" s="1969"/>
      <c r="O23" s="2158">
        <f t="shared" si="2"/>
        <v>81824</v>
      </c>
      <c r="P23" s="2097">
        <v>15430</v>
      </c>
      <c r="Q23" s="2097">
        <v>24516</v>
      </c>
      <c r="R23" s="2097">
        <v>0</v>
      </c>
      <c r="S23" s="1969"/>
      <c r="T23" s="921"/>
      <c r="U23" s="2002"/>
      <c r="V23" s="206">
        <f t="shared" si="3"/>
        <v>39946</v>
      </c>
    </row>
    <row r="24" spans="1:22">
      <c r="A24" s="1340">
        <v>1995.03</v>
      </c>
      <c r="B24" s="260">
        <v>127</v>
      </c>
      <c r="C24" s="2097">
        <v>190</v>
      </c>
      <c r="D24" s="2156"/>
      <c r="E24" s="2097">
        <v>1709</v>
      </c>
      <c r="F24" s="260">
        <v>0</v>
      </c>
      <c r="G24" s="3153"/>
      <c r="H24" s="196">
        <f t="shared" si="1"/>
        <v>0</v>
      </c>
      <c r="I24" s="260">
        <v>6264</v>
      </c>
      <c r="J24" s="2157"/>
      <c r="K24" s="263">
        <f t="shared" si="0"/>
        <v>6264</v>
      </c>
      <c r="L24" s="1313">
        <v>111740</v>
      </c>
      <c r="M24" s="225">
        <v>0</v>
      </c>
      <c r="N24" s="1969"/>
      <c r="O24" s="2158">
        <f t="shared" si="2"/>
        <v>111740</v>
      </c>
      <c r="P24" s="2097">
        <v>17560</v>
      </c>
      <c r="Q24" s="2097">
        <v>27132</v>
      </c>
      <c r="R24" s="2097">
        <v>0</v>
      </c>
      <c r="S24" s="1969"/>
      <c r="T24" s="921"/>
      <c r="U24" s="2002"/>
      <c r="V24" s="206">
        <f t="shared" si="3"/>
        <v>44692</v>
      </c>
    </row>
    <row r="25" spans="1:22">
      <c r="A25" s="1340">
        <v>1995.04</v>
      </c>
      <c r="B25" s="260">
        <v>40</v>
      </c>
      <c r="C25" s="2097">
        <v>41</v>
      </c>
      <c r="D25" s="2156"/>
      <c r="E25" s="2097">
        <v>2731</v>
      </c>
      <c r="F25" s="260">
        <v>0</v>
      </c>
      <c r="G25" s="3153"/>
      <c r="H25" s="196">
        <f t="shared" si="1"/>
        <v>0</v>
      </c>
      <c r="I25" s="260">
        <v>8402</v>
      </c>
      <c r="J25" s="2157"/>
      <c r="K25" s="263">
        <f t="shared" si="0"/>
        <v>8402</v>
      </c>
      <c r="L25" s="1313">
        <v>106911</v>
      </c>
      <c r="M25" s="225">
        <v>0</v>
      </c>
      <c r="N25" s="1969"/>
      <c r="O25" s="2158">
        <f t="shared" si="2"/>
        <v>106911</v>
      </c>
      <c r="P25" s="2097">
        <v>16058</v>
      </c>
      <c r="Q25" s="2097">
        <v>24877</v>
      </c>
      <c r="R25" s="2097">
        <v>0</v>
      </c>
      <c r="S25" s="1969"/>
      <c r="T25" s="921"/>
      <c r="U25" s="2002"/>
      <c r="V25" s="206">
        <f t="shared" si="3"/>
        <v>40935</v>
      </c>
    </row>
    <row r="26" spans="1:22">
      <c r="A26" s="1340">
        <v>1995.05</v>
      </c>
      <c r="B26" s="260">
        <v>37</v>
      </c>
      <c r="C26" s="2097">
        <v>64</v>
      </c>
      <c r="D26" s="2156"/>
      <c r="E26" s="2097">
        <v>4267</v>
      </c>
      <c r="F26" s="260">
        <v>0</v>
      </c>
      <c r="G26" s="3153"/>
      <c r="H26" s="196">
        <f t="shared" si="1"/>
        <v>0</v>
      </c>
      <c r="I26" s="260">
        <v>4989</v>
      </c>
      <c r="J26" s="2157"/>
      <c r="K26" s="263">
        <f t="shared" si="0"/>
        <v>4989</v>
      </c>
      <c r="L26" s="1313">
        <v>120530</v>
      </c>
      <c r="M26" s="225">
        <v>0</v>
      </c>
      <c r="N26" s="1969"/>
      <c r="O26" s="2158">
        <f t="shared" si="2"/>
        <v>120530</v>
      </c>
      <c r="P26" s="2097">
        <v>17801</v>
      </c>
      <c r="Q26" s="2097">
        <v>25046</v>
      </c>
      <c r="R26" s="2097">
        <v>0</v>
      </c>
      <c r="S26" s="1969"/>
      <c r="T26" s="921"/>
      <c r="U26" s="2002"/>
      <c r="V26" s="206">
        <f t="shared" si="3"/>
        <v>42847</v>
      </c>
    </row>
    <row r="27" spans="1:22">
      <c r="A27" s="1340">
        <v>1995.06</v>
      </c>
      <c r="B27" s="260">
        <v>23</v>
      </c>
      <c r="C27" s="2097">
        <v>62</v>
      </c>
      <c r="D27" s="2156"/>
      <c r="E27" s="2097">
        <v>9744</v>
      </c>
      <c r="F27" s="260">
        <v>35</v>
      </c>
      <c r="G27" s="3153"/>
      <c r="H27" s="196">
        <f t="shared" si="1"/>
        <v>35</v>
      </c>
      <c r="I27" s="260">
        <v>3857</v>
      </c>
      <c r="J27" s="2157"/>
      <c r="K27" s="263">
        <f t="shared" si="0"/>
        <v>3857</v>
      </c>
      <c r="L27" s="1313">
        <v>112664</v>
      </c>
      <c r="M27" s="225">
        <v>0</v>
      </c>
      <c r="N27" s="1969"/>
      <c r="O27" s="2158">
        <f t="shared" si="2"/>
        <v>112664</v>
      </c>
      <c r="P27" s="2097">
        <v>18218</v>
      </c>
      <c r="Q27" s="2097">
        <v>25522</v>
      </c>
      <c r="R27" s="2097">
        <v>0</v>
      </c>
      <c r="S27" s="1969"/>
      <c r="T27" s="921"/>
      <c r="U27" s="2002"/>
      <c r="V27" s="206">
        <f t="shared" si="3"/>
        <v>43740</v>
      </c>
    </row>
    <row r="28" spans="1:22">
      <c r="A28" s="1340">
        <v>1995.07</v>
      </c>
      <c r="B28" s="260">
        <v>54</v>
      </c>
      <c r="C28" s="2097">
        <v>67</v>
      </c>
      <c r="D28" s="2156"/>
      <c r="E28" s="2097">
        <v>10323</v>
      </c>
      <c r="F28" s="260">
        <v>0</v>
      </c>
      <c r="G28" s="3153"/>
      <c r="H28" s="196">
        <f t="shared" si="1"/>
        <v>0</v>
      </c>
      <c r="I28" s="260">
        <v>9335</v>
      </c>
      <c r="J28" s="2157"/>
      <c r="K28" s="263">
        <f t="shared" si="0"/>
        <v>9335</v>
      </c>
      <c r="L28" s="1313">
        <v>105526</v>
      </c>
      <c r="M28" s="225">
        <v>0</v>
      </c>
      <c r="N28" s="1969"/>
      <c r="O28" s="2158">
        <f t="shared" si="2"/>
        <v>105526</v>
      </c>
      <c r="P28" s="2097">
        <v>18431</v>
      </c>
      <c r="Q28" s="2097">
        <v>25896</v>
      </c>
      <c r="R28" s="2097">
        <v>0</v>
      </c>
      <c r="S28" s="1969"/>
      <c r="T28" s="921"/>
      <c r="U28" s="2002"/>
      <c r="V28" s="206">
        <f t="shared" si="3"/>
        <v>44327</v>
      </c>
    </row>
    <row r="29" spans="1:22">
      <c r="A29" s="1340">
        <v>1995.08</v>
      </c>
      <c r="B29" s="260">
        <v>103</v>
      </c>
      <c r="C29" s="2097">
        <v>84</v>
      </c>
      <c r="D29" s="2156"/>
      <c r="E29" s="2097">
        <v>8515</v>
      </c>
      <c r="F29" s="260">
        <v>0</v>
      </c>
      <c r="G29" s="3153"/>
      <c r="H29" s="196">
        <f t="shared" si="1"/>
        <v>0</v>
      </c>
      <c r="I29" s="260">
        <v>8900</v>
      </c>
      <c r="J29" s="2157"/>
      <c r="K29" s="263">
        <f t="shared" si="0"/>
        <v>8900</v>
      </c>
      <c r="L29" s="1313">
        <v>98590</v>
      </c>
      <c r="M29" s="225">
        <v>0</v>
      </c>
      <c r="N29" s="1969"/>
      <c r="O29" s="2158">
        <f t="shared" si="2"/>
        <v>98590</v>
      </c>
      <c r="P29" s="2097">
        <v>18496</v>
      </c>
      <c r="Q29" s="2097">
        <v>26025</v>
      </c>
      <c r="R29" s="2097">
        <v>0</v>
      </c>
      <c r="S29" s="1969"/>
      <c r="T29" s="921"/>
      <c r="U29" s="2002"/>
      <c r="V29" s="206">
        <f t="shared" si="3"/>
        <v>44521</v>
      </c>
    </row>
    <row r="30" spans="1:22">
      <c r="A30" s="1340">
        <v>1995.09</v>
      </c>
      <c r="B30" s="260">
        <v>37</v>
      </c>
      <c r="C30" s="2097">
        <v>103</v>
      </c>
      <c r="D30" s="2156"/>
      <c r="E30" s="2097">
        <v>1065</v>
      </c>
      <c r="F30" s="260">
        <v>0</v>
      </c>
      <c r="G30" s="3153"/>
      <c r="H30" s="196">
        <f t="shared" si="1"/>
        <v>0</v>
      </c>
      <c r="I30" s="260">
        <v>6482</v>
      </c>
      <c r="J30" s="2157"/>
      <c r="K30" s="263">
        <f t="shared" si="0"/>
        <v>6482</v>
      </c>
      <c r="L30" s="1313">
        <v>101168</v>
      </c>
      <c r="M30" s="225">
        <v>0</v>
      </c>
      <c r="N30" s="1969"/>
      <c r="O30" s="2158">
        <f t="shared" si="2"/>
        <v>101168</v>
      </c>
      <c r="P30" s="2097">
        <v>17779</v>
      </c>
      <c r="Q30" s="2097">
        <v>25011</v>
      </c>
      <c r="R30" s="2097">
        <v>0</v>
      </c>
      <c r="S30" s="1969"/>
      <c r="T30" s="921"/>
      <c r="U30" s="2002"/>
      <c r="V30" s="206">
        <f t="shared" si="3"/>
        <v>42790</v>
      </c>
    </row>
    <row r="31" spans="1:22">
      <c r="A31" s="1340">
        <v>1995.1</v>
      </c>
      <c r="B31" s="260">
        <v>68</v>
      </c>
      <c r="C31" s="2097">
        <v>110</v>
      </c>
      <c r="D31" s="2156"/>
      <c r="E31" s="2097">
        <v>1054</v>
      </c>
      <c r="F31" s="260">
        <v>0</v>
      </c>
      <c r="G31" s="3153"/>
      <c r="H31" s="196">
        <f t="shared" si="1"/>
        <v>0</v>
      </c>
      <c r="I31" s="260">
        <v>10840</v>
      </c>
      <c r="J31" s="2157"/>
      <c r="K31" s="263">
        <f t="shared" si="0"/>
        <v>10840</v>
      </c>
      <c r="L31" s="1313">
        <v>108304</v>
      </c>
      <c r="M31" s="225">
        <v>0</v>
      </c>
      <c r="N31" s="1969"/>
      <c r="O31" s="2158">
        <f t="shared" si="2"/>
        <v>108304</v>
      </c>
      <c r="P31" s="2097">
        <v>16821</v>
      </c>
      <c r="Q31" s="2097">
        <v>23643</v>
      </c>
      <c r="R31" s="2097">
        <v>0</v>
      </c>
      <c r="S31" s="1969"/>
      <c r="T31" s="921"/>
      <c r="U31" s="2002"/>
      <c r="V31" s="206">
        <f t="shared" si="3"/>
        <v>40464</v>
      </c>
    </row>
    <row r="32" spans="1:22">
      <c r="A32" s="1340">
        <v>1995.11</v>
      </c>
      <c r="B32" s="260">
        <v>78</v>
      </c>
      <c r="C32" s="2097">
        <v>182</v>
      </c>
      <c r="D32" s="2156"/>
      <c r="E32" s="2097">
        <v>505</v>
      </c>
      <c r="F32" s="260">
        <v>0</v>
      </c>
      <c r="G32" s="3153"/>
      <c r="H32" s="196">
        <f t="shared" si="1"/>
        <v>0</v>
      </c>
      <c r="I32" s="260">
        <v>2042</v>
      </c>
      <c r="J32" s="2157"/>
      <c r="K32" s="263">
        <f t="shared" si="0"/>
        <v>2042</v>
      </c>
      <c r="L32" s="1313">
        <v>114074</v>
      </c>
      <c r="M32" s="225">
        <v>0</v>
      </c>
      <c r="N32" s="1969"/>
      <c r="O32" s="2158">
        <f t="shared" si="2"/>
        <v>114074</v>
      </c>
      <c r="P32" s="2097">
        <v>17043</v>
      </c>
      <c r="Q32" s="2097">
        <v>23521</v>
      </c>
      <c r="R32" s="2097">
        <v>0</v>
      </c>
      <c r="S32" s="1969"/>
      <c r="T32" s="921"/>
      <c r="U32" s="2002"/>
      <c r="V32" s="206">
        <f t="shared" si="3"/>
        <v>40564</v>
      </c>
    </row>
    <row r="33" spans="1:22">
      <c r="A33" s="1340">
        <v>1995.12</v>
      </c>
      <c r="B33" s="260">
        <v>88</v>
      </c>
      <c r="C33" s="2097">
        <v>155</v>
      </c>
      <c r="D33" s="2156"/>
      <c r="E33" s="2097">
        <v>468</v>
      </c>
      <c r="F33" s="260">
        <v>640</v>
      </c>
      <c r="G33" s="3153"/>
      <c r="H33" s="196">
        <f t="shared" si="1"/>
        <v>640</v>
      </c>
      <c r="I33" s="260">
        <v>12420</v>
      </c>
      <c r="J33" s="2157"/>
      <c r="K33" s="263">
        <f t="shared" si="0"/>
        <v>12420</v>
      </c>
      <c r="L33" s="1313">
        <v>103044</v>
      </c>
      <c r="M33" s="225">
        <v>0</v>
      </c>
      <c r="N33" s="1969"/>
      <c r="O33" s="2158">
        <f t="shared" si="2"/>
        <v>103044</v>
      </c>
      <c r="P33" s="2097">
        <v>17892</v>
      </c>
      <c r="Q33" s="2097">
        <v>25818</v>
      </c>
      <c r="R33" s="2097">
        <v>0</v>
      </c>
      <c r="S33" s="1969"/>
      <c r="T33" s="921"/>
      <c r="U33" s="2002"/>
      <c r="V33" s="206">
        <f t="shared" si="3"/>
        <v>43710</v>
      </c>
    </row>
    <row r="34" spans="1:22">
      <c r="A34" s="1340">
        <v>1996.01</v>
      </c>
      <c r="B34" s="260">
        <v>125</v>
      </c>
      <c r="C34" s="2097">
        <v>320</v>
      </c>
      <c r="D34" s="2156"/>
      <c r="E34" s="2097">
        <v>1228</v>
      </c>
      <c r="F34" s="260">
        <v>628</v>
      </c>
      <c r="G34" s="3153"/>
      <c r="H34" s="196">
        <f t="shared" si="1"/>
        <v>628</v>
      </c>
      <c r="I34" s="260">
        <v>29152</v>
      </c>
      <c r="J34" s="2157"/>
      <c r="K34" s="263">
        <f t="shared" si="0"/>
        <v>29152</v>
      </c>
      <c r="L34" s="1313">
        <v>94911</v>
      </c>
      <c r="M34" s="225">
        <v>0</v>
      </c>
      <c r="N34" s="1969"/>
      <c r="O34" s="2158">
        <f t="shared" si="2"/>
        <v>94911</v>
      </c>
      <c r="P34" s="2097">
        <v>16914</v>
      </c>
      <c r="Q34" s="2097">
        <v>24220</v>
      </c>
      <c r="R34" s="2097">
        <v>0</v>
      </c>
      <c r="S34" s="1969"/>
      <c r="T34" s="921"/>
      <c r="U34" s="2002"/>
      <c r="V34" s="206">
        <f t="shared" si="3"/>
        <v>41134</v>
      </c>
    </row>
    <row r="35" spans="1:22">
      <c r="A35" s="1340">
        <v>1996.02</v>
      </c>
      <c r="B35" s="260">
        <v>99</v>
      </c>
      <c r="C35" s="2097">
        <v>404</v>
      </c>
      <c r="D35" s="2156"/>
      <c r="E35" s="2097">
        <v>1404</v>
      </c>
      <c r="F35" s="260">
        <v>0</v>
      </c>
      <c r="G35" s="3153"/>
      <c r="H35" s="196">
        <f t="shared" si="1"/>
        <v>0</v>
      </c>
      <c r="I35" s="260">
        <v>39755</v>
      </c>
      <c r="J35" s="2157"/>
      <c r="K35" s="263">
        <f t="shared" si="0"/>
        <v>39755</v>
      </c>
      <c r="L35" s="1313">
        <v>96443</v>
      </c>
      <c r="M35" s="225">
        <v>0</v>
      </c>
      <c r="N35" s="1969"/>
      <c r="O35" s="2158">
        <f t="shared" si="2"/>
        <v>96443</v>
      </c>
      <c r="P35" s="2097">
        <v>15697</v>
      </c>
      <c r="Q35" s="2097">
        <v>23220</v>
      </c>
      <c r="R35" s="2097">
        <v>0</v>
      </c>
      <c r="S35" s="1969"/>
      <c r="T35" s="921"/>
      <c r="U35" s="2002"/>
      <c r="V35" s="206">
        <f t="shared" si="3"/>
        <v>38917</v>
      </c>
    </row>
    <row r="36" spans="1:22">
      <c r="A36" s="1340">
        <v>1996.03</v>
      </c>
      <c r="B36" s="260">
        <v>234</v>
      </c>
      <c r="C36" s="2097">
        <v>429</v>
      </c>
      <c r="D36" s="2156"/>
      <c r="E36" s="2097">
        <v>1386</v>
      </c>
      <c r="F36" s="260">
        <v>393</v>
      </c>
      <c r="G36" s="3153"/>
      <c r="H36" s="196">
        <f t="shared" si="1"/>
        <v>393</v>
      </c>
      <c r="I36" s="260">
        <v>34981</v>
      </c>
      <c r="J36" s="2157"/>
      <c r="K36" s="263">
        <f t="shared" si="0"/>
        <v>34981</v>
      </c>
      <c r="L36" s="1313">
        <v>110981</v>
      </c>
      <c r="M36" s="225">
        <v>0</v>
      </c>
      <c r="N36" s="1969"/>
      <c r="O36" s="2158">
        <f t="shared" si="2"/>
        <v>110981</v>
      </c>
      <c r="P36" s="2097">
        <v>15783</v>
      </c>
      <c r="Q36" s="2097">
        <v>23662</v>
      </c>
      <c r="R36" s="2097">
        <v>0</v>
      </c>
      <c r="S36" s="1969"/>
      <c r="T36" s="921"/>
      <c r="U36" s="2002"/>
      <c r="V36" s="206">
        <f t="shared" si="3"/>
        <v>39445</v>
      </c>
    </row>
    <row r="37" spans="1:22">
      <c r="A37" s="1340">
        <v>1996.04</v>
      </c>
      <c r="B37" s="260">
        <v>90</v>
      </c>
      <c r="C37" s="2097">
        <v>121</v>
      </c>
      <c r="D37" s="2156"/>
      <c r="E37" s="2097">
        <v>2918</v>
      </c>
      <c r="F37" s="260">
        <v>85</v>
      </c>
      <c r="G37" s="3153"/>
      <c r="H37" s="196">
        <f t="shared" si="1"/>
        <v>85</v>
      </c>
      <c r="I37" s="260">
        <v>22753</v>
      </c>
      <c r="J37" s="2157"/>
      <c r="K37" s="263">
        <f t="shared" si="0"/>
        <v>22753</v>
      </c>
      <c r="L37" s="1313">
        <v>121408</v>
      </c>
      <c r="M37" s="225">
        <v>0</v>
      </c>
      <c r="N37" s="1969"/>
      <c r="O37" s="2158">
        <f t="shared" si="2"/>
        <v>121408</v>
      </c>
      <c r="P37" s="2097">
        <v>16473</v>
      </c>
      <c r="Q37" s="2097">
        <v>24288</v>
      </c>
      <c r="R37" s="2097">
        <v>0</v>
      </c>
      <c r="S37" s="1969"/>
      <c r="T37" s="921"/>
      <c r="U37" s="2002"/>
      <c r="V37" s="206">
        <f t="shared" si="3"/>
        <v>40761</v>
      </c>
    </row>
    <row r="38" spans="1:22">
      <c r="A38" s="1340">
        <v>1996.05</v>
      </c>
      <c r="B38" s="260">
        <v>45</v>
      </c>
      <c r="C38" s="2097">
        <v>88</v>
      </c>
      <c r="D38" s="2156"/>
      <c r="E38" s="2097">
        <v>5778</v>
      </c>
      <c r="F38" s="260">
        <v>717</v>
      </c>
      <c r="G38" s="3153"/>
      <c r="H38" s="196">
        <f t="shared" si="1"/>
        <v>717</v>
      </c>
      <c r="I38" s="260">
        <v>27711</v>
      </c>
      <c r="J38" s="2157"/>
      <c r="K38" s="263">
        <f t="shared" si="0"/>
        <v>27711</v>
      </c>
      <c r="L38" s="1313">
        <v>144208</v>
      </c>
      <c r="M38" s="225">
        <v>0</v>
      </c>
      <c r="N38" s="1969"/>
      <c r="O38" s="2158">
        <f t="shared" si="2"/>
        <v>144208</v>
      </c>
      <c r="P38" s="2097">
        <v>17221</v>
      </c>
      <c r="Q38" s="2097">
        <v>23817</v>
      </c>
      <c r="R38" s="2097">
        <v>0</v>
      </c>
      <c r="S38" s="1969"/>
      <c r="T38" s="921"/>
      <c r="U38" s="2002"/>
      <c r="V38" s="206">
        <f t="shared" si="3"/>
        <v>41038</v>
      </c>
    </row>
    <row r="39" spans="1:22">
      <c r="A39" s="1340">
        <v>1996.06</v>
      </c>
      <c r="B39" s="260">
        <v>31</v>
      </c>
      <c r="C39" s="2097">
        <v>64</v>
      </c>
      <c r="D39" s="2156"/>
      <c r="E39" s="2097">
        <v>12076</v>
      </c>
      <c r="F39" s="260">
        <v>356</v>
      </c>
      <c r="G39" s="3153"/>
      <c r="H39" s="196">
        <f t="shared" si="1"/>
        <v>356</v>
      </c>
      <c r="I39" s="260">
        <v>35145</v>
      </c>
      <c r="J39" s="2157"/>
      <c r="K39" s="263">
        <f t="shared" si="0"/>
        <v>35145</v>
      </c>
      <c r="L39" s="1313">
        <v>116151</v>
      </c>
      <c r="M39" s="225">
        <v>0</v>
      </c>
      <c r="N39" s="1969"/>
      <c r="O39" s="2158">
        <f t="shared" si="2"/>
        <v>116151</v>
      </c>
      <c r="P39" s="2097">
        <v>16270</v>
      </c>
      <c r="Q39" s="2097">
        <v>22130</v>
      </c>
      <c r="R39" s="2097">
        <v>0</v>
      </c>
      <c r="S39" s="1969"/>
      <c r="T39" s="921"/>
      <c r="U39" s="2002"/>
      <c r="V39" s="206">
        <f t="shared" si="3"/>
        <v>38400</v>
      </c>
    </row>
    <row r="40" spans="1:22">
      <c r="A40" s="1340">
        <v>1996.07</v>
      </c>
      <c r="B40" s="260">
        <v>41</v>
      </c>
      <c r="C40" s="2097">
        <v>75</v>
      </c>
      <c r="D40" s="2156"/>
      <c r="E40" s="2097">
        <v>14115</v>
      </c>
      <c r="F40" s="260">
        <v>1049</v>
      </c>
      <c r="G40" s="3153"/>
      <c r="H40" s="196">
        <f t="shared" si="1"/>
        <v>1049</v>
      </c>
      <c r="I40" s="260">
        <v>36176</v>
      </c>
      <c r="J40" s="2157"/>
      <c r="K40" s="263">
        <f t="shared" si="0"/>
        <v>36176</v>
      </c>
      <c r="L40" s="1313">
        <v>126486</v>
      </c>
      <c r="M40" s="225">
        <v>0</v>
      </c>
      <c r="N40" s="1969"/>
      <c r="O40" s="2158">
        <f t="shared" si="2"/>
        <v>126486</v>
      </c>
      <c r="P40" s="2097">
        <v>18241</v>
      </c>
      <c r="Q40" s="2097">
        <v>25048</v>
      </c>
      <c r="R40" s="2097">
        <v>0</v>
      </c>
      <c r="S40" s="1969"/>
      <c r="T40" s="921"/>
      <c r="U40" s="2002"/>
      <c r="V40" s="206">
        <f t="shared" si="3"/>
        <v>43289</v>
      </c>
    </row>
    <row r="41" spans="1:22">
      <c r="A41" s="1340">
        <v>1996.08</v>
      </c>
      <c r="B41" s="260">
        <v>30</v>
      </c>
      <c r="C41" s="2097">
        <v>109</v>
      </c>
      <c r="D41" s="2156"/>
      <c r="E41" s="2097">
        <v>3629</v>
      </c>
      <c r="F41" s="260">
        <v>864</v>
      </c>
      <c r="G41" s="3153"/>
      <c r="H41" s="196">
        <f t="shared" si="1"/>
        <v>864</v>
      </c>
      <c r="I41" s="260">
        <v>12480</v>
      </c>
      <c r="J41" s="2157"/>
      <c r="K41" s="263">
        <f t="shared" si="0"/>
        <v>12480</v>
      </c>
      <c r="L41" s="1313">
        <v>151172</v>
      </c>
      <c r="M41" s="225">
        <v>0</v>
      </c>
      <c r="N41" s="1969"/>
      <c r="O41" s="2158">
        <f t="shared" si="2"/>
        <v>151172</v>
      </c>
      <c r="P41" s="2097">
        <v>19032</v>
      </c>
      <c r="Q41" s="2097">
        <v>25991</v>
      </c>
      <c r="R41" s="2097">
        <v>0</v>
      </c>
      <c r="S41" s="1969"/>
      <c r="T41" s="921"/>
      <c r="U41" s="2002"/>
      <c r="V41" s="206">
        <f t="shared" si="3"/>
        <v>45023</v>
      </c>
    </row>
    <row r="42" spans="1:22">
      <c r="A42" s="1340">
        <v>1996.09</v>
      </c>
      <c r="B42" s="260">
        <v>76</v>
      </c>
      <c r="C42" s="2097">
        <v>74</v>
      </c>
      <c r="D42" s="2156"/>
      <c r="E42" s="2097">
        <v>2101</v>
      </c>
      <c r="F42" s="260">
        <v>1386</v>
      </c>
      <c r="G42" s="3153"/>
      <c r="H42" s="196">
        <f t="shared" si="1"/>
        <v>1386</v>
      </c>
      <c r="I42" s="260">
        <v>18094</v>
      </c>
      <c r="J42" s="2157"/>
      <c r="K42" s="263">
        <f t="shared" si="0"/>
        <v>18094</v>
      </c>
      <c r="L42" s="1313">
        <v>114343</v>
      </c>
      <c r="M42" s="225">
        <v>0</v>
      </c>
      <c r="N42" s="1969"/>
      <c r="O42" s="2158">
        <f t="shared" si="2"/>
        <v>114343</v>
      </c>
      <c r="P42" s="2097">
        <v>17916</v>
      </c>
      <c r="Q42" s="2097">
        <v>24161</v>
      </c>
      <c r="R42" s="2097">
        <v>0</v>
      </c>
      <c r="S42" s="1969"/>
      <c r="T42" s="921"/>
      <c r="U42" s="2002"/>
      <c r="V42" s="206">
        <f t="shared" si="3"/>
        <v>42077</v>
      </c>
    </row>
    <row r="43" spans="1:22">
      <c r="A43" s="1340">
        <v>1996.1</v>
      </c>
      <c r="B43" s="260">
        <v>102</v>
      </c>
      <c r="C43" s="2097">
        <v>88</v>
      </c>
      <c r="D43" s="2156"/>
      <c r="E43" s="2097">
        <v>687</v>
      </c>
      <c r="F43" s="260">
        <v>170</v>
      </c>
      <c r="G43" s="3153"/>
      <c r="H43" s="196">
        <f t="shared" si="1"/>
        <v>170</v>
      </c>
      <c r="I43" s="260">
        <v>13552</v>
      </c>
      <c r="J43" s="2157"/>
      <c r="K43" s="263">
        <f t="shared" si="0"/>
        <v>13552</v>
      </c>
      <c r="L43" s="1313">
        <v>90887</v>
      </c>
      <c r="M43" s="225">
        <v>0</v>
      </c>
      <c r="N43" s="1969"/>
      <c r="O43" s="2158">
        <f t="shared" si="2"/>
        <v>90887</v>
      </c>
      <c r="P43" s="2097">
        <v>15788</v>
      </c>
      <c r="Q43" s="2097">
        <v>21186</v>
      </c>
      <c r="R43" s="2097">
        <v>0</v>
      </c>
      <c r="S43" s="1969"/>
      <c r="T43" s="921"/>
      <c r="U43" s="2002"/>
      <c r="V43" s="206">
        <f t="shared" si="3"/>
        <v>36974</v>
      </c>
    </row>
    <row r="44" spans="1:22">
      <c r="A44" s="1340">
        <v>1996.11</v>
      </c>
      <c r="B44" s="260">
        <v>86</v>
      </c>
      <c r="C44" s="2097">
        <v>150</v>
      </c>
      <c r="D44" s="2156"/>
      <c r="E44" s="2097">
        <v>651</v>
      </c>
      <c r="F44" s="260">
        <v>414</v>
      </c>
      <c r="G44" s="3153"/>
      <c r="H44" s="196">
        <f t="shared" si="1"/>
        <v>414</v>
      </c>
      <c r="I44" s="260">
        <v>10648</v>
      </c>
      <c r="J44" s="2157"/>
      <c r="K44" s="263">
        <f t="shared" si="0"/>
        <v>10648</v>
      </c>
      <c r="L44" s="1313">
        <v>120178</v>
      </c>
      <c r="M44" s="225">
        <v>0</v>
      </c>
      <c r="N44" s="1969"/>
      <c r="O44" s="2158">
        <f t="shared" si="2"/>
        <v>120178</v>
      </c>
      <c r="P44" s="2097">
        <v>16965</v>
      </c>
      <c r="Q44" s="2097">
        <v>23136</v>
      </c>
      <c r="R44" s="2097">
        <v>0</v>
      </c>
      <c r="S44" s="1969"/>
      <c r="T44" s="921"/>
      <c r="U44" s="2002"/>
      <c r="V44" s="206">
        <f t="shared" si="3"/>
        <v>40101</v>
      </c>
    </row>
    <row r="45" spans="1:22">
      <c r="A45" s="1340">
        <v>1996.12</v>
      </c>
      <c r="B45" s="260">
        <v>149</v>
      </c>
      <c r="C45" s="2097">
        <v>143</v>
      </c>
      <c r="D45" s="2156"/>
      <c r="E45" s="2097">
        <v>724</v>
      </c>
      <c r="F45" s="260">
        <v>188</v>
      </c>
      <c r="G45" s="3153"/>
      <c r="H45" s="196">
        <f t="shared" si="1"/>
        <v>188</v>
      </c>
      <c r="I45" s="260">
        <v>11374</v>
      </c>
      <c r="J45" s="2157"/>
      <c r="K45" s="263">
        <f t="shared" si="0"/>
        <v>11374</v>
      </c>
      <c r="L45" s="1313">
        <v>122448</v>
      </c>
      <c r="M45" s="225">
        <v>0</v>
      </c>
      <c r="N45" s="1969"/>
      <c r="O45" s="2158">
        <f t="shared" si="2"/>
        <v>122448</v>
      </c>
      <c r="P45" s="2097">
        <v>19526</v>
      </c>
      <c r="Q45" s="2097">
        <v>26572</v>
      </c>
      <c r="R45" s="2097">
        <v>0</v>
      </c>
      <c r="S45" s="1969"/>
      <c r="T45" s="921"/>
      <c r="U45" s="2002"/>
      <c r="V45" s="206">
        <f t="shared" si="3"/>
        <v>46098</v>
      </c>
    </row>
    <row r="46" spans="1:22">
      <c r="A46" s="1340">
        <v>1997.01</v>
      </c>
      <c r="B46" s="260">
        <v>186</v>
      </c>
      <c r="C46" s="2097">
        <v>403</v>
      </c>
      <c r="D46" s="2156"/>
      <c r="E46" s="2097">
        <v>885</v>
      </c>
      <c r="F46" s="260">
        <v>0</v>
      </c>
      <c r="G46" s="3153"/>
      <c r="H46" s="196">
        <f t="shared" si="1"/>
        <v>0</v>
      </c>
      <c r="I46" s="260">
        <v>9333</v>
      </c>
      <c r="J46" s="2157"/>
      <c r="K46" s="263">
        <f t="shared" si="0"/>
        <v>9333</v>
      </c>
      <c r="L46" s="1313">
        <v>94390</v>
      </c>
      <c r="M46" s="225">
        <v>0</v>
      </c>
      <c r="N46" s="1969"/>
      <c r="O46" s="2158">
        <f t="shared" si="2"/>
        <v>94390</v>
      </c>
      <c r="P46" s="2097">
        <v>16842</v>
      </c>
      <c r="Q46" s="2097">
        <v>24257</v>
      </c>
      <c r="R46" s="2097">
        <v>0</v>
      </c>
      <c r="S46" s="1969"/>
      <c r="T46" s="921"/>
      <c r="U46" s="2002"/>
      <c r="V46" s="206">
        <f t="shared" si="3"/>
        <v>41099</v>
      </c>
    </row>
    <row r="47" spans="1:22">
      <c r="A47" s="1340">
        <v>1997.02</v>
      </c>
      <c r="B47" s="260">
        <v>111</v>
      </c>
      <c r="C47" s="2097">
        <v>241</v>
      </c>
      <c r="D47" s="2156"/>
      <c r="E47" s="2097">
        <v>770</v>
      </c>
      <c r="F47" s="260">
        <v>0</v>
      </c>
      <c r="G47" s="3153"/>
      <c r="H47" s="196">
        <f t="shared" si="1"/>
        <v>0</v>
      </c>
      <c r="I47" s="260">
        <v>8302</v>
      </c>
      <c r="J47" s="2157"/>
      <c r="K47" s="263">
        <f t="shared" si="0"/>
        <v>8302</v>
      </c>
      <c r="L47" s="1313">
        <v>86335</v>
      </c>
      <c r="M47" s="225">
        <v>0</v>
      </c>
      <c r="N47" s="1969"/>
      <c r="O47" s="2158">
        <f t="shared" si="2"/>
        <v>86335</v>
      </c>
      <c r="P47" s="2097">
        <v>14408</v>
      </c>
      <c r="Q47" s="2097">
        <v>21609</v>
      </c>
      <c r="R47" s="2097">
        <v>0</v>
      </c>
      <c r="S47" s="1969"/>
      <c r="T47" s="921"/>
      <c r="U47" s="2002"/>
      <c r="V47" s="206">
        <f t="shared" si="3"/>
        <v>36017</v>
      </c>
    </row>
    <row r="48" spans="1:22">
      <c r="A48" s="1340">
        <v>1997.03</v>
      </c>
      <c r="B48" s="260">
        <v>129</v>
      </c>
      <c r="C48" s="2097">
        <v>166</v>
      </c>
      <c r="D48" s="2156"/>
      <c r="E48" s="2097">
        <v>904</v>
      </c>
      <c r="F48" s="260">
        <v>0</v>
      </c>
      <c r="G48" s="3153"/>
      <c r="H48" s="196">
        <f t="shared" si="1"/>
        <v>0</v>
      </c>
      <c r="I48" s="260">
        <v>6803</v>
      </c>
      <c r="J48" s="2157"/>
      <c r="K48" s="263">
        <f t="shared" si="0"/>
        <v>6803</v>
      </c>
      <c r="L48" s="1313">
        <v>106370</v>
      </c>
      <c r="M48" s="225">
        <v>0</v>
      </c>
      <c r="N48" s="1969"/>
      <c r="O48" s="2158">
        <f t="shared" si="2"/>
        <v>106370</v>
      </c>
      <c r="P48" s="2097">
        <v>15044</v>
      </c>
      <c r="Q48" s="2097">
        <v>23500</v>
      </c>
      <c r="R48" s="2097">
        <v>0</v>
      </c>
      <c r="S48" s="1969"/>
      <c r="T48" s="921"/>
      <c r="U48" s="2002"/>
      <c r="V48" s="206">
        <f t="shared" si="3"/>
        <v>38544</v>
      </c>
    </row>
    <row r="49" spans="1:22">
      <c r="A49" s="1340">
        <v>1997.04</v>
      </c>
      <c r="B49" s="260">
        <v>59</v>
      </c>
      <c r="C49" s="2097">
        <v>92</v>
      </c>
      <c r="D49" s="2156"/>
      <c r="E49" s="2097">
        <v>1620</v>
      </c>
      <c r="F49" s="260">
        <v>0</v>
      </c>
      <c r="G49" s="3153"/>
      <c r="H49" s="196">
        <f t="shared" si="1"/>
        <v>0</v>
      </c>
      <c r="I49" s="260">
        <v>11721</v>
      </c>
      <c r="J49" s="2157"/>
      <c r="K49" s="263">
        <f t="shared" si="0"/>
        <v>11721</v>
      </c>
      <c r="L49" s="1313">
        <v>110516</v>
      </c>
      <c r="M49" s="225">
        <v>0</v>
      </c>
      <c r="N49" s="1969"/>
      <c r="O49" s="2158">
        <f t="shared" si="2"/>
        <v>110516</v>
      </c>
      <c r="P49" s="2097">
        <v>15441</v>
      </c>
      <c r="Q49" s="2097">
        <v>23499</v>
      </c>
      <c r="R49" s="2097">
        <v>0</v>
      </c>
      <c r="S49" s="1969"/>
      <c r="T49" s="921"/>
      <c r="U49" s="2002"/>
      <c r="V49" s="206">
        <f t="shared" si="3"/>
        <v>38940</v>
      </c>
    </row>
    <row r="50" spans="1:22">
      <c r="A50" s="1340">
        <v>1997.05</v>
      </c>
      <c r="B50" s="260">
        <v>63</v>
      </c>
      <c r="C50" s="2097">
        <v>65</v>
      </c>
      <c r="D50" s="2156"/>
      <c r="E50" s="2097">
        <v>4476</v>
      </c>
      <c r="F50" s="260">
        <v>0</v>
      </c>
      <c r="G50" s="3153"/>
      <c r="H50" s="196">
        <f t="shared" si="1"/>
        <v>0</v>
      </c>
      <c r="I50" s="260">
        <v>10327</v>
      </c>
      <c r="J50" s="2157"/>
      <c r="K50" s="263">
        <f t="shared" si="0"/>
        <v>10327</v>
      </c>
      <c r="L50" s="1313">
        <v>104072</v>
      </c>
      <c r="M50" s="225">
        <v>0</v>
      </c>
      <c r="N50" s="1969"/>
      <c r="O50" s="2158">
        <f t="shared" si="2"/>
        <v>104072</v>
      </c>
      <c r="P50" s="2097">
        <v>14961</v>
      </c>
      <c r="Q50" s="2097">
        <v>22569</v>
      </c>
      <c r="R50" s="2097">
        <v>0</v>
      </c>
      <c r="S50" s="1969"/>
      <c r="T50" s="921"/>
      <c r="U50" s="2002"/>
      <c r="V50" s="206">
        <f t="shared" si="3"/>
        <v>37530</v>
      </c>
    </row>
    <row r="51" spans="1:22">
      <c r="A51" s="1340">
        <v>1997.06</v>
      </c>
      <c r="B51" s="260">
        <v>40</v>
      </c>
      <c r="C51" s="2097">
        <v>40</v>
      </c>
      <c r="D51" s="2156"/>
      <c r="E51" s="2097">
        <v>6743</v>
      </c>
      <c r="F51" s="260">
        <v>0</v>
      </c>
      <c r="G51" s="3153"/>
      <c r="H51" s="196">
        <f t="shared" si="1"/>
        <v>0</v>
      </c>
      <c r="I51" s="260">
        <v>22937</v>
      </c>
      <c r="J51" s="2157"/>
      <c r="K51" s="263">
        <f t="shared" si="0"/>
        <v>22937</v>
      </c>
      <c r="L51" s="1313">
        <v>92241</v>
      </c>
      <c r="M51" s="225">
        <v>0</v>
      </c>
      <c r="N51" s="1969"/>
      <c r="O51" s="2158">
        <f t="shared" si="2"/>
        <v>92241</v>
      </c>
      <c r="P51" s="2097">
        <v>14224</v>
      </c>
      <c r="Q51" s="2097">
        <v>21848</v>
      </c>
      <c r="R51" s="2097">
        <v>0</v>
      </c>
      <c r="S51" s="1969"/>
      <c r="T51" s="921"/>
      <c r="U51" s="2002"/>
      <c r="V51" s="206">
        <f t="shared" si="3"/>
        <v>36072</v>
      </c>
    </row>
    <row r="52" spans="1:22">
      <c r="A52" s="1340">
        <v>1997.07</v>
      </c>
      <c r="B52" s="260">
        <v>48</v>
      </c>
      <c r="C52" s="2097">
        <v>53</v>
      </c>
      <c r="D52" s="2156"/>
      <c r="E52" s="2097">
        <v>8202</v>
      </c>
      <c r="F52" s="260">
        <v>0</v>
      </c>
      <c r="G52" s="3153"/>
      <c r="H52" s="196">
        <f t="shared" si="1"/>
        <v>0</v>
      </c>
      <c r="I52" s="260">
        <v>14705</v>
      </c>
      <c r="J52" s="2157"/>
      <c r="K52" s="263">
        <f t="shared" si="0"/>
        <v>14705</v>
      </c>
      <c r="L52" s="1313">
        <v>102199</v>
      </c>
      <c r="M52" s="225">
        <v>0</v>
      </c>
      <c r="N52" s="1969"/>
      <c r="O52" s="2158">
        <f t="shared" si="2"/>
        <v>102199</v>
      </c>
      <c r="P52" s="2097">
        <v>16170</v>
      </c>
      <c r="Q52" s="2097">
        <v>24477</v>
      </c>
      <c r="R52" s="2097">
        <v>0</v>
      </c>
      <c r="S52" s="1969"/>
      <c r="T52" s="921"/>
      <c r="U52" s="2002"/>
      <c r="V52" s="206">
        <f t="shared" si="3"/>
        <v>40647</v>
      </c>
    </row>
    <row r="53" spans="1:22">
      <c r="A53" s="1340">
        <v>1997.08</v>
      </c>
      <c r="B53" s="260">
        <v>1601</v>
      </c>
      <c r="C53" s="2097">
        <v>56</v>
      </c>
      <c r="D53" s="2156"/>
      <c r="E53" s="2097">
        <v>2935</v>
      </c>
      <c r="F53" s="260">
        <v>0</v>
      </c>
      <c r="G53" s="3153"/>
      <c r="H53" s="196">
        <f t="shared" si="1"/>
        <v>0</v>
      </c>
      <c r="I53" s="260">
        <v>12456</v>
      </c>
      <c r="J53" s="2157"/>
      <c r="K53" s="263">
        <f t="shared" si="0"/>
        <v>12456</v>
      </c>
      <c r="L53" s="1313">
        <v>97542</v>
      </c>
      <c r="M53" s="225">
        <v>0</v>
      </c>
      <c r="N53" s="1969"/>
      <c r="O53" s="2158">
        <f t="shared" si="2"/>
        <v>97542</v>
      </c>
      <c r="P53" s="2097">
        <v>15112</v>
      </c>
      <c r="Q53" s="2097">
        <v>23795</v>
      </c>
      <c r="R53" s="2097">
        <v>0</v>
      </c>
      <c r="S53" s="1969"/>
      <c r="T53" s="921"/>
      <c r="U53" s="2002"/>
      <c r="V53" s="206">
        <f t="shared" si="3"/>
        <v>38907</v>
      </c>
    </row>
    <row r="54" spans="1:22">
      <c r="A54" s="1340">
        <v>1997.09</v>
      </c>
      <c r="B54" s="260">
        <v>1244</v>
      </c>
      <c r="C54" s="2097">
        <v>52</v>
      </c>
      <c r="D54" s="2156"/>
      <c r="E54" s="2097">
        <v>995</v>
      </c>
      <c r="F54" s="260">
        <v>0</v>
      </c>
      <c r="G54" s="3153"/>
      <c r="H54" s="196">
        <f t="shared" si="1"/>
        <v>0</v>
      </c>
      <c r="I54" s="260">
        <v>9515</v>
      </c>
      <c r="J54" s="2157"/>
      <c r="K54" s="263">
        <f t="shared" si="0"/>
        <v>9515</v>
      </c>
      <c r="L54" s="1313">
        <v>101912</v>
      </c>
      <c r="M54" s="225">
        <v>0</v>
      </c>
      <c r="N54" s="1969"/>
      <c r="O54" s="2158">
        <f t="shared" si="2"/>
        <v>101912</v>
      </c>
      <c r="P54" s="2097">
        <v>14246</v>
      </c>
      <c r="Q54" s="2097">
        <v>22408</v>
      </c>
      <c r="R54" s="2097">
        <v>0</v>
      </c>
      <c r="S54" s="1969"/>
      <c r="T54" s="921"/>
      <c r="U54" s="2002"/>
      <c r="V54" s="206">
        <f t="shared" si="3"/>
        <v>36654</v>
      </c>
    </row>
    <row r="55" spans="1:22">
      <c r="A55" s="1340">
        <v>1997.1</v>
      </c>
      <c r="B55" s="260">
        <v>1331</v>
      </c>
      <c r="C55" s="2097">
        <v>103</v>
      </c>
      <c r="D55" s="2156"/>
      <c r="E55" s="2097">
        <v>556</v>
      </c>
      <c r="F55" s="260">
        <v>302</v>
      </c>
      <c r="G55" s="3153"/>
      <c r="H55" s="196">
        <f t="shared" si="1"/>
        <v>302</v>
      </c>
      <c r="I55" s="260">
        <v>12471</v>
      </c>
      <c r="J55" s="2157"/>
      <c r="K55" s="263">
        <f t="shared" si="0"/>
        <v>12471</v>
      </c>
      <c r="L55" s="1313">
        <v>110889</v>
      </c>
      <c r="M55" s="225">
        <v>0</v>
      </c>
      <c r="N55" s="1969"/>
      <c r="O55" s="2158">
        <f t="shared" si="2"/>
        <v>110889</v>
      </c>
      <c r="P55" s="2097">
        <v>15398</v>
      </c>
      <c r="Q55" s="2097">
        <v>24248</v>
      </c>
      <c r="R55" s="2097">
        <v>0</v>
      </c>
      <c r="S55" s="1969"/>
      <c r="T55" s="921"/>
      <c r="U55" s="2002"/>
      <c r="V55" s="206">
        <f t="shared" si="3"/>
        <v>39646</v>
      </c>
    </row>
    <row r="56" spans="1:22">
      <c r="A56" s="1340">
        <v>1997.11</v>
      </c>
      <c r="B56" s="260">
        <v>1025</v>
      </c>
      <c r="C56" s="2097">
        <v>85</v>
      </c>
      <c r="D56" s="2156"/>
      <c r="E56" s="2097">
        <v>604</v>
      </c>
      <c r="F56" s="260">
        <v>0</v>
      </c>
      <c r="G56" s="3153"/>
      <c r="H56" s="196">
        <f t="shared" si="1"/>
        <v>0</v>
      </c>
      <c r="I56" s="260">
        <v>5590</v>
      </c>
      <c r="J56" s="2157"/>
      <c r="K56" s="263">
        <f t="shared" si="0"/>
        <v>5590</v>
      </c>
      <c r="L56" s="1313">
        <v>106844</v>
      </c>
      <c r="M56" s="225">
        <v>0</v>
      </c>
      <c r="N56" s="1969"/>
      <c r="O56" s="2158">
        <f t="shared" si="2"/>
        <v>106844</v>
      </c>
      <c r="P56" s="2097">
        <v>13595</v>
      </c>
      <c r="Q56" s="2097">
        <v>22162</v>
      </c>
      <c r="R56" s="2097">
        <v>0</v>
      </c>
      <c r="S56" s="1969"/>
      <c r="T56" s="921"/>
      <c r="U56" s="2002"/>
      <c r="V56" s="206">
        <f t="shared" si="3"/>
        <v>35757</v>
      </c>
    </row>
    <row r="57" spans="1:22">
      <c r="A57" s="1340">
        <v>1997.12</v>
      </c>
      <c r="B57" s="260">
        <v>841</v>
      </c>
      <c r="C57" s="2097">
        <v>143</v>
      </c>
      <c r="D57" s="2156"/>
      <c r="E57" s="2097">
        <v>611</v>
      </c>
      <c r="F57" s="260">
        <v>0</v>
      </c>
      <c r="G57" s="3153"/>
      <c r="H57" s="196">
        <f t="shared" si="1"/>
        <v>0</v>
      </c>
      <c r="I57" s="260">
        <v>6648</v>
      </c>
      <c r="J57" s="2157"/>
      <c r="K57" s="263">
        <f t="shared" si="0"/>
        <v>6648</v>
      </c>
      <c r="L57" s="1313">
        <v>103164</v>
      </c>
      <c r="M57" s="225">
        <v>0</v>
      </c>
      <c r="N57" s="1969"/>
      <c r="O57" s="2158">
        <f t="shared" si="2"/>
        <v>103164</v>
      </c>
      <c r="P57" s="2097">
        <v>15348</v>
      </c>
      <c r="Q57" s="2097">
        <v>25943</v>
      </c>
      <c r="R57" s="2097">
        <v>0</v>
      </c>
      <c r="S57" s="1969"/>
      <c r="T57" s="921"/>
      <c r="U57" s="2002"/>
      <c r="V57" s="206">
        <f t="shared" si="3"/>
        <v>41291</v>
      </c>
    </row>
    <row r="58" spans="1:22">
      <c r="A58" s="1340">
        <v>1998.01</v>
      </c>
      <c r="B58" s="260">
        <v>635</v>
      </c>
      <c r="C58" s="2097">
        <v>265</v>
      </c>
      <c r="D58" s="2156"/>
      <c r="E58" s="2097">
        <v>732</v>
      </c>
      <c r="F58" s="260">
        <v>372</v>
      </c>
      <c r="G58" s="3153"/>
      <c r="H58" s="196">
        <f t="shared" si="1"/>
        <v>372</v>
      </c>
      <c r="I58" s="260">
        <v>7110</v>
      </c>
      <c r="J58" s="2157"/>
      <c r="K58" s="263">
        <f t="shared" si="0"/>
        <v>7110</v>
      </c>
      <c r="L58" s="1313">
        <v>91073</v>
      </c>
      <c r="M58" s="225">
        <v>0</v>
      </c>
      <c r="N58" s="1969"/>
      <c r="O58" s="2158">
        <f t="shared" si="2"/>
        <v>91073</v>
      </c>
      <c r="P58" s="2097">
        <v>13937</v>
      </c>
      <c r="Q58" s="2097">
        <v>25994</v>
      </c>
      <c r="R58" s="2097">
        <v>0</v>
      </c>
      <c r="S58" s="1969"/>
      <c r="T58" s="921"/>
      <c r="U58" s="2002"/>
      <c r="V58" s="206">
        <f t="shared" si="3"/>
        <v>39931</v>
      </c>
    </row>
    <row r="59" spans="1:22">
      <c r="A59" s="1340">
        <v>1998.02</v>
      </c>
      <c r="B59" s="260">
        <v>169</v>
      </c>
      <c r="C59" s="2097">
        <v>171</v>
      </c>
      <c r="D59" s="2156"/>
      <c r="E59" s="2097">
        <v>625</v>
      </c>
      <c r="F59" s="260">
        <v>158</v>
      </c>
      <c r="G59" s="3153"/>
      <c r="H59" s="196">
        <f t="shared" si="1"/>
        <v>158</v>
      </c>
      <c r="I59" s="260">
        <v>7015</v>
      </c>
      <c r="J59" s="2157"/>
      <c r="K59" s="263">
        <f t="shared" si="0"/>
        <v>7015</v>
      </c>
      <c r="L59" s="1313">
        <v>83841</v>
      </c>
      <c r="M59" s="225">
        <v>0</v>
      </c>
      <c r="N59" s="1969"/>
      <c r="O59" s="2158">
        <f t="shared" si="2"/>
        <v>83841</v>
      </c>
      <c r="P59" s="2097">
        <v>12140</v>
      </c>
      <c r="Q59" s="2097">
        <v>23958</v>
      </c>
      <c r="R59" s="2097">
        <v>0</v>
      </c>
      <c r="S59" s="1969"/>
      <c r="T59" s="921"/>
      <c r="U59" s="2002"/>
      <c r="V59" s="206">
        <f t="shared" si="3"/>
        <v>36098</v>
      </c>
    </row>
    <row r="60" spans="1:22">
      <c r="A60" s="1340">
        <v>1998.03</v>
      </c>
      <c r="B60" s="260">
        <v>151</v>
      </c>
      <c r="C60" s="2097">
        <v>161</v>
      </c>
      <c r="D60" s="2156"/>
      <c r="E60" s="2097">
        <v>896</v>
      </c>
      <c r="F60" s="260">
        <v>0</v>
      </c>
      <c r="G60" s="3153"/>
      <c r="H60" s="196">
        <f t="shared" si="1"/>
        <v>0</v>
      </c>
      <c r="I60" s="260">
        <v>4848</v>
      </c>
      <c r="J60" s="2157"/>
      <c r="K60" s="263">
        <f t="shared" si="0"/>
        <v>4848</v>
      </c>
      <c r="L60" s="1313">
        <v>117151</v>
      </c>
      <c r="M60" s="225">
        <v>0</v>
      </c>
      <c r="N60" s="1969"/>
      <c r="O60" s="2158">
        <f t="shared" si="2"/>
        <v>117151</v>
      </c>
      <c r="P60" s="2097">
        <v>13403</v>
      </c>
      <c r="Q60" s="2097">
        <v>25416</v>
      </c>
      <c r="R60" s="2097">
        <v>0</v>
      </c>
      <c r="S60" s="1969"/>
      <c r="T60" s="921"/>
      <c r="U60" s="2002"/>
      <c r="V60" s="206">
        <f t="shared" si="3"/>
        <v>38819</v>
      </c>
    </row>
    <row r="61" spans="1:22">
      <c r="A61" s="1340">
        <v>1998.04</v>
      </c>
      <c r="B61" s="260">
        <v>62</v>
      </c>
      <c r="C61" s="2097">
        <v>69</v>
      </c>
      <c r="D61" s="2156"/>
      <c r="E61" s="2097">
        <v>2330</v>
      </c>
      <c r="F61" s="260">
        <v>0</v>
      </c>
      <c r="G61" s="3153"/>
      <c r="H61" s="196">
        <f t="shared" si="1"/>
        <v>0</v>
      </c>
      <c r="I61" s="260">
        <v>15470</v>
      </c>
      <c r="J61" s="2157"/>
      <c r="K61" s="263">
        <f t="shared" si="0"/>
        <v>15470</v>
      </c>
      <c r="L61" s="1313">
        <v>114930</v>
      </c>
      <c r="M61" s="225">
        <v>0</v>
      </c>
      <c r="N61" s="1969"/>
      <c r="O61" s="2158">
        <f t="shared" si="2"/>
        <v>114930</v>
      </c>
      <c r="P61" s="2097">
        <v>13268</v>
      </c>
      <c r="Q61" s="2097">
        <v>24266</v>
      </c>
      <c r="R61" s="2097">
        <v>0</v>
      </c>
      <c r="S61" s="1969"/>
      <c r="T61" s="921"/>
      <c r="U61" s="2002"/>
      <c r="V61" s="206">
        <f t="shared" si="3"/>
        <v>37534</v>
      </c>
    </row>
    <row r="62" spans="1:22">
      <c r="A62" s="1340">
        <v>1998.05</v>
      </c>
      <c r="B62" s="260">
        <v>492</v>
      </c>
      <c r="C62" s="2097">
        <v>52</v>
      </c>
      <c r="D62" s="2156"/>
      <c r="E62" s="2097">
        <v>2985</v>
      </c>
      <c r="F62" s="260">
        <v>0</v>
      </c>
      <c r="G62" s="3153"/>
      <c r="H62" s="196">
        <f t="shared" si="1"/>
        <v>0</v>
      </c>
      <c r="I62" s="260">
        <v>6224</v>
      </c>
      <c r="J62" s="2157"/>
      <c r="K62" s="263">
        <f t="shared" si="0"/>
        <v>6224</v>
      </c>
      <c r="L62" s="1313">
        <v>131397</v>
      </c>
      <c r="M62" s="225">
        <v>0</v>
      </c>
      <c r="N62" s="1969"/>
      <c r="O62" s="2158">
        <f t="shared" si="2"/>
        <v>131397</v>
      </c>
      <c r="P62" s="2097">
        <v>13269</v>
      </c>
      <c r="Q62" s="2097">
        <v>23004</v>
      </c>
      <c r="R62" s="2097">
        <v>0</v>
      </c>
      <c r="S62" s="1969"/>
      <c r="T62" s="921"/>
      <c r="U62" s="2002"/>
      <c r="V62" s="206">
        <f t="shared" si="3"/>
        <v>36273</v>
      </c>
    </row>
    <row r="63" spans="1:22">
      <c r="A63" s="1340">
        <v>1998.06</v>
      </c>
      <c r="B63" s="260">
        <v>763</v>
      </c>
      <c r="C63" s="2097">
        <v>45</v>
      </c>
      <c r="D63" s="2156"/>
      <c r="E63" s="2097">
        <v>7592</v>
      </c>
      <c r="F63" s="260">
        <v>0</v>
      </c>
      <c r="G63" s="3153"/>
      <c r="H63" s="196">
        <f t="shared" si="1"/>
        <v>0</v>
      </c>
      <c r="I63" s="260">
        <v>7465</v>
      </c>
      <c r="J63" s="2157"/>
      <c r="K63" s="263">
        <f t="shared" si="0"/>
        <v>7465</v>
      </c>
      <c r="L63" s="1313">
        <v>120631</v>
      </c>
      <c r="M63" s="225">
        <v>0</v>
      </c>
      <c r="N63" s="1969"/>
      <c r="O63" s="2158">
        <f t="shared" si="2"/>
        <v>120631</v>
      </c>
      <c r="P63" s="2097">
        <v>13287</v>
      </c>
      <c r="Q63" s="2097">
        <v>22953</v>
      </c>
      <c r="R63" s="2097">
        <v>0</v>
      </c>
      <c r="S63" s="1969"/>
      <c r="T63" s="921"/>
      <c r="U63" s="2002"/>
      <c r="V63" s="206">
        <f t="shared" si="3"/>
        <v>36240</v>
      </c>
    </row>
    <row r="64" spans="1:22">
      <c r="A64" s="1340">
        <v>1998.07</v>
      </c>
      <c r="B64" s="260">
        <v>470</v>
      </c>
      <c r="C64" s="2097">
        <v>46</v>
      </c>
      <c r="D64" s="2156"/>
      <c r="E64" s="2097">
        <v>6286</v>
      </c>
      <c r="F64" s="260">
        <v>0</v>
      </c>
      <c r="G64" s="3153"/>
      <c r="H64" s="196">
        <f t="shared" si="1"/>
        <v>0</v>
      </c>
      <c r="I64" s="260">
        <v>15325</v>
      </c>
      <c r="J64" s="2157"/>
      <c r="K64" s="263">
        <f t="shared" si="0"/>
        <v>15325</v>
      </c>
      <c r="L64" s="1313">
        <v>115847</v>
      </c>
      <c r="M64" s="225">
        <v>0</v>
      </c>
      <c r="N64" s="1969"/>
      <c r="O64" s="2158">
        <f t="shared" si="2"/>
        <v>115847</v>
      </c>
      <c r="P64" s="2097">
        <v>14049</v>
      </c>
      <c r="Q64" s="2097">
        <v>24859</v>
      </c>
      <c r="R64" s="2097">
        <v>0</v>
      </c>
      <c r="S64" s="1969"/>
      <c r="T64" s="921"/>
      <c r="U64" s="2002"/>
      <c r="V64" s="206">
        <f t="shared" si="3"/>
        <v>38908</v>
      </c>
    </row>
    <row r="65" spans="1:22">
      <c r="A65" s="1340">
        <v>1998.08</v>
      </c>
      <c r="B65" s="260">
        <v>290</v>
      </c>
      <c r="C65" s="2097">
        <v>51</v>
      </c>
      <c r="D65" s="2156"/>
      <c r="E65" s="2097">
        <v>4619</v>
      </c>
      <c r="F65" s="260">
        <v>0</v>
      </c>
      <c r="G65" s="3153"/>
      <c r="H65" s="196">
        <f t="shared" si="1"/>
        <v>0</v>
      </c>
      <c r="I65" s="260">
        <v>5857</v>
      </c>
      <c r="J65" s="2157"/>
      <c r="K65" s="263">
        <f t="shared" si="0"/>
        <v>5857</v>
      </c>
      <c r="L65" s="1313">
        <v>113153</v>
      </c>
      <c r="M65" s="225">
        <v>0</v>
      </c>
      <c r="N65" s="1969"/>
      <c r="O65" s="2158">
        <f t="shared" si="2"/>
        <v>113153</v>
      </c>
      <c r="P65" s="2097">
        <v>13234</v>
      </c>
      <c r="Q65" s="2097">
        <v>23450</v>
      </c>
      <c r="R65" s="2097">
        <v>0</v>
      </c>
      <c r="S65" s="1969"/>
      <c r="T65" s="921"/>
      <c r="U65" s="2002"/>
      <c r="V65" s="206">
        <f t="shared" si="3"/>
        <v>36684</v>
      </c>
    </row>
    <row r="66" spans="1:22">
      <c r="A66" s="1340">
        <v>1998.09</v>
      </c>
      <c r="B66" s="260">
        <v>332</v>
      </c>
      <c r="C66" s="2097">
        <v>55</v>
      </c>
      <c r="D66" s="2156"/>
      <c r="E66" s="2097">
        <v>2161</v>
      </c>
      <c r="F66" s="260">
        <v>0</v>
      </c>
      <c r="G66" s="3153"/>
      <c r="H66" s="196">
        <f t="shared" si="1"/>
        <v>0</v>
      </c>
      <c r="I66" s="260">
        <v>8886</v>
      </c>
      <c r="J66" s="2157"/>
      <c r="K66" s="263">
        <f t="shared" si="0"/>
        <v>8886</v>
      </c>
      <c r="L66" s="1313">
        <v>110858</v>
      </c>
      <c r="M66" s="225">
        <v>0</v>
      </c>
      <c r="N66" s="1969"/>
      <c r="O66" s="2158">
        <f t="shared" si="2"/>
        <v>110858</v>
      </c>
      <c r="P66" s="2097">
        <v>12796</v>
      </c>
      <c r="Q66" s="2097">
        <v>22962</v>
      </c>
      <c r="R66" s="2097">
        <v>0</v>
      </c>
      <c r="S66" s="1969"/>
      <c r="T66" s="921"/>
      <c r="U66" s="2002"/>
      <c r="V66" s="206">
        <f t="shared" si="3"/>
        <v>35758</v>
      </c>
    </row>
    <row r="67" spans="1:22">
      <c r="A67" s="1340">
        <v>1998.1</v>
      </c>
      <c r="B67" s="260">
        <v>158</v>
      </c>
      <c r="C67" s="2097">
        <v>67</v>
      </c>
      <c r="D67" s="2156"/>
      <c r="E67" s="2097">
        <v>444</v>
      </c>
      <c r="F67" s="260">
        <v>0</v>
      </c>
      <c r="G67" s="3153"/>
      <c r="H67" s="196">
        <f t="shared" si="1"/>
        <v>0</v>
      </c>
      <c r="I67" s="260">
        <v>5978</v>
      </c>
      <c r="J67" s="2157"/>
      <c r="K67" s="263">
        <f t="shared" si="0"/>
        <v>5978</v>
      </c>
      <c r="L67" s="1313">
        <v>110927</v>
      </c>
      <c r="M67" s="225">
        <v>0</v>
      </c>
      <c r="N67" s="1969"/>
      <c r="O67" s="2158">
        <f t="shared" si="2"/>
        <v>110927</v>
      </c>
      <c r="P67" s="2097">
        <v>12588</v>
      </c>
      <c r="Q67" s="2097">
        <v>23712</v>
      </c>
      <c r="R67" s="2097">
        <v>0</v>
      </c>
      <c r="S67" s="1969"/>
      <c r="T67" s="921"/>
      <c r="U67" s="2002"/>
      <c r="V67" s="206">
        <f t="shared" si="3"/>
        <v>36300</v>
      </c>
    </row>
    <row r="68" spans="1:22">
      <c r="A68" s="1340">
        <v>1998.11</v>
      </c>
      <c r="B68" s="260">
        <v>96</v>
      </c>
      <c r="C68" s="2097">
        <v>67</v>
      </c>
      <c r="D68" s="2156"/>
      <c r="E68" s="2097">
        <v>458</v>
      </c>
      <c r="F68" s="260">
        <v>0</v>
      </c>
      <c r="G68" s="3153"/>
      <c r="H68" s="196">
        <f t="shared" si="1"/>
        <v>0</v>
      </c>
      <c r="I68" s="260">
        <v>5000</v>
      </c>
      <c r="J68" s="2157"/>
      <c r="K68" s="263">
        <f t="shared" si="0"/>
        <v>5000</v>
      </c>
      <c r="L68" s="1313">
        <v>113378</v>
      </c>
      <c r="M68" s="225">
        <v>0</v>
      </c>
      <c r="N68" s="1969"/>
      <c r="O68" s="2158">
        <f t="shared" si="2"/>
        <v>113378</v>
      </c>
      <c r="P68" s="2097">
        <v>12747</v>
      </c>
      <c r="Q68" s="2097">
        <v>22192</v>
      </c>
      <c r="R68" s="2097">
        <v>0</v>
      </c>
      <c r="S68" s="1969"/>
      <c r="T68" s="921"/>
      <c r="U68" s="2002"/>
      <c r="V68" s="206">
        <f t="shared" si="3"/>
        <v>34939</v>
      </c>
    </row>
    <row r="69" spans="1:22">
      <c r="A69" s="1340">
        <v>1998.12</v>
      </c>
      <c r="B69" s="260">
        <v>157</v>
      </c>
      <c r="C69" s="2097">
        <v>70</v>
      </c>
      <c r="D69" s="2156"/>
      <c r="E69" s="2097">
        <v>526</v>
      </c>
      <c r="F69" s="260">
        <v>0</v>
      </c>
      <c r="G69" s="3153"/>
      <c r="H69" s="196">
        <f t="shared" si="1"/>
        <v>0</v>
      </c>
      <c r="I69" s="260">
        <v>5826</v>
      </c>
      <c r="J69" s="2157"/>
      <c r="K69" s="263">
        <f t="shared" si="0"/>
        <v>5826</v>
      </c>
      <c r="L69" s="1313">
        <v>107791</v>
      </c>
      <c r="M69" s="225">
        <v>0</v>
      </c>
      <c r="N69" s="1969"/>
      <c r="O69" s="2158">
        <f t="shared" si="2"/>
        <v>107791</v>
      </c>
      <c r="P69" s="2097">
        <v>13582</v>
      </c>
      <c r="Q69" s="2097">
        <v>26590</v>
      </c>
      <c r="R69" s="2097">
        <v>0</v>
      </c>
      <c r="S69" s="1969"/>
      <c r="T69" s="921"/>
      <c r="U69" s="2002"/>
      <c r="V69" s="206">
        <f t="shared" si="3"/>
        <v>40172</v>
      </c>
    </row>
    <row r="70" spans="1:22">
      <c r="A70" s="1340">
        <v>1999.01</v>
      </c>
      <c r="B70" s="260">
        <v>197</v>
      </c>
      <c r="C70" s="2097">
        <v>76</v>
      </c>
      <c r="D70" s="2156"/>
      <c r="E70" s="2097">
        <v>630</v>
      </c>
      <c r="F70" s="260">
        <v>0</v>
      </c>
      <c r="G70" s="3153"/>
      <c r="H70" s="196">
        <f t="shared" si="1"/>
        <v>0</v>
      </c>
      <c r="I70" s="260">
        <v>4669</v>
      </c>
      <c r="J70" s="2157"/>
      <c r="K70" s="263">
        <f t="shared" si="0"/>
        <v>4669</v>
      </c>
      <c r="L70" s="1313">
        <v>92575</v>
      </c>
      <c r="M70" s="225">
        <v>0</v>
      </c>
      <c r="N70" s="1969"/>
      <c r="O70" s="2158">
        <f t="shared" si="2"/>
        <v>92575</v>
      </c>
      <c r="P70" s="2097">
        <v>11374</v>
      </c>
      <c r="Q70" s="2097">
        <v>22444</v>
      </c>
      <c r="R70" s="2097">
        <v>0</v>
      </c>
      <c r="S70" s="1969"/>
      <c r="T70" s="921"/>
      <c r="U70" s="2002"/>
      <c r="V70" s="206">
        <f t="shared" si="3"/>
        <v>33818</v>
      </c>
    </row>
    <row r="71" spans="1:22">
      <c r="A71" s="1340">
        <v>1999.02</v>
      </c>
      <c r="B71" s="260">
        <v>387</v>
      </c>
      <c r="C71" s="2097">
        <v>0</v>
      </c>
      <c r="D71" s="2156"/>
      <c r="E71" s="2097">
        <v>555</v>
      </c>
      <c r="F71" s="260">
        <v>0</v>
      </c>
      <c r="G71" s="3153"/>
      <c r="H71" s="196">
        <f t="shared" si="1"/>
        <v>0</v>
      </c>
      <c r="I71" s="260">
        <v>4844</v>
      </c>
      <c r="J71" s="2157"/>
      <c r="K71" s="263">
        <f t="shared" si="0"/>
        <v>4844</v>
      </c>
      <c r="L71" s="1313">
        <v>86210</v>
      </c>
      <c r="M71" s="225">
        <v>0</v>
      </c>
      <c r="N71" s="1969"/>
      <c r="O71" s="2158">
        <f t="shared" si="2"/>
        <v>86210</v>
      </c>
      <c r="P71" s="2097">
        <v>10619</v>
      </c>
      <c r="Q71" s="2097">
        <v>21589</v>
      </c>
      <c r="R71" s="2097">
        <v>0</v>
      </c>
      <c r="S71" s="1969"/>
      <c r="T71" s="921"/>
      <c r="U71" s="2002"/>
      <c r="V71" s="206">
        <f t="shared" si="3"/>
        <v>32208</v>
      </c>
    </row>
    <row r="72" spans="1:22">
      <c r="A72" s="1340">
        <v>1999.03</v>
      </c>
      <c r="B72" s="260">
        <v>257</v>
      </c>
      <c r="C72" s="2097">
        <v>107</v>
      </c>
      <c r="D72" s="2156"/>
      <c r="E72" s="2097">
        <v>615</v>
      </c>
      <c r="F72" s="260">
        <v>0</v>
      </c>
      <c r="G72" s="3153"/>
      <c r="H72" s="196">
        <f t="shared" si="1"/>
        <v>0</v>
      </c>
      <c r="I72" s="260">
        <v>5780</v>
      </c>
      <c r="J72" s="2157"/>
      <c r="K72" s="263">
        <f t="shared" si="0"/>
        <v>5780</v>
      </c>
      <c r="L72" s="1313">
        <v>109167</v>
      </c>
      <c r="M72" s="225">
        <v>0</v>
      </c>
      <c r="N72" s="1969"/>
      <c r="O72" s="2158">
        <f t="shared" si="2"/>
        <v>109167</v>
      </c>
      <c r="P72" s="2097">
        <v>12072</v>
      </c>
      <c r="Q72" s="2097">
        <v>24045</v>
      </c>
      <c r="R72" s="2097">
        <v>0</v>
      </c>
      <c r="S72" s="1969"/>
      <c r="T72" s="921"/>
      <c r="U72" s="2002"/>
      <c r="V72" s="206">
        <f t="shared" si="3"/>
        <v>36117</v>
      </c>
    </row>
    <row r="73" spans="1:22">
      <c r="A73" s="1340">
        <v>1999.04</v>
      </c>
      <c r="B73" s="260">
        <v>72</v>
      </c>
      <c r="C73" s="2097">
        <v>38</v>
      </c>
      <c r="D73" s="2156"/>
      <c r="E73" s="2097">
        <v>2962</v>
      </c>
      <c r="F73" s="260">
        <v>0</v>
      </c>
      <c r="G73" s="3153"/>
      <c r="H73" s="196">
        <f t="shared" si="1"/>
        <v>0</v>
      </c>
      <c r="I73" s="260">
        <v>5505</v>
      </c>
      <c r="J73" s="2157"/>
      <c r="K73" s="263">
        <f t="shared" si="0"/>
        <v>5505</v>
      </c>
      <c r="L73" s="1313">
        <v>128060</v>
      </c>
      <c r="M73" s="225">
        <v>0</v>
      </c>
      <c r="N73" s="1969"/>
      <c r="O73" s="2158">
        <f t="shared" si="2"/>
        <v>128060</v>
      </c>
      <c r="P73" s="2097">
        <v>11322</v>
      </c>
      <c r="Q73" s="2097">
        <v>22265</v>
      </c>
      <c r="R73" s="2097">
        <v>0</v>
      </c>
      <c r="S73" s="1969"/>
      <c r="T73" s="921"/>
      <c r="U73" s="2002"/>
      <c r="V73" s="206">
        <f t="shared" si="3"/>
        <v>33587</v>
      </c>
    </row>
    <row r="74" spans="1:22">
      <c r="A74" s="1340">
        <v>1999.05</v>
      </c>
      <c r="B74" s="260">
        <v>58</v>
      </c>
      <c r="C74" s="2097">
        <v>39</v>
      </c>
      <c r="D74" s="2156"/>
      <c r="E74" s="2097">
        <v>3972</v>
      </c>
      <c r="F74" s="260">
        <v>0</v>
      </c>
      <c r="G74" s="3153"/>
      <c r="H74" s="196">
        <f t="shared" ref="H74:H137" si="4">F74+G74</f>
        <v>0</v>
      </c>
      <c r="I74" s="260">
        <v>6492</v>
      </c>
      <c r="J74" s="2157"/>
      <c r="K74" s="263">
        <f t="shared" ref="K74:K137" si="5">I74+J74</f>
        <v>6492</v>
      </c>
      <c r="L74" s="1313">
        <v>138531</v>
      </c>
      <c r="M74" s="225">
        <v>0</v>
      </c>
      <c r="N74" s="1969"/>
      <c r="O74" s="2158">
        <f t="shared" si="2"/>
        <v>138531</v>
      </c>
      <c r="P74" s="2097">
        <v>11617</v>
      </c>
      <c r="Q74" s="2097">
        <v>22232</v>
      </c>
      <c r="R74" s="2097">
        <v>0</v>
      </c>
      <c r="S74" s="1969"/>
      <c r="T74" s="921"/>
      <c r="U74" s="2002"/>
      <c r="V74" s="206">
        <f t="shared" si="3"/>
        <v>33849</v>
      </c>
    </row>
    <row r="75" spans="1:22">
      <c r="A75" s="1340">
        <v>1999.06</v>
      </c>
      <c r="B75" s="260">
        <v>79</v>
      </c>
      <c r="C75" s="2097">
        <v>38</v>
      </c>
      <c r="D75" s="2156"/>
      <c r="E75" s="2097">
        <v>7908</v>
      </c>
      <c r="F75" s="260">
        <v>0</v>
      </c>
      <c r="G75" s="3153"/>
      <c r="H75" s="196">
        <f t="shared" si="4"/>
        <v>0</v>
      </c>
      <c r="I75" s="260">
        <v>20599</v>
      </c>
      <c r="J75" s="2157"/>
      <c r="K75" s="263">
        <f t="shared" si="5"/>
        <v>20599</v>
      </c>
      <c r="L75" s="1313">
        <v>119270</v>
      </c>
      <c r="M75" s="225">
        <v>0</v>
      </c>
      <c r="N75" s="1969"/>
      <c r="O75" s="2158">
        <f t="shared" si="2"/>
        <v>119270</v>
      </c>
      <c r="P75" s="2097">
        <v>11381</v>
      </c>
      <c r="Q75" s="2097">
        <v>21923</v>
      </c>
      <c r="R75" s="2097">
        <v>0</v>
      </c>
      <c r="S75" s="1969"/>
      <c r="T75" s="921"/>
      <c r="U75" s="2002"/>
      <c r="V75" s="206">
        <f t="shared" si="3"/>
        <v>33304</v>
      </c>
    </row>
    <row r="76" spans="1:22">
      <c r="A76" s="1340">
        <v>1999.07</v>
      </c>
      <c r="B76" s="260">
        <v>88</v>
      </c>
      <c r="C76" s="2097">
        <v>30</v>
      </c>
      <c r="D76" s="2156"/>
      <c r="E76" s="2097">
        <v>10029</v>
      </c>
      <c r="F76" s="260">
        <v>0</v>
      </c>
      <c r="G76" s="3153"/>
      <c r="H76" s="196">
        <f t="shared" si="4"/>
        <v>0</v>
      </c>
      <c r="I76" s="260">
        <v>27049</v>
      </c>
      <c r="J76" s="2157"/>
      <c r="K76" s="263">
        <f t="shared" si="5"/>
        <v>27049</v>
      </c>
      <c r="L76" s="1313">
        <v>111826</v>
      </c>
      <c r="M76" s="225">
        <v>0</v>
      </c>
      <c r="N76" s="1969"/>
      <c r="O76" s="2158">
        <f t="shared" ref="O76:O139" si="6">L76+M76+N76</f>
        <v>111826</v>
      </c>
      <c r="P76" s="2097">
        <v>12464</v>
      </c>
      <c r="Q76" s="2097">
        <v>23778</v>
      </c>
      <c r="R76" s="2097">
        <v>0</v>
      </c>
      <c r="S76" s="1969"/>
      <c r="T76" s="921"/>
      <c r="U76" s="2002"/>
      <c r="V76" s="206">
        <f t="shared" ref="V76:V139" si="7">SUM(P76:U76)</f>
        <v>36242</v>
      </c>
    </row>
    <row r="77" spans="1:22">
      <c r="A77" s="1340">
        <v>1999.08</v>
      </c>
      <c r="B77" s="260">
        <v>36</v>
      </c>
      <c r="C77" s="2097">
        <v>38</v>
      </c>
      <c r="D77" s="2156"/>
      <c r="E77" s="2097">
        <v>4483</v>
      </c>
      <c r="F77" s="260">
        <v>0</v>
      </c>
      <c r="G77" s="3153"/>
      <c r="H77" s="196">
        <f t="shared" si="4"/>
        <v>0</v>
      </c>
      <c r="I77" s="260">
        <v>16768</v>
      </c>
      <c r="J77" s="2157"/>
      <c r="K77" s="263">
        <f t="shared" si="5"/>
        <v>16768</v>
      </c>
      <c r="L77" s="1313">
        <v>115430</v>
      </c>
      <c r="M77" s="225">
        <v>0</v>
      </c>
      <c r="N77" s="1969"/>
      <c r="O77" s="2158">
        <f t="shared" si="6"/>
        <v>115430</v>
      </c>
      <c r="P77" s="2097">
        <v>12383</v>
      </c>
      <c r="Q77" s="2097">
        <v>23326</v>
      </c>
      <c r="R77" s="2097">
        <v>0</v>
      </c>
      <c r="S77" s="1969"/>
      <c r="T77" s="921"/>
      <c r="U77" s="2002"/>
      <c r="V77" s="206">
        <f t="shared" si="7"/>
        <v>35709</v>
      </c>
    </row>
    <row r="78" spans="1:22">
      <c r="A78" s="1340">
        <v>1999.09</v>
      </c>
      <c r="B78" s="260">
        <v>203</v>
      </c>
      <c r="C78" s="2097">
        <v>42</v>
      </c>
      <c r="D78" s="2156"/>
      <c r="E78" s="2097">
        <v>666</v>
      </c>
      <c r="F78" s="260">
        <v>0</v>
      </c>
      <c r="G78" s="3153"/>
      <c r="H78" s="196">
        <f t="shared" si="4"/>
        <v>0</v>
      </c>
      <c r="I78" s="260">
        <v>6599</v>
      </c>
      <c r="J78" s="2157"/>
      <c r="K78" s="263">
        <f t="shared" si="5"/>
        <v>6599</v>
      </c>
      <c r="L78" s="1313">
        <v>112814</v>
      </c>
      <c r="M78" s="225">
        <v>0</v>
      </c>
      <c r="N78" s="1969"/>
      <c r="O78" s="2158">
        <f t="shared" si="6"/>
        <v>112814</v>
      </c>
      <c r="P78" s="2097">
        <v>11523</v>
      </c>
      <c r="Q78" s="2097">
        <v>21996</v>
      </c>
      <c r="R78" s="2097">
        <v>0</v>
      </c>
      <c r="S78" s="1969"/>
      <c r="T78" s="921"/>
      <c r="U78" s="2002"/>
      <c r="V78" s="206">
        <f t="shared" si="7"/>
        <v>33519</v>
      </c>
    </row>
    <row r="79" spans="1:22">
      <c r="A79" s="1340">
        <v>1999.1</v>
      </c>
      <c r="B79" s="260">
        <v>119</v>
      </c>
      <c r="C79" s="2097">
        <v>34</v>
      </c>
      <c r="D79" s="2156"/>
      <c r="E79" s="2097">
        <v>465</v>
      </c>
      <c r="F79" s="260">
        <v>0</v>
      </c>
      <c r="G79" s="3153"/>
      <c r="H79" s="196">
        <f t="shared" si="4"/>
        <v>0</v>
      </c>
      <c r="I79" s="260">
        <v>5505</v>
      </c>
      <c r="J79" s="2157"/>
      <c r="K79" s="263">
        <f t="shared" si="5"/>
        <v>5505</v>
      </c>
      <c r="L79" s="1313">
        <v>111292</v>
      </c>
      <c r="M79" s="225">
        <v>0</v>
      </c>
      <c r="N79" s="1969"/>
      <c r="O79" s="2158">
        <f t="shared" si="6"/>
        <v>111292</v>
      </c>
      <c r="P79" s="2097">
        <v>12162</v>
      </c>
      <c r="Q79" s="2097">
        <v>23388</v>
      </c>
      <c r="R79" s="2097">
        <v>0</v>
      </c>
      <c r="S79" s="1969"/>
      <c r="T79" s="921"/>
      <c r="U79" s="2002"/>
      <c r="V79" s="206">
        <f t="shared" si="7"/>
        <v>35550</v>
      </c>
    </row>
    <row r="80" spans="1:22">
      <c r="A80" s="1340">
        <v>1999.11</v>
      </c>
      <c r="B80" s="260">
        <v>89</v>
      </c>
      <c r="C80" s="2097">
        <v>41</v>
      </c>
      <c r="D80" s="2156"/>
      <c r="E80" s="2097">
        <v>421</v>
      </c>
      <c r="F80" s="260">
        <v>129</v>
      </c>
      <c r="G80" s="3153"/>
      <c r="H80" s="196">
        <f t="shared" si="4"/>
        <v>129</v>
      </c>
      <c r="I80" s="260">
        <v>5058</v>
      </c>
      <c r="J80" s="2157"/>
      <c r="K80" s="263">
        <f t="shared" si="5"/>
        <v>5058</v>
      </c>
      <c r="L80" s="1313">
        <v>131910</v>
      </c>
      <c r="M80" s="225">
        <v>0</v>
      </c>
      <c r="N80" s="1969"/>
      <c r="O80" s="2158">
        <f t="shared" si="6"/>
        <v>131910</v>
      </c>
      <c r="P80" s="2097">
        <v>12079</v>
      </c>
      <c r="Q80" s="2097">
        <v>23234</v>
      </c>
      <c r="R80" s="2097">
        <v>0</v>
      </c>
      <c r="S80" s="1969"/>
      <c r="T80" s="921"/>
      <c r="U80" s="2002"/>
      <c r="V80" s="206">
        <f t="shared" si="7"/>
        <v>35313</v>
      </c>
    </row>
    <row r="81" spans="1:22">
      <c r="A81" s="1340">
        <v>1999.12</v>
      </c>
      <c r="B81" s="260">
        <v>114</v>
      </c>
      <c r="C81" s="2097">
        <v>51</v>
      </c>
      <c r="D81" s="2156"/>
      <c r="E81" s="2097">
        <v>458</v>
      </c>
      <c r="F81" s="260">
        <v>0</v>
      </c>
      <c r="G81" s="3153"/>
      <c r="H81" s="196">
        <f t="shared" si="4"/>
        <v>0</v>
      </c>
      <c r="I81" s="260">
        <v>4113</v>
      </c>
      <c r="J81" s="2157"/>
      <c r="K81" s="263">
        <f t="shared" si="5"/>
        <v>4113</v>
      </c>
      <c r="L81" s="1313">
        <v>117425</v>
      </c>
      <c r="M81" s="225">
        <v>0</v>
      </c>
      <c r="N81" s="1969"/>
      <c r="O81" s="2158">
        <f t="shared" si="6"/>
        <v>117425</v>
      </c>
      <c r="P81" s="2097">
        <v>13235</v>
      </c>
      <c r="Q81" s="2097">
        <v>25611</v>
      </c>
      <c r="R81" s="2097">
        <v>0</v>
      </c>
      <c r="S81" s="1969"/>
      <c r="T81" s="921"/>
      <c r="U81" s="2002"/>
      <c r="V81" s="206">
        <f t="shared" si="7"/>
        <v>38846</v>
      </c>
    </row>
    <row r="82" spans="1:22">
      <c r="A82" s="1340">
        <v>2000.01</v>
      </c>
      <c r="B82" s="260">
        <v>651</v>
      </c>
      <c r="C82" s="2097">
        <v>112</v>
      </c>
      <c r="D82" s="2156"/>
      <c r="E82" s="2097">
        <v>513</v>
      </c>
      <c r="F82" s="260">
        <v>0</v>
      </c>
      <c r="G82" s="3153"/>
      <c r="H82" s="196">
        <f t="shared" si="4"/>
        <v>0</v>
      </c>
      <c r="I82" s="260">
        <v>4140</v>
      </c>
      <c r="J82" s="2157"/>
      <c r="K82" s="263">
        <f t="shared" si="5"/>
        <v>4140</v>
      </c>
      <c r="L82" s="1313">
        <v>100111</v>
      </c>
      <c r="M82" s="225">
        <v>0</v>
      </c>
      <c r="N82" s="1969"/>
      <c r="O82" s="2158">
        <f t="shared" si="6"/>
        <v>100111</v>
      </c>
      <c r="P82" s="2097">
        <v>9228</v>
      </c>
      <c r="Q82" s="2097">
        <v>24560</v>
      </c>
      <c r="R82" s="2097">
        <v>0</v>
      </c>
      <c r="S82" s="1969"/>
      <c r="T82" s="921"/>
      <c r="U82" s="2002"/>
      <c r="V82" s="206">
        <f t="shared" si="7"/>
        <v>33788</v>
      </c>
    </row>
    <row r="83" spans="1:22">
      <c r="A83" s="1340">
        <v>2000.02</v>
      </c>
      <c r="B83" s="260">
        <v>394</v>
      </c>
      <c r="C83" s="2097">
        <v>123</v>
      </c>
      <c r="D83" s="2156"/>
      <c r="E83" s="2097">
        <v>547</v>
      </c>
      <c r="F83" s="260">
        <v>0</v>
      </c>
      <c r="G83" s="3153"/>
      <c r="H83" s="196">
        <f t="shared" si="4"/>
        <v>0</v>
      </c>
      <c r="I83" s="260">
        <v>4015</v>
      </c>
      <c r="J83" s="2157"/>
      <c r="K83" s="263">
        <f t="shared" si="5"/>
        <v>4015</v>
      </c>
      <c r="L83" s="1313">
        <v>95707</v>
      </c>
      <c r="M83" s="225">
        <v>0</v>
      </c>
      <c r="N83" s="1969"/>
      <c r="O83" s="2158">
        <f t="shared" si="6"/>
        <v>95707</v>
      </c>
      <c r="P83" s="2097">
        <v>8777</v>
      </c>
      <c r="Q83" s="2097">
        <v>23092</v>
      </c>
      <c r="R83" s="2097">
        <v>0</v>
      </c>
      <c r="S83" s="1969"/>
      <c r="T83" s="921"/>
      <c r="U83" s="2002"/>
      <c r="V83" s="206">
        <f t="shared" si="7"/>
        <v>31869</v>
      </c>
    </row>
    <row r="84" spans="1:22">
      <c r="A84" s="1340">
        <v>2000.03</v>
      </c>
      <c r="B84" s="260">
        <v>415</v>
      </c>
      <c r="C84" s="2097">
        <v>129</v>
      </c>
      <c r="D84" s="2156"/>
      <c r="E84" s="2097">
        <v>811</v>
      </c>
      <c r="F84" s="260">
        <v>0</v>
      </c>
      <c r="G84" s="3153"/>
      <c r="H84" s="196">
        <f t="shared" si="4"/>
        <v>0</v>
      </c>
      <c r="I84" s="260">
        <v>4244</v>
      </c>
      <c r="J84" s="2157"/>
      <c r="K84" s="263">
        <f t="shared" si="5"/>
        <v>4244</v>
      </c>
      <c r="L84" s="1313">
        <v>123496</v>
      </c>
      <c r="M84" s="225">
        <v>0</v>
      </c>
      <c r="N84" s="1969"/>
      <c r="O84" s="2158">
        <f t="shared" si="6"/>
        <v>123496</v>
      </c>
      <c r="P84" s="2097">
        <v>9938</v>
      </c>
      <c r="Q84" s="2097">
        <v>25506</v>
      </c>
      <c r="R84" s="2097">
        <v>0</v>
      </c>
      <c r="S84" s="1969"/>
      <c r="T84" s="921"/>
      <c r="U84" s="2002"/>
      <c r="V84" s="206">
        <f t="shared" si="7"/>
        <v>35444</v>
      </c>
    </row>
    <row r="85" spans="1:22">
      <c r="A85" s="1340">
        <v>2000.04</v>
      </c>
      <c r="B85" s="260">
        <v>190</v>
      </c>
      <c r="C85" s="2097">
        <v>40</v>
      </c>
      <c r="D85" s="2156"/>
      <c r="E85" s="2097">
        <v>1202</v>
      </c>
      <c r="F85" s="260">
        <v>0</v>
      </c>
      <c r="G85" s="3153"/>
      <c r="H85" s="196">
        <f t="shared" si="4"/>
        <v>0</v>
      </c>
      <c r="I85" s="260">
        <v>5781</v>
      </c>
      <c r="J85" s="2157"/>
      <c r="K85" s="263">
        <f t="shared" si="5"/>
        <v>5781</v>
      </c>
      <c r="L85" s="1313">
        <v>112325</v>
      </c>
      <c r="M85" s="225">
        <v>0</v>
      </c>
      <c r="N85" s="1969"/>
      <c r="O85" s="2158">
        <f t="shared" si="6"/>
        <v>112325</v>
      </c>
      <c r="P85" s="2097">
        <v>9346</v>
      </c>
      <c r="Q85" s="2097">
        <v>24080</v>
      </c>
      <c r="R85" s="2097">
        <v>0</v>
      </c>
      <c r="S85" s="1969"/>
      <c r="T85" s="921"/>
      <c r="U85" s="2002"/>
      <c r="V85" s="206">
        <f t="shared" si="7"/>
        <v>33426</v>
      </c>
    </row>
    <row r="86" spans="1:22">
      <c r="A86" s="1340">
        <v>2000.05</v>
      </c>
      <c r="B86" s="260">
        <v>326</v>
      </c>
      <c r="C86" s="2097">
        <v>40</v>
      </c>
      <c r="D86" s="2156"/>
      <c r="E86" s="2097">
        <v>5751</v>
      </c>
      <c r="F86" s="260">
        <v>0</v>
      </c>
      <c r="G86" s="3153"/>
      <c r="H86" s="196">
        <f t="shared" si="4"/>
        <v>0</v>
      </c>
      <c r="I86" s="260">
        <v>15135</v>
      </c>
      <c r="J86" s="2157"/>
      <c r="K86" s="263">
        <f t="shared" si="5"/>
        <v>15135</v>
      </c>
      <c r="L86" s="1313">
        <v>124787</v>
      </c>
      <c r="M86" s="225">
        <v>0</v>
      </c>
      <c r="N86" s="1969"/>
      <c r="O86" s="2158">
        <f t="shared" si="6"/>
        <v>124787</v>
      </c>
      <c r="P86" s="2097">
        <v>9104</v>
      </c>
      <c r="Q86" s="2097">
        <v>23677</v>
      </c>
      <c r="R86" s="2097">
        <v>0</v>
      </c>
      <c r="S86" s="1969"/>
      <c r="T86" s="921"/>
      <c r="U86" s="2002"/>
      <c r="V86" s="206">
        <f t="shared" si="7"/>
        <v>32781</v>
      </c>
    </row>
    <row r="87" spans="1:22">
      <c r="A87" s="1340">
        <v>2000.06</v>
      </c>
      <c r="B87" s="260">
        <v>470</v>
      </c>
      <c r="C87" s="2097">
        <v>49</v>
      </c>
      <c r="D87" s="2156"/>
      <c r="E87" s="2097">
        <v>7177</v>
      </c>
      <c r="F87" s="260">
        <v>0</v>
      </c>
      <c r="G87" s="3153"/>
      <c r="H87" s="196">
        <f t="shared" si="4"/>
        <v>0</v>
      </c>
      <c r="I87" s="260">
        <v>9971</v>
      </c>
      <c r="J87" s="2157"/>
      <c r="K87" s="263">
        <f t="shared" si="5"/>
        <v>9971</v>
      </c>
      <c r="L87" s="1313">
        <v>122726</v>
      </c>
      <c r="M87" s="225">
        <v>0</v>
      </c>
      <c r="N87" s="1969"/>
      <c r="O87" s="2158">
        <f t="shared" si="6"/>
        <v>122726</v>
      </c>
      <c r="P87" s="2097">
        <v>9171</v>
      </c>
      <c r="Q87" s="2097">
        <v>23190</v>
      </c>
      <c r="R87" s="2097">
        <v>0</v>
      </c>
      <c r="S87" s="1969"/>
      <c r="T87" s="921"/>
      <c r="U87" s="2002"/>
      <c r="V87" s="206">
        <f t="shared" si="7"/>
        <v>32361</v>
      </c>
    </row>
    <row r="88" spans="1:22">
      <c r="A88" s="1340">
        <v>2000.07</v>
      </c>
      <c r="B88" s="260">
        <v>655</v>
      </c>
      <c r="C88" s="2097">
        <v>36</v>
      </c>
      <c r="D88" s="2156"/>
      <c r="E88" s="2097">
        <v>9357</v>
      </c>
      <c r="F88" s="260">
        <v>1</v>
      </c>
      <c r="G88" s="3153"/>
      <c r="H88" s="196">
        <f t="shared" si="4"/>
        <v>1</v>
      </c>
      <c r="I88" s="260">
        <v>26134</v>
      </c>
      <c r="J88" s="2157"/>
      <c r="K88" s="263">
        <f t="shared" si="5"/>
        <v>26134</v>
      </c>
      <c r="L88" s="1313">
        <v>110944</v>
      </c>
      <c r="M88" s="225">
        <v>0</v>
      </c>
      <c r="N88" s="1969"/>
      <c r="O88" s="2158">
        <f t="shared" si="6"/>
        <v>110944</v>
      </c>
      <c r="P88" s="2097">
        <v>9149</v>
      </c>
      <c r="Q88" s="2097">
        <v>23901</v>
      </c>
      <c r="R88" s="2097">
        <v>0</v>
      </c>
      <c r="S88" s="1969"/>
      <c r="T88" s="921"/>
      <c r="U88" s="2002"/>
      <c r="V88" s="206">
        <f t="shared" si="7"/>
        <v>33050</v>
      </c>
    </row>
    <row r="89" spans="1:22">
      <c r="A89" s="1340">
        <v>2000.08</v>
      </c>
      <c r="B89" s="260">
        <v>293</v>
      </c>
      <c r="C89" s="2097">
        <v>35</v>
      </c>
      <c r="D89" s="2156"/>
      <c r="E89" s="2097">
        <v>4081</v>
      </c>
      <c r="F89" s="260">
        <v>5</v>
      </c>
      <c r="G89" s="3153"/>
      <c r="H89" s="196">
        <f t="shared" si="4"/>
        <v>5</v>
      </c>
      <c r="I89" s="260">
        <v>6475</v>
      </c>
      <c r="J89" s="2157"/>
      <c r="K89" s="263">
        <f t="shared" si="5"/>
        <v>6475</v>
      </c>
      <c r="L89" s="1313">
        <v>109614</v>
      </c>
      <c r="M89" s="225">
        <v>0</v>
      </c>
      <c r="N89" s="1969"/>
      <c r="O89" s="2158">
        <f t="shared" si="6"/>
        <v>109614</v>
      </c>
      <c r="P89" s="2097">
        <v>8830</v>
      </c>
      <c r="Q89" s="2097">
        <v>23721</v>
      </c>
      <c r="R89" s="2097">
        <v>0</v>
      </c>
      <c r="S89" s="1969"/>
      <c r="T89" s="921"/>
      <c r="U89" s="2002"/>
      <c r="V89" s="206">
        <f t="shared" si="7"/>
        <v>32551</v>
      </c>
    </row>
    <row r="90" spans="1:22">
      <c r="A90" s="1340">
        <v>2000.09</v>
      </c>
      <c r="B90" s="260">
        <v>302</v>
      </c>
      <c r="C90" s="2097">
        <v>50</v>
      </c>
      <c r="D90" s="2156"/>
      <c r="E90" s="2097">
        <v>1726</v>
      </c>
      <c r="F90" s="260">
        <v>18</v>
      </c>
      <c r="G90" s="3153"/>
      <c r="H90" s="196">
        <f t="shared" si="4"/>
        <v>18</v>
      </c>
      <c r="I90" s="260">
        <v>6168</v>
      </c>
      <c r="J90" s="2157"/>
      <c r="K90" s="263">
        <f t="shared" si="5"/>
        <v>6168</v>
      </c>
      <c r="L90" s="1313">
        <v>103789</v>
      </c>
      <c r="M90" s="225">
        <v>0</v>
      </c>
      <c r="N90" s="1969"/>
      <c r="O90" s="2158">
        <f t="shared" si="6"/>
        <v>103789</v>
      </c>
      <c r="P90" s="2097">
        <v>8464</v>
      </c>
      <c r="Q90" s="2097">
        <v>22942</v>
      </c>
      <c r="R90" s="2097">
        <v>0</v>
      </c>
      <c r="S90" s="1969"/>
      <c r="T90" s="921"/>
      <c r="U90" s="2002"/>
      <c r="V90" s="206">
        <f t="shared" si="7"/>
        <v>31406</v>
      </c>
    </row>
    <row r="91" spans="1:22">
      <c r="A91" s="1340">
        <v>2000.1</v>
      </c>
      <c r="B91" s="260">
        <v>411</v>
      </c>
      <c r="C91" s="2097">
        <v>119</v>
      </c>
      <c r="D91" s="2156"/>
      <c r="E91" s="2097">
        <v>343</v>
      </c>
      <c r="F91" s="260">
        <v>26</v>
      </c>
      <c r="G91" s="3153"/>
      <c r="H91" s="196">
        <f t="shared" si="4"/>
        <v>26</v>
      </c>
      <c r="I91" s="260">
        <v>4604</v>
      </c>
      <c r="J91" s="2157"/>
      <c r="K91" s="263">
        <f t="shared" si="5"/>
        <v>4604</v>
      </c>
      <c r="L91" s="1313">
        <v>94366</v>
      </c>
      <c r="M91" s="225">
        <v>0</v>
      </c>
      <c r="N91" s="1969"/>
      <c r="O91" s="2158">
        <f t="shared" si="6"/>
        <v>94366</v>
      </c>
      <c r="P91" s="2097">
        <v>7836</v>
      </c>
      <c r="Q91" s="2097">
        <v>21336</v>
      </c>
      <c r="R91" s="2097">
        <v>0</v>
      </c>
      <c r="S91" s="1969"/>
      <c r="T91" s="921"/>
      <c r="U91" s="2002"/>
      <c r="V91" s="206">
        <f t="shared" si="7"/>
        <v>29172</v>
      </c>
    </row>
    <row r="92" spans="1:22">
      <c r="A92" s="1340">
        <v>2000.11</v>
      </c>
      <c r="B92" s="260">
        <v>321</v>
      </c>
      <c r="C92" s="2097">
        <v>149</v>
      </c>
      <c r="D92" s="2156"/>
      <c r="E92" s="2097">
        <v>421</v>
      </c>
      <c r="F92" s="260">
        <v>56</v>
      </c>
      <c r="G92" s="3153"/>
      <c r="H92" s="196">
        <f t="shared" si="4"/>
        <v>56</v>
      </c>
      <c r="I92" s="260">
        <v>5615</v>
      </c>
      <c r="J92" s="2157"/>
      <c r="K92" s="263">
        <f t="shared" si="5"/>
        <v>5615</v>
      </c>
      <c r="L92" s="1313">
        <v>108225</v>
      </c>
      <c r="M92" s="225">
        <v>0</v>
      </c>
      <c r="N92" s="1969"/>
      <c r="O92" s="2158">
        <f t="shared" si="6"/>
        <v>108225</v>
      </c>
      <c r="P92" s="2097">
        <v>8022</v>
      </c>
      <c r="Q92" s="2097">
        <v>21138</v>
      </c>
      <c r="R92" s="2097">
        <v>0</v>
      </c>
      <c r="S92" s="1969"/>
      <c r="T92" s="921"/>
      <c r="U92" s="2002"/>
      <c r="V92" s="206">
        <f t="shared" si="7"/>
        <v>29160</v>
      </c>
    </row>
    <row r="93" spans="1:22">
      <c r="A93" s="1340">
        <v>2000.12</v>
      </c>
      <c r="B93" s="260">
        <v>312</v>
      </c>
      <c r="C93" s="2097">
        <v>71</v>
      </c>
      <c r="D93" s="2156"/>
      <c r="E93" s="2097">
        <v>337</v>
      </c>
      <c r="F93" s="260">
        <v>0</v>
      </c>
      <c r="G93" s="3153"/>
      <c r="H93" s="196">
        <f t="shared" si="4"/>
        <v>0</v>
      </c>
      <c r="I93" s="260">
        <v>4043</v>
      </c>
      <c r="J93" s="2157"/>
      <c r="K93" s="263">
        <f t="shared" si="5"/>
        <v>4043</v>
      </c>
      <c r="L93" s="1313">
        <v>117444</v>
      </c>
      <c r="M93" s="225">
        <v>0</v>
      </c>
      <c r="N93" s="1969"/>
      <c r="O93" s="2158">
        <f t="shared" si="6"/>
        <v>117444</v>
      </c>
      <c r="P93" s="2097">
        <v>8748</v>
      </c>
      <c r="Q93" s="2097">
        <v>25705</v>
      </c>
      <c r="R93" s="2097">
        <v>0</v>
      </c>
      <c r="S93" s="1969"/>
      <c r="T93" s="921"/>
      <c r="U93" s="2002"/>
      <c r="V93" s="206">
        <f t="shared" si="7"/>
        <v>34453</v>
      </c>
    </row>
    <row r="94" spans="1:22">
      <c r="A94" s="1340">
        <v>2001.01</v>
      </c>
      <c r="B94" s="260">
        <v>231</v>
      </c>
      <c r="C94" s="2097">
        <v>117</v>
      </c>
      <c r="D94" s="2156"/>
      <c r="E94" s="2097">
        <v>359</v>
      </c>
      <c r="F94" s="260">
        <v>5.9</v>
      </c>
      <c r="G94" s="3153"/>
      <c r="H94" s="196">
        <f t="shared" si="4"/>
        <v>5.9</v>
      </c>
      <c r="I94" s="260">
        <v>4270</v>
      </c>
      <c r="J94" s="2157"/>
      <c r="K94" s="263">
        <f t="shared" si="5"/>
        <v>4270</v>
      </c>
      <c r="L94" s="1313">
        <v>93293.1</v>
      </c>
      <c r="M94" s="225">
        <v>15212</v>
      </c>
      <c r="N94" s="1969"/>
      <c r="O94" s="2158">
        <f t="shared" si="6"/>
        <v>108505.1</v>
      </c>
      <c r="P94" s="2097">
        <v>8839.1</v>
      </c>
      <c r="Q94" s="2097">
        <v>21638.9</v>
      </c>
      <c r="R94" s="2097">
        <v>5207.1000000000004</v>
      </c>
      <c r="S94" s="1969"/>
      <c r="T94" s="921"/>
      <c r="U94" s="2002"/>
      <c r="V94" s="206">
        <f t="shared" si="7"/>
        <v>35685.1</v>
      </c>
    </row>
    <row r="95" spans="1:22">
      <c r="A95" s="1340">
        <v>2001.02</v>
      </c>
      <c r="B95" s="260">
        <v>736</v>
      </c>
      <c r="C95" s="2097">
        <v>279</v>
      </c>
      <c r="D95" s="2156"/>
      <c r="E95" s="2097">
        <v>447</v>
      </c>
      <c r="F95" s="260">
        <v>3</v>
      </c>
      <c r="G95" s="3153"/>
      <c r="H95" s="196">
        <f t="shared" si="4"/>
        <v>3</v>
      </c>
      <c r="I95" s="260">
        <v>5217</v>
      </c>
      <c r="J95" s="2157"/>
      <c r="K95" s="263">
        <f t="shared" si="5"/>
        <v>5217</v>
      </c>
      <c r="L95" s="1313">
        <v>87182.63</v>
      </c>
      <c r="M95" s="225">
        <v>16402</v>
      </c>
      <c r="N95" s="1969"/>
      <c r="O95" s="2158">
        <f t="shared" si="6"/>
        <v>103584.63</v>
      </c>
      <c r="P95" s="2097">
        <v>8593</v>
      </c>
      <c r="Q95" s="2097">
        <v>20734</v>
      </c>
      <c r="R95" s="2097">
        <v>4863</v>
      </c>
      <c r="S95" s="1969"/>
      <c r="T95" s="921"/>
      <c r="U95" s="2002"/>
      <c r="V95" s="206">
        <f t="shared" si="7"/>
        <v>34190</v>
      </c>
    </row>
    <row r="96" spans="1:22">
      <c r="A96" s="1340">
        <v>2001.03</v>
      </c>
      <c r="B96" s="260">
        <v>591</v>
      </c>
      <c r="C96" s="2097">
        <v>292</v>
      </c>
      <c r="D96" s="2156"/>
      <c r="E96" s="2097">
        <v>782</v>
      </c>
      <c r="F96" s="260">
        <v>6</v>
      </c>
      <c r="G96" s="3153"/>
      <c r="H96" s="196">
        <f t="shared" si="4"/>
        <v>6</v>
      </c>
      <c r="I96" s="260">
        <v>3745</v>
      </c>
      <c r="J96" s="2157"/>
      <c r="K96" s="263">
        <f t="shared" si="5"/>
        <v>3745</v>
      </c>
      <c r="L96" s="1313">
        <v>109611</v>
      </c>
      <c r="M96" s="225">
        <v>18968</v>
      </c>
      <c r="N96" s="1969"/>
      <c r="O96" s="2158">
        <f t="shared" si="6"/>
        <v>128579</v>
      </c>
      <c r="P96" s="2097">
        <v>8969</v>
      </c>
      <c r="Q96" s="2097">
        <v>21493</v>
      </c>
      <c r="R96" s="2097">
        <v>5091</v>
      </c>
      <c r="S96" s="1969"/>
      <c r="T96" s="921"/>
      <c r="U96" s="2002"/>
      <c r="V96" s="206">
        <f t="shared" si="7"/>
        <v>35553</v>
      </c>
    </row>
    <row r="97" spans="1:22">
      <c r="A97" s="1340">
        <v>2001.04</v>
      </c>
      <c r="B97" s="260">
        <v>186</v>
      </c>
      <c r="C97" s="2097">
        <v>62</v>
      </c>
      <c r="D97" s="2156"/>
      <c r="E97" s="2097">
        <v>1724</v>
      </c>
      <c r="F97" s="260">
        <v>3208</v>
      </c>
      <c r="G97" s="3153"/>
      <c r="H97" s="196">
        <f t="shared" si="4"/>
        <v>3208</v>
      </c>
      <c r="I97" s="260">
        <v>5376</v>
      </c>
      <c r="J97" s="2157"/>
      <c r="K97" s="263">
        <f t="shared" si="5"/>
        <v>5376</v>
      </c>
      <c r="L97" s="1313">
        <v>123399.12</v>
      </c>
      <c r="M97" s="225">
        <v>28022</v>
      </c>
      <c r="N97" s="1969"/>
      <c r="O97" s="2158">
        <f t="shared" si="6"/>
        <v>151421.12</v>
      </c>
      <c r="P97" s="2097">
        <v>8863</v>
      </c>
      <c r="Q97" s="2097">
        <v>21750</v>
      </c>
      <c r="R97" s="2097">
        <v>5493</v>
      </c>
      <c r="S97" s="1969"/>
      <c r="T97" s="921"/>
      <c r="U97" s="2002"/>
      <c r="V97" s="206">
        <f t="shared" si="7"/>
        <v>36106</v>
      </c>
    </row>
    <row r="98" spans="1:22">
      <c r="A98" s="1340">
        <v>2001.05</v>
      </c>
      <c r="B98" s="260">
        <v>576</v>
      </c>
      <c r="C98" s="2097">
        <v>41</v>
      </c>
      <c r="D98" s="2156"/>
      <c r="E98" s="2097">
        <v>5110</v>
      </c>
      <c r="F98" s="260">
        <v>3125</v>
      </c>
      <c r="G98" s="3153"/>
      <c r="H98" s="196">
        <f t="shared" si="4"/>
        <v>3125</v>
      </c>
      <c r="I98" s="260">
        <v>10986</v>
      </c>
      <c r="J98" s="2157"/>
      <c r="K98" s="263">
        <f t="shared" si="5"/>
        <v>10986</v>
      </c>
      <c r="L98" s="1313">
        <v>122424.7</v>
      </c>
      <c r="M98" s="225">
        <v>17197</v>
      </c>
      <c r="N98" s="1969"/>
      <c r="O98" s="2158">
        <f t="shared" si="6"/>
        <v>139621.70000000001</v>
      </c>
      <c r="P98" s="2097">
        <v>8291</v>
      </c>
      <c r="Q98" s="2097">
        <v>20208</v>
      </c>
      <c r="R98" s="2097">
        <v>4750</v>
      </c>
      <c r="S98" s="1969"/>
      <c r="T98" s="921"/>
      <c r="U98" s="2002"/>
      <c r="V98" s="206">
        <f t="shared" si="7"/>
        <v>33249</v>
      </c>
    </row>
    <row r="99" spans="1:22">
      <c r="A99" s="1340">
        <v>2001.06</v>
      </c>
      <c r="B99" s="260">
        <v>555</v>
      </c>
      <c r="C99" s="2097">
        <v>31</v>
      </c>
      <c r="D99" s="2156"/>
      <c r="E99" s="2097">
        <v>4990</v>
      </c>
      <c r="F99" s="260">
        <v>2983</v>
      </c>
      <c r="G99" s="3153"/>
      <c r="H99" s="196">
        <f t="shared" si="4"/>
        <v>2983</v>
      </c>
      <c r="I99" s="260">
        <v>9857</v>
      </c>
      <c r="J99" s="2157"/>
      <c r="K99" s="263">
        <f t="shared" si="5"/>
        <v>9857</v>
      </c>
      <c r="L99" s="1313">
        <v>100372.8</v>
      </c>
      <c r="M99" s="225">
        <v>21102</v>
      </c>
      <c r="N99" s="1969"/>
      <c r="O99" s="2158">
        <f t="shared" si="6"/>
        <v>121474.8</v>
      </c>
      <c r="P99" s="2097">
        <v>9942</v>
      </c>
      <c r="Q99" s="2097">
        <v>21826</v>
      </c>
      <c r="R99" s="2097">
        <v>4987</v>
      </c>
      <c r="S99" s="1969"/>
      <c r="T99" s="921"/>
      <c r="U99" s="2002"/>
      <c r="V99" s="206">
        <f t="shared" si="7"/>
        <v>36755</v>
      </c>
    </row>
    <row r="100" spans="1:22">
      <c r="A100" s="1340">
        <v>2001.07</v>
      </c>
      <c r="B100" s="260">
        <v>461</v>
      </c>
      <c r="C100" s="2097">
        <v>32</v>
      </c>
      <c r="D100" s="2156"/>
      <c r="E100" s="2097">
        <v>5893</v>
      </c>
      <c r="F100" s="260">
        <v>3591</v>
      </c>
      <c r="G100" s="3153"/>
      <c r="H100" s="196">
        <f t="shared" si="4"/>
        <v>3591</v>
      </c>
      <c r="I100" s="260">
        <v>7313</v>
      </c>
      <c r="J100" s="2157"/>
      <c r="K100" s="263">
        <f t="shared" si="5"/>
        <v>7313</v>
      </c>
      <c r="L100" s="1313">
        <v>101210.57</v>
      </c>
      <c r="M100" s="225">
        <v>19287</v>
      </c>
      <c r="N100" s="1969"/>
      <c r="O100" s="2158">
        <f t="shared" si="6"/>
        <v>120497.57</v>
      </c>
      <c r="P100" s="2097">
        <v>10215</v>
      </c>
      <c r="Q100" s="2097">
        <v>24802</v>
      </c>
      <c r="R100" s="2097">
        <v>5257</v>
      </c>
      <c r="S100" s="1969"/>
      <c r="T100" s="921"/>
      <c r="U100" s="2002"/>
      <c r="V100" s="206">
        <f t="shared" si="7"/>
        <v>40274</v>
      </c>
    </row>
    <row r="101" spans="1:22">
      <c r="A101" s="1340">
        <v>2001.08</v>
      </c>
      <c r="B101" s="260">
        <v>372</v>
      </c>
      <c r="C101" s="2097">
        <v>48</v>
      </c>
      <c r="D101" s="2156"/>
      <c r="E101" s="2097">
        <v>1851</v>
      </c>
      <c r="F101" s="260">
        <v>3501</v>
      </c>
      <c r="G101" s="3153"/>
      <c r="H101" s="196">
        <f t="shared" si="4"/>
        <v>3501</v>
      </c>
      <c r="I101" s="260">
        <v>6424</v>
      </c>
      <c r="J101" s="2157"/>
      <c r="K101" s="263">
        <f t="shared" si="5"/>
        <v>6424</v>
      </c>
      <c r="L101" s="1313">
        <v>101112.5</v>
      </c>
      <c r="M101" s="225">
        <v>14355</v>
      </c>
      <c r="N101" s="1969"/>
      <c r="O101" s="2158">
        <f t="shared" si="6"/>
        <v>115467.5</v>
      </c>
      <c r="P101" s="2097">
        <v>8244</v>
      </c>
      <c r="Q101" s="2097">
        <v>21581</v>
      </c>
      <c r="R101" s="2097">
        <v>5021</v>
      </c>
      <c r="S101" s="1969"/>
      <c r="T101" s="921"/>
      <c r="U101" s="2002"/>
      <c r="V101" s="206">
        <f t="shared" si="7"/>
        <v>34846</v>
      </c>
    </row>
    <row r="102" spans="1:22">
      <c r="A102" s="1340">
        <v>2001.09</v>
      </c>
      <c r="B102" s="260">
        <v>377</v>
      </c>
      <c r="C102" s="2097">
        <v>48</v>
      </c>
      <c r="D102" s="2156"/>
      <c r="E102" s="2097">
        <v>1545</v>
      </c>
      <c r="F102" s="260">
        <v>320</v>
      </c>
      <c r="G102" s="3153"/>
      <c r="H102" s="196">
        <f t="shared" si="4"/>
        <v>320</v>
      </c>
      <c r="I102" s="260">
        <v>1330</v>
      </c>
      <c r="J102" s="2157"/>
      <c r="K102" s="263">
        <f t="shared" si="5"/>
        <v>1330</v>
      </c>
      <c r="L102" s="1313">
        <v>91262</v>
      </c>
      <c r="M102" s="225">
        <v>14742</v>
      </c>
      <c r="N102" s="1969"/>
      <c r="O102" s="2158">
        <f t="shared" si="6"/>
        <v>106004</v>
      </c>
      <c r="P102" s="2097">
        <v>8467</v>
      </c>
      <c r="Q102" s="2097">
        <v>21668</v>
      </c>
      <c r="R102" s="2097">
        <v>4597</v>
      </c>
      <c r="S102" s="1969"/>
      <c r="T102" s="921"/>
      <c r="U102" s="2002"/>
      <c r="V102" s="206">
        <f t="shared" si="7"/>
        <v>34732</v>
      </c>
    </row>
    <row r="103" spans="1:22">
      <c r="A103" s="1340">
        <v>2001.1</v>
      </c>
      <c r="B103" s="260">
        <v>459</v>
      </c>
      <c r="C103" s="2097">
        <v>214</v>
      </c>
      <c r="D103" s="2156"/>
      <c r="E103" s="2097">
        <v>403</v>
      </c>
      <c r="F103" s="260">
        <v>7</v>
      </c>
      <c r="G103" s="3153"/>
      <c r="H103" s="196">
        <f t="shared" si="4"/>
        <v>7</v>
      </c>
      <c r="I103" s="260">
        <v>6587</v>
      </c>
      <c r="J103" s="2157"/>
      <c r="K103" s="263">
        <f t="shared" si="5"/>
        <v>6587</v>
      </c>
      <c r="L103" s="1313">
        <v>93241.600000000006</v>
      </c>
      <c r="M103" s="225">
        <v>16169</v>
      </c>
      <c r="N103" s="1969"/>
      <c r="O103" s="2158">
        <f t="shared" si="6"/>
        <v>109410.6</v>
      </c>
      <c r="P103" s="2097">
        <v>8767</v>
      </c>
      <c r="Q103" s="2097">
        <v>22620</v>
      </c>
      <c r="R103" s="2097">
        <v>5272</v>
      </c>
      <c r="S103" s="1969"/>
      <c r="T103" s="921"/>
      <c r="U103" s="2002"/>
      <c r="V103" s="206">
        <f t="shared" si="7"/>
        <v>36659</v>
      </c>
    </row>
    <row r="104" spans="1:22">
      <c r="A104" s="1340">
        <v>2001.11</v>
      </c>
      <c r="B104" s="260">
        <v>254</v>
      </c>
      <c r="C104" s="2097">
        <v>157</v>
      </c>
      <c r="D104" s="2156"/>
      <c r="E104" s="2097">
        <v>243</v>
      </c>
      <c r="F104" s="260">
        <v>56</v>
      </c>
      <c r="G104" s="3153"/>
      <c r="H104" s="196">
        <f t="shared" si="4"/>
        <v>56</v>
      </c>
      <c r="I104" s="260">
        <v>5406</v>
      </c>
      <c r="J104" s="2157"/>
      <c r="K104" s="263">
        <f t="shared" si="5"/>
        <v>5406</v>
      </c>
      <c r="L104" s="1313">
        <v>113243</v>
      </c>
      <c r="M104" s="225">
        <v>18124</v>
      </c>
      <c r="N104" s="1969"/>
      <c r="O104" s="2158">
        <f t="shared" si="6"/>
        <v>131367</v>
      </c>
      <c r="P104" s="2097">
        <v>7590</v>
      </c>
      <c r="Q104" s="2097">
        <v>20699</v>
      </c>
      <c r="R104" s="2097">
        <v>4653</v>
      </c>
      <c r="S104" s="1969"/>
      <c r="T104" s="921"/>
      <c r="U104" s="2002"/>
      <c r="V104" s="206">
        <f t="shared" si="7"/>
        <v>32942</v>
      </c>
    </row>
    <row r="105" spans="1:22">
      <c r="A105" s="1340">
        <v>2001.12</v>
      </c>
      <c r="B105" s="260">
        <v>109</v>
      </c>
      <c r="C105" s="2097">
        <v>96</v>
      </c>
      <c r="D105" s="2156"/>
      <c r="E105" s="2097">
        <v>252</v>
      </c>
      <c r="F105" s="260">
        <v>165</v>
      </c>
      <c r="G105" s="3153"/>
      <c r="H105" s="196">
        <f t="shared" si="4"/>
        <v>165</v>
      </c>
      <c r="I105" s="260">
        <v>394</v>
      </c>
      <c r="J105" s="2157"/>
      <c r="K105" s="263">
        <f t="shared" si="5"/>
        <v>394</v>
      </c>
      <c r="L105" s="1313">
        <v>94381.92</v>
      </c>
      <c r="M105" s="225">
        <v>17161</v>
      </c>
      <c r="N105" s="1969"/>
      <c r="O105" s="2158">
        <f t="shared" si="6"/>
        <v>111542.92</v>
      </c>
      <c r="P105" s="2097">
        <v>8161</v>
      </c>
      <c r="Q105" s="2097">
        <v>22871</v>
      </c>
      <c r="R105" s="2097">
        <v>5004</v>
      </c>
      <c r="S105" s="1969"/>
      <c r="T105" s="921"/>
      <c r="U105" s="2002"/>
      <c r="V105" s="206">
        <f t="shared" si="7"/>
        <v>36036</v>
      </c>
    </row>
    <row r="106" spans="1:22">
      <c r="A106" s="1340">
        <v>2002.01</v>
      </c>
      <c r="B106" s="260">
        <v>326</v>
      </c>
      <c r="C106" s="2097">
        <v>297</v>
      </c>
      <c r="D106" s="2156"/>
      <c r="E106" s="2097">
        <v>234</v>
      </c>
      <c r="F106" s="260">
        <v>2596</v>
      </c>
      <c r="G106" s="3153"/>
      <c r="H106" s="196">
        <f t="shared" si="4"/>
        <v>2596</v>
      </c>
      <c r="I106" s="260">
        <v>6358</v>
      </c>
      <c r="J106" s="2157"/>
      <c r="K106" s="263">
        <f t="shared" si="5"/>
        <v>6358</v>
      </c>
      <c r="L106" s="1313">
        <v>77045</v>
      </c>
      <c r="M106" s="225">
        <v>13208</v>
      </c>
      <c r="N106" s="1969"/>
      <c r="O106" s="2158">
        <f t="shared" si="6"/>
        <v>90253</v>
      </c>
      <c r="P106" s="2097">
        <v>7256</v>
      </c>
      <c r="Q106" s="2097">
        <v>21232</v>
      </c>
      <c r="R106" s="2097">
        <v>4343</v>
      </c>
      <c r="S106" s="1969"/>
      <c r="T106" s="921"/>
      <c r="U106" s="2002"/>
      <c r="V106" s="206">
        <f t="shared" si="7"/>
        <v>32831</v>
      </c>
    </row>
    <row r="107" spans="1:22">
      <c r="A107" s="1340">
        <v>2002.02</v>
      </c>
      <c r="B107" s="260">
        <v>315</v>
      </c>
      <c r="C107" s="2097">
        <v>333</v>
      </c>
      <c r="D107" s="2156"/>
      <c r="E107" s="2097">
        <v>536</v>
      </c>
      <c r="F107" s="260">
        <v>2550</v>
      </c>
      <c r="G107" s="3153"/>
      <c r="H107" s="196">
        <f t="shared" si="4"/>
        <v>2550</v>
      </c>
      <c r="I107" s="260">
        <v>5650</v>
      </c>
      <c r="J107" s="2157"/>
      <c r="K107" s="263">
        <f t="shared" si="5"/>
        <v>5650</v>
      </c>
      <c r="L107" s="1313">
        <v>81312</v>
      </c>
      <c r="M107" s="225">
        <v>11803.15</v>
      </c>
      <c r="N107" s="1969"/>
      <c r="O107" s="2158">
        <f t="shared" si="6"/>
        <v>93115.15</v>
      </c>
      <c r="P107" s="2097">
        <v>7555</v>
      </c>
      <c r="Q107" s="2097">
        <v>21078</v>
      </c>
      <c r="R107" s="2097">
        <v>4324</v>
      </c>
      <c r="S107" s="1969"/>
      <c r="T107" s="921"/>
      <c r="U107" s="2002"/>
      <c r="V107" s="206">
        <f t="shared" si="7"/>
        <v>32957</v>
      </c>
    </row>
    <row r="108" spans="1:22">
      <c r="A108" s="1340">
        <v>2002.03</v>
      </c>
      <c r="B108" s="260">
        <v>550</v>
      </c>
      <c r="C108" s="2097">
        <v>526</v>
      </c>
      <c r="D108" s="2156"/>
      <c r="E108" s="2097">
        <v>588</v>
      </c>
      <c r="F108" s="260">
        <v>3076</v>
      </c>
      <c r="G108" s="3153"/>
      <c r="H108" s="196">
        <f t="shared" si="4"/>
        <v>3076</v>
      </c>
      <c r="I108" s="260">
        <v>3440</v>
      </c>
      <c r="J108" s="2157"/>
      <c r="K108" s="263">
        <f t="shared" si="5"/>
        <v>3440</v>
      </c>
      <c r="L108" s="1313">
        <v>91077</v>
      </c>
      <c r="M108" s="225">
        <v>12516.77</v>
      </c>
      <c r="N108" s="1969"/>
      <c r="O108" s="2158">
        <f t="shared" si="6"/>
        <v>103593.77</v>
      </c>
      <c r="P108" s="2097">
        <v>8086</v>
      </c>
      <c r="Q108" s="2097">
        <v>22041</v>
      </c>
      <c r="R108" s="2097">
        <v>4075</v>
      </c>
      <c r="S108" s="1969"/>
      <c r="T108" s="921"/>
      <c r="U108" s="2002"/>
      <c r="V108" s="206">
        <f t="shared" si="7"/>
        <v>34202</v>
      </c>
    </row>
    <row r="109" spans="1:22">
      <c r="A109" s="1340">
        <v>2002.04</v>
      </c>
      <c r="B109" s="260">
        <v>407</v>
      </c>
      <c r="C109" s="2097">
        <v>154</v>
      </c>
      <c r="D109" s="2156"/>
      <c r="E109" s="2097">
        <v>1538</v>
      </c>
      <c r="F109" s="260">
        <v>291</v>
      </c>
      <c r="G109" s="3153"/>
      <c r="H109" s="196">
        <f t="shared" si="4"/>
        <v>291</v>
      </c>
      <c r="I109" s="260">
        <v>4616</v>
      </c>
      <c r="J109" s="2157"/>
      <c r="K109" s="263">
        <f t="shared" si="5"/>
        <v>4616</v>
      </c>
      <c r="L109" s="1313">
        <v>97954</v>
      </c>
      <c r="M109" s="225">
        <v>13868.98</v>
      </c>
      <c r="N109" s="1969"/>
      <c r="O109" s="2158">
        <f t="shared" si="6"/>
        <v>111822.98</v>
      </c>
      <c r="P109" s="2097">
        <v>8151</v>
      </c>
      <c r="Q109" s="2097">
        <v>19900</v>
      </c>
      <c r="R109" s="2097">
        <v>3465</v>
      </c>
      <c r="S109" s="1969"/>
      <c r="T109" s="921"/>
      <c r="U109" s="2002"/>
      <c r="V109" s="206">
        <f t="shared" si="7"/>
        <v>31516</v>
      </c>
    </row>
    <row r="110" spans="1:22">
      <c r="A110" s="1340">
        <v>2002.05</v>
      </c>
      <c r="B110" s="260">
        <v>209</v>
      </c>
      <c r="C110" s="2097">
        <v>101</v>
      </c>
      <c r="D110" s="2156"/>
      <c r="E110" s="2097">
        <v>1607</v>
      </c>
      <c r="F110" s="260">
        <v>202</v>
      </c>
      <c r="G110" s="3153"/>
      <c r="H110" s="196">
        <f t="shared" si="4"/>
        <v>202</v>
      </c>
      <c r="I110" s="260">
        <v>5162</v>
      </c>
      <c r="J110" s="2157"/>
      <c r="K110" s="263">
        <f t="shared" si="5"/>
        <v>5162</v>
      </c>
      <c r="L110" s="1313">
        <v>113108</v>
      </c>
      <c r="M110" s="225">
        <v>14882</v>
      </c>
      <c r="N110" s="1969"/>
      <c r="O110" s="2158">
        <f t="shared" si="6"/>
        <v>127990</v>
      </c>
      <c r="P110" s="2097">
        <v>9699</v>
      </c>
      <c r="Q110" s="2097">
        <v>19800</v>
      </c>
      <c r="R110" s="2097">
        <v>3825</v>
      </c>
      <c r="S110" s="1969"/>
      <c r="T110" s="921"/>
      <c r="U110" s="2002"/>
      <c r="V110" s="206">
        <f t="shared" si="7"/>
        <v>33324</v>
      </c>
    </row>
    <row r="111" spans="1:22">
      <c r="A111" s="1340">
        <v>2002.06</v>
      </c>
      <c r="B111" s="260">
        <v>158</v>
      </c>
      <c r="C111" s="2097">
        <v>51</v>
      </c>
      <c r="D111" s="2156"/>
      <c r="E111" s="2097">
        <v>3595</v>
      </c>
      <c r="F111" s="260">
        <v>173</v>
      </c>
      <c r="G111" s="3153"/>
      <c r="H111" s="196">
        <f t="shared" si="4"/>
        <v>173</v>
      </c>
      <c r="I111" s="260">
        <v>6759</v>
      </c>
      <c r="J111" s="2157"/>
      <c r="K111" s="263">
        <f t="shared" si="5"/>
        <v>6759</v>
      </c>
      <c r="L111" s="1313">
        <v>96540</v>
      </c>
      <c r="M111" s="225">
        <v>13162.4</v>
      </c>
      <c r="N111" s="1969"/>
      <c r="O111" s="2158">
        <f t="shared" si="6"/>
        <v>109702.39999999999</v>
      </c>
      <c r="P111" s="2097">
        <v>9807</v>
      </c>
      <c r="Q111" s="2097">
        <v>18227</v>
      </c>
      <c r="R111" s="2097">
        <v>2985</v>
      </c>
      <c r="S111" s="1969"/>
      <c r="T111" s="921"/>
      <c r="U111" s="2002"/>
      <c r="V111" s="206">
        <f t="shared" si="7"/>
        <v>31019</v>
      </c>
    </row>
    <row r="112" spans="1:22">
      <c r="A112" s="1340">
        <v>2002.07</v>
      </c>
      <c r="B112" s="260">
        <v>62</v>
      </c>
      <c r="C112" s="2097">
        <v>45</v>
      </c>
      <c r="D112" s="2156"/>
      <c r="E112" s="2097">
        <v>3311</v>
      </c>
      <c r="F112" s="260">
        <v>405</v>
      </c>
      <c r="G112" s="3153"/>
      <c r="H112" s="196">
        <f t="shared" si="4"/>
        <v>405</v>
      </c>
      <c r="I112" s="260">
        <v>11415</v>
      </c>
      <c r="J112" s="2157"/>
      <c r="K112" s="263">
        <f t="shared" si="5"/>
        <v>11415</v>
      </c>
      <c r="L112" s="1313">
        <v>142100</v>
      </c>
      <c r="M112" s="225">
        <v>13333.2</v>
      </c>
      <c r="N112" s="1969"/>
      <c r="O112" s="2158">
        <f t="shared" si="6"/>
        <v>155433.20000000001</v>
      </c>
      <c r="P112" s="2097">
        <v>10628</v>
      </c>
      <c r="Q112" s="2097">
        <v>19750</v>
      </c>
      <c r="R112" s="2097">
        <v>3213</v>
      </c>
      <c r="S112" s="1969"/>
      <c r="T112" s="921"/>
      <c r="U112" s="2002"/>
      <c r="V112" s="206">
        <f t="shared" si="7"/>
        <v>33591</v>
      </c>
    </row>
    <row r="113" spans="1:22">
      <c r="A113" s="1340">
        <v>2002.08</v>
      </c>
      <c r="B113" s="260">
        <v>43</v>
      </c>
      <c r="C113" s="2097">
        <v>79</v>
      </c>
      <c r="D113" s="2156"/>
      <c r="E113" s="2097">
        <v>1457</v>
      </c>
      <c r="F113" s="260">
        <v>663</v>
      </c>
      <c r="G113" s="3153"/>
      <c r="H113" s="196">
        <f t="shared" si="4"/>
        <v>663</v>
      </c>
      <c r="I113" s="260">
        <v>4684</v>
      </c>
      <c r="J113" s="2157"/>
      <c r="K113" s="263">
        <f t="shared" si="5"/>
        <v>4684</v>
      </c>
      <c r="L113" s="1313">
        <v>96181</v>
      </c>
      <c r="M113" s="225">
        <v>9126</v>
      </c>
      <c r="N113" s="1969"/>
      <c r="O113" s="2158">
        <f t="shared" si="6"/>
        <v>105307</v>
      </c>
      <c r="P113" s="2097">
        <v>10960</v>
      </c>
      <c r="Q113" s="2097">
        <v>20352</v>
      </c>
      <c r="R113" s="2097">
        <v>3134</v>
      </c>
      <c r="S113" s="1969"/>
      <c r="T113" s="921"/>
      <c r="U113" s="2002"/>
      <c r="V113" s="206">
        <f t="shared" si="7"/>
        <v>34446</v>
      </c>
    </row>
    <row r="114" spans="1:22">
      <c r="A114" s="1340">
        <v>2002.09</v>
      </c>
      <c r="B114" s="260">
        <v>94</v>
      </c>
      <c r="C114" s="2097">
        <v>110</v>
      </c>
      <c r="D114" s="2156"/>
      <c r="E114" s="2097">
        <v>536</v>
      </c>
      <c r="F114" s="260">
        <v>583</v>
      </c>
      <c r="G114" s="3153"/>
      <c r="H114" s="196">
        <f t="shared" si="4"/>
        <v>583</v>
      </c>
      <c r="I114" s="260">
        <v>4552</v>
      </c>
      <c r="J114" s="2157"/>
      <c r="K114" s="263">
        <f t="shared" si="5"/>
        <v>4552</v>
      </c>
      <c r="L114" s="1313">
        <v>91653</v>
      </c>
      <c r="M114" s="225">
        <v>8886.68</v>
      </c>
      <c r="N114" s="1969"/>
      <c r="O114" s="2158">
        <f t="shared" si="6"/>
        <v>100539.68</v>
      </c>
      <c r="P114" s="2097">
        <v>9338</v>
      </c>
      <c r="Q114" s="2097">
        <v>17551</v>
      </c>
      <c r="R114" s="2097">
        <v>2942</v>
      </c>
      <c r="S114" s="1969"/>
      <c r="T114" s="921"/>
      <c r="U114" s="2002"/>
      <c r="V114" s="206">
        <f t="shared" si="7"/>
        <v>29831</v>
      </c>
    </row>
    <row r="115" spans="1:22">
      <c r="A115" s="1340">
        <v>2002.1</v>
      </c>
      <c r="B115" s="260">
        <v>184</v>
      </c>
      <c r="C115" s="2097">
        <v>153</v>
      </c>
      <c r="D115" s="2156"/>
      <c r="E115" s="2097">
        <v>185</v>
      </c>
      <c r="F115" s="260">
        <v>333</v>
      </c>
      <c r="G115" s="3153"/>
      <c r="H115" s="196">
        <f t="shared" si="4"/>
        <v>333</v>
      </c>
      <c r="I115" s="260">
        <v>3642</v>
      </c>
      <c r="J115" s="2157"/>
      <c r="K115" s="263">
        <f t="shared" si="5"/>
        <v>3642</v>
      </c>
      <c r="L115" s="1313">
        <v>76679</v>
      </c>
      <c r="M115" s="225">
        <v>8959</v>
      </c>
      <c r="N115" s="1969"/>
      <c r="O115" s="2158">
        <f t="shared" si="6"/>
        <v>85638</v>
      </c>
      <c r="P115" s="2097">
        <v>9172</v>
      </c>
      <c r="Q115" s="2097">
        <v>18119</v>
      </c>
      <c r="R115" s="2097">
        <v>3352</v>
      </c>
      <c r="S115" s="1969"/>
      <c r="T115" s="921"/>
      <c r="U115" s="2002"/>
      <c r="V115" s="206">
        <f t="shared" si="7"/>
        <v>30643</v>
      </c>
    </row>
    <row r="116" spans="1:22">
      <c r="A116" s="1340">
        <v>2002.11</v>
      </c>
      <c r="B116" s="260">
        <v>109</v>
      </c>
      <c r="C116" s="2097">
        <v>113</v>
      </c>
      <c r="D116" s="2156"/>
      <c r="E116" s="2097">
        <v>205</v>
      </c>
      <c r="F116" s="260">
        <v>267</v>
      </c>
      <c r="G116" s="3153"/>
      <c r="H116" s="196">
        <f t="shared" si="4"/>
        <v>267</v>
      </c>
      <c r="I116" s="260">
        <v>3426</v>
      </c>
      <c r="J116" s="2157"/>
      <c r="K116" s="263">
        <f t="shared" si="5"/>
        <v>3426</v>
      </c>
      <c r="L116" s="1313">
        <v>98507</v>
      </c>
      <c r="M116" s="225">
        <v>14841</v>
      </c>
      <c r="N116" s="1969"/>
      <c r="O116" s="2158">
        <f t="shared" si="6"/>
        <v>113348</v>
      </c>
      <c r="P116" s="2097">
        <v>8500</v>
      </c>
      <c r="Q116" s="2097">
        <v>17975</v>
      </c>
      <c r="R116" s="2097">
        <v>3273</v>
      </c>
      <c r="S116" s="1969"/>
      <c r="T116" s="921"/>
      <c r="U116" s="2002"/>
      <c r="V116" s="206">
        <f t="shared" si="7"/>
        <v>29748</v>
      </c>
    </row>
    <row r="117" spans="1:22">
      <c r="A117" s="1340">
        <v>2002.12</v>
      </c>
      <c r="B117" s="260">
        <v>115</v>
      </c>
      <c r="C117" s="2097">
        <v>188</v>
      </c>
      <c r="D117" s="2156"/>
      <c r="E117" s="2097">
        <v>268</v>
      </c>
      <c r="F117" s="260">
        <v>179</v>
      </c>
      <c r="G117" s="3153"/>
      <c r="H117" s="196">
        <f t="shared" si="4"/>
        <v>179</v>
      </c>
      <c r="I117" s="260">
        <v>3499</v>
      </c>
      <c r="J117" s="2157"/>
      <c r="K117" s="263">
        <f t="shared" si="5"/>
        <v>3499</v>
      </c>
      <c r="L117" s="1313">
        <v>96325.5</v>
      </c>
      <c r="M117" s="225">
        <v>13087.5</v>
      </c>
      <c r="N117" s="1969"/>
      <c r="O117" s="2158">
        <f t="shared" si="6"/>
        <v>109413</v>
      </c>
      <c r="P117" s="2097">
        <v>9380</v>
      </c>
      <c r="Q117" s="2097">
        <v>21009</v>
      </c>
      <c r="R117" s="2097">
        <v>3923</v>
      </c>
      <c r="S117" s="1969"/>
      <c r="T117" s="921"/>
      <c r="U117" s="2002"/>
      <c r="V117" s="206">
        <f t="shared" si="7"/>
        <v>34312</v>
      </c>
    </row>
    <row r="118" spans="1:22">
      <c r="A118" s="1340">
        <v>2003.01</v>
      </c>
      <c r="B118" s="260">
        <v>308</v>
      </c>
      <c r="C118" s="2097">
        <v>231</v>
      </c>
      <c r="D118" s="2156"/>
      <c r="E118" s="2097">
        <v>321</v>
      </c>
      <c r="F118" s="260">
        <v>447</v>
      </c>
      <c r="G118" s="3153"/>
      <c r="H118" s="196">
        <f t="shared" si="4"/>
        <v>447</v>
      </c>
      <c r="I118" s="260">
        <v>3165</v>
      </c>
      <c r="J118" s="2157"/>
      <c r="K118" s="263">
        <f t="shared" si="5"/>
        <v>3165</v>
      </c>
      <c r="L118" s="1313">
        <v>89235</v>
      </c>
      <c r="M118" s="225">
        <v>12960.14</v>
      </c>
      <c r="N118" s="1969"/>
      <c r="O118" s="2158">
        <f t="shared" si="6"/>
        <v>102195.14</v>
      </c>
      <c r="P118" s="2097">
        <v>8370</v>
      </c>
      <c r="Q118" s="2097">
        <v>19673</v>
      </c>
      <c r="R118" s="2097">
        <v>3713</v>
      </c>
      <c r="S118" s="1969"/>
      <c r="T118" s="921"/>
      <c r="U118" s="2002"/>
      <c r="V118" s="206">
        <f t="shared" si="7"/>
        <v>31756</v>
      </c>
    </row>
    <row r="119" spans="1:22">
      <c r="A119" s="1340">
        <v>2003.02</v>
      </c>
      <c r="B119" s="260">
        <v>538</v>
      </c>
      <c r="C119" s="2097">
        <v>508</v>
      </c>
      <c r="D119" s="2156"/>
      <c r="E119" s="2097">
        <v>402</v>
      </c>
      <c r="F119" s="260">
        <v>453</v>
      </c>
      <c r="G119" s="3153"/>
      <c r="H119" s="196">
        <f t="shared" si="4"/>
        <v>453</v>
      </c>
      <c r="I119" s="260">
        <v>2318</v>
      </c>
      <c r="J119" s="2157"/>
      <c r="K119" s="263">
        <f t="shared" si="5"/>
        <v>2318</v>
      </c>
      <c r="L119" s="1313">
        <v>94485</v>
      </c>
      <c r="M119" s="225">
        <v>10502</v>
      </c>
      <c r="N119" s="1969"/>
      <c r="O119" s="2158">
        <f t="shared" si="6"/>
        <v>104987</v>
      </c>
      <c r="P119" s="2097">
        <v>7588</v>
      </c>
      <c r="Q119" s="2097">
        <v>17538</v>
      </c>
      <c r="R119" s="2097">
        <v>3448</v>
      </c>
      <c r="S119" s="1969"/>
      <c r="T119" s="921"/>
      <c r="U119" s="2002"/>
      <c r="V119" s="206">
        <f t="shared" si="7"/>
        <v>28574</v>
      </c>
    </row>
    <row r="120" spans="1:22">
      <c r="A120" s="1340">
        <v>2003.03</v>
      </c>
      <c r="B120" s="260">
        <v>310</v>
      </c>
      <c r="C120" s="2097">
        <v>376</v>
      </c>
      <c r="D120" s="2156"/>
      <c r="E120" s="2097">
        <v>612</v>
      </c>
      <c r="F120" s="260">
        <v>497</v>
      </c>
      <c r="G120" s="3153"/>
      <c r="H120" s="196">
        <f t="shared" si="4"/>
        <v>497</v>
      </c>
      <c r="I120" s="260">
        <v>2786</v>
      </c>
      <c r="J120" s="2157"/>
      <c r="K120" s="263">
        <f t="shared" si="5"/>
        <v>2786</v>
      </c>
      <c r="L120" s="1313">
        <v>107227</v>
      </c>
      <c r="M120" s="225">
        <v>3408</v>
      </c>
      <c r="N120" s="1969"/>
      <c r="O120" s="2158">
        <f t="shared" si="6"/>
        <v>110635</v>
      </c>
      <c r="P120" s="2097">
        <v>6354</v>
      </c>
      <c r="Q120" s="2097">
        <v>15515</v>
      </c>
      <c r="R120" s="2097">
        <v>2990</v>
      </c>
      <c r="S120" s="1969"/>
      <c r="T120" s="921"/>
      <c r="U120" s="2002"/>
      <c r="V120" s="206">
        <f t="shared" si="7"/>
        <v>24859</v>
      </c>
    </row>
    <row r="121" spans="1:22">
      <c r="A121" s="1340">
        <v>2003.04</v>
      </c>
      <c r="B121" s="260">
        <v>49</v>
      </c>
      <c r="C121" s="2097">
        <v>67</v>
      </c>
      <c r="D121" s="2156"/>
      <c r="E121" s="2097">
        <v>810</v>
      </c>
      <c r="F121" s="260">
        <v>1067</v>
      </c>
      <c r="G121" s="3153"/>
      <c r="H121" s="196">
        <f t="shared" si="4"/>
        <v>1067</v>
      </c>
      <c r="I121" s="260">
        <v>3421</v>
      </c>
      <c r="J121" s="2157"/>
      <c r="K121" s="263">
        <f t="shared" si="5"/>
        <v>3421</v>
      </c>
      <c r="L121" s="1313">
        <v>97212</v>
      </c>
      <c r="M121" s="225">
        <v>0</v>
      </c>
      <c r="N121" s="1969"/>
      <c r="O121" s="2158">
        <f t="shared" si="6"/>
        <v>97212</v>
      </c>
      <c r="P121" s="2097">
        <v>6287</v>
      </c>
      <c r="Q121" s="2097">
        <v>15836</v>
      </c>
      <c r="R121" s="2097">
        <v>3139</v>
      </c>
      <c r="S121" s="1969"/>
      <c r="T121" s="921"/>
      <c r="U121" s="2002"/>
      <c r="V121" s="206">
        <f t="shared" si="7"/>
        <v>25262</v>
      </c>
    </row>
    <row r="122" spans="1:22">
      <c r="A122" s="1340">
        <v>2003.05</v>
      </c>
      <c r="B122" s="260">
        <v>74</v>
      </c>
      <c r="C122" s="2097">
        <v>54</v>
      </c>
      <c r="D122" s="2156"/>
      <c r="E122" s="2097">
        <v>1930</v>
      </c>
      <c r="F122" s="260">
        <v>654</v>
      </c>
      <c r="G122" s="3153"/>
      <c r="H122" s="196">
        <f t="shared" si="4"/>
        <v>654</v>
      </c>
      <c r="I122" s="260">
        <v>6840</v>
      </c>
      <c r="J122" s="2157"/>
      <c r="K122" s="263">
        <f t="shared" si="5"/>
        <v>6840</v>
      </c>
      <c r="L122" s="1313">
        <v>103272</v>
      </c>
      <c r="M122" s="225">
        <v>4254</v>
      </c>
      <c r="N122" s="1969"/>
      <c r="O122" s="2158">
        <f t="shared" si="6"/>
        <v>107526</v>
      </c>
      <c r="P122" s="2097">
        <v>6874</v>
      </c>
      <c r="Q122" s="2097">
        <v>16330</v>
      </c>
      <c r="R122" s="2097">
        <v>3155</v>
      </c>
      <c r="S122" s="1969"/>
      <c r="T122" s="921"/>
      <c r="U122" s="2002"/>
      <c r="V122" s="206">
        <f t="shared" si="7"/>
        <v>26359</v>
      </c>
    </row>
    <row r="123" spans="1:22">
      <c r="A123" s="1340">
        <v>2003.06</v>
      </c>
      <c r="B123" s="260">
        <v>59</v>
      </c>
      <c r="C123" s="2097">
        <v>54</v>
      </c>
      <c r="D123" s="2156"/>
      <c r="E123" s="2097">
        <v>2064</v>
      </c>
      <c r="F123" s="260">
        <v>926</v>
      </c>
      <c r="G123" s="3153"/>
      <c r="H123" s="196">
        <f t="shared" si="4"/>
        <v>926</v>
      </c>
      <c r="I123" s="260">
        <v>17268</v>
      </c>
      <c r="J123" s="2157"/>
      <c r="K123" s="263">
        <f t="shared" si="5"/>
        <v>17268</v>
      </c>
      <c r="L123" s="1313">
        <v>99145</v>
      </c>
      <c r="M123" s="225">
        <v>13048</v>
      </c>
      <c r="N123" s="1969"/>
      <c r="O123" s="2158">
        <f t="shared" si="6"/>
        <v>112193</v>
      </c>
      <c r="P123" s="2097">
        <v>8246</v>
      </c>
      <c r="Q123" s="2097">
        <v>19783</v>
      </c>
      <c r="R123" s="2097">
        <v>3848</v>
      </c>
      <c r="S123" s="1969"/>
      <c r="T123" s="921"/>
      <c r="U123" s="2002"/>
      <c r="V123" s="206">
        <f t="shared" si="7"/>
        <v>31877</v>
      </c>
    </row>
    <row r="124" spans="1:22">
      <c r="A124" s="1340">
        <v>2003.07</v>
      </c>
      <c r="B124" s="260">
        <v>78</v>
      </c>
      <c r="C124" s="2097">
        <v>58</v>
      </c>
      <c r="D124" s="2156"/>
      <c r="E124" s="2097">
        <v>3056</v>
      </c>
      <c r="F124" s="260">
        <v>1027</v>
      </c>
      <c r="G124" s="3153"/>
      <c r="H124" s="196">
        <f t="shared" si="4"/>
        <v>1027</v>
      </c>
      <c r="I124" s="260">
        <v>10073</v>
      </c>
      <c r="J124" s="2157"/>
      <c r="K124" s="263">
        <f t="shared" si="5"/>
        <v>10073</v>
      </c>
      <c r="L124" s="1313">
        <v>101383</v>
      </c>
      <c r="M124" s="225">
        <v>17508</v>
      </c>
      <c r="N124" s="1969"/>
      <c r="O124" s="2158">
        <f t="shared" si="6"/>
        <v>118891</v>
      </c>
      <c r="P124" s="2097">
        <v>9924</v>
      </c>
      <c r="Q124" s="2097">
        <v>23154</v>
      </c>
      <c r="R124" s="2097">
        <v>4291</v>
      </c>
      <c r="S124" s="1969"/>
      <c r="T124" s="921"/>
      <c r="U124" s="2002"/>
      <c r="V124" s="206">
        <f t="shared" si="7"/>
        <v>37369</v>
      </c>
    </row>
    <row r="125" spans="1:22">
      <c r="A125" s="1340">
        <v>2003.08</v>
      </c>
      <c r="B125" s="260">
        <v>29</v>
      </c>
      <c r="C125" s="2097">
        <v>49</v>
      </c>
      <c r="D125" s="2156"/>
      <c r="E125" s="2097">
        <v>1592</v>
      </c>
      <c r="F125" s="260">
        <v>1759</v>
      </c>
      <c r="G125" s="3153"/>
      <c r="H125" s="196">
        <f t="shared" si="4"/>
        <v>1759</v>
      </c>
      <c r="I125" s="260">
        <v>9017</v>
      </c>
      <c r="J125" s="2157"/>
      <c r="K125" s="263">
        <f t="shared" si="5"/>
        <v>9017</v>
      </c>
      <c r="L125" s="1313">
        <v>100991</v>
      </c>
      <c r="M125" s="225">
        <v>9813</v>
      </c>
      <c r="N125" s="1969"/>
      <c r="O125" s="2158">
        <f t="shared" si="6"/>
        <v>110804</v>
      </c>
      <c r="P125" s="2097">
        <v>8342</v>
      </c>
      <c r="Q125" s="2097">
        <v>20979</v>
      </c>
      <c r="R125" s="2097">
        <v>4206</v>
      </c>
      <c r="S125" s="1969"/>
      <c r="T125" s="921"/>
      <c r="U125" s="2002"/>
      <c r="V125" s="206">
        <f t="shared" si="7"/>
        <v>33527</v>
      </c>
    </row>
    <row r="126" spans="1:22">
      <c r="A126" s="1340">
        <v>2003.09</v>
      </c>
      <c r="B126" s="260">
        <v>57</v>
      </c>
      <c r="C126" s="2097">
        <v>68</v>
      </c>
      <c r="D126" s="2156"/>
      <c r="E126" s="2097">
        <v>560</v>
      </c>
      <c r="F126" s="260">
        <v>883</v>
      </c>
      <c r="G126" s="3153"/>
      <c r="H126" s="196">
        <f t="shared" si="4"/>
        <v>883</v>
      </c>
      <c r="I126" s="260">
        <v>8292.2999999999993</v>
      </c>
      <c r="J126" s="2157"/>
      <c r="K126" s="263">
        <f t="shared" si="5"/>
        <v>8292.2999999999993</v>
      </c>
      <c r="L126" s="1313">
        <v>105286.5</v>
      </c>
      <c r="M126" s="225">
        <v>11077</v>
      </c>
      <c r="N126" s="1969"/>
      <c r="O126" s="2158">
        <f t="shared" si="6"/>
        <v>116363.5</v>
      </c>
      <c r="P126" s="2097">
        <v>8502</v>
      </c>
      <c r="Q126" s="2097">
        <v>20176.099999999999</v>
      </c>
      <c r="R126" s="2097">
        <v>4501</v>
      </c>
      <c r="S126" s="1969"/>
      <c r="T126" s="921"/>
      <c r="U126" s="2002"/>
      <c r="V126" s="206">
        <f t="shared" si="7"/>
        <v>33179.1</v>
      </c>
    </row>
    <row r="127" spans="1:22">
      <c r="A127" s="1340">
        <v>2003.1</v>
      </c>
      <c r="B127" s="260">
        <v>158</v>
      </c>
      <c r="C127" s="2097">
        <v>103</v>
      </c>
      <c r="D127" s="2156"/>
      <c r="E127" s="2097">
        <v>237</v>
      </c>
      <c r="F127" s="260">
        <v>582</v>
      </c>
      <c r="G127" s="3153"/>
      <c r="H127" s="196">
        <f t="shared" si="4"/>
        <v>582</v>
      </c>
      <c r="I127" s="260">
        <v>4453.22</v>
      </c>
      <c r="J127" s="2157"/>
      <c r="K127" s="263">
        <f t="shared" si="5"/>
        <v>4453.22</v>
      </c>
      <c r="L127" s="1313">
        <v>109139.93799999999</v>
      </c>
      <c r="M127" s="225">
        <v>10606</v>
      </c>
      <c r="N127" s="1969"/>
      <c r="O127" s="2158">
        <f t="shared" si="6"/>
        <v>119745.93799999999</v>
      </c>
      <c r="P127" s="2097">
        <v>8219</v>
      </c>
      <c r="Q127" s="2097">
        <v>21029</v>
      </c>
      <c r="R127" s="2097">
        <v>4877</v>
      </c>
      <c r="S127" s="1969"/>
      <c r="T127" s="921"/>
      <c r="U127" s="2002"/>
      <c r="V127" s="206">
        <f t="shared" si="7"/>
        <v>34125</v>
      </c>
    </row>
    <row r="128" spans="1:22">
      <c r="A128" s="1340">
        <v>2003.11</v>
      </c>
      <c r="B128" s="260">
        <v>61</v>
      </c>
      <c r="C128" s="2097">
        <v>110</v>
      </c>
      <c r="D128" s="2156"/>
      <c r="E128" s="2097">
        <v>207</v>
      </c>
      <c r="F128" s="260">
        <v>115</v>
      </c>
      <c r="G128" s="3153"/>
      <c r="H128" s="196">
        <f t="shared" si="4"/>
        <v>115</v>
      </c>
      <c r="I128" s="260">
        <v>3788</v>
      </c>
      <c r="J128" s="2157"/>
      <c r="K128" s="263">
        <f t="shared" si="5"/>
        <v>3788</v>
      </c>
      <c r="L128" s="1313">
        <v>120387</v>
      </c>
      <c r="M128" s="225">
        <v>87</v>
      </c>
      <c r="N128" s="1969"/>
      <c r="O128" s="2158">
        <f t="shared" si="6"/>
        <v>120474</v>
      </c>
      <c r="P128" s="2097">
        <v>6407</v>
      </c>
      <c r="Q128" s="2097">
        <v>16498</v>
      </c>
      <c r="R128" s="2097">
        <v>3742</v>
      </c>
      <c r="S128" s="1969"/>
      <c r="T128" s="921"/>
      <c r="U128" s="2002"/>
      <c r="V128" s="206">
        <f t="shared" si="7"/>
        <v>26647</v>
      </c>
    </row>
    <row r="129" spans="1:22">
      <c r="A129" s="1340">
        <v>2003.12</v>
      </c>
      <c r="B129" s="260">
        <v>198</v>
      </c>
      <c r="C129" s="2097">
        <v>182</v>
      </c>
      <c r="D129" s="2156"/>
      <c r="E129" s="2097">
        <v>292</v>
      </c>
      <c r="F129" s="260">
        <v>35</v>
      </c>
      <c r="G129" s="3153"/>
      <c r="H129" s="196">
        <f t="shared" si="4"/>
        <v>35</v>
      </c>
      <c r="I129" s="260">
        <v>3433</v>
      </c>
      <c r="J129" s="2157"/>
      <c r="K129" s="263">
        <f t="shared" si="5"/>
        <v>3433</v>
      </c>
      <c r="L129" s="1313">
        <v>115013</v>
      </c>
      <c r="M129" s="225">
        <v>11793</v>
      </c>
      <c r="N129" s="1969"/>
      <c r="O129" s="2158">
        <f t="shared" si="6"/>
        <v>126806</v>
      </c>
      <c r="P129" s="2097">
        <v>8726</v>
      </c>
      <c r="Q129" s="2097">
        <v>22480</v>
      </c>
      <c r="R129" s="2097">
        <v>5800</v>
      </c>
      <c r="S129" s="1969"/>
      <c r="T129" s="921"/>
      <c r="U129" s="2002"/>
      <c r="V129" s="206">
        <f t="shared" si="7"/>
        <v>37006</v>
      </c>
    </row>
    <row r="130" spans="1:22">
      <c r="A130" s="1340">
        <v>2004.01</v>
      </c>
      <c r="B130" s="260">
        <v>204</v>
      </c>
      <c r="C130" s="2097">
        <v>224</v>
      </c>
      <c r="D130" s="2156"/>
      <c r="E130" s="2097">
        <v>295</v>
      </c>
      <c r="F130" s="260">
        <v>143</v>
      </c>
      <c r="G130" s="3153"/>
      <c r="H130" s="196">
        <f t="shared" si="4"/>
        <v>143</v>
      </c>
      <c r="I130" s="260">
        <v>6943</v>
      </c>
      <c r="J130" s="2157"/>
      <c r="K130" s="263">
        <f t="shared" si="5"/>
        <v>6943</v>
      </c>
      <c r="L130" s="1313">
        <v>78490</v>
      </c>
      <c r="M130" s="225">
        <v>10601</v>
      </c>
      <c r="N130" s="1969"/>
      <c r="O130" s="2158">
        <f t="shared" si="6"/>
        <v>89091</v>
      </c>
      <c r="P130" s="2097">
        <v>7470</v>
      </c>
      <c r="Q130" s="2097">
        <v>21794</v>
      </c>
      <c r="R130" s="2097">
        <v>5104</v>
      </c>
      <c r="S130" s="1969"/>
      <c r="T130" s="921"/>
      <c r="U130" s="2002"/>
      <c r="V130" s="206">
        <f t="shared" si="7"/>
        <v>34368</v>
      </c>
    </row>
    <row r="131" spans="1:22">
      <c r="A131" s="1340">
        <v>2004.02</v>
      </c>
      <c r="B131" s="260">
        <v>414</v>
      </c>
      <c r="C131" s="2097">
        <v>441</v>
      </c>
      <c r="D131" s="2156"/>
      <c r="E131" s="2097">
        <v>421.31399999999996</v>
      </c>
      <c r="F131" s="260">
        <v>0</v>
      </c>
      <c r="G131" s="3153"/>
      <c r="H131" s="196">
        <f t="shared" si="4"/>
        <v>0</v>
      </c>
      <c r="I131" s="260">
        <v>7688</v>
      </c>
      <c r="J131" s="2157"/>
      <c r="K131" s="263">
        <f t="shared" si="5"/>
        <v>7688</v>
      </c>
      <c r="L131" s="1313">
        <v>97308</v>
      </c>
      <c r="M131" s="225">
        <v>0</v>
      </c>
      <c r="N131" s="1969"/>
      <c r="O131" s="2158">
        <f t="shared" si="6"/>
        <v>97308</v>
      </c>
      <c r="P131" s="2097">
        <v>5436</v>
      </c>
      <c r="Q131" s="2097">
        <v>17012</v>
      </c>
      <c r="R131" s="2097">
        <v>3935</v>
      </c>
      <c r="S131" s="1969"/>
      <c r="T131" s="921"/>
      <c r="U131" s="2002"/>
      <c r="V131" s="206">
        <f t="shared" si="7"/>
        <v>26383</v>
      </c>
    </row>
    <row r="132" spans="1:22">
      <c r="A132" s="1340">
        <v>2004.03</v>
      </c>
      <c r="B132" s="260">
        <v>281</v>
      </c>
      <c r="C132" s="2097">
        <v>345</v>
      </c>
      <c r="D132" s="2156"/>
      <c r="E132" s="2097">
        <v>478</v>
      </c>
      <c r="F132" s="260">
        <v>609</v>
      </c>
      <c r="G132" s="3153"/>
      <c r="H132" s="196">
        <f t="shared" si="4"/>
        <v>609</v>
      </c>
      <c r="I132" s="260">
        <v>12468.082</v>
      </c>
      <c r="J132" s="2157"/>
      <c r="K132" s="263">
        <f t="shared" si="5"/>
        <v>12468.082</v>
      </c>
      <c r="L132" s="1313">
        <v>119306.1</v>
      </c>
      <c r="M132" s="225">
        <v>12591</v>
      </c>
      <c r="N132" s="1969"/>
      <c r="O132" s="2158">
        <f t="shared" si="6"/>
        <v>131897.1</v>
      </c>
      <c r="P132" s="2097">
        <v>6747</v>
      </c>
      <c r="Q132" s="2097">
        <v>21394</v>
      </c>
      <c r="R132" s="2097">
        <v>4835</v>
      </c>
      <c r="S132" s="1969"/>
      <c r="T132" s="921"/>
      <c r="U132" s="2002"/>
      <c r="V132" s="206">
        <f t="shared" si="7"/>
        <v>32976</v>
      </c>
    </row>
    <row r="133" spans="1:22">
      <c r="A133" s="1340">
        <v>2004.04</v>
      </c>
      <c r="B133" s="260">
        <v>66</v>
      </c>
      <c r="C133" s="2097">
        <v>99</v>
      </c>
      <c r="D133" s="2156"/>
      <c r="E133" s="2097">
        <v>870</v>
      </c>
      <c r="F133" s="260">
        <v>598</v>
      </c>
      <c r="G133" s="3153"/>
      <c r="H133" s="196">
        <f t="shared" si="4"/>
        <v>598</v>
      </c>
      <c r="I133" s="260">
        <v>16630</v>
      </c>
      <c r="J133" s="2157"/>
      <c r="K133" s="263">
        <f t="shared" si="5"/>
        <v>16630</v>
      </c>
      <c r="L133" s="1313">
        <v>109061</v>
      </c>
      <c r="M133" s="225">
        <v>12467</v>
      </c>
      <c r="N133" s="1969"/>
      <c r="O133" s="2158">
        <f t="shared" si="6"/>
        <v>121528</v>
      </c>
      <c r="P133" s="2097">
        <v>6304</v>
      </c>
      <c r="Q133" s="2097">
        <v>20932</v>
      </c>
      <c r="R133" s="2097">
        <v>4642</v>
      </c>
      <c r="S133" s="1969"/>
      <c r="T133" s="921"/>
      <c r="U133" s="2002"/>
      <c r="V133" s="206">
        <f t="shared" si="7"/>
        <v>31878</v>
      </c>
    </row>
    <row r="134" spans="1:22">
      <c r="A134" s="1340">
        <v>2004.05</v>
      </c>
      <c r="B134" s="260">
        <v>109</v>
      </c>
      <c r="C134" s="2097">
        <v>65</v>
      </c>
      <c r="D134" s="2156"/>
      <c r="E134" s="2097">
        <v>2496.1</v>
      </c>
      <c r="F134" s="260">
        <v>522</v>
      </c>
      <c r="G134" s="3153"/>
      <c r="H134" s="196">
        <f t="shared" si="4"/>
        <v>522</v>
      </c>
      <c r="I134" s="260">
        <v>15847</v>
      </c>
      <c r="J134" s="2157"/>
      <c r="K134" s="263">
        <f t="shared" si="5"/>
        <v>15847</v>
      </c>
      <c r="L134" s="1313">
        <v>110768</v>
      </c>
      <c r="M134" s="225">
        <v>14091</v>
      </c>
      <c r="N134" s="1969"/>
      <c r="O134" s="2158">
        <f t="shared" si="6"/>
        <v>124859</v>
      </c>
      <c r="P134" s="2097">
        <v>5957</v>
      </c>
      <c r="Q134" s="2097">
        <v>19263</v>
      </c>
      <c r="R134" s="2097">
        <v>4341</v>
      </c>
      <c r="S134" s="1969"/>
      <c r="T134" s="921"/>
      <c r="U134" s="2002"/>
      <c r="V134" s="206">
        <f t="shared" si="7"/>
        <v>29561</v>
      </c>
    </row>
    <row r="135" spans="1:22">
      <c r="A135" s="1340">
        <v>2004.06</v>
      </c>
      <c r="B135" s="260">
        <v>30</v>
      </c>
      <c r="C135" s="2097">
        <v>61</v>
      </c>
      <c r="D135" s="2156"/>
      <c r="E135" s="2097">
        <v>2047.6</v>
      </c>
      <c r="F135" s="260">
        <v>259.80900000000003</v>
      </c>
      <c r="G135" s="3153"/>
      <c r="H135" s="196">
        <f t="shared" si="4"/>
        <v>259.80900000000003</v>
      </c>
      <c r="I135" s="260">
        <v>17908.28</v>
      </c>
      <c r="J135" s="2157"/>
      <c r="K135" s="263">
        <f t="shared" si="5"/>
        <v>17908.28</v>
      </c>
      <c r="L135" s="1313">
        <v>96182.080000000002</v>
      </c>
      <c r="M135" s="225">
        <v>13523</v>
      </c>
      <c r="N135" s="1969"/>
      <c r="O135" s="2158">
        <f t="shared" si="6"/>
        <v>109705.08</v>
      </c>
      <c r="P135" s="2097">
        <v>5339</v>
      </c>
      <c r="Q135" s="2097">
        <v>17869</v>
      </c>
      <c r="R135" s="2097">
        <v>5378</v>
      </c>
      <c r="S135" s="1969"/>
      <c r="T135" s="921"/>
      <c r="U135" s="2002"/>
      <c r="V135" s="206">
        <f t="shared" si="7"/>
        <v>28586</v>
      </c>
    </row>
    <row r="136" spans="1:22">
      <c r="A136" s="1340">
        <v>2004.07</v>
      </c>
      <c r="B136" s="260">
        <v>52</v>
      </c>
      <c r="C136" s="2097">
        <v>84</v>
      </c>
      <c r="D136" s="2156"/>
      <c r="E136" s="2097">
        <v>2029.2</v>
      </c>
      <c r="F136" s="260">
        <v>272</v>
      </c>
      <c r="G136" s="3153"/>
      <c r="H136" s="196">
        <f t="shared" si="4"/>
        <v>272</v>
      </c>
      <c r="I136" s="260">
        <v>6446</v>
      </c>
      <c r="J136" s="2157"/>
      <c r="K136" s="263">
        <f t="shared" si="5"/>
        <v>6446</v>
      </c>
      <c r="L136" s="1313">
        <v>89797</v>
      </c>
      <c r="M136" s="225">
        <v>11245</v>
      </c>
      <c r="N136" s="1969"/>
      <c r="O136" s="2158">
        <f t="shared" si="6"/>
        <v>101042</v>
      </c>
      <c r="P136" s="2097">
        <v>5507</v>
      </c>
      <c r="Q136" s="2097">
        <v>17946</v>
      </c>
      <c r="R136" s="2097">
        <v>6543</v>
      </c>
      <c r="S136" s="1969"/>
      <c r="T136" s="921"/>
      <c r="U136" s="2002"/>
      <c r="V136" s="206">
        <f t="shared" si="7"/>
        <v>29996</v>
      </c>
    </row>
    <row r="137" spans="1:22">
      <c r="A137" s="1340">
        <v>2004.08</v>
      </c>
      <c r="B137" s="260">
        <v>45</v>
      </c>
      <c r="C137" s="2097">
        <v>59</v>
      </c>
      <c r="D137" s="2156"/>
      <c r="E137" s="2097">
        <v>1279</v>
      </c>
      <c r="F137" s="260">
        <v>0</v>
      </c>
      <c r="G137" s="3153"/>
      <c r="H137" s="196">
        <f t="shared" si="4"/>
        <v>0</v>
      </c>
      <c r="I137" s="260">
        <v>1041</v>
      </c>
      <c r="J137" s="2157"/>
      <c r="K137" s="263">
        <f t="shared" si="5"/>
        <v>1041</v>
      </c>
      <c r="L137" s="1313">
        <v>56798</v>
      </c>
      <c r="M137" s="225">
        <v>11500</v>
      </c>
      <c r="N137" s="1969"/>
      <c r="O137" s="2158">
        <f t="shared" si="6"/>
        <v>68298</v>
      </c>
      <c r="P137" s="2097">
        <v>5205</v>
      </c>
      <c r="Q137" s="2097">
        <v>17096</v>
      </c>
      <c r="R137" s="2097">
        <v>5683</v>
      </c>
      <c r="S137" s="1969"/>
      <c r="T137" s="921"/>
      <c r="U137" s="2002"/>
      <c r="V137" s="206">
        <f t="shared" si="7"/>
        <v>27984</v>
      </c>
    </row>
    <row r="138" spans="1:22">
      <c r="A138" s="1340">
        <v>2004.09</v>
      </c>
      <c r="B138" s="260">
        <v>44</v>
      </c>
      <c r="C138" s="2097">
        <v>52</v>
      </c>
      <c r="D138" s="2156"/>
      <c r="E138" s="2097">
        <v>239.2</v>
      </c>
      <c r="F138" s="260">
        <v>0</v>
      </c>
      <c r="G138" s="3153"/>
      <c r="H138" s="196">
        <f t="shared" ref="H138:H201" si="8">F138+G138</f>
        <v>0</v>
      </c>
      <c r="I138" s="260">
        <v>495</v>
      </c>
      <c r="J138" s="2157"/>
      <c r="K138" s="263">
        <f t="shared" ref="K138:K201" si="9">I138+J138</f>
        <v>495</v>
      </c>
      <c r="L138" s="1313">
        <v>83862</v>
      </c>
      <c r="M138" s="225">
        <v>12131</v>
      </c>
      <c r="N138" s="1969"/>
      <c r="O138" s="2158">
        <f t="shared" si="6"/>
        <v>95993</v>
      </c>
      <c r="P138" s="2097">
        <v>5035</v>
      </c>
      <c r="Q138" s="2097">
        <v>17355</v>
      </c>
      <c r="R138" s="2097">
        <v>5823</v>
      </c>
      <c r="S138" s="1969"/>
      <c r="T138" s="921"/>
      <c r="U138" s="2002"/>
      <c r="V138" s="206">
        <f t="shared" si="7"/>
        <v>28213</v>
      </c>
    </row>
    <row r="139" spans="1:22">
      <c r="A139" s="1340">
        <v>2004.1</v>
      </c>
      <c r="B139" s="260">
        <v>135</v>
      </c>
      <c r="C139" s="2097">
        <v>55</v>
      </c>
      <c r="D139" s="2156"/>
      <c r="E139" s="2097">
        <v>195</v>
      </c>
      <c r="F139" s="260">
        <v>914</v>
      </c>
      <c r="G139" s="3153"/>
      <c r="H139" s="196">
        <f t="shared" si="8"/>
        <v>914</v>
      </c>
      <c r="I139" s="260">
        <v>877</v>
      </c>
      <c r="J139" s="2157"/>
      <c r="K139" s="263">
        <f t="shared" si="9"/>
        <v>877</v>
      </c>
      <c r="L139" s="1313">
        <v>77879.399999999994</v>
      </c>
      <c r="M139" s="225">
        <v>8771.4</v>
      </c>
      <c r="N139" s="1969"/>
      <c r="O139" s="2158">
        <f t="shared" si="6"/>
        <v>86650.799999999988</v>
      </c>
      <c r="P139" s="2097">
        <v>3703</v>
      </c>
      <c r="Q139" s="2097">
        <v>15267</v>
      </c>
      <c r="R139" s="2097">
        <v>6038</v>
      </c>
      <c r="S139" s="1969"/>
      <c r="T139" s="921"/>
      <c r="U139" s="2002"/>
      <c r="V139" s="206">
        <f t="shared" si="7"/>
        <v>25008</v>
      </c>
    </row>
    <row r="140" spans="1:22">
      <c r="A140" s="1340">
        <v>2004.11</v>
      </c>
      <c r="B140" s="260">
        <v>127</v>
      </c>
      <c r="C140" s="2097">
        <v>82</v>
      </c>
      <c r="D140" s="2156"/>
      <c r="E140" s="2097">
        <v>180</v>
      </c>
      <c r="F140" s="260">
        <v>0</v>
      </c>
      <c r="G140" s="3153"/>
      <c r="H140" s="196">
        <f t="shared" si="8"/>
        <v>0</v>
      </c>
      <c r="I140" s="260">
        <v>2453</v>
      </c>
      <c r="J140" s="2157"/>
      <c r="K140" s="263">
        <f t="shared" si="9"/>
        <v>2453</v>
      </c>
      <c r="L140" s="1313">
        <v>82154</v>
      </c>
      <c r="M140" s="225">
        <v>2753</v>
      </c>
      <c r="N140" s="1969"/>
      <c r="O140" s="2158">
        <f t="shared" ref="O140:O200" si="10">L140+M140+N140</f>
        <v>84907</v>
      </c>
      <c r="P140" s="2097">
        <v>3336</v>
      </c>
      <c r="Q140" s="2097">
        <v>13840</v>
      </c>
      <c r="R140" s="2097">
        <v>5798</v>
      </c>
      <c r="S140" s="1969"/>
      <c r="T140" s="921"/>
      <c r="U140" s="2002"/>
      <c r="V140" s="206">
        <f t="shared" ref="V140:V203" si="11">SUM(P140:U140)</f>
        <v>22974</v>
      </c>
    </row>
    <row r="141" spans="1:22">
      <c r="A141" s="1340">
        <v>2004.12</v>
      </c>
      <c r="B141" s="260">
        <v>91</v>
      </c>
      <c r="C141" s="2097">
        <v>82</v>
      </c>
      <c r="D141" s="2156"/>
      <c r="E141" s="2097">
        <v>269</v>
      </c>
      <c r="F141" s="260">
        <v>1182</v>
      </c>
      <c r="G141" s="3153"/>
      <c r="H141" s="196">
        <f t="shared" si="8"/>
        <v>1182</v>
      </c>
      <c r="I141" s="260">
        <v>6394.1180000000004</v>
      </c>
      <c r="J141" s="2157"/>
      <c r="K141" s="263">
        <f t="shared" si="9"/>
        <v>6394.1180000000004</v>
      </c>
      <c r="L141" s="1313">
        <v>102176.5</v>
      </c>
      <c r="M141" s="225">
        <v>2694.14</v>
      </c>
      <c r="N141" s="1969"/>
      <c r="O141" s="2158">
        <f t="shared" si="10"/>
        <v>104870.64</v>
      </c>
      <c r="P141" s="2097">
        <v>4490</v>
      </c>
      <c r="Q141" s="2097">
        <v>18699</v>
      </c>
      <c r="R141" s="2097">
        <v>7032</v>
      </c>
      <c r="S141" s="1969"/>
      <c r="T141" s="921"/>
      <c r="U141" s="2002"/>
      <c r="V141" s="206">
        <f t="shared" si="11"/>
        <v>30221</v>
      </c>
    </row>
    <row r="142" spans="1:22">
      <c r="A142" s="1340">
        <v>2005.01</v>
      </c>
      <c r="B142" s="260">
        <v>57</v>
      </c>
      <c r="C142" s="2097">
        <v>127</v>
      </c>
      <c r="D142" s="2156"/>
      <c r="E142" s="2097">
        <v>365.9</v>
      </c>
      <c r="F142" s="260">
        <v>634.61</v>
      </c>
      <c r="G142" s="3153"/>
      <c r="H142" s="196">
        <f t="shared" si="8"/>
        <v>634.61</v>
      </c>
      <c r="I142" s="260">
        <v>4810.71</v>
      </c>
      <c r="J142" s="2157"/>
      <c r="K142" s="263">
        <f t="shared" si="9"/>
        <v>4810.71</v>
      </c>
      <c r="L142" s="1313">
        <v>102083.44</v>
      </c>
      <c r="M142" s="225">
        <v>3646.65</v>
      </c>
      <c r="N142" s="1969"/>
      <c r="O142" s="2158">
        <f t="shared" si="10"/>
        <v>105730.09</v>
      </c>
      <c r="P142" s="2097">
        <v>3256.23</v>
      </c>
      <c r="Q142" s="2097">
        <v>16827.740000000002</v>
      </c>
      <c r="R142" s="2097">
        <v>6331.28</v>
      </c>
      <c r="S142" s="1969"/>
      <c r="T142" s="921"/>
      <c r="U142" s="2002"/>
      <c r="V142" s="206">
        <f t="shared" si="11"/>
        <v>26415.25</v>
      </c>
    </row>
    <row r="143" spans="1:22">
      <c r="A143" s="1340">
        <v>2005.02</v>
      </c>
      <c r="B143" s="260">
        <v>144</v>
      </c>
      <c r="C143" s="2097">
        <v>250</v>
      </c>
      <c r="D143" s="2156"/>
      <c r="E143" s="2097">
        <v>320.39999999999998</v>
      </c>
      <c r="F143" s="260">
        <v>1027.69</v>
      </c>
      <c r="G143" s="3153"/>
      <c r="H143" s="196">
        <f t="shared" si="8"/>
        <v>1027.69</v>
      </c>
      <c r="I143" s="260">
        <v>10659.95</v>
      </c>
      <c r="J143" s="2157"/>
      <c r="K143" s="263">
        <f t="shared" si="9"/>
        <v>10659.95</v>
      </c>
      <c r="L143" s="1313">
        <v>57897.24</v>
      </c>
      <c r="M143" s="225">
        <v>2881.78</v>
      </c>
      <c r="N143" s="1969"/>
      <c r="O143" s="2158">
        <f t="shared" si="10"/>
        <v>60779.02</v>
      </c>
      <c r="P143" s="2097">
        <v>3276.66</v>
      </c>
      <c r="Q143" s="2097">
        <v>15224.26</v>
      </c>
      <c r="R143" s="2097">
        <v>5862.54</v>
      </c>
      <c r="S143" s="1969"/>
      <c r="T143" s="921"/>
      <c r="U143" s="2002"/>
      <c r="V143" s="206">
        <f t="shared" si="11"/>
        <v>24363.46</v>
      </c>
    </row>
    <row r="144" spans="1:22">
      <c r="A144" s="1340">
        <v>2005.03</v>
      </c>
      <c r="B144" s="260">
        <v>157</v>
      </c>
      <c r="C144" s="2097">
        <v>136</v>
      </c>
      <c r="D144" s="2156"/>
      <c r="E144" s="2097">
        <v>399.89</v>
      </c>
      <c r="F144" s="260">
        <v>886.59</v>
      </c>
      <c r="G144" s="3153"/>
      <c r="H144" s="196">
        <f t="shared" si="8"/>
        <v>886.59</v>
      </c>
      <c r="I144" s="260">
        <v>11059.03</v>
      </c>
      <c r="J144" s="2157"/>
      <c r="K144" s="263">
        <f t="shared" si="9"/>
        <v>11059.03</v>
      </c>
      <c r="L144" s="1313">
        <v>112400.63</v>
      </c>
      <c r="M144" s="225">
        <v>3129.5</v>
      </c>
      <c r="N144" s="1969"/>
      <c r="O144" s="2158">
        <f t="shared" si="10"/>
        <v>115530.13</v>
      </c>
      <c r="P144" s="2097">
        <v>3775.46</v>
      </c>
      <c r="Q144" s="2097">
        <v>17409.849999999999</v>
      </c>
      <c r="R144" s="2097">
        <v>6920.33</v>
      </c>
      <c r="S144" s="1969"/>
      <c r="T144" s="921"/>
      <c r="U144" s="2002"/>
      <c r="V144" s="206">
        <f t="shared" si="11"/>
        <v>28105.64</v>
      </c>
    </row>
    <row r="145" spans="1:22">
      <c r="A145" s="1340">
        <v>2005.04</v>
      </c>
      <c r="B145" s="260">
        <v>67</v>
      </c>
      <c r="C145" s="2097">
        <v>93</v>
      </c>
      <c r="D145" s="2156"/>
      <c r="E145" s="2097">
        <v>1039.9000000000001</v>
      </c>
      <c r="F145" s="260">
        <v>110.66</v>
      </c>
      <c r="G145" s="3153"/>
      <c r="H145" s="196">
        <f t="shared" si="8"/>
        <v>110.66</v>
      </c>
      <c r="I145" s="260">
        <v>16680.455999999998</v>
      </c>
      <c r="J145" s="2157"/>
      <c r="K145" s="263">
        <f t="shared" si="9"/>
        <v>16680.455999999998</v>
      </c>
      <c r="L145" s="1313">
        <v>113796.35</v>
      </c>
      <c r="M145" s="225">
        <v>3136.7</v>
      </c>
      <c r="N145" s="1969"/>
      <c r="O145" s="2158">
        <f t="shared" si="10"/>
        <v>116933.05</v>
      </c>
      <c r="P145" s="2097">
        <v>3410.32</v>
      </c>
      <c r="Q145" s="2097">
        <v>16155.3</v>
      </c>
      <c r="R145" s="2097">
        <v>6228.04</v>
      </c>
      <c r="S145" s="1969"/>
      <c r="T145" s="921"/>
      <c r="U145" s="2002"/>
      <c r="V145" s="206">
        <f t="shared" si="11"/>
        <v>25793.66</v>
      </c>
    </row>
    <row r="146" spans="1:22">
      <c r="A146" s="1340">
        <v>2005.05</v>
      </c>
      <c r="B146" s="260">
        <v>32</v>
      </c>
      <c r="C146" s="2097">
        <v>32</v>
      </c>
      <c r="D146" s="2156"/>
      <c r="E146" s="2097">
        <v>1137.7</v>
      </c>
      <c r="F146" s="260">
        <v>1019.15</v>
      </c>
      <c r="G146" s="3153"/>
      <c r="H146" s="196">
        <f t="shared" si="8"/>
        <v>1019.15</v>
      </c>
      <c r="I146" s="260">
        <v>10697.23</v>
      </c>
      <c r="J146" s="2157"/>
      <c r="K146" s="263">
        <f t="shared" si="9"/>
        <v>10697.23</v>
      </c>
      <c r="L146" s="1313">
        <v>103454.33</v>
      </c>
      <c r="M146" s="225">
        <v>3147.98</v>
      </c>
      <c r="N146" s="1969"/>
      <c r="O146" s="2158">
        <f t="shared" si="10"/>
        <v>106602.31</v>
      </c>
      <c r="P146" s="2097">
        <v>3455.85</v>
      </c>
      <c r="Q146" s="2097">
        <v>16591.900000000001</v>
      </c>
      <c r="R146" s="2097">
        <v>8341.6</v>
      </c>
      <c r="S146" s="1969"/>
      <c r="T146" s="921"/>
      <c r="U146" s="2002"/>
      <c r="V146" s="206">
        <f t="shared" si="11"/>
        <v>28389.35</v>
      </c>
    </row>
    <row r="147" spans="1:22">
      <c r="A147" s="1340">
        <v>2005.06</v>
      </c>
      <c r="B147" s="260">
        <v>92</v>
      </c>
      <c r="C147" s="2097">
        <v>34</v>
      </c>
      <c r="D147" s="2156"/>
      <c r="E147" s="2097">
        <v>1761.73</v>
      </c>
      <c r="F147" s="260">
        <v>1405.94</v>
      </c>
      <c r="G147" s="3153"/>
      <c r="H147" s="196">
        <f t="shared" si="8"/>
        <v>1405.94</v>
      </c>
      <c r="I147" s="260">
        <v>34897.72</v>
      </c>
      <c r="J147" s="2157"/>
      <c r="K147" s="263">
        <f t="shared" si="9"/>
        <v>34897.72</v>
      </c>
      <c r="L147" s="1313">
        <v>100761.76</v>
      </c>
      <c r="M147" s="225">
        <v>3283.46</v>
      </c>
      <c r="N147" s="1969"/>
      <c r="O147" s="2158">
        <f t="shared" si="10"/>
        <v>104045.22</v>
      </c>
      <c r="P147" s="2097">
        <v>3335.11</v>
      </c>
      <c r="Q147" s="2097">
        <v>16705.439999999999</v>
      </c>
      <c r="R147" s="2097">
        <v>6735.22</v>
      </c>
      <c r="S147" s="1969"/>
      <c r="T147" s="921"/>
      <c r="U147" s="2002"/>
      <c r="V147" s="206">
        <f t="shared" si="11"/>
        <v>26775.77</v>
      </c>
    </row>
    <row r="148" spans="1:22">
      <c r="A148" s="1340">
        <v>2005.07</v>
      </c>
      <c r="B148" s="260">
        <v>17</v>
      </c>
      <c r="C148" s="2097">
        <v>39</v>
      </c>
      <c r="D148" s="2156"/>
      <c r="E148" s="2097">
        <v>2370.7199999999998</v>
      </c>
      <c r="F148" s="260">
        <v>812.3</v>
      </c>
      <c r="G148" s="3153"/>
      <c r="H148" s="196">
        <f t="shared" si="8"/>
        <v>812.3</v>
      </c>
      <c r="I148" s="260">
        <v>24808.04</v>
      </c>
      <c r="J148" s="2157"/>
      <c r="K148" s="263">
        <f t="shared" si="9"/>
        <v>24808.04</v>
      </c>
      <c r="L148" s="1313">
        <v>110743.17</v>
      </c>
      <c r="M148" s="225">
        <v>3299.04</v>
      </c>
      <c r="N148" s="1969"/>
      <c r="O148" s="2158">
        <f t="shared" si="10"/>
        <v>114042.20999999999</v>
      </c>
      <c r="P148" s="2097">
        <v>3666.03</v>
      </c>
      <c r="Q148" s="2097">
        <v>17542.03</v>
      </c>
      <c r="R148" s="2097">
        <v>7696.52</v>
      </c>
      <c r="S148" s="1969"/>
      <c r="T148" s="921"/>
      <c r="U148" s="2002"/>
      <c r="V148" s="206">
        <f t="shared" si="11"/>
        <v>28904.579999999998</v>
      </c>
    </row>
    <row r="149" spans="1:22">
      <c r="A149" s="1340">
        <v>2005.08</v>
      </c>
      <c r="B149" s="260">
        <v>57</v>
      </c>
      <c r="C149" s="2097">
        <v>59</v>
      </c>
      <c r="D149" s="2156"/>
      <c r="E149" s="2097">
        <v>1399.94</v>
      </c>
      <c r="F149" s="260">
        <v>1208.3800000000001</v>
      </c>
      <c r="G149" s="3153"/>
      <c r="H149" s="196">
        <f t="shared" si="8"/>
        <v>1208.3800000000001</v>
      </c>
      <c r="I149" s="260">
        <v>16975.599999999999</v>
      </c>
      <c r="J149" s="2157"/>
      <c r="K149" s="263">
        <f t="shared" si="9"/>
        <v>16975.599999999999</v>
      </c>
      <c r="L149" s="1313">
        <v>108354.82</v>
      </c>
      <c r="M149" s="225">
        <v>3321.1</v>
      </c>
      <c r="N149" s="1969"/>
      <c r="O149" s="2158">
        <f t="shared" si="10"/>
        <v>111675.92000000001</v>
      </c>
      <c r="P149" s="2097">
        <v>3469.5</v>
      </c>
      <c r="Q149" s="2097">
        <v>18172.349999999999</v>
      </c>
      <c r="R149" s="2097">
        <v>8056.05</v>
      </c>
      <c r="S149" s="1969"/>
      <c r="T149" s="921"/>
      <c r="U149" s="2002"/>
      <c r="V149" s="206">
        <f t="shared" si="11"/>
        <v>29697.899999999998</v>
      </c>
    </row>
    <row r="150" spans="1:22">
      <c r="A150" s="1340">
        <v>2005.09</v>
      </c>
      <c r="B150" s="260">
        <v>32</v>
      </c>
      <c r="C150" s="2097">
        <v>64</v>
      </c>
      <c r="D150" s="2156"/>
      <c r="E150" s="2097">
        <v>976.58</v>
      </c>
      <c r="F150" s="260">
        <v>1665.15</v>
      </c>
      <c r="G150" s="3153"/>
      <c r="H150" s="196">
        <f t="shared" si="8"/>
        <v>1665.15</v>
      </c>
      <c r="I150" s="260">
        <v>15028.3</v>
      </c>
      <c r="J150" s="2157"/>
      <c r="K150" s="263">
        <f t="shared" si="9"/>
        <v>15028.3</v>
      </c>
      <c r="L150" s="1313">
        <v>119570.47</v>
      </c>
      <c r="M150" s="225">
        <v>19698.810000000001</v>
      </c>
      <c r="N150" s="1969"/>
      <c r="O150" s="2158">
        <f t="shared" si="10"/>
        <v>139269.28</v>
      </c>
      <c r="P150" s="2097">
        <v>3486.48</v>
      </c>
      <c r="Q150" s="2097">
        <v>17732.169999999998</v>
      </c>
      <c r="R150" s="2097">
        <v>7736.89</v>
      </c>
      <c r="S150" s="1969"/>
      <c r="T150" s="921"/>
      <c r="U150" s="2002"/>
      <c r="V150" s="206">
        <f t="shared" si="11"/>
        <v>28955.539999999997</v>
      </c>
    </row>
    <row r="151" spans="1:22">
      <c r="A151" s="1340">
        <v>2005.1</v>
      </c>
      <c r="B151" s="260">
        <v>86</v>
      </c>
      <c r="C151" s="2097">
        <v>99</v>
      </c>
      <c r="D151" s="2156"/>
      <c r="E151" s="2097">
        <v>272.97899999999998</v>
      </c>
      <c r="F151" s="260">
        <v>1226.57</v>
      </c>
      <c r="G151" s="3153"/>
      <c r="H151" s="196">
        <f t="shared" si="8"/>
        <v>1226.57</v>
      </c>
      <c r="I151" s="260">
        <v>3158.05</v>
      </c>
      <c r="J151" s="2157"/>
      <c r="K151" s="263">
        <f t="shared" si="9"/>
        <v>3158.05</v>
      </c>
      <c r="L151" s="1313">
        <v>115486.8</v>
      </c>
      <c r="M151" s="225">
        <v>3178.15</v>
      </c>
      <c r="N151" s="1969"/>
      <c r="O151" s="2158">
        <f t="shared" si="10"/>
        <v>118664.95</v>
      </c>
      <c r="P151" s="2097">
        <v>3738.22</v>
      </c>
      <c r="Q151" s="2097">
        <v>19185.02</v>
      </c>
      <c r="R151" s="2097">
        <v>8401.31</v>
      </c>
      <c r="S151" s="1969"/>
      <c r="T151" s="921"/>
      <c r="U151" s="2002"/>
      <c r="V151" s="206">
        <f t="shared" si="11"/>
        <v>31324.550000000003</v>
      </c>
    </row>
    <row r="152" spans="1:22">
      <c r="A152" s="1340">
        <v>2005.11</v>
      </c>
      <c r="B152" s="260">
        <v>125</v>
      </c>
      <c r="C152" s="2097">
        <v>56</v>
      </c>
      <c r="D152" s="2156"/>
      <c r="E152" s="2097">
        <v>331.66399999999999</v>
      </c>
      <c r="F152" s="260">
        <v>1379.2</v>
      </c>
      <c r="G152" s="3153"/>
      <c r="H152" s="196">
        <f t="shared" si="8"/>
        <v>1379.2</v>
      </c>
      <c r="I152" s="260">
        <v>11898.06</v>
      </c>
      <c r="J152" s="2157"/>
      <c r="K152" s="263">
        <f t="shared" si="9"/>
        <v>11898.06</v>
      </c>
      <c r="L152" s="1313">
        <v>126333.03</v>
      </c>
      <c r="M152" s="225">
        <v>18237.64</v>
      </c>
      <c r="N152" s="1969"/>
      <c r="O152" s="2158">
        <f t="shared" si="10"/>
        <v>144570.66999999998</v>
      </c>
      <c r="P152" s="2097">
        <v>3477.63</v>
      </c>
      <c r="Q152" s="2097">
        <v>18173.11</v>
      </c>
      <c r="R152" s="2097">
        <v>8969.0499999999993</v>
      </c>
      <c r="S152" s="1969"/>
      <c r="T152" s="921"/>
      <c r="U152" s="2002"/>
      <c r="V152" s="206">
        <f t="shared" si="11"/>
        <v>30619.79</v>
      </c>
    </row>
    <row r="153" spans="1:22">
      <c r="A153" s="1340">
        <v>2005.12</v>
      </c>
      <c r="B153" s="260">
        <v>118</v>
      </c>
      <c r="C153" s="2097">
        <v>155</v>
      </c>
      <c r="D153" s="2156"/>
      <c r="E153" s="2097">
        <v>301.55599999999998</v>
      </c>
      <c r="F153" s="260">
        <v>1426.16</v>
      </c>
      <c r="G153" s="3153"/>
      <c r="H153" s="196">
        <f t="shared" si="8"/>
        <v>1426.16</v>
      </c>
      <c r="I153" s="260">
        <v>4103.6499999999996</v>
      </c>
      <c r="J153" s="2157"/>
      <c r="K153" s="263">
        <f t="shared" si="9"/>
        <v>4103.6499999999996</v>
      </c>
      <c r="L153" s="1313">
        <v>116390.21</v>
      </c>
      <c r="M153" s="225">
        <v>18409.32</v>
      </c>
      <c r="N153" s="1969"/>
      <c r="O153" s="2158">
        <f t="shared" si="10"/>
        <v>134799.53</v>
      </c>
      <c r="P153" s="2097">
        <v>3575.8</v>
      </c>
      <c r="Q153" s="2097">
        <v>17587.18</v>
      </c>
      <c r="R153" s="2097">
        <v>9738.18</v>
      </c>
      <c r="S153" s="1969"/>
      <c r="T153" s="921"/>
      <c r="U153" s="2002"/>
      <c r="V153" s="206">
        <f t="shared" si="11"/>
        <v>30901.16</v>
      </c>
    </row>
    <row r="154" spans="1:22">
      <c r="A154" s="1340">
        <v>2006.01</v>
      </c>
      <c r="B154" s="260">
        <v>80</v>
      </c>
      <c r="C154" s="2097">
        <v>178</v>
      </c>
      <c r="D154" s="2156"/>
      <c r="E154" s="2097">
        <v>379.62099999999998</v>
      </c>
      <c r="F154" s="260">
        <v>962.11</v>
      </c>
      <c r="G154" s="3153"/>
      <c r="H154" s="196">
        <f t="shared" si="8"/>
        <v>962.11</v>
      </c>
      <c r="I154" s="260">
        <v>13486.4</v>
      </c>
      <c r="J154" s="2157"/>
      <c r="K154" s="263">
        <f t="shared" si="9"/>
        <v>13486.4</v>
      </c>
      <c r="L154" s="1313">
        <v>100632.33</v>
      </c>
      <c r="M154" s="225">
        <v>3094.55</v>
      </c>
      <c r="N154" s="1969"/>
      <c r="O154" s="2158">
        <f t="shared" si="10"/>
        <v>103726.88</v>
      </c>
      <c r="P154" s="2097">
        <v>3409.31</v>
      </c>
      <c r="Q154" s="2097">
        <v>19991.89</v>
      </c>
      <c r="R154" s="2097">
        <v>9183.09</v>
      </c>
      <c r="S154" s="1969"/>
      <c r="T154" s="921"/>
      <c r="U154" s="2002"/>
      <c r="V154" s="206">
        <f t="shared" si="11"/>
        <v>32584.29</v>
      </c>
    </row>
    <row r="155" spans="1:22">
      <c r="A155" s="1340">
        <v>2006.02</v>
      </c>
      <c r="B155" s="260">
        <v>108</v>
      </c>
      <c r="C155" s="2097">
        <v>265</v>
      </c>
      <c r="D155" s="2156"/>
      <c r="E155" s="2097">
        <v>331.1</v>
      </c>
      <c r="F155" s="260">
        <v>870.32</v>
      </c>
      <c r="G155" s="3153"/>
      <c r="H155" s="196">
        <f t="shared" si="8"/>
        <v>870.32</v>
      </c>
      <c r="I155" s="260">
        <v>4845.22</v>
      </c>
      <c r="J155" s="2157"/>
      <c r="K155" s="263">
        <f t="shared" si="9"/>
        <v>4845.22</v>
      </c>
      <c r="L155" s="1313">
        <v>91885.69</v>
      </c>
      <c r="M155" s="225">
        <v>2949.14</v>
      </c>
      <c r="N155" s="1969"/>
      <c r="O155" s="2158">
        <f t="shared" si="10"/>
        <v>94834.83</v>
      </c>
      <c r="P155" s="2097">
        <v>3184.22</v>
      </c>
      <c r="Q155" s="2097">
        <v>18176.77</v>
      </c>
      <c r="R155" s="2097">
        <v>8730.75</v>
      </c>
      <c r="S155" s="1969"/>
      <c r="T155" s="921"/>
      <c r="U155" s="2002"/>
      <c r="V155" s="206">
        <f t="shared" si="11"/>
        <v>30091.74</v>
      </c>
    </row>
    <row r="156" spans="1:22">
      <c r="A156" s="1340">
        <v>2006.03</v>
      </c>
      <c r="B156" s="260">
        <v>140</v>
      </c>
      <c r="C156" s="2097">
        <v>110</v>
      </c>
      <c r="D156" s="2156"/>
      <c r="E156" s="2097">
        <v>408.20200000000006</v>
      </c>
      <c r="F156" s="260">
        <v>1044.1199999999999</v>
      </c>
      <c r="G156" s="3153"/>
      <c r="H156" s="196">
        <f t="shared" si="8"/>
        <v>1044.1199999999999</v>
      </c>
      <c r="I156" s="260">
        <v>3613.8</v>
      </c>
      <c r="J156" s="2157"/>
      <c r="K156" s="263">
        <f t="shared" si="9"/>
        <v>3613.8</v>
      </c>
      <c r="L156" s="1313">
        <v>115577.68</v>
      </c>
      <c r="M156" s="225">
        <v>3446.7</v>
      </c>
      <c r="N156" s="1969"/>
      <c r="O156" s="2158">
        <f t="shared" si="10"/>
        <v>119024.37999999999</v>
      </c>
      <c r="P156" s="2097">
        <v>3490.4</v>
      </c>
      <c r="Q156" s="2097">
        <v>20353.75</v>
      </c>
      <c r="R156" s="2097">
        <v>9793.33</v>
      </c>
      <c r="S156" s="1969"/>
      <c r="T156" s="921"/>
      <c r="U156" s="2002"/>
      <c r="V156" s="206">
        <f t="shared" si="11"/>
        <v>33637.480000000003</v>
      </c>
    </row>
    <row r="157" spans="1:22">
      <c r="A157" s="1340">
        <v>2006.04</v>
      </c>
      <c r="B157" s="260">
        <v>129</v>
      </c>
      <c r="C157" s="2097">
        <v>57</v>
      </c>
      <c r="D157" s="2156"/>
      <c r="E157" s="2097">
        <v>767.03499999999997</v>
      </c>
      <c r="F157" s="260">
        <v>436.07</v>
      </c>
      <c r="G157" s="3153"/>
      <c r="H157" s="196">
        <f t="shared" si="8"/>
        <v>436.07</v>
      </c>
      <c r="I157" s="260">
        <v>19571.43</v>
      </c>
      <c r="J157" s="2157"/>
      <c r="K157" s="263">
        <f t="shared" si="9"/>
        <v>19571.43</v>
      </c>
      <c r="L157" s="1313">
        <v>113753.24</v>
      </c>
      <c r="M157" s="225">
        <v>3164.04</v>
      </c>
      <c r="N157" s="1969"/>
      <c r="O157" s="2158">
        <f t="shared" si="10"/>
        <v>116917.28</v>
      </c>
      <c r="P157" s="2097">
        <v>2875.28</v>
      </c>
      <c r="Q157" s="2097">
        <v>19579.96</v>
      </c>
      <c r="R157" s="2097">
        <v>9799.82</v>
      </c>
      <c r="S157" s="1969"/>
      <c r="T157" s="921"/>
      <c r="U157" s="2002"/>
      <c r="V157" s="206">
        <f t="shared" si="11"/>
        <v>32255.059999999998</v>
      </c>
    </row>
    <row r="158" spans="1:22">
      <c r="A158" s="1340">
        <v>2006.05</v>
      </c>
      <c r="B158" s="260">
        <v>83</v>
      </c>
      <c r="C158" s="2097">
        <v>41</v>
      </c>
      <c r="D158" s="2156"/>
      <c r="E158" s="2097">
        <v>1930.903</v>
      </c>
      <c r="F158" s="260">
        <v>156.76</v>
      </c>
      <c r="G158" s="3153"/>
      <c r="H158" s="196">
        <f t="shared" si="8"/>
        <v>156.76</v>
      </c>
      <c r="I158" s="260">
        <v>5308</v>
      </c>
      <c r="J158" s="2157"/>
      <c r="K158" s="263">
        <f t="shared" si="9"/>
        <v>5308</v>
      </c>
      <c r="L158" s="1313">
        <v>120688.3</v>
      </c>
      <c r="M158" s="225">
        <v>3279.08</v>
      </c>
      <c r="N158" s="1969"/>
      <c r="O158" s="2158">
        <f t="shared" si="10"/>
        <v>123967.38</v>
      </c>
      <c r="P158" s="2097">
        <v>3076.92</v>
      </c>
      <c r="Q158" s="2097">
        <v>19562.669999999998</v>
      </c>
      <c r="R158" s="2097">
        <v>10287.209999999999</v>
      </c>
      <c r="S158" s="1969"/>
      <c r="T158" s="921"/>
      <c r="U158" s="2002"/>
      <c r="V158" s="206">
        <f t="shared" si="11"/>
        <v>32926.799999999996</v>
      </c>
    </row>
    <row r="159" spans="1:22">
      <c r="A159" s="1340">
        <v>2006.06</v>
      </c>
      <c r="B159" s="260">
        <v>31</v>
      </c>
      <c r="C159" s="2097">
        <v>41</v>
      </c>
      <c r="D159" s="2156"/>
      <c r="E159" s="2097">
        <v>2334.1480000000001</v>
      </c>
      <c r="F159" s="260">
        <v>234.32</v>
      </c>
      <c r="G159" s="3153"/>
      <c r="H159" s="196">
        <f t="shared" si="8"/>
        <v>234.32</v>
      </c>
      <c r="I159" s="260">
        <v>11016.93</v>
      </c>
      <c r="J159" s="2157"/>
      <c r="K159" s="263">
        <f t="shared" si="9"/>
        <v>11016.93</v>
      </c>
      <c r="L159" s="1313">
        <v>119629.1</v>
      </c>
      <c r="M159" s="225">
        <v>3320.63</v>
      </c>
      <c r="N159" s="1969"/>
      <c r="O159" s="2158">
        <f t="shared" si="10"/>
        <v>122949.73000000001</v>
      </c>
      <c r="P159" s="2097">
        <v>2666.78</v>
      </c>
      <c r="Q159" s="2097">
        <v>17986.419999999998</v>
      </c>
      <c r="R159" s="2097">
        <v>9585.68</v>
      </c>
      <c r="S159" s="1969"/>
      <c r="T159" s="921"/>
      <c r="U159" s="2002"/>
      <c r="V159" s="206">
        <f t="shared" si="11"/>
        <v>30238.879999999997</v>
      </c>
    </row>
    <row r="160" spans="1:22">
      <c r="A160" s="1340">
        <v>2006.07</v>
      </c>
      <c r="B160" s="260">
        <v>38</v>
      </c>
      <c r="C160" s="2097">
        <v>73</v>
      </c>
      <c r="D160" s="2156"/>
      <c r="E160" s="2097">
        <v>1480.396</v>
      </c>
      <c r="F160" s="260">
        <v>175.1</v>
      </c>
      <c r="G160" s="3153"/>
      <c r="H160" s="196">
        <f t="shared" si="8"/>
        <v>175.1</v>
      </c>
      <c r="I160" s="260">
        <v>21076.04</v>
      </c>
      <c r="J160" s="2157"/>
      <c r="K160" s="263">
        <f t="shared" si="9"/>
        <v>21076.04</v>
      </c>
      <c r="L160" s="1313">
        <v>111414.66</v>
      </c>
      <c r="M160" s="225">
        <v>3166.79</v>
      </c>
      <c r="N160" s="1969"/>
      <c r="O160" s="2158">
        <f t="shared" si="10"/>
        <v>114581.45</v>
      </c>
      <c r="P160" s="2097">
        <v>2777.34</v>
      </c>
      <c r="Q160" s="2097">
        <v>19250.62</v>
      </c>
      <c r="R160" s="2097">
        <v>10625.55</v>
      </c>
      <c r="S160" s="1969"/>
      <c r="T160" s="921"/>
      <c r="U160" s="2002"/>
      <c r="V160" s="206">
        <f t="shared" si="11"/>
        <v>32653.51</v>
      </c>
    </row>
    <row r="161" spans="1:22">
      <c r="A161" s="1340">
        <v>2006.08</v>
      </c>
      <c r="B161" s="260">
        <v>202</v>
      </c>
      <c r="C161" s="2097">
        <v>75</v>
      </c>
      <c r="D161" s="2156"/>
      <c r="E161" s="2097">
        <v>2131.8000000000002</v>
      </c>
      <c r="F161" s="260">
        <v>254.67</v>
      </c>
      <c r="G161" s="3153"/>
      <c r="H161" s="196">
        <f t="shared" si="8"/>
        <v>254.67</v>
      </c>
      <c r="I161" s="260">
        <v>13414.88</v>
      </c>
      <c r="J161" s="2157"/>
      <c r="K161" s="263">
        <f t="shared" si="9"/>
        <v>13414.88</v>
      </c>
      <c r="L161" s="1313">
        <v>112401.84</v>
      </c>
      <c r="M161" s="225">
        <v>3752.16</v>
      </c>
      <c r="N161" s="1969"/>
      <c r="O161" s="2158">
        <f t="shared" si="10"/>
        <v>116154</v>
      </c>
      <c r="P161" s="2097">
        <v>2743.57</v>
      </c>
      <c r="Q161" s="2097">
        <v>20407.82</v>
      </c>
      <c r="R161" s="2097">
        <v>11990.09</v>
      </c>
      <c r="S161" s="1969"/>
      <c r="T161" s="921"/>
      <c r="U161" s="2002"/>
      <c r="V161" s="206">
        <f t="shared" si="11"/>
        <v>35141.479999999996</v>
      </c>
    </row>
    <row r="162" spans="1:22">
      <c r="A162" s="1340">
        <v>2006.09</v>
      </c>
      <c r="B162" s="260">
        <v>279</v>
      </c>
      <c r="C162" s="2097">
        <v>35</v>
      </c>
      <c r="D162" s="2156"/>
      <c r="E162" s="2097">
        <v>1043.577</v>
      </c>
      <c r="F162" s="260">
        <v>707.18</v>
      </c>
      <c r="G162" s="3153"/>
      <c r="H162" s="196">
        <f t="shared" si="8"/>
        <v>707.18</v>
      </c>
      <c r="I162" s="260">
        <v>10660.72</v>
      </c>
      <c r="J162" s="2157"/>
      <c r="K162" s="263">
        <f t="shared" si="9"/>
        <v>10660.72</v>
      </c>
      <c r="L162" s="1313">
        <v>113458.25</v>
      </c>
      <c r="M162" s="225">
        <v>4310.26</v>
      </c>
      <c r="N162" s="1969"/>
      <c r="O162" s="2158">
        <f t="shared" si="10"/>
        <v>117768.51</v>
      </c>
      <c r="P162" s="2097">
        <v>2738.26</v>
      </c>
      <c r="Q162" s="2097">
        <v>19683.560000000001</v>
      </c>
      <c r="R162" s="2097">
        <v>11192.7</v>
      </c>
      <c r="S162" s="1969"/>
      <c r="T162" s="921"/>
      <c r="U162" s="2002"/>
      <c r="V162" s="206">
        <f t="shared" si="11"/>
        <v>33614.520000000004</v>
      </c>
    </row>
    <row r="163" spans="1:22">
      <c r="A163" s="1340">
        <v>2006.1</v>
      </c>
      <c r="B163" s="260">
        <v>340</v>
      </c>
      <c r="C163" s="2097">
        <v>129</v>
      </c>
      <c r="D163" s="2156"/>
      <c r="E163" s="2097">
        <v>607</v>
      </c>
      <c r="F163" s="260">
        <v>204.48</v>
      </c>
      <c r="G163" s="3153"/>
      <c r="H163" s="196">
        <f t="shared" si="8"/>
        <v>204.48</v>
      </c>
      <c r="I163" s="260">
        <v>2887.6</v>
      </c>
      <c r="J163" s="2157"/>
      <c r="K163" s="263">
        <f t="shared" si="9"/>
        <v>2887.6</v>
      </c>
      <c r="L163" s="1313">
        <v>119232.36</v>
      </c>
      <c r="M163" s="225">
        <v>4251.5</v>
      </c>
      <c r="N163" s="1969"/>
      <c r="O163" s="2158">
        <f t="shared" si="10"/>
        <v>123483.86</v>
      </c>
      <c r="P163" s="2097">
        <v>2310.83</v>
      </c>
      <c r="Q163" s="2097">
        <v>19630.61</v>
      </c>
      <c r="R163" s="2097">
        <v>12058.21</v>
      </c>
      <c r="S163" s="1969"/>
      <c r="T163" s="921"/>
      <c r="U163" s="2002"/>
      <c r="V163" s="206">
        <f t="shared" si="11"/>
        <v>33999.65</v>
      </c>
    </row>
    <row r="164" spans="1:22">
      <c r="A164" s="1340">
        <v>2006.11</v>
      </c>
      <c r="B164" s="260">
        <v>385</v>
      </c>
      <c r="C164" s="2097">
        <v>147</v>
      </c>
      <c r="D164" s="2156"/>
      <c r="E164" s="2097">
        <v>643.4</v>
      </c>
      <c r="F164" s="260">
        <v>448.09</v>
      </c>
      <c r="G164" s="3153"/>
      <c r="H164" s="196">
        <f t="shared" si="8"/>
        <v>448.09</v>
      </c>
      <c r="I164" s="260">
        <v>14293.1</v>
      </c>
      <c r="J164" s="2157"/>
      <c r="K164" s="263">
        <f t="shared" si="9"/>
        <v>14293.1</v>
      </c>
      <c r="L164" s="1313">
        <v>125717.53</v>
      </c>
      <c r="M164" s="225">
        <v>4353.66</v>
      </c>
      <c r="N164" s="1969"/>
      <c r="O164" s="2158">
        <f t="shared" si="10"/>
        <v>130071.19</v>
      </c>
      <c r="P164" s="2097">
        <v>2255.56</v>
      </c>
      <c r="Q164" s="2097">
        <v>19368.78</v>
      </c>
      <c r="R164" s="2097">
        <v>11760.54</v>
      </c>
      <c r="S164" s="1969"/>
      <c r="T164" s="921"/>
      <c r="U164" s="2002"/>
      <c r="V164" s="206">
        <f t="shared" si="11"/>
        <v>33384.880000000005</v>
      </c>
    </row>
    <row r="165" spans="1:22">
      <c r="A165" s="1340">
        <v>2006.12</v>
      </c>
      <c r="B165" s="260">
        <v>346</v>
      </c>
      <c r="C165" s="2097">
        <v>158</v>
      </c>
      <c r="D165" s="2156"/>
      <c r="E165" s="2097">
        <v>359</v>
      </c>
      <c r="F165" s="260">
        <v>157.16999999999999</v>
      </c>
      <c r="G165" s="3153"/>
      <c r="H165" s="196">
        <f t="shared" si="8"/>
        <v>157.16999999999999</v>
      </c>
      <c r="I165" s="260">
        <v>6813</v>
      </c>
      <c r="J165" s="2157"/>
      <c r="K165" s="263">
        <f t="shared" si="9"/>
        <v>6813</v>
      </c>
      <c r="L165" s="1313">
        <v>115996.36</v>
      </c>
      <c r="M165" s="225">
        <v>4350.8900000000003</v>
      </c>
      <c r="N165" s="1969"/>
      <c r="O165" s="2158">
        <f t="shared" si="10"/>
        <v>120347.25</v>
      </c>
      <c r="P165" s="2097">
        <v>2156.5</v>
      </c>
      <c r="Q165" s="2097">
        <v>21820.62</v>
      </c>
      <c r="R165" s="2097">
        <v>13649.42</v>
      </c>
      <c r="S165" s="1969"/>
      <c r="T165" s="921"/>
      <c r="U165" s="2002"/>
      <c r="V165" s="206">
        <f t="shared" si="11"/>
        <v>37626.54</v>
      </c>
    </row>
    <row r="166" spans="1:22">
      <c r="A166" s="1340">
        <v>2007.01</v>
      </c>
      <c r="B166" s="260">
        <v>480</v>
      </c>
      <c r="C166" s="2097">
        <v>256</v>
      </c>
      <c r="D166" s="2156"/>
      <c r="E166" s="2097">
        <v>351.4</v>
      </c>
      <c r="F166" s="260">
        <v>195.49</v>
      </c>
      <c r="G166" s="3153"/>
      <c r="H166" s="196">
        <f t="shared" si="8"/>
        <v>195.49</v>
      </c>
      <c r="I166" s="260">
        <v>2691.16</v>
      </c>
      <c r="J166" s="2157"/>
      <c r="K166" s="263">
        <f t="shared" si="9"/>
        <v>2691.16</v>
      </c>
      <c r="L166" s="1313">
        <v>106978.06</v>
      </c>
      <c r="M166" s="225">
        <v>3706.46</v>
      </c>
      <c r="N166" s="1969"/>
      <c r="O166" s="2158">
        <f t="shared" si="10"/>
        <v>110684.52</v>
      </c>
      <c r="P166" s="2097">
        <v>2187.13</v>
      </c>
      <c r="Q166" s="2097">
        <v>21276.61</v>
      </c>
      <c r="R166" s="2097">
        <v>13100.7</v>
      </c>
      <c r="S166" s="1969"/>
      <c r="T166" s="921"/>
      <c r="U166" s="2002"/>
      <c r="V166" s="206">
        <f t="shared" si="11"/>
        <v>36564.44</v>
      </c>
    </row>
    <row r="167" spans="1:22">
      <c r="A167" s="1340">
        <v>2007.02</v>
      </c>
      <c r="B167" s="260">
        <v>344</v>
      </c>
      <c r="C167" s="2097">
        <v>208</v>
      </c>
      <c r="D167" s="2156"/>
      <c r="E167" s="2097">
        <v>392.84</v>
      </c>
      <c r="F167" s="260">
        <v>162.25</v>
      </c>
      <c r="G167" s="3153"/>
      <c r="H167" s="196">
        <f t="shared" si="8"/>
        <v>162.25</v>
      </c>
      <c r="I167" s="260">
        <v>2783.52</v>
      </c>
      <c r="J167" s="2157"/>
      <c r="K167" s="263">
        <f t="shared" si="9"/>
        <v>2783.52</v>
      </c>
      <c r="L167" s="1313">
        <v>104437.61</v>
      </c>
      <c r="M167" s="225">
        <v>3626.43</v>
      </c>
      <c r="N167" s="1969"/>
      <c r="O167" s="2158">
        <f t="shared" si="10"/>
        <v>108064.04</v>
      </c>
      <c r="P167" s="2097">
        <v>1897.07</v>
      </c>
      <c r="Q167" s="2097">
        <v>19110.11</v>
      </c>
      <c r="R167" s="2097">
        <v>12287.61</v>
      </c>
      <c r="S167" s="1969"/>
      <c r="T167" s="921"/>
      <c r="U167" s="2002"/>
      <c r="V167" s="206">
        <f t="shared" si="11"/>
        <v>33294.79</v>
      </c>
    </row>
    <row r="168" spans="1:22">
      <c r="A168" s="1340">
        <v>2007.03</v>
      </c>
      <c r="B168" s="260">
        <v>399</v>
      </c>
      <c r="C168" s="2097">
        <v>118</v>
      </c>
      <c r="D168" s="2156"/>
      <c r="E168" s="2097">
        <v>584</v>
      </c>
      <c r="F168" s="260">
        <v>266</v>
      </c>
      <c r="G168" s="3153"/>
      <c r="H168" s="196">
        <f t="shared" si="8"/>
        <v>266</v>
      </c>
      <c r="I168" s="260">
        <v>2331</v>
      </c>
      <c r="J168" s="2157"/>
      <c r="K168" s="263">
        <f t="shared" si="9"/>
        <v>2331</v>
      </c>
      <c r="L168" s="1313">
        <v>120930</v>
      </c>
      <c r="M168" s="225">
        <v>4264</v>
      </c>
      <c r="N168" s="1969"/>
      <c r="O168" s="2158">
        <f t="shared" si="10"/>
        <v>125194</v>
      </c>
      <c r="P168" s="2097">
        <v>1890</v>
      </c>
      <c r="Q168" s="2097">
        <v>20292</v>
      </c>
      <c r="R168" s="2097">
        <v>13762</v>
      </c>
      <c r="S168" s="1969"/>
      <c r="T168" s="921"/>
      <c r="U168" s="2002"/>
      <c r="V168" s="206">
        <f t="shared" si="11"/>
        <v>35944</v>
      </c>
    </row>
    <row r="169" spans="1:22">
      <c r="A169" s="1340">
        <v>2007.04</v>
      </c>
      <c r="B169" s="260">
        <v>255</v>
      </c>
      <c r="C169" s="2097">
        <v>24</v>
      </c>
      <c r="D169" s="2156"/>
      <c r="E169" s="2097">
        <v>813</v>
      </c>
      <c r="F169" s="260">
        <v>305</v>
      </c>
      <c r="G169" s="3153"/>
      <c r="H169" s="196">
        <f t="shared" si="8"/>
        <v>305</v>
      </c>
      <c r="I169" s="260">
        <v>2213</v>
      </c>
      <c r="J169" s="2157"/>
      <c r="K169" s="263">
        <f t="shared" si="9"/>
        <v>2213</v>
      </c>
      <c r="L169" s="1313">
        <v>130512</v>
      </c>
      <c r="M169" s="225">
        <v>4072</v>
      </c>
      <c r="N169" s="1969"/>
      <c r="O169" s="2158">
        <f t="shared" si="10"/>
        <v>134584</v>
      </c>
      <c r="P169" s="2097">
        <v>1671</v>
      </c>
      <c r="Q169" s="2097">
        <v>19876</v>
      </c>
      <c r="R169" s="2097">
        <v>12596</v>
      </c>
      <c r="S169" s="1969"/>
      <c r="T169" s="921"/>
      <c r="U169" s="2002"/>
      <c r="V169" s="206">
        <f t="shared" si="11"/>
        <v>34143</v>
      </c>
    </row>
    <row r="170" spans="1:22">
      <c r="A170" s="1340">
        <v>2007.05</v>
      </c>
      <c r="B170" s="260">
        <v>283</v>
      </c>
      <c r="C170" s="2097">
        <v>31</v>
      </c>
      <c r="D170" s="2156"/>
      <c r="E170" s="2097">
        <v>2597</v>
      </c>
      <c r="F170" s="260">
        <v>872</v>
      </c>
      <c r="G170" s="3153"/>
      <c r="H170" s="196">
        <f t="shared" si="8"/>
        <v>872</v>
      </c>
      <c r="I170" s="260">
        <v>3253</v>
      </c>
      <c r="J170" s="2157"/>
      <c r="K170" s="263">
        <f t="shared" si="9"/>
        <v>3253</v>
      </c>
      <c r="L170" s="1313">
        <v>125762</v>
      </c>
      <c r="M170" s="225">
        <v>4748</v>
      </c>
      <c r="N170" s="1969"/>
      <c r="O170" s="2158">
        <f t="shared" si="10"/>
        <v>130510</v>
      </c>
      <c r="P170" s="2097">
        <v>1763</v>
      </c>
      <c r="Q170" s="2097">
        <v>22100</v>
      </c>
      <c r="R170" s="2097">
        <v>13233</v>
      </c>
      <c r="S170" s="1969"/>
      <c r="T170" s="921"/>
      <c r="U170" s="2002"/>
      <c r="V170" s="206">
        <f t="shared" si="11"/>
        <v>37096</v>
      </c>
    </row>
    <row r="171" spans="1:22">
      <c r="A171" s="1340">
        <v>2007.06</v>
      </c>
      <c r="B171" s="260">
        <v>285</v>
      </c>
      <c r="C171" s="2097">
        <v>24</v>
      </c>
      <c r="D171" s="2156"/>
      <c r="E171" s="2097">
        <v>3082</v>
      </c>
      <c r="F171" s="260">
        <v>346</v>
      </c>
      <c r="G171" s="3153"/>
      <c r="H171" s="196">
        <f t="shared" si="8"/>
        <v>346</v>
      </c>
      <c r="I171" s="260">
        <v>10277</v>
      </c>
      <c r="J171" s="2157"/>
      <c r="K171" s="263">
        <f t="shared" si="9"/>
        <v>10277</v>
      </c>
      <c r="L171" s="1313">
        <v>133504</v>
      </c>
      <c r="M171" s="225">
        <v>4274</v>
      </c>
      <c r="N171" s="1969"/>
      <c r="O171" s="2158">
        <f t="shared" si="10"/>
        <v>137778</v>
      </c>
      <c r="P171" s="2097">
        <v>1717</v>
      </c>
      <c r="Q171" s="2097">
        <v>21983</v>
      </c>
      <c r="R171" s="2097">
        <v>12802</v>
      </c>
      <c r="S171" s="1969"/>
      <c r="T171" s="921"/>
      <c r="U171" s="2002"/>
      <c r="V171" s="206">
        <f t="shared" si="11"/>
        <v>36502</v>
      </c>
    </row>
    <row r="172" spans="1:22">
      <c r="A172" s="1340">
        <v>2007.07</v>
      </c>
      <c r="B172" s="260">
        <v>272</v>
      </c>
      <c r="C172" s="2097">
        <v>23</v>
      </c>
      <c r="D172" s="2156"/>
      <c r="E172" s="2097">
        <v>3740</v>
      </c>
      <c r="F172" s="260">
        <v>363</v>
      </c>
      <c r="G172" s="3153"/>
      <c r="H172" s="196">
        <f t="shared" si="8"/>
        <v>363</v>
      </c>
      <c r="I172" s="260">
        <v>9778</v>
      </c>
      <c r="J172" s="2157"/>
      <c r="K172" s="263">
        <f t="shared" si="9"/>
        <v>9778</v>
      </c>
      <c r="L172" s="1313">
        <v>123357</v>
      </c>
      <c r="M172" s="225">
        <v>4118</v>
      </c>
      <c r="N172" s="1969"/>
      <c r="O172" s="2158">
        <f t="shared" si="10"/>
        <v>127475</v>
      </c>
      <c r="P172" s="2097">
        <v>1883</v>
      </c>
      <c r="Q172" s="2097">
        <v>24832</v>
      </c>
      <c r="R172" s="2097">
        <v>14290</v>
      </c>
      <c r="S172" s="1969"/>
      <c r="T172" s="921"/>
      <c r="U172" s="2002"/>
      <c r="V172" s="206">
        <f t="shared" si="11"/>
        <v>41005</v>
      </c>
    </row>
    <row r="173" spans="1:22">
      <c r="A173" s="1340">
        <v>2007.08</v>
      </c>
      <c r="B173" s="260">
        <v>292</v>
      </c>
      <c r="C173" s="2097">
        <v>26</v>
      </c>
      <c r="D173" s="2156"/>
      <c r="E173" s="2097">
        <v>2711</v>
      </c>
      <c r="F173" s="260">
        <v>988</v>
      </c>
      <c r="G173" s="3153"/>
      <c r="H173" s="196">
        <f t="shared" si="8"/>
        <v>988</v>
      </c>
      <c r="I173" s="260">
        <v>12992</v>
      </c>
      <c r="J173" s="2157"/>
      <c r="K173" s="263">
        <f t="shared" si="9"/>
        <v>12992</v>
      </c>
      <c r="L173" s="1313">
        <v>122608</v>
      </c>
      <c r="M173" s="225">
        <v>4652</v>
      </c>
      <c r="N173" s="1969"/>
      <c r="O173" s="2158">
        <f t="shared" si="10"/>
        <v>127260</v>
      </c>
      <c r="P173" s="2097">
        <v>1804</v>
      </c>
      <c r="Q173" s="2097">
        <v>25401</v>
      </c>
      <c r="R173" s="2097">
        <v>13595</v>
      </c>
      <c r="S173" s="1969"/>
      <c r="T173" s="921"/>
      <c r="U173" s="2002"/>
      <c r="V173" s="206">
        <f t="shared" si="11"/>
        <v>40800</v>
      </c>
    </row>
    <row r="174" spans="1:22">
      <c r="A174" s="1340">
        <v>2007.09</v>
      </c>
      <c r="B174" s="260">
        <v>228</v>
      </c>
      <c r="C174" s="2097">
        <v>20</v>
      </c>
      <c r="D174" s="2156"/>
      <c r="E174" s="2097">
        <v>1073.5150000000001</v>
      </c>
      <c r="F174" s="260">
        <v>1134</v>
      </c>
      <c r="G174" s="3153"/>
      <c r="H174" s="196">
        <f t="shared" si="8"/>
        <v>1134</v>
      </c>
      <c r="I174" s="260">
        <v>6004</v>
      </c>
      <c r="J174" s="2157"/>
      <c r="K174" s="263">
        <f t="shared" si="9"/>
        <v>6004</v>
      </c>
      <c r="L174" s="1313">
        <v>118640.37</v>
      </c>
      <c r="M174" s="225">
        <v>4651.72</v>
      </c>
      <c r="N174" s="1969"/>
      <c r="O174" s="2158">
        <f t="shared" si="10"/>
        <v>123292.09</v>
      </c>
      <c r="P174" s="2097">
        <v>1651.37</v>
      </c>
      <c r="Q174" s="2097">
        <v>23868.28</v>
      </c>
      <c r="R174" s="2097">
        <v>11484.67</v>
      </c>
      <c r="S174" s="1969"/>
      <c r="T174" s="921"/>
      <c r="U174" s="2002"/>
      <c r="V174" s="206">
        <f t="shared" si="11"/>
        <v>37004.32</v>
      </c>
    </row>
    <row r="175" spans="1:22">
      <c r="A175" s="1340">
        <v>2007.1</v>
      </c>
      <c r="B175" s="260">
        <v>286</v>
      </c>
      <c r="C175" s="2097">
        <v>111</v>
      </c>
      <c r="D175" s="2156"/>
      <c r="E175" s="2097">
        <v>772.56</v>
      </c>
      <c r="F175" s="260">
        <v>797</v>
      </c>
      <c r="G175" s="3153"/>
      <c r="H175" s="196">
        <f t="shared" si="8"/>
        <v>797</v>
      </c>
      <c r="I175" s="260">
        <v>69209.69</v>
      </c>
      <c r="J175" s="2157"/>
      <c r="K175" s="263">
        <f t="shared" si="9"/>
        <v>69209.69</v>
      </c>
      <c r="L175" s="1313">
        <v>127526.61</v>
      </c>
      <c r="M175" s="225">
        <v>4673.7</v>
      </c>
      <c r="N175" s="1969"/>
      <c r="O175" s="2158">
        <f t="shared" si="10"/>
        <v>132200.31</v>
      </c>
      <c r="P175" s="2097">
        <v>1646.87</v>
      </c>
      <c r="Q175" s="2097">
        <v>26103.57</v>
      </c>
      <c r="R175" s="2097">
        <v>12916.12</v>
      </c>
      <c r="S175" s="1969"/>
      <c r="T175" s="921"/>
      <c r="U175" s="2002"/>
      <c r="V175" s="206">
        <f t="shared" si="11"/>
        <v>40666.559999999998</v>
      </c>
    </row>
    <row r="176" spans="1:22">
      <c r="A176" s="1340">
        <v>2007.11</v>
      </c>
      <c r="B176" s="260">
        <v>315</v>
      </c>
      <c r="C176" s="2097">
        <v>41</v>
      </c>
      <c r="D176" s="2156"/>
      <c r="E176" s="2097">
        <v>798.1</v>
      </c>
      <c r="F176" s="260">
        <v>627</v>
      </c>
      <c r="G176" s="3153"/>
      <c r="H176" s="196">
        <f t="shared" si="8"/>
        <v>627</v>
      </c>
      <c r="I176" s="260">
        <v>1716</v>
      </c>
      <c r="J176" s="2157"/>
      <c r="K176" s="263">
        <f t="shared" si="9"/>
        <v>1716</v>
      </c>
      <c r="L176" s="1313">
        <v>127731.6</v>
      </c>
      <c r="M176" s="225">
        <v>4931.5600000000004</v>
      </c>
      <c r="N176" s="1969"/>
      <c r="O176" s="2158">
        <f t="shared" si="10"/>
        <v>132663.16</v>
      </c>
      <c r="P176" s="2097">
        <v>1687.09</v>
      </c>
      <c r="Q176" s="2097">
        <v>26520.38</v>
      </c>
      <c r="R176" s="2097">
        <v>12404.15</v>
      </c>
      <c r="S176" s="1969"/>
      <c r="T176" s="921"/>
      <c r="U176" s="2002"/>
      <c r="V176" s="206">
        <f t="shared" si="11"/>
        <v>40611.620000000003</v>
      </c>
    </row>
    <row r="177" spans="1:22">
      <c r="A177" s="1340">
        <v>2007.12</v>
      </c>
      <c r="B177" s="260">
        <v>292</v>
      </c>
      <c r="C177" s="2097">
        <v>47</v>
      </c>
      <c r="D177" s="2156"/>
      <c r="E177" s="2097">
        <v>766.5</v>
      </c>
      <c r="F177" s="260">
        <v>916</v>
      </c>
      <c r="G177" s="3153"/>
      <c r="H177" s="196">
        <f t="shared" si="8"/>
        <v>916</v>
      </c>
      <c r="I177" s="260">
        <v>689</v>
      </c>
      <c r="J177" s="2157"/>
      <c r="K177" s="263">
        <f t="shared" si="9"/>
        <v>689</v>
      </c>
      <c r="L177" s="1313">
        <v>118465.84</v>
      </c>
      <c r="M177" s="225">
        <v>4360</v>
      </c>
      <c r="N177" s="1969"/>
      <c r="O177" s="2158">
        <f t="shared" si="10"/>
        <v>122825.84</v>
      </c>
      <c r="P177" s="2097">
        <v>1747.45</v>
      </c>
      <c r="Q177" s="2097">
        <v>28584.97</v>
      </c>
      <c r="R177" s="2097">
        <v>12511.89</v>
      </c>
      <c r="S177" s="1969"/>
      <c r="T177" s="921"/>
      <c r="U177" s="2002"/>
      <c r="V177" s="206">
        <f t="shared" si="11"/>
        <v>42844.31</v>
      </c>
    </row>
    <row r="178" spans="1:22">
      <c r="A178" s="1340">
        <f t="shared" ref="A178:A241" si="12">A166+1</f>
        <v>2008.01</v>
      </c>
      <c r="B178" s="260">
        <v>344</v>
      </c>
      <c r="C178" s="2097">
        <v>57</v>
      </c>
      <c r="D178" s="2156"/>
      <c r="E178" s="2097">
        <v>696.1</v>
      </c>
      <c r="F178" s="260">
        <v>724.14</v>
      </c>
      <c r="G178" s="3153"/>
      <c r="H178" s="196">
        <f t="shared" si="8"/>
        <v>724.14</v>
      </c>
      <c r="I178" s="260">
        <v>2175.4899999999998</v>
      </c>
      <c r="J178" s="2157"/>
      <c r="K178" s="263">
        <f t="shared" si="9"/>
        <v>2175.4899999999998</v>
      </c>
      <c r="L178" s="1313">
        <v>88644.7</v>
      </c>
      <c r="M178" s="225">
        <v>4050.29</v>
      </c>
      <c r="N178" s="1969"/>
      <c r="O178" s="2158">
        <f t="shared" si="10"/>
        <v>92694.989999999991</v>
      </c>
      <c r="P178" s="2097">
        <v>1388.16</v>
      </c>
      <c r="Q178" s="2097">
        <v>24052.720000000001</v>
      </c>
      <c r="R178" s="2097">
        <v>10912.8</v>
      </c>
      <c r="S178" s="1969"/>
      <c r="T178" s="921"/>
      <c r="U178" s="2002"/>
      <c r="V178" s="206">
        <f t="shared" si="11"/>
        <v>36353.68</v>
      </c>
    </row>
    <row r="179" spans="1:22">
      <c r="A179" s="1340">
        <f t="shared" si="12"/>
        <v>2008.02</v>
      </c>
      <c r="B179" s="260">
        <v>318</v>
      </c>
      <c r="C179" s="2097">
        <v>115</v>
      </c>
      <c r="D179" s="2156"/>
      <c r="E179" s="2097">
        <v>478.15100000000001</v>
      </c>
      <c r="F179" s="260">
        <v>583.14</v>
      </c>
      <c r="G179" s="3153"/>
      <c r="H179" s="196">
        <f t="shared" si="8"/>
        <v>583.14</v>
      </c>
      <c r="I179" s="260">
        <v>8574.18</v>
      </c>
      <c r="J179" s="2157"/>
      <c r="K179" s="263">
        <f t="shared" si="9"/>
        <v>8574.18</v>
      </c>
      <c r="L179" s="1313">
        <v>87804.44</v>
      </c>
      <c r="M179" s="225">
        <v>4195.1499999999996</v>
      </c>
      <c r="N179" s="1969"/>
      <c r="O179" s="2158">
        <f t="shared" si="10"/>
        <v>91999.59</v>
      </c>
      <c r="P179" s="2097">
        <v>1172.8399999999999</v>
      </c>
      <c r="Q179" s="2097">
        <v>21819.37</v>
      </c>
      <c r="R179" s="2097">
        <v>10195.58</v>
      </c>
      <c r="S179" s="1969"/>
      <c r="T179" s="921"/>
      <c r="U179" s="2002"/>
      <c r="V179" s="206">
        <f t="shared" si="11"/>
        <v>33187.79</v>
      </c>
    </row>
    <row r="180" spans="1:22">
      <c r="A180" s="1340">
        <f t="shared" si="12"/>
        <v>2008.03</v>
      </c>
      <c r="B180" s="260">
        <v>786</v>
      </c>
      <c r="C180" s="2097">
        <v>330</v>
      </c>
      <c r="D180" s="2156"/>
      <c r="E180" s="2097">
        <v>422</v>
      </c>
      <c r="F180" s="260">
        <v>417</v>
      </c>
      <c r="G180" s="3153"/>
      <c r="H180" s="196">
        <f t="shared" si="8"/>
        <v>417</v>
      </c>
      <c r="I180" s="260">
        <v>11563.6</v>
      </c>
      <c r="J180" s="2157"/>
      <c r="K180" s="263">
        <f t="shared" si="9"/>
        <v>11563.6</v>
      </c>
      <c r="L180" s="1313">
        <v>118423.28</v>
      </c>
      <c r="M180" s="225">
        <v>3901.64</v>
      </c>
      <c r="N180" s="1969"/>
      <c r="O180" s="2158">
        <f t="shared" si="10"/>
        <v>122324.92</v>
      </c>
      <c r="P180" s="2097">
        <v>1673.15</v>
      </c>
      <c r="Q180" s="2097">
        <v>28645.759999999998</v>
      </c>
      <c r="R180" s="2097">
        <v>12546.29</v>
      </c>
      <c r="S180" s="1969"/>
      <c r="T180" s="921"/>
      <c r="U180" s="2002"/>
      <c r="V180" s="206">
        <f t="shared" si="11"/>
        <v>42865.2</v>
      </c>
    </row>
    <row r="181" spans="1:22">
      <c r="A181" s="1340">
        <f t="shared" si="12"/>
        <v>2008.04</v>
      </c>
      <c r="B181" s="260">
        <v>441</v>
      </c>
      <c r="C181" s="2097">
        <v>74</v>
      </c>
      <c r="D181" s="2156"/>
      <c r="E181" s="2097">
        <v>929.07400000000007</v>
      </c>
      <c r="F181" s="260">
        <v>548.05499999999995</v>
      </c>
      <c r="G181" s="3153"/>
      <c r="H181" s="196">
        <f t="shared" si="8"/>
        <v>548.05499999999995</v>
      </c>
      <c r="I181" s="260">
        <v>1136.4000000000001</v>
      </c>
      <c r="J181" s="2157"/>
      <c r="K181" s="263">
        <f t="shared" si="9"/>
        <v>1136.4000000000001</v>
      </c>
      <c r="L181" s="1313">
        <v>135662.53</v>
      </c>
      <c r="M181" s="225">
        <v>4401.34</v>
      </c>
      <c r="N181" s="1969"/>
      <c r="O181" s="2158">
        <f t="shared" si="10"/>
        <v>140063.87</v>
      </c>
      <c r="P181" s="2097">
        <v>1534.96</v>
      </c>
      <c r="Q181" s="2097">
        <v>27897.69</v>
      </c>
      <c r="R181" s="2097">
        <v>11116.87</v>
      </c>
      <c r="S181" s="1969"/>
      <c r="T181" s="921"/>
      <c r="U181" s="2002"/>
      <c r="V181" s="206">
        <f t="shared" si="11"/>
        <v>40549.519999999997</v>
      </c>
    </row>
    <row r="182" spans="1:22">
      <c r="A182" s="1340">
        <f t="shared" si="12"/>
        <v>2008.05</v>
      </c>
      <c r="B182" s="260">
        <v>413</v>
      </c>
      <c r="C182" s="2097">
        <v>93</v>
      </c>
      <c r="D182" s="2156"/>
      <c r="E182" s="2097">
        <v>1513.1010000000001</v>
      </c>
      <c r="F182" s="260">
        <v>893.81299999999999</v>
      </c>
      <c r="G182" s="3153"/>
      <c r="H182" s="196">
        <f t="shared" si="8"/>
        <v>893.81299999999999</v>
      </c>
      <c r="I182" s="260">
        <v>5115.12</v>
      </c>
      <c r="J182" s="2157"/>
      <c r="K182" s="263">
        <f t="shared" si="9"/>
        <v>5115.12</v>
      </c>
      <c r="L182" s="1313">
        <v>131855.76999999999</v>
      </c>
      <c r="M182" s="225">
        <v>4329.3900000000003</v>
      </c>
      <c r="N182" s="1969"/>
      <c r="O182" s="2158">
        <f t="shared" si="10"/>
        <v>136185.16</v>
      </c>
      <c r="P182" s="2097">
        <v>1530</v>
      </c>
      <c r="Q182" s="2097">
        <v>30079.05</v>
      </c>
      <c r="R182" s="2097">
        <v>11200.08</v>
      </c>
      <c r="S182" s="1969"/>
      <c r="T182" s="921"/>
      <c r="U182" s="2002"/>
      <c r="V182" s="206">
        <f t="shared" si="11"/>
        <v>42809.13</v>
      </c>
    </row>
    <row r="183" spans="1:22">
      <c r="A183" s="1340">
        <f t="shared" si="12"/>
        <v>2008.06</v>
      </c>
      <c r="B183" s="260">
        <v>343</v>
      </c>
      <c r="C183" s="2097">
        <v>42</v>
      </c>
      <c r="D183" s="2156"/>
      <c r="E183" s="2097">
        <v>1379.1010000000001</v>
      </c>
      <c r="F183" s="260">
        <v>655.57</v>
      </c>
      <c r="G183" s="3153"/>
      <c r="H183" s="196">
        <f t="shared" si="8"/>
        <v>655.57</v>
      </c>
      <c r="I183" s="260">
        <v>6468.73</v>
      </c>
      <c r="J183" s="2157"/>
      <c r="K183" s="263">
        <f t="shared" si="9"/>
        <v>6468.73</v>
      </c>
      <c r="L183" s="1313">
        <v>92748.07</v>
      </c>
      <c r="M183" s="225">
        <v>3512.98</v>
      </c>
      <c r="N183" s="1969"/>
      <c r="O183" s="2158">
        <f t="shared" si="10"/>
        <v>96261.05</v>
      </c>
      <c r="P183" s="2097">
        <v>1802.78</v>
      </c>
      <c r="Q183" s="2097">
        <v>25307.62</v>
      </c>
      <c r="R183" s="2097">
        <v>10819.68</v>
      </c>
      <c r="S183" s="1969"/>
      <c r="T183" s="921"/>
      <c r="U183" s="2002"/>
      <c r="V183" s="206">
        <f t="shared" si="11"/>
        <v>37930.080000000002</v>
      </c>
    </row>
    <row r="184" spans="1:22">
      <c r="A184" s="1340">
        <f t="shared" si="12"/>
        <v>2008.07</v>
      </c>
      <c r="B184" s="260">
        <v>393</v>
      </c>
      <c r="C184" s="2097">
        <v>33</v>
      </c>
      <c r="D184" s="2156"/>
      <c r="E184" s="2097">
        <v>1292.4100000000001</v>
      </c>
      <c r="F184" s="260">
        <v>777.81500000000005</v>
      </c>
      <c r="G184" s="3153"/>
      <c r="H184" s="196">
        <f t="shared" si="8"/>
        <v>777.81500000000005</v>
      </c>
      <c r="I184" s="260">
        <v>9201.32</v>
      </c>
      <c r="J184" s="2157"/>
      <c r="K184" s="263">
        <f t="shared" si="9"/>
        <v>9201.32</v>
      </c>
      <c r="L184" s="1313">
        <v>132374.98000000001</v>
      </c>
      <c r="M184" s="225">
        <v>4004.21</v>
      </c>
      <c r="N184" s="1969"/>
      <c r="O184" s="2158">
        <f t="shared" si="10"/>
        <v>136379.19</v>
      </c>
      <c r="P184" s="2097">
        <v>1843.92</v>
      </c>
      <c r="Q184" s="2097">
        <v>30757.29</v>
      </c>
      <c r="R184" s="2097">
        <v>10147.86</v>
      </c>
      <c r="S184" s="1969"/>
      <c r="T184" s="921"/>
      <c r="U184" s="2002"/>
      <c r="V184" s="206">
        <f t="shared" si="11"/>
        <v>42749.07</v>
      </c>
    </row>
    <row r="185" spans="1:22">
      <c r="A185" s="1340">
        <f t="shared" si="12"/>
        <v>2008.08</v>
      </c>
      <c r="B185" s="260">
        <v>503</v>
      </c>
      <c r="C185" s="2097">
        <v>145</v>
      </c>
      <c r="D185" s="2156"/>
      <c r="E185" s="2097">
        <v>946.73199999999997</v>
      </c>
      <c r="F185" s="260">
        <v>913.01</v>
      </c>
      <c r="G185" s="3153"/>
      <c r="H185" s="196">
        <f t="shared" si="8"/>
        <v>913.01</v>
      </c>
      <c r="I185" s="260">
        <v>14565.74</v>
      </c>
      <c r="J185" s="2157"/>
      <c r="K185" s="263">
        <f t="shared" si="9"/>
        <v>14565.74</v>
      </c>
      <c r="L185" s="1313">
        <v>126401.49</v>
      </c>
      <c r="M185" s="225">
        <v>0</v>
      </c>
      <c r="N185" s="1969"/>
      <c r="O185" s="2158">
        <f t="shared" si="10"/>
        <v>126401.49</v>
      </c>
      <c r="P185" s="2097">
        <v>2198.37</v>
      </c>
      <c r="Q185" s="2097">
        <v>30333.89</v>
      </c>
      <c r="R185" s="2097">
        <v>9004.8799999999992</v>
      </c>
      <c r="S185" s="1969"/>
      <c r="T185" s="921"/>
      <c r="U185" s="2002"/>
      <c r="V185" s="206">
        <f t="shared" si="11"/>
        <v>41537.14</v>
      </c>
    </row>
    <row r="186" spans="1:22">
      <c r="A186" s="1340">
        <f t="shared" si="12"/>
        <v>2008.09</v>
      </c>
      <c r="B186" s="260">
        <v>480</v>
      </c>
      <c r="C186" s="2097">
        <v>72</v>
      </c>
      <c r="D186" s="2156"/>
      <c r="E186" s="2097">
        <v>369.29899999999998</v>
      </c>
      <c r="F186" s="260">
        <v>581.55400000000009</v>
      </c>
      <c r="G186" s="3153"/>
      <c r="H186" s="196">
        <f t="shared" si="8"/>
        <v>581.55400000000009</v>
      </c>
      <c r="I186" s="260">
        <v>9951.65</v>
      </c>
      <c r="J186" s="2157"/>
      <c r="K186" s="263">
        <f t="shared" si="9"/>
        <v>9951.65</v>
      </c>
      <c r="L186" s="1313">
        <v>120829.8</v>
      </c>
      <c r="M186" s="225">
        <v>0</v>
      </c>
      <c r="N186" s="1969"/>
      <c r="O186" s="2158">
        <f t="shared" si="10"/>
        <v>120829.8</v>
      </c>
      <c r="P186" s="2097">
        <v>1926.31</v>
      </c>
      <c r="Q186" s="2097">
        <v>30097.24</v>
      </c>
      <c r="R186" s="2097">
        <v>8494.11</v>
      </c>
      <c r="S186" s="1969"/>
      <c r="T186" s="921"/>
      <c r="U186" s="2002"/>
      <c r="V186" s="206">
        <f t="shared" si="11"/>
        <v>40517.660000000003</v>
      </c>
    </row>
    <row r="187" spans="1:22">
      <c r="A187" s="1340">
        <f t="shared" si="12"/>
        <v>2008.1</v>
      </c>
      <c r="B187" s="260">
        <v>589</v>
      </c>
      <c r="C187" s="2097">
        <v>104</v>
      </c>
      <c r="D187" s="2156"/>
      <c r="E187" s="2097">
        <v>331.56200000000001</v>
      </c>
      <c r="F187" s="260">
        <v>822.41</v>
      </c>
      <c r="G187" s="3153"/>
      <c r="H187" s="196">
        <f t="shared" si="8"/>
        <v>822.41</v>
      </c>
      <c r="I187" s="260">
        <v>1508.53</v>
      </c>
      <c r="J187" s="2157"/>
      <c r="K187" s="263">
        <f t="shared" si="9"/>
        <v>1508.53</v>
      </c>
      <c r="L187" s="1313">
        <v>74717.73</v>
      </c>
      <c r="M187" s="225">
        <v>4054.33</v>
      </c>
      <c r="N187" s="1969"/>
      <c r="O187" s="2158">
        <f t="shared" si="10"/>
        <v>78772.06</v>
      </c>
      <c r="P187" s="2097">
        <v>1900.54</v>
      </c>
      <c r="Q187" s="2097">
        <v>32517.82</v>
      </c>
      <c r="R187" s="2097">
        <v>8756.36</v>
      </c>
      <c r="S187" s="1969"/>
      <c r="T187" s="921"/>
      <c r="U187" s="2002"/>
      <c r="V187" s="206">
        <f t="shared" si="11"/>
        <v>43174.720000000001</v>
      </c>
    </row>
    <row r="188" spans="1:22">
      <c r="A188" s="1340">
        <f t="shared" si="12"/>
        <v>2008.11</v>
      </c>
      <c r="B188" s="260">
        <v>487</v>
      </c>
      <c r="C188" s="2097">
        <v>145</v>
      </c>
      <c r="D188" s="2156"/>
      <c r="E188" s="2097">
        <v>300.31</v>
      </c>
      <c r="F188" s="260">
        <v>634.73</v>
      </c>
      <c r="G188" s="3153"/>
      <c r="H188" s="196">
        <f t="shared" si="8"/>
        <v>634.73</v>
      </c>
      <c r="I188" s="260">
        <v>1353</v>
      </c>
      <c r="J188" s="2157"/>
      <c r="K188" s="263">
        <f t="shared" si="9"/>
        <v>1353</v>
      </c>
      <c r="L188" s="1313">
        <v>110632.68</v>
      </c>
      <c r="M188" s="225">
        <v>3397.72</v>
      </c>
      <c r="N188" s="1969"/>
      <c r="O188" s="2158">
        <f t="shared" si="10"/>
        <v>114030.39999999999</v>
      </c>
      <c r="P188" s="2097">
        <v>1718.23</v>
      </c>
      <c r="Q188" s="2097">
        <v>31261.47</v>
      </c>
      <c r="R188" s="2097">
        <v>7829.86</v>
      </c>
      <c r="S188" s="1969"/>
      <c r="T188" s="921"/>
      <c r="U188" s="2002"/>
      <c r="V188" s="206">
        <f t="shared" si="11"/>
        <v>40809.560000000005</v>
      </c>
    </row>
    <row r="189" spans="1:22">
      <c r="A189" s="1340">
        <f t="shared" si="12"/>
        <v>2008.12</v>
      </c>
      <c r="B189" s="260">
        <v>724</v>
      </c>
      <c r="C189" s="2097">
        <v>139</v>
      </c>
      <c r="D189" s="2156"/>
      <c r="E189" s="2097">
        <v>176.36099999999999</v>
      </c>
      <c r="F189" s="260">
        <v>0</v>
      </c>
      <c r="G189" s="3153"/>
      <c r="H189" s="196">
        <f t="shared" si="8"/>
        <v>0</v>
      </c>
      <c r="I189" s="260">
        <v>1543.39</v>
      </c>
      <c r="J189" s="2157"/>
      <c r="K189" s="263">
        <f t="shared" si="9"/>
        <v>1543.39</v>
      </c>
      <c r="L189" s="1313">
        <v>115608.31</v>
      </c>
      <c r="M189" s="225">
        <v>2981.68</v>
      </c>
      <c r="N189" s="1969"/>
      <c r="O189" s="2158">
        <f t="shared" si="10"/>
        <v>118589.98999999999</v>
      </c>
      <c r="P189" s="2097">
        <v>2492.21</v>
      </c>
      <c r="Q189" s="2097">
        <v>35974.519999999997</v>
      </c>
      <c r="R189" s="2097">
        <v>9183.0300000000007</v>
      </c>
      <c r="S189" s="1969"/>
      <c r="T189" s="921"/>
      <c r="U189" s="2002"/>
      <c r="V189" s="206">
        <f t="shared" si="11"/>
        <v>47649.759999999995</v>
      </c>
    </row>
    <row r="190" spans="1:22">
      <c r="A190" s="1340">
        <f t="shared" si="12"/>
        <v>2009.01</v>
      </c>
      <c r="B190" s="260">
        <v>931</v>
      </c>
      <c r="C190" s="2097">
        <v>363</v>
      </c>
      <c r="D190" s="2156"/>
      <c r="E190" s="2097">
        <v>248.66800000000001</v>
      </c>
      <c r="F190" s="260">
        <v>0</v>
      </c>
      <c r="G190" s="3153"/>
      <c r="H190" s="196">
        <f t="shared" si="8"/>
        <v>0</v>
      </c>
      <c r="I190" s="260">
        <v>1729.89</v>
      </c>
      <c r="J190" s="2157"/>
      <c r="K190" s="263">
        <f t="shared" si="9"/>
        <v>1729.89</v>
      </c>
      <c r="L190" s="1313">
        <v>100468.91</v>
      </c>
      <c r="M190" s="225">
        <v>3015.13</v>
      </c>
      <c r="N190" s="1969"/>
      <c r="O190" s="2158">
        <f t="shared" si="10"/>
        <v>103484.04000000001</v>
      </c>
      <c r="P190" s="2097">
        <v>3066</v>
      </c>
      <c r="Q190" s="2097">
        <v>34641.519999999997</v>
      </c>
      <c r="R190" s="2097">
        <v>7934.7</v>
      </c>
      <c r="S190" s="1969"/>
      <c r="T190" s="921"/>
      <c r="U190" s="2002"/>
      <c r="V190" s="206">
        <f t="shared" si="11"/>
        <v>45642.219999999994</v>
      </c>
    </row>
    <row r="191" spans="1:22">
      <c r="A191" s="1340">
        <f t="shared" si="12"/>
        <v>2009.02</v>
      </c>
      <c r="B191" s="260">
        <v>1026</v>
      </c>
      <c r="C191" s="2097">
        <v>632</v>
      </c>
      <c r="D191" s="2156"/>
      <c r="E191" s="2097">
        <v>238.22199999999998</v>
      </c>
      <c r="F191" s="260">
        <v>472.74</v>
      </c>
      <c r="G191" s="3153"/>
      <c r="H191" s="196">
        <f t="shared" si="8"/>
        <v>472.74</v>
      </c>
      <c r="I191" s="260">
        <v>1854.2</v>
      </c>
      <c r="J191" s="2157"/>
      <c r="K191" s="263">
        <f t="shared" si="9"/>
        <v>1854.2</v>
      </c>
      <c r="L191" s="1313">
        <v>95001.35</v>
      </c>
      <c r="M191" s="225">
        <v>2843.46</v>
      </c>
      <c r="N191" s="1969"/>
      <c r="O191" s="2158">
        <f t="shared" si="10"/>
        <v>97844.810000000012</v>
      </c>
      <c r="P191" s="2097">
        <v>2499.0300000000002</v>
      </c>
      <c r="Q191" s="2097">
        <v>30375.11</v>
      </c>
      <c r="R191" s="2097">
        <v>7069.3</v>
      </c>
      <c r="S191" s="1969"/>
      <c r="T191" s="921"/>
      <c r="U191" s="2002"/>
      <c r="V191" s="206">
        <f t="shared" si="11"/>
        <v>39943.440000000002</v>
      </c>
    </row>
    <row r="192" spans="1:22">
      <c r="A192" s="1340">
        <f t="shared" si="12"/>
        <v>2009.03</v>
      </c>
      <c r="B192" s="260">
        <v>1010</v>
      </c>
      <c r="C192" s="2097">
        <v>297</v>
      </c>
      <c r="D192" s="2156"/>
      <c r="E192" s="2097">
        <v>283.07900000000001</v>
      </c>
      <c r="F192" s="260">
        <v>450.79</v>
      </c>
      <c r="G192" s="3153"/>
      <c r="H192" s="196">
        <f t="shared" si="8"/>
        <v>450.79</v>
      </c>
      <c r="I192" s="260">
        <v>9212.15</v>
      </c>
      <c r="J192" s="2157"/>
      <c r="K192" s="263">
        <f t="shared" si="9"/>
        <v>9212.15</v>
      </c>
      <c r="L192" s="1313">
        <v>116348.47</v>
      </c>
      <c r="M192" s="225">
        <v>2946.39</v>
      </c>
      <c r="N192" s="1969"/>
      <c r="O192" s="2158">
        <f t="shared" si="10"/>
        <v>119294.86</v>
      </c>
      <c r="P192" s="2097">
        <v>2763.54</v>
      </c>
      <c r="Q192" s="2097">
        <v>34021.839999999997</v>
      </c>
      <c r="R192" s="2097">
        <v>7746.54</v>
      </c>
      <c r="S192" s="1969"/>
      <c r="T192" s="921"/>
      <c r="U192" s="2002"/>
      <c r="V192" s="206">
        <f t="shared" si="11"/>
        <v>44531.92</v>
      </c>
    </row>
    <row r="193" spans="1:22">
      <c r="A193" s="1340">
        <f t="shared" si="12"/>
        <v>2009.04</v>
      </c>
      <c r="B193" s="260">
        <v>664</v>
      </c>
      <c r="C193" s="2097">
        <v>109</v>
      </c>
      <c r="D193" s="2156"/>
      <c r="E193" s="2097">
        <v>431.584</v>
      </c>
      <c r="F193" s="260">
        <v>619.87</v>
      </c>
      <c r="G193" s="3153"/>
      <c r="H193" s="196">
        <f t="shared" si="8"/>
        <v>619.87</v>
      </c>
      <c r="I193" s="260">
        <v>2052.7399999999998</v>
      </c>
      <c r="J193" s="2157"/>
      <c r="K193" s="263">
        <f t="shared" si="9"/>
        <v>2052.7399999999998</v>
      </c>
      <c r="L193" s="1313">
        <v>122841.06</v>
      </c>
      <c r="M193" s="225">
        <v>3068.76</v>
      </c>
      <c r="N193" s="1969"/>
      <c r="O193" s="2158">
        <f t="shared" si="10"/>
        <v>125909.81999999999</v>
      </c>
      <c r="P193" s="2097">
        <v>2593.1</v>
      </c>
      <c r="Q193" s="2097">
        <v>32218.09</v>
      </c>
      <c r="R193" s="2097">
        <v>7916.14</v>
      </c>
      <c r="S193" s="1969"/>
      <c r="T193" s="921"/>
      <c r="U193" s="2002"/>
      <c r="V193" s="206">
        <f t="shared" si="11"/>
        <v>42727.33</v>
      </c>
    </row>
    <row r="194" spans="1:22">
      <c r="A194" s="1340">
        <f t="shared" si="12"/>
        <v>2009.05</v>
      </c>
      <c r="B194" s="260">
        <v>561</v>
      </c>
      <c r="C194" s="2097">
        <v>79</v>
      </c>
      <c r="D194" s="2156"/>
      <c r="E194" s="2097">
        <v>785.80899999999997</v>
      </c>
      <c r="F194" s="260">
        <v>0</v>
      </c>
      <c r="G194" s="3153"/>
      <c r="H194" s="196">
        <f t="shared" si="8"/>
        <v>0</v>
      </c>
      <c r="I194" s="260">
        <v>13219.75</v>
      </c>
      <c r="J194" s="2157"/>
      <c r="K194" s="263">
        <f t="shared" si="9"/>
        <v>13219.75</v>
      </c>
      <c r="L194" s="1313">
        <v>105830.06</v>
      </c>
      <c r="M194" s="225">
        <v>2695.23</v>
      </c>
      <c r="N194" s="1969"/>
      <c r="O194" s="2158">
        <f t="shared" si="10"/>
        <v>108525.29</v>
      </c>
      <c r="P194" s="2097">
        <v>1421.2090000000001</v>
      </c>
      <c r="Q194" s="2097">
        <v>31942.77</v>
      </c>
      <c r="R194" s="2097">
        <v>7598.39</v>
      </c>
      <c r="S194" s="1969"/>
      <c r="T194" s="921"/>
      <c r="U194" s="2002"/>
      <c r="V194" s="206">
        <f t="shared" si="11"/>
        <v>40962.368999999999</v>
      </c>
    </row>
    <row r="195" spans="1:22">
      <c r="A195" s="1340">
        <f t="shared" si="12"/>
        <v>2009.06</v>
      </c>
      <c r="B195" s="260">
        <v>367</v>
      </c>
      <c r="C195" s="2097">
        <v>57</v>
      </c>
      <c r="D195" s="2156"/>
      <c r="E195" s="2097">
        <v>1078.25</v>
      </c>
      <c r="F195" s="260">
        <v>308.52</v>
      </c>
      <c r="G195" s="3153"/>
      <c r="H195" s="196">
        <f t="shared" si="8"/>
        <v>308.52</v>
      </c>
      <c r="I195" s="260">
        <v>12076.17</v>
      </c>
      <c r="J195" s="2157"/>
      <c r="K195" s="263">
        <f t="shared" si="9"/>
        <v>12076.17</v>
      </c>
      <c r="L195" s="1313">
        <v>105773.8</v>
      </c>
      <c r="M195" s="225">
        <v>2782.85</v>
      </c>
      <c r="N195" s="1969"/>
      <c r="O195" s="2158">
        <f t="shared" si="10"/>
        <v>108556.65000000001</v>
      </c>
      <c r="P195" s="2097">
        <v>2327.81</v>
      </c>
      <c r="Q195" s="2097">
        <v>33325.050000000003</v>
      </c>
      <c r="R195" s="2097">
        <v>7924.4</v>
      </c>
      <c r="S195" s="1969"/>
      <c r="T195" s="921"/>
      <c r="U195" s="2002"/>
      <c r="V195" s="206">
        <f t="shared" si="11"/>
        <v>43577.26</v>
      </c>
    </row>
    <row r="196" spans="1:22">
      <c r="A196" s="1340">
        <f t="shared" si="12"/>
        <v>2009.07</v>
      </c>
      <c r="B196" s="260">
        <v>349</v>
      </c>
      <c r="C196" s="2097">
        <v>116</v>
      </c>
      <c r="D196" s="2156"/>
      <c r="E196" s="2097">
        <v>1304.8119999999999</v>
      </c>
      <c r="F196" s="260">
        <v>377.62</v>
      </c>
      <c r="G196" s="3153"/>
      <c r="H196" s="196">
        <f t="shared" si="8"/>
        <v>377.62</v>
      </c>
      <c r="I196" s="260">
        <v>2241.56</v>
      </c>
      <c r="J196" s="2157"/>
      <c r="K196" s="263">
        <f t="shared" si="9"/>
        <v>2241.56</v>
      </c>
      <c r="L196" s="1313">
        <v>101360.98</v>
      </c>
      <c r="M196" s="225">
        <v>3173.29</v>
      </c>
      <c r="N196" s="1969"/>
      <c r="O196" s="2158">
        <f t="shared" si="10"/>
        <v>104534.26999999999</v>
      </c>
      <c r="P196" s="2097">
        <v>2337.75</v>
      </c>
      <c r="Q196" s="2097">
        <v>33131.800000000003</v>
      </c>
      <c r="R196" s="2097">
        <v>7578.49</v>
      </c>
      <c r="S196" s="1969"/>
      <c r="T196" s="921"/>
      <c r="U196" s="2002"/>
      <c r="V196" s="206">
        <f t="shared" si="11"/>
        <v>43048.04</v>
      </c>
    </row>
    <row r="197" spans="1:22">
      <c r="A197" s="1340">
        <f t="shared" si="12"/>
        <v>2009.08</v>
      </c>
      <c r="B197" s="260">
        <v>384</v>
      </c>
      <c r="C197" s="2097">
        <v>45</v>
      </c>
      <c r="D197" s="2156"/>
      <c r="E197" s="2097">
        <v>503.56</v>
      </c>
      <c r="F197" s="260">
        <v>173.21</v>
      </c>
      <c r="G197" s="3153"/>
      <c r="H197" s="196">
        <f t="shared" si="8"/>
        <v>173.21</v>
      </c>
      <c r="I197" s="260">
        <v>1846.97</v>
      </c>
      <c r="J197" s="2157"/>
      <c r="K197" s="263">
        <f t="shared" si="9"/>
        <v>1846.97</v>
      </c>
      <c r="L197" s="1313">
        <v>100952.83</v>
      </c>
      <c r="M197" s="225">
        <v>2733.34</v>
      </c>
      <c r="N197" s="1969"/>
      <c r="O197" s="2158">
        <f t="shared" si="10"/>
        <v>103686.17</v>
      </c>
      <c r="P197" s="2097">
        <v>2385.42</v>
      </c>
      <c r="Q197" s="2097">
        <v>33305.11</v>
      </c>
      <c r="R197" s="2097">
        <v>8429.81</v>
      </c>
      <c r="S197" s="1969"/>
      <c r="T197" s="921"/>
      <c r="U197" s="2002"/>
      <c r="V197" s="206">
        <f t="shared" si="11"/>
        <v>44120.34</v>
      </c>
    </row>
    <row r="198" spans="1:22">
      <c r="A198" s="1340">
        <f t="shared" si="12"/>
        <v>2009.09</v>
      </c>
      <c r="B198" s="260">
        <v>398</v>
      </c>
      <c r="C198" s="2097">
        <v>122</v>
      </c>
      <c r="D198" s="2156"/>
      <c r="E198" s="2097">
        <v>340.2</v>
      </c>
      <c r="F198" s="260">
        <v>226.46</v>
      </c>
      <c r="G198" s="3153"/>
      <c r="H198" s="196">
        <f t="shared" si="8"/>
        <v>226.46</v>
      </c>
      <c r="I198" s="260">
        <v>1383.96</v>
      </c>
      <c r="J198" s="2157"/>
      <c r="K198" s="263">
        <f t="shared" si="9"/>
        <v>1383.96</v>
      </c>
      <c r="L198" s="1313">
        <v>98491.3</v>
      </c>
      <c r="M198" s="225">
        <v>2790.09</v>
      </c>
      <c r="N198" s="1969"/>
      <c r="O198" s="2158">
        <f t="shared" si="10"/>
        <v>101281.39</v>
      </c>
      <c r="P198" s="2097">
        <v>2932.7249999999999</v>
      </c>
      <c r="Q198" s="2097">
        <v>33131</v>
      </c>
      <c r="R198" s="2097">
        <v>8201.4650000000001</v>
      </c>
      <c r="S198" s="1969"/>
      <c r="T198" s="921"/>
      <c r="U198" s="2002"/>
      <c r="V198" s="206">
        <f t="shared" si="11"/>
        <v>44265.19</v>
      </c>
    </row>
    <row r="199" spans="1:22">
      <c r="A199" s="1340">
        <f t="shared" si="12"/>
        <v>2009.1</v>
      </c>
      <c r="B199" s="260">
        <v>439</v>
      </c>
      <c r="C199" s="2097">
        <v>124</v>
      </c>
      <c r="D199" s="2156"/>
      <c r="E199" s="2097">
        <v>80</v>
      </c>
      <c r="F199" s="260">
        <v>465.86</v>
      </c>
      <c r="G199" s="3153"/>
      <c r="H199" s="196">
        <f t="shared" si="8"/>
        <v>465.86</v>
      </c>
      <c r="I199" s="260">
        <v>2123.2600000000002</v>
      </c>
      <c r="J199" s="2157"/>
      <c r="K199" s="263">
        <f t="shared" si="9"/>
        <v>2123.2600000000002</v>
      </c>
      <c r="L199" s="1313">
        <v>110521.27</v>
      </c>
      <c r="M199" s="225">
        <v>2768.07</v>
      </c>
      <c r="N199" s="1969"/>
      <c r="O199" s="2158">
        <f t="shared" si="10"/>
        <v>113289.34000000001</v>
      </c>
      <c r="P199" s="2097">
        <v>2608.98</v>
      </c>
      <c r="Q199" s="2097">
        <v>34025.32</v>
      </c>
      <c r="R199" s="2097">
        <v>9548.14</v>
      </c>
      <c r="S199" s="1969"/>
      <c r="T199" s="921"/>
      <c r="U199" s="2002"/>
      <c r="V199" s="206">
        <f t="shared" si="11"/>
        <v>46182.44</v>
      </c>
    </row>
    <row r="200" spans="1:22">
      <c r="A200" s="1340">
        <f t="shared" si="12"/>
        <v>2009.11</v>
      </c>
      <c r="B200" s="260">
        <v>495</v>
      </c>
      <c r="C200" s="2097">
        <v>193</v>
      </c>
      <c r="D200" s="2156"/>
      <c r="E200" s="2097">
        <v>258.63900000000001</v>
      </c>
      <c r="F200" s="260">
        <v>420.26</v>
      </c>
      <c r="G200" s="3153"/>
      <c r="H200" s="196">
        <f t="shared" si="8"/>
        <v>420.26</v>
      </c>
      <c r="I200" s="260">
        <v>11356.69</v>
      </c>
      <c r="J200" s="2157"/>
      <c r="K200" s="263">
        <f t="shared" si="9"/>
        <v>11356.69</v>
      </c>
      <c r="L200" s="1313">
        <v>103350.8</v>
      </c>
      <c r="M200" s="225">
        <v>2514.34</v>
      </c>
      <c r="N200" s="1969"/>
      <c r="O200" s="2158">
        <f t="shared" si="10"/>
        <v>105865.14</v>
      </c>
      <c r="P200" s="2097">
        <v>2993.11</v>
      </c>
      <c r="Q200" s="2097">
        <v>31802.2</v>
      </c>
      <c r="R200" s="2097">
        <v>6461.48</v>
      </c>
      <c r="S200" s="1969"/>
      <c r="T200" s="921"/>
      <c r="U200" s="2002"/>
      <c r="V200" s="206">
        <f t="shared" si="11"/>
        <v>41256.789999999994</v>
      </c>
    </row>
    <row r="201" spans="1:22" ht="13.5" thickBot="1">
      <c r="A201" s="1340">
        <f t="shared" si="12"/>
        <v>2009.12</v>
      </c>
      <c r="B201" s="260">
        <v>505</v>
      </c>
      <c r="C201" s="2097">
        <v>360</v>
      </c>
      <c r="D201" s="2156"/>
      <c r="E201" s="2097">
        <v>95.412999999999997</v>
      </c>
      <c r="F201" s="260">
        <v>1154.1600000000001</v>
      </c>
      <c r="G201" s="3153"/>
      <c r="H201" s="196">
        <f t="shared" si="8"/>
        <v>1154.1600000000001</v>
      </c>
      <c r="I201" s="260">
        <v>4036.57</v>
      </c>
      <c r="J201" s="2157"/>
      <c r="K201" s="263">
        <f t="shared" si="9"/>
        <v>4036.57</v>
      </c>
      <c r="L201" s="1313">
        <v>114845.91</v>
      </c>
      <c r="M201" s="225">
        <v>2225.98</v>
      </c>
      <c r="N201" s="1969"/>
      <c r="O201" s="2158">
        <f>L201+M201+N201</f>
        <v>117071.89</v>
      </c>
      <c r="P201" s="2097">
        <v>3663.38</v>
      </c>
      <c r="Q201" s="2097">
        <v>35648.51</v>
      </c>
      <c r="R201" s="2097">
        <v>10006.799999999999</v>
      </c>
      <c r="S201" s="1969"/>
      <c r="T201" s="921"/>
      <c r="U201" s="2002"/>
      <c r="V201" s="206">
        <f t="shared" si="11"/>
        <v>49318.69</v>
      </c>
    </row>
    <row r="202" spans="1:22">
      <c r="A202" s="1340">
        <f t="shared" si="12"/>
        <v>2010.01</v>
      </c>
      <c r="B202" s="260">
        <v>661</v>
      </c>
      <c r="C202" s="2097">
        <v>391</v>
      </c>
      <c r="D202" s="205">
        <v>1849.54</v>
      </c>
      <c r="E202" s="2097">
        <v>260.65300000000002</v>
      </c>
      <c r="F202" s="260">
        <v>1136.52</v>
      </c>
      <c r="G202" s="3153"/>
      <c r="H202" s="196">
        <f t="shared" ref="H202:H265" si="13">F202+G202</f>
        <v>1136.52</v>
      </c>
      <c r="I202" s="260">
        <v>3200</v>
      </c>
      <c r="J202" s="2157"/>
      <c r="K202" s="263">
        <f t="shared" ref="K202:K207" si="14">I202+J202</f>
        <v>3200</v>
      </c>
      <c r="L202" s="1313">
        <v>105275.485</v>
      </c>
      <c r="M202" s="225">
        <v>14987.28</v>
      </c>
      <c r="N202" s="191">
        <v>1328</v>
      </c>
      <c r="O202" s="2158">
        <f t="shared" ref="O202:O265" si="15">L202+M202+N202</f>
        <v>121590.765</v>
      </c>
      <c r="P202" s="2097">
        <v>3284.7760000000003</v>
      </c>
      <c r="Q202" s="2097">
        <v>32534.441999999999</v>
      </c>
      <c r="R202" s="2097">
        <v>11057.307000000001</v>
      </c>
      <c r="S202" s="1969"/>
      <c r="T202" s="918">
        <v>0</v>
      </c>
      <c r="U202" s="205">
        <v>0</v>
      </c>
      <c r="V202" s="206">
        <f t="shared" si="11"/>
        <v>46876.525000000001</v>
      </c>
    </row>
    <row r="203" spans="1:22">
      <c r="A203" s="1340">
        <f t="shared" si="12"/>
        <v>2010.02</v>
      </c>
      <c r="B203" s="260">
        <v>546</v>
      </c>
      <c r="C203" s="2097">
        <v>689</v>
      </c>
      <c r="D203" s="2097">
        <v>1574.28</v>
      </c>
      <c r="E203" s="2097">
        <v>301.60599999999999</v>
      </c>
      <c r="F203" s="260">
        <v>905.08</v>
      </c>
      <c r="G203" s="3153"/>
      <c r="H203" s="196">
        <f t="shared" si="13"/>
        <v>905.08</v>
      </c>
      <c r="I203" s="260">
        <v>1504.0530000000001</v>
      </c>
      <c r="J203" s="2157"/>
      <c r="K203" s="263">
        <f t="shared" si="14"/>
        <v>1504.0530000000001</v>
      </c>
      <c r="L203" s="1313">
        <v>102952.966</v>
      </c>
      <c r="M203" s="225">
        <v>26562.121999999999</v>
      </c>
      <c r="N203" s="2097">
        <v>987</v>
      </c>
      <c r="O203" s="2158">
        <f t="shared" si="15"/>
        <v>130502.088</v>
      </c>
      <c r="P203" s="2097">
        <v>2398.634</v>
      </c>
      <c r="Q203" s="2097">
        <v>33254.120000000003</v>
      </c>
      <c r="R203" s="2097">
        <v>8798.6659999999993</v>
      </c>
      <c r="S203" s="1969"/>
      <c r="T203" s="1313">
        <v>0</v>
      </c>
      <c r="U203" s="225">
        <v>0</v>
      </c>
      <c r="V203" s="206">
        <f t="shared" si="11"/>
        <v>44451.42</v>
      </c>
    </row>
    <row r="204" spans="1:22">
      <c r="A204" s="1340">
        <f t="shared" si="12"/>
        <v>2010.03</v>
      </c>
      <c r="B204" s="260">
        <v>804</v>
      </c>
      <c r="C204" s="2097">
        <v>291</v>
      </c>
      <c r="D204" s="2097">
        <v>2995.94</v>
      </c>
      <c r="E204" s="2097">
        <v>381.39699999999999</v>
      </c>
      <c r="F204" s="260">
        <v>1390.87</v>
      </c>
      <c r="G204" s="3153"/>
      <c r="H204" s="196">
        <f t="shared" si="13"/>
        <v>1390.87</v>
      </c>
      <c r="I204" s="260">
        <v>1371.672</v>
      </c>
      <c r="J204" s="2157"/>
      <c r="K204" s="263">
        <f t="shared" si="14"/>
        <v>1371.672</v>
      </c>
      <c r="L204" s="1313">
        <v>147527.72099999999</v>
      </c>
      <c r="M204" s="225">
        <v>36832.15</v>
      </c>
      <c r="N204" s="2097">
        <v>1566</v>
      </c>
      <c r="O204" s="2158">
        <f t="shared" si="15"/>
        <v>185925.87099999998</v>
      </c>
      <c r="P204" s="2097">
        <v>4941.6109999999999</v>
      </c>
      <c r="Q204" s="2097">
        <v>37633.347000000002</v>
      </c>
      <c r="R204" s="2097">
        <v>9590.2199999999993</v>
      </c>
      <c r="S204" s="1969"/>
      <c r="T204" s="1313">
        <v>0</v>
      </c>
      <c r="U204" s="225">
        <v>0</v>
      </c>
      <c r="V204" s="206">
        <f t="shared" ref="V204:V267" si="16">SUM(P204:U204)</f>
        <v>52165.178</v>
      </c>
    </row>
    <row r="205" spans="1:22">
      <c r="A205" s="1340">
        <f t="shared" si="12"/>
        <v>2010.04</v>
      </c>
      <c r="B205" s="260">
        <v>636</v>
      </c>
      <c r="C205" s="2097">
        <v>46</v>
      </c>
      <c r="D205" s="2097">
        <v>3641</v>
      </c>
      <c r="E205" s="2097">
        <v>806.97799999999995</v>
      </c>
      <c r="F205" s="260">
        <v>477.54</v>
      </c>
      <c r="G205" s="3153"/>
      <c r="H205" s="196">
        <f t="shared" si="13"/>
        <v>477.54</v>
      </c>
      <c r="I205" s="260">
        <v>3607.0439999999999</v>
      </c>
      <c r="J205" s="2157"/>
      <c r="K205" s="263">
        <f t="shared" si="14"/>
        <v>3607.0439999999999</v>
      </c>
      <c r="L205" s="1313">
        <v>138970.24300000002</v>
      </c>
      <c r="M205" s="225">
        <v>16022.9</v>
      </c>
      <c r="N205" s="2097">
        <v>921</v>
      </c>
      <c r="O205" s="2158">
        <f t="shared" si="15"/>
        <v>155914.14300000001</v>
      </c>
      <c r="P205" s="2097">
        <v>3082.1210000000001</v>
      </c>
      <c r="Q205" s="2097">
        <v>38036.366000000002</v>
      </c>
      <c r="R205" s="2097">
        <v>9889.8420000000006</v>
      </c>
      <c r="S205" s="1969"/>
      <c r="T205" s="1313">
        <v>0</v>
      </c>
      <c r="U205" s="225">
        <v>8459</v>
      </c>
      <c r="V205" s="206">
        <f t="shared" si="16"/>
        <v>59467.328999999998</v>
      </c>
    </row>
    <row r="206" spans="1:22">
      <c r="A206" s="1340">
        <f t="shared" si="12"/>
        <v>2010.05</v>
      </c>
      <c r="B206" s="260">
        <v>611</v>
      </c>
      <c r="C206" s="2097">
        <v>35</v>
      </c>
      <c r="D206" s="2097">
        <v>2860.26</v>
      </c>
      <c r="E206" s="2097">
        <v>880.68899999999996</v>
      </c>
      <c r="F206" s="260">
        <v>1.4</v>
      </c>
      <c r="G206" s="3153"/>
      <c r="H206" s="196">
        <f t="shared" si="13"/>
        <v>1.4</v>
      </c>
      <c r="I206" s="260">
        <v>8472.8629999999994</v>
      </c>
      <c r="J206" s="2157"/>
      <c r="K206" s="263">
        <f t="shared" si="14"/>
        <v>8472.8629999999994</v>
      </c>
      <c r="L206" s="1313">
        <v>123571.792</v>
      </c>
      <c r="M206" s="225">
        <v>4993.8</v>
      </c>
      <c r="N206" s="2097">
        <v>2336</v>
      </c>
      <c r="O206" s="2158">
        <f t="shared" si="15"/>
        <v>130901.592</v>
      </c>
      <c r="P206" s="2097">
        <v>2253.8389999999999</v>
      </c>
      <c r="Q206" s="2097">
        <v>32888.131000000001</v>
      </c>
      <c r="R206" s="2097">
        <v>9254.5429999999997</v>
      </c>
      <c r="S206" s="1969"/>
      <c r="T206" s="1313">
        <v>0</v>
      </c>
      <c r="U206" s="225">
        <v>0</v>
      </c>
      <c r="V206" s="206">
        <f t="shared" si="16"/>
        <v>44396.512999999999</v>
      </c>
    </row>
    <row r="207" spans="1:22" ht="13.5" thickBot="1">
      <c r="A207" s="1340">
        <f t="shared" si="12"/>
        <v>2010.06</v>
      </c>
      <c r="B207" s="260">
        <v>632</v>
      </c>
      <c r="C207" s="2097">
        <v>50</v>
      </c>
      <c r="D207" s="2097">
        <v>1965.98</v>
      </c>
      <c r="E207" s="2097">
        <v>1054.7339999999999</v>
      </c>
      <c r="F207" s="260">
        <v>0</v>
      </c>
      <c r="G207" s="3153"/>
      <c r="H207" s="196">
        <f t="shared" si="13"/>
        <v>0</v>
      </c>
      <c r="I207" s="260">
        <v>6278.268</v>
      </c>
      <c r="J207" s="2157"/>
      <c r="K207" s="263">
        <f t="shared" si="14"/>
        <v>6278.268</v>
      </c>
      <c r="L207" s="1313">
        <v>120932.997</v>
      </c>
      <c r="M207" s="225">
        <v>13868.46</v>
      </c>
      <c r="N207" s="2097">
        <v>2046</v>
      </c>
      <c r="O207" s="2158">
        <f t="shared" si="15"/>
        <v>136847.45699999999</v>
      </c>
      <c r="P207" s="2097">
        <v>2837.663</v>
      </c>
      <c r="Q207" s="2097">
        <v>32023.828999999998</v>
      </c>
      <c r="R207" s="2097">
        <v>8872.3169999999991</v>
      </c>
      <c r="S207" s="1969"/>
      <c r="T207" s="1313">
        <v>0</v>
      </c>
      <c r="U207" s="225">
        <v>0</v>
      </c>
      <c r="V207" s="206">
        <f t="shared" si="16"/>
        <v>43733.808999999994</v>
      </c>
    </row>
    <row r="208" spans="1:22">
      <c r="A208" s="1340">
        <f t="shared" si="12"/>
        <v>2010.07</v>
      </c>
      <c r="B208" s="260">
        <v>623</v>
      </c>
      <c r="C208" s="2097">
        <v>52</v>
      </c>
      <c r="D208" s="2097">
        <v>3306.34</v>
      </c>
      <c r="E208" s="2097">
        <v>1325.95</v>
      </c>
      <c r="F208" s="260">
        <v>0</v>
      </c>
      <c r="G208" s="767">
        <v>0</v>
      </c>
      <c r="H208" s="196">
        <f t="shared" si="13"/>
        <v>0</v>
      </c>
      <c r="I208" s="260">
        <v>14035.602999999999</v>
      </c>
      <c r="J208" s="916">
        <v>83.79</v>
      </c>
      <c r="K208" s="263">
        <f>I208+J208</f>
        <v>14119.393</v>
      </c>
      <c r="L208" s="1313">
        <v>123888.99799999999</v>
      </c>
      <c r="M208" s="225">
        <v>2798.79</v>
      </c>
      <c r="N208" s="2097">
        <v>850.14</v>
      </c>
      <c r="O208" s="2158">
        <f t="shared" si="15"/>
        <v>127537.92799999999</v>
      </c>
      <c r="P208" s="2097">
        <v>2738.2809999999999</v>
      </c>
      <c r="Q208" s="2097">
        <v>34475.521999999997</v>
      </c>
      <c r="R208" s="2097">
        <v>10517.558999999999</v>
      </c>
      <c r="S208" s="47">
        <v>0</v>
      </c>
      <c r="T208" s="1313">
        <v>0</v>
      </c>
      <c r="U208" s="225">
        <v>0</v>
      </c>
      <c r="V208" s="206">
        <f t="shared" si="16"/>
        <v>47731.362000000001</v>
      </c>
    </row>
    <row r="209" spans="1:22">
      <c r="A209" s="1340">
        <f t="shared" si="12"/>
        <v>2010.08</v>
      </c>
      <c r="B209" s="260">
        <v>1063</v>
      </c>
      <c r="C209" s="2097">
        <v>52</v>
      </c>
      <c r="D209" s="2097">
        <v>4217.18</v>
      </c>
      <c r="E209" s="2097">
        <v>839.00099999999998</v>
      </c>
      <c r="F209" s="260">
        <v>0</v>
      </c>
      <c r="G209" s="3034">
        <v>0</v>
      </c>
      <c r="H209" s="196">
        <f t="shared" si="13"/>
        <v>0</v>
      </c>
      <c r="I209" s="260">
        <v>13129.957</v>
      </c>
      <c r="J209" s="1870">
        <v>683.25</v>
      </c>
      <c r="K209" s="263">
        <f>I209+J209</f>
        <v>13813.207</v>
      </c>
      <c r="L209" s="1313">
        <v>122321.16500000001</v>
      </c>
      <c r="M209" s="225">
        <v>12242.51</v>
      </c>
      <c r="N209" s="2097">
        <v>1807.44</v>
      </c>
      <c r="O209" s="2158">
        <f t="shared" si="15"/>
        <v>136371.11500000002</v>
      </c>
      <c r="P209" s="2097">
        <v>2986.7219999999998</v>
      </c>
      <c r="Q209" s="2097">
        <v>35113.972999999998</v>
      </c>
      <c r="R209" s="2097">
        <v>9718.0770000000011</v>
      </c>
      <c r="S209" s="2097">
        <v>0</v>
      </c>
      <c r="T209" s="1313">
        <v>0</v>
      </c>
      <c r="U209" s="225">
        <v>0</v>
      </c>
      <c r="V209" s="206">
        <f t="shared" si="16"/>
        <v>47818.771999999997</v>
      </c>
    </row>
    <row r="210" spans="1:22">
      <c r="A210" s="1340">
        <f t="shared" si="12"/>
        <v>2010.09</v>
      </c>
      <c r="B210" s="260">
        <v>848</v>
      </c>
      <c r="C210" s="2097">
        <v>49</v>
      </c>
      <c r="D210" s="2097">
        <v>3201.3599999999997</v>
      </c>
      <c r="E210" s="2097">
        <v>344.21800000000002</v>
      </c>
      <c r="F210" s="260">
        <v>0</v>
      </c>
      <c r="G210" s="3034">
        <v>0</v>
      </c>
      <c r="H210" s="196">
        <f t="shared" si="13"/>
        <v>0</v>
      </c>
      <c r="I210" s="260">
        <v>35024.019</v>
      </c>
      <c r="J210" s="1870">
        <v>0</v>
      </c>
      <c r="K210" s="263">
        <f>I210+J210</f>
        <v>35024.019</v>
      </c>
      <c r="L210" s="1313">
        <v>122818.95300000001</v>
      </c>
      <c r="M210" s="225">
        <v>5972.88</v>
      </c>
      <c r="N210" s="2097">
        <v>1463.22</v>
      </c>
      <c r="O210" s="2158">
        <f t="shared" si="15"/>
        <v>130255.05300000001</v>
      </c>
      <c r="P210" s="2097">
        <v>2758.279</v>
      </c>
      <c r="Q210" s="2097">
        <v>34242.498999999996</v>
      </c>
      <c r="R210" s="2097">
        <v>9530.9670000000006</v>
      </c>
      <c r="S210" s="2097">
        <v>0</v>
      </c>
      <c r="T210" s="1313">
        <v>0</v>
      </c>
      <c r="U210" s="225">
        <v>0</v>
      </c>
      <c r="V210" s="206">
        <f t="shared" si="16"/>
        <v>46531.744999999995</v>
      </c>
    </row>
    <row r="211" spans="1:22">
      <c r="A211" s="1340">
        <f t="shared" si="12"/>
        <v>2010.1</v>
      </c>
      <c r="B211" s="260">
        <v>1334</v>
      </c>
      <c r="C211" s="2097">
        <v>73</v>
      </c>
      <c r="D211" s="2097">
        <v>3067.18</v>
      </c>
      <c r="E211" s="2097">
        <v>166.209</v>
      </c>
      <c r="F211" s="260">
        <v>0</v>
      </c>
      <c r="G211" s="3034">
        <v>0</v>
      </c>
      <c r="H211" s="196">
        <f t="shared" si="13"/>
        <v>0</v>
      </c>
      <c r="I211" s="260">
        <v>1702.2049999999999</v>
      </c>
      <c r="J211" s="1870">
        <v>0</v>
      </c>
      <c r="K211" s="263">
        <f>I211+J211</f>
        <v>1702.2049999999999</v>
      </c>
      <c r="L211" s="1313">
        <v>118851.00200000001</v>
      </c>
      <c r="M211" s="225">
        <v>6498.2640000000001</v>
      </c>
      <c r="N211" s="2097">
        <v>950.32</v>
      </c>
      <c r="O211" s="2158">
        <f t="shared" si="15"/>
        <v>126299.58600000001</v>
      </c>
      <c r="P211" s="2097">
        <v>2860.3560000000002</v>
      </c>
      <c r="Q211" s="2097">
        <v>34843.058000000005</v>
      </c>
      <c r="R211" s="2097">
        <v>9889.7170000000006</v>
      </c>
      <c r="S211" s="2097">
        <v>0</v>
      </c>
      <c r="T211" s="1313">
        <v>0</v>
      </c>
      <c r="U211" s="225">
        <v>0</v>
      </c>
      <c r="V211" s="206">
        <f t="shared" si="16"/>
        <v>47593.131000000008</v>
      </c>
    </row>
    <row r="212" spans="1:22">
      <c r="A212" s="1340">
        <f t="shared" si="12"/>
        <v>2010.11</v>
      </c>
      <c r="B212" s="260">
        <v>1246</v>
      </c>
      <c r="C212" s="2097">
        <v>61</v>
      </c>
      <c r="D212" s="2097">
        <v>2740.7799999999997</v>
      </c>
      <c r="E212" s="2097">
        <v>180.27100000000002</v>
      </c>
      <c r="F212" s="260">
        <v>114</v>
      </c>
      <c r="G212" s="3034">
        <v>0</v>
      </c>
      <c r="H212" s="196">
        <f t="shared" si="13"/>
        <v>114</v>
      </c>
      <c r="I212" s="260">
        <v>5521.567</v>
      </c>
      <c r="J212" s="1870">
        <v>70.983999999999995</v>
      </c>
      <c r="K212" s="263">
        <f t="shared" ref="K212:K273" si="17">I212+J212</f>
        <v>5592.5510000000004</v>
      </c>
      <c r="L212" s="1313">
        <v>120930.96799999999</v>
      </c>
      <c r="M212" s="225">
        <v>27.795000000000002</v>
      </c>
      <c r="N212" s="2097">
        <v>800.45</v>
      </c>
      <c r="O212" s="2158">
        <f t="shared" si="15"/>
        <v>121759.21299999999</v>
      </c>
      <c r="P212" s="2097">
        <v>2759.5950000000003</v>
      </c>
      <c r="Q212" s="2097">
        <v>34724.175999999999</v>
      </c>
      <c r="R212" s="2097">
        <v>10317.003000000001</v>
      </c>
      <c r="S212" s="2097">
        <v>0</v>
      </c>
      <c r="T212" s="1313">
        <v>0</v>
      </c>
      <c r="U212" s="225">
        <v>0</v>
      </c>
      <c r="V212" s="206">
        <f t="shared" si="16"/>
        <v>47800.774000000005</v>
      </c>
    </row>
    <row r="213" spans="1:22">
      <c r="A213" s="1340">
        <f t="shared" si="12"/>
        <v>2010.12</v>
      </c>
      <c r="B213" s="260">
        <v>1522</v>
      </c>
      <c r="C213" s="2097">
        <v>99</v>
      </c>
      <c r="D213" s="2097">
        <v>3060.84</v>
      </c>
      <c r="E213" s="2097">
        <v>263.49700000000001</v>
      </c>
      <c r="F213" s="260">
        <v>187</v>
      </c>
      <c r="G213" s="3034">
        <v>0</v>
      </c>
      <c r="H213" s="196">
        <f t="shared" si="13"/>
        <v>187</v>
      </c>
      <c r="I213" s="260">
        <v>1972.59</v>
      </c>
      <c r="J213" s="1870">
        <v>0</v>
      </c>
      <c r="K213" s="263">
        <f t="shared" si="17"/>
        <v>1972.59</v>
      </c>
      <c r="L213" s="1313">
        <v>127075.696</v>
      </c>
      <c r="M213" s="225">
        <v>0</v>
      </c>
      <c r="N213" s="2097">
        <v>1638.14</v>
      </c>
      <c r="O213" s="2158">
        <f t="shared" si="15"/>
        <v>128713.836</v>
      </c>
      <c r="P213" s="2097">
        <v>2860.817</v>
      </c>
      <c r="Q213" s="2097">
        <v>35772.760999999999</v>
      </c>
      <c r="R213" s="2097">
        <v>11875.654</v>
      </c>
      <c r="S213" s="2097">
        <v>0</v>
      </c>
      <c r="T213" s="1313">
        <v>0</v>
      </c>
      <c r="U213" s="225">
        <v>0</v>
      </c>
      <c r="V213" s="206">
        <f t="shared" si="16"/>
        <v>50509.232000000004</v>
      </c>
    </row>
    <row r="214" spans="1:22">
      <c r="A214" s="1340">
        <f t="shared" si="12"/>
        <v>2011.01</v>
      </c>
      <c r="B214" s="260">
        <v>1205</v>
      </c>
      <c r="C214" s="2097">
        <v>55</v>
      </c>
      <c r="D214" s="2097">
        <v>2589.7399999999998</v>
      </c>
      <c r="E214" s="2097">
        <v>242.10799999999998</v>
      </c>
      <c r="F214" s="260">
        <v>152</v>
      </c>
      <c r="G214" s="3034">
        <v>0</v>
      </c>
      <c r="H214" s="196">
        <f t="shared" si="13"/>
        <v>152</v>
      </c>
      <c r="I214" s="260">
        <v>10099.35</v>
      </c>
      <c r="J214" s="1870">
        <v>0</v>
      </c>
      <c r="K214" s="263">
        <f t="shared" si="17"/>
        <v>10099.35</v>
      </c>
      <c r="L214" s="1313">
        <v>113573.124</v>
      </c>
      <c r="M214" s="225">
        <v>2990.23</v>
      </c>
      <c r="N214" s="2097">
        <v>1811.11</v>
      </c>
      <c r="O214" s="2158">
        <f t="shared" si="15"/>
        <v>118374.46399999999</v>
      </c>
      <c r="P214" s="2097">
        <v>2643.25</v>
      </c>
      <c r="Q214" s="2097">
        <v>35315.756999999998</v>
      </c>
      <c r="R214" s="2097">
        <v>11697.655999999999</v>
      </c>
      <c r="S214" s="2097">
        <v>0</v>
      </c>
      <c r="T214" s="1313">
        <v>0</v>
      </c>
      <c r="U214" s="225">
        <v>1673.7</v>
      </c>
      <c r="V214" s="206">
        <f t="shared" si="16"/>
        <v>51330.362999999998</v>
      </c>
    </row>
    <row r="215" spans="1:22">
      <c r="A215" s="1340">
        <f t="shared" si="12"/>
        <v>2011.02</v>
      </c>
      <c r="B215" s="260">
        <v>1079</v>
      </c>
      <c r="C215" s="2097">
        <v>102</v>
      </c>
      <c r="D215" s="2097">
        <v>2678.35</v>
      </c>
      <c r="E215" s="2097">
        <v>475.62</v>
      </c>
      <c r="F215" s="260">
        <v>76</v>
      </c>
      <c r="G215" s="3034">
        <v>0</v>
      </c>
      <c r="H215" s="196">
        <f t="shared" si="13"/>
        <v>76</v>
      </c>
      <c r="I215" s="260">
        <v>7622.3519999999999</v>
      </c>
      <c r="J215" s="1870">
        <v>0</v>
      </c>
      <c r="K215" s="263">
        <f t="shared" si="17"/>
        <v>7622.3519999999999</v>
      </c>
      <c r="L215" s="1313">
        <v>102621.389</v>
      </c>
      <c r="M215" s="225">
        <v>2992.19</v>
      </c>
      <c r="N215" s="2097">
        <v>1168.31</v>
      </c>
      <c r="O215" s="2158">
        <f t="shared" si="15"/>
        <v>106781.889</v>
      </c>
      <c r="P215" s="2097">
        <v>2640.9359999999997</v>
      </c>
      <c r="Q215" s="2097">
        <v>30089.186000000002</v>
      </c>
      <c r="R215" s="2097">
        <v>12461.847</v>
      </c>
      <c r="S215" s="2097">
        <v>0</v>
      </c>
      <c r="T215" s="1313">
        <v>0</v>
      </c>
      <c r="U215" s="225">
        <v>0</v>
      </c>
      <c r="V215" s="206">
        <f t="shared" si="16"/>
        <v>45191.969000000005</v>
      </c>
    </row>
    <row r="216" spans="1:22">
      <c r="A216" s="1340">
        <f t="shared" si="12"/>
        <v>2011.03</v>
      </c>
      <c r="B216" s="260">
        <v>1743</v>
      </c>
      <c r="C216" s="2097">
        <v>92</v>
      </c>
      <c r="D216" s="2097">
        <v>3352.5039999999999</v>
      </c>
      <c r="E216" s="2097">
        <v>342.56600000000003</v>
      </c>
      <c r="F216" s="260">
        <f>38</f>
        <v>38</v>
      </c>
      <c r="G216" s="3034">
        <v>31.861999999999998</v>
      </c>
      <c r="H216" s="196">
        <f t="shared" si="13"/>
        <v>69.861999999999995</v>
      </c>
      <c r="I216" s="260">
        <v>10344.027</v>
      </c>
      <c r="J216" s="1870">
        <v>0</v>
      </c>
      <c r="K216" s="263">
        <f t="shared" si="17"/>
        <v>10344.027</v>
      </c>
      <c r="L216" s="1313">
        <v>124633.629</v>
      </c>
      <c r="M216" s="225">
        <v>3376.672</v>
      </c>
      <c r="N216" s="2097">
        <v>1754.59</v>
      </c>
      <c r="O216" s="2158">
        <f t="shared" si="15"/>
        <v>129764.891</v>
      </c>
      <c r="P216" s="2097">
        <v>3199.433</v>
      </c>
      <c r="Q216" s="2097">
        <v>34303.947</v>
      </c>
      <c r="R216" s="2097">
        <v>14555.726999999999</v>
      </c>
      <c r="S216" s="2097">
        <v>1057.1300000000001</v>
      </c>
      <c r="T216" s="1313">
        <v>0</v>
      </c>
      <c r="U216" s="225">
        <v>236.6</v>
      </c>
      <c r="V216" s="206">
        <f t="shared" si="16"/>
        <v>53352.836999999992</v>
      </c>
    </row>
    <row r="217" spans="1:22">
      <c r="A217" s="1340">
        <f t="shared" si="12"/>
        <v>2011.04</v>
      </c>
      <c r="B217" s="260">
        <v>791</v>
      </c>
      <c r="C217" s="2097">
        <v>53</v>
      </c>
      <c r="D217" s="2097">
        <v>2083.3000000000002</v>
      </c>
      <c r="E217" s="2097">
        <v>401.34500000000003</v>
      </c>
      <c r="F217" s="260">
        <f>0</f>
        <v>0</v>
      </c>
      <c r="G217" s="3034">
        <v>114</v>
      </c>
      <c r="H217" s="196">
        <f t="shared" si="13"/>
        <v>114</v>
      </c>
      <c r="I217" s="260">
        <v>5692.5060000000003</v>
      </c>
      <c r="J217" s="1870">
        <v>0</v>
      </c>
      <c r="K217" s="263">
        <f t="shared" si="17"/>
        <v>5692.5060000000003</v>
      </c>
      <c r="L217" s="1313">
        <v>133409.88399999999</v>
      </c>
      <c r="M217" s="225">
        <v>5938.8</v>
      </c>
      <c r="N217" s="2097">
        <v>1731.8</v>
      </c>
      <c r="O217" s="2158">
        <f t="shared" si="15"/>
        <v>141080.48399999997</v>
      </c>
      <c r="P217" s="2097">
        <v>3277.5949999999998</v>
      </c>
      <c r="Q217" s="2097">
        <v>34904.350999999995</v>
      </c>
      <c r="R217" s="2097">
        <f>12862.086+60</f>
        <v>12922.085999999999</v>
      </c>
      <c r="S217" s="2097">
        <v>60</v>
      </c>
      <c r="T217" s="1313">
        <v>0</v>
      </c>
      <c r="U217" s="225">
        <v>0</v>
      </c>
      <c r="V217" s="206">
        <f t="shared" si="16"/>
        <v>51164.031999999992</v>
      </c>
    </row>
    <row r="218" spans="1:22">
      <c r="A218" s="1340">
        <f t="shared" si="12"/>
        <v>2011.05</v>
      </c>
      <c r="B218" s="260">
        <v>553</v>
      </c>
      <c r="C218" s="2097">
        <v>64</v>
      </c>
      <c r="D218" s="2097">
        <v>3950</v>
      </c>
      <c r="E218" s="2097">
        <v>775.11300000000006</v>
      </c>
      <c r="F218" s="260">
        <v>0</v>
      </c>
      <c r="G218" s="3034">
        <v>35</v>
      </c>
      <c r="H218" s="196">
        <f t="shared" si="13"/>
        <v>35</v>
      </c>
      <c r="I218" s="260">
        <v>6443.134</v>
      </c>
      <c r="J218" s="1870">
        <v>5066.8710000000001</v>
      </c>
      <c r="K218" s="263">
        <f t="shared" si="17"/>
        <v>11510.005000000001</v>
      </c>
      <c r="L218" s="1313">
        <v>122689.88470000001</v>
      </c>
      <c r="M218" s="225">
        <v>24758.022385000004</v>
      </c>
      <c r="N218" s="2097">
        <v>597.70000000000005</v>
      </c>
      <c r="O218" s="2158">
        <f t="shared" si="15"/>
        <v>148045.60708500003</v>
      </c>
      <c r="P218" s="2097">
        <v>3268.79</v>
      </c>
      <c r="Q218" s="2097">
        <v>33991.084900000002</v>
      </c>
      <c r="R218" s="2097">
        <v>11991.7952</v>
      </c>
      <c r="S218" s="2097">
        <v>11764.241119999999</v>
      </c>
      <c r="T218" s="1313">
        <v>0</v>
      </c>
      <c r="U218" s="225">
        <v>21531.4</v>
      </c>
      <c r="V218" s="206">
        <f t="shared" si="16"/>
        <v>82547.311220000003</v>
      </c>
    </row>
    <row r="219" spans="1:22">
      <c r="A219" s="1340">
        <f t="shared" si="12"/>
        <v>2011.06</v>
      </c>
      <c r="B219" s="260">
        <v>244</v>
      </c>
      <c r="C219" s="2097">
        <v>39</v>
      </c>
      <c r="D219" s="2097">
        <v>4182.16</v>
      </c>
      <c r="E219" s="2097">
        <v>920.66</v>
      </c>
      <c r="F219" s="260">
        <v>38</v>
      </c>
      <c r="G219" s="3034">
        <v>0</v>
      </c>
      <c r="H219" s="196">
        <f t="shared" si="13"/>
        <v>38</v>
      </c>
      <c r="I219" s="260">
        <v>4048.0009999999997</v>
      </c>
      <c r="J219" s="1870">
        <v>1535.424</v>
      </c>
      <c r="K219" s="263">
        <f t="shared" si="17"/>
        <v>5583.4249999999993</v>
      </c>
      <c r="L219" s="1313">
        <v>123484.14059999998</v>
      </c>
      <c r="M219" s="225">
        <v>11514.594153</v>
      </c>
      <c r="N219" s="2097">
        <v>812.31</v>
      </c>
      <c r="O219" s="2158">
        <f t="shared" si="15"/>
        <v>135811.04475299999</v>
      </c>
      <c r="P219" s="2097">
        <v>2250.4699999999998</v>
      </c>
      <c r="Q219" s="2097">
        <v>33001.855900000002</v>
      </c>
      <c r="R219" s="2097">
        <v>12380.878499999999</v>
      </c>
      <c r="S219" s="2097">
        <v>4286.9910970000001</v>
      </c>
      <c r="T219" s="1313">
        <v>0</v>
      </c>
      <c r="U219" s="225">
        <v>21752.1</v>
      </c>
      <c r="V219" s="206">
        <f t="shared" si="16"/>
        <v>73672.295496999999</v>
      </c>
    </row>
    <row r="220" spans="1:22">
      <c r="A220" s="1340">
        <f t="shared" si="12"/>
        <v>2011.07</v>
      </c>
      <c r="B220" s="260">
        <v>541</v>
      </c>
      <c r="C220" s="2097">
        <v>60</v>
      </c>
      <c r="D220" s="2097">
        <v>3349.08</v>
      </c>
      <c r="E220" s="2097">
        <v>941.90699999999993</v>
      </c>
      <c r="F220" s="260">
        <v>0</v>
      </c>
      <c r="G220" s="3034">
        <v>0</v>
      </c>
      <c r="H220" s="196">
        <f t="shared" si="13"/>
        <v>0</v>
      </c>
      <c r="I220" s="260">
        <v>19565.082000000002</v>
      </c>
      <c r="J220" s="1870">
        <v>866.50130000000001</v>
      </c>
      <c r="K220" s="263">
        <f t="shared" si="17"/>
        <v>20431.583300000002</v>
      </c>
      <c r="L220" s="1313">
        <v>127432.49710000001</v>
      </c>
      <c r="M220" s="225">
        <v>7713.41</v>
      </c>
      <c r="N220" s="2097">
        <v>1831.05</v>
      </c>
      <c r="O220" s="2158">
        <f t="shared" si="15"/>
        <v>136976.9571</v>
      </c>
      <c r="P220" s="2097">
        <v>2515.56</v>
      </c>
      <c r="Q220" s="2097">
        <v>35674.614099999999</v>
      </c>
      <c r="R220" s="2097">
        <v>13769.4247</v>
      </c>
      <c r="S220" s="2097">
        <v>3687.5565000000001</v>
      </c>
      <c r="T220" s="1313">
        <v>0</v>
      </c>
      <c r="U220" s="225">
        <v>20739.400000000001</v>
      </c>
      <c r="V220" s="206">
        <f t="shared" si="16"/>
        <v>76386.555299999993</v>
      </c>
    </row>
    <row r="221" spans="1:22">
      <c r="A221" s="1340">
        <f t="shared" si="12"/>
        <v>2011.08</v>
      </c>
      <c r="B221" s="260">
        <v>502</v>
      </c>
      <c r="C221" s="2097">
        <v>67</v>
      </c>
      <c r="D221" s="2097">
        <v>5359.92</v>
      </c>
      <c r="E221" s="2097">
        <v>775.87300000000005</v>
      </c>
      <c r="F221" s="260">
        <v>0</v>
      </c>
      <c r="G221" s="3034">
        <v>0</v>
      </c>
      <c r="H221" s="196">
        <f t="shared" si="13"/>
        <v>0</v>
      </c>
      <c r="I221" s="260">
        <v>6075.732</v>
      </c>
      <c r="J221" s="1870">
        <v>679.08699999999999</v>
      </c>
      <c r="K221" s="263">
        <f t="shared" si="17"/>
        <v>6754.8189999999995</v>
      </c>
      <c r="L221" s="1313">
        <v>130455.74619999999</v>
      </c>
      <c r="M221" s="225">
        <v>8099.8492999999999</v>
      </c>
      <c r="N221" s="2097">
        <v>1890.4</v>
      </c>
      <c r="O221" s="2158">
        <f t="shared" si="15"/>
        <v>140445.99549999999</v>
      </c>
      <c r="P221" s="2097">
        <v>2190</v>
      </c>
      <c r="Q221" s="2097">
        <v>36310.565900000001</v>
      </c>
      <c r="R221" s="2097">
        <v>13602.727500000001</v>
      </c>
      <c r="S221" s="2097">
        <v>4003.0072</v>
      </c>
      <c r="T221" s="1313">
        <v>0</v>
      </c>
      <c r="U221" s="225">
        <v>21238.5</v>
      </c>
      <c r="V221" s="206">
        <f t="shared" si="16"/>
        <v>77344.800600000002</v>
      </c>
    </row>
    <row r="222" spans="1:22">
      <c r="A222" s="1340">
        <f t="shared" si="12"/>
        <v>2011.09</v>
      </c>
      <c r="B222" s="260">
        <v>717</v>
      </c>
      <c r="C222" s="2097">
        <v>79</v>
      </c>
      <c r="D222" s="2097">
        <v>9535.06</v>
      </c>
      <c r="E222" s="2097">
        <v>293.78700000000003</v>
      </c>
      <c r="F222" s="260">
        <v>0</v>
      </c>
      <c r="G222" s="3034">
        <v>0</v>
      </c>
      <c r="H222" s="196">
        <f t="shared" si="13"/>
        <v>0</v>
      </c>
      <c r="I222" s="260">
        <v>6956.6509999999998</v>
      </c>
      <c r="J222" s="1870">
        <v>0</v>
      </c>
      <c r="K222" s="263">
        <f t="shared" si="17"/>
        <v>6956.6509999999998</v>
      </c>
      <c r="L222" s="1313">
        <v>129622.68340000001</v>
      </c>
      <c r="M222" s="225">
        <v>9164.8631000000005</v>
      </c>
      <c r="N222" s="2097">
        <v>2015.84</v>
      </c>
      <c r="O222" s="2158">
        <f t="shared" si="15"/>
        <v>140803.38649999999</v>
      </c>
      <c r="P222" s="2097">
        <v>2603</v>
      </c>
      <c r="Q222" s="2097">
        <v>36118.3439</v>
      </c>
      <c r="R222" s="2097">
        <v>13149.9766</v>
      </c>
      <c r="S222" s="2097">
        <v>3688.8462</v>
      </c>
      <c r="T222" s="1313">
        <v>0</v>
      </c>
      <c r="U222" s="225">
        <v>21012.400000000001</v>
      </c>
      <c r="V222" s="206">
        <f t="shared" si="16"/>
        <v>76572.566699999996</v>
      </c>
    </row>
    <row r="223" spans="1:22">
      <c r="A223" s="1340">
        <f t="shared" si="12"/>
        <v>2011.1</v>
      </c>
      <c r="B223" s="260">
        <v>921</v>
      </c>
      <c r="C223" s="2097">
        <v>98</v>
      </c>
      <c r="D223" s="2097">
        <v>8745.58</v>
      </c>
      <c r="E223" s="2097">
        <v>340.18599999999998</v>
      </c>
      <c r="F223" s="260">
        <v>0</v>
      </c>
      <c r="G223" s="3034">
        <v>0</v>
      </c>
      <c r="H223" s="196">
        <f t="shared" si="13"/>
        <v>0</v>
      </c>
      <c r="I223" s="260">
        <v>25159.219000000001</v>
      </c>
      <c r="J223" s="1870">
        <v>0</v>
      </c>
      <c r="K223" s="263">
        <f t="shared" si="17"/>
        <v>25159.219000000001</v>
      </c>
      <c r="L223" s="1313">
        <v>122345.698</v>
      </c>
      <c r="M223" s="225">
        <v>7545.3191999999999</v>
      </c>
      <c r="N223" s="2097">
        <v>2622.98</v>
      </c>
      <c r="O223" s="2158">
        <f t="shared" si="15"/>
        <v>132513.99720000001</v>
      </c>
      <c r="P223" s="2097">
        <v>2925.52</v>
      </c>
      <c r="Q223" s="2097">
        <v>35249.753600000004</v>
      </c>
      <c r="R223" s="2097">
        <v>13867.3343</v>
      </c>
      <c r="S223" s="2097">
        <v>3855.3998000000001</v>
      </c>
      <c r="T223" s="1313">
        <v>0</v>
      </c>
      <c r="U223" s="225">
        <v>21043</v>
      </c>
      <c r="V223" s="206">
        <f t="shared" si="16"/>
        <v>76941.007700000002</v>
      </c>
    </row>
    <row r="224" spans="1:22">
      <c r="A224" s="1340">
        <f t="shared" si="12"/>
        <v>2011.11</v>
      </c>
      <c r="B224" s="260">
        <v>747</v>
      </c>
      <c r="C224" s="2097">
        <v>96</v>
      </c>
      <c r="D224" s="2097">
        <v>8954.48</v>
      </c>
      <c r="E224" s="2097">
        <v>296.92200000000003</v>
      </c>
      <c r="F224" s="260">
        <v>0</v>
      </c>
      <c r="G224" s="3034">
        <v>0</v>
      </c>
      <c r="H224" s="196">
        <f t="shared" si="13"/>
        <v>0</v>
      </c>
      <c r="I224" s="260">
        <v>14750.941999999999</v>
      </c>
      <c r="J224" s="1870">
        <v>0</v>
      </c>
      <c r="K224" s="263">
        <f t="shared" si="17"/>
        <v>14750.941999999999</v>
      </c>
      <c r="L224" s="1313">
        <v>127985.05320000001</v>
      </c>
      <c r="M224" s="225">
        <v>6820.9295000000002</v>
      </c>
      <c r="N224" s="2097">
        <v>3192.33</v>
      </c>
      <c r="O224" s="2158">
        <f t="shared" si="15"/>
        <v>137998.31270000001</v>
      </c>
      <c r="P224" s="2097">
        <v>2969</v>
      </c>
      <c r="Q224" s="2097">
        <v>35857.789900000003</v>
      </c>
      <c r="R224" s="2097">
        <v>13550.921899999999</v>
      </c>
      <c r="S224" s="2097">
        <v>3617.0763999999999</v>
      </c>
      <c r="T224" s="1313">
        <v>0</v>
      </c>
      <c r="U224" s="225">
        <v>20685.5</v>
      </c>
      <c r="V224" s="206">
        <f t="shared" si="16"/>
        <v>76680.28820000001</v>
      </c>
    </row>
    <row r="225" spans="1:22">
      <c r="A225" s="1340">
        <f t="shared" si="12"/>
        <v>2011.12</v>
      </c>
      <c r="B225" s="260">
        <v>809</v>
      </c>
      <c r="C225" s="2097">
        <v>88</v>
      </c>
      <c r="D225" s="2097">
        <v>7452.63</v>
      </c>
      <c r="E225" s="2097">
        <v>267.65100000000001</v>
      </c>
      <c r="F225" s="260">
        <v>0</v>
      </c>
      <c r="G225" s="3034">
        <v>0</v>
      </c>
      <c r="H225" s="196">
        <f t="shared" si="13"/>
        <v>0</v>
      </c>
      <c r="I225" s="260">
        <v>14402.795</v>
      </c>
      <c r="J225" s="1870">
        <v>0</v>
      </c>
      <c r="K225" s="263">
        <f t="shared" si="17"/>
        <v>14402.795</v>
      </c>
      <c r="L225" s="1313">
        <v>125601.6161</v>
      </c>
      <c r="M225" s="225">
        <v>10820.499399999999</v>
      </c>
      <c r="N225" s="2097">
        <v>2968.07</v>
      </c>
      <c r="O225" s="2158">
        <f t="shared" si="15"/>
        <v>139390.18549999999</v>
      </c>
      <c r="P225" s="2097">
        <v>2255.0100000000002</v>
      </c>
      <c r="Q225" s="2097">
        <v>41824.187400000003</v>
      </c>
      <c r="R225" s="2097">
        <v>15030.2618</v>
      </c>
      <c r="S225" s="2097">
        <v>4167.3954999999996</v>
      </c>
      <c r="T225" s="1313">
        <v>0</v>
      </c>
      <c r="U225" s="225">
        <v>21351.1</v>
      </c>
      <c r="V225" s="206">
        <f t="shared" si="16"/>
        <v>84627.954700000002</v>
      </c>
    </row>
    <row r="226" spans="1:22">
      <c r="A226" s="1340">
        <f t="shared" si="12"/>
        <v>2012.01</v>
      </c>
      <c r="B226" s="260">
        <v>1144</v>
      </c>
      <c r="C226" s="2097">
        <v>85</v>
      </c>
      <c r="D226" s="2097">
        <v>6647.32</v>
      </c>
      <c r="E226" s="2097">
        <v>130.62200000000001</v>
      </c>
      <c r="F226" s="260">
        <v>0</v>
      </c>
      <c r="G226" s="3034">
        <v>0</v>
      </c>
      <c r="H226" s="196">
        <f t="shared" si="13"/>
        <v>0</v>
      </c>
      <c r="I226" s="260">
        <v>15042.078</v>
      </c>
      <c r="J226" s="1870">
        <v>0</v>
      </c>
      <c r="K226" s="263">
        <f t="shared" si="17"/>
        <v>15042.078</v>
      </c>
      <c r="L226" s="1313">
        <v>113913.6719</v>
      </c>
      <c r="M226" s="225">
        <v>6941.8059999999996</v>
      </c>
      <c r="N226" s="2097">
        <v>1598.9</v>
      </c>
      <c r="O226" s="2158">
        <f t="shared" si="15"/>
        <v>122454.37789999999</v>
      </c>
      <c r="P226" s="2097">
        <v>2259.1799999999998</v>
      </c>
      <c r="Q226" s="2097">
        <v>40303.052299999996</v>
      </c>
      <c r="R226" s="2097">
        <v>13659.3727</v>
      </c>
      <c r="S226" s="2097">
        <v>4236.0039999999999</v>
      </c>
      <c r="T226" s="1313">
        <v>0</v>
      </c>
      <c r="U226" s="225">
        <v>20840.099999999999</v>
      </c>
      <c r="V226" s="206">
        <f t="shared" si="16"/>
        <v>81297.709000000003</v>
      </c>
    </row>
    <row r="227" spans="1:22">
      <c r="A227" s="1340">
        <f t="shared" si="12"/>
        <v>2012.02</v>
      </c>
      <c r="B227" s="260">
        <v>749</v>
      </c>
      <c r="C227" s="2097">
        <v>75</v>
      </c>
      <c r="D227" s="2097">
        <v>5911.6509999999998</v>
      </c>
      <c r="E227" s="2097">
        <v>189.358</v>
      </c>
      <c r="F227" s="260">
        <v>0</v>
      </c>
      <c r="G227" s="3034">
        <v>0</v>
      </c>
      <c r="H227" s="196">
        <f t="shared" si="13"/>
        <v>0</v>
      </c>
      <c r="I227" s="260">
        <v>13058.502200000003</v>
      </c>
      <c r="J227" s="1870">
        <v>0</v>
      </c>
      <c r="K227" s="263">
        <f t="shared" si="17"/>
        <v>13058.502200000003</v>
      </c>
      <c r="L227" s="1313">
        <v>100970.74160000001</v>
      </c>
      <c r="M227" s="225">
        <v>5235.5612000000001</v>
      </c>
      <c r="N227" s="2097">
        <v>1721.3</v>
      </c>
      <c r="O227" s="2158">
        <f t="shared" si="15"/>
        <v>107927.60280000001</v>
      </c>
      <c r="P227" s="2097">
        <v>1678</v>
      </c>
      <c r="Q227" s="2097">
        <v>37406.2549</v>
      </c>
      <c r="R227" s="2097">
        <v>13628.275399999999</v>
      </c>
      <c r="S227" s="2097">
        <v>3923.6545000000001</v>
      </c>
      <c r="T227" s="1313">
        <v>0</v>
      </c>
      <c r="U227" s="225">
        <v>21124.3</v>
      </c>
      <c r="V227" s="206">
        <f t="shared" si="16"/>
        <v>77760.484799999991</v>
      </c>
    </row>
    <row r="228" spans="1:22">
      <c r="A228" s="1340">
        <f t="shared" si="12"/>
        <v>2012.03</v>
      </c>
      <c r="B228" s="260">
        <v>1282</v>
      </c>
      <c r="C228" s="2097">
        <v>99</v>
      </c>
      <c r="D228" s="2097">
        <v>8333.17</v>
      </c>
      <c r="E228" s="2097">
        <v>226.73099999999999</v>
      </c>
      <c r="F228" s="260">
        <v>0</v>
      </c>
      <c r="G228" s="3034">
        <v>0</v>
      </c>
      <c r="H228" s="196">
        <f t="shared" si="13"/>
        <v>0</v>
      </c>
      <c r="I228" s="260">
        <v>2511.3449999999998</v>
      </c>
      <c r="J228" s="1870">
        <v>0</v>
      </c>
      <c r="K228" s="263">
        <f t="shared" si="17"/>
        <v>2511.3449999999998</v>
      </c>
      <c r="L228" s="1313">
        <v>123176.28030000001</v>
      </c>
      <c r="M228" s="225">
        <v>12605.564200000001</v>
      </c>
      <c r="N228" s="2097">
        <v>1538.6</v>
      </c>
      <c r="O228" s="2158">
        <f t="shared" si="15"/>
        <v>137320.44450000001</v>
      </c>
      <c r="P228" s="2097">
        <v>2001.2</v>
      </c>
      <c r="Q228" s="2097">
        <v>41134.136299999998</v>
      </c>
      <c r="R228" s="2097">
        <v>13479.423500000001</v>
      </c>
      <c r="S228" s="2097">
        <v>4206.4355000000005</v>
      </c>
      <c r="T228" s="1313">
        <v>0</v>
      </c>
      <c r="U228" s="225">
        <v>20972.1</v>
      </c>
      <c r="V228" s="206">
        <f t="shared" si="16"/>
        <v>81793.295299999998</v>
      </c>
    </row>
    <row r="229" spans="1:22">
      <c r="A229" s="1340">
        <f t="shared" si="12"/>
        <v>2012.04</v>
      </c>
      <c r="B229" s="260">
        <v>665</v>
      </c>
      <c r="C229" s="2097">
        <v>62</v>
      </c>
      <c r="D229" s="2097">
        <v>5563.1100000000006</v>
      </c>
      <c r="E229" s="2097">
        <v>291</v>
      </c>
      <c r="F229" s="260">
        <v>0</v>
      </c>
      <c r="G229" s="3034">
        <v>0</v>
      </c>
      <c r="H229" s="196">
        <f t="shared" si="13"/>
        <v>0</v>
      </c>
      <c r="I229" s="260">
        <v>5221.0169999999998</v>
      </c>
      <c r="J229" s="1870">
        <v>5143.5150000000003</v>
      </c>
      <c r="K229" s="263">
        <f t="shared" si="17"/>
        <v>10364.531999999999</v>
      </c>
      <c r="L229" s="1313">
        <v>131103.48980000001</v>
      </c>
      <c r="M229" s="225">
        <v>8983.531500000001</v>
      </c>
      <c r="N229" s="2097">
        <v>2016.9</v>
      </c>
      <c r="O229" s="2158">
        <f t="shared" si="15"/>
        <v>142103.92130000002</v>
      </c>
      <c r="P229" s="2097">
        <v>2101</v>
      </c>
      <c r="Q229" s="2097">
        <v>36370.155700000003</v>
      </c>
      <c r="R229" s="2097">
        <v>12959.845499999999</v>
      </c>
      <c r="S229" s="2097">
        <v>3912.4785999999999</v>
      </c>
      <c r="T229" s="1313">
        <v>0</v>
      </c>
      <c r="U229" s="225">
        <v>20998.799999999999</v>
      </c>
      <c r="V229" s="206">
        <f t="shared" si="16"/>
        <v>76342.279800000004</v>
      </c>
    </row>
    <row r="230" spans="1:22">
      <c r="A230" s="1340">
        <f t="shared" si="12"/>
        <v>2012.05</v>
      </c>
      <c r="B230" s="260">
        <v>702</v>
      </c>
      <c r="C230" s="2097">
        <v>65</v>
      </c>
      <c r="D230" s="2097">
        <v>4791.66</v>
      </c>
      <c r="E230" s="2097">
        <v>493.85699999999997</v>
      </c>
      <c r="F230" s="260">
        <v>0</v>
      </c>
      <c r="G230" s="3034">
        <v>0</v>
      </c>
      <c r="H230" s="196">
        <f t="shared" si="13"/>
        <v>0</v>
      </c>
      <c r="I230" s="260">
        <v>19680.263999999999</v>
      </c>
      <c r="J230" s="1870">
        <v>54.58</v>
      </c>
      <c r="K230" s="263">
        <f t="shared" si="17"/>
        <v>19734.844000000001</v>
      </c>
      <c r="L230" s="1313">
        <v>124712.014</v>
      </c>
      <c r="M230" s="225">
        <v>5486.9056</v>
      </c>
      <c r="N230" s="2097">
        <v>1189.0999999999999</v>
      </c>
      <c r="O230" s="2158">
        <f t="shared" si="15"/>
        <v>131388.0196</v>
      </c>
      <c r="P230" s="2097">
        <v>1971</v>
      </c>
      <c r="Q230" s="2097">
        <v>38481.029399999999</v>
      </c>
      <c r="R230" s="2097">
        <v>12745.9764</v>
      </c>
      <c r="S230" s="2097">
        <v>4093.1352999999999</v>
      </c>
      <c r="T230" s="1313">
        <v>0</v>
      </c>
      <c r="U230" s="225">
        <v>21102.3</v>
      </c>
      <c r="V230" s="206">
        <f t="shared" si="16"/>
        <v>78393.441099999996</v>
      </c>
    </row>
    <row r="231" spans="1:22">
      <c r="A231" s="1340">
        <f t="shared" si="12"/>
        <v>2012.06</v>
      </c>
      <c r="B231" s="260">
        <v>771</v>
      </c>
      <c r="C231" s="2097">
        <v>61</v>
      </c>
      <c r="D231" s="2097">
        <v>3425.12</v>
      </c>
      <c r="E231" s="2097">
        <v>585.21900000000005</v>
      </c>
      <c r="F231" s="260">
        <v>0</v>
      </c>
      <c r="G231" s="3034">
        <v>0</v>
      </c>
      <c r="H231" s="196">
        <f t="shared" si="13"/>
        <v>0</v>
      </c>
      <c r="I231" s="260">
        <v>33116.129000000001</v>
      </c>
      <c r="J231" s="1870">
        <v>0</v>
      </c>
      <c r="K231" s="263">
        <f t="shared" si="17"/>
        <v>33116.129000000001</v>
      </c>
      <c r="L231" s="1313">
        <v>120631.43919999999</v>
      </c>
      <c r="M231" s="225">
        <v>5627.6724999999997</v>
      </c>
      <c r="N231" s="2097">
        <v>1257.3</v>
      </c>
      <c r="O231" s="2158">
        <f t="shared" si="15"/>
        <v>127516.4117</v>
      </c>
      <c r="P231" s="2097">
        <v>2453.21</v>
      </c>
      <c r="Q231" s="2097">
        <v>38169.984799999998</v>
      </c>
      <c r="R231" s="2097">
        <v>13110.3333</v>
      </c>
      <c r="S231" s="2097">
        <v>3972.9506999999999</v>
      </c>
      <c r="T231" s="1313">
        <v>0</v>
      </c>
      <c r="U231" s="225">
        <v>20957.900000000001</v>
      </c>
      <c r="V231" s="206">
        <f t="shared" si="16"/>
        <v>78664.378800000006</v>
      </c>
    </row>
    <row r="232" spans="1:22">
      <c r="A232" s="1340">
        <f t="shared" si="12"/>
        <v>2012.07</v>
      </c>
      <c r="B232" s="260">
        <v>1064</v>
      </c>
      <c r="C232" s="2097">
        <v>68</v>
      </c>
      <c r="D232" s="2097">
        <v>4732.38</v>
      </c>
      <c r="E232" s="2097">
        <v>741.32500000000005</v>
      </c>
      <c r="F232" s="260">
        <v>0</v>
      </c>
      <c r="G232" s="3034">
        <v>0</v>
      </c>
      <c r="H232" s="196">
        <f t="shared" si="13"/>
        <v>0</v>
      </c>
      <c r="I232" s="260">
        <v>40067.269</v>
      </c>
      <c r="J232" s="1870">
        <v>0</v>
      </c>
      <c r="K232" s="263">
        <f t="shared" si="17"/>
        <v>40067.269</v>
      </c>
      <c r="L232" s="1313">
        <v>126003.99649999999</v>
      </c>
      <c r="M232" s="225">
        <v>6469.4333000000006</v>
      </c>
      <c r="N232" s="2097">
        <v>890.3</v>
      </c>
      <c r="O232" s="2158">
        <f t="shared" si="15"/>
        <v>133363.72979999997</v>
      </c>
      <c r="P232" s="2097">
        <v>2574</v>
      </c>
      <c r="Q232" s="2097">
        <v>41253.826699999998</v>
      </c>
      <c r="R232" s="2097">
        <v>14433.9308</v>
      </c>
      <c r="S232" s="2097">
        <v>4050.2882</v>
      </c>
      <c r="T232" s="1313">
        <v>0</v>
      </c>
      <c r="U232" s="225">
        <v>19600.099999999999</v>
      </c>
      <c r="V232" s="206">
        <f t="shared" si="16"/>
        <v>81912.145699999994</v>
      </c>
    </row>
    <row r="233" spans="1:22">
      <c r="A233" s="1340">
        <f t="shared" si="12"/>
        <v>2012.08</v>
      </c>
      <c r="B233" s="260">
        <v>820</v>
      </c>
      <c r="C233" s="2097">
        <v>50</v>
      </c>
      <c r="D233" s="2097">
        <v>3748.7</v>
      </c>
      <c r="E233" s="2097">
        <v>359</v>
      </c>
      <c r="F233" s="260">
        <v>0</v>
      </c>
      <c r="G233" s="3034">
        <v>0</v>
      </c>
      <c r="H233" s="196">
        <f t="shared" si="13"/>
        <v>0</v>
      </c>
      <c r="I233" s="260">
        <v>34365.108</v>
      </c>
      <c r="J233" s="1870">
        <v>0</v>
      </c>
      <c r="K233" s="263">
        <f t="shared" si="17"/>
        <v>34365.108</v>
      </c>
      <c r="L233" s="1313">
        <v>119829.7037</v>
      </c>
      <c r="M233" s="225">
        <v>5744.5185000000001</v>
      </c>
      <c r="N233" s="2097">
        <v>2254.1999999999998</v>
      </c>
      <c r="O233" s="2158">
        <f t="shared" si="15"/>
        <v>127828.4222</v>
      </c>
      <c r="P233" s="2097">
        <v>2193</v>
      </c>
      <c r="Q233" s="2097">
        <v>40512.922099999996</v>
      </c>
      <c r="R233" s="2097">
        <v>13813.5093</v>
      </c>
      <c r="S233" s="2097">
        <v>3598.4758000000002</v>
      </c>
      <c r="T233" s="1313">
        <v>66</v>
      </c>
      <c r="U233" s="225">
        <v>22621.200000000001</v>
      </c>
      <c r="V233" s="206">
        <f t="shared" si="16"/>
        <v>82805.107199999999</v>
      </c>
    </row>
    <row r="234" spans="1:22">
      <c r="A234" s="1340">
        <f t="shared" si="12"/>
        <v>2012.09</v>
      </c>
      <c r="B234" s="260">
        <v>891</v>
      </c>
      <c r="C234" s="2097">
        <v>67</v>
      </c>
      <c r="D234" s="2097">
        <v>3104.34</v>
      </c>
      <c r="E234" s="2097">
        <v>234.88200000000001</v>
      </c>
      <c r="F234" s="260">
        <v>18</v>
      </c>
      <c r="G234" s="3034">
        <v>0</v>
      </c>
      <c r="H234" s="196">
        <f t="shared" si="13"/>
        <v>18</v>
      </c>
      <c r="I234" s="260">
        <v>6990.45</v>
      </c>
      <c r="J234" s="1870">
        <v>0</v>
      </c>
      <c r="K234" s="263">
        <f t="shared" si="17"/>
        <v>6990.45</v>
      </c>
      <c r="L234" s="1313">
        <v>110577.1335</v>
      </c>
      <c r="M234" s="225">
        <v>5505.5272000000004</v>
      </c>
      <c r="N234" s="2097">
        <v>156.4</v>
      </c>
      <c r="O234" s="2158">
        <f t="shared" si="15"/>
        <v>116239.06069999999</v>
      </c>
      <c r="P234" s="2097">
        <v>1740</v>
      </c>
      <c r="Q234" s="2097">
        <v>39378.091500000002</v>
      </c>
      <c r="R234" s="2097">
        <v>12936.747100000001</v>
      </c>
      <c r="S234" s="2097">
        <v>2205.0151000000001</v>
      </c>
      <c r="T234" s="1313">
        <v>46</v>
      </c>
      <c r="U234" s="225">
        <v>20767.599999999999</v>
      </c>
      <c r="V234" s="206">
        <f t="shared" si="16"/>
        <v>77073.453699999998</v>
      </c>
    </row>
    <row r="235" spans="1:22">
      <c r="A235" s="1340">
        <f t="shared" si="12"/>
        <v>2012.1</v>
      </c>
      <c r="B235" s="260">
        <v>1030</v>
      </c>
      <c r="C235" s="2097">
        <v>121</v>
      </c>
      <c r="D235" s="2097">
        <v>2441.3000000000002</v>
      </c>
      <c r="E235" s="2097">
        <v>260.86</v>
      </c>
      <c r="F235" s="260">
        <v>0</v>
      </c>
      <c r="G235" s="3034">
        <v>0</v>
      </c>
      <c r="H235" s="196">
        <f t="shared" si="13"/>
        <v>0</v>
      </c>
      <c r="I235" s="260">
        <v>9903.92</v>
      </c>
      <c r="J235" s="1870">
        <v>0</v>
      </c>
      <c r="K235" s="263">
        <f t="shared" si="17"/>
        <v>9903.92</v>
      </c>
      <c r="L235" s="1313">
        <v>113940.8168</v>
      </c>
      <c r="M235" s="225">
        <v>17523.2045</v>
      </c>
      <c r="N235" s="2097">
        <v>29.9</v>
      </c>
      <c r="O235" s="2158">
        <f t="shared" si="15"/>
        <v>131493.92129999999</v>
      </c>
      <c r="P235" s="2097">
        <v>1783</v>
      </c>
      <c r="Q235" s="2097">
        <v>40608.739499999996</v>
      </c>
      <c r="R235" s="2097">
        <v>14390.519</v>
      </c>
      <c r="S235" s="2097">
        <v>4364.2334000000001</v>
      </c>
      <c r="T235" s="1313">
        <v>64</v>
      </c>
      <c r="U235" s="225">
        <v>17160.400000000001</v>
      </c>
      <c r="V235" s="206">
        <f t="shared" si="16"/>
        <v>78370.891899999988</v>
      </c>
    </row>
    <row r="236" spans="1:22">
      <c r="A236" s="1340">
        <f t="shared" si="12"/>
        <v>2012.11</v>
      </c>
      <c r="B236" s="260">
        <v>895</v>
      </c>
      <c r="C236" s="2097">
        <v>75</v>
      </c>
      <c r="D236" s="2097">
        <v>3274.06</v>
      </c>
      <c r="E236" s="2097">
        <v>202.32900000000001</v>
      </c>
      <c r="F236" s="260">
        <v>0</v>
      </c>
      <c r="G236" s="3034">
        <v>0</v>
      </c>
      <c r="H236" s="196">
        <f t="shared" si="13"/>
        <v>0</v>
      </c>
      <c r="I236" s="260">
        <v>1520.252</v>
      </c>
      <c r="J236" s="1870">
        <v>0</v>
      </c>
      <c r="K236" s="263">
        <f t="shared" si="17"/>
        <v>1520.252</v>
      </c>
      <c r="L236" s="1313">
        <v>123072.79310000001</v>
      </c>
      <c r="M236" s="225">
        <v>6183.7187999999996</v>
      </c>
      <c r="N236" s="2097">
        <v>1893.9</v>
      </c>
      <c r="O236" s="2158">
        <f t="shared" si="15"/>
        <v>131150.41190000001</v>
      </c>
      <c r="P236" s="2097">
        <v>1490</v>
      </c>
      <c r="Q236" s="2097">
        <v>40044.734199999999</v>
      </c>
      <c r="R236" s="2097">
        <v>13756.975699999999</v>
      </c>
      <c r="S236" s="2097">
        <v>3872.2435999999998</v>
      </c>
      <c r="T236" s="1313">
        <v>96</v>
      </c>
      <c r="U236" s="225">
        <v>24507.7</v>
      </c>
      <c r="V236" s="206">
        <f t="shared" si="16"/>
        <v>83767.6535</v>
      </c>
    </row>
    <row r="237" spans="1:22">
      <c r="A237" s="1340">
        <f t="shared" si="12"/>
        <v>2012.12</v>
      </c>
      <c r="B237" s="260">
        <v>1185</v>
      </c>
      <c r="C237" s="2097">
        <v>54</v>
      </c>
      <c r="D237" s="2097">
        <v>1720.28</v>
      </c>
      <c r="E237" s="2097">
        <v>182.35499999999999</v>
      </c>
      <c r="F237" s="260">
        <v>0</v>
      </c>
      <c r="G237" s="3034">
        <v>0</v>
      </c>
      <c r="H237" s="196">
        <f t="shared" si="13"/>
        <v>0</v>
      </c>
      <c r="I237" s="260">
        <v>12449.456</v>
      </c>
      <c r="J237" s="1870">
        <v>0</v>
      </c>
      <c r="K237" s="263">
        <f t="shared" si="17"/>
        <v>12449.456</v>
      </c>
      <c r="L237" s="1313">
        <v>111847.2838</v>
      </c>
      <c r="M237" s="225">
        <v>4526.3134</v>
      </c>
      <c r="N237" s="2097">
        <v>2239.3000000000002</v>
      </c>
      <c r="O237" s="2158">
        <f t="shared" si="15"/>
        <v>118612.89720000001</v>
      </c>
      <c r="P237" s="2097">
        <v>1877</v>
      </c>
      <c r="Q237" s="2097">
        <v>43847.686799999996</v>
      </c>
      <c r="R237" s="2097">
        <v>15198.693299999999</v>
      </c>
      <c r="S237" s="2097">
        <v>3606.8105</v>
      </c>
      <c r="T237" s="1313">
        <v>54</v>
      </c>
      <c r="U237" s="225">
        <v>21337.200000000001</v>
      </c>
      <c r="V237" s="206">
        <f t="shared" si="16"/>
        <v>85921.390599999999</v>
      </c>
    </row>
    <row r="238" spans="1:22">
      <c r="A238" s="1340">
        <f t="shared" si="12"/>
        <v>2013.01</v>
      </c>
      <c r="B238" s="260">
        <v>433</v>
      </c>
      <c r="C238" s="2097">
        <v>95</v>
      </c>
      <c r="D238" s="2097">
        <v>3179.8999999999996</v>
      </c>
      <c r="E238" s="2097">
        <v>169.7</v>
      </c>
      <c r="F238" s="260">
        <v>72</v>
      </c>
      <c r="G238" s="3034">
        <v>0</v>
      </c>
      <c r="H238" s="196">
        <f t="shared" si="13"/>
        <v>72</v>
      </c>
      <c r="I238" s="260">
        <v>1775</v>
      </c>
      <c r="J238" s="1870">
        <v>0</v>
      </c>
      <c r="K238" s="263">
        <f t="shared" si="17"/>
        <v>1775</v>
      </c>
      <c r="L238" s="1313">
        <v>116329.7</v>
      </c>
      <c r="M238" s="225">
        <v>2314</v>
      </c>
      <c r="N238" s="2097">
        <v>49.1</v>
      </c>
      <c r="O238" s="2158">
        <f t="shared" si="15"/>
        <v>118692.8</v>
      </c>
      <c r="P238" s="2097">
        <v>1863</v>
      </c>
      <c r="Q238" s="2097">
        <v>44046.2477</v>
      </c>
      <c r="R238" s="2097">
        <v>15156.8295</v>
      </c>
      <c r="S238" s="2097">
        <v>2247</v>
      </c>
      <c r="T238" s="1313">
        <v>37</v>
      </c>
      <c r="U238" s="225">
        <v>20806.2</v>
      </c>
      <c r="V238" s="206">
        <f t="shared" si="16"/>
        <v>84156.277199999997</v>
      </c>
    </row>
    <row r="239" spans="1:22">
      <c r="A239" s="1340">
        <f t="shared" si="12"/>
        <v>2013.02</v>
      </c>
      <c r="B239" s="260">
        <v>408</v>
      </c>
      <c r="C239" s="2097">
        <v>92</v>
      </c>
      <c r="D239" s="2097">
        <v>2560.3200000000002</v>
      </c>
      <c r="E239" s="2097">
        <v>153.99599999999998</v>
      </c>
      <c r="F239" s="260">
        <v>152</v>
      </c>
      <c r="G239" s="3034">
        <v>0</v>
      </c>
      <c r="H239" s="196">
        <f t="shared" si="13"/>
        <v>152</v>
      </c>
      <c r="I239" s="260">
        <v>5581.9989999999998</v>
      </c>
      <c r="J239" s="1870">
        <v>0</v>
      </c>
      <c r="K239" s="263">
        <f t="shared" si="17"/>
        <v>5581.9989999999998</v>
      </c>
      <c r="L239" s="1313">
        <v>91301.712400000004</v>
      </c>
      <c r="M239" s="225">
        <v>1659.3903</v>
      </c>
      <c r="N239" s="2097">
        <v>62.3</v>
      </c>
      <c r="O239" s="2158">
        <f t="shared" si="15"/>
        <v>93023.402700000006</v>
      </c>
      <c r="P239" s="2097">
        <v>561</v>
      </c>
      <c r="Q239" s="2097">
        <v>37850.146200000003</v>
      </c>
      <c r="R239" s="2097">
        <v>13222.6116</v>
      </c>
      <c r="S239" s="2097">
        <v>542.04340000000002</v>
      </c>
      <c r="T239" s="1313">
        <v>9</v>
      </c>
      <c r="U239" s="225">
        <v>21016.9</v>
      </c>
      <c r="V239" s="206">
        <f t="shared" si="16"/>
        <v>73201.70120000001</v>
      </c>
    </row>
    <row r="240" spans="1:22">
      <c r="A240" s="1340">
        <f t="shared" si="12"/>
        <v>2013.03</v>
      </c>
      <c r="B240" s="260">
        <v>482</v>
      </c>
      <c r="C240" s="2097">
        <v>80</v>
      </c>
      <c r="D240" s="2097">
        <v>3066.94</v>
      </c>
      <c r="E240" s="2097">
        <v>182.744</v>
      </c>
      <c r="F240" s="260">
        <v>0</v>
      </c>
      <c r="G240" s="3034">
        <v>0</v>
      </c>
      <c r="H240" s="196">
        <f t="shared" si="13"/>
        <v>0</v>
      </c>
      <c r="I240" s="260">
        <v>12644.162</v>
      </c>
      <c r="J240" s="1870">
        <v>0</v>
      </c>
      <c r="K240" s="263">
        <f t="shared" si="17"/>
        <v>12644.162</v>
      </c>
      <c r="L240" s="1313">
        <v>113437.228</v>
      </c>
      <c r="M240" s="225">
        <v>2625.6961999999999</v>
      </c>
      <c r="N240" s="2097">
        <v>203.5</v>
      </c>
      <c r="O240" s="2158">
        <f t="shared" si="15"/>
        <v>116266.42420000001</v>
      </c>
      <c r="P240" s="2097">
        <v>268</v>
      </c>
      <c r="Q240" s="2097">
        <v>40912.304300000003</v>
      </c>
      <c r="R240" s="2097">
        <v>13836.5723</v>
      </c>
      <c r="S240" s="2097">
        <v>496.65109999999999</v>
      </c>
      <c r="T240" s="1313">
        <v>67</v>
      </c>
      <c r="U240" s="225">
        <v>21159.9</v>
      </c>
      <c r="V240" s="206">
        <f t="shared" si="16"/>
        <v>76740.4277</v>
      </c>
    </row>
    <row r="241" spans="1:22">
      <c r="A241" s="1340">
        <f t="shared" si="12"/>
        <v>2013.04</v>
      </c>
      <c r="B241" s="260">
        <v>472</v>
      </c>
      <c r="C241" s="2097">
        <v>71</v>
      </c>
      <c r="D241" s="2097">
        <v>3202.74</v>
      </c>
      <c r="E241" s="2097">
        <v>611.66</v>
      </c>
      <c r="F241" s="260">
        <v>180</v>
      </c>
      <c r="G241" s="3034">
        <v>0</v>
      </c>
      <c r="H241" s="196">
        <f t="shared" si="13"/>
        <v>180</v>
      </c>
      <c r="I241" s="260">
        <v>14876.671</v>
      </c>
      <c r="J241" s="1870">
        <v>0</v>
      </c>
      <c r="K241" s="263">
        <f t="shared" si="17"/>
        <v>14876.671</v>
      </c>
      <c r="L241" s="1313">
        <v>130214.17509999999</v>
      </c>
      <c r="M241" s="225">
        <v>1872.9347</v>
      </c>
      <c r="N241" s="2097">
        <v>44.7</v>
      </c>
      <c r="O241" s="2158">
        <f t="shared" si="15"/>
        <v>132131.80980000002</v>
      </c>
      <c r="P241" s="2097">
        <v>308</v>
      </c>
      <c r="Q241" s="2097">
        <v>37793.8416</v>
      </c>
      <c r="R241" s="2097">
        <v>14088.7546</v>
      </c>
      <c r="S241" s="2097">
        <v>493.37240000000003</v>
      </c>
      <c r="T241" s="1313">
        <v>62</v>
      </c>
      <c r="U241" s="225">
        <v>20996</v>
      </c>
      <c r="V241" s="206">
        <f t="shared" si="16"/>
        <v>73741.968599999993</v>
      </c>
    </row>
    <row r="242" spans="1:22">
      <c r="A242" s="1340">
        <f t="shared" ref="A242:A306" si="18">A230+1</f>
        <v>2013.05</v>
      </c>
      <c r="B242" s="260">
        <v>466</v>
      </c>
      <c r="C242" s="2097">
        <v>53</v>
      </c>
      <c r="D242" s="2097">
        <v>4279.42</v>
      </c>
      <c r="E242" s="2097">
        <v>388.02100000000002</v>
      </c>
      <c r="F242" s="260">
        <v>34</v>
      </c>
      <c r="G242" s="3034">
        <v>0</v>
      </c>
      <c r="H242" s="196">
        <f t="shared" si="13"/>
        <v>34</v>
      </c>
      <c r="I242" s="260">
        <v>15274.428</v>
      </c>
      <c r="J242" s="1870">
        <v>0</v>
      </c>
      <c r="K242" s="263">
        <f t="shared" si="17"/>
        <v>15274.428</v>
      </c>
      <c r="L242" s="1313">
        <v>128209.57500000001</v>
      </c>
      <c r="M242" s="225">
        <v>2625.1934999999999</v>
      </c>
      <c r="N242" s="2097">
        <v>92.4</v>
      </c>
      <c r="O242" s="2158">
        <f t="shared" si="15"/>
        <v>130927.1685</v>
      </c>
      <c r="P242" s="2097">
        <v>411</v>
      </c>
      <c r="Q242" s="2097">
        <v>41140.019800000002</v>
      </c>
      <c r="R242" s="2097">
        <v>13933.4627</v>
      </c>
      <c r="S242" s="2097">
        <v>735.4067</v>
      </c>
      <c r="T242" s="1313">
        <v>92</v>
      </c>
      <c r="U242" s="225">
        <v>20915.3</v>
      </c>
      <c r="V242" s="206">
        <f t="shared" si="16"/>
        <v>77227.189199999993</v>
      </c>
    </row>
    <row r="243" spans="1:22">
      <c r="A243" s="1340">
        <f t="shared" si="18"/>
        <v>2013.06</v>
      </c>
      <c r="B243" s="260">
        <v>367</v>
      </c>
      <c r="C243" s="2097">
        <v>57</v>
      </c>
      <c r="D243" s="2097">
        <v>3260.09</v>
      </c>
      <c r="E243" s="2097">
        <v>409.05200000000002</v>
      </c>
      <c r="F243" s="260">
        <v>0</v>
      </c>
      <c r="G243" s="3034">
        <v>0</v>
      </c>
      <c r="H243" s="196">
        <f t="shared" si="13"/>
        <v>0</v>
      </c>
      <c r="I243" s="260">
        <v>20537.303</v>
      </c>
      <c r="J243" s="1870">
        <v>0</v>
      </c>
      <c r="K243" s="263">
        <f t="shared" si="17"/>
        <v>20537.303</v>
      </c>
      <c r="L243" s="1313">
        <v>113571.2032</v>
      </c>
      <c r="M243" s="225">
        <v>2193.6803</v>
      </c>
      <c r="N243" s="2097">
        <v>24.9</v>
      </c>
      <c r="O243" s="2158">
        <f t="shared" si="15"/>
        <v>115789.78349999999</v>
      </c>
      <c r="P243" s="2097">
        <v>654</v>
      </c>
      <c r="Q243" s="2097">
        <v>38538.348899999997</v>
      </c>
      <c r="R243" s="2097">
        <v>13722.6502</v>
      </c>
      <c r="S243" s="2097">
        <v>630.68629999999996</v>
      </c>
      <c r="T243" s="1313">
        <v>105</v>
      </c>
      <c r="U243" s="225">
        <v>20315.400000000001</v>
      </c>
      <c r="V243" s="206">
        <f t="shared" si="16"/>
        <v>73966.085400000011</v>
      </c>
    </row>
    <row r="244" spans="1:22">
      <c r="A244" s="1340">
        <f t="shared" si="18"/>
        <v>2013.07</v>
      </c>
      <c r="B244" s="260">
        <v>375</v>
      </c>
      <c r="C244" s="2097">
        <v>59</v>
      </c>
      <c r="D244" s="2097">
        <v>3974.74</v>
      </c>
      <c r="E244" s="2097">
        <v>455.072</v>
      </c>
      <c r="F244" s="260">
        <v>0</v>
      </c>
      <c r="G244" s="3034">
        <v>0</v>
      </c>
      <c r="H244" s="196">
        <f t="shared" si="13"/>
        <v>0</v>
      </c>
      <c r="I244" s="260">
        <v>20434.709000000003</v>
      </c>
      <c r="J244" s="1870">
        <v>0</v>
      </c>
      <c r="K244" s="263">
        <f t="shared" si="17"/>
        <v>20434.709000000003</v>
      </c>
      <c r="L244" s="1313">
        <v>119756.2015</v>
      </c>
      <c r="M244" s="225">
        <v>2228.2903999999999</v>
      </c>
      <c r="N244" s="2097">
        <v>128.69999999999999</v>
      </c>
      <c r="O244" s="2158">
        <f t="shared" si="15"/>
        <v>122113.19189999999</v>
      </c>
      <c r="P244" s="2097">
        <v>802</v>
      </c>
      <c r="Q244" s="2097">
        <v>42897.880499999999</v>
      </c>
      <c r="R244" s="2097">
        <v>14512.5537</v>
      </c>
      <c r="S244" s="2097">
        <v>1437.4303</v>
      </c>
      <c r="T244" s="1313">
        <v>79</v>
      </c>
      <c r="U244" s="225">
        <v>19752.599999999999</v>
      </c>
      <c r="V244" s="206">
        <f t="shared" si="16"/>
        <v>79481.464500000002</v>
      </c>
    </row>
    <row r="245" spans="1:22">
      <c r="A245" s="1340">
        <f t="shared" si="18"/>
        <v>2013.08</v>
      </c>
      <c r="B245" s="260">
        <v>505</v>
      </c>
      <c r="C245" s="2097">
        <v>82</v>
      </c>
      <c r="D245" s="2097">
        <v>3640.04</v>
      </c>
      <c r="E245" s="2097">
        <v>290</v>
      </c>
      <c r="F245" s="260">
        <v>0</v>
      </c>
      <c r="G245" s="3034">
        <v>0</v>
      </c>
      <c r="H245" s="196">
        <f t="shared" si="13"/>
        <v>0</v>
      </c>
      <c r="I245" s="260">
        <v>11077.447</v>
      </c>
      <c r="J245" s="1870">
        <v>0</v>
      </c>
      <c r="K245" s="263">
        <f t="shared" si="17"/>
        <v>11077.447</v>
      </c>
      <c r="L245" s="1313">
        <v>117959.7111</v>
      </c>
      <c r="M245" s="225">
        <v>2137.1770999999999</v>
      </c>
      <c r="N245" s="2097">
        <v>64.7</v>
      </c>
      <c r="O245" s="2158">
        <f t="shared" si="15"/>
        <v>120161.5882</v>
      </c>
      <c r="P245" s="2097">
        <v>774</v>
      </c>
      <c r="Q245" s="2097">
        <v>41472.428</v>
      </c>
      <c r="R245" s="2097">
        <v>14450.9192</v>
      </c>
      <c r="S245" s="2097">
        <v>714.27670000000001</v>
      </c>
      <c r="T245" s="1313">
        <v>97</v>
      </c>
      <c r="U245" s="225">
        <v>20203</v>
      </c>
      <c r="V245" s="206">
        <f t="shared" si="16"/>
        <v>77711.623900000006</v>
      </c>
    </row>
    <row r="246" spans="1:22">
      <c r="A246" s="1340">
        <f t="shared" si="18"/>
        <v>2013.09</v>
      </c>
      <c r="B246" s="260">
        <v>376</v>
      </c>
      <c r="C246" s="2097">
        <v>45</v>
      </c>
      <c r="D246" s="2097">
        <v>3643.48</v>
      </c>
      <c r="E246" s="2097">
        <v>120.229</v>
      </c>
      <c r="F246" s="260">
        <v>0</v>
      </c>
      <c r="G246" s="3034">
        <v>0</v>
      </c>
      <c r="H246" s="196">
        <f t="shared" si="13"/>
        <v>0</v>
      </c>
      <c r="I246" s="260">
        <v>9129.8860000000004</v>
      </c>
      <c r="J246" s="1870">
        <v>0</v>
      </c>
      <c r="K246" s="263">
        <f t="shared" si="17"/>
        <v>9129.8860000000004</v>
      </c>
      <c r="L246" s="1313">
        <v>106468.16649999999</v>
      </c>
      <c r="M246" s="225">
        <v>2126.3177999999998</v>
      </c>
      <c r="N246" s="2097">
        <v>0</v>
      </c>
      <c r="O246" s="2158">
        <f t="shared" si="15"/>
        <v>108594.4843</v>
      </c>
      <c r="P246" s="2097">
        <v>604</v>
      </c>
      <c r="Q246" s="2097">
        <v>40296.768400000001</v>
      </c>
      <c r="R246" s="2097">
        <v>13406.847399999999</v>
      </c>
      <c r="S246" s="2097">
        <v>675.4769</v>
      </c>
      <c r="T246" s="1313">
        <v>99</v>
      </c>
      <c r="U246" s="225">
        <v>18984.400000000001</v>
      </c>
      <c r="V246" s="206">
        <f t="shared" si="16"/>
        <v>74066.492700000003</v>
      </c>
    </row>
    <row r="247" spans="1:22">
      <c r="A247" s="1340">
        <f t="shared" si="18"/>
        <v>2013.1</v>
      </c>
      <c r="B247" s="260">
        <v>372</v>
      </c>
      <c r="C247" s="2097">
        <v>44</v>
      </c>
      <c r="D247" s="2097">
        <v>3851.6</v>
      </c>
      <c r="E247" s="2097">
        <v>484.83199999999999</v>
      </c>
      <c r="F247" s="260">
        <v>0</v>
      </c>
      <c r="G247" s="3034">
        <v>0</v>
      </c>
      <c r="H247" s="196">
        <f t="shared" si="13"/>
        <v>0</v>
      </c>
      <c r="I247" s="260">
        <v>14279.144</v>
      </c>
      <c r="J247" s="1870">
        <v>0</v>
      </c>
      <c r="K247" s="263">
        <f t="shared" si="17"/>
        <v>14279.144</v>
      </c>
      <c r="L247" s="1313">
        <v>112340.304</v>
      </c>
      <c r="M247" s="225">
        <v>2379.2674999999999</v>
      </c>
      <c r="N247" s="2097">
        <v>0</v>
      </c>
      <c r="O247" s="2158">
        <f t="shared" si="15"/>
        <v>114719.57150000001</v>
      </c>
      <c r="P247" s="2097">
        <v>332</v>
      </c>
      <c r="Q247" s="2097">
        <v>43140.333599999998</v>
      </c>
      <c r="R247" s="2097">
        <v>14729.706099999999</v>
      </c>
      <c r="S247" s="2097">
        <v>792.62940000000003</v>
      </c>
      <c r="T247" s="1313">
        <v>110</v>
      </c>
      <c r="U247" s="225">
        <v>20623.900000000001</v>
      </c>
      <c r="V247" s="206">
        <f t="shared" si="16"/>
        <v>79728.569099999993</v>
      </c>
    </row>
    <row r="248" spans="1:22">
      <c r="A248" s="1340">
        <f t="shared" si="18"/>
        <v>2013.11</v>
      </c>
      <c r="B248" s="260">
        <v>338</v>
      </c>
      <c r="C248" s="2097">
        <v>56</v>
      </c>
      <c r="D248" s="2097">
        <v>3120.36</v>
      </c>
      <c r="E248" s="2097">
        <v>130.84199999999998</v>
      </c>
      <c r="F248" s="260">
        <v>84</v>
      </c>
      <c r="G248" s="3034">
        <v>0</v>
      </c>
      <c r="H248" s="196">
        <f t="shared" si="13"/>
        <v>84</v>
      </c>
      <c r="I248" s="260">
        <v>8699.9079999999994</v>
      </c>
      <c r="J248" s="1870">
        <v>0</v>
      </c>
      <c r="K248" s="263">
        <f t="shared" si="17"/>
        <v>8699.9079999999994</v>
      </c>
      <c r="L248" s="1313">
        <v>112425.17790000001</v>
      </c>
      <c r="M248" s="225">
        <v>1906.2121999999999</v>
      </c>
      <c r="N248" s="2097">
        <v>0</v>
      </c>
      <c r="O248" s="2158">
        <f t="shared" si="15"/>
        <v>114331.3901</v>
      </c>
      <c r="P248" s="2097">
        <v>410</v>
      </c>
      <c r="Q248" s="2097">
        <v>41424.816200000001</v>
      </c>
      <c r="R248" s="2097">
        <v>14264.093699999999</v>
      </c>
      <c r="S248" s="2097">
        <v>612.06380000000001</v>
      </c>
      <c r="T248" s="1313">
        <v>42</v>
      </c>
      <c r="U248" s="225">
        <v>22908.9</v>
      </c>
      <c r="V248" s="206">
        <f t="shared" si="16"/>
        <v>79661.873699999996</v>
      </c>
    </row>
    <row r="249" spans="1:22">
      <c r="A249" s="1340">
        <f t="shared" si="18"/>
        <v>2013.12</v>
      </c>
      <c r="B249" s="260">
        <v>452</v>
      </c>
      <c r="C249" s="2097">
        <v>81</v>
      </c>
      <c r="D249" s="2097">
        <v>2581.3000000000002</v>
      </c>
      <c r="E249" s="2097">
        <v>131.65699999999998</v>
      </c>
      <c r="F249" s="260">
        <v>0</v>
      </c>
      <c r="G249" s="3034">
        <v>0</v>
      </c>
      <c r="H249" s="196">
        <f t="shared" si="13"/>
        <v>0</v>
      </c>
      <c r="I249" s="260">
        <v>3263.5340000000001</v>
      </c>
      <c r="J249" s="1870">
        <v>0</v>
      </c>
      <c r="K249" s="263">
        <f t="shared" si="17"/>
        <v>3263.5340000000001</v>
      </c>
      <c r="L249" s="1313">
        <v>116738.1943</v>
      </c>
      <c r="M249" s="225">
        <v>2022.41</v>
      </c>
      <c r="N249" s="2097">
        <v>20</v>
      </c>
      <c r="O249" s="2158">
        <f t="shared" si="15"/>
        <v>118780.60430000001</v>
      </c>
      <c r="P249" s="2097">
        <v>520</v>
      </c>
      <c r="Q249" s="2097">
        <v>47256.803500000002</v>
      </c>
      <c r="R249" s="2097">
        <v>16553.544399999999</v>
      </c>
      <c r="S249" s="2097">
        <v>1236.3900000000001</v>
      </c>
      <c r="T249" s="1313">
        <v>119</v>
      </c>
      <c r="U249" s="225">
        <v>24322.400000000001</v>
      </c>
      <c r="V249" s="206">
        <f t="shared" si="16"/>
        <v>90008.137900000002</v>
      </c>
    </row>
    <row r="250" spans="1:22">
      <c r="A250" s="1340">
        <f t="shared" si="18"/>
        <v>2014.01</v>
      </c>
      <c r="B250" s="260">
        <v>523</v>
      </c>
      <c r="C250" s="2097">
        <v>75</v>
      </c>
      <c r="D250" s="2097">
        <v>3057.92</v>
      </c>
      <c r="E250" s="2097">
        <v>142.93</v>
      </c>
      <c r="F250" s="260">
        <v>71.760000000000005</v>
      </c>
      <c r="G250" s="3034">
        <v>0</v>
      </c>
      <c r="H250" s="196">
        <f t="shared" si="13"/>
        <v>71.760000000000005</v>
      </c>
      <c r="I250" s="260">
        <v>8741.8220000000001</v>
      </c>
      <c r="J250" s="1870">
        <v>0</v>
      </c>
      <c r="K250" s="263">
        <f t="shared" si="17"/>
        <v>8741.8220000000001</v>
      </c>
      <c r="L250" s="1313">
        <v>104272.71279999999</v>
      </c>
      <c r="M250" s="225">
        <v>1778.4746</v>
      </c>
      <c r="N250" s="2097">
        <v>39.700000000000003</v>
      </c>
      <c r="O250" s="2158">
        <f t="shared" si="15"/>
        <v>106090.88739999999</v>
      </c>
      <c r="P250" s="2097">
        <v>765</v>
      </c>
      <c r="Q250" s="2097">
        <v>45140.7719</v>
      </c>
      <c r="R250" s="2097">
        <v>16181.534599999999</v>
      </c>
      <c r="S250" s="2097">
        <v>1012.6022</v>
      </c>
      <c r="T250" s="1313">
        <v>87</v>
      </c>
      <c r="U250" s="225">
        <v>20918.900000000001</v>
      </c>
      <c r="V250" s="206">
        <f t="shared" si="16"/>
        <v>84105.808699999994</v>
      </c>
    </row>
    <row r="251" spans="1:22">
      <c r="A251" s="1340">
        <f t="shared" si="18"/>
        <v>2014.02</v>
      </c>
      <c r="B251" s="260">
        <v>503</v>
      </c>
      <c r="C251" s="2097">
        <v>149</v>
      </c>
      <c r="D251" s="2097">
        <v>1303.0999999999999</v>
      </c>
      <c r="E251" s="2097">
        <v>218.49099999999999</v>
      </c>
      <c r="F251" s="260">
        <v>37</v>
      </c>
      <c r="G251" s="3034">
        <v>0</v>
      </c>
      <c r="H251" s="196">
        <f t="shared" si="13"/>
        <v>37</v>
      </c>
      <c r="I251" s="260">
        <v>8332.2180000000008</v>
      </c>
      <c r="J251" s="1870">
        <v>0</v>
      </c>
      <c r="K251" s="263">
        <f t="shared" si="17"/>
        <v>8332.2180000000008</v>
      </c>
      <c r="L251" s="1313">
        <v>90980.9283</v>
      </c>
      <c r="M251" s="225">
        <v>1868.2766999999999</v>
      </c>
      <c r="N251" s="2097">
        <v>0</v>
      </c>
      <c r="O251" s="2158">
        <f t="shared" si="15"/>
        <v>92849.205000000002</v>
      </c>
      <c r="P251" s="2097">
        <v>708</v>
      </c>
      <c r="Q251" s="2097">
        <v>38600.8874</v>
      </c>
      <c r="R251" s="2097">
        <v>13337.2323</v>
      </c>
      <c r="S251" s="2097">
        <v>759.1096</v>
      </c>
      <c r="T251" s="1313">
        <v>39</v>
      </c>
      <c r="U251" s="225">
        <v>19995</v>
      </c>
      <c r="V251" s="206">
        <f t="shared" si="16"/>
        <v>73439.229300000006</v>
      </c>
    </row>
    <row r="252" spans="1:22">
      <c r="A252" s="1340">
        <f t="shared" si="18"/>
        <v>2014.03</v>
      </c>
      <c r="B252" s="260">
        <v>359</v>
      </c>
      <c r="C252" s="2097">
        <v>97</v>
      </c>
      <c r="D252" s="2097">
        <v>2337.52</v>
      </c>
      <c r="E252" s="2097">
        <v>263.34699999999998</v>
      </c>
      <c r="F252" s="260">
        <v>263.34699999999998</v>
      </c>
      <c r="G252" s="3034">
        <v>0</v>
      </c>
      <c r="H252" s="196">
        <f t="shared" si="13"/>
        <v>263.34699999999998</v>
      </c>
      <c r="I252" s="260">
        <v>18402.534</v>
      </c>
      <c r="J252" s="1870">
        <v>0</v>
      </c>
      <c r="K252" s="263">
        <f t="shared" si="17"/>
        <v>18402.534</v>
      </c>
      <c r="L252" s="1313">
        <v>108777.03080000001</v>
      </c>
      <c r="M252" s="225">
        <v>2513.3788709999999</v>
      </c>
      <c r="N252" s="2097">
        <v>185.6</v>
      </c>
      <c r="O252" s="2158">
        <f t="shared" si="15"/>
        <v>111476.00967100001</v>
      </c>
      <c r="P252" s="2097">
        <v>528</v>
      </c>
      <c r="Q252" s="2097">
        <v>41836.030500000001</v>
      </c>
      <c r="R252" s="2097">
        <v>13755.7225</v>
      </c>
      <c r="S252" s="2097">
        <v>691.39083670000002</v>
      </c>
      <c r="T252" s="1313">
        <v>77</v>
      </c>
      <c r="U252" s="225">
        <v>19924.099999999999</v>
      </c>
      <c r="V252" s="206">
        <f t="shared" si="16"/>
        <v>76812.243836699985</v>
      </c>
    </row>
    <row r="253" spans="1:22">
      <c r="A253" s="1340">
        <f t="shared" si="18"/>
        <v>2014.04</v>
      </c>
      <c r="B253" s="260">
        <v>367</v>
      </c>
      <c r="C253" s="2097">
        <v>60</v>
      </c>
      <c r="D253" s="2097">
        <v>1531.38</v>
      </c>
      <c r="E253" s="2097">
        <v>315.15999999999997</v>
      </c>
      <c r="F253" s="260">
        <v>0</v>
      </c>
      <c r="G253" s="3034">
        <v>0</v>
      </c>
      <c r="H253" s="196">
        <f t="shared" si="13"/>
        <v>0</v>
      </c>
      <c r="I253" s="260">
        <v>23356.04</v>
      </c>
      <c r="J253" s="1870">
        <v>0</v>
      </c>
      <c r="K253" s="263">
        <f t="shared" si="17"/>
        <v>23356.04</v>
      </c>
      <c r="L253" s="1313">
        <v>128693.73819999999</v>
      </c>
      <c r="M253" s="225">
        <v>2462.0949719999999</v>
      </c>
      <c r="N253" s="2097">
        <v>209.4</v>
      </c>
      <c r="O253" s="2158">
        <f t="shared" si="15"/>
        <v>131365.23317199998</v>
      </c>
      <c r="P253" s="2097">
        <v>415</v>
      </c>
      <c r="Q253" s="2097">
        <v>42200.117599999998</v>
      </c>
      <c r="R253" s="2097">
        <v>12801.65</v>
      </c>
      <c r="S253" s="2097">
        <v>622.84826659999999</v>
      </c>
      <c r="T253" s="1313">
        <v>82</v>
      </c>
      <c r="U253" s="225">
        <v>19906.400000000001</v>
      </c>
      <c r="V253" s="206">
        <f t="shared" si="16"/>
        <v>76028.015866600006</v>
      </c>
    </row>
    <row r="254" spans="1:22">
      <c r="A254" s="1340">
        <f t="shared" si="18"/>
        <v>2014.05</v>
      </c>
      <c r="B254" s="260">
        <v>380</v>
      </c>
      <c r="C254" s="2097">
        <v>48</v>
      </c>
      <c r="D254" s="2097">
        <v>2000.12</v>
      </c>
      <c r="E254" s="2097">
        <v>290.41300000000001</v>
      </c>
      <c r="F254" s="260">
        <v>0</v>
      </c>
      <c r="G254" s="3034">
        <v>0</v>
      </c>
      <c r="H254" s="196">
        <f t="shared" si="13"/>
        <v>0</v>
      </c>
      <c r="I254" s="260">
        <v>21794.946</v>
      </c>
      <c r="J254" s="1870">
        <v>0</v>
      </c>
      <c r="K254" s="263">
        <f t="shared" si="17"/>
        <v>21794.946</v>
      </c>
      <c r="L254" s="1313">
        <v>117364.56509999999</v>
      </c>
      <c r="M254" s="225">
        <v>1743.7653800000001</v>
      </c>
      <c r="N254" s="2097">
        <v>384.9</v>
      </c>
      <c r="O254" s="2158">
        <f t="shared" si="15"/>
        <v>119493.23047999998</v>
      </c>
      <c r="P254" s="2097">
        <v>276</v>
      </c>
      <c r="Q254" s="2097">
        <v>40398.116999999998</v>
      </c>
      <c r="R254" s="2097">
        <v>11985.1702</v>
      </c>
      <c r="S254" s="2097">
        <v>538.05791580000005</v>
      </c>
      <c r="T254" s="1313">
        <v>90</v>
      </c>
      <c r="U254" s="225">
        <v>18772</v>
      </c>
      <c r="V254" s="206">
        <f t="shared" si="16"/>
        <v>72059.345115799995</v>
      </c>
    </row>
    <row r="255" spans="1:22">
      <c r="A255" s="1340">
        <f t="shared" si="18"/>
        <v>2014.06</v>
      </c>
      <c r="B255" s="260">
        <v>296</v>
      </c>
      <c r="C255" s="2097">
        <v>62</v>
      </c>
      <c r="D255" s="2097">
        <v>2042.96</v>
      </c>
      <c r="E255" s="2097">
        <v>416.52300000000002</v>
      </c>
      <c r="F255" s="260">
        <v>0</v>
      </c>
      <c r="G255" s="3034">
        <v>0</v>
      </c>
      <c r="H255" s="196">
        <f t="shared" si="13"/>
        <v>0</v>
      </c>
      <c r="I255" s="260">
        <v>19521.4041</v>
      </c>
      <c r="J255" s="1870">
        <v>268.89299999999997</v>
      </c>
      <c r="K255" s="263">
        <f t="shared" si="17"/>
        <v>19790.2971</v>
      </c>
      <c r="L255" s="1313">
        <v>121147.8544</v>
      </c>
      <c r="M255" s="225">
        <v>1407.1890410000001</v>
      </c>
      <c r="N255" s="2097">
        <v>73.099999999999994</v>
      </c>
      <c r="O255" s="2158">
        <f t="shared" si="15"/>
        <v>122628.14344100001</v>
      </c>
      <c r="P255" s="2097">
        <v>332</v>
      </c>
      <c r="Q255" s="2097">
        <v>39528.9827</v>
      </c>
      <c r="R255" s="2097">
        <v>11788.063200000001</v>
      </c>
      <c r="S255" s="2097">
        <v>252.02277040000001</v>
      </c>
      <c r="T255" s="1313">
        <v>45</v>
      </c>
      <c r="U255" s="225">
        <v>18018.599999999999</v>
      </c>
      <c r="V255" s="206">
        <f t="shared" si="16"/>
        <v>69964.668670399988</v>
      </c>
    </row>
    <row r="256" spans="1:22">
      <c r="A256" s="1340">
        <f t="shared" si="18"/>
        <v>2014.07</v>
      </c>
      <c r="B256" s="260">
        <v>279</v>
      </c>
      <c r="C256" s="2097">
        <v>52</v>
      </c>
      <c r="D256" s="2097">
        <v>2779.16</v>
      </c>
      <c r="E256" s="2097">
        <v>295.471</v>
      </c>
      <c r="F256" s="260">
        <v>0</v>
      </c>
      <c r="G256" s="3034">
        <v>0</v>
      </c>
      <c r="H256" s="196">
        <f t="shared" si="13"/>
        <v>0</v>
      </c>
      <c r="I256" s="260">
        <v>35858.100999999995</v>
      </c>
      <c r="J256" s="1870">
        <v>453.38</v>
      </c>
      <c r="K256" s="263">
        <f t="shared" si="17"/>
        <v>36311.480999999992</v>
      </c>
      <c r="L256" s="1313">
        <v>122122.81789999999</v>
      </c>
      <c r="M256" s="225">
        <v>2556.8152129999999</v>
      </c>
      <c r="N256" s="2097">
        <v>79.900000000000006</v>
      </c>
      <c r="O256" s="2158">
        <f t="shared" si="15"/>
        <v>124759.53311299998</v>
      </c>
      <c r="P256" s="2097">
        <v>337</v>
      </c>
      <c r="Q256" s="2097">
        <v>41684.337700000004</v>
      </c>
      <c r="R256" s="2097">
        <v>12850.3109</v>
      </c>
      <c r="S256" s="2097">
        <v>618.82849620000002</v>
      </c>
      <c r="T256" s="1313">
        <v>75</v>
      </c>
      <c r="U256" s="225">
        <v>19762.7</v>
      </c>
      <c r="V256" s="206">
        <f t="shared" si="16"/>
        <v>75328.177096200001</v>
      </c>
    </row>
    <row r="257" spans="1:22">
      <c r="A257" s="1340">
        <f t="shared" si="18"/>
        <v>2014.08</v>
      </c>
      <c r="B257" s="260">
        <v>319</v>
      </c>
      <c r="C257" s="2097">
        <v>67</v>
      </c>
      <c r="D257" s="2097">
        <v>2206.88</v>
      </c>
      <c r="E257" s="2097">
        <v>318.60599999999999</v>
      </c>
      <c r="F257" s="260">
        <v>0</v>
      </c>
      <c r="G257" s="3034">
        <v>0</v>
      </c>
      <c r="H257" s="196">
        <f t="shared" si="13"/>
        <v>0</v>
      </c>
      <c r="I257" s="260">
        <v>22192.636000000002</v>
      </c>
      <c r="J257" s="1870">
        <v>0</v>
      </c>
      <c r="K257" s="263">
        <f t="shared" si="17"/>
        <v>22192.636000000002</v>
      </c>
      <c r="L257" s="1313">
        <v>116480.97070000001</v>
      </c>
      <c r="M257" s="225">
        <v>1637.3950299999999</v>
      </c>
      <c r="N257" s="2097">
        <v>276.8</v>
      </c>
      <c r="O257" s="2158">
        <f t="shared" si="15"/>
        <v>118395.16573000001</v>
      </c>
      <c r="P257" s="2097">
        <v>301</v>
      </c>
      <c r="Q257" s="2097">
        <v>41152.281000000003</v>
      </c>
      <c r="R257" s="2097">
        <v>13151.4138</v>
      </c>
      <c r="S257" s="2097">
        <v>1499.697316</v>
      </c>
      <c r="T257" s="1313">
        <v>79</v>
      </c>
      <c r="U257" s="225">
        <v>24876.1</v>
      </c>
      <c r="V257" s="206">
        <f t="shared" si="16"/>
        <v>81059.492116000009</v>
      </c>
    </row>
    <row r="258" spans="1:22">
      <c r="A258" s="1340">
        <f t="shared" si="18"/>
        <v>2014.09</v>
      </c>
      <c r="B258" s="260">
        <v>421</v>
      </c>
      <c r="C258" s="2097">
        <v>41</v>
      </c>
      <c r="D258" s="2097">
        <v>2125.3200000000002</v>
      </c>
      <c r="E258" s="2097">
        <v>266.92599999999999</v>
      </c>
      <c r="F258" s="260">
        <v>0</v>
      </c>
      <c r="G258" s="3034">
        <v>0</v>
      </c>
      <c r="H258" s="196">
        <f t="shared" si="13"/>
        <v>0</v>
      </c>
      <c r="I258" s="260">
        <v>2820.8379999999997</v>
      </c>
      <c r="J258" s="1870">
        <v>0</v>
      </c>
      <c r="K258" s="263">
        <f t="shared" si="17"/>
        <v>2820.8379999999997</v>
      </c>
      <c r="L258" s="1313">
        <v>116790.9708</v>
      </c>
      <c r="M258" s="225">
        <v>1951.8059270000001</v>
      </c>
      <c r="N258" s="2097">
        <v>0</v>
      </c>
      <c r="O258" s="2158">
        <f t="shared" si="15"/>
        <v>118742.77672699999</v>
      </c>
      <c r="P258" s="2097">
        <v>368</v>
      </c>
      <c r="Q258" s="2097">
        <v>40741.161099999998</v>
      </c>
      <c r="R258" s="2097">
        <v>12438.166300000001</v>
      </c>
      <c r="S258" s="2097">
        <v>539.39968020000003</v>
      </c>
      <c r="T258" s="1313">
        <v>59</v>
      </c>
      <c r="U258" s="225">
        <v>23332.1</v>
      </c>
      <c r="V258" s="206">
        <f t="shared" si="16"/>
        <v>77477.82708019999</v>
      </c>
    </row>
    <row r="259" spans="1:22">
      <c r="A259" s="1340">
        <f t="shared" si="18"/>
        <v>2014.1</v>
      </c>
      <c r="B259" s="260">
        <v>300</v>
      </c>
      <c r="C259" s="2097">
        <v>106</v>
      </c>
      <c r="D259" s="2097">
        <v>2722.2200000000003</v>
      </c>
      <c r="E259" s="2097">
        <v>348.44399999999996</v>
      </c>
      <c r="F259" s="260">
        <v>0</v>
      </c>
      <c r="G259" s="3034">
        <v>0</v>
      </c>
      <c r="H259" s="196">
        <f t="shared" si="13"/>
        <v>0</v>
      </c>
      <c r="I259" s="260">
        <v>22351.282999999999</v>
      </c>
      <c r="J259" s="1870">
        <v>0</v>
      </c>
      <c r="K259" s="263">
        <f t="shared" si="17"/>
        <v>22351.282999999999</v>
      </c>
      <c r="L259" s="1313">
        <v>117107.22320000001</v>
      </c>
      <c r="M259" s="225">
        <v>1928.6909129999999</v>
      </c>
      <c r="N259" s="2097">
        <v>85.4</v>
      </c>
      <c r="O259" s="2158">
        <f t="shared" si="15"/>
        <v>119121.314113</v>
      </c>
      <c r="P259" s="2097">
        <v>440</v>
      </c>
      <c r="Q259" s="2097">
        <v>43866.229500000001</v>
      </c>
      <c r="R259" s="2097">
        <v>13475.9645</v>
      </c>
      <c r="S259" s="2097">
        <v>551.59865019999995</v>
      </c>
      <c r="T259" s="1313">
        <v>103</v>
      </c>
      <c r="U259" s="225">
        <v>21129.1</v>
      </c>
      <c r="V259" s="206">
        <f t="shared" si="16"/>
        <v>79565.892650199996</v>
      </c>
    </row>
    <row r="260" spans="1:22">
      <c r="A260" s="1340">
        <f t="shared" si="18"/>
        <v>2014.11</v>
      </c>
      <c r="B260" s="260">
        <v>313</v>
      </c>
      <c r="C260" s="2097">
        <v>60</v>
      </c>
      <c r="D260" s="2097">
        <v>1590.44</v>
      </c>
      <c r="E260" s="2097">
        <v>228.99299999999999</v>
      </c>
      <c r="F260" s="260">
        <v>0</v>
      </c>
      <c r="G260" s="3034">
        <v>0</v>
      </c>
      <c r="H260" s="196">
        <f t="shared" si="13"/>
        <v>0</v>
      </c>
      <c r="I260" s="260">
        <v>30205.643000000004</v>
      </c>
      <c r="J260" s="1870">
        <v>0</v>
      </c>
      <c r="K260" s="263">
        <f t="shared" si="17"/>
        <v>30205.643000000004</v>
      </c>
      <c r="L260" s="1313">
        <v>105613.94930000001</v>
      </c>
      <c r="M260" s="225">
        <v>2901.8785189999999</v>
      </c>
      <c r="N260" s="2097">
        <v>83.7</v>
      </c>
      <c r="O260" s="2158">
        <f t="shared" si="15"/>
        <v>108599.52781900001</v>
      </c>
      <c r="P260" s="2097">
        <v>390</v>
      </c>
      <c r="Q260" s="2097">
        <v>40309.896099999998</v>
      </c>
      <c r="R260" s="2097">
        <v>13444.8789</v>
      </c>
      <c r="S260" s="2097">
        <v>546.49415839999995</v>
      </c>
      <c r="T260" s="1313">
        <v>85</v>
      </c>
      <c r="U260" s="225">
        <v>20614.900000000001</v>
      </c>
      <c r="V260" s="206">
        <f t="shared" si="16"/>
        <v>75391.169158399993</v>
      </c>
    </row>
    <row r="261" spans="1:22">
      <c r="A261" s="1340">
        <f t="shared" si="18"/>
        <v>2014.12</v>
      </c>
      <c r="B261" s="260">
        <v>404</v>
      </c>
      <c r="C261" s="2097">
        <v>96</v>
      </c>
      <c r="D261" s="2097">
        <v>2111.6799999999998</v>
      </c>
      <c r="E261" s="2097">
        <v>243.28299999999999</v>
      </c>
      <c r="F261" s="260">
        <v>0</v>
      </c>
      <c r="G261" s="3034">
        <v>0</v>
      </c>
      <c r="H261" s="196">
        <f t="shared" si="13"/>
        <v>0</v>
      </c>
      <c r="I261" s="260">
        <v>21915.817999999999</v>
      </c>
      <c r="J261" s="1870">
        <v>0</v>
      </c>
      <c r="K261" s="263">
        <f t="shared" si="17"/>
        <v>21915.817999999999</v>
      </c>
      <c r="L261" s="1313">
        <v>106063.10920000001</v>
      </c>
      <c r="M261" s="225">
        <v>1756.134591</v>
      </c>
      <c r="N261" s="2097">
        <v>0</v>
      </c>
      <c r="O261" s="2158">
        <f t="shared" si="15"/>
        <v>107819.243791</v>
      </c>
      <c r="P261" s="2097">
        <v>509</v>
      </c>
      <c r="Q261" s="2097">
        <v>43865.667099999999</v>
      </c>
      <c r="R261" s="2097">
        <v>15973.490299999999</v>
      </c>
      <c r="S261" s="2097">
        <v>446.86689919999998</v>
      </c>
      <c r="T261" s="1313">
        <v>70</v>
      </c>
      <c r="U261" s="225">
        <v>24736.7</v>
      </c>
      <c r="V261" s="206">
        <f t="shared" si="16"/>
        <v>85601.724299199996</v>
      </c>
    </row>
    <row r="262" spans="1:22">
      <c r="A262" s="1340">
        <f t="shared" si="18"/>
        <v>2015.01</v>
      </c>
      <c r="B262" s="260">
        <v>390</v>
      </c>
      <c r="C262" s="2097">
        <v>125</v>
      </c>
      <c r="D262" s="2097">
        <v>2119.1800000000003</v>
      </c>
      <c r="E262" s="2097">
        <v>223.04599999999999</v>
      </c>
      <c r="F262" s="260">
        <v>0</v>
      </c>
      <c r="G262" s="3034">
        <v>0</v>
      </c>
      <c r="H262" s="196">
        <f t="shared" si="13"/>
        <v>0</v>
      </c>
      <c r="I262" s="260">
        <v>40817.493000000002</v>
      </c>
      <c r="J262" s="1870">
        <v>0</v>
      </c>
      <c r="K262" s="263">
        <f t="shared" si="17"/>
        <v>40817.493000000002</v>
      </c>
      <c r="L262" s="1313">
        <v>101845.571</v>
      </c>
      <c r="M262" s="225">
        <v>1400.0932250000001</v>
      </c>
      <c r="N262" s="2097">
        <v>33.509</v>
      </c>
      <c r="O262" s="2158">
        <f t="shared" si="15"/>
        <v>103279.17322500001</v>
      </c>
      <c r="P262" s="2097">
        <v>527</v>
      </c>
      <c r="Q262" s="2097">
        <v>43979.087899999999</v>
      </c>
      <c r="R262" s="2097">
        <v>16510.6849</v>
      </c>
      <c r="S262" s="2097">
        <v>394.03303160000002</v>
      </c>
      <c r="T262" s="1313">
        <v>19</v>
      </c>
      <c r="U262" s="225">
        <v>21792.7</v>
      </c>
      <c r="V262" s="206">
        <f t="shared" si="16"/>
        <v>83222.505831600007</v>
      </c>
    </row>
    <row r="263" spans="1:22">
      <c r="A263" s="1340">
        <f t="shared" si="18"/>
        <v>2015.02</v>
      </c>
      <c r="B263" s="260">
        <v>312</v>
      </c>
      <c r="C263" s="2097">
        <v>121</v>
      </c>
      <c r="D263" s="2097">
        <v>2073.4</v>
      </c>
      <c r="E263" s="2097">
        <v>195.76300000000001</v>
      </c>
      <c r="F263" s="260">
        <v>0</v>
      </c>
      <c r="G263" s="3034">
        <v>0</v>
      </c>
      <c r="H263" s="196">
        <f t="shared" si="13"/>
        <v>0</v>
      </c>
      <c r="I263" s="260">
        <v>29351.228999999999</v>
      </c>
      <c r="J263" s="1870">
        <v>0</v>
      </c>
      <c r="K263" s="263">
        <f t="shared" si="17"/>
        <v>29351.228999999999</v>
      </c>
      <c r="L263" s="1313">
        <v>95475.878599999996</v>
      </c>
      <c r="M263" s="225">
        <v>2147.362083</v>
      </c>
      <c r="N263" s="2097">
        <v>0</v>
      </c>
      <c r="O263" s="2158">
        <f t="shared" si="15"/>
        <v>97623.240682999996</v>
      </c>
      <c r="P263" s="2097">
        <v>467</v>
      </c>
      <c r="Q263" s="2097">
        <v>40294.542399999998</v>
      </c>
      <c r="R263" s="2097">
        <v>15433.2603</v>
      </c>
      <c r="S263" s="2097">
        <v>2147.362083</v>
      </c>
      <c r="T263" s="1313">
        <v>57</v>
      </c>
      <c r="U263" s="225">
        <v>22529.4</v>
      </c>
      <c r="V263" s="206">
        <f t="shared" si="16"/>
        <v>80928.564783000009</v>
      </c>
    </row>
    <row r="264" spans="1:22">
      <c r="A264" s="1340">
        <f t="shared" si="18"/>
        <v>2015.03</v>
      </c>
      <c r="B264" s="260">
        <v>381</v>
      </c>
      <c r="C264" s="2097">
        <v>112</v>
      </c>
      <c r="D264" s="2097">
        <v>2216.8200000000002</v>
      </c>
      <c r="E264" s="2097">
        <v>156.75799999999998</v>
      </c>
      <c r="F264" s="260">
        <v>0</v>
      </c>
      <c r="G264" s="3034">
        <v>0</v>
      </c>
      <c r="H264" s="196">
        <f t="shared" si="13"/>
        <v>0</v>
      </c>
      <c r="I264" s="260">
        <v>37785.018000000004</v>
      </c>
      <c r="J264" s="1870">
        <v>0</v>
      </c>
      <c r="K264" s="263">
        <f t="shared" si="17"/>
        <v>37785.018000000004</v>
      </c>
      <c r="L264" s="1313">
        <v>103664.9767</v>
      </c>
      <c r="M264" s="225">
        <v>2323.0876191999996</v>
      </c>
      <c r="N264" s="2097">
        <v>79.834999999999994</v>
      </c>
      <c r="O264" s="2158">
        <f t="shared" si="15"/>
        <v>106067.89931920001</v>
      </c>
      <c r="P264" s="2097">
        <v>547</v>
      </c>
      <c r="Q264" s="2097">
        <v>40498.724399999999</v>
      </c>
      <c r="R264" s="2097">
        <v>15168.9257</v>
      </c>
      <c r="S264" s="2097">
        <v>449.30668509999998</v>
      </c>
      <c r="T264" s="1313">
        <v>84</v>
      </c>
      <c r="U264" s="225">
        <v>18982.5</v>
      </c>
      <c r="V264" s="206">
        <f t="shared" si="16"/>
        <v>75730.456785099988</v>
      </c>
    </row>
    <row r="265" spans="1:22">
      <c r="A265" s="1340">
        <f t="shared" si="18"/>
        <v>2015.04</v>
      </c>
      <c r="B265" s="260">
        <v>323</v>
      </c>
      <c r="C265" s="2097">
        <v>59</v>
      </c>
      <c r="D265" s="2097">
        <v>3431.32</v>
      </c>
      <c r="E265" s="2097">
        <v>321.85599999999999</v>
      </c>
      <c r="F265" s="260">
        <v>0</v>
      </c>
      <c r="G265" s="3034">
        <v>0</v>
      </c>
      <c r="H265" s="196">
        <f t="shared" si="13"/>
        <v>0</v>
      </c>
      <c r="I265" s="260">
        <v>32616.706000000002</v>
      </c>
      <c r="J265" s="1870">
        <v>0</v>
      </c>
      <c r="K265" s="263">
        <f t="shared" si="17"/>
        <v>32616.706000000002</v>
      </c>
      <c r="L265" s="1313">
        <v>138005.554</v>
      </c>
      <c r="M265" s="225">
        <v>1674.4332569999999</v>
      </c>
      <c r="N265" s="2097">
        <v>19.831</v>
      </c>
      <c r="O265" s="2158">
        <f t="shared" si="15"/>
        <v>139699.81825700001</v>
      </c>
      <c r="P265" s="2097">
        <v>380</v>
      </c>
      <c r="Q265" s="2097">
        <v>41832.136299999998</v>
      </c>
      <c r="R265" s="2097">
        <v>15820.0131</v>
      </c>
      <c r="S265" s="2097">
        <v>232.6702841</v>
      </c>
      <c r="T265" s="1313">
        <v>53</v>
      </c>
      <c r="U265" s="225">
        <v>21004.9</v>
      </c>
      <c r="V265" s="206">
        <f t="shared" si="16"/>
        <v>79322.719684099997</v>
      </c>
    </row>
    <row r="266" spans="1:22">
      <c r="A266" s="1340">
        <f t="shared" si="18"/>
        <v>2015.05</v>
      </c>
      <c r="B266" s="260">
        <v>353</v>
      </c>
      <c r="C266" s="2097">
        <v>47</v>
      </c>
      <c r="D266" s="2097">
        <v>3324.76</v>
      </c>
      <c r="E266" s="2097">
        <v>305.14300000000003</v>
      </c>
      <c r="F266" s="260">
        <v>0</v>
      </c>
      <c r="G266" s="3034">
        <v>0</v>
      </c>
      <c r="H266" s="196">
        <f t="shared" ref="H266:H273" si="19">F266+G266</f>
        <v>0</v>
      </c>
      <c r="I266" s="260">
        <v>33736.569000000003</v>
      </c>
      <c r="J266" s="1870">
        <v>0</v>
      </c>
      <c r="K266" s="263">
        <f t="shared" si="17"/>
        <v>33736.569000000003</v>
      </c>
      <c r="L266" s="1313">
        <v>114945.67970000001</v>
      </c>
      <c r="M266" s="225">
        <v>1452.4699579999999</v>
      </c>
      <c r="N266" s="2097">
        <v>57.95</v>
      </c>
      <c r="O266" s="2158">
        <f t="shared" ref="O266:O329" si="20">L266+M266+N266</f>
        <v>116456.09965800001</v>
      </c>
      <c r="P266" s="2097">
        <v>348</v>
      </c>
      <c r="Q266" s="2097">
        <v>40270.085800000001</v>
      </c>
      <c r="R266" s="2097">
        <v>15623.458999999999</v>
      </c>
      <c r="S266" s="2097">
        <v>279.38958109999999</v>
      </c>
      <c r="T266" s="1313">
        <v>0</v>
      </c>
      <c r="U266" s="225">
        <v>0</v>
      </c>
      <c r="V266" s="206">
        <f t="shared" si="16"/>
        <v>56520.9343811</v>
      </c>
    </row>
    <row r="267" spans="1:22">
      <c r="A267" s="1340">
        <f t="shared" si="18"/>
        <v>2015.06</v>
      </c>
      <c r="B267" s="260">
        <v>295</v>
      </c>
      <c r="C267" s="2097">
        <v>62</v>
      </c>
      <c r="D267" s="2097">
        <v>4390.88</v>
      </c>
      <c r="E267" s="2097">
        <v>381.185</v>
      </c>
      <c r="F267" s="260">
        <v>0</v>
      </c>
      <c r="G267" s="3034">
        <v>0</v>
      </c>
      <c r="H267" s="196">
        <f t="shared" si="19"/>
        <v>0</v>
      </c>
      <c r="I267" s="260">
        <v>21422.547000000002</v>
      </c>
      <c r="J267" s="1870">
        <v>180.37299999999999</v>
      </c>
      <c r="K267" s="263">
        <f t="shared" si="17"/>
        <v>21602.920000000002</v>
      </c>
      <c r="L267" s="1313">
        <v>112108.042</v>
      </c>
      <c r="M267" s="225">
        <v>2257.1837890000002</v>
      </c>
      <c r="N267" s="2097">
        <v>58.335999999999999</v>
      </c>
      <c r="O267" s="2158">
        <f t="shared" si="20"/>
        <v>114423.561789</v>
      </c>
      <c r="P267" s="2097">
        <v>359</v>
      </c>
      <c r="Q267" s="2097">
        <v>40041.6299</v>
      </c>
      <c r="R267" s="2097">
        <v>15401.840200000001</v>
      </c>
      <c r="S267" s="2097">
        <v>2257.1837890000002</v>
      </c>
      <c r="T267" s="1313">
        <v>0</v>
      </c>
      <c r="U267" s="225">
        <v>20227</v>
      </c>
      <c r="V267" s="206">
        <f t="shared" si="16"/>
        <v>78286.653889000008</v>
      </c>
    </row>
    <row r="268" spans="1:22">
      <c r="A268" s="1340">
        <f t="shared" si="18"/>
        <v>2015.07</v>
      </c>
      <c r="B268" s="260">
        <v>342</v>
      </c>
      <c r="C268" s="2097">
        <v>47</v>
      </c>
      <c r="D268" s="2097">
        <v>3878.74</v>
      </c>
      <c r="E268" s="2097">
        <v>319.52</v>
      </c>
      <c r="F268" s="260">
        <v>0</v>
      </c>
      <c r="G268" s="3034">
        <v>0</v>
      </c>
      <c r="H268" s="196">
        <f t="shared" si="19"/>
        <v>0</v>
      </c>
      <c r="I268" s="260">
        <v>34026.074000000001</v>
      </c>
      <c r="J268" s="1870">
        <v>0</v>
      </c>
      <c r="K268" s="263">
        <f t="shared" si="17"/>
        <v>34026.074000000001</v>
      </c>
      <c r="L268" s="1313">
        <v>113491.26879999999</v>
      </c>
      <c r="M268" s="225">
        <v>2804.5832190000001</v>
      </c>
      <c r="N268" s="2097">
        <v>0</v>
      </c>
      <c r="O268" s="2158">
        <f t="shared" si="20"/>
        <v>116295.85201899998</v>
      </c>
      <c r="P268" s="2097">
        <v>369</v>
      </c>
      <c r="Q268" s="2097">
        <v>42090.216100000005</v>
      </c>
      <c r="R268" s="2097">
        <v>16909.960500000001</v>
      </c>
      <c r="S268" s="2097">
        <v>387.42435330000001</v>
      </c>
      <c r="T268" s="1313">
        <v>0</v>
      </c>
      <c r="U268" s="225">
        <v>21693.3</v>
      </c>
      <c r="V268" s="206">
        <f t="shared" ref="V268:V331" si="21">SUM(P268:U268)</f>
        <v>81449.900953300006</v>
      </c>
    </row>
    <row r="269" spans="1:22">
      <c r="A269" s="1340">
        <f t="shared" si="18"/>
        <v>2015.08</v>
      </c>
      <c r="B269" s="260">
        <v>365</v>
      </c>
      <c r="C269" s="2097">
        <v>50</v>
      </c>
      <c r="D269" s="2097">
        <v>2186.06</v>
      </c>
      <c r="E269" s="2097">
        <v>290.60599999999999</v>
      </c>
      <c r="F269" s="260">
        <v>0</v>
      </c>
      <c r="G269" s="3034">
        <v>0</v>
      </c>
      <c r="H269" s="196">
        <f t="shared" si="19"/>
        <v>0</v>
      </c>
      <c r="I269" s="260">
        <v>26703.530000000002</v>
      </c>
      <c r="J269" s="1870">
        <v>0</v>
      </c>
      <c r="K269" s="263">
        <f t="shared" si="17"/>
        <v>26703.530000000002</v>
      </c>
      <c r="L269" s="1313">
        <v>98684.816500000001</v>
      </c>
      <c r="M269" s="225">
        <v>1625.4553109999999</v>
      </c>
      <c r="N269" s="2097">
        <v>61.100999999999999</v>
      </c>
      <c r="O269" s="2158">
        <f t="shared" si="20"/>
        <v>100371.37281099999</v>
      </c>
      <c r="P269" s="2097">
        <v>367</v>
      </c>
      <c r="Q269" s="2097">
        <v>39812.643299999996</v>
      </c>
      <c r="R269" s="2097">
        <v>15941.331399999999</v>
      </c>
      <c r="S269" s="2097">
        <v>787.6609661</v>
      </c>
      <c r="T269" s="1313">
        <v>0</v>
      </c>
      <c r="U269" s="225">
        <v>19107.099999999999</v>
      </c>
      <c r="V269" s="206">
        <f t="shared" si="21"/>
        <v>76015.735666099994</v>
      </c>
    </row>
    <row r="270" spans="1:22">
      <c r="A270" s="1340">
        <f t="shared" si="18"/>
        <v>2015.09</v>
      </c>
      <c r="B270" s="260">
        <v>170</v>
      </c>
      <c r="C270" s="2097">
        <v>79</v>
      </c>
      <c r="D270" s="2097">
        <v>3504.96</v>
      </c>
      <c r="E270" s="2097">
        <v>259.62299999999999</v>
      </c>
      <c r="F270" s="260">
        <v>0</v>
      </c>
      <c r="G270" s="3034">
        <v>0</v>
      </c>
      <c r="H270" s="196">
        <f t="shared" si="19"/>
        <v>0</v>
      </c>
      <c r="I270" s="260">
        <v>17162.488000000001</v>
      </c>
      <c r="J270" s="1870">
        <v>0</v>
      </c>
      <c r="K270" s="263">
        <f t="shared" si="17"/>
        <v>17162.488000000001</v>
      </c>
      <c r="L270" s="1313">
        <v>108194.50390000001</v>
      </c>
      <c r="M270" s="225">
        <v>1780.5425419999999</v>
      </c>
      <c r="N270" s="2097">
        <v>68.019000000000005</v>
      </c>
      <c r="O270" s="2158">
        <f t="shared" si="20"/>
        <v>110043.06544200001</v>
      </c>
      <c r="P270" s="2097">
        <v>381</v>
      </c>
      <c r="Q270" s="2097">
        <v>39393.3583</v>
      </c>
      <c r="R270" s="2097">
        <v>16140.303</v>
      </c>
      <c r="S270" s="2097">
        <v>390.92468270000001</v>
      </c>
      <c r="T270" s="1313">
        <v>0</v>
      </c>
      <c r="U270" s="225">
        <v>18023.7</v>
      </c>
      <c r="V270" s="206">
        <f t="shared" si="21"/>
        <v>74329.285982700007</v>
      </c>
    </row>
    <row r="271" spans="1:22">
      <c r="A271" s="1340">
        <f t="shared" si="18"/>
        <v>2015.1</v>
      </c>
      <c r="B271" s="260">
        <v>148</v>
      </c>
      <c r="C271" s="2097">
        <v>80</v>
      </c>
      <c r="D271" s="2097">
        <v>2802.14</v>
      </c>
      <c r="E271" s="2097">
        <v>256.88200000000001</v>
      </c>
      <c r="F271" s="260">
        <v>0</v>
      </c>
      <c r="G271" s="3034">
        <v>0</v>
      </c>
      <c r="H271" s="196">
        <f t="shared" si="19"/>
        <v>0</v>
      </c>
      <c r="I271" s="260">
        <v>24609.039000000001</v>
      </c>
      <c r="J271" s="1870">
        <v>0</v>
      </c>
      <c r="K271" s="263">
        <f t="shared" si="17"/>
        <v>24609.039000000001</v>
      </c>
      <c r="L271" s="1313">
        <v>109311.4029</v>
      </c>
      <c r="M271" s="225">
        <v>1044.8076699999999</v>
      </c>
      <c r="N271" s="2097">
        <v>98.04</v>
      </c>
      <c r="O271" s="2158">
        <f t="shared" si="20"/>
        <v>110454.25056999999</v>
      </c>
      <c r="P271" s="2097">
        <v>492</v>
      </c>
      <c r="Q271" s="2097">
        <v>40797.1253</v>
      </c>
      <c r="R271" s="2097">
        <v>17597.4663</v>
      </c>
      <c r="S271" s="2097">
        <v>0</v>
      </c>
      <c r="T271" s="1313">
        <v>0</v>
      </c>
      <c r="U271" s="225">
        <v>22214.799999999999</v>
      </c>
      <c r="V271" s="206">
        <f t="shared" si="21"/>
        <v>81101.391600000003</v>
      </c>
    </row>
    <row r="272" spans="1:22">
      <c r="A272" s="1340">
        <f t="shared" si="18"/>
        <v>2015.11</v>
      </c>
      <c r="B272" s="260">
        <v>166</v>
      </c>
      <c r="C272" s="2097">
        <v>109</v>
      </c>
      <c r="D272" s="2097">
        <v>2543.1999999999998</v>
      </c>
      <c r="E272" s="2097">
        <v>237.9</v>
      </c>
      <c r="F272" s="260">
        <v>0</v>
      </c>
      <c r="G272" s="3034">
        <v>0</v>
      </c>
      <c r="H272" s="196">
        <f t="shared" si="19"/>
        <v>0</v>
      </c>
      <c r="I272" s="260">
        <v>33629.688999999998</v>
      </c>
      <c r="J272" s="1870">
        <v>0</v>
      </c>
      <c r="K272" s="263">
        <f t="shared" si="17"/>
        <v>33629.688999999998</v>
      </c>
      <c r="L272" s="1313">
        <v>118038.98240000001</v>
      </c>
      <c r="M272" s="225">
        <v>1018.022255</v>
      </c>
      <c r="N272" s="2097">
        <v>39.743000000000002</v>
      </c>
      <c r="O272" s="2158">
        <f t="shared" si="20"/>
        <v>119096.74765500001</v>
      </c>
      <c r="P272" s="2097">
        <v>441</v>
      </c>
      <c r="Q272" s="2097">
        <v>39128.0314</v>
      </c>
      <c r="R272" s="2097">
        <v>16272.696899999999</v>
      </c>
      <c r="S272" s="2097">
        <v>0</v>
      </c>
      <c r="T272" s="1313">
        <v>0</v>
      </c>
      <c r="U272" s="225">
        <v>22964.7</v>
      </c>
      <c r="V272" s="206">
        <f t="shared" si="21"/>
        <v>78806.4283</v>
      </c>
    </row>
    <row r="273" spans="1:22">
      <c r="A273" s="1340">
        <f t="shared" si="18"/>
        <v>2015.12</v>
      </c>
      <c r="B273" s="260">
        <v>209</v>
      </c>
      <c r="C273" s="2097">
        <v>138</v>
      </c>
      <c r="D273" s="2097">
        <v>1691.6599999999999</v>
      </c>
      <c r="E273" s="2097">
        <v>222.226</v>
      </c>
      <c r="F273" s="260">
        <v>0</v>
      </c>
      <c r="G273" s="3034">
        <v>0</v>
      </c>
      <c r="H273" s="196">
        <f t="shared" si="19"/>
        <v>0</v>
      </c>
      <c r="I273" s="260">
        <v>23319.038</v>
      </c>
      <c r="J273" s="1870">
        <v>0</v>
      </c>
      <c r="K273" s="263">
        <f t="shared" si="17"/>
        <v>23319.038</v>
      </c>
      <c r="L273" s="1313">
        <v>112978.23019999999</v>
      </c>
      <c r="M273" s="225">
        <v>966.94084029999999</v>
      </c>
      <c r="N273" s="2097">
        <v>101.48699999999999</v>
      </c>
      <c r="O273" s="2158">
        <f t="shared" si="20"/>
        <v>114046.65804029998</v>
      </c>
      <c r="P273" s="2097">
        <v>297</v>
      </c>
      <c r="Q273" s="2097">
        <v>44227.3851</v>
      </c>
      <c r="R273" s="2097">
        <v>19243.3842</v>
      </c>
      <c r="S273" s="2097">
        <v>225.62243620000001</v>
      </c>
      <c r="T273" s="1313">
        <v>0</v>
      </c>
      <c r="U273" s="225">
        <v>18510.599999999999</v>
      </c>
      <c r="V273" s="206">
        <f t="shared" si="21"/>
        <v>82503.991736199998</v>
      </c>
    </row>
    <row r="274" spans="1:22">
      <c r="A274" s="1340">
        <f t="shared" si="18"/>
        <v>2016.01</v>
      </c>
      <c r="B274" s="260">
        <v>198</v>
      </c>
      <c r="C274" s="2097">
        <v>79</v>
      </c>
      <c r="D274" s="2097">
        <v>1062.2</v>
      </c>
      <c r="E274" s="2097">
        <v>256.66800000000001</v>
      </c>
      <c r="F274" s="260">
        <v>0</v>
      </c>
      <c r="G274" s="3034">
        <v>0</v>
      </c>
      <c r="H274" s="196">
        <f t="shared" ref="H274:H285" si="22">F274+G274</f>
        <v>0</v>
      </c>
      <c r="I274" s="260">
        <v>31250.44</v>
      </c>
      <c r="J274" s="1870">
        <v>0</v>
      </c>
      <c r="K274" s="263">
        <f t="shared" ref="K274:K285" si="23">I274+J274</f>
        <v>31250.44</v>
      </c>
      <c r="L274" s="1313">
        <v>101686.66320000001</v>
      </c>
      <c r="M274" s="225">
        <v>682.01958349999995</v>
      </c>
      <c r="N274" s="2097">
        <v>69.150000000000006</v>
      </c>
      <c r="O274" s="2158">
        <f t="shared" si="20"/>
        <v>102437.83278350001</v>
      </c>
      <c r="P274" s="2097">
        <v>261</v>
      </c>
      <c r="Q274" s="2097">
        <v>40018.507100000003</v>
      </c>
      <c r="R274" s="2097">
        <v>16772.1613</v>
      </c>
      <c r="S274" s="2097">
        <v>264.83834519999999</v>
      </c>
      <c r="T274" s="1313">
        <v>0</v>
      </c>
      <c r="U274" s="225">
        <v>18020.400000000001</v>
      </c>
      <c r="V274" s="206">
        <f t="shared" si="21"/>
        <v>75336.906745200002</v>
      </c>
    </row>
    <row r="275" spans="1:22">
      <c r="A275" s="1340">
        <f t="shared" si="18"/>
        <v>2016.02</v>
      </c>
      <c r="B275" s="260">
        <v>261</v>
      </c>
      <c r="C275" s="2097">
        <v>220</v>
      </c>
      <c r="D275" s="2097">
        <v>1365.98</v>
      </c>
      <c r="E275" s="2097">
        <v>204.08699999999999</v>
      </c>
      <c r="F275" s="260">
        <v>36</v>
      </c>
      <c r="G275" s="3034">
        <v>0</v>
      </c>
      <c r="H275" s="196">
        <f t="shared" si="22"/>
        <v>36</v>
      </c>
      <c r="I275" s="260">
        <v>30926.679</v>
      </c>
      <c r="J275" s="1870">
        <v>0</v>
      </c>
      <c r="K275" s="263">
        <f t="shared" si="23"/>
        <v>30926.679</v>
      </c>
      <c r="L275" s="1313">
        <v>109661.0181</v>
      </c>
      <c r="M275" s="225">
        <v>413.27325760000002</v>
      </c>
      <c r="N275" s="2097">
        <v>224.09700000000001</v>
      </c>
      <c r="O275" s="2158">
        <f t="shared" si="20"/>
        <v>110298.38835759999</v>
      </c>
      <c r="P275" s="2097">
        <v>244</v>
      </c>
      <c r="Q275" s="2097">
        <v>44766.767099999997</v>
      </c>
      <c r="R275" s="2097">
        <v>17115.3115</v>
      </c>
      <c r="S275" s="2097">
        <v>0</v>
      </c>
      <c r="T275" s="1313">
        <v>0</v>
      </c>
      <c r="U275" s="225">
        <v>22848.6</v>
      </c>
      <c r="V275" s="206">
        <f t="shared" si="21"/>
        <v>84974.678599999985</v>
      </c>
    </row>
    <row r="276" spans="1:22">
      <c r="A276" s="1340">
        <f t="shared" si="18"/>
        <v>2016.03</v>
      </c>
      <c r="B276" s="260">
        <v>140</v>
      </c>
      <c r="C276" s="2097">
        <v>104</v>
      </c>
      <c r="D276" s="2097">
        <v>2280.6800000000003</v>
      </c>
      <c r="E276" s="2097">
        <v>277.50400000000002</v>
      </c>
      <c r="F276" s="260">
        <v>0</v>
      </c>
      <c r="G276" s="3034">
        <v>0</v>
      </c>
      <c r="H276" s="196">
        <f t="shared" si="22"/>
        <v>0</v>
      </c>
      <c r="I276" s="260">
        <v>25826.578000000001</v>
      </c>
      <c r="J276" s="1870">
        <v>0</v>
      </c>
      <c r="K276" s="263">
        <f t="shared" si="23"/>
        <v>25826.578000000001</v>
      </c>
      <c r="L276" s="1313">
        <v>132702.7598</v>
      </c>
      <c r="M276" s="225">
        <v>1739.4496630000001</v>
      </c>
      <c r="N276" s="2097">
        <v>50.5901</v>
      </c>
      <c r="O276" s="2158">
        <f t="shared" si="20"/>
        <v>134492.79956300001</v>
      </c>
      <c r="P276" s="2097">
        <v>251</v>
      </c>
      <c r="Q276" s="2097">
        <v>46638.119299999998</v>
      </c>
      <c r="R276" s="2097">
        <v>17232.312299999998</v>
      </c>
      <c r="S276" s="2097">
        <v>0</v>
      </c>
      <c r="T276" s="1313">
        <v>0</v>
      </c>
      <c r="U276" s="225">
        <v>19916.900000000001</v>
      </c>
      <c r="V276" s="206">
        <f t="shared" si="21"/>
        <v>84038.331600000005</v>
      </c>
    </row>
    <row r="277" spans="1:22">
      <c r="A277" s="1340">
        <f t="shared" si="18"/>
        <v>2016.04</v>
      </c>
      <c r="B277" s="260">
        <v>115</v>
      </c>
      <c r="C277" s="2097">
        <v>39</v>
      </c>
      <c r="D277" s="2097">
        <v>1342.2</v>
      </c>
      <c r="E277" s="2097">
        <v>268.91899999999998</v>
      </c>
      <c r="F277" s="260">
        <v>36</v>
      </c>
      <c r="G277" s="3034">
        <v>0</v>
      </c>
      <c r="H277" s="196">
        <f t="shared" si="22"/>
        <v>36</v>
      </c>
      <c r="I277" s="260">
        <v>26348.303</v>
      </c>
      <c r="J277" s="1870">
        <v>0</v>
      </c>
      <c r="K277" s="263">
        <f t="shared" si="23"/>
        <v>26348.303</v>
      </c>
      <c r="L277" s="1313">
        <v>114021.82</v>
      </c>
      <c r="M277" s="225">
        <v>154.48837080000001</v>
      </c>
      <c r="N277" s="2097">
        <v>0</v>
      </c>
      <c r="O277" s="2158">
        <f t="shared" si="20"/>
        <v>114176.3083708</v>
      </c>
      <c r="P277" s="2097">
        <v>189</v>
      </c>
      <c r="Q277" s="2097">
        <v>43238.353199999998</v>
      </c>
      <c r="R277" s="2097">
        <v>14643.845300000001</v>
      </c>
      <c r="S277" s="2097">
        <v>0</v>
      </c>
      <c r="T277" s="1313">
        <v>0</v>
      </c>
      <c r="U277" s="225">
        <v>16928.7</v>
      </c>
      <c r="V277" s="206">
        <f t="shared" si="21"/>
        <v>74999.898499999996</v>
      </c>
    </row>
    <row r="278" spans="1:22">
      <c r="A278" s="1340">
        <f t="shared" si="18"/>
        <v>2016.05</v>
      </c>
      <c r="B278" s="260">
        <v>126</v>
      </c>
      <c r="C278" s="2097">
        <v>75</v>
      </c>
      <c r="D278" s="2097">
        <v>3095.1800000000003</v>
      </c>
      <c r="E278" s="2097">
        <v>301.73400000000004</v>
      </c>
      <c r="F278" s="260">
        <v>36</v>
      </c>
      <c r="G278" s="3034">
        <v>0</v>
      </c>
      <c r="H278" s="196">
        <f t="shared" si="22"/>
        <v>36</v>
      </c>
      <c r="I278" s="260">
        <v>37041.546000000002</v>
      </c>
      <c r="J278" s="1870">
        <v>0</v>
      </c>
      <c r="K278" s="263">
        <f t="shared" si="23"/>
        <v>37041.546000000002</v>
      </c>
      <c r="L278" s="1313">
        <v>154510.49309999999</v>
      </c>
      <c r="M278" s="225">
        <v>0</v>
      </c>
      <c r="N278" s="2097">
        <v>140.89400000000001</v>
      </c>
      <c r="O278" s="2158">
        <f t="shared" si="20"/>
        <v>154651.38709999999</v>
      </c>
      <c r="P278" s="2097">
        <v>69</v>
      </c>
      <c r="Q278" s="2097">
        <v>46208.132100000003</v>
      </c>
      <c r="R278" s="2097">
        <v>14573.8187</v>
      </c>
      <c r="S278" s="2097">
        <v>0</v>
      </c>
      <c r="T278" s="1313">
        <v>0</v>
      </c>
      <c r="U278" s="225">
        <v>9042</v>
      </c>
      <c r="V278" s="206">
        <f t="shared" si="21"/>
        <v>69892.950800000006</v>
      </c>
    </row>
    <row r="279" spans="1:22">
      <c r="A279" s="1340">
        <f t="shared" si="18"/>
        <v>2016.06</v>
      </c>
      <c r="B279" s="260">
        <v>142</v>
      </c>
      <c r="C279" s="2097">
        <v>60</v>
      </c>
      <c r="D279" s="2097">
        <v>2860.54</v>
      </c>
      <c r="E279" s="2097">
        <v>429.57299999999998</v>
      </c>
      <c r="F279" s="260">
        <v>36</v>
      </c>
      <c r="G279" s="3034">
        <v>0</v>
      </c>
      <c r="H279" s="196">
        <f t="shared" si="22"/>
        <v>36</v>
      </c>
      <c r="I279" s="260">
        <v>37289.396999999997</v>
      </c>
      <c r="J279" s="1870">
        <v>0</v>
      </c>
      <c r="K279" s="263">
        <f t="shared" si="23"/>
        <v>37289.396999999997</v>
      </c>
      <c r="L279" s="1313">
        <v>132549.5374</v>
      </c>
      <c r="M279" s="225">
        <v>0</v>
      </c>
      <c r="N279" s="2097">
        <v>68.218999999999994</v>
      </c>
      <c r="O279" s="2158">
        <f t="shared" si="20"/>
        <v>132617.75640000001</v>
      </c>
      <c r="P279" s="2097">
        <v>142</v>
      </c>
      <c r="Q279" s="2097">
        <v>45283.1106</v>
      </c>
      <c r="R279" s="2097">
        <v>15673.5185</v>
      </c>
      <c r="S279" s="2097">
        <v>0</v>
      </c>
      <c r="T279" s="1313">
        <v>0</v>
      </c>
      <c r="U279" s="225">
        <v>18487.099999999999</v>
      </c>
      <c r="V279" s="206">
        <f t="shared" si="21"/>
        <v>79585.729099999997</v>
      </c>
    </row>
    <row r="280" spans="1:22">
      <c r="A280" s="1340">
        <f t="shared" si="18"/>
        <v>2016.07</v>
      </c>
      <c r="B280" s="260">
        <v>145</v>
      </c>
      <c r="C280" s="2097">
        <v>54</v>
      </c>
      <c r="D280" s="2097">
        <v>3577.8599999999997</v>
      </c>
      <c r="E280" s="2097">
        <v>352.08499999999998</v>
      </c>
      <c r="F280" s="260">
        <v>72</v>
      </c>
      <c r="G280" s="3034">
        <v>0</v>
      </c>
      <c r="H280" s="196">
        <f t="shared" si="22"/>
        <v>72</v>
      </c>
      <c r="I280" s="260">
        <v>44614.234000000004</v>
      </c>
      <c r="J280" s="1870">
        <v>0</v>
      </c>
      <c r="K280" s="263">
        <f t="shared" si="23"/>
        <v>44614.234000000004</v>
      </c>
      <c r="L280" s="1313">
        <v>124083.0263</v>
      </c>
      <c r="M280" s="225">
        <v>0</v>
      </c>
      <c r="N280" s="2097">
        <v>0</v>
      </c>
      <c r="O280" s="2158">
        <f t="shared" si="20"/>
        <v>124083.0263</v>
      </c>
      <c r="P280" s="2097">
        <v>141</v>
      </c>
      <c r="Q280" s="2097">
        <v>45266.290200000003</v>
      </c>
      <c r="R280" s="2097">
        <v>17409.569499999998</v>
      </c>
      <c r="S280" s="2097">
        <v>0</v>
      </c>
      <c r="T280" s="1313">
        <v>0</v>
      </c>
      <c r="U280" s="225">
        <v>18746.599999999999</v>
      </c>
      <c r="V280" s="206">
        <f t="shared" si="21"/>
        <v>81563.459700000007</v>
      </c>
    </row>
    <row r="281" spans="1:22">
      <c r="A281" s="1340">
        <f t="shared" si="18"/>
        <v>2016.08</v>
      </c>
      <c r="B281" s="260">
        <v>169</v>
      </c>
      <c r="C281" s="2097">
        <v>66</v>
      </c>
      <c r="D281" s="2097">
        <v>4317.22</v>
      </c>
      <c r="E281" s="2097">
        <v>407.57600000000002</v>
      </c>
      <c r="F281" s="260">
        <v>72</v>
      </c>
      <c r="G281" s="3034">
        <v>0</v>
      </c>
      <c r="H281" s="196">
        <f t="shared" si="22"/>
        <v>72</v>
      </c>
      <c r="I281" s="260">
        <v>33926.58</v>
      </c>
      <c r="J281" s="1870">
        <v>0</v>
      </c>
      <c r="K281" s="263">
        <f t="shared" si="23"/>
        <v>33926.58</v>
      </c>
      <c r="L281" s="1313">
        <v>150940.2836</v>
      </c>
      <c r="M281" s="225">
        <v>0</v>
      </c>
      <c r="N281" s="2097">
        <v>68.792000000000002</v>
      </c>
      <c r="O281" s="2158">
        <f t="shared" si="20"/>
        <v>151009.07559999998</v>
      </c>
      <c r="P281" s="2097">
        <v>177</v>
      </c>
      <c r="Q281" s="2097">
        <v>48678.181899999996</v>
      </c>
      <c r="R281" s="2097">
        <v>17308.718399999998</v>
      </c>
      <c r="S281" s="2097">
        <v>0</v>
      </c>
      <c r="T281" s="1313">
        <v>0</v>
      </c>
      <c r="U281" s="225">
        <v>18008</v>
      </c>
      <c r="V281" s="206">
        <f t="shared" si="21"/>
        <v>84171.900299999994</v>
      </c>
    </row>
    <row r="282" spans="1:22">
      <c r="A282" s="1340">
        <f t="shared" si="18"/>
        <v>2016.09</v>
      </c>
      <c r="B282" s="260">
        <v>166</v>
      </c>
      <c r="C282" s="2097">
        <v>79</v>
      </c>
      <c r="D282" s="2097">
        <v>4367.5</v>
      </c>
      <c r="E282" s="2097">
        <v>340.99199999999996</v>
      </c>
      <c r="F282" s="260">
        <v>72</v>
      </c>
      <c r="G282" s="3034">
        <v>0</v>
      </c>
      <c r="H282" s="196">
        <f t="shared" si="22"/>
        <v>72</v>
      </c>
      <c r="I282" s="260">
        <v>26060.548000000003</v>
      </c>
      <c r="J282" s="1870">
        <v>0</v>
      </c>
      <c r="K282" s="263">
        <f t="shared" si="23"/>
        <v>26060.548000000003</v>
      </c>
      <c r="L282" s="1313">
        <v>119877.5297</v>
      </c>
      <c r="M282" s="225">
        <v>0</v>
      </c>
      <c r="N282" s="2097">
        <v>181.86699999999999</v>
      </c>
      <c r="O282" s="2158">
        <f t="shared" si="20"/>
        <v>120059.3967</v>
      </c>
      <c r="P282" s="2097">
        <v>437</v>
      </c>
      <c r="Q282" s="2097">
        <v>41693.867899999997</v>
      </c>
      <c r="R282" s="2097">
        <v>16775.102699999999</v>
      </c>
      <c r="S282" s="2097">
        <v>0</v>
      </c>
      <c r="T282" s="1313">
        <v>0</v>
      </c>
      <c r="U282" s="225">
        <v>18652.599999999999</v>
      </c>
      <c r="V282" s="206">
        <f t="shared" si="21"/>
        <v>77558.570600000006</v>
      </c>
    </row>
    <row r="283" spans="1:22">
      <c r="A283" s="1340">
        <f t="shared" si="18"/>
        <v>2016.1</v>
      </c>
      <c r="B283" s="260">
        <v>176</v>
      </c>
      <c r="C283" s="2097">
        <v>112</v>
      </c>
      <c r="D283" s="2097">
        <v>4429.96</v>
      </c>
      <c r="E283" s="2097">
        <v>388.911</v>
      </c>
      <c r="F283" s="260">
        <v>144</v>
      </c>
      <c r="G283" s="3034">
        <v>0</v>
      </c>
      <c r="H283" s="196">
        <f t="shared" si="22"/>
        <v>144</v>
      </c>
      <c r="I283" s="260">
        <v>8014.7070000000003</v>
      </c>
      <c r="J283" s="1870">
        <v>0</v>
      </c>
      <c r="K283" s="263">
        <f t="shared" si="23"/>
        <v>8014.7070000000003</v>
      </c>
      <c r="L283" s="1313">
        <v>114737.511</v>
      </c>
      <c r="M283" s="225">
        <v>0</v>
      </c>
      <c r="N283" s="2097">
        <v>0</v>
      </c>
      <c r="O283" s="2158">
        <f t="shared" si="20"/>
        <v>114737.511</v>
      </c>
      <c r="P283" s="2097">
        <v>384</v>
      </c>
      <c r="Q283" s="2097">
        <v>44955.171900000001</v>
      </c>
      <c r="R283" s="2097">
        <v>17846.896499999999</v>
      </c>
      <c r="S283" s="2097">
        <v>0</v>
      </c>
      <c r="T283" s="1313">
        <v>0</v>
      </c>
      <c r="U283" s="225">
        <v>18319.5</v>
      </c>
      <c r="V283" s="206">
        <f t="shared" si="21"/>
        <v>81505.568400000004</v>
      </c>
    </row>
    <row r="284" spans="1:22">
      <c r="A284" s="1340">
        <f t="shared" si="18"/>
        <v>2016.11</v>
      </c>
      <c r="B284" s="260">
        <v>200</v>
      </c>
      <c r="C284" s="2097">
        <v>102</v>
      </c>
      <c r="D284" s="2097">
        <v>5480.9400000000005</v>
      </c>
      <c r="E284" s="2097">
        <v>333.41499999999996</v>
      </c>
      <c r="F284" s="260">
        <v>72</v>
      </c>
      <c r="G284" s="3034">
        <v>0</v>
      </c>
      <c r="H284" s="196">
        <f t="shared" si="22"/>
        <v>72</v>
      </c>
      <c r="I284" s="260">
        <v>9504.6790000000001</v>
      </c>
      <c r="J284" s="1870">
        <v>0</v>
      </c>
      <c r="K284" s="263">
        <f t="shared" si="23"/>
        <v>9504.6790000000001</v>
      </c>
      <c r="L284" s="1313">
        <v>128352.8167</v>
      </c>
      <c r="M284" s="225">
        <v>0</v>
      </c>
      <c r="N284" s="2097">
        <v>0</v>
      </c>
      <c r="O284" s="2158">
        <f t="shared" si="20"/>
        <v>128352.8167</v>
      </c>
      <c r="P284" s="2097">
        <v>562</v>
      </c>
      <c r="Q284" s="2097">
        <v>43971.887799999997</v>
      </c>
      <c r="R284" s="2097">
        <v>17923.114399999999</v>
      </c>
      <c r="S284" s="2097">
        <v>0</v>
      </c>
      <c r="T284" s="1313">
        <v>0</v>
      </c>
      <c r="U284" s="225">
        <v>18018.29</v>
      </c>
      <c r="V284" s="206">
        <f t="shared" si="21"/>
        <v>80475.292199999996</v>
      </c>
    </row>
    <row r="285" spans="1:22">
      <c r="A285" s="1340">
        <f t="shared" si="18"/>
        <v>2016.12</v>
      </c>
      <c r="B285" s="260">
        <v>259</v>
      </c>
      <c r="C285" s="2097">
        <v>93</v>
      </c>
      <c r="D285" s="2097">
        <v>3720.44</v>
      </c>
      <c r="E285" s="2097">
        <v>351.87099999999998</v>
      </c>
      <c r="F285" s="260">
        <v>36</v>
      </c>
      <c r="G285" s="3034">
        <v>0</v>
      </c>
      <c r="H285" s="196">
        <f t="shared" si="22"/>
        <v>36</v>
      </c>
      <c r="I285" s="260">
        <v>17345.403000000002</v>
      </c>
      <c r="J285" s="1870">
        <v>0</v>
      </c>
      <c r="K285" s="263">
        <f t="shared" si="23"/>
        <v>17345.403000000002</v>
      </c>
      <c r="L285" s="1313">
        <v>127957.9838</v>
      </c>
      <c r="M285" s="225">
        <v>0</v>
      </c>
      <c r="N285" s="2097">
        <v>0</v>
      </c>
      <c r="O285" s="2158">
        <f t="shared" si="20"/>
        <v>127957.9838</v>
      </c>
      <c r="P285" s="2097">
        <v>520</v>
      </c>
      <c r="Q285" s="2097">
        <v>49134.998099999997</v>
      </c>
      <c r="R285" s="2097">
        <v>21219.408500000001</v>
      </c>
      <c r="S285" s="2097">
        <v>0</v>
      </c>
      <c r="T285" s="1313">
        <v>0</v>
      </c>
      <c r="U285" s="225">
        <v>19234.12</v>
      </c>
      <c r="V285" s="206">
        <f t="shared" si="21"/>
        <v>90108.526599999997</v>
      </c>
    </row>
    <row r="286" spans="1:22">
      <c r="A286" s="1340">
        <f t="shared" si="18"/>
        <v>2017.01</v>
      </c>
      <c r="B286" s="260">
        <v>233</v>
      </c>
      <c r="C286" s="2097">
        <v>209</v>
      </c>
      <c r="D286" s="2097">
        <v>3755.2799999999997</v>
      </c>
      <c r="E286" s="2097">
        <v>362.70400000000001</v>
      </c>
      <c r="F286" s="260">
        <v>143</v>
      </c>
      <c r="G286" s="3034">
        <v>0</v>
      </c>
      <c r="H286" s="196">
        <f t="shared" ref="H286:H333" si="24">F286+G286</f>
        <v>143</v>
      </c>
      <c r="I286" s="260">
        <v>11170.666999999999</v>
      </c>
      <c r="J286" s="1870">
        <v>0</v>
      </c>
      <c r="K286" s="263">
        <f t="shared" ref="K286:K333" si="25">I286+J286</f>
        <v>11170.666999999999</v>
      </c>
      <c r="L286" s="1313">
        <v>106860.76329999999</v>
      </c>
      <c r="M286" s="225">
        <v>0</v>
      </c>
      <c r="N286" s="2097">
        <v>0</v>
      </c>
      <c r="O286" s="2158">
        <f t="shared" si="20"/>
        <v>106860.76329999999</v>
      </c>
      <c r="P286" s="2097">
        <v>403</v>
      </c>
      <c r="Q286" s="2097">
        <v>45725.525200000004</v>
      </c>
      <c r="R286" s="2097">
        <v>18709.943800000001</v>
      </c>
      <c r="S286" s="2097">
        <v>0</v>
      </c>
      <c r="T286" s="1313">
        <v>0</v>
      </c>
      <c r="U286" s="225">
        <v>20263.66</v>
      </c>
      <c r="V286" s="206">
        <f t="shared" si="21"/>
        <v>85102.129000000001</v>
      </c>
    </row>
    <row r="287" spans="1:22">
      <c r="A287" s="1340">
        <f t="shared" si="18"/>
        <v>2017.02</v>
      </c>
      <c r="B287" s="260">
        <v>203</v>
      </c>
      <c r="C287" s="2097">
        <v>119</v>
      </c>
      <c r="D287" s="2097">
        <v>4200.6400000000003</v>
      </c>
      <c r="E287" s="2097">
        <v>238.57599999999999</v>
      </c>
      <c r="F287" s="260">
        <v>105</v>
      </c>
      <c r="G287" s="3034">
        <v>0</v>
      </c>
      <c r="H287" s="196">
        <f t="shared" si="24"/>
        <v>105</v>
      </c>
      <c r="I287" s="260">
        <v>7709.6760000000004</v>
      </c>
      <c r="J287" s="1870">
        <v>0</v>
      </c>
      <c r="K287" s="263">
        <f t="shared" si="25"/>
        <v>7709.6760000000004</v>
      </c>
      <c r="L287" s="1313">
        <v>95684.027399999992</v>
      </c>
      <c r="M287" s="225">
        <v>0</v>
      </c>
      <c r="N287" s="2097">
        <v>33.545000000000002</v>
      </c>
      <c r="O287" s="2158">
        <f t="shared" si="20"/>
        <v>95717.57239999999</v>
      </c>
      <c r="P287" s="2097">
        <v>269</v>
      </c>
      <c r="Q287" s="2097">
        <v>41517.1109</v>
      </c>
      <c r="R287" s="2097">
        <v>17213.8645</v>
      </c>
      <c r="S287" s="2097">
        <v>0</v>
      </c>
      <c r="T287" s="1313">
        <v>0</v>
      </c>
      <c r="U287" s="225">
        <v>16988.57</v>
      </c>
      <c r="V287" s="206">
        <f t="shared" si="21"/>
        <v>75988.545400000003</v>
      </c>
    </row>
    <row r="288" spans="1:22">
      <c r="A288" s="1340">
        <f t="shared" si="18"/>
        <v>2017.03</v>
      </c>
      <c r="B288" s="260">
        <v>220</v>
      </c>
      <c r="C288" s="2097">
        <v>113</v>
      </c>
      <c r="D288" s="2097">
        <v>4843.2199999999993</v>
      </c>
      <c r="E288" s="2097">
        <v>457.73500000000001</v>
      </c>
      <c r="F288" s="260">
        <v>105</v>
      </c>
      <c r="G288" s="3034">
        <v>0</v>
      </c>
      <c r="H288" s="196">
        <f t="shared" si="24"/>
        <v>105</v>
      </c>
      <c r="I288" s="260">
        <v>27021.616000000002</v>
      </c>
      <c r="J288" s="1870">
        <v>0</v>
      </c>
      <c r="K288" s="263">
        <f t="shared" si="25"/>
        <v>27021.616000000002</v>
      </c>
      <c r="L288" s="1313">
        <v>123665.9621</v>
      </c>
      <c r="M288" s="225">
        <v>0</v>
      </c>
      <c r="N288" s="2097">
        <v>0</v>
      </c>
      <c r="O288" s="2158">
        <f t="shared" si="20"/>
        <v>123665.9621</v>
      </c>
      <c r="P288" s="2097">
        <v>98</v>
      </c>
      <c r="Q288" s="2097">
        <v>44425.710299999999</v>
      </c>
      <c r="R288" s="2097">
        <v>19137.841700000001</v>
      </c>
      <c r="S288" s="2097">
        <v>0</v>
      </c>
      <c r="T288" s="1313">
        <v>0</v>
      </c>
      <c r="U288" s="225">
        <v>18115.46</v>
      </c>
      <c r="V288" s="206">
        <f t="shared" si="21"/>
        <v>81777.011999999988</v>
      </c>
    </row>
    <row r="289" spans="1:22">
      <c r="A289" s="1340">
        <f t="shared" si="18"/>
        <v>2017.04</v>
      </c>
      <c r="B289" s="260">
        <v>131</v>
      </c>
      <c r="C289" s="2097">
        <v>81</v>
      </c>
      <c r="D289" s="2097">
        <v>3976.7200000000003</v>
      </c>
      <c r="E289" s="2097">
        <v>421.358</v>
      </c>
      <c r="F289" s="260">
        <v>216</v>
      </c>
      <c r="G289" s="3034">
        <v>0</v>
      </c>
      <c r="H289" s="196">
        <f t="shared" si="24"/>
        <v>216</v>
      </c>
      <c r="I289" s="260">
        <v>12939.789000000001</v>
      </c>
      <c r="J289" s="1870">
        <v>0</v>
      </c>
      <c r="K289" s="263">
        <f t="shared" si="25"/>
        <v>12939.789000000001</v>
      </c>
      <c r="L289" s="1313">
        <v>116614.5422</v>
      </c>
      <c r="M289" s="225">
        <v>0</v>
      </c>
      <c r="N289" s="2097">
        <v>33.911000000000001</v>
      </c>
      <c r="O289" s="2158">
        <f t="shared" si="20"/>
        <v>116648.45319999999</v>
      </c>
      <c r="P289" s="2097">
        <v>0</v>
      </c>
      <c r="Q289" s="2097">
        <v>42585.003899999996</v>
      </c>
      <c r="R289" s="2097">
        <v>18594.341700000001</v>
      </c>
      <c r="S289" s="2097">
        <v>0</v>
      </c>
      <c r="T289" s="1313">
        <v>0</v>
      </c>
      <c r="U289" s="225">
        <v>17260.75</v>
      </c>
      <c r="V289" s="206">
        <f t="shared" si="21"/>
        <v>78440.095600000001</v>
      </c>
    </row>
    <row r="290" spans="1:22">
      <c r="A290" s="1340">
        <f t="shared" si="18"/>
        <v>2017.05</v>
      </c>
      <c r="B290" s="260">
        <v>150</v>
      </c>
      <c r="C290" s="2097">
        <v>50</v>
      </c>
      <c r="D290" s="2097">
        <v>3534.36</v>
      </c>
      <c r="E290" s="2097">
        <v>504.33699999999999</v>
      </c>
      <c r="F290" s="260">
        <v>72</v>
      </c>
      <c r="G290" s="3034">
        <v>0</v>
      </c>
      <c r="H290" s="196">
        <f t="shared" si="24"/>
        <v>72</v>
      </c>
      <c r="I290" s="260">
        <v>12864.626</v>
      </c>
      <c r="J290" s="1870">
        <v>0</v>
      </c>
      <c r="K290" s="263">
        <f t="shared" si="25"/>
        <v>12864.626</v>
      </c>
      <c r="L290" s="1313">
        <v>132638.36629999999</v>
      </c>
      <c r="M290" s="225">
        <v>0</v>
      </c>
      <c r="N290" s="2097">
        <v>32.896999999999998</v>
      </c>
      <c r="O290" s="2158">
        <f t="shared" si="20"/>
        <v>132671.26329999999</v>
      </c>
      <c r="P290" s="2097">
        <v>67</v>
      </c>
      <c r="Q290" s="2097">
        <v>43960.573400000001</v>
      </c>
      <c r="R290" s="2097">
        <v>19010.530299999999</v>
      </c>
      <c r="S290" s="2097">
        <v>0</v>
      </c>
      <c r="T290" s="1313">
        <v>0</v>
      </c>
      <c r="U290" s="225">
        <v>21897.56</v>
      </c>
      <c r="V290" s="206">
        <f t="shared" si="21"/>
        <v>84935.663700000005</v>
      </c>
    </row>
    <row r="291" spans="1:22">
      <c r="A291" s="1340">
        <f t="shared" si="18"/>
        <v>2017.06</v>
      </c>
      <c r="B291" s="260">
        <v>129</v>
      </c>
      <c r="C291" s="2097">
        <v>51</v>
      </c>
      <c r="D291" s="2097">
        <v>3752.9</v>
      </c>
      <c r="E291" s="2097">
        <v>346.00599999999997</v>
      </c>
      <c r="F291" s="260">
        <v>35</v>
      </c>
      <c r="G291" s="3034">
        <v>0</v>
      </c>
      <c r="H291" s="196">
        <f t="shared" si="24"/>
        <v>35</v>
      </c>
      <c r="I291" s="260">
        <v>11314.119000000001</v>
      </c>
      <c r="J291" s="1870">
        <v>0</v>
      </c>
      <c r="K291" s="263">
        <f t="shared" si="25"/>
        <v>11314.119000000001</v>
      </c>
      <c r="L291" s="1313">
        <v>169020.549</v>
      </c>
      <c r="M291" s="225">
        <v>0</v>
      </c>
      <c r="N291" s="2097">
        <v>0</v>
      </c>
      <c r="O291" s="2158">
        <f t="shared" si="20"/>
        <v>169020.549</v>
      </c>
      <c r="P291" s="2097">
        <v>0</v>
      </c>
      <c r="Q291" s="2097">
        <v>61723.681000000004</v>
      </c>
      <c r="R291" s="2097">
        <v>23113.506099999999</v>
      </c>
      <c r="S291" s="2097">
        <v>0</v>
      </c>
      <c r="T291" s="1313">
        <v>0</v>
      </c>
      <c r="U291" s="225">
        <v>16627.25</v>
      </c>
      <c r="V291" s="206">
        <f t="shared" si="21"/>
        <v>101464.43710000001</v>
      </c>
    </row>
    <row r="292" spans="1:22">
      <c r="A292" s="1340">
        <f t="shared" si="18"/>
        <v>2017.07</v>
      </c>
      <c r="B292" s="260">
        <v>134</v>
      </c>
      <c r="C292" s="2097">
        <v>56</v>
      </c>
      <c r="D292" s="2097">
        <v>4337.58</v>
      </c>
      <c r="E292" s="2097">
        <v>504.59800000000001</v>
      </c>
      <c r="F292" s="260">
        <v>36</v>
      </c>
      <c r="G292" s="3034">
        <v>0</v>
      </c>
      <c r="H292" s="196">
        <f t="shared" si="24"/>
        <v>36</v>
      </c>
      <c r="I292" s="260">
        <v>20357.14</v>
      </c>
      <c r="J292" s="1870">
        <v>0</v>
      </c>
      <c r="K292" s="263">
        <f t="shared" si="25"/>
        <v>20357.14</v>
      </c>
      <c r="L292" s="1313">
        <v>127025.8058</v>
      </c>
      <c r="M292" s="225">
        <v>0</v>
      </c>
      <c r="N292" s="2097">
        <v>537.01599999999996</v>
      </c>
      <c r="O292" s="2158">
        <f t="shared" si="20"/>
        <v>127562.82180000001</v>
      </c>
      <c r="P292" s="2097">
        <v>166</v>
      </c>
      <c r="Q292" s="2097">
        <v>46019.179199999999</v>
      </c>
      <c r="R292" s="2097">
        <v>20567.797599999998</v>
      </c>
      <c r="S292" s="2097">
        <v>0</v>
      </c>
      <c r="T292" s="1313">
        <v>0</v>
      </c>
      <c r="U292" s="225">
        <v>22903.25</v>
      </c>
      <c r="V292" s="206">
        <f t="shared" si="21"/>
        <v>89656.226800000004</v>
      </c>
    </row>
    <row r="293" spans="1:22">
      <c r="A293" s="1340">
        <f t="shared" si="18"/>
        <v>2017.08</v>
      </c>
      <c r="B293" s="260">
        <v>169</v>
      </c>
      <c r="C293" s="2097">
        <v>70</v>
      </c>
      <c r="D293" s="2097">
        <v>5588.34</v>
      </c>
      <c r="E293" s="2097">
        <v>412.44</v>
      </c>
      <c r="F293" s="260">
        <v>70</v>
      </c>
      <c r="G293" s="3034">
        <v>0</v>
      </c>
      <c r="H293" s="196">
        <f t="shared" si="24"/>
        <v>70</v>
      </c>
      <c r="I293" s="260">
        <v>7898.2060000000001</v>
      </c>
      <c r="J293" s="1870">
        <v>0</v>
      </c>
      <c r="K293" s="263">
        <f t="shared" si="25"/>
        <v>7898.2060000000001</v>
      </c>
      <c r="L293" s="1313">
        <v>134126.00839999999</v>
      </c>
      <c r="M293" s="225">
        <v>0</v>
      </c>
      <c r="N293" s="2097">
        <v>579.178</v>
      </c>
      <c r="O293" s="2158">
        <f t="shared" si="20"/>
        <v>134705.18640000001</v>
      </c>
      <c r="P293" s="2097">
        <v>132</v>
      </c>
      <c r="Q293" s="2097">
        <v>47437.535399999993</v>
      </c>
      <c r="R293" s="2097">
        <v>21083.7588</v>
      </c>
      <c r="S293" s="2097">
        <v>0</v>
      </c>
      <c r="T293" s="1313">
        <v>0</v>
      </c>
      <c r="U293" s="225">
        <v>19478.830000000002</v>
      </c>
      <c r="V293" s="206">
        <f t="shared" si="21"/>
        <v>88132.124199999991</v>
      </c>
    </row>
    <row r="294" spans="1:22">
      <c r="A294" s="1340">
        <f t="shared" si="18"/>
        <v>2017.09</v>
      </c>
      <c r="B294" s="260">
        <v>172</v>
      </c>
      <c r="C294" s="2097">
        <v>81</v>
      </c>
      <c r="D294" s="2097">
        <v>5217.08</v>
      </c>
      <c r="E294" s="2097">
        <v>271.95400000000001</v>
      </c>
      <c r="F294" s="260">
        <v>108</v>
      </c>
      <c r="G294" s="3034">
        <v>0</v>
      </c>
      <c r="H294" s="196">
        <f t="shared" si="24"/>
        <v>108</v>
      </c>
      <c r="I294" s="260">
        <v>1160.3130000000001</v>
      </c>
      <c r="J294" s="1870">
        <v>0</v>
      </c>
      <c r="K294" s="263">
        <f t="shared" si="25"/>
        <v>1160.3130000000001</v>
      </c>
      <c r="L294" s="1313">
        <v>123083.00930000001</v>
      </c>
      <c r="M294" s="225">
        <v>0</v>
      </c>
      <c r="N294" s="2097">
        <v>96.426000000000002</v>
      </c>
      <c r="O294" s="2158">
        <f t="shared" si="20"/>
        <v>123179.43530000001</v>
      </c>
      <c r="P294" s="2097">
        <v>69</v>
      </c>
      <c r="Q294" s="2097">
        <v>45771.133699999998</v>
      </c>
      <c r="R294" s="2097">
        <v>20918.5527</v>
      </c>
      <c r="S294" s="2097">
        <v>0</v>
      </c>
      <c r="T294" s="1313">
        <v>0</v>
      </c>
      <c r="U294" s="225">
        <v>25074.63</v>
      </c>
      <c r="V294" s="206">
        <f t="shared" si="21"/>
        <v>91833.316400000011</v>
      </c>
    </row>
    <row r="295" spans="1:22">
      <c r="A295" s="1340">
        <f t="shared" si="18"/>
        <v>2017.1</v>
      </c>
      <c r="B295" s="260">
        <v>254</v>
      </c>
      <c r="C295" s="2097">
        <v>120</v>
      </c>
      <c r="D295" s="2097">
        <v>5199.2199999999993</v>
      </c>
      <c r="E295" s="2097">
        <v>273.10699999999997</v>
      </c>
      <c r="F295" s="260">
        <v>105</v>
      </c>
      <c r="G295" s="3034">
        <v>0</v>
      </c>
      <c r="H295" s="196">
        <f t="shared" si="24"/>
        <v>105</v>
      </c>
      <c r="I295" s="260">
        <v>0</v>
      </c>
      <c r="J295" s="1870">
        <v>0</v>
      </c>
      <c r="K295" s="263">
        <v>0</v>
      </c>
      <c r="L295" s="1313">
        <v>124318.4587</v>
      </c>
      <c r="M295" s="225">
        <v>0</v>
      </c>
      <c r="N295" s="2097">
        <v>89.471000000000004</v>
      </c>
      <c r="O295" s="2158">
        <f t="shared" si="20"/>
        <v>124407.92970000001</v>
      </c>
      <c r="P295" s="2097">
        <v>83</v>
      </c>
      <c r="Q295" s="2097">
        <v>46618.670400000003</v>
      </c>
      <c r="R295" s="2097">
        <v>22066.5121</v>
      </c>
      <c r="S295" s="2097">
        <v>0</v>
      </c>
      <c r="T295" s="1313">
        <v>0</v>
      </c>
      <c r="U295" s="225">
        <v>11960.08</v>
      </c>
      <c r="V295" s="206">
        <f t="shared" si="21"/>
        <v>80728.262499999997</v>
      </c>
    </row>
    <row r="296" spans="1:22">
      <c r="A296" s="1340">
        <f t="shared" si="18"/>
        <v>2017.11</v>
      </c>
      <c r="B296" s="260">
        <f>0+2031</f>
        <v>2031</v>
      </c>
      <c r="C296" s="2097">
        <v>90</v>
      </c>
      <c r="D296" s="2097">
        <v>6008.78</v>
      </c>
      <c r="E296" s="2097">
        <v>81</v>
      </c>
      <c r="F296" s="260">
        <v>0</v>
      </c>
      <c r="G296" s="3034">
        <v>0</v>
      </c>
      <c r="H296" s="196">
        <f t="shared" si="24"/>
        <v>0</v>
      </c>
      <c r="I296" s="260">
        <v>0</v>
      </c>
      <c r="J296" s="1870">
        <v>0</v>
      </c>
      <c r="K296" s="263">
        <f t="shared" si="25"/>
        <v>0</v>
      </c>
      <c r="L296" s="1313">
        <f>109555.9682+26374.5934</f>
        <v>135930.56160000002</v>
      </c>
      <c r="M296" s="225">
        <v>0</v>
      </c>
      <c r="N296" s="2097">
        <v>59.665999999999997</v>
      </c>
      <c r="O296" s="2158">
        <f t="shared" si="20"/>
        <v>135990.22760000001</v>
      </c>
      <c r="P296" s="2097">
        <v>414</v>
      </c>
      <c r="Q296" s="2097">
        <v>47100.704400000002</v>
      </c>
      <c r="R296" s="2097">
        <v>21032.6826</v>
      </c>
      <c r="S296" s="2097">
        <v>0</v>
      </c>
      <c r="T296" s="1313">
        <v>0</v>
      </c>
      <c r="U296" s="225">
        <v>16428.61</v>
      </c>
      <c r="V296" s="206">
        <f t="shared" si="21"/>
        <v>84975.997000000003</v>
      </c>
    </row>
    <row r="297" spans="1:22">
      <c r="A297" s="1340">
        <f t="shared" si="18"/>
        <v>2017.12</v>
      </c>
      <c r="B297" s="260">
        <v>2272</v>
      </c>
      <c r="C297" s="2097">
        <v>139</v>
      </c>
      <c r="D297" s="2097">
        <v>4271.2300000000005</v>
      </c>
      <c r="E297" s="2097">
        <v>375.55700000000002</v>
      </c>
      <c r="F297" s="260">
        <v>0</v>
      </c>
      <c r="G297" s="3034">
        <v>0</v>
      </c>
      <c r="H297" s="196">
        <f t="shared" si="24"/>
        <v>0</v>
      </c>
      <c r="I297" s="260">
        <v>577.48</v>
      </c>
      <c r="J297" s="1870">
        <v>0</v>
      </c>
      <c r="K297" s="263">
        <f t="shared" si="25"/>
        <v>577.48</v>
      </c>
      <c r="L297" s="1313">
        <v>125889.1759</v>
      </c>
      <c r="M297" s="225">
        <v>0</v>
      </c>
      <c r="N297" s="2097">
        <v>49.423999999999999</v>
      </c>
      <c r="O297" s="2158">
        <f t="shared" si="20"/>
        <v>125938.5999</v>
      </c>
      <c r="P297" s="2097">
        <v>285</v>
      </c>
      <c r="Q297" s="2097">
        <v>50836.3315</v>
      </c>
      <c r="R297" s="2097">
        <v>22771.734699999997</v>
      </c>
      <c r="S297" s="2097">
        <v>0</v>
      </c>
      <c r="T297" s="1313">
        <v>0</v>
      </c>
      <c r="U297" s="225">
        <v>12320.831</v>
      </c>
      <c r="V297" s="206">
        <f t="shared" si="21"/>
        <v>86213.897200000007</v>
      </c>
    </row>
    <row r="298" spans="1:22">
      <c r="A298" s="1340">
        <f t="shared" si="18"/>
        <v>2018.01</v>
      </c>
      <c r="B298" s="260">
        <v>2916</v>
      </c>
      <c r="C298" s="2097">
        <v>161</v>
      </c>
      <c r="D298" s="2097">
        <v>3712.92</v>
      </c>
      <c r="E298" s="2097">
        <v>246.78899999999999</v>
      </c>
      <c r="F298" s="260">
        <v>0</v>
      </c>
      <c r="G298" s="3034">
        <v>0</v>
      </c>
      <c r="H298" s="196">
        <f t="shared" si="24"/>
        <v>0</v>
      </c>
      <c r="I298" s="260">
        <v>778.14400000000001</v>
      </c>
      <c r="J298" s="1870">
        <v>0</v>
      </c>
      <c r="K298" s="263">
        <f t="shared" si="25"/>
        <v>778.14400000000001</v>
      </c>
      <c r="L298" s="1313">
        <v>115144.3989</v>
      </c>
      <c r="M298" s="225">
        <v>0</v>
      </c>
      <c r="N298" s="2097">
        <v>0</v>
      </c>
      <c r="O298" s="2158">
        <f t="shared" si="20"/>
        <v>115144.3989</v>
      </c>
      <c r="P298" s="2097">
        <v>237</v>
      </c>
      <c r="Q298" s="2097">
        <v>46390.646999999997</v>
      </c>
      <c r="R298" s="2097">
        <v>21065.332699999999</v>
      </c>
      <c r="S298" s="2097">
        <v>0</v>
      </c>
      <c r="T298" s="1313">
        <v>0</v>
      </c>
      <c r="U298" s="225">
        <v>15382.562</v>
      </c>
      <c r="V298" s="206">
        <f t="shared" si="21"/>
        <v>83075.541700000002</v>
      </c>
    </row>
    <row r="299" spans="1:22">
      <c r="A299" s="1340">
        <f t="shared" si="18"/>
        <v>2018.02</v>
      </c>
      <c r="B299" s="260">
        <v>2628</v>
      </c>
      <c r="C299" s="2097">
        <v>139</v>
      </c>
      <c r="D299" s="2097">
        <v>4672.38</v>
      </c>
      <c r="E299" s="2097">
        <v>296.31399999999996</v>
      </c>
      <c r="F299" s="260">
        <v>0</v>
      </c>
      <c r="G299" s="3034">
        <v>0</v>
      </c>
      <c r="H299" s="196">
        <f t="shared" si="24"/>
        <v>0</v>
      </c>
      <c r="I299" s="260">
        <v>630.48800000000006</v>
      </c>
      <c r="J299" s="1870">
        <v>0</v>
      </c>
      <c r="K299" s="263">
        <f t="shared" si="25"/>
        <v>630.48800000000006</v>
      </c>
      <c r="L299" s="1313">
        <v>95699.698099999994</v>
      </c>
      <c r="M299" s="225">
        <v>0</v>
      </c>
      <c r="N299" s="2097">
        <v>0</v>
      </c>
      <c r="O299" s="2158">
        <f t="shared" si="20"/>
        <v>95699.698099999994</v>
      </c>
      <c r="P299" s="2097">
        <v>363</v>
      </c>
      <c r="Q299" s="2097">
        <v>42631.658200000005</v>
      </c>
      <c r="R299" s="2097">
        <v>18997.856800000001</v>
      </c>
      <c r="S299" s="2097">
        <v>0</v>
      </c>
      <c r="T299" s="1313">
        <v>0</v>
      </c>
      <c r="U299" s="225">
        <v>11809.072</v>
      </c>
      <c r="V299" s="206">
        <f t="shared" si="21"/>
        <v>73801.587</v>
      </c>
    </row>
    <row r="300" spans="1:22">
      <c r="A300" s="1340">
        <f t="shared" si="18"/>
        <v>2018.03</v>
      </c>
      <c r="B300" s="260">
        <v>2498</v>
      </c>
      <c r="C300" s="2097">
        <v>88</v>
      </c>
      <c r="D300" s="2097">
        <v>4485.32</v>
      </c>
      <c r="E300" s="2097">
        <v>201.38800000000001</v>
      </c>
      <c r="F300" s="260">
        <v>0</v>
      </c>
      <c r="G300" s="3034">
        <v>0</v>
      </c>
      <c r="H300" s="196">
        <f t="shared" si="24"/>
        <v>0</v>
      </c>
      <c r="I300" s="260">
        <v>608.22</v>
      </c>
      <c r="J300" s="1870">
        <v>0</v>
      </c>
      <c r="K300" s="263">
        <f t="shared" si="25"/>
        <v>608.22</v>
      </c>
      <c r="L300" s="1313">
        <v>136061.32740000001</v>
      </c>
      <c r="M300" s="225">
        <v>0</v>
      </c>
      <c r="N300" s="2097">
        <v>0</v>
      </c>
      <c r="O300" s="2158">
        <f t="shared" si="20"/>
        <v>136061.32740000001</v>
      </c>
      <c r="P300" s="2097">
        <v>444</v>
      </c>
      <c r="Q300" s="2097">
        <v>47878.616000000002</v>
      </c>
      <c r="R300" s="2097">
        <v>21111.2215</v>
      </c>
      <c r="S300" s="2097">
        <v>0</v>
      </c>
      <c r="T300" s="1313">
        <v>0</v>
      </c>
      <c r="U300" s="225">
        <v>0</v>
      </c>
      <c r="V300" s="206">
        <f t="shared" si="21"/>
        <v>69433.837499999994</v>
      </c>
    </row>
    <row r="301" spans="1:22">
      <c r="A301" s="1340">
        <f t="shared" si="18"/>
        <v>2018.04</v>
      </c>
      <c r="B301" s="260">
        <v>2293</v>
      </c>
      <c r="C301" s="2097">
        <v>59</v>
      </c>
      <c r="D301" s="2097">
        <v>5555.42</v>
      </c>
      <c r="E301" s="2097">
        <v>304.82600000000002</v>
      </c>
      <c r="F301" s="260">
        <v>0</v>
      </c>
      <c r="G301" s="3034">
        <v>0</v>
      </c>
      <c r="H301" s="196">
        <f t="shared" si="24"/>
        <v>0</v>
      </c>
      <c r="I301" s="260">
        <v>391.83</v>
      </c>
      <c r="J301" s="1870">
        <v>0</v>
      </c>
      <c r="K301" s="263">
        <f t="shared" si="25"/>
        <v>391.83</v>
      </c>
      <c r="L301" s="1313">
        <v>131738.59299999999</v>
      </c>
      <c r="M301" s="225">
        <v>0</v>
      </c>
      <c r="N301" s="2097">
        <v>0</v>
      </c>
      <c r="O301" s="2158">
        <f t="shared" si="20"/>
        <v>131738.59299999999</v>
      </c>
      <c r="P301" s="2097">
        <v>483</v>
      </c>
      <c r="Q301" s="2097">
        <v>45850.663</v>
      </c>
      <c r="R301" s="2097">
        <v>19357.578000000001</v>
      </c>
      <c r="S301" s="2097">
        <v>0</v>
      </c>
      <c r="T301" s="1313">
        <v>0</v>
      </c>
      <c r="U301" s="225">
        <v>140</v>
      </c>
      <c r="V301" s="206">
        <f t="shared" si="21"/>
        <v>65831.241000000009</v>
      </c>
    </row>
    <row r="302" spans="1:22">
      <c r="A302" s="1340">
        <f t="shared" si="18"/>
        <v>2018.05</v>
      </c>
      <c r="B302" s="260">
        <v>2381</v>
      </c>
      <c r="C302" s="2097">
        <v>51</v>
      </c>
      <c r="D302" s="2097">
        <v>3922.66</v>
      </c>
      <c r="E302" s="2097">
        <v>349.70600000000002</v>
      </c>
      <c r="F302" s="260">
        <v>0</v>
      </c>
      <c r="G302" s="3034">
        <v>0</v>
      </c>
      <c r="H302" s="196">
        <f t="shared" si="24"/>
        <v>0</v>
      </c>
      <c r="I302" s="260">
        <v>314</v>
      </c>
      <c r="J302" s="1870">
        <v>0</v>
      </c>
      <c r="K302" s="263">
        <f t="shared" si="25"/>
        <v>314</v>
      </c>
      <c r="L302" s="1313">
        <v>120264.90000000001</v>
      </c>
      <c r="M302" s="225">
        <v>0</v>
      </c>
      <c r="N302" s="2097">
        <v>0</v>
      </c>
      <c r="O302" s="2158">
        <f t="shared" si="20"/>
        <v>120264.90000000001</v>
      </c>
      <c r="P302" s="2097">
        <v>423</v>
      </c>
      <c r="Q302" s="2097">
        <v>46240.112999999998</v>
      </c>
      <c r="R302" s="2097">
        <v>19789.815999999999</v>
      </c>
      <c r="S302" s="2097">
        <v>0</v>
      </c>
      <c r="T302" s="1313">
        <v>0</v>
      </c>
      <c r="U302" s="225">
        <v>140</v>
      </c>
      <c r="V302" s="206">
        <f t="shared" si="21"/>
        <v>66592.929000000004</v>
      </c>
    </row>
    <row r="303" spans="1:22">
      <c r="A303" s="1340">
        <f t="shared" si="18"/>
        <v>2018.06</v>
      </c>
      <c r="B303" s="260">
        <v>2171</v>
      </c>
      <c r="C303" s="2097">
        <v>92</v>
      </c>
      <c r="D303" s="2097">
        <v>4700.5600000000004</v>
      </c>
      <c r="E303" s="2097">
        <v>511.29</v>
      </c>
      <c r="F303" s="260">
        <v>0</v>
      </c>
      <c r="G303" s="3034">
        <v>0</v>
      </c>
      <c r="H303" s="196">
        <f t="shared" si="24"/>
        <v>0</v>
      </c>
      <c r="I303" s="260">
        <v>388.19</v>
      </c>
      <c r="J303" s="1870">
        <v>0</v>
      </c>
      <c r="K303" s="263">
        <f t="shared" si="25"/>
        <v>388.19</v>
      </c>
      <c r="L303" s="1313">
        <v>126389.277</v>
      </c>
      <c r="M303" s="225">
        <v>1972</v>
      </c>
      <c r="N303" s="2097">
        <v>173.67699999999999</v>
      </c>
      <c r="O303" s="2158">
        <f t="shared" si="20"/>
        <v>128534.954</v>
      </c>
      <c r="P303" s="2097">
        <v>357</v>
      </c>
      <c r="Q303" s="2097">
        <v>43807.545899999997</v>
      </c>
      <c r="R303" s="2097">
        <v>18805.291000000001</v>
      </c>
      <c r="S303" s="2097">
        <v>412</v>
      </c>
      <c r="T303" s="1313">
        <v>0</v>
      </c>
      <c r="U303" s="225">
        <v>9909.5</v>
      </c>
      <c r="V303" s="206">
        <f t="shared" si="21"/>
        <v>73291.336899999995</v>
      </c>
    </row>
    <row r="304" spans="1:22">
      <c r="A304" s="1340">
        <f t="shared" si="18"/>
        <v>2018.07</v>
      </c>
      <c r="B304" s="260">
        <v>2628</v>
      </c>
      <c r="C304" s="2097">
        <v>39</v>
      </c>
      <c r="D304" s="2097">
        <v>3536</v>
      </c>
      <c r="E304" s="2097">
        <v>342.08500000000004</v>
      </c>
      <c r="F304" s="260">
        <v>0</v>
      </c>
      <c r="G304" s="3034">
        <v>0</v>
      </c>
      <c r="H304" s="196">
        <f>F304+G304</f>
        <v>0</v>
      </c>
      <c r="I304" s="260">
        <v>801.85</v>
      </c>
      <c r="J304" s="1870">
        <v>4679.95</v>
      </c>
      <c r="K304" s="263">
        <f>I304+J304</f>
        <v>5481.8</v>
      </c>
      <c r="L304" s="1313">
        <v>118562.802</v>
      </c>
      <c r="M304" s="225">
        <v>0</v>
      </c>
      <c r="N304" s="2097">
        <v>0</v>
      </c>
      <c r="O304" s="2158">
        <f>L304+M304+N304</f>
        <v>118562.802</v>
      </c>
      <c r="P304" s="2097">
        <v>361</v>
      </c>
      <c r="Q304" s="2097">
        <v>48003.635000000002</v>
      </c>
      <c r="R304" s="2097">
        <v>19421.243999999999</v>
      </c>
      <c r="S304" s="2097">
        <v>0</v>
      </c>
      <c r="T304" s="1313">
        <v>12524.91</v>
      </c>
      <c r="U304" s="225">
        <v>0</v>
      </c>
      <c r="V304" s="206">
        <f>SUM(P304:U304)</f>
        <v>80310.789000000004</v>
      </c>
    </row>
    <row r="305" spans="1:22">
      <c r="A305" s="1340">
        <f t="shared" si="18"/>
        <v>2018.08</v>
      </c>
      <c r="B305" s="260">
        <v>2658</v>
      </c>
      <c r="C305" s="2097">
        <v>79</v>
      </c>
      <c r="D305" s="2097">
        <v>5607.4279999999999</v>
      </c>
      <c r="E305" s="2097">
        <v>350.09899999999999</v>
      </c>
      <c r="F305" s="260">
        <v>0</v>
      </c>
      <c r="G305" s="3034">
        <v>0</v>
      </c>
      <c r="H305" s="196">
        <f t="shared" si="24"/>
        <v>0</v>
      </c>
      <c r="I305" s="260">
        <v>365.61</v>
      </c>
      <c r="J305" s="1870">
        <v>22784.478999999999</v>
      </c>
      <c r="K305" s="263">
        <f t="shared" si="25"/>
        <v>23150.089</v>
      </c>
      <c r="L305" s="1313">
        <v>126950.576</v>
      </c>
      <c r="M305" s="225">
        <v>14670.675999999999</v>
      </c>
      <c r="N305" s="2097">
        <v>6.0010000000000003</v>
      </c>
      <c r="O305" s="2158">
        <f t="shared" si="20"/>
        <v>141627.253</v>
      </c>
      <c r="P305" s="2097">
        <v>393</v>
      </c>
      <c r="Q305" s="2097">
        <v>51105.648999999998</v>
      </c>
      <c r="R305" s="2097">
        <v>18640.183000000001</v>
      </c>
      <c r="S305" s="2097">
        <v>0</v>
      </c>
      <c r="T305" s="1313">
        <v>0</v>
      </c>
      <c r="U305" s="225">
        <v>8801.9599999999991</v>
      </c>
      <c r="V305" s="206">
        <f t="shared" si="21"/>
        <v>78940.791999999987</v>
      </c>
    </row>
    <row r="306" spans="1:22">
      <c r="A306" s="1340">
        <f t="shared" si="18"/>
        <v>2018.09</v>
      </c>
      <c r="B306" s="260">
        <v>185</v>
      </c>
      <c r="C306" s="2097">
        <v>80</v>
      </c>
      <c r="D306" s="2097">
        <v>3371.02</v>
      </c>
      <c r="E306" s="2097">
        <v>141.21</v>
      </c>
      <c r="F306" s="260">
        <v>0</v>
      </c>
      <c r="G306" s="3034">
        <v>0</v>
      </c>
      <c r="H306" s="196">
        <f t="shared" si="24"/>
        <v>0</v>
      </c>
      <c r="I306" s="260">
        <v>494</v>
      </c>
      <c r="J306" s="1870">
        <v>0</v>
      </c>
      <c r="K306" s="263">
        <f t="shared" si="25"/>
        <v>494</v>
      </c>
      <c r="L306" s="1313">
        <v>106344.768</v>
      </c>
      <c r="M306" s="225">
        <v>0</v>
      </c>
      <c r="N306" s="2097">
        <v>0</v>
      </c>
      <c r="O306" s="2158">
        <f t="shared" si="20"/>
        <v>106344.768</v>
      </c>
      <c r="P306" s="2097">
        <v>234</v>
      </c>
      <c r="Q306" s="2097">
        <v>45573.165000000001</v>
      </c>
      <c r="R306" s="2097">
        <v>14826.778</v>
      </c>
      <c r="S306" s="2097">
        <v>0</v>
      </c>
      <c r="T306" s="1313">
        <v>0</v>
      </c>
      <c r="U306" s="225">
        <v>9191.5499999999993</v>
      </c>
      <c r="V306" s="206">
        <f t="shared" si="21"/>
        <v>69825.493000000002</v>
      </c>
    </row>
    <row r="307" spans="1:22">
      <c r="A307" s="1340">
        <f t="shared" ref="A307:A370" si="26">A295+1</f>
        <v>2018.1</v>
      </c>
      <c r="B307" s="260">
        <v>2728</v>
      </c>
      <c r="C307" s="2097">
        <v>87</v>
      </c>
      <c r="D307" s="2097">
        <v>5329.94</v>
      </c>
      <c r="E307" s="2097">
        <v>200.09899999999999</v>
      </c>
      <c r="F307" s="260">
        <v>0</v>
      </c>
      <c r="G307" s="3034">
        <v>0</v>
      </c>
      <c r="H307" s="196">
        <f t="shared" si="24"/>
        <v>0</v>
      </c>
      <c r="I307" s="260">
        <v>382</v>
      </c>
      <c r="J307" s="1870">
        <v>0</v>
      </c>
      <c r="K307" s="263">
        <f t="shared" si="25"/>
        <v>382</v>
      </c>
      <c r="L307" s="1313">
        <v>111630.17300000001</v>
      </c>
      <c r="M307" s="225">
        <v>0</v>
      </c>
      <c r="N307" s="2097">
        <v>0</v>
      </c>
      <c r="O307" s="2158">
        <f t="shared" si="20"/>
        <v>111630.17300000001</v>
      </c>
      <c r="P307" s="2097">
        <v>82</v>
      </c>
      <c r="Q307" s="2097">
        <v>50251.673000000003</v>
      </c>
      <c r="R307" s="2097">
        <v>15615.162</v>
      </c>
      <c r="S307" s="2097">
        <v>0</v>
      </c>
      <c r="T307" s="1313">
        <v>0</v>
      </c>
      <c r="U307" s="225">
        <v>10912.81</v>
      </c>
      <c r="V307" s="206">
        <f t="shared" si="21"/>
        <v>76861.645000000004</v>
      </c>
    </row>
    <row r="308" spans="1:22">
      <c r="A308" s="1340">
        <f t="shared" si="26"/>
        <v>2018.11</v>
      </c>
      <c r="B308" s="260">
        <v>2412</v>
      </c>
      <c r="C308" s="2097">
        <v>144</v>
      </c>
      <c r="D308" s="2097">
        <v>4420.34</v>
      </c>
      <c r="E308" s="2097">
        <v>161.06</v>
      </c>
      <c r="F308" s="260">
        <v>0</v>
      </c>
      <c r="G308" s="3034">
        <v>0</v>
      </c>
      <c r="H308" s="196">
        <f t="shared" si="24"/>
        <v>0</v>
      </c>
      <c r="I308" s="260">
        <v>424.02</v>
      </c>
      <c r="J308" s="1870">
        <v>0</v>
      </c>
      <c r="K308" s="263">
        <f t="shared" si="25"/>
        <v>424.02</v>
      </c>
      <c r="L308" s="1313">
        <v>118943.56</v>
      </c>
      <c r="M308" s="225">
        <v>0</v>
      </c>
      <c r="N308" s="2097">
        <v>75.259</v>
      </c>
      <c r="O308" s="2158">
        <f t="shared" si="20"/>
        <v>119018.819</v>
      </c>
      <c r="P308" s="2097">
        <v>0</v>
      </c>
      <c r="Q308" s="2097">
        <v>48138.847999999998</v>
      </c>
      <c r="R308" s="2097">
        <v>14488.013000000001</v>
      </c>
      <c r="S308" s="2097">
        <v>0</v>
      </c>
      <c r="T308" s="1313">
        <v>7484.87</v>
      </c>
      <c r="U308" s="225">
        <v>0</v>
      </c>
      <c r="V308" s="206">
        <f t="shared" si="21"/>
        <v>70111.731</v>
      </c>
    </row>
    <row r="309" spans="1:22">
      <c r="A309" s="1340">
        <f t="shared" si="26"/>
        <v>2018.12</v>
      </c>
      <c r="B309" s="260">
        <v>2803</v>
      </c>
      <c r="C309" s="2097">
        <v>97</v>
      </c>
      <c r="D309" s="2097">
        <v>3023.66</v>
      </c>
      <c r="E309" s="2097">
        <v>125.62</v>
      </c>
      <c r="F309" s="260">
        <v>0</v>
      </c>
      <c r="G309" s="3034">
        <v>0</v>
      </c>
      <c r="H309" s="196">
        <f t="shared" si="24"/>
        <v>0</v>
      </c>
      <c r="I309" s="260">
        <v>289.06</v>
      </c>
      <c r="J309" s="1870">
        <v>0</v>
      </c>
      <c r="K309" s="263">
        <f t="shared" si="25"/>
        <v>289.06</v>
      </c>
      <c r="L309" s="1313">
        <v>121037.55</v>
      </c>
      <c r="M309" s="225">
        <v>0</v>
      </c>
      <c r="N309" s="2097">
        <v>58.55</v>
      </c>
      <c r="O309" s="2158">
        <f t="shared" si="20"/>
        <v>121096.1</v>
      </c>
      <c r="P309" s="2097">
        <v>0</v>
      </c>
      <c r="Q309" s="2097">
        <v>54068.661</v>
      </c>
      <c r="R309" s="2097">
        <v>17250.996999999999</v>
      </c>
      <c r="S309" s="2097">
        <v>0</v>
      </c>
      <c r="T309" s="1313">
        <v>0</v>
      </c>
      <c r="U309" s="225">
        <v>12694.41</v>
      </c>
      <c r="V309" s="206">
        <f t="shared" si="21"/>
        <v>84014.067999999999</v>
      </c>
    </row>
    <row r="310" spans="1:22">
      <c r="A310" s="1340">
        <f t="shared" si="26"/>
        <v>2019.01</v>
      </c>
      <c r="B310" s="260">
        <v>2939</v>
      </c>
      <c r="C310" s="2097">
        <v>88</v>
      </c>
      <c r="D310" s="2097">
        <v>2964</v>
      </c>
      <c r="E310" s="2097">
        <v>117.86</v>
      </c>
      <c r="F310" s="260">
        <v>0</v>
      </c>
      <c r="G310" s="3034">
        <v>0</v>
      </c>
      <c r="H310" s="196">
        <f t="shared" si="24"/>
        <v>0</v>
      </c>
      <c r="I310" s="260">
        <v>180</v>
      </c>
      <c r="J310" s="1870">
        <v>0</v>
      </c>
      <c r="K310" s="263">
        <f t="shared" si="25"/>
        <v>180</v>
      </c>
      <c r="L310" s="1313">
        <f>75934.46+21297</f>
        <v>97231.46</v>
      </c>
      <c r="M310" s="225">
        <v>0</v>
      </c>
      <c r="N310" s="2097">
        <v>0</v>
      </c>
      <c r="O310" s="2158">
        <f t="shared" si="20"/>
        <v>97231.46</v>
      </c>
      <c r="P310" s="2097">
        <v>0</v>
      </c>
      <c r="Q310" s="2097">
        <v>46116</v>
      </c>
      <c r="R310" s="2097">
        <v>14847</v>
      </c>
      <c r="S310" s="2097">
        <v>0</v>
      </c>
      <c r="T310" s="1313">
        <v>0</v>
      </c>
      <c r="U310" s="225">
        <v>4311.6000000000004</v>
      </c>
      <c r="V310" s="206">
        <f t="shared" si="21"/>
        <v>65274.6</v>
      </c>
    </row>
    <row r="311" spans="1:22">
      <c r="A311" s="1340">
        <f t="shared" si="26"/>
        <v>2019.02</v>
      </c>
      <c r="B311" s="260">
        <v>3157</v>
      </c>
      <c r="C311" s="2097">
        <v>85</v>
      </c>
      <c r="D311" s="2097">
        <v>3314</v>
      </c>
      <c r="E311" s="2097">
        <v>77.67</v>
      </c>
      <c r="F311" s="260">
        <v>0</v>
      </c>
      <c r="G311" s="3034">
        <v>0</v>
      </c>
      <c r="H311" s="196">
        <f t="shared" si="24"/>
        <v>0</v>
      </c>
      <c r="I311" s="260">
        <v>519.22</v>
      </c>
      <c r="J311" s="1870">
        <v>0</v>
      </c>
      <c r="K311" s="263">
        <f t="shared" si="25"/>
        <v>519.22</v>
      </c>
      <c r="L311" s="1313">
        <v>101146.33</v>
      </c>
      <c r="M311" s="225">
        <v>0</v>
      </c>
      <c r="N311" s="2097">
        <v>0</v>
      </c>
      <c r="O311" s="2158">
        <f t="shared" si="20"/>
        <v>101146.33</v>
      </c>
      <c r="P311" s="2097">
        <v>0</v>
      </c>
      <c r="Q311" s="2097">
        <v>43471</v>
      </c>
      <c r="R311" s="2097">
        <v>14512</v>
      </c>
      <c r="S311" s="2097">
        <v>0</v>
      </c>
      <c r="T311" s="1313">
        <v>0</v>
      </c>
      <c r="U311" s="225">
        <v>0</v>
      </c>
      <c r="V311" s="206">
        <f t="shared" si="21"/>
        <v>57983</v>
      </c>
    </row>
    <row r="312" spans="1:22">
      <c r="A312" s="1340">
        <f t="shared" si="26"/>
        <v>2019.03</v>
      </c>
      <c r="B312" s="260">
        <v>2988</v>
      </c>
      <c r="C312" s="2097">
        <v>76</v>
      </c>
      <c r="D312" s="2097">
        <v>5250</v>
      </c>
      <c r="E312" s="2097">
        <v>120.89</v>
      </c>
      <c r="F312" s="260">
        <v>0</v>
      </c>
      <c r="G312" s="3034">
        <v>0</v>
      </c>
      <c r="H312" s="196">
        <f t="shared" si="24"/>
        <v>0</v>
      </c>
      <c r="I312" s="260">
        <v>390.34</v>
      </c>
      <c r="J312" s="1870">
        <v>0</v>
      </c>
      <c r="K312" s="263">
        <f t="shared" si="25"/>
        <v>390.34</v>
      </c>
      <c r="L312" s="1313">
        <v>123106.69</v>
      </c>
      <c r="M312" s="225">
        <v>0</v>
      </c>
      <c r="N312" s="2097">
        <v>0</v>
      </c>
      <c r="O312" s="2158">
        <f t="shared" si="20"/>
        <v>123106.69</v>
      </c>
      <c r="P312" s="2097">
        <v>0</v>
      </c>
      <c r="Q312" s="2097">
        <v>47020</v>
      </c>
      <c r="R312" s="2097">
        <v>15218</v>
      </c>
      <c r="S312" s="2097">
        <v>0</v>
      </c>
      <c r="T312" s="1313">
        <v>0</v>
      </c>
      <c r="U312" s="225">
        <v>2381.77</v>
      </c>
      <c r="V312" s="206">
        <f t="shared" si="21"/>
        <v>64619.77</v>
      </c>
    </row>
    <row r="313" spans="1:22">
      <c r="A313" s="1340">
        <f t="shared" si="26"/>
        <v>2019.04</v>
      </c>
      <c r="B313" s="260">
        <v>2235</v>
      </c>
      <c r="C313" s="2097">
        <v>51</v>
      </c>
      <c r="D313" s="2097">
        <v>4865</v>
      </c>
      <c r="E313" s="2097">
        <v>127.968</v>
      </c>
      <c r="F313" s="260">
        <v>0</v>
      </c>
      <c r="G313" s="3034">
        <v>0</v>
      </c>
      <c r="H313" s="196">
        <f t="shared" si="24"/>
        <v>0</v>
      </c>
      <c r="I313" s="260">
        <v>451.78</v>
      </c>
      <c r="J313" s="1870">
        <v>0</v>
      </c>
      <c r="K313" s="263">
        <f t="shared" si="25"/>
        <v>451.78</v>
      </c>
      <c r="L313" s="1313">
        <v>121833.594</v>
      </c>
      <c r="M313" s="225">
        <v>0</v>
      </c>
      <c r="N313" s="2097">
        <v>0</v>
      </c>
      <c r="O313" s="2158">
        <f t="shared" si="20"/>
        <v>121833.594</v>
      </c>
      <c r="P313" s="2097">
        <v>0</v>
      </c>
      <c r="Q313" s="2097">
        <v>44809</v>
      </c>
      <c r="R313" s="2097">
        <v>14156</v>
      </c>
      <c r="S313" s="2097">
        <v>0</v>
      </c>
      <c r="T313" s="1313">
        <v>0</v>
      </c>
      <c r="U313" s="225">
        <v>16381.14</v>
      </c>
      <c r="V313" s="206">
        <f t="shared" si="21"/>
        <v>75346.14</v>
      </c>
    </row>
    <row r="314" spans="1:22">
      <c r="A314" s="1340">
        <f t="shared" si="26"/>
        <v>2019.05</v>
      </c>
      <c r="B314" s="260">
        <v>2390</v>
      </c>
      <c r="C314" s="2097">
        <v>38</v>
      </c>
      <c r="D314" s="2097">
        <v>3422</v>
      </c>
      <c r="E314" s="2097">
        <v>276.19</v>
      </c>
      <c r="F314" s="260">
        <v>0</v>
      </c>
      <c r="G314" s="3034">
        <v>0</v>
      </c>
      <c r="H314" s="196">
        <f t="shared" si="24"/>
        <v>0</v>
      </c>
      <c r="I314" s="260">
        <v>424.56</v>
      </c>
      <c r="J314" s="1870">
        <v>0</v>
      </c>
      <c r="K314" s="263">
        <f t="shared" si="25"/>
        <v>424.56</v>
      </c>
      <c r="L314" s="1313">
        <v>120719.53</v>
      </c>
      <c r="M314" s="225">
        <v>0</v>
      </c>
      <c r="N314" s="2097">
        <v>0</v>
      </c>
      <c r="O314" s="2158">
        <f t="shared" si="20"/>
        <v>120719.53</v>
      </c>
      <c r="P314" s="2097">
        <v>0</v>
      </c>
      <c r="Q314" s="2097">
        <v>49309.158000000003</v>
      </c>
      <c r="R314" s="2097">
        <v>14815.339</v>
      </c>
      <c r="S314" s="2097">
        <v>0</v>
      </c>
      <c r="T314" s="1313">
        <v>0</v>
      </c>
      <c r="U314" s="225">
        <v>10734.71</v>
      </c>
      <c r="V314" s="206">
        <f t="shared" si="21"/>
        <v>74859.206999999995</v>
      </c>
    </row>
    <row r="315" spans="1:22">
      <c r="A315" s="1340">
        <f t="shared" si="26"/>
        <v>2019.06</v>
      </c>
      <c r="B315" s="260">
        <v>2343</v>
      </c>
      <c r="C315" s="2097">
        <v>25</v>
      </c>
      <c r="D315" s="2097">
        <v>2929</v>
      </c>
      <c r="E315" s="2097">
        <v>272.988</v>
      </c>
      <c r="F315" s="260">
        <v>0</v>
      </c>
      <c r="G315" s="3034">
        <v>0</v>
      </c>
      <c r="H315" s="196">
        <f t="shared" si="24"/>
        <v>0</v>
      </c>
      <c r="I315" s="260">
        <v>466</v>
      </c>
      <c r="J315" s="1870">
        <v>0</v>
      </c>
      <c r="K315" s="263">
        <f t="shared" si="25"/>
        <v>466</v>
      </c>
      <c r="L315" s="1313">
        <v>118588.54</v>
      </c>
      <c r="M315" s="225">
        <v>0</v>
      </c>
      <c r="N315" s="2097">
        <v>0</v>
      </c>
      <c r="O315" s="2158">
        <f t="shared" si="20"/>
        <v>118588.54</v>
      </c>
      <c r="P315" s="2097">
        <v>0</v>
      </c>
      <c r="Q315" s="2097">
        <v>46589.138999999996</v>
      </c>
      <c r="R315" s="2097">
        <v>14594.189</v>
      </c>
      <c r="S315" s="2097">
        <v>0</v>
      </c>
      <c r="T315" s="1313">
        <v>5479.1459999999997</v>
      </c>
      <c r="U315" s="225">
        <v>0</v>
      </c>
      <c r="V315" s="206">
        <f t="shared" si="21"/>
        <v>66662.473999999987</v>
      </c>
    </row>
    <row r="316" spans="1:22">
      <c r="A316" s="1340">
        <f t="shared" si="26"/>
        <v>2019.07</v>
      </c>
      <c r="B316" s="260">
        <v>2549</v>
      </c>
      <c r="C316" s="260">
        <v>37</v>
      </c>
      <c r="D316" s="260">
        <v>4684.3</v>
      </c>
      <c r="E316" s="260">
        <v>257</v>
      </c>
      <c r="F316" s="260">
        <v>0</v>
      </c>
      <c r="G316" s="3034">
        <v>0</v>
      </c>
      <c r="H316" s="196">
        <f t="shared" si="24"/>
        <v>0</v>
      </c>
      <c r="I316" s="260">
        <v>374</v>
      </c>
      <c r="J316" s="1870">
        <v>0</v>
      </c>
      <c r="K316" s="263">
        <f t="shared" si="25"/>
        <v>374</v>
      </c>
      <c r="L316" s="1313">
        <v>131652.946</v>
      </c>
      <c r="M316" s="169">
        <v>0</v>
      </c>
      <c r="N316" s="260">
        <v>271.62</v>
      </c>
      <c r="O316" s="2158">
        <f t="shared" si="20"/>
        <v>131924.56599999999</v>
      </c>
      <c r="P316" s="260">
        <v>0</v>
      </c>
      <c r="Q316" s="260">
        <v>50607.28</v>
      </c>
      <c r="R316" s="260">
        <v>16594.739999999998</v>
      </c>
      <c r="S316" s="260">
        <v>0</v>
      </c>
      <c r="T316" s="1313">
        <v>10492.78</v>
      </c>
      <c r="U316" s="225">
        <v>0</v>
      </c>
      <c r="V316" s="206">
        <f t="shared" si="21"/>
        <v>77694.799999999988</v>
      </c>
    </row>
    <row r="317" spans="1:22">
      <c r="A317" s="1340">
        <f t="shared" si="26"/>
        <v>2019.08</v>
      </c>
      <c r="B317" s="260">
        <v>2230</v>
      </c>
      <c r="C317" s="2097">
        <v>59</v>
      </c>
      <c r="D317" s="2097">
        <v>2932</v>
      </c>
      <c r="E317" s="2097">
        <v>270.09300000000002</v>
      </c>
      <c r="F317" s="260">
        <v>0</v>
      </c>
      <c r="G317" s="3034">
        <v>0</v>
      </c>
      <c r="H317" s="196">
        <f t="shared" si="24"/>
        <v>0</v>
      </c>
      <c r="I317" s="260">
        <v>236</v>
      </c>
      <c r="J317" s="1870">
        <v>0</v>
      </c>
      <c r="K317" s="263">
        <f t="shared" si="25"/>
        <v>236</v>
      </c>
      <c r="L317" s="1313">
        <v>130293.883</v>
      </c>
      <c r="M317" s="225">
        <v>0</v>
      </c>
      <c r="N317" s="260">
        <v>435.51</v>
      </c>
      <c r="O317" s="2158">
        <f t="shared" si="20"/>
        <v>130729.393</v>
      </c>
      <c r="P317" s="2097">
        <v>0</v>
      </c>
      <c r="Q317" s="260">
        <v>52401.479999999996</v>
      </c>
      <c r="R317" s="260">
        <v>16573.650000000001</v>
      </c>
      <c r="S317" s="2097">
        <v>0</v>
      </c>
      <c r="T317" s="1313">
        <v>0</v>
      </c>
      <c r="U317" s="225">
        <v>9429.4140000000007</v>
      </c>
      <c r="V317" s="206">
        <f t="shared" si="21"/>
        <v>78404.544000000009</v>
      </c>
    </row>
    <row r="318" spans="1:22">
      <c r="A318" s="1340">
        <f t="shared" si="26"/>
        <v>2019.09</v>
      </c>
      <c r="B318" s="260">
        <v>2189</v>
      </c>
      <c r="C318" s="2097">
        <v>73</v>
      </c>
      <c r="D318" s="2097">
        <v>2642.76</v>
      </c>
      <c r="E318" s="2097">
        <v>164.63299999999998</v>
      </c>
      <c r="F318" s="260">
        <v>0</v>
      </c>
      <c r="G318" s="3034">
        <v>0</v>
      </c>
      <c r="H318" s="196">
        <f t="shared" si="24"/>
        <v>0</v>
      </c>
      <c r="I318" s="260">
        <v>293</v>
      </c>
      <c r="J318" s="1870">
        <v>0</v>
      </c>
      <c r="K318" s="263">
        <f t="shared" si="25"/>
        <v>293</v>
      </c>
      <c r="L318" s="1313">
        <v>122027.10500000001</v>
      </c>
      <c r="M318" s="225">
        <v>0</v>
      </c>
      <c r="N318" s="2097">
        <v>99.1</v>
      </c>
      <c r="O318" s="2158">
        <f t="shared" si="20"/>
        <v>122126.20500000002</v>
      </c>
      <c r="P318" s="2097">
        <v>0</v>
      </c>
      <c r="Q318" s="2097">
        <v>49173.68</v>
      </c>
      <c r="R318" s="2097">
        <v>15962.75</v>
      </c>
      <c r="S318" s="2097">
        <v>0</v>
      </c>
      <c r="T318" s="1313">
        <v>11548.13</v>
      </c>
      <c r="U318" s="225">
        <v>0</v>
      </c>
      <c r="V318" s="206">
        <f t="shared" si="21"/>
        <v>76684.56</v>
      </c>
    </row>
    <row r="319" spans="1:22">
      <c r="A319" s="1340">
        <f t="shared" si="26"/>
        <v>2019.1</v>
      </c>
      <c r="B319" s="260">
        <v>2294</v>
      </c>
      <c r="C319" s="2097">
        <v>43</v>
      </c>
      <c r="D319" s="2097">
        <v>2516.2199999999998</v>
      </c>
      <c r="E319" s="2097">
        <v>157.83000000000001</v>
      </c>
      <c r="F319" s="260">
        <v>0</v>
      </c>
      <c r="G319" s="3034">
        <v>0</v>
      </c>
      <c r="H319" s="196">
        <f t="shared" si="24"/>
        <v>0</v>
      </c>
      <c r="I319" s="260">
        <v>365.42</v>
      </c>
      <c r="J319" s="1870">
        <v>0</v>
      </c>
      <c r="K319" s="263">
        <f t="shared" si="25"/>
        <v>365.42</v>
      </c>
      <c r="L319" s="1313">
        <v>127452.27499999999</v>
      </c>
      <c r="M319" s="225">
        <v>0</v>
      </c>
      <c r="N319" s="2097">
        <v>0</v>
      </c>
      <c r="O319" s="2158">
        <f t="shared" si="20"/>
        <v>127452.27499999999</v>
      </c>
      <c r="P319" s="2097">
        <v>0</v>
      </c>
      <c r="Q319" s="2097">
        <v>52805.72</v>
      </c>
      <c r="R319" s="2097">
        <v>17213.650000000001</v>
      </c>
      <c r="S319" s="2097">
        <v>0</v>
      </c>
      <c r="T319" s="1313">
        <v>0</v>
      </c>
      <c r="U319" s="225">
        <v>0</v>
      </c>
      <c r="V319" s="206">
        <f t="shared" si="21"/>
        <v>70019.37</v>
      </c>
    </row>
    <row r="320" spans="1:22">
      <c r="A320" s="1340">
        <f t="shared" si="26"/>
        <v>2019.11</v>
      </c>
      <c r="B320" s="260">
        <v>2179</v>
      </c>
      <c r="C320" s="2097">
        <v>52</v>
      </c>
      <c r="D320" s="2097">
        <v>2176.86</v>
      </c>
      <c r="E320" s="2097">
        <v>75</v>
      </c>
      <c r="F320" s="260">
        <v>0</v>
      </c>
      <c r="G320" s="3034">
        <v>0</v>
      </c>
      <c r="H320" s="196">
        <f t="shared" si="24"/>
        <v>0</v>
      </c>
      <c r="I320" s="260">
        <v>283.48</v>
      </c>
      <c r="J320" s="1870">
        <v>0</v>
      </c>
      <c r="K320" s="263">
        <f t="shared" si="25"/>
        <v>283.48</v>
      </c>
      <c r="L320" s="1313">
        <v>137587.81400000001</v>
      </c>
      <c r="M320" s="225">
        <v>0</v>
      </c>
      <c r="N320" s="2097">
        <v>0</v>
      </c>
      <c r="O320" s="2158">
        <f t="shared" si="20"/>
        <v>137587.81400000001</v>
      </c>
      <c r="P320" s="2097">
        <v>0</v>
      </c>
      <c r="Q320" s="2097">
        <v>51938.75</v>
      </c>
      <c r="R320" s="2097">
        <v>16329.630000000001</v>
      </c>
      <c r="S320" s="2097">
        <v>0</v>
      </c>
      <c r="T320" s="1313">
        <v>0</v>
      </c>
      <c r="U320" s="225">
        <v>9427.0400000000009</v>
      </c>
      <c r="V320" s="206">
        <f t="shared" si="21"/>
        <v>77695.420000000013</v>
      </c>
    </row>
    <row r="321" spans="1:22">
      <c r="A321" s="1340">
        <f t="shared" si="26"/>
        <v>2019.12</v>
      </c>
      <c r="B321" s="260">
        <v>2220</v>
      </c>
      <c r="C321" s="2097">
        <v>48</v>
      </c>
      <c r="D321" s="2097">
        <v>1575.46</v>
      </c>
      <c r="E321" s="2097">
        <v>112.542</v>
      </c>
      <c r="F321" s="260">
        <v>0</v>
      </c>
      <c r="G321" s="3034">
        <v>0</v>
      </c>
      <c r="H321" s="196">
        <f t="shared" si="24"/>
        <v>0</v>
      </c>
      <c r="I321" s="260">
        <v>261</v>
      </c>
      <c r="J321" s="1870">
        <v>0</v>
      </c>
      <c r="K321" s="263">
        <f t="shared" si="25"/>
        <v>261</v>
      </c>
      <c r="L321" s="1313">
        <v>130554.52100000001</v>
      </c>
      <c r="M321" s="225">
        <v>0</v>
      </c>
      <c r="N321" s="2097">
        <v>0</v>
      </c>
      <c r="O321" s="2158">
        <f t="shared" si="20"/>
        <v>130554.52100000001</v>
      </c>
      <c r="P321" s="2097">
        <v>0</v>
      </c>
      <c r="Q321" s="2097">
        <v>55380.05</v>
      </c>
      <c r="R321" s="2097">
        <v>17450.22</v>
      </c>
      <c r="S321" s="2097">
        <v>0</v>
      </c>
      <c r="T321" s="1313">
        <v>0</v>
      </c>
      <c r="U321" s="225">
        <v>12921.43</v>
      </c>
      <c r="V321" s="206">
        <f t="shared" si="21"/>
        <v>85751.700000000012</v>
      </c>
    </row>
    <row r="322" spans="1:22">
      <c r="A322" s="1340">
        <f t="shared" si="26"/>
        <v>2020.01</v>
      </c>
      <c r="B322" s="260">
        <v>2890</v>
      </c>
      <c r="C322" s="2097">
        <v>51</v>
      </c>
      <c r="D322" s="2097">
        <v>1718.0549999999998</v>
      </c>
      <c r="E322" s="2097">
        <v>100</v>
      </c>
      <c r="F322" s="260">
        <v>0</v>
      </c>
      <c r="G322" s="3034">
        <v>0</v>
      </c>
      <c r="H322" s="196">
        <f t="shared" si="24"/>
        <v>0</v>
      </c>
      <c r="I322" s="260">
        <v>790.16</v>
      </c>
      <c r="J322" s="1870">
        <v>0</v>
      </c>
      <c r="K322" s="263">
        <f t="shared" si="25"/>
        <v>790.16</v>
      </c>
      <c r="L322" s="1313">
        <v>110659.00199999999</v>
      </c>
      <c r="M322" s="225">
        <v>0</v>
      </c>
      <c r="N322" s="2097">
        <v>0</v>
      </c>
      <c r="O322" s="2158">
        <f t="shared" si="20"/>
        <v>110659.00199999999</v>
      </c>
      <c r="P322" s="2097">
        <v>0</v>
      </c>
      <c r="Q322" s="2097">
        <v>50737.773999999998</v>
      </c>
      <c r="R322" s="2097">
        <v>15883.77</v>
      </c>
      <c r="S322" s="2097">
        <v>0</v>
      </c>
      <c r="T322" s="1313">
        <v>0</v>
      </c>
      <c r="U322" s="225"/>
      <c r="V322" s="206">
        <f t="shared" si="21"/>
        <v>66621.543999999994</v>
      </c>
    </row>
    <row r="323" spans="1:22">
      <c r="A323" s="1340">
        <f t="shared" si="26"/>
        <v>2020.02</v>
      </c>
      <c r="B323" s="260">
        <v>2423</v>
      </c>
      <c r="C323" s="2097">
        <v>51</v>
      </c>
      <c r="D323" s="2097">
        <v>1489.6399999999999</v>
      </c>
      <c r="E323" s="2097">
        <v>70</v>
      </c>
      <c r="F323" s="260">
        <v>0</v>
      </c>
      <c r="G323" s="3034">
        <v>0</v>
      </c>
      <c r="H323" s="196">
        <f t="shared" si="24"/>
        <v>0</v>
      </c>
      <c r="I323" s="260">
        <v>134</v>
      </c>
      <c r="J323" s="1870">
        <v>0</v>
      </c>
      <c r="K323" s="263">
        <f t="shared" si="25"/>
        <v>134</v>
      </c>
      <c r="L323" s="1313">
        <v>109799.85</v>
      </c>
      <c r="M323" s="225">
        <v>0</v>
      </c>
      <c r="N323" s="2097">
        <v>0</v>
      </c>
      <c r="O323" s="2158">
        <f t="shared" si="20"/>
        <v>109799.85</v>
      </c>
      <c r="P323" s="2097">
        <v>0</v>
      </c>
      <c r="Q323" s="2097">
        <v>49240.65</v>
      </c>
      <c r="R323" s="2097">
        <v>16225.13</v>
      </c>
      <c r="S323" s="2097">
        <v>0</v>
      </c>
      <c r="T323" s="1313">
        <v>0</v>
      </c>
      <c r="U323" s="225">
        <v>12899.670999999998</v>
      </c>
      <c r="V323" s="206">
        <f t="shared" si="21"/>
        <v>78365.451000000001</v>
      </c>
    </row>
    <row r="324" spans="1:22">
      <c r="A324" s="1340">
        <f t="shared" si="26"/>
        <v>2020.03</v>
      </c>
      <c r="B324" s="260">
        <v>1567</v>
      </c>
      <c r="C324" s="2097">
        <v>20</v>
      </c>
      <c r="D324" s="2097">
        <v>1226.3800000000001</v>
      </c>
      <c r="E324" s="2097">
        <v>116</v>
      </c>
      <c r="F324" s="260">
        <v>0</v>
      </c>
      <c r="G324" s="3034">
        <v>0</v>
      </c>
      <c r="H324" s="196">
        <f t="shared" si="24"/>
        <v>0</v>
      </c>
      <c r="I324" s="260">
        <v>578</v>
      </c>
      <c r="J324" s="1870">
        <v>0</v>
      </c>
      <c r="K324" s="263">
        <f t="shared" si="25"/>
        <v>578</v>
      </c>
      <c r="L324" s="1313">
        <v>118479.18500000001</v>
      </c>
      <c r="M324" s="225">
        <v>0</v>
      </c>
      <c r="N324" s="2097">
        <v>4.9269999999999996</v>
      </c>
      <c r="O324" s="2158">
        <f t="shared" si="20"/>
        <v>118484.11200000001</v>
      </c>
      <c r="P324" s="2097">
        <v>0</v>
      </c>
      <c r="Q324" s="2097">
        <v>37324.167000000001</v>
      </c>
      <c r="R324" s="2097">
        <v>11503.969000000001</v>
      </c>
      <c r="S324" s="2097">
        <v>0</v>
      </c>
      <c r="T324" s="1313">
        <v>0</v>
      </c>
      <c r="U324" s="225">
        <v>7968.3</v>
      </c>
      <c r="V324" s="206">
        <f t="shared" si="21"/>
        <v>56796.436000000002</v>
      </c>
    </row>
    <row r="325" spans="1:22">
      <c r="A325" s="1340">
        <f t="shared" si="26"/>
        <v>2020.04</v>
      </c>
      <c r="B325" s="260">
        <v>98</v>
      </c>
      <c r="C325" s="2097">
        <v>7</v>
      </c>
      <c r="D325" s="2097">
        <v>470</v>
      </c>
      <c r="E325" s="2097">
        <v>114.83</v>
      </c>
      <c r="F325" s="260">
        <v>0</v>
      </c>
      <c r="G325" s="3034">
        <v>0</v>
      </c>
      <c r="H325" s="196">
        <f t="shared" si="24"/>
        <v>0</v>
      </c>
      <c r="I325" s="260">
        <v>157</v>
      </c>
      <c r="J325" s="1870">
        <v>0</v>
      </c>
      <c r="K325" s="263">
        <f t="shared" si="25"/>
        <v>157</v>
      </c>
      <c r="L325" s="1313">
        <v>117365.32</v>
      </c>
      <c r="M325" s="225">
        <v>0</v>
      </c>
      <c r="N325" s="2097">
        <v>0</v>
      </c>
      <c r="O325" s="2158">
        <f t="shared" si="20"/>
        <v>117365.32</v>
      </c>
      <c r="P325" s="2097">
        <v>0</v>
      </c>
      <c r="Q325" s="2097">
        <v>18998.5</v>
      </c>
      <c r="R325" s="2097">
        <v>3555.29</v>
      </c>
      <c r="S325" s="2097">
        <v>0</v>
      </c>
      <c r="T325" s="1313">
        <v>0</v>
      </c>
      <c r="U325" s="225">
        <v>2767.8</v>
      </c>
      <c r="V325" s="206">
        <f t="shared" si="21"/>
        <v>25321.59</v>
      </c>
    </row>
    <row r="326" spans="1:22">
      <c r="A326" s="1340">
        <f t="shared" si="26"/>
        <v>2020.05</v>
      </c>
      <c r="B326" s="260">
        <v>172</v>
      </c>
      <c r="C326" s="2097">
        <v>8</v>
      </c>
      <c r="D326" s="2097">
        <v>1649.1399999999999</v>
      </c>
      <c r="E326" s="2097">
        <v>339.04399999999998</v>
      </c>
      <c r="F326" s="260">
        <v>0</v>
      </c>
      <c r="G326" s="3034">
        <v>0</v>
      </c>
      <c r="H326" s="196">
        <f>F326+G326</f>
        <v>0</v>
      </c>
      <c r="I326" s="260">
        <v>374</v>
      </c>
      <c r="J326" s="1870">
        <v>0</v>
      </c>
      <c r="K326" s="263">
        <f t="shared" si="25"/>
        <v>374</v>
      </c>
      <c r="L326" s="1313">
        <v>133679.06299999999</v>
      </c>
      <c r="M326" s="225">
        <v>0</v>
      </c>
      <c r="N326" s="2097">
        <v>0</v>
      </c>
      <c r="O326" s="2158">
        <f t="shared" si="20"/>
        <v>133679.06299999999</v>
      </c>
      <c r="P326" s="2097">
        <v>0</v>
      </c>
      <c r="Q326" s="2097">
        <v>28140.442999999999</v>
      </c>
      <c r="R326" s="2097">
        <v>7177.5730000000003</v>
      </c>
      <c r="S326" s="2097">
        <v>0</v>
      </c>
      <c r="T326" s="1313">
        <v>2636</v>
      </c>
      <c r="U326" s="225">
        <v>4036.5770000000002</v>
      </c>
      <c r="V326" s="206">
        <f t="shared" si="21"/>
        <v>41990.593000000001</v>
      </c>
    </row>
    <row r="327" spans="1:22">
      <c r="A327" s="1340">
        <f t="shared" si="26"/>
        <v>2020.06</v>
      </c>
      <c r="B327" s="260">
        <v>164</v>
      </c>
      <c r="C327" s="2097">
        <v>12</v>
      </c>
      <c r="D327" s="2097">
        <v>2187.14</v>
      </c>
      <c r="E327" s="2097">
        <v>295.54700000000003</v>
      </c>
      <c r="F327" s="260">
        <v>0</v>
      </c>
      <c r="G327" s="3034">
        <v>0</v>
      </c>
      <c r="H327" s="196">
        <f t="shared" si="24"/>
        <v>0</v>
      </c>
      <c r="I327" s="260">
        <v>541.55999999999995</v>
      </c>
      <c r="J327" s="1870">
        <v>0</v>
      </c>
      <c r="K327" s="263">
        <f t="shared" si="25"/>
        <v>541.55999999999995</v>
      </c>
      <c r="L327" s="1313">
        <v>122035.74399999999</v>
      </c>
      <c r="M327" s="225">
        <v>0</v>
      </c>
      <c r="N327" s="2097">
        <v>0</v>
      </c>
      <c r="O327" s="2158">
        <f t="shared" si="20"/>
        <v>122035.74399999999</v>
      </c>
      <c r="P327" s="2097">
        <v>0</v>
      </c>
      <c r="Q327" s="2097">
        <v>34983.082000000002</v>
      </c>
      <c r="R327" s="2097">
        <v>10098.636</v>
      </c>
      <c r="S327" s="2097">
        <v>0</v>
      </c>
      <c r="T327" s="1313">
        <v>0</v>
      </c>
      <c r="U327" s="225">
        <v>0</v>
      </c>
      <c r="V327" s="206">
        <f t="shared" si="21"/>
        <v>45081.718000000001</v>
      </c>
    </row>
    <row r="328" spans="1:22">
      <c r="A328" s="1340">
        <f t="shared" si="26"/>
        <v>2020.07</v>
      </c>
      <c r="B328" s="260">
        <v>105</v>
      </c>
      <c r="C328" s="2097">
        <v>14</v>
      </c>
      <c r="D328" s="2097">
        <v>2842.26</v>
      </c>
      <c r="E328" s="2097">
        <v>389.822</v>
      </c>
      <c r="F328" s="260">
        <v>0</v>
      </c>
      <c r="G328" s="3034">
        <v>0</v>
      </c>
      <c r="H328" s="196">
        <f t="shared" si="24"/>
        <v>0</v>
      </c>
      <c r="I328" s="260">
        <v>1304.2</v>
      </c>
      <c r="J328" s="1870">
        <v>0</v>
      </c>
      <c r="K328" s="263">
        <f t="shared" si="25"/>
        <v>1304.2</v>
      </c>
      <c r="L328" s="1313">
        <v>139728.48800000001</v>
      </c>
      <c r="M328" s="225">
        <v>0</v>
      </c>
      <c r="N328" s="2097">
        <v>0</v>
      </c>
      <c r="O328" s="2158">
        <f t="shared" si="20"/>
        <v>139728.48800000001</v>
      </c>
      <c r="P328" s="2097">
        <v>0</v>
      </c>
      <c r="Q328" s="2097">
        <v>40220.232000000004</v>
      </c>
      <c r="R328" s="2097">
        <v>12032.895</v>
      </c>
      <c r="S328" s="2097">
        <v>0</v>
      </c>
      <c r="T328" s="1313">
        <v>0</v>
      </c>
      <c r="U328" s="225">
        <v>0</v>
      </c>
      <c r="V328" s="206">
        <f t="shared" si="21"/>
        <v>52253.127000000008</v>
      </c>
    </row>
    <row r="329" spans="1:22">
      <c r="A329" s="1340">
        <f t="shared" si="26"/>
        <v>2020.08</v>
      </c>
      <c r="B329" s="260">
        <v>160</v>
      </c>
      <c r="C329" s="2097">
        <v>34</v>
      </c>
      <c r="D329" s="2097">
        <v>3081.2959999999998</v>
      </c>
      <c r="E329" s="2097">
        <v>192.64600000000002</v>
      </c>
      <c r="F329" s="260">
        <v>0</v>
      </c>
      <c r="G329" s="3034">
        <v>0</v>
      </c>
      <c r="H329" s="196">
        <f t="shared" si="24"/>
        <v>0</v>
      </c>
      <c r="I329" s="260">
        <v>926.99</v>
      </c>
      <c r="J329" s="1870">
        <v>0</v>
      </c>
      <c r="K329" s="263">
        <f t="shared" si="25"/>
        <v>926.99</v>
      </c>
      <c r="L329" s="1313">
        <v>130801.86000000002</v>
      </c>
      <c r="M329" s="225">
        <v>0</v>
      </c>
      <c r="N329" s="2097">
        <v>0</v>
      </c>
      <c r="O329" s="2158">
        <f t="shared" si="20"/>
        <v>130801.86000000002</v>
      </c>
      <c r="P329" s="2097">
        <v>0</v>
      </c>
      <c r="Q329" s="2097">
        <v>37465.648000000001</v>
      </c>
      <c r="R329" s="2097">
        <v>11445.264000000001</v>
      </c>
      <c r="S329" s="2097">
        <v>0</v>
      </c>
      <c r="T329" s="1313">
        <v>0</v>
      </c>
      <c r="U329" s="225">
        <v>1997.9770000000001</v>
      </c>
      <c r="V329" s="206">
        <f t="shared" si="21"/>
        <v>50908.889000000003</v>
      </c>
    </row>
    <row r="330" spans="1:22">
      <c r="A330" s="1340">
        <f t="shared" si="26"/>
        <v>2020.09</v>
      </c>
      <c r="B330" s="260">
        <v>171</v>
      </c>
      <c r="C330" s="2097">
        <v>17</v>
      </c>
      <c r="D330" s="2097">
        <v>2695.75</v>
      </c>
      <c r="E330" s="2097">
        <v>190.184</v>
      </c>
      <c r="F330" s="260">
        <v>0</v>
      </c>
      <c r="G330" s="3034">
        <v>0</v>
      </c>
      <c r="H330" s="196">
        <f t="shared" si="24"/>
        <v>0</v>
      </c>
      <c r="I330" s="260">
        <v>534.5</v>
      </c>
      <c r="J330" s="1870">
        <v>0</v>
      </c>
      <c r="K330" s="263">
        <f t="shared" si="25"/>
        <v>534.5</v>
      </c>
      <c r="L330" s="1313">
        <v>119273.481</v>
      </c>
      <c r="M330" s="225">
        <v>5933.4250000000002</v>
      </c>
      <c r="N330" s="2097">
        <v>0</v>
      </c>
      <c r="O330" s="2158">
        <f>L330+M330+N330</f>
        <v>125206.906</v>
      </c>
      <c r="P330" s="2097">
        <v>0</v>
      </c>
      <c r="Q330" s="2097">
        <v>36269.300999999999</v>
      </c>
      <c r="R330" s="2097">
        <v>10257.724</v>
      </c>
      <c r="S330" s="2097">
        <v>0</v>
      </c>
      <c r="T330" s="1313">
        <v>0</v>
      </c>
      <c r="U330" s="225">
        <v>2943.9389999999999</v>
      </c>
      <c r="V330" s="206">
        <f t="shared" si="21"/>
        <v>49470.964</v>
      </c>
    </row>
    <row r="331" spans="1:22">
      <c r="A331" s="1340">
        <f t="shared" si="26"/>
        <v>2020.1</v>
      </c>
      <c r="B331" s="260">
        <v>107</v>
      </c>
      <c r="C331" s="2097">
        <v>19</v>
      </c>
      <c r="D331" s="2097">
        <v>3197.3599999999997</v>
      </c>
      <c r="E331" s="2097">
        <v>160.041</v>
      </c>
      <c r="F331" s="260">
        <v>0</v>
      </c>
      <c r="G331" s="3034">
        <v>0</v>
      </c>
      <c r="H331" s="196">
        <f t="shared" si="24"/>
        <v>0</v>
      </c>
      <c r="I331" s="260">
        <v>434.9</v>
      </c>
      <c r="J331" s="1870">
        <v>0</v>
      </c>
      <c r="K331" s="263">
        <f t="shared" si="25"/>
        <v>434.9</v>
      </c>
      <c r="L331" s="1313">
        <v>114489.12699999999</v>
      </c>
      <c r="M331" s="225">
        <v>0</v>
      </c>
      <c r="N331" s="2097">
        <v>0</v>
      </c>
      <c r="O331" s="2158">
        <f>L331+M331+N331</f>
        <v>114489.12699999999</v>
      </c>
      <c r="P331" s="2097">
        <v>0</v>
      </c>
      <c r="Q331" s="2097">
        <v>40827.739000000001</v>
      </c>
      <c r="R331" s="2097">
        <v>11737.647000000001</v>
      </c>
      <c r="S331" s="2097">
        <v>0</v>
      </c>
      <c r="T331" s="1313">
        <v>0</v>
      </c>
      <c r="U331" s="225">
        <v>0</v>
      </c>
      <c r="V331" s="206">
        <f t="shared" si="21"/>
        <v>52565.385999999999</v>
      </c>
    </row>
    <row r="332" spans="1:22">
      <c r="A332" s="1340">
        <f t="shared" si="26"/>
        <v>2020.11</v>
      </c>
      <c r="B332" s="260">
        <v>201</v>
      </c>
      <c r="C332" s="2097">
        <v>37</v>
      </c>
      <c r="D332" s="2097">
        <v>3494</v>
      </c>
      <c r="E332" s="2097">
        <v>124.455</v>
      </c>
      <c r="F332" s="260">
        <v>0</v>
      </c>
      <c r="G332" s="3034">
        <v>0</v>
      </c>
      <c r="H332" s="196">
        <f t="shared" si="24"/>
        <v>0</v>
      </c>
      <c r="I332" s="260">
        <v>506.8</v>
      </c>
      <c r="J332" s="1870">
        <v>0</v>
      </c>
      <c r="K332" s="263">
        <f t="shared" si="25"/>
        <v>506.8</v>
      </c>
      <c r="L332" s="1313">
        <v>125372.072</v>
      </c>
      <c r="M332" s="225">
        <v>0</v>
      </c>
      <c r="N332" s="2097">
        <v>0</v>
      </c>
      <c r="O332" s="2158">
        <f>L332+M332+N332</f>
        <v>125372.072</v>
      </c>
      <c r="P332" s="2097">
        <v>0</v>
      </c>
      <c r="Q332" s="2097">
        <v>43697.752999999997</v>
      </c>
      <c r="R332" s="2097">
        <v>13354.152</v>
      </c>
      <c r="S332" s="2097">
        <v>0</v>
      </c>
      <c r="T332" s="1313">
        <v>0</v>
      </c>
      <c r="U332" s="225">
        <v>1074.9780000000001</v>
      </c>
      <c r="V332" s="206">
        <f>SUM(P332:U332)</f>
        <v>58126.883000000002</v>
      </c>
    </row>
    <row r="333" spans="1:22">
      <c r="A333" s="1340">
        <f t="shared" si="26"/>
        <v>2020.12</v>
      </c>
      <c r="B333" s="260">
        <v>287</v>
      </c>
      <c r="C333" s="2097">
        <v>75</v>
      </c>
      <c r="D333" s="2097">
        <v>1970.96</v>
      </c>
      <c r="E333" s="2097">
        <v>76.721000000000004</v>
      </c>
      <c r="F333" s="260">
        <v>0</v>
      </c>
      <c r="G333" s="3034">
        <v>0</v>
      </c>
      <c r="H333" s="196">
        <f t="shared" si="24"/>
        <v>0</v>
      </c>
      <c r="I333" s="260">
        <v>504.24</v>
      </c>
      <c r="J333" s="1870">
        <v>0</v>
      </c>
      <c r="K333" s="263">
        <f t="shared" si="25"/>
        <v>504.24</v>
      </c>
      <c r="L333" s="1313">
        <v>117046.15299999999</v>
      </c>
      <c r="M333" s="225">
        <v>0</v>
      </c>
      <c r="N333" s="2097">
        <v>0</v>
      </c>
      <c r="O333" s="2158">
        <f>L333+M333+N333</f>
        <v>117046.15299999999</v>
      </c>
      <c r="P333" s="2097">
        <v>0</v>
      </c>
      <c r="Q333" s="2097">
        <v>49478.438000000002</v>
      </c>
      <c r="R333" s="2097">
        <v>17161.087</v>
      </c>
      <c r="S333" s="2097">
        <v>0</v>
      </c>
      <c r="T333" s="1313">
        <v>0</v>
      </c>
      <c r="U333" s="225">
        <v>4719.6080000000002</v>
      </c>
      <c r="V333" s="206">
        <f>SUM(P333:U333)</f>
        <v>71359.133000000002</v>
      </c>
    </row>
    <row r="334" spans="1:22">
      <c r="A334" s="1340">
        <f t="shared" si="26"/>
        <v>2021.01</v>
      </c>
      <c r="B334" s="260">
        <v>359</v>
      </c>
      <c r="C334" s="2097">
        <v>27</v>
      </c>
      <c r="D334" s="2097">
        <v>2502.7399999999998</v>
      </c>
      <c r="E334" s="2097">
        <v>130.95499999999998</v>
      </c>
      <c r="F334" s="260">
        <v>0</v>
      </c>
      <c r="G334" s="3034">
        <v>0</v>
      </c>
      <c r="H334" s="196">
        <f t="shared" ref="H334:H393" si="27">F334+G334</f>
        <v>0</v>
      </c>
      <c r="I334" s="260">
        <v>470.4</v>
      </c>
      <c r="J334" s="1870">
        <v>0</v>
      </c>
      <c r="K334" s="263">
        <f t="shared" ref="K334:K393" si="28">I334+J334</f>
        <v>470.4</v>
      </c>
      <c r="L334" s="1313">
        <v>101156.622</v>
      </c>
      <c r="M334" s="225">
        <v>107</v>
      </c>
      <c r="N334" s="2097">
        <v>0</v>
      </c>
      <c r="O334" s="2158">
        <f t="shared" ref="O334:O393" si="29">L334+M334+N334</f>
        <v>101263.622</v>
      </c>
      <c r="P334" s="2097">
        <v>0</v>
      </c>
      <c r="Q334" s="2097">
        <v>45706.17</v>
      </c>
      <c r="R334" s="2097">
        <v>15794.644</v>
      </c>
      <c r="S334" s="2097">
        <v>0</v>
      </c>
      <c r="T334" s="1313">
        <v>0</v>
      </c>
      <c r="U334" s="225">
        <v>21633.499</v>
      </c>
      <c r="V334" s="206">
        <f t="shared" ref="V334:V393" si="30">SUM(P334:U334)</f>
        <v>83134.312999999995</v>
      </c>
    </row>
    <row r="335" spans="1:22">
      <c r="A335" s="1340">
        <f t="shared" si="26"/>
        <v>2021.02</v>
      </c>
      <c r="B335" s="260">
        <v>475</v>
      </c>
      <c r="C335" s="2097">
        <v>70</v>
      </c>
      <c r="D335" s="2097">
        <v>3242.6</v>
      </c>
      <c r="E335" s="2097">
        <v>90.5</v>
      </c>
      <c r="F335" s="260">
        <v>0</v>
      </c>
      <c r="G335" s="3034">
        <v>0</v>
      </c>
      <c r="H335" s="196">
        <f t="shared" si="27"/>
        <v>0</v>
      </c>
      <c r="I335" s="260">
        <v>16786.78</v>
      </c>
      <c r="J335" s="1870">
        <v>0</v>
      </c>
      <c r="K335" s="263">
        <f t="shared" si="28"/>
        <v>16786.78</v>
      </c>
      <c r="L335" s="1313">
        <v>102825.54999999999</v>
      </c>
      <c r="M335" s="225">
        <v>0</v>
      </c>
      <c r="N335" s="2097">
        <v>0</v>
      </c>
      <c r="O335" s="2158">
        <f t="shared" si="29"/>
        <v>102825.54999999999</v>
      </c>
      <c r="P335" s="2097">
        <v>0</v>
      </c>
      <c r="Q335" s="2097">
        <v>43449.24</v>
      </c>
      <c r="R335" s="2097">
        <v>14648.32</v>
      </c>
      <c r="S335" s="2097">
        <v>0</v>
      </c>
      <c r="T335" s="1313">
        <v>0</v>
      </c>
      <c r="U335" s="225">
        <v>10715.07</v>
      </c>
      <c r="V335" s="206">
        <f t="shared" si="30"/>
        <v>68812.63</v>
      </c>
    </row>
    <row r="336" spans="1:22">
      <c r="A336" s="1340">
        <f t="shared" si="26"/>
        <v>2021.03</v>
      </c>
      <c r="B336" s="260">
        <v>395</v>
      </c>
      <c r="C336" s="2097">
        <v>30</v>
      </c>
      <c r="D336" s="2097">
        <v>7067.32</v>
      </c>
      <c r="E336" s="2097">
        <v>139.74600000000001</v>
      </c>
      <c r="F336" s="260">
        <v>0</v>
      </c>
      <c r="G336" s="3034">
        <v>0</v>
      </c>
      <c r="H336" s="196">
        <f t="shared" si="27"/>
        <v>0</v>
      </c>
      <c r="I336" s="260">
        <v>16880.439999999999</v>
      </c>
      <c r="J336" s="1870">
        <v>0</v>
      </c>
      <c r="K336" s="263">
        <f t="shared" si="28"/>
        <v>16880.439999999999</v>
      </c>
      <c r="L336" s="1313">
        <v>158946.65899999999</v>
      </c>
      <c r="M336" s="225">
        <v>0</v>
      </c>
      <c r="N336" s="2097">
        <v>0</v>
      </c>
      <c r="O336" s="2158">
        <f t="shared" si="29"/>
        <v>158946.65899999999</v>
      </c>
      <c r="P336" s="2097">
        <v>0</v>
      </c>
      <c r="Q336" s="2097">
        <v>57846.16</v>
      </c>
      <c r="R336" s="2097">
        <v>17966.349999999999</v>
      </c>
      <c r="S336" s="2097">
        <v>0</v>
      </c>
      <c r="T336" s="1313">
        <v>0</v>
      </c>
      <c r="U336" s="225">
        <v>4798.45</v>
      </c>
      <c r="V336" s="206">
        <f t="shared" si="30"/>
        <v>80610.960000000006</v>
      </c>
    </row>
    <row r="337" spans="1:22">
      <c r="A337" s="1340">
        <f t="shared" si="26"/>
        <v>2021.04</v>
      </c>
      <c r="B337" s="260">
        <v>722</v>
      </c>
      <c r="C337" s="2097">
        <v>36</v>
      </c>
      <c r="D337" s="2097">
        <v>6815.39</v>
      </c>
      <c r="E337" s="2097">
        <v>124.947</v>
      </c>
      <c r="F337" s="260">
        <v>0</v>
      </c>
      <c r="G337" s="3034">
        <v>0</v>
      </c>
      <c r="H337" s="196">
        <f t="shared" si="27"/>
        <v>0</v>
      </c>
      <c r="I337" s="260">
        <v>22858.45</v>
      </c>
      <c r="J337" s="1870">
        <v>0</v>
      </c>
      <c r="K337" s="263">
        <f t="shared" si="28"/>
        <v>22858.45</v>
      </c>
      <c r="L337" s="1313">
        <v>154044.17600000001</v>
      </c>
      <c r="M337" s="225">
        <v>0</v>
      </c>
      <c r="N337" s="2097">
        <v>0</v>
      </c>
      <c r="O337" s="2158">
        <f t="shared" si="29"/>
        <v>154044.17600000001</v>
      </c>
      <c r="P337" s="2097">
        <v>0</v>
      </c>
      <c r="Q337" s="2097">
        <v>46901.599999999999</v>
      </c>
      <c r="R337" s="2097">
        <v>14518.35</v>
      </c>
      <c r="S337" s="2097">
        <v>0</v>
      </c>
      <c r="T337" s="1313">
        <v>0</v>
      </c>
      <c r="U337" s="225">
        <v>3976.99</v>
      </c>
      <c r="V337" s="206">
        <f t="shared" si="30"/>
        <v>65396.939999999995</v>
      </c>
    </row>
    <row r="338" spans="1:22">
      <c r="A338" s="1340">
        <f t="shared" si="26"/>
        <v>2021.05</v>
      </c>
      <c r="B338" s="260">
        <v>1201</v>
      </c>
      <c r="C338" s="2097">
        <v>33</v>
      </c>
      <c r="D338" s="2097">
        <v>3773.6800000000003</v>
      </c>
      <c r="E338" s="2097">
        <v>271.15899999999999</v>
      </c>
      <c r="F338" s="260">
        <v>0</v>
      </c>
      <c r="G338" s="3034">
        <v>0</v>
      </c>
      <c r="H338" s="196">
        <f t="shared" si="27"/>
        <v>0</v>
      </c>
      <c r="I338" s="260">
        <v>12597.079999999998</v>
      </c>
      <c r="J338" s="1870">
        <v>0</v>
      </c>
      <c r="K338" s="263">
        <f t="shared" si="28"/>
        <v>12597.079999999998</v>
      </c>
      <c r="L338" s="1313">
        <v>143638.74600000001</v>
      </c>
      <c r="M338" s="225">
        <v>0</v>
      </c>
      <c r="N338" s="2097">
        <v>0</v>
      </c>
      <c r="O338" s="2158">
        <f t="shared" si="29"/>
        <v>143638.74600000001</v>
      </c>
      <c r="P338" s="2097">
        <v>0</v>
      </c>
      <c r="Q338" s="2097">
        <v>35425.760000000002</v>
      </c>
      <c r="R338" s="2097">
        <v>11227.65</v>
      </c>
      <c r="S338" s="2097">
        <v>0</v>
      </c>
      <c r="T338" s="1313">
        <v>0</v>
      </c>
      <c r="U338" s="225">
        <v>3322.61</v>
      </c>
      <c r="V338" s="206">
        <f t="shared" si="30"/>
        <v>49976.020000000004</v>
      </c>
    </row>
    <row r="339" spans="1:22">
      <c r="A339" s="1340">
        <f t="shared" si="26"/>
        <v>2021.06</v>
      </c>
      <c r="B339" s="260">
        <v>1379</v>
      </c>
      <c r="C339" s="2097">
        <v>29</v>
      </c>
      <c r="D339" s="2097">
        <v>3994.2200000000003</v>
      </c>
      <c r="E339" s="2097">
        <v>255.04900000000001</v>
      </c>
      <c r="F339" s="260">
        <v>0</v>
      </c>
      <c r="G339" s="3034">
        <v>0</v>
      </c>
      <c r="H339" s="196">
        <f t="shared" si="27"/>
        <v>0</v>
      </c>
      <c r="I339" s="260">
        <v>28801.559999999998</v>
      </c>
      <c r="J339" s="1870">
        <v>0</v>
      </c>
      <c r="K339" s="263">
        <f t="shared" si="28"/>
        <v>28801.559999999998</v>
      </c>
      <c r="L339" s="1313">
        <v>133735.272</v>
      </c>
      <c r="M339" s="225">
        <v>0</v>
      </c>
      <c r="N339" s="2097">
        <v>0</v>
      </c>
      <c r="O339" s="2158">
        <f t="shared" si="29"/>
        <v>133735.272</v>
      </c>
      <c r="P339" s="2097">
        <v>0</v>
      </c>
      <c r="Q339" s="2097">
        <v>37276.28</v>
      </c>
      <c r="R339" s="2097">
        <v>11627.02</v>
      </c>
      <c r="S339" s="2097">
        <v>0</v>
      </c>
      <c r="T339" s="1313">
        <v>0</v>
      </c>
      <c r="U339" s="225">
        <v>16167.92</v>
      </c>
      <c r="V339" s="206">
        <f t="shared" si="30"/>
        <v>65071.22</v>
      </c>
    </row>
    <row r="340" spans="1:22">
      <c r="A340" s="1340">
        <f t="shared" si="26"/>
        <v>2021.07</v>
      </c>
      <c r="B340" s="260">
        <v>486</v>
      </c>
      <c r="C340" s="2097">
        <v>33</v>
      </c>
      <c r="D340" s="2097">
        <v>4465.9400000000005</v>
      </c>
      <c r="E340" s="2097">
        <v>248.84399999999999</v>
      </c>
      <c r="F340" s="260">
        <v>0</v>
      </c>
      <c r="G340" s="3034">
        <v>0</v>
      </c>
      <c r="H340" s="196">
        <f t="shared" si="27"/>
        <v>0</v>
      </c>
      <c r="I340" s="260">
        <v>28323.859999999997</v>
      </c>
      <c r="J340" s="1870">
        <v>0</v>
      </c>
      <c r="K340" s="263">
        <f t="shared" si="28"/>
        <v>28323.859999999997</v>
      </c>
      <c r="L340" s="1313">
        <v>144636.342</v>
      </c>
      <c r="M340" s="225">
        <v>0</v>
      </c>
      <c r="N340" s="2097">
        <v>0</v>
      </c>
      <c r="O340" s="2158">
        <f t="shared" si="29"/>
        <v>144636.342</v>
      </c>
      <c r="P340" s="2097">
        <v>0</v>
      </c>
      <c r="Q340" s="2097">
        <v>45999.87</v>
      </c>
      <c r="R340" s="2097">
        <v>15856.41</v>
      </c>
      <c r="S340" s="2097">
        <v>0</v>
      </c>
      <c r="T340" s="1313">
        <v>0</v>
      </c>
      <c r="U340" s="225">
        <v>8886.92</v>
      </c>
      <c r="V340" s="206">
        <f t="shared" si="30"/>
        <v>70743.199999999997</v>
      </c>
    </row>
    <row r="341" spans="1:22">
      <c r="A341" s="1340">
        <f t="shared" si="26"/>
        <v>2021.08</v>
      </c>
      <c r="B341" s="260">
        <v>883</v>
      </c>
      <c r="C341" s="2097">
        <v>48</v>
      </c>
      <c r="D341" s="2097">
        <v>5359.9400000000005</v>
      </c>
      <c r="E341" s="2097">
        <v>194.42599999999999</v>
      </c>
      <c r="F341" s="260">
        <v>0</v>
      </c>
      <c r="G341" s="3034">
        <v>0</v>
      </c>
      <c r="H341" s="196">
        <f t="shared" si="27"/>
        <v>0</v>
      </c>
      <c r="I341" s="260">
        <v>462.82</v>
      </c>
      <c r="J341" s="1870">
        <v>0</v>
      </c>
      <c r="K341" s="263">
        <f t="shared" si="28"/>
        <v>462.82</v>
      </c>
      <c r="L341" s="1313">
        <v>138539.88999999998</v>
      </c>
      <c r="M341" s="225">
        <v>0</v>
      </c>
      <c r="N341" s="2097">
        <v>0</v>
      </c>
      <c r="O341" s="2158">
        <f t="shared" si="29"/>
        <v>138539.88999999998</v>
      </c>
      <c r="P341" s="2097">
        <v>0</v>
      </c>
      <c r="Q341" s="2097">
        <v>48479.13</v>
      </c>
      <c r="R341" s="2097">
        <v>17081.740000000002</v>
      </c>
      <c r="S341" s="2097">
        <v>0</v>
      </c>
      <c r="T341" s="1313">
        <v>0</v>
      </c>
      <c r="U341" s="225">
        <v>19013.618999999999</v>
      </c>
      <c r="V341" s="206">
        <f t="shared" si="30"/>
        <v>84574.489000000001</v>
      </c>
    </row>
    <row r="342" spans="1:22">
      <c r="A342" s="1340">
        <f t="shared" si="26"/>
        <v>2021.09</v>
      </c>
      <c r="B342" s="260">
        <v>833</v>
      </c>
      <c r="C342" s="2097">
        <v>39</v>
      </c>
      <c r="D342" s="2097">
        <v>4263.8</v>
      </c>
      <c r="E342" s="2097">
        <v>91.462000000000003</v>
      </c>
      <c r="F342" s="260">
        <v>0</v>
      </c>
      <c r="G342" s="3034">
        <v>0</v>
      </c>
      <c r="H342" s="196">
        <f t="shared" si="27"/>
        <v>0</v>
      </c>
      <c r="I342" s="260">
        <v>757.68000000000006</v>
      </c>
      <c r="J342" s="1870">
        <v>2478</v>
      </c>
      <c r="K342" s="263">
        <f t="shared" si="28"/>
        <v>3235.6800000000003</v>
      </c>
      <c r="L342" s="1313">
        <v>136360.495</v>
      </c>
      <c r="M342" s="225">
        <v>0</v>
      </c>
      <c r="N342" s="2097">
        <v>0</v>
      </c>
      <c r="O342" s="2158">
        <f t="shared" si="29"/>
        <v>136360.495</v>
      </c>
      <c r="P342" s="2097">
        <v>0</v>
      </c>
      <c r="Q342" s="2097">
        <v>47162.63</v>
      </c>
      <c r="R342" s="2097">
        <v>17016.79</v>
      </c>
      <c r="S342" s="2097">
        <v>0</v>
      </c>
      <c r="T342" s="1313">
        <v>0</v>
      </c>
      <c r="U342" s="225">
        <v>17639.04</v>
      </c>
      <c r="V342" s="206">
        <f t="shared" si="30"/>
        <v>81818.459999999992</v>
      </c>
    </row>
    <row r="343" spans="1:22">
      <c r="A343" s="1340">
        <f t="shared" si="26"/>
        <v>2021.1</v>
      </c>
      <c r="B343" s="260">
        <v>1531</v>
      </c>
      <c r="C343" s="2097">
        <v>56</v>
      </c>
      <c r="D343" s="2097">
        <v>5562.1</v>
      </c>
      <c r="E343" s="2097">
        <v>89.87</v>
      </c>
      <c r="F343" s="260">
        <v>0</v>
      </c>
      <c r="G343" s="3034">
        <v>0</v>
      </c>
      <c r="H343" s="196">
        <f t="shared" si="27"/>
        <v>0</v>
      </c>
      <c r="I343" s="260">
        <v>724.6</v>
      </c>
      <c r="J343" s="1870">
        <v>0</v>
      </c>
      <c r="K343" s="263">
        <f t="shared" si="28"/>
        <v>724.6</v>
      </c>
      <c r="L343" s="1313">
        <v>131371.76999999999</v>
      </c>
      <c r="M343" s="225">
        <v>0</v>
      </c>
      <c r="N343" s="2097">
        <v>0</v>
      </c>
      <c r="O343" s="2158">
        <f t="shared" si="29"/>
        <v>131371.76999999999</v>
      </c>
      <c r="P343" s="2097">
        <v>0</v>
      </c>
      <c r="Q343" s="2097">
        <v>47954.9</v>
      </c>
      <c r="R343" s="2097">
        <v>19374.12</v>
      </c>
      <c r="S343" s="2097">
        <v>0</v>
      </c>
      <c r="T343" s="1313">
        <v>0</v>
      </c>
      <c r="U343" s="225">
        <v>16338.606</v>
      </c>
      <c r="V343" s="206">
        <f t="shared" si="30"/>
        <v>83667.626000000004</v>
      </c>
    </row>
    <row r="344" spans="1:22">
      <c r="A344" s="1340">
        <f t="shared" si="26"/>
        <v>2021.11</v>
      </c>
      <c r="B344" s="260">
        <v>1018</v>
      </c>
      <c r="C344" s="2097">
        <v>42</v>
      </c>
      <c r="D344" s="2097">
        <v>4946.08</v>
      </c>
      <c r="E344" s="2097">
        <v>172.12799999999999</v>
      </c>
      <c r="F344" s="260">
        <v>0</v>
      </c>
      <c r="G344" s="3034">
        <v>0</v>
      </c>
      <c r="H344" s="196">
        <f t="shared" si="27"/>
        <v>0</v>
      </c>
      <c r="I344" s="260">
        <v>704.26</v>
      </c>
      <c r="J344" s="1870">
        <v>0</v>
      </c>
      <c r="K344" s="263">
        <f t="shared" si="28"/>
        <v>704.26</v>
      </c>
      <c r="L344" s="1313">
        <v>138398.03200000001</v>
      </c>
      <c r="M344" s="225">
        <v>0</v>
      </c>
      <c r="N344" s="2097">
        <v>0</v>
      </c>
      <c r="O344" s="2158">
        <f t="shared" si="29"/>
        <v>138398.03200000001</v>
      </c>
      <c r="P344" s="2097">
        <v>0</v>
      </c>
      <c r="Q344" s="2097">
        <v>47763.55</v>
      </c>
      <c r="R344" s="2097">
        <v>19246.21</v>
      </c>
      <c r="S344" s="2097">
        <v>0</v>
      </c>
      <c r="T344" s="1313">
        <v>0</v>
      </c>
      <c r="U344" s="225">
        <v>14134.67</v>
      </c>
      <c r="V344" s="206">
        <f t="shared" si="30"/>
        <v>81144.430000000008</v>
      </c>
    </row>
    <row r="345" spans="1:22">
      <c r="A345" s="1340">
        <f t="shared" si="26"/>
        <v>2021.12</v>
      </c>
      <c r="B345" s="260">
        <v>1209</v>
      </c>
      <c r="C345" s="2097">
        <v>51</v>
      </c>
      <c r="D345" s="2097">
        <v>4326.58</v>
      </c>
      <c r="E345" s="2097">
        <v>130.00399999999999</v>
      </c>
      <c r="F345" s="260">
        <v>0</v>
      </c>
      <c r="G345" s="3034">
        <v>0</v>
      </c>
      <c r="H345" s="196">
        <f t="shared" si="27"/>
        <v>0</v>
      </c>
      <c r="I345" s="260">
        <v>492.18</v>
      </c>
      <c r="J345" s="1870">
        <v>5585.87</v>
      </c>
      <c r="K345" s="263">
        <f t="shared" si="28"/>
        <v>6078.05</v>
      </c>
      <c r="L345" s="1313">
        <v>141489.78399999999</v>
      </c>
      <c r="M345" s="225">
        <v>0</v>
      </c>
      <c r="N345" s="2097">
        <v>0</v>
      </c>
      <c r="O345" s="2158">
        <f t="shared" si="29"/>
        <v>141489.78399999999</v>
      </c>
      <c r="P345" s="2097">
        <v>0</v>
      </c>
      <c r="Q345" s="2097">
        <v>53696.12</v>
      </c>
      <c r="R345" s="2097">
        <v>22835.94</v>
      </c>
      <c r="S345" s="2097">
        <v>0</v>
      </c>
      <c r="T345" s="1313">
        <v>0</v>
      </c>
      <c r="U345" s="225">
        <v>10139.768</v>
      </c>
      <c r="V345" s="206">
        <f t="shared" si="30"/>
        <v>86671.827999999994</v>
      </c>
    </row>
    <row r="346" spans="1:22">
      <c r="A346" s="1340">
        <f t="shared" si="26"/>
        <v>2022.01</v>
      </c>
      <c r="B346" s="260">
        <v>1507</v>
      </c>
      <c r="C346" s="2097">
        <v>40</v>
      </c>
      <c r="D346" s="2097">
        <v>4120.28</v>
      </c>
      <c r="E346" s="2097">
        <v>87.343000000000004</v>
      </c>
      <c r="F346" s="260">
        <v>0</v>
      </c>
      <c r="G346" s="3034">
        <v>0</v>
      </c>
      <c r="H346" s="196">
        <f t="shared" si="27"/>
        <v>0</v>
      </c>
      <c r="I346" s="260">
        <v>619.94000000000005</v>
      </c>
      <c r="J346" s="1870">
        <v>0</v>
      </c>
      <c r="K346" s="263">
        <f t="shared" si="28"/>
        <v>619.94000000000005</v>
      </c>
      <c r="L346" s="1313">
        <v>119465.76999999999</v>
      </c>
      <c r="M346" s="225">
        <v>0</v>
      </c>
      <c r="N346" s="2097">
        <v>0</v>
      </c>
      <c r="O346" s="2158">
        <f t="shared" si="29"/>
        <v>119465.76999999999</v>
      </c>
      <c r="P346" s="2097">
        <v>0</v>
      </c>
      <c r="Q346" s="2097">
        <v>43368.02</v>
      </c>
      <c r="R346" s="2097">
        <v>18629.009999999998</v>
      </c>
      <c r="S346" s="2097">
        <v>0</v>
      </c>
      <c r="T346" s="1313">
        <v>0</v>
      </c>
      <c r="U346" s="225">
        <v>16362.5</v>
      </c>
      <c r="V346" s="206">
        <f t="shared" si="30"/>
        <v>78359.53</v>
      </c>
    </row>
    <row r="347" spans="1:22">
      <c r="A347" s="1340">
        <f t="shared" si="26"/>
        <v>2022.02</v>
      </c>
      <c r="B347" s="260">
        <v>1497</v>
      </c>
      <c r="C347" s="2097">
        <v>41</v>
      </c>
      <c r="D347" s="2097">
        <v>5145.9400000000005</v>
      </c>
      <c r="E347" s="2097">
        <v>186.32400000000001</v>
      </c>
      <c r="F347" s="260">
        <v>0</v>
      </c>
      <c r="G347" s="3034">
        <v>0</v>
      </c>
      <c r="H347" s="196">
        <f t="shared" si="27"/>
        <v>0</v>
      </c>
      <c r="I347" s="260">
        <v>751.92</v>
      </c>
      <c r="J347" s="1870">
        <v>0</v>
      </c>
      <c r="K347" s="263">
        <f t="shared" si="28"/>
        <v>751.92</v>
      </c>
      <c r="L347" s="1313">
        <v>114047.678</v>
      </c>
      <c r="M347" s="225">
        <v>0</v>
      </c>
      <c r="N347" s="2097">
        <v>0</v>
      </c>
      <c r="O347" s="2158">
        <f t="shared" si="29"/>
        <v>114047.678</v>
      </c>
      <c r="P347" s="2097">
        <v>0</v>
      </c>
      <c r="Q347" s="2097">
        <v>43721.11</v>
      </c>
      <c r="R347" s="2097">
        <v>19057.18</v>
      </c>
      <c r="S347" s="2097">
        <v>0</v>
      </c>
      <c r="T347" s="1313">
        <v>0</v>
      </c>
      <c r="U347" s="225">
        <v>1247</v>
      </c>
      <c r="V347" s="206">
        <f t="shared" si="30"/>
        <v>64025.29</v>
      </c>
    </row>
    <row r="348" spans="1:22">
      <c r="A348" s="1340">
        <f t="shared" si="26"/>
        <v>2022.03</v>
      </c>
      <c r="B348" s="260">
        <v>2619</v>
      </c>
      <c r="C348" s="2097">
        <v>53</v>
      </c>
      <c r="D348" s="2097">
        <v>4953.2</v>
      </c>
      <c r="E348" s="2097">
        <v>175.1</v>
      </c>
      <c r="F348" s="260">
        <v>0</v>
      </c>
      <c r="G348" s="3034">
        <v>0</v>
      </c>
      <c r="H348" s="196">
        <f t="shared" si="27"/>
        <v>0</v>
      </c>
      <c r="I348" s="260">
        <v>1406.47</v>
      </c>
      <c r="J348" s="1870">
        <v>7397.36</v>
      </c>
      <c r="K348" s="263">
        <f t="shared" si="28"/>
        <v>8803.83</v>
      </c>
      <c r="L348" s="1313">
        <v>128625.34000000003</v>
      </c>
      <c r="M348" s="225">
        <v>0</v>
      </c>
      <c r="N348" s="2097">
        <v>0</v>
      </c>
      <c r="O348" s="2158">
        <f t="shared" si="29"/>
        <v>128625.34000000003</v>
      </c>
      <c r="P348" s="2097">
        <v>0</v>
      </c>
      <c r="Q348" s="2097">
        <v>47329.17</v>
      </c>
      <c r="R348" s="2097">
        <v>19560.330000000002</v>
      </c>
      <c r="S348" s="2097">
        <v>0</v>
      </c>
      <c r="T348" s="1313">
        <v>0</v>
      </c>
      <c r="U348" s="225">
        <v>12925.1</v>
      </c>
      <c r="V348" s="206">
        <f t="shared" si="30"/>
        <v>79814.600000000006</v>
      </c>
    </row>
    <row r="349" spans="1:22">
      <c r="A349" s="1340">
        <f t="shared" si="26"/>
        <v>2022.04</v>
      </c>
      <c r="B349" s="260">
        <v>1345</v>
      </c>
      <c r="C349" s="2097">
        <v>37</v>
      </c>
      <c r="D349" s="2097">
        <v>4616.22</v>
      </c>
      <c r="E349" s="2097">
        <v>180.24099999999999</v>
      </c>
      <c r="F349" s="260">
        <v>0</v>
      </c>
      <c r="G349" s="3034">
        <v>0</v>
      </c>
      <c r="H349" s="196">
        <f t="shared" si="27"/>
        <v>0</v>
      </c>
      <c r="I349" s="260">
        <v>1312.4699999999998</v>
      </c>
      <c r="J349" s="1870">
        <v>9616.15</v>
      </c>
      <c r="K349" s="263">
        <f t="shared" si="28"/>
        <v>10928.619999999999</v>
      </c>
      <c r="L349" s="1313">
        <v>149451.804</v>
      </c>
      <c r="M349" s="225">
        <v>0</v>
      </c>
      <c r="N349" s="2097">
        <v>0</v>
      </c>
      <c r="O349" s="2158">
        <f t="shared" si="29"/>
        <v>149451.804</v>
      </c>
      <c r="P349" s="2097">
        <v>0</v>
      </c>
      <c r="Q349" s="2097">
        <v>45558.16</v>
      </c>
      <c r="R349" s="2097">
        <v>19354.13</v>
      </c>
      <c r="S349" s="2097">
        <v>0</v>
      </c>
      <c r="T349" s="1313">
        <v>1708</v>
      </c>
      <c r="U349" s="225">
        <v>8324.39</v>
      </c>
      <c r="V349" s="206">
        <f t="shared" si="30"/>
        <v>74944.680000000008</v>
      </c>
    </row>
    <row r="350" spans="1:22">
      <c r="A350" s="1340">
        <f t="shared" si="26"/>
        <v>2022.05</v>
      </c>
      <c r="B350" s="260">
        <v>1071</v>
      </c>
      <c r="C350" s="2097">
        <v>28</v>
      </c>
      <c r="D350" s="2097">
        <v>4345.96</v>
      </c>
      <c r="E350" s="2097">
        <v>177.15</v>
      </c>
      <c r="F350" s="260">
        <v>0</v>
      </c>
      <c r="G350" s="3034">
        <v>0</v>
      </c>
      <c r="H350" s="196">
        <f t="shared" si="27"/>
        <v>0</v>
      </c>
      <c r="I350" s="260">
        <v>2507.1</v>
      </c>
      <c r="J350" s="1870">
        <v>6903.3</v>
      </c>
      <c r="K350" s="263">
        <f t="shared" si="28"/>
        <v>9410.4</v>
      </c>
      <c r="L350" s="1313">
        <v>149460.087</v>
      </c>
      <c r="M350" s="225">
        <v>0</v>
      </c>
      <c r="N350" s="2097">
        <v>0</v>
      </c>
      <c r="O350" s="2158">
        <f t="shared" si="29"/>
        <v>149460.087</v>
      </c>
      <c r="P350" s="2097">
        <v>0</v>
      </c>
      <c r="Q350" s="2097">
        <v>44346.987999999998</v>
      </c>
      <c r="R350" s="2097">
        <v>18261.393</v>
      </c>
      <c r="S350" s="2097">
        <v>0</v>
      </c>
      <c r="T350" s="1313">
        <v>0</v>
      </c>
      <c r="U350" s="225">
        <v>166</v>
      </c>
      <c r="V350" s="206">
        <f t="shared" si="30"/>
        <v>62774.380999999994</v>
      </c>
    </row>
    <row r="351" spans="1:22">
      <c r="A351" s="1340">
        <f t="shared" si="26"/>
        <v>2022.06</v>
      </c>
      <c r="B351" s="260">
        <v>1736</v>
      </c>
      <c r="C351" s="2097">
        <v>10</v>
      </c>
      <c r="D351" s="2097">
        <v>4250.87</v>
      </c>
      <c r="E351" s="2097">
        <v>281</v>
      </c>
      <c r="F351" s="260">
        <v>0</v>
      </c>
      <c r="G351" s="3034">
        <v>0</v>
      </c>
      <c r="H351" s="196">
        <f t="shared" si="27"/>
        <v>0</v>
      </c>
      <c r="I351" s="260">
        <v>1464</v>
      </c>
      <c r="J351" s="1870">
        <v>0</v>
      </c>
      <c r="K351" s="263">
        <f t="shared" si="28"/>
        <v>1464</v>
      </c>
      <c r="L351" s="1313">
        <v>143151.79</v>
      </c>
      <c r="M351" s="225">
        <v>632.29999999999995</v>
      </c>
      <c r="N351" s="2097">
        <v>0</v>
      </c>
      <c r="O351" s="2158">
        <f t="shared" si="29"/>
        <v>143784.09</v>
      </c>
      <c r="P351" s="2097">
        <v>0</v>
      </c>
      <c r="Q351" s="2097">
        <v>45397.66</v>
      </c>
      <c r="R351" s="2097">
        <v>19141.89</v>
      </c>
      <c r="S351" s="2097">
        <v>0</v>
      </c>
      <c r="T351" s="1313">
        <v>0</v>
      </c>
      <c r="U351" s="225">
        <v>12597.734999999999</v>
      </c>
      <c r="V351" s="206">
        <f t="shared" si="30"/>
        <v>77137.285000000003</v>
      </c>
    </row>
    <row r="352" spans="1:22">
      <c r="A352" s="1340">
        <f t="shared" si="26"/>
        <v>2022.07</v>
      </c>
      <c r="B352" s="260">
        <v>1594</v>
      </c>
      <c r="C352" s="2097">
        <v>22</v>
      </c>
      <c r="D352" s="2097">
        <v>4223.66</v>
      </c>
      <c r="E352" s="2097">
        <v>177.94</v>
      </c>
      <c r="F352" s="260">
        <v>0</v>
      </c>
      <c r="G352" s="3034">
        <v>0</v>
      </c>
      <c r="H352" s="196">
        <f t="shared" si="27"/>
        <v>0</v>
      </c>
      <c r="I352" s="260">
        <v>16964.12</v>
      </c>
      <c r="J352" s="1870">
        <v>0</v>
      </c>
      <c r="K352" s="263">
        <f t="shared" si="28"/>
        <v>16964.12</v>
      </c>
      <c r="L352" s="1313">
        <v>141978.163</v>
      </c>
      <c r="M352" s="225">
        <v>0</v>
      </c>
      <c r="N352" s="2097">
        <v>0</v>
      </c>
      <c r="O352" s="2158">
        <f t="shared" si="29"/>
        <v>141978.163</v>
      </c>
      <c r="P352" s="2097">
        <v>0</v>
      </c>
      <c r="Q352" s="2097">
        <v>46447.375</v>
      </c>
      <c r="R352" s="2097">
        <v>19091.923999999999</v>
      </c>
      <c r="S352" s="2097">
        <v>0</v>
      </c>
      <c r="T352" s="1313">
        <v>18843.620000000003</v>
      </c>
      <c r="U352" s="225">
        <v>4893.59</v>
      </c>
      <c r="V352" s="206">
        <f t="shared" si="30"/>
        <v>89276.508999999991</v>
      </c>
    </row>
    <row r="353" spans="1:22">
      <c r="A353" s="1340">
        <f t="shared" si="26"/>
        <v>2022.08</v>
      </c>
      <c r="B353" s="260">
        <v>1686</v>
      </c>
      <c r="C353" s="2097">
        <v>32</v>
      </c>
      <c r="D353" s="2097">
        <v>5424.18</v>
      </c>
      <c r="E353" s="2097">
        <v>183</v>
      </c>
      <c r="F353" s="260">
        <v>0</v>
      </c>
      <c r="G353" s="3034">
        <v>0</v>
      </c>
      <c r="H353" s="196">
        <f t="shared" si="27"/>
        <v>0</v>
      </c>
      <c r="I353" s="260">
        <v>839</v>
      </c>
      <c r="J353" s="1870">
        <v>0</v>
      </c>
      <c r="K353" s="263">
        <f t="shared" si="28"/>
        <v>839</v>
      </c>
      <c r="L353" s="1313">
        <v>139727.15</v>
      </c>
      <c r="M353" s="225">
        <v>0</v>
      </c>
      <c r="N353" s="2097">
        <v>0</v>
      </c>
      <c r="O353" s="2158">
        <f t="shared" si="29"/>
        <v>139727.15</v>
      </c>
      <c r="P353" s="2097">
        <v>0</v>
      </c>
      <c r="Q353" s="2097">
        <v>47071.78</v>
      </c>
      <c r="R353" s="2097">
        <v>19149.689999999999</v>
      </c>
      <c r="S353" s="2097">
        <v>0</v>
      </c>
      <c r="T353" s="1313">
        <v>0</v>
      </c>
      <c r="U353" s="225">
        <v>1394</v>
      </c>
      <c r="V353" s="206">
        <f t="shared" si="30"/>
        <v>67615.47</v>
      </c>
    </row>
    <row r="354" spans="1:22">
      <c r="A354" s="1340">
        <f t="shared" si="26"/>
        <v>2022.09</v>
      </c>
      <c r="B354" s="260">
        <v>1720</v>
      </c>
      <c r="C354" s="2097">
        <v>78</v>
      </c>
      <c r="D354" s="2097">
        <v>5540.02</v>
      </c>
      <c r="E354" s="2097">
        <v>89</v>
      </c>
      <c r="F354" s="260">
        <v>0</v>
      </c>
      <c r="G354" s="3034">
        <v>0</v>
      </c>
      <c r="H354" s="196">
        <f t="shared" si="27"/>
        <v>0</v>
      </c>
      <c r="I354" s="260">
        <v>676</v>
      </c>
      <c r="J354" s="1870">
        <v>6207</v>
      </c>
      <c r="K354" s="263">
        <f t="shared" si="28"/>
        <v>6883</v>
      </c>
      <c r="L354" s="1313">
        <v>132299.23000000001</v>
      </c>
      <c r="M354" s="225">
        <v>0</v>
      </c>
      <c r="N354" s="2097">
        <v>0</v>
      </c>
      <c r="O354" s="2158">
        <f t="shared" si="29"/>
        <v>132299.23000000001</v>
      </c>
      <c r="P354" s="2097">
        <v>0</v>
      </c>
      <c r="Q354" s="2097">
        <v>47516.21</v>
      </c>
      <c r="R354" s="2097">
        <v>18937.27</v>
      </c>
      <c r="S354" s="2097">
        <v>0</v>
      </c>
      <c r="T354" s="1313">
        <v>0</v>
      </c>
      <c r="U354" s="225">
        <v>1082</v>
      </c>
      <c r="V354" s="206">
        <f t="shared" si="30"/>
        <v>67535.48</v>
      </c>
    </row>
    <row r="355" spans="1:22">
      <c r="A355" s="1340">
        <f t="shared" si="26"/>
        <v>2022.1</v>
      </c>
      <c r="B355" s="260">
        <v>1674</v>
      </c>
      <c r="C355" s="2097">
        <v>70</v>
      </c>
      <c r="D355" s="2097">
        <v>4222.0200000000004</v>
      </c>
      <c r="E355" s="2097">
        <v>51</v>
      </c>
      <c r="F355" s="260">
        <v>0</v>
      </c>
      <c r="G355" s="3034">
        <v>0</v>
      </c>
      <c r="H355" s="196">
        <f t="shared" si="27"/>
        <v>0</v>
      </c>
      <c r="I355" s="260">
        <v>689</v>
      </c>
      <c r="J355" s="1870">
        <v>6163.94</v>
      </c>
      <c r="K355" s="263">
        <f t="shared" si="28"/>
        <v>6852.94</v>
      </c>
      <c r="L355" s="1313">
        <v>125497.09</v>
      </c>
      <c r="M355" s="225">
        <v>0</v>
      </c>
      <c r="N355" s="2097">
        <v>0</v>
      </c>
      <c r="O355" s="2158">
        <f t="shared" si="29"/>
        <v>125497.09</v>
      </c>
      <c r="P355" s="2097">
        <v>0</v>
      </c>
      <c r="Q355" s="2097">
        <v>49396.9</v>
      </c>
      <c r="R355" s="2097">
        <v>19595.48</v>
      </c>
      <c r="S355" s="2097">
        <v>0</v>
      </c>
      <c r="T355" s="1313">
        <v>0</v>
      </c>
      <c r="U355" s="225">
        <v>25612.117999999999</v>
      </c>
      <c r="V355" s="206">
        <f t="shared" si="30"/>
        <v>94604.498000000007</v>
      </c>
    </row>
    <row r="356" spans="1:22">
      <c r="A356" s="1340">
        <f t="shared" si="26"/>
        <v>2022.11</v>
      </c>
      <c r="B356" s="260">
        <v>1042</v>
      </c>
      <c r="C356" s="2097">
        <v>70</v>
      </c>
      <c r="D356" s="2097">
        <v>6709.28</v>
      </c>
      <c r="E356" s="2097">
        <v>101</v>
      </c>
      <c r="F356" s="260">
        <v>0</v>
      </c>
      <c r="G356" s="3034">
        <v>0</v>
      </c>
      <c r="H356" s="196">
        <f t="shared" si="27"/>
        <v>0</v>
      </c>
      <c r="I356" s="260">
        <v>714</v>
      </c>
      <c r="J356" s="1870">
        <v>0</v>
      </c>
      <c r="K356" s="263">
        <f t="shared" si="28"/>
        <v>714</v>
      </c>
      <c r="L356" s="1313">
        <v>139110.48000000001</v>
      </c>
      <c r="M356" s="225">
        <v>0</v>
      </c>
      <c r="N356" s="2097">
        <v>0</v>
      </c>
      <c r="O356" s="2158">
        <f t="shared" si="29"/>
        <v>139110.48000000001</v>
      </c>
      <c r="P356" s="2097">
        <v>0</v>
      </c>
      <c r="Q356" s="2097">
        <v>49193.06</v>
      </c>
      <c r="R356" s="2097">
        <v>18651.59</v>
      </c>
      <c r="S356" s="2097">
        <v>0</v>
      </c>
      <c r="T356" s="1313">
        <v>18307.78</v>
      </c>
      <c r="U356" s="225">
        <v>852</v>
      </c>
      <c r="V356" s="206">
        <f t="shared" si="30"/>
        <v>87004.43</v>
      </c>
    </row>
    <row r="357" spans="1:22">
      <c r="A357" s="1340">
        <f t="shared" si="26"/>
        <v>2022.12</v>
      </c>
      <c r="B357" s="260">
        <v>1142</v>
      </c>
      <c r="C357" s="2097">
        <v>81</v>
      </c>
      <c r="D357" s="2097">
        <v>5206.8500000000004</v>
      </c>
      <c r="E357" s="2097">
        <v>57</v>
      </c>
      <c r="F357" s="260">
        <v>0</v>
      </c>
      <c r="G357" s="3034">
        <v>0</v>
      </c>
      <c r="H357" s="196">
        <f t="shared" si="27"/>
        <v>0</v>
      </c>
      <c r="I357" s="260">
        <v>492</v>
      </c>
      <c r="J357" s="1870">
        <v>8850.2800000000007</v>
      </c>
      <c r="K357" s="263">
        <f t="shared" si="28"/>
        <v>9342.2800000000007</v>
      </c>
      <c r="L357" s="1313">
        <v>131788.71</v>
      </c>
      <c r="M357" s="225">
        <v>0</v>
      </c>
      <c r="N357" s="2097">
        <v>0</v>
      </c>
      <c r="O357" s="2158">
        <f t="shared" si="29"/>
        <v>131788.71</v>
      </c>
      <c r="P357" s="2097">
        <v>0</v>
      </c>
      <c r="Q357" s="2097">
        <v>53490.63</v>
      </c>
      <c r="R357" s="2097">
        <v>20271.64</v>
      </c>
      <c r="S357" s="2097">
        <v>0</v>
      </c>
      <c r="T357" s="1313">
        <v>0</v>
      </c>
      <c r="U357" s="225">
        <v>798</v>
      </c>
      <c r="V357" s="206">
        <f t="shared" si="30"/>
        <v>74560.26999999999</v>
      </c>
    </row>
    <row r="358" spans="1:22">
      <c r="A358" s="1340">
        <f t="shared" si="26"/>
        <v>2023.01</v>
      </c>
      <c r="B358" s="260">
        <v>3255</v>
      </c>
      <c r="C358" s="2097">
        <v>66</v>
      </c>
      <c r="D358" s="2097">
        <v>5354.76</v>
      </c>
      <c r="E358" s="2097">
        <v>66</v>
      </c>
      <c r="F358" s="260">
        <v>0</v>
      </c>
      <c r="G358" s="3034">
        <v>0</v>
      </c>
      <c r="H358" s="196">
        <f t="shared" si="27"/>
        <v>0</v>
      </c>
      <c r="I358" s="260">
        <v>647</v>
      </c>
      <c r="J358" s="1870">
        <v>0</v>
      </c>
      <c r="K358" s="263">
        <f t="shared" si="28"/>
        <v>647</v>
      </c>
      <c r="L358" s="1313">
        <v>112481.3</v>
      </c>
      <c r="M358" s="225">
        <v>0</v>
      </c>
      <c r="N358" s="2097">
        <v>0</v>
      </c>
      <c r="O358" s="2158">
        <f t="shared" si="29"/>
        <v>112481.3</v>
      </c>
      <c r="P358" s="2097">
        <v>0</v>
      </c>
      <c r="Q358" s="2097">
        <v>49808.49</v>
      </c>
      <c r="R358" s="2097">
        <v>18384.34</v>
      </c>
      <c r="S358" s="2097">
        <v>0</v>
      </c>
      <c r="T358" s="1313">
        <v>0</v>
      </c>
      <c r="U358" s="225">
        <v>1515</v>
      </c>
      <c r="V358" s="206">
        <f t="shared" si="30"/>
        <v>69707.83</v>
      </c>
    </row>
    <row r="359" spans="1:22">
      <c r="A359" s="1340">
        <f t="shared" si="26"/>
        <v>2023.02</v>
      </c>
      <c r="B359" s="260">
        <v>1935</v>
      </c>
      <c r="C359" s="2097">
        <v>91</v>
      </c>
      <c r="D359" s="2097">
        <v>5138.76</v>
      </c>
      <c r="E359" s="2097">
        <v>81</v>
      </c>
      <c r="F359" s="260">
        <v>0</v>
      </c>
      <c r="G359" s="3034">
        <v>0</v>
      </c>
      <c r="H359" s="196">
        <f t="shared" si="27"/>
        <v>0</v>
      </c>
      <c r="I359" s="260">
        <v>429</v>
      </c>
      <c r="J359" s="1870">
        <v>5762.08</v>
      </c>
      <c r="K359" s="263">
        <f t="shared" si="28"/>
        <v>6191.08</v>
      </c>
      <c r="L359" s="1313">
        <v>100370.90700000001</v>
      </c>
      <c r="M359" s="225">
        <v>0</v>
      </c>
      <c r="N359" s="2097">
        <v>0</v>
      </c>
      <c r="O359" s="2158">
        <f t="shared" si="29"/>
        <v>100370.90700000001</v>
      </c>
      <c r="P359" s="2097">
        <v>0</v>
      </c>
      <c r="Q359" s="2097">
        <v>47416.777000000002</v>
      </c>
      <c r="R359" s="2097">
        <v>17250.305</v>
      </c>
      <c r="S359" s="2097">
        <v>0</v>
      </c>
      <c r="T359" s="1313">
        <v>0</v>
      </c>
      <c r="U359" s="225">
        <v>913</v>
      </c>
      <c r="V359" s="206">
        <f t="shared" si="30"/>
        <v>65580.081999999995</v>
      </c>
    </row>
    <row r="360" spans="1:22">
      <c r="A360" s="1340">
        <f t="shared" si="26"/>
        <v>2023.03</v>
      </c>
      <c r="B360" s="260">
        <v>1757</v>
      </c>
      <c r="C360" s="2097">
        <v>73</v>
      </c>
      <c r="D360" s="2097">
        <v>8143.28</v>
      </c>
      <c r="E360" s="2097">
        <v>36</v>
      </c>
      <c r="F360" s="260">
        <v>0</v>
      </c>
      <c r="G360" s="3034">
        <v>0</v>
      </c>
      <c r="H360" s="196">
        <f t="shared" si="27"/>
        <v>0</v>
      </c>
      <c r="I360" s="260">
        <v>651</v>
      </c>
      <c r="J360" s="1870">
        <v>0</v>
      </c>
      <c r="K360" s="263">
        <f t="shared" si="28"/>
        <v>651</v>
      </c>
      <c r="L360" s="1313">
        <v>124557.87</v>
      </c>
      <c r="M360" s="225">
        <v>0</v>
      </c>
      <c r="N360" s="2097">
        <v>0</v>
      </c>
      <c r="O360" s="2158">
        <f t="shared" si="29"/>
        <v>124557.87</v>
      </c>
      <c r="P360" s="2097">
        <v>0</v>
      </c>
      <c r="Q360" s="2097">
        <v>55681.68</v>
      </c>
      <c r="R360" s="2097">
        <v>19077.419999999998</v>
      </c>
      <c r="S360" s="2097">
        <v>0</v>
      </c>
      <c r="T360" s="1313">
        <v>0</v>
      </c>
      <c r="U360" s="225">
        <v>14468.1</v>
      </c>
      <c r="V360" s="206">
        <f t="shared" si="30"/>
        <v>89227.200000000012</v>
      </c>
    </row>
    <row r="361" spans="1:22">
      <c r="A361" s="1340">
        <f t="shared" si="26"/>
        <v>2023.04</v>
      </c>
      <c r="B361" s="260">
        <v>1363</v>
      </c>
      <c r="C361" s="2097">
        <v>63</v>
      </c>
      <c r="D361" s="2097">
        <v>6245.34</v>
      </c>
      <c r="E361" s="2097">
        <v>93</v>
      </c>
      <c r="F361" s="260">
        <v>0</v>
      </c>
      <c r="G361" s="3034">
        <v>0</v>
      </c>
      <c r="H361" s="196">
        <f t="shared" si="27"/>
        <v>0</v>
      </c>
      <c r="I361" s="260">
        <v>903</v>
      </c>
      <c r="J361" s="1870">
        <v>0</v>
      </c>
      <c r="K361" s="263">
        <f t="shared" si="28"/>
        <v>903</v>
      </c>
      <c r="L361" s="1313">
        <v>127369.73999999999</v>
      </c>
      <c r="M361" s="225">
        <v>9361</v>
      </c>
      <c r="N361" s="2097">
        <v>0</v>
      </c>
      <c r="O361" s="2158">
        <f t="shared" si="29"/>
        <v>136730.74</v>
      </c>
      <c r="P361" s="2097">
        <v>0</v>
      </c>
      <c r="Q361" s="2097">
        <v>48649.07</v>
      </c>
      <c r="R361" s="2097">
        <v>17530.72</v>
      </c>
      <c r="S361" s="2097">
        <v>5205</v>
      </c>
      <c r="T361" s="1313">
        <v>0</v>
      </c>
      <c r="U361" s="225">
        <v>10451.67</v>
      </c>
      <c r="V361" s="206">
        <f t="shared" si="30"/>
        <v>81836.460000000006</v>
      </c>
    </row>
    <row r="362" spans="1:22">
      <c r="A362" s="1340">
        <f t="shared" si="26"/>
        <v>2023.05</v>
      </c>
      <c r="B362" s="260">
        <v>1484</v>
      </c>
      <c r="C362" s="2097">
        <v>50</v>
      </c>
      <c r="D362" s="2097">
        <v>4733.5</v>
      </c>
      <c r="E362" s="2097">
        <v>101</v>
      </c>
      <c r="F362" s="260">
        <v>0</v>
      </c>
      <c r="G362" s="3034">
        <v>0</v>
      </c>
      <c r="H362" s="196">
        <f t="shared" si="27"/>
        <v>0</v>
      </c>
      <c r="I362" s="260">
        <v>682</v>
      </c>
      <c r="J362" s="1870">
        <v>6103.2</v>
      </c>
      <c r="K362" s="263">
        <f t="shared" si="28"/>
        <v>6785.2</v>
      </c>
      <c r="L362" s="1313">
        <v>152611.76999999999</v>
      </c>
      <c r="M362" s="225">
        <v>10124</v>
      </c>
      <c r="N362" s="2097">
        <v>0</v>
      </c>
      <c r="O362" s="2158">
        <f t="shared" si="29"/>
        <v>162735.76999999999</v>
      </c>
      <c r="P362" s="2097">
        <v>0</v>
      </c>
      <c r="Q362" s="2097">
        <v>47804.4</v>
      </c>
      <c r="R362" s="2097">
        <v>17941.3</v>
      </c>
      <c r="S362" s="2097">
        <v>5204</v>
      </c>
      <c r="T362" s="1313">
        <v>0</v>
      </c>
      <c r="U362" s="225">
        <v>12678.4</v>
      </c>
      <c r="V362" s="206">
        <f t="shared" si="30"/>
        <v>83628.099999999991</v>
      </c>
    </row>
    <row r="363" spans="1:22">
      <c r="A363" s="1340">
        <f t="shared" si="26"/>
        <v>2023.06</v>
      </c>
      <c r="B363" s="260">
        <v>1653</v>
      </c>
      <c r="C363" s="2097">
        <v>75</v>
      </c>
      <c r="D363" s="2097">
        <v>6131.46</v>
      </c>
      <c r="E363" s="2097">
        <v>102</v>
      </c>
      <c r="F363" s="260">
        <v>0</v>
      </c>
      <c r="G363" s="3034">
        <v>0</v>
      </c>
      <c r="H363" s="196">
        <f t="shared" si="27"/>
        <v>0</v>
      </c>
      <c r="I363" s="260">
        <v>677</v>
      </c>
      <c r="J363" s="1870">
        <v>0</v>
      </c>
      <c r="K363" s="263">
        <f t="shared" si="28"/>
        <v>677</v>
      </c>
      <c r="L363" s="1313">
        <v>112989.75</v>
      </c>
      <c r="M363" s="225">
        <v>9878</v>
      </c>
      <c r="N363" s="2097">
        <v>0</v>
      </c>
      <c r="O363" s="2158">
        <f t="shared" si="29"/>
        <v>122867.75</v>
      </c>
      <c r="P363" s="2097">
        <v>0</v>
      </c>
      <c r="Q363" s="2097">
        <v>50064.69</v>
      </c>
      <c r="R363" s="2097">
        <v>17714.57</v>
      </c>
      <c r="S363" s="2097">
        <v>5391</v>
      </c>
      <c r="T363" s="1313">
        <v>74</v>
      </c>
      <c r="U363" s="225">
        <v>17346.7</v>
      </c>
      <c r="V363" s="206">
        <f t="shared" si="30"/>
        <v>90590.96</v>
      </c>
    </row>
    <row r="364" spans="1:22">
      <c r="A364" s="1340">
        <f t="shared" si="26"/>
        <v>2023.07</v>
      </c>
      <c r="B364" s="260">
        <v>1954</v>
      </c>
      <c r="C364" s="2097">
        <v>69</v>
      </c>
      <c r="D364" s="2097">
        <v>4645.3999999999996</v>
      </c>
      <c r="E364" s="2097">
        <v>203</v>
      </c>
      <c r="F364" s="260">
        <v>0</v>
      </c>
      <c r="G364" s="3034">
        <v>0</v>
      </c>
      <c r="H364" s="196">
        <f t="shared" si="27"/>
        <v>0</v>
      </c>
      <c r="I364" s="260">
        <v>1057</v>
      </c>
      <c r="J364" s="1870">
        <v>6122.63</v>
      </c>
      <c r="K364" s="263">
        <f t="shared" si="28"/>
        <v>7179.63</v>
      </c>
      <c r="L364" s="1313">
        <v>130346.97</v>
      </c>
      <c r="M364" s="225">
        <v>10637</v>
      </c>
      <c r="N364" s="2097">
        <v>0</v>
      </c>
      <c r="O364" s="2158">
        <f t="shared" si="29"/>
        <v>140983.97</v>
      </c>
      <c r="P364" s="2097">
        <v>0</v>
      </c>
      <c r="Q364" s="2097">
        <v>51023.14</v>
      </c>
      <c r="R364" s="2097">
        <v>19000.7</v>
      </c>
      <c r="S364" s="2097">
        <v>5392</v>
      </c>
      <c r="T364" s="1313">
        <v>37</v>
      </c>
      <c r="U364" s="225">
        <v>10384.379999999999</v>
      </c>
      <c r="V364" s="206">
        <f t="shared" si="30"/>
        <v>85837.22</v>
      </c>
    </row>
    <row r="365" spans="1:22">
      <c r="A365" s="1340">
        <f t="shared" si="26"/>
        <v>2023.08</v>
      </c>
      <c r="B365" s="260">
        <v>2467</v>
      </c>
      <c r="C365" s="2097">
        <v>113</v>
      </c>
      <c r="D365" s="2097">
        <v>3274.4</v>
      </c>
      <c r="E365" s="2097">
        <v>92</v>
      </c>
      <c r="F365" s="260">
        <v>0</v>
      </c>
      <c r="G365" s="3034">
        <v>0</v>
      </c>
      <c r="H365" s="196">
        <f t="shared" si="27"/>
        <v>0</v>
      </c>
      <c r="I365" s="260">
        <v>606</v>
      </c>
      <c r="J365" s="1870">
        <v>6245.4</v>
      </c>
      <c r="K365" s="263">
        <f t="shared" si="28"/>
        <v>6851.4</v>
      </c>
      <c r="L365" s="1313">
        <v>137037.67000000001</v>
      </c>
      <c r="M365" s="225">
        <v>10340</v>
      </c>
      <c r="N365" s="2097">
        <v>0</v>
      </c>
      <c r="O365" s="2158">
        <f t="shared" si="29"/>
        <v>147377.67000000001</v>
      </c>
      <c r="P365" s="2097">
        <v>0</v>
      </c>
      <c r="Q365" s="2097">
        <v>50307.51</v>
      </c>
      <c r="R365" s="2097">
        <v>18555.23</v>
      </c>
      <c r="S365" s="2097">
        <v>5392</v>
      </c>
      <c r="T365" s="1313">
        <v>0</v>
      </c>
      <c r="U365" s="225">
        <v>11176.04</v>
      </c>
      <c r="V365" s="206">
        <f t="shared" si="30"/>
        <v>85430.78</v>
      </c>
    </row>
    <row r="366" spans="1:22">
      <c r="A366" s="1340">
        <f t="shared" si="26"/>
        <v>2023.09</v>
      </c>
      <c r="B366" s="260">
        <v>1310</v>
      </c>
      <c r="C366" s="2097">
        <v>113</v>
      </c>
      <c r="D366" s="2097">
        <v>3473.34</v>
      </c>
      <c r="E366" s="2097">
        <v>78</v>
      </c>
      <c r="F366" s="260">
        <v>0</v>
      </c>
      <c r="G366" s="3034">
        <v>0</v>
      </c>
      <c r="H366" s="196">
        <f t="shared" si="27"/>
        <v>0</v>
      </c>
      <c r="I366" s="260">
        <v>499</v>
      </c>
      <c r="J366" s="1870">
        <v>0</v>
      </c>
      <c r="K366" s="263">
        <f t="shared" si="28"/>
        <v>499</v>
      </c>
      <c r="L366" s="1313">
        <v>124297.18000000001</v>
      </c>
      <c r="M366" s="225">
        <v>8712</v>
      </c>
      <c r="N366" s="2097">
        <v>0</v>
      </c>
      <c r="O366" s="2158">
        <f t="shared" si="29"/>
        <v>133009.18</v>
      </c>
      <c r="P366" s="2097">
        <v>0</v>
      </c>
      <c r="Q366" s="2097">
        <v>45904.51</v>
      </c>
      <c r="R366" s="2097">
        <v>18479.78</v>
      </c>
      <c r="S366" s="2097">
        <v>5173</v>
      </c>
      <c r="T366" s="1313">
        <v>37</v>
      </c>
      <c r="U366" s="225">
        <v>13623.34</v>
      </c>
      <c r="V366" s="206">
        <f t="shared" si="30"/>
        <v>83217.63</v>
      </c>
    </row>
    <row r="367" spans="1:22">
      <c r="A367" s="1340">
        <f t="shared" si="26"/>
        <v>2023.1</v>
      </c>
      <c r="B367" s="260">
        <v>1785</v>
      </c>
      <c r="C367" s="2097">
        <v>109</v>
      </c>
      <c r="D367" s="2097">
        <v>2502.88</v>
      </c>
      <c r="E367" s="2097">
        <v>51</v>
      </c>
      <c r="F367" s="260">
        <v>0</v>
      </c>
      <c r="G367" s="3034">
        <v>0</v>
      </c>
      <c r="H367" s="196">
        <f t="shared" si="27"/>
        <v>0</v>
      </c>
      <c r="I367" s="260">
        <v>666</v>
      </c>
      <c r="J367" s="1870">
        <v>584.08000000000004</v>
      </c>
      <c r="K367" s="263">
        <f t="shared" si="28"/>
        <v>1250.08</v>
      </c>
      <c r="L367" s="1313">
        <v>130910.46799999999</v>
      </c>
      <c r="M367" s="225">
        <v>8499</v>
      </c>
      <c r="N367" s="2097">
        <v>0</v>
      </c>
      <c r="O367" s="2158">
        <f t="shared" si="29"/>
        <v>139409.46799999999</v>
      </c>
      <c r="P367" s="2097">
        <v>0</v>
      </c>
      <c r="Q367" s="2097">
        <v>50196.610999999997</v>
      </c>
      <c r="R367" s="2097">
        <v>21970.628000000001</v>
      </c>
      <c r="S367" s="2097">
        <v>4880</v>
      </c>
      <c r="T367" s="1313">
        <v>0</v>
      </c>
      <c r="U367" s="225">
        <v>16609.084999999999</v>
      </c>
      <c r="V367" s="206">
        <f t="shared" si="30"/>
        <v>93656.323999999993</v>
      </c>
    </row>
    <row r="368" spans="1:22">
      <c r="A368" s="1340">
        <f t="shared" si="26"/>
        <v>2023.11</v>
      </c>
      <c r="B368" s="260">
        <v>2198</v>
      </c>
      <c r="C368" s="2097">
        <v>64</v>
      </c>
      <c r="D368" s="2097">
        <v>2160.88</v>
      </c>
      <c r="E368" s="2097">
        <v>89</v>
      </c>
      <c r="F368" s="260">
        <v>0</v>
      </c>
      <c r="G368" s="3034">
        <v>0</v>
      </c>
      <c r="H368" s="196">
        <f t="shared" si="27"/>
        <v>0</v>
      </c>
      <c r="I368" s="260">
        <v>574</v>
      </c>
      <c r="J368" s="1870">
        <v>0</v>
      </c>
      <c r="K368" s="263">
        <f t="shared" si="28"/>
        <v>574</v>
      </c>
      <c r="L368" s="1313">
        <v>134881.63399999999</v>
      </c>
      <c r="M368" s="225">
        <v>9224</v>
      </c>
      <c r="N368" s="2097">
        <v>0</v>
      </c>
      <c r="O368" s="2158">
        <f t="shared" si="29"/>
        <v>144105.63399999999</v>
      </c>
      <c r="P368" s="2097">
        <v>0</v>
      </c>
      <c r="Q368" s="2097">
        <v>49851.936000000002</v>
      </c>
      <c r="R368" s="2097">
        <v>18306.526000000002</v>
      </c>
      <c r="S368" s="2097">
        <v>5446</v>
      </c>
      <c r="T368" s="1313">
        <v>0</v>
      </c>
      <c r="U368" s="225">
        <v>3732.62</v>
      </c>
      <c r="V368" s="206">
        <f t="shared" si="30"/>
        <v>77337.081999999995</v>
      </c>
    </row>
    <row r="369" spans="1:22">
      <c r="A369" s="1340">
        <f t="shared" si="26"/>
        <v>2023.12</v>
      </c>
      <c r="B369" s="260">
        <v>2217</v>
      </c>
      <c r="C369" s="2097">
        <v>78</v>
      </c>
      <c r="D369" s="2097">
        <v>1143.6600000000001</v>
      </c>
      <c r="E369" s="2097">
        <v>69</v>
      </c>
      <c r="F369" s="260">
        <v>0</v>
      </c>
      <c r="G369" s="3034">
        <v>0</v>
      </c>
      <c r="H369" s="196">
        <f t="shared" si="27"/>
        <v>0</v>
      </c>
      <c r="I369" s="260">
        <v>105</v>
      </c>
      <c r="J369" s="1870">
        <v>0</v>
      </c>
      <c r="K369" s="263">
        <f t="shared" si="28"/>
        <v>105</v>
      </c>
      <c r="L369" s="1313">
        <v>113281.716</v>
      </c>
      <c r="M369" s="225">
        <v>8200</v>
      </c>
      <c r="N369" s="2097">
        <v>0</v>
      </c>
      <c r="O369" s="2158">
        <f t="shared" si="29"/>
        <v>121481.716</v>
      </c>
      <c r="P369" s="2097">
        <v>0</v>
      </c>
      <c r="Q369" s="2097">
        <v>51021.362999999998</v>
      </c>
      <c r="R369" s="2097">
        <v>17917.84</v>
      </c>
      <c r="S369" s="2097">
        <v>4650</v>
      </c>
      <c r="T369" s="1313">
        <v>120.7</v>
      </c>
      <c r="U369" s="225">
        <v>9535.86</v>
      </c>
      <c r="V369" s="206">
        <f t="shared" si="30"/>
        <v>83245.762999999992</v>
      </c>
    </row>
    <row r="370" spans="1:22">
      <c r="A370" s="1340">
        <f t="shared" si="26"/>
        <v>2024.01</v>
      </c>
      <c r="B370" s="260">
        <v>1918</v>
      </c>
      <c r="C370" s="2097">
        <v>80</v>
      </c>
      <c r="D370" s="2097">
        <v>1167.8600000000001</v>
      </c>
      <c r="E370" s="2097">
        <v>27</v>
      </c>
      <c r="F370" s="260">
        <v>0</v>
      </c>
      <c r="G370" s="3034">
        <v>0</v>
      </c>
      <c r="H370" s="196">
        <f t="shared" si="27"/>
        <v>0</v>
      </c>
      <c r="I370" s="260">
        <v>117</v>
      </c>
      <c r="J370" s="1870">
        <v>0</v>
      </c>
      <c r="K370" s="263">
        <f t="shared" si="28"/>
        <v>117</v>
      </c>
      <c r="L370" s="1313">
        <v>110424.061</v>
      </c>
      <c r="M370" s="225">
        <v>7398</v>
      </c>
      <c r="N370" s="2097">
        <v>0</v>
      </c>
      <c r="O370" s="2158">
        <f t="shared" si="29"/>
        <v>117822.061</v>
      </c>
      <c r="P370" s="2097">
        <v>0</v>
      </c>
      <c r="Q370" s="2097">
        <v>50007.256000000001</v>
      </c>
      <c r="R370" s="2097">
        <v>14410.227999999999</v>
      </c>
      <c r="S370" s="2097">
        <v>20694.78</v>
      </c>
      <c r="T370" s="1313">
        <v>103</v>
      </c>
      <c r="U370" s="225">
        <v>16828.78</v>
      </c>
      <c r="V370" s="206">
        <f t="shared" si="30"/>
        <v>102044.04399999999</v>
      </c>
    </row>
    <row r="371" spans="1:22">
      <c r="A371" s="1340">
        <f t="shared" ref="A371:A434" si="31">A359+1</f>
        <v>2024.02</v>
      </c>
      <c r="B371" s="260">
        <v>2174</v>
      </c>
      <c r="C371" s="2097">
        <v>0</v>
      </c>
      <c r="D371" s="2097">
        <v>1356.46</v>
      </c>
      <c r="E371" s="2097">
        <v>69</v>
      </c>
      <c r="F371" s="260">
        <v>0</v>
      </c>
      <c r="G371" s="3034">
        <v>0</v>
      </c>
      <c r="H371" s="196">
        <f t="shared" si="27"/>
        <v>0</v>
      </c>
      <c r="I371" s="260">
        <v>29</v>
      </c>
      <c r="J371" s="1870">
        <v>0</v>
      </c>
      <c r="K371" s="263">
        <f t="shared" si="28"/>
        <v>29</v>
      </c>
      <c r="L371" s="1313">
        <v>105134.56700000001</v>
      </c>
      <c r="M371" s="225">
        <v>6248</v>
      </c>
      <c r="N371" s="2097">
        <v>0</v>
      </c>
      <c r="O371" s="2158">
        <f t="shared" si="29"/>
        <v>111382.56700000001</v>
      </c>
      <c r="P371" s="2097">
        <v>0</v>
      </c>
      <c r="Q371" s="2097">
        <v>48749.463000000003</v>
      </c>
      <c r="R371" s="2097">
        <v>14331.53</v>
      </c>
      <c r="S371" s="2097">
        <v>16084.91</v>
      </c>
      <c r="T371" s="1313">
        <v>0</v>
      </c>
      <c r="U371" s="225">
        <v>1128</v>
      </c>
      <c r="V371" s="206">
        <f t="shared" si="30"/>
        <v>80293.903000000006</v>
      </c>
    </row>
    <row r="372" spans="1:22">
      <c r="A372" s="1340">
        <f t="shared" si="31"/>
        <v>2024.03</v>
      </c>
      <c r="B372" s="260">
        <v>2239</v>
      </c>
      <c r="C372" s="2097">
        <v>108</v>
      </c>
      <c r="D372" s="2097">
        <v>2451.96</v>
      </c>
      <c r="E372" s="2097">
        <v>71</v>
      </c>
      <c r="F372" s="260">
        <v>0</v>
      </c>
      <c r="G372" s="3034">
        <v>0</v>
      </c>
      <c r="H372" s="196">
        <f t="shared" si="27"/>
        <v>0</v>
      </c>
      <c r="I372" s="260">
        <v>238</v>
      </c>
      <c r="J372" s="1870">
        <v>0</v>
      </c>
      <c r="K372" s="263">
        <f t="shared" si="28"/>
        <v>238</v>
      </c>
      <c r="L372" s="1313">
        <v>122732.57</v>
      </c>
      <c r="M372" s="225">
        <v>5647</v>
      </c>
      <c r="N372" s="2097">
        <v>0</v>
      </c>
      <c r="O372" s="2158">
        <f t="shared" si="29"/>
        <v>128379.57</v>
      </c>
      <c r="P372" s="2097">
        <v>0</v>
      </c>
      <c r="Q372" s="2097">
        <v>51440.51</v>
      </c>
      <c r="R372" s="2097">
        <v>14841.49</v>
      </c>
      <c r="S372" s="2097">
        <v>18898.246999999999</v>
      </c>
      <c r="T372" s="1313">
        <v>1195</v>
      </c>
      <c r="U372" s="225">
        <v>1280</v>
      </c>
      <c r="V372" s="206">
        <f t="shared" si="30"/>
        <v>87655.247000000003</v>
      </c>
    </row>
    <row r="373" spans="1:22">
      <c r="A373" s="1340">
        <f t="shared" si="31"/>
        <v>2024.04</v>
      </c>
      <c r="B373" s="260">
        <v>1488</v>
      </c>
      <c r="C373" s="2097">
        <v>37</v>
      </c>
      <c r="D373" s="2097">
        <v>2891.67</v>
      </c>
      <c r="E373" s="2097">
        <v>56</v>
      </c>
      <c r="F373" s="260">
        <v>0</v>
      </c>
      <c r="G373" s="3034">
        <v>0</v>
      </c>
      <c r="H373" s="196">
        <f t="shared" si="27"/>
        <v>0</v>
      </c>
      <c r="I373" s="260">
        <v>162</v>
      </c>
      <c r="J373" s="1870">
        <v>0</v>
      </c>
      <c r="K373" s="263">
        <f t="shared" si="28"/>
        <v>162</v>
      </c>
      <c r="L373" s="1313">
        <v>135137.51</v>
      </c>
      <c r="M373" s="225">
        <v>5833</v>
      </c>
      <c r="N373" s="2097">
        <v>0</v>
      </c>
      <c r="O373" s="2158">
        <f t="shared" si="29"/>
        <v>140970.51</v>
      </c>
      <c r="P373" s="2097">
        <v>0</v>
      </c>
      <c r="Q373" s="2097">
        <v>47895.979999999996</v>
      </c>
      <c r="R373" s="2097">
        <v>13540.98</v>
      </c>
      <c r="S373" s="2097">
        <v>14466.01</v>
      </c>
      <c r="T373" s="1313">
        <v>0</v>
      </c>
      <c r="U373" s="225">
        <v>1675</v>
      </c>
      <c r="V373" s="206">
        <f t="shared" si="30"/>
        <v>77577.969999999987</v>
      </c>
    </row>
    <row r="374" spans="1:22">
      <c r="A374" s="1340">
        <f t="shared" si="31"/>
        <v>2024.05</v>
      </c>
      <c r="B374" s="260">
        <v>1557</v>
      </c>
      <c r="C374" s="2097">
        <v>68</v>
      </c>
      <c r="D374" s="2097">
        <v>2464.7600000000002</v>
      </c>
      <c r="E374" s="2097">
        <v>200</v>
      </c>
      <c r="F374" s="260">
        <v>0</v>
      </c>
      <c r="G374" s="3034">
        <v>0</v>
      </c>
      <c r="H374" s="196">
        <f t="shared" si="27"/>
        <v>0</v>
      </c>
      <c r="I374" s="260">
        <v>103</v>
      </c>
      <c r="J374" s="1870">
        <v>0</v>
      </c>
      <c r="K374" s="263">
        <f t="shared" si="28"/>
        <v>103</v>
      </c>
      <c r="L374" s="1313">
        <v>154969.84</v>
      </c>
      <c r="M374" s="225">
        <v>6972</v>
      </c>
      <c r="N374" s="2097">
        <v>0</v>
      </c>
      <c r="O374" s="2158">
        <f t="shared" si="29"/>
        <v>161941.84</v>
      </c>
      <c r="P374" s="2097">
        <v>0</v>
      </c>
      <c r="Q374" s="2097">
        <v>53003.224000000002</v>
      </c>
      <c r="R374" s="2097">
        <v>15056.164000000001</v>
      </c>
      <c r="S374" s="2097">
        <v>23708.31</v>
      </c>
      <c r="T374" s="1313">
        <v>0</v>
      </c>
      <c r="U374" s="225">
        <v>2350</v>
      </c>
      <c r="V374" s="206">
        <f t="shared" si="30"/>
        <v>94117.698000000004</v>
      </c>
    </row>
    <row r="375" spans="1:22">
      <c r="A375" s="1340">
        <f t="shared" si="31"/>
        <v>2024.06</v>
      </c>
      <c r="B375" s="260">
        <v>1565</v>
      </c>
      <c r="C375" s="2097">
        <v>63</v>
      </c>
      <c r="D375" s="2097">
        <v>3449.26</v>
      </c>
      <c r="E375" s="2097">
        <v>133</v>
      </c>
      <c r="F375" s="260">
        <v>0</v>
      </c>
      <c r="G375" s="3034">
        <v>0</v>
      </c>
      <c r="H375" s="196">
        <f t="shared" si="27"/>
        <v>0</v>
      </c>
      <c r="I375" s="260">
        <v>889.26</v>
      </c>
      <c r="J375" s="1870">
        <v>0</v>
      </c>
      <c r="K375" s="263">
        <f t="shared" si="28"/>
        <v>889.26</v>
      </c>
      <c r="L375" s="1313">
        <v>124426.22</v>
      </c>
      <c r="M375" s="225">
        <v>6438</v>
      </c>
      <c r="N375" s="2097">
        <v>0</v>
      </c>
      <c r="O375" s="2158">
        <f t="shared" si="29"/>
        <v>130864.22</v>
      </c>
      <c r="P375" s="2097">
        <v>0</v>
      </c>
      <c r="Q375" s="2097">
        <v>50465.85</v>
      </c>
      <c r="R375" s="2097">
        <v>15000.01</v>
      </c>
      <c r="S375" s="2097">
        <v>22573.65</v>
      </c>
      <c r="T375" s="1313">
        <v>0</v>
      </c>
      <c r="U375" s="225">
        <v>746.3</v>
      </c>
      <c r="V375" s="206">
        <f t="shared" si="30"/>
        <v>88785.810000000012</v>
      </c>
    </row>
    <row r="376" spans="1:22">
      <c r="A376" s="1340">
        <f t="shared" si="31"/>
        <v>2024.07</v>
      </c>
      <c r="B376" s="260">
        <v>2339</v>
      </c>
      <c r="C376" s="2097">
        <v>55</v>
      </c>
      <c r="D376" s="2097">
        <v>4736.6400000000003</v>
      </c>
      <c r="E376" s="2097">
        <v>158</v>
      </c>
      <c r="F376" s="260">
        <v>0</v>
      </c>
      <c r="G376" s="3034">
        <v>0</v>
      </c>
      <c r="H376" s="196">
        <f t="shared" si="27"/>
        <v>0</v>
      </c>
      <c r="I376" s="260">
        <v>581</v>
      </c>
      <c r="J376" s="1870">
        <v>0</v>
      </c>
      <c r="K376" s="263">
        <f t="shared" si="28"/>
        <v>581</v>
      </c>
      <c r="L376" s="1313">
        <v>130103.49</v>
      </c>
      <c r="M376" s="225">
        <v>5281</v>
      </c>
      <c r="N376" s="2097">
        <v>0</v>
      </c>
      <c r="O376" s="2158">
        <f t="shared" si="29"/>
        <v>135384.49</v>
      </c>
      <c r="P376" s="2097">
        <v>0</v>
      </c>
      <c r="Q376" s="2097">
        <v>54498.09</v>
      </c>
      <c r="R376" s="2097">
        <v>16549.79</v>
      </c>
      <c r="S376" s="2097">
        <v>25053.800999999999</v>
      </c>
      <c r="T376" s="1313">
        <v>110.56</v>
      </c>
      <c r="U376" s="225">
        <v>0</v>
      </c>
      <c r="V376" s="206">
        <f t="shared" si="30"/>
        <v>96212.241000000009</v>
      </c>
    </row>
    <row r="377" spans="1:22">
      <c r="A377" s="1340">
        <f t="shared" si="31"/>
        <v>2024.08</v>
      </c>
      <c r="B377" s="260">
        <v>2062</v>
      </c>
      <c r="C377" s="2097">
        <v>51</v>
      </c>
      <c r="D377" s="2097">
        <v>4163.82</v>
      </c>
      <c r="E377" s="2097">
        <v>125</v>
      </c>
      <c r="F377" s="260">
        <v>0</v>
      </c>
      <c r="G377" s="3034">
        <v>0</v>
      </c>
      <c r="H377" s="196">
        <f t="shared" si="27"/>
        <v>0</v>
      </c>
      <c r="I377" s="260">
        <v>483</v>
      </c>
      <c r="J377" s="1870">
        <v>0</v>
      </c>
      <c r="K377" s="263">
        <f t="shared" si="28"/>
        <v>483</v>
      </c>
      <c r="L377" s="1313">
        <v>121124.95</v>
      </c>
      <c r="M377" s="225">
        <v>5730</v>
      </c>
      <c r="N377" s="2097">
        <v>0</v>
      </c>
      <c r="O377" s="2158">
        <f t="shared" si="29"/>
        <v>126854.95</v>
      </c>
      <c r="P377" s="2097">
        <v>0</v>
      </c>
      <c r="Q377" s="2097">
        <v>53448.36</v>
      </c>
      <c r="R377" s="2097">
        <v>16370.72</v>
      </c>
      <c r="S377" s="2097">
        <v>23753.606</v>
      </c>
      <c r="T377" s="1313">
        <v>347</v>
      </c>
      <c r="U377" s="225">
        <v>0</v>
      </c>
      <c r="V377" s="206">
        <f t="shared" si="30"/>
        <v>93919.686000000002</v>
      </c>
    </row>
    <row r="378" spans="1:22">
      <c r="A378" s="1340">
        <f t="shared" si="31"/>
        <v>2024.09</v>
      </c>
      <c r="B378" s="260">
        <v>2166</v>
      </c>
      <c r="C378" s="2097">
        <v>66</v>
      </c>
      <c r="D378" s="2097">
        <v>6292.84</v>
      </c>
      <c r="E378" s="2097">
        <v>92</v>
      </c>
      <c r="F378" s="260">
        <v>0</v>
      </c>
      <c r="G378" s="3034">
        <v>0</v>
      </c>
      <c r="H378" s="196">
        <f t="shared" si="27"/>
        <v>0</v>
      </c>
      <c r="I378" s="260">
        <v>436</v>
      </c>
      <c r="J378" s="1870">
        <v>0</v>
      </c>
      <c r="K378" s="263">
        <f t="shared" si="28"/>
        <v>436</v>
      </c>
      <c r="L378" s="1313">
        <v>115069.84899999999</v>
      </c>
      <c r="M378" s="225">
        <v>0</v>
      </c>
      <c r="N378" s="2097">
        <v>0</v>
      </c>
      <c r="O378" s="2158">
        <f>L378+M378+N378</f>
        <v>115069.84899999999</v>
      </c>
      <c r="P378" s="2097">
        <v>0</v>
      </c>
      <c r="Q378" s="2097">
        <v>50273.337</v>
      </c>
      <c r="R378" s="2097">
        <v>15523.597</v>
      </c>
      <c r="S378" s="2097">
        <v>16568.148000000001</v>
      </c>
      <c r="T378" s="1313">
        <v>971.7</v>
      </c>
      <c r="U378" s="225">
        <v>0</v>
      </c>
      <c r="V378" s="206">
        <f t="shared" si="30"/>
        <v>83336.781999999992</v>
      </c>
    </row>
    <row r="379" spans="1:22">
      <c r="A379" s="1340">
        <f t="shared" si="31"/>
        <v>2024.1</v>
      </c>
      <c r="B379" s="260">
        <v>2872</v>
      </c>
      <c r="C379" s="2097">
        <v>88</v>
      </c>
      <c r="D379" s="2097">
        <v>5831.66</v>
      </c>
      <c r="E379" s="2097">
        <v>70</v>
      </c>
      <c r="F379" s="260">
        <v>0</v>
      </c>
      <c r="G379" s="3034">
        <v>0</v>
      </c>
      <c r="H379" s="196">
        <f t="shared" si="27"/>
        <v>0</v>
      </c>
      <c r="I379" s="260">
        <v>525</v>
      </c>
      <c r="J379" s="1870">
        <v>0</v>
      </c>
      <c r="K379" s="263">
        <f t="shared" si="28"/>
        <v>525</v>
      </c>
      <c r="L379" s="1313">
        <v>125251.378</v>
      </c>
      <c r="M379" s="225">
        <v>5766</v>
      </c>
      <c r="N379" s="2097">
        <v>0</v>
      </c>
      <c r="O379" s="2158">
        <f t="shared" si="29"/>
        <v>131017.378</v>
      </c>
      <c r="P379" s="2097">
        <v>0</v>
      </c>
      <c r="Q379" s="2097">
        <v>54942.373999999996</v>
      </c>
      <c r="R379" s="2097">
        <v>17559.969999999998</v>
      </c>
      <c r="S379" s="2097">
        <v>20136.59</v>
      </c>
      <c r="T379" s="1313">
        <v>0</v>
      </c>
      <c r="U379" s="225">
        <v>892</v>
      </c>
      <c r="V379" s="206">
        <f t="shared" si="30"/>
        <v>93530.933999999994</v>
      </c>
    </row>
    <row r="380" spans="1:22">
      <c r="A380" s="1340">
        <f t="shared" si="31"/>
        <v>2024.11</v>
      </c>
      <c r="B380" s="260">
        <v>3000</v>
      </c>
      <c r="C380" s="2097">
        <v>32</v>
      </c>
      <c r="D380" s="2097">
        <v>5655.68</v>
      </c>
      <c r="E380" s="2097">
        <v>62</v>
      </c>
      <c r="F380" s="260">
        <v>0</v>
      </c>
      <c r="G380" s="3034">
        <v>0</v>
      </c>
      <c r="H380" s="196">
        <f t="shared" si="27"/>
        <v>0</v>
      </c>
      <c r="I380" s="260">
        <v>627</v>
      </c>
      <c r="J380" s="1870">
        <v>0</v>
      </c>
      <c r="K380" s="263">
        <f t="shared" si="28"/>
        <v>627</v>
      </c>
      <c r="L380" s="1313">
        <v>135872.82999999999</v>
      </c>
      <c r="M380" s="225">
        <v>5814</v>
      </c>
      <c r="N380" s="2097">
        <v>0</v>
      </c>
      <c r="O380" s="2158">
        <f t="shared" si="29"/>
        <v>141686.82999999999</v>
      </c>
      <c r="P380" s="2097">
        <v>0</v>
      </c>
      <c r="Q380" s="2097">
        <v>54211.6</v>
      </c>
      <c r="R380" s="2097">
        <v>17623.97</v>
      </c>
      <c r="S380" s="2097">
        <v>22649</v>
      </c>
      <c r="T380" s="1313">
        <v>0</v>
      </c>
      <c r="U380" s="225">
        <v>0</v>
      </c>
      <c r="V380" s="206">
        <f t="shared" si="30"/>
        <v>94484.57</v>
      </c>
    </row>
    <row r="381" spans="1:22">
      <c r="A381" s="1340">
        <f t="shared" si="31"/>
        <v>2024.12</v>
      </c>
      <c r="B381" s="260">
        <v>2577</v>
      </c>
      <c r="C381" s="2097">
        <v>91</v>
      </c>
      <c r="D381" s="2097">
        <v>4508</v>
      </c>
      <c r="E381" s="2097">
        <v>75</v>
      </c>
      <c r="F381" s="260">
        <v>0</v>
      </c>
      <c r="G381" s="3034">
        <v>0</v>
      </c>
      <c r="H381" s="196">
        <f t="shared" si="27"/>
        <v>0</v>
      </c>
      <c r="I381" s="260">
        <v>571</v>
      </c>
      <c r="J381" s="1870">
        <v>0</v>
      </c>
      <c r="K381" s="263">
        <f t="shared" si="28"/>
        <v>571</v>
      </c>
      <c r="L381" s="1313">
        <v>123538.79</v>
      </c>
      <c r="M381" s="225">
        <v>5210</v>
      </c>
      <c r="N381" s="2097">
        <v>0</v>
      </c>
      <c r="O381" s="2158">
        <f t="shared" si="29"/>
        <v>128748.79</v>
      </c>
      <c r="P381" s="2097">
        <v>0</v>
      </c>
      <c r="Q381" s="2097">
        <v>56020.82</v>
      </c>
      <c r="R381" s="2097">
        <v>18431.66</v>
      </c>
      <c r="S381" s="2097">
        <v>17996.300000000003</v>
      </c>
      <c r="T381" s="1313">
        <v>0</v>
      </c>
      <c r="U381" s="225">
        <v>0</v>
      </c>
      <c r="V381" s="206">
        <f t="shared" si="30"/>
        <v>92448.78</v>
      </c>
    </row>
    <row r="382" spans="1:22">
      <c r="A382" s="1340">
        <f t="shared" si="31"/>
        <v>2025.01</v>
      </c>
      <c r="B382" s="260">
        <v>3127</v>
      </c>
      <c r="C382" s="2097">
        <v>68</v>
      </c>
      <c r="D382" s="2097">
        <v>5708.02</v>
      </c>
      <c r="E382" s="2097">
        <v>46</v>
      </c>
      <c r="F382" s="260">
        <v>0</v>
      </c>
      <c r="G382" s="3034">
        <v>0</v>
      </c>
      <c r="H382" s="196">
        <f t="shared" si="27"/>
        <v>0</v>
      </c>
      <c r="I382" s="260">
        <v>282</v>
      </c>
      <c r="J382" s="1870">
        <v>0</v>
      </c>
      <c r="K382" s="263">
        <f t="shared" si="28"/>
        <v>282</v>
      </c>
      <c r="L382" s="1313">
        <v>109832.234</v>
      </c>
      <c r="M382" s="225">
        <v>5339</v>
      </c>
      <c r="N382" s="2097">
        <v>0</v>
      </c>
      <c r="O382" s="2158">
        <f t="shared" si="29"/>
        <v>115171.234</v>
      </c>
      <c r="P382" s="2097">
        <v>0</v>
      </c>
      <c r="Q382" s="2097">
        <v>51799.792000000001</v>
      </c>
      <c r="R382" s="2097">
        <v>17308.544000000002</v>
      </c>
      <c r="S382" s="2097">
        <v>21737.832999999999</v>
      </c>
      <c r="T382" s="1313">
        <v>0</v>
      </c>
      <c r="U382" s="225">
        <v>1631</v>
      </c>
      <c r="V382" s="206">
        <f t="shared" si="30"/>
        <v>92477.169000000009</v>
      </c>
    </row>
    <row r="383" spans="1:22">
      <c r="A383" s="1340">
        <f t="shared" si="31"/>
        <v>2025.02</v>
      </c>
      <c r="B383" s="260">
        <v>2876</v>
      </c>
      <c r="C383" s="2097">
        <v>97</v>
      </c>
      <c r="D383" s="2097">
        <v>3606.7</v>
      </c>
      <c r="E383" s="2097">
        <v>30.880000000000003</v>
      </c>
      <c r="F383" s="260">
        <v>0</v>
      </c>
      <c r="G383" s="3034">
        <v>0</v>
      </c>
      <c r="H383" s="196">
        <f t="shared" si="27"/>
        <v>0</v>
      </c>
      <c r="I383" s="260">
        <v>392</v>
      </c>
      <c r="J383" s="1870">
        <v>0</v>
      </c>
      <c r="K383" s="263">
        <f t="shared" si="28"/>
        <v>392</v>
      </c>
      <c r="L383" s="1313">
        <v>104317.58</v>
      </c>
      <c r="M383" s="225">
        <v>5441</v>
      </c>
      <c r="N383" s="2097">
        <v>0</v>
      </c>
      <c r="O383" s="2158">
        <f t="shared" si="29"/>
        <v>109758.58</v>
      </c>
      <c r="P383" s="2097">
        <v>0</v>
      </c>
      <c r="Q383" s="2097">
        <v>47024.31</v>
      </c>
      <c r="R383" s="2097">
        <v>15907.75</v>
      </c>
      <c r="S383" s="2097">
        <v>5814.2420000000002</v>
      </c>
      <c r="T383" s="1313">
        <v>0</v>
      </c>
      <c r="U383" s="225">
        <v>0</v>
      </c>
      <c r="V383" s="206">
        <f t="shared" si="30"/>
        <v>68746.301999999996</v>
      </c>
    </row>
    <row r="384" spans="1:22">
      <c r="A384" s="1340">
        <f t="shared" si="31"/>
        <v>2025.03</v>
      </c>
      <c r="B384" s="260">
        <v>2351</v>
      </c>
      <c r="C384" s="2097">
        <v>158</v>
      </c>
      <c r="D384" s="2097">
        <v>4877.54</v>
      </c>
      <c r="E384" s="2097">
        <v>90</v>
      </c>
      <c r="F384" s="260">
        <v>0</v>
      </c>
      <c r="G384" s="3034">
        <v>0</v>
      </c>
      <c r="H384" s="196">
        <f t="shared" si="27"/>
        <v>0</v>
      </c>
      <c r="I384" s="260">
        <v>410</v>
      </c>
      <c r="J384" s="1870">
        <v>0</v>
      </c>
      <c r="K384" s="263">
        <f t="shared" si="28"/>
        <v>410</v>
      </c>
      <c r="L384" s="1313">
        <v>124278.20600000001</v>
      </c>
      <c r="M384" s="225">
        <v>6706</v>
      </c>
      <c r="N384" s="2097">
        <v>0</v>
      </c>
      <c r="O384" s="2158">
        <f t="shared" si="29"/>
        <v>130984.20600000001</v>
      </c>
      <c r="P384" s="2097">
        <v>0</v>
      </c>
      <c r="Q384" s="2097">
        <v>51651.247000000003</v>
      </c>
      <c r="R384" s="2097">
        <v>17691.911</v>
      </c>
      <c r="S384" s="2097">
        <v>13247.66</v>
      </c>
      <c r="T384" s="1313">
        <v>0</v>
      </c>
      <c r="U384" s="225">
        <v>0</v>
      </c>
      <c r="V384" s="206">
        <f t="shared" si="30"/>
        <v>82590.817999999999</v>
      </c>
    </row>
    <row r="385" spans="1:22">
      <c r="A385" s="1340">
        <f t="shared" si="31"/>
        <v>2025.04</v>
      </c>
      <c r="B385" s="260">
        <v>2365</v>
      </c>
      <c r="C385" s="2097">
        <v>57</v>
      </c>
      <c r="D385" s="2097">
        <v>5233.08</v>
      </c>
      <c r="E385" s="2097">
        <v>106</v>
      </c>
      <c r="F385" s="260">
        <v>0</v>
      </c>
      <c r="G385" s="3034">
        <v>0</v>
      </c>
      <c r="H385" s="196">
        <f t="shared" si="27"/>
        <v>0</v>
      </c>
      <c r="I385" s="260">
        <v>275</v>
      </c>
      <c r="J385" s="1870">
        <v>0</v>
      </c>
      <c r="K385" s="263">
        <f t="shared" si="28"/>
        <v>275</v>
      </c>
      <c r="L385" s="1313">
        <v>132974.48799999998</v>
      </c>
      <c r="M385" s="225">
        <v>11166</v>
      </c>
      <c r="N385" s="2097">
        <v>0</v>
      </c>
      <c r="O385" s="2158">
        <f t="shared" si="29"/>
        <v>144140.48799999998</v>
      </c>
      <c r="P385" s="2097">
        <v>0</v>
      </c>
      <c r="Q385" s="2097">
        <v>49720.006999999998</v>
      </c>
      <c r="R385" s="2097">
        <v>16844.093000000001</v>
      </c>
      <c r="S385" s="2097">
        <v>20850.686000000002</v>
      </c>
      <c r="T385" s="1313">
        <v>0</v>
      </c>
      <c r="U385" s="225">
        <v>149</v>
      </c>
      <c r="V385" s="206">
        <f t="shared" si="30"/>
        <v>87563.786000000007</v>
      </c>
    </row>
    <row r="386" spans="1:22">
      <c r="A386" s="1340">
        <f t="shared" si="31"/>
        <v>2025.05</v>
      </c>
      <c r="B386" s="260" t="e">
        <v>#N/A</v>
      </c>
      <c r="C386" s="2097" t="e">
        <v>#N/A</v>
      </c>
      <c r="D386" s="2097" t="e">
        <v>#N/A</v>
      </c>
      <c r="E386" s="2097" t="e">
        <v>#N/A</v>
      </c>
      <c r="F386" s="260" t="e">
        <v>#N/A</v>
      </c>
      <c r="G386" s="3034" t="e">
        <v>#N/A</v>
      </c>
      <c r="H386" s="196" t="e">
        <f t="shared" si="27"/>
        <v>#N/A</v>
      </c>
      <c r="I386" s="260" t="e">
        <v>#N/A</v>
      </c>
      <c r="J386" s="1870" t="e">
        <v>#N/A</v>
      </c>
      <c r="K386" s="263" t="e">
        <f t="shared" si="28"/>
        <v>#N/A</v>
      </c>
      <c r="L386" s="1313" t="e">
        <v>#N/A</v>
      </c>
      <c r="M386" s="225" t="e">
        <v>#N/A</v>
      </c>
      <c r="N386" s="2097" t="e">
        <v>#N/A</v>
      </c>
      <c r="O386" s="2158" t="e">
        <f t="shared" si="29"/>
        <v>#N/A</v>
      </c>
      <c r="P386" s="2097" t="e">
        <v>#N/A</v>
      </c>
      <c r="Q386" s="2097" t="e">
        <v>#N/A</v>
      </c>
      <c r="R386" s="2097" t="e">
        <v>#N/A</v>
      </c>
      <c r="S386" s="2097" t="e">
        <v>#N/A</v>
      </c>
      <c r="T386" s="1313" t="e">
        <v>#N/A</v>
      </c>
      <c r="U386" s="225" t="e">
        <v>#N/A</v>
      </c>
      <c r="V386" s="206" t="e">
        <f t="shared" si="30"/>
        <v>#N/A</v>
      </c>
    </row>
    <row r="387" spans="1:22">
      <c r="A387" s="1340">
        <f t="shared" si="31"/>
        <v>2025.06</v>
      </c>
      <c r="B387" s="260" t="e">
        <v>#N/A</v>
      </c>
      <c r="C387" s="2097" t="e">
        <v>#N/A</v>
      </c>
      <c r="D387" s="2097" t="e">
        <v>#N/A</v>
      </c>
      <c r="E387" s="2097" t="e">
        <v>#N/A</v>
      </c>
      <c r="F387" s="260" t="e">
        <v>#N/A</v>
      </c>
      <c r="G387" s="3034" t="e">
        <v>#N/A</v>
      </c>
      <c r="H387" s="196" t="e">
        <f t="shared" si="27"/>
        <v>#N/A</v>
      </c>
      <c r="I387" s="260" t="e">
        <v>#N/A</v>
      </c>
      <c r="J387" s="1870" t="e">
        <v>#N/A</v>
      </c>
      <c r="K387" s="263" t="e">
        <f t="shared" si="28"/>
        <v>#N/A</v>
      </c>
      <c r="L387" s="1313" t="e">
        <v>#N/A</v>
      </c>
      <c r="M387" s="225" t="e">
        <v>#N/A</v>
      </c>
      <c r="N387" s="2097" t="e">
        <v>#N/A</v>
      </c>
      <c r="O387" s="2158" t="e">
        <f t="shared" si="29"/>
        <v>#N/A</v>
      </c>
      <c r="P387" s="2097" t="e">
        <v>#N/A</v>
      </c>
      <c r="Q387" s="2097" t="e">
        <v>#N/A</v>
      </c>
      <c r="R387" s="2097" t="e">
        <v>#N/A</v>
      </c>
      <c r="S387" s="2097" t="e">
        <v>#N/A</v>
      </c>
      <c r="T387" s="1313" t="e">
        <v>#N/A</v>
      </c>
      <c r="U387" s="225" t="e">
        <v>#N/A</v>
      </c>
      <c r="V387" s="206" t="e">
        <f t="shared" si="30"/>
        <v>#N/A</v>
      </c>
    </row>
    <row r="388" spans="1:22">
      <c r="A388" s="1340">
        <f t="shared" si="31"/>
        <v>2025.07</v>
      </c>
      <c r="B388" s="260" t="e">
        <v>#N/A</v>
      </c>
      <c r="C388" s="2097" t="e">
        <v>#N/A</v>
      </c>
      <c r="D388" s="2097" t="e">
        <v>#N/A</v>
      </c>
      <c r="E388" s="2097" t="e">
        <v>#N/A</v>
      </c>
      <c r="F388" s="260" t="e">
        <v>#N/A</v>
      </c>
      <c r="G388" s="3034" t="e">
        <v>#N/A</v>
      </c>
      <c r="H388" s="196" t="e">
        <f t="shared" si="27"/>
        <v>#N/A</v>
      </c>
      <c r="I388" s="260" t="e">
        <v>#N/A</v>
      </c>
      <c r="J388" s="1870" t="e">
        <v>#N/A</v>
      </c>
      <c r="K388" s="263" t="e">
        <f t="shared" si="28"/>
        <v>#N/A</v>
      </c>
      <c r="L388" s="1313" t="e">
        <v>#N/A</v>
      </c>
      <c r="M388" s="225" t="e">
        <v>#N/A</v>
      </c>
      <c r="N388" s="2097" t="e">
        <v>#N/A</v>
      </c>
      <c r="O388" s="2158" t="e">
        <f t="shared" si="29"/>
        <v>#N/A</v>
      </c>
      <c r="P388" s="2097" t="e">
        <v>#N/A</v>
      </c>
      <c r="Q388" s="2097" t="e">
        <v>#N/A</v>
      </c>
      <c r="R388" s="2097" t="e">
        <v>#N/A</v>
      </c>
      <c r="S388" s="2097" t="e">
        <v>#N/A</v>
      </c>
      <c r="T388" s="1313" t="e">
        <v>#N/A</v>
      </c>
      <c r="U388" s="225" t="e">
        <v>#N/A</v>
      </c>
      <c r="V388" s="206" t="e">
        <f t="shared" si="30"/>
        <v>#N/A</v>
      </c>
    </row>
    <row r="389" spans="1:22">
      <c r="A389" s="1340">
        <f t="shared" si="31"/>
        <v>2025.08</v>
      </c>
      <c r="B389" s="260" t="e">
        <v>#N/A</v>
      </c>
      <c r="C389" s="2097" t="e">
        <v>#N/A</v>
      </c>
      <c r="D389" s="2097" t="e">
        <v>#N/A</v>
      </c>
      <c r="E389" s="2097" t="e">
        <v>#N/A</v>
      </c>
      <c r="F389" s="260" t="e">
        <v>#N/A</v>
      </c>
      <c r="G389" s="3034" t="e">
        <v>#N/A</v>
      </c>
      <c r="H389" s="196" t="e">
        <f t="shared" si="27"/>
        <v>#N/A</v>
      </c>
      <c r="I389" s="260" t="e">
        <v>#N/A</v>
      </c>
      <c r="J389" s="1870" t="e">
        <v>#N/A</v>
      </c>
      <c r="K389" s="263" t="e">
        <f t="shared" si="28"/>
        <v>#N/A</v>
      </c>
      <c r="L389" s="1313" t="e">
        <v>#N/A</v>
      </c>
      <c r="M389" s="225" t="e">
        <v>#N/A</v>
      </c>
      <c r="N389" s="2097" t="e">
        <v>#N/A</v>
      </c>
      <c r="O389" s="2158" t="e">
        <f t="shared" si="29"/>
        <v>#N/A</v>
      </c>
      <c r="P389" s="2097" t="e">
        <v>#N/A</v>
      </c>
      <c r="Q389" s="2097" t="e">
        <v>#N/A</v>
      </c>
      <c r="R389" s="2097" t="e">
        <v>#N/A</v>
      </c>
      <c r="S389" s="2097" t="e">
        <v>#N/A</v>
      </c>
      <c r="T389" s="1313" t="e">
        <v>#N/A</v>
      </c>
      <c r="U389" s="225" t="e">
        <v>#N/A</v>
      </c>
      <c r="V389" s="206" t="e">
        <f t="shared" si="30"/>
        <v>#N/A</v>
      </c>
    </row>
    <row r="390" spans="1:22">
      <c r="A390" s="1340">
        <f t="shared" si="31"/>
        <v>2025.09</v>
      </c>
      <c r="B390" s="260" t="e">
        <v>#N/A</v>
      </c>
      <c r="C390" s="2097" t="e">
        <v>#N/A</v>
      </c>
      <c r="D390" s="2097" t="e">
        <v>#N/A</v>
      </c>
      <c r="E390" s="2097" t="e">
        <v>#N/A</v>
      </c>
      <c r="F390" s="260" t="e">
        <v>#N/A</v>
      </c>
      <c r="G390" s="3034" t="e">
        <v>#N/A</v>
      </c>
      <c r="H390" s="196" t="e">
        <f t="shared" si="27"/>
        <v>#N/A</v>
      </c>
      <c r="I390" s="260" t="e">
        <v>#N/A</v>
      </c>
      <c r="J390" s="1870" t="e">
        <v>#N/A</v>
      </c>
      <c r="K390" s="263" t="e">
        <f t="shared" si="28"/>
        <v>#N/A</v>
      </c>
      <c r="L390" s="1313" t="e">
        <v>#N/A</v>
      </c>
      <c r="M390" s="225" t="e">
        <v>#N/A</v>
      </c>
      <c r="N390" s="2097" t="e">
        <v>#N/A</v>
      </c>
      <c r="O390" s="2158" t="e">
        <f t="shared" si="29"/>
        <v>#N/A</v>
      </c>
      <c r="P390" s="2097" t="e">
        <v>#N/A</v>
      </c>
      <c r="Q390" s="2097" t="e">
        <v>#N/A</v>
      </c>
      <c r="R390" s="2097" t="e">
        <v>#N/A</v>
      </c>
      <c r="S390" s="2097" t="e">
        <v>#N/A</v>
      </c>
      <c r="T390" s="1313" t="e">
        <v>#N/A</v>
      </c>
      <c r="U390" s="225" t="e">
        <v>#N/A</v>
      </c>
      <c r="V390" s="206" t="e">
        <f t="shared" si="30"/>
        <v>#N/A</v>
      </c>
    </row>
    <row r="391" spans="1:22">
      <c r="A391" s="1340">
        <f t="shared" si="31"/>
        <v>2025.1</v>
      </c>
      <c r="B391" s="260" t="e">
        <v>#N/A</v>
      </c>
      <c r="C391" s="2097" t="e">
        <v>#N/A</v>
      </c>
      <c r="D391" s="2097" t="e">
        <v>#N/A</v>
      </c>
      <c r="E391" s="2097" t="e">
        <v>#N/A</v>
      </c>
      <c r="F391" s="260" t="e">
        <v>#N/A</v>
      </c>
      <c r="G391" s="3034" t="e">
        <v>#N/A</v>
      </c>
      <c r="H391" s="196" t="e">
        <f t="shared" si="27"/>
        <v>#N/A</v>
      </c>
      <c r="I391" s="260" t="e">
        <v>#N/A</v>
      </c>
      <c r="J391" s="1870" t="e">
        <v>#N/A</v>
      </c>
      <c r="K391" s="263" t="e">
        <f t="shared" si="28"/>
        <v>#N/A</v>
      </c>
      <c r="L391" s="1313" t="e">
        <v>#N/A</v>
      </c>
      <c r="M391" s="225" t="e">
        <v>#N/A</v>
      </c>
      <c r="N391" s="2097" t="e">
        <v>#N/A</v>
      </c>
      <c r="O391" s="2158" t="e">
        <f t="shared" si="29"/>
        <v>#N/A</v>
      </c>
      <c r="P391" s="2097" t="e">
        <v>#N/A</v>
      </c>
      <c r="Q391" s="2097" t="e">
        <v>#N/A</v>
      </c>
      <c r="R391" s="2097" t="e">
        <v>#N/A</v>
      </c>
      <c r="S391" s="2097" t="e">
        <v>#N/A</v>
      </c>
      <c r="T391" s="1313" t="e">
        <v>#N/A</v>
      </c>
      <c r="U391" s="225" t="e">
        <v>#N/A</v>
      </c>
      <c r="V391" s="206" t="e">
        <f t="shared" si="30"/>
        <v>#N/A</v>
      </c>
    </row>
    <row r="392" spans="1:22">
      <c r="A392" s="1340">
        <f t="shared" si="31"/>
        <v>2025.11</v>
      </c>
      <c r="B392" s="260" t="e">
        <v>#N/A</v>
      </c>
      <c r="C392" s="2097" t="e">
        <v>#N/A</v>
      </c>
      <c r="D392" s="2097" t="e">
        <v>#N/A</v>
      </c>
      <c r="E392" s="2097" t="e">
        <v>#N/A</v>
      </c>
      <c r="F392" s="260" t="e">
        <v>#N/A</v>
      </c>
      <c r="G392" s="3034" t="e">
        <v>#N/A</v>
      </c>
      <c r="H392" s="196" t="e">
        <f t="shared" si="27"/>
        <v>#N/A</v>
      </c>
      <c r="I392" s="260" t="e">
        <v>#N/A</v>
      </c>
      <c r="J392" s="1870" t="e">
        <v>#N/A</v>
      </c>
      <c r="K392" s="263" t="e">
        <f t="shared" si="28"/>
        <v>#N/A</v>
      </c>
      <c r="L392" s="1313" t="e">
        <v>#N/A</v>
      </c>
      <c r="M392" s="225" t="e">
        <v>#N/A</v>
      </c>
      <c r="N392" s="2097" t="e">
        <v>#N/A</v>
      </c>
      <c r="O392" s="2158" t="e">
        <f t="shared" si="29"/>
        <v>#N/A</v>
      </c>
      <c r="P392" s="2097" t="e">
        <v>#N/A</v>
      </c>
      <c r="Q392" s="2097" t="e">
        <v>#N/A</v>
      </c>
      <c r="R392" s="2097" t="e">
        <v>#N/A</v>
      </c>
      <c r="S392" s="2097" t="e">
        <v>#N/A</v>
      </c>
      <c r="T392" s="1313" t="e">
        <v>#N/A</v>
      </c>
      <c r="U392" s="225" t="e">
        <v>#N/A</v>
      </c>
      <c r="V392" s="206" t="e">
        <f t="shared" si="30"/>
        <v>#N/A</v>
      </c>
    </row>
    <row r="393" spans="1:22">
      <c r="A393" s="1340">
        <f t="shared" si="31"/>
        <v>2025.12</v>
      </c>
      <c r="B393" s="260" t="e">
        <v>#N/A</v>
      </c>
      <c r="C393" s="2097" t="e">
        <v>#N/A</v>
      </c>
      <c r="D393" s="2097" t="e">
        <v>#N/A</v>
      </c>
      <c r="E393" s="2097" t="e">
        <v>#N/A</v>
      </c>
      <c r="F393" s="260" t="e">
        <v>#N/A</v>
      </c>
      <c r="G393" s="3034" t="e">
        <v>#N/A</v>
      </c>
      <c r="H393" s="196" t="e">
        <f t="shared" si="27"/>
        <v>#N/A</v>
      </c>
      <c r="I393" s="260" t="e">
        <v>#N/A</v>
      </c>
      <c r="J393" s="1870" t="e">
        <v>#N/A</v>
      </c>
      <c r="K393" s="263" t="e">
        <f t="shared" si="28"/>
        <v>#N/A</v>
      </c>
      <c r="L393" s="1313" t="e">
        <v>#N/A</v>
      </c>
      <c r="M393" s="225" t="e">
        <v>#N/A</v>
      </c>
      <c r="N393" s="2097" t="e">
        <v>#N/A</v>
      </c>
      <c r="O393" s="2158" t="e">
        <f t="shared" si="29"/>
        <v>#N/A</v>
      </c>
      <c r="P393" s="2097" t="e">
        <v>#N/A</v>
      </c>
      <c r="Q393" s="2097" t="e">
        <v>#N/A</v>
      </c>
      <c r="R393" s="2097" t="e">
        <v>#N/A</v>
      </c>
      <c r="S393" s="2097" t="e">
        <v>#N/A</v>
      </c>
      <c r="T393" s="1313" t="e">
        <v>#N/A</v>
      </c>
      <c r="U393" s="225" t="e">
        <v>#N/A</v>
      </c>
      <c r="V393" s="206" t="e">
        <f t="shared" si="30"/>
        <v>#N/A</v>
      </c>
    </row>
    <row r="394" spans="1:22">
      <c r="A394" s="1340">
        <f t="shared" si="31"/>
        <v>2026.01</v>
      </c>
      <c r="B394" s="260" t="e">
        <v>#N/A</v>
      </c>
      <c r="C394" s="2097" t="e">
        <v>#N/A</v>
      </c>
      <c r="D394" s="2097" t="e">
        <v>#N/A</v>
      </c>
      <c r="E394" s="2097" t="e">
        <v>#N/A</v>
      </c>
      <c r="F394" s="260" t="e">
        <v>#N/A</v>
      </c>
      <c r="G394" s="3034" t="e">
        <v>#N/A</v>
      </c>
      <c r="H394" s="196" t="e">
        <f t="shared" ref="H394:H410" si="32">F394+G394</f>
        <v>#N/A</v>
      </c>
      <c r="I394" s="260" t="e">
        <v>#N/A</v>
      </c>
      <c r="J394" s="1870" t="e">
        <v>#N/A</v>
      </c>
      <c r="K394" s="263" t="e">
        <f t="shared" ref="K394:K410" si="33">I394+J394</f>
        <v>#N/A</v>
      </c>
      <c r="L394" s="1313" t="e">
        <v>#N/A</v>
      </c>
      <c r="M394" s="225" t="e">
        <v>#N/A</v>
      </c>
      <c r="N394" s="2097" t="e">
        <v>#N/A</v>
      </c>
      <c r="O394" s="2158" t="e">
        <f t="shared" ref="O394:O410" si="34">L394+M394+N394</f>
        <v>#N/A</v>
      </c>
      <c r="P394" s="2097" t="e">
        <v>#N/A</v>
      </c>
      <c r="Q394" s="2097" t="e">
        <v>#N/A</v>
      </c>
      <c r="R394" s="2097" t="e">
        <v>#N/A</v>
      </c>
      <c r="S394" s="2097" t="e">
        <v>#N/A</v>
      </c>
      <c r="T394" s="1313" t="e">
        <v>#N/A</v>
      </c>
      <c r="U394" s="225" t="e">
        <v>#N/A</v>
      </c>
      <c r="V394" s="206" t="e">
        <f t="shared" ref="V394:V410" si="35">SUM(P394:U394)</f>
        <v>#N/A</v>
      </c>
    </row>
    <row r="395" spans="1:22">
      <c r="A395" s="1340">
        <f t="shared" si="31"/>
        <v>2026.02</v>
      </c>
      <c r="B395" s="260" t="e">
        <v>#N/A</v>
      </c>
      <c r="C395" s="2097" t="e">
        <v>#N/A</v>
      </c>
      <c r="D395" s="2097" t="e">
        <v>#N/A</v>
      </c>
      <c r="E395" s="2097" t="e">
        <v>#N/A</v>
      </c>
      <c r="F395" s="260" t="e">
        <v>#N/A</v>
      </c>
      <c r="G395" s="3034" t="e">
        <v>#N/A</v>
      </c>
      <c r="H395" s="196" t="e">
        <f t="shared" si="32"/>
        <v>#N/A</v>
      </c>
      <c r="I395" s="260" t="e">
        <v>#N/A</v>
      </c>
      <c r="J395" s="1870" t="e">
        <v>#N/A</v>
      </c>
      <c r="K395" s="263" t="e">
        <f t="shared" si="33"/>
        <v>#N/A</v>
      </c>
      <c r="L395" s="1313" t="e">
        <v>#N/A</v>
      </c>
      <c r="M395" s="225" t="e">
        <v>#N/A</v>
      </c>
      <c r="N395" s="2097" t="e">
        <v>#N/A</v>
      </c>
      <c r="O395" s="2158" t="e">
        <f t="shared" si="34"/>
        <v>#N/A</v>
      </c>
      <c r="P395" s="2097" t="e">
        <v>#N/A</v>
      </c>
      <c r="Q395" s="2097" t="e">
        <v>#N/A</v>
      </c>
      <c r="R395" s="2097" t="e">
        <v>#N/A</v>
      </c>
      <c r="S395" s="2097" t="e">
        <v>#N/A</v>
      </c>
      <c r="T395" s="1313" t="e">
        <v>#N/A</v>
      </c>
      <c r="U395" s="225" t="e">
        <v>#N/A</v>
      </c>
      <c r="V395" s="206" t="e">
        <f t="shared" si="35"/>
        <v>#N/A</v>
      </c>
    </row>
    <row r="396" spans="1:22">
      <c r="A396" s="1340">
        <f t="shared" si="31"/>
        <v>2026.03</v>
      </c>
      <c r="B396" s="260" t="e">
        <v>#N/A</v>
      </c>
      <c r="C396" s="2097" t="e">
        <v>#N/A</v>
      </c>
      <c r="D396" s="2097" t="e">
        <v>#N/A</v>
      </c>
      <c r="E396" s="2097" t="e">
        <v>#N/A</v>
      </c>
      <c r="F396" s="260" t="e">
        <v>#N/A</v>
      </c>
      <c r="G396" s="3034" t="e">
        <v>#N/A</v>
      </c>
      <c r="H396" s="196" t="e">
        <f t="shared" si="32"/>
        <v>#N/A</v>
      </c>
      <c r="I396" s="260" t="e">
        <v>#N/A</v>
      </c>
      <c r="J396" s="1870" t="e">
        <v>#N/A</v>
      </c>
      <c r="K396" s="263" t="e">
        <f t="shared" si="33"/>
        <v>#N/A</v>
      </c>
      <c r="L396" s="1313" t="e">
        <v>#N/A</v>
      </c>
      <c r="M396" s="225" t="e">
        <v>#N/A</v>
      </c>
      <c r="N396" s="2097" t="e">
        <v>#N/A</v>
      </c>
      <c r="O396" s="2158" t="e">
        <f t="shared" si="34"/>
        <v>#N/A</v>
      </c>
      <c r="P396" s="2097" t="e">
        <v>#N/A</v>
      </c>
      <c r="Q396" s="2097" t="e">
        <v>#N/A</v>
      </c>
      <c r="R396" s="2097" t="e">
        <v>#N/A</v>
      </c>
      <c r="S396" s="2097" t="e">
        <v>#N/A</v>
      </c>
      <c r="T396" s="1313" t="e">
        <v>#N/A</v>
      </c>
      <c r="U396" s="225" t="e">
        <v>#N/A</v>
      </c>
      <c r="V396" s="206" t="e">
        <f t="shared" si="35"/>
        <v>#N/A</v>
      </c>
    </row>
    <row r="397" spans="1:22">
      <c r="A397" s="1340">
        <f t="shared" si="31"/>
        <v>2026.04</v>
      </c>
      <c r="B397" s="260" t="e">
        <v>#N/A</v>
      </c>
      <c r="C397" s="2097" t="e">
        <v>#N/A</v>
      </c>
      <c r="D397" s="2097" t="e">
        <v>#N/A</v>
      </c>
      <c r="E397" s="2097" t="e">
        <v>#N/A</v>
      </c>
      <c r="F397" s="260" t="e">
        <v>#N/A</v>
      </c>
      <c r="G397" s="3034" t="e">
        <v>#N/A</v>
      </c>
      <c r="H397" s="196" t="e">
        <f t="shared" si="32"/>
        <v>#N/A</v>
      </c>
      <c r="I397" s="260" t="e">
        <v>#N/A</v>
      </c>
      <c r="J397" s="1870" t="e">
        <v>#N/A</v>
      </c>
      <c r="K397" s="263" t="e">
        <f t="shared" si="33"/>
        <v>#N/A</v>
      </c>
      <c r="L397" s="1313" t="e">
        <v>#N/A</v>
      </c>
      <c r="M397" s="225" t="e">
        <v>#N/A</v>
      </c>
      <c r="N397" s="2097" t="e">
        <v>#N/A</v>
      </c>
      <c r="O397" s="2158" t="e">
        <f t="shared" si="34"/>
        <v>#N/A</v>
      </c>
      <c r="P397" s="2097" t="e">
        <v>#N/A</v>
      </c>
      <c r="Q397" s="2097" t="e">
        <v>#N/A</v>
      </c>
      <c r="R397" s="2097" t="e">
        <v>#N/A</v>
      </c>
      <c r="S397" s="2097" t="e">
        <v>#N/A</v>
      </c>
      <c r="T397" s="1313" t="e">
        <v>#N/A</v>
      </c>
      <c r="U397" s="225" t="e">
        <v>#N/A</v>
      </c>
      <c r="V397" s="206" t="e">
        <f t="shared" si="35"/>
        <v>#N/A</v>
      </c>
    </row>
    <row r="398" spans="1:22">
      <c r="A398" s="1340">
        <f t="shared" si="31"/>
        <v>2026.05</v>
      </c>
      <c r="B398" s="260" t="e">
        <v>#N/A</v>
      </c>
      <c r="C398" s="2097" t="e">
        <v>#N/A</v>
      </c>
      <c r="D398" s="2097" t="e">
        <v>#N/A</v>
      </c>
      <c r="E398" s="2097" t="e">
        <v>#N/A</v>
      </c>
      <c r="F398" s="260" t="e">
        <v>#N/A</v>
      </c>
      <c r="G398" s="3034" t="e">
        <v>#N/A</v>
      </c>
      <c r="H398" s="196" t="e">
        <f t="shared" si="32"/>
        <v>#N/A</v>
      </c>
      <c r="I398" s="260" t="e">
        <v>#N/A</v>
      </c>
      <c r="J398" s="1870" t="e">
        <v>#N/A</v>
      </c>
      <c r="K398" s="263" t="e">
        <f t="shared" si="33"/>
        <v>#N/A</v>
      </c>
      <c r="L398" s="1313" t="e">
        <v>#N/A</v>
      </c>
      <c r="M398" s="225" t="e">
        <v>#N/A</v>
      </c>
      <c r="N398" s="2097" t="e">
        <v>#N/A</v>
      </c>
      <c r="O398" s="2158" t="e">
        <f t="shared" si="34"/>
        <v>#N/A</v>
      </c>
      <c r="P398" s="2097" t="e">
        <v>#N/A</v>
      </c>
      <c r="Q398" s="2097" t="e">
        <v>#N/A</v>
      </c>
      <c r="R398" s="2097" t="e">
        <v>#N/A</v>
      </c>
      <c r="S398" s="2097" t="e">
        <v>#N/A</v>
      </c>
      <c r="T398" s="1313" t="e">
        <v>#N/A</v>
      </c>
      <c r="U398" s="225" t="e">
        <v>#N/A</v>
      </c>
      <c r="V398" s="206" t="e">
        <f t="shared" si="35"/>
        <v>#N/A</v>
      </c>
    </row>
    <row r="399" spans="1:22">
      <c r="A399" s="1340">
        <f t="shared" si="31"/>
        <v>2026.06</v>
      </c>
      <c r="B399" s="260" t="e">
        <v>#N/A</v>
      </c>
      <c r="C399" s="2097" t="e">
        <v>#N/A</v>
      </c>
      <c r="D399" s="2097" t="e">
        <v>#N/A</v>
      </c>
      <c r="E399" s="2097" t="e">
        <v>#N/A</v>
      </c>
      <c r="F399" s="260" t="e">
        <v>#N/A</v>
      </c>
      <c r="G399" s="3034" t="e">
        <v>#N/A</v>
      </c>
      <c r="H399" s="196" t="e">
        <f t="shared" si="32"/>
        <v>#N/A</v>
      </c>
      <c r="I399" s="260" t="e">
        <v>#N/A</v>
      </c>
      <c r="J399" s="1870" t="e">
        <v>#N/A</v>
      </c>
      <c r="K399" s="263" t="e">
        <f t="shared" si="33"/>
        <v>#N/A</v>
      </c>
      <c r="L399" s="1313" t="e">
        <v>#N/A</v>
      </c>
      <c r="M399" s="225" t="e">
        <v>#N/A</v>
      </c>
      <c r="N399" s="2097" t="e">
        <v>#N/A</v>
      </c>
      <c r="O399" s="2158" t="e">
        <f t="shared" si="34"/>
        <v>#N/A</v>
      </c>
      <c r="P399" s="2097" t="e">
        <v>#N/A</v>
      </c>
      <c r="Q399" s="2097" t="e">
        <v>#N/A</v>
      </c>
      <c r="R399" s="2097" t="e">
        <v>#N/A</v>
      </c>
      <c r="S399" s="2097" t="e">
        <v>#N/A</v>
      </c>
      <c r="T399" s="1313" t="e">
        <v>#N/A</v>
      </c>
      <c r="U399" s="225" t="e">
        <v>#N/A</v>
      </c>
      <c r="V399" s="206" t="e">
        <f t="shared" si="35"/>
        <v>#N/A</v>
      </c>
    </row>
    <row r="400" spans="1:22">
      <c r="A400" s="1340">
        <f t="shared" si="31"/>
        <v>2026.07</v>
      </c>
      <c r="B400" s="260" t="e">
        <v>#N/A</v>
      </c>
      <c r="C400" s="2097" t="e">
        <v>#N/A</v>
      </c>
      <c r="D400" s="2097" t="e">
        <v>#N/A</v>
      </c>
      <c r="E400" s="2097" t="e">
        <v>#N/A</v>
      </c>
      <c r="F400" s="260" t="e">
        <v>#N/A</v>
      </c>
      <c r="G400" s="3034" t="e">
        <v>#N/A</v>
      </c>
      <c r="H400" s="196" t="e">
        <f t="shared" si="32"/>
        <v>#N/A</v>
      </c>
      <c r="I400" s="260" t="e">
        <v>#N/A</v>
      </c>
      <c r="J400" s="1870" t="e">
        <v>#N/A</v>
      </c>
      <c r="K400" s="263" t="e">
        <f t="shared" si="33"/>
        <v>#N/A</v>
      </c>
      <c r="L400" s="1313" t="e">
        <v>#N/A</v>
      </c>
      <c r="M400" s="225" t="e">
        <v>#N/A</v>
      </c>
      <c r="N400" s="2097" t="e">
        <v>#N/A</v>
      </c>
      <c r="O400" s="2158" t="e">
        <f t="shared" si="34"/>
        <v>#N/A</v>
      </c>
      <c r="P400" s="2097" t="e">
        <v>#N/A</v>
      </c>
      <c r="Q400" s="2097" t="e">
        <v>#N/A</v>
      </c>
      <c r="R400" s="2097" t="e">
        <v>#N/A</v>
      </c>
      <c r="S400" s="2097" t="e">
        <v>#N/A</v>
      </c>
      <c r="T400" s="1313" t="e">
        <v>#N/A</v>
      </c>
      <c r="U400" s="225" t="e">
        <v>#N/A</v>
      </c>
      <c r="V400" s="206" t="e">
        <f t="shared" si="35"/>
        <v>#N/A</v>
      </c>
    </row>
    <row r="401" spans="1:22">
      <c r="A401" s="1340">
        <f t="shared" si="31"/>
        <v>2026.08</v>
      </c>
      <c r="B401" s="260" t="e">
        <v>#N/A</v>
      </c>
      <c r="C401" s="2097" t="e">
        <v>#N/A</v>
      </c>
      <c r="D401" s="2097" t="e">
        <v>#N/A</v>
      </c>
      <c r="E401" s="2097" t="e">
        <v>#N/A</v>
      </c>
      <c r="F401" s="260" t="e">
        <v>#N/A</v>
      </c>
      <c r="G401" s="3034" t="e">
        <v>#N/A</v>
      </c>
      <c r="H401" s="196" t="e">
        <f t="shared" si="32"/>
        <v>#N/A</v>
      </c>
      <c r="I401" s="260" t="e">
        <v>#N/A</v>
      </c>
      <c r="J401" s="1870" t="e">
        <v>#N/A</v>
      </c>
      <c r="K401" s="263" t="e">
        <f t="shared" si="33"/>
        <v>#N/A</v>
      </c>
      <c r="L401" s="1313" t="e">
        <v>#N/A</v>
      </c>
      <c r="M401" s="225" t="e">
        <v>#N/A</v>
      </c>
      <c r="N401" s="2097" t="e">
        <v>#N/A</v>
      </c>
      <c r="O401" s="2158" t="e">
        <f t="shared" si="34"/>
        <v>#N/A</v>
      </c>
      <c r="P401" s="2097" t="e">
        <v>#N/A</v>
      </c>
      <c r="Q401" s="2097" t="e">
        <v>#N/A</v>
      </c>
      <c r="R401" s="2097" t="e">
        <v>#N/A</v>
      </c>
      <c r="S401" s="2097" t="e">
        <v>#N/A</v>
      </c>
      <c r="T401" s="1313" t="e">
        <v>#N/A</v>
      </c>
      <c r="U401" s="225" t="e">
        <v>#N/A</v>
      </c>
      <c r="V401" s="206" t="e">
        <f t="shared" si="35"/>
        <v>#N/A</v>
      </c>
    </row>
    <row r="402" spans="1:22">
      <c r="A402" s="1340">
        <f t="shared" si="31"/>
        <v>2026.09</v>
      </c>
      <c r="B402" s="260" t="e">
        <v>#N/A</v>
      </c>
      <c r="C402" s="2097" t="e">
        <v>#N/A</v>
      </c>
      <c r="D402" s="2097" t="e">
        <v>#N/A</v>
      </c>
      <c r="E402" s="2097" t="e">
        <v>#N/A</v>
      </c>
      <c r="F402" s="260" t="e">
        <v>#N/A</v>
      </c>
      <c r="G402" s="3034" t="e">
        <v>#N/A</v>
      </c>
      <c r="H402" s="196" t="e">
        <f t="shared" si="32"/>
        <v>#N/A</v>
      </c>
      <c r="I402" s="260" t="e">
        <v>#N/A</v>
      </c>
      <c r="J402" s="1870" t="e">
        <v>#N/A</v>
      </c>
      <c r="K402" s="263" t="e">
        <f t="shared" si="33"/>
        <v>#N/A</v>
      </c>
      <c r="L402" s="1313" t="e">
        <v>#N/A</v>
      </c>
      <c r="M402" s="225" t="e">
        <v>#N/A</v>
      </c>
      <c r="N402" s="2097" t="e">
        <v>#N/A</v>
      </c>
      <c r="O402" s="2158" t="e">
        <f t="shared" si="34"/>
        <v>#N/A</v>
      </c>
      <c r="P402" s="2097" t="e">
        <v>#N/A</v>
      </c>
      <c r="Q402" s="2097" t="e">
        <v>#N/A</v>
      </c>
      <c r="R402" s="2097" t="e">
        <v>#N/A</v>
      </c>
      <c r="S402" s="2097" t="e">
        <v>#N/A</v>
      </c>
      <c r="T402" s="1313" t="e">
        <v>#N/A</v>
      </c>
      <c r="U402" s="225" t="e">
        <v>#N/A</v>
      </c>
      <c r="V402" s="206" t="e">
        <f t="shared" si="35"/>
        <v>#N/A</v>
      </c>
    </row>
    <row r="403" spans="1:22">
      <c r="A403" s="1340">
        <f t="shared" si="31"/>
        <v>2026.1</v>
      </c>
      <c r="B403" s="260" t="e">
        <v>#N/A</v>
      </c>
      <c r="C403" s="2097" t="e">
        <v>#N/A</v>
      </c>
      <c r="D403" s="2097" t="e">
        <v>#N/A</v>
      </c>
      <c r="E403" s="2097" t="e">
        <v>#N/A</v>
      </c>
      <c r="F403" s="260" t="e">
        <v>#N/A</v>
      </c>
      <c r="G403" s="3034" t="e">
        <v>#N/A</v>
      </c>
      <c r="H403" s="196" t="e">
        <f t="shared" si="32"/>
        <v>#N/A</v>
      </c>
      <c r="I403" s="260" t="e">
        <v>#N/A</v>
      </c>
      <c r="J403" s="1870" t="e">
        <v>#N/A</v>
      </c>
      <c r="K403" s="263" t="e">
        <f t="shared" si="33"/>
        <v>#N/A</v>
      </c>
      <c r="L403" s="1313" t="e">
        <v>#N/A</v>
      </c>
      <c r="M403" s="225" t="e">
        <v>#N/A</v>
      </c>
      <c r="N403" s="2097" t="e">
        <v>#N/A</v>
      </c>
      <c r="O403" s="2158" t="e">
        <f t="shared" si="34"/>
        <v>#N/A</v>
      </c>
      <c r="P403" s="2097" t="e">
        <v>#N/A</v>
      </c>
      <c r="Q403" s="2097" t="e">
        <v>#N/A</v>
      </c>
      <c r="R403" s="2097" t="e">
        <v>#N/A</v>
      </c>
      <c r="S403" s="2097" t="e">
        <v>#N/A</v>
      </c>
      <c r="T403" s="1313" t="e">
        <v>#N/A</v>
      </c>
      <c r="U403" s="225" t="e">
        <v>#N/A</v>
      </c>
      <c r="V403" s="206" t="e">
        <f t="shared" si="35"/>
        <v>#N/A</v>
      </c>
    </row>
    <row r="404" spans="1:22">
      <c r="A404" s="1340">
        <f t="shared" si="31"/>
        <v>2026.11</v>
      </c>
      <c r="B404" s="260" t="e">
        <v>#N/A</v>
      </c>
      <c r="C404" s="2097" t="e">
        <v>#N/A</v>
      </c>
      <c r="D404" s="2097" t="e">
        <v>#N/A</v>
      </c>
      <c r="E404" s="2097" t="e">
        <v>#N/A</v>
      </c>
      <c r="F404" s="260" t="e">
        <v>#N/A</v>
      </c>
      <c r="G404" s="3034" t="e">
        <v>#N/A</v>
      </c>
      <c r="H404" s="196" t="e">
        <f t="shared" si="32"/>
        <v>#N/A</v>
      </c>
      <c r="I404" s="260" t="e">
        <v>#N/A</v>
      </c>
      <c r="J404" s="1870" t="e">
        <v>#N/A</v>
      </c>
      <c r="K404" s="263" t="e">
        <f t="shared" si="33"/>
        <v>#N/A</v>
      </c>
      <c r="L404" s="1313" t="e">
        <v>#N/A</v>
      </c>
      <c r="M404" s="225" t="e">
        <v>#N/A</v>
      </c>
      <c r="N404" s="2097" t="e">
        <v>#N/A</v>
      </c>
      <c r="O404" s="2158" t="e">
        <f t="shared" si="34"/>
        <v>#N/A</v>
      </c>
      <c r="P404" s="2097" t="e">
        <v>#N/A</v>
      </c>
      <c r="Q404" s="2097" t="e">
        <v>#N/A</v>
      </c>
      <c r="R404" s="2097" t="e">
        <v>#N/A</v>
      </c>
      <c r="S404" s="2097" t="e">
        <v>#N/A</v>
      </c>
      <c r="T404" s="1313" t="e">
        <v>#N/A</v>
      </c>
      <c r="U404" s="225" t="e">
        <v>#N/A</v>
      </c>
      <c r="V404" s="206" t="e">
        <f t="shared" si="35"/>
        <v>#N/A</v>
      </c>
    </row>
    <row r="405" spans="1:22">
      <c r="A405" s="1340">
        <f t="shared" si="31"/>
        <v>2026.12</v>
      </c>
      <c r="B405" s="260" t="e">
        <v>#N/A</v>
      </c>
      <c r="C405" s="2097" t="e">
        <v>#N/A</v>
      </c>
      <c r="D405" s="2097" t="e">
        <v>#N/A</v>
      </c>
      <c r="E405" s="2097" t="e">
        <v>#N/A</v>
      </c>
      <c r="F405" s="260" t="e">
        <v>#N/A</v>
      </c>
      <c r="G405" s="3034" t="e">
        <v>#N/A</v>
      </c>
      <c r="H405" s="196" t="e">
        <f t="shared" si="32"/>
        <v>#N/A</v>
      </c>
      <c r="I405" s="260" t="e">
        <v>#N/A</v>
      </c>
      <c r="J405" s="1870" t="e">
        <v>#N/A</v>
      </c>
      <c r="K405" s="263" t="e">
        <f t="shared" si="33"/>
        <v>#N/A</v>
      </c>
      <c r="L405" s="1313" t="e">
        <v>#N/A</v>
      </c>
      <c r="M405" s="225" t="e">
        <v>#N/A</v>
      </c>
      <c r="N405" s="2097" t="e">
        <v>#N/A</v>
      </c>
      <c r="O405" s="2158" t="e">
        <f t="shared" si="34"/>
        <v>#N/A</v>
      </c>
      <c r="P405" s="2097" t="e">
        <v>#N/A</v>
      </c>
      <c r="Q405" s="2097" t="e">
        <v>#N/A</v>
      </c>
      <c r="R405" s="2097" t="e">
        <v>#N/A</v>
      </c>
      <c r="S405" s="2097" t="e">
        <v>#N/A</v>
      </c>
      <c r="T405" s="1313" t="e">
        <v>#N/A</v>
      </c>
      <c r="U405" s="225" t="e">
        <v>#N/A</v>
      </c>
      <c r="V405" s="206" t="e">
        <f t="shared" si="35"/>
        <v>#N/A</v>
      </c>
    </row>
    <row r="406" spans="1:22">
      <c r="A406" s="1340">
        <f t="shared" si="31"/>
        <v>2027.01</v>
      </c>
      <c r="B406" s="260" t="e">
        <v>#N/A</v>
      </c>
      <c r="C406" s="2097" t="e">
        <v>#N/A</v>
      </c>
      <c r="D406" s="2097" t="e">
        <v>#N/A</v>
      </c>
      <c r="E406" s="2097" t="e">
        <v>#N/A</v>
      </c>
      <c r="F406" s="260" t="e">
        <v>#N/A</v>
      </c>
      <c r="G406" s="3034" t="e">
        <v>#N/A</v>
      </c>
      <c r="H406" s="196" t="e">
        <f t="shared" si="32"/>
        <v>#N/A</v>
      </c>
      <c r="I406" s="260" t="e">
        <v>#N/A</v>
      </c>
      <c r="J406" s="1870" t="e">
        <v>#N/A</v>
      </c>
      <c r="K406" s="263" t="e">
        <f t="shared" si="33"/>
        <v>#N/A</v>
      </c>
      <c r="L406" s="1313" t="e">
        <v>#N/A</v>
      </c>
      <c r="M406" s="225" t="e">
        <v>#N/A</v>
      </c>
      <c r="N406" s="2097" t="e">
        <v>#N/A</v>
      </c>
      <c r="O406" s="2158" t="e">
        <f t="shared" si="34"/>
        <v>#N/A</v>
      </c>
      <c r="P406" s="2097" t="e">
        <v>#N/A</v>
      </c>
      <c r="Q406" s="2097" t="e">
        <v>#N/A</v>
      </c>
      <c r="R406" s="2097" t="e">
        <v>#N/A</v>
      </c>
      <c r="S406" s="2097" t="e">
        <v>#N/A</v>
      </c>
      <c r="T406" s="1313" t="e">
        <v>#N/A</v>
      </c>
      <c r="U406" s="225" t="e">
        <v>#N/A</v>
      </c>
      <c r="V406" s="206" t="e">
        <f t="shared" si="35"/>
        <v>#N/A</v>
      </c>
    </row>
    <row r="407" spans="1:22">
      <c r="A407" s="1340">
        <f t="shared" si="31"/>
        <v>2027.02</v>
      </c>
      <c r="B407" s="260" t="e">
        <v>#N/A</v>
      </c>
      <c r="C407" s="2097" t="e">
        <v>#N/A</v>
      </c>
      <c r="D407" s="2097" t="e">
        <v>#N/A</v>
      </c>
      <c r="E407" s="2097" t="e">
        <v>#N/A</v>
      </c>
      <c r="F407" s="260" t="e">
        <v>#N/A</v>
      </c>
      <c r="G407" s="3034" t="e">
        <v>#N/A</v>
      </c>
      <c r="H407" s="196" t="e">
        <f t="shared" si="32"/>
        <v>#N/A</v>
      </c>
      <c r="I407" s="260" t="e">
        <v>#N/A</v>
      </c>
      <c r="J407" s="1870" t="e">
        <v>#N/A</v>
      </c>
      <c r="K407" s="263" t="e">
        <f t="shared" si="33"/>
        <v>#N/A</v>
      </c>
      <c r="L407" s="1313" t="e">
        <v>#N/A</v>
      </c>
      <c r="M407" s="225" t="e">
        <v>#N/A</v>
      </c>
      <c r="N407" s="2097" t="e">
        <v>#N/A</v>
      </c>
      <c r="O407" s="2158" t="e">
        <f t="shared" si="34"/>
        <v>#N/A</v>
      </c>
      <c r="P407" s="2097" t="e">
        <v>#N/A</v>
      </c>
      <c r="Q407" s="2097" t="e">
        <v>#N/A</v>
      </c>
      <c r="R407" s="2097" t="e">
        <v>#N/A</v>
      </c>
      <c r="S407" s="2097" t="e">
        <v>#N/A</v>
      </c>
      <c r="T407" s="1313" t="e">
        <v>#N/A</v>
      </c>
      <c r="U407" s="225" t="e">
        <v>#N/A</v>
      </c>
      <c r="V407" s="206" t="e">
        <f t="shared" si="35"/>
        <v>#N/A</v>
      </c>
    </row>
    <row r="408" spans="1:22">
      <c r="A408" s="1340">
        <f t="shared" si="31"/>
        <v>2027.03</v>
      </c>
      <c r="B408" s="260" t="e">
        <v>#N/A</v>
      </c>
      <c r="C408" s="2097" t="e">
        <v>#N/A</v>
      </c>
      <c r="D408" s="2097" t="e">
        <v>#N/A</v>
      </c>
      <c r="E408" s="2097" t="e">
        <v>#N/A</v>
      </c>
      <c r="F408" s="260" t="e">
        <v>#N/A</v>
      </c>
      <c r="G408" s="3034" t="e">
        <v>#N/A</v>
      </c>
      <c r="H408" s="196" t="e">
        <f t="shared" si="32"/>
        <v>#N/A</v>
      </c>
      <c r="I408" s="260" t="e">
        <v>#N/A</v>
      </c>
      <c r="J408" s="1870" t="e">
        <v>#N/A</v>
      </c>
      <c r="K408" s="263" t="e">
        <f t="shared" si="33"/>
        <v>#N/A</v>
      </c>
      <c r="L408" s="1313" t="e">
        <v>#N/A</v>
      </c>
      <c r="M408" s="225" t="e">
        <v>#N/A</v>
      </c>
      <c r="N408" s="2097" t="e">
        <v>#N/A</v>
      </c>
      <c r="O408" s="2158" t="e">
        <f t="shared" si="34"/>
        <v>#N/A</v>
      </c>
      <c r="P408" s="2097" t="e">
        <v>#N/A</v>
      </c>
      <c r="Q408" s="2097" t="e">
        <v>#N/A</v>
      </c>
      <c r="R408" s="2097" t="e">
        <v>#N/A</v>
      </c>
      <c r="S408" s="2097" t="e">
        <v>#N/A</v>
      </c>
      <c r="T408" s="1313" t="e">
        <v>#N/A</v>
      </c>
      <c r="U408" s="225" t="e">
        <v>#N/A</v>
      </c>
      <c r="V408" s="206" t="e">
        <f t="shared" si="35"/>
        <v>#N/A</v>
      </c>
    </row>
    <row r="409" spans="1:22">
      <c r="A409" s="1340">
        <f t="shared" si="31"/>
        <v>2027.04</v>
      </c>
      <c r="B409" s="260" t="e">
        <v>#N/A</v>
      </c>
      <c r="C409" s="2097" t="e">
        <v>#N/A</v>
      </c>
      <c r="D409" s="2097" t="e">
        <v>#N/A</v>
      </c>
      <c r="E409" s="2097" t="e">
        <v>#N/A</v>
      </c>
      <c r="F409" s="260" t="e">
        <v>#N/A</v>
      </c>
      <c r="G409" s="3034" t="e">
        <v>#N/A</v>
      </c>
      <c r="H409" s="196" t="e">
        <f t="shared" si="32"/>
        <v>#N/A</v>
      </c>
      <c r="I409" s="260" t="e">
        <v>#N/A</v>
      </c>
      <c r="J409" s="1870" t="e">
        <v>#N/A</v>
      </c>
      <c r="K409" s="263" t="e">
        <f t="shared" si="33"/>
        <v>#N/A</v>
      </c>
      <c r="L409" s="1313" t="e">
        <v>#N/A</v>
      </c>
      <c r="M409" s="225" t="e">
        <v>#N/A</v>
      </c>
      <c r="N409" s="2097" t="e">
        <v>#N/A</v>
      </c>
      <c r="O409" s="2158" t="e">
        <f t="shared" si="34"/>
        <v>#N/A</v>
      </c>
      <c r="P409" s="2097" t="e">
        <v>#N/A</v>
      </c>
      <c r="Q409" s="2097" t="e">
        <v>#N/A</v>
      </c>
      <c r="R409" s="2097" t="e">
        <v>#N/A</v>
      </c>
      <c r="S409" s="2097" t="e">
        <v>#N/A</v>
      </c>
      <c r="T409" s="1313" t="e">
        <v>#N/A</v>
      </c>
      <c r="U409" s="225" t="e">
        <v>#N/A</v>
      </c>
      <c r="V409" s="206" t="e">
        <f t="shared" si="35"/>
        <v>#N/A</v>
      </c>
    </row>
    <row r="410" spans="1:22">
      <c r="A410" s="1340">
        <f t="shared" si="31"/>
        <v>2027.05</v>
      </c>
      <c r="B410" s="260" t="e">
        <v>#N/A</v>
      </c>
      <c r="C410" s="2097" t="e">
        <v>#N/A</v>
      </c>
      <c r="D410" s="2097" t="e">
        <v>#N/A</v>
      </c>
      <c r="E410" s="2097" t="e">
        <v>#N/A</v>
      </c>
      <c r="F410" s="260" t="e">
        <v>#N/A</v>
      </c>
      <c r="G410" s="3034" t="e">
        <v>#N/A</v>
      </c>
      <c r="H410" s="196" t="e">
        <f t="shared" si="32"/>
        <v>#N/A</v>
      </c>
      <c r="I410" s="260" t="e">
        <v>#N/A</v>
      </c>
      <c r="J410" s="1870" t="e">
        <v>#N/A</v>
      </c>
      <c r="K410" s="263" t="e">
        <f t="shared" si="33"/>
        <v>#N/A</v>
      </c>
      <c r="L410" s="1313" t="e">
        <v>#N/A</v>
      </c>
      <c r="M410" s="225" t="e">
        <v>#N/A</v>
      </c>
      <c r="N410" s="2097" t="e">
        <v>#N/A</v>
      </c>
      <c r="O410" s="2158" t="e">
        <f t="shared" si="34"/>
        <v>#N/A</v>
      </c>
      <c r="P410" s="2097" t="e">
        <v>#N/A</v>
      </c>
      <c r="Q410" s="2097" t="e">
        <v>#N/A</v>
      </c>
      <c r="R410" s="2097" t="e">
        <v>#N/A</v>
      </c>
      <c r="S410" s="2097" t="e">
        <v>#N/A</v>
      </c>
      <c r="T410" s="1313" t="e">
        <v>#N/A</v>
      </c>
      <c r="U410" s="225" t="e">
        <v>#N/A</v>
      </c>
      <c r="V410" s="206" t="e">
        <f t="shared" si="35"/>
        <v>#N/A</v>
      </c>
    </row>
    <row r="411" spans="1:22">
      <c r="A411" s="1340">
        <f t="shared" si="31"/>
        <v>2027.06</v>
      </c>
      <c r="B411" s="260" t="e">
        <v>#N/A</v>
      </c>
      <c r="C411" s="2097" t="e">
        <v>#N/A</v>
      </c>
      <c r="D411" s="2097" t="e">
        <v>#N/A</v>
      </c>
      <c r="E411" s="2097" t="e">
        <v>#N/A</v>
      </c>
      <c r="F411" s="260" t="e">
        <v>#N/A</v>
      </c>
      <c r="G411" s="3034" t="e">
        <v>#N/A</v>
      </c>
      <c r="H411" s="196" t="e">
        <f t="shared" ref="H411:H453" si="36">F411+G411</f>
        <v>#N/A</v>
      </c>
      <c r="I411" s="260" t="e">
        <v>#N/A</v>
      </c>
      <c r="J411" s="1870" t="e">
        <v>#N/A</v>
      </c>
      <c r="K411" s="263" t="e">
        <f t="shared" ref="K411:K453" si="37">I411+J411</f>
        <v>#N/A</v>
      </c>
      <c r="L411" s="1313" t="e">
        <v>#N/A</v>
      </c>
      <c r="M411" s="225" t="e">
        <v>#N/A</v>
      </c>
      <c r="N411" s="2097" t="e">
        <v>#N/A</v>
      </c>
      <c r="O411" s="2158" t="e">
        <f t="shared" ref="O411:O453" si="38">L411+M411+N411</f>
        <v>#N/A</v>
      </c>
      <c r="P411" s="2097" t="e">
        <v>#N/A</v>
      </c>
      <c r="Q411" s="2097" t="e">
        <v>#N/A</v>
      </c>
      <c r="R411" s="2097" t="e">
        <v>#N/A</v>
      </c>
      <c r="S411" s="2097" t="e">
        <v>#N/A</v>
      </c>
      <c r="T411" s="1313" t="e">
        <v>#N/A</v>
      </c>
      <c r="U411" s="225" t="e">
        <v>#N/A</v>
      </c>
      <c r="V411" s="206" t="e">
        <f t="shared" ref="V411:V453" si="39">SUM(P411:U411)</f>
        <v>#N/A</v>
      </c>
    </row>
    <row r="412" spans="1:22">
      <c r="A412" s="1340">
        <f t="shared" si="31"/>
        <v>2027.07</v>
      </c>
      <c r="B412" s="260" t="e">
        <v>#N/A</v>
      </c>
      <c r="C412" s="2097" t="e">
        <v>#N/A</v>
      </c>
      <c r="D412" s="2097" t="e">
        <v>#N/A</v>
      </c>
      <c r="E412" s="2097" t="e">
        <v>#N/A</v>
      </c>
      <c r="F412" s="260" t="e">
        <v>#N/A</v>
      </c>
      <c r="G412" s="3034" t="e">
        <v>#N/A</v>
      </c>
      <c r="H412" s="196" t="e">
        <f t="shared" si="36"/>
        <v>#N/A</v>
      </c>
      <c r="I412" s="260" t="e">
        <v>#N/A</v>
      </c>
      <c r="J412" s="1870" t="e">
        <v>#N/A</v>
      </c>
      <c r="K412" s="263" t="e">
        <f t="shared" si="37"/>
        <v>#N/A</v>
      </c>
      <c r="L412" s="1313" t="e">
        <v>#N/A</v>
      </c>
      <c r="M412" s="225" t="e">
        <v>#N/A</v>
      </c>
      <c r="N412" s="2097" t="e">
        <v>#N/A</v>
      </c>
      <c r="O412" s="2158" t="e">
        <f t="shared" si="38"/>
        <v>#N/A</v>
      </c>
      <c r="P412" s="2097" t="e">
        <v>#N/A</v>
      </c>
      <c r="Q412" s="2097" t="e">
        <v>#N/A</v>
      </c>
      <c r="R412" s="2097" t="e">
        <v>#N/A</v>
      </c>
      <c r="S412" s="2097" t="e">
        <v>#N/A</v>
      </c>
      <c r="T412" s="1313" t="e">
        <v>#N/A</v>
      </c>
      <c r="U412" s="225" t="e">
        <v>#N/A</v>
      </c>
      <c r="V412" s="206" t="e">
        <f t="shared" si="39"/>
        <v>#N/A</v>
      </c>
    </row>
    <row r="413" spans="1:22">
      <c r="A413" s="1340">
        <f t="shared" si="31"/>
        <v>2027.08</v>
      </c>
      <c r="B413" s="260" t="e">
        <v>#N/A</v>
      </c>
      <c r="C413" s="2097" t="e">
        <v>#N/A</v>
      </c>
      <c r="D413" s="2097" t="e">
        <v>#N/A</v>
      </c>
      <c r="E413" s="2097" t="e">
        <v>#N/A</v>
      </c>
      <c r="F413" s="260" t="e">
        <v>#N/A</v>
      </c>
      <c r="G413" s="3034" t="e">
        <v>#N/A</v>
      </c>
      <c r="H413" s="196" t="e">
        <f t="shared" si="36"/>
        <v>#N/A</v>
      </c>
      <c r="I413" s="260" t="e">
        <v>#N/A</v>
      </c>
      <c r="J413" s="1870" t="e">
        <v>#N/A</v>
      </c>
      <c r="K413" s="263" t="e">
        <f t="shared" si="37"/>
        <v>#N/A</v>
      </c>
      <c r="L413" s="1313" t="e">
        <v>#N/A</v>
      </c>
      <c r="M413" s="225" t="e">
        <v>#N/A</v>
      </c>
      <c r="N413" s="2097" t="e">
        <v>#N/A</v>
      </c>
      <c r="O413" s="2158" t="e">
        <f t="shared" si="38"/>
        <v>#N/A</v>
      </c>
      <c r="P413" s="2097" t="e">
        <v>#N/A</v>
      </c>
      <c r="Q413" s="2097" t="e">
        <v>#N/A</v>
      </c>
      <c r="R413" s="2097" t="e">
        <v>#N/A</v>
      </c>
      <c r="S413" s="2097" t="e">
        <v>#N/A</v>
      </c>
      <c r="T413" s="1313" t="e">
        <v>#N/A</v>
      </c>
      <c r="U413" s="225" t="e">
        <v>#N/A</v>
      </c>
      <c r="V413" s="206" t="e">
        <f t="shared" si="39"/>
        <v>#N/A</v>
      </c>
    </row>
    <row r="414" spans="1:22">
      <c r="A414" s="1340">
        <f t="shared" si="31"/>
        <v>2027.09</v>
      </c>
      <c r="B414" s="260" t="e">
        <v>#N/A</v>
      </c>
      <c r="C414" s="2097" t="e">
        <v>#N/A</v>
      </c>
      <c r="D414" s="2097" t="e">
        <v>#N/A</v>
      </c>
      <c r="E414" s="2097" t="e">
        <v>#N/A</v>
      </c>
      <c r="F414" s="260" t="e">
        <v>#N/A</v>
      </c>
      <c r="G414" s="3034" t="e">
        <v>#N/A</v>
      </c>
      <c r="H414" s="196" t="e">
        <f t="shared" si="36"/>
        <v>#N/A</v>
      </c>
      <c r="I414" s="260" t="e">
        <v>#N/A</v>
      </c>
      <c r="J414" s="1870" t="e">
        <v>#N/A</v>
      </c>
      <c r="K414" s="263" t="e">
        <f t="shared" si="37"/>
        <v>#N/A</v>
      </c>
      <c r="L414" s="1313" t="e">
        <v>#N/A</v>
      </c>
      <c r="M414" s="225" t="e">
        <v>#N/A</v>
      </c>
      <c r="N414" s="2097" t="e">
        <v>#N/A</v>
      </c>
      <c r="O414" s="2158" t="e">
        <f t="shared" si="38"/>
        <v>#N/A</v>
      </c>
      <c r="P414" s="2097" t="e">
        <v>#N/A</v>
      </c>
      <c r="Q414" s="2097" t="e">
        <v>#N/A</v>
      </c>
      <c r="R414" s="2097" t="e">
        <v>#N/A</v>
      </c>
      <c r="S414" s="2097" t="e">
        <v>#N/A</v>
      </c>
      <c r="T414" s="1313" t="e">
        <v>#N/A</v>
      </c>
      <c r="U414" s="225" t="e">
        <v>#N/A</v>
      </c>
      <c r="V414" s="206" t="e">
        <f t="shared" si="39"/>
        <v>#N/A</v>
      </c>
    </row>
    <row r="415" spans="1:22">
      <c r="A415" s="1340">
        <f t="shared" si="31"/>
        <v>2027.1</v>
      </c>
      <c r="B415" s="260" t="e">
        <v>#N/A</v>
      </c>
      <c r="C415" s="2097" t="e">
        <v>#N/A</v>
      </c>
      <c r="D415" s="2097" t="e">
        <v>#N/A</v>
      </c>
      <c r="E415" s="2097" t="e">
        <v>#N/A</v>
      </c>
      <c r="F415" s="260" t="e">
        <v>#N/A</v>
      </c>
      <c r="G415" s="3034" t="e">
        <v>#N/A</v>
      </c>
      <c r="H415" s="196" t="e">
        <f t="shared" si="36"/>
        <v>#N/A</v>
      </c>
      <c r="I415" s="260" t="e">
        <v>#N/A</v>
      </c>
      <c r="J415" s="1870" t="e">
        <v>#N/A</v>
      </c>
      <c r="K415" s="263" t="e">
        <f t="shared" si="37"/>
        <v>#N/A</v>
      </c>
      <c r="L415" s="1313" t="e">
        <v>#N/A</v>
      </c>
      <c r="M415" s="225" t="e">
        <v>#N/A</v>
      </c>
      <c r="N415" s="2097" t="e">
        <v>#N/A</v>
      </c>
      <c r="O415" s="2158" t="e">
        <f t="shared" si="38"/>
        <v>#N/A</v>
      </c>
      <c r="P415" s="2097" t="e">
        <v>#N/A</v>
      </c>
      <c r="Q415" s="2097" t="e">
        <v>#N/A</v>
      </c>
      <c r="R415" s="2097" t="e">
        <v>#N/A</v>
      </c>
      <c r="S415" s="2097" t="e">
        <v>#N/A</v>
      </c>
      <c r="T415" s="1313" t="e">
        <v>#N/A</v>
      </c>
      <c r="U415" s="225" t="e">
        <v>#N/A</v>
      </c>
      <c r="V415" s="206" t="e">
        <f t="shared" si="39"/>
        <v>#N/A</v>
      </c>
    </row>
    <row r="416" spans="1:22">
      <c r="A416" s="1340">
        <f t="shared" si="31"/>
        <v>2027.11</v>
      </c>
      <c r="B416" s="260" t="e">
        <v>#N/A</v>
      </c>
      <c r="C416" s="2097" t="e">
        <v>#N/A</v>
      </c>
      <c r="D416" s="2097" t="e">
        <v>#N/A</v>
      </c>
      <c r="E416" s="2097" t="e">
        <v>#N/A</v>
      </c>
      <c r="F416" s="260" t="e">
        <v>#N/A</v>
      </c>
      <c r="G416" s="3034" t="e">
        <v>#N/A</v>
      </c>
      <c r="H416" s="196" t="e">
        <f t="shared" si="36"/>
        <v>#N/A</v>
      </c>
      <c r="I416" s="260" t="e">
        <v>#N/A</v>
      </c>
      <c r="J416" s="1870" t="e">
        <v>#N/A</v>
      </c>
      <c r="K416" s="263" t="e">
        <f t="shared" si="37"/>
        <v>#N/A</v>
      </c>
      <c r="L416" s="1313" t="e">
        <v>#N/A</v>
      </c>
      <c r="M416" s="225" t="e">
        <v>#N/A</v>
      </c>
      <c r="N416" s="2097" t="e">
        <v>#N/A</v>
      </c>
      <c r="O416" s="2158" t="e">
        <f t="shared" si="38"/>
        <v>#N/A</v>
      </c>
      <c r="P416" s="2097" t="e">
        <v>#N/A</v>
      </c>
      <c r="Q416" s="2097" t="e">
        <v>#N/A</v>
      </c>
      <c r="R416" s="2097" t="e">
        <v>#N/A</v>
      </c>
      <c r="S416" s="2097" t="e">
        <v>#N/A</v>
      </c>
      <c r="T416" s="1313" t="e">
        <v>#N/A</v>
      </c>
      <c r="U416" s="225" t="e">
        <v>#N/A</v>
      </c>
      <c r="V416" s="206" t="e">
        <f t="shared" si="39"/>
        <v>#N/A</v>
      </c>
    </row>
    <row r="417" spans="1:22">
      <c r="A417" s="1340">
        <f t="shared" si="31"/>
        <v>2027.12</v>
      </c>
      <c r="B417" s="260" t="e">
        <v>#N/A</v>
      </c>
      <c r="C417" s="2097" t="e">
        <v>#N/A</v>
      </c>
      <c r="D417" s="2097" t="e">
        <v>#N/A</v>
      </c>
      <c r="E417" s="2097" t="e">
        <v>#N/A</v>
      </c>
      <c r="F417" s="260" t="e">
        <v>#N/A</v>
      </c>
      <c r="G417" s="3034" t="e">
        <v>#N/A</v>
      </c>
      <c r="H417" s="196" t="e">
        <f t="shared" si="36"/>
        <v>#N/A</v>
      </c>
      <c r="I417" s="260" t="e">
        <v>#N/A</v>
      </c>
      <c r="J417" s="1870" t="e">
        <v>#N/A</v>
      </c>
      <c r="K417" s="263" t="e">
        <f t="shared" si="37"/>
        <v>#N/A</v>
      </c>
      <c r="L417" s="1313" t="e">
        <v>#N/A</v>
      </c>
      <c r="M417" s="225" t="e">
        <v>#N/A</v>
      </c>
      <c r="N417" s="2097" t="e">
        <v>#N/A</v>
      </c>
      <c r="O417" s="2158" t="e">
        <f t="shared" si="38"/>
        <v>#N/A</v>
      </c>
      <c r="P417" s="2097" t="e">
        <v>#N/A</v>
      </c>
      <c r="Q417" s="2097" t="e">
        <v>#N/A</v>
      </c>
      <c r="R417" s="2097" t="e">
        <v>#N/A</v>
      </c>
      <c r="S417" s="2097" t="e">
        <v>#N/A</v>
      </c>
      <c r="T417" s="1313" t="e">
        <v>#N/A</v>
      </c>
      <c r="U417" s="225" t="e">
        <v>#N/A</v>
      </c>
      <c r="V417" s="206" t="e">
        <f t="shared" si="39"/>
        <v>#N/A</v>
      </c>
    </row>
    <row r="418" spans="1:22">
      <c r="A418" s="1340">
        <f t="shared" si="31"/>
        <v>2028.01</v>
      </c>
      <c r="B418" s="260" t="e">
        <v>#N/A</v>
      </c>
      <c r="C418" s="2097" t="e">
        <v>#N/A</v>
      </c>
      <c r="D418" s="2097" t="e">
        <v>#N/A</v>
      </c>
      <c r="E418" s="2097" t="e">
        <v>#N/A</v>
      </c>
      <c r="F418" s="260" t="e">
        <v>#N/A</v>
      </c>
      <c r="G418" s="3034" t="e">
        <v>#N/A</v>
      </c>
      <c r="H418" s="196" t="e">
        <f t="shared" si="36"/>
        <v>#N/A</v>
      </c>
      <c r="I418" s="260" t="e">
        <v>#N/A</v>
      </c>
      <c r="J418" s="1870" t="e">
        <v>#N/A</v>
      </c>
      <c r="K418" s="263" t="e">
        <f t="shared" si="37"/>
        <v>#N/A</v>
      </c>
      <c r="L418" s="1313" t="e">
        <v>#N/A</v>
      </c>
      <c r="M418" s="225" t="e">
        <v>#N/A</v>
      </c>
      <c r="N418" s="2097" t="e">
        <v>#N/A</v>
      </c>
      <c r="O418" s="2158" t="e">
        <f t="shared" si="38"/>
        <v>#N/A</v>
      </c>
      <c r="P418" s="2097" t="e">
        <v>#N/A</v>
      </c>
      <c r="Q418" s="2097" t="e">
        <v>#N/A</v>
      </c>
      <c r="R418" s="2097" t="e">
        <v>#N/A</v>
      </c>
      <c r="S418" s="2097" t="e">
        <v>#N/A</v>
      </c>
      <c r="T418" s="1313" t="e">
        <v>#N/A</v>
      </c>
      <c r="U418" s="225" t="e">
        <v>#N/A</v>
      </c>
      <c r="V418" s="206" t="e">
        <f t="shared" si="39"/>
        <v>#N/A</v>
      </c>
    </row>
    <row r="419" spans="1:22">
      <c r="A419" s="1340">
        <f t="shared" si="31"/>
        <v>2028.02</v>
      </c>
      <c r="B419" s="260" t="e">
        <v>#N/A</v>
      </c>
      <c r="C419" s="2097" t="e">
        <v>#N/A</v>
      </c>
      <c r="D419" s="2097" t="e">
        <v>#N/A</v>
      </c>
      <c r="E419" s="2097" t="e">
        <v>#N/A</v>
      </c>
      <c r="F419" s="260" t="e">
        <v>#N/A</v>
      </c>
      <c r="G419" s="3034" t="e">
        <v>#N/A</v>
      </c>
      <c r="H419" s="196" t="e">
        <f t="shared" si="36"/>
        <v>#N/A</v>
      </c>
      <c r="I419" s="260" t="e">
        <v>#N/A</v>
      </c>
      <c r="J419" s="1870" t="e">
        <v>#N/A</v>
      </c>
      <c r="K419" s="263" t="e">
        <f t="shared" si="37"/>
        <v>#N/A</v>
      </c>
      <c r="L419" s="1313" t="e">
        <v>#N/A</v>
      </c>
      <c r="M419" s="225" t="e">
        <v>#N/A</v>
      </c>
      <c r="N419" s="2097" t="e">
        <v>#N/A</v>
      </c>
      <c r="O419" s="2158" t="e">
        <f t="shared" si="38"/>
        <v>#N/A</v>
      </c>
      <c r="P419" s="2097" t="e">
        <v>#N/A</v>
      </c>
      <c r="Q419" s="2097" t="e">
        <v>#N/A</v>
      </c>
      <c r="R419" s="2097" t="e">
        <v>#N/A</v>
      </c>
      <c r="S419" s="2097" t="e">
        <v>#N/A</v>
      </c>
      <c r="T419" s="1313" t="e">
        <v>#N/A</v>
      </c>
      <c r="U419" s="225" t="e">
        <v>#N/A</v>
      </c>
      <c r="V419" s="206" t="e">
        <f t="shared" si="39"/>
        <v>#N/A</v>
      </c>
    </row>
    <row r="420" spans="1:22">
      <c r="A420" s="1340">
        <f t="shared" si="31"/>
        <v>2028.03</v>
      </c>
      <c r="B420" s="260" t="e">
        <v>#N/A</v>
      </c>
      <c r="C420" s="2097" t="e">
        <v>#N/A</v>
      </c>
      <c r="D420" s="2097" t="e">
        <v>#N/A</v>
      </c>
      <c r="E420" s="2097" t="e">
        <v>#N/A</v>
      </c>
      <c r="F420" s="260" t="e">
        <v>#N/A</v>
      </c>
      <c r="G420" s="3034" t="e">
        <v>#N/A</v>
      </c>
      <c r="H420" s="196" t="e">
        <f t="shared" si="36"/>
        <v>#N/A</v>
      </c>
      <c r="I420" s="260" t="e">
        <v>#N/A</v>
      </c>
      <c r="J420" s="1870" t="e">
        <v>#N/A</v>
      </c>
      <c r="K420" s="263" t="e">
        <f t="shared" si="37"/>
        <v>#N/A</v>
      </c>
      <c r="L420" s="1313" t="e">
        <v>#N/A</v>
      </c>
      <c r="M420" s="225" t="e">
        <v>#N/A</v>
      </c>
      <c r="N420" s="2097" t="e">
        <v>#N/A</v>
      </c>
      <c r="O420" s="2158" t="e">
        <f t="shared" si="38"/>
        <v>#N/A</v>
      </c>
      <c r="P420" s="2097" t="e">
        <v>#N/A</v>
      </c>
      <c r="Q420" s="2097" t="e">
        <v>#N/A</v>
      </c>
      <c r="R420" s="2097" t="e">
        <v>#N/A</v>
      </c>
      <c r="S420" s="2097" t="e">
        <v>#N/A</v>
      </c>
      <c r="T420" s="1313" t="e">
        <v>#N/A</v>
      </c>
      <c r="U420" s="225" t="e">
        <v>#N/A</v>
      </c>
      <c r="V420" s="206" t="e">
        <f t="shared" si="39"/>
        <v>#N/A</v>
      </c>
    </row>
    <row r="421" spans="1:22">
      <c r="A421" s="1340">
        <f t="shared" si="31"/>
        <v>2028.04</v>
      </c>
      <c r="B421" s="260" t="e">
        <v>#N/A</v>
      </c>
      <c r="C421" s="2097" t="e">
        <v>#N/A</v>
      </c>
      <c r="D421" s="2097" t="e">
        <v>#N/A</v>
      </c>
      <c r="E421" s="2097" t="e">
        <v>#N/A</v>
      </c>
      <c r="F421" s="260" t="e">
        <v>#N/A</v>
      </c>
      <c r="G421" s="3034" t="e">
        <v>#N/A</v>
      </c>
      <c r="H421" s="196" t="e">
        <f t="shared" si="36"/>
        <v>#N/A</v>
      </c>
      <c r="I421" s="260" t="e">
        <v>#N/A</v>
      </c>
      <c r="J421" s="1870" t="e">
        <v>#N/A</v>
      </c>
      <c r="K421" s="263" t="e">
        <f t="shared" si="37"/>
        <v>#N/A</v>
      </c>
      <c r="L421" s="1313" t="e">
        <v>#N/A</v>
      </c>
      <c r="M421" s="225" t="e">
        <v>#N/A</v>
      </c>
      <c r="N421" s="2097" t="e">
        <v>#N/A</v>
      </c>
      <c r="O421" s="2158" t="e">
        <f t="shared" si="38"/>
        <v>#N/A</v>
      </c>
      <c r="P421" s="2097" t="e">
        <v>#N/A</v>
      </c>
      <c r="Q421" s="2097" t="e">
        <v>#N/A</v>
      </c>
      <c r="R421" s="2097" t="e">
        <v>#N/A</v>
      </c>
      <c r="S421" s="2097" t="e">
        <v>#N/A</v>
      </c>
      <c r="T421" s="1313" t="e">
        <v>#N/A</v>
      </c>
      <c r="U421" s="225" t="e">
        <v>#N/A</v>
      </c>
      <c r="V421" s="206" t="e">
        <f t="shared" si="39"/>
        <v>#N/A</v>
      </c>
    </row>
    <row r="422" spans="1:22">
      <c r="A422" s="1340">
        <f t="shared" si="31"/>
        <v>2028.05</v>
      </c>
      <c r="B422" s="260" t="e">
        <v>#N/A</v>
      </c>
      <c r="C422" s="2097" t="e">
        <v>#N/A</v>
      </c>
      <c r="D422" s="2097" t="e">
        <v>#N/A</v>
      </c>
      <c r="E422" s="2097" t="e">
        <v>#N/A</v>
      </c>
      <c r="F422" s="260" t="e">
        <v>#N/A</v>
      </c>
      <c r="G422" s="3034" t="e">
        <v>#N/A</v>
      </c>
      <c r="H422" s="196" t="e">
        <f t="shared" si="36"/>
        <v>#N/A</v>
      </c>
      <c r="I422" s="260" t="e">
        <v>#N/A</v>
      </c>
      <c r="J422" s="1870" t="e">
        <v>#N/A</v>
      </c>
      <c r="K422" s="263" t="e">
        <f t="shared" si="37"/>
        <v>#N/A</v>
      </c>
      <c r="L422" s="1313" t="e">
        <v>#N/A</v>
      </c>
      <c r="M422" s="225" t="e">
        <v>#N/A</v>
      </c>
      <c r="N422" s="2097" t="e">
        <v>#N/A</v>
      </c>
      <c r="O422" s="2158" t="e">
        <f t="shared" si="38"/>
        <v>#N/A</v>
      </c>
      <c r="P422" s="2097" t="e">
        <v>#N/A</v>
      </c>
      <c r="Q422" s="2097" t="e">
        <v>#N/A</v>
      </c>
      <c r="R422" s="2097" t="e">
        <v>#N/A</v>
      </c>
      <c r="S422" s="2097" t="e">
        <v>#N/A</v>
      </c>
      <c r="T422" s="1313" t="e">
        <v>#N/A</v>
      </c>
      <c r="U422" s="225" t="e">
        <v>#N/A</v>
      </c>
      <c r="V422" s="206" t="e">
        <f t="shared" si="39"/>
        <v>#N/A</v>
      </c>
    </row>
    <row r="423" spans="1:22">
      <c r="A423" s="1340">
        <f t="shared" si="31"/>
        <v>2028.06</v>
      </c>
      <c r="B423" s="260" t="e">
        <v>#N/A</v>
      </c>
      <c r="C423" s="2097" t="e">
        <v>#N/A</v>
      </c>
      <c r="D423" s="2097" t="e">
        <v>#N/A</v>
      </c>
      <c r="E423" s="2097" t="e">
        <v>#N/A</v>
      </c>
      <c r="F423" s="260" t="e">
        <v>#N/A</v>
      </c>
      <c r="G423" s="3034" t="e">
        <v>#N/A</v>
      </c>
      <c r="H423" s="196" t="e">
        <f t="shared" si="36"/>
        <v>#N/A</v>
      </c>
      <c r="I423" s="260" t="e">
        <v>#N/A</v>
      </c>
      <c r="J423" s="1870" t="e">
        <v>#N/A</v>
      </c>
      <c r="K423" s="263" t="e">
        <f t="shared" si="37"/>
        <v>#N/A</v>
      </c>
      <c r="L423" s="1313" t="e">
        <v>#N/A</v>
      </c>
      <c r="M423" s="225" t="e">
        <v>#N/A</v>
      </c>
      <c r="N423" s="2097" t="e">
        <v>#N/A</v>
      </c>
      <c r="O423" s="2158" t="e">
        <f t="shared" si="38"/>
        <v>#N/A</v>
      </c>
      <c r="P423" s="2097" t="e">
        <v>#N/A</v>
      </c>
      <c r="Q423" s="2097" t="e">
        <v>#N/A</v>
      </c>
      <c r="R423" s="2097" t="e">
        <v>#N/A</v>
      </c>
      <c r="S423" s="2097" t="e">
        <v>#N/A</v>
      </c>
      <c r="T423" s="1313" t="e">
        <v>#N/A</v>
      </c>
      <c r="U423" s="225" t="e">
        <v>#N/A</v>
      </c>
      <c r="V423" s="206" t="e">
        <f t="shared" si="39"/>
        <v>#N/A</v>
      </c>
    </row>
    <row r="424" spans="1:22">
      <c r="A424" s="1340">
        <f t="shared" si="31"/>
        <v>2028.07</v>
      </c>
      <c r="B424" s="260" t="e">
        <v>#N/A</v>
      </c>
      <c r="C424" s="2097" t="e">
        <v>#N/A</v>
      </c>
      <c r="D424" s="2097" t="e">
        <v>#N/A</v>
      </c>
      <c r="E424" s="2097" t="e">
        <v>#N/A</v>
      </c>
      <c r="F424" s="260" t="e">
        <v>#N/A</v>
      </c>
      <c r="G424" s="3034" t="e">
        <v>#N/A</v>
      </c>
      <c r="H424" s="196" t="e">
        <f t="shared" si="36"/>
        <v>#N/A</v>
      </c>
      <c r="I424" s="260" t="e">
        <v>#N/A</v>
      </c>
      <c r="J424" s="1870" t="e">
        <v>#N/A</v>
      </c>
      <c r="K424" s="263" t="e">
        <f t="shared" si="37"/>
        <v>#N/A</v>
      </c>
      <c r="L424" s="1313" t="e">
        <v>#N/A</v>
      </c>
      <c r="M424" s="225" t="e">
        <v>#N/A</v>
      </c>
      <c r="N424" s="2097" t="e">
        <v>#N/A</v>
      </c>
      <c r="O424" s="2158" t="e">
        <f t="shared" si="38"/>
        <v>#N/A</v>
      </c>
      <c r="P424" s="2097" t="e">
        <v>#N/A</v>
      </c>
      <c r="Q424" s="2097" t="e">
        <v>#N/A</v>
      </c>
      <c r="R424" s="2097" t="e">
        <v>#N/A</v>
      </c>
      <c r="S424" s="2097" t="e">
        <v>#N/A</v>
      </c>
      <c r="T424" s="1313" t="e">
        <v>#N/A</v>
      </c>
      <c r="U424" s="225" t="e">
        <v>#N/A</v>
      </c>
      <c r="V424" s="206" t="e">
        <f t="shared" si="39"/>
        <v>#N/A</v>
      </c>
    </row>
    <row r="425" spans="1:22">
      <c r="A425" s="1340">
        <f t="shared" si="31"/>
        <v>2028.08</v>
      </c>
      <c r="B425" s="260" t="e">
        <v>#N/A</v>
      </c>
      <c r="C425" s="2097" t="e">
        <v>#N/A</v>
      </c>
      <c r="D425" s="2097" t="e">
        <v>#N/A</v>
      </c>
      <c r="E425" s="2097" t="e">
        <v>#N/A</v>
      </c>
      <c r="F425" s="260" t="e">
        <v>#N/A</v>
      </c>
      <c r="G425" s="3034" t="e">
        <v>#N/A</v>
      </c>
      <c r="H425" s="196" t="e">
        <f t="shared" si="36"/>
        <v>#N/A</v>
      </c>
      <c r="I425" s="260" t="e">
        <v>#N/A</v>
      </c>
      <c r="J425" s="1870" t="e">
        <v>#N/A</v>
      </c>
      <c r="K425" s="263" t="e">
        <f t="shared" si="37"/>
        <v>#N/A</v>
      </c>
      <c r="L425" s="1313" t="e">
        <v>#N/A</v>
      </c>
      <c r="M425" s="225" t="e">
        <v>#N/A</v>
      </c>
      <c r="N425" s="2097" t="e">
        <v>#N/A</v>
      </c>
      <c r="O425" s="2158" t="e">
        <f t="shared" si="38"/>
        <v>#N/A</v>
      </c>
      <c r="P425" s="2097" t="e">
        <v>#N/A</v>
      </c>
      <c r="Q425" s="2097" t="e">
        <v>#N/A</v>
      </c>
      <c r="R425" s="2097" t="e">
        <v>#N/A</v>
      </c>
      <c r="S425" s="2097" t="e">
        <v>#N/A</v>
      </c>
      <c r="T425" s="1313" t="e">
        <v>#N/A</v>
      </c>
      <c r="U425" s="225" t="e">
        <v>#N/A</v>
      </c>
      <c r="V425" s="206" t="e">
        <f t="shared" si="39"/>
        <v>#N/A</v>
      </c>
    </row>
    <row r="426" spans="1:22">
      <c r="A426" s="1340">
        <f t="shared" si="31"/>
        <v>2028.09</v>
      </c>
      <c r="B426" s="260" t="e">
        <v>#N/A</v>
      </c>
      <c r="C426" s="2097" t="e">
        <v>#N/A</v>
      </c>
      <c r="D426" s="2097" t="e">
        <v>#N/A</v>
      </c>
      <c r="E426" s="2097" t="e">
        <v>#N/A</v>
      </c>
      <c r="F426" s="260" t="e">
        <v>#N/A</v>
      </c>
      <c r="G426" s="3034" t="e">
        <v>#N/A</v>
      </c>
      <c r="H426" s="196" t="e">
        <f t="shared" si="36"/>
        <v>#N/A</v>
      </c>
      <c r="I426" s="260" t="e">
        <v>#N/A</v>
      </c>
      <c r="J426" s="1870" t="e">
        <v>#N/A</v>
      </c>
      <c r="K426" s="263" t="e">
        <f t="shared" si="37"/>
        <v>#N/A</v>
      </c>
      <c r="L426" s="1313" t="e">
        <v>#N/A</v>
      </c>
      <c r="M426" s="225" t="e">
        <v>#N/A</v>
      </c>
      <c r="N426" s="2097" t="e">
        <v>#N/A</v>
      </c>
      <c r="O426" s="2158" t="e">
        <f t="shared" si="38"/>
        <v>#N/A</v>
      </c>
      <c r="P426" s="2097" t="e">
        <v>#N/A</v>
      </c>
      <c r="Q426" s="2097" t="e">
        <v>#N/A</v>
      </c>
      <c r="R426" s="2097" t="e">
        <v>#N/A</v>
      </c>
      <c r="S426" s="2097" t="e">
        <v>#N/A</v>
      </c>
      <c r="T426" s="1313" t="e">
        <v>#N/A</v>
      </c>
      <c r="U426" s="225" t="e">
        <v>#N/A</v>
      </c>
      <c r="V426" s="206" t="e">
        <f t="shared" si="39"/>
        <v>#N/A</v>
      </c>
    </row>
    <row r="427" spans="1:22">
      <c r="A427" s="1340">
        <f t="shared" si="31"/>
        <v>2028.1</v>
      </c>
      <c r="B427" s="260" t="e">
        <v>#N/A</v>
      </c>
      <c r="C427" s="2097" t="e">
        <v>#N/A</v>
      </c>
      <c r="D427" s="2097" t="e">
        <v>#N/A</v>
      </c>
      <c r="E427" s="2097" t="e">
        <v>#N/A</v>
      </c>
      <c r="F427" s="260" t="e">
        <v>#N/A</v>
      </c>
      <c r="G427" s="3034" t="e">
        <v>#N/A</v>
      </c>
      <c r="H427" s="196" t="e">
        <f t="shared" si="36"/>
        <v>#N/A</v>
      </c>
      <c r="I427" s="260" t="e">
        <v>#N/A</v>
      </c>
      <c r="J427" s="1870" t="e">
        <v>#N/A</v>
      </c>
      <c r="K427" s="263" t="e">
        <f t="shared" si="37"/>
        <v>#N/A</v>
      </c>
      <c r="L427" s="1313" t="e">
        <v>#N/A</v>
      </c>
      <c r="M427" s="225" t="e">
        <v>#N/A</v>
      </c>
      <c r="N427" s="2097" t="e">
        <v>#N/A</v>
      </c>
      <c r="O427" s="2158" t="e">
        <f t="shared" si="38"/>
        <v>#N/A</v>
      </c>
      <c r="P427" s="2097" t="e">
        <v>#N/A</v>
      </c>
      <c r="Q427" s="2097" t="e">
        <v>#N/A</v>
      </c>
      <c r="R427" s="2097" t="e">
        <v>#N/A</v>
      </c>
      <c r="S427" s="2097" t="e">
        <v>#N/A</v>
      </c>
      <c r="T427" s="1313" t="e">
        <v>#N/A</v>
      </c>
      <c r="U427" s="225" t="e">
        <v>#N/A</v>
      </c>
      <c r="V427" s="206" t="e">
        <f t="shared" si="39"/>
        <v>#N/A</v>
      </c>
    </row>
    <row r="428" spans="1:22">
      <c r="A428" s="1340">
        <f t="shared" si="31"/>
        <v>2028.11</v>
      </c>
      <c r="B428" s="260" t="e">
        <v>#N/A</v>
      </c>
      <c r="C428" s="2097" t="e">
        <v>#N/A</v>
      </c>
      <c r="D428" s="2097" t="e">
        <v>#N/A</v>
      </c>
      <c r="E428" s="2097" t="e">
        <v>#N/A</v>
      </c>
      <c r="F428" s="260" t="e">
        <v>#N/A</v>
      </c>
      <c r="G428" s="3034" t="e">
        <v>#N/A</v>
      </c>
      <c r="H428" s="196" t="e">
        <f t="shared" si="36"/>
        <v>#N/A</v>
      </c>
      <c r="I428" s="260" t="e">
        <v>#N/A</v>
      </c>
      <c r="J428" s="1870" t="e">
        <v>#N/A</v>
      </c>
      <c r="K428" s="263" t="e">
        <f t="shared" si="37"/>
        <v>#N/A</v>
      </c>
      <c r="L428" s="1313" t="e">
        <v>#N/A</v>
      </c>
      <c r="M428" s="225" t="e">
        <v>#N/A</v>
      </c>
      <c r="N428" s="2097" t="e">
        <v>#N/A</v>
      </c>
      <c r="O428" s="2158" t="e">
        <f t="shared" si="38"/>
        <v>#N/A</v>
      </c>
      <c r="P428" s="2097" t="e">
        <v>#N/A</v>
      </c>
      <c r="Q428" s="2097" t="e">
        <v>#N/A</v>
      </c>
      <c r="R428" s="2097" t="e">
        <v>#N/A</v>
      </c>
      <c r="S428" s="2097" t="e">
        <v>#N/A</v>
      </c>
      <c r="T428" s="1313" t="e">
        <v>#N/A</v>
      </c>
      <c r="U428" s="225" t="e">
        <v>#N/A</v>
      </c>
      <c r="V428" s="206" t="e">
        <f t="shared" si="39"/>
        <v>#N/A</v>
      </c>
    </row>
    <row r="429" spans="1:22">
      <c r="A429" s="1340">
        <f t="shared" si="31"/>
        <v>2028.12</v>
      </c>
      <c r="B429" s="260" t="e">
        <v>#N/A</v>
      </c>
      <c r="C429" s="2097" t="e">
        <v>#N/A</v>
      </c>
      <c r="D429" s="2097" t="e">
        <v>#N/A</v>
      </c>
      <c r="E429" s="2097" t="e">
        <v>#N/A</v>
      </c>
      <c r="F429" s="260" t="e">
        <v>#N/A</v>
      </c>
      <c r="G429" s="3034" t="e">
        <v>#N/A</v>
      </c>
      <c r="H429" s="196" t="e">
        <f t="shared" si="36"/>
        <v>#N/A</v>
      </c>
      <c r="I429" s="260" t="e">
        <v>#N/A</v>
      </c>
      <c r="J429" s="1870" t="e">
        <v>#N/A</v>
      </c>
      <c r="K429" s="263" t="e">
        <f t="shared" si="37"/>
        <v>#N/A</v>
      </c>
      <c r="L429" s="1313" t="e">
        <v>#N/A</v>
      </c>
      <c r="M429" s="225" t="e">
        <v>#N/A</v>
      </c>
      <c r="N429" s="2097" t="e">
        <v>#N/A</v>
      </c>
      <c r="O429" s="2158" t="e">
        <f t="shared" si="38"/>
        <v>#N/A</v>
      </c>
      <c r="P429" s="2097" t="e">
        <v>#N/A</v>
      </c>
      <c r="Q429" s="2097" t="e">
        <v>#N/A</v>
      </c>
      <c r="R429" s="2097" t="e">
        <v>#N/A</v>
      </c>
      <c r="S429" s="2097" t="e">
        <v>#N/A</v>
      </c>
      <c r="T429" s="1313" t="e">
        <v>#N/A</v>
      </c>
      <c r="U429" s="225" t="e">
        <v>#N/A</v>
      </c>
      <c r="V429" s="206" t="e">
        <f t="shared" si="39"/>
        <v>#N/A</v>
      </c>
    </row>
    <row r="430" spans="1:22">
      <c r="A430" s="1340">
        <f t="shared" si="31"/>
        <v>2029.01</v>
      </c>
      <c r="B430" s="260" t="e">
        <v>#N/A</v>
      </c>
      <c r="C430" s="2097" t="e">
        <v>#N/A</v>
      </c>
      <c r="D430" s="2097" t="e">
        <v>#N/A</v>
      </c>
      <c r="E430" s="2097" t="e">
        <v>#N/A</v>
      </c>
      <c r="F430" s="260" t="e">
        <v>#N/A</v>
      </c>
      <c r="G430" s="3034" t="e">
        <v>#N/A</v>
      </c>
      <c r="H430" s="196" t="e">
        <f t="shared" si="36"/>
        <v>#N/A</v>
      </c>
      <c r="I430" s="260" t="e">
        <v>#N/A</v>
      </c>
      <c r="J430" s="1870" t="e">
        <v>#N/A</v>
      </c>
      <c r="K430" s="263" t="e">
        <f t="shared" si="37"/>
        <v>#N/A</v>
      </c>
      <c r="L430" s="1313" t="e">
        <v>#N/A</v>
      </c>
      <c r="M430" s="225" t="e">
        <v>#N/A</v>
      </c>
      <c r="N430" s="2097" t="e">
        <v>#N/A</v>
      </c>
      <c r="O430" s="2158" t="e">
        <f t="shared" si="38"/>
        <v>#N/A</v>
      </c>
      <c r="P430" s="2097" t="e">
        <v>#N/A</v>
      </c>
      <c r="Q430" s="2097" t="e">
        <v>#N/A</v>
      </c>
      <c r="R430" s="2097" t="e">
        <v>#N/A</v>
      </c>
      <c r="S430" s="2097" t="e">
        <v>#N/A</v>
      </c>
      <c r="T430" s="1313" t="e">
        <v>#N/A</v>
      </c>
      <c r="U430" s="225" t="e">
        <v>#N/A</v>
      </c>
      <c r="V430" s="206" t="e">
        <f t="shared" si="39"/>
        <v>#N/A</v>
      </c>
    </row>
    <row r="431" spans="1:22">
      <c r="A431" s="1340">
        <f t="shared" si="31"/>
        <v>2029.02</v>
      </c>
      <c r="B431" s="260" t="e">
        <v>#N/A</v>
      </c>
      <c r="C431" s="2097" t="e">
        <v>#N/A</v>
      </c>
      <c r="D431" s="2097" t="e">
        <v>#N/A</v>
      </c>
      <c r="E431" s="2097" t="e">
        <v>#N/A</v>
      </c>
      <c r="F431" s="260" t="e">
        <v>#N/A</v>
      </c>
      <c r="G431" s="3034" t="e">
        <v>#N/A</v>
      </c>
      <c r="H431" s="196" t="e">
        <f t="shared" si="36"/>
        <v>#N/A</v>
      </c>
      <c r="I431" s="260" t="e">
        <v>#N/A</v>
      </c>
      <c r="J431" s="1870" t="e">
        <v>#N/A</v>
      </c>
      <c r="K431" s="263" t="e">
        <f t="shared" si="37"/>
        <v>#N/A</v>
      </c>
      <c r="L431" s="1313" t="e">
        <v>#N/A</v>
      </c>
      <c r="M431" s="225" t="e">
        <v>#N/A</v>
      </c>
      <c r="N431" s="2097" t="e">
        <v>#N/A</v>
      </c>
      <c r="O431" s="2158" t="e">
        <f t="shared" si="38"/>
        <v>#N/A</v>
      </c>
      <c r="P431" s="2097" t="e">
        <v>#N/A</v>
      </c>
      <c r="Q431" s="2097" t="e">
        <v>#N/A</v>
      </c>
      <c r="R431" s="2097" t="e">
        <v>#N/A</v>
      </c>
      <c r="S431" s="2097" t="e">
        <v>#N/A</v>
      </c>
      <c r="T431" s="1313" t="e">
        <v>#N/A</v>
      </c>
      <c r="U431" s="225" t="e">
        <v>#N/A</v>
      </c>
      <c r="V431" s="206" t="e">
        <f t="shared" si="39"/>
        <v>#N/A</v>
      </c>
    </row>
    <row r="432" spans="1:22">
      <c r="A432" s="1340">
        <f t="shared" si="31"/>
        <v>2029.03</v>
      </c>
      <c r="B432" s="260" t="e">
        <v>#N/A</v>
      </c>
      <c r="C432" s="2097" t="e">
        <v>#N/A</v>
      </c>
      <c r="D432" s="2097" t="e">
        <v>#N/A</v>
      </c>
      <c r="E432" s="2097" t="e">
        <v>#N/A</v>
      </c>
      <c r="F432" s="260" t="e">
        <v>#N/A</v>
      </c>
      <c r="G432" s="3034" t="e">
        <v>#N/A</v>
      </c>
      <c r="H432" s="196" t="e">
        <f t="shared" si="36"/>
        <v>#N/A</v>
      </c>
      <c r="I432" s="260" t="e">
        <v>#N/A</v>
      </c>
      <c r="J432" s="1870" t="e">
        <v>#N/A</v>
      </c>
      <c r="K432" s="263" t="e">
        <f t="shared" si="37"/>
        <v>#N/A</v>
      </c>
      <c r="L432" s="1313" t="e">
        <v>#N/A</v>
      </c>
      <c r="M432" s="225" t="e">
        <v>#N/A</v>
      </c>
      <c r="N432" s="2097" t="e">
        <v>#N/A</v>
      </c>
      <c r="O432" s="2158" t="e">
        <f t="shared" si="38"/>
        <v>#N/A</v>
      </c>
      <c r="P432" s="2097" t="e">
        <v>#N/A</v>
      </c>
      <c r="Q432" s="2097" t="e">
        <v>#N/A</v>
      </c>
      <c r="R432" s="2097" t="e">
        <v>#N/A</v>
      </c>
      <c r="S432" s="2097" t="e">
        <v>#N/A</v>
      </c>
      <c r="T432" s="1313" t="e">
        <v>#N/A</v>
      </c>
      <c r="U432" s="225" t="e">
        <v>#N/A</v>
      </c>
      <c r="V432" s="206" t="e">
        <f t="shared" si="39"/>
        <v>#N/A</v>
      </c>
    </row>
    <row r="433" spans="1:22">
      <c r="A433" s="1340">
        <f t="shared" si="31"/>
        <v>2029.04</v>
      </c>
      <c r="B433" s="260" t="e">
        <v>#N/A</v>
      </c>
      <c r="C433" s="2097" t="e">
        <v>#N/A</v>
      </c>
      <c r="D433" s="2097" t="e">
        <v>#N/A</v>
      </c>
      <c r="E433" s="2097" t="e">
        <v>#N/A</v>
      </c>
      <c r="F433" s="260" t="e">
        <v>#N/A</v>
      </c>
      <c r="G433" s="3034" t="e">
        <v>#N/A</v>
      </c>
      <c r="H433" s="196" t="e">
        <f t="shared" si="36"/>
        <v>#N/A</v>
      </c>
      <c r="I433" s="260" t="e">
        <v>#N/A</v>
      </c>
      <c r="J433" s="1870" t="e">
        <v>#N/A</v>
      </c>
      <c r="K433" s="263" t="e">
        <f t="shared" si="37"/>
        <v>#N/A</v>
      </c>
      <c r="L433" s="1313" t="e">
        <v>#N/A</v>
      </c>
      <c r="M433" s="225" t="e">
        <v>#N/A</v>
      </c>
      <c r="N433" s="2097" t="e">
        <v>#N/A</v>
      </c>
      <c r="O433" s="2158" t="e">
        <f t="shared" si="38"/>
        <v>#N/A</v>
      </c>
      <c r="P433" s="2097" t="e">
        <v>#N/A</v>
      </c>
      <c r="Q433" s="2097" t="e">
        <v>#N/A</v>
      </c>
      <c r="R433" s="2097" t="e">
        <v>#N/A</v>
      </c>
      <c r="S433" s="2097" t="e">
        <v>#N/A</v>
      </c>
      <c r="T433" s="1313" t="e">
        <v>#N/A</v>
      </c>
      <c r="U433" s="225" t="e">
        <v>#N/A</v>
      </c>
      <c r="V433" s="206" t="e">
        <f t="shared" si="39"/>
        <v>#N/A</v>
      </c>
    </row>
    <row r="434" spans="1:22">
      <c r="A434" s="1340">
        <f t="shared" si="31"/>
        <v>2029.05</v>
      </c>
      <c r="B434" s="260" t="e">
        <v>#N/A</v>
      </c>
      <c r="C434" s="2097" t="e">
        <v>#N/A</v>
      </c>
      <c r="D434" s="2097" t="e">
        <v>#N/A</v>
      </c>
      <c r="E434" s="2097" t="e">
        <v>#N/A</v>
      </c>
      <c r="F434" s="260" t="e">
        <v>#N/A</v>
      </c>
      <c r="G434" s="3034" t="e">
        <v>#N/A</v>
      </c>
      <c r="H434" s="196" t="e">
        <f t="shared" si="36"/>
        <v>#N/A</v>
      </c>
      <c r="I434" s="260" t="e">
        <v>#N/A</v>
      </c>
      <c r="J434" s="1870" t="e">
        <v>#N/A</v>
      </c>
      <c r="K434" s="263" t="e">
        <f t="shared" si="37"/>
        <v>#N/A</v>
      </c>
      <c r="L434" s="1313" t="e">
        <v>#N/A</v>
      </c>
      <c r="M434" s="225" t="e">
        <v>#N/A</v>
      </c>
      <c r="N434" s="2097" t="e">
        <v>#N/A</v>
      </c>
      <c r="O434" s="2158" t="e">
        <f t="shared" si="38"/>
        <v>#N/A</v>
      </c>
      <c r="P434" s="2097" t="e">
        <v>#N/A</v>
      </c>
      <c r="Q434" s="2097" t="e">
        <v>#N/A</v>
      </c>
      <c r="R434" s="2097" t="e">
        <v>#N/A</v>
      </c>
      <c r="S434" s="2097" t="e">
        <v>#N/A</v>
      </c>
      <c r="T434" s="1313" t="e">
        <v>#N/A</v>
      </c>
      <c r="U434" s="225" t="e">
        <v>#N/A</v>
      </c>
      <c r="V434" s="206" t="e">
        <f t="shared" si="39"/>
        <v>#N/A</v>
      </c>
    </row>
    <row r="435" spans="1:22">
      <c r="A435" s="1340">
        <f t="shared" ref="A435:A453" si="40">A423+1</f>
        <v>2029.06</v>
      </c>
      <c r="B435" s="260" t="e">
        <v>#N/A</v>
      </c>
      <c r="C435" s="2097" t="e">
        <v>#N/A</v>
      </c>
      <c r="D435" s="2097" t="e">
        <v>#N/A</v>
      </c>
      <c r="E435" s="2097" t="e">
        <v>#N/A</v>
      </c>
      <c r="F435" s="260" t="e">
        <v>#N/A</v>
      </c>
      <c r="G435" s="3034" t="e">
        <v>#N/A</v>
      </c>
      <c r="H435" s="196" t="e">
        <f t="shared" si="36"/>
        <v>#N/A</v>
      </c>
      <c r="I435" s="260" t="e">
        <v>#N/A</v>
      </c>
      <c r="J435" s="1870" t="e">
        <v>#N/A</v>
      </c>
      <c r="K435" s="263" t="e">
        <f t="shared" si="37"/>
        <v>#N/A</v>
      </c>
      <c r="L435" s="1313" t="e">
        <v>#N/A</v>
      </c>
      <c r="M435" s="225" t="e">
        <v>#N/A</v>
      </c>
      <c r="N435" s="2097" t="e">
        <v>#N/A</v>
      </c>
      <c r="O435" s="2158" t="e">
        <f t="shared" si="38"/>
        <v>#N/A</v>
      </c>
      <c r="P435" s="2097" t="e">
        <v>#N/A</v>
      </c>
      <c r="Q435" s="2097" t="e">
        <v>#N/A</v>
      </c>
      <c r="R435" s="2097" t="e">
        <v>#N/A</v>
      </c>
      <c r="S435" s="2097" t="e">
        <v>#N/A</v>
      </c>
      <c r="T435" s="1313" t="e">
        <v>#N/A</v>
      </c>
      <c r="U435" s="225" t="e">
        <v>#N/A</v>
      </c>
      <c r="V435" s="206" t="e">
        <f t="shared" si="39"/>
        <v>#N/A</v>
      </c>
    </row>
    <row r="436" spans="1:22">
      <c r="A436" s="1340">
        <f t="shared" si="40"/>
        <v>2029.07</v>
      </c>
      <c r="B436" s="260" t="e">
        <v>#N/A</v>
      </c>
      <c r="C436" s="2097" t="e">
        <v>#N/A</v>
      </c>
      <c r="D436" s="2097" t="e">
        <v>#N/A</v>
      </c>
      <c r="E436" s="2097" t="e">
        <v>#N/A</v>
      </c>
      <c r="F436" s="260" t="e">
        <v>#N/A</v>
      </c>
      <c r="G436" s="3034" t="e">
        <v>#N/A</v>
      </c>
      <c r="H436" s="196" t="e">
        <f t="shared" si="36"/>
        <v>#N/A</v>
      </c>
      <c r="I436" s="260" t="e">
        <v>#N/A</v>
      </c>
      <c r="J436" s="1870" t="e">
        <v>#N/A</v>
      </c>
      <c r="K436" s="263" t="e">
        <f t="shared" si="37"/>
        <v>#N/A</v>
      </c>
      <c r="L436" s="1313" t="e">
        <v>#N/A</v>
      </c>
      <c r="M436" s="225" t="e">
        <v>#N/A</v>
      </c>
      <c r="N436" s="2097" t="e">
        <v>#N/A</v>
      </c>
      <c r="O436" s="2158" t="e">
        <f t="shared" si="38"/>
        <v>#N/A</v>
      </c>
      <c r="P436" s="2097" t="e">
        <v>#N/A</v>
      </c>
      <c r="Q436" s="2097" t="e">
        <v>#N/A</v>
      </c>
      <c r="R436" s="2097" t="e">
        <v>#N/A</v>
      </c>
      <c r="S436" s="2097" t="e">
        <v>#N/A</v>
      </c>
      <c r="T436" s="1313" t="e">
        <v>#N/A</v>
      </c>
      <c r="U436" s="225" t="e">
        <v>#N/A</v>
      </c>
      <c r="V436" s="206" t="e">
        <f t="shared" si="39"/>
        <v>#N/A</v>
      </c>
    </row>
    <row r="437" spans="1:22">
      <c r="A437" s="1340">
        <f t="shared" si="40"/>
        <v>2029.08</v>
      </c>
      <c r="B437" s="260" t="e">
        <v>#N/A</v>
      </c>
      <c r="C437" s="2097" t="e">
        <v>#N/A</v>
      </c>
      <c r="D437" s="2097" t="e">
        <v>#N/A</v>
      </c>
      <c r="E437" s="2097" t="e">
        <v>#N/A</v>
      </c>
      <c r="F437" s="260" t="e">
        <v>#N/A</v>
      </c>
      <c r="G437" s="3034" t="e">
        <v>#N/A</v>
      </c>
      <c r="H437" s="196" t="e">
        <f t="shared" si="36"/>
        <v>#N/A</v>
      </c>
      <c r="I437" s="260" t="e">
        <v>#N/A</v>
      </c>
      <c r="J437" s="1870" t="e">
        <v>#N/A</v>
      </c>
      <c r="K437" s="263" t="e">
        <f t="shared" si="37"/>
        <v>#N/A</v>
      </c>
      <c r="L437" s="1313" t="e">
        <v>#N/A</v>
      </c>
      <c r="M437" s="225" t="e">
        <v>#N/A</v>
      </c>
      <c r="N437" s="2097" t="e">
        <v>#N/A</v>
      </c>
      <c r="O437" s="2158" t="e">
        <f t="shared" si="38"/>
        <v>#N/A</v>
      </c>
      <c r="P437" s="2097" t="e">
        <v>#N/A</v>
      </c>
      <c r="Q437" s="2097" t="e">
        <v>#N/A</v>
      </c>
      <c r="R437" s="2097" t="e">
        <v>#N/A</v>
      </c>
      <c r="S437" s="2097" t="e">
        <v>#N/A</v>
      </c>
      <c r="T437" s="1313" t="e">
        <v>#N/A</v>
      </c>
      <c r="U437" s="225" t="e">
        <v>#N/A</v>
      </c>
      <c r="V437" s="206" t="e">
        <f t="shared" si="39"/>
        <v>#N/A</v>
      </c>
    </row>
    <row r="438" spans="1:22">
      <c r="A438" s="1340">
        <f t="shared" si="40"/>
        <v>2029.09</v>
      </c>
      <c r="B438" s="260" t="e">
        <v>#N/A</v>
      </c>
      <c r="C438" s="2097" t="e">
        <v>#N/A</v>
      </c>
      <c r="D438" s="2097" t="e">
        <v>#N/A</v>
      </c>
      <c r="E438" s="2097" t="e">
        <v>#N/A</v>
      </c>
      <c r="F438" s="260" t="e">
        <v>#N/A</v>
      </c>
      <c r="G438" s="3034" t="e">
        <v>#N/A</v>
      </c>
      <c r="H438" s="196" t="e">
        <f t="shared" si="36"/>
        <v>#N/A</v>
      </c>
      <c r="I438" s="260" t="e">
        <v>#N/A</v>
      </c>
      <c r="J438" s="1870" t="e">
        <v>#N/A</v>
      </c>
      <c r="K438" s="263" t="e">
        <f t="shared" si="37"/>
        <v>#N/A</v>
      </c>
      <c r="L438" s="1313" t="e">
        <v>#N/A</v>
      </c>
      <c r="M438" s="225" t="e">
        <v>#N/A</v>
      </c>
      <c r="N438" s="2097" t="e">
        <v>#N/A</v>
      </c>
      <c r="O438" s="2158" t="e">
        <f t="shared" si="38"/>
        <v>#N/A</v>
      </c>
      <c r="P438" s="2097" t="e">
        <v>#N/A</v>
      </c>
      <c r="Q438" s="2097" t="e">
        <v>#N/A</v>
      </c>
      <c r="R438" s="2097" t="e">
        <v>#N/A</v>
      </c>
      <c r="S438" s="2097" t="e">
        <v>#N/A</v>
      </c>
      <c r="T438" s="1313" t="e">
        <v>#N/A</v>
      </c>
      <c r="U438" s="225" t="e">
        <v>#N/A</v>
      </c>
      <c r="V438" s="206" t="e">
        <f t="shared" si="39"/>
        <v>#N/A</v>
      </c>
    </row>
    <row r="439" spans="1:22">
      <c r="A439" s="1340">
        <f t="shared" si="40"/>
        <v>2029.1</v>
      </c>
      <c r="B439" s="260" t="e">
        <v>#N/A</v>
      </c>
      <c r="C439" s="2097" t="e">
        <v>#N/A</v>
      </c>
      <c r="D439" s="2097" t="e">
        <v>#N/A</v>
      </c>
      <c r="E439" s="2097" t="e">
        <v>#N/A</v>
      </c>
      <c r="F439" s="260" t="e">
        <v>#N/A</v>
      </c>
      <c r="G439" s="3034" t="e">
        <v>#N/A</v>
      </c>
      <c r="H439" s="196" t="e">
        <f t="shared" si="36"/>
        <v>#N/A</v>
      </c>
      <c r="I439" s="260" t="e">
        <v>#N/A</v>
      </c>
      <c r="J439" s="1870" t="e">
        <v>#N/A</v>
      </c>
      <c r="K439" s="263" t="e">
        <f t="shared" si="37"/>
        <v>#N/A</v>
      </c>
      <c r="L439" s="1313" t="e">
        <v>#N/A</v>
      </c>
      <c r="M439" s="225" t="e">
        <v>#N/A</v>
      </c>
      <c r="N439" s="2097" t="e">
        <v>#N/A</v>
      </c>
      <c r="O439" s="2158" t="e">
        <f t="shared" si="38"/>
        <v>#N/A</v>
      </c>
      <c r="P439" s="2097" t="e">
        <v>#N/A</v>
      </c>
      <c r="Q439" s="2097" t="e">
        <v>#N/A</v>
      </c>
      <c r="R439" s="2097" t="e">
        <v>#N/A</v>
      </c>
      <c r="S439" s="2097" t="e">
        <v>#N/A</v>
      </c>
      <c r="T439" s="1313" t="e">
        <v>#N/A</v>
      </c>
      <c r="U439" s="225" t="e">
        <v>#N/A</v>
      </c>
      <c r="V439" s="206" t="e">
        <f t="shared" si="39"/>
        <v>#N/A</v>
      </c>
    </row>
    <row r="440" spans="1:22">
      <c r="A440" s="1340">
        <f t="shared" si="40"/>
        <v>2029.11</v>
      </c>
      <c r="B440" s="260" t="e">
        <v>#N/A</v>
      </c>
      <c r="C440" s="2097" t="e">
        <v>#N/A</v>
      </c>
      <c r="D440" s="2097" t="e">
        <v>#N/A</v>
      </c>
      <c r="E440" s="2097" t="e">
        <v>#N/A</v>
      </c>
      <c r="F440" s="260" t="e">
        <v>#N/A</v>
      </c>
      <c r="G440" s="3034" t="e">
        <v>#N/A</v>
      </c>
      <c r="H440" s="196" t="e">
        <f t="shared" si="36"/>
        <v>#N/A</v>
      </c>
      <c r="I440" s="260" t="e">
        <v>#N/A</v>
      </c>
      <c r="J440" s="1870" t="e">
        <v>#N/A</v>
      </c>
      <c r="K440" s="263" t="e">
        <f t="shared" si="37"/>
        <v>#N/A</v>
      </c>
      <c r="L440" s="1313" t="e">
        <v>#N/A</v>
      </c>
      <c r="M440" s="225" t="e">
        <v>#N/A</v>
      </c>
      <c r="N440" s="2097" t="e">
        <v>#N/A</v>
      </c>
      <c r="O440" s="2158" t="e">
        <f t="shared" si="38"/>
        <v>#N/A</v>
      </c>
      <c r="P440" s="2097" t="e">
        <v>#N/A</v>
      </c>
      <c r="Q440" s="2097" t="e">
        <v>#N/A</v>
      </c>
      <c r="R440" s="2097" t="e">
        <v>#N/A</v>
      </c>
      <c r="S440" s="2097" t="e">
        <v>#N/A</v>
      </c>
      <c r="T440" s="1313" t="e">
        <v>#N/A</v>
      </c>
      <c r="U440" s="225" t="e">
        <v>#N/A</v>
      </c>
      <c r="V440" s="206" t="e">
        <f t="shared" si="39"/>
        <v>#N/A</v>
      </c>
    </row>
    <row r="441" spans="1:22">
      <c r="A441" s="1340">
        <f t="shared" si="40"/>
        <v>2029.12</v>
      </c>
      <c r="B441" s="260" t="e">
        <v>#N/A</v>
      </c>
      <c r="C441" s="2097" t="e">
        <v>#N/A</v>
      </c>
      <c r="D441" s="2097" t="e">
        <v>#N/A</v>
      </c>
      <c r="E441" s="2097" t="e">
        <v>#N/A</v>
      </c>
      <c r="F441" s="260" t="e">
        <v>#N/A</v>
      </c>
      <c r="G441" s="3034" t="e">
        <v>#N/A</v>
      </c>
      <c r="H441" s="196" t="e">
        <f t="shared" si="36"/>
        <v>#N/A</v>
      </c>
      <c r="I441" s="260" t="e">
        <v>#N/A</v>
      </c>
      <c r="J441" s="1870" t="e">
        <v>#N/A</v>
      </c>
      <c r="K441" s="263" t="e">
        <f t="shared" si="37"/>
        <v>#N/A</v>
      </c>
      <c r="L441" s="1313" t="e">
        <v>#N/A</v>
      </c>
      <c r="M441" s="225" t="e">
        <v>#N/A</v>
      </c>
      <c r="N441" s="2097" t="e">
        <v>#N/A</v>
      </c>
      <c r="O441" s="2158" t="e">
        <f t="shared" si="38"/>
        <v>#N/A</v>
      </c>
      <c r="P441" s="2097" t="e">
        <v>#N/A</v>
      </c>
      <c r="Q441" s="2097" t="e">
        <v>#N/A</v>
      </c>
      <c r="R441" s="2097" t="e">
        <v>#N/A</v>
      </c>
      <c r="S441" s="2097" t="e">
        <v>#N/A</v>
      </c>
      <c r="T441" s="1313" t="e">
        <v>#N/A</v>
      </c>
      <c r="U441" s="225" t="e">
        <v>#N/A</v>
      </c>
      <c r="V441" s="206" t="e">
        <f t="shared" si="39"/>
        <v>#N/A</v>
      </c>
    </row>
    <row r="442" spans="1:22">
      <c r="A442" s="1340">
        <f t="shared" si="40"/>
        <v>2030.01</v>
      </c>
      <c r="B442" s="260" t="e">
        <v>#N/A</v>
      </c>
      <c r="C442" s="2097" t="e">
        <v>#N/A</v>
      </c>
      <c r="D442" s="2097" t="e">
        <v>#N/A</v>
      </c>
      <c r="E442" s="2097" t="e">
        <v>#N/A</v>
      </c>
      <c r="F442" s="260" t="e">
        <v>#N/A</v>
      </c>
      <c r="G442" s="3034" t="e">
        <v>#N/A</v>
      </c>
      <c r="H442" s="196" t="e">
        <f t="shared" si="36"/>
        <v>#N/A</v>
      </c>
      <c r="I442" s="260" t="e">
        <v>#N/A</v>
      </c>
      <c r="J442" s="1870" t="e">
        <v>#N/A</v>
      </c>
      <c r="K442" s="263" t="e">
        <f t="shared" si="37"/>
        <v>#N/A</v>
      </c>
      <c r="L442" s="1313" t="e">
        <v>#N/A</v>
      </c>
      <c r="M442" s="225" t="e">
        <v>#N/A</v>
      </c>
      <c r="N442" s="2097" t="e">
        <v>#N/A</v>
      </c>
      <c r="O442" s="2158" t="e">
        <f t="shared" si="38"/>
        <v>#N/A</v>
      </c>
      <c r="P442" s="2097" t="e">
        <v>#N/A</v>
      </c>
      <c r="Q442" s="2097" t="e">
        <v>#N/A</v>
      </c>
      <c r="R442" s="2097" t="e">
        <v>#N/A</v>
      </c>
      <c r="S442" s="2097" t="e">
        <v>#N/A</v>
      </c>
      <c r="T442" s="1313" t="e">
        <v>#N/A</v>
      </c>
      <c r="U442" s="225" t="e">
        <v>#N/A</v>
      </c>
      <c r="V442" s="206" t="e">
        <f t="shared" si="39"/>
        <v>#N/A</v>
      </c>
    </row>
    <row r="443" spans="1:22">
      <c r="A443" s="1340">
        <f t="shared" si="40"/>
        <v>2030.02</v>
      </c>
      <c r="B443" s="260" t="e">
        <v>#N/A</v>
      </c>
      <c r="C443" s="2097" t="e">
        <v>#N/A</v>
      </c>
      <c r="D443" s="2097" t="e">
        <v>#N/A</v>
      </c>
      <c r="E443" s="2097" t="e">
        <v>#N/A</v>
      </c>
      <c r="F443" s="260" t="e">
        <v>#N/A</v>
      </c>
      <c r="G443" s="3034" t="e">
        <v>#N/A</v>
      </c>
      <c r="H443" s="196" t="e">
        <f t="shared" si="36"/>
        <v>#N/A</v>
      </c>
      <c r="I443" s="260" t="e">
        <v>#N/A</v>
      </c>
      <c r="J443" s="1870" t="e">
        <v>#N/A</v>
      </c>
      <c r="K443" s="263" t="e">
        <f t="shared" si="37"/>
        <v>#N/A</v>
      </c>
      <c r="L443" s="1313" t="e">
        <v>#N/A</v>
      </c>
      <c r="M443" s="225" t="e">
        <v>#N/A</v>
      </c>
      <c r="N443" s="2097" t="e">
        <v>#N/A</v>
      </c>
      <c r="O443" s="2158" t="e">
        <f t="shared" si="38"/>
        <v>#N/A</v>
      </c>
      <c r="P443" s="2097" t="e">
        <v>#N/A</v>
      </c>
      <c r="Q443" s="2097" t="e">
        <v>#N/A</v>
      </c>
      <c r="R443" s="2097" t="e">
        <v>#N/A</v>
      </c>
      <c r="S443" s="2097" t="e">
        <v>#N/A</v>
      </c>
      <c r="T443" s="1313" t="e">
        <v>#N/A</v>
      </c>
      <c r="U443" s="225" t="e">
        <v>#N/A</v>
      </c>
      <c r="V443" s="206" t="e">
        <f t="shared" si="39"/>
        <v>#N/A</v>
      </c>
    </row>
    <row r="444" spans="1:22">
      <c r="A444" s="1340">
        <f t="shared" si="40"/>
        <v>2030.03</v>
      </c>
      <c r="B444" s="260" t="e">
        <v>#N/A</v>
      </c>
      <c r="C444" s="2097" t="e">
        <v>#N/A</v>
      </c>
      <c r="D444" s="2097" t="e">
        <v>#N/A</v>
      </c>
      <c r="E444" s="2097" t="e">
        <v>#N/A</v>
      </c>
      <c r="F444" s="260" t="e">
        <v>#N/A</v>
      </c>
      <c r="G444" s="3034" t="e">
        <v>#N/A</v>
      </c>
      <c r="H444" s="196" t="e">
        <f t="shared" si="36"/>
        <v>#N/A</v>
      </c>
      <c r="I444" s="260" t="e">
        <v>#N/A</v>
      </c>
      <c r="J444" s="1870" t="e">
        <v>#N/A</v>
      </c>
      <c r="K444" s="263" t="e">
        <f t="shared" si="37"/>
        <v>#N/A</v>
      </c>
      <c r="L444" s="1313" t="e">
        <v>#N/A</v>
      </c>
      <c r="M444" s="225" t="e">
        <v>#N/A</v>
      </c>
      <c r="N444" s="2097" t="e">
        <v>#N/A</v>
      </c>
      <c r="O444" s="2158" t="e">
        <f t="shared" si="38"/>
        <v>#N/A</v>
      </c>
      <c r="P444" s="2097" t="e">
        <v>#N/A</v>
      </c>
      <c r="Q444" s="2097" t="e">
        <v>#N/A</v>
      </c>
      <c r="R444" s="2097" t="e">
        <v>#N/A</v>
      </c>
      <c r="S444" s="2097" t="e">
        <v>#N/A</v>
      </c>
      <c r="T444" s="1313" t="e">
        <v>#N/A</v>
      </c>
      <c r="U444" s="225" t="e">
        <v>#N/A</v>
      </c>
      <c r="V444" s="206" t="e">
        <f t="shared" si="39"/>
        <v>#N/A</v>
      </c>
    </row>
    <row r="445" spans="1:22">
      <c r="A445" s="1340">
        <f t="shared" si="40"/>
        <v>2030.04</v>
      </c>
      <c r="B445" s="260" t="e">
        <v>#N/A</v>
      </c>
      <c r="C445" s="2097" t="e">
        <v>#N/A</v>
      </c>
      <c r="D445" s="2097" t="e">
        <v>#N/A</v>
      </c>
      <c r="E445" s="2097" t="e">
        <v>#N/A</v>
      </c>
      <c r="F445" s="260" t="e">
        <v>#N/A</v>
      </c>
      <c r="G445" s="3034" t="e">
        <v>#N/A</v>
      </c>
      <c r="H445" s="196" t="e">
        <f t="shared" si="36"/>
        <v>#N/A</v>
      </c>
      <c r="I445" s="260" t="e">
        <v>#N/A</v>
      </c>
      <c r="J445" s="1870" t="e">
        <v>#N/A</v>
      </c>
      <c r="K445" s="263" t="e">
        <f t="shared" si="37"/>
        <v>#N/A</v>
      </c>
      <c r="L445" s="1313" t="e">
        <v>#N/A</v>
      </c>
      <c r="M445" s="225" t="e">
        <v>#N/A</v>
      </c>
      <c r="N445" s="2097" t="e">
        <v>#N/A</v>
      </c>
      <c r="O445" s="2158" t="e">
        <f t="shared" si="38"/>
        <v>#N/A</v>
      </c>
      <c r="P445" s="2097" t="e">
        <v>#N/A</v>
      </c>
      <c r="Q445" s="2097" t="e">
        <v>#N/A</v>
      </c>
      <c r="R445" s="2097" t="e">
        <v>#N/A</v>
      </c>
      <c r="S445" s="2097" t="e">
        <v>#N/A</v>
      </c>
      <c r="T445" s="1313" t="e">
        <v>#N/A</v>
      </c>
      <c r="U445" s="225" t="e">
        <v>#N/A</v>
      </c>
      <c r="V445" s="206" t="e">
        <f t="shared" si="39"/>
        <v>#N/A</v>
      </c>
    </row>
    <row r="446" spans="1:22">
      <c r="A446" s="1340">
        <f t="shared" si="40"/>
        <v>2030.05</v>
      </c>
      <c r="B446" s="260" t="e">
        <v>#N/A</v>
      </c>
      <c r="C446" s="2097" t="e">
        <v>#N/A</v>
      </c>
      <c r="D446" s="2097" t="e">
        <v>#N/A</v>
      </c>
      <c r="E446" s="2097" t="e">
        <v>#N/A</v>
      </c>
      <c r="F446" s="260" t="e">
        <v>#N/A</v>
      </c>
      <c r="G446" s="3034" t="e">
        <v>#N/A</v>
      </c>
      <c r="H446" s="196" t="e">
        <f t="shared" si="36"/>
        <v>#N/A</v>
      </c>
      <c r="I446" s="260" t="e">
        <v>#N/A</v>
      </c>
      <c r="J446" s="1870" t="e">
        <v>#N/A</v>
      </c>
      <c r="K446" s="263" t="e">
        <f t="shared" si="37"/>
        <v>#N/A</v>
      </c>
      <c r="L446" s="1313" t="e">
        <v>#N/A</v>
      </c>
      <c r="M446" s="225" t="e">
        <v>#N/A</v>
      </c>
      <c r="N446" s="2097" t="e">
        <v>#N/A</v>
      </c>
      <c r="O446" s="2158" t="e">
        <f t="shared" si="38"/>
        <v>#N/A</v>
      </c>
      <c r="P446" s="2097" t="e">
        <v>#N/A</v>
      </c>
      <c r="Q446" s="2097" t="e">
        <v>#N/A</v>
      </c>
      <c r="R446" s="2097" t="e">
        <v>#N/A</v>
      </c>
      <c r="S446" s="2097" t="e">
        <v>#N/A</v>
      </c>
      <c r="T446" s="1313" t="e">
        <v>#N/A</v>
      </c>
      <c r="U446" s="225" t="e">
        <v>#N/A</v>
      </c>
      <c r="V446" s="206" t="e">
        <f t="shared" si="39"/>
        <v>#N/A</v>
      </c>
    </row>
    <row r="447" spans="1:22">
      <c r="A447" s="1340">
        <f t="shared" si="40"/>
        <v>2030.06</v>
      </c>
      <c r="B447" s="260" t="e">
        <v>#N/A</v>
      </c>
      <c r="C447" s="2097" t="e">
        <v>#N/A</v>
      </c>
      <c r="D447" s="2097" t="e">
        <v>#N/A</v>
      </c>
      <c r="E447" s="2097" t="e">
        <v>#N/A</v>
      </c>
      <c r="F447" s="260" t="e">
        <v>#N/A</v>
      </c>
      <c r="G447" s="3034" t="e">
        <v>#N/A</v>
      </c>
      <c r="H447" s="196" t="e">
        <f t="shared" si="36"/>
        <v>#N/A</v>
      </c>
      <c r="I447" s="260" t="e">
        <v>#N/A</v>
      </c>
      <c r="J447" s="1870" t="e">
        <v>#N/A</v>
      </c>
      <c r="K447" s="263" t="e">
        <f t="shared" si="37"/>
        <v>#N/A</v>
      </c>
      <c r="L447" s="1313" t="e">
        <v>#N/A</v>
      </c>
      <c r="M447" s="225" t="e">
        <v>#N/A</v>
      </c>
      <c r="N447" s="2097" t="e">
        <v>#N/A</v>
      </c>
      <c r="O447" s="2158" t="e">
        <f t="shared" si="38"/>
        <v>#N/A</v>
      </c>
      <c r="P447" s="2097" t="e">
        <v>#N/A</v>
      </c>
      <c r="Q447" s="2097" t="e">
        <v>#N/A</v>
      </c>
      <c r="R447" s="2097" t="e">
        <v>#N/A</v>
      </c>
      <c r="S447" s="2097" t="e">
        <v>#N/A</v>
      </c>
      <c r="T447" s="1313" t="e">
        <v>#N/A</v>
      </c>
      <c r="U447" s="225" t="e">
        <v>#N/A</v>
      </c>
      <c r="V447" s="206" t="e">
        <f t="shared" si="39"/>
        <v>#N/A</v>
      </c>
    </row>
    <row r="448" spans="1:22">
      <c r="A448" s="1340">
        <f t="shared" si="40"/>
        <v>2030.07</v>
      </c>
      <c r="B448" s="260" t="e">
        <v>#N/A</v>
      </c>
      <c r="C448" s="2097" t="e">
        <v>#N/A</v>
      </c>
      <c r="D448" s="2097" t="e">
        <v>#N/A</v>
      </c>
      <c r="E448" s="2097" t="e">
        <v>#N/A</v>
      </c>
      <c r="F448" s="260" t="e">
        <v>#N/A</v>
      </c>
      <c r="G448" s="3034" t="e">
        <v>#N/A</v>
      </c>
      <c r="H448" s="196" t="e">
        <f t="shared" si="36"/>
        <v>#N/A</v>
      </c>
      <c r="I448" s="260" t="e">
        <v>#N/A</v>
      </c>
      <c r="J448" s="1870" t="e">
        <v>#N/A</v>
      </c>
      <c r="K448" s="263" t="e">
        <f t="shared" si="37"/>
        <v>#N/A</v>
      </c>
      <c r="L448" s="1313" t="e">
        <v>#N/A</v>
      </c>
      <c r="M448" s="225" t="e">
        <v>#N/A</v>
      </c>
      <c r="N448" s="2097" t="e">
        <v>#N/A</v>
      </c>
      <c r="O448" s="2158" t="e">
        <f t="shared" si="38"/>
        <v>#N/A</v>
      </c>
      <c r="P448" s="2097" t="e">
        <v>#N/A</v>
      </c>
      <c r="Q448" s="2097" t="e">
        <v>#N/A</v>
      </c>
      <c r="R448" s="2097" t="e">
        <v>#N/A</v>
      </c>
      <c r="S448" s="2097" t="e">
        <v>#N/A</v>
      </c>
      <c r="T448" s="1313" t="e">
        <v>#N/A</v>
      </c>
      <c r="U448" s="225" t="e">
        <v>#N/A</v>
      </c>
      <c r="V448" s="206" t="e">
        <f t="shared" si="39"/>
        <v>#N/A</v>
      </c>
    </row>
    <row r="449" spans="1:22">
      <c r="A449" s="1340">
        <f t="shared" si="40"/>
        <v>2030.08</v>
      </c>
      <c r="B449" s="260" t="e">
        <v>#N/A</v>
      </c>
      <c r="C449" s="2097" t="e">
        <v>#N/A</v>
      </c>
      <c r="D449" s="2097" t="e">
        <v>#N/A</v>
      </c>
      <c r="E449" s="2097" t="e">
        <v>#N/A</v>
      </c>
      <c r="F449" s="260" t="e">
        <v>#N/A</v>
      </c>
      <c r="G449" s="3034" t="e">
        <v>#N/A</v>
      </c>
      <c r="H449" s="196" t="e">
        <f t="shared" si="36"/>
        <v>#N/A</v>
      </c>
      <c r="I449" s="260" t="e">
        <v>#N/A</v>
      </c>
      <c r="J449" s="1870" t="e">
        <v>#N/A</v>
      </c>
      <c r="K449" s="263" t="e">
        <f t="shared" si="37"/>
        <v>#N/A</v>
      </c>
      <c r="L449" s="1313" t="e">
        <v>#N/A</v>
      </c>
      <c r="M449" s="225" t="e">
        <v>#N/A</v>
      </c>
      <c r="N449" s="2097" t="e">
        <v>#N/A</v>
      </c>
      <c r="O449" s="2158" t="e">
        <f t="shared" si="38"/>
        <v>#N/A</v>
      </c>
      <c r="P449" s="2097" t="e">
        <v>#N/A</v>
      </c>
      <c r="Q449" s="2097" t="e">
        <v>#N/A</v>
      </c>
      <c r="R449" s="2097" t="e">
        <v>#N/A</v>
      </c>
      <c r="S449" s="2097" t="e">
        <v>#N/A</v>
      </c>
      <c r="T449" s="1313" t="e">
        <v>#N/A</v>
      </c>
      <c r="U449" s="225" t="e">
        <v>#N/A</v>
      </c>
      <c r="V449" s="206" t="e">
        <f t="shared" si="39"/>
        <v>#N/A</v>
      </c>
    </row>
    <row r="450" spans="1:22">
      <c r="A450" s="1340">
        <f t="shared" si="40"/>
        <v>2030.09</v>
      </c>
      <c r="B450" s="260" t="e">
        <v>#N/A</v>
      </c>
      <c r="C450" s="2097" t="e">
        <v>#N/A</v>
      </c>
      <c r="D450" s="2097" t="e">
        <v>#N/A</v>
      </c>
      <c r="E450" s="2097" t="e">
        <v>#N/A</v>
      </c>
      <c r="F450" s="260" t="e">
        <v>#N/A</v>
      </c>
      <c r="G450" s="3034" t="e">
        <v>#N/A</v>
      </c>
      <c r="H450" s="196" t="e">
        <f t="shared" si="36"/>
        <v>#N/A</v>
      </c>
      <c r="I450" s="260" t="e">
        <v>#N/A</v>
      </c>
      <c r="J450" s="1870" t="e">
        <v>#N/A</v>
      </c>
      <c r="K450" s="263" t="e">
        <f t="shared" si="37"/>
        <v>#N/A</v>
      </c>
      <c r="L450" s="1313" t="e">
        <v>#N/A</v>
      </c>
      <c r="M450" s="225" t="e">
        <v>#N/A</v>
      </c>
      <c r="N450" s="2097" t="e">
        <v>#N/A</v>
      </c>
      <c r="O450" s="2158" t="e">
        <f t="shared" si="38"/>
        <v>#N/A</v>
      </c>
      <c r="P450" s="2097" t="e">
        <v>#N/A</v>
      </c>
      <c r="Q450" s="2097" t="e">
        <v>#N/A</v>
      </c>
      <c r="R450" s="2097" t="e">
        <v>#N/A</v>
      </c>
      <c r="S450" s="2097" t="e">
        <v>#N/A</v>
      </c>
      <c r="T450" s="1313" t="e">
        <v>#N/A</v>
      </c>
      <c r="U450" s="225" t="e">
        <v>#N/A</v>
      </c>
      <c r="V450" s="206" t="e">
        <f t="shared" si="39"/>
        <v>#N/A</v>
      </c>
    </row>
    <row r="451" spans="1:22">
      <c r="A451" s="1340">
        <f t="shared" si="40"/>
        <v>2030.1</v>
      </c>
      <c r="B451" s="260" t="e">
        <v>#N/A</v>
      </c>
      <c r="C451" s="2097" t="e">
        <v>#N/A</v>
      </c>
      <c r="D451" s="2097" t="e">
        <v>#N/A</v>
      </c>
      <c r="E451" s="2097" t="e">
        <v>#N/A</v>
      </c>
      <c r="F451" s="260" t="e">
        <v>#N/A</v>
      </c>
      <c r="G451" s="3034" t="e">
        <v>#N/A</v>
      </c>
      <c r="H451" s="196" t="e">
        <f t="shared" si="36"/>
        <v>#N/A</v>
      </c>
      <c r="I451" s="260" t="e">
        <v>#N/A</v>
      </c>
      <c r="J451" s="1870" t="e">
        <v>#N/A</v>
      </c>
      <c r="K451" s="263" t="e">
        <f t="shared" si="37"/>
        <v>#N/A</v>
      </c>
      <c r="L451" s="1313" t="e">
        <v>#N/A</v>
      </c>
      <c r="M451" s="225" t="e">
        <v>#N/A</v>
      </c>
      <c r="N451" s="2097" t="e">
        <v>#N/A</v>
      </c>
      <c r="O451" s="2158" t="e">
        <f t="shared" si="38"/>
        <v>#N/A</v>
      </c>
      <c r="P451" s="2097" t="e">
        <v>#N/A</v>
      </c>
      <c r="Q451" s="2097" t="e">
        <v>#N/A</v>
      </c>
      <c r="R451" s="2097" t="e">
        <v>#N/A</v>
      </c>
      <c r="S451" s="2097" t="e">
        <v>#N/A</v>
      </c>
      <c r="T451" s="1313" t="e">
        <v>#N/A</v>
      </c>
      <c r="U451" s="225" t="e">
        <v>#N/A</v>
      </c>
      <c r="V451" s="206" t="e">
        <f t="shared" si="39"/>
        <v>#N/A</v>
      </c>
    </row>
    <row r="452" spans="1:22">
      <c r="A452" s="1340">
        <f t="shared" si="40"/>
        <v>2030.11</v>
      </c>
      <c r="B452" s="260" t="e">
        <v>#N/A</v>
      </c>
      <c r="C452" s="2097" t="e">
        <v>#N/A</v>
      </c>
      <c r="D452" s="2097" t="e">
        <v>#N/A</v>
      </c>
      <c r="E452" s="2097" t="e">
        <v>#N/A</v>
      </c>
      <c r="F452" s="260" t="e">
        <v>#N/A</v>
      </c>
      <c r="G452" s="3034" t="e">
        <v>#N/A</v>
      </c>
      <c r="H452" s="196" t="e">
        <f t="shared" si="36"/>
        <v>#N/A</v>
      </c>
      <c r="I452" s="260" t="e">
        <v>#N/A</v>
      </c>
      <c r="J452" s="1870" t="e">
        <v>#N/A</v>
      </c>
      <c r="K452" s="263" t="e">
        <f t="shared" si="37"/>
        <v>#N/A</v>
      </c>
      <c r="L452" s="1313" t="e">
        <v>#N/A</v>
      </c>
      <c r="M452" s="225" t="e">
        <v>#N/A</v>
      </c>
      <c r="N452" s="2097" t="e">
        <v>#N/A</v>
      </c>
      <c r="O452" s="2158" t="e">
        <f t="shared" si="38"/>
        <v>#N/A</v>
      </c>
      <c r="P452" s="2097" t="e">
        <v>#N/A</v>
      </c>
      <c r="Q452" s="2097" t="e">
        <v>#N/A</v>
      </c>
      <c r="R452" s="2097" t="e">
        <v>#N/A</v>
      </c>
      <c r="S452" s="2097" t="e">
        <v>#N/A</v>
      </c>
      <c r="T452" s="1313" t="e">
        <v>#N/A</v>
      </c>
      <c r="U452" s="225" t="e">
        <v>#N/A</v>
      </c>
      <c r="V452" s="206" t="e">
        <f t="shared" si="39"/>
        <v>#N/A</v>
      </c>
    </row>
    <row r="453" spans="1:22">
      <c r="A453" s="1340">
        <f t="shared" si="40"/>
        <v>2030.12</v>
      </c>
      <c r="B453" s="260" t="e">
        <v>#N/A</v>
      </c>
      <c r="C453" s="2097" t="e">
        <v>#N/A</v>
      </c>
      <c r="D453" s="2097" t="e">
        <v>#N/A</v>
      </c>
      <c r="E453" s="2097" t="e">
        <v>#N/A</v>
      </c>
      <c r="F453" s="260" t="e">
        <v>#N/A</v>
      </c>
      <c r="G453" s="3034" t="e">
        <v>#N/A</v>
      </c>
      <c r="H453" s="196" t="e">
        <f t="shared" si="36"/>
        <v>#N/A</v>
      </c>
      <c r="I453" s="260" t="e">
        <v>#N/A</v>
      </c>
      <c r="J453" s="1870" t="e">
        <v>#N/A</v>
      </c>
      <c r="K453" s="263" t="e">
        <f t="shared" si="37"/>
        <v>#N/A</v>
      </c>
      <c r="L453" s="1313" t="e">
        <v>#N/A</v>
      </c>
      <c r="M453" s="225" t="e">
        <v>#N/A</v>
      </c>
      <c r="N453" s="2097" t="e">
        <v>#N/A</v>
      </c>
      <c r="O453" s="2158" t="e">
        <f t="shared" si="38"/>
        <v>#N/A</v>
      </c>
      <c r="P453" s="2097" t="e">
        <v>#N/A</v>
      </c>
      <c r="Q453" s="2097" t="e">
        <v>#N/A</v>
      </c>
      <c r="R453" s="2097" t="e">
        <v>#N/A</v>
      </c>
      <c r="S453" s="2097" t="e">
        <v>#N/A</v>
      </c>
      <c r="T453" s="1313" t="e">
        <v>#N/A</v>
      </c>
      <c r="U453" s="225" t="e">
        <v>#N/A</v>
      </c>
      <c r="V453" s="206" t="e">
        <f t="shared" si="39"/>
        <v>#N/A</v>
      </c>
    </row>
  </sheetData>
  <phoneticPr fontId="0" type="noConversion"/>
  <hyperlinks>
    <hyperlink ref="A5" location="INDICE!A13" display="VOLVER AL INDICE" xr:uid="{00000000-0004-0000-2800-000000000000}"/>
  </hyperlinks>
  <pageMargins left="0.75" right="0.75" top="1" bottom="1" header="0" footer="0"/>
  <pageSetup paperSize="9" orientation="portrait" horizontalDpi="300" verticalDpi="300"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8"/>
  <dimension ref="A1:U465"/>
  <sheetViews>
    <sheetView zoomScale="130" zoomScaleNormal="130" workbookViewId="0">
      <pane xSplit="1" ySplit="9" topLeftCell="B384" activePane="bottomRight" state="frozen"/>
      <selection pane="topRight" activeCell="A5" sqref="A5"/>
      <selection pane="bottomLeft" activeCell="A5" sqref="A5"/>
      <selection pane="bottomRight" activeCell="B397" sqref="B397"/>
    </sheetView>
  </sheetViews>
  <sheetFormatPr baseColWidth="10" defaultColWidth="11.42578125" defaultRowHeight="12.75"/>
  <cols>
    <col min="1" max="1" width="10" style="62" customWidth="1"/>
    <col min="2" max="17" width="11.5703125" style="62" customWidth="1"/>
    <col min="18" max="16384" width="11.42578125" style="10"/>
  </cols>
  <sheetData>
    <row r="1" spans="1:17" ht="7.5" customHeight="1">
      <c r="A1" s="34"/>
      <c r="B1" s="65"/>
      <c r="C1" s="64"/>
      <c r="D1" s="2159" t="s">
        <v>5</v>
      </c>
      <c r="E1" s="2159"/>
      <c r="F1" s="2159"/>
      <c r="G1" s="2159"/>
      <c r="H1" s="2160"/>
      <c r="I1" s="2161"/>
      <c r="J1" s="2161"/>
      <c r="K1" s="2161"/>
      <c r="L1" s="2463"/>
      <c r="M1" s="2162"/>
      <c r="N1" s="2161"/>
      <c r="O1" s="2463"/>
      <c r="P1" s="2463"/>
      <c r="Q1" s="2163"/>
    </row>
    <row r="2" spans="1:17" ht="33.75">
      <c r="A2" s="59" t="s">
        <v>105</v>
      </c>
      <c r="B2" s="66" t="s">
        <v>1279</v>
      </c>
      <c r="C2" s="1963"/>
      <c r="D2" s="1788" t="s">
        <v>1280</v>
      </c>
      <c r="E2" s="1788"/>
      <c r="F2" s="1963"/>
      <c r="G2" s="1963"/>
      <c r="H2" s="1788" t="s">
        <v>1281</v>
      </c>
      <c r="I2" s="1538"/>
      <c r="J2" s="1538"/>
      <c r="K2" s="1538"/>
      <c r="L2" s="1538"/>
      <c r="M2" s="1788" t="s">
        <v>1282</v>
      </c>
      <c r="N2" s="1538"/>
      <c r="O2" s="2464"/>
      <c r="P2" s="2464"/>
      <c r="Q2" s="1541"/>
    </row>
    <row r="3" spans="1:17">
      <c r="A3" s="37" t="s">
        <v>109</v>
      </c>
      <c r="B3" s="174" t="s">
        <v>1283</v>
      </c>
      <c r="C3" s="3207"/>
      <c r="D3" s="1788"/>
      <c r="E3" s="1788"/>
      <c r="F3" s="1963"/>
      <c r="G3" s="1963"/>
      <c r="H3" s="1801"/>
      <c r="I3" s="1538"/>
      <c r="J3" s="1538"/>
      <c r="K3" s="1538"/>
      <c r="L3" s="1538"/>
      <c r="M3" s="1801"/>
      <c r="N3" s="1538"/>
      <c r="O3" s="2464"/>
      <c r="P3" s="2464"/>
      <c r="Q3" s="1541"/>
    </row>
    <row r="4" spans="1:17" ht="3" hidden="1" customHeight="1">
      <c r="A4" s="57"/>
      <c r="B4" s="65"/>
      <c r="C4" s="64"/>
      <c r="D4" s="2437"/>
      <c r="E4" s="70"/>
      <c r="F4" s="70"/>
      <c r="G4" s="70"/>
      <c r="H4" s="2437"/>
      <c r="I4" s="70"/>
      <c r="J4" s="70"/>
      <c r="K4" s="70"/>
      <c r="L4" s="64"/>
      <c r="M4" s="2437"/>
      <c r="N4" s="70"/>
      <c r="O4" s="70"/>
      <c r="P4" s="70"/>
      <c r="Q4" s="71"/>
    </row>
    <row r="5" spans="1:17" ht="22.5">
      <c r="A5" s="2390" t="s">
        <v>137</v>
      </c>
      <c r="B5" s="6" t="s">
        <v>1284</v>
      </c>
      <c r="C5" s="3341" t="s">
        <v>1285</v>
      </c>
      <c r="D5" s="6" t="s">
        <v>1286</v>
      </c>
      <c r="E5" s="1318" t="s">
        <v>1287</v>
      </c>
      <c r="F5" s="2585" t="s">
        <v>1288</v>
      </c>
      <c r="G5" s="3326" t="s">
        <v>1289</v>
      </c>
      <c r="H5" s="1538" t="s">
        <v>1286</v>
      </c>
      <c r="I5" s="2389"/>
      <c r="J5" s="2586" t="s">
        <v>1287</v>
      </c>
      <c r="K5" s="2587"/>
      <c r="L5" s="2588" t="s">
        <v>1284</v>
      </c>
      <c r="M5" s="1538" t="s">
        <v>1288</v>
      </c>
      <c r="N5" s="2389"/>
      <c r="O5" s="2586" t="s">
        <v>1289</v>
      </c>
      <c r="P5" s="2587"/>
      <c r="Q5" s="2223" t="s">
        <v>1290</v>
      </c>
    </row>
    <row r="6" spans="1:17" ht="3" hidden="1" customHeight="1">
      <c r="A6" s="33"/>
      <c r="B6" s="65"/>
      <c r="C6" s="793"/>
      <c r="D6" s="2437"/>
      <c r="E6" s="870"/>
      <c r="F6" s="70"/>
      <c r="G6" s="874"/>
      <c r="H6" s="2437"/>
      <c r="I6" s="70"/>
      <c r="J6" s="70"/>
      <c r="K6" s="70"/>
      <c r="L6" s="64"/>
      <c r="M6" s="2437"/>
      <c r="N6" s="70"/>
      <c r="O6" s="70"/>
      <c r="P6" s="70"/>
      <c r="Q6" s="71"/>
    </row>
    <row r="7" spans="1:17" ht="22.5">
      <c r="A7" s="2373" t="s">
        <v>123</v>
      </c>
      <c r="B7" s="3208" t="s">
        <v>1291</v>
      </c>
      <c r="C7" s="3341" t="s">
        <v>1291</v>
      </c>
      <c r="D7" s="2434" t="s">
        <v>1291</v>
      </c>
      <c r="E7" s="906" t="s">
        <v>1291</v>
      </c>
      <c r="F7" s="901" t="s">
        <v>1291</v>
      </c>
      <c r="G7" s="2164" t="s">
        <v>1291</v>
      </c>
      <c r="H7" s="2434" t="s">
        <v>1291</v>
      </c>
      <c r="I7" s="906" t="s">
        <v>1291</v>
      </c>
      <c r="J7" s="901" t="s">
        <v>1291</v>
      </c>
      <c r="K7" s="906" t="s">
        <v>1291</v>
      </c>
      <c r="L7" s="1078" t="s">
        <v>1291</v>
      </c>
      <c r="M7" s="2434" t="s">
        <v>1291</v>
      </c>
      <c r="N7" s="906" t="s">
        <v>1291</v>
      </c>
      <c r="O7" s="901" t="s">
        <v>1291</v>
      </c>
      <c r="P7" s="906" t="s">
        <v>1291</v>
      </c>
      <c r="Q7" s="1079" t="s">
        <v>1291</v>
      </c>
    </row>
    <row r="8" spans="1:17" ht="12.75" customHeight="1">
      <c r="A8" s="147" t="s">
        <v>141</v>
      </c>
      <c r="B8" s="150" t="s">
        <v>1292</v>
      </c>
      <c r="C8" s="560" t="s">
        <v>1293</v>
      </c>
      <c r="D8" s="2400" t="s">
        <v>1294</v>
      </c>
      <c r="E8" s="639" t="s">
        <v>1295</v>
      </c>
      <c r="F8" s="150" t="s">
        <v>1296</v>
      </c>
      <c r="G8" s="560" t="s">
        <v>1297</v>
      </c>
      <c r="H8" s="773" t="s">
        <v>1298</v>
      </c>
      <c r="I8" s="639" t="s">
        <v>1299</v>
      </c>
      <c r="J8" s="881" t="s">
        <v>1300</v>
      </c>
      <c r="K8" s="150" t="s">
        <v>1301</v>
      </c>
      <c r="L8" s="560" t="s">
        <v>1302</v>
      </c>
      <c r="M8" s="773" t="s">
        <v>1303</v>
      </c>
      <c r="N8" s="150" t="s">
        <v>1304</v>
      </c>
      <c r="O8" s="639" t="s">
        <v>1305</v>
      </c>
      <c r="P8" s="150" t="s">
        <v>1306</v>
      </c>
      <c r="Q8" s="642" t="s">
        <v>1307</v>
      </c>
    </row>
    <row r="9" spans="1:17" ht="27.75" thickBot="1">
      <c r="A9" s="2990" t="s">
        <v>517</v>
      </c>
      <c r="B9" s="68"/>
      <c r="C9" s="867"/>
      <c r="D9" s="69"/>
      <c r="E9" s="871"/>
      <c r="F9" s="178"/>
      <c r="G9" s="867"/>
      <c r="H9" s="2589" t="s">
        <v>758</v>
      </c>
      <c r="I9" s="2590" t="s">
        <v>1308</v>
      </c>
      <c r="J9" s="2591" t="s">
        <v>758</v>
      </c>
      <c r="K9" s="2592" t="s">
        <v>1308</v>
      </c>
      <c r="L9" s="2593" t="s">
        <v>1309</v>
      </c>
      <c r="M9" s="2589" t="s">
        <v>758</v>
      </c>
      <c r="N9" s="2592" t="s">
        <v>1308</v>
      </c>
      <c r="O9" s="2594" t="s">
        <v>758</v>
      </c>
      <c r="P9" s="2592" t="s">
        <v>1308</v>
      </c>
      <c r="Q9" s="2595" t="s">
        <v>1309</v>
      </c>
    </row>
    <row r="10" spans="1:17">
      <c r="A10" s="67">
        <v>1993.01</v>
      </c>
      <c r="B10" s="412">
        <f>L10</f>
        <v>53305</v>
      </c>
      <c r="C10" s="868">
        <f>Q10</f>
        <v>269160</v>
      </c>
      <c r="D10" s="182">
        <v>64826</v>
      </c>
      <c r="E10" s="872"/>
      <c r="F10" s="179">
        <v>886147</v>
      </c>
      <c r="G10" s="875"/>
      <c r="H10" s="876">
        <v>31209</v>
      </c>
      <c r="I10" s="3165">
        <v>22096</v>
      </c>
      <c r="J10" s="878"/>
      <c r="K10" s="177"/>
      <c r="L10" s="868">
        <f t="shared" ref="L10:L73" si="0">SUM(H10:K10)</f>
        <v>53305</v>
      </c>
      <c r="M10" s="879">
        <v>58629</v>
      </c>
      <c r="N10" s="179">
        <v>210531</v>
      </c>
      <c r="O10" s="872"/>
      <c r="P10" s="177"/>
      <c r="Q10" s="3209">
        <f>SUM(M10:P10)</f>
        <v>269160</v>
      </c>
    </row>
    <row r="11" spans="1:17">
      <c r="A11" s="63">
        <f t="shared" ref="A11:A21" si="1">A10+0.01</f>
        <v>1993.02</v>
      </c>
      <c r="B11" s="866">
        <f>L11</f>
        <v>35151</v>
      </c>
      <c r="C11" s="2165">
        <f>Q11</f>
        <v>296619</v>
      </c>
      <c r="D11" s="481">
        <v>54066</v>
      </c>
      <c r="E11" s="3210"/>
      <c r="F11" s="180">
        <v>801410</v>
      </c>
      <c r="G11" s="2166"/>
      <c r="H11" s="877">
        <v>18900</v>
      </c>
      <c r="I11" s="3162">
        <v>16251</v>
      </c>
      <c r="J11" s="882"/>
      <c r="K11" s="922"/>
      <c r="L11" s="2167">
        <f t="shared" si="0"/>
        <v>35151</v>
      </c>
      <c r="M11" s="877">
        <v>189012</v>
      </c>
      <c r="N11" s="180">
        <v>107607</v>
      </c>
      <c r="O11" s="3210"/>
      <c r="P11" s="922"/>
      <c r="Q11" s="3211">
        <f t="shared" ref="Q11:Q73" si="2">SUM(M11:P11)</f>
        <v>296619</v>
      </c>
    </row>
    <row r="12" spans="1:17">
      <c r="A12" s="63">
        <f t="shared" si="1"/>
        <v>1993.03</v>
      </c>
      <c r="B12" s="866">
        <f t="shared" ref="B12:B75" si="3">L12</f>
        <v>425750</v>
      </c>
      <c r="C12" s="2165">
        <f t="shared" ref="C12:C75" si="4">Q12</f>
        <v>352578</v>
      </c>
      <c r="D12" s="481">
        <v>576323</v>
      </c>
      <c r="E12" s="3210"/>
      <c r="F12" s="180">
        <v>1151401</v>
      </c>
      <c r="G12" s="2166"/>
      <c r="H12" s="877">
        <v>128913</v>
      </c>
      <c r="I12" s="3162">
        <v>296837</v>
      </c>
      <c r="J12" s="882"/>
      <c r="K12" s="922"/>
      <c r="L12" s="2167">
        <f t="shared" si="0"/>
        <v>425750</v>
      </c>
      <c r="M12" s="877">
        <v>133124</v>
      </c>
      <c r="N12" s="180">
        <v>219454</v>
      </c>
      <c r="O12" s="3210"/>
      <c r="P12" s="922"/>
      <c r="Q12" s="3211">
        <f t="shared" si="2"/>
        <v>352578</v>
      </c>
    </row>
    <row r="13" spans="1:17">
      <c r="A13" s="63">
        <f t="shared" si="1"/>
        <v>1993.04</v>
      </c>
      <c r="B13" s="866">
        <f t="shared" si="3"/>
        <v>596554</v>
      </c>
      <c r="C13" s="2165">
        <f t="shared" si="4"/>
        <v>307648</v>
      </c>
      <c r="D13" s="481">
        <v>938859</v>
      </c>
      <c r="E13" s="3210"/>
      <c r="F13" s="180">
        <v>779710</v>
      </c>
      <c r="G13" s="2166"/>
      <c r="H13" s="877">
        <v>220920</v>
      </c>
      <c r="I13" s="3162">
        <v>375634</v>
      </c>
      <c r="J13" s="882"/>
      <c r="K13" s="922"/>
      <c r="L13" s="2167">
        <f t="shared" si="0"/>
        <v>596554</v>
      </c>
      <c r="M13" s="877">
        <v>131130</v>
      </c>
      <c r="N13" s="180">
        <v>176518</v>
      </c>
      <c r="O13" s="3210"/>
      <c r="P13" s="922"/>
      <c r="Q13" s="3211">
        <f t="shared" si="2"/>
        <v>307648</v>
      </c>
    </row>
    <row r="14" spans="1:17">
      <c r="A14" s="63">
        <f t="shared" si="1"/>
        <v>1993.05</v>
      </c>
      <c r="B14" s="866">
        <f t="shared" si="3"/>
        <v>600749</v>
      </c>
      <c r="C14" s="2165">
        <f>Q14</f>
        <v>144759</v>
      </c>
      <c r="D14" s="481">
        <v>1090846</v>
      </c>
      <c r="E14" s="3210"/>
      <c r="F14" s="180">
        <v>502654</v>
      </c>
      <c r="G14" s="2166"/>
      <c r="H14" s="877">
        <v>258934</v>
      </c>
      <c r="I14" s="3162">
        <v>341815</v>
      </c>
      <c r="J14" s="882"/>
      <c r="K14" s="922"/>
      <c r="L14" s="2167">
        <f t="shared" si="0"/>
        <v>600749</v>
      </c>
      <c r="M14" s="877">
        <v>61454</v>
      </c>
      <c r="N14" s="180">
        <v>83305</v>
      </c>
      <c r="O14" s="3210"/>
      <c r="P14" s="922"/>
      <c r="Q14" s="3211">
        <f>SUM(M14:P14)</f>
        <v>144759</v>
      </c>
    </row>
    <row r="15" spans="1:17">
      <c r="A15" s="63">
        <f t="shared" si="1"/>
        <v>1993.06</v>
      </c>
      <c r="B15" s="866">
        <f t="shared" si="3"/>
        <v>222833</v>
      </c>
      <c r="C15" s="2165">
        <f t="shared" si="4"/>
        <v>88400</v>
      </c>
      <c r="D15" s="481">
        <v>490187</v>
      </c>
      <c r="E15" s="3210"/>
      <c r="F15" s="180">
        <v>377580</v>
      </c>
      <c r="G15" s="2166"/>
      <c r="H15" s="877">
        <v>100583</v>
      </c>
      <c r="I15" s="3162">
        <v>122250</v>
      </c>
      <c r="J15" s="882"/>
      <c r="K15" s="922"/>
      <c r="L15" s="2167">
        <f t="shared" si="0"/>
        <v>222833</v>
      </c>
      <c r="M15" s="877">
        <v>53445</v>
      </c>
      <c r="N15" s="180">
        <v>34955</v>
      </c>
      <c r="O15" s="3210"/>
      <c r="P15" s="922"/>
      <c r="Q15" s="3211">
        <f t="shared" si="2"/>
        <v>88400</v>
      </c>
    </row>
    <row r="16" spans="1:17">
      <c r="A16" s="63">
        <f t="shared" si="1"/>
        <v>1993.07</v>
      </c>
      <c r="B16" s="866">
        <f t="shared" si="3"/>
        <v>154269</v>
      </c>
      <c r="C16" s="2165">
        <f t="shared" si="4"/>
        <v>110322</v>
      </c>
      <c r="D16" s="481">
        <v>413979</v>
      </c>
      <c r="E16" s="3210"/>
      <c r="F16" s="180">
        <v>374986</v>
      </c>
      <c r="G16" s="2166"/>
      <c r="H16" s="877">
        <v>102245</v>
      </c>
      <c r="I16" s="3162">
        <v>52024</v>
      </c>
      <c r="J16" s="882"/>
      <c r="K16" s="922"/>
      <c r="L16" s="2167">
        <f t="shared" si="0"/>
        <v>154269</v>
      </c>
      <c r="M16" s="877">
        <v>67853</v>
      </c>
      <c r="N16" s="180">
        <v>42469</v>
      </c>
      <c r="O16" s="3210"/>
      <c r="P16" s="922"/>
      <c r="Q16" s="3211">
        <f t="shared" si="2"/>
        <v>110322</v>
      </c>
    </row>
    <row r="17" spans="1:17">
      <c r="A17" s="63">
        <f t="shared" si="1"/>
        <v>1993.08</v>
      </c>
      <c r="B17" s="866">
        <f t="shared" si="3"/>
        <v>112966</v>
      </c>
      <c r="C17" s="2165">
        <f t="shared" si="4"/>
        <v>33543</v>
      </c>
      <c r="D17" s="481">
        <v>237469</v>
      </c>
      <c r="E17" s="3210"/>
      <c r="F17" s="180">
        <v>162217</v>
      </c>
      <c r="G17" s="2166"/>
      <c r="H17" s="877">
        <v>76863</v>
      </c>
      <c r="I17" s="3162">
        <v>36103</v>
      </c>
      <c r="J17" s="882"/>
      <c r="K17" s="922"/>
      <c r="L17" s="2167">
        <f t="shared" si="0"/>
        <v>112966</v>
      </c>
      <c r="M17" s="877">
        <v>33543</v>
      </c>
      <c r="N17" s="180">
        <v>0</v>
      </c>
      <c r="O17" s="3210"/>
      <c r="P17" s="922"/>
      <c r="Q17" s="3211">
        <f t="shared" si="2"/>
        <v>33543</v>
      </c>
    </row>
    <row r="18" spans="1:17">
      <c r="A18" s="63">
        <f t="shared" si="1"/>
        <v>1993.09</v>
      </c>
      <c r="B18" s="866">
        <f t="shared" si="3"/>
        <v>138400</v>
      </c>
      <c r="C18" s="2165">
        <f t="shared" si="4"/>
        <v>6300</v>
      </c>
      <c r="D18" s="481">
        <v>249789</v>
      </c>
      <c r="E18" s="3210"/>
      <c r="F18" s="180">
        <v>143790</v>
      </c>
      <c r="G18" s="2166"/>
      <c r="H18" s="877">
        <v>69426</v>
      </c>
      <c r="I18" s="3162">
        <v>68974</v>
      </c>
      <c r="J18" s="882"/>
      <c r="K18" s="922"/>
      <c r="L18" s="2167">
        <f t="shared" si="0"/>
        <v>138400</v>
      </c>
      <c r="M18" s="877">
        <v>6300</v>
      </c>
      <c r="N18" s="180">
        <v>0</v>
      </c>
      <c r="O18" s="3210"/>
      <c r="P18" s="922"/>
      <c r="Q18" s="3211">
        <f t="shared" si="2"/>
        <v>6300</v>
      </c>
    </row>
    <row r="19" spans="1:17">
      <c r="A19" s="63">
        <f t="shared" si="1"/>
        <v>1993.1</v>
      </c>
      <c r="B19" s="866">
        <f t="shared" si="3"/>
        <v>97409</v>
      </c>
      <c r="C19" s="2165">
        <f t="shared" si="4"/>
        <v>8466</v>
      </c>
      <c r="D19" s="481">
        <v>158014</v>
      </c>
      <c r="E19" s="3210"/>
      <c r="F19" s="180">
        <v>55577</v>
      </c>
      <c r="G19" s="2166"/>
      <c r="H19" s="877">
        <v>58300</v>
      </c>
      <c r="I19" s="3162">
        <v>39109</v>
      </c>
      <c r="J19" s="882"/>
      <c r="K19" s="922"/>
      <c r="L19" s="2167">
        <f t="shared" si="0"/>
        <v>97409</v>
      </c>
      <c r="M19" s="877">
        <v>8466</v>
      </c>
      <c r="N19" s="180">
        <v>0</v>
      </c>
      <c r="O19" s="3210"/>
      <c r="P19" s="922"/>
      <c r="Q19" s="3211">
        <f t="shared" si="2"/>
        <v>8466</v>
      </c>
    </row>
    <row r="20" spans="1:17">
      <c r="A20" s="63">
        <f t="shared" si="1"/>
        <v>1993.11</v>
      </c>
      <c r="B20" s="866">
        <f t="shared" si="3"/>
        <v>86707</v>
      </c>
      <c r="C20" s="2165">
        <f t="shared" si="4"/>
        <v>21225</v>
      </c>
      <c r="D20" s="481">
        <v>183360</v>
      </c>
      <c r="E20" s="3210"/>
      <c r="F20" s="180">
        <v>42330</v>
      </c>
      <c r="G20" s="2166"/>
      <c r="H20" s="877">
        <v>69051</v>
      </c>
      <c r="I20" s="3162">
        <v>17656</v>
      </c>
      <c r="J20" s="882"/>
      <c r="K20" s="922"/>
      <c r="L20" s="2167">
        <f t="shared" si="0"/>
        <v>86707</v>
      </c>
      <c r="M20" s="877">
        <v>18205</v>
      </c>
      <c r="N20" s="180">
        <v>3020</v>
      </c>
      <c r="O20" s="3210"/>
      <c r="P20" s="922"/>
      <c r="Q20" s="3211">
        <f t="shared" si="2"/>
        <v>21225</v>
      </c>
    </row>
    <row r="21" spans="1:17">
      <c r="A21" s="63">
        <f t="shared" si="1"/>
        <v>1993.12</v>
      </c>
      <c r="B21" s="866">
        <f t="shared" si="3"/>
        <v>136041</v>
      </c>
      <c r="C21" s="2165">
        <f t="shared" si="4"/>
        <v>243386</v>
      </c>
      <c r="D21" s="481">
        <v>251612</v>
      </c>
      <c r="E21" s="3210"/>
      <c r="F21" s="180">
        <v>319923</v>
      </c>
      <c r="G21" s="2166"/>
      <c r="H21" s="877">
        <v>82741</v>
      </c>
      <c r="I21" s="3162">
        <v>53300</v>
      </c>
      <c r="J21" s="882"/>
      <c r="K21" s="922"/>
      <c r="L21" s="2167">
        <f t="shared" si="0"/>
        <v>136041</v>
      </c>
      <c r="M21" s="877">
        <v>81904</v>
      </c>
      <c r="N21" s="180">
        <v>161482</v>
      </c>
      <c r="O21" s="3210"/>
      <c r="P21" s="922"/>
      <c r="Q21" s="3211">
        <f t="shared" si="2"/>
        <v>243386</v>
      </c>
    </row>
    <row r="22" spans="1:17">
      <c r="A22" s="63">
        <f t="shared" ref="A22:A85" si="5">A10+1</f>
        <v>1994.01</v>
      </c>
      <c r="B22" s="866">
        <f t="shared" si="3"/>
        <v>86942</v>
      </c>
      <c r="C22" s="2165">
        <f t="shared" si="4"/>
        <v>211303</v>
      </c>
      <c r="D22" s="481">
        <v>123915</v>
      </c>
      <c r="E22" s="3210"/>
      <c r="F22" s="180">
        <v>575218</v>
      </c>
      <c r="G22" s="2166"/>
      <c r="H22" s="877">
        <v>56321</v>
      </c>
      <c r="I22" s="3162">
        <v>30621</v>
      </c>
      <c r="J22" s="882"/>
      <c r="K22" s="922"/>
      <c r="L22" s="2167">
        <f t="shared" si="0"/>
        <v>86942</v>
      </c>
      <c r="M22" s="877">
        <v>121607</v>
      </c>
      <c r="N22" s="180">
        <v>89696</v>
      </c>
      <c r="O22" s="3210"/>
      <c r="P22" s="922"/>
      <c r="Q22" s="3211">
        <f t="shared" si="2"/>
        <v>211303</v>
      </c>
    </row>
    <row r="23" spans="1:17">
      <c r="A23" s="63">
        <f t="shared" si="5"/>
        <v>1994.02</v>
      </c>
      <c r="B23" s="866">
        <f t="shared" si="3"/>
        <v>50997</v>
      </c>
      <c r="C23" s="2165">
        <f t="shared" si="4"/>
        <v>195649</v>
      </c>
      <c r="D23" s="481">
        <v>116407</v>
      </c>
      <c r="E23" s="3210"/>
      <c r="F23" s="180">
        <v>580909</v>
      </c>
      <c r="G23" s="2166"/>
      <c r="H23" s="877">
        <v>34497</v>
      </c>
      <c r="I23" s="3162">
        <v>16500</v>
      </c>
      <c r="J23" s="882"/>
      <c r="K23" s="922"/>
      <c r="L23" s="2167">
        <f t="shared" si="0"/>
        <v>50997</v>
      </c>
      <c r="M23" s="877">
        <v>44886</v>
      </c>
      <c r="N23" s="180">
        <v>150763</v>
      </c>
      <c r="O23" s="3210"/>
      <c r="P23" s="922"/>
      <c r="Q23" s="3211">
        <f t="shared" si="2"/>
        <v>195649</v>
      </c>
    </row>
    <row r="24" spans="1:17">
      <c r="A24" s="63">
        <f t="shared" si="5"/>
        <v>1994.03</v>
      </c>
      <c r="B24" s="866">
        <f t="shared" si="3"/>
        <v>162635</v>
      </c>
      <c r="C24" s="2165">
        <f t="shared" si="4"/>
        <v>83826</v>
      </c>
      <c r="D24" s="481">
        <v>329036</v>
      </c>
      <c r="E24" s="3210"/>
      <c r="F24" s="180">
        <v>571228</v>
      </c>
      <c r="G24" s="2166"/>
      <c r="H24" s="877">
        <v>108464</v>
      </c>
      <c r="I24" s="3162">
        <v>54171</v>
      </c>
      <c r="J24" s="882"/>
      <c r="K24" s="922"/>
      <c r="L24" s="2167">
        <f t="shared" si="0"/>
        <v>162635</v>
      </c>
      <c r="M24" s="877">
        <v>43070</v>
      </c>
      <c r="N24" s="180">
        <v>40756</v>
      </c>
      <c r="O24" s="3210"/>
      <c r="P24" s="922"/>
      <c r="Q24" s="3211">
        <f t="shared" si="2"/>
        <v>83826</v>
      </c>
    </row>
    <row r="25" spans="1:17">
      <c r="A25" s="63">
        <f t="shared" si="5"/>
        <v>1994.04</v>
      </c>
      <c r="B25" s="866">
        <f t="shared" si="3"/>
        <v>482811</v>
      </c>
      <c r="C25" s="2165">
        <f t="shared" si="4"/>
        <v>95101</v>
      </c>
      <c r="D25" s="481">
        <v>763905</v>
      </c>
      <c r="E25" s="3210"/>
      <c r="F25" s="180">
        <v>593675</v>
      </c>
      <c r="G25" s="2166"/>
      <c r="H25" s="877">
        <v>257150</v>
      </c>
      <c r="I25" s="3162">
        <v>225661</v>
      </c>
      <c r="J25" s="882"/>
      <c r="K25" s="922"/>
      <c r="L25" s="2167">
        <f t="shared" si="0"/>
        <v>482811</v>
      </c>
      <c r="M25" s="877">
        <v>40774</v>
      </c>
      <c r="N25" s="180">
        <v>54327</v>
      </c>
      <c r="O25" s="3210"/>
      <c r="P25" s="922"/>
      <c r="Q25" s="3211">
        <f t="shared" si="2"/>
        <v>95101</v>
      </c>
    </row>
    <row r="26" spans="1:17">
      <c r="A26" s="63">
        <f t="shared" si="5"/>
        <v>1994.05</v>
      </c>
      <c r="B26" s="866">
        <f t="shared" si="3"/>
        <v>474195</v>
      </c>
      <c r="C26" s="2165">
        <f t="shared" si="4"/>
        <v>104574</v>
      </c>
      <c r="D26" s="481">
        <v>923454</v>
      </c>
      <c r="E26" s="3210"/>
      <c r="F26" s="180">
        <v>435998</v>
      </c>
      <c r="G26" s="2166"/>
      <c r="H26" s="877">
        <v>231312</v>
      </c>
      <c r="I26" s="3162">
        <v>242883</v>
      </c>
      <c r="J26" s="882"/>
      <c r="K26" s="922"/>
      <c r="L26" s="2167">
        <f t="shared" si="0"/>
        <v>474195</v>
      </c>
      <c r="M26" s="877">
        <v>46989</v>
      </c>
      <c r="N26" s="180">
        <v>57585</v>
      </c>
      <c r="O26" s="3210"/>
      <c r="P26" s="922"/>
      <c r="Q26" s="3211">
        <f t="shared" si="2"/>
        <v>104574</v>
      </c>
    </row>
    <row r="27" spans="1:17">
      <c r="A27" s="63">
        <f t="shared" si="5"/>
        <v>1994.06</v>
      </c>
      <c r="B27" s="866">
        <f t="shared" si="3"/>
        <v>232296</v>
      </c>
      <c r="C27" s="2165">
        <f t="shared" si="4"/>
        <v>84063</v>
      </c>
      <c r="D27" s="481">
        <v>451580</v>
      </c>
      <c r="E27" s="3210"/>
      <c r="F27" s="180">
        <v>380192</v>
      </c>
      <c r="G27" s="2166"/>
      <c r="H27" s="877">
        <v>93921</v>
      </c>
      <c r="I27" s="3162">
        <v>138375</v>
      </c>
      <c r="J27" s="882"/>
      <c r="K27" s="922"/>
      <c r="L27" s="2167">
        <f t="shared" si="0"/>
        <v>232296</v>
      </c>
      <c r="M27" s="877">
        <v>44160</v>
      </c>
      <c r="N27" s="180">
        <v>39903</v>
      </c>
      <c r="O27" s="3210"/>
      <c r="P27" s="922"/>
      <c r="Q27" s="3211">
        <f t="shared" si="2"/>
        <v>84063</v>
      </c>
    </row>
    <row r="28" spans="1:17">
      <c r="A28" s="63">
        <f t="shared" si="5"/>
        <v>1994.07</v>
      </c>
      <c r="B28" s="866">
        <f t="shared" si="3"/>
        <v>130262</v>
      </c>
      <c r="C28" s="2165">
        <f t="shared" si="4"/>
        <v>79291</v>
      </c>
      <c r="D28" s="481">
        <v>403982</v>
      </c>
      <c r="E28" s="3210"/>
      <c r="F28" s="180">
        <v>303567</v>
      </c>
      <c r="G28" s="2166"/>
      <c r="H28" s="877">
        <v>49510</v>
      </c>
      <c r="I28" s="3162">
        <v>80752</v>
      </c>
      <c r="J28" s="882"/>
      <c r="K28" s="922"/>
      <c r="L28" s="2167">
        <f t="shared" si="0"/>
        <v>130262</v>
      </c>
      <c r="M28" s="877">
        <v>25907</v>
      </c>
      <c r="N28" s="180">
        <v>53384</v>
      </c>
      <c r="O28" s="3210"/>
      <c r="P28" s="922"/>
      <c r="Q28" s="3211">
        <f t="shared" si="2"/>
        <v>79291</v>
      </c>
    </row>
    <row r="29" spans="1:17">
      <c r="A29" s="63">
        <f t="shared" si="5"/>
        <v>1994.08</v>
      </c>
      <c r="B29" s="866">
        <f t="shared" si="3"/>
        <v>53755</v>
      </c>
      <c r="C29" s="2165">
        <f t="shared" si="4"/>
        <v>20685</v>
      </c>
      <c r="D29" s="481">
        <v>226353</v>
      </c>
      <c r="E29" s="3210"/>
      <c r="F29" s="180">
        <v>257272</v>
      </c>
      <c r="G29" s="2166"/>
      <c r="H29" s="877">
        <v>28805</v>
      </c>
      <c r="I29" s="3162">
        <v>24950</v>
      </c>
      <c r="J29" s="882"/>
      <c r="K29" s="922"/>
      <c r="L29" s="2167">
        <f t="shared" si="0"/>
        <v>53755</v>
      </c>
      <c r="M29" s="877">
        <v>12278</v>
      </c>
      <c r="N29" s="180">
        <v>8407</v>
      </c>
      <c r="O29" s="3210"/>
      <c r="P29" s="922"/>
      <c r="Q29" s="3211">
        <f t="shared" si="2"/>
        <v>20685</v>
      </c>
    </row>
    <row r="30" spans="1:17">
      <c r="A30" s="63">
        <f t="shared" si="5"/>
        <v>1994.09</v>
      </c>
      <c r="B30" s="866">
        <f t="shared" si="3"/>
        <v>140745</v>
      </c>
      <c r="C30" s="2165">
        <f t="shared" si="4"/>
        <v>20370</v>
      </c>
      <c r="D30" s="481">
        <v>249202</v>
      </c>
      <c r="E30" s="3210"/>
      <c r="F30" s="180">
        <v>331736</v>
      </c>
      <c r="G30" s="2166"/>
      <c r="H30" s="877">
        <v>86923</v>
      </c>
      <c r="I30" s="3162">
        <v>53822</v>
      </c>
      <c r="J30" s="882"/>
      <c r="K30" s="922"/>
      <c r="L30" s="2167">
        <f t="shared" si="0"/>
        <v>140745</v>
      </c>
      <c r="M30" s="877">
        <v>6335</v>
      </c>
      <c r="N30" s="180">
        <v>14035</v>
      </c>
      <c r="O30" s="3210"/>
      <c r="P30" s="922"/>
      <c r="Q30" s="3211">
        <f t="shared" si="2"/>
        <v>20370</v>
      </c>
    </row>
    <row r="31" spans="1:17">
      <c r="A31" s="63">
        <f t="shared" si="5"/>
        <v>1994.1</v>
      </c>
      <c r="B31" s="866">
        <f t="shared" si="3"/>
        <v>78336</v>
      </c>
      <c r="C31" s="2165">
        <f t="shared" si="4"/>
        <v>16990</v>
      </c>
      <c r="D31" s="481">
        <v>163727</v>
      </c>
      <c r="E31" s="3210"/>
      <c r="F31" s="180">
        <v>206987</v>
      </c>
      <c r="G31" s="2166"/>
      <c r="H31" s="877">
        <v>46782</v>
      </c>
      <c r="I31" s="3162">
        <v>31554</v>
      </c>
      <c r="J31" s="882"/>
      <c r="K31" s="922"/>
      <c r="L31" s="2167">
        <f t="shared" si="0"/>
        <v>78336</v>
      </c>
      <c r="M31" s="877">
        <v>12090</v>
      </c>
      <c r="N31" s="180">
        <v>4900</v>
      </c>
      <c r="O31" s="3210"/>
      <c r="P31" s="922"/>
      <c r="Q31" s="3211">
        <f t="shared" si="2"/>
        <v>16990</v>
      </c>
    </row>
    <row r="32" spans="1:17">
      <c r="A32" s="63">
        <f t="shared" si="5"/>
        <v>1994.11</v>
      </c>
      <c r="B32" s="866">
        <f t="shared" si="3"/>
        <v>134484</v>
      </c>
      <c r="C32" s="2165">
        <f t="shared" si="4"/>
        <v>34913</v>
      </c>
      <c r="D32" s="481">
        <v>225402</v>
      </c>
      <c r="E32" s="3210"/>
      <c r="F32" s="180">
        <v>270985</v>
      </c>
      <c r="G32" s="2166"/>
      <c r="H32" s="877">
        <v>66760</v>
      </c>
      <c r="I32" s="3162">
        <v>67724</v>
      </c>
      <c r="J32" s="882"/>
      <c r="K32" s="922"/>
      <c r="L32" s="2167">
        <f t="shared" si="0"/>
        <v>134484</v>
      </c>
      <c r="M32" s="877">
        <v>13333</v>
      </c>
      <c r="N32" s="180">
        <v>21580</v>
      </c>
      <c r="O32" s="3210"/>
      <c r="P32" s="922"/>
      <c r="Q32" s="3211">
        <f t="shared" si="2"/>
        <v>34913</v>
      </c>
    </row>
    <row r="33" spans="1:17">
      <c r="A33" s="63">
        <f t="shared" si="5"/>
        <v>1994.12</v>
      </c>
      <c r="B33" s="866">
        <f t="shared" si="3"/>
        <v>93065</v>
      </c>
      <c r="C33" s="2165">
        <f t="shared" si="4"/>
        <v>460336</v>
      </c>
      <c r="D33" s="481">
        <v>139147</v>
      </c>
      <c r="E33" s="3210"/>
      <c r="F33" s="180">
        <v>753736</v>
      </c>
      <c r="G33" s="2166"/>
      <c r="H33" s="877">
        <v>42721</v>
      </c>
      <c r="I33" s="3162">
        <v>50344</v>
      </c>
      <c r="J33" s="882"/>
      <c r="K33" s="922"/>
      <c r="L33" s="2167">
        <f t="shared" si="0"/>
        <v>93065</v>
      </c>
      <c r="M33" s="877">
        <v>170553</v>
      </c>
      <c r="N33" s="180">
        <v>289783</v>
      </c>
      <c r="O33" s="3210"/>
      <c r="P33" s="922"/>
      <c r="Q33" s="3211">
        <f t="shared" si="2"/>
        <v>460336</v>
      </c>
    </row>
    <row r="34" spans="1:17">
      <c r="A34" s="63">
        <f t="shared" si="5"/>
        <v>1995.01</v>
      </c>
      <c r="B34" s="866">
        <f t="shared" si="3"/>
        <v>64804</v>
      </c>
      <c r="C34" s="2165">
        <f t="shared" si="4"/>
        <v>327235</v>
      </c>
      <c r="D34" s="481">
        <v>98162</v>
      </c>
      <c r="E34" s="3210"/>
      <c r="F34" s="180">
        <v>1119465</v>
      </c>
      <c r="G34" s="2166"/>
      <c r="H34" s="877">
        <v>28125</v>
      </c>
      <c r="I34" s="3162">
        <v>36679</v>
      </c>
      <c r="J34" s="882"/>
      <c r="K34" s="922"/>
      <c r="L34" s="2167">
        <f t="shared" si="0"/>
        <v>64804</v>
      </c>
      <c r="M34" s="877">
        <v>138051</v>
      </c>
      <c r="N34" s="180">
        <v>189184</v>
      </c>
      <c r="O34" s="3210"/>
      <c r="P34" s="922"/>
      <c r="Q34" s="3211">
        <f t="shared" si="2"/>
        <v>327235</v>
      </c>
    </row>
    <row r="35" spans="1:17">
      <c r="A35" s="63">
        <f t="shared" si="5"/>
        <v>1995.02</v>
      </c>
      <c r="B35" s="866">
        <f t="shared" si="3"/>
        <v>29573</v>
      </c>
      <c r="C35" s="2165">
        <f t="shared" si="4"/>
        <v>302282</v>
      </c>
      <c r="D35" s="481">
        <v>119642</v>
      </c>
      <c r="E35" s="3210"/>
      <c r="F35" s="180">
        <v>1120280</v>
      </c>
      <c r="G35" s="2166"/>
      <c r="H35" s="877">
        <v>18423</v>
      </c>
      <c r="I35" s="3162">
        <v>11150</v>
      </c>
      <c r="J35" s="882"/>
      <c r="K35" s="922"/>
      <c r="L35" s="2167">
        <f t="shared" si="0"/>
        <v>29573</v>
      </c>
      <c r="M35" s="877">
        <v>140402</v>
      </c>
      <c r="N35" s="180">
        <v>161880</v>
      </c>
      <c r="O35" s="3210"/>
      <c r="P35" s="922"/>
      <c r="Q35" s="3211">
        <f t="shared" si="2"/>
        <v>302282</v>
      </c>
    </row>
    <row r="36" spans="1:17">
      <c r="A36" s="63">
        <f t="shared" si="5"/>
        <v>1995.03</v>
      </c>
      <c r="B36" s="866">
        <f t="shared" si="3"/>
        <v>454273</v>
      </c>
      <c r="C36" s="2165">
        <f t="shared" si="4"/>
        <v>278629</v>
      </c>
      <c r="D36" s="481">
        <v>575612</v>
      </c>
      <c r="E36" s="3210"/>
      <c r="F36" s="180">
        <v>1121139</v>
      </c>
      <c r="G36" s="2166"/>
      <c r="H36" s="877">
        <v>163309</v>
      </c>
      <c r="I36" s="3162">
        <v>290964</v>
      </c>
      <c r="J36" s="882"/>
      <c r="K36" s="922"/>
      <c r="L36" s="2167">
        <f t="shared" si="0"/>
        <v>454273</v>
      </c>
      <c r="M36" s="877">
        <v>170587</v>
      </c>
      <c r="N36" s="180">
        <v>108042</v>
      </c>
      <c r="O36" s="3210"/>
      <c r="P36" s="922"/>
      <c r="Q36" s="3211">
        <f t="shared" si="2"/>
        <v>278629</v>
      </c>
    </row>
    <row r="37" spans="1:17">
      <c r="A37" s="63">
        <f t="shared" si="5"/>
        <v>1995.04</v>
      </c>
      <c r="B37" s="866">
        <f t="shared" si="3"/>
        <v>890866</v>
      </c>
      <c r="C37" s="2165">
        <f t="shared" si="4"/>
        <v>185658</v>
      </c>
      <c r="D37" s="481">
        <v>1453339</v>
      </c>
      <c r="E37" s="3210"/>
      <c r="F37" s="180">
        <v>599081</v>
      </c>
      <c r="G37" s="2166"/>
      <c r="H37" s="877">
        <v>471354</v>
      </c>
      <c r="I37" s="3162">
        <v>419512</v>
      </c>
      <c r="J37" s="882"/>
      <c r="K37" s="922"/>
      <c r="L37" s="2167">
        <f t="shared" si="0"/>
        <v>890866</v>
      </c>
      <c r="M37" s="877">
        <v>72697</v>
      </c>
      <c r="N37" s="180">
        <v>112961</v>
      </c>
      <c r="O37" s="3210"/>
      <c r="P37" s="922"/>
      <c r="Q37" s="3211">
        <f t="shared" si="2"/>
        <v>185658</v>
      </c>
    </row>
    <row r="38" spans="1:17">
      <c r="A38" s="63">
        <f t="shared" si="5"/>
        <v>1995.05</v>
      </c>
      <c r="B38" s="866">
        <f t="shared" si="3"/>
        <v>573452</v>
      </c>
      <c r="C38" s="2165">
        <f t="shared" si="4"/>
        <v>253585</v>
      </c>
      <c r="D38" s="481">
        <v>1130130</v>
      </c>
      <c r="E38" s="3210"/>
      <c r="F38" s="180">
        <v>753132</v>
      </c>
      <c r="G38" s="2166"/>
      <c r="H38" s="877">
        <v>298560</v>
      </c>
      <c r="I38" s="3162">
        <v>274892</v>
      </c>
      <c r="J38" s="882"/>
      <c r="K38" s="922"/>
      <c r="L38" s="2167">
        <f t="shared" si="0"/>
        <v>573452</v>
      </c>
      <c r="M38" s="877">
        <v>68622</v>
      </c>
      <c r="N38" s="180">
        <v>184963</v>
      </c>
      <c r="O38" s="3210"/>
      <c r="P38" s="922"/>
      <c r="Q38" s="3211">
        <f t="shared" si="2"/>
        <v>253585</v>
      </c>
    </row>
    <row r="39" spans="1:17">
      <c r="A39" s="63">
        <f t="shared" si="5"/>
        <v>1995.06</v>
      </c>
      <c r="B39" s="866">
        <f t="shared" si="3"/>
        <v>357587</v>
      </c>
      <c r="C39" s="2165">
        <f t="shared" si="4"/>
        <v>172474</v>
      </c>
      <c r="D39" s="481">
        <v>925630</v>
      </c>
      <c r="E39" s="3210"/>
      <c r="F39" s="180">
        <v>595230</v>
      </c>
      <c r="G39" s="2166"/>
      <c r="H39" s="877">
        <v>184654</v>
      </c>
      <c r="I39" s="3162">
        <v>172933</v>
      </c>
      <c r="J39" s="882"/>
      <c r="K39" s="922"/>
      <c r="L39" s="2167">
        <f t="shared" si="0"/>
        <v>357587</v>
      </c>
      <c r="M39" s="877">
        <v>66131</v>
      </c>
      <c r="N39" s="180">
        <v>106343</v>
      </c>
      <c r="O39" s="3210"/>
      <c r="P39" s="922"/>
      <c r="Q39" s="3211">
        <f t="shared" si="2"/>
        <v>172474</v>
      </c>
    </row>
    <row r="40" spans="1:17">
      <c r="A40" s="63">
        <f t="shared" si="5"/>
        <v>1995.07</v>
      </c>
      <c r="B40" s="866">
        <f t="shared" si="3"/>
        <v>240759</v>
      </c>
      <c r="C40" s="2165">
        <f t="shared" si="4"/>
        <v>105666</v>
      </c>
      <c r="D40" s="481">
        <v>507486</v>
      </c>
      <c r="E40" s="3210"/>
      <c r="F40" s="180">
        <v>399147</v>
      </c>
      <c r="G40" s="2166"/>
      <c r="H40" s="877">
        <v>150256</v>
      </c>
      <c r="I40" s="3162">
        <v>90503</v>
      </c>
      <c r="J40" s="882"/>
      <c r="K40" s="922"/>
      <c r="L40" s="2167">
        <f t="shared" si="0"/>
        <v>240759</v>
      </c>
      <c r="M40" s="877">
        <v>26779</v>
      </c>
      <c r="N40" s="180">
        <v>78887</v>
      </c>
      <c r="O40" s="3210"/>
      <c r="P40" s="922"/>
      <c r="Q40" s="3211">
        <f t="shared" si="2"/>
        <v>105666</v>
      </c>
    </row>
    <row r="41" spans="1:17">
      <c r="A41" s="63">
        <f t="shared" si="5"/>
        <v>1995.08</v>
      </c>
      <c r="B41" s="866">
        <f t="shared" si="3"/>
        <v>177362</v>
      </c>
      <c r="C41" s="2165">
        <f t="shared" si="4"/>
        <v>25959</v>
      </c>
      <c r="D41" s="481">
        <v>388347</v>
      </c>
      <c r="E41" s="3210"/>
      <c r="F41" s="180">
        <v>210174</v>
      </c>
      <c r="G41" s="2166"/>
      <c r="H41" s="877">
        <v>77192</v>
      </c>
      <c r="I41" s="3162">
        <v>100170</v>
      </c>
      <c r="J41" s="882"/>
      <c r="K41" s="922"/>
      <c r="L41" s="2167">
        <f t="shared" si="0"/>
        <v>177362</v>
      </c>
      <c r="M41" s="877">
        <v>25959</v>
      </c>
      <c r="N41" s="180">
        <v>0</v>
      </c>
      <c r="O41" s="3210"/>
      <c r="P41" s="922"/>
      <c r="Q41" s="3211">
        <f t="shared" si="2"/>
        <v>25959</v>
      </c>
    </row>
    <row r="42" spans="1:17">
      <c r="A42" s="63">
        <f t="shared" si="5"/>
        <v>1995.09</v>
      </c>
      <c r="B42" s="866">
        <f t="shared" si="3"/>
        <v>192838</v>
      </c>
      <c r="C42" s="2165">
        <f t="shared" si="4"/>
        <v>0</v>
      </c>
      <c r="D42" s="481">
        <v>371577</v>
      </c>
      <c r="E42" s="3210"/>
      <c r="F42" s="180">
        <v>92515</v>
      </c>
      <c r="G42" s="2166"/>
      <c r="H42" s="877">
        <v>59212</v>
      </c>
      <c r="I42" s="3162">
        <v>133626</v>
      </c>
      <c r="J42" s="882"/>
      <c r="K42" s="922"/>
      <c r="L42" s="2167">
        <f t="shared" si="0"/>
        <v>192838</v>
      </c>
      <c r="M42" s="877">
        <v>0</v>
      </c>
      <c r="N42" s="180">
        <v>0</v>
      </c>
      <c r="O42" s="3210"/>
      <c r="P42" s="922"/>
      <c r="Q42" s="3211">
        <f>SUM(M42:P42)</f>
        <v>0</v>
      </c>
    </row>
    <row r="43" spans="1:17">
      <c r="A43" s="63">
        <f t="shared" si="5"/>
        <v>1995.1</v>
      </c>
      <c r="B43" s="866">
        <f t="shared" si="3"/>
        <v>132839</v>
      </c>
      <c r="C43" s="2165">
        <f t="shared" si="4"/>
        <v>32355</v>
      </c>
      <c r="D43" s="481">
        <v>199820</v>
      </c>
      <c r="E43" s="3210"/>
      <c r="F43" s="180">
        <v>84436</v>
      </c>
      <c r="G43" s="2166"/>
      <c r="H43" s="877">
        <v>80689</v>
      </c>
      <c r="I43" s="3162">
        <v>52150</v>
      </c>
      <c r="J43" s="882"/>
      <c r="K43" s="922"/>
      <c r="L43" s="2167">
        <f t="shared" si="0"/>
        <v>132839</v>
      </c>
      <c r="M43" s="877">
        <v>32355</v>
      </c>
      <c r="N43" s="180">
        <v>0</v>
      </c>
      <c r="O43" s="3210"/>
      <c r="P43" s="922"/>
      <c r="Q43" s="3211">
        <f t="shared" si="2"/>
        <v>32355</v>
      </c>
    </row>
    <row r="44" spans="1:17">
      <c r="A44" s="63">
        <f t="shared" si="5"/>
        <v>1995.11</v>
      </c>
      <c r="B44" s="866">
        <f t="shared" si="3"/>
        <v>84477</v>
      </c>
      <c r="C44" s="2165">
        <f t="shared" si="4"/>
        <v>26124</v>
      </c>
      <c r="D44" s="481">
        <v>146516</v>
      </c>
      <c r="E44" s="3210"/>
      <c r="F44" s="180">
        <v>47309</v>
      </c>
      <c r="G44" s="2166"/>
      <c r="H44" s="877">
        <v>69617</v>
      </c>
      <c r="I44" s="3162">
        <v>14860</v>
      </c>
      <c r="J44" s="882"/>
      <c r="K44" s="922"/>
      <c r="L44" s="2167">
        <f t="shared" si="0"/>
        <v>84477</v>
      </c>
      <c r="M44" s="877">
        <v>26124</v>
      </c>
      <c r="N44" s="180">
        <v>0</v>
      </c>
      <c r="O44" s="3210"/>
      <c r="P44" s="922"/>
      <c r="Q44" s="3211">
        <f t="shared" si="2"/>
        <v>26124</v>
      </c>
    </row>
    <row r="45" spans="1:17">
      <c r="A45" s="63">
        <f t="shared" si="5"/>
        <v>1995.12</v>
      </c>
      <c r="B45" s="866">
        <f t="shared" si="3"/>
        <v>80789</v>
      </c>
      <c r="C45" s="2165">
        <f t="shared" si="4"/>
        <v>486152</v>
      </c>
      <c r="D45" s="481">
        <v>124826</v>
      </c>
      <c r="E45" s="3210"/>
      <c r="F45" s="180">
        <v>638888</v>
      </c>
      <c r="G45" s="2166"/>
      <c r="H45" s="877">
        <v>39802</v>
      </c>
      <c r="I45" s="3162">
        <v>40987</v>
      </c>
      <c r="J45" s="882"/>
      <c r="K45" s="922"/>
      <c r="L45" s="2167">
        <f t="shared" si="0"/>
        <v>80789</v>
      </c>
      <c r="M45" s="877">
        <v>213594</v>
      </c>
      <c r="N45" s="180">
        <v>272558</v>
      </c>
      <c r="O45" s="3210"/>
      <c r="P45" s="922"/>
      <c r="Q45" s="3211">
        <f t="shared" si="2"/>
        <v>486152</v>
      </c>
    </row>
    <row r="46" spans="1:17">
      <c r="A46" s="63">
        <f t="shared" si="5"/>
        <v>1996.01</v>
      </c>
      <c r="B46" s="866">
        <f t="shared" si="3"/>
        <v>50483</v>
      </c>
      <c r="C46" s="2165">
        <f t="shared" si="4"/>
        <v>134883</v>
      </c>
      <c r="D46" s="481">
        <v>72563</v>
      </c>
      <c r="E46" s="3210"/>
      <c r="F46" s="180">
        <v>777919</v>
      </c>
      <c r="G46" s="2166"/>
      <c r="H46" s="877">
        <v>42119</v>
      </c>
      <c r="I46" s="3162">
        <v>8364</v>
      </c>
      <c r="J46" s="882"/>
      <c r="K46" s="922"/>
      <c r="L46" s="2167">
        <f t="shared" si="0"/>
        <v>50483</v>
      </c>
      <c r="M46" s="877">
        <v>40008</v>
      </c>
      <c r="N46" s="180">
        <v>94875</v>
      </c>
      <c r="O46" s="3210"/>
      <c r="P46" s="922"/>
      <c r="Q46" s="3211">
        <f t="shared" si="2"/>
        <v>134883</v>
      </c>
    </row>
    <row r="47" spans="1:17">
      <c r="A47" s="63">
        <f t="shared" si="5"/>
        <v>1996.02</v>
      </c>
      <c r="B47" s="866">
        <f t="shared" si="3"/>
        <v>85121</v>
      </c>
      <c r="C47" s="2165">
        <f t="shared" si="4"/>
        <v>114007</v>
      </c>
      <c r="D47" s="481">
        <v>97230</v>
      </c>
      <c r="E47" s="3210"/>
      <c r="F47" s="180">
        <v>567145</v>
      </c>
      <c r="G47" s="2166"/>
      <c r="H47" s="877">
        <v>59406</v>
      </c>
      <c r="I47" s="3162">
        <v>25715</v>
      </c>
      <c r="J47" s="882"/>
      <c r="K47" s="922"/>
      <c r="L47" s="2167">
        <f t="shared" si="0"/>
        <v>85121</v>
      </c>
      <c r="M47" s="877">
        <v>64000</v>
      </c>
      <c r="N47" s="180">
        <v>50007</v>
      </c>
      <c r="O47" s="3210"/>
      <c r="P47" s="922"/>
      <c r="Q47" s="3211">
        <f t="shared" si="2"/>
        <v>114007</v>
      </c>
    </row>
    <row r="48" spans="1:17">
      <c r="A48" s="63">
        <f t="shared" si="5"/>
        <v>1996.03</v>
      </c>
      <c r="B48" s="866">
        <f t="shared" si="3"/>
        <v>328772</v>
      </c>
      <c r="C48" s="2165">
        <f t="shared" si="4"/>
        <v>123813</v>
      </c>
      <c r="D48" s="481">
        <v>545462</v>
      </c>
      <c r="E48" s="3210"/>
      <c r="F48" s="180">
        <v>493132</v>
      </c>
      <c r="G48" s="2166"/>
      <c r="H48" s="877">
        <v>225853</v>
      </c>
      <c r="I48" s="3162">
        <v>102919</v>
      </c>
      <c r="J48" s="882"/>
      <c r="K48" s="922"/>
      <c r="L48" s="2167">
        <f t="shared" si="0"/>
        <v>328772</v>
      </c>
      <c r="M48" s="877">
        <v>67998</v>
      </c>
      <c r="N48" s="180">
        <v>55815</v>
      </c>
      <c r="O48" s="3210"/>
      <c r="P48" s="922"/>
      <c r="Q48" s="3211">
        <f t="shared" si="2"/>
        <v>123813</v>
      </c>
    </row>
    <row r="49" spans="1:17">
      <c r="A49" s="63">
        <f t="shared" si="5"/>
        <v>1996.04</v>
      </c>
      <c r="B49" s="866">
        <f t="shared" si="3"/>
        <v>1000893</v>
      </c>
      <c r="C49" s="2165">
        <f t="shared" si="4"/>
        <v>152490</v>
      </c>
      <c r="D49" s="481">
        <v>1278771</v>
      </c>
      <c r="E49" s="3210"/>
      <c r="F49" s="180">
        <v>348874</v>
      </c>
      <c r="G49" s="2166"/>
      <c r="H49" s="877">
        <v>519054</v>
      </c>
      <c r="I49" s="3162">
        <v>481839</v>
      </c>
      <c r="J49" s="882"/>
      <c r="K49" s="922"/>
      <c r="L49" s="2167">
        <f t="shared" si="0"/>
        <v>1000893</v>
      </c>
      <c r="M49" s="877">
        <v>98800</v>
      </c>
      <c r="N49" s="180">
        <v>53690</v>
      </c>
      <c r="O49" s="3210"/>
      <c r="P49" s="922"/>
      <c r="Q49" s="3211">
        <f t="shared" si="2"/>
        <v>152490</v>
      </c>
    </row>
    <row r="50" spans="1:17">
      <c r="A50" s="63">
        <f t="shared" si="5"/>
        <v>1996.05</v>
      </c>
      <c r="B50" s="866">
        <f t="shared" si="3"/>
        <v>710321</v>
      </c>
      <c r="C50" s="2165">
        <f t="shared" si="4"/>
        <v>81345</v>
      </c>
      <c r="D50" s="481">
        <v>1127343</v>
      </c>
      <c r="E50" s="3210"/>
      <c r="F50" s="180">
        <v>351281</v>
      </c>
      <c r="G50" s="2166"/>
      <c r="H50" s="877">
        <v>335855</v>
      </c>
      <c r="I50" s="3162">
        <v>374466</v>
      </c>
      <c r="J50" s="882"/>
      <c r="K50" s="922"/>
      <c r="L50" s="2167">
        <f t="shared" si="0"/>
        <v>710321</v>
      </c>
      <c r="M50" s="877">
        <v>65970</v>
      </c>
      <c r="N50" s="180">
        <v>15375</v>
      </c>
      <c r="O50" s="3210"/>
      <c r="P50" s="922"/>
      <c r="Q50" s="3211">
        <f t="shared" si="2"/>
        <v>81345</v>
      </c>
    </row>
    <row r="51" spans="1:17">
      <c r="A51" s="63">
        <f t="shared" si="5"/>
        <v>1996.06</v>
      </c>
      <c r="B51" s="866">
        <f t="shared" si="3"/>
        <v>407336</v>
      </c>
      <c r="C51" s="2165">
        <f t="shared" si="4"/>
        <v>30078</v>
      </c>
      <c r="D51" s="481">
        <v>751577</v>
      </c>
      <c r="E51" s="3210"/>
      <c r="F51" s="180">
        <v>165729</v>
      </c>
      <c r="G51" s="2166"/>
      <c r="H51" s="877">
        <v>224431</v>
      </c>
      <c r="I51" s="3162">
        <v>182905</v>
      </c>
      <c r="J51" s="882"/>
      <c r="K51" s="922"/>
      <c r="L51" s="2167">
        <f t="shared" si="0"/>
        <v>407336</v>
      </c>
      <c r="M51" s="877">
        <v>30078</v>
      </c>
      <c r="N51" s="180">
        <v>0</v>
      </c>
      <c r="O51" s="3210"/>
      <c r="P51" s="922"/>
      <c r="Q51" s="3211">
        <f t="shared" si="2"/>
        <v>30078</v>
      </c>
    </row>
    <row r="52" spans="1:17">
      <c r="A52" s="63">
        <f t="shared" si="5"/>
        <v>1996.07</v>
      </c>
      <c r="B52" s="866">
        <f t="shared" si="3"/>
        <v>589469</v>
      </c>
      <c r="C52" s="2165">
        <f t="shared" si="4"/>
        <v>26266</v>
      </c>
      <c r="D52" s="481">
        <v>1044233</v>
      </c>
      <c r="E52" s="3210"/>
      <c r="F52" s="180">
        <v>212194</v>
      </c>
      <c r="G52" s="2166"/>
      <c r="H52" s="877">
        <v>341087</v>
      </c>
      <c r="I52" s="3162">
        <v>248382</v>
      </c>
      <c r="J52" s="882"/>
      <c r="K52" s="922"/>
      <c r="L52" s="2167">
        <f t="shared" si="0"/>
        <v>589469</v>
      </c>
      <c r="M52" s="877">
        <v>12304</v>
      </c>
      <c r="N52" s="180">
        <v>13962</v>
      </c>
      <c r="O52" s="3210"/>
      <c r="P52" s="922"/>
      <c r="Q52" s="3211">
        <f t="shared" si="2"/>
        <v>26266</v>
      </c>
    </row>
    <row r="53" spans="1:17">
      <c r="A53" s="63">
        <f t="shared" si="5"/>
        <v>1996.08</v>
      </c>
      <c r="B53" s="866">
        <f t="shared" si="3"/>
        <v>602854</v>
      </c>
      <c r="C53" s="2165">
        <f t="shared" si="4"/>
        <v>15738</v>
      </c>
      <c r="D53" s="481">
        <v>1057665</v>
      </c>
      <c r="E53" s="3210"/>
      <c r="F53" s="180">
        <v>123337</v>
      </c>
      <c r="G53" s="2166"/>
      <c r="H53" s="877">
        <v>300952</v>
      </c>
      <c r="I53" s="3162">
        <v>301902</v>
      </c>
      <c r="J53" s="882"/>
      <c r="K53" s="922"/>
      <c r="L53" s="2167">
        <f t="shared" si="0"/>
        <v>602854</v>
      </c>
      <c r="M53" s="877">
        <v>15738</v>
      </c>
      <c r="N53" s="180">
        <v>0</v>
      </c>
      <c r="O53" s="3210"/>
      <c r="P53" s="922"/>
      <c r="Q53" s="3211">
        <f t="shared" si="2"/>
        <v>15738</v>
      </c>
    </row>
    <row r="54" spans="1:17">
      <c r="A54" s="63">
        <f t="shared" si="5"/>
        <v>1996.09</v>
      </c>
      <c r="B54" s="866">
        <f t="shared" si="3"/>
        <v>173163</v>
      </c>
      <c r="C54" s="2165">
        <f t="shared" si="4"/>
        <v>52578</v>
      </c>
      <c r="D54" s="481">
        <v>315882</v>
      </c>
      <c r="E54" s="3210"/>
      <c r="F54" s="180">
        <v>249998</v>
      </c>
      <c r="G54" s="2166"/>
      <c r="H54" s="877">
        <v>55517</v>
      </c>
      <c r="I54" s="3162">
        <v>117646</v>
      </c>
      <c r="J54" s="882"/>
      <c r="K54" s="922"/>
      <c r="L54" s="2167">
        <f t="shared" si="0"/>
        <v>173163</v>
      </c>
      <c r="M54" s="877">
        <v>52578</v>
      </c>
      <c r="N54" s="180">
        <v>0</v>
      </c>
      <c r="O54" s="3210"/>
      <c r="P54" s="922"/>
      <c r="Q54" s="3211">
        <f t="shared" si="2"/>
        <v>52578</v>
      </c>
    </row>
    <row r="55" spans="1:17">
      <c r="A55" s="63">
        <f t="shared" si="5"/>
        <v>1996.1</v>
      </c>
      <c r="B55" s="866">
        <f t="shared" si="3"/>
        <v>159379</v>
      </c>
      <c r="C55" s="2165">
        <f t="shared" si="4"/>
        <v>35010</v>
      </c>
      <c r="D55" s="481">
        <v>217268</v>
      </c>
      <c r="E55" s="3210"/>
      <c r="F55" s="180">
        <v>296388</v>
      </c>
      <c r="G55" s="2166"/>
      <c r="H55" s="877">
        <v>90652</v>
      </c>
      <c r="I55" s="3162">
        <v>68727</v>
      </c>
      <c r="J55" s="882"/>
      <c r="K55" s="922"/>
      <c r="L55" s="2167">
        <f t="shared" si="0"/>
        <v>159379</v>
      </c>
      <c r="M55" s="877">
        <v>35010</v>
      </c>
      <c r="N55" s="180">
        <v>0</v>
      </c>
      <c r="O55" s="3210"/>
      <c r="P55" s="922"/>
      <c r="Q55" s="3211">
        <f t="shared" si="2"/>
        <v>35010</v>
      </c>
    </row>
    <row r="56" spans="1:17">
      <c r="A56" s="63">
        <f t="shared" si="5"/>
        <v>1996.11</v>
      </c>
      <c r="B56" s="866">
        <f t="shared" si="3"/>
        <v>225977</v>
      </c>
      <c r="C56" s="2165">
        <f t="shared" si="4"/>
        <v>101969</v>
      </c>
      <c r="D56" s="481">
        <v>252524</v>
      </c>
      <c r="E56" s="3210"/>
      <c r="F56" s="180">
        <v>383763</v>
      </c>
      <c r="G56" s="2166"/>
      <c r="H56" s="877">
        <v>123192</v>
      </c>
      <c r="I56" s="3162">
        <v>102785</v>
      </c>
      <c r="J56" s="882"/>
      <c r="K56" s="922"/>
      <c r="L56" s="2167">
        <f t="shared" si="0"/>
        <v>225977</v>
      </c>
      <c r="M56" s="877">
        <v>35959</v>
      </c>
      <c r="N56" s="180">
        <v>66010</v>
      </c>
      <c r="O56" s="3210"/>
      <c r="P56" s="922"/>
      <c r="Q56" s="3211">
        <f t="shared" si="2"/>
        <v>101969</v>
      </c>
    </row>
    <row r="57" spans="1:17">
      <c r="A57" s="63">
        <f t="shared" si="5"/>
        <v>1996.12</v>
      </c>
      <c r="B57" s="866">
        <f t="shared" si="3"/>
        <v>146447</v>
      </c>
      <c r="C57" s="2165">
        <f t="shared" si="4"/>
        <v>1077513</v>
      </c>
      <c r="D57" s="481">
        <v>270489</v>
      </c>
      <c r="E57" s="3210"/>
      <c r="F57" s="180">
        <v>1862965</v>
      </c>
      <c r="G57" s="2166"/>
      <c r="H57" s="877">
        <v>90894</v>
      </c>
      <c r="I57" s="3162">
        <v>55553</v>
      </c>
      <c r="J57" s="882"/>
      <c r="K57" s="922"/>
      <c r="L57" s="2167">
        <f t="shared" si="0"/>
        <v>146447</v>
      </c>
      <c r="M57" s="877">
        <v>550070</v>
      </c>
      <c r="N57" s="180">
        <v>527443</v>
      </c>
      <c r="O57" s="3210"/>
      <c r="P57" s="922"/>
      <c r="Q57" s="3211">
        <f t="shared" si="2"/>
        <v>1077513</v>
      </c>
    </row>
    <row r="58" spans="1:17">
      <c r="A58" s="63">
        <f t="shared" si="5"/>
        <v>1997.01</v>
      </c>
      <c r="B58" s="866">
        <f t="shared" si="3"/>
        <v>68978</v>
      </c>
      <c r="C58" s="2165">
        <f t="shared" si="4"/>
        <v>784918</v>
      </c>
      <c r="D58" s="481">
        <v>112492</v>
      </c>
      <c r="E58" s="3210"/>
      <c r="F58" s="180">
        <v>2490871</v>
      </c>
      <c r="G58" s="2166"/>
      <c r="H58" s="877">
        <v>39348</v>
      </c>
      <c r="I58" s="3162">
        <v>29630</v>
      </c>
      <c r="J58" s="882"/>
      <c r="K58" s="922"/>
      <c r="L58" s="2167">
        <f t="shared" si="0"/>
        <v>68978</v>
      </c>
      <c r="M58" s="877">
        <v>264706</v>
      </c>
      <c r="N58" s="180">
        <v>520212</v>
      </c>
      <c r="O58" s="3210"/>
      <c r="P58" s="922"/>
      <c r="Q58" s="3211">
        <f t="shared" si="2"/>
        <v>784918</v>
      </c>
    </row>
    <row r="59" spans="1:17">
      <c r="A59" s="63">
        <f t="shared" si="5"/>
        <v>1997.02</v>
      </c>
      <c r="B59" s="866">
        <f t="shared" si="3"/>
        <v>152365</v>
      </c>
      <c r="C59" s="2165">
        <f t="shared" si="4"/>
        <v>462825</v>
      </c>
      <c r="D59" s="481">
        <v>333980</v>
      </c>
      <c r="E59" s="3210"/>
      <c r="F59" s="180">
        <v>1732882</v>
      </c>
      <c r="G59" s="2166"/>
      <c r="H59" s="877">
        <v>81699</v>
      </c>
      <c r="I59" s="3162">
        <v>70666</v>
      </c>
      <c r="J59" s="882"/>
      <c r="K59" s="922"/>
      <c r="L59" s="2167">
        <f t="shared" si="0"/>
        <v>152365</v>
      </c>
      <c r="M59" s="877">
        <v>252406</v>
      </c>
      <c r="N59" s="180">
        <v>210419</v>
      </c>
      <c r="O59" s="3210"/>
      <c r="P59" s="922"/>
      <c r="Q59" s="3211">
        <f t="shared" si="2"/>
        <v>462825</v>
      </c>
    </row>
    <row r="60" spans="1:17">
      <c r="A60" s="63">
        <f t="shared" si="5"/>
        <v>1997.03</v>
      </c>
      <c r="B60" s="866">
        <f t="shared" si="3"/>
        <v>957996</v>
      </c>
      <c r="C60" s="2165">
        <f t="shared" si="4"/>
        <v>292164</v>
      </c>
      <c r="D60" s="481">
        <v>1257212</v>
      </c>
      <c r="E60" s="3210"/>
      <c r="F60" s="180">
        <v>822349</v>
      </c>
      <c r="G60" s="2166"/>
      <c r="H60" s="877">
        <v>605967</v>
      </c>
      <c r="I60" s="3162">
        <v>352029</v>
      </c>
      <c r="J60" s="882"/>
      <c r="K60" s="922"/>
      <c r="L60" s="2167">
        <f t="shared" si="0"/>
        <v>957996</v>
      </c>
      <c r="M60" s="877">
        <v>171888</v>
      </c>
      <c r="N60" s="180">
        <v>120276</v>
      </c>
      <c r="O60" s="3210"/>
      <c r="P60" s="922"/>
      <c r="Q60" s="3211">
        <f t="shared" si="2"/>
        <v>292164</v>
      </c>
    </row>
    <row r="61" spans="1:17">
      <c r="A61" s="63">
        <f t="shared" si="5"/>
        <v>1997.04</v>
      </c>
      <c r="B61" s="866">
        <f t="shared" si="3"/>
        <v>1590734</v>
      </c>
      <c r="C61" s="2165">
        <f t="shared" si="4"/>
        <v>253897</v>
      </c>
      <c r="D61" s="481">
        <v>2429281</v>
      </c>
      <c r="E61" s="3210"/>
      <c r="F61" s="180">
        <v>675382</v>
      </c>
      <c r="G61" s="2166"/>
      <c r="H61" s="877">
        <v>971078</v>
      </c>
      <c r="I61" s="3162">
        <v>619656</v>
      </c>
      <c r="J61" s="882"/>
      <c r="K61" s="922"/>
      <c r="L61" s="2167">
        <f t="shared" si="0"/>
        <v>1590734</v>
      </c>
      <c r="M61" s="877">
        <v>54248</v>
      </c>
      <c r="N61" s="180">
        <v>199649</v>
      </c>
      <c r="O61" s="3210"/>
      <c r="P61" s="922"/>
      <c r="Q61" s="3211">
        <f t="shared" si="2"/>
        <v>253897</v>
      </c>
    </row>
    <row r="62" spans="1:17">
      <c r="A62" s="63">
        <f t="shared" si="5"/>
        <v>1997.05</v>
      </c>
      <c r="B62" s="866">
        <f t="shared" si="3"/>
        <v>781989</v>
      </c>
      <c r="C62" s="2165">
        <f t="shared" si="4"/>
        <v>66576</v>
      </c>
      <c r="D62" s="481">
        <v>1895621</v>
      </c>
      <c r="E62" s="3210"/>
      <c r="F62" s="180">
        <v>328069</v>
      </c>
      <c r="G62" s="2166"/>
      <c r="H62" s="877">
        <v>271367</v>
      </c>
      <c r="I62" s="3162">
        <v>510622</v>
      </c>
      <c r="J62" s="882"/>
      <c r="K62" s="922"/>
      <c r="L62" s="2167">
        <f t="shared" si="0"/>
        <v>781989</v>
      </c>
      <c r="M62" s="877">
        <v>23417</v>
      </c>
      <c r="N62" s="180">
        <v>43159</v>
      </c>
      <c r="O62" s="3210"/>
      <c r="P62" s="922"/>
      <c r="Q62" s="3211">
        <f t="shared" si="2"/>
        <v>66576</v>
      </c>
    </row>
    <row r="63" spans="1:17">
      <c r="A63" s="63">
        <f t="shared" si="5"/>
        <v>1997.06</v>
      </c>
      <c r="B63" s="866">
        <f t="shared" si="3"/>
        <v>641552</v>
      </c>
      <c r="C63" s="2165">
        <f t="shared" si="4"/>
        <v>85614</v>
      </c>
      <c r="D63" s="481">
        <v>1356849</v>
      </c>
      <c r="E63" s="3210"/>
      <c r="F63" s="180">
        <v>236898</v>
      </c>
      <c r="G63" s="2166"/>
      <c r="H63" s="877">
        <v>465746</v>
      </c>
      <c r="I63" s="3162">
        <v>175806</v>
      </c>
      <c r="J63" s="882"/>
      <c r="K63" s="922"/>
      <c r="L63" s="2167">
        <f t="shared" si="0"/>
        <v>641552</v>
      </c>
      <c r="M63" s="877">
        <v>60861</v>
      </c>
      <c r="N63" s="180">
        <v>24753</v>
      </c>
      <c r="O63" s="3210"/>
      <c r="P63" s="922"/>
      <c r="Q63" s="3211">
        <f t="shared" si="2"/>
        <v>85614</v>
      </c>
    </row>
    <row r="64" spans="1:17">
      <c r="A64" s="63">
        <f t="shared" si="5"/>
        <v>1997.07</v>
      </c>
      <c r="B64" s="866">
        <f t="shared" si="3"/>
        <v>433459</v>
      </c>
      <c r="C64" s="2165">
        <f t="shared" si="4"/>
        <v>117731</v>
      </c>
      <c r="D64" s="481">
        <v>825909</v>
      </c>
      <c r="E64" s="3210"/>
      <c r="F64" s="180">
        <v>357294</v>
      </c>
      <c r="G64" s="2166"/>
      <c r="H64" s="877">
        <v>243201</v>
      </c>
      <c r="I64" s="3162">
        <v>190258</v>
      </c>
      <c r="J64" s="882"/>
      <c r="K64" s="922"/>
      <c r="L64" s="2167">
        <f t="shared" si="0"/>
        <v>433459</v>
      </c>
      <c r="M64" s="877">
        <v>74525</v>
      </c>
      <c r="N64" s="180">
        <v>43206</v>
      </c>
      <c r="O64" s="3210"/>
      <c r="P64" s="922"/>
      <c r="Q64" s="3211">
        <f t="shared" si="2"/>
        <v>117731</v>
      </c>
    </row>
    <row r="65" spans="1:17">
      <c r="A65" s="63">
        <f t="shared" si="5"/>
        <v>1997.08</v>
      </c>
      <c r="B65" s="866">
        <f t="shared" si="3"/>
        <v>371917</v>
      </c>
      <c r="C65" s="2165">
        <f t="shared" si="4"/>
        <v>64400</v>
      </c>
      <c r="D65" s="481">
        <v>693876</v>
      </c>
      <c r="E65" s="3210"/>
      <c r="F65" s="180">
        <v>268634</v>
      </c>
      <c r="G65" s="2166"/>
      <c r="H65" s="877">
        <v>141605</v>
      </c>
      <c r="I65" s="3162">
        <v>230312</v>
      </c>
      <c r="J65" s="882"/>
      <c r="K65" s="922"/>
      <c r="L65" s="2167">
        <f t="shared" si="0"/>
        <v>371917</v>
      </c>
      <c r="M65" s="877">
        <v>59120</v>
      </c>
      <c r="N65" s="180">
        <v>5280</v>
      </c>
      <c r="O65" s="3210"/>
      <c r="P65" s="922"/>
      <c r="Q65" s="3211">
        <f t="shared" si="2"/>
        <v>64400</v>
      </c>
    </row>
    <row r="66" spans="1:17">
      <c r="A66" s="63">
        <f t="shared" si="5"/>
        <v>1997.09</v>
      </c>
      <c r="B66" s="866">
        <f t="shared" si="3"/>
        <v>403170</v>
      </c>
      <c r="C66" s="2165">
        <f t="shared" si="4"/>
        <v>53061</v>
      </c>
      <c r="D66" s="481">
        <v>656539</v>
      </c>
      <c r="E66" s="3210"/>
      <c r="F66" s="180">
        <v>214695</v>
      </c>
      <c r="G66" s="2166"/>
      <c r="H66" s="877">
        <v>217332</v>
      </c>
      <c r="I66" s="3162">
        <v>185838</v>
      </c>
      <c r="J66" s="882"/>
      <c r="K66" s="922"/>
      <c r="L66" s="2167">
        <f t="shared" si="0"/>
        <v>403170</v>
      </c>
      <c r="M66" s="877">
        <v>23561</v>
      </c>
      <c r="N66" s="180">
        <v>29500</v>
      </c>
      <c r="O66" s="3210"/>
      <c r="P66" s="922"/>
      <c r="Q66" s="3211">
        <f t="shared" si="2"/>
        <v>53061</v>
      </c>
    </row>
    <row r="67" spans="1:17">
      <c r="A67" s="63">
        <f t="shared" si="5"/>
        <v>1997.1</v>
      </c>
      <c r="B67" s="866">
        <f t="shared" si="3"/>
        <v>302661</v>
      </c>
      <c r="C67" s="2165">
        <f t="shared" si="4"/>
        <v>57050</v>
      </c>
      <c r="D67" s="481">
        <v>593580</v>
      </c>
      <c r="E67" s="3210"/>
      <c r="F67" s="180">
        <v>248543</v>
      </c>
      <c r="G67" s="2166"/>
      <c r="H67" s="877">
        <v>107973</v>
      </c>
      <c r="I67" s="3162">
        <v>194688</v>
      </c>
      <c r="J67" s="882"/>
      <c r="K67" s="922"/>
      <c r="L67" s="2167">
        <f t="shared" si="0"/>
        <v>302661</v>
      </c>
      <c r="M67" s="877">
        <v>36050</v>
      </c>
      <c r="N67" s="180">
        <v>21000</v>
      </c>
      <c r="O67" s="3210"/>
      <c r="P67" s="922"/>
      <c r="Q67" s="3211">
        <f t="shared" si="2"/>
        <v>57050</v>
      </c>
    </row>
    <row r="68" spans="1:17">
      <c r="A68" s="63">
        <f t="shared" si="5"/>
        <v>1997.11</v>
      </c>
      <c r="B68" s="866">
        <f t="shared" si="3"/>
        <v>182900</v>
      </c>
      <c r="C68" s="2165">
        <f t="shared" si="4"/>
        <v>103368</v>
      </c>
      <c r="D68" s="481">
        <v>337737</v>
      </c>
      <c r="E68" s="3210"/>
      <c r="F68" s="180">
        <v>338459</v>
      </c>
      <c r="G68" s="2166"/>
      <c r="H68" s="877">
        <v>77835</v>
      </c>
      <c r="I68" s="3162">
        <v>105065</v>
      </c>
      <c r="J68" s="882"/>
      <c r="K68" s="922"/>
      <c r="L68" s="2167">
        <f t="shared" si="0"/>
        <v>182900</v>
      </c>
      <c r="M68" s="877">
        <v>74958</v>
      </c>
      <c r="N68" s="180">
        <v>28410</v>
      </c>
      <c r="O68" s="3210"/>
      <c r="P68" s="922"/>
      <c r="Q68" s="3211">
        <f t="shared" si="2"/>
        <v>103368</v>
      </c>
    </row>
    <row r="69" spans="1:17">
      <c r="A69" s="63">
        <f t="shared" si="5"/>
        <v>1997.12</v>
      </c>
      <c r="B69" s="866">
        <f t="shared" si="3"/>
        <v>303438</v>
      </c>
      <c r="C69" s="2165">
        <f t="shared" si="4"/>
        <v>393687</v>
      </c>
      <c r="D69" s="481">
        <v>427034</v>
      </c>
      <c r="E69" s="3210"/>
      <c r="F69" s="180">
        <v>765437</v>
      </c>
      <c r="G69" s="2166"/>
      <c r="H69" s="877">
        <v>186231</v>
      </c>
      <c r="I69" s="3162">
        <v>117207</v>
      </c>
      <c r="J69" s="882"/>
      <c r="K69" s="922"/>
      <c r="L69" s="2167">
        <f t="shared" si="0"/>
        <v>303438</v>
      </c>
      <c r="M69" s="877">
        <v>206437</v>
      </c>
      <c r="N69" s="180">
        <v>187250</v>
      </c>
      <c r="O69" s="3210"/>
      <c r="P69" s="922"/>
      <c r="Q69" s="3211">
        <f t="shared" si="2"/>
        <v>393687</v>
      </c>
    </row>
    <row r="70" spans="1:17">
      <c r="A70" s="63">
        <f t="shared" si="5"/>
        <v>1998.01</v>
      </c>
      <c r="B70" s="866">
        <f t="shared" si="3"/>
        <v>139864</v>
      </c>
      <c r="C70" s="2165">
        <f t="shared" si="4"/>
        <v>412310</v>
      </c>
      <c r="D70" s="481">
        <v>208733</v>
      </c>
      <c r="E70" s="3210"/>
      <c r="F70" s="180">
        <v>1713718</v>
      </c>
      <c r="G70" s="2166"/>
      <c r="H70" s="877">
        <v>47940</v>
      </c>
      <c r="I70" s="3162">
        <v>91924</v>
      </c>
      <c r="J70" s="882"/>
      <c r="K70" s="922"/>
      <c r="L70" s="2167">
        <f t="shared" si="0"/>
        <v>139864</v>
      </c>
      <c r="M70" s="877">
        <v>212785</v>
      </c>
      <c r="N70" s="180">
        <v>199525</v>
      </c>
      <c r="O70" s="3210"/>
      <c r="P70" s="922"/>
      <c r="Q70" s="3211">
        <f t="shared" si="2"/>
        <v>412310</v>
      </c>
    </row>
    <row r="71" spans="1:17">
      <c r="A71" s="63">
        <f t="shared" si="5"/>
        <v>1998.02</v>
      </c>
      <c r="B71" s="866">
        <f t="shared" si="3"/>
        <v>151932</v>
      </c>
      <c r="C71" s="2165">
        <f t="shared" si="4"/>
        <v>266453</v>
      </c>
      <c r="D71" s="481">
        <v>247148</v>
      </c>
      <c r="E71" s="3210"/>
      <c r="F71" s="180">
        <v>1208721</v>
      </c>
      <c r="G71" s="2166"/>
      <c r="H71" s="877">
        <v>73135</v>
      </c>
      <c r="I71" s="3162">
        <v>78797</v>
      </c>
      <c r="J71" s="882"/>
      <c r="K71" s="922"/>
      <c r="L71" s="2167">
        <f t="shared" si="0"/>
        <v>151932</v>
      </c>
      <c r="M71" s="877">
        <v>95686</v>
      </c>
      <c r="N71" s="180">
        <v>170767</v>
      </c>
      <c r="O71" s="3210"/>
      <c r="P71" s="922"/>
      <c r="Q71" s="3211">
        <f t="shared" si="2"/>
        <v>266453</v>
      </c>
    </row>
    <row r="72" spans="1:17">
      <c r="A72" s="63">
        <f t="shared" si="5"/>
        <v>1998.03</v>
      </c>
      <c r="B72" s="866">
        <f t="shared" si="3"/>
        <v>1319934</v>
      </c>
      <c r="C72" s="2165">
        <f t="shared" si="4"/>
        <v>631086</v>
      </c>
      <c r="D72" s="481">
        <v>1661373</v>
      </c>
      <c r="E72" s="3210"/>
      <c r="F72" s="180">
        <v>1374496</v>
      </c>
      <c r="G72" s="2166"/>
      <c r="H72" s="877">
        <v>702218</v>
      </c>
      <c r="I72" s="3162">
        <v>617716</v>
      </c>
      <c r="J72" s="882"/>
      <c r="K72" s="922"/>
      <c r="L72" s="2167">
        <f t="shared" si="0"/>
        <v>1319934</v>
      </c>
      <c r="M72" s="877">
        <v>340436</v>
      </c>
      <c r="N72" s="180">
        <v>290650</v>
      </c>
      <c r="O72" s="3210"/>
      <c r="P72" s="922"/>
      <c r="Q72" s="3211">
        <f t="shared" si="2"/>
        <v>631086</v>
      </c>
    </row>
    <row r="73" spans="1:17">
      <c r="A73" s="63">
        <f t="shared" si="5"/>
        <v>1998.04</v>
      </c>
      <c r="B73" s="866">
        <f t="shared" si="3"/>
        <v>1541857</v>
      </c>
      <c r="C73" s="2165">
        <f t="shared" si="4"/>
        <v>214023</v>
      </c>
      <c r="D73" s="481">
        <v>2193405</v>
      </c>
      <c r="E73" s="3210"/>
      <c r="F73" s="180">
        <v>900044</v>
      </c>
      <c r="G73" s="2166"/>
      <c r="H73" s="877">
        <v>735230</v>
      </c>
      <c r="I73" s="3162">
        <v>806627</v>
      </c>
      <c r="J73" s="882"/>
      <c r="K73" s="922"/>
      <c r="L73" s="2167">
        <f t="shared" si="0"/>
        <v>1541857</v>
      </c>
      <c r="M73" s="877">
        <v>65207</v>
      </c>
      <c r="N73" s="180">
        <v>148816</v>
      </c>
      <c r="O73" s="3210"/>
      <c r="P73" s="922"/>
      <c r="Q73" s="3211">
        <f t="shared" si="2"/>
        <v>214023</v>
      </c>
    </row>
    <row r="74" spans="1:17">
      <c r="A74" s="63">
        <f t="shared" si="5"/>
        <v>1998.05</v>
      </c>
      <c r="B74" s="866">
        <f t="shared" si="3"/>
        <v>1180598</v>
      </c>
      <c r="C74" s="2165">
        <f t="shared" si="4"/>
        <v>111460</v>
      </c>
      <c r="D74" s="481">
        <v>2081960</v>
      </c>
      <c r="E74" s="3210"/>
      <c r="F74" s="180">
        <v>788528</v>
      </c>
      <c r="G74" s="2166"/>
      <c r="H74" s="877">
        <v>532255</v>
      </c>
      <c r="I74" s="3162">
        <v>648343</v>
      </c>
      <c r="J74" s="882"/>
      <c r="K74" s="922"/>
      <c r="L74" s="2167">
        <f t="shared" ref="L74:L137" si="6">SUM(H74:K74)</f>
        <v>1180598</v>
      </c>
      <c r="M74" s="877">
        <v>43554</v>
      </c>
      <c r="N74" s="180">
        <v>67906</v>
      </c>
      <c r="O74" s="3210"/>
      <c r="P74" s="922"/>
      <c r="Q74" s="3211">
        <f t="shared" ref="Q74:Q137" si="7">SUM(M74:P74)</f>
        <v>111460</v>
      </c>
    </row>
    <row r="75" spans="1:17">
      <c r="A75" s="63">
        <f t="shared" si="5"/>
        <v>1998.06</v>
      </c>
      <c r="B75" s="866">
        <f t="shared" si="3"/>
        <v>798895</v>
      </c>
      <c r="C75" s="2165">
        <f t="shared" si="4"/>
        <v>184335</v>
      </c>
      <c r="D75" s="481">
        <v>1897457</v>
      </c>
      <c r="E75" s="3210"/>
      <c r="F75" s="180">
        <v>632721</v>
      </c>
      <c r="G75" s="2166"/>
      <c r="H75" s="877">
        <v>445685</v>
      </c>
      <c r="I75" s="3162">
        <v>353210</v>
      </c>
      <c r="J75" s="882"/>
      <c r="K75" s="922"/>
      <c r="L75" s="2167">
        <f t="shared" si="6"/>
        <v>798895</v>
      </c>
      <c r="M75" s="877">
        <v>152519</v>
      </c>
      <c r="N75" s="180">
        <v>31816</v>
      </c>
      <c r="O75" s="3210"/>
      <c r="P75" s="922"/>
      <c r="Q75" s="3211">
        <f t="shared" si="7"/>
        <v>184335</v>
      </c>
    </row>
    <row r="76" spans="1:17">
      <c r="A76" s="63">
        <f t="shared" si="5"/>
        <v>1998.07</v>
      </c>
      <c r="B76" s="866">
        <f t="shared" ref="B76:B139" si="8">L76</f>
        <v>492283</v>
      </c>
      <c r="C76" s="2165">
        <f t="shared" ref="C76:C139" si="9">Q76</f>
        <v>77200</v>
      </c>
      <c r="D76" s="481">
        <v>1335399</v>
      </c>
      <c r="E76" s="3210"/>
      <c r="F76" s="180">
        <v>631634</v>
      </c>
      <c r="G76" s="2166"/>
      <c r="H76" s="877">
        <v>210690</v>
      </c>
      <c r="I76" s="3162">
        <v>281593</v>
      </c>
      <c r="J76" s="882"/>
      <c r="K76" s="922"/>
      <c r="L76" s="2167">
        <f t="shared" si="6"/>
        <v>492283</v>
      </c>
      <c r="M76" s="877">
        <v>77200</v>
      </c>
      <c r="N76" s="180">
        <v>0</v>
      </c>
      <c r="O76" s="3210"/>
      <c r="P76" s="922"/>
      <c r="Q76" s="3211">
        <f t="shared" si="7"/>
        <v>77200</v>
      </c>
    </row>
    <row r="77" spans="1:17">
      <c r="A77" s="63">
        <f t="shared" si="5"/>
        <v>1998.08</v>
      </c>
      <c r="B77" s="866">
        <f t="shared" si="8"/>
        <v>558318</v>
      </c>
      <c r="C77" s="2165">
        <f t="shared" si="9"/>
        <v>44880</v>
      </c>
      <c r="D77" s="481">
        <v>1100473</v>
      </c>
      <c r="E77" s="3210"/>
      <c r="F77" s="180">
        <v>553061</v>
      </c>
      <c r="G77" s="2166"/>
      <c r="H77" s="877">
        <v>270625</v>
      </c>
      <c r="I77" s="3162">
        <v>287693</v>
      </c>
      <c r="J77" s="882"/>
      <c r="K77" s="922"/>
      <c r="L77" s="2167">
        <f t="shared" si="6"/>
        <v>558318</v>
      </c>
      <c r="M77" s="877">
        <v>22030</v>
      </c>
      <c r="N77" s="180">
        <v>22850</v>
      </c>
      <c r="O77" s="3210"/>
      <c r="P77" s="922"/>
      <c r="Q77" s="3211">
        <f t="shared" si="7"/>
        <v>44880</v>
      </c>
    </row>
    <row r="78" spans="1:17">
      <c r="A78" s="63">
        <f t="shared" si="5"/>
        <v>1998.09</v>
      </c>
      <c r="B78" s="866">
        <f t="shared" si="8"/>
        <v>290098</v>
      </c>
      <c r="C78" s="2165">
        <f t="shared" si="9"/>
        <v>43900</v>
      </c>
      <c r="D78" s="481">
        <v>630030</v>
      </c>
      <c r="E78" s="3210"/>
      <c r="F78" s="180">
        <v>634791</v>
      </c>
      <c r="G78" s="2166"/>
      <c r="H78" s="877">
        <v>101596</v>
      </c>
      <c r="I78" s="3162">
        <v>188502</v>
      </c>
      <c r="J78" s="882"/>
      <c r="K78" s="922"/>
      <c r="L78" s="2167">
        <f t="shared" si="6"/>
        <v>290098</v>
      </c>
      <c r="M78" s="877">
        <v>40900</v>
      </c>
      <c r="N78" s="180">
        <v>3000</v>
      </c>
      <c r="O78" s="3210"/>
      <c r="P78" s="922"/>
      <c r="Q78" s="3211">
        <f t="shared" si="7"/>
        <v>43900</v>
      </c>
    </row>
    <row r="79" spans="1:17">
      <c r="A79" s="63">
        <f t="shared" si="5"/>
        <v>1998.1</v>
      </c>
      <c r="B79" s="866">
        <f t="shared" si="8"/>
        <v>249967</v>
      </c>
      <c r="C79" s="2165">
        <f t="shared" si="9"/>
        <v>25957</v>
      </c>
      <c r="D79" s="481">
        <v>472442</v>
      </c>
      <c r="E79" s="3210"/>
      <c r="F79" s="180">
        <v>523226</v>
      </c>
      <c r="G79" s="2166"/>
      <c r="H79" s="877">
        <v>70651</v>
      </c>
      <c r="I79" s="3162">
        <v>179316</v>
      </c>
      <c r="J79" s="882"/>
      <c r="K79" s="922"/>
      <c r="L79" s="2167">
        <f t="shared" si="6"/>
        <v>249967</v>
      </c>
      <c r="M79" s="877">
        <v>15457</v>
      </c>
      <c r="N79" s="180">
        <v>10500</v>
      </c>
      <c r="O79" s="3210"/>
      <c r="P79" s="922"/>
      <c r="Q79" s="3211">
        <f t="shared" si="7"/>
        <v>25957</v>
      </c>
    </row>
    <row r="80" spans="1:17">
      <c r="A80" s="63">
        <f t="shared" si="5"/>
        <v>1998.11</v>
      </c>
      <c r="B80" s="866">
        <f t="shared" si="8"/>
        <v>217481</v>
      </c>
      <c r="C80" s="2165">
        <f t="shared" si="9"/>
        <v>58330</v>
      </c>
      <c r="D80" s="481">
        <v>262010</v>
      </c>
      <c r="E80" s="3210"/>
      <c r="F80" s="180">
        <v>579585</v>
      </c>
      <c r="G80" s="2166"/>
      <c r="H80" s="877">
        <v>99142</v>
      </c>
      <c r="I80" s="3162">
        <v>118339</v>
      </c>
      <c r="J80" s="882"/>
      <c r="K80" s="922"/>
      <c r="L80" s="2167">
        <f t="shared" si="6"/>
        <v>217481</v>
      </c>
      <c r="M80" s="877">
        <v>9830</v>
      </c>
      <c r="N80" s="180">
        <v>48500</v>
      </c>
      <c r="O80" s="3210"/>
      <c r="P80" s="922"/>
      <c r="Q80" s="3211">
        <f t="shared" si="7"/>
        <v>58330</v>
      </c>
    </row>
    <row r="81" spans="1:17">
      <c r="A81" s="63">
        <f t="shared" si="5"/>
        <v>1998.12</v>
      </c>
      <c r="B81" s="866">
        <f t="shared" si="8"/>
        <v>174010</v>
      </c>
      <c r="C81" s="2165">
        <f t="shared" si="9"/>
        <v>270459</v>
      </c>
      <c r="D81" s="481">
        <v>243675</v>
      </c>
      <c r="E81" s="3210"/>
      <c r="F81" s="180">
        <v>602356</v>
      </c>
      <c r="G81" s="2166"/>
      <c r="H81" s="877">
        <v>85063</v>
      </c>
      <c r="I81" s="3162">
        <v>88947</v>
      </c>
      <c r="J81" s="882"/>
      <c r="K81" s="922"/>
      <c r="L81" s="2167">
        <f t="shared" si="6"/>
        <v>174010</v>
      </c>
      <c r="M81" s="877">
        <v>89946</v>
      </c>
      <c r="N81" s="180">
        <v>180513</v>
      </c>
      <c r="O81" s="3210"/>
      <c r="P81" s="922"/>
      <c r="Q81" s="3211">
        <f t="shared" si="7"/>
        <v>270459</v>
      </c>
    </row>
    <row r="82" spans="1:17">
      <c r="A82" s="63">
        <f t="shared" si="5"/>
        <v>1999.01</v>
      </c>
      <c r="B82" s="866">
        <f t="shared" si="8"/>
        <v>114937</v>
      </c>
      <c r="C82" s="2165">
        <f t="shared" si="9"/>
        <v>110651</v>
      </c>
      <c r="D82" s="481">
        <v>148835</v>
      </c>
      <c r="E82" s="3210"/>
      <c r="F82" s="180">
        <v>739516</v>
      </c>
      <c r="G82" s="2166"/>
      <c r="H82" s="877">
        <v>13650</v>
      </c>
      <c r="I82" s="3162">
        <v>101287</v>
      </c>
      <c r="J82" s="882"/>
      <c r="K82" s="922"/>
      <c r="L82" s="2167">
        <f t="shared" si="6"/>
        <v>114937</v>
      </c>
      <c r="M82" s="877">
        <v>50431</v>
      </c>
      <c r="N82" s="180">
        <v>60220</v>
      </c>
      <c r="O82" s="3210"/>
      <c r="P82" s="922"/>
      <c r="Q82" s="3211">
        <f t="shared" si="7"/>
        <v>110651</v>
      </c>
    </row>
    <row r="83" spans="1:17">
      <c r="A83" s="63">
        <f t="shared" si="5"/>
        <v>1999.02</v>
      </c>
      <c r="B83" s="866">
        <f t="shared" si="8"/>
        <v>89250</v>
      </c>
      <c r="C83" s="2165">
        <f t="shared" si="9"/>
        <v>398248</v>
      </c>
      <c r="D83" s="481">
        <v>153097</v>
      </c>
      <c r="E83" s="3210"/>
      <c r="F83" s="180">
        <v>1000908</v>
      </c>
      <c r="G83" s="2166"/>
      <c r="H83" s="877">
        <v>72050</v>
      </c>
      <c r="I83" s="3162">
        <v>17200</v>
      </c>
      <c r="J83" s="882"/>
      <c r="K83" s="922"/>
      <c r="L83" s="2167">
        <f t="shared" si="6"/>
        <v>89250</v>
      </c>
      <c r="M83" s="877">
        <v>195883</v>
      </c>
      <c r="N83" s="180">
        <v>202365</v>
      </c>
      <c r="O83" s="3210"/>
      <c r="P83" s="922"/>
      <c r="Q83" s="3211">
        <f t="shared" si="7"/>
        <v>398248</v>
      </c>
    </row>
    <row r="84" spans="1:17">
      <c r="A84" s="63">
        <f t="shared" si="5"/>
        <v>1999.03</v>
      </c>
      <c r="B84" s="866">
        <f t="shared" si="8"/>
        <v>975040</v>
      </c>
      <c r="C84" s="2165">
        <f t="shared" si="9"/>
        <v>416061</v>
      </c>
      <c r="D84" s="481">
        <v>1257304</v>
      </c>
      <c r="E84" s="3210"/>
      <c r="F84" s="180">
        <v>896628</v>
      </c>
      <c r="G84" s="2166"/>
      <c r="H84" s="877">
        <v>520047</v>
      </c>
      <c r="I84" s="3162">
        <v>454993</v>
      </c>
      <c r="J84" s="882"/>
      <c r="K84" s="922"/>
      <c r="L84" s="2167">
        <f t="shared" si="6"/>
        <v>975040</v>
      </c>
      <c r="M84" s="877">
        <v>148325</v>
      </c>
      <c r="N84" s="180">
        <v>267736</v>
      </c>
      <c r="O84" s="3210"/>
      <c r="P84" s="922"/>
      <c r="Q84" s="3211">
        <f t="shared" si="7"/>
        <v>416061</v>
      </c>
    </row>
    <row r="85" spans="1:17">
      <c r="A85" s="63">
        <f t="shared" si="5"/>
        <v>1999.04</v>
      </c>
      <c r="B85" s="866">
        <f t="shared" si="8"/>
        <v>1348456</v>
      </c>
      <c r="C85" s="2165">
        <f t="shared" si="9"/>
        <v>325900</v>
      </c>
      <c r="D85" s="481">
        <v>1849488</v>
      </c>
      <c r="E85" s="3210"/>
      <c r="F85" s="180">
        <v>794220</v>
      </c>
      <c r="G85" s="2166"/>
      <c r="H85" s="877">
        <v>688065</v>
      </c>
      <c r="I85" s="3162">
        <v>660391</v>
      </c>
      <c r="J85" s="882"/>
      <c r="K85" s="922"/>
      <c r="L85" s="2167">
        <f t="shared" si="6"/>
        <v>1348456</v>
      </c>
      <c r="M85" s="877">
        <v>113330</v>
      </c>
      <c r="N85" s="180">
        <v>212570</v>
      </c>
      <c r="O85" s="3210"/>
      <c r="P85" s="922"/>
      <c r="Q85" s="3211">
        <f t="shared" si="7"/>
        <v>325900</v>
      </c>
    </row>
    <row r="86" spans="1:17">
      <c r="A86" s="63">
        <f t="shared" ref="A86:A149" si="10">A74+1</f>
        <v>1999.05</v>
      </c>
      <c r="B86" s="866">
        <f t="shared" si="8"/>
        <v>933796</v>
      </c>
      <c r="C86" s="2165">
        <f t="shared" si="9"/>
        <v>232117</v>
      </c>
      <c r="D86" s="481">
        <v>1641981</v>
      </c>
      <c r="E86" s="3210"/>
      <c r="F86" s="180">
        <v>675128</v>
      </c>
      <c r="G86" s="2166"/>
      <c r="H86" s="877">
        <v>398416</v>
      </c>
      <c r="I86" s="3162">
        <v>535380</v>
      </c>
      <c r="J86" s="882"/>
      <c r="K86" s="922"/>
      <c r="L86" s="2167">
        <f t="shared" si="6"/>
        <v>933796</v>
      </c>
      <c r="M86" s="877">
        <v>90926</v>
      </c>
      <c r="N86" s="180">
        <v>141191</v>
      </c>
      <c r="O86" s="3210"/>
      <c r="P86" s="922"/>
      <c r="Q86" s="3211">
        <f t="shared" si="7"/>
        <v>232117</v>
      </c>
    </row>
    <row r="87" spans="1:17">
      <c r="A87" s="63">
        <f t="shared" si="10"/>
        <v>1999.06</v>
      </c>
      <c r="B87" s="866">
        <f t="shared" si="8"/>
        <v>443465</v>
      </c>
      <c r="C87" s="2165">
        <f t="shared" si="9"/>
        <v>144781</v>
      </c>
      <c r="D87" s="481">
        <v>862199</v>
      </c>
      <c r="E87" s="3210"/>
      <c r="F87" s="180">
        <v>715982</v>
      </c>
      <c r="G87" s="2166"/>
      <c r="H87" s="877">
        <v>217328</v>
      </c>
      <c r="I87" s="3162">
        <v>226137</v>
      </c>
      <c r="J87" s="882"/>
      <c r="K87" s="922"/>
      <c r="L87" s="2167">
        <f t="shared" si="6"/>
        <v>443465</v>
      </c>
      <c r="M87" s="877">
        <v>104781</v>
      </c>
      <c r="N87" s="180">
        <v>40000</v>
      </c>
      <c r="O87" s="3210"/>
      <c r="P87" s="922"/>
      <c r="Q87" s="3211">
        <f t="shared" si="7"/>
        <v>144781</v>
      </c>
    </row>
    <row r="88" spans="1:17">
      <c r="A88" s="63">
        <f t="shared" si="10"/>
        <v>1999.07</v>
      </c>
      <c r="B88" s="866">
        <f t="shared" si="8"/>
        <v>267494</v>
      </c>
      <c r="C88" s="2165">
        <f t="shared" si="9"/>
        <v>51700</v>
      </c>
      <c r="D88" s="481">
        <v>430311</v>
      </c>
      <c r="E88" s="3210"/>
      <c r="F88" s="180">
        <v>468181</v>
      </c>
      <c r="G88" s="2166"/>
      <c r="H88" s="877">
        <v>102619</v>
      </c>
      <c r="I88" s="3162">
        <v>164875</v>
      </c>
      <c r="J88" s="882"/>
      <c r="K88" s="922"/>
      <c r="L88" s="2167">
        <f t="shared" si="6"/>
        <v>267494</v>
      </c>
      <c r="M88" s="877">
        <v>26600</v>
      </c>
      <c r="N88" s="180">
        <v>25100</v>
      </c>
      <c r="O88" s="3210"/>
      <c r="P88" s="922"/>
      <c r="Q88" s="3211">
        <f t="shared" si="7"/>
        <v>51700</v>
      </c>
    </row>
    <row r="89" spans="1:17">
      <c r="A89" s="63">
        <f t="shared" si="10"/>
        <v>1999.08</v>
      </c>
      <c r="B89" s="866">
        <f t="shared" si="8"/>
        <v>211119</v>
      </c>
      <c r="C89" s="2165">
        <f t="shared" si="9"/>
        <v>43260</v>
      </c>
      <c r="D89" s="481">
        <v>389645</v>
      </c>
      <c r="E89" s="3210"/>
      <c r="F89" s="180">
        <v>541266</v>
      </c>
      <c r="G89" s="2166"/>
      <c r="H89" s="877">
        <v>65791</v>
      </c>
      <c r="I89" s="3162">
        <v>145328</v>
      </c>
      <c r="J89" s="882"/>
      <c r="K89" s="922"/>
      <c r="L89" s="2167">
        <f t="shared" si="6"/>
        <v>211119</v>
      </c>
      <c r="M89" s="877">
        <v>14700</v>
      </c>
      <c r="N89" s="180">
        <v>28560</v>
      </c>
      <c r="O89" s="3210"/>
      <c r="P89" s="922"/>
      <c r="Q89" s="3211">
        <f t="shared" si="7"/>
        <v>43260</v>
      </c>
    </row>
    <row r="90" spans="1:17">
      <c r="A90" s="63">
        <f t="shared" si="10"/>
        <v>1999.09</v>
      </c>
      <c r="B90" s="866">
        <f t="shared" si="8"/>
        <v>100803</v>
      </c>
      <c r="C90" s="2165">
        <f t="shared" si="9"/>
        <v>70786</v>
      </c>
      <c r="D90" s="481">
        <v>144072</v>
      </c>
      <c r="E90" s="3210"/>
      <c r="F90" s="180">
        <v>467680</v>
      </c>
      <c r="G90" s="2166"/>
      <c r="H90" s="877">
        <v>47047</v>
      </c>
      <c r="I90" s="3162">
        <v>53756</v>
      </c>
      <c r="J90" s="882"/>
      <c r="K90" s="922"/>
      <c r="L90" s="2167">
        <f t="shared" si="6"/>
        <v>100803</v>
      </c>
      <c r="M90" s="877">
        <v>26620</v>
      </c>
      <c r="N90" s="180">
        <v>44166</v>
      </c>
      <c r="O90" s="3210"/>
      <c r="P90" s="922"/>
      <c r="Q90" s="3211">
        <f t="shared" si="7"/>
        <v>70786</v>
      </c>
    </row>
    <row r="91" spans="1:17">
      <c r="A91" s="63">
        <f t="shared" si="10"/>
        <v>1999.1</v>
      </c>
      <c r="B91" s="866">
        <f t="shared" si="8"/>
        <v>113277</v>
      </c>
      <c r="C91" s="2165">
        <f t="shared" si="9"/>
        <v>37952</v>
      </c>
      <c r="D91" s="481">
        <v>200536</v>
      </c>
      <c r="E91" s="3210"/>
      <c r="F91" s="180">
        <v>435624</v>
      </c>
      <c r="G91" s="2166"/>
      <c r="H91" s="877">
        <v>46739</v>
      </c>
      <c r="I91" s="3162">
        <v>66538</v>
      </c>
      <c r="J91" s="882"/>
      <c r="K91" s="922"/>
      <c r="L91" s="2167">
        <f t="shared" si="6"/>
        <v>113277</v>
      </c>
      <c r="M91" s="877">
        <v>17400</v>
      </c>
      <c r="N91" s="180">
        <v>20552</v>
      </c>
      <c r="O91" s="3210"/>
      <c r="P91" s="922"/>
      <c r="Q91" s="3211">
        <f t="shared" si="7"/>
        <v>37952</v>
      </c>
    </row>
    <row r="92" spans="1:17">
      <c r="A92" s="63">
        <f t="shared" si="10"/>
        <v>1999.11</v>
      </c>
      <c r="B92" s="866">
        <f t="shared" si="8"/>
        <v>300009</v>
      </c>
      <c r="C92" s="2165">
        <f t="shared" si="9"/>
        <v>330945</v>
      </c>
      <c r="D92" s="481">
        <v>425355</v>
      </c>
      <c r="E92" s="3210"/>
      <c r="F92" s="180">
        <v>436718</v>
      </c>
      <c r="G92" s="2166"/>
      <c r="H92" s="877">
        <v>83649</v>
      </c>
      <c r="I92" s="3162">
        <v>216360</v>
      </c>
      <c r="J92" s="882"/>
      <c r="K92" s="922"/>
      <c r="L92" s="2167">
        <f t="shared" si="6"/>
        <v>300009</v>
      </c>
      <c r="M92" s="877">
        <v>145500</v>
      </c>
      <c r="N92" s="180">
        <v>185445</v>
      </c>
      <c r="O92" s="3210"/>
      <c r="P92" s="922"/>
      <c r="Q92" s="3211">
        <f t="shared" si="7"/>
        <v>330945</v>
      </c>
    </row>
    <row r="93" spans="1:17">
      <c r="A93" s="63">
        <f t="shared" si="10"/>
        <v>1999.12</v>
      </c>
      <c r="B93" s="866">
        <f t="shared" si="8"/>
        <v>218644</v>
      </c>
      <c r="C93" s="2165">
        <f t="shared" si="9"/>
        <v>1020368</v>
      </c>
      <c r="D93" s="481">
        <v>238713</v>
      </c>
      <c r="E93" s="3210"/>
      <c r="F93" s="180">
        <v>1383449</v>
      </c>
      <c r="G93" s="2166"/>
      <c r="H93" s="877">
        <v>121180</v>
      </c>
      <c r="I93" s="3162">
        <v>97464</v>
      </c>
      <c r="J93" s="882"/>
      <c r="K93" s="922"/>
      <c r="L93" s="2167">
        <f t="shared" si="6"/>
        <v>218644</v>
      </c>
      <c r="M93" s="877">
        <v>428630</v>
      </c>
      <c r="N93" s="180">
        <v>591738</v>
      </c>
      <c r="O93" s="3210"/>
      <c r="P93" s="922"/>
      <c r="Q93" s="3211">
        <f t="shared" si="7"/>
        <v>1020368</v>
      </c>
    </row>
    <row r="94" spans="1:17">
      <c r="A94" s="63">
        <f t="shared" si="10"/>
        <v>2000.01</v>
      </c>
      <c r="B94" s="866">
        <f t="shared" si="8"/>
        <v>191256</v>
      </c>
      <c r="C94" s="2165">
        <f t="shared" si="9"/>
        <v>625308</v>
      </c>
      <c r="D94" s="481">
        <v>252872</v>
      </c>
      <c r="E94" s="3210"/>
      <c r="F94" s="180">
        <v>1699812</v>
      </c>
      <c r="G94" s="2166"/>
      <c r="H94" s="877">
        <v>92361</v>
      </c>
      <c r="I94" s="3162">
        <v>98895</v>
      </c>
      <c r="J94" s="882"/>
      <c r="K94" s="922"/>
      <c r="L94" s="2167">
        <f t="shared" si="6"/>
        <v>191256</v>
      </c>
      <c r="M94" s="877">
        <v>201675</v>
      </c>
      <c r="N94" s="180">
        <v>423633</v>
      </c>
      <c r="O94" s="3210"/>
      <c r="P94" s="922"/>
      <c r="Q94" s="3211">
        <f t="shared" si="7"/>
        <v>625308</v>
      </c>
    </row>
    <row r="95" spans="1:17">
      <c r="A95" s="63">
        <f t="shared" si="10"/>
        <v>2000.02</v>
      </c>
      <c r="B95" s="866">
        <f t="shared" si="8"/>
        <v>154597</v>
      </c>
      <c r="C95" s="2165">
        <f t="shared" si="9"/>
        <v>579460</v>
      </c>
      <c r="D95" s="481">
        <v>204071</v>
      </c>
      <c r="E95" s="3210"/>
      <c r="F95" s="180">
        <v>1356696</v>
      </c>
      <c r="G95" s="2166"/>
      <c r="H95" s="877">
        <v>85512</v>
      </c>
      <c r="I95" s="3162">
        <v>69085</v>
      </c>
      <c r="J95" s="882"/>
      <c r="K95" s="922"/>
      <c r="L95" s="2167">
        <f t="shared" si="6"/>
        <v>154597</v>
      </c>
      <c r="M95" s="877">
        <v>224961</v>
      </c>
      <c r="N95" s="180">
        <v>354499</v>
      </c>
      <c r="O95" s="3210"/>
      <c r="P95" s="922"/>
      <c r="Q95" s="3211">
        <f t="shared" si="7"/>
        <v>579460</v>
      </c>
    </row>
    <row r="96" spans="1:17">
      <c r="A96" s="63">
        <f t="shared" si="10"/>
        <v>2000.03</v>
      </c>
      <c r="B96" s="866">
        <f t="shared" si="8"/>
        <v>1243926</v>
      </c>
      <c r="C96" s="2165">
        <f t="shared" si="9"/>
        <v>574782</v>
      </c>
      <c r="D96" s="481">
        <v>1365203</v>
      </c>
      <c r="E96" s="3210"/>
      <c r="F96" s="180">
        <v>1121253</v>
      </c>
      <c r="G96" s="2166"/>
      <c r="H96" s="877">
        <v>600429</v>
      </c>
      <c r="I96" s="3162">
        <v>643497</v>
      </c>
      <c r="J96" s="882"/>
      <c r="K96" s="922"/>
      <c r="L96" s="2167">
        <f t="shared" si="6"/>
        <v>1243926</v>
      </c>
      <c r="M96" s="877">
        <v>156004</v>
      </c>
      <c r="N96" s="180">
        <v>418778</v>
      </c>
      <c r="O96" s="3210"/>
      <c r="P96" s="922"/>
      <c r="Q96" s="3211">
        <f t="shared" si="7"/>
        <v>574782</v>
      </c>
    </row>
    <row r="97" spans="1:17">
      <c r="A97" s="63">
        <f t="shared" si="10"/>
        <v>2000.04</v>
      </c>
      <c r="B97" s="866">
        <f t="shared" si="8"/>
        <v>1408273</v>
      </c>
      <c r="C97" s="2165">
        <f t="shared" si="9"/>
        <v>261387</v>
      </c>
      <c r="D97" s="481">
        <v>1799333</v>
      </c>
      <c r="E97" s="3210"/>
      <c r="F97" s="180">
        <v>849785</v>
      </c>
      <c r="G97" s="2166"/>
      <c r="H97" s="877">
        <v>806096</v>
      </c>
      <c r="I97" s="3162">
        <v>602177</v>
      </c>
      <c r="J97" s="882"/>
      <c r="K97" s="922"/>
      <c r="L97" s="2167">
        <f t="shared" si="6"/>
        <v>1408273</v>
      </c>
      <c r="M97" s="877">
        <v>114020</v>
      </c>
      <c r="N97" s="180">
        <v>147367</v>
      </c>
      <c r="O97" s="3210"/>
      <c r="P97" s="922"/>
      <c r="Q97" s="3211">
        <f t="shared" si="7"/>
        <v>261387</v>
      </c>
    </row>
    <row r="98" spans="1:17">
      <c r="A98" s="63">
        <f t="shared" si="10"/>
        <v>2000.05</v>
      </c>
      <c r="B98" s="866">
        <f t="shared" si="8"/>
        <v>871889</v>
      </c>
      <c r="C98" s="2165">
        <f t="shared" si="9"/>
        <v>345154</v>
      </c>
      <c r="D98" s="481">
        <v>1460185</v>
      </c>
      <c r="E98" s="3210"/>
      <c r="F98" s="180">
        <v>784773</v>
      </c>
      <c r="G98" s="2166"/>
      <c r="H98" s="877">
        <v>432739</v>
      </c>
      <c r="I98" s="3162">
        <v>439150</v>
      </c>
      <c r="J98" s="882"/>
      <c r="K98" s="922"/>
      <c r="L98" s="2167">
        <f t="shared" si="6"/>
        <v>871889</v>
      </c>
      <c r="M98" s="877">
        <v>62000</v>
      </c>
      <c r="N98" s="180">
        <v>283154</v>
      </c>
      <c r="O98" s="3210"/>
      <c r="P98" s="922"/>
      <c r="Q98" s="3211">
        <f t="shared" si="7"/>
        <v>345154</v>
      </c>
    </row>
    <row r="99" spans="1:17">
      <c r="A99" s="63">
        <f t="shared" si="10"/>
        <v>2000.06</v>
      </c>
      <c r="B99" s="866">
        <f t="shared" si="8"/>
        <v>498969</v>
      </c>
      <c r="C99" s="2165">
        <f t="shared" si="9"/>
        <v>125993</v>
      </c>
      <c r="D99" s="481">
        <v>1024773</v>
      </c>
      <c r="E99" s="3210"/>
      <c r="F99" s="180">
        <v>739089</v>
      </c>
      <c r="G99" s="2166"/>
      <c r="H99" s="877">
        <v>183149</v>
      </c>
      <c r="I99" s="3162">
        <v>315820</v>
      </c>
      <c r="J99" s="882"/>
      <c r="K99" s="922"/>
      <c r="L99" s="2167">
        <f t="shared" si="6"/>
        <v>498969</v>
      </c>
      <c r="M99" s="877">
        <v>19885</v>
      </c>
      <c r="N99" s="180">
        <v>106108</v>
      </c>
      <c r="O99" s="3210"/>
      <c r="P99" s="922"/>
      <c r="Q99" s="3211">
        <f t="shared" si="7"/>
        <v>125993</v>
      </c>
    </row>
    <row r="100" spans="1:17">
      <c r="A100" s="63">
        <f t="shared" si="10"/>
        <v>2000.07</v>
      </c>
      <c r="B100" s="866">
        <f t="shared" si="8"/>
        <v>298190</v>
      </c>
      <c r="C100" s="2165">
        <f t="shared" si="9"/>
        <v>324602</v>
      </c>
      <c r="D100" s="481">
        <v>499612</v>
      </c>
      <c r="E100" s="3210"/>
      <c r="F100" s="180">
        <v>625148</v>
      </c>
      <c r="G100" s="2166"/>
      <c r="H100" s="877">
        <v>142613</v>
      </c>
      <c r="I100" s="3162">
        <v>155577</v>
      </c>
      <c r="J100" s="882"/>
      <c r="K100" s="922"/>
      <c r="L100" s="2167">
        <f t="shared" si="6"/>
        <v>298190</v>
      </c>
      <c r="M100" s="877">
        <v>215082</v>
      </c>
      <c r="N100" s="180">
        <v>109520</v>
      </c>
      <c r="O100" s="3210"/>
      <c r="P100" s="922"/>
      <c r="Q100" s="3211">
        <f t="shared" si="7"/>
        <v>324602</v>
      </c>
    </row>
    <row r="101" spans="1:17">
      <c r="A101" s="63">
        <f t="shared" si="10"/>
        <v>2000.08</v>
      </c>
      <c r="B101" s="866">
        <f t="shared" si="8"/>
        <v>459237</v>
      </c>
      <c r="C101" s="2165">
        <f t="shared" si="9"/>
        <v>112931</v>
      </c>
      <c r="D101" s="481">
        <v>754289</v>
      </c>
      <c r="E101" s="3210"/>
      <c r="F101" s="180">
        <v>667072</v>
      </c>
      <c r="G101" s="2166"/>
      <c r="H101" s="877">
        <v>218406</v>
      </c>
      <c r="I101" s="3162">
        <v>240831</v>
      </c>
      <c r="J101" s="882"/>
      <c r="K101" s="922"/>
      <c r="L101" s="2167">
        <f t="shared" si="6"/>
        <v>459237</v>
      </c>
      <c r="M101" s="877">
        <v>61400</v>
      </c>
      <c r="N101" s="180">
        <v>51531</v>
      </c>
      <c r="O101" s="3210"/>
      <c r="P101" s="922"/>
      <c r="Q101" s="3211">
        <f t="shared" si="7"/>
        <v>112931</v>
      </c>
    </row>
    <row r="102" spans="1:17">
      <c r="A102" s="63">
        <f t="shared" si="10"/>
        <v>2000.09</v>
      </c>
      <c r="B102" s="866">
        <f t="shared" si="8"/>
        <v>358505</v>
      </c>
      <c r="C102" s="2165">
        <f t="shared" si="9"/>
        <v>108956</v>
      </c>
      <c r="D102" s="481">
        <v>631260</v>
      </c>
      <c r="E102" s="3210"/>
      <c r="F102" s="180">
        <v>635547</v>
      </c>
      <c r="G102" s="2166"/>
      <c r="H102" s="877">
        <v>156981</v>
      </c>
      <c r="I102" s="3162">
        <v>201524</v>
      </c>
      <c r="J102" s="882"/>
      <c r="K102" s="922"/>
      <c r="L102" s="2167">
        <f t="shared" si="6"/>
        <v>358505</v>
      </c>
      <c r="M102" s="877">
        <v>46534</v>
      </c>
      <c r="N102" s="180">
        <v>62422</v>
      </c>
      <c r="O102" s="3210"/>
      <c r="P102" s="922"/>
      <c r="Q102" s="3211">
        <f t="shared" si="7"/>
        <v>108956</v>
      </c>
    </row>
    <row r="103" spans="1:17">
      <c r="A103" s="63">
        <f t="shared" si="10"/>
        <v>2000.1</v>
      </c>
      <c r="B103" s="866">
        <f t="shared" si="8"/>
        <v>669982</v>
      </c>
      <c r="C103" s="2165">
        <f t="shared" si="9"/>
        <v>202404</v>
      </c>
      <c r="D103" s="481">
        <v>812812</v>
      </c>
      <c r="E103" s="3210"/>
      <c r="F103" s="180">
        <v>525737</v>
      </c>
      <c r="G103" s="2166"/>
      <c r="H103" s="877">
        <v>232951</v>
      </c>
      <c r="I103" s="3162">
        <v>437031</v>
      </c>
      <c r="J103" s="882"/>
      <c r="K103" s="922"/>
      <c r="L103" s="2167">
        <f t="shared" si="6"/>
        <v>669982</v>
      </c>
      <c r="M103" s="877">
        <v>102756</v>
      </c>
      <c r="N103" s="180">
        <v>99648</v>
      </c>
      <c r="O103" s="3210"/>
      <c r="P103" s="922"/>
      <c r="Q103" s="3211">
        <f t="shared" si="7"/>
        <v>202404</v>
      </c>
    </row>
    <row r="104" spans="1:17">
      <c r="A104" s="63">
        <f t="shared" si="10"/>
        <v>2000.11</v>
      </c>
      <c r="B104" s="866">
        <f t="shared" si="8"/>
        <v>793646</v>
      </c>
      <c r="C104" s="2165">
        <f t="shared" si="9"/>
        <v>734464</v>
      </c>
      <c r="D104" s="481">
        <v>1311471</v>
      </c>
      <c r="E104" s="3210"/>
      <c r="F104" s="180">
        <v>446693</v>
      </c>
      <c r="G104" s="2166"/>
      <c r="H104" s="877">
        <v>266052</v>
      </c>
      <c r="I104" s="3162">
        <v>527594</v>
      </c>
      <c r="J104" s="882"/>
      <c r="K104" s="922"/>
      <c r="L104" s="2167">
        <f t="shared" si="6"/>
        <v>793646</v>
      </c>
      <c r="M104" s="877">
        <v>545928</v>
      </c>
      <c r="N104" s="180">
        <v>188536</v>
      </c>
      <c r="O104" s="3210"/>
      <c r="P104" s="922"/>
      <c r="Q104" s="3211">
        <f t="shared" si="7"/>
        <v>734464</v>
      </c>
    </row>
    <row r="105" spans="1:17">
      <c r="A105" s="63">
        <f t="shared" si="10"/>
        <v>2000.12</v>
      </c>
      <c r="B105" s="866">
        <f t="shared" si="8"/>
        <v>439871</v>
      </c>
      <c r="C105" s="2165">
        <f t="shared" si="9"/>
        <v>723257</v>
      </c>
      <c r="D105" s="481">
        <v>683119</v>
      </c>
      <c r="E105" s="3210"/>
      <c r="F105" s="180">
        <v>1343916</v>
      </c>
      <c r="G105" s="2166"/>
      <c r="H105" s="877">
        <v>156591</v>
      </c>
      <c r="I105" s="3162">
        <v>283280</v>
      </c>
      <c r="J105" s="882"/>
      <c r="K105" s="922"/>
      <c r="L105" s="2167">
        <f t="shared" si="6"/>
        <v>439871</v>
      </c>
      <c r="M105" s="877">
        <v>235980</v>
      </c>
      <c r="N105" s="180">
        <v>487277</v>
      </c>
      <c r="O105" s="3210"/>
      <c r="P105" s="922"/>
      <c r="Q105" s="3211">
        <f t="shared" si="7"/>
        <v>723257</v>
      </c>
    </row>
    <row r="106" spans="1:17">
      <c r="A106" s="63">
        <f t="shared" si="10"/>
        <v>2001.01</v>
      </c>
      <c r="B106" s="866">
        <f t="shared" si="8"/>
        <v>770693</v>
      </c>
      <c r="C106" s="2165">
        <f t="shared" si="9"/>
        <v>957631</v>
      </c>
      <c r="D106" s="481">
        <v>1018300</v>
      </c>
      <c r="E106" s="3210"/>
      <c r="F106" s="180">
        <v>2179017</v>
      </c>
      <c r="G106" s="2166"/>
      <c r="H106" s="877">
        <v>172808</v>
      </c>
      <c r="I106" s="3162">
        <v>597885</v>
      </c>
      <c r="J106" s="882"/>
      <c r="K106" s="922"/>
      <c r="L106" s="2167">
        <f t="shared" si="6"/>
        <v>770693</v>
      </c>
      <c r="M106" s="877">
        <v>342802</v>
      </c>
      <c r="N106" s="180">
        <v>614829</v>
      </c>
      <c r="O106" s="3210"/>
      <c r="P106" s="922"/>
      <c r="Q106" s="3211">
        <f t="shared" si="7"/>
        <v>957631</v>
      </c>
    </row>
    <row r="107" spans="1:17">
      <c r="A107" s="63">
        <f t="shared" si="10"/>
        <v>2001.02</v>
      </c>
      <c r="B107" s="866">
        <f t="shared" si="8"/>
        <v>463679</v>
      </c>
      <c r="C107" s="2165">
        <f t="shared" si="9"/>
        <v>578547</v>
      </c>
      <c r="D107" s="481">
        <v>579888</v>
      </c>
      <c r="E107" s="3210"/>
      <c r="F107" s="180">
        <v>1356172</v>
      </c>
      <c r="G107" s="2166"/>
      <c r="H107" s="877">
        <v>138867</v>
      </c>
      <c r="I107" s="3162">
        <v>324812</v>
      </c>
      <c r="J107" s="882"/>
      <c r="K107" s="922"/>
      <c r="L107" s="2167">
        <f t="shared" si="6"/>
        <v>463679</v>
      </c>
      <c r="M107" s="877">
        <v>129760</v>
      </c>
      <c r="N107" s="180">
        <v>448787</v>
      </c>
      <c r="O107" s="3210"/>
      <c r="P107" s="922"/>
      <c r="Q107" s="3211">
        <f t="shared" si="7"/>
        <v>578547</v>
      </c>
    </row>
    <row r="108" spans="1:17">
      <c r="A108" s="63">
        <f t="shared" si="10"/>
        <v>2001.03</v>
      </c>
      <c r="B108" s="866">
        <f t="shared" si="8"/>
        <v>1033958</v>
      </c>
      <c r="C108" s="2165">
        <f t="shared" si="9"/>
        <v>252367</v>
      </c>
      <c r="D108" s="481">
        <v>1245249</v>
      </c>
      <c r="E108" s="3210"/>
      <c r="F108" s="180">
        <v>750976</v>
      </c>
      <c r="G108" s="2166"/>
      <c r="H108" s="877">
        <v>453925</v>
      </c>
      <c r="I108" s="3162">
        <v>580033</v>
      </c>
      <c r="J108" s="882"/>
      <c r="K108" s="922"/>
      <c r="L108" s="2167">
        <f t="shared" si="6"/>
        <v>1033958</v>
      </c>
      <c r="M108" s="877">
        <v>104494</v>
      </c>
      <c r="N108" s="180">
        <v>147873</v>
      </c>
      <c r="O108" s="3210"/>
      <c r="P108" s="922"/>
      <c r="Q108" s="3211">
        <f t="shared" si="7"/>
        <v>252367</v>
      </c>
    </row>
    <row r="109" spans="1:17">
      <c r="A109" s="63">
        <f t="shared" si="10"/>
        <v>2001.04</v>
      </c>
      <c r="B109" s="866">
        <f t="shared" si="8"/>
        <v>1205319</v>
      </c>
      <c r="C109" s="2165">
        <f t="shared" si="9"/>
        <v>265497</v>
      </c>
      <c r="D109" s="481">
        <v>1686946</v>
      </c>
      <c r="E109" s="3210"/>
      <c r="F109" s="180">
        <v>633974</v>
      </c>
      <c r="G109" s="2166"/>
      <c r="H109" s="877">
        <v>546758</v>
      </c>
      <c r="I109" s="3162">
        <v>658561</v>
      </c>
      <c r="J109" s="882"/>
      <c r="K109" s="922"/>
      <c r="L109" s="2167">
        <f t="shared" si="6"/>
        <v>1205319</v>
      </c>
      <c r="M109" s="877">
        <v>24250</v>
      </c>
      <c r="N109" s="180">
        <v>241247</v>
      </c>
      <c r="O109" s="3210"/>
      <c r="P109" s="922"/>
      <c r="Q109" s="3211">
        <f t="shared" si="7"/>
        <v>265497</v>
      </c>
    </row>
    <row r="110" spans="1:17">
      <c r="A110" s="63">
        <f t="shared" si="10"/>
        <v>2001.05</v>
      </c>
      <c r="B110" s="866">
        <f t="shared" si="8"/>
        <v>1164501</v>
      </c>
      <c r="C110" s="2165">
        <f t="shared" si="9"/>
        <v>332815</v>
      </c>
      <c r="D110" s="481">
        <v>1712699</v>
      </c>
      <c r="E110" s="3210"/>
      <c r="F110" s="180">
        <v>916692</v>
      </c>
      <c r="G110" s="2166"/>
      <c r="H110" s="877">
        <v>362844</v>
      </c>
      <c r="I110" s="3162">
        <v>801657</v>
      </c>
      <c r="J110" s="882"/>
      <c r="K110" s="922"/>
      <c r="L110" s="2167">
        <f t="shared" si="6"/>
        <v>1164501</v>
      </c>
      <c r="M110" s="877">
        <v>182150</v>
      </c>
      <c r="N110" s="180">
        <v>150665</v>
      </c>
      <c r="O110" s="3210"/>
      <c r="P110" s="922"/>
      <c r="Q110" s="3211">
        <f t="shared" si="7"/>
        <v>332815</v>
      </c>
    </row>
    <row r="111" spans="1:17">
      <c r="A111" s="63">
        <f t="shared" si="10"/>
        <v>2001.06</v>
      </c>
      <c r="B111" s="866">
        <f t="shared" si="8"/>
        <v>587297</v>
      </c>
      <c r="C111" s="2165">
        <f t="shared" si="9"/>
        <v>170186</v>
      </c>
      <c r="D111" s="481">
        <v>897904</v>
      </c>
      <c r="E111" s="3210"/>
      <c r="F111" s="180">
        <v>617010</v>
      </c>
      <c r="G111" s="2166"/>
      <c r="H111" s="877">
        <v>146152</v>
      </c>
      <c r="I111" s="3162">
        <v>441145</v>
      </c>
      <c r="J111" s="882"/>
      <c r="K111" s="922"/>
      <c r="L111" s="2167">
        <f t="shared" si="6"/>
        <v>587297</v>
      </c>
      <c r="M111" s="877">
        <v>93590</v>
      </c>
      <c r="N111" s="180">
        <v>76596</v>
      </c>
      <c r="O111" s="3210"/>
      <c r="P111" s="922"/>
      <c r="Q111" s="3211">
        <f t="shared" si="7"/>
        <v>170186</v>
      </c>
    </row>
    <row r="112" spans="1:17">
      <c r="A112" s="63">
        <f t="shared" si="10"/>
        <v>2001.07</v>
      </c>
      <c r="B112" s="866">
        <f t="shared" si="8"/>
        <v>290013</v>
      </c>
      <c r="C112" s="2165">
        <f t="shared" si="9"/>
        <v>99666</v>
      </c>
      <c r="D112" s="481">
        <v>503277</v>
      </c>
      <c r="E112" s="3210"/>
      <c r="F112" s="180">
        <v>680228</v>
      </c>
      <c r="G112" s="2166"/>
      <c r="H112" s="877">
        <v>67459</v>
      </c>
      <c r="I112" s="3162">
        <v>222554</v>
      </c>
      <c r="J112" s="882"/>
      <c r="K112" s="922"/>
      <c r="L112" s="2167">
        <f t="shared" si="6"/>
        <v>290013</v>
      </c>
      <c r="M112" s="877">
        <v>7400</v>
      </c>
      <c r="N112" s="180">
        <v>92266</v>
      </c>
      <c r="O112" s="3210"/>
      <c r="P112" s="922"/>
      <c r="Q112" s="3211">
        <f t="shared" si="7"/>
        <v>99666</v>
      </c>
    </row>
    <row r="113" spans="1:17">
      <c r="A113" s="63">
        <f t="shared" si="10"/>
        <v>2001.08</v>
      </c>
      <c r="B113" s="866">
        <f t="shared" si="8"/>
        <v>410235</v>
      </c>
      <c r="C113" s="2165">
        <f t="shared" si="9"/>
        <v>181673</v>
      </c>
      <c r="D113" s="481">
        <v>842437</v>
      </c>
      <c r="E113" s="3210"/>
      <c r="F113" s="180">
        <v>697250</v>
      </c>
      <c r="G113" s="2166"/>
      <c r="H113" s="877">
        <v>148697</v>
      </c>
      <c r="I113" s="3162">
        <v>261538</v>
      </c>
      <c r="J113" s="882"/>
      <c r="K113" s="922"/>
      <c r="L113" s="2167">
        <f t="shared" si="6"/>
        <v>410235</v>
      </c>
      <c r="M113" s="877">
        <v>109650</v>
      </c>
      <c r="N113" s="180">
        <v>72023</v>
      </c>
      <c r="O113" s="3210"/>
      <c r="P113" s="922"/>
      <c r="Q113" s="3211">
        <f t="shared" si="7"/>
        <v>181673</v>
      </c>
    </row>
    <row r="114" spans="1:17">
      <c r="A114" s="63">
        <f t="shared" si="10"/>
        <v>2001.09</v>
      </c>
      <c r="B114" s="866">
        <f t="shared" si="8"/>
        <v>584267</v>
      </c>
      <c r="C114" s="2165">
        <f t="shared" si="9"/>
        <v>37487</v>
      </c>
      <c r="D114" s="481">
        <v>851628</v>
      </c>
      <c r="E114" s="3210"/>
      <c r="F114" s="180">
        <v>483840</v>
      </c>
      <c r="G114" s="2166"/>
      <c r="H114" s="877">
        <v>184417</v>
      </c>
      <c r="I114" s="3162">
        <v>399850</v>
      </c>
      <c r="J114" s="882"/>
      <c r="K114" s="922"/>
      <c r="L114" s="2167">
        <f t="shared" si="6"/>
        <v>584267</v>
      </c>
      <c r="M114" s="877">
        <v>5270</v>
      </c>
      <c r="N114" s="180">
        <v>32217</v>
      </c>
      <c r="O114" s="3210"/>
      <c r="P114" s="922"/>
      <c r="Q114" s="3211">
        <f t="shared" si="7"/>
        <v>37487</v>
      </c>
    </row>
    <row r="115" spans="1:17">
      <c r="A115" s="63">
        <f t="shared" si="10"/>
        <v>2001.1</v>
      </c>
      <c r="B115" s="866">
        <f t="shared" si="8"/>
        <v>265601</v>
      </c>
      <c r="C115" s="2165">
        <f t="shared" si="9"/>
        <v>50499</v>
      </c>
      <c r="D115" s="481">
        <v>436919</v>
      </c>
      <c r="E115" s="3210"/>
      <c r="F115" s="180">
        <v>450632</v>
      </c>
      <c r="G115" s="2166"/>
      <c r="H115" s="877">
        <v>16190</v>
      </c>
      <c r="I115" s="3162">
        <v>249411</v>
      </c>
      <c r="J115" s="882"/>
      <c r="K115" s="922"/>
      <c r="L115" s="2167">
        <f t="shared" si="6"/>
        <v>265601</v>
      </c>
      <c r="M115" s="877">
        <v>0</v>
      </c>
      <c r="N115" s="180">
        <v>50499</v>
      </c>
      <c r="O115" s="3210"/>
      <c r="P115" s="922"/>
      <c r="Q115" s="3211">
        <f t="shared" si="7"/>
        <v>50499</v>
      </c>
    </row>
    <row r="116" spans="1:17">
      <c r="A116" s="63">
        <f t="shared" si="10"/>
        <v>2001.11</v>
      </c>
      <c r="B116" s="866">
        <f t="shared" si="8"/>
        <v>387157</v>
      </c>
      <c r="C116" s="2165">
        <f t="shared" si="9"/>
        <v>394014</v>
      </c>
      <c r="D116" s="481">
        <v>501193</v>
      </c>
      <c r="E116" s="3210"/>
      <c r="F116" s="180">
        <v>579227</v>
      </c>
      <c r="G116" s="2166"/>
      <c r="H116" s="877">
        <v>130084</v>
      </c>
      <c r="I116" s="3162">
        <v>257073</v>
      </c>
      <c r="J116" s="882"/>
      <c r="K116" s="922"/>
      <c r="L116" s="2167">
        <f t="shared" si="6"/>
        <v>387157</v>
      </c>
      <c r="M116" s="877">
        <v>40660</v>
      </c>
      <c r="N116" s="180">
        <v>353354</v>
      </c>
      <c r="O116" s="3210"/>
      <c r="P116" s="922"/>
      <c r="Q116" s="3211">
        <f t="shared" si="7"/>
        <v>394014</v>
      </c>
    </row>
    <row r="117" spans="1:17">
      <c r="A117" s="63">
        <f t="shared" si="10"/>
        <v>2001.12</v>
      </c>
      <c r="B117" s="866">
        <f t="shared" si="8"/>
        <v>296255</v>
      </c>
      <c r="C117" s="2165">
        <f t="shared" si="9"/>
        <v>877241</v>
      </c>
      <c r="D117" s="481">
        <v>436303</v>
      </c>
      <c r="E117" s="3210"/>
      <c r="F117" s="180">
        <v>1238426</v>
      </c>
      <c r="G117" s="2166"/>
      <c r="H117" s="877">
        <v>110795</v>
      </c>
      <c r="I117" s="3162">
        <v>185460</v>
      </c>
      <c r="J117" s="882"/>
      <c r="K117" s="922"/>
      <c r="L117" s="2167">
        <f t="shared" si="6"/>
        <v>296255</v>
      </c>
      <c r="M117" s="877">
        <v>215175</v>
      </c>
      <c r="N117" s="180">
        <v>662066</v>
      </c>
      <c r="O117" s="3210"/>
      <c r="P117" s="922"/>
      <c r="Q117" s="3211">
        <f t="shared" si="7"/>
        <v>877241</v>
      </c>
    </row>
    <row r="118" spans="1:17">
      <c r="A118" s="63">
        <f t="shared" si="10"/>
        <v>2002.01</v>
      </c>
      <c r="B118" s="866">
        <f t="shared" si="8"/>
        <v>190427</v>
      </c>
      <c r="C118" s="2165">
        <f t="shared" si="9"/>
        <v>1013926</v>
      </c>
      <c r="D118" s="481">
        <v>217175</v>
      </c>
      <c r="E118" s="3210"/>
      <c r="F118" s="180">
        <v>2233787</v>
      </c>
      <c r="G118" s="2166"/>
      <c r="H118" s="877">
        <v>75845</v>
      </c>
      <c r="I118" s="3162">
        <v>114582</v>
      </c>
      <c r="J118" s="882"/>
      <c r="K118" s="922"/>
      <c r="L118" s="2167">
        <f t="shared" si="6"/>
        <v>190427</v>
      </c>
      <c r="M118" s="877">
        <v>276335</v>
      </c>
      <c r="N118" s="180">
        <v>737591</v>
      </c>
      <c r="O118" s="3210"/>
      <c r="P118" s="922"/>
      <c r="Q118" s="3211">
        <f t="shared" si="7"/>
        <v>1013926</v>
      </c>
    </row>
    <row r="119" spans="1:17">
      <c r="A119" s="63">
        <f t="shared" si="10"/>
        <v>2002.02</v>
      </c>
      <c r="B119" s="866">
        <f t="shared" si="8"/>
        <v>220929</v>
      </c>
      <c r="C119" s="2165">
        <f t="shared" si="9"/>
        <v>617284</v>
      </c>
      <c r="D119" s="481">
        <v>299313</v>
      </c>
      <c r="E119" s="3210"/>
      <c r="F119" s="180">
        <v>1257954</v>
      </c>
      <c r="G119" s="2166"/>
      <c r="H119" s="877">
        <v>106112</v>
      </c>
      <c r="I119" s="3162">
        <v>114817</v>
      </c>
      <c r="J119" s="882"/>
      <c r="K119" s="922"/>
      <c r="L119" s="2167">
        <f t="shared" si="6"/>
        <v>220929</v>
      </c>
      <c r="M119" s="877">
        <v>130060</v>
      </c>
      <c r="N119" s="180">
        <v>487224</v>
      </c>
      <c r="O119" s="3210"/>
      <c r="P119" s="922"/>
      <c r="Q119" s="3211">
        <f t="shared" si="7"/>
        <v>617284</v>
      </c>
    </row>
    <row r="120" spans="1:17">
      <c r="A120" s="63">
        <f t="shared" si="10"/>
        <v>2002.03</v>
      </c>
      <c r="B120" s="866">
        <f t="shared" si="8"/>
        <v>1583792</v>
      </c>
      <c r="C120" s="2165">
        <f t="shared" si="9"/>
        <v>719564</v>
      </c>
      <c r="D120" s="481">
        <v>1778147</v>
      </c>
      <c r="E120" s="3210"/>
      <c r="F120" s="180">
        <v>1297258</v>
      </c>
      <c r="G120" s="2166"/>
      <c r="H120" s="877">
        <v>664185</v>
      </c>
      <c r="I120" s="3162">
        <v>919607</v>
      </c>
      <c r="J120" s="882"/>
      <c r="K120" s="922"/>
      <c r="L120" s="2167">
        <f t="shared" si="6"/>
        <v>1583792</v>
      </c>
      <c r="M120" s="877">
        <v>168174</v>
      </c>
      <c r="N120" s="180">
        <v>551390</v>
      </c>
      <c r="O120" s="3210"/>
      <c r="P120" s="922"/>
      <c r="Q120" s="3211">
        <f t="shared" si="7"/>
        <v>719564</v>
      </c>
    </row>
    <row r="121" spans="1:17">
      <c r="A121" s="63">
        <f t="shared" si="10"/>
        <v>2002.04</v>
      </c>
      <c r="B121" s="866">
        <f t="shared" si="8"/>
        <v>1145269</v>
      </c>
      <c r="C121" s="2165">
        <f t="shared" si="9"/>
        <v>225068</v>
      </c>
      <c r="D121" s="481">
        <v>1408306</v>
      </c>
      <c r="E121" s="3210"/>
      <c r="F121" s="180">
        <v>702738</v>
      </c>
      <c r="G121" s="2166"/>
      <c r="H121" s="877">
        <v>474488</v>
      </c>
      <c r="I121" s="3162">
        <v>670781</v>
      </c>
      <c r="J121" s="882"/>
      <c r="K121" s="922"/>
      <c r="L121" s="2167">
        <f t="shared" si="6"/>
        <v>1145269</v>
      </c>
      <c r="M121" s="877">
        <v>135968</v>
      </c>
      <c r="N121" s="180">
        <v>89100</v>
      </c>
      <c r="O121" s="3210"/>
      <c r="P121" s="922"/>
      <c r="Q121" s="3211">
        <f t="shared" si="7"/>
        <v>225068</v>
      </c>
    </row>
    <row r="122" spans="1:17">
      <c r="A122" s="63">
        <f t="shared" si="10"/>
        <v>2002.05</v>
      </c>
      <c r="B122" s="866">
        <f t="shared" si="8"/>
        <v>892640</v>
      </c>
      <c r="C122" s="2165">
        <f t="shared" si="9"/>
        <v>206579</v>
      </c>
      <c r="D122" s="481">
        <v>1202119</v>
      </c>
      <c r="E122" s="3210"/>
      <c r="F122" s="180">
        <v>724971</v>
      </c>
      <c r="G122" s="2166"/>
      <c r="H122" s="877">
        <v>322225</v>
      </c>
      <c r="I122" s="3162">
        <v>570415</v>
      </c>
      <c r="J122" s="882"/>
      <c r="K122" s="922"/>
      <c r="L122" s="2167">
        <f t="shared" si="6"/>
        <v>892640</v>
      </c>
      <c r="M122" s="877">
        <v>124300</v>
      </c>
      <c r="N122" s="180">
        <v>82279</v>
      </c>
      <c r="O122" s="3210"/>
      <c r="P122" s="922"/>
      <c r="Q122" s="3211">
        <f t="shared" si="7"/>
        <v>206579</v>
      </c>
    </row>
    <row r="123" spans="1:17">
      <c r="A123" s="63">
        <f t="shared" si="10"/>
        <v>2002.06</v>
      </c>
      <c r="B123" s="866">
        <f t="shared" si="8"/>
        <v>548001</v>
      </c>
      <c r="C123" s="2165">
        <f t="shared" si="9"/>
        <v>139708</v>
      </c>
      <c r="D123" s="481">
        <v>724986</v>
      </c>
      <c r="E123" s="3210"/>
      <c r="F123" s="180">
        <v>593015</v>
      </c>
      <c r="G123" s="2166"/>
      <c r="H123" s="877">
        <v>237419</v>
      </c>
      <c r="I123" s="3162">
        <v>310582</v>
      </c>
      <c r="J123" s="882"/>
      <c r="K123" s="922"/>
      <c r="L123" s="2167">
        <f t="shared" si="6"/>
        <v>548001</v>
      </c>
      <c r="M123" s="877">
        <v>92886</v>
      </c>
      <c r="N123" s="180">
        <v>46822</v>
      </c>
      <c r="O123" s="3210"/>
      <c r="P123" s="922"/>
      <c r="Q123" s="3211">
        <f t="shared" si="7"/>
        <v>139708</v>
      </c>
    </row>
    <row r="124" spans="1:17">
      <c r="A124" s="63">
        <f t="shared" si="10"/>
        <v>2002.07</v>
      </c>
      <c r="B124" s="866">
        <f t="shared" si="8"/>
        <v>255572</v>
      </c>
      <c r="C124" s="2165">
        <f t="shared" si="9"/>
        <v>75295</v>
      </c>
      <c r="D124" s="481">
        <v>410997</v>
      </c>
      <c r="E124" s="3210"/>
      <c r="F124" s="180">
        <v>354907</v>
      </c>
      <c r="G124" s="2166"/>
      <c r="H124" s="877">
        <v>115045</v>
      </c>
      <c r="I124" s="3162">
        <v>140527</v>
      </c>
      <c r="J124" s="882"/>
      <c r="K124" s="922"/>
      <c r="L124" s="2167">
        <f t="shared" si="6"/>
        <v>255572</v>
      </c>
      <c r="M124" s="877">
        <v>43380</v>
      </c>
      <c r="N124" s="180">
        <v>31915</v>
      </c>
      <c r="O124" s="3210"/>
      <c r="P124" s="922"/>
      <c r="Q124" s="3211">
        <f t="shared" si="7"/>
        <v>75295</v>
      </c>
    </row>
    <row r="125" spans="1:17">
      <c r="A125" s="63">
        <f t="shared" si="10"/>
        <v>2002.08</v>
      </c>
      <c r="B125" s="866">
        <f t="shared" si="8"/>
        <v>345961</v>
      </c>
      <c r="C125" s="2165">
        <f t="shared" si="9"/>
        <v>4100</v>
      </c>
      <c r="D125" s="481">
        <v>465770</v>
      </c>
      <c r="E125" s="3210"/>
      <c r="F125" s="180">
        <v>334518</v>
      </c>
      <c r="G125" s="2166"/>
      <c r="H125" s="877">
        <v>135205</v>
      </c>
      <c r="I125" s="3162">
        <v>210756</v>
      </c>
      <c r="J125" s="882"/>
      <c r="K125" s="922"/>
      <c r="L125" s="2167">
        <f t="shared" si="6"/>
        <v>345961</v>
      </c>
      <c r="M125" s="877">
        <v>4100</v>
      </c>
      <c r="N125" s="180">
        <v>0</v>
      </c>
      <c r="O125" s="3210"/>
      <c r="P125" s="922"/>
      <c r="Q125" s="3211">
        <f t="shared" si="7"/>
        <v>4100</v>
      </c>
    </row>
    <row r="126" spans="1:17">
      <c r="A126" s="63">
        <f t="shared" si="10"/>
        <v>2002.09</v>
      </c>
      <c r="B126" s="866">
        <f t="shared" si="8"/>
        <v>392823</v>
      </c>
      <c r="C126" s="2165">
        <f t="shared" si="9"/>
        <v>3150</v>
      </c>
      <c r="D126" s="481">
        <v>579943</v>
      </c>
      <c r="E126" s="3210"/>
      <c r="F126" s="180">
        <v>161788</v>
      </c>
      <c r="G126" s="2166"/>
      <c r="H126" s="877">
        <v>179804</v>
      </c>
      <c r="I126" s="3162">
        <v>213019</v>
      </c>
      <c r="J126" s="882"/>
      <c r="K126" s="922"/>
      <c r="L126" s="2167">
        <f t="shared" si="6"/>
        <v>392823</v>
      </c>
      <c r="M126" s="877">
        <v>3150</v>
      </c>
      <c r="N126" s="180">
        <v>0</v>
      </c>
      <c r="O126" s="3210"/>
      <c r="P126" s="922"/>
      <c r="Q126" s="3211">
        <f t="shared" si="7"/>
        <v>3150</v>
      </c>
    </row>
    <row r="127" spans="1:17">
      <c r="A127" s="63">
        <f t="shared" si="10"/>
        <v>2002.1</v>
      </c>
      <c r="B127" s="866">
        <f t="shared" si="8"/>
        <v>553735</v>
      </c>
      <c r="C127" s="2165">
        <f t="shared" si="9"/>
        <v>15500</v>
      </c>
      <c r="D127" s="481">
        <v>713237</v>
      </c>
      <c r="E127" s="3210"/>
      <c r="F127" s="180">
        <v>191197</v>
      </c>
      <c r="G127" s="2166"/>
      <c r="H127" s="877">
        <v>187936</v>
      </c>
      <c r="I127" s="3162">
        <v>365799</v>
      </c>
      <c r="J127" s="882"/>
      <c r="K127" s="922"/>
      <c r="L127" s="2167">
        <f t="shared" si="6"/>
        <v>553735</v>
      </c>
      <c r="M127" s="877">
        <v>15500</v>
      </c>
      <c r="N127" s="180">
        <v>0</v>
      </c>
      <c r="O127" s="3210"/>
      <c r="P127" s="922"/>
      <c r="Q127" s="3211">
        <f t="shared" si="7"/>
        <v>15500</v>
      </c>
    </row>
    <row r="128" spans="1:17">
      <c r="A128" s="63">
        <f t="shared" si="10"/>
        <v>2002.11</v>
      </c>
      <c r="B128" s="866">
        <f t="shared" si="8"/>
        <v>654080</v>
      </c>
      <c r="C128" s="2165">
        <f t="shared" si="9"/>
        <v>189250</v>
      </c>
      <c r="D128" s="481">
        <v>880920</v>
      </c>
      <c r="E128" s="3210"/>
      <c r="F128" s="180">
        <v>414593</v>
      </c>
      <c r="G128" s="2166"/>
      <c r="H128" s="877">
        <v>267872</v>
      </c>
      <c r="I128" s="3162">
        <v>386208</v>
      </c>
      <c r="J128" s="882"/>
      <c r="K128" s="922"/>
      <c r="L128" s="2167">
        <f t="shared" si="6"/>
        <v>654080</v>
      </c>
      <c r="M128" s="880">
        <v>0</v>
      </c>
      <c r="N128" s="180">
        <v>189250</v>
      </c>
      <c r="O128" s="3210"/>
      <c r="P128" s="922"/>
      <c r="Q128" s="3211">
        <f t="shared" si="7"/>
        <v>189250</v>
      </c>
    </row>
    <row r="129" spans="1:17">
      <c r="A129" s="63">
        <f t="shared" si="10"/>
        <v>2002.12</v>
      </c>
      <c r="B129" s="866">
        <f t="shared" si="8"/>
        <v>508174</v>
      </c>
      <c r="C129" s="2165">
        <f t="shared" si="9"/>
        <v>440897</v>
      </c>
      <c r="D129" s="481">
        <v>619626</v>
      </c>
      <c r="E129" s="3210"/>
      <c r="F129" s="180">
        <v>605895</v>
      </c>
      <c r="G129" s="2166"/>
      <c r="H129" s="877">
        <v>165208</v>
      </c>
      <c r="I129" s="3162">
        <v>342966</v>
      </c>
      <c r="J129" s="882"/>
      <c r="K129" s="922"/>
      <c r="L129" s="2167">
        <f t="shared" si="6"/>
        <v>508174</v>
      </c>
      <c r="M129" s="877">
        <v>134760</v>
      </c>
      <c r="N129" s="180">
        <v>306137</v>
      </c>
      <c r="O129" s="3210"/>
      <c r="P129" s="922"/>
      <c r="Q129" s="3211">
        <f t="shared" si="7"/>
        <v>440897</v>
      </c>
    </row>
    <row r="130" spans="1:17">
      <c r="A130" s="63">
        <f t="shared" si="10"/>
        <v>2003.01</v>
      </c>
      <c r="B130" s="866">
        <f t="shared" si="8"/>
        <v>499624</v>
      </c>
      <c r="C130" s="2165">
        <f t="shared" si="9"/>
        <v>348211</v>
      </c>
      <c r="D130" s="481">
        <v>762298</v>
      </c>
      <c r="E130" s="3210"/>
      <c r="F130" s="180">
        <v>929398</v>
      </c>
      <c r="G130" s="2166"/>
      <c r="H130" s="877">
        <v>266830</v>
      </c>
      <c r="I130" s="3162">
        <v>232794</v>
      </c>
      <c r="J130" s="882"/>
      <c r="K130" s="922"/>
      <c r="L130" s="2167">
        <f t="shared" si="6"/>
        <v>499624</v>
      </c>
      <c r="M130" s="877">
        <v>60837</v>
      </c>
      <c r="N130" s="180">
        <v>287374</v>
      </c>
      <c r="O130" s="3210"/>
      <c r="P130" s="922"/>
      <c r="Q130" s="3211">
        <f t="shared" si="7"/>
        <v>348211</v>
      </c>
    </row>
    <row r="131" spans="1:17">
      <c r="A131" s="63">
        <f t="shared" si="10"/>
        <v>2003.02</v>
      </c>
      <c r="B131" s="866">
        <f t="shared" si="8"/>
        <v>885026</v>
      </c>
      <c r="C131" s="2165">
        <f t="shared" si="9"/>
        <v>176076</v>
      </c>
      <c r="D131" s="481">
        <v>1104263</v>
      </c>
      <c r="E131" s="3210"/>
      <c r="F131" s="180">
        <v>787742</v>
      </c>
      <c r="G131" s="2166"/>
      <c r="H131" s="877">
        <v>355529</v>
      </c>
      <c r="I131" s="3162">
        <v>529497</v>
      </c>
      <c r="J131" s="882"/>
      <c r="K131" s="922"/>
      <c r="L131" s="2167">
        <f t="shared" si="6"/>
        <v>885026</v>
      </c>
      <c r="M131" s="877">
        <v>54080</v>
      </c>
      <c r="N131" s="180">
        <v>121996</v>
      </c>
      <c r="O131" s="3210"/>
      <c r="P131" s="922"/>
      <c r="Q131" s="3211">
        <f t="shared" si="7"/>
        <v>176076</v>
      </c>
    </row>
    <row r="132" spans="1:17">
      <c r="A132" s="63">
        <f t="shared" si="10"/>
        <v>2003.03</v>
      </c>
      <c r="B132" s="866">
        <f t="shared" si="8"/>
        <v>1232586</v>
      </c>
      <c r="C132" s="2165">
        <f t="shared" si="9"/>
        <v>135863</v>
      </c>
      <c r="D132" s="481">
        <v>1595943</v>
      </c>
      <c r="E132" s="3210"/>
      <c r="F132" s="180">
        <v>484346</v>
      </c>
      <c r="G132" s="2166"/>
      <c r="H132" s="877">
        <v>507165</v>
      </c>
      <c r="I132" s="3162">
        <v>725421</v>
      </c>
      <c r="J132" s="882"/>
      <c r="K132" s="922"/>
      <c r="L132" s="2167">
        <f t="shared" si="6"/>
        <v>1232586</v>
      </c>
      <c r="M132" s="877">
        <v>72080</v>
      </c>
      <c r="N132" s="180">
        <v>63783</v>
      </c>
      <c r="O132" s="3210"/>
      <c r="P132" s="922"/>
      <c r="Q132" s="3211">
        <f t="shared" si="7"/>
        <v>135863</v>
      </c>
    </row>
    <row r="133" spans="1:17">
      <c r="A133" s="63">
        <f t="shared" si="10"/>
        <v>2003.04</v>
      </c>
      <c r="B133" s="866">
        <f t="shared" si="8"/>
        <v>1254626</v>
      </c>
      <c r="C133" s="2165">
        <f t="shared" si="9"/>
        <v>130891</v>
      </c>
      <c r="D133" s="481">
        <v>1736573</v>
      </c>
      <c r="E133" s="3210"/>
      <c r="F133" s="180">
        <v>431078</v>
      </c>
      <c r="G133" s="2166"/>
      <c r="H133" s="877">
        <v>453872</v>
      </c>
      <c r="I133" s="3162">
        <v>800754</v>
      </c>
      <c r="J133" s="882"/>
      <c r="K133" s="922"/>
      <c r="L133" s="2167">
        <f t="shared" si="6"/>
        <v>1254626</v>
      </c>
      <c r="M133" s="877">
        <v>68245</v>
      </c>
      <c r="N133" s="180">
        <v>62646</v>
      </c>
      <c r="O133" s="3210"/>
      <c r="P133" s="922"/>
      <c r="Q133" s="3211">
        <f t="shared" si="7"/>
        <v>130891</v>
      </c>
    </row>
    <row r="134" spans="1:17">
      <c r="A134" s="63">
        <f t="shared" si="10"/>
        <v>2003.05</v>
      </c>
      <c r="B134" s="866">
        <f t="shared" si="8"/>
        <v>1066035</v>
      </c>
      <c r="C134" s="2165">
        <f t="shared" si="9"/>
        <v>92301</v>
      </c>
      <c r="D134" s="481">
        <v>1426263</v>
      </c>
      <c r="E134" s="3210"/>
      <c r="F134" s="180">
        <v>525031</v>
      </c>
      <c r="G134" s="2166"/>
      <c r="H134" s="877">
        <v>501406</v>
      </c>
      <c r="I134" s="3162">
        <v>564629</v>
      </c>
      <c r="J134" s="882"/>
      <c r="K134" s="922"/>
      <c r="L134" s="2167">
        <f t="shared" si="6"/>
        <v>1066035</v>
      </c>
      <c r="M134" s="877">
        <v>37660</v>
      </c>
      <c r="N134" s="180">
        <v>54641</v>
      </c>
      <c r="O134" s="3210"/>
      <c r="P134" s="922"/>
      <c r="Q134" s="3211">
        <f t="shared" si="7"/>
        <v>92301</v>
      </c>
    </row>
    <row r="135" spans="1:17">
      <c r="A135" s="63">
        <f t="shared" si="10"/>
        <v>2003.06</v>
      </c>
      <c r="B135" s="866">
        <f t="shared" si="8"/>
        <v>1009143</v>
      </c>
      <c r="C135" s="2165">
        <f t="shared" si="9"/>
        <v>68921</v>
      </c>
      <c r="D135" s="481">
        <v>1254390</v>
      </c>
      <c r="E135" s="3210"/>
      <c r="F135" s="180">
        <v>405375</v>
      </c>
      <c r="G135" s="2166"/>
      <c r="H135" s="877">
        <v>444558</v>
      </c>
      <c r="I135" s="3162">
        <v>564585</v>
      </c>
      <c r="J135" s="882"/>
      <c r="K135" s="922"/>
      <c r="L135" s="2167">
        <f t="shared" si="6"/>
        <v>1009143</v>
      </c>
      <c r="M135" s="877">
        <v>63640</v>
      </c>
      <c r="N135" s="180">
        <v>5281</v>
      </c>
      <c r="O135" s="3210"/>
      <c r="P135" s="922"/>
      <c r="Q135" s="3211">
        <f t="shared" si="7"/>
        <v>68921</v>
      </c>
    </row>
    <row r="136" spans="1:17">
      <c r="A136" s="63">
        <f t="shared" si="10"/>
        <v>2003.07</v>
      </c>
      <c r="B136" s="866">
        <f t="shared" si="8"/>
        <v>732377</v>
      </c>
      <c r="C136" s="2165">
        <f t="shared" si="9"/>
        <v>5470</v>
      </c>
      <c r="D136" s="481">
        <v>979390</v>
      </c>
      <c r="E136" s="3210"/>
      <c r="F136" s="180">
        <v>434772</v>
      </c>
      <c r="G136" s="2166"/>
      <c r="H136" s="877">
        <v>342317</v>
      </c>
      <c r="I136" s="3162">
        <v>390060</v>
      </c>
      <c r="J136" s="882"/>
      <c r="K136" s="922"/>
      <c r="L136" s="2167">
        <f t="shared" si="6"/>
        <v>732377</v>
      </c>
      <c r="M136" s="877">
        <v>2500</v>
      </c>
      <c r="N136" s="180">
        <v>2970</v>
      </c>
      <c r="O136" s="3210"/>
      <c r="P136" s="922"/>
      <c r="Q136" s="3211">
        <f t="shared" si="7"/>
        <v>5470</v>
      </c>
    </row>
    <row r="137" spans="1:17">
      <c r="A137" s="63">
        <f t="shared" si="10"/>
        <v>2003.08</v>
      </c>
      <c r="B137" s="866">
        <f t="shared" si="8"/>
        <v>408704</v>
      </c>
      <c r="C137" s="2165">
        <f t="shared" si="9"/>
        <v>27895</v>
      </c>
      <c r="D137" s="481">
        <v>501579</v>
      </c>
      <c r="E137" s="3210"/>
      <c r="F137" s="180">
        <v>380410</v>
      </c>
      <c r="G137" s="2166"/>
      <c r="H137" s="877">
        <v>181807</v>
      </c>
      <c r="I137" s="3162">
        <v>226897</v>
      </c>
      <c r="J137" s="882"/>
      <c r="K137" s="922"/>
      <c r="L137" s="2167">
        <f t="shared" si="6"/>
        <v>408704</v>
      </c>
      <c r="M137" s="877">
        <v>27895</v>
      </c>
      <c r="N137" s="180">
        <v>0</v>
      </c>
      <c r="O137" s="3210"/>
      <c r="P137" s="922"/>
      <c r="Q137" s="3211">
        <f t="shared" si="7"/>
        <v>27895</v>
      </c>
    </row>
    <row r="138" spans="1:17">
      <c r="A138" s="63">
        <f t="shared" si="10"/>
        <v>2003.09</v>
      </c>
      <c r="B138" s="866">
        <f t="shared" si="8"/>
        <v>356625</v>
      </c>
      <c r="C138" s="2165">
        <f t="shared" si="9"/>
        <v>5048</v>
      </c>
      <c r="D138" s="481">
        <v>527402</v>
      </c>
      <c r="E138" s="3210"/>
      <c r="F138" s="180">
        <v>368102</v>
      </c>
      <c r="G138" s="2166"/>
      <c r="H138" s="877">
        <v>152544</v>
      </c>
      <c r="I138" s="3162">
        <v>204081</v>
      </c>
      <c r="J138" s="882"/>
      <c r="K138" s="922"/>
      <c r="L138" s="2167">
        <f t="shared" ref="L138:L201" si="11">SUM(H138:K138)</f>
        <v>356625</v>
      </c>
      <c r="M138" s="877">
        <v>0</v>
      </c>
      <c r="N138" s="180">
        <v>5048</v>
      </c>
      <c r="O138" s="3210"/>
      <c r="P138" s="922"/>
      <c r="Q138" s="3211">
        <f t="shared" ref="Q138:Q201" si="12">SUM(M138:P138)</f>
        <v>5048</v>
      </c>
    </row>
    <row r="139" spans="1:17">
      <c r="A139" s="63">
        <f t="shared" si="10"/>
        <v>2003.1</v>
      </c>
      <c r="B139" s="866">
        <f t="shared" si="8"/>
        <v>528777</v>
      </c>
      <c r="C139" s="2165">
        <f t="shared" si="9"/>
        <v>91036</v>
      </c>
      <c r="D139" s="481">
        <v>617601</v>
      </c>
      <c r="E139" s="3210"/>
      <c r="F139" s="180">
        <v>371097</v>
      </c>
      <c r="G139" s="2166"/>
      <c r="H139" s="877">
        <v>205311</v>
      </c>
      <c r="I139" s="3162">
        <v>323466</v>
      </c>
      <c r="J139" s="882"/>
      <c r="K139" s="922"/>
      <c r="L139" s="2167">
        <f t="shared" si="11"/>
        <v>528777</v>
      </c>
      <c r="M139" s="877">
        <v>91036</v>
      </c>
      <c r="N139" s="180">
        <v>0</v>
      </c>
      <c r="O139" s="3210"/>
      <c r="P139" s="922"/>
      <c r="Q139" s="3211">
        <f t="shared" si="12"/>
        <v>91036</v>
      </c>
    </row>
    <row r="140" spans="1:17">
      <c r="A140" s="63">
        <f t="shared" si="10"/>
        <v>2003.11</v>
      </c>
      <c r="B140" s="866">
        <f t="shared" ref="B140:B203" si="13">L140</f>
        <v>498945</v>
      </c>
      <c r="C140" s="2165">
        <f t="shared" ref="C140:C203" si="14">Q140</f>
        <v>113347</v>
      </c>
      <c r="D140" s="481">
        <v>587279</v>
      </c>
      <c r="E140" s="3210"/>
      <c r="F140" s="180">
        <v>330998</v>
      </c>
      <c r="G140" s="2166"/>
      <c r="H140" s="877">
        <v>206086</v>
      </c>
      <c r="I140" s="3162">
        <v>292859</v>
      </c>
      <c r="J140" s="882"/>
      <c r="K140" s="922"/>
      <c r="L140" s="2167">
        <f t="shared" si="11"/>
        <v>498945</v>
      </c>
      <c r="M140" s="877">
        <v>0</v>
      </c>
      <c r="N140" s="180">
        <v>113347</v>
      </c>
      <c r="O140" s="3210"/>
      <c r="P140" s="922"/>
      <c r="Q140" s="3211">
        <f t="shared" si="12"/>
        <v>113347</v>
      </c>
    </row>
    <row r="141" spans="1:17">
      <c r="A141" s="63">
        <f t="shared" si="10"/>
        <v>2003.12</v>
      </c>
      <c r="B141" s="866">
        <f t="shared" si="13"/>
        <v>451457</v>
      </c>
      <c r="C141" s="2165">
        <f t="shared" si="14"/>
        <v>332707</v>
      </c>
      <c r="D141" s="481">
        <v>555012</v>
      </c>
      <c r="E141" s="3210"/>
      <c r="F141" s="180">
        <v>588311</v>
      </c>
      <c r="G141" s="2166"/>
      <c r="H141" s="877">
        <v>191065</v>
      </c>
      <c r="I141" s="3162">
        <v>260392</v>
      </c>
      <c r="J141" s="882"/>
      <c r="K141" s="922"/>
      <c r="L141" s="2167">
        <f t="shared" si="11"/>
        <v>451457</v>
      </c>
      <c r="M141" s="880">
        <v>0</v>
      </c>
      <c r="N141" s="180">
        <v>332707</v>
      </c>
      <c r="O141" s="3210"/>
      <c r="P141" s="922"/>
      <c r="Q141" s="3211">
        <f t="shared" si="12"/>
        <v>332707</v>
      </c>
    </row>
    <row r="142" spans="1:17">
      <c r="A142" s="63">
        <f t="shared" si="10"/>
        <v>2004.01</v>
      </c>
      <c r="B142" s="866">
        <f t="shared" si="13"/>
        <v>375543</v>
      </c>
      <c r="C142" s="2165">
        <f t="shared" si="14"/>
        <v>464379</v>
      </c>
      <c r="D142" s="481">
        <v>392365</v>
      </c>
      <c r="E142" s="3210"/>
      <c r="F142" s="180">
        <v>1020975</v>
      </c>
      <c r="G142" s="2166"/>
      <c r="H142" s="877">
        <v>209429</v>
      </c>
      <c r="I142" s="3162">
        <v>166114</v>
      </c>
      <c r="J142" s="882"/>
      <c r="K142" s="922"/>
      <c r="L142" s="2167">
        <f t="shared" si="11"/>
        <v>375543</v>
      </c>
      <c r="M142" s="877">
        <v>140665</v>
      </c>
      <c r="N142" s="180">
        <v>323714</v>
      </c>
      <c r="O142" s="3210"/>
      <c r="P142" s="922"/>
      <c r="Q142" s="3211">
        <f t="shared" si="12"/>
        <v>464379</v>
      </c>
    </row>
    <row r="143" spans="1:17">
      <c r="A143" s="63">
        <f t="shared" si="10"/>
        <v>2004.02</v>
      </c>
      <c r="B143" s="866">
        <f t="shared" si="13"/>
        <v>554354</v>
      </c>
      <c r="C143" s="2165">
        <f t="shared" si="14"/>
        <v>259890</v>
      </c>
      <c r="D143" s="481">
        <v>716116</v>
      </c>
      <c r="E143" s="3210"/>
      <c r="F143" s="180">
        <v>589979</v>
      </c>
      <c r="G143" s="2166"/>
      <c r="H143" s="877">
        <v>240412</v>
      </c>
      <c r="I143" s="3162">
        <v>313942</v>
      </c>
      <c r="J143" s="882"/>
      <c r="K143" s="922"/>
      <c r="L143" s="2167">
        <f t="shared" si="11"/>
        <v>554354</v>
      </c>
      <c r="M143" s="877">
        <v>84540</v>
      </c>
      <c r="N143" s="180">
        <v>175350</v>
      </c>
      <c r="O143" s="3210"/>
      <c r="P143" s="922"/>
      <c r="Q143" s="3211">
        <f t="shared" si="12"/>
        <v>259890</v>
      </c>
    </row>
    <row r="144" spans="1:17">
      <c r="A144" s="63">
        <f t="shared" si="10"/>
        <v>2004.03</v>
      </c>
      <c r="B144" s="866">
        <f t="shared" si="13"/>
        <v>871621</v>
      </c>
      <c r="C144" s="2165">
        <f t="shared" si="14"/>
        <v>376859</v>
      </c>
      <c r="D144" s="481">
        <v>1072720</v>
      </c>
      <c r="E144" s="3210"/>
      <c r="F144" s="180">
        <v>838853</v>
      </c>
      <c r="G144" s="2166"/>
      <c r="H144" s="877">
        <v>331108</v>
      </c>
      <c r="I144" s="3162">
        <v>540513</v>
      </c>
      <c r="J144" s="882"/>
      <c r="K144" s="922"/>
      <c r="L144" s="2167">
        <f t="shared" si="11"/>
        <v>871621</v>
      </c>
      <c r="M144" s="877">
        <v>147721</v>
      </c>
      <c r="N144" s="180">
        <v>229138</v>
      </c>
      <c r="O144" s="3210"/>
      <c r="P144" s="922"/>
      <c r="Q144" s="3211">
        <f t="shared" si="12"/>
        <v>376859</v>
      </c>
    </row>
    <row r="145" spans="1:17">
      <c r="A145" s="63">
        <f t="shared" si="10"/>
        <v>2004.04</v>
      </c>
      <c r="B145" s="866">
        <f t="shared" si="13"/>
        <v>1725667.905</v>
      </c>
      <c r="C145" s="2165">
        <f t="shared" si="14"/>
        <v>505010.799999999</v>
      </c>
      <c r="D145" s="481">
        <v>2182770</v>
      </c>
      <c r="E145" s="3210"/>
      <c r="F145" s="180">
        <v>953181</v>
      </c>
      <c r="G145" s="2166"/>
      <c r="H145" s="877">
        <v>704834.90500000003</v>
      </c>
      <c r="I145" s="3162">
        <v>1020833</v>
      </c>
      <c r="J145" s="882"/>
      <c r="K145" s="922"/>
      <c r="L145" s="2167">
        <f t="shared" si="11"/>
        <v>1725667.905</v>
      </c>
      <c r="M145" s="877">
        <v>261341.799999999</v>
      </c>
      <c r="N145" s="180">
        <v>243669</v>
      </c>
      <c r="O145" s="3210"/>
      <c r="P145" s="922"/>
      <c r="Q145" s="3211">
        <f t="shared" si="12"/>
        <v>505010.799999999</v>
      </c>
    </row>
    <row r="146" spans="1:17">
      <c r="A146" s="63">
        <f t="shared" si="10"/>
        <v>2004.05</v>
      </c>
      <c r="B146" s="866">
        <f t="shared" si="13"/>
        <v>1163090</v>
      </c>
      <c r="C146" s="2165">
        <f t="shared" si="14"/>
        <v>198317</v>
      </c>
      <c r="D146" s="481">
        <v>1469131</v>
      </c>
      <c r="E146" s="3210"/>
      <c r="F146" s="180">
        <v>654282</v>
      </c>
      <c r="G146" s="2166"/>
      <c r="H146" s="877">
        <v>483868</v>
      </c>
      <c r="I146" s="3162">
        <v>679222</v>
      </c>
      <c r="J146" s="882"/>
      <c r="K146" s="922"/>
      <c r="L146" s="2167">
        <f t="shared" si="11"/>
        <v>1163090</v>
      </c>
      <c r="M146" s="877">
        <v>134700</v>
      </c>
      <c r="N146" s="180">
        <v>63617</v>
      </c>
      <c r="O146" s="3210"/>
      <c r="P146" s="922"/>
      <c r="Q146" s="3211">
        <f t="shared" si="12"/>
        <v>198317</v>
      </c>
    </row>
    <row r="147" spans="1:17">
      <c r="A147" s="63">
        <f t="shared" si="10"/>
        <v>2004.06</v>
      </c>
      <c r="B147" s="866">
        <f t="shared" si="13"/>
        <v>754548</v>
      </c>
      <c r="C147" s="2165">
        <f t="shared" si="14"/>
        <v>313729</v>
      </c>
      <c r="D147" s="481">
        <v>924260</v>
      </c>
      <c r="E147" s="3210"/>
      <c r="F147" s="180">
        <v>776375</v>
      </c>
      <c r="G147" s="2166"/>
      <c r="H147" s="877">
        <v>265368</v>
      </c>
      <c r="I147" s="3162">
        <v>489180</v>
      </c>
      <c r="J147" s="882"/>
      <c r="K147" s="922"/>
      <c r="L147" s="2167">
        <f t="shared" si="11"/>
        <v>754548</v>
      </c>
      <c r="M147" s="877">
        <v>222510</v>
      </c>
      <c r="N147" s="180">
        <v>91219</v>
      </c>
      <c r="O147" s="3210"/>
      <c r="P147" s="922"/>
      <c r="Q147" s="3211">
        <f t="shared" si="12"/>
        <v>313729</v>
      </c>
    </row>
    <row r="148" spans="1:17">
      <c r="A148" s="63">
        <f t="shared" si="10"/>
        <v>2004.07</v>
      </c>
      <c r="B148" s="866">
        <f t="shared" si="13"/>
        <v>763341</v>
      </c>
      <c r="C148" s="2165">
        <f t="shared" si="14"/>
        <v>233222</v>
      </c>
      <c r="D148" s="481">
        <v>1006199</v>
      </c>
      <c r="E148" s="3210"/>
      <c r="F148" s="180">
        <v>590170</v>
      </c>
      <c r="G148" s="2166"/>
      <c r="H148" s="877">
        <v>311325</v>
      </c>
      <c r="I148" s="3162">
        <v>452016</v>
      </c>
      <c r="J148" s="882"/>
      <c r="K148" s="922"/>
      <c r="L148" s="2167">
        <f t="shared" si="11"/>
        <v>763341</v>
      </c>
      <c r="M148" s="877">
        <v>98970</v>
      </c>
      <c r="N148" s="180">
        <v>134252</v>
      </c>
      <c r="O148" s="3210"/>
      <c r="P148" s="922"/>
      <c r="Q148" s="3211">
        <f t="shared" si="12"/>
        <v>233222</v>
      </c>
    </row>
    <row r="149" spans="1:17">
      <c r="A149" s="63">
        <f t="shared" si="10"/>
        <v>2004.08</v>
      </c>
      <c r="B149" s="866">
        <f t="shared" si="13"/>
        <v>602182</v>
      </c>
      <c r="C149" s="2165">
        <f t="shared" si="14"/>
        <v>320324</v>
      </c>
      <c r="D149" s="481">
        <v>845784</v>
      </c>
      <c r="E149" s="3210"/>
      <c r="F149" s="180">
        <v>677784</v>
      </c>
      <c r="G149" s="2166"/>
      <c r="H149" s="877">
        <v>124193</v>
      </c>
      <c r="I149" s="3162">
        <v>477989</v>
      </c>
      <c r="J149" s="882"/>
      <c r="K149" s="922"/>
      <c r="L149" s="2167">
        <f t="shared" si="11"/>
        <v>602182</v>
      </c>
      <c r="M149" s="877">
        <v>230460</v>
      </c>
      <c r="N149" s="180">
        <v>89864</v>
      </c>
      <c r="O149" s="3210"/>
      <c r="P149" s="922"/>
      <c r="Q149" s="3211">
        <f t="shared" si="12"/>
        <v>320324</v>
      </c>
    </row>
    <row r="150" spans="1:17">
      <c r="A150" s="63">
        <f t="shared" ref="A150:A213" si="15">A138+1</f>
        <v>2004.09</v>
      </c>
      <c r="B150" s="866">
        <f t="shared" si="13"/>
        <v>508269</v>
      </c>
      <c r="C150" s="2165">
        <f t="shared" si="14"/>
        <v>240759</v>
      </c>
      <c r="D150" s="481">
        <v>774743</v>
      </c>
      <c r="E150" s="3210"/>
      <c r="F150" s="180">
        <v>678144</v>
      </c>
      <c r="G150" s="2166"/>
      <c r="H150" s="877">
        <v>197355</v>
      </c>
      <c r="I150" s="3162">
        <v>310914</v>
      </c>
      <c r="J150" s="882"/>
      <c r="K150" s="922"/>
      <c r="L150" s="2167">
        <f t="shared" si="11"/>
        <v>508269</v>
      </c>
      <c r="M150" s="877">
        <v>125611</v>
      </c>
      <c r="N150" s="180">
        <v>115148</v>
      </c>
      <c r="O150" s="3210"/>
      <c r="P150" s="922"/>
      <c r="Q150" s="3211">
        <f t="shared" si="12"/>
        <v>240759</v>
      </c>
    </row>
    <row r="151" spans="1:17">
      <c r="A151" s="63">
        <f t="shared" si="15"/>
        <v>2004.1</v>
      </c>
      <c r="B151" s="866">
        <f t="shared" si="13"/>
        <v>408340</v>
      </c>
      <c r="C151" s="2165">
        <f t="shared" si="14"/>
        <v>227156</v>
      </c>
      <c r="D151" s="481">
        <v>558435</v>
      </c>
      <c r="E151" s="3210"/>
      <c r="F151" s="180">
        <v>844480</v>
      </c>
      <c r="G151" s="2166"/>
      <c r="H151" s="877">
        <v>267226</v>
      </c>
      <c r="I151" s="3162">
        <v>141114</v>
      </c>
      <c r="J151" s="882"/>
      <c r="K151" s="922"/>
      <c r="L151" s="2167">
        <f t="shared" si="11"/>
        <v>408340</v>
      </c>
      <c r="M151" s="877">
        <v>110463</v>
      </c>
      <c r="N151" s="180">
        <v>116693</v>
      </c>
      <c r="O151" s="3210"/>
      <c r="P151" s="922"/>
      <c r="Q151" s="3211">
        <f t="shared" si="12"/>
        <v>227156</v>
      </c>
    </row>
    <row r="152" spans="1:17">
      <c r="A152" s="63">
        <f t="shared" si="15"/>
        <v>2004.11</v>
      </c>
      <c r="B152" s="866">
        <f t="shared" si="13"/>
        <v>474336</v>
      </c>
      <c r="C152" s="2165">
        <f t="shared" si="14"/>
        <v>489236</v>
      </c>
      <c r="D152" s="481">
        <v>630479</v>
      </c>
      <c r="E152" s="3210"/>
      <c r="F152" s="180">
        <v>1112500</v>
      </c>
      <c r="G152" s="2166"/>
      <c r="H152" s="877">
        <v>193536</v>
      </c>
      <c r="I152" s="3162">
        <v>280800</v>
      </c>
      <c r="J152" s="882"/>
      <c r="K152" s="922"/>
      <c r="L152" s="2167">
        <f t="shared" si="11"/>
        <v>474336</v>
      </c>
      <c r="M152" s="877">
        <v>163014</v>
      </c>
      <c r="N152" s="180">
        <v>326222</v>
      </c>
      <c r="O152" s="3210"/>
      <c r="P152" s="922"/>
      <c r="Q152" s="3211">
        <f t="shared" si="12"/>
        <v>489236</v>
      </c>
    </row>
    <row r="153" spans="1:17">
      <c r="A153" s="63">
        <f t="shared" si="15"/>
        <v>2004.12</v>
      </c>
      <c r="B153" s="866">
        <f t="shared" si="13"/>
        <v>630599</v>
      </c>
      <c r="C153" s="2165">
        <f t="shared" si="14"/>
        <v>1184999</v>
      </c>
      <c r="D153" s="481">
        <v>683826</v>
      </c>
      <c r="E153" s="3210"/>
      <c r="F153" s="180">
        <v>1698486</v>
      </c>
      <c r="G153" s="2166"/>
      <c r="H153" s="877">
        <v>263036</v>
      </c>
      <c r="I153" s="3162">
        <v>367563</v>
      </c>
      <c r="J153" s="882"/>
      <c r="K153" s="922"/>
      <c r="L153" s="2167">
        <f t="shared" si="11"/>
        <v>630599</v>
      </c>
      <c r="M153" s="877">
        <v>458629</v>
      </c>
      <c r="N153" s="180">
        <v>726370</v>
      </c>
      <c r="O153" s="3210"/>
      <c r="P153" s="922"/>
      <c r="Q153" s="3211">
        <f t="shared" si="12"/>
        <v>1184999</v>
      </c>
    </row>
    <row r="154" spans="1:17">
      <c r="A154" s="63">
        <f t="shared" si="15"/>
        <v>2005.01</v>
      </c>
      <c r="B154" s="866">
        <f t="shared" si="13"/>
        <v>636815.75087001419</v>
      </c>
      <c r="C154" s="2165">
        <f t="shared" si="14"/>
        <v>1152662</v>
      </c>
      <c r="D154" s="481">
        <v>701073</v>
      </c>
      <c r="E154" s="3210"/>
      <c r="F154" s="180">
        <v>2316812.9537163507</v>
      </c>
      <c r="G154" s="2166"/>
      <c r="H154" s="877">
        <v>301295</v>
      </c>
      <c r="I154" s="3162">
        <v>335520.75087001419</v>
      </c>
      <c r="J154" s="882"/>
      <c r="K154" s="922"/>
      <c r="L154" s="2167">
        <f t="shared" si="11"/>
        <v>636815.75087001419</v>
      </c>
      <c r="M154" s="877">
        <v>407794</v>
      </c>
      <c r="N154" s="180">
        <v>744868</v>
      </c>
      <c r="O154" s="3210"/>
      <c r="P154" s="922"/>
      <c r="Q154" s="3211">
        <f t="shared" si="12"/>
        <v>1152662</v>
      </c>
    </row>
    <row r="155" spans="1:17">
      <c r="A155" s="63">
        <f t="shared" si="15"/>
        <v>2005.02</v>
      </c>
      <c r="B155" s="866">
        <f t="shared" si="13"/>
        <v>646444.24912998581</v>
      </c>
      <c r="C155" s="2165">
        <f t="shared" si="14"/>
        <v>724725</v>
      </c>
      <c r="D155" s="481">
        <v>698960</v>
      </c>
      <c r="E155" s="3210"/>
      <c r="F155" s="180">
        <v>1631271.8732272375</v>
      </c>
      <c r="G155" s="2166"/>
      <c r="H155" s="877">
        <v>350959</v>
      </c>
      <c r="I155" s="3162">
        <v>295485.24912998581</v>
      </c>
      <c r="J155" s="882"/>
      <c r="K155" s="922"/>
      <c r="L155" s="2167">
        <f t="shared" si="11"/>
        <v>646444.24912998581</v>
      </c>
      <c r="M155" s="877">
        <v>288503</v>
      </c>
      <c r="N155" s="180">
        <v>436222</v>
      </c>
      <c r="O155" s="3210"/>
      <c r="P155" s="922"/>
      <c r="Q155" s="3211">
        <f t="shared" si="12"/>
        <v>724725</v>
      </c>
    </row>
    <row r="156" spans="1:17">
      <c r="A156" s="63">
        <f t="shared" si="15"/>
        <v>2005.03</v>
      </c>
      <c r="B156" s="866">
        <f t="shared" si="13"/>
        <v>1872518</v>
      </c>
      <c r="C156" s="2165">
        <f t="shared" si="14"/>
        <v>475753</v>
      </c>
      <c r="D156" s="481">
        <v>2364810</v>
      </c>
      <c r="E156" s="3210"/>
      <c r="F156" s="180">
        <v>1016376.4921164028</v>
      </c>
      <c r="G156" s="2166"/>
      <c r="H156" s="877">
        <v>731174</v>
      </c>
      <c r="I156" s="3162">
        <v>1141344</v>
      </c>
      <c r="J156" s="882"/>
      <c r="K156" s="922"/>
      <c r="L156" s="2167">
        <f t="shared" si="11"/>
        <v>1872518</v>
      </c>
      <c r="M156" s="877">
        <v>189904</v>
      </c>
      <c r="N156" s="180">
        <v>285849</v>
      </c>
      <c r="O156" s="3210"/>
      <c r="P156" s="922"/>
      <c r="Q156" s="3211">
        <f t="shared" si="12"/>
        <v>475753</v>
      </c>
    </row>
    <row r="157" spans="1:17">
      <c r="A157" s="63">
        <f t="shared" si="15"/>
        <v>2005.04</v>
      </c>
      <c r="B157" s="866">
        <f t="shared" si="13"/>
        <v>1362778</v>
      </c>
      <c r="C157" s="2165">
        <f t="shared" si="14"/>
        <v>450550</v>
      </c>
      <c r="D157" s="481">
        <v>1708937</v>
      </c>
      <c r="E157" s="3210"/>
      <c r="F157" s="180">
        <v>857946.29075583268</v>
      </c>
      <c r="G157" s="2166"/>
      <c r="H157" s="877">
        <v>538003</v>
      </c>
      <c r="I157" s="3162">
        <v>824775</v>
      </c>
      <c r="J157" s="882"/>
      <c r="K157" s="922"/>
      <c r="L157" s="2167">
        <f t="shared" si="11"/>
        <v>1362778</v>
      </c>
      <c r="M157" s="877">
        <v>249689</v>
      </c>
      <c r="N157" s="180">
        <v>200861</v>
      </c>
      <c r="O157" s="3210"/>
      <c r="P157" s="922"/>
      <c r="Q157" s="3211">
        <f t="shared" si="12"/>
        <v>450550</v>
      </c>
    </row>
    <row r="158" spans="1:17">
      <c r="A158" s="63">
        <f t="shared" si="15"/>
        <v>2005.05</v>
      </c>
      <c r="B158" s="866">
        <f t="shared" si="13"/>
        <v>1036100</v>
      </c>
      <c r="C158" s="2165">
        <f t="shared" si="14"/>
        <v>239778</v>
      </c>
      <c r="D158" s="481">
        <v>1462436</v>
      </c>
      <c r="E158" s="3210"/>
      <c r="F158" s="180">
        <v>687082.39018417639</v>
      </c>
      <c r="G158" s="2166"/>
      <c r="H158" s="877">
        <v>471495</v>
      </c>
      <c r="I158" s="3162">
        <v>564605</v>
      </c>
      <c r="J158" s="882"/>
      <c r="K158" s="922"/>
      <c r="L158" s="2167">
        <f t="shared" si="11"/>
        <v>1036100</v>
      </c>
      <c r="M158" s="877">
        <v>119760</v>
      </c>
      <c r="N158" s="180">
        <v>120018</v>
      </c>
      <c r="O158" s="3210"/>
      <c r="P158" s="922"/>
      <c r="Q158" s="3211">
        <f t="shared" si="12"/>
        <v>239778</v>
      </c>
    </row>
    <row r="159" spans="1:17">
      <c r="A159" s="63">
        <f t="shared" si="15"/>
        <v>2005.06</v>
      </c>
      <c r="B159" s="866">
        <f t="shared" si="13"/>
        <v>770919</v>
      </c>
      <c r="C159" s="2165">
        <f t="shared" si="14"/>
        <v>161082</v>
      </c>
      <c r="D159" s="481">
        <v>950702</v>
      </c>
      <c r="E159" s="3210"/>
      <c r="F159" s="180">
        <v>426576</v>
      </c>
      <c r="G159" s="2166"/>
      <c r="H159" s="877">
        <v>361555</v>
      </c>
      <c r="I159" s="3162">
        <v>409364</v>
      </c>
      <c r="J159" s="882"/>
      <c r="K159" s="922"/>
      <c r="L159" s="2167">
        <f t="shared" si="11"/>
        <v>770919</v>
      </c>
      <c r="M159" s="877">
        <v>76820</v>
      </c>
      <c r="N159" s="180">
        <v>84262</v>
      </c>
      <c r="O159" s="3210"/>
      <c r="P159" s="922"/>
      <c r="Q159" s="3211">
        <f t="shared" si="12"/>
        <v>161082</v>
      </c>
    </row>
    <row r="160" spans="1:17">
      <c r="A160" s="63">
        <f t="shared" si="15"/>
        <v>2005.07</v>
      </c>
      <c r="B160" s="866">
        <f t="shared" si="13"/>
        <v>1159997</v>
      </c>
      <c r="C160" s="2165">
        <f t="shared" si="14"/>
        <v>178970</v>
      </c>
      <c r="D160" s="481">
        <v>1357612</v>
      </c>
      <c r="E160" s="3210"/>
      <c r="F160" s="180">
        <v>502931</v>
      </c>
      <c r="G160" s="2166"/>
      <c r="H160" s="877">
        <v>478533</v>
      </c>
      <c r="I160" s="3162">
        <v>681464</v>
      </c>
      <c r="J160" s="882"/>
      <c r="K160" s="922"/>
      <c r="L160" s="2167">
        <f t="shared" si="11"/>
        <v>1159997</v>
      </c>
      <c r="M160" s="877">
        <v>134150</v>
      </c>
      <c r="N160" s="180">
        <v>44820</v>
      </c>
      <c r="O160" s="3210"/>
      <c r="P160" s="922"/>
      <c r="Q160" s="3211">
        <f t="shared" si="12"/>
        <v>178970</v>
      </c>
    </row>
    <row r="161" spans="1:17">
      <c r="A161" s="63">
        <f t="shared" si="15"/>
        <v>2005.08</v>
      </c>
      <c r="B161" s="866">
        <f t="shared" si="13"/>
        <v>809596</v>
      </c>
      <c r="C161" s="2165">
        <f t="shared" si="14"/>
        <v>139260</v>
      </c>
      <c r="D161" s="481">
        <v>1197132</v>
      </c>
      <c r="E161" s="3210"/>
      <c r="F161" s="180">
        <v>508231</v>
      </c>
      <c r="G161" s="2166"/>
      <c r="H161" s="877">
        <v>369753</v>
      </c>
      <c r="I161" s="3162">
        <v>439843</v>
      </c>
      <c r="J161" s="882"/>
      <c r="K161" s="922"/>
      <c r="L161" s="2167">
        <f t="shared" si="11"/>
        <v>809596</v>
      </c>
      <c r="M161" s="877">
        <v>55219</v>
      </c>
      <c r="N161" s="180">
        <v>84041</v>
      </c>
      <c r="O161" s="3210"/>
      <c r="P161" s="922"/>
      <c r="Q161" s="3211">
        <f t="shared" si="12"/>
        <v>139260</v>
      </c>
    </row>
    <row r="162" spans="1:17">
      <c r="A162" s="63">
        <f t="shared" si="15"/>
        <v>2005.09</v>
      </c>
      <c r="B162" s="866">
        <f t="shared" si="13"/>
        <v>793798</v>
      </c>
      <c r="C162" s="2165">
        <f t="shared" si="14"/>
        <v>121448</v>
      </c>
      <c r="D162" s="481">
        <v>1029143</v>
      </c>
      <c r="E162" s="3210"/>
      <c r="F162" s="180">
        <v>388285</v>
      </c>
      <c r="G162" s="2166"/>
      <c r="H162" s="877">
        <v>354560</v>
      </c>
      <c r="I162" s="3162">
        <v>439238</v>
      </c>
      <c r="J162" s="882"/>
      <c r="K162" s="922"/>
      <c r="L162" s="2167">
        <f t="shared" si="11"/>
        <v>793798</v>
      </c>
      <c r="M162" s="877">
        <v>103173</v>
      </c>
      <c r="N162" s="180">
        <v>18275</v>
      </c>
      <c r="O162" s="3210"/>
      <c r="P162" s="922"/>
      <c r="Q162" s="3211">
        <f t="shared" si="12"/>
        <v>121448</v>
      </c>
    </row>
    <row r="163" spans="1:17">
      <c r="A163" s="63">
        <f t="shared" si="15"/>
        <v>2005.1</v>
      </c>
      <c r="B163" s="866">
        <f t="shared" si="13"/>
        <v>685621</v>
      </c>
      <c r="C163" s="2165">
        <f t="shared" si="14"/>
        <v>72281</v>
      </c>
      <c r="D163" s="481">
        <v>944458</v>
      </c>
      <c r="E163" s="3210"/>
      <c r="F163" s="180">
        <v>356237</v>
      </c>
      <c r="G163" s="2166"/>
      <c r="H163" s="877">
        <v>280473</v>
      </c>
      <c r="I163" s="3162">
        <v>405148</v>
      </c>
      <c r="J163" s="882"/>
      <c r="K163" s="922"/>
      <c r="L163" s="2167">
        <f t="shared" si="11"/>
        <v>685621</v>
      </c>
      <c r="M163" s="877">
        <v>33640</v>
      </c>
      <c r="N163" s="180">
        <v>38641</v>
      </c>
      <c r="O163" s="3210"/>
      <c r="P163" s="922"/>
      <c r="Q163" s="3211">
        <f t="shared" si="12"/>
        <v>72281</v>
      </c>
    </row>
    <row r="164" spans="1:17">
      <c r="A164" s="63">
        <f t="shared" si="15"/>
        <v>2005.11</v>
      </c>
      <c r="B164" s="866">
        <f t="shared" si="13"/>
        <v>793814</v>
      </c>
      <c r="C164" s="2165">
        <f t="shared" si="14"/>
        <v>88024</v>
      </c>
      <c r="D164" s="481">
        <v>1074870</v>
      </c>
      <c r="E164" s="3210"/>
      <c r="F164" s="180">
        <v>511874</v>
      </c>
      <c r="G164" s="2166"/>
      <c r="H164" s="877">
        <v>359045</v>
      </c>
      <c r="I164" s="3162">
        <v>434769</v>
      </c>
      <c r="J164" s="882"/>
      <c r="K164" s="922"/>
      <c r="L164" s="2167">
        <f t="shared" si="11"/>
        <v>793814</v>
      </c>
      <c r="M164" s="877">
        <v>34979</v>
      </c>
      <c r="N164" s="180">
        <v>53045</v>
      </c>
      <c r="O164" s="3210"/>
      <c r="P164" s="922"/>
      <c r="Q164" s="3211">
        <f t="shared" si="12"/>
        <v>88024</v>
      </c>
    </row>
    <row r="165" spans="1:17">
      <c r="A165" s="63">
        <f t="shared" si="15"/>
        <v>2005.12</v>
      </c>
      <c r="B165" s="866">
        <f t="shared" si="13"/>
        <v>610638</v>
      </c>
      <c r="C165" s="2165">
        <f t="shared" si="14"/>
        <v>391497</v>
      </c>
      <c r="D165" s="481">
        <v>736339</v>
      </c>
      <c r="E165" s="3210"/>
      <c r="F165" s="180">
        <v>767351</v>
      </c>
      <c r="G165" s="2166"/>
      <c r="H165" s="877">
        <v>332995</v>
      </c>
      <c r="I165" s="3162">
        <v>277643</v>
      </c>
      <c r="J165" s="882"/>
      <c r="K165" s="922"/>
      <c r="L165" s="2167">
        <f t="shared" si="11"/>
        <v>610638</v>
      </c>
      <c r="M165" s="877">
        <v>90410</v>
      </c>
      <c r="N165" s="180">
        <v>301087</v>
      </c>
      <c r="O165" s="3210"/>
      <c r="P165" s="922"/>
      <c r="Q165" s="3211">
        <f t="shared" si="12"/>
        <v>391497</v>
      </c>
    </row>
    <row r="166" spans="1:17">
      <c r="A166" s="63">
        <f t="shared" si="15"/>
        <v>2006.01</v>
      </c>
      <c r="B166" s="866">
        <f t="shared" si="13"/>
        <v>670218.17915671389</v>
      </c>
      <c r="C166" s="2165">
        <f t="shared" si="14"/>
        <v>442314</v>
      </c>
      <c r="D166" s="481">
        <v>836144.1802657271</v>
      </c>
      <c r="E166" s="3210"/>
      <c r="F166" s="180">
        <v>910511</v>
      </c>
      <c r="G166" s="2166"/>
      <c r="H166" s="877">
        <v>169148</v>
      </c>
      <c r="I166" s="3162">
        <v>501070.17915671383</v>
      </c>
      <c r="J166" s="882"/>
      <c r="K166" s="922"/>
      <c r="L166" s="2167">
        <f t="shared" si="11"/>
        <v>670218.17915671389</v>
      </c>
      <c r="M166" s="877">
        <v>158381</v>
      </c>
      <c r="N166" s="180">
        <v>283933</v>
      </c>
      <c r="O166" s="3210"/>
      <c r="P166" s="922"/>
      <c r="Q166" s="3211">
        <f t="shared" si="12"/>
        <v>442314</v>
      </c>
    </row>
    <row r="167" spans="1:17">
      <c r="A167" s="63">
        <f t="shared" si="15"/>
        <v>2006.02</v>
      </c>
      <c r="B167" s="866">
        <f t="shared" si="13"/>
        <v>482947.99327229999</v>
      </c>
      <c r="C167" s="2165">
        <f t="shared" si="14"/>
        <v>278276.005</v>
      </c>
      <c r="D167" s="481">
        <v>571462.213581649</v>
      </c>
      <c r="E167" s="3210"/>
      <c r="F167" s="180">
        <v>623784</v>
      </c>
      <c r="G167" s="2166"/>
      <c r="H167" s="877">
        <v>189388.75</v>
      </c>
      <c r="I167" s="3162">
        <v>293559.24327229999</v>
      </c>
      <c r="J167" s="882"/>
      <c r="K167" s="922"/>
      <c r="L167" s="2167">
        <f t="shared" si="11"/>
        <v>482947.99327229999</v>
      </c>
      <c r="M167" s="877">
        <v>114603.005</v>
      </c>
      <c r="N167" s="180">
        <v>163673</v>
      </c>
      <c r="O167" s="3210"/>
      <c r="P167" s="922"/>
      <c r="Q167" s="3211">
        <f t="shared" si="12"/>
        <v>278276.005</v>
      </c>
    </row>
    <row r="168" spans="1:17">
      <c r="A168" s="63">
        <f t="shared" si="15"/>
        <v>2006.03</v>
      </c>
      <c r="B168" s="866">
        <f t="shared" si="13"/>
        <v>806258.88359011046</v>
      </c>
      <c r="C168" s="2165">
        <f t="shared" si="14"/>
        <v>348844</v>
      </c>
      <c r="D168" s="481">
        <v>843084.83267184976</v>
      </c>
      <c r="E168" s="3210"/>
      <c r="F168" s="180">
        <v>865803</v>
      </c>
      <c r="G168" s="2166"/>
      <c r="H168" s="877">
        <v>331189</v>
      </c>
      <c r="I168" s="3162">
        <v>475069.88359011046</v>
      </c>
      <c r="J168" s="882"/>
      <c r="K168" s="922"/>
      <c r="L168" s="2167">
        <f t="shared" si="11"/>
        <v>806258.88359011046</v>
      </c>
      <c r="M168" s="877">
        <v>129387</v>
      </c>
      <c r="N168" s="180">
        <v>219457</v>
      </c>
      <c r="O168" s="3210"/>
      <c r="P168" s="922"/>
      <c r="Q168" s="3211">
        <f t="shared" si="12"/>
        <v>348844</v>
      </c>
    </row>
    <row r="169" spans="1:17">
      <c r="A169" s="63">
        <f t="shared" si="15"/>
        <v>2006.04</v>
      </c>
      <c r="B169" s="866">
        <f t="shared" si="13"/>
        <v>837770.3600447746</v>
      </c>
      <c r="C169" s="2165">
        <f t="shared" si="14"/>
        <v>303146.799999999</v>
      </c>
      <c r="D169" s="481">
        <v>974772.67329517566</v>
      </c>
      <c r="E169" s="3210"/>
      <c r="F169" s="180">
        <v>471148</v>
      </c>
      <c r="G169" s="2166"/>
      <c r="H169" s="877">
        <v>424038.90500000003</v>
      </c>
      <c r="I169" s="3162">
        <v>413731.45504477457</v>
      </c>
      <c r="J169" s="882"/>
      <c r="K169" s="922"/>
      <c r="L169" s="2167">
        <f t="shared" si="11"/>
        <v>837770.3600447746</v>
      </c>
      <c r="M169" s="877">
        <v>148081.799999999</v>
      </c>
      <c r="N169" s="180">
        <v>155065</v>
      </c>
      <c r="O169" s="3210"/>
      <c r="P169" s="922"/>
      <c r="Q169" s="3211">
        <f t="shared" si="12"/>
        <v>303146.799999999</v>
      </c>
    </row>
    <row r="170" spans="1:17">
      <c r="A170" s="63">
        <f t="shared" si="15"/>
        <v>2006.05</v>
      </c>
      <c r="B170" s="866">
        <f t="shared" si="13"/>
        <v>832648.85627016728</v>
      </c>
      <c r="C170" s="2165">
        <f t="shared" si="14"/>
        <v>340294.95</v>
      </c>
      <c r="D170" s="481">
        <v>1128395.1094113407</v>
      </c>
      <c r="E170" s="3210"/>
      <c r="F170" s="180">
        <v>758732</v>
      </c>
      <c r="G170" s="2166"/>
      <c r="H170" s="877">
        <v>306383.565</v>
      </c>
      <c r="I170" s="3162">
        <v>526265.29127016733</v>
      </c>
      <c r="J170" s="882"/>
      <c r="K170" s="922"/>
      <c r="L170" s="2167">
        <f t="shared" si="11"/>
        <v>832648.85627016728</v>
      </c>
      <c r="M170" s="877">
        <v>121695.95</v>
      </c>
      <c r="N170" s="180">
        <v>218599</v>
      </c>
      <c r="O170" s="3210"/>
      <c r="P170" s="922"/>
      <c r="Q170" s="3211">
        <f t="shared" si="12"/>
        <v>340294.95</v>
      </c>
    </row>
    <row r="171" spans="1:17">
      <c r="A171" s="63">
        <f t="shared" si="15"/>
        <v>2006.06</v>
      </c>
      <c r="B171" s="866">
        <f t="shared" si="13"/>
        <v>493880.96117041685</v>
      </c>
      <c r="C171" s="2165">
        <f t="shared" si="14"/>
        <v>379970</v>
      </c>
      <c r="D171" s="481">
        <v>628676.35034520435</v>
      </c>
      <c r="E171" s="3210"/>
      <c r="F171" s="180">
        <v>847175</v>
      </c>
      <c r="G171" s="2166"/>
      <c r="H171" s="877">
        <v>317031</v>
      </c>
      <c r="I171" s="3162">
        <v>176849.96117041685</v>
      </c>
      <c r="J171" s="882"/>
      <c r="K171" s="922"/>
      <c r="L171" s="2167">
        <f t="shared" si="11"/>
        <v>493880.96117041685</v>
      </c>
      <c r="M171" s="877">
        <v>170307</v>
      </c>
      <c r="N171" s="180">
        <v>209663</v>
      </c>
      <c r="O171" s="3210"/>
      <c r="P171" s="922"/>
      <c r="Q171" s="3211">
        <f t="shared" si="12"/>
        <v>379970</v>
      </c>
    </row>
    <row r="172" spans="1:17">
      <c r="A172" s="63">
        <f t="shared" si="15"/>
        <v>2006.07</v>
      </c>
      <c r="B172" s="866">
        <f t="shared" si="13"/>
        <v>581374.94462784776</v>
      </c>
      <c r="C172" s="2165">
        <f t="shared" si="14"/>
        <v>328956</v>
      </c>
      <c r="D172" s="481">
        <v>720760.19233305613</v>
      </c>
      <c r="E172" s="3210"/>
      <c r="F172" s="180">
        <v>735054</v>
      </c>
      <c r="G172" s="2166"/>
      <c r="H172" s="877">
        <v>324006</v>
      </c>
      <c r="I172" s="3162">
        <v>257368.94462784781</v>
      </c>
      <c r="J172" s="882"/>
      <c r="K172" s="922"/>
      <c r="L172" s="2167">
        <f t="shared" si="11"/>
        <v>581374.94462784776</v>
      </c>
      <c r="M172" s="877">
        <v>124731</v>
      </c>
      <c r="N172" s="180">
        <v>204225</v>
      </c>
      <c r="O172" s="3210"/>
      <c r="P172" s="922"/>
      <c r="Q172" s="3211">
        <f t="shared" si="12"/>
        <v>328956</v>
      </c>
    </row>
    <row r="173" spans="1:17">
      <c r="A173" s="63">
        <f t="shared" si="15"/>
        <v>2006.08</v>
      </c>
      <c r="B173" s="866">
        <f t="shared" si="13"/>
        <v>858484.64769383834</v>
      </c>
      <c r="C173" s="2165">
        <f t="shared" si="14"/>
        <v>257755</v>
      </c>
      <c r="D173" s="481">
        <v>1137226.4480959973</v>
      </c>
      <c r="E173" s="3210"/>
      <c r="F173" s="180">
        <v>783558</v>
      </c>
      <c r="G173" s="2166"/>
      <c r="H173" s="877">
        <v>349831</v>
      </c>
      <c r="I173" s="3162">
        <v>508653.64769383834</v>
      </c>
      <c r="J173" s="882"/>
      <c r="K173" s="922"/>
      <c r="L173" s="2167">
        <f t="shared" si="11"/>
        <v>858484.64769383834</v>
      </c>
      <c r="M173" s="877">
        <v>155224</v>
      </c>
      <c r="N173" s="180">
        <v>102531</v>
      </c>
      <c r="O173" s="3210"/>
      <c r="P173" s="922"/>
      <c r="Q173" s="3211">
        <f t="shared" si="12"/>
        <v>257755</v>
      </c>
    </row>
    <row r="174" spans="1:17">
      <c r="A174" s="63">
        <f t="shared" si="15"/>
        <v>2006.09</v>
      </c>
      <c r="B174" s="866">
        <f t="shared" si="13"/>
        <v>600896.47148210905</v>
      </c>
      <c r="C174" s="2165">
        <f t="shared" si="14"/>
        <v>198249</v>
      </c>
      <c r="D174" s="481">
        <v>731969</v>
      </c>
      <c r="E174" s="3210"/>
      <c r="F174" s="180">
        <v>497121</v>
      </c>
      <c r="G174" s="2166"/>
      <c r="H174" s="877">
        <v>336426</v>
      </c>
      <c r="I174" s="3162">
        <v>264470.47148210899</v>
      </c>
      <c r="J174" s="882"/>
      <c r="K174" s="922"/>
      <c r="L174" s="2167">
        <f t="shared" si="11"/>
        <v>600896.47148210905</v>
      </c>
      <c r="M174" s="877">
        <v>76568</v>
      </c>
      <c r="N174" s="180">
        <v>121681</v>
      </c>
      <c r="O174" s="3210"/>
      <c r="P174" s="922"/>
      <c r="Q174" s="3211">
        <f t="shared" si="12"/>
        <v>198249</v>
      </c>
    </row>
    <row r="175" spans="1:17">
      <c r="A175" s="63">
        <f t="shared" si="15"/>
        <v>2006.1</v>
      </c>
      <c r="B175" s="866">
        <f t="shared" si="13"/>
        <v>931483.28614006471</v>
      </c>
      <c r="C175" s="2165">
        <f t="shared" si="14"/>
        <v>150576</v>
      </c>
      <c r="D175" s="481">
        <v>1204909</v>
      </c>
      <c r="E175" s="3210"/>
      <c r="F175" s="180">
        <v>717622</v>
      </c>
      <c r="G175" s="2166"/>
      <c r="H175" s="877">
        <v>455454</v>
      </c>
      <c r="I175" s="3162">
        <v>476029.28614006465</v>
      </c>
      <c r="J175" s="882"/>
      <c r="K175" s="922"/>
      <c r="L175" s="2167">
        <f t="shared" si="11"/>
        <v>931483.28614006471</v>
      </c>
      <c r="M175" s="877">
        <v>68654</v>
      </c>
      <c r="N175" s="180">
        <v>81922</v>
      </c>
      <c r="O175" s="3210"/>
      <c r="P175" s="922"/>
      <c r="Q175" s="3211">
        <f t="shared" si="12"/>
        <v>150576</v>
      </c>
    </row>
    <row r="176" spans="1:17">
      <c r="A176" s="63">
        <f t="shared" si="15"/>
        <v>2006.11</v>
      </c>
      <c r="B176" s="866">
        <f t="shared" si="13"/>
        <v>1003521.4316745845</v>
      </c>
      <c r="C176" s="2165">
        <f t="shared" si="14"/>
        <v>321247</v>
      </c>
      <c r="D176" s="481">
        <v>1081568</v>
      </c>
      <c r="E176" s="3210"/>
      <c r="F176" s="180">
        <v>618368</v>
      </c>
      <c r="G176" s="2166"/>
      <c r="H176" s="877">
        <v>532231</v>
      </c>
      <c r="I176" s="3162">
        <v>471290.43167458451</v>
      </c>
      <c r="J176" s="882"/>
      <c r="K176" s="922"/>
      <c r="L176" s="2167">
        <f t="shared" si="11"/>
        <v>1003521.4316745845</v>
      </c>
      <c r="M176" s="877">
        <v>143254</v>
      </c>
      <c r="N176" s="180">
        <v>177993</v>
      </c>
      <c r="O176" s="3210"/>
      <c r="P176" s="922"/>
      <c r="Q176" s="3211">
        <f t="shared" si="12"/>
        <v>321247</v>
      </c>
    </row>
    <row r="177" spans="1:17">
      <c r="A177" s="63">
        <f t="shared" si="15"/>
        <v>2006.12</v>
      </c>
      <c r="B177" s="866">
        <f t="shared" si="13"/>
        <v>369468.20487707271</v>
      </c>
      <c r="C177" s="2165">
        <f t="shared" si="14"/>
        <v>736415</v>
      </c>
      <c r="D177" s="481">
        <v>454109</v>
      </c>
      <c r="E177" s="3210"/>
      <c r="F177" s="180">
        <v>1556235</v>
      </c>
      <c r="G177" s="2166"/>
      <c r="H177" s="877">
        <v>113239</v>
      </c>
      <c r="I177" s="3162">
        <v>256229.20487707271</v>
      </c>
      <c r="J177" s="882"/>
      <c r="K177" s="922"/>
      <c r="L177" s="2167">
        <f t="shared" si="11"/>
        <v>369468.20487707271</v>
      </c>
      <c r="M177" s="877">
        <v>226220</v>
      </c>
      <c r="N177" s="180">
        <v>510195</v>
      </c>
      <c r="O177" s="3210"/>
      <c r="P177" s="922"/>
      <c r="Q177" s="3211">
        <f t="shared" si="12"/>
        <v>736415</v>
      </c>
    </row>
    <row r="178" spans="1:17">
      <c r="A178" s="63">
        <f t="shared" si="15"/>
        <v>2007.01</v>
      </c>
      <c r="B178" s="866">
        <f t="shared" si="13"/>
        <v>286915.32441014226</v>
      </c>
      <c r="C178" s="2165">
        <f t="shared" si="14"/>
        <v>645634</v>
      </c>
      <c r="D178" s="481">
        <v>359491</v>
      </c>
      <c r="E178" s="3210"/>
      <c r="F178" s="180">
        <v>1443602</v>
      </c>
      <c r="G178" s="2166"/>
      <c r="H178" s="877">
        <v>132098</v>
      </c>
      <c r="I178" s="3162">
        <v>154817.32441014223</v>
      </c>
      <c r="J178" s="882"/>
      <c r="K178" s="922"/>
      <c r="L178" s="2167">
        <f t="shared" si="11"/>
        <v>286915.32441014226</v>
      </c>
      <c r="M178" s="877">
        <v>324208</v>
      </c>
      <c r="N178" s="180">
        <v>321426</v>
      </c>
      <c r="O178" s="3210"/>
      <c r="P178" s="922"/>
      <c r="Q178" s="3211">
        <f t="shared" si="12"/>
        <v>645634</v>
      </c>
    </row>
    <row r="179" spans="1:17">
      <c r="A179" s="63">
        <f t="shared" si="15"/>
        <v>2007.02</v>
      </c>
      <c r="B179" s="866">
        <f t="shared" si="13"/>
        <v>307484.74985436455</v>
      </c>
      <c r="C179" s="2165">
        <f t="shared" si="14"/>
        <v>704208</v>
      </c>
      <c r="D179" s="481">
        <v>308060</v>
      </c>
      <c r="E179" s="3210"/>
      <c r="F179" s="180">
        <v>1253649</v>
      </c>
      <c r="G179" s="2166"/>
      <c r="H179" s="877">
        <v>89952</v>
      </c>
      <c r="I179" s="3162">
        <v>217532.74985436455</v>
      </c>
      <c r="J179" s="882"/>
      <c r="K179" s="922"/>
      <c r="L179" s="2167">
        <f t="shared" si="11"/>
        <v>307484.74985436455</v>
      </c>
      <c r="M179" s="877">
        <v>283827</v>
      </c>
      <c r="N179" s="180">
        <v>420381</v>
      </c>
      <c r="O179" s="3210"/>
      <c r="P179" s="922"/>
      <c r="Q179" s="3211">
        <f t="shared" si="12"/>
        <v>704208</v>
      </c>
    </row>
    <row r="180" spans="1:17">
      <c r="A180" s="63">
        <f t="shared" si="15"/>
        <v>2007.03</v>
      </c>
      <c r="B180" s="866">
        <f t="shared" si="13"/>
        <v>1102043.5672890474</v>
      </c>
      <c r="C180" s="2165">
        <f t="shared" si="14"/>
        <v>540048</v>
      </c>
      <c r="D180" s="481">
        <v>1283674</v>
      </c>
      <c r="E180" s="3210"/>
      <c r="F180" s="180">
        <v>1031947</v>
      </c>
      <c r="G180" s="2166"/>
      <c r="H180" s="877">
        <v>412353</v>
      </c>
      <c r="I180" s="3162">
        <v>689690.56728904741</v>
      </c>
      <c r="J180" s="882"/>
      <c r="K180" s="922"/>
      <c r="L180" s="2167">
        <f t="shared" si="11"/>
        <v>1102043.5672890474</v>
      </c>
      <c r="M180" s="877">
        <v>231643</v>
      </c>
      <c r="N180" s="180">
        <v>308405</v>
      </c>
      <c r="O180" s="3210"/>
      <c r="P180" s="922"/>
      <c r="Q180" s="3211">
        <f t="shared" si="12"/>
        <v>540048</v>
      </c>
    </row>
    <row r="181" spans="1:17">
      <c r="A181" s="63">
        <f t="shared" si="15"/>
        <v>2007.04</v>
      </c>
      <c r="B181" s="866">
        <f t="shared" si="13"/>
        <v>1795252.549077095</v>
      </c>
      <c r="C181" s="2165">
        <f t="shared" si="14"/>
        <v>367496</v>
      </c>
      <c r="D181" s="481">
        <v>2373118</v>
      </c>
      <c r="E181" s="3210"/>
      <c r="F181" s="180">
        <v>983555</v>
      </c>
      <c r="G181" s="2166"/>
      <c r="H181" s="877">
        <v>865390</v>
      </c>
      <c r="I181" s="3162">
        <v>929862.54907709511</v>
      </c>
      <c r="J181" s="882"/>
      <c r="K181" s="922"/>
      <c r="L181" s="2167">
        <f t="shared" si="11"/>
        <v>1795252.549077095</v>
      </c>
      <c r="M181" s="877">
        <v>193179</v>
      </c>
      <c r="N181" s="180">
        <v>174317</v>
      </c>
      <c r="O181" s="3210"/>
      <c r="P181" s="922"/>
      <c r="Q181" s="3211">
        <f t="shared" si="12"/>
        <v>367496</v>
      </c>
    </row>
    <row r="182" spans="1:17">
      <c r="A182" s="63">
        <f t="shared" si="15"/>
        <v>2007.05</v>
      </c>
      <c r="B182" s="866">
        <f t="shared" si="13"/>
        <v>1598442.8093693508</v>
      </c>
      <c r="C182" s="2165">
        <f t="shared" si="14"/>
        <v>241609</v>
      </c>
      <c r="D182" s="481">
        <v>2153950</v>
      </c>
      <c r="E182" s="3210"/>
      <c r="F182" s="180">
        <v>688093</v>
      </c>
      <c r="G182" s="2166"/>
      <c r="H182" s="877">
        <v>663394</v>
      </c>
      <c r="I182" s="3162">
        <v>935048.80936935067</v>
      </c>
      <c r="J182" s="882"/>
      <c r="K182" s="922"/>
      <c r="L182" s="2167">
        <f t="shared" si="11"/>
        <v>1598442.8093693508</v>
      </c>
      <c r="M182" s="877">
        <v>63608</v>
      </c>
      <c r="N182" s="180">
        <v>178001</v>
      </c>
      <c r="O182" s="3210"/>
      <c r="P182" s="922"/>
      <c r="Q182" s="3211">
        <f t="shared" si="12"/>
        <v>241609</v>
      </c>
    </row>
    <row r="183" spans="1:17">
      <c r="A183" s="63">
        <f t="shared" si="15"/>
        <v>2007.06</v>
      </c>
      <c r="B183" s="866">
        <f t="shared" si="13"/>
        <v>1285700</v>
      </c>
      <c r="C183" s="2165">
        <f t="shared" si="14"/>
        <v>328806</v>
      </c>
      <c r="D183" s="481">
        <v>1564223</v>
      </c>
      <c r="E183" s="3210"/>
      <c r="F183" s="180">
        <v>659794</v>
      </c>
      <c r="G183" s="2166"/>
      <c r="H183" s="877">
        <v>632188</v>
      </c>
      <c r="I183" s="3162">
        <v>653512</v>
      </c>
      <c r="J183" s="882"/>
      <c r="K183" s="922"/>
      <c r="L183" s="2167">
        <f t="shared" si="11"/>
        <v>1285700</v>
      </c>
      <c r="M183" s="877">
        <v>104341</v>
      </c>
      <c r="N183" s="180">
        <v>224465</v>
      </c>
      <c r="O183" s="3210"/>
      <c r="P183" s="922"/>
      <c r="Q183" s="3211">
        <f t="shared" si="12"/>
        <v>328806</v>
      </c>
    </row>
    <row r="184" spans="1:17">
      <c r="A184" s="63">
        <f t="shared" si="15"/>
        <v>2007.07</v>
      </c>
      <c r="B184" s="866">
        <f t="shared" si="13"/>
        <v>1291575</v>
      </c>
      <c r="C184" s="2165">
        <f t="shared" si="14"/>
        <v>274827</v>
      </c>
      <c r="D184" s="481">
        <v>1582896</v>
      </c>
      <c r="E184" s="3210"/>
      <c r="F184" s="180">
        <v>611284</v>
      </c>
      <c r="G184" s="2166"/>
      <c r="H184" s="877">
        <v>585290</v>
      </c>
      <c r="I184" s="3162">
        <v>706285</v>
      </c>
      <c r="J184" s="882"/>
      <c r="K184" s="922"/>
      <c r="L184" s="2167">
        <f t="shared" si="11"/>
        <v>1291575</v>
      </c>
      <c r="M184" s="877">
        <v>190251</v>
      </c>
      <c r="N184" s="180">
        <v>84576</v>
      </c>
      <c r="O184" s="3210"/>
      <c r="P184" s="922"/>
      <c r="Q184" s="3211">
        <f t="shared" si="12"/>
        <v>274827</v>
      </c>
    </row>
    <row r="185" spans="1:17">
      <c r="A185" s="63">
        <f t="shared" si="15"/>
        <v>2007.08</v>
      </c>
      <c r="B185" s="866">
        <f t="shared" si="13"/>
        <v>1188045</v>
      </c>
      <c r="C185" s="2165">
        <f t="shared" si="14"/>
        <v>146476</v>
      </c>
      <c r="D185" s="481">
        <v>1669874</v>
      </c>
      <c r="E185" s="3210"/>
      <c r="F185" s="180">
        <v>373104</v>
      </c>
      <c r="G185" s="2166"/>
      <c r="H185" s="877">
        <v>690439</v>
      </c>
      <c r="I185" s="3162">
        <v>497606</v>
      </c>
      <c r="J185" s="882"/>
      <c r="K185" s="922"/>
      <c r="L185" s="2167">
        <f t="shared" si="11"/>
        <v>1188045</v>
      </c>
      <c r="M185" s="877">
        <v>100751</v>
      </c>
      <c r="N185" s="180">
        <v>45725</v>
      </c>
      <c r="O185" s="3210"/>
      <c r="P185" s="922"/>
      <c r="Q185" s="3211">
        <f t="shared" si="12"/>
        <v>146476</v>
      </c>
    </row>
    <row r="186" spans="1:17">
      <c r="A186" s="63">
        <f t="shared" si="15"/>
        <v>2007.09</v>
      </c>
      <c r="B186" s="866">
        <f>L186</f>
        <v>1250034</v>
      </c>
      <c r="C186" s="2165">
        <f t="shared" si="14"/>
        <v>50632</v>
      </c>
      <c r="D186" s="481">
        <v>1505063</v>
      </c>
      <c r="E186" s="3210"/>
      <c r="F186" s="180">
        <v>116428</v>
      </c>
      <c r="G186" s="2166"/>
      <c r="H186" s="877">
        <v>549685</v>
      </c>
      <c r="I186" s="3162">
        <v>700349</v>
      </c>
      <c r="J186" s="882"/>
      <c r="K186" s="922"/>
      <c r="L186" s="2167">
        <f t="shared" si="11"/>
        <v>1250034</v>
      </c>
      <c r="M186" s="877">
        <v>14500</v>
      </c>
      <c r="N186" s="180">
        <v>36132</v>
      </c>
      <c r="O186" s="3210"/>
      <c r="P186" s="922"/>
      <c r="Q186" s="3211">
        <f t="shared" si="12"/>
        <v>50632</v>
      </c>
    </row>
    <row r="187" spans="1:17">
      <c r="A187" s="63">
        <f t="shared" si="15"/>
        <v>2007.1</v>
      </c>
      <c r="B187" s="866">
        <f t="shared" si="13"/>
        <v>867666</v>
      </c>
      <c r="C187" s="2165">
        <f t="shared" si="14"/>
        <v>7388</v>
      </c>
      <c r="D187" s="481">
        <v>1047065</v>
      </c>
      <c r="E187" s="3210"/>
      <c r="F187" s="180">
        <v>62082</v>
      </c>
      <c r="G187" s="2166"/>
      <c r="H187" s="877">
        <v>467611</v>
      </c>
      <c r="I187" s="3162">
        <v>400055</v>
      </c>
      <c r="J187" s="882"/>
      <c r="K187" s="922"/>
      <c r="L187" s="2167">
        <f t="shared" si="11"/>
        <v>867666</v>
      </c>
      <c r="M187" s="877">
        <v>0</v>
      </c>
      <c r="N187" s="180">
        <v>7388</v>
      </c>
      <c r="O187" s="3210"/>
      <c r="P187" s="922"/>
      <c r="Q187" s="3211">
        <f t="shared" si="12"/>
        <v>7388</v>
      </c>
    </row>
    <row r="188" spans="1:17">
      <c r="A188" s="63">
        <f t="shared" si="15"/>
        <v>2007.11</v>
      </c>
      <c r="B188" s="866">
        <f t="shared" si="13"/>
        <v>386013</v>
      </c>
      <c r="C188" s="2165">
        <f>Q188</f>
        <v>368942</v>
      </c>
      <c r="D188" s="481">
        <v>488678</v>
      </c>
      <c r="E188" s="3210"/>
      <c r="F188" s="180">
        <v>536186</v>
      </c>
      <c r="G188" s="2166"/>
      <c r="H188" s="877">
        <v>135527</v>
      </c>
      <c r="I188" s="3162">
        <v>250486</v>
      </c>
      <c r="J188" s="882"/>
      <c r="K188" s="922"/>
      <c r="L188" s="2167">
        <f t="shared" si="11"/>
        <v>386013</v>
      </c>
      <c r="M188" s="877">
        <v>105054</v>
      </c>
      <c r="N188" s="180">
        <v>263888</v>
      </c>
      <c r="O188" s="3210"/>
      <c r="P188" s="922"/>
      <c r="Q188" s="3211">
        <f t="shared" si="12"/>
        <v>368942</v>
      </c>
    </row>
    <row r="189" spans="1:17">
      <c r="A189" s="63">
        <f t="shared" si="15"/>
        <v>2007.12</v>
      </c>
      <c r="B189" s="866">
        <f t="shared" si="13"/>
        <v>280778</v>
      </c>
      <c r="C189" s="2165">
        <f t="shared" si="14"/>
        <v>1143697</v>
      </c>
      <c r="D189" s="481">
        <v>331444</v>
      </c>
      <c r="E189" s="3210"/>
      <c r="F189" s="180">
        <v>1724593</v>
      </c>
      <c r="G189" s="2166"/>
      <c r="H189" s="877">
        <v>113035</v>
      </c>
      <c r="I189" s="3162">
        <v>167743</v>
      </c>
      <c r="J189" s="882"/>
      <c r="K189" s="922"/>
      <c r="L189" s="2167">
        <f t="shared" si="11"/>
        <v>280778</v>
      </c>
      <c r="M189" s="877">
        <v>523544</v>
      </c>
      <c r="N189" s="180">
        <v>620153</v>
      </c>
      <c r="O189" s="3210"/>
      <c r="P189" s="922"/>
      <c r="Q189" s="3211">
        <f t="shared" si="12"/>
        <v>1143697</v>
      </c>
    </row>
    <row r="190" spans="1:17">
      <c r="A190" s="63">
        <f t="shared" si="15"/>
        <v>2008.01</v>
      </c>
      <c r="B190" s="866">
        <f t="shared" si="13"/>
        <v>123386.28984423952</v>
      </c>
      <c r="C190" s="2165">
        <f t="shared" si="14"/>
        <v>1632380</v>
      </c>
      <c r="D190" s="481">
        <v>124845.35662293155</v>
      </c>
      <c r="E190" s="3210"/>
      <c r="F190" s="180">
        <v>3351208</v>
      </c>
      <c r="G190" s="2166"/>
      <c r="H190" s="877">
        <v>42550</v>
      </c>
      <c r="I190" s="3162">
        <v>80836.289844239524</v>
      </c>
      <c r="J190" s="882"/>
      <c r="K190" s="922"/>
      <c r="L190" s="2167">
        <f t="shared" si="11"/>
        <v>123386.28984423952</v>
      </c>
      <c r="M190" s="877">
        <v>767385</v>
      </c>
      <c r="N190" s="180">
        <v>864995</v>
      </c>
      <c r="O190" s="3210"/>
      <c r="P190" s="922"/>
      <c r="Q190" s="3211">
        <f t="shared" si="12"/>
        <v>1632380</v>
      </c>
    </row>
    <row r="191" spans="1:17">
      <c r="A191" s="63">
        <f t="shared" si="15"/>
        <v>2008.02</v>
      </c>
      <c r="B191" s="866">
        <f t="shared" si="13"/>
        <v>783941.4350068908</v>
      </c>
      <c r="C191" s="2165">
        <f t="shared" si="14"/>
        <v>1050039</v>
      </c>
      <c r="D191" s="481">
        <v>837998.97254652029</v>
      </c>
      <c r="E191" s="3210"/>
      <c r="F191" s="180">
        <v>1599502</v>
      </c>
      <c r="G191" s="2166"/>
      <c r="H191" s="877">
        <v>144118</v>
      </c>
      <c r="I191" s="3162">
        <v>639823.4350068908</v>
      </c>
      <c r="J191" s="882"/>
      <c r="K191" s="922"/>
      <c r="L191" s="2167">
        <f t="shared" si="11"/>
        <v>783941.4350068908</v>
      </c>
      <c r="M191" s="877">
        <v>489005</v>
      </c>
      <c r="N191" s="180">
        <v>561034</v>
      </c>
      <c r="O191" s="3210"/>
      <c r="P191" s="922"/>
      <c r="Q191" s="3211">
        <f t="shared" si="12"/>
        <v>1050039</v>
      </c>
    </row>
    <row r="192" spans="1:17">
      <c r="A192" s="63">
        <f t="shared" si="15"/>
        <v>2008.03</v>
      </c>
      <c r="B192" s="866">
        <f t="shared" si="13"/>
        <v>1756747.9425710104</v>
      </c>
      <c r="C192" s="2165">
        <f t="shared" si="14"/>
        <v>0</v>
      </c>
      <c r="D192" s="481">
        <v>1956124.6708305483</v>
      </c>
      <c r="E192" s="3210"/>
      <c r="F192" s="180">
        <v>2674</v>
      </c>
      <c r="G192" s="2166"/>
      <c r="H192" s="877">
        <v>682556</v>
      </c>
      <c r="I192" s="3162">
        <v>1074191.9425710104</v>
      </c>
      <c r="J192" s="882"/>
      <c r="K192" s="922"/>
      <c r="L192" s="2167">
        <f t="shared" si="11"/>
        <v>1756747.9425710104</v>
      </c>
      <c r="M192" s="877">
        <v>0</v>
      </c>
      <c r="N192" s="180">
        <v>0</v>
      </c>
      <c r="O192" s="3210"/>
      <c r="P192" s="922"/>
      <c r="Q192" s="3211">
        <f t="shared" si="12"/>
        <v>0</v>
      </c>
    </row>
    <row r="193" spans="1:17">
      <c r="A193" s="63">
        <f t="shared" si="15"/>
        <v>2008.04</v>
      </c>
      <c r="B193" s="866">
        <f t="shared" si="13"/>
        <v>1723829.7224124488</v>
      </c>
      <c r="C193" s="2165">
        <f t="shared" si="14"/>
        <v>0</v>
      </c>
      <c r="D193" s="481">
        <v>2111533</v>
      </c>
      <c r="E193" s="3210"/>
      <c r="F193" s="180">
        <v>1298</v>
      </c>
      <c r="G193" s="2166"/>
      <c r="H193" s="877">
        <v>651373</v>
      </c>
      <c r="I193" s="3162">
        <v>1072456.7224124488</v>
      </c>
      <c r="J193" s="882"/>
      <c r="K193" s="922"/>
      <c r="L193" s="2167">
        <f>SUM(H193:K193)</f>
        <v>1723829.7224124488</v>
      </c>
      <c r="M193" s="877">
        <v>0</v>
      </c>
      <c r="N193" s="180">
        <v>0</v>
      </c>
      <c r="O193" s="3210"/>
      <c r="P193" s="922"/>
      <c r="Q193" s="3211">
        <f t="shared" si="12"/>
        <v>0</v>
      </c>
    </row>
    <row r="194" spans="1:17">
      <c r="A194" s="63">
        <f t="shared" si="15"/>
        <v>2008.05</v>
      </c>
      <c r="B194" s="866">
        <f t="shared" si="13"/>
        <v>1669749.6101654104</v>
      </c>
      <c r="C194" s="2165">
        <f t="shared" si="14"/>
        <v>0</v>
      </c>
      <c r="D194" s="481">
        <v>2146635</v>
      </c>
      <c r="E194" s="3210"/>
      <c r="F194" s="180">
        <v>454</v>
      </c>
      <c r="G194" s="2166"/>
      <c r="H194" s="877">
        <v>722824</v>
      </c>
      <c r="I194" s="3162">
        <v>946925.61016541044</v>
      </c>
      <c r="J194" s="882"/>
      <c r="K194" s="922"/>
      <c r="L194" s="2167">
        <f t="shared" si="11"/>
        <v>1669749.6101654104</v>
      </c>
      <c r="M194" s="877">
        <v>0</v>
      </c>
      <c r="N194" s="180">
        <v>0</v>
      </c>
      <c r="O194" s="3210"/>
      <c r="P194" s="922"/>
      <c r="Q194" s="3211">
        <f t="shared" si="12"/>
        <v>0</v>
      </c>
    </row>
    <row r="195" spans="1:17">
      <c r="A195" s="63">
        <f t="shared" si="15"/>
        <v>2008.06</v>
      </c>
      <c r="B195" s="866">
        <f t="shared" si="13"/>
        <v>1013358</v>
      </c>
      <c r="C195" s="2165">
        <f t="shared" si="14"/>
        <v>28143</v>
      </c>
      <c r="D195" s="481">
        <v>1274685</v>
      </c>
      <c r="E195" s="3210"/>
      <c r="F195" s="180">
        <v>93382</v>
      </c>
      <c r="G195" s="2166"/>
      <c r="H195" s="877">
        <v>487769</v>
      </c>
      <c r="I195" s="3162">
        <v>525589</v>
      </c>
      <c r="J195" s="882"/>
      <c r="K195" s="922"/>
      <c r="L195" s="2167">
        <f t="shared" si="11"/>
        <v>1013358</v>
      </c>
      <c r="M195" s="877">
        <v>0</v>
      </c>
      <c r="N195" s="180">
        <v>28143</v>
      </c>
      <c r="O195" s="3210"/>
      <c r="P195" s="922"/>
      <c r="Q195" s="3211">
        <f>SUM(M195:P195)</f>
        <v>28143</v>
      </c>
    </row>
    <row r="196" spans="1:17">
      <c r="A196" s="63">
        <f t="shared" si="15"/>
        <v>2008.07</v>
      </c>
      <c r="B196" s="866">
        <f t="shared" si="13"/>
        <v>2352357</v>
      </c>
      <c r="C196" s="2165">
        <f t="shared" si="14"/>
        <v>12070</v>
      </c>
      <c r="D196" s="481">
        <v>2983621</v>
      </c>
      <c r="E196" s="3210"/>
      <c r="F196" s="180">
        <v>105465</v>
      </c>
      <c r="G196" s="2166"/>
      <c r="H196" s="877">
        <v>883682</v>
      </c>
      <c r="I196" s="3162">
        <v>1468675</v>
      </c>
      <c r="J196" s="882"/>
      <c r="K196" s="922"/>
      <c r="L196" s="2167">
        <f t="shared" si="11"/>
        <v>2352357</v>
      </c>
      <c r="M196" s="877">
        <v>0</v>
      </c>
      <c r="N196" s="180">
        <v>12070</v>
      </c>
      <c r="O196" s="3210"/>
      <c r="P196" s="922"/>
      <c r="Q196" s="3211">
        <f t="shared" si="12"/>
        <v>12070</v>
      </c>
    </row>
    <row r="197" spans="1:17">
      <c r="A197" s="63">
        <f t="shared" si="15"/>
        <v>2008.08</v>
      </c>
      <c r="B197" s="866">
        <f t="shared" si="13"/>
        <v>937976</v>
      </c>
      <c r="C197" s="2165">
        <f t="shared" si="14"/>
        <v>237129</v>
      </c>
      <c r="D197" s="481">
        <v>1176944</v>
      </c>
      <c r="E197" s="3210"/>
      <c r="F197" s="180">
        <v>441124</v>
      </c>
      <c r="G197" s="2166"/>
      <c r="H197" s="877">
        <v>407129</v>
      </c>
      <c r="I197" s="3162">
        <v>530847</v>
      </c>
      <c r="J197" s="882"/>
      <c r="K197" s="922"/>
      <c r="L197" s="2167">
        <f t="shared" si="11"/>
        <v>937976</v>
      </c>
      <c r="M197" s="877">
        <v>36997</v>
      </c>
      <c r="N197" s="180">
        <v>200132</v>
      </c>
      <c r="O197" s="3210"/>
      <c r="P197" s="922"/>
      <c r="Q197" s="3211">
        <f t="shared" si="12"/>
        <v>237129</v>
      </c>
    </row>
    <row r="198" spans="1:17">
      <c r="A198" s="63">
        <f t="shared" si="15"/>
        <v>2008.09</v>
      </c>
      <c r="B198" s="866">
        <f t="shared" si="13"/>
        <v>660198</v>
      </c>
      <c r="C198" s="2165">
        <f t="shared" si="14"/>
        <v>529951</v>
      </c>
      <c r="D198" s="481">
        <v>843710</v>
      </c>
      <c r="E198" s="3210"/>
      <c r="F198" s="180">
        <v>884319</v>
      </c>
      <c r="G198" s="2166"/>
      <c r="H198" s="877">
        <v>167603</v>
      </c>
      <c r="I198" s="3162">
        <v>492595</v>
      </c>
      <c r="J198" s="882"/>
      <c r="K198" s="922"/>
      <c r="L198" s="2167">
        <f t="shared" si="11"/>
        <v>660198</v>
      </c>
      <c r="M198" s="877">
        <v>183625</v>
      </c>
      <c r="N198" s="180">
        <v>346326</v>
      </c>
      <c r="O198" s="3210"/>
      <c r="P198" s="922"/>
      <c r="Q198" s="3211">
        <f t="shared" si="12"/>
        <v>529951</v>
      </c>
    </row>
    <row r="199" spans="1:17">
      <c r="A199" s="63">
        <f t="shared" si="15"/>
        <v>2008.1</v>
      </c>
      <c r="B199" s="866">
        <f t="shared" si="13"/>
        <v>631376</v>
      </c>
      <c r="C199" s="2165">
        <f t="shared" si="14"/>
        <v>278476</v>
      </c>
      <c r="D199" s="481">
        <v>755875</v>
      </c>
      <c r="E199" s="3210"/>
      <c r="F199" s="180">
        <v>599128</v>
      </c>
      <c r="G199" s="2166"/>
      <c r="H199" s="877">
        <v>145616</v>
      </c>
      <c r="I199" s="3162">
        <v>485760</v>
      </c>
      <c r="J199" s="882"/>
      <c r="K199" s="922"/>
      <c r="L199" s="2167">
        <f t="shared" si="11"/>
        <v>631376</v>
      </c>
      <c r="M199" s="877">
        <v>70971</v>
      </c>
      <c r="N199" s="180">
        <v>207505</v>
      </c>
      <c r="O199" s="3210"/>
      <c r="P199" s="922"/>
      <c r="Q199" s="3211">
        <f t="shared" si="12"/>
        <v>278476</v>
      </c>
    </row>
    <row r="200" spans="1:17">
      <c r="A200" s="63">
        <f t="shared" si="15"/>
        <v>2008.11</v>
      </c>
      <c r="B200" s="866">
        <f t="shared" si="13"/>
        <v>335349</v>
      </c>
      <c r="C200" s="2165">
        <f t="shared" si="14"/>
        <v>318908</v>
      </c>
      <c r="D200" s="481">
        <v>406368</v>
      </c>
      <c r="E200" s="3210"/>
      <c r="F200" s="180">
        <v>598213</v>
      </c>
      <c r="G200" s="2166"/>
      <c r="H200" s="877">
        <v>114816</v>
      </c>
      <c r="I200" s="3162">
        <v>220533</v>
      </c>
      <c r="J200" s="882"/>
      <c r="K200" s="922"/>
      <c r="L200" s="2167">
        <f t="shared" si="11"/>
        <v>335349</v>
      </c>
      <c r="M200" s="877">
        <v>75834</v>
      </c>
      <c r="N200" s="180">
        <v>243074</v>
      </c>
      <c r="O200" s="3210"/>
      <c r="P200" s="922"/>
      <c r="Q200" s="3211">
        <f t="shared" si="12"/>
        <v>318908</v>
      </c>
    </row>
    <row r="201" spans="1:17">
      <c r="A201" s="63">
        <f t="shared" si="15"/>
        <v>2008.12</v>
      </c>
      <c r="B201" s="866">
        <f t="shared" si="13"/>
        <v>356096</v>
      </c>
      <c r="C201" s="2165">
        <f t="shared" si="14"/>
        <v>478518</v>
      </c>
      <c r="D201" s="481">
        <v>362631</v>
      </c>
      <c r="E201" s="3210"/>
      <c r="F201" s="180">
        <v>819857</v>
      </c>
      <c r="G201" s="2166"/>
      <c r="H201" s="877">
        <v>124265</v>
      </c>
      <c r="I201" s="3162">
        <v>231831</v>
      </c>
      <c r="J201" s="882"/>
      <c r="K201" s="922"/>
      <c r="L201" s="2167">
        <f t="shared" si="11"/>
        <v>356096</v>
      </c>
      <c r="M201" s="877">
        <v>122086</v>
      </c>
      <c r="N201" s="180">
        <v>356432</v>
      </c>
      <c r="O201" s="3210"/>
      <c r="P201" s="922"/>
      <c r="Q201" s="3211">
        <f t="shared" si="12"/>
        <v>478518</v>
      </c>
    </row>
    <row r="202" spans="1:17">
      <c r="A202" s="63">
        <f t="shared" si="15"/>
        <v>2009.01</v>
      </c>
      <c r="B202" s="866">
        <f t="shared" si="13"/>
        <v>167540.42094001826</v>
      </c>
      <c r="C202" s="2165">
        <f t="shared" si="14"/>
        <v>537852.93162922177</v>
      </c>
      <c r="D202" s="481">
        <v>169133</v>
      </c>
      <c r="E202" s="3210"/>
      <c r="F202" s="180">
        <v>1156327</v>
      </c>
      <c r="G202" s="2166"/>
      <c r="H202" s="877">
        <v>62235.815941479974</v>
      </c>
      <c r="I202" s="3162">
        <v>105304.6049985383</v>
      </c>
      <c r="J202" s="882"/>
      <c r="K202" s="922"/>
      <c r="L202" s="2167">
        <f t="shared" ref="L202:L265" si="16">SUM(H202:K202)</f>
        <v>167540.42094001826</v>
      </c>
      <c r="M202" s="877">
        <v>196462.95392511674</v>
      </c>
      <c r="N202" s="180">
        <v>341389.97770410503</v>
      </c>
      <c r="O202" s="3210"/>
      <c r="P202" s="922"/>
      <c r="Q202" s="3211">
        <f t="shared" ref="Q202:Q265" si="17">SUM(M202:P202)</f>
        <v>537852.93162922177</v>
      </c>
    </row>
    <row r="203" spans="1:17">
      <c r="A203" s="63">
        <f t="shared" si="15"/>
        <v>2009.02</v>
      </c>
      <c r="B203" s="866">
        <f t="shared" si="13"/>
        <v>160388.81098065822</v>
      </c>
      <c r="C203" s="2165">
        <f t="shared" si="14"/>
        <v>592940.6554933798</v>
      </c>
      <c r="D203" s="481">
        <v>178284</v>
      </c>
      <c r="E203" s="3210"/>
      <c r="F203" s="180">
        <v>1113460</v>
      </c>
      <c r="G203" s="2166"/>
      <c r="H203" s="877">
        <v>85896.553731339198</v>
      </c>
      <c r="I203" s="3162">
        <v>74492.257249319038</v>
      </c>
      <c r="J203" s="882"/>
      <c r="K203" s="922"/>
      <c r="L203" s="2167">
        <f t="shared" si="16"/>
        <v>160388.81098065822</v>
      </c>
      <c r="M203" s="877">
        <v>179375.63319748483</v>
      </c>
      <c r="N203" s="180">
        <v>413565.02229589497</v>
      </c>
      <c r="O203" s="3210"/>
      <c r="P203" s="922"/>
      <c r="Q203" s="3211">
        <f t="shared" si="17"/>
        <v>592940.6554933798</v>
      </c>
    </row>
    <row r="204" spans="1:17">
      <c r="A204" s="63">
        <f t="shared" si="15"/>
        <v>2009.03</v>
      </c>
      <c r="B204" s="866">
        <f t="shared" ref="B204:B267" si="18">L204</f>
        <v>951980.48620391381</v>
      </c>
      <c r="C204" s="2165">
        <f t="shared" ref="C204:C267" si="19">Q204</f>
        <v>316292.98113621725</v>
      </c>
      <c r="D204" s="481">
        <v>1116542</v>
      </c>
      <c r="E204" s="3210"/>
      <c r="F204" s="180">
        <v>487322</v>
      </c>
      <c r="G204" s="2166"/>
      <c r="H204" s="877">
        <v>388475.48620391387</v>
      </c>
      <c r="I204" s="3162">
        <v>563505</v>
      </c>
      <c r="J204" s="882"/>
      <c r="K204" s="922"/>
      <c r="L204" s="2167">
        <f t="shared" si="16"/>
        <v>951980.48620391381</v>
      </c>
      <c r="M204" s="877">
        <v>142223.98113621725</v>
      </c>
      <c r="N204" s="180">
        <v>174069</v>
      </c>
      <c r="O204" s="3210"/>
      <c r="P204" s="922"/>
      <c r="Q204" s="3211">
        <f t="shared" si="17"/>
        <v>316292.98113621725</v>
      </c>
    </row>
    <row r="205" spans="1:17">
      <c r="A205" s="63">
        <f t="shared" si="15"/>
        <v>2009.04</v>
      </c>
      <c r="B205" s="866">
        <f t="shared" si="18"/>
        <v>1408081.6087316428</v>
      </c>
      <c r="C205" s="2165">
        <f t="shared" si="19"/>
        <v>207633.25688942548</v>
      </c>
      <c r="D205" s="481">
        <v>1850974</v>
      </c>
      <c r="E205" s="3210"/>
      <c r="F205" s="180">
        <v>450313</v>
      </c>
      <c r="G205" s="2166"/>
      <c r="H205" s="877">
        <v>473460.62568732334</v>
      </c>
      <c r="I205" s="3162">
        <v>934620.98304431955</v>
      </c>
      <c r="J205" s="882"/>
      <c r="K205" s="922"/>
      <c r="L205" s="2167">
        <f t="shared" si="16"/>
        <v>1408081.6087316428</v>
      </c>
      <c r="M205" s="877">
        <v>30490.25688942548</v>
      </c>
      <c r="N205" s="180">
        <v>177143</v>
      </c>
      <c r="O205" s="3210"/>
      <c r="P205" s="922"/>
      <c r="Q205" s="3211">
        <f t="shared" si="17"/>
        <v>207633.25688942548</v>
      </c>
    </row>
    <row r="206" spans="1:17">
      <c r="A206" s="63">
        <f t="shared" si="15"/>
        <v>2009.05</v>
      </c>
      <c r="B206" s="866">
        <f t="shared" si="18"/>
        <v>793319.56147947419</v>
      </c>
      <c r="C206" s="2165">
        <f t="shared" si="19"/>
        <v>54487.495642931208</v>
      </c>
      <c r="D206" s="481">
        <v>1116809</v>
      </c>
      <c r="E206" s="3210"/>
      <c r="F206" s="180">
        <v>310372</v>
      </c>
      <c r="G206" s="2166"/>
      <c r="H206" s="877">
        <v>297749.4967425564</v>
      </c>
      <c r="I206" s="3162">
        <v>495570.06473691779</v>
      </c>
      <c r="J206" s="882"/>
      <c r="K206" s="922"/>
      <c r="L206" s="2167">
        <f t="shared" si="16"/>
        <v>793319.56147947419</v>
      </c>
      <c r="M206" s="877">
        <v>10221.495642931208</v>
      </c>
      <c r="N206" s="180">
        <v>44266</v>
      </c>
      <c r="O206" s="3210"/>
      <c r="P206" s="922"/>
      <c r="Q206" s="3211">
        <f t="shared" si="17"/>
        <v>54487.495642931208</v>
      </c>
    </row>
    <row r="207" spans="1:17">
      <c r="A207" s="63">
        <f t="shared" si="15"/>
        <v>2009.06</v>
      </c>
      <c r="B207" s="866">
        <f t="shared" si="18"/>
        <v>926058.83319303324</v>
      </c>
      <c r="C207" s="2165">
        <f t="shared" si="19"/>
        <v>136002.92524384853</v>
      </c>
      <c r="D207" s="481">
        <v>1123200</v>
      </c>
      <c r="E207" s="3210"/>
      <c r="F207" s="180">
        <v>175395</v>
      </c>
      <c r="G207" s="2166"/>
      <c r="H207" s="877">
        <v>338491.83319303329</v>
      </c>
      <c r="I207" s="3162">
        <v>587567</v>
      </c>
      <c r="J207" s="882"/>
      <c r="K207" s="922"/>
      <c r="L207" s="2167">
        <f t="shared" si="16"/>
        <v>926058.83319303324</v>
      </c>
      <c r="M207" s="877">
        <v>93132.925243848542</v>
      </c>
      <c r="N207" s="180">
        <v>42870</v>
      </c>
      <c r="O207" s="3210"/>
      <c r="P207" s="922"/>
      <c r="Q207" s="3211">
        <f t="shared" si="17"/>
        <v>136002.92524384853</v>
      </c>
    </row>
    <row r="208" spans="1:17">
      <c r="A208" s="63">
        <f t="shared" si="15"/>
        <v>2009.07</v>
      </c>
      <c r="B208" s="866">
        <f t="shared" si="18"/>
        <v>568989.95434666739</v>
      </c>
      <c r="C208" s="2165">
        <f t="shared" si="19"/>
        <v>58937.25688942548</v>
      </c>
      <c r="D208" s="481">
        <v>582792</v>
      </c>
      <c r="E208" s="3210"/>
      <c r="F208" s="180">
        <v>65402</v>
      </c>
      <c r="G208" s="2166"/>
      <c r="H208" s="877">
        <v>129954.95434666736</v>
      </c>
      <c r="I208" s="3162">
        <v>439035</v>
      </c>
      <c r="J208" s="882"/>
      <c r="K208" s="922"/>
      <c r="L208" s="2167">
        <f t="shared" si="16"/>
        <v>568989.95434666739</v>
      </c>
      <c r="M208" s="877">
        <v>30490.25688942548</v>
      </c>
      <c r="N208" s="180">
        <v>28447</v>
      </c>
      <c r="O208" s="3210"/>
      <c r="P208" s="922"/>
      <c r="Q208" s="3211">
        <f t="shared" si="17"/>
        <v>58937.25688942548</v>
      </c>
    </row>
    <row r="209" spans="1:17">
      <c r="A209" s="63">
        <f t="shared" si="15"/>
        <v>2009.08</v>
      </c>
      <c r="B209" s="866">
        <f t="shared" si="18"/>
        <v>285987</v>
      </c>
      <c r="C209" s="2165">
        <f t="shared" si="19"/>
        <v>42269</v>
      </c>
      <c r="D209" s="481">
        <v>341265</v>
      </c>
      <c r="E209" s="3210"/>
      <c r="F209" s="180">
        <v>42269</v>
      </c>
      <c r="G209" s="2166"/>
      <c r="H209" s="877">
        <v>0</v>
      </c>
      <c r="I209" s="3162">
        <v>285987</v>
      </c>
      <c r="J209" s="882"/>
      <c r="K209" s="922"/>
      <c r="L209" s="2167">
        <f t="shared" si="16"/>
        <v>285987</v>
      </c>
      <c r="M209" s="877">
        <v>0</v>
      </c>
      <c r="N209" s="180">
        <v>42269</v>
      </c>
      <c r="O209" s="3210"/>
      <c r="P209" s="922"/>
      <c r="Q209" s="3211">
        <f t="shared" si="17"/>
        <v>42269</v>
      </c>
    </row>
    <row r="210" spans="1:17">
      <c r="A210" s="63">
        <f t="shared" si="15"/>
        <v>2009.09</v>
      </c>
      <c r="B210" s="866">
        <f t="shared" si="18"/>
        <v>110351.09246564051</v>
      </c>
      <c r="C210" s="2165">
        <f t="shared" si="19"/>
        <v>27289</v>
      </c>
      <c r="D210" s="481">
        <v>121782</v>
      </c>
      <c r="E210" s="3210"/>
      <c r="F210" s="180">
        <v>27289</v>
      </c>
      <c r="G210" s="2166"/>
      <c r="H210" s="877">
        <v>53519.092465640511</v>
      </c>
      <c r="I210" s="3162">
        <v>56832</v>
      </c>
      <c r="J210" s="882"/>
      <c r="K210" s="922"/>
      <c r="L210" s="2167">
        <f t="shared" si="16"/>
        <v>110351.09246564051</v>
      </c>
      <c r="M210" s="877">
        <v>0</v>
      </c>
      <c r="N210" s="180">
        <v>27289</v>
      </c>
      <c r="O210" s="3210"/>
      <c r="P210" s="922"/>
      <c r="Q210" s="3211">
        <f t="shared" si="17"/>
        <v>27289</v>
      </c>
    </row>
    <row r="211" spans="1:17">
      <c r="A211" s="63">
        <f t="shared" si="15"/>
        <v>2009.1</v>
      </c>
      <c r="B211" s="866">
        <f t="shared" si="18"/>
        <v>160365.33024204086</v>
      </c>
      <c r="C211" s="2165">
        <f t="shared" si="19"/>
        <v>45213</v>
      </c>
      <c r="D211" s="481">
        <v>158796</v>
      </c>
      <c r="E211" s="3210"/>
      <c r="F211" s="180">
        <v>219263</v>
      </c>
      <c r="G211" s="2166"/>
      <c r="H211" s="877">
        <v>27819.330242040862</v>
      </c>
      <c r="I211" s="3162">
        <v>132546</v>
      </c>
      <c r="J211" s="882"/>
      <c r="K211" s="922"/>
      <c r="L211" s="2167">
        <f t="shared" si="16"/>
        <v>160365.33024204086</v>
      </c>
      <c r="M211" s="877">
        <v>0</v>
      </c>
      <c r="N211" s="180">
        <v>45213</v>
      </c>
      <c r="O211" s="3210"/>
      <c r="P211" s="922"/>
      <c r="Q211" s="3211">
        <f t="shared" si="17"/>
        <v>45213</v>
      </c>
    </row>
    <row r="212" spans="1:17">
      <c r="A212" s="63">
        <f t="shared" si="15"/>
        <v>2009.11</v>
      </c>
      <c r="B212" s="866">
        <f t="shared" si="18"/>
        <v>464878.27280581859</v>
      </c>
      <c r="C212" s="2165">
        <f t="shared" si="19"/>
        <v>167325.49707555043</v>
      </c>
      <c r="D212" s="481">
        <v>488146</v>
      </c>
      <c r="E212" s="3210"/>
      <c r="F212" s="180">
        <v>483483</v>
      </c>
      <c r="G212" s="2166"/>
      <c r="H212" s="877">
        <v>173533.27280581859</v>
      </c>
      <c r="I212" s="3162">
        <v>291345</v>
      </c>
      <c r="J212" s="882"/>
      <c r="K212" s="922"/>
      <c r="L212" s="2167">
        <f t="shared" si="16"/>
        <v>464878.27280581859</v>
      </c>
      <c r="M212" s="877">
        <v>121892.49707555045</v>
      </c>
      <c r="N212" s="180">
        <v>45433</v>
      </c>
      <c r="O212" s="3210"/>
      <c r="P212" s="922"/>
      <c r="Q212" s="3211">
        <f t="shared" si="17"/>
        <v>167325.49707555043</v>
      </c>
    </row>
    <row r="213" spans="1:17">
      <c r="A213" s="63">
        <f t="shared" si="15"/>
        <v>2009.12</v>
      </c>
      <c r="B213" s="866">
        <f t="shared" si="18"/>
        <v>996038.53864018654</v>
      </c>
      <c r="C213" s="2165">
        <f t="shared" si="19"/>
        <v>373075</v>
      </c>
      <c r="D213" s="481">
        <v>1061006</v>
      </c>
      <c r="E213" s="3210"/>
      <c r="F213" s="180">
        <v>510267</v>
      </c>
      <c r="G213" s="2166"/>
      <c r="H213" s="877">
        <v>298421.53864018654</v>
      </c>
      <c r="I213" s="3162">
        <v>697617</v>
      </c>
      <c r="J213" s="882"/>
      <c r="K213" s="922"/>
      <c r="L213" s="2167">
        <f t="shared" si="16"/>
        <v>996038.53864018654</v>
      </c>
      <c r="M213" s="877">
        <v>155911</v>
      </c>
      <c r="N213" s="180">
        <v>217164</v>
      </c>
      <c r="O213" s="3210"/>
      <c r="P213" s="922"/>
      <c r="Q213" s="3211">
        <f t="shared" si="17"/>
        <v>373075</v>
      </c>
    </row>
    <row r="214" spans="1:17">
      <c r="A214" s="63">
        <v>2010.01</v>
      </c>
      <c r="B214" s="866">
        <f t="shared" si="18"/>
        <v>1373506</v>
      </c>
      <c r="C214" s="2165">
        <f t="shared" si="19"/>
        <v>243967</v>
      </c>
      <c r="D214" s="481">
        <v>1558351.1947821444</v>
      </c>
      <c r="E214" s="3210"/>
      <c r="F214" s="180">
        <v>546879</v>
      </c>
      <c r="G214" s="2166"/>
      <c r="H214" s="877">
        <v>586430</v>
      </c>
      <c r="I214" s="3162">
        <v>787076</v>
      </c>
      <c r="J214" s="882"/>
      <c r="K214" s="922"/>
      <c r="L214" s="2167">
        <f t="shared" si="16"/>
        <v>1373506</v>
      </c>
      <c r="M214" s="877">
        <v>164252</v>
      </c>
      <c r="N214" s="180">
        <v>79715</v>
      </c>
      <c r="O214" s="3210"/>
      <c r="P214" s="922"/>
      <c r="Q214" s="3211">
        <f t="shared" si="17"/>
        <v>243967</v>
      </c>
    </row>
    <row r="215" spans="1:17">
      <c r="A215" s="63">
        <v>2010.02</v>
      </c>
      <c r="B215" s="866">
        <f t="shared" si="18"/>
        <v>421156</v>
      </c>
      <c r="C215" s="2165">
        <f t="shared" si="19"/>
        <v>172111</v>
      </c>
      <c r="D215" s="481">
        <v>501288.25164731132</v>
      </c>
      <c r="E215" s="3210"/>
      <c r="F215" s="180">
        <v>422526</v>
      </c>
      <c r="G215" s="2166"/>
      <c r="H215" s="877">
        <v>167892</v>
      </c>
      <c r="I215" s="3162">
        <v>253264</v>
      </c>
      <c r="J215" s="882"/>
      <c r="K215" s="922"/>
      <c r="L215" s="2167">
        <f t="shared" si="16"/>
        <v>421156</v>
      </c>
      <c r="M215" s="877">
        <v>59010</v>
      </c>
      <c r="N215" s="180">
        <v>113101</v>
      </c>
      <c r="O215" s="3210"/>
      <c r="P215" s="922"/>
      <c r="Q215" s="3211">
        <f t="shared" si="17"/>
        <v>172111</v>
      </c>
    </row>
    <row r="216" spans="1:17">
      <c r="A216" s="63">
        <v>2010.03</v>
      </c>
      <c r="B216" s="866">
        <f t="shared" si="18"/>
        <v>1242244</v>
      </c>
      <c r="C216" s="2165">
        <f t="shared" si="19"/>
        <v>102526</v>
      </c>
      <c r="D216" s="481">
        <v>1356332.7026332004</v>
      </c>
      <c r="E216" s="3210"/>
      <c r="F216" s="180">
        <v>279459</v>
      </c>
      <c r="G216" s="2166"/>
      <c r="H216" s="877">
        <v>434822</v>
      </c>
      <c r="I216" s="3162">
        <v>807422</v>
      </c>
      <c r="J216" s="882"/>
      <c r="K216" s="922"/>
      <c r="L216" s="2167">
        <f t="shared" si="16"/>
        <v>1242244</v>
      </c>
      <c r="M216" s="877">
        <v>61840</v>
      </c>
      <c r="N216" s="180">
        <v>40686</v>
      </c>
      <c r="O216" s="3210"/>
      <c r="P216" s="922"/>
      <c r="Q216" s="3211">
        <f t="shared" si="17"/>
        <v>102526</v>
      </c>
    </row>
    <row r="217" spans="1:17">
      <c r="A217" s="63">
        <v>2010.04</v>
      </c>
      <c r="B217" s="866">
        <f t="shared" si="18"/>
        <v>1980346.9612374576</v>
      </c>
      <c r="C217" s="2165">
        <f t="shared" si="19"/>
        <v>147679</v>
      </c>
      <c r="D217" s="481">
        <v>2426571.8304579337</v>
      </c>
      <c r="E217" s="3212">
        <v>1377.5556584913941</v>
      </c>
      <c r="F217" s="180">
        <v>433963</v>
      </c>
      <c r="G217" s="2168">
        <v>0</v>
      </c>
      <c r="H217" s="877">
        <v>853947</v>
      </c>
      <c r="I217" s="3162">
        <v>1125592</v>
      </c>
      <c r="J217" s="883">
        <v>0</v>
      </c>
      <c r="K217" s="923">
        <v>807.96123745763794</v>
      </c>
      <c r="L217" s="2167">
        <f t="shared" si="16"/>
        <v>1980346.9612374576</v>
      </c>
      <c r="M217" s="877">
        <v>60627</v>
      </c>
      <c r="N217" s="180">
        <v>87052</v>
      </c>
      <c r="O217" s="3212">
        <v>0</v>
      </c>
      <c r="P217" s="924">
        <v>0</v>
      </c>
      <c r="Q217" s="3211">
        <f t="shared" si="17"/>
        <v>147679</v>
      </c>
    </row>
    <row r="218" spans="1:17">
      <c r="A218" s="63">
        <v>2010.05</v>
      </c>
      <c r="B218" s="866">
        <f t="shared" si="18"/>
        <v>1589871</v>
      </c>
      <c r="C218" s="2165">
        <f t="shared" si="19"/>
        <v>130518</v>
      </c>
      <c r="D218" s="481">
        <v>2100966.70827172</v>
      </c>
      <c r="E218" s="3162">
        <v>0</v>
      </c>
      <c r="F218" s="180">
        <v>443229</v>
      </c>
      <c r="G218" s="2169">
        <v>0</v>
      </c>
      <c r="H218" s="877">
        <v>652485</v>
      </c>
      <c r="I218" s="3162">
        <v>937386</v>
      </c>
      <c r="J218" s="884">
        <v>0</v>
      </c>
      <c r="K218" s="180">
        <v>0</v>
      </c>
      <c r="L218" s="2167">
        <f t="shared" si="16"/>
        <v>1589871</v>
      </c>
      <c r="M218" s="877">
        <v>41907</v>
      </c>
      <c r="N218" s="180">
        <v>88611</v>
      </c>
      <c r="O218" s="3162">
        <v>0</v>
      </c>
      <c r="P218" s="180">
        <v>0</v>
      </c>
      <c r="Q218" s="3211">
        <f t="shared" si="17"/>
        <v>130518</v>
      </c>
    </row>
    <row r="219" spans="1:17">
      <c r="A219" s="63">
        <v>2010.06</v>
      </c>
      <c r="B219" s="866">
        <f t="shared" si="18"/>
        <v>1734775</v>
      </c>
      <c r="C219" s="2165">
        <f t="shared" si="19"/>
        <v>151886</v>
      </c>
      <c r="D219" s="481">
        <v>2198895.2421183772</v>
      </c>
      <c r="E219" s="3162">
        <v>0</v>
      </c>
      <c r="F219" s="180">
        <v>397949</v>
      </c>
      <c r="G219" s="2169">
        <v>0</v>
      </c>
      <c r="H219" s="877">
        <v>543867</v>
      </c>
      <c r="I219" s="3162">
        <v>1190908</v>
      </c>
      <c r="J219" s="884">
        <v>0</v>
      </c>
      <c r="K219" s="180">
        <v>0</v>
      </c>
      <c r="L219" s="2167">
        <f t="shared" si="16"/>
        <v>1734775</v>
      </c>
      <c r="M219" s="877">
        <v>51750</v>
      </c>
      <c r="N219" s="180">
        <v>100136</v>
      </c>
      <c r="O219" s="3162">
        <v>0</v>
      </c>
      <c r="P219" s="180">
        <v>0</v>
      </c>
      <c r="Q219" s="3211">
        <f t="shared" si="17"/>
        <v>151886</v>
      </c>
    </row>
    <row r="220" spans="1:17">
      <c r="A220" s="63">
        <v>2010.07</v>
      </c>
      <c r="B220" s="866">
        <f t="shared" si="18"/>
        <v>1638761</v>
      </c>
      <c r="C220" s="2165">
        <f t="shared" si="19"/>
        <v>39873</v>
      </c>
      <c r="D220" s="481">
        <v>2065006.5583314612</v>
      </c>
      <c r="E220" s="3162">
        <v>0</v>
      </c>
      <c r="F220" s="180">
        <v>230717</v>
      </c>
      <c r="G220" s="2169">
        <v>0</v>
      </c>
      <c r="H220" s="877">
        <v>592086</v>
      </c>
      <c r="I220" s="3162">
        <v>1046675</v>
      </c>
      <c r="J220" s="884">
        <v>0</v>
      </c>
      <c r="K220" s="180">
        <v>0</v>
      </c>
      <c r="L220" s="2167">
        <f t="shared" si="16"/>
        <v>1638761</v>
      </c>
      <c r="M220" s="877">
        <v>11550</v>
      </c>
      <c r="N220" s="180">
        <v>28323</v>
      </c>
      <c r="O220" s="3162">
        <v>0</v>
      </c>
      <c r="P220" s="180">
        <v>0</v>
      </c>
      <c r="Q220" s="3211">
        <f t="shared" si="17"/>
        <v>39873</v>
      </c>
    </row>
    <row r="221" spans="1:17">
      <c r="A221" s="63">
        <v>2010.08</v>
      </c>
      <c r="B221" s="866">
        <f t="shared" si="18"/>
        <v>1158715</v>
      </c>
      <c r="C221" s="2165">
        <f t="shared" si="19"/>
        <v>0</v>
      </c>
      <c r="D221" s="481">
        <v>1409249.5248454057</v>
      </c>
      <c r="E221" s="3162">
        <v>0</v>
      </c>
      <c r="F221" s="180">
        <v>139809</v>
      </c>
      <c r="G221" s="2169">
        <v>0</v>
      </c>
      <c r="H221" s="877">
        <v>482639</v>
      </c>
      <c r="I221" s="3162">
        <v>676076</v>
      </c>
      <c r="J221" s="884">
        <v>0</v>
      </c>
      <c r="K221" s="180">
        <v>0</v>
      </c>
      <c r="L221" s="2167">
        <f t="shared" si="16"/>
        <v>1158715</v>
      </c>
      <c r="M221" s="877">
        <v>0</v>
      </c>
      <c r="N221" s="180">
        <v>0</v>
      </c>
      <c r="O221" s="3162">
        <v>0</v>
      </c>
      <c r="P221" s="180">
        <v>0</v>
      </c>
      <c r="Q221" s="3211">
        <f t="shared" si="17"/>
        <v>0</v>
      </c>
    </row>
    <row r="222" spans="1:17">
      <c r="A222" s="63">
        <v>2010.09</v>
      </c>
      <c r="B222" s="866">
        <f t="shared" si="18"/>
        <v>846472.53393849905</v>
      </c>
      <c r="C222" s="2165">
        <f t="shared" si="19"/>
        <v>56575</v>
      </c>
      <c r="D222" s="481">
        <v>926326.49972130358</v>
      </c>
      <c r="E222" s="3162">
        <v>90649.444341508613</v>
      </c>
      <c r="F222" s="180">
        <v>146077</v>
      </c>
      <c r="G222" s="2169">
        <v>0</v>
      </c>
      <c r="H222" s="877">
        <v>439461</v>
      </c>
      <c r="I222" s="3162">
        <v>353844</v>
      </c>
      <c r="J222" s="884">
        <v>0</v>
      </c>
      <c r="K222" s="180">
        <v>53167.533938499037</v>
      </c>
      <c r="L222" s="2167">
        <f t="shared" si="16"/>
        <v>846472.53393849905</v>
      </c>
      <c r="M222" s="877">
        <v>0</v>
      </c>
      <c r="N222" s="180">
        <v>56575</v>
      </c>
      <c r="O222" s="3162">
        <v>0</v>
      </c>
      <c r="P222" s="180">
        <v>0</v>
      </c>
      <c r="Q222" s="3211">
        <f t="shared" si="17"/>
        <v>56575</v>
      </c>
    </row>
    <row r="223" spans="1:17">
      <c r="A223" s="63">
        <v>2010.1</v>
      </c>
      <c r="B223" s="866">
        <f t="shared" si="18"/>
        <v>793764.80250603729</v>
      </c>
      <c r="C223" s="2165">
        <f t="shared" si="19"/>
        <v>8149</v>
      </c>
      <c r="D223" s="481">
        <v>880345.40664546425</v>
      </c>
      <c r="E223" s="3162">
        <v>59952</v>
      </c>
      <c r="F223" s="180">
        <v>73565</v>
      </c>
      <c r="G223" s="2169">
        <v>0</v>
      </c>
      <c r="H223" s="877">
        <v>289452</v>
      </c>
      <c r="I223" s="3162">
        <v>451719</v>
      </c>
      <c r="J223" s="884">
        <v>0</v>
      </c>
      <c r="K223" s="180">
        <v>52593.80250603726</v>
      </c>
      <c r="L223" s="2167">
        <f t="shared" si="16"/>
        <v>793764.80250603729</v>
      </c>
      <c r="M223" s="877">
        <v>8149</v>
      </c>
      <c r="N223" s="180">
        <v>0</v>
      </c>
      <c r="O223" s="3162">
        <v>0</v>
      </c>
      <c r="P223" s="180">
        <v>0</v>
      </c>
      <c r="Q223" s="3211">
        <f t="shared" si="17"/>
        <v>8149</v>
      </c>
    </row>
    <row r="224" spans="1:17">
      <c r="A224" s="63">
        <v>2010.11</v>
      </c>
      <c r="B224" s="866">
        <f t="shared" si="18"/>
        <v>597266</v>
      </c>
      <c r="C224" s="2165">
        <f t="shared" si="19"/>
        <v>158280</v>
      </c>
      <c r="D224" s="481">
        <v>638087.08054567827</v>
      </c>
      <c r="E224" s="3162">
        <v>62646</v>
      </c>
      <c r="F224" s="180">
        <v>158302</v>
      </c>
      <c r="G224" s="2169">
        <v>0</v>
      </c>
      <c r="H224" s="877">
        <v>287524</v>
      </c>
      <c r="I224" s="3162">
        <v>309742</v>
      </c>
      <c r="J224" s="884">
        <v>0</v>
      </c>
      <c r="K224" s="180">
        <v>0</v>
      </c>
      <c r="L224" s="2167">
        <f t="shared" si="16"/>
        <v>597266</v>
      </c>
      <c r="M224" s="877">
        <v>23304</v>
      </c>
      <c r="N224" s="180">
        <v>108748</v>
      </c>
      <c r="O224" s="3162">
        <v>0</v>
      </c>
      <c r="P224" s="180">
        <v>26228</v>
      </c>
      <c r="Q224" s="3211">
        <f t="shared" si="17"/>
        <v>158280</v>
      </c>
    </row>
    <row r="225" spans="1:17">
      <c r="A225" s="63">
        <v>2010.12</v>
      </c>
      <c r="B225" s="866">
        <f t="shared" si="18"/>
        <v>547942.70231800608</v>
      </c>
      <c r="C225" s="2165">
        <f t="shared" si="19"/>
        <v>597613</v>
      </c>
      <c r="D225" s="481">
        <v>519013</v>
      </c>
      <c r="E225" s="3162">
        <v>64759</v>
      </c>
      <c r="F225" s="180">
        <v>716966</v>
      </c>
      <c r="G225" s="2169">
        <v>0</v>
      </c>
      <c r="H225" s="877">
        <v>227385</v>
      </c>
      <c r="I225" s="3162">
        <v>275148</v>
      </c>
      <c r="J225" s="884">
        <v>0</v>
      </c>
      <c r="K225" s="180">
        <v>45409.702318006071</v>
      </c>
      <c r="L225" s="2167">
        <f t="shared" si="16"/>
        <v>547942.70231800608</v>
      </c>
      <c r="M225" s="877">
        <v>149018</v>
      </c>
      <c r="N225" s="180">
        <v>410303</v>
      </c>
      <c r="O225" s="3162">
        <v>0</v>
      </c>
      <c r="P225" s="180">
        <v>38292</v>
      </c>
      <c r="Q225" s="3211">
        <f t="shared" si="17"/>
        <v>597613</v>
      </c>
    </row>
    <row r="226" spans="1:17">
      <c r="A226" s="63">
        <v>2011.01</v>
      </c>
      <c r="B226" s="866">
        <f t="shared" si="18"/>
        <v>492161.15098030714</v>
      </c>
      <c r="C226" s="2165">
        <f t="shared" si="19"/>
        <v>721925</v>
      </c>
      <c r="D226" s="481">
        <v>489126.77585003123</v>
      </c>
      <c r="E226" s="3162">
        <v>27805.735621353811</v>
      </c>
      <c r="F226" s="180">
        <v>1036732.6796669072</v>
      </c>
      <c r="G226" s="2169">
        <v>0</v>
      </c>
      <c r="H226" s="877">
        <v>274714.99769607373</v>
      </c>
      <c r="I226" s="3162">
        <v>177097.15328423338</v>
      </c>
      <c r="J226" s="884">
        <v>0</v>
      </c>
      <c r="K226" s="180">
        <v>40349</v>
      </c>
      <c r="L226" s="2167">
        <f t="shared" si="16"/>
        <v>492161.15098030714</v>
      </c>
      <c r="M226" s="877">
        <v>349153</v>
      </c>
      <c r="N226" s="180">
        <v>344861</v>
      </c>
      <c r="O226" s="3162">
        <v>0</v>
      </c>
      <c r="P226" s="180">
        <v>27911</v>
      </c>
      <c r="Q226" s="3211">
        <f t="shared" si="17"/>
        <v>721925</v>
      </c>
    </row>
    <row r="227" spans="1:17">
      <c r="A227" s="63">
        <v>2011.02</v>
      </c>
      <c r="B227" s="866">
        <f t="shared" si="18"/>
        <v>555000.43778002867</v>
      </c>
      <c r="C227" s="2165">
        <f t="shared" si="19"/>
        <v>725230</v>
      </c>
      <c r="D227" s="481">
        <v>562193.8499001055</v>
      </c>
      <c r="E227" s="3162">
        <v>19927.593173627305</v>
      </c>
      <c r="F227" s="180">
        <v>1086216.625413747</v>
      </c>
      <c r="G227" s="2169">
        <v>0</v>
      </c>
      <c r="H227" s="877">
        <v>266461.2083803835</v>
      </c>
      <c r="I227" s="3162">
        <v>259622.22939964518</v>
      </c>
      <c r="J227" s="884">
        <v>0</v>
      </c>
      <c r="K227" s="180">
        <v>28917</v>
      </c>
      <c r="L227" s="2167">
        <f t="shared" si="16"/>
        <v>555000.43778002867</v>
      </c>
      <c r="M227" s="877">
        <v>123049</v>
      </c>
      <c r="N227" s="180">
        <v>564012</v>
      </c>
      <c r="O227" s="3162">
        <v>0</v>
      </c>
      <c r="P227" s="180">
        <v>38169</v>
      </c>
      <c r="Q227" s="3211">
        <f t="shared" si="17"/>
        <v>725230</v>
      </c>
    </row>
    <row r="228" spans="1:17">
      <c r="A228" s="63">
        <v>2011.03</v>
      </c>
      <c r="B228" s="866">
        <f t="shared" si="18"/>
        <v>1419695.1002863082</v>
      </c>
      <c r="C228" s="2165">
        <f t="shared" si="19"/>
        <v>615504</v>
      </c>
      <c r="D228" s="481">
        <v>1513941.8337871232</v>
      </c>
      <c r="E228" s="3162">
        <v>0</v>
      </c>
      <c r="F228" s="180">
        <v>935915.91908484069</v>
      </c>
      <c r="G228" s="2169">
        <v>0</v>
      </c>
      <c r="H228" s="877">
        <v>594982.60082949908</v>
      </c>
      <c r="I228" s="3162">
        <v>824712.49945680914</v>
      </c>
      <c r="J228" s="884">
        <v>0</v>
      </c>
      <c r="K228" s="180">
        <v>0</v>
      </c>
      <c r="L228" s="2167">
        <f t="shared" si="16"/>
        <v>1419695.1002863082</v>
      </c>
      <c r="M228" s="877">
        <v>269650</v>
      </c>
      <c r="N228" s="180">
        <v>345854</v>
      </c>
      <c r="O228" s="3162">
        <v>0</v>
      </c>
      <c r="P228" s="180">
        <v>0</v>
      </c>
      <c r="Q228" s="3211">
        <f t="shared" si="17"/>
        <v>615504</v>
      </c>
    </row>
    <row r="229" spans="1:17">
      <c r="A229" s="63">
        <v>2011.04</v>
      </c>
      <c r="B229" s="866">
        <f t="shared" si="18"/>
        <v>1446098.1215359429</v>
      </c>
      <c r="C229" s="2165">
        <f t="shared" si="19"/>
        <v>235132</v>
      </c>
      <c r="D229" s="481">
        <v>1809909.4554141301</v>
      </c>
      <c r="E229" s="3162">
        <v>0</v>
      </c>
      <c r="F229" s="180">
        <v>507177.94243946619</v>
      </c>
      <c r="G229" s="2169">
        <v>0</v>
      </c>
      <c r="H229" s="877">
        <v>642841.63882082549</v>
      </c>
      <c r="I229" s="3162">
        <v>803256.48271511728</v>
      </c>
      <c r="J229" s="884">
        <v>0</v>
      </c>
      <c r="K229" s="180">
        <v>0</v>
      </c>
      <c r="L229" s="2167">
        <f t="shared" si="16"/>
        <v>1446098.1215359429</v>
      </c>
      <c r="M229" s="877">
        <v>82753</v>
      </c>
      <c r="N229" s="180">
        <v>152379</v>
      </c>
      <c r="O229" s="3162">
        <v>0</v>
      </c>
      <c r="P229" s="180">
        <v>0</v>
      </c>
      <c r="Q229" s="3211">
        <f t="shared" si="17"/>
        <v>235132</v>
      </c>
    </row>
    <row r="230" spans="1:17">
      <c r="A230" s="63">
        <v>2011.05</v>
      </c>
      <c r="B230" s="866">
        <f t="shared" si="18"/>
        <v>1831652.8197707213</v>
      </c>
      <c r="C230" s="2165">
        <f t="shared" si="19"/>
        <v>235204</v>
      </c>
      <c r="D230" s="481">
        <v>2412867.0760402791</v>
      </c>
      <c r="E230" s="3162">
        <v>0</v>
      </c>
      <c r="F230" s="180">
        <v>715427.83339503885</v>
      </c>
      <c r="G230" s="2169">
        <v>0</v>
      </c>
      <c r="H230" s="877">
        <v>655729.09025482892</v>
      </c>
      <c r="I230" s="3162">
        <v>1175923.7295158922</v>
      </c>
      <c r="J230" s="884">
        <v>0</v>
      </c>
      <c r="K230" s="180">
        <v>0</v>
      </c>
      <c r="L230" s="2167">
        <f t="shared" si="16"/>
        <v>1831652.8197707213</v>
      </c>
      <c r="M230" s="877">
        <v>123050</v>
      </c>
      <c r="N230" s="180">
        <v>112154</v>
      </c>
      <c r="O230" s="3162">
        <v>0</v>
      </c>
      <c r="P230" s="180">
        <v>0</v>
      </c>
      <c r="Q230" s="3211">
        <f t="shared" si="17"/>
        <v>235204</v>
      </c>
    </row>
    <row r="231" spans="1:17">
      <c r="A231" s="63">
        <v>2011.06</v>
      </c>
      <c r="B231" s="866">
        <f t="shared" si="18"/>
        <v>1398816.2727613978</v>
      </c>
      <c r="C231" s="2165">
        <f t="shared" si="19"/>
        <v>327302</v>
      </c>
      <c r="D231" s="481">
        <v>1789609.162553841</v>
      </c>
      <c r="E231" s="3162">
        <v>0</v>
      </c>
      <c r="F231" s="180">
        <v>591808</v>
      </c>
      <c r="G231" s="2169">
        <v>0</v>
      </c>
      <c r="H231" s="877">
        <v>540044.38407282962</v>
      </c>
      <c r="I231" s="3162">
        <v>858771.88868856814</v>
      </c>
      <c r="J231" s="884">
        <v>0</v>
      </c>
      <c r="K231" s="180">
        <v>0</v>
      </c>
      <c r="L231" s="2167">
        <f t="shared" si="16"/>
        <v>1398816.2727613978</v>
      </c>
      <c r="M231" s="877">
        <v>166844</v>
      </c>
      <c r="N231" s="180">
        <v>160458</v>
      </c>
      <c r="O231" s="3162">
        <v>0</v>
      </c>
      <c r="P231" s="180">
        <v>0</v>
      </c>
      <c r="Q231" s="3211">
        <f t="shared" si="17"/>
        <v>327302</v>
      </c>
    </row>
    <row r="232" spans="1:17">
      <c r="A232" s="63">
        <v>2011.07</v>
      </c>
      <c r="B232" s="866">
        <f t="shared" si="18"/>
        <v>1109422.0968852942</v>
      </c>
      <c r="C232" s="2165">
        <f t="shared" si="19"/>
        <v>228796</v>
      </c>
      <c r="D232" s="481">
        <v>1371364.8464544895</v>
      </c>
      <c r="E232" s="3162">
        <v>0</v>
      </c>
      <c r="F232" s="180">
        <v>340456</v>
      </c>
      <c r="G232" s="2169">
        <v>0</v>
      </c>
      <c r="H232" s="877">
        <v>448659.07994555973</v>
      </c>
      <c r="I232" s="3162">
        <v>660763.01693973457</v>
      </c>
      <c r="J232" s="884">
        <v>0</v>
      </c>
      <c r="K232" s="180">
        <v>0</v>
      </c>
      <c r="L232" s="2167">
        <f t="shared" si="16"/>
        <v>1109422.0968852942</v>
      </c>
      <c r="M232" s="877">
        <v>116836</v>
      </c>
      <c r="N232" s="180">
        <v>111960</v>
      </c>
      <c r="O232" s="3162">
        <v>0</v>
      </c>
      <c r="P232" s="180">
        <v>0</v>
      </c>
      <c r="Q232" s="3211">
        <f t="shared" si="17"/>
        <v>228796</v>
      </c>
    </row>
    <row r="233" spans="1:17">
      <c r="A233" s="63">
        <v>2011.08</v>
      </c>
      <c r="B233" s="866">
        <f t="shared" si="18"/>
        <v>1265560</v>
      </c>
      <c r="C233" s="2165">
        <f t="shared" si="19"/>
        <v>350761</v>
      </c>
      <c r="D233" s="481">
        <v>1706260</v>
      </c>
      <c r="E233" s="3162">
        <v>40033.67120501888</v>
      </c>
      <c r="F233" s="180">
        <v>553854</v>
      </c>
      <c r="G233" s="2169">
        <v>0</v>
      </c>
      <c r="H233" s="877">
        <v>309157</v>
      </c>
      <c r="I233" s="3162">
        <v>937902</v>
      </c>
      <c r="J233" s="884">
        <v>18501</v>
      </c>
      <c r="K233" s="180">
        <v>0</v>
      </c>
      <c r="L233" s="2167">
        <f t="shared" si="16"/>
        <v>1265560</v>
      </c>
      <c r="M233" s="877">
        <v>207488</v>
      </c>
      <c r="N233" s="180">
        <v>85180</v>
      </c>
      <c r="O233" s="3162">
        <v>24733</v>
      </c>
      <c r="P233" s="180">
        <v>33360</v>
      </c>
      <c r="Q233" s="3211">
        <f t="shared" si="17"/>
        <v>350761</v>
      </c>
    </row>
    <row r="234" spans="1:17">
      <c r="A234" s="63">
        <v>2011.09</v>
      </c>
      <c r="B234" s="866">
        <f t="shared" si="18"/>
        <v>848204</v>
      </c>
      <c r="C234" s="2165">
        <f t="shared" si="19"/>
        <v>190408</v>
      </c>
      <c r="D234" s="481">
        <v>866259</v>
      </c>
      <c r="E234" s="3162">
        <v>17483</v>
      </c>
      <c r="F234" s="180">
        <v>382721</v>
      </c>
      <c r="G234" s="2169">
        <v>0</v>
      </c>
      <c r="H234" s="877">
        <v>283138</v>
      </c>
      <c r="I234" s="3162">
        <v>547583</v>
      </c>
      <c r="J234" s="884">
        <v>17483</v>
      </c>
      <c r="K234" s="180">
        <v>0</v>
      </c>
      <c r="L234" s="2167">
        <f t="shared" si="16"/>
        <v>848204</v>
      </c>
      <c r="M234" s="877">
        <v>82474</v>
      </c>
      <c r="N234" s="180">
        <v>107934</v>
      </c>
      <c r="O234" s="3162">
        <v>0</v>
      </c>
      <c r="P234" s="180">
        <v>0</v>
      </c>
      <c r="Q234" s="3211">
        <f t="shared" si="17"/>
        <v>190408</v>
      </c>
    </row>
    <row r="235" spans="1:17">
      <c r="A235" s="63">
        <v>2011.1</v>
      </c>
      <c r="B235" s="866">
        <f t="shared" si="18"/>
        <v>576965</v>
      </c>
      <c r="C235" s="2165">
        <f t="shared" si="19"/>
        <v>242116</v>
      </c>
      <c r="D235" s="481">
        <v>567738</v>
      </c>
      <c r="E235" s="3162">
        <v>57182</v>
      </c>
      <c r="F235" s="180">
        <v>462858</v>
      </c>
      <c r="G235" s="2169">
        <v>0</v>
      </c>
      <c r="H235" s="877">
        <v>137369</v>
      </c>
      <c r="I235" s="3162">
        <v>382414</v>
      </c>
      <c r="J235" s="884">
        <v>5081</v>
      </c>
      <c r="K235" s="180">
        <v>52101</v>
      </c>
      <c r="L235" s="2167">
        <f t="shared" si="16"/>
        <v>576965</v>
      </c>
      <c r="M235" s="877">
        <v>161035</v>
      </c>
      <c r="N235" s="180">
        <v>81081</v>
      </c>
      <c r="O235" s="3162">
        <v>0</v>
      </c>
      <c r="P235" s="180">
        <v>0</v>
      </c>
      <c r="Q235" s="3211">
        <f t="shared" si="17"/>
        <v>242116</v>
      </c>
    </row>
    <row r="236" spans="1:17">
      <c r="A236" s="63">
        <v>2011.11</v>
      </c>
      <c r="B236" s="866">
        <f t="shared" si="18"/>
        <v>707352</v>
      </c>
      <c r="C236" s="2165">
        <f t="shared" si="19"/>
        <v>342785</v>
      </c>
      <c r="D236" s="481">
        <v>709191</v>
      </c>
      <c r="E236" s="3162">
        <v>121603</v>
      </c>
      <c r="F236" s="180">
        <v>467309</v>
      </c>
      <c r="G236" s="2169">
        <v>0</v>
      </c>
      <c r="H236" s="877">
        <v>239275</v>
      </c>
      <c r="I236" s="3162">
        <v>346474</v>
      </c>
      <c r="J236" s="884">
        <v>65249</v>
      </c>
      <c r="K236" s="180">
        <v>56354</v>
      </c>
      <c r="L236" s="2167">
        <f t="shared" si="16"/>
        <v>707352</v>
      </c>
      <c r="M236" s="877">
        <v>189695</v>
      </c>
      <c r="N236" s="180">
        <v>153090</v>
      </c>
      <c r="O236" s="3162">
        <v>0</v>
      </c>
      <c r="P236" s="180">
        <v>0</v>
      </c>
      <c r="Q236" s="3211">
        <f t="shared" si="17"/>
        <v>342785</v>
      </c>
    </row>
    <row r="237" spans="1:17">
      <c r="A237" s="63">
        <v>2011.12</v>
      </c>
      <c r="B237" s="866">
        <f t="shared" si="18"/>
        <v>735998</v>
      </c>
      <c r="C237" s="2165">
        <f t="shared" si="19"/>
        <v>604368</v>
      </c>
      <c r="D237" s="481">
        <v>663903</v>
      </c>
      <c r="E237" s="3162">
        <v>91845</v>
      </c>
      <c r="F237" s="180">
        <v>776019</v>
      </c>
      <c r="G237" s="2169">
        <v>0</v>
      </c>
      <c r="H237" s="877">
        <v>141023</v>
      </c>
      <c r="I237" s="3162">
        <v>503130</v>
      </c>
      <c r="J237" s="884">
        <v>7816</v>
      </c>
      <c r="K237" s="180">
        <v>84029</v>
      </c>
      <c r="L237" s="2167">
        <f t="shared" si="16"/>
        <v>735998</v>
      </c>
      <c r="M237" s="877">
        <v>164815</v>
      </c>
      <c r="N237" s="180">
        <v>439553</v>
      </c>
      <c r="O237" s="3162">
        <v>0</v>
      </c>
      <c r="P237" s="180">
        <v>0</v>
      </c>
      <c r="Q237" s="3211">
        <f t="shared" si="17"/>
        <v>604368</v>
      </c>
    </row>
    <row r="238" spans="1:17">
      <c r="A238" s="63">
        <v>2012.01</v>
      </c>
      <c r="B238" s="866">
        <f t="shared" si="18"/>
        <v>576505</v>
      </c>
      <c r="C238" s="2165">
        <f t="shared" si="19"/>
        <v>830933.86637659778</v>
      </c>
      <c r="D238" s="481">
        <v>540103</v>
      </c>
      <c r="E238" s="3162">
        <v>41902</v>
      </c>
      <c r="F238" s="180">
        <v>1295318.8663765979</v>
      </c>
      <c r="G238" s="2169">
        <v>0</v>
      </c>
      <c r="H238" s="877">
        <v>74054</v>
      </c>
      <c r="I238" s="3162">
        <v>460549</v>
      </c>
      <c r="J238" s="884">
        <v>0</v>
      </c>
      <c r="K238" s="180">
        <v>41902</v>
      </c>
      <c r="L238" s="2167">
        <f t="shared" si="16"/>
        <v>576505</v>
      </c>
      <c r="M238" s="877">
        <v>493631</v>
      </c>
      <c r="N238" s="180">
        <v>337302.86637659778</v>
      </c>
      <c r="O238" s="3162">
        <v>0</v>
      </c>
      <c r="P238" s="180">
        <v>0</v>
      </c>
      <c r="Q238" s="3211">
        <f t="shared" si="17"/>
        <v>830933.86637659778</v>
      </c>
    </row>
    <row r="239" spans="1:17">
      <c r="A239" s="63">
        <v>2012.02</v>
      </c>
      <c r="B239" s="866">
        <f t="shared" si="18"/>
        <v>1536468</v>
      </c>
      <c r="C239" s="2165">
        <f t="shared" si="19"/>
        <v>924592.13362340222</v>
      </c>
      <c r="D239" s="481">
        <v>1803731</v>
      </c>
      <c r="E239" s="3162">
        <v>46387</v>
      </c>
      <c r="F239" s="180">
        <v>1317555.1336234021</v>
      </c>
      <c r="G239" s="2169">
        <v>0</v>
      </c>
      <c r="H239" s="877">
        <v>612933</v>
      </c>
      <c r="I239" s="3162">
        <v>877148</v>
      </c>
      <c r="J239" s="884">
        <v>10772</v>
      </c>
      <c r="K239" s="180">
        <v>35615</v>
      </c>
      <c r="L239" s="2167">
        <f t="shared" si="16"/>
        <v>1536468</v>
      </c>
      <c r="M239" s="877">
        <v>347958</v>
      </c>
      <c r="N239" s="180">
        <v>565133.13362340222</v>
      </c>
      <c r="O239" s="3162">
        <v>0</v>
      </c>
      <c r="P239" s="180">
        <v>11501</v>
      </c>
      <c r="Q239" s="3211">
        <f t="shared" si="17"/>
        <v>924592.13362340222</v>
      </c>
    </row>
    <row r="240" spans="1:17">
      <c r="A240" s="63">
        <v>2012.03</v>
      </c>
      <c r="B240" s="866">
        <f t="shared" si="18"/>
        <v>1229074</v>
      </c>
      <c r="C240" s="2165">
        <f t="shared" si="19"/>
        <v>718488</v>
      </c>
      <c r="D240" s="481">
        <v>1480973</v>
      </c>
      <c r="E240" s="3162">
        <v>0</v>
      </c>
      <c r="F240" s="180">
        <v>1190617</v>
      </c>
      <c r="G240" s="2169">
        <v>0</v>
      </c>
      <c r="H240" s="877">
        <v>594238</v>
      </c>
      <c r="I240" s="3162">
        <v>634836</v>
      </c>
      <c r="J240" s="884">
        <v>0</v>
      </c>
      <c r="K240" s="180">
        <v>0</v>
      </c>
      <c r="L240" s="2167">
        <f t="shared" si="16"/>
        <v>1229074</v>
      </c>
      <c r="M240" s="877">
        <v>292078</v>
      </c>
      <c r="N240" s="180">
        <v>415917</v>
      </c>
      <c r="O240" s="3162">
        <v>0</v>
      </c>
      <c r="P240" s="180">
        <v>10493</v>
      </c>
      <c r="Q240" s="3211">
        <f t="shared" si="17"/>
        <v>718488</v>
      </c>
    </row>
    <row r="241" spans="1:17">
      <c r="A241" s="63">
        <v>2012.04</v>
      </c>
      <c r="B241" s="866">
        <f t="shared" si="18"/>
        <v>1541870</v>
      </c>
      <c r="C241" s="2165">
        <f t="shared" si="19"/>
        <v>821151</v>
      </c>
      <c r="D241" s="481">
        <v>1173552</v>
      </c>
      <c r="E241" s="3162">
        <v>10108</v>
      </c>
      <c r="F241" s="180">
        <v>1869142</v>
      </c>
      <c r="G241" s="2169">
        <v>0</v>
      </c>
      <c r="H241" s="877">
        <v>440788</v>
      </c>
      <c r="I241" s="3162">
        <v>1090974</v>
      </c>
      <c r="J241" s="884">
        <v>0</v>
      </c>
      <c r="K241" s="180">
        <v>10108</v>
      </c>
      <c r="L241" s="2167">
        <f t="shared" si="16"/>
        <v>1541870</v>
      </c>
      <c r="M241" s="877">
        <v>393609</v>
      </c>
      <c r="N241" s="180">
        <v>427542</v>
      </c>
      <c r="O241" s="3162">
        <v>0</v>
      </c>
      <c r="P241" s="180">
        <v>0</v>
      </c>
      <c r="Q241" s="3211">
        <f t="shared" si="17"/>
        <v>821151</v>
      </c>
    </row>
    <row r="242" spans="1:17">
      <c r="A242" s="63">
        <v>2012.05</v>
      </c>
      <c r="B242" s="866">
        <f t="shared" si="18"/>
        <v>1561716</v>
      </c>
      <c r="C242" s="2165">
        <f t="shared" si="19"/>
        <v>698989</v>
      </c>
      <c r="D242" s="481">
        <v>2535133</v>
      </c>
      <c r="E242" s="3162">
        <v>19207</v>
      </c>
      <c r="F242" s="180">
        <v>353350</v>
      </c>
      <c r="G242" s="2169">
        <v>0</v>
      </c>
      <c r="H242" s="877">
        <v>546004</v>
      </c>
      <c r="I242" s="3162">
        <v>996505</v>
      </c>
      <c r="J242" s="884">
        <v>0</v>
      </c>
      <c r="K242" s="180">
        <v>19207</v>
      </c>
      <c r="L242" s="2167">
        <f t="shared" si="16"/>
        <v>1561716</v>
      </c>
      <c r="M242" s="877">
        <v>325859</v>
      </c>
      <c r="N242" s="180">
        <v>368463</v>
      </c>
      <c r="O242" s="3162">
        <v>0</v>
      </c>
      <c r="P242" s="180">
        <v>4667</v>
      </c>
      <c r="Q242" s="3211">
        <f t="shared" si="17"/>
        <v>698989</v>
      </c>
    </row>
    <row r="243" spans="1:17">
      <c r="A243" s="63">
        <v>2012.06</v>
      </c>
      <c r="B243" s="866">
        <f t="shared" si="18"/>
        <v>1607139</v>
      </c>
      <c r="C243" s="2165">
        <f t="shared" si="19"/>
        <v>692794</v>
      </c>
      <c r="D243" s="481">
        <v>1968463</v>
      </c>
      <c r="E243" s="3162">
        <v>0</v>
      </c>
      <c r="F243" s="180">
        <v>977975</v>
      </c>
      <c r="G243" s="2169">
        <v>0</v>
      </c>
      <c r="H243" s="877">
        <v>629385</v>
      </c>
      <c r="I243" s="3162">
        <v>977754</v>
      </c>
      <c r="J243" s="884">
        <v>0</v>
      </c>
      <c r="K243" s="180">
        <v>0</v>
      </c>
      <c r="L243" s="2167">
        <f t="shared" si="16"/>
        <v>1607139</v>
      </c>
      <c r="M243" s="877">
        <v>349944</v>
      </c>
      <c r="N243" s="180">
        <v>342850</v>
      </c>
      <c r="O243" s="3162">
        <v>0</v>
      </c>
      <c r="P243" s="180">
        <v>0</v>
      </c>
      <c r="Q243" s="3211">
        <f t="shared" si="17"/>
        <v>692794</v>
      </c>
    </row>
    <row r="244" spans="1:17">
      <c r="A244" s="63">
        <v>2012.07</v>
      </c>
      <c r="B244" s="866">
        <f t="shared" si="18"/>
        <v>1424083</v>
      </c>
      <c r="C244" s="2165">
        <f t="shared" si="19"/>
        <v>669582</v>
      </c>
      <c r="D244" s="481">
        <v>1973186</v>
      </c>
      <c r="E244" s="3162">
        <v>0</v>
      </c>
      <c r="F244" s="180">
        <v>1128055</v>
      </c>
      <c r="G244" s="2169">
        <v>0</v>
      </c>
      <c r="H244" s="877">
        <v>503713</v>
      </c>
      <c r="I244" s="3162">
        <v>920370</v>
      </c>
      <c r="J244" s="884">
        <v>0</v>
      </c>
      <c r="K244" s="180">
        <v>0</v>
      </c>
      <c r="L244" s="2167">
        <f t="shared" si="16"/>
        <v>1424083</v>
      </c>
      <c r="M244" s="877">
        <v>311182</v>
      </c>
      <c r="N244" s="180">
        <v>358400</v>
      </c>
      <c r="O244" s="3162">
        <v>0</v>
      </c>
      <c r="P244" s="180">
        <v>0</v>
      </c>
      <c r="Q244" s="3211">
        <f t="shared" si="17"/>
        <v>669582</v>
      </c>
    </row>
    <row r="245" spans="1:17">
      <c r="A245" s="63">
        <v>2012.08</v>
      </c>
      <c r="B245" s="866">
        <f t="shared" si="18"/>
        <v>1008158</v>
      </c>
      <c r="C245" s="2165">
        <f t="shared" si="19"/>
        <v>466103</v>
      </c>
      <c r="D245" s="481">
        <v>1160884</v>
      </c>
      <c r="E245" s="3162">
        <v>78067</v>
      </c>
      <c r="F245" s="180">
        <v>718743</v>
      </c>
      <c r="G245" s="2169">
        <v>0</v>
      </c>
      <c r="H245" s="877">
        <v>302718</v>
      </c>
      <c r="I245" s="3162">
        <v>627373</v>
      </c>
      <c r="J245" s="884">
        <v>11000</v>
      </c>
      <c r="K245" s="180">
        <v>67067</v>
      </c>
      <c r="L245" s="2167">
        <f t="shared" si="16"/>
        <v>1008158</v>
      </c>
      <c r="M245" s="877">
        <v>128600</v>
      </c>
      <c r="N245" s="180">
        <v>337503</v>
      </c>
      <c r="O245" s="3162">
        <v>0</v>
      </c>
      <c r="P245" s="180">
        <v>0</v>
      </c>
      <c r="Q245" s="3211">
        <f t="shared" si="17"/>
        <v>466103</v>
      </c>
    </row>
    <row r="246" spans="1:17">
      <c r="A246" s="63">
        <v>2012.09</v>
      </c>
      <c r="B246" s="866">
        <f t="shared" si="18"/>
        <v>722744</v>
      </c>
      <c r="C246" s="2165">
        <f t="shared" si="19"/>
        <v>317707</v>
      </c>
      <c r="D246" s="481">
        <v>828336</v>
      </c>
      <c r="E246" s="3162">
        <v>89061</v>
      </c>
      <c r="F246" s="180">
        <v>506381</v>
      </c>
      <c r="G246" s="2169">
        <v>0</v>
      </c>
      <c r="H246" s="877">
        <v>276990</v>
      </c>
      <c r="I246" s="3162">
        <v>356693</v>
      </c>
      <c r="J246" s="884">
        <v>18412</v>
      </c>
      <c r="K246" s="180">
        <v>70649</v>
      </c>
      <c r="L246" s="2167">
        <f t="shared" si="16"/>
        <v>722744</v>
      </c>
      <c r="M246" s="877">
        <v>216673</v>
      </c>
      <c r="N246" s="180">
        <v>101034</v>
      </c>
      <c r="O246" s="3162">
        <v>0</v>
      </c>
      <c r="P246" s="180">
        <v>0</v>
      </c>
      <c r="Q246" s="3211">
        <f t="shared" si="17"/>
        <v>317707</v>
      </c>
    </row>
    <row r="247" spans="1:17">
      <c r="A247" s="63">
        <v>2012.1</v>
      </c>
      <c r="B247" s="866">
        <f t="shared" si="18"/>
        <v>863387</v>
      </c>
      <c r="C247" s="2165">
        <f t="shared" si="19"/>
        <v>272786</v>
      </c>
      <c r="D247" s="481">
        <v>902744</v>
      </c>
      <c r="E247" s="3162">
        <v>181504</v>
      </c>
      <c r="F247" s="180">
        <v>482576</v>
      </c>
      <c r="G247" s="2169">
        <v>0</v>
      </c>
      <c r="H247" s="877">
        <v>125695</v>
      </c>
      <c r="I247" s="3162">
        <v>556188</v>
      </c>
      <c r="J247" s="884">
        <v>18412</v>
      </c>
      <c r="K247" s="180">
        <v>163092</v>
      </c>
      <c r="L247" s="2167">
        <f t="shared" si="16"/>
        <v>863387</v>
      </c>
      <c r="M247" s="877">
        <v>133255</v>
      </c>
      <c r="N247" s="180">
        <v>114064</v>
      </c>
      <c r="O247" s="3162">
        <v>0</v>
      </c>
      <c r="P247" s="180">
        <v>25467</v>
      </c>
      <c r="Q247" s="3211">
        <f t="shared" si="17"/>
        <v>272786</v>
      </c>
    </row>
    <row r="248" spans="1:17">
      <c r="A248" s="63">
        <v>2012.11</v>
      </c>
      <c r="B248" s="866">
        <f t="shared" si="18"/>
        <v>1255885</v>
      </c>
      <c r="C248" s="2165">
        <f t="shared" si="19"/>
        <v>154106</v>
      </c>
      <c r="D248" s="481">
        <v>1256404</v>
      </c>
      <c r="E248" s="3162">
        <v>188023</v>
      </c>
      <c r="F248" s="180">
        <v>295069</v>
      </c>
      <c r="G248" s="2169">
        <v>0</v>
      </c>
      <c r="H248" s="877">
        <v>366957</v>
      </c>
      <c r="I248" s="3162">
        <v>700905</v>
      </c>
      <c r="J248" s="884">
        <v>10706</v>
      </c>
      <c r="K248" s="180">
        <v>177317</v>
      </c>
      <c r="L248" s="2167">
        <f t="shared" si="16"/>
        <v>1255885</v>
      </c>
      <c r="M248" s="877">
        <v>21703</v>
      </c>
      <c r="N248" s="180">
        <v>97768</v>
      </c>
      <c r="O248" s="3162">
        <v>0</v>
      </c>
      <c r="P248" s="180">
        <v>34635</v>
      </c>
      <c r="Q248" s="3211">
        <f t="shared" si="17"/>
        <v>154106</v>
      </c>
    </row>
    <row r="249" spans="1:17">
      <c r="A249" s="63">
        <v>2012.12</v>
      </c>
      <c r="B249" s="866">
        <f t="shared" si="18"/>
        <v>865824</v>
      </c>
      <c r="C249" s="2165">
        <f t="shared" si="19"/>
        <v>593902</v>
      </c>
      <c r="D249" s="481">
        <v>897175</v>
      </c>
      <c r="E249" s="3162">
        <v>126627</v>
      </c>
      <c r="F249" s="180">
        <v>709157</v>
      </c>
      <c r="G249" s="2169">
        <v>0</v>
      </c>
      <c r="H249" s="877">
        <v>274285</v>
      </c>
      <c r="I249" s="3162">
        <v>464912</v>
      </c>
      <c r="J249" s="884">
        <v>44301</v>
      </c>
      <c r="K249" s="180">
        <v>82326</v>
      </c>
      <c r="L249" s="2167">
        <f t="shared" si="16"/>
        <v>865824</v>
      </c>
      <c r="M249" s="877">
        <v>161048</v>
      </c>
      <c r="N249" s="180">
        <v>366734</v>
      </c>
      <c r="O249" s="3162">
        <v>0</v>
      </c>
      <c r="P249" s="180">
        <v>66120</v>
      </c>
      <c r="Q249" s="3211">
        <f t="shared" si="17"/>
        <v>593902</v>
      </c>
    </row>
    <row r="250" spans="1:17">
      <c r="A250" s="63">
        <v>2013.01</v>
      </c>
      <c r="B250" s="866">
        <f t="shared" si="18"/>
        <v>1020155.2517519377</v>
      </c>
      <c r="C250" s="2165">
        <f t="shared" si="19"/>
        <v>479982.39576157305</v>
      </c>
      <c r="D250" s="481">
        <v>1024928.8574243813</v>
      </c>
      <c r="E250" s="3162">
        <v>92406.715492072472</v>
      </c>
      <c r="F250" s="180">
        <v>705101.39576157299</v>
      </c>
      <c r="G250" s="2169">
        <v>0</v>
      </c>
      <c r="H250" s="877">
        <v>329805.75409864972</v>
      </c>
      <c r="I250" s="3162">
        <v>597942.78216121544</v>
      </c>
      <c r="J250" s="884">
        <v>0</v>
      </c>
      <c r="K250" s="180">
        <v>92406.715492072472</v>
      </c>
      <c r="L250" s="2167">
        <f t="shared" si="16"/>
        <v>1020155.2517519377</v>
      </c>
      <c r="M250" s="877">
        <v>113458.39576157303</v>
      </c>
      <c r="N250" s="180">
        <v>317606</v>
      </c>
      <c r="O250" s="3162">
        <v>0</v>
      </c>
      <c r="P250" s="180">
        <v>48918</v>
      </c>
      <c r="Q250" s="3211">
        <f t="shared" si="17"/>
        <v>479982.39576157305</v>
      </c>
    </row>
    <row r="251" spans="1:17">
      <c r="A251" s="63">
        <v>2013.02</v>
      </c>
      <c r="B251" s="866">
        <f t="shared" si="18"/>
        <v>698461.81636570953</v>
      </c>
      <c r="C251" s="2165">
        <f t="shared" si="19"/>
        <v>310495.52444134542</v>
      </c>
      <c r="D251" s="481">
        <v>707782.89400386659</v>
      </c>
      <c r="E251" s="3162">
        <v>98974.638268986004</v>
      </c>
      <c r="F251" s="180">
        <v>572211.52444134536</v>
      </c>
      <c r="G251" s="2169">
        <v>0</v>
      </c>
      <c r="H251" s="877">
        <v>203096.06418679352</v>
      </c>
      <c r="I251" s="3162">
        <v>396391.11390992993</v>
      </c>
      <c r="J251" s="884">
        <v>0</v>
      </c>
      <c r="K251" s="180">
        <v>98974.638268986004</v>
      </c>
      <c r="L251" s="2167">
        <f t="shared" si="16"/>
        <v>698461.81636570953</v>
      </c>
      <c r="M251" s="877">
        <v>99952.524441345406</v>
      </c>
      <c r="N251" s="180">
        <v>141822</v>
      </c>
      <c r="O251" s="3162">
        <v>0</v>
      </c>
      <c r="P251" s="180">
        <v>68721</v>
      </c>
      <c r="Q251" s="3211">
        <f t="shared" si="17"/>
        <v>310495.52444134542</v>
      </c>
    </row>
    <row r="252" spans="1:17">
      <c r="A252" s="63">
        <v>2013.03</v>
      </c>
      <c r="B252" s="866">
        <f t="shared" si="18"/>
        <v>1983668.4328555907</v>
      </c>
      <c r="C252" s="2165">
        <f t="shared" si="19"/>
        <v>274394.38752435532</v>
      </c>
      <c r="D252" s="481">
        <v>2246533.9356204793</v>
      </c>
      <c r="E252" s="3162">
        <v>51640.49847420607</v>
      </c>
      <c r="F252" s="180">
        <v>542383.38752435532</v>
      </c>
      <c r="G252" s="2169">
        <v>0</v>
      </c>
      <c r="H252" s="877">
        <v>567719.1594591788</v>
      </c>
      <c r="I252" s="3162">
        <v>1364308.7749222058</v>
      </c>
      <c r="J252" s="884">
        <v>0</v>
      </c>
      <c r="K252" s="180">
        <v>51640.49847420607</v>
      </c>
      <c r="L252" s="2167">
        <f t="shared" si="16"/>
        <v>1983668.4328555907</v>
      </c>
      <c r="M252" s="877">
        <v>169165.38752435529</v>
      </c>
      <c r="N252" s="180">
        <v>105229</v>
      </c>
      <c r="O252" s="3162">
        <v>0</v>
      </c>
      <c r="P252" s="180">
        <v>0</v>
      </c>
      <c r="Q252" s="3211">
        <f t="shared" si="17"/>
        <v>274394.38752435532</v>
      </c>
    </row>
    <row r="253" spans="1:17">
      <c r="A253" s="63">
        <v>2013.04</v>
      </c>
      <c r="B253" s="866">
        <f t="shared" si="18"/>
        <v>2371808.5810557622</v>
      </c>
      <c r="C253" s="2165">
        <f t="shared" si="19"/>
        <v>83694.340166421374</v>
      </c>
      <c r="D253" s="481">
        <v>2857300.5149024432</v>
      </c>
      <c r="E253" s="3162">
        <v>0</v>
      </c>
      <c r="F253" s="180">
        <v>277718.34016642137</v>
      </c>
      <c r="G253" s="2169">
        <v>0</v>
      </c>
      <c r="H253" s="877">
        <v>1048625.3109131367</v>
      </c>
      <c r="I253" s="3162">
        <v>1323183.2701426256</v>
      </c>
      <c r="J253" s="884">
        <v>0</v>
      </c>
      <c r="K253" s="180">
        <v>0</v>
      </c>
      <c r="L253" s="2167">
        <f t="shared" si="16"/>
        <v>2371808.5810557622</v>
      </c>
      <c r="M253" s="877">
        <v>47757.340166421367</v>
      </c>
      <c r="N253" s="180">
        <v>35937</v>
      </c>
      <c r="O253" s="3162">
        <v>0</v>
      </c>
      <c r="P253" s="180">
        <v>0</v>
      </c>
      <c r="Q253" s="3211">
        <f t="shared" si="17"/>
        <v>83694.340166421374</v>
      </c>
    </row>
    <row r="254" spans="1:17">
      <c r="A254" s="63">
        <v>2013.05</v>
      </c>
      <c r="B254" s="866">
        <f t="shared" si="18"/>
        <v>2138166.0760817537</v>
      </c>
      <c r="C254" s="2165">
        <f t="shared" si="19"/>
        <v>103621.3521063049</v>
      </c>
      <c r="D254" s="481">
        <v>2850473.5983033627</v>
      </c>
      <c r="E254" s="3162">
        <v>0</v>
      </c>
      <c r="F254" s="180">
        <v>212621.3521063049</v>
      </c>
      <c r="G254" s="2169">
        <v>0</v>
      </c>
      <c r="H254" s="877">
        <v>1099300.0200898838</v>
      </c>
      <c r="I254" s="3162">
        <v>1038866.0559918701</v>
      </c>
      <c r="J254" s="884">
        <v>0</v>
      </c>
      <c r="K254" s="180">
        <v>0</v>
      </c>
      <c r="L254" s="2167">
        <f t="shared" si="16"/>
        <v>2138166.0760817537</v>
      </c>
      <c r="M254" s="877">
        <v>59360.352106304905</v>
      </c>
      <c r="N254" s="180">
        <v>44261</v>
      </c>
      <c r="O254" s="3162">
        <v>0</v>
      </c>
      <c r="P254" s="180">
        <v>0</v>
      </c>
      <c r="Q254" s="3211">
        <f t="shared" si="17"/>
        <v>103621.3521063049</v>
      </c>
    </row>
    <row r="255" spans="1:17">
      <c r="A255" s="63">
        <v>2013.06</v>
      </c>
      <c r="B255" s="866">
        <f t="shared" si="18"/>
        <v>2439831.9921083995</v>
      </c>
      <c r="C255" s="2165">
        <f t="shared" si="19"/>
        <v>18579</v>
      </c>
      <c r="D255" s="481">
        <v>3255225.3015455953</v>
      </c>
      <c r="E255" s="3162">
        <v>0</v>
      </c>
      <c r="F255" s="180">
        <v>81643</v>
      </c>
      <c r="G255" s="2169">
        <v>0</v>
      </c>
      <c r="H255" s="877">
        <v>1160315.5712631103</v>
      </c>
      <c r="I255" s="3162">
        <v>1279516.4208452892</v>
      </c>
      <c r="J255" s="884">
        <v>0</v>
      </c>
      <c r="K255" s="180">
        <v>0</v>
      </c>
      <c r="L255" s="2167">
        <f t="shared" si="16"/>
        <v>2439831.9921083995</v>
      </c>
      <c r="M255" s="877">
        <v>0</v>
      </c>
      <c r="N255" s="180">
        <v>18579</v>
      </c>
      <c r="O255" s="3162">
        <v>0</v>
      </c>
      <c r="P255" s="180">
        <v>0</v>
      </c>
      <c r="Q255" s="3211">
        <f t="shared" si="17"/>
        <v>18579</v>
      </c>
    </row>
    <row r="256" spans="1:17">
      <c r="A256" s="63">
        <v>2013.07</v>
      </c>
      <c r="B256" s="866">
        <f t="shared" si="18"/>
        <v>2942226.1262497571</v>
      </c>
      <c r="C256" s="2165">
        <f t="shared" si="19"/>
        <v>0</v>
      </c>
      <c r="D256" s="481">
        <v>3583832.6390745104</v>
      </c>
      <c r="E256" s="3162">
        <v>0</v>
      </c>
      <c r="F256" s="180">
        <v>0</v>
      </c>
      <c r="G256" s="2169">
        <v>0</v>
      </c>
      <c r="H256" s="877">
        <v>1112596.5636003017</v>
      </c>
      <c r="I256" s="3162">
        <v>1829629.5626494554</v>
      </c>
      <c r="J256" s="884">
        <v>0</v>
      </c>
      <c r="K256" s="180">
        <v>0</v>
      </c>
      <c r="L256" s="2167">
        <f t="shared" si="16"/>
        <v>2942226.1262497571</v>
      </c>
      <c r="M256" s="877">
        <v>0</v>
      </c>
      <c r="N256" s="180">
        <v>0</v>
      </c>
      <c r="O256" s="3162">
        <v>0</v>
      </c>
      <c r="P256" s="180">
        <v>0</v>
      </c>
      <c r="Q256" s="3211">
        <f t="shared" si="17"/>
        <v>0</v>
      </c>
    </row>
    <row r="257" spans="1:17">
      <c r="A257" s="63">
        <v>2013.08</v>
      </c>
      <c r="B257" s="866">
        <f t="shared" si="18"/>
        <v>1463133.8295579869</v>
      </c>
      <c r="C257" s="2165">
        <f t="shared" si="19"/>
        <v>0</v>
      </c>
      <c r="D257" s="481">
        <v>1607481.1470681354</v>
      </c>
      <c r="E257" s="3162">
        <v>64902.147764735462</v>
      </c>
      <c r="F257" s="180">
        <v>0</v>
      </c>
      <c r="G257" s="2169">
        <v>0</v>
      </c>
      <c r="H257" s="877">
        <v>673748.34060730645</v>
      </c>
      <c r="I257" s="3162">
        <v>724483.34118594497</v>
      </c>
      <c r="J257" s="884">
        <v>0</v>
      </c>
      <c r="K257" s="180">
        <v>64902.147764735462</v>
      </c>
      <c r="L257" s="2167">
        <f t="shared" si="16"/>
        <v>1463133.8295579869</v>
      </c>
      <c r="M257" s="877">
        <v>0</v>
      </c>
      <c r="N257" s="180">
        <v>0</v>
      </c>
      <c r="O257" s="3162">
        <v>0</v>
      </c>
      <c r="P257" s="180">
        <v>0</v>
      </c>
      <c r="Q257" s="3211">
        <f t="shared" si="17"/>
        <v>0</v>
      </c>
    </row>
    <row r="258" spans="1:17">
      <c r="A258" s="63">
        <v>2013.09</v>
      </c>
      <c r="B258" s="866">
        <f t="shared" si="18"/>
        <v>780314.85620934237</v>
      </c>
      <c r="C258" s="2165">
        <f>Q258</f>
        <v>0</v>
      </c>
      <c r="D258" s="481">
        <v>791724.00165915035</v>
      </c>
      <c r="E258" s="3162">
        <v>187675</v>
      </c>
      <c r="F258" s="180">
        <v>0</v>
      </c>
      <c r="G258" s="2169">
        <v>0</v>
      </c>
      <c r="H258" s="877">
        <v>87804.901475504899</v>
      </c>
      <c r="I258" s="3162">
        <v>504834.95473383745</v>
      </c>
      <c r="J258" s="884">
        <v>0</v>
      </c>
      <c r="K258" s="180">
        <v>187675</v>
      </c>
      <c r="L258" s="2167">
        <f t="shared" si="16"/>
        <v>780314.85620934237</v>
      </c>
      <c r="M258" s="877">
        <v>0</v>
      </c>
      <c r="N258" s="180">
        <v>0</v>
      </c>
      <c r="O258" s="3162">
        <v>0</v>
      </c>
      <c r="P258" s="180">
        <v>0</v>
      </c>
      <c r="Q258" s="3211">
        <f t="shared" si="17"/>
        <v>0</v>
      </c>
    </row>
    <row r="259" spans="1:17">
      <c r="A259" s="63">
        <v>2013.1</v>
      </c>
      <c r="B259" s="866">
        <f t="shared" si="18"/>
        <v>414760.59823256632</v>
      </c>
      <c r="C259" s="2165">
        <f t="shared" si="19"/>
        <v>0</v>
      </c>
      <c r="D259" s="481">
        <v>250090.71364541433</v>
      </c>
      <c r="E259" s="3162">
        <v>204191</v>
      </c>
      <c r="F259" s="180">
        <v>0</v>
      </c>
      <c r="G259" s="2169">
        <v>0</v>
      </c>
      <c r="H259" s="877">
        <v>150336.49835568192</v>
      </c>
      <c r="I259" s="3162">
        <v>60233.099876884407</v>
      </c>
      <c r="J259" s="884">
        <v>0</v>
      </c>
      <c r="K259" s="180">
        <v>204191</v>
      </c>
      <c r="L259" s="2167">
        <f t="shared" si="16"/>
        <v>414760.59823256632</v>
      </c>
      <c r="M259" s="877">
        <v>0</v>
      </c>
      <c r="N259" s="180">
        <v>0</v>
      </c>
      <c r="O259" s="3162">
        <v>0</v>
      </c>
      <c r="P259" s="180">
        <v>0</v>
      </c>
      <c r="Q259" s="3211">
        <f t="shared" si="17"/>
        <v>0</v>
      </c>
    </row>
    <row r="260" spans="1:17">
      <c r="A260" s="63">
        <v>2013.11</v>
      </c>
      <c r="B260" s="866">
        <f t="shared" si="18"/>
        <v>366733.91182844283</v>
      </c>
      <c r="C260" s="2165">
        <f t="shared" si="19"/>
        <v>26250</v>
      </c>
      <c r="D260" s="481">
        <v>174959.7609308431</v>
      </c>
      <c r="E260" s="3162">
        <v>194808</v>
      </c>
      <c r="F260" s="180">
        <v>26250</v>
      </c>
      <c r="G260" s="2169">
        <v>0</v>
      </c>
      <c r="H260" s="877">
        <v>68793.218218652109</v>
      </c>
      <c r="I260" s="3162">
        <v>103132.69360979069</v>
      </c>
      <c r="J260" s="884">
        <v>0</v>
      </c>
      <c r="K260" s="180">
        <v>194808</v>
      </c>
      <c r="L260" s="2167">
        <f t="shared" si="16"/>
        <v>366733.91182844283</v>
      </c>
      <c r="M260" s="877">
        <v>0</v>
      </c>
      <c r="N260" s="180">
        <v>26250</v>
      </c>
      <c r="O260" s="3162">
        <v>0</v>
      </c>
      <c r="P260" s="180">
        <v>0</v>
      </c>
      <c r="Q260" s="3211">
        <f t="shared" si="17"/>
        <v>26250</v>
      </c>
    </row>
    <row r="261" spans="1:17">
      <c r="A261" s="63">
        <v>2013.12</v>
      </c>
      <c r="B261" s="866">
        <f t="shared" si="18"/>
        <v>199861.52770275116</v>
      </c>
      <c r="C261" s="2165">
        <f t="shared" si="19"/>
        <v>26250</v>
      </c>
      <c r="D261" s="481">
        <v>177688.98230242287</v>
      </c>
      <c r="E261" s="3162">
        <v>99245</v>
      </c>
      <c r="F261" s="180">
        <v>26250</v>
      </c>
      <c r="G261" s="2169">
        <v>0</v>
      </c>
      <c r="H261" s="877">
        <v>29339.597731800088</v>
      </c>
      <c r="I261" s="3162">
        <v>71276.929970951067</v>
      </c>
      <c r="J261" s="884">
        <v>0</v>
      </c>
      <c r="K261" s="180">
        <v>99245</v>
      </c>
      <c r="L261" s="2167">
        <f t="shared" si="16"/>
        <v>199861.52770275116</v>
      </c>
      <c r="M261" s="877">
        <v>0</v>
      </c>
      <c r="N261" s="180">
        <v>26250</v>
      </c>
      <c r="O261" s="3162">
        <v>0</v>
      </c>
      <c r="P261" s="180">
        <v>0</v>
      </c>
      <c r="Q261" s="3211">
        <f t="shared" si="17"/>
        <v>26250</v>
      </c>
    </row>
    <row r="262" spans="1:17">
      <c r="A262" s="63">
        <v>2014.01</v>
      </c>
      <c r="B262" s="866">
        <f t="shared" si="18"/>
        <v>218367.32106552477</v>
      </c>
      <c r="C262" s="2165">
        <f t="shared" si="19"/>
        <v>75260</v>
      </c>
      <c r="D262" s="481">
        <v>72552.370258522045</v>
      </c>
      <c r="E262" s="3162">
        <v>145814.95080700272</v>
      </c>
      <c r="F262" s="180">
        <v>154695</v>
      </c>
      <c r="G262" s="2169">
        <v>0</v>
      </c>
      <c r="H262" s="877">
        <v>13975</v>
      </c>
      <c r="I262" s="3162">
        <v>58577.370258522053</v>
      </c>
      <c r="J262" s="884">
        <v>0</v>
      </c>
      <c r="K262" s="180">
        <v>145814.95080700272</v>
      </c>
      <c r="L262" s="2167">
        <f t="shared" si="16"/>
        <v>218367.32106552477</v>
      </c>
      <c r="M262" s="877">
        <v>0</v>
      </c>
      <c r="N262" s="180">
        <v>75260</v>
      </c>
      <c r="O262" s="3162">
        <v>0</v>
      </c>
      <c r="P262" s="180">
        <v>0</v>
      </c>
      <c r="Q262" s="3211">
        <f t="shared" si="17"/>
        <v>75260</v>
      </c>
    </row>
    <row r="263" spans="1:17">
      <c r="A263" s="63">
        <v>2014.02</v>
      </c>
      <c r="B263" s="866">
        <f t="shared" si="18"/>
        <v>399904.91155254398</v>
      </c>
      <c r="C263" s="2165">
        <f t="shared" si="19"/>
        <v>92305</v>
      </c>
      <c r="D263" s="481">
        <v>260324.23041943362</v>
      </c>
      <c r="E263" s="3162">
        <v>180030.6811331104</v>
      </c>
      <c r="F263" s="180">
        <v>246721</v>
      </c>
      <c r="G263" s="2169">
        <v>0</v>
      </c>
      <c r="H263" s="877">
        <v>92425</v>
      </c>
      <c r="I263" s="3162">
        <v>127449.23041943363</v>
      </c>
      <c r="J263" s="884">
        <v>0</v>
      </c>
      <c r="K263" s="180">
        <v>180030.6811331104</v>
      </c>
      <c r="L263" s="2167">
        <f t="shared" si="16"/>
        <v>399904.91155254398</v>
      </c>
      <c r="M263" s="877">
        <v>0</v>
      </c>
      <c r="N263" s="180">
        <v>92305</v>
      </c>
      <c r="O263" s="3162">
        <v>0</v>
      </c>
      <c r="P263" s="180">
        <v>0</v>
      </c>
      <c r="Q263" s="3211">
        <f t="shared" si="17"/>
        <v>92305</v>
      </c>
    </row>
    <row r="264" spans="1:17">
      <c r="A264" s="63">
        <v>2014.03</v>
      </c>
      <c r="B264" s="866">
        <f t="shared" si="18"/>
        <v>590767.72133969073</v>
      </c>
      <c r="C264" s="2165">
        <f t="shared" si="19"/>
        <v>101947</v>
      </c>
      <c r="D264" s="481">
        <v>600982.56577690237</v>
      </c>
      <c r="E264" s="3162">
        <v>19696.155562788274</v>
      </c>
      <c r="F264" s="180">
        <v>292798</v>
      </c>
      <c r="G264" s="2169">
        <v>0</v>
      </c>
      <c r="H264" s="877">
        <v>93100</v>
      </c>
      <c r="I264" s="3162">
        <v>477971.56577690243</v>
      </c>
      <c r="J264" s="884">
        <v>0</v>
      </c>
      <c r="K264" s="180">
        <v>19696.155562788274</v>
      </c>
      <c r="L264" s="2167">
        <f t="shared" si="16"/>
        <v>590767.72133969073</v>
      </c>
      <c r="M264" s="877">
        <v>55296</v>
      </c>
      <c r="N264" s="180">
        <v>46651</v>
      </c>
      <c r="O264" s="3162">
        <v>0</v>
      </c>
      <c r="P264" s="180">
        <v>0</v>
      </c>
      <c r="Q264" s="3211">
        <f t="shared" si="17"/>
        <v>101947</v>
      </c>
    </row>
    <row r="265" spans="1:17">
      <c r="A265" s="63">
        <v>2014.04</v>
      </c>
      <c r="B265" s="866">
        <f t="shared" si="18"/>
        <v>1504034.9152334789</v>
      </c>
      <c r="C265" s="2165">
        <f t="shared" si="19"/>
        <v>149239</v>
      </c>
      <c r="D265" s="481">
        <v>1689385.9152334786</v>
      </c>
      <c r="E265" s="3162">
        <v>0</v>
      </c>
      <c r="F265" s="180">
        <v>245014</v>
      </c>
      <c r="G265" s="2169">
        <v>0</v>
      </c>
      <c r="H265" s="877">
        <v>591337</v>
      </c>
      <c r="I265" s="3162">
        <v>912697.91523347877</v>
      </c>
      <c r="J265" s="884">
        <v>0</v>
      </c>
      <c r="K265" s="180">
        <v>0</v>
      </c>
      <c r="L265" s="2167">
        <f t="shared" si="16"/>
        <v>1504034.9152334789</v>
      </c>
      <c r="M265" s="877">
        <v>28798</v>
      </c>
      <c r="N265" s="180">
        <v>120441</v>
      </c>
      <c r="O265" s="3162">
        <v>0</v>
      </c>
      <c r="P265" s="180">
        <v>0</v>
      </c>
      <c r="Q265" s="3211">
        <f t="shared" si="17"/>
        <v>149239</v>
      </c>
    </row>
    <row r="266" spans="1:17">
      <c r="A266" s="63">
        <v>2014.05</v>
      </c>
      <c r="B266" s="866">
        <f t="shared" si="18"/>
        <v>1259902.0988800942</v>
      </c>
      <c r="C266" s="2165">
        <f t="shared" si="19"/>
        <v>25000</v>
      </c>
      <c r="D266" s="481">
        <v>1432646.1371016928</v>
      </c>
      <c r="E266" s="3162">
        <v>5593.9617784013471</v>
      </c>
      <c r="F266" s="180">
        <v>77500</v>
      </c>
      <c r="G266" s="2169">
        <v>0</v>
      </c>
      <c r="H266" s="877">
        <v>364137</v>
      </c>
      <c r="I266" s="3162">
        <v>890171.13710169285</v>
      </c>
      <c r="J266" s="884">
        <v>0</v>
      </c>
      <c r="K266" s="180">
        <v>5593.9617784013471</v>
      </c>
      <c r="L266" s="2167">
        <f t="shared" ref="L266:L329" si="20">SUM(H266:K266)</f>
        <v>1259902.0988800942</v>
      </c>
      <c r="M266" s="877">
        <v>0</v>
      </c>
      <c r="N266" s="180">
        <v>25000</v>
      </c>
      <c r="O266" s="3162">
        <v>0</v>
      </c>
      <c r="P266" s="180">
        <v>0</v>
      </c>
      <c r="Q266" s="3211">
        <f t="shared" ref="Q266:Q329" si="21">SUM(M266:P266)</f>
        <v>25000</v>
      </c>
    </row>
    <row r="267" spans="1:17">
      <c r="A267" s="63">
        <v>2014.06</v>
      </c>
      <c r="B267" s="866">
        <f t="shared" si="18"/>
        <v>1527845.7428345177</v>
      </c>
      <c r="C267" s="2165">
        <f t="shared" si="19"/>
        <v>15750</v>
      </c>
      <c r="D267" s="481">
        <v>1727781.7428345177</v>
      </c>
      <c r="E267" s="3162">
        <v>0</v>
      </c>
      <c r="F267" s="180">
        <v>120548</v>
      </c>
      <c r="G267" s="2169">
        <v>0</v>
      </c>
      <c r="H267" s="877">
        <v>376344</v>
      </c>
      <c r="I267" s="3162">
        <v>1151501.7428345177</v>
      </c>
      <c r="J267" s="884">
        <v>0</v>
      </c>
      <c r="K267" s="180">
        <v>0</v>
      </c>
      <c r="L267" s="2167">
        <f t="shared" si="20"/>
        <v>1527845.7428345177</v>
      </c>
      <c r="M267" s="877">
        <v>0</v>
      </c>
      <c r="N267" s="180">
        <v>15750</v>
      </c>
      <c r="O267" s="3162">
        <v>0</v>
      </c>
      <c r="P267" s="180">
        <v>0</v>
      </c>
      <c r="Q267" s="3211">
        <f t="shared" si="21"/>
        <v>15750</v>
      </c>
    </row>
    <row r="268" spans="1:17">
      <c r="A268" s="63">
        <v>2014.07</v>
      </c>
      <c r="B268" s="866">
        <f t="shared" ref="B268:B331" si="22">L268</f>
        <v>2270708.4091289691</v>
      </c>
      <c r="C268" s="2165">
        <f t="shared" ref="C268:C331" si="23">Q268</f>
        <v>73641</v>
      </c>
      <c r="D268" s="481">
        <v>2677716.4091289691</v>
      </c>
      <c r="E268" s="3162">
        <v>0</v>
      </c>
      <c r="F268" s="180">
        <v>146041</v>
      </c>
      <c r="G268" s="2169">
        <v>0</v>
      </c>
      <c r="H268" s="877">
        <v>650182</v>
      </c>
      <c r="I268" s="3162">
        <v>1620526.4091289691</v>
      </c>
      <c r="J268" s="884">
        <v>0</v>
      </c>
      <c r="K268" s="180">
        <v>0</v>
      </c>
      <c r="L268" s="2167">
        <f t="shared" si="20"/>
        <v>2270708.4091289691</v>
      </c>
      <c r="M268" s="877">
        <v>46099</v>
      </c>
      <c r="N268" s="180">
        <v>27542</v>
      </c>
      <c r="O268" s="3162">
        <v>0</v>
      </c>
      <c r="P268" s="180">
        <v>0</v>
      </c>
      <c r="Q268" s="3211">
        <f t="shared" si="21"/>
        <v>73641</v>
      </c>
    </row>
    <row r="269" spans="1:17">
      <c r="A269" s="63">
        <v>2014.08</v>
      </c>
      <c r="B269" s="866">
        <f t="shared" si="22"/>
        <v>2153709.735285941</v>
      </c>
      <c r="C269" s="2165">
        <f t="shared" si="23"/>
        <v>18240</v>
      </c>
      <c r="D269" s="481">
        <v>2271432.2224479392</v>
      </c>
      <c r="E269" s="3162">
        <v>102317.51283800168</v>
      </c>
      <c r="F269" s="180">
        <v>26875</v>
      </c>
      <c r="G269" s="2169">
        <v>0</v>
      </c>
      <c r="H269" s="877">
        <v>854525</v>
      </c>
      <c r="I269" s="3162">
        <v>1196867.2224479392</v>
      </c>
      <c r="J269" s="884">
        <v>0</v>
      </c>
      <c r="K269" s="180">
        <v>102317.51283800168</v>
      </c>
      <c r="L269" s="2167">
        <f t="shared" si="20"/>
        <v>2153709.735285941</v>
      </c>
      <c r="M269" s="877">
        <v>15750</v>
      </c>
      <c r="N269" s="180">
        <v>2490</v>
      </c>
      <c r="O269" s="3162">
        <v>0</v>
      </c>
      <c r="P269" s="180">
        <v>0</v>
      </c>
      <c r="Q269" s="3211">
        <f t="shared" si="21"/>
        <v>18240</v>
      </c>
    </row>
    <row r="270" spans="1:17">
      <c r="A270" s="63">
        <v>2014.09</v>
      </c>
      <c r="B270" s="866">
        <f t="shared" si="22"/>
        <v>1199691.9410475434</v>
      </c>
      <c r="C270" s="2165">
        <f t="shared" si="23"/>
        <v>30000</v>
      </c>
      <c r="D270" s="481">
        <v>1354845.666477303</v>
      </c>
      <c r="E270" s="3162">
        <v>118556.27457024042</v>
      </c>
      <c r="F270" s="180">
        <v>118355</v>
      </c>
      <c r="G270" s="2169">
        <v>0</v>
      </c>
      <c r="H270" s="877">
        <v>329485</v>
      </c>
      <c r="I270" s="3162">
        <v>751650.66647730302</v>
      </c>
      <c r="J270" s="884">
        <v>0</v>
      </c>
      <c r="K270" s="180">
        <v>118556.27457024042</v>
      </c>
      <c r="L270" s="2167">
        <f t="shared" si="20"/>
        <v>1199691.9410475434</v>
      </c>
      <c r="M270" s="877">
        <v>0</v>
      </c>
      <c r="N270" s="180">
        <v>30000</v>
      </c>
      <c r="O270" s="3162">
        <v>0</v>
      </c>
      <c r="P270" s="180">
        <v>0</v>
      </c>
      <c r="Q270" s="3211">
        <f t="shared" si="21"/>
        <v>30000</v>
      </c>
    </row>
    <row r="271" spans="1:17">
      <c r="A271" s="63">
        <v>2014.1</v>
      </c>
      <c r="B271" s="866">
        <f t="shared" si="22"/>
        <v>1643533.672054071</v>
      </c>
      <c r="C271" s="2165">
        <f t="shared" si="23"/>
        <v>26250</v>
      </c>
      <c r="D271" s="481">
        <v>1683361.9609684329</v>
      </c>
      <c r="E271" s="3162">
        <v>167629.71108563812</v>
      </c>
      <c r="F271" s="180">
        <v>63152</v>
      </c>
      <c r="G271" s="2169">
        <v>0</v>
      </c>
      <c r="H271" s="877">
        <v>510649</v>
      </c>
      <c r="I271" s="3162">
        <v>965254.96096843283</v>
      </c>
      <c r="J271" s="884">
        <v>0</v>
      </c>
      <c r="K271" s="180">
        <v>167629.71108563812</v>
      </c>
      <c r="L271" s="2167">
        <f t="shared" si="20"/>
        <v>1643533.672054071</v>
      </c>
      <c r="M271" s="877">
        <v>0</v>
      </c>
      <c r="N271" s="180">
        <v>26250</v>
      </c>
      <c r="O271" s="3162">
        <v>0</v>
      </c>
      <c r="P271" s="180">
        <v>0</v>
      </c>
      <c r="Q271" s="3211">
        <f t="shared" si="21"/>
        <v>26250</v>
      </c>
    </row>
    <row r="272" spans="1:17">
      <c r="A272" s="63">
        <v>2014.11</v>
      </c>
      <c r="B272" s="866">
        <f t="shared" si="22"/>
        <v>809204.3318243291</v>
      </c>
      <c r="C272" s="2165">
        <f t="shared" si="23"/>
        <v>0</v>
      </c>
      <c r="D272" s="481">
        <v>868346.22934723855</v>
      </c>
      <c r="E272" s="3162">
        <v>28516.10247709051</v>
      </c>
      <c r="F272" s="180">
        <v>36612</v>
      </c>
      <c r="G272" s="2169">
        <v>0</v>
      </c>
      <c r="H272" s="877">
        <v>253392</v>
      </c>
      <c r="I272" s="3162">
        <v>527296.22934723855</v>
      </c>
      <c r="J272" s="884">
        <v>0</v>
      </c>
      <c r="K272" s="180">
        <v>28516.10247709051</v>
      </c>
      <c r="L272" s="2167">
        <f t="shared" si="20"/>
        <v>809204.3318243291</v>
      </c>
      <c r="M272" s="880">
        <v>0</v>
      </c>
      <c r="N272" s="180">
        <v>0</v>
      </c>
      <c r="O272" s="3162">
        <v>0</v>
      </c>
      <c r="P272" s="180">
        <v>0</v>
      </c>
      <c r="Q272" s="3211">
        <f t="shared" si="21"/>
        <v>0</v>
      </c>
    </row>
    <row r="273" spans="1:17">
      <c r="A273" s="63">
        <v>2014.12</v>
      </c>
      <c r="B273" s="866">
        <f t="shared" si="22"/>
        <v>876591.19975329656</v>
      </c>
      <c r="C273" s="2165">
        <f t="shared" si="23"/>
        <v>191672</v>
      </c>
      <c r="D273" s="481">
        <v>834863.55000557005</v>
      </c>
      <c r="E273" s="3162">
        <v>46727.649747726558</v>
      </c>
      <c r="F273" s="180">
        <v>326732</v>
      </c>
      <c r="G273" s="2169">
        <v>0</v>
      </c>
      <c r="H273" s="877">
        <v>222244</v>
      </c>
      <c r="I273" s="3162">
        <v>607619.55000557005</v>
      </c>
      <c r="J273" s="884">
        <v>0</v>
      </c>
      <c r="K273" s="180">
        <v>46727.649747726558</v>
      </c>
      <c r="L273" s="2167">
        <f t="shared" si="20"/>
        <v>876591.19975329656</v>
      </c>
      <c r="M273" s="877">
        <v>10500</v>
      </c>
      <c r="N273" s="180">
        <v>181172</v>
      </c>
      <c r="O273" s="3162">
        <v>0</v>
      </c>
      <c r="P273" s="180">
        <v>0</v>
      </c>
      <c r="Q273" s="3211">
        <f t="shared" si="21"/>
        <v>191672</v>
      </c>
    </row>
    <row r="274" spans="1:17">
      <c r="A274" s="63">
        <v>2015.01</v>
      </c>
      <c r="B274" s="866">
        <f t="shared" si="22"/>
        <v>1023459.9638810034</v>
      </c>
      <c r="C274" s="2165">
        <f t="shared" si="23"/>
        <v>396779.33465249947</v>
      </c>
      <c r="D274" s="481">
        <v>1068969.9109194945</v>
      </c>
      <c r="E274" s="3162">
        <v>58473</v>
      </c>
      <c r="F274" s="180">
        <v>617828.60626646667</v>
      </c>
      <c r="G274" s="2169">
        <v>0</v>
      </c>
      <c r="H274" s="877">
        <v>516500.68970280612</v>
      </c>
      <c r="I274" s="3162">
        <v>448486.27417819732</v>
      </c>
      <c r="J274" s="884">
        <v>0</v>
      </c>
      <c r="K274" s="180">
        <v>58473</v>
      </c>
      <c r="L274" s="2167">
        <f t="shared" si="20"/>
        <v>1023459.9638810034</v>
      </c>
      <c r="M274" s="877">
        <v>60558.186199344978</v>
      </c>
      <c r="N274" s="180">
        <v>326434.14845315448</v>
      </c>
      <c r="O274" s="3162">
        <v>0</v>
      </c>
      <c r="P274" s="180">
        <v>9787</v>
      </c>
      <c r="Q274" s="3211">
        <f t="shared" si="21"/>
        <v>396779.33465249947</v>
      </c>
    </row>
    <row r="275" spans="1:17">
      <c r="A275" s="63">
        <v>2015.02</v>
      </c>
      <c r="B275" s="866">
        <f t="shared" si="22"/>
        <v>813533.44213229744</v>
      </c>
      <c r="C275" s="2165">
        <f t="shared" si="23"/>
        <v>438730.64134825266</v>
      </c>
      <c r="D275" s="481">
        <v>816271.77099883254</v>
      </c>
      <c r="E275" s="3162">
        <v>42090</v>
      </c>
      <c r="F275" s="180">
        <v>637959.21932687459</v>
      </c>
      <c r="G275" s="2169">
        <v>0</v>
      </c>
      <c r="H275" s="877">
        <v>210424.10099547653</v>
      </c>
      <c r="I275" s="3162">
        <v>561019.34113682096</v>
      </c>
      <c r="J275" s="884">
        <v>0</v>
      </c>
      <c r="K275" s="180">
        <v>42090</v>
      </c>
      <c r="L275" s="2167">
        <f t="shared" si="20"/>
        <v>813533.44213229744</v>
      </c>
      <c r="M275" s="877">
        <v>102149.6335233889</v>
      </c>
      <c r="N275" s="180">
        <v>336581.00782486377</v>
      </c>
      <c r="O275" s="3162">
        <v>0</v>
      </c>
      <c r="P275" s="180">
        <v>0</v>
      </c>
      <c r="Q275" s="3211">
        <f t="shared" si="21"/>
        <v>438730.64134825266</v>
      </c>
    </row>
    <row r="276" spans="1:17">
      <c r="A276" s="63">
        <v>2015.03</v>
      </c>
      <c r="B276" s="866">
        <f t="shared" si="22"/>
        <v>1864648.4122323284</v>
      </c>
      <c r="C276" s="2165">
        <f t="shared" si="23"/>
        <v>490300.40097478585</v>
      </c>
      <c r="D276" s="481">
        <v>2017581.1121260345</v>
      </c>
      <c r="E276" s="3162">
        <v>46273</v>
      </c>
      <c r="F276" s="180">
        <v>545458.36246840039</v>
      </c>
      <c r="G276" s="2169">
        <v>0</v>
      </c>
      <c r="H276" s="877">
        <v>672415.87392660696</v>
      </c>
      <c r="I276" s="3162">
        <v>1145959.5383057215</v>
      </c>
      <c r="J276" s="884">
        <v>0</v>
      </c>
      <c r="K276" s="180">
        <v>46273</v>
      </c>
      <c r="L276" s="2167">
        <f t="shared" si="20"/>
        <v>1864648.4122323284</v>
      </c>
      <c r="M276" s="877">
        <v>74141.975190259822</v>
      </c>
      <c r="N276" s="180">
        <v>389822.42578452604</v>
      </c>
      <c r="O276" s="3162">
        <v>0</v>
      </c>
      <c r="P276" s="180">
        <v>26336</v>
      </c>
      <c r="Q276" s="3211">
        <f t="shared" si="21"/>
        <v>490300.40097478585</v>
      </c>
    </row>
    <row r="277" spans="1:17">
      <c r="A277" s="63">
        <v>2015.04</v>
      </c>
      <c r="B277" s="866">
        <f t="shared" si="22"/>
        <v>2149957.5162228625</v>
      </c>
      <c r="C277" s="2165">
        <f t="shared" si="23"/>
        <v>230049.1399918797</v>
      </c>
      <c r="D277" s="481">
        <v>2518175.5329053644</v>
      </c>
      <c r="E277" s="3162">
        <v>0</v>
      </c>
      <c r="F277" s="180">
        <v>437851.84540566365</v>
      </c>
      <c r="G277" s="2169">
        <v>0</v>
      </c>
      <c r="H277" s="877">
        <v>882179.52586029633</v>
      </c>
      <c r="I277" s="3162">
        <v>1267777.9903625662</v>
      </c>
      <c r="J277" s="884">
        <v>0</v>
      </c>
      <c r="K277" s="180">
        <v>0</v>
      </c>
      <c r="L277" s="2167">
        <f t="shared" si="20"/>
        <v>2149957.5162228625</v>
      </c>
      <c r="M277" s="877">
        <v>82915.126218740697</v>
      </c>
      <c r="N277" s="180">
        <v>147134.01377313901</v>
      </c>
      <c r="O277" s="3162">
        <v>0</v>
      </c>
      <c r="P277" s="180">
        <v>0</v>
      </c>
      <c r="Q277" s="3211">
        <f t="shared" si="21"/>
        <v>230049.1399918797</v>
      </c>
    </row>
    <row r="278" spans="1:17">
      <c r="A278" s="63">
        <v>2015.05</v>
      </c>
      <c r="B278" s="866">
        <f t="shared" si="22"/>
        <v>1487135.8155017081</v>
      </c>
      <c r="C278" s="2165">
        <f t="shared" si="23"/>
        <v>228919.55989670102</v>
      </c>
      <c r="D278" s="481">
        <v>1616559.6253734212</v>
      </c>
      <c r="E278" s="3162">
        <v>0</v>
      </c>
      <c r="F278" s="180">
        <v>324121.23873689026</v>
      </c>
      <c r="G278" s="2169">
        <v>0</v>
      </c>
      <c r="H278" s="877">
        <v>469116.78616574523</v>
      </c>
      <c r="I278" s="3162">
        <v>1018019.029335963</v>
      </c>
      <c r="J278" s="884">
        <v>0</v>
      </c>
      <c r="K278" s="180">
        <v>0</v>
      </c>
      <c r="L278" s="2167">
        <f t="shared" si="20"/>
        <v>1487135.8155017081</v>
      </c>
      <c r="M278" s="877">
        <v>154203.70877675075</v>
      </c>
      <c r="N278" s="180">
        <v>74715.851119950283</v>
      </c>
      <c r="O278" s="3162">
        <v>0</v>
      </c>
      <c r="P278" s="180">
        <v>0</v>
      </c>
      <c r="Q278" s="3211">
        <f t="shared" si="21"/>
        <v>228919.55989670102</v>
      </c>
    </row>
    <row r="279" spans="1:17">
      <c r="A279" s="63">
        <v>2015.06</v>
      </c>
      <c r="B279" s="866">
        <f t="shared" si="22"/>
        <v>2077028.7536475402</v>
      </c>
      <c r="C279" s="2165">
        <f t="shared" si="23"/>
        <v>362230.1965681765</v>
      </c>
      <c r="D279" s="481">
        <v>2412775.3251288678</v>
      </c>
      <c r="E279" s="3162">
        <v>0</v>
      </c>
      <c r="F279" s="180">
        <v>510582.6990114933</v>
      </c>
      <c r="G279" s="2169">
        <v>0</v>
      </c>
      <c r="H279" s="877">
        <v>700606.48713324894</v>
      </c>
      <c r="I279" s="3162">
        <v>1376422.2665142913</v>
      </c>
      <c r="J279" s="884">
        <v>0</v>
      </c>
      <c r="K279" s="180">
        <v>0</v>
      </c>
      <c r="L279" s="2167">
        <f t="shared" si="20"/>
        <v>2077028.7536475402</v>
      </c>
      <c r="M279" s="877">
        <v>213245.92478927123</v>
      </c>
      <c r="N279" s="180">
        <v>148984.27177890527</v>
      </c>
      <c r="O279" s="3162">
        <v>0</v>
      </c>
      <c r="P279" s="180">
        <v>0</v>
      </c>
      <c r="Q279" s="3211">
        <f t="shared" si="21"/>
        <v>362230.1965681765</v>
      </c>
    </row>
    <row r="280" spans="1:17">
      <c r="A280" s="63">
        <v>2015.07</v>
      </c>
      <c r="B280" s="866">
        <f t="shared" si="22"/>
        <v>1694511.2155576181</v>
      </c>
      <c r="C280" s="2165">
        <f t="shared" si="23"/>
        <v>176022.2770654402</v>
      </c>
      <c r="D280" s="481">
        <v>1916780.6881285682</v>
      </c>
      <c r="E280" s="3162">
        <v>89133</v>
      </c>
      <c r="F280" s="180">
        <v>254272.10263775542</v>
      </c>
      <c r="G280" s="2169">
        <v>0</v>
      </c>
      <c r="H280" s="877">
        <v>444350.50337290886</v>
      </c>
      <c r="I280" s="3162">
        <v>1161027.7121847093</v>
      </c>
      <c r="J280" s="884">
        <v>0</v>
      </c>
      <c r="K280" s="180">
        <v>89133</v>
      </c>
      <c r="L280" s="2167">
        <f t="shared" si="20"/>
        <v>1694511.2155576181</v>
      </c>
      <c r="M280" s="877">
        <v>141769.78900178292</v>
      </c>
      <c r="N280" s="180">
        <v>34252.488063657271</v>
      </c>
      <c r="O280" s="3162">
        <v>0</v>
      </c>
      <c r="P280" s="180">
        <v>0</v>
      </c>
      <c r="Q280" s="3211">
        <f t="shared" si="21"/>
        <v>176022.2770654402</v>
      </c>
    </row>
    <row r="281" spans="1:17">
      <c r="A281" s="63">
        <v>2015.08</v>
      </c>
      <c r="B281" s="866">
        <f t="shared" si="22"/>
        <v>1373596.874640421</v>
      </c>
      <c r="C281" s="2165">
        <f t="shared" si="23"/>
        <v>178256.84180270639</v>
      </c>
      <c r="D281" s="481">
        <v>1469889.6897623895</v>
      </c>
      <c r="E281" s="3162">
        <v>41596</v>
      </c>
      <c r="F281" s="180">
        <v>305503.17236107553</v>
      </c>
      <c r="G281" s="2169">
        <v>0</v>
      </c>
      <c r="H281" s="877">
        <v>330918.8016184665</v>
      </c>
      <c r="I281" s="3162">
        <v>1001082.0730219546</v>
      </c>
      <c r="J281" s="884">
        <v>0</v>
      </c>
      <c r="K281" s="180">
        <v>41596</v>
      </c>
      <c r="L281" s="2167">
        <f t="shared" si="20"/>
        <v>1373596.874640421</v>
      </c>
      <c r="M281" s="877">
        <v>123452.86090085476</v>
      </c>
      <c r="N281" s="180">
        <v>54803.980901851632</v>
      </c>
      <c r="O281" s="3162">
        <v>0</v>
      </c>
      <c r="P281" s="180">
        <v>0</v>
      </c>
      <c r="Q281" s="3211">
        <f t="shared" si="21"/>
        <v>178256.84180270639</v>
      </c>
    </row>
    <row r="282" spans="1:17">
      <c r="A282" s="63">
        <v>2015.09</v>
      </c>
      <c r="B282" s="866">
        <f t="shared" si="22"/>
        <v>1006479.615749997</v>
      </c>
      <c r="C282" s="2165">
        <f t="shared" si="23"/>
        <v>153140.16433920088</v>
      </c>
      <c r="D282" s="481">
        <v>1187761.6804626531</v>
      </c>
      <c r="E282" s="3162">
        <v>44337</v>
      </c>
      <c r="F282" s="180">
        <v>225320.20907210166</v>
      </c>
      <c r="G282" s="2169">
        <v>0</v>
      </c>
      <c r="H282" s="877">
        <v>140021.9214900801</v>
      </c>
      <c r="I282" s="3162">
        <v>822120.6942599169</v>
      </c>
      <c r="J282" s="884">
        <v>0</v>
      </c>
      <c r="K282" s="180">
        <v>44337</v>
      </c>
      <c r="L282" s="2167">
        <f t="shared" si="20"/>
        <v>1006479.615749997</v>
      </c>
      <c r="M282" s="877">
        <v>55133.512515693583</v>
      </c>
      <c r="N282" s="180">
        <v>98006.651823507316</v>
      </c>
      <c r="O282" s="3162">
        <v>0</v>
      </c>
      <c r="P282" s="180">
        <v>0</v>
      </c>
      <c r="Q282" s="3211">
        <f t="shared" si="21"/>
        <v>153140.16433920088</v>
      </c>
    </row>
    <row r="283" spans="1:17">
      <c r="A283" s="63">
        <v>2015.1</v>
      </c>
      <c r="B283" s="866">
        <f t="shared" si="22"/>
        <v>807365.62173153902</v>
      </c>
      <c r="C283" s="2165">
        <f t="shared" si="23"/>
        <v>140690.76524141943</v>
      </c>
      <c r="D283" s="481">
        <v>788839.06923775305</v>
      </c>
      <c r="E283" s="3162">
        <v>101791</v>
      </c>
      <c r="F283" s="180">
        <v>227707.63424986089</v>
      </c>
      <c r="G283" s="2169">
        <v>0</v>
      </c>
      <c r="H283" s="877">
        <v>236098.30973436453</v>
      </c>
      <c r="I283" s="3162">
        <v>469476.31199717452</v>
      </c>
      <c r="J283" s="884">
        <v>0</v>
      </c>
      <c r="K283" s="180">
        <v>101791</v>
      </c>
      <c r="L283" s="2167">
        <f t="shared" si="20"/>
        <v>807365.62173153902</v>
      </c>
      <c r="M283" s="877">
        <v>91535.282883912383</v>
      </c>
      <c r="N283" s="180">
        <v>49155.482357507048</v>
      </c>
      <c r="O283" s="3162">
        <v>0</v>
      </c>
      <c r="P283" s="180">
        <v>0</v>
      </c>
      <c r="Q283" s="3211">
        <f t="shared" si="21"/>
        <v>140690.76524141943</v>
      </c>
    </row>
    <row r="284" spans="1:17">
      <c r="A284" s="63">
        <v>2015.11</v>
      </c>
      <c r="B284" s="866">
        <f t="shared" si="22"/>
        <v>519440.97532869159</v>
      </c>
      <c r="C284" s="2165">
        <f t="shared" si="23"/>
        <v>16500</v>
      </c>
      <c r="D284" s="481">
        <v>452737.44146515033</v>
      </c>
      <c r="E284" s="3162">
        <v>110381</v>
      </c>
      <c r="F284" s="180">
        <v>108086.2873063047</v>
      </c>
      <c r="G284" s="2169">
        <v>0</v>
      </c>
      <c r="H284" s="877">
        <v>119938</v>
      </c>
      <c r="I284" s="3162">
        <v>289121.97532869159</v>
      </c>
      <c r="J284" s="884">
        <v>0</v>
      </c>
      <c r="K284" s="180">
        <v>110381</v>
      </c>
      <c r="L284" s="2167">
        <f t="shared" si="20"/>
        <v>519440.97532869159</v>
      </c>
      <c r="M284" s="877">
        <v>16500</v>
      </c>
      <c r="N284" s="180">
        <v>0</v>
      </c>
      <c r="O284" s="3162">
        <v>0</v>
      </c>
      <c r="P284" s="180">
        <v>0</v>
      </c>
      <c r="Q284" s="3211">
        <f t="shared" si="21"/>
        <v>16500</v>
      </c>
    </row>
    <row r="285" spans="1:17">
      <c r="A285" s="63">
        <v>2015.12</v>
      </c>
      <c r="B285" s="866">
        <f t="shared" si="22"/>
        <v>370771.28711725835</v>
      </c>
      <c r="C285" s="2165">
        <f t="shared" si="23"/>
        <v>46863.921857365523</v>
      </c>
      <c r="D285" s="481">
        <v>457670.15349147085</v>
      </c>
      <c r="E285" s="3162">
        <v>37767</v>
      </c>
      <c r="F285" s="180">
        <v>43617.866895540588</v>
      </c>
      <c r="G285" s="2169">
        <v>0</v>
      </c>
      <c r="H285" s="877">
        <v>41848</v>
      </c>
      <c r="I285" s="3162">
        <v>291156.28711725835</v>
      </c>
      <c r="J285" s="884">
        <v>0</v>
      </c>
      <c r="K285" s="180">
        <v>37767</v>
      </c>
      <c r="L285" s="2167">
        <f t="shared" si="20"/>
        <v>370771.28711725835</v>
      </c>
      <c r="M285" s="880">
        <v>13300</v>
      </c>
      <c r="N285" s="180">
        <v>33563.921857365523</v>
      </c>
      <c r="O285" s="3162">
        <v>0</v>
      </c>
      <c r="P285" s="180">
        <v>0</v>
      </c>
      <c r="Q285" s="3211">
        <f t="shared" si="21"/>
        <v>46863.921857365523</v>
      </c>
    </row>
    <row r="286" spans="1:17">
      <c r="A286" s="63">
        <f>A274+1</f>
        <v>2016.01</v>
      </c>
      <c r="B286" s="866">
        <f t="shared" si="22"/>
        <v>1264759.0883399867</v>
      </c>
      <c r="C286" s="2165">
        <f t="shared" si="23"/>
        <v>742086.12253169506</v>
      </c>
      <c r="D286" s="481">
        <v>1343884.8079278679</v>
      </c>
      <c r="E286" s="3162">
        <v>42999</v>
      </c>
      <c r="F286" s="180">
        <v>1127112.1247328664</v>
      </c>
      <c r="G286" s="2169">
        <v>0</v>
      </c>
      <c r="H286" s="877">
        <v>453068</v>
      </c>
      <c r="I286" s="3162">
        <v>768692.08833998675</v>
      </c>
      <c r="J286" s="884">
        <v>0</v>
      </c>
      <c r="K286" s="180">
        <v>42999</v>
      </c>
      <c r="L286" s="2167">
        <f t="shared" si="20"/>
        <v>1264759.0883399867</v>
      </c>
      <c r="M286" s="877">
        <v>143164</v>
      </c>
      <c r="N286" s="180">
        <v>583952.12253169506</v>
      </c>
      <c r="O286" s="3162">
        <v>0</v>
      </c>
      <c r="P286" s="180">
        <v>14970</v>
      </c>
      <c r="Q286" s="3211">
        <f t="shared" si="21"/>
        <v>742086.12253169506</v>
      </c>
    </row>
    <row r="287" spans="1:17">
      <c r="A287" s="63">
        <f t="shared" ref="A287:A350" si="24">A275+1</f>
        <v>2016.02</v>
      </c>
      <c r="B287" s="866">
        <f t="shared" si="22"/>
        <v>2082534.651674889</v>
      </c>
      <c r="C287" s="2165">
        <f t="shared" si="23"/>
        <v>383942.59552888054</v>
      </c>
      <c r="D287" s="481">
        <v>2521613.1518233605</v>
      </c>
      <c r="E287" s="3162">
        <v>0</v>
      </c>
      <c r="F287" s="180">
        <v>1084726.9736799616</v>
      </c>
      <c r="G287" s="2169">
        <v>0</v>
      </c>
      <c r="H287" s="877">
        <v>953060</v>
      </c>
      <c r="I287" s="3162">
        <v>1129474.651674889</v>
      </c>
      <c r="J287" s="884">
        <v>0</v>
      </c>
      <c r="K287" s="180">
        <v>0</v>
      </c>
      <c r="L287" s="2167">
        <f t="shared" si="20"/>
        <v>2082534.651674889</v>
      </c>
      <c r="M287" s="877">
        <v>108519</v>
      </c>
      <c r="N287" s="180">
        <v>275423.59552888054</v>
      </c>
      <c r="O287" s="3162">
        <v>0</v>
      </c>
      <c r="P287" s="180">
        <v>0</v>
      </c>
      <c r="Q287" s="3211">
        <f t="shared" si="21"/>
        <v>383942.59552888054</v>
      </c>
    </row>
    <row r="288" spans="1:17">
      <c r="A288" s="63">
        <f t="shared" si="24"/>
        <v>2016.03</v>
      </c>
      <c r="B288" s="866">
        <f t="shared" si="22"/>
        <v>2692157.8168854686</v>
      </c>
      <c r="C288" s="2165">
        <f t="shared" si="23"/>
        <v>690280.73516719032</v>
      </c>
      <c r="D288" s="481">
        <v>3038089.3001133874</v>
      </c>
      <c r="E288" s="3162">
        <v>43998</v>
      </c>
      <c r="F288" s="180">
        <v>1394066.2047160179</v>
      </c>
      <c r="G288" s="2169">
        <v>0</v>
      </c>
      <c r="H288" s="877">
        <v>956590</v>
      </c>
      <c r="I288" s="3162">
        <v>1691569.8168854686</v>
      </c>
      <c r="J288" s="884">
        <v>0</v>
      </c>
      <c r="K288" s="180">
        <v>43998</v>
      </c>
      <c r="L288" s="2167">
        <f t="shared" si="20"/>
        <v>2692157.8168854686</v>
      </c>
      <c r="M288" s="877">
        <v>224794</v>
      </c>
      <c r="N288" s="180">
        <v>465486.73516719032</v>
      </c>
      <c r="O288" s="3162">
        <v>0</v>
      </c>
      <c r="P288" s="180">
        <v>0</v>
      </c>
      <c r="Q288" s="3211">
        <f t="shared" si="21"/>
        <v>690280.73516719032</v>
      </c>
    </row>
    <row r="289" spans="1:18">
      <c r="A289" s="63">
        <f t="shared" si="24"/>
        <v>2016.04</v>
      </c>
      <c r="B289" s="866">
        <f t="shared" si="22"/>
        <v>1378311.2656571832</v>
      </c>
      <c r="C289" s="2165">
        <f t="shared" si="23"/>
        <v>560324.91217509215</v>
      </c>
      <c r="D289" s="481">
        <v>1795928.2226735486</v>
      </c>
      <c r="E289" s="3162">
        <v>0</v>
      </c>
      <c r="F289" s="180">
        <v>1031548.4563433327</v>
      </c>
      <c r="G289" s="2169">
        <v>0</v>
      </c>
      <c r="H289" s="877">
        <v>517016</v>
      </c>
      <c r="I289" s="3162">
        <v>861295.26565718336</v>
      </c>
      <c r="J289" s="884">
        <v>0</v>
      </c>
      <c r="K289" s="180">
        <v>0</v>
      </c>
      <c r="L289" s="2167">
        <f t="shared" si="20"/>
        <v>1378311.2656571832</v>
      </c>
      <c r="M289" s="877">
        <v>264354</v>
      </c>
      <c r="N289" s="180">
        <v>295970.91217509221</v>
      </c>
      <c r="O289" s="3162">
        <v>0</v>
      </c>
      <c r="P289" s="180">
        <v>0</v>
      </c>
      <c r="Q289" s="3211">
        <f t="shared" si="21"/>
        <v>560324.91217509215</v>
      </c>
    </row>
    <row r="290" spans="1:18">
      <c r="A290" s="63">
        <f t="shared" si="24"/>
        <v>2016.05</v>
      </c>
      <c r="B290" s="866">
        <f t="shared" si="22"/>
        <v>1496160.5241534375</v>
      </c>
      <c r="C290" s="2165">
        <f t="shared" si="23"/>
        <v>983619.99405638536</v>
      </c>
      <c r="D290" s="481">
        <v>1652764.7289970396</v>
      </c>
      <c r="E290" s="3162">
        <v>0</v>
      </c>
      <c r="F290" s="180">
        <v>1263746.7142337612</v>
      </c>
      <c r="G290" s="2169">
        <v>0</v>
      </c>
      <c r="H290" s="877">
        <v>549851</v>
      </c>
      <c r="I290" s="3162">
        <v>946309.52415343758</v>
      </c>
      <c r="J290" s="884">
        <v>0</v>
      </c>
      <c r="K290" s="180">
        <v>0</v>
      </c>
      <c r="L290" s="2167">
        <f t="shared" si="20"/>
        <v>1496160.5241534375</v>
      </c>
      <c r="M290" s="877">
        <v>268011</v>
      </c>
      <c r="N290" s="180">
        <v>715608.99405638536</v>
      </c>
      <c r="O290" s="3162">
        <v>0</v>
      </c>
      <c r="P290" s="180">
        <v>0</v>
      </c>
      <c r="Q290" s="3211">
        <f t="shared" si="21"/>
        <v>983619.99405638536</v>
      </c>
    </row>
    <row r="291" spans="1:18">
      <c r="A291" s="63">
        <f t="shared" si="24"/>
        <v>2016.06</v>
      </c>
      <c r="B291" s="866">
        <f t="shared" si="22"/>
        <v>1429486.406850908</v>
      </c>
      <c r="C291" s="2165">
        <f t="shared" si="23"/>
        <v>404183.05550639209</v>
      </c>
      <c r="D291" s="481">
        <v>1583710.7159719022</v>
      </c>
      <c r="E291" s="3162">
        <v>0</v>
      </c>
      <c r="F291" s="180">
        <v>657055.73109264718</v>
      </c>
      <c r="G291" s="2169">
        <v>0</v>
      </c>
      <c r="H291" s="877">
        <v>462900</v>
      </c>
      <c r="I291" s="3162">
        <v>966586.40685090807</v>
      </c>
      <c r="J291" s="884">
        <v>0</v>
      </c>
      <c r="K291" s="180">
        <v>0</v>
      </c>
      <c r="L291" s="2167">
        <f t="shared" si="20"/>
        <v>1429486.406850908</v>
      </c>
      <c r="M291" s="877">
        <v>167585</v>
      </c>
      <c r="N291" s="180">
        <v>236598.05550639209</v>
      </c>
      <c r="O291" s="3162">
        <v>0</v>
      </c>
      <c r="P291" s="180">
        <v>0</v>
      </c>
      <c r="Q291" s="3211">
        <f t="shared" si="21"/>
        <v>404183.05550639209</v>
      </c>
    </row>
    <row r="292" spans="1:18">
      <c r="A292" s="63">
        <f t="shared" si="24"/>
        <v>2016.07</v>
      </c>
      <c r="B292" s="866">
        <f t="shared" si="22"/>
        <v>1835287.0532030996</v>
      </c>
      <c r="C292" s="2165">
        <f t="shared" si="23"/>
        <v>196405.7394828703</v>
      </c>
      <c r="D292" s="481">
        <v>2194730.6153972121</v>
      </c>
      <c r="E292" s="3162">
        <v>0</v>
      </c>
      <c r="F292" s="180">
        <v>381674.18524951063</v>
      </c>
      <c r="G292" s="2169">
        <v>0</v>
      </c>
      <c r="H292" s="877">
        <v>536451</v>
      </c>
      <c r="I292" s="3162">
        <v>1298836.0532030996</v>
      </c>
      <c r="J292" s="884">
        <v>0</v>
      </c>
      <c r="K292" s="180">
        <v>0</v>
      </c>
      <c r="L292" s="2167">
        <f t="shared" si="20"/>
        <v>1835287.0532030996</v>
      </c>
      <c r="M292" s="877">
        <v>120143</v>
      </c>
      <c r="N292" s="180">
        <v>76262.739482870296</v>
      </c>
      <c r="O292" s="3162">
        <v>0</v>
      </c>
      <c r="P292" s="180">
        <v>0</v>
      </c>
      <c r="Q292" s="3211">
        <f t="shared" si="21"/>
        <v>196405.7394828703</v>
      </c>
    </row>
    <row r="293" spans="1:18">
      <c r="A293" s="63">
        <f t="shared" si="24"/>
        <v>2016.08</v>
      </c>
      <c r="B293" s="866">
        <f t="shared" si="22"/>
        <v>3181597.0400949302</v>
      </c>
      <c r="C293" s="2165">
        <f t="shared" si="23"/>
        <v>259176.49292830596</v>
      </c>
      <c r="D293" s="481">
        <v>3889829.3617679775</v>
      </c>
      <c r="E293" s="3162">
        <v>0</v>
      </c>
      <c r="F293" s="180">
        <v>434599.15164716565</v>
      </c>
      <c r="G293" s="2169">
        <v>0</v>
      </c>
      <c r="H293" s="877">
        <v>912661</v>
      </c>
      <c r="I293" s="3162">
        <v>2268936.0400949302</v>
      </c>
      <c r="J293" s="884">
        <v>0</v>
      </c>
      <c r="K293" s="180">
        <v>0</v>
      </c>
      <c r="L293" s="2167">
        <f t="shared" si="20"/>
        <v>3181597.0400949302</v>
      </c>
      <c r="M293" s="877">
        <v>110694</v>
      </c>
      <c r="N293" s="180">
        <v>148482.49292830596</v>
      </c>
      <c r="O293" s="3162">
        <v>0</v>
      </c>
      <c r="P293" s="180">
        <v>0</v>
      </c>
      <c r="Q293" s="3211">
        <f t="shared" si="21"/>
        <v>259176.49292830596</v>
      </c>
    </row>
    <row r="294" spans="1:18">
      <c r="A294" s="63">
        <f t="shared" si="24"/>
        <v>2016.09</v>
      </c>
      <c r="B294" s="866">
        <f t="shared" si="22"/>
        <v>1368037.1463030791</v>
      </c>
      <c r="C294" s="2165">
        <f t="shared" si="23"/>
        <v>123251.43414127636</v>
      </c>
      <c r="D294" s="481">
        <v>1693910.2803667865</v>
      </c>
      <c r="E294" s="3162">
        <v>0</v>
      </c>
      <c r="F294" s="180">
        <v>284741.74437066511</v>
      </c>
      <c r="G294" s="2169">
        <v>0</v>
      </c>
      <c r="H294" s="877">
        <v>312976</v>
      </c>
      <c r="I294" s="3162">
        <v>1055061.1463030791</v>
      </c>
      <c r="J294" s="884">
        <v>0</v>
      </c>
      <c r="K294" s="180">
        <v>0</v>
      </c>
      <c r="L294" s="2167">
        <f t="shared" si="20"/>
        <v>1368037.1463030791</v>
      </c>
      <c r="M294" s="877">
        <v>55954</v>
      </c>
      <c r="N294" s="180">
        <v>67297.434141276361</v>
      </c>
      <c r="O294" s="3162">
        <v>0</v>
      </c>
      <c r="P294" s="180">
        <v>0</v>
      </c>
      <c r="Q294" s="3211">
        <f t="shared" si="21"/>
        <v>123251.43414127636</v>
      </c>
    </row>
    <row r="295" spans="1:18" ht="12.75" customHeight="1">
      <c r="A295" s="63">
        <f t="shared" si="24"/>
        <v>2016.1</v>
      </c>
      <c r="B295" s="866">
        <f t="shared" si="22"/>
        <v>1253741.5924525452</v>
      </c>
      <c r="C295" s="2165">
        <f t="shared" si="23"/>
        <v>194295.39511388459</v>
      </c>
      <c r="D295" s="481">
        <v>1723521.1263473374</v>
      </c>
      <c r="E295" s="3162">
        <v>0</v>
      </c>
      <c r="F295" s="180">
        <v>382389.05755627464</v>
      </c>
      <c r="G295" s="2169">
        <v>0</v>
      </c>
      <c r="H295" s="877">
        <v>475705</v>
      </c>
      <c r="I295" s="3162">
        <v>778036.59245254518</v>
      </c>
      <c r="J295" s="884">
        <v>0</v>
      </c>
      <c r="K295" s="180">
        <v>0</v>
      </c>
      <c r="L295" s="2167">
        <f t="shared" si="20"/>
        <v>1253741.5924525452</v>
      </c>
      <c r="M295" s="877">
        <v>87118</v>
      </c>
      <c r="N295" s="180">
        <v>107177.39511388457</v>
      </c>
      <c r="O295" s="3162">
        <v>0</v>
      </c>
      <c r="P295" s="180">
        <v>0</v>
      </c>
      <c r="Q295" s="3211">
        <f t="shared" si="21"/>
        <v>194295.39511388459</v>
      </c>
    </row>
    <row r="296" spans="1:18" ht="12.75" customHeight="1">
      <c r="A296" s="63">
        <f t="shared" si="24"/>
        <v>2016.11</v>
      </c>
      <c r="B296" s="866">
        <f t="shared" si="22"/>
        <v>897849.95921251376</v>
      </c>
      <c r="C296" s="2165">
        <f t="shared" si="23"/>
        <v>357880.73997811973</v>
      </c>
      <c r="D296" s="481">
        <v>1255326.3361062282</v>
      </c>
      <c r="E296" s="3162">
        <v>0</v>
      </c>
      <c r="F296" s="180">
        <v>486997.39317485329</v>
      </c>
      <c r="G296" s="2169">
        <v>0</v>
      </c>
      <c r="H296" s="877">
        <v>249818</v>
      </c>
      <c r="I296" s="3162">
        <v>648031.95921251376</v>
      </c>
      <c r="J296" s="884">
        <v>0</v>
      </c>
      <c r="K296" s="180">
        <v>0</v>
      </c>
      <c r="L296" s="2167">
        <f t="shared" si="20"/>
        <v>897849.95921251376</v>
      </c>
      <c r="M296" s="877">
        <v>108450</v>
      </c>
      <c r="N296" s="180">
        <v>249430.7399781197</v>
      </c>
      <c r="O296" s="3162">
        <v>0</v>
      </c>
      <c r="P296" s="180">
        <v>0</v>
      </c>
      <c r="Q296" s="3211">
        <f t="shared" si="21"/>
        <v>357880.73997811973</v>
      </c>
    </row>
    <row r="297" spans="1:18">
      <c r="A297" s="63">
        <f t="shared" si="24"/>
        <v>2016.12</v>
      </c>
      <c r="B297" s="866">
        <f t="shared" si="22"/>
        <v>564219.45517195924</v>
      </c>
      <c r="C297" s="2165">
        <f t="shared" si="23"/>
        <v>1164948.7833899078</v>
      </c>
      <c r="D297" s="481">
        <v>874367.35250735132</v>
      </c>
      <c r="E297" s="3162">
        <v>33299</v>
      </c>
      <c r="F297" s="180">
        <v>1584860.2632029434</v>
      </c>
      <c r="G297" s="2169">
        <v>0</v>
      </c>
      <c r="H297" s="877">
        <v>304560</v>
      </c>
      <c r="I297" s="3162">
        <v>226360.45517195921</v>
      </c>
      <c r="J297" s="884">
        <v>0</v>
      </c>
      <c r="K297" s="180">
        <v>33299</v>
      </c>
      <c r="L297" s="2167">
        <f t="shared" si="20"/>
        <v>564219.45517195924</v>
      </c>
      <c r="M297" s="877">
        <v>451125</v>
      </c>
      <c r="N297" s="180">
        <v>713823.78338990768</v>
      </c>
      <c r="O297" s="3162">
        <v>0</v>
      </c>
      <c r="P297" s="180">
        <v>0</v>
      </c>
      <c r="Q297" s="3211">
        <f t="shared" si="21"/>
        <v>1164948.7833899078</v>
      </c>
    </row>
    <row r="298" spans="1:18">
      <c r="A298" s="63">
        <f t="shared" si="24"/>
        <v>2017.01</v>
      </c>
      <c r="B298" s="866">
        <f t="shared" si="22"/>
        <v>778604.53779191279</v>
      </c>
      <c r="C298" s="2165">
        <f t="shared" si="23"/>
        <v>1535418.8525927218</v>
      </c>
      <c r="D298" s="481">
        <v>655973.92081640207</v>
      </c>
      <c r="E298" s="3162">
        <v>0</v>
      </c>
      <c r="F298" s="180">
        <v>2532348.3254604423</v>
      </c>
      <c r="G298" s="2169">
        <v>0</v>
      </c>
      <c r="H298" s="877">
        <v>548914.84072485939</v>
      </c>
      <c r="I298" s="3162">
        <v>229689.69706705341</v>
      </c>
      <c r="J298" s="884">
        <v>0</v>
      </c>
      <c r="K298" s="180">
        <v>0</v>
      </c>
      <c r="L298" s="2167">
        <f t="shared" si="20"/>
        <v>778604.53779191279</v>
      </c>
      <c r="M298" s="877">
        <v>280226</v>
      </c>
      <c r="N298" s="180">
        <v>1255192.8525927218</v>
      </c>
      <c r="O298" s="3162">
        <v>0</v>
      </c>
      <c r="P298" s="180">
        <v>0</v>
      </c>
      <c r="Q298" s="3211">
        <f t="shared" si="21"/>
        <v>1535418.8525927218</v>
      </c>
    </row>
    <row r="299" spans="1:18">
      <c r="A299" s="63">
        <f t="shared" si="24"/>
        <v>2017.02</v>
      </c>
      <c r="B299" s="866">
        <f t="shared" si="22"/>
        <v>375566.50414025929</v>
      </c>
      <c r="C299" s="2165">
        <f t="shared" si="23"/>
        <v>1238385.1474072782</v>
      </c>
      <c r="D299" s="481">
        <v>210407.83544042148</v>
      </c>
      <c r="E299" s="3162">
        <v>0</v>
      </c>
      <c r="F299" s="180">
        <v>1837583.6928307384</v>
      </c>
      <c r="G299" s="2169">
        <v>0</v>
      </c>
      <c r="H299" s="877">
        <v>270570.19595789979</v>
      </c>
      <c r="I299" s="3162">
        <v>104996.3081823595</v>
      </c>
      <c r="J299" s="884">
        <v>0</v>
      </c>
      <c r="K299" s="180">
        <v>0</v>
      </c>
      <c r="L299" s="2167">
        <f t="shared" si="20"/>
        <v>375566.50414025929</v>
      </c>
      <c r="M299" s="877">
        <v>350865</v>
      </c>
      <c r="N299" s="180">
        <v>887520.14740727819</v>
      </c>
      <c r="O299" s="3162">
        <v>0</v>
      </c>
      <c r="P299" s="180">
        <v>0</v>
      </c>
      <c r="Q299" s="3211">
        <f t="shared" si="21"/>
        <v>1238385.1474072782</v>
      </c>
    </row>
    <row r="300" spans="1:18">
      <c r="A300" s="63">
        <f t="shared" si="24"/>
        <v>2017.03</v>
      </c>
      <c r="B300" s="866">
        <f t="shared" si="22"/>
        <v>1255257.0678425778</v>
      </c>
      <c r="C300" s="2165">
        <f t="shared" si="23"/>
        <v>689902.70109174412</v>
      </c>
      <c r="D300" s="481">
        <v>2095301.4552554123</v>
      </c>
      <c r="E300" s="3162">
        <v>0</v>
      </c>
      <c r="F300" s="180">
        <v>1242756.4784138426</v>
      </c>
      <c r="G300" s="2169">
        <v>0</v>
      </c>
      <c r="H300" s="877">
        <v>61719.963317240894</v>
      </c>
      <c r="I300" s="3162">
        <v>1193537.104525337</v>
      </c>
      <c r="J300" s="884">
        <v>0</v>
      </c>
      <c r="K300" s="180">
        <v>0</v>
      </c>
      <c r="L300" s="2167">
        <f t="shared" si="20"/>
        <v>1255257.0678425778</v>
      </c>
      <c r="M300" s="877">
        <v>163650</v>
      </c>
      <c r="N300" s="180">
        <v>526252.70109174412</v>
      </c>
      <c r="O300" s="3162">
        <v>0</v>
      </c>
      <c r="P300" s="180">
        <v>0</v>
      </c>
      <c r="Q300" s="3211">
        <f t="shared" si="21"/>
        <v>689902.70109174412</v>
      </c>
    </row>
    <row r="301" spans="1:18">
      <c r="A301" s="63">
        <f>A289+1</f>
        <v>2017.04</v>
      </c>
      <c r="B301" s="866">
        <f t="shared" si="22"/>
        <v>2819808.4419844528</v>
      </c>
      <c r="C301" s="2165">
        <f t="shared" si="23"/>
        <v>621384.29881124105</v>
      </c>
      <c r="D301" s="481">
        <v>3357364.9984561997</v>
      </c>
      <c r="E301" s="3162">
        <v>0</v>
      </c>
      <c r="F301" s="180">
        <v>833961.09171336808</v>
      </c>
      <c r="G301" s="2169">
        <v>0</v>
      </c>
      <c r="H301" s="877">
        <v>814984</v>
      </c>
      <c r="I301" s="3162">
        <v>2004824.4419844528</v>
      </c>
      <c r="J301" s="884">
        <v>0</v>
      </c>
      <c r="K301" s="180">
        <v>0</v>
      </c>
      <c r="L301" s="2167">
        <f t="shared" si="20"/>
        <v>2819808.4419844528</v>
      </c>
      <c r="M301" s="877">
        <v>183198</v>
      </c>
      <c r="N301" s="180">
        <v>438186.29881124099</v>
      </c>
      <c r="O301" s="3162">
        <v>0</v>
      </c>
      <c r="P301" s="180">
        <v>0</v>
      </c>
      <c r="Q301" s="3211">
        <f t="shared" si="21"/>
        <v>621384.29881124105</v>
      </c>
    </row>
    <row r="302" spans="1:18">
      <c r="A302" s="63">
        <f t="shared" si="24"/>
        <v>2017.05</v>
      </c>
      <c r="B302" s="866">
        <f t="shared" si="22"/>
        <v>1713002.0726953412</v>
      </c>
      <c r="C302" s="2165">
        <f t="shared" si="23"/>
        <v>128254.01770072822</v>
      </c>
      <c r="D302" s="481">
        <v>2135879.2826290131</v>
      </c>
      <c r="E302" s="3162">
        <v>0</v>
      </c>
      <c r="F302" s="180">
        <v>417599.77334042371</v>
      </c>
      <c r="G302" s="2169">
        <v>0</v>
      </c>
      <c r="H302" s="877">
        <v>649692</v>
      </c>
      <c r="I302" s="3162">
        <v>1063310.0726953412</v>
      </c>
      <c r="J302" s="884">
        <v>0</v>
      </c>
      <c r="K302" s="180">
        <v>0</v>
      </c>
      <c r="L302" s="2167">
        <f t="shared" si="20"/>
        <v>1713002.0726953412</v>
      </c>
      <c r="M302" s="877">
        <v>64383</v>
      </c>
      <c r="N302" s="180">
        <v>63871.017700728218</v>
      </c>
      <c r="O302" s="3162">
        <v>0</v>
      </c>
      <c r="P302" s="180">
        <v>0</v>
      </c>
      <c r="Q302" s="3211">
        <f t="shared" si="21"/>
        <v>128254.01770072822</v>
      </c>
      <c r="R302" s="180"/>
    </row>
    <row r="303" spans="1:18">
      <c r="A303" s="63">
        <f t="shared" si="24"/>
        <v>2017.06</v>
      </c>
      <c r="B303" s="866">
        <f t="shared" si="22"/>
        <v>1579274.0532464588</v>
      </c>
      <c r="C303" s="2165">
        <f t="shared" si="23"/>
        <v>219533.66279502897</v>
      </c>
      <c r="D303" s="481">
        <v>2011891.1708850418</v>
      </c>
      <c r="E303" s="3162">
        <v>0</v>
      </c>
      <c r="F303" s="180">
        <v>429218.74704386765</v>
      </c>
      <c r="G303" s="2169">
        <v>0</v>
      </c>
      <c r="H303" s="877">
        <v>611865</v>
      </c>
      <c r="I303" s="3162">
        <v>967409.05324645876</v>
      </c>
      <c r="J303" s="884">
        <v>0</v>
      </c>
      <c r="K303" s="180">
        <v>0</v>
      </c>
      <c r="L303" s="2167">
        <f t="shared" si="20"/>
        <v>1579274.0532464588</v>
      </c>
      <c r="M303" s="877">
        <v>155360</v>
      </c>
      <c r="N303" s="180">
        <v>64173.662795028962</v>
      </c>
      <c r="O303" s="3162">
        <v>0</v>
      </c>
      <c r="P303" s="180">
        <v>0</v>
      </c>
      <c r="Q303" s="3211">
        <f t="shared" si="21"/>
        <v>219533.66279502897</v>
      </c>
    </row>
    <row r="304" spans="1:18">
      <c r="A304" s="63">
        <f t="shared" si="24"/>
        <v>2017.07</v>
      </c>
      <c r="B304" s="866">
        <f t="shared" si="22"/>
        <v>2686598.0845672088</v>
      </c>
      <c r="C304" s="2165">
        <f t="shared" si="23"/>
        <v>310220.72242595418</v>
      </c>
      <c r="D304" s="481">
        <v>3408657.3616412235</v>
      </c>
      <c r="E304" s="3162">
        <v>0</v>
      </c>
      <c r="F304" s="180">
        <v>637787.30232072575</v>
      </c>
      <c r="G304" s="2169">
        <v>0</v>
      </c>
      <c r="H304" s="877">
        <v>911379</v>
      </c>
      <c r="I304" s="3162">
        <v>1775219.084567209</v>
      </c>
      <c r="J304" s="884">
        <v>0</v>
      </c>
      <c r="K304" s="180">
        <v>0</v>
      </c>
      <c r="L304" s="2167">
        <f t="shared" si="20"/>
        <v>2686598.0845672088</v>
      </c>
      <c r="M304" s="877">
        <v>151817</v>
      </c>
      <c r="N304" s="180">
        <v>158403.72242595421</v>
      </c>
      <c r="O304" s="3162">
        <v>0</v>
      </c>
      <c r="P304" s="180">
        <v>0</v>
      </c>
      <c r="Q304" s="3211">
        <f t="shared" si="21"/>
        <v>310220.72242595418</v>
      </c>
    </row>
    <row r="305" spans="1:19">
      <c r="A305" s="63">
        <f t="shared" si="24"/>
        <v>2017.08</v>
      </c>
      <c r="B305" s="866">
        <f t="shared" si="22"/>
        <v>1931619.039851842</v>
      </c>
      <c r="C305" s="2165">
        <f t="shared" si="23"/>
        <v>311435.16234561946</v>
      </c>
      <c r="D305" s="481">
        <v>2357702.0416359999</v>
      </c>
      <c r="E305" s="3162">
        <v>0</v>
      </c>
      <c r="F305" s="180">
        <v>646962.29736124875</v>
      </c>
      <c r="G305" s="2169">
        <v>0</v>
      </c>
      <c r="H305" s="877">
        <v>637607</v>
      </c>
      <c r="I305" s="3162">
        <v>1294012.039851842</v>
      </c>
      <c r="J305" s="884">
        <v>0</v>
      </c>
      <c r="K305" s="180">
        <v>0</v>
      </c>
      <c r="L305" s="2167">
        <f t="shared" si="20"/>
        <v>1931619.039851842</v>
      </c>
      <c r="M305" s="877">
        <v>226139</v>
      </c>
      <c r="N305" s="180">
        <v>85296.162345619465</v>
      </c>
      <c r="O305" s="3162">
        <v>0</v>
      </c>
      <c r="P305" s="180">
        <v>0</v>
      </c>
      <c r="Q305" s="3211">
        <f t="shared" si="21"/>
        <v>311435.16234561946</v>
      </c>
    </row>
    <row r="306" spans="1:19">
      <c r="A306" s="63">
        <f t="shared" si="24"/>
        <v>2017.09</v>
      </c>
      <c r="B306" s="866">
        <f t="shared" si="22"/>
        <v>1455508.1094362014</v>
      </c>
      <c r="C306" s="2165">
        <f t="shared" si="23"/>
        <v>358079.66771997628</v>
      </c>
      <c r="D306" s="481">
        <v>1949616.4318668444</v>
      </c>
      <c r="E306" s="3162">
        <v>0</v>
      </c>
      <c r="F306" s="180">
        <v>521442.77122632507</v>
      </c>
      <c r="G306" s="2169">
        <v>0</v>
      </c>
      <c r="H306" s="877">
        <v>433765</v>
      </c>
      <c r="I306" s="3162">
        <v>1021743.1094362015</v>
      </c>
      <c r="J306" s="884">
        <v>0</v>
      </c>
      <c r="K306" s="180">
        <v>0</v>
      </c>
      <c r="L306" s="2167">
        <f t="shared" si="20"/>
        <v>1455508.1094362014</v>
      </c>
      <c r="M306" s="877">
        <v>254015</v>
      </c>
      <c r="N306" s="180">
        <v>104064.66771997631</v>
      </c>
      <c r="O306" s="3162">
        <v>0</v>
      </c>
      <c r="P306" s="180">
        <v>0</v>
      </c>
      <c r="Q306" s="3211">
        <f t="shared" si="21"/>
        <v>358079.66771997628</v>
      </c>
    </row>
    <row r="307" spans="1:19">
      <c r="A307" s="63">
        <f t="shared" si="24"/>
        <v>2017.1</v>
      </c>
      <c r="B307" s="866">
        <f t="shared" si="22"/>
        <v>1454800.8716986224</v>
      </c>
      <c r="C307" s="2165">
        <f t="shared" si="23"/>
        <v>229702.54600611827</v>
      </c>
      <c r="D307" s="481">
        <v>1717758.154876173</v>
      </c>
      <c r="E307" s="3162">
        <v>0</v>
      </c>
      <c r="F307" s="180">
        <v>591342.94443061634</v>
      </c>
      <c r="G307" s="2169">
        <v>0</v>
      </c>
      <c r="H307" s="877">
        <v>610598</v>
      </c>
      <c r="I307" s="3162">
        <v>844202.87169862236</v>
      </c>
      <c r="J307" s="884">
        <v>0</v>
      </c>
      <c r="K307" s="180">
        <v>0</v>
      </c>
      <c r="L307" s="2167">
        <f t="shared" si="20"/>
        <v>1454800.8716986224</v>
      </c>
      <c r="M307" s="877">
        <v>124486</v>
      </c>
      <c r="N307" s="180">
        <v>105216.54600611827</v>
      </c>
      <c r="O307" s="3162">
        <v>0</v>
      </c>
      <c r="P307" s="180">
        <v>0</v>
      </c>
      <c r="Q307" s="3211">
        <f t="shared" si="21"/>
        <v>229702.54600611827</v>
      </c>
    </row>
    <row r="308" spans="1:19">
      <c r="A308" s="63">
        <f t="shared" si="24"/>
        <v>2017.11</v>
      </c>
      <c r="B308" s="866">
        <f t="shared" ref="B308:B319" si="25">L308</f>
        <v>1313646.8573798519</v>
      </c>
      <c r="C308" s="2165">
        <f t="shared" ref="C308:C319" si="26">Q308</f>
        <v>601215.05885435676</v>
      </c>
      <c r="D308" s="481">
        <v>1655381.8663281777</v>
      </c>
      <c r="E308" s="3162">
        <v>0</v>
      </c>
      <c r="F308" s="180">
        <v>871614.26635739149</v>
      </c>
      <c r="G308" s="2169">
        <v>0</v>
      </c>
      <c r="H308" s="877">
        <v>568901</v>
      </c>
      <c r="I308" s="3162">
        <v>744745.85737985186</v>
      </c>
      <c r="J308" s="884">
        <v>0</v>
      </c>
      <c r="K308" s="180">
        <v>0</v>
      </c>
      <c r="L308" s="2167">
        <f t="shared" si="20"/>
        <v>1313646.8573798519</v>
      </c>
      <c r="M308" s="877">
        <v>332881</v>
      </c>
      <c r="N308" s="180">
        <v>268334.05885435676</v>
      </c>
      <c r="O308" s="3162">
        <v>0</v>
      </c>
      <c r="P308" s="180">
        <v>0</v>
      </c>
      <c r="Q308" s="3211">
        <f t="shared" si="21"/>
        <v>601215.05885435676</v>
      </c>
    </row>
    <row r="309" spans="1:19">
      <c r="A309" s="63">
        <f t="shared" si="24"/>
        <v>2017.12</v>
      </c>
      <c r="B309" s="866">
        <f t="shared" si="25"/>
        <v>1114635.3593652709</v>
      </c>
      <c r="C309" s="2165">
        <f t="shared" si="26"/>
        <v>1422328.1622492326</v>
      </c>
      <c r="D309" s="481">
        <v>1462163.4801690904</v>
      </c>
      <c r="E309" s="3162">
        <v>0</v>
      </c>
      <c r="F309" s="180">
        <v>1858471.3095010098</v>
      </c>
      <c r="G309" s="2169">
        <v>0</v>
      </c>
      <c r="H309" s="877">
        <v>494814</v>
      </c>
      <c r="I309" s="3162">
        <v>619821.35936527094</v>
      </c>
      <c r="J309" s="884">
        <v>0</v>
      </c>
      <c r="K309" s="180">
        <v>0</v>
      </c>
      <c r="L309" s="2167">
        <f t="shared" si="20"/>
        <v>1114635.3593652709</v>
      </c>
      <c r="M309" s="877">
        <v>328877</v>
      </c>
      <c r="N309" s="180">
        <v>1093451.1622492326</v>
      </c>
      <c r="O309" s="3162">
        <v>0</v>
      </c>
      <c r="P309" s="180">
        <v>0</v>
      </c>
      <c r="Q309" s="3211">
        <f t="shared" si="21"/>
        <v>1422328.1622492326</v>
      </c>
    </row>
    <row r="310" spans="1:19">
      <c r="A310" s="63">
        <f t="shared" si="24"/>
        <v>2018.01</v>
      </c>
      <c r="B310" s="866">
        <f t="shared" si="25"/>
        <v>1174660</v>
      </c>
      <c r="C310" s="2165">
        <f t="shared" si="26"/>
        <v>864369</v>
      </c>
      <c r="D310" s="481">
        <v>1458951</v>
      </c>
      <c r="E310" s="3162">
        <v>13321</v>
      </c>
      <c r="F310" s="180">
        <v>1702865</v>
      </c>
      <c r="G310" s="2169">
        <v>0</v>
      </c>
      <c r="H310" s="877">
        <v>782284</v>
      </c>
      <c r="I310" s="3162">
        <v>379055</v>
      </c>
      <c r="J310" s="884">
        <v>0</v>
      </c>
      <c r="K310" s="180">
        <v>13321</v>
      </c>
      <c r="L310" s="2167">
        <f t="shared" si="20"/>
        <v>1174660</v>
      </c>
      <c r="M310" s="877">
        <v>386968</v>
      </c>
      <c r="N310" s="180">
        <v>477401</v>
      </c>
      <c r="O310" s="3162">
        <v>0</v>
      </c>
      <c r="P310" s="180">
        <v>0</v>
      </c>
      <c r="Q310" s="3211">
        <f t="shared" si="21"/>
        <v>864369</v>
      </c>
    </row>
    <row r="311" spans="1:19">
      <c r="A311" s="63">
        <f>A299+1</f>
        <v>2018.02</v>
      </c>
      <c r="B311" s="866">
        <f t="shared" si="25"/>
        <v>1319976</v>
      </c>
      <c r="C311" s="2165">
        <f t="shared" si="26"/>
        <v>758915</v>
      </c>
      <c r="D311" s="869">
        <v>1592089</v>
      </c>
      <c r="E311" s="3162">
        <v>0</v>
      </c>
      <c r="F311" s="873">
        <v>1226473</v>
      </c>
      <c r="G311" s="2169">
        <v>0</v>
      </c>
      <c r="H311" s="877">
        <v>821297</v>
      </c>
      <c r="I311" s="3162">
        <v>498679</v>
      </c>
      <c r="J311" s="884">
        <v>0</v>
      </c>
      <c r="K311" s="180">
        <v>0</v>
      </c>
      <c r="L311" s="2167">
        <f t="shared" si="20"/>
        <v>1319976</v>
      </c>
      <c r="M311" s="877">
        <v>233057</v>
      </c>
      <c r="N311" s="180">
        <v>525858</v>
      </c>
      <c r="O311" s="3162">
        <v>0</v>
      </c>
      <c r="P311" s="180">
        <v>0</v>
      </c>
      <c r="Q311" s="3211">
        <f t="shared" si="21"/>
        <v>758915</v>
      </c>
    </row>
    <row r="312" spans="1:19">
      <c r="A312" s="63">
        <f t="shared" si="24"/>
        <v>2018.03</v>
      </c>
      <c r="B312" s="866">
        <f t="shared" si="25"/>
        <v>2207747</v>
      </c>
      <c r="C312" s="2165">
        <f t="shared" si="26"/>
        <v>1058922</v>
      </c>
      <c r="D312" s="869">
        <v>2574118</v>
      </c>
      <c r="E312" s="3162">
        <v>31607</v>
      </c>
      <c r="F312" s="873">
        <v>1546165</v>
      </c>
      <c r="G312" s="2169">
        <v>0</v>
      </c>
      <c r="H312" s="877">
        <v>985125</v>
      </c>
      <c r="I312" s="3162">
        <v>1191015</v>
      </c>
      <c r="J312" s="884">
        <v>0</v>
      </c>
      <c r="K312" s="180">
        <v>31607</v>
      </c>
      <c r="L312" s="2167">
        <f t="shared" si="20"/>
        <v>2207747</v>
      </c>
      <c r="M312" s="877">
        <v>314672</v>
      </c>
      <c r="N312" s="180">
        <v>744250</v>
      </c>
      <c r="O312" s="3162">
        <v>0</v>
      </c>
      <c r="P312" s="180">
        <v>0</v>
      </c>
      <c r="Q312" s="3211">
        <f t="shared" si="21"/>
        <v>1058922</v>
      </c>
    </row>
    <row r="313" spans="1:19">
      <c r="A313" s="63">
        <f t="shared" si="24"/>
        <v>2018.04</v>
      </c>
      <c r="B313" s="866">
        <f t="shared" si="25"/>
        <v>2211422</v>
      </c>
      <c r="C313" s="2165">
        <f t="shared" si="26"/>
        <v>1497640</v>
      </c>
      <c r="D313" s="869">
        <v>2559495</v>
      </c>
      <c r="E313" s="3162">
        <v>0</v>
      </c>
      <c r="F313" s="180">
        <v>1863928</v>
      </c>
      <c r="G313" s="2169">
        <v>0</v>
      </c>
      <c r="H313" s="877">
        <v>946664</v>
      </c>
      <c r="I313" s="3162">
        <v>1264758</v>
      </c>
      <c r="J313" s="884">
        <v>0</v>
      </c>
      <c r="K313" s="180">
        <v>0</v>
      </c>
      <c r="L313" s="2167">
        <f t="shared" si="20"/>
        <v>2211422</v>
      </c>
      <c r="M313" s="877">
        <v>83734</v>
      </c>
      <c r="N313" s="180">
        <v>1413906</v>
      </c>
      <c r="O313" s="3162">
        <v>0</v>
      </c>
      <c r="P313" s="180">
        <v>0</v>
      </c>
      <c r="Q313" s="3211">
        <f t="shared" si="21"/>
        <v>1497640</v>
      </c>
    </row>
    <row r="314" spans="1:19">
      <c r="A314" s="63">
        <f t="shared" si="24"/>
        <v>2018.05</v>
      </c>
      <c r="B314" s="866">
        <f t="shared" si="25"/>
        <v>1493218</v>
      </c>
      <c r="C314" s="2165">
        <f t="shared" si="26"/>
        <v>317709</v>
      </c>
      <c r="D314" s="481">
        <v>1714744</v>
      </c>
      <c r="E314" s="3162">
        <v>0</v>
      </c>
      <c r="F314" s="180">
        <v>561926</v>
      </c>
      <c r="G314" s="2169">
        <v>0</v>
      </c>
      <c r="H314" s="877">
        <v>668264</v>
      </c>
      <c r="I314" s="3162">
        <v>824954</v>
      </c>
      <c r="J314" s="884">
        <v>0</v>
      </c>
      <c r="K314" s="180">
        <v>0</v>
      </c>
      <c r="L314" s="2167">
        <f t="shared" si="20"/>
        <v>1493218</v>
      </c>
      <c r="M314" s="877">
        <v>134245</v>
      </c>
      <c r="N314" s="180">
        <v>183464</v>
      </c>
      <c r="O314" s="3162">
        <v>0</v>
      </c>
      <c r="P314" s="180">
        <v>0</v>
      </c>
      <c r="Q314" s="3211">
        <f t="shared" si="21"/>
        <v>317709</v>
      </c>
    </row>
    <row r="315" spans="1:19">
      <c r="A315" s="63">
        <f t="shared" si="24"/>
        <v>2018.06</v>
      </c>
      <c r="B315" s="866">
        <f t="shared" si="25"/>
        <v>1531599</v>
      </c>
      <c r="C315" s="2165">
        <f t="shared" si="26"/>
        <v>186549</v>
      </c>
      <c r="D315" s="481">
        <v>1693413</v>
      </c>
      <c r="E315" s="3162">
        <v>0</v>
      </c>
      <c r="F315" s="180">
        <v>390022</v>
      </c>
      <c r="G315" s="2169">
        <v>0</v>
      </c>
      <c r="H315" s="877">
        <v>782945</v>
      </c>
      <c r="I315" s="3162">
        <v>748654</v>
      </c>
      <c r="J315" s="884">
        <v>0</v>
      </c>
      <c r="K315" s="180">
        <v>0</v>
      </c>
      <c r="L315" s="2167">
        <f t="shared" si="20"/>
        <v>1531599</v>
      </c>
      <c r="M315" s="877">
        <v>127439</v>
      </c>
      <c r="N315" s="180">
        <v>59110</v>
      </c>
      <c r="O315" s="3162">
        <v>0</v>
      </c>
      <c r="P315" s="180">
        <v>0</v>
      </c>
      <c r="Q315" s="3211">
        <f t="shared" si="21"/>
        <v>186549</v>
      </c>
    </row>
    <row r="316" spans="1:19">
      <c r="A316" s="63">
        <f t="shared" si="24"/>
        <v>2018.07</v>
      </c>
      <c r="B316" s="866">
        <f t="shared" si="25"/>
        <v>1765837</v>
      </c>
      <c r="C316" s="2165">
        <f t="shared" si="26"/>
        <v>176570</v>
      </c>
      <c r="D316" s="481">
        <v>2091711</v>
      </c>
      <c r="E316" s="3162">
        <v>0</v>
      </c>
      <c r="F316" s="180">
        <v>405157</v>
      </c>
      <c r="G316" s="2169">
        <v>0</v>
      </c>
      <c r="H316" s="877">
        <v>860778</v>
      </c>
      <c r="I316" s="3162">
        <v>905059</v>
      </c>
      <c r="J316" s="884">
        <v>0</v>
      </c>
      <c r="K316" s="180">
        <v>0</v>
      </c>
      <c r="L316" s="2167">
        <f t="shared" si="20"/>
        <v>1765837</v>
      </c>
      <c r="M316" s="877">
        <v>116250</v>
      </c>
      <c r="N316" s="180">
        <v>60320</v>
      </c>
      <c r="O316" s="3162">
        <v>0</v>
      </c>
      <c r="P316" s="180">
        <v>0</v>
      </c>
      <c r="Q316" s="3211">
        <f t="shared" si="21"/>
        <v>176570</v>
      </c>
    </row>
    <row r="317" spans="1:19">
      <c r="A317" s="63">
        <f t="shared" si="24"/>
        <v>2018.08</v>
      </c>
      <c r="B317" s="866">
        <f t="shared" si="25"/>
        <v>1219507</v>
      </c>
      <c r="C317" s="2165">
        <f t="shared" si="26"/>
        <v>292312</v>
      </c>
      <c r="D317" s="481">
        <v>1810476</v>
      </c>
      <c r="E317" s="3162">
        <v>0</v>
      </c>
      <c r="F317" s="180">
        <v>483162</v>
      </c>
      <c r="G317" s="2169">
        <v>0</v>
      </c>
      <c r="H317" s="877">
        <v>588823</v>
      </c>
      <c r="I317" s="3162">
        <v>630684</v>
      </c>
      <c r="J317" s="884">
        <v>0</v>
      </c>
      <c r="K317" s="180">
        <v>0</v>
      </c>
      <c r="L317" s="2167">
        <f t="shared" si="20"/>
        <v>1219507</v>
      </c>
      <c r="M317" s="877">
        <v>171861</v>
      </c>
      <c r="N317" s="180">
        <v>120451</v>
      </c>
      <c r="O317" s="3162">
        <v>0</v>
      </c>
      <c r="P317" s="180">
        <v>0</v>
      </c>
      <c r="Q317" s="3211">
        <f t="shared" si="21"/>
        <v>292312</v>
      </c>
    </row>
    <row r="318" spans="1:19">
      <c r="A318" s="63">
        <f t="shared" si="24"/>
        <v>2018.09</v>
      </c>
      <c r="B318" s="866">
        <f t="shared" si="25"/>
        <v>1126261</v>
      </c>
      <c r="C318" s="2165">
        <f t="shared" si="26"/>
        <v>243970</v>
      </c>
      <c r="D318" s="481">
        <v>1487294</v>
      </c>
      <c r="E318" s="3162">
        <v>0</v>
      </c>
      <c r="F318" s="180">
        <v>390538</v>
      </c>
      <c r="G318" s="2169">
        <v>0</v>
      </c>
      <c r="H318" s="877">
        <v>715363</v>
      </c>
      <c r="I318" s="3162">
        <v>410898</v>
      </c>
      <c r="J318" s="884">
        <v>0</v>
      </c>
      <c r="K318" s="180">
        <v>0</v>
      </c>
      <c r="L318" s="2167">
        <f t="shared" si="20"/>
        <v>1126261</v>
      </c>
      <c r="M318" s="877">
        <v>158380</v>
      </c>
      <c r="N318" s="180">
        <v>85590</v>
      </c>
      <c r="O318" s="3162">
        <v>0</v>
      </c>
      <c r="P318" s="180">
        <v>0</v>
      </c>
      <c r="Q318" s="3211">
        <f t="shared" si="21"/>
        <v>243970</v>
      </c>
      <c r="S318" s="454"/>
    </row>
    <row r="319" spans="1:19">
      <c r="A319" s="63">
        <f t="shared" si="24"/>
        <v>2018.1</v>
      </c>
      <c r="B319" s="866">
        <f t="shared" si="25"/>
        <v>1329913</v>
      </c>
      <c r="C319" s="2165">
        <f t="shared" si="26"/>
        <v>170145</v>
      </c>
      <c r="D319" s="481">
        <v>1835572</v>
      </c>
      <c r="E319" s="3162">
        <v>72546</v>
      </c>
      <c r="F319" s="180">
        <v>308365</v>
      </c>
      <c r="G319" s="2169">
        <v>0</v>
      </c>
      <c r="H319" s="877">
        <v>715476</v>
      </c>
      <c r="I319" s="3162">
        <f>516891+25000</f>
        <v>541891</v>
      </c>
      <c r="J319" s="884">
        <v>0</v>
      </c>
      <c r="K319" s="180">
        <v>72546</v>
      </c>
      <c r="L319" s="2167">
        <f t="shared" si="20"/>
        <v>1329913</v>
      </c>
      <c r="M319" s="877">
        <v>139015</v>
      </c>
      <c r="N319" s="180">
        <v>31130</v>
      </c>
      <c r="O319" s="3162">
        <v>0</v>
      </c>
      <c r="P319" s="180">
        <v>0</v>
      </c>
      <c r="Q319" s="3211">
        <f t="shared" si="21"/>
        <v>170145</v>
      </c>
    </row>
    <row r="320" spans="1:19">
      <c r="A320" s="63">
        <f t="shared" si="24"/>
        <v>2018.11</v>
      </c>
      <c r="B320" s="866">
        <f t="shared" si="22"/>
        <v>753459</v>
      </c>
      <c r="C320" s="2165">
        <f t="shared" si="23"/>
        <v>428016</v>
      </c>
      <c r="D320" s="481">
        <v>1000989</v>
      </c>
      <c r="E320" s="3162">
        <v>75227</v>
      </c>
      <c r="F320" s="180">
        <v>498714</v>
      </c>
      <c r="G320" s="2169">
        <v>0</v>
      </c>
      <c r="H320" s="877">
        <v>331894</v>
      </c>
      <c r="I320" s="3162">
        <v>379100</v>
      </c>
      <c r="J320" s="884">
        <v>0</v>
      </c>
      <c r="K320" s="180">
        <v>42465</v>
      </c>
      <c r="L320" s="2167">
        <f t="shared" si="20"/>
        <v>753459</v>
      </c>
      <c r="M320" s="877">
        <v>309276</v>
      </c>
      <c r="N320" s="180">
        <v>118740</v>
      </c>
      <c r="O320" s="3162">
        <v>0</v>
      </c>
      <c r="P320" s="180">
        <v>0</v>
      </c>
      <c r="Q320" s="3211">
        <f t="shared" si="21"/>
        <v>428016</v>
      </c>
      <c r="S320" s="454"/>
    </row>
    <row r="321" spans="1:21">
      <c r="A321" s="63">
        <f>A309+1</f>
        <v>2018.12</v>
      </c>
      <c r="B321" s="866">
        <f t="shared" si="22"/>
        <v>1079810</v>
      </c>
      <c r="C321" s="2165">
        <f t="shared" si="23"/>
        <v>1366755</v>
      </c>
      <c r="D321" s="481">
        <v>1291567</v>
      </c>
      <c r="E321" s="3162">
        <v>98011</v>
      </c>
      <c r="F321" s="180">
        <v>1734305</v>
      </c>
      <c r="G321" s="2169">
        <v>0</v>
      </c>
      <c r="H321" s="877">
        <v>624517</v>
      </c>
      <c r="I321" s="3162">
        <v>357282</v>
      </c>
      <c r="J321" s="884">
        <v>0</v>
      </c>
      <c r="K321" s="180">
        <v>98011</v>
      </c>
      <c r="L321" s="2167">
        <f t="shared" si="20"/>
        <v>1079810</v>
      </c>
      <c r="M321" s="877">
        <v>553728</v>
      </c>
      <c r="N321" s="180">
        <v>813027</v>
      </c>
      <c r="O321" s="3162">
        <v>0</v>
      </c>
      <c r="P321" s="180">
        <v>0</v>
      </c>
      <c r="Q321" s="3211">
        <f t="shared" si="21"/>
        <v>1366755</v>
      </c>
      <c r="S321" s="454"/>
      <c r="T321" s="454"/>
      <c r="U321" s="455"/>
    </row>
    <row r="322" spans="1:21">
      <c r="A322" s="63">
        <f t="shared" si="24"/>
        <v>2019.01</v>
      </c>
      <c r="B322" s="866">
        <f t="shared" si="22"/>
        <v>910112</v>
      </c>
      <c r="C322" s="2165">
        <f t="shared" si="23"/>
        <v>1265725</v>
      </c>
      <c r="D322" s="481">
        <v>961773</v>
      </c>
      <c r="E322" s="3162">
        <v>64057</v>
      </c>
      <c r="F322" s="180">
        <v>2178450</v>
      </c>
      <c r="G322" s="2169">
        <v>0</v>
      </c>
      <c r="H322" s="877">
        <v>677245</v>
      </c>
      <c r="I322" s="3162">
        <v>168810</v>
      </c>
      <c r="J322" s="884">
        <v>0</v>
      </c>
      <c r="K322" s="180">
        <v>64057</v>
      </c>
      <c r="L322" s="2167">
        <f t="shared" si="20"/>
        <v>910112</v>
      </c>
      <c r="M322" s="877">
        <v>577755</v>
      </c>
      <c r="N322" s="180">
        <v>687970</v>
      </c>
      <c r="O322" s="3162">
        <v>0</v>
      </c>
      <c r="P322" s="180">
        <v>0</v>
      </c>
      <c r="Q322" s="3211">
        <f t="shared" si="21"/>
        <v>1265725</v>
      </c>
    </row>
    <row r="323" spans="1:21">
      <c r="A323" s="63">
        <f t="shared" si="24"/>
        <v>2019.02</v>
      </c>
      <c r="B323" s="866">
        <f t="shared" si="22"/>
        <v>913847</v>
      </c>
      <c r="C323" s="2165">
        <f t="shared" si="23"/>
        <v>876459</v>
      </c>
      <c r="D323" s="481">
        <v>1089432</v>
      </c>
      <c r="E323" s="3162">
        <v>0</v>
      </c>
      <c r="F323" s="180">
        <v>1356524</v>
      </c>
      <c r="G323" s="2169">
        <v>0</v>
      </c>
      <c r="H323" s="877">
        <v>681187</v>
      </c>
      <c r="I323" s="3162">
        <v>232660</v>
      </c>
      <c r="J323" s="884">
        <v>0</v>
      </c>
      <c r="K323" s="180">
        <v>0</v>
      </c>
      <c r="L323" s="2167">
        <f t="shared" si="20"/>
        <v>913847</v>
      </c>
      <c r="M323" s="877">
        <v>230751</v>
      </c>
      <c r="N323" s="180">
        <v>645708</v>
      </c>
      <c r="O323" s="3162">
        <v>0</v>
      </c>
      <c r="P323" s="180">
        <v>0</v>
      </c>
      <c r="Q323" s="3211">
        <f t="shared" si="21"/>
        <v>876459</v>
      </c>
    </row>
    <row r="324" spans="1:21">
      <c r="A324" s="63">
        <f t="shared" si="24"/>
        <v>2019.03</v>
      </c>
      <c r="B324" s="866">
        <f t="shared" si="22"/>
        <v>2964917</v>
      </c>
      <c r="C324" s="2165">
        <f t="shared" si="23"/>
        <v>327379</v>
      </c>
      <c r="D324" s="481">
        <v>3238497</v>
      </c>
      <c r="E324" s="3162">
        <v>0</v>
      </c>
      <c r="F324" s="180">
        <v>885769</v>
      </c>
      <c r="G324" s="2169">
        <v>0</v>
      </c>
      <c r="H324" s="877">
        <v>1158918</v>
      </c>
      <c r="I324" s="3162">
        <v>1805999</v>
      </c>
      <c r="J324" s="884">
        <v>0</v>
      </c>
      <c r="K324" s="180">
        <v>0</v>
      </c>
      <c r="L324" s="2167">
        <f t="shared" si="20"/>
        <v>2964917</v>
      </c>
      <c r="M324" s="877">
        <v>196866</v>
      </c>
      <c r="N324" s="180">
        <v>130513</v>
      </c>
      <c r="O324" s="3162">
        <v>0</v>
      </c>
      <c r="P324" s="180">
        <v>0</v>
      </c>
      <c r="Q324" s="3211">
        <f t="shared" si="21"/>
        <v>327379</v>
      </c>
    </row>
    <row r="325" spans="1:21">
      <c r="A325" s="63">
        <f t="shared" si="24"/>
        <v>2019.04</v>
      </c>
      <c r="B325" s="866">
        <f t="shared" si="22"/>
        <v>2442940</v>
      </c>
      <c r="C325" s="2165">
        <f t="shared" si="23"/>
        <v>269842</v>
      </c>
      <c r="D325" s="481">
        <v>3044790</v>
      </c>
      <c r="E325" s="3162">
        <v>0</v>
      </c>
      <c r="F325" s="180">
        <v>817406</v>
      </c>
      <c r="G325" s="2169">
        <v>0</v>
      </c>
      <c r="H325" s="877">
        <v>1075426</v>
      </c>
      <c r="I325" s="3162">
        <f>1345514+22000</f>
        <v>1367514</v>
      </c>
      <c r="J325" s="884">
        <v>0</v>
      </c>
      <c r="K325" s="180">
        <v>0</v>
      </c>
      <c r="L325" s="2167">
        <f t="shared" si="20"/>
        <v>2442940</v>
      </c>
      <c r="M325" s="877">
        <v>175392</v>
      </c>
      <c r="N325" s="180">
        <v>94450</v>
      </c>
      <c r="O325" s="3162">
        <v>0</v>
      </c>
      <c r="P325" s="180">
        <v>0</v>
      </c>
      <c r="Q325" s="3211">
        <f t="shared" si="21"/>
        <v>269842</v>
      </c>
    </row>
    <row r="326" spans="1:21">
      <c r="A326" s="63">
        <f t="shared" si="24"/>
        <v>2019.05</v>
      </c>
      <c r="B326" s="866">
        <f t="shared" si="22"/>
        <v>3087173</v>
      </c>
      <c r="C326" s="2165">
        <f t="shared" si="23"/>
        <v>426121</v>
      </c>
      <c r="D326" s="481">
        <v>3704027</v>
      </c>
      <c r="E326" s="3162">
        <v>0</v>
      </c>
      <c r="F326" s="180">
        <v>708644</v>
      </c>
      <c r="G326" s="2169">
        <v>0</v>
      </c>
      <c r="H326" s="877">
        <v>1236126</v>
      </c>
      <c r="I326" s="3162">
        <v>1851047</v>
      </c>
      <c r="J326" s="884">
        <v>0</v>
      </c>
      <c r="K326" s="180">
        <v>0</v>
      </c>
      <c r="L326" s="2167">
        <f t="shared" si="20"/>
        <v>3087173</v>
      </c>
      <c r="M326" s="877">
        <v>178050</v>
      </c>
      <c r="N326" s="180">
        <f>220571+27500</f>
        <v>248071</v>
      </c>
      <c r="O326" s="3162">
        <v>0</v>
      </c>
      <c r="P326" s="180">
        <v>0</v>
      </c>
      <c r="Q326" s="3211">
        <f t="shared" si="21"/>
        <v>426121</v>
      </c>
    </row>
    <row r="327" spans="1:21">
      <c r="A327" s="63">
        <f t="shared" si="24"/>
        <v>2019.06</v>
      </c>
      <c r="B327" s="866">
        <f t="shared" si="22"/>
        <v>2130493</v>
      </c>
      <c r="C327" s="2165">
        <f t="shared" si="23"/>
        <v>125850</v>
      </c>
      <c r="D327" s="481">
        <v>2606526</v>
      </c>
      <c r="E327" s="3162">
        <v>0</v>
      </c>
      <c r="F327" s="180">
        <v>422881</v>
      </c>
      <c r="G327" s="2169">
        <v>0</v>
      </c>
      <c r="H327" s="877">
        <v>1004436</v>
      </c>
      <c r="I327" s="3162">
        <v>1126057</v>
      </c>
      <c r="J327" s="884">
        <v>0</v>
      </c>
      <c r="K327" s="180">
        <v>0</v>
      </c>
      <c r="L327" s="2167">
        <f t="shared" si="20"/>
        <v>2130493</v>
      </c>
      <c r="M327" s="877">
        <v>65500</v>
      </c>
      <c r="N327" s="180">
        <v>60350</v>
      </c>
      <c r="O327" s="3162">
        <v>0</v>
      </c>
      <c r="P327" s="180">
        <v>0</v>
      </c>
      <c r="Q327" s="3211">
        <f t="shared" si="21"/>
        <v>125850</v>
      </c>
    </row>
    <row r="328" spans="1:21">
      <c r="A328" s="63">
        <f t="shared" si="24"/>
        <v>2019.07</v>
      </c>
      <c r="B328" s="866">
        <f t="shared" si="22"/>
        <v>3432824</v>
      </c>
      <c r="C328" s="2165">
        <f t="shared" si="23"/>
        <v>182129</v>
      </c>
      <c r="D328" s="481">
        <v>4183325</v>
      </c>
      <c r="E328" s="3162">
        <v>65572</v>
      </c>
      <c r="F328" s="180">
        <v>379431</v>
      </c>
      <c r="G328" s="2169">
        <v>0</v>
      </c>
      <c r="H328" s="877">
        <v>1267456</v>
      </c>
      <c r="I328" s="3162">
        <v>2099796</v>
      </c>
      <c r="J328" s="884">
        <v>0</v>
      </c>
      <c r="K328" s="180">
        <v>65572</v>
      </c>
      <c r="L328" s="2167">
        <f t="shared" si="20"/>
        <v>3432824</v>
      </c>
      <c r="M328" s="877">
        <v>118979</v>
      </c>
      <c r="N328" s="180">
        <v>63150</v>
      </c>
      <c r="O328" s="3162">
        <v>0</v>
      </c>
      <c r="P328" s="180">
        <v>0</v>
      </c>
      <c r="Q328" s="3211">
        <f t="shared" si="21"/>
        <v>182129</v>
      </c>
      <c r="T328" s="454"/>
    </row>
    <row r="329" spans="1:21">
      <c r="A329" s="63">
        <f>A317+1</f>
        <v>2019.08</v>
      </c>
      <c r="B329" s="866">
        <f t="shared" si="22"/>
        <v>2759238</v>
      </c>
      <c r="C329" s="2165">
        <f t="shared" si="23"/>
        <v>144180</v>
      </c>
      <c r="D329" s="481">
        <v>3418392</v>
      </c>
      <c r="E329" s="3162">
        <v>193146</v>
      </c>
      <c r="F329" s="180">
        <v>379532</v>
      </c>
      <c r="G329" s="2169">
        <v>0</v>
      </c>
      <c r="H329" s="877">
        <v>731252</v>
      </c>
      <c r="I329" s="3162">
        <f>1862211+18000</f>
        <v>1880211</v>
      </c>
      <c r="J329" s="884">
        <v>0</v>
      </c>
      <c r="K329" s="180">
        <v>147775</v>
      </c>
      <c r="L329" s="2167">
        <f t="shared" si="20"/>
        <v>2759238</v>
      </c>
      <c r="M329" s="877">
        <v>27404</v>
      </c>
      <c r="N329" s="180">
        <v>116776</v>
      </c>
      <c r="O329" s="3162">
        <v>0</v>
      </c>
      <c r="P329" s="180">
        <v>0</v>
      </c>
      <c r="Q329" s="3211">
        <f t="shared" si="21"/>
        <v>144180</v>
      </c>
    </row>
    <row r="330" spans="1:21">
      <c r="A330" s="63">
        <f t="shared" si="24"/>
        <v>2019.09</v>
      </c>
      <c r="B330" s="866">
        <f t="shared" si="22"/>
        <v>2326373</v>
      </c>
      <c r="C330" s="2165">
        <f t="shared" si="23"/>
        <v>163133</v>
      </c>
      <c r="D330" s="481">
        <v>2997321</v>
      </c>
      <c r="E330" s="3162">
        <v>82726</v>
      </c>
      <c r="F330" s="180">
        <v>278657</v>
      </c>
      <c r="G330" s="2169">
        <v>0</v>
      </c>
      <c r="H330" s="877">
        <v>728342</v>
      </c>
      <c r="I330" s="3162">
        <v>1515305</v>
      </c>
      <c r="J330" s="884">
        <v>0</v>
      </c>
      <c r="K330" s="180">
        <v>82726</v>
      </c>
      <c r="L330" s="2167">
        <f t="shared" ref="L330:L345" si="27">SUM(H330:K330)</f>
        <v>2326373</v>
      </c>
      <c r="M330" s="877">
        <v>108133</v>
      </c>
      <c r="N330" s="180">
        <v>55000</v>
      </c>
      <c r="O330" s="3162">
        <v>0</v>
      </c>
      <c r="P330" s="180">
        <v>0</v>
      </c>
      <c r="Q330" s="3211">
        <f t="shared" ref="Q330:Q345" si="28">SUM(M330:P330)</f>
        <v>163133</v>
      </c>
      <c r="T330" s="455"/>
    </row>
    <row r="331" spans="1:21">
      <c r="A331" s="63">
        <f t="shared" si="24"/>
        <v>2019.1</v>
      </c>
      <c r="B331" s="866">
        <f t="shared" si="22"/>
        <v>1935071</v>
      </c>
      <c r="C331" s="2165">
        <f t="shared" si="23"/>
        <v>90696</v>
      </c>
      <c r="D331" s="481">
        <v>2684078</v>
      </c>
      <c r="E331" s="3162">
        <v>152252</v>
      </c>
      <c r="F331" s="180">
        <v>246384</v>
      </c>
      <c r="G331" s="2169">
        <v>0</v>
      </c>
      <c r="H331" s="877">
        <v>580404</v>
      </c>
      <c r="I331" s="3162">
        <v>1251452</v>
      </c>
      <c r="J331" s="884">
        <v>0</v>
      </c>
      <c r="K331" s="180">
        <v>103215</v>
      </c>
      <c r="L331" s="2167">
        <f t="shared" si="27"/>
        <v>1935071</v>
      </c>
      <c r="M331" s="877">
        <v>0</v>
      </c>
      <c r="N331" s="180">
        <v>90696</v>
      </c>
      <c r="O331" s="3162">
        <v>0</v>
      </c>
      <c r="P331" s="180">
        <v>0</v>
      </c>
      <c r="Q331" s="3211">
        <f t="shared" si="28"/>
        <v>90696</v>
      </c>
    </row>
    <row r="332" spans="1:21">
      <c r="A332" s="63">
        <f t="shared" si="24"/>
        <v>2019.11</v>
      </c>
      <c r="B332" s="866">
        <f t="shared" ref="B332:B345" si="29">L332</f>
        <v>2196879</v>
      </c>
      <c r="C332" s="2165">
        <f t="shared" ref="C332:C345" si="30">Q332</f>
        <v>691733</v>
      </c>
      <c r="D332" s="481">
        <v>2495078</v>
      </c>
      <c r="E332" s="3162">
        <v>236219</v>
      </c>
      <c r="F332" s="180">
        <v>723203</v>
      </c>
      <c r="G332" s="2169">
        <v>0</v>
      </c>
      <c r="H332" s="877">
        <v>893291</v>
      </c>
      <c r="I332" s="3162">
        <v>1088045</v>
      </c>
      <c r="J332" s="884">
        <v>112104</v>
      </c>
      <c r="K332" s="180">
        <v>103439</v>
      </c>
      <c r="L332" s="2167">
        <f t="shared" si="27"/>
        <v>2196879</v>
      </c>
      <c r="M332" s="877">
        <v>148864</v>
      </c>
      <c r="N332" s="180">
        <v>542869</v>
      </c>
      <c r="O332" s="3162">
        <v>0</v>
      </c>
      <c r="P332" s="180">
        <v>0</v>
      </c>
      <c r="Q332" s="3211">
        <f t="shared" si="28"/>
        <v>691733</v>
      </c>
    </row>
    <row r="333" spans="1:21">
      <c r="A333" s="63">
        <f t="shared" si="24"/>
        <v>2019.12</v>
      </c>
      <c r="B333" s="866">
        <f t="shared" si="29"/>
        <v>1383007</v>
      </c>
      <c r="C333" s="2165">
        <f t="shared" si="30"/>
        <v>1700817</v>
      </c>
      <c r="D333" s="481">
        <v>1710348</v>
      </c>
      <c r="E333" s="3162">
        <v>54621</v>
      </c>
      <c r="F333" s="180">
        <v>2108332</v>
      </c>
      <c r="G333" s="2169">
        <v>0</v>
      </c>
      <c r="H333" s="877">
        <v>635395</v>
      </c>
      <c r="I333" s="3162">
        <v>692991</v>
      </c>
      <c r="J333" s="884">
        <v>0</v>
      </c>
      <c r="K333" s="180">
        <v>54621</v>
      </c>
      <c r="L333" s="2167">
        <f t="shared" si="27"/>
        <v>1383007</v>
      </c>
      <c r="M333" s="877">
        <v>500467</v>
      </c>
      <c r="N333" s="180">
        <v>1200350</v>
      </c>
      <c r="O333" s="3162">
        <v>0</v>
      </c>
      <c r="P333" s="180">
        <v>0</v>
      </c>
      <c r="Q333" s="3211">
        <f t="shared" si="28"/>
        <v>1700817</v>
      </c>
    </row>
    <row r="334" spans="1:21">
      <c r="A334" s="63">
        <f t="shared" si="24"/>
        <v>2020.01</v>
      </c>
      <c r="B334" s="866">
        <f t="shared" si="29"/>
        <v>1596697</v>
      </c>
      <c r="C334" s="2165">
        <f t="shared" si="30"/>
        <v>2093434</v>
      </c>
      <c r="D334" s="481">
        <v>1818017</v>
      </c>
      <c r="E334" s="3162">
        <v>46136</v>
      </c>
      <c r="F334" s="180">
        <v>3360490</v>
      </c>
      <c r="G334" s="2169">
        <v>0</v>
      </c>
      <c r="H334" s="877">
        <v>640360</v>
      </c>
      <c r="I334" s="3162">
        <v>910201</v>
      </c>
      <c r="J334" s="884">
        <v>0</v>
      </c>
      <c r="K334" s="180">
        <v>46136</v>
      </c>
      <c r="L334" s="2167">
        <f t="shared" si="27"/>
        <v>1596697</v>
      </c>
      <c r="M334" s="877">
        <v>561954</v>
      </c>
      <c r="N334" s="180">
        <v>1531480</v>
      </c>
      <c r="O334" s="3162">
        <v>0</v>
      </c>
      <c r="P334" s="180">
        <v>0</v>
      </c>
      <c r="Q334" s="3211">
        <f t="shared" si="28"/>
        <v>2093434</v>
      </c>
    </row>
    <row r="335" spans="1:21">
      <c r="A335" s="63">
        <f t="shared" si="24"/>
        <v>2020.02</v>
      </c>
      <c r="B335" s="866">
        <f t="shared" si="29"/>
        <v>1071410</v>
      </c>
      <c r="C335" s="2165">
        <f t="shared" si="30"/>
        <v>1356915</v>
      </c>
      <c r="D335" s="481">
        <v>1331603</v>
      </c>
      <c r="E335" s="3162">
        <v>0</v>
      </c>
      <c r="F335" s="180">
        <v>1966636</v>
      </c>
      <c r="G335" s="2169">
        <v>0</v>
      </c>
      <c r="H335" s="877">
        <v>377031</v>
      </c>
      <c r="I335" s="3162">
        <v>694379</v>
      </c>
      <c r="J335" s="884">
        <v>0</v>
      </c>
      <c r="K335" s="180">
        <v>0</v>
      </c>
      <c r="L335" s="2167">
        <f t="shared" si="27"/>
        <v>1071410</v>
      </c>
      <c r="M335" s="877">
        <v>474505</v>
      </c>
      <c r="N335" s="180">
        <v>882410</v>
      </c>
      <c r="O335" s="3162">
        <v>0</v>
      </c>
      <c r="P335" s="180">
        <v>0</v>
      </c>
      <c r="Q335" s="3211">
        <f t="shared" si="28"/>
        <v>1356915</v>
      </c>
    </row>
    <row r="336" spans="1:21">
      <c r="A336" s="63">
        <f t="shared" si="24"/>
        <v>2020.03</v>
      </c>
      <c r="B336" s="866">
        <f t="shared" si="29"/>
        <v>3111123</v>
      </c>
      <c r="C336" s="2165">
        <f t="shared" si="30"/>
        <v>768764</v>
      </c>
      <c r="D336" s="481">
        <v>3431890</v>
      </c>
      <c r="E336" s="3162">
        <v>0</v>
      </c>
      <c r="F336" s="180">
        <v>1202262</v>
      </c>
      <c r="G336" s="2169">
        <v>0</v>
      </c>
      <c r="H336" s="877">
        <v>1044659</v>
      </c>
      <c r="I336" s="3162">
        <v>2066464</v>
      </c>
      <c r="J336" s="884">
        <v>0</v>
      </c>
      <c r="K336" s="180">
        <v>0</v>
      </c>
      <c r="L336" s="2167">
        <f t="shared" si="27"/>
        <v>3111123</v>
      </c>
      <c r="M336" s="877">
        <v>553166</v>
      </c>
      <c r="N336" s="180">
        <v>215598</v>
      </c>
      <c r="O336" s="3162">
        <v>0</v>
      </c>
      <c r="P336" s="180">
        <v>0</v>
      </c>
      <c r="Q336" s="3211">
        <f t="shared" si="28"/>
        <v>768764</v>
      </c>
    </row>
    <row r="337" spans="1:17">
      <c r="A337" s="63">
        <f>A325+1</f>
        <v>2020.04</v>
      </c>
      <c r="B337" s="866">
        <f t="shared" si="29"/>
        <v>2678374</v>
      </c>
      <c r="C337" s="2165">
        <f t="shared" si="30"/>
        <v>383701</v>
      </c>
      <c r="D337" s="481">
        <v>3498202</v>
      </c>
      <c r="E337" s="3162">
        <v>0</v>
      </c>
      <c r="F337" s="180">
        <v>667902</v>
      </c>
      <c r="G337" s="2169">
        <v>0</v>
      </c>
      <c r="H337" s="877">
        <v>979853</v>
      </c>
      <c r="I337" s="3162">
        <f>1677038+21483</f>
        <v>1698521</v>
      </c>
      <c r="J337" s="884">
        <v>0</v>
      </c>
      <c r="K337" s="180">
        <v>0</v>
      </c>
      <c r="L337" s="2167">
        <f t="shared" si="27"/>
        <v>2678374</v>
      </c>
      <c r="M337" s="877">
        <v>255498</v>
      </c>
      <c r="N337" s="180">
        <v>128203</v>
      </c>
      <c r="O337" s="3162">
        <v>0</v>
      </c>
      <c r="P337" s="180">
        <v>0</v>
      </c>
      <c r="Q337" s="3211">
        <f t="shared" si="28"/>
        <v>383701</v>
      </c>
    </row>
    <row r="338" spans="1:17">
      <c r="A338" s="63">
        <f t="shared" si="24"/>
        <v>2020.05</v>
      </c>
      <c r="B338" s="866">
        <f t="shared" si="29"/>
        <v>2926703</v>
      </c>
      <c r="C338" s="2165">
        <f t="shared" si="30"/>
        <v>182101</v>
      </c>
      <c r="D338" s="481">
        <v>3786962</v>
      </c>
      <c r="E338" s="3162">
        <v>0</v>
      </c>
      <c r="F338" s="180">
        <v>395865</v>
      </c>
      <c r="G338" s="2169">
        <v>0</v>
      </c>
      <c r="H338" s="877">
        <v>1151576</v>
      </c>
      <c r="I338" s="3162">
        <f>1756117+19010</f>
        <v>1775127</v>
      </c>
      <c r="J338" s="884">
        <v>0</v>
      </c>
      <c r="K338" s="180">
        <v>0</v>
      </c>
      <c r="L338" s="2167">
        <f t="shared" si="27"/>
        <v>2926703</v>
      </c>
      <c r="M338" s="877">
        <v>132101</v>
      </c>
      <c r="N338" s="180">
        <v>50000</v>
      </c>
      <c r="O338" s="3162">
        <v>0</v>
      </c>
      <c r="P338" s="180">
        <v>0</v>
      </c>
      <c r="Q338" s="3211">
        <f t="shared" si="28"/>
        <v>182101</v>
      </c>
    </row>
    <row r="339" spans="1:17">
      <c r="A339" s="63">
        <f t="shared" si="24"/>
        <v>2020.06</v>
      </c>
      <c r="B339" s="866">
        <f t="shared" si="29"/>
        <v>3535583</v>
      </c>
      <c r="C339" s="2165">
        <f t="shared" si="30"/>
        <v>167148</v>
      </c>
      <c r="D339" s="481">
        <v>4545068</v>
      </c>
      <c r="E339" s="3162">
        <v>0</v>
      </c>
      <c r="F339" s="180">
        <v>293341</v>
      </c>
      <c r="G339" s="2169">
        <v>0</v>
      </c>
      <c r="H339" s="877">
        <v>860111</v>
      </c>
      <c r="I339" s="3162">
        <v>2675472</v>
      </c>
      <c r="J339" s="884">
        <v>0</v>
      </c>
      <c r="K339" s="180">
        <v>0</v>
      </c>
      <c r="L339" s="2167">
        <f t="shared" si="27"/>
        <v>3535583</v>
      </c>
      <c r="M339" s="877">
        <v>135298</v>
      </c>
      <c r="N339" s="180">
        <v>31850</v>
      </c>
      <c r="O339" s="3162">
        <v>0</v>
      </c>
      <c r="P339" s="180">
        <v>0</v>
      </c>
      <c r="Q339" s="3211">
        <f t="shared" si="28"/>
        <v>167148</v>
      </c>
    </row>
    <row r="340" spans="1:17">
      <c r="A340" s="63">
        <f t="shared" si="24"/>
        <v>2020.07</v>
      </c>
      <c r="B340" s="866">
        <f t="shared" si="29"/>
        <v>3393426</v>
      </c>
      <c r="C340" s="2165">
        <f t="shared" si="30"/>
        <v>291327</v>
      </c>
      <c r="D340" s="481">
        <v>4265471</v>
      </c>
      <c r="E340" s="3162">
        <v>0</v>
      </c>
      <c r="F340" s="180">
        <v>347997</v>
      </c>
      <c r="G340" s="2169">
        <v>0</v>
      </c>
      <c r="H340" s="877">
        <v>947466</v>
      </c>
      <c r="I340" s="3162">
        <v>2445960</v>
      </c>
      <c r="J340" s="884">
        <v>0</v>
      </c>
      <c r="K340" s="180">
        <v>0</v>
      </c>
      <c r="L340" s="2167">
        <f t="shared" si="27"/>
        <v>3393426</v>
      </c>
      <c r="M340" s="877">
        <v>153651</v>
      </c>
      <c r="N340" s="180">
        <v>137676</v>
      </c>
      <c r="O340" s="3162">
        <v>0</v>
      </c>
      <c r="P340" s="180">
        <v>0</v>
      </c>
      <c r="Q340" s="3211">
        <f t="shared" si="28"/>
        <v>291327</v>
      </c>
    </row>
    <row r="341" spans="1:17">
      <c r="A341" s="63">
        <f t="shared" si="24"/>
        <v>2020.08</v>
      </c>
      <c r="B341" s="866">
        <f t="shared" si="29"/>
        <v>3290728</v>
      </c>
      <c r="C341" s="2165">
        <f t="shared" si="30"/>
        <v>209347</v>
      </c>
      <c r="D341" s="481">
        <v>4492636</v>
      </c>
      <c r="E341" s="3162">
        <v>0</v>
      </c>
      <c r="F341" s="180">
        <v>221347</v>
      </c>
      <c r="G341" s="2169">
        <v>0</v>
      </c>
      <c r="H341" s="877">
        <v>1154807</v>
      </c>
      <c r="I341" s="3162">
        <v>2135921</v>
      </c>
      <c r="J341" s="884">
        <v>0</v>
      </c>
      <c r="K341" s="180">
        <v>0</v>
      </c>
      <c r="L341" s="2167">
        <f t="shared" si="27"/>
        <v>3290728</v>
      </c>
      <c r="M341" s="877">
        <v>174762</v>
      </c>
      <c r="N341" s="180">
        <v>34585</v>
      </c>
      <c r="O341" s="3162">
        <v>0</v>
      </c>
      <c r="P341" s="180">
        <v>0</v>
      </c>
      <c r="Q341" s="3211">
        <f t="shared" si="28"/>
        <v>209347</v>
      </c>
    </row>
    <row r="342" spans="1:17">
      <c r="A342" s="63">
        <f t="shared" si="24"/>
        <v>2020.09</v>
      </c>
      <c r="B342" s="866">
        <f t="shared" si="29"/>
        <v>2183683</v>
      </c>
      <c r="C342" s="2165">
        <f t="shared" si="30"/>
        <v>149294</v>
      </c>
      <c r="D342" s="481">
        <v>2800685</v>
      </c>
      <c r="E342" s="3162">
        <v>0</v>
      </c>
      <c r="F342" s="180">
        <v>247794</v>
      </c>
      <c r="G342" s="2169">
        <v>0</v>
      </c>
      <c r="H342" s="877">
        <v>648852</v>
      </c>
      <c r="I342" s="3162">
        <f>1524331+10500</f>
        <v>1534831</v>
      </c>
      <c r="J342" s="884">
        <v>0</v>
      </c>
      <c r="K342" s="180">
        <v>0</v>
      </c>
      <c r="L342" s="2167">
        <f t="shared" si="27"/>
        <v>2183683</v>
      </c>
      <c r="M342" s="877">
        <v>120694</v>
      </c>
      <c r="N342" s="180">
        <v>28600</v>
      </c>
      <c r="O342" s="3162">
        <v>0</v>
      </c>
      <c r="P342" s="180">
        <v>0</v>
      </c>
      <c r="Q342" s="3211">
        <f t="shared" si="28"/>
        <v>149294</v>
      </c>
    </row>
    <row r="343" spans="1:17">
      <c r="A343" s="63">
        <f t="shared" si="24"/>
        <v>2020.1</v>
      </c>
      <c r="B343" s="866">
        <f t="shared" si="29"/>
        <v>1878398</v>
      </c>
      <c r="C343" s="2165">
        <f t="shared" si="30"/>
        <v>32300</v>
      </c>
      <c r="D343" s="481">
        <v>2486889</v>
      </c>
      <c r="E343" s="3162">
        <v>26400</v>
      </c>
      <c r="F343" s="180">
        <v>63500</v>
      </c>
      <c r="G343" s="2169">
        <v>0</v>
      </c>
      <c r="H343" s="877">
        <v>617581</v>
      </c>
      <c r="I343" s="3162">
        <v>1234417</v>
      </c>
      <c r="J343" s="884">
        <v>0</v>
      </c>
      <c r="K343" s="180">
        <v>26400</v>
      </c>
      <c r="L343" s="2167">
        <f t="shared" si="27"/>
        <v>1878398</v>
      </c>
      <c r="M343" s="877">
        <v>32300</v>
      </c>
      <c r="N343" s="180">
        <v>0</v>
      </c>
      <c r="O343" s="3162">
        <v>0</v>
      </c>
      <c r="P343" s="180">
        <v>0</v>
      </c>
      <c r="Q343" s="3211">
        <f t="shared" si="28"/>
        <v>32300</v>
      </c>
    </row>
    <row r="344" spans="1:17">
      <c r="A344" s="63">
        <f t="shared" si="24"/>
        <v>2020.11</v>
      </c>
      <c r="B344" s="866">
        <f t="shared" si="29"/>
        <v>895767</v>
      </c>
      <c r="C344" s="2165">
        <f t="shared" si="30"/>
        <v>283442</v>
      </c>
      <c r="D344" s="481">
        <v>1395515</v>
      </c>
      <c r="E344" s="3162">
        <v>106361</v>
      </c>
      <c r="F344" s="180">
        <v>283442</v>
      </c>
      <c r="G344" s="2169">
        <v>0</v>
      </c>
      <c r="H344" s="877">
        <v>330701</v>
      </c>
      <c r="I344" s="3162">
        <f>481452+16500</f>
        <v>497952</v>
      </c>
      <c r="J344" s="884">
        <v>0</v>
      </c>
      <c r="K344" s="180">
        <f>67114</f>
        <v>67114</v>
      </c>
      <c r="L344" s="2167">
        <f t="shared" si="27"/>
        <v>895767</v>
      </c>
      <c r="M344" s="877">
        <v>52797</v>
      </c>
      <c r="N344" s="180">
        <v>230645</v>
      </c>
      <c r="O344" s="3162">
        <v>0</v>
      </c>
      <c r="P344" s="180">
        <v>0</v>
      </c>
      <c r="Q344" s="3211">
        <f>SUM(M344:P344)</f>
        <v>283442</v>
      </c>
    </row>
    <row r="345" spans="1:17">
      <c r="A345" s="63">
        <f t="shared" si="24"/>
        <v>2020.12</v>
      </c>
      <c r="B345" s="866">
        <f t="shared" si="29"/>
        <v>574286</v>
      </c>
      <c r="C345" s="2165">
        <f t="shared" si="30"/>
        <v>700780</v>
      </c>
      <c r="D345" s="481">
        <v>746782</v>
      </c>
      <c r="E345" s="3162">
        <v>29461</v>
      </c>
      <c r="F345" s="180">
        <v>868190</v>
      </c>
      <c r="G345" s="2169">
        <v>0</v>
      </c>
      <c r="H345" s="877">
        <v>363657</v>
      </c>
      <c r="I345" s="3162">
        <v>181168</v>
      </c>
      <c r="J345" s="884">
        <v>0</v>
      </c>
      <c r="K345" s="180">
        <v>29461</v>
      </c>
      <c r="L345" s="2167">
        <f t="shared" si="27"/>
        <v>574286</v>
      </c>
      <c r="M345" s="877">
        <v>351177</v>
      </c>
      <c r="N345" s="180">
        <v>349603</v>
      </c>
      <c r="O345" s="3162">
        <v>0</v>
      </c>
      <c r="P345" s="180">
        <v>0</v>
      </c>
      <c r="Q345" s="3211">
        <f t="shared" si="28"/>
        <v>700780</v>
      </c>
    </row>
    <row r="346" spans="1:17">
      <c r="A346" s="63">
        <f t="shared" si="24"/>
        <v>2021.01</v>
      </c>
      <c r="B346" s="866">
        <f t="shared" ref="B346:B405" si="31">L346</f>
        <v>1506889</v>
      </c>
      <c r="C346" s="2165">
        <f t="shared" ref="C346:C405" si="32">Q346</f>
        <v>931914</v>
      </c>
      <c r="D346" s="481">
        <v>1609795</v>
      </c>
      <c r="E346" s="3162">
        <v>162305</v>
      </c>
      <c r="F346" s="180">
        <v>1425172</v>
      </c>
      <c r="G346" s="2169">
        <v>0</v>
      </c>
      <c r="H346" s="877">
        <v>531772</v>
      </c>
      <c r="I346" s="3162">
        <v>812812</v>
      </c>
      <c r="J346" s="884">
        <v>0</v>
      </c>
      <c r="K346" s="180">
        <v>162305</v>
      </c>
      <c r="L346" s="2167">
        <f t="shared" ref="L346:L405" si="33">SUM(H346:K346)</f>
        <v>1506889</v>
      </c>
      <c r="M346" s="877">
        <v>367895</v>
      </c>
      <c r="N346" s="180">
        <v>564019</v>
      </c>
      <c r="O346" s="3162">
        <v>0</v>
      </c>
      <c r="P346" s="180">
        <v>0</v>
      </c>
      <c r="Q346" s="3211">
        <f t="shared" ref="Q346:Q405" si="34">SUM(M346:P346)</f>
        <v>931914</v>
      </c>
    </row>
    <row r="347" spans="1:17">
      <c r="A347" s="63">
        <f t="shared" si="24"/>
        <v>2021.02</v>
      </c>
      <c r="B347" s="866">
        <f t="shared" si="31"/>
        <v>821249</v>
      </c>
      <c r="C347" s="2165">
        <f t="shared" si="32"/>
        <v>843071</v>
      </c>
      <c r="D347" s="481">
        <v>1061976</v>
      </c>
      <c r="E347" s="3162">
        <v>102080</v>
      </c>
      <c r="F347" s="180">
        <v>1566139</v>
      </c>
      <c r="G347" s="2169">
        <v>0</v>
      </c>
      <c r="H347" s="877">
        <v>251761</v>
      </c>
      <c r="I347" s="3162">
        <v>467408</v>
      </c>
      <c r="J347" s="884">
        <v>0</v>
      </c>
      <c r="K347" s="180">
        <v>102080</v>
      </c>
      <c r="L347" s="2167">
        <f t="shared" si="33"/>
        <v>821249</v>
      </c>
      <c r="M347" s="877">
        <v>296338</v>
      </c>
      <c r="N347" s="180">
        <v>546733</v>
      </c>
      <c r="O347" s="3162">
        <v>0</v>
      </c>
      <c r="P347" s="180">
        <v>0</v>
      </c>
      <c r="Q347" s="3211">
        <f t="shared" si="34"/>
        <v>843071</v>
      </c>
    </row>
    <row r="348" spans="1:17">
      <c r="A348" s="63">
        <f t="shared" si="24"/>
        <v>2021.03</v>
      </c>
      <c r="B348" s="866">
        <f t="shared" si="31"/>
        <v>2355207</v>
      </c>
      <c r="C348" s="2165">
        <f t="shared" si="32"/>
        <v>459118</v>
      </c>
      <c r="D348" s="481">
        <v>2802621</v>
      </c>
      <c r="E348" s="3162">
        <v>0</v>
      </c>
      <c r="F348" s="180">
        <v>1114086</v>
      </c>
      <c r="G348" s="2169">
        <v>0</v>
      </c>
      <c r="H348" s="877">
        <v>552726</v>
      </c>
      <c r="I348" s="3162">
        <v>1802481</v>
      </c>
      <c r="J348" s="884">
        <v>0</v>
      </c>
      <c r="K348" s="180">
        <v>0</v>
      </c>
      <c r="L348" s="2167">
        <f t="shared" si="33"/>
        <v>2355207</v>
      </c>
      <c r="M348" s="877">
        <v>249364</v>
      </c>
      <c r="N348" s="180">
        <v>209754</v>
      </c>
      <c r="O348" s="3162">
        <v>0</v>
      </c>
      <c r="P348" s="180">
        <v>0</v>
      </c>
      <c r="Q348" s="3211">
        <f t="shared" si="34"/>
        <v>459118</v>
      </c>
    </row>
    <row r="349" spans="1:17">
      <c r="A349" s="63">
        <f t="shared" si="24"/>
        <v>2021.04</v>
      </c>
      <c r="B349" s="866">
        <f t="shared" si="31"/>
        <v>3042671</v>
      </c>
      <c r="C349" s="2165">
        <f t="shared" si="32"/>
        <v>438015</v>
      </c>
      <c r="D349" s="481">
        <v>3972973</v>
      </c>
      <c r="E349" s="3162">
        <v>0</v>
      </c>
      <c r="F349" s="180">
        <v>802248</v>
      </c>
      <c r="G349" s="2169">
        <v>0</v>
      </c>
      <c r="H349" s="877">
        <v>983971</v>
      </c>
      <c r="I349" s="3162">
        <f>2033850+24850</f>
        <v>2058700</v>
      </c>
      <c r="J349" s="884">
        <v>0</v>
      </c>
      <c r="K349" s="180">
        <v>0</v>
      </c>
      <c r="L349" s="2167">
        <f t="shared" si="33"/>
        <v>3042671</v>
      </c>
      <c r="M349" s="877">
        <v>147845</v>
      </c>
      <c r="N349" s="180">
        <v>290170</v>
      </c>
      <c r="O349" s="3162">
        <v>0</v>
      </c>
      <c r="P349" s="180">
        <v>0</v>
      </c>
      <c r="Q349" s="3211">
        <f t="shared" si="34"/>
        <v>438015</v>
      </c>
    </row>
    <row r="350" spans="1:17">
      <c r="A350" s="63">
        <f t="shared" si="24"/>
        <v>2021.05</v>
      </c>
      <c r="B350" s="866">
        <f t="shared" si="31"/>
        <v>2322305</v>
      </c>
      <c r="C350" s="2165">
        <f t="shared" si="32"/>
        <v>379394</v>
      </c>
      <c r="D350" s="481">
        <v>3260348</v>
      </c>
      <c r="E350" s="3162">
        <v>0</v>
      </c>
      <c r="F350" s="180">
        <v>692740</v>
      </c>
      <c r="G350" s="2169">
        <v>0</v>
      </c>
      <c r="H350" s="877">
        <v>814682</v>
      </c>
      <c r="I350" s="3162">
        <f>1483973+23650</f>
        <v>1507623</v>
      </c>
      <c r="J350" s="884">
        <v>0</v>
      </c>
      <c r="K350" s="180">
        <v>0</v>
      </c>
      <c r="L350" s="2167">
        <f t="shared" si="33"/>
        <v>2322305</v>
      </c>
      <c r="M350" s="877">
        <v>227491</v>
      </c>
      <c r="N350" s="180">
        <v>151903</v>
      </c>
      <c r="O350" s="3162">
        <v>0</v>
      </c>
      <c r="P350" s="180">
        <v>0</v>
      </c>
      <c r="Q350" s="3211">
        <f t="shared" si="34"/>
        <v>379394</v>
      </c>
    </row>
    <row r="351" spans="1:17">
      <c r="A351" s="63">
        <f t="shared" ref="A351:A414" si="35">A339+1</f>
        <v>2021.06</v>
      </c>
      <c r="B351" s="866">
        <f t="shared" si="31"/>
        <v>2918419</v>
      </c>
      <c r="C351" s="2165">
        <f t="shared" si="32"/>
        <v>115289</v>
      </c>
      <c r="D351" s="481">
        <v>3993871</v>
      </c>
      <c r="E351" s="3162">
        <v>0</v>
      </c>
      <c r="F351" s="180">
        <v>569219</v>
      </c>
      <c r="G351" s="2169">
        <v>0</v>
      </c>
      <c r="H351" s="877">
        <v>882902</v>
      </c>
      <c r="I351" s="3162">
        <f>1997240+38277</f>
        <v>2035517</v>
      </c>
      <c r="J351" s="884">
        <v>0</v>
      </c>
      <c r="K351" s="180">
        <v>0</v>
      </c>
      <c r="L351" s="2167">
        <f t="shared" si="33"/>
        <v>2918419</v>
      </c>
      <c r="M351" s="877">
        <v>47881</v>
      </c>
      <c r="N351" s="180">
        <v>67408</v>
      </c>
      <c r="O351" s="3162">
        <v>0</v>
      </c>
      <c r="P351" s="180">
        <v>0</v>
      </c>
      <c r="Q351" s="3211">
        <f t="shared" si="34"/>
        <v>115289</v>
      </c>
    </row>
    <row r="352" spans="1:17">
      <c r="A352" s="63">
        <f t="shared" si="35"/>
        <v>2021.07</v>
      </c>
      <c r="B352" s="866">
        <f t="shared" si="31"/>
        <v>3465306</v>
      </c>
      <c r="C352" s="2165">
        <f t="shared" si="32"/>
        <v>301926</v>
      </c>
      <c r="D352" s="481">
        <v>4750126</v>
      </c>
      <c r="E352" s="3162">
        <v>0</v>
      </c>
      <c r="F352" s="180">
        <v>583813</v>
      </c>
      <c r="G352" s="2169">
        <v>0</v>
      </c>
      <c r="H352" s="877">
        <v>1044200</v>
      </c>
      <c r="I352" s="3162">
        <v>2421106</v>
      </c>
      <c r="J352" s="884">
        <v>0</v>
      </c>
      <c r="K352" s="180">
        <v>0</v>
      </c>
      <c r="L352" s="2167">
        <f t="shared" si="33"/>
        <v>3465306</v>
      </c>
      <c r="M352" s="877">
        <v>180109</v>
      </c>
      <c r="N352" s="180">
        <v>121817</v>
      </c>
      <c r="O352" s="3162">
        <v>0</v>
      </c>
      <c r="P352" s="180">
        <v>0</v>
      </c>
      <c r="Q352" s="3211">
        <f t="shared" si="34"/>
        <v>301926</v>
      </c>
    </row>
    <row r="353" spans="1:17">
      <c r="A353" s="63">
        <f t="shared" si="35"/>
        <v>2021.08</v>
      </c>
      <c r="B353" s="866">
        <f t="shared" si="31"/>
        <v>2765882</v>
      </c>
      <c r="C353" s="2165">
        <f t="shared" si="32"/>
        <v>265306</v>
      </c>
      <c r="D353" s="481">
        <v>4326117</v>
      </c>
      <c r="E353" s="3162">
        <v>0</v>
      </c>
      <c r="F353" s="180">
        <v>609172</v>
      </c>
      <c r="G353" s="2169">
        <v>0</v>
      </c>
      <c r="H353" s="877">
        <v>718001</v>
      </c>
      <c r="I353" s="3162">
        <v>2047881</v>
      </c>
      <c r="J353" s="884">
        <v>0</v>
      </c>
      <c r="K353" s="180">
        <v>0</v>
      </c>
      <c r="L353" s="2167">
        <f t="shared" si="33"/>
        <v>2765882</v>
      </c>
      <c r="M353" s="877">
        <v>173644</v>
      </c>
      <c r="N353" s="180">
        <v>91662</v>
      </c>
      <c r="O353" s="3162">
        <v>0</v>
      </c>
      <c r="P353" s="180">
        <v>0</v>
      </c>
      <c r="Q353" s="3211">
        <f t="shared" si="34"/>
        <v>265306</v>
      </c>
    </row>
    <row r="354" spans="1:17">
      <c r="A354" s="63">
        <f t="shared" si="35"/>
        <v>2021.09</v>
      </c>
      <c r="B354" s="866">
        <f t="shared" si="31"/>
        <v>2646702</v>
      </c>
      <c r="C354" s="2165">
        <f t="shared" si="32"/>
        <v>193103</v>
      </c>
      <c r="D354" s="481">
        <v>4068971</v>
      </c>
      <c r="E354" s="3162">
        <v>0</v>
      </c>
      <c r="F354" s="180">
        <v>434651</v>
      </c>
      <c r="G354" s="2169">
        <v>0</v>
      </c>
      <c r="H354" s="877">
        <v>833513</v>
      </c>
      <c r="I354" s="3162">
        <f>1789159+24030</f>
        <v>1813189</v>
      </c>
      <c r="J354" s="884">
        <v>0</v>
      </c>
      <c r="K354" s="180">
        <v>0</v>
      </c>
      <c r="L354" s="2167">
        <f t="shared" si="33"/>
        <v>2646702</v>
      </c>
      <c r="M354" s="877">
        <v>149498</v>
      </c>
      <c r="N354" s="180">
        <v>43605</v>
      </c>
      <c r="O354" s="3162">
        <v>0</v>
      </c>
      <c r="P354" s="180">
        <v>0</v>
      </c>
      <c r="Q354" s="3211">
        <f t="shared" si="34"/>
        <v>193103</v>
      </c>
    </row>
    <row r="355" spans="1:17">
      <c r="A355" s="63">
        <f t="shared" si="35"/>
        <v>2021.1</v>
      </c>
      <c r="B355" s="866">
        <f t="shared" si="31"/>
        <v>2403124</v>
      </c>
      <c r="C355" s="2165">
        <f t="shared" si="32"/>
        <v>192421</v>
      </c>
      <c r="D355" s="481">
        <v>3893083</v>
      </c>
      <c r="E355" s="3162">
        <v>0</v>
      </c>
      <c r="F355" s="180">
        <v>810960</v>
      </c>
      <c r="G355" s="2169">
        <v>0</v>
      </c>
      <c r="H355" s="877">
        <v>636952</v>
      </c>
      <c r="I355" s="3162">
        <f>1744172+22000</f>
        <v>1766172</v>
      </c>
      <c r="J355" s="884">
        <v>0</v>
      </c>
      <c r="K355" s="180">
        <v>0</v>
      </c>
      <c r="L355" s="2167">
        <f t="shared" si="33"/>
        <v>2403124</v>
      </c>
      <c r="M355" s="877">
        <v>126509</v>
      </c>
      <c r="N355" s="180">
        <v>65912</v>
      </c>
      <c r="O355" s="3162">
        <v>0</v>
      </c>
      <c r="P355" s="180">
        <v>0</v>
      </c>
      <c r="Q355" s="3211">
        <f t="shared" si="34"/>
        <v>192421</v>
      </c>
    </row>
    <row r="356" spans="1:17">
      <c r="A356" s="63">
        <f t="shared" si="35"/>
        <v>2021.11</v>
      </c>
      <c r="B356" s="866">
        <f t="shared" si="31"/>
        <v>1732055</v>
      </c>
      <c r="C356" s="2165">
        <f t="shared" si="32"/>
        <v>641059</v>
      </c>
      <c r="D356" s="481">
        <v>2153245</v>
      </c>
      <c r="E356" s="3162">
        <v>0</v>
      </c>
      <c r="F356" s="180">
        <v>825582</v>
      </c>
      <c r="G356" s="2169">
        <v>0</v>
      </c>
      <c r="H356" s="877">
        <v>657004</v>
      </c>
      <c r="I356" s="3162">
        <v>1075051</v>
      </c>
      <c r="J356" s="884">
        <v>0</v>
      </c>
      <c r="K356" s="180">
        <v>0</v>
      </c>
      <c r="L356" s="2167">
        <f t="shared" si="33"/>
        <v>1732055</v>
      </c>
      <c r="M356" s="877">
        <v>89708</v>
      </c>
      <c r="N356" s="180">
        <v>551351</v>
      </c>
      <c r="O356" s="3162">
        <v>0</v>
      </c>
      <c r="P356" s="180">
        <v>0</v>
      </c>
      <c r="Q356" s="3211">
        <f t="shared" si="34"/>
        <v>641059</v>
      </c>
    </row>
    <row r="357" spans="1:17">
      <c r="A357" s="63">
        <f t="shared" si="35"/>
        <v>2021.12</v>
      </c>
      <c r="B357" s="866">
        <f t="shared" si="31"/>
        <v>1698312</v>
      </c>
      <c r="C357" s="2165">
        <f t="shared" si="32"/>
        <v>1518938</v>
      </c>
      <c r="D357" s="481">
        <v>2304805</v>
      </c>
      <c r="E357" s="3162">
        <v>0</v>
      </c>
      <c r="F357" s="180">
        <v>2143164</v>
      </c>
      <c r="G357" s="2169">
        <v>0</v>
      </c>
      <c r="H357" s="877">
        <v>646903</v>
      </c>
      <c r="I357" s="3162">
        <v>1051409</v>
      </c>
      <c r="J357" s="884">
        <v>0</v>
      </c>
      <c r="K357" s="180">
        <v>0</v>
      </c>
      <c r="L357" s="2167">
        <f t="shared" si="33"/>
        <v>1698312</v>
      </c>
      <c r="M357" s="877">
        <v>413925</v>
      </c>
      <c r="N357" s="180">
        <v>1105013</v>
      </c>
      <c r="O357" s="3162">
        <v>0</v>
      </c>
      <c r="P357" s="180">
        <v>0</v>
      </c>
      <c r="Q357" s="3211">
        <f t="shared" si="34"/>
        <v>1518938</v>
      </c>
    </row>
    <row r="358" spans="1:17">
      <c r="A358" s="63">
        <f t="shared" si="35"/>
        <v>2022.01</v>
      </c>
      <c r="B358" s="866">
        <f t="shared" si="31"/>
        <v>1280121</v>
      </c>
      <c r="C358" s="2165">
        <f t="shared" si="32"/>
        <v>1447584</v>
      </c>
      <c r="D358" s="481">
        <v>1725357</v>
      </c>
      <c r="E358" s="3162">
        <v>0</v>
      </c>
      <c r="F358" s="180">
        <v>2721649</v>
      </c>
      <c r="G358" s="2169">
        <v>0</v>
      </c>
      <c r="H358" s="877">
        <v>503498</v>
      </c>
      <c r="I358" s="3162">
        <v>776623</v>
      </c>
      <c r="J358" s="884">
        <v>0</v>
      </c>
      <c r="K358" s="180">
        <v>0</v>
      </c>
      <c r="L358" s="2167">
        <f t="shared" si="33"/>
        <v>1280121</v>
      </c>
      <c r="M358" s="877">
        <v>438361</v>
      </c>
      <c r="N358" s="180">
        <v>1009223</v>
      </c>
      <c r="O358" s="3162">
        <v>0</v>
      </c>
      <c r="P358" s="180">
        <v>0</v>
      </c>
      <c r="Q358" s="3211">
        <f t="shared" si="34"/>
        <v>1447584</v>
      </c>
    </row>
    <row r="359" spans="1:17">
      <c r="A359" s="63">
        <f t="shared" si="35"/>
        <v>2022.02</v>
      </c>
      <c r="B359" s="866">
        <f t="shared" si="31"/>
        <v>1247987</v>
      </c>
      <c r="C359" s="2165">
        <f t="shared" si="32"/>
        <v>1448049</v>
      </c>
      <c r="D359" s="481">
        <v>1728980</v>
      </c>
      <c r="E359" s="3162">
        <v>0</v>
      </c>
      <c r="F359" s="180">
        <v>2402281</v>
      </c>
      <c r="G359" s="2169">
        <v>0</v>
      </c>
      <c r="H359" s="877">
        <v>480369</v>
      </c>
      <c r="I359" s="3162">
        <v>767618</v>
      </c>
      <c r="J359" s="884">
        <v>0</v>
      </c>
      <c r="K359" s="180">
        <v>0</v>
      </c>
      <c r="L359" s="2167">
        <f t="shared" si="33"/>
        <v>1247987</v>
      </c>
      <c r="M359" s="877">
        <v>388295</v>
      </c>
      <c r="N359" s="180">
        <v>1059754</v>
      </c>
      <c r="O359" s="3162">
        <v>0</v>
      </c>
      <c r="P359" s="180">
        <v>0</v>
      </c>
      <c r="Q359" s="3211">
        <f t="shared" si="34"/>
        <v>1448049</v>
      </c>
    </row>
    <row r="360" spans="1:17">
      <c r="A360" s="63">
        <f t="shared" si="35"/>
        <v>2022.03</v>
      </c>
      <c r="B360" s="866">
        <f t="shared" si="31"/>
        <v>2352829</v>
      </c>
      <c r="C360" s="2165">
        <f t="shared" si="32"/>
        <v>1425745</v>
      </c>
      <c r="D360" s="481">
        <v>2961946</v>
      </c>
      <c r="E360" s="3162">
        <v>0</v>
      </c>
      <c r="F360" s="180">
        <v>2048231</v>
      </c>
      <c r="G360" s="2169">
        <v>0</v>
      </c>
      <c r="H360" s="877">
        <v>595236</v>
      </c>
      <c r="I360" s="884">
        <v>1757593</v>
      </c>
      <c r="J360" s="884">
        <v>0</v>
      </c>
      <c r="K360" s="180">
        <v>0</v>
      </c>
      <c r="L360" s="2167">
        <f t="shared" si="33"/>
        <v>2352829</v>
      </c>
      <c r="M360" s="877">
        <v>465943</v>
      </c>
      <c r="N360" s="3162">
        <v>959802</v>
      </c>
      <c r="O360" s="3162">
        <v>0</v>
      </c>
      <c r="P360" s="180">
        <v>0</v>
      </c>
      <c r="Q360" s="3211">
        <f>SUM(M360:P360)</f>
        <v>1425745</v>
      </c>
    </row>
    <row r="361" spans="1:17">
      <c r="A361" s="63">
        <f t="shared" si="35"/>
        <v>2022.04</v>
      </c>
      <c r="B361" s="866">
        <f>L361</f>
        <v>2814395</v>
      </c>
      <c r="C361" s="2167">
        <f t="shared" si="32"/>
        <v>1246665</v>
      </c>
      <c r="D361" s="180">
        <v>3821618</v>
      </c>
      <c r="E361" s="3162">
        <v>0</v>
      </c>
      <c r="F361" s="180">
        <v>1763462</v>
      </c>
      <c r="G361" s="2169">
        <v>0</v>
      </c>
      <c r="H361" s="877">
        <v>861841</v>
      </c>
      <c r="I361" s="3162">
        <v>1952554</v>
      </c>
      <c r="J361" s="884">
        <v>0</v>
      </c>
      <c r="K361" s="180">
        <v>0</v>
      </c>
      <c r="L361" s="2167">
        <f t="shared" si="33"/>
        <v>2814395</v>
      </c>
      <c r="M361" s="877">
        <v>486775</v>
      </c>
      <c r="N361" s="180">
        <v>759890</v>
      </c>
      <c r="O361" s="3162">
        <v>0</v>
      </c>
      <c r="P361" s="180">
        <v>0</v>
      </c>
      <c r="Q361" s="3211">
        <f t="shared" si="34"/>
        <v>1246665</v>
      </c>
    </row>
    <row r="362" spans="1:17">
      <c r="A362" s="63">
        <f t="shared" si="35"/>
        <v>2022.05</v>
      </c>
      <c r="B362" s="866">
        <f t="shared" si="31"/>
        <v>2356891</v>
      </c>
      <c r="C362" s="2165">
        <f t="shared" si="32"/>
        <v>650109</v>
      </c>
      <c r="D362" s="481">
        <v>3464701</v>
      </c>
      <c r="E362" s="3162">
        <v>0</v>
      </c>
      <c r="F362" s="180">
        <v>1209643</v>
      </c>
      <c r="G362" s="2169">
        <v>0</v>
      </c>
      <c r="H362" s="877">
        <v>712163</v>
      </c>
      <c r="I362" s="3162">
        <v>1644728</v>
      </c>
      <c r="J362" s="884">
        <v>0</v>
      </c>
      <c r="K362" s="180">
        <v>0</v>
      </c>
      <c r="L362" s="2167">
        <f t="shared" si="33"/>
        <v>2356891</v>
      </c>
      <c r="M362" s="877">
        <v>208268</v>
      </c>
      <c r="N362" s="180">
        <v>441841</v>
      </c>
      <c r="O362" s="3162">
        <v>0</v>
      </c>
      <c r="P362" s="180">
        <v>0</v>
      </c>
      <c r="Q362" s="3211">
        <f t="shared" si="34"/>
        <v>650109</v>
      </c>
    </row>
    <row r="363" spans="1:17">
      <c r="A363" s="63">
        <f t="shared" si="35"/>
        <v>2022.06</v>
      </c>
      <c r="B363" s="866">
        <f t="shared" si="31"/>
        <v>2447404</v>
      </c>
      <c r="C363" s="2165">
        <f t="shared" si="32"/>
        <v>321658</v>
      </c>
      <c r="D363" s="481">
        <v>3383386</v>
      </c>
      <c r="E363" s="3162">
        <v>0</v>
      </c>
      <c r="F363" s="180">
        <v>668062</v>
      </c>
      <c r="G363" s="2169">
        <v>0</v>
      </c>
      <c r="H363" s="877">
        <v>907693</v>
      </c>
      <c r="I363" s="3162">
        <v>1539711</v>
      </c>
      <c r="J363" s="884">
        <v>0</v>
      </c>
      <c r="K363" s="180">
        <v>0</v>
      </c>
      <c r="L363" s="2167">
        <f t="shared" si="33"/>
        <v>2447404</v>
      </c>
      <c r="M363" s="877">
        <v>179407</v>
      </c>
      <c r="N363" s="180">
        <v>142251</v>
      </c>
      <c r="O363" s="3162">
        <v>0</v>
      </c>
      <c r="P363" s="180">
        <v>0</v>
      </c>
      <c r="Q363" s="3211">
        <f t="shared" si="34"/>
        <v>321658</v>
      </c>
    </row>
    <row r="364" spans="1:17">
      <c r="A364" s="63">
        <f t="shared" si="35"/>
        <v>2022.07</v>
      </c>
      <c r="B364" s="866">
        <f t="shared" si="31"/>
        <v>3451783</v>
      </c>
      <c r="C364" s="2165">
        <f t="shared" si="32"/>
        <v>374512</v>
      </c>
      <c r="D364" s="481">
        <v>4689646</v>
      </c>
      <c r="E364" s="3162">
        <v>16990</v>
      </c>
      <c r="F364" s="180">
        <v>615795</v>
      </c>
      <c r="G364" s="2169">
        <v>0</v>
      </c>
      <c r="H364" s="877">
        <v>963176</v>
      </c>
      <c r="I364" s="3162">
        <v>2471617</v>
      </c>
      <c r="J364" s="884">
        <v>0</v>
      </c>
      <c r="K364" s="180">
        <v>16990</v>
      </c>
      <c r="L364" s="2167">
        <f t="shared" si="33"/>
        <v>3451783</v>
      </c>
      <c r="M364" s="877">
        <v>275678</v>
      </c>
      <c r="N364" s="180">
        <v>98834</v>
      </c>
      <c r="O364" s="3162">
        <v>0</v>
      </c>
      <c r="P364" s="180">
        <v>0</v>
      </c>
      <c r="Q364" s="3211">
        <f t="shared" si="34"/>
        <v>374512</v>
      </c>
    </row>
    <row r="365" spans="1:17">
      <c r="A365" s="63">
        <f t="shared" si="35"/>
        <v>2022.08</v>
      </c>
      <c r="B365" s="866">
        <f t="shared" si="31"/>
        <v>2317711</v>
      </c>
      <c r="C365" s="2165">
        <f t="shared" si="32"/>
        <v>229638</v>
      </c>
      <c r="D365" s="481">
        <v>3433575</v>
      </c>
      <c r="E365" s="3162">
        <v>260111</v>
      </c>
      <c r="F365" s="180">
        <v>419796</v>
      </c>
      <c r="G365" s="2169">
        <v>0</v>
      </c>
      <c r="H365" s="877">
        <v>808385</v>
      </c>
      <c r="I365" s="3162">
        <v>1288453</v>
      </c>
      <c r="J365" s="884">
        <v>0</v>
      </c>
      <c r="K365" s="180">
        <v>220873</v>
      </c>
      <c r="L365" s="2167">
        <f t="shared" si="33"/>
        <v>2317711</v>
      </c>
      <c r="M365" s="877">
        <v>175638</v>
      </c>
      <c r="N365" s="180">
        <v>54000</v>
      </c>
      <c r="O365" s="3162">
        <v>0</v>
      </c>
      <c r="P365" s="180">
        <v>0</v>
      </c>
      <c r="Q365" s="3211">
        <f t="shared" si="34"/>
        <v>229638</v>
      </c>
    </row>
    <row r="366" spans="1:17">
      <c r="A366" s="63">
        <f t="shared" si="35"/>
        <v>2022.09</v>
      </c>
      <c r="B366" s="866">
        <f t="shared" si="31"/>
        <v>1934300</v>
      </c>
      <c r="C366" s="2165">
        <f t="shared" si="32"/>
        <v>94530</v>
      </c>
      <c r="D366" s="481">
        <v>2633727</v>
      </c>
      <c r="E366" s="3162">
        <v>180038</v>
      </c>
      <c r="F366" s="180">
        <v>129880</v>
      </c>
      <c r="G366" s="2169">
        <v>0</v>
      </c>
      <c r="H366" s="877">
        <v>484514</v>
      </c>
      <c r="I366" s="3162">
        <v>1269748</v>
      </c>
      <c r="J366" s="884">
        <v>0</v>
      </c>
      <c r="K366" s="180">
        <v>180038</v>
      </c>
      <c r="L366" s="2167">
        <f t="shared" si="33"/>
        <v>1934300</v>
      </c>
      <c r="M366" s="877">
        <v>94530</v>
      </c>
      <c r="N366" s="180">
        <v>0</v>
      </c>
      <c r="O366" s="3162">
        <v>0</v>
      </c>
      <c r="P366" s="180">
        <v>0</v>
      </c>
      <c r="Q366" s="3211">
        <f t="shared" si="34"/>
        <v>94530</v>
      </c>
    </row>
    <row r="367" spans="1:17">
      <c r="A367" s="63">
        <f t="shared" si="35"/>
        <v>2022.1</v>
      </c>
      <c r="B367" s="866">
        <f t="shared" si="31"/>
        <v>1952061</v>
      </c>
      <c r="C367" s="2165">
        <f t="shared" si="32"/>
        <v>171777</v>
      </c>
      <c r="D367" s="481">
        <v>2301882</v>
      </c>
      <c r="E367" s="3162">
        <v>336800</v>
      </c>
      <c r="F367" s="180">
        <v>249737</v>
      </c>
      <c r="G367" s="2169">
        <v>0</v>
      </c>
      <c r="H367" s="877">
        <v>490181</v>
      </c>
      <c r="I367" s="3162">
        <v>1125080</v>
      </c>
      <c r="J367" s="884">
        <v>0</v>
      </c>
      <c r="K367" s="180">
        <v>336800</v>
      </c>
      <c r="L367" s="2167">
        <f t="shared" si="33"/>
        <v>1952061</v>
      </c>
      <c r="M367" s="877">
        <v>171777</v>
      </c>
      <c r="N367" s="180">
        <v>0</v>
      </c>
      <c r="O367" s="3162">
        <v>0</v>
      </c>
      <c r="P367" s="180">
        <v>0</v>
      </c>
      <c r="Q367" s="3211">
        <f t="shared" si="34"/>
        <v>171777</v>
      </c>
    </row>
    <row r="368" spans="1:17">
      <c r="A368" s="63">
        <f t="shared" si="35"/>
        <v>2022.11</v>
      </c>
      <c r="B368" s="866">
        <f t="shared" si="31"/>
        <v>1362878</v>
      </c>
      <c r="C368" s="2165">
        <f t="shared" si="32"/>
        <v>163337</v>
      </c>
      <c r="D368" s="481">
        <v>1621233</v>
      </c>
      <c r="E368" s="3162">
        <v>85363</v>
      </c>
      <c r="F368" s="180">
        <v>196337</v>
      </c>
      <c r="G368" s="2169">
        <v>0</v>
      </c>
      <c r="H368" s="877">
        <v>438408</v>
      </c>
      <c r="I368" s="3162">
        <v>839107</v>
      </c>
      <c r="J368" s="884">
        <v>0</v>
      </c>
      <c r="K368" s="180">
        <v>85363</v>
      </c>
      <c r="L368" s="2167">
        <f t="shared" si="33"/>
        <v>1362878</v>
      </c>
      <c r="M368" s="877">
        <v>93158</v>
      </c>
      <c r="N368" s="180">
        <v>70179</v>
      </c>
      <c r="O368" s="3162">
        <v>0</v>
      </c>
      <c r="P368" s="180">
        <v>0</v>
      </c>
      <c r="Q368" s="3211">
        <f t="shared" si="34"/>
        <v>163337</v>
      </c>
    </row>
    <row r="369" spans="1:17">
      <c r="A369" s="63">
        <f t="shared" si="35"/>
        <v>2022.12</v>
      </c>
      <c r="B369" s="866">
        <f t="shared" si="31"/>
        <v>1185339</v>
      </c>
      <c r="C369" s="2165">
        <f t="shared" si="32"/>
        <v>576934</v>
      </c>
      <c r="D369" s="481">
        <v>1397713</v>
      </c>
      <c r="E369" s="3162">
        <v>163975</v>
      </c>
      <c r="F369" s="180">
        <v>847019</v>
      </c>
      <c r="G369" s="2169">
        <v>0</v>
      </c>
      <c r="H369" s="877">
        <v>397263</v>
      </c>
      <c r="I369" s="3162">
        <v>624101</v>
      </c>
      <c r="J369" s="884">
        <v>0</v>
      </c>
      <c r="K369" s="180">
        <v>163975</v>
      </c>
      <c r="L369" s="2167">
        <f t="shared" si="33"/>
        <v>1185339</v>
      </c>
      <c r="M369" s="877">
        <v>123230</v>
      </c>
      <c r="N369" s="180">
        <v>453704</v>
      </c>
      <c r="O369" s="3162">
        <v>0</v>
      </c>
      <c r="P369" s="180">
        <v>0</v>
      </c>
      <c r="Q369" s="3211">
        <f t="shared" si="34"/>
        <v>576934</v>
      </c>
    </row>
    <row r="370" spans="1:17">
      <c r="A370" s="63">
        <f t="shared" si="35"/>
        <v>2023.01</v>
      </c>
      <c r="B370" s="866">
        <f t="shared" si="31"/>
        <v>886064</v>
      </c>
      <c r="C370" s="2165">
        <f>Q370</f>
        <v>169243</v>
      </c>
      <c r="D370" s="481">
        <v>1006431</v>
      </c>
      <c r="E370" s="3162">
        <v>138012</v>
      </c>
      <c r="F370" s="180">
        <v>387652</v>
      </c>
      <c r="G370" s="2169">
        <v>0</v>
      </c>
      <c r="H370" s="877">
        <v>333957</v>
      </c>
      <c r="I370" s="3162">
        <v>414095</v>
      </c>
      <c r="J370" s="884">
        <v>0</v>
      </c>
      <c r="K370" s="180">
        <v>138012</v>
      </c>
      <c r="L370" s="2167">
        <f t="shared" si="33"/>
        <v>886064</v>
      </c>
      <c r="M370" s="877">
        <v>82060</v>
      </c>
      <c r="N370" s="180">
        <v>87183</v>
      </c>
      <c r="O370" s="3162">
        <v>0</v>
      </c>
      <c r="P370" s="180">
        <v>0</v>
      </c>
      <c r="Q370" s="3211">
        <f t="shared" si="34"/>
        <v>169243</v>
      </c>
    </row>
    <row r="371" spans="1:17">
      <c r="A371" s="63">
        <f t="shared" si="35"/>
        <v>2023.02</v>
      </c>
      <c r="B371" s="866">
        <f t="shared" si="31"/>
        <v>1123289</v>
      </c>
      <c r="C371" s="2165">
        <f t="shared" si="32"/>
        <v>98002</v>
      </c>
      <c r="D371" s="481">
        <v>1415123</v>
      </c>
      <c r="E371" s="3162">
        <v>41754</v>
      </c>
      <c r="F371" s="180">
        <v>155002</v>
      </c>
      <c r="G371" s="2169">
        <v>0</v>
      </c>
      <c r="H371" s="877">
        <v>473788</v>
      </c>
      <c r="I371" s="3162">
        <f>590747+17000</f>
        <v>607747</v>
      </c>
      <c r="J371" s="884">
        <v>0</v>
      </c>
      <c r="K371" s="180">
        <v>41754</v>
      </c>
      <c r="L371" s="2167">
        <f t="shared" si="33"/>
        <v>1123289</v>
      </c>
      <c r="M371" s="877">
        <v>37491</v>
      </c>
      <c r="N371" s="180">
        <f>60511</f>
        <v>60511</v>
      </c>
      <c r="O371" s="3162">
        <v>0</v>
      </c>
      <c r="P371" s="180">
        <v>0</v>
      </c>
      <c r="Q371" s="3211">
        <f t="shared" si="34"/>
        <v>98002</v>
      </c>
    </row>
    <row r="372" spans="1:17">
      <c r="A372" s="63">
        <f t="shared" si="35"/>
        <v>2023.03</v>
      </c>
      <c r="B372" s="866">
        <f t="shared" si="31"/>
        <v>1475025</v>
      </c>
      <c r="C372" s="2165">
        <f t="shared" si="32"/>
        <v>116071</v>
      </c>
      <c r="D372" s="481">
        <v>1889146</v>
      </c>
      <c r="E372" s="3162">
        <v>10749</v>
      </c>
      <c r="F372" s="180">
        <v>346551</v>
      </c>
      <c r="G372" s="2169">
        <v>0</v>
      </c>
      <c r="H372" s="3162">
        <v>498980</v>
      </c>
      <c r="I372" s="3162">
        <v>965296</v>
      </c>
      <c r="J372" s="884">
        <v>0</v>
      </c>
      <c r="K372" s="180">
        <v>10749</v>
      </c>
      <c r="L372" s="2167">
        <f t="shared" si="33"/>
        <v>1475025</v>
      </c>
      <c r="M372" s="877">
        <v>93579</v>
      </c>
      <c r="N372" s="180">
        <v>22492</v>
      </c>
      <c r="O372" s="3162">
        <v>0</v>
      </c>
      <c r="P372" s="180">
        <v>0</v>
      </c>
      <c r="Q372" s="3211">
        <f t="shared" si="34"/>
        <v>116071</v>
      </c>
    </row>
    <row r="373" spans="1:17">
      <c r="A373" s="63">
        <f t="shared" si="35"/>
        <v>2023.04</v>
      </c>
      <c r="B373" s="866">
        <f t="shared" si="31"/>
        <v>1060688</v>
      </c>
      <c r="C373" s="2165">
        <f t="shared" si="32"/>
        <v>155850</v>
      </c>
      <c r="D373" s="481">
        <v>1560652</v>
      </c>
      <c r="E373" s="3162">
        <v>28120</v>
      </c>
      <c r="F373" s="180">
        <v>223850</v>
      </c>
      <c r="G373" s="2169">
        <v>0</v>
      </c>
      <c r="H373" s="877">
        <v>291389</v>
      </c>
      <c r="I373" s="3162">
        <v>741179</v>
      </c>
      <c r="J373" s="884">
        <v>0</v>
      </c>
      <c r="K373" s="180">
        <v>28120</v>
      </c>
      <c r="L373" s="2167">
        <f t="shared" si="33"/>
        <v>1060688</v>
      </c>
      <c r="M373" s="877">
        <v>128850</v>
      </c>
      <c r="N373" s="180">
        <v>27000</v>
      </c>
      <c r="O373" s="3162">
        <v>0</v>
      </c>
      <c r="P373" s="180">
        <v>0</v>
      </c>
      <c r="Q373" s="3211">
        <f t="shared" si="34"/>
        <v>155850</v>
      </c>
    </row>
    <row r="374" spans="1:17">
      <c r="A374" s="63">
        <f t="shared" si="35"/>
        <v>2023.05</v>
      </c>
      <c r="B374" s="866">
        <f t="shared" si="31"/>
        <v>1087094</v>
      </c>
      <c r="C374" s="2165">
        <f t="shared" si="32"/>
        <v>89110</v>
      </c>
      <c r="D374" s="481">
        <v>1741202</v>
      </c>
      <c r="E374" s="3162">
        <v>0</v>
      </c>
      <c r="F374" s="180">
        <v>166760</v>
      </c>
      <c r="G374" s="2169">
        <v>0</v>
      </c>
      <c r="H374" s="877">
        <v>314289</v>
      </c>
      <c r="I374" s="3162">
        <v>772805</v>
      </c>
      <c r="J374" s="884">
        <v>0</v>
      </c>
      <c r="K374" s="180">
        <v>0</v>
      </c>
      <c r="L374" s="2167">
        <f t="shared" si="33"/>
        <v>1087094</v>
      </c>
      <c r="M374" s="877">
        <v>42610</v>
      </c>
      <c r="N374" s="180">
        <v>46500</v>
      </c>
      <c r="O374" s="3162">
        <v>0</v>
      </c>
      <c r="P374" s="180">
        <v>0</v>
      </c>
      <c r="Q374" s="3211">
        <f t="shared" si="34"/>
        <v>89110</v>
      </c>
    </row>
    <row r="375" spans="1:17">
      <c r="A375" s="63">
        <f t="shared" si="35"/>
        <v>2023.06</v>
      </c>
      <c r="B375" s="866">
        <f t="shared" si="31"/>
        <v>1573325</v>
      </c>
      <c r="C375" s="2165">
        <f t="shared" si="32"/>
        <v>81244</v>
      </c>
      <c r="D375" s="481">
        <v>2214253</v>
      </c>
      <c r="E375" s="3162">
        <v>0</v>
      </c>
      <c r="F375" s="180">
        <v>149744</v>
      </c>
      <c r="G375" s="2169">
        <v>0</v>
      </c>
      <c r="H375" s="877">
        <v>490918</v>
      </c>
      <c r="I375" s="3162">
        <v>1082407</v>
      </c>
      <c r="J375" s="884">
        <v>0</v>
      </c>
      <c r="K375" s="180">
        <v>0</v>
      </c>
      <c r="L375" s="2167">
        <f t="shared" si="33"/>
        <v>1573325</v>
      </c>
      <c r="M375" s="877">
        <v>53740</v>
      </c>
      <c r="N375" s="180">
        <v>27504</v>
      </c>
      <c r="O375" s="3162">
        <v>0</v>
      </c>
      <c r="P375" s="180">
        <v>0</v>
      </c>
      <c r="Q375" s="3211">
        <f t="shared" si="34"/>
        <v>81244</v>
      </c>
    </row>
    <row r="376" spans="1:17">
      <c r="A376" s="63">
        <f t="shared" si="35"/>
        <v>2023.07</v>
      </c>
      <c r="B376" s="866">
        <f t="shared" si="31"/>
        <v>2122198</v>
      </c>
      <c r="C376" s="2165">
        <f t="shared" si="32"/>
        <v>0</v>
      </c>
      <c r="D376" s="481">
        <v>2835046</v>
      </c>
      <c r="E376" s="3162">
        <v>0</v>
      </c>
      <c r="F376" s="180">
        <v>153160</v>
      </c>
      <c r="G376" s="2169">
        <v>0</v>
      </c>
      <c r="H376" s="877">
        <v>719517</v>
      </c>
      <c r="I376" s="3162">
        <v>1402681</v>
      </c>
      <c r="J376" s="884">
        <v>0</v>
      </c>
      <c r="K376" s="180">
        <v>0</v>
      </c>
      <c r="L376" s="2167">
        <f t="shared" si="33"/>
        <v>2122198</v>
      </c>
      <c r="M376" s="877">
        <v>0</v>
      </c>
      <c r="N376" s="180">
        <v>0</v>
      </c>
      <c r="O376" s="3162">
        <v>0</v>
      </c>
      <c r="P376" s="180">
        <v>0</v>
      </c>
      <c r="Q376" s="3211">
        <f t="shared" si="34"/>
        <v>0</v>
      </c>
    </row>
    <row r="377" spans="1:17">
      <c r="A377" s="63">
        <f t="shared" si="35"/>
        <v>2023.08</v>
      </c>
      <c r="B377" s="866">
        <f t="shared" si="31"/>
        <v>3056065</v>
      </c>
      <c r="C377" s="2165">
        <f t="shared" si="32"/>
        <v>58430</v>
      </c>
      <c r="D377" s="481">
        <v>3934564</v>
      </c>
      <c r="E377" s="3162">
        <v>30495</v>
      </c>
      <c r="F377" s="180">
        <v>111387</v>
      </c>
      <c r="G377" s="2169">
        <v>0</v>
      </c>
      <c r="H377" s="877">
        <v>685133</v>
      </c>
      <c r="I377" s="3162">
        <f>2322483+17954</f>
        <v>2340437</v>
      </c>
      <c r="J377" s="884">
        <v>0</v>
      </c>
      <c r="K377" s="180">
        <v>30495</v>
      </c>
      <c r="L377" s="2167">
        <f t="shared" si="33"/>
        <v>3056065</v>
      </c>
      <c r="M377" s="877">
        <v>58430</v>
      </c>
      <c r="N377" s="180">
        <v>0</v>
      </c>
      <c r="O377" s="3162">
        <v>0</v>
      </c>
      <c r="P377" s="180">
        <v>0</v>
      </c>
      <c r="Q377" s="3211">
        <f t="shared" si="34"/>
        <v>58430</v>
      </c>
    </row>
    <row r="378" spans="1:17">
      <c r="A378" s="63">
        <f t="shared" si="35"/>
        <v>2023.09</v>
      </c>
      <c r="B378" s="866">
        <f t="shared" si="31"/>
        <v>2190357</v>
      </c>
      <c r="C378" s="2165">
        <f t="shared" si="32"/>
        <v>0</v>
      </c>
      <c r="D378" s="481">
        <v>2891785</v>
      </c>
      <c r="E378" s="3162">
        <v>37864</v>
      </c>
      <c r="F378" s="180">
        <v>124649</v>
      </c>
      <c r="G378" s="2169">
        <v>0</v>
      </c>
      <c r="H378" s="877">
        <v>838501</v>
      </c>
      <c r="I378" s="3162">
        <f>82021+1231971</f>
        <v>1313992</v>
      </c>
      <c r="J378" s="884">
        <v>0</v>
      </c>
      <c r="K378" s="180">
        <v>37864</v>
      </c>
      <c r="L378" s="2167">
        <f t="shared" si="33"/>
        <v>2190357</v>
      </c>
      <c r="M378" s="877">
        <v>0</v>
      </c>
      <c r="N378" s="180">
        <v>0</v>
      </c>
      <c r="O378" s="3162">
        <v>0</v>
      </c>
      <c r="P378" s="180">
        <v>0</v>
      </c>
      <c r="Q378" s="3211">
        <f t="shared" si="34"/>
        <v>0</v>
      </c>
    </row>
    <row r="379" spans="1:17">
      <c r="A379" s="63">
        <f t="shared" si="35"/>
        <v>2023.1</v>
      </c>
      <c r="B379" s="866">
        <f t="shared" si="31"/>
        <v>1308566</v>
      </c>
      <c r="C379" s="2165">
        <f t="shared" si="32"/>
        <v>29700</v>
      </c>
      <c r="D379" s="481">
        <v>1637070</v>
      </c>
      <c r="E379" s="3162">
        <v>120036</v>
      </c>
      <c r="F379" s="180">
        <v>56700</v>
      </c>
      <c r="G379" s="2169">
        <v>0</v>
      </c>
      <c r="H379" s="877">
        <v>376475</v>
      </c>
      <c r="I379" s="3162">
        <v>812055</v>
      </c>
      <c r="J379" s="884">
        <v>0</v>
      </c>
      <c r="K379" s="180">
        <v>120036</v>
      </c>
      <c r="L379" s="2167">
        <f t="shared" si="33"/>
        <v>1308566</v>
      </c>
      <c r="M379" s="877">
        <v>29700</v>
      </c>
      <c r="N379" s="180">
        <v>0</v>
      </c>
      <c r="O379" s="3162">
        <v>0</v>
      </c>
      <c r="P379" s="180">
        <v>0</v>
      </c>
      <c r="Q379" s="3211">
        <f t="shared" si="34"/>
        <v>29700</v>
      </c>
    </row>
    <row r="380" spans="1:17">
      <c r="A380" s="63">
        <f t="shared" si="35"/>
        <v>2023.11</v>
      </c>
      <c r="B380" s="866">
        <f t="shared" si="31"/>
        <v>968767</v>
      </c>
      <c r="C380" s="2165">
        <f t="shared" si="32"/>
        <v>138258</v>
      </c>
      <c r="D380" s="481">
        <v>1130563</v>
      </c>
      <c r="E380" s="3162">
        <v>190780</v>
      </c>
      <c r="F380" s="180">
        <v>161558</v>
      </c>
      <c r="G380" s="2169">
        <v>0</v>
      </c>
      <c r="H380" s="877">
        <v>213313</v>
      </c>
      <c r="I380" s="3162">
        <v>564674</v>
      </c>
      <c r="J380" s="884">
        <v>0</v>
      </c>
      <c r="K380" s="180">
        <v>190780</v>
      </c>
      <c r="L380" s="2167">
        <f t="shared" si="33"/>
        <v>968767</v>
      </c>
      <c r="M380" s="877">
        <v>103258</v>
      </c>
      <c r="N380" s="180">
        <v>35000</v>
      </c>
      <c r="O380" s="3162">
        <v>0</v>
      </c>
      <c r="P380" s="180">
        <v>0</v>
      </c>
      <c r="Q380" s="3211">
        <f t="shared" si="34"/>
        <v>138258</v>
      </c>
    </row>
    <row r="381" spans="1:17">
      <c r="A381" s="63">
        <f t="shared" si="35"/>
        <v>2023.12</v>
      </c>
      <c r="B381" s="866">
        <f t="shared" si="31"/>
        <v>989074</v>
      </c>
      <c r="C381" s="2165">
        <f t="shared" si="32"/>
        <v>709267</v>
      </c>
      <c r="D381" s="481">
        <v>1221503</v>
      </c>
      <c r="E381" s="3162">
        <v>111029</v>
      </c>
      <c r="F381" s="180">
        <v>748156</v>
      </c>
      <c r="G381" s="2169">
        <v>0</v>
      </c>
      <c r="H381" s="877">
        <v>348396</v>
      </c>
      <c r="I381" s="3162">
        <v>529649</v>
      </c>
      <c r="J381" s="884">
        <v>0</v>
      </c>
      <c r="K381" s="180">
        <v>111029</v>
      </c>
      <c r="L381" s="2167">
        <f t="shared" si="33"/>
        <v>989074</v>
      </c>
      <c r="M381" s="877">
        <v>313824</v>
      </c>
      <c r="N381" s="180">
        <v>395443</v>
      </c>
      <c r="O381" s="3162">
        <v>0</v>
      </c>
      <c r="P381" s="180">
        <v>0</v>
      </c>
      <c r="Q381" s="3211">
        <f t="shared" si="34"/>
        <v>709267</v>
      </c>
    </row>
    <row r="382" spans="1:17">
      <c r="A382" s="63">
        <f t="shared" si="35"/>
        <v>2024.01</v>
      </c>
      <c r="B382" s="866">
        <f>L382</f>
        <v>1690798</v>
      </c>
      <c r="C382" s="2165">
        <f t="shared" si="32"/>
        <v>803737</v>
      </c>
      <c r="D382" s="481">
        <v>1940076</v>
      </c>
      <c r="E382" s="3162">
        <v>60395</v>
      </c>
      <c r="F382" s="180">
        <v>1223839</v>
      </c>
      <c r="G382" s="2169">
        <v>0</v>
      </c>
      <c r="H382" s="877">
        <v>560991</v>
      </c>
      <c r="I382" s="3162">
        <v>1069412</v>
      </c>
      <c r="J382" s="884">
        <v>0</v>
      </c>
      <c r="K382" s="180">
        <v>60395</v>
      </c>
      <c r="L382" s="2167">
        <f t="shared" si="33"/>
        <v>1690798</v>
      </c>
      <c r="M382" s="877">
        <v>211325</v>
      </c>
      <c r="N382" s="180">
        <v>592412</v>
      </c>
      <c r="O382" s="3162">
        <v>0</v>
      </c>
      <c r="P382" s="180">
        <v>0</v>
      </c>
      <c r="Q382" s="3211">
        <f t="shared" si="34"/>
        <v>803737</v>
      </c>
    </row>
    <row r="383" spans="1:17">
      <c r="A383" s="63">
        <f t="shared" si="35"/>
        <v>2024.02</v>
      </c>
      <c r="B383" s="866">
        <f t="shared" si="31"/>
        <v>1382781</v>
      </c>
      <c r="C383" s="2165">
        <f t="shared" si="32"/>
        <v>759624</v>
      </c>
      <c r="D383" s="481">
        <v>1775038</v>
      </c>
      <c r="E383" s="3162">
        <v>43106</v>
      </c>
      <c r="F383" s="180">
        <v>1142541</v>
      </c>
      <c r="G383" s="2169">
        <v>9630</v>
      </c>
      <c r="H383" s="877">
        <v>404851</v>
      </c>
      <c r="I383" s="3162">
        <v>934824</v>
      </c>
      <c r="J383" s="884">
        <v>0</v>
      </c>
      <c r="K383" s="180">
        <v>43106</v>
      </c>
      <c r="L383" s="2167">
        <f t="shared" si="33"/>
        <v>1382781</v>
      </c>
      <c r="M383" s="877">
        <v>221039</v>
      </c>
      <c r="N383" s="180">
        <v>528955</v>
      </c>
      <c r="O383" s="3162">
        <v>0</v>
      </c>
      <c r="P383" s="180">
        <v>9630</v>
      </c>
      <c r="Q383" s="3211">
        <f t="shared" si="34"/>
        <v>759624</v>
      </c>
    </row>
    <row r="384" spans="1:17">
      <c r="A384" s="63">
        <f t="shared" si="35"/>
        <v>2024.03</v>
      </c>
      <c r="B384" s="866">
        <f t="shared" si="31"/>
        <v>2987286</v>
      </c>
      <c r="C384" s="2165">
        <f t="shared" si="32"/>
        <v>545618</v>
      </c>
      <c r="D384" s="481">
        <v>3710101</v>
      </c>
      <c r="E384" s="3162">
        <v>0</v>
      </c>
      <c r="F384" s="180">
        <v>997797</v>
      </c>
      <c r="G384" s="2169">
        <v>9773</v>
      </c>
      <c r="H384" s="877">
        <v>1031953</v>
      </c>
      <c r="I384" s="3162">
        <v>1955333</v>
      </c>
      <c r="J384" s="884">
        <v>0</v>
      </c>
      <c r="K384" s="180">
        <v>0</v>
      </c>
      <c r="L384" s="2167">
        <f t="shared" si="33"/>
        <v>2987286</v>
      </c>
      <c r="M384" s="877">
        <v>282053</v>
      </c>
      <c r="N384" s="180">
        <v>253792</v>
      </c>
      <c r="O384" s="3162">
        <v>9773</v>
      </c>
      <c r="P384" s="180">
        <v>0</v>
      </c>
      <c r="Q384" s="3211">
        <f t="shared" si="34"/>
        <v>545618</v>
      </c>
    </row>
    <row r="385" spans="1:17">
      <c r="A385" s="63">
        <f t="shared" si="35"/>
        <v>2024.04</v>
      </c>
      <c r="B385" s="866">
        <f t="shared" si="31"/>
        <v>2892076</v>
      </c>
      <c r="C385" s="2165">
        <f t="shared" si="32"/>
        <v>395925</v>
      </c>
      <c r="D385" s="481">
        <v>4601941</v>
      </c>
      <c r="E385" s="3162">
        <v>0</v>
      </c>
      <c r="F385" s="180">
        <v>517896</v>
      </c>
      <c r="G385" s="2169">
        <v>0</v>
      </c>
      <c r="H385" s="877">
        <v>887268</v>
      </c>
      <c r="I385" s="3162">
        <v>2004808</v>
      </c>
      <c r="J385" s="884">
        <v>0</v>
      </c>
      <c r="K385" s="180">
        <v>0</v>
      </c>
      <c r="L385" s="2167">
        <f t="shared" si="33"/>
        <v>2892076</v>
      </c>
      <c r="M385" s="877">
        <v>217297</v>
      </c>
      <c r="N385" s="180">
        <v>178628</v>
      </c>
      <c r="O385" s="3162">
        <v>0</v>
      </c>
      <c r="P385" s="180">
        <v>0</v>
      </c>
      <c r="Q385" s="3211">
        <f t="shared" si="34"/>
        <v>395925</v>
      </c>
    </row>
    <row r="386" spans="1:17">
      <c r="A386" s="63">
        <f t="shared" si="35"/>
        <v>2024.05</v>
      </c>
      <c r="B386" s="866">
        <f t="shared" si="31"/>
        <v>2531431</v>
      </c>
      <c r="C386" s="2165">
        <f t="shared" si="32"/>
        <v>396640</v>
      </c>
      <c r="D386" s="481">
        <v>3473277</v>
      </c>
      <c r="E386" s="3162">
        <v>0</v>
      </c>
      <c r="F386" s="180">
        <v>503743</v>
      </c>
      <c r="G386" s="2169">
        <v>0</v>
      </c>
      <c r="H386" s="877">
        <v>823449</v>
      </c>
      <c r="I386" s="3162">
        <v>1707982</v>
      </c>
      <c r="J386" s="884">
        <v>0</v>
      </c>
      <c r="K386" s="180">
        <v>0</v>
      </c>
      <c r="L386" s="2167">
        <f t="shared" si="33"/>
        <v>2531431</v>
      </c>
      <c r="M386" s="877">
        <v>187745</v>
      </c>
      <c r="N386" s="180">
        <v>208895</v>
      </c>
      <c r="O386" s="3162">
        <v>0</v>
      </c>
      <c r="P386" s="180">
        <v>0</v>
      </c>
      <c r="Q386" s="3211">
        <f t="shared" si="34"/>
        <v>396640</v>
      </c>
    </row>
    <row r="387" spans="1:17">
      <c r="A387" s="63">
        <f t="shared" si="35"/>
        <v>2024.06</v>
      </c>
      <c r="B387" s="866">
        <f>L387</f>
        <v>1847083</v>
      </c>
      <c r="C387" s="2165">
        <f>Q387</f>
        <v>126163</v>
      </c>
      <c r="D387" s="481">
        <v>2201931</v>
      </c>
      <c r="E387" s="3162">
        <v>0</v>
      </c>
      <c r="F387" s="180">
        <v>288232</v>
      </c>
      <c r="G387" s="2169">
        <v>0</v>
      </c>
      <c r="H387" s="877">
        <v>601801</v>
      </c>
      <c r="I387" s="3162">
        <v>1245282</v>
      </c>
      <c r="J387" s="884">
        <v>0</v>
      </c>
      <c r="K387" s="180">
        <v>0</v>
      </c>
      <c r="L387" s="2167">
        <f t="shared" si="33"/>
        <v>1847083</v>
      </c>
      <c r="M387" s="877">
        <v>66000</v>
      </c>
      <c r="N387" s="180">
        <v>60163</v>
      </c>
      <c r="O387" s="3162">
        <v>0</v>
      </c>
      <c r="P387" s="180">
        <v>0</v>
      </c>
      <c r="Q387" s="3211">
        <f t="shared" si="34"/>
        <v>126163</v>
      </c>
    </row>
    <row r="388" spans="1:17">
      <c r="A388" s="63">
        <f t="shared" si="35"/>
        <v>2024.07</v>
      </c>
      <c r="B388" s="866">
        <f t="shared" si="31"/>
        <v>2764674</v>
      </c>
      <c r="C388" s="2165">
        <f t="shared" si="32"/>
        <v>162505</v>
      </c>
      <c r="D388" s="481">
        <v>4080103</v>
      </c>
      <c r="E388" s="3162">
        <v>0</v>
      </c>
      <c r="F388" s="180">
        <v>357285</v>
      </c>
      <c r="G388" s="2169">
        <v>0</v>
      </c>
      <c r="H388" s="877">
        <v>684827</v>
      </c>
      <c r="I388" s="3162">
        <v>2079847</v>
      </c>
      <c r="J388" s="884">
        <v>0</v>
      </c>
      <c r="K388" s="180">
        <v>0</v>
      </c>
      <c r="L388" s="2167">
        <f t="shared" si="33"/>
        <v>2764674</v>
      </c>
      <c r="M388" s="877">
        <v>63655</v>
      </c>
      <c r="N388" s="180">
        <v>98850</v>
      </c>
      <c r="O388" s="3162">
        <v>0</v>
      </c>
      <c r="P388" s="180">
        <v>0</v>
      </c>
      <c r="Q388" s="3211">
        <f t="shared" si="34"/>
        <v>162505</v>
      </c>
    </row>
    <row r="389" spans="1:17">
      <c r="A389" s="63">
        <f t="shared" si="35"/>
        <v>2024.08</v>
      </c>
      <c r="B389" s="866">
        <f t="shared" si="31"/>
        <v>1781602</v>
      </c>
      <c r="C389" s="2165">
        <f t="shared" si="32"/>
        <v>141363</v>
      </c>
      <c r="D389" s="481">
        <v>2649428</v>
      </c>
      <c r="E389" s="3162">
        <v>0</v>
      </c>
      <c r="F389" s="180">
        <v>203363</v>
      </c>
      <c r="G389" s="2169">
        <v>0</v>
      </c>
      <c r="H389" s="877">
        <v>475691</v>
      </c>
      <c r="I389" s="3162">
        <v>1305911</v>
      </c>
      <c r="J389" s="884">
        <v>0</v>
      </c>
      <c r="K389" s="180">
        <v>0</v>
      </c>
      <c r="L389" s="2167">
        <f t="shared" si="33"/>
        <v>1781602</v>
      </c>
      <c r="M389" s="877">
        <v>111693</v>
      </c>
      <c r="N389" s="180">
        <v>29670</v>
      </c>
      <c r="O389" s="3162">
        <v>0</v>
      </c>
      <c r="P389" s="180">
        <v>0</v>
      </c>
      <c r="Q389" s="3211">
        <f t="shared" si="34"/>
        <v>141363</v>
      </c>
    </row>
    <row r="390" spans="1:17">
      <c r="A390" s="63">
        <f t="shared" si="35"/>
        <v>2024.09</v>
      </c>
      <c r="B390" s="866">
        <f t="shared" si="31"/>
        <v>1709021</v>
      </c>
      <c r="C390" s="2165">
        <f t="shared" si="32"/>
        <v>50014</v>
      </c>
      <c r="D390" s="481">
        <v>2834758</v>
      </c>
      <c r="E390" s="3162">
        <v>0</v>
      </c>
      <c r="F390" s="180">
        <v>167714</v>
      </c>
      <c r="G390" s="2169">
        <v>0</v>
      </c>
      <c r="H390" s="877">
        <v>628731</v>
      </c>
      <c r="I390" s="3162">
        <v>1080290</v>
      </c>
      <c r="J390" s="884">
        <v>0</v>
      </c>
      <c r="K390" s="180">
        <v>0</v>
      </c>
      <c r="L390" s="2167">
        <f t="shared" si="33"/>
        <v>1709021</v>
      </c>
      <c r="M390" s="877">
        <v>0</v>
      </c>
      <c r="N390" s="180">
        <v>50014</v>
      </c>
      <c r="O390" s="3162">
        <v>0</v>
      </c>
      <c r="P390" s="180">
        <v>0</v>
      </c>
      <c r="Q390" s="3211">
        <f t="shared" si="34"/>
        <v>50014</v>
      </c>
    </row>
    <row r="391" spans="1:17">
      <c r="A391" s="63">
        <f t="shared" si="35"/>
        <v>2024.1</v>
      </c>
      <c r="B391" s="866">
        <f t="shared" si="31"/>
        <v>1583592</v>
      </c>
      <c r="C391" s="2165">
        <f t="shared" si="32"/>
        <v>182550</v>
      </c>
      <c r="D391" s="481">
        <v>2511152</v>
      </c>
      <c r="E391" s="3162">
        <v>0</v>
      </c>
      <c r="F391" s="180">
        <v>268770</v>
      </c>
      <c r="G391" s="2169">
        <v>0</v>
      </c>
      <c r="H391" s="877">
        <v>540761</v>
      </c>
      <c r="I391" s="3162">
        <v>1042831</v>
      </c>
      <c r="J391" s="884">
        <v>0</v>
      </c>
      <c r="K391" s="180">
        <v>0</v>
      </c>
      <c r="L391" s="2167">
        <f t="shared" si="33"/>
        <v>1583592</v>
      </c>
      <c r="M391" s="877">
        <v>123800</v>
      </c>
      <c r="N391" s="180">
        <v>58750</v>
      </c>
      <c r="O391" s="3162">
        <v>0</v>
      </c>
      <c r="P391" s="180">
        <v>0</v>
      </c>
      <c r="Q391" s="3211">
        <f t="shared" si="34"/>
        <v>182550</v>
      </c>
    </row>
    <row r="392" spans="1:17">
      <c r="A392" s="63">
        <f t="shared" si="35"/>
        <v>2024.11</v>
      </c>
      <c r="B392" s="866">
        <f>L392</f>
        <v>1548414</v>
      </c>
      <c r="C392" s="2165">
        <f t="shared" si="32"/>
        <v>257697</v>
      </c>
      <c r="D392" s="481">
        <v>2335138</v>
      </c>
      <c r="E392" s="3162">
        <v>0</v>
      </c>
      <c r="F392" s="180">
        <v>361038</v>
      </c>
      <c r="G392" s="2169">
        <v>0</v>
      </c>
      <c r="H392" s="877">
        <v>602253</v>
      </c>
      <c r="I392" s="3162">
        <v>946161</v>
      </c>
      <c r="J392" s="884">
        <v>0</v>
      </c>
      <c r="K392" s="180">
        <v>0</v>
      </c>
      <c r="L392" s="2167">
        <f t="shared" si="33"/>
        <v>1548414</v>
      </c>
      <c r="M392" s="877">
        <v>125317</v>
      </c>
      <c r="N392" s="180">
        <v>132380</v>
      </c>
      <c r="O392" s="3162">
        <v>0</v>
      </c>
      <c r="P392" s="180">
        <v>0</v>
      </c>
      <c r="Q392" s="3211">
        <f t="shared" si="34"/>
        <v>257697</v>
      </c>
    </row>
    <row r="393" spans="1:17">
      <c r="A393" s="63">
        <f t="shared" si="35"/>
        <v>2024.12</v>
      </c>
      <c r="B393" s="866">
        <f t="shared" si="31"/>
        <v>1574677</v>
      </c>
      <c r="C393" s="2165">
        <f t="shared" si="32"/>
        <v>825988</v>
      </c>
      <c r="D393" s="481">
        <v>2267359</v>
      </c>
      <c r="E393" s="3162">
        <v>0</v>
      </c>
      <c r="F393" s="180">
        <v>1269365</v>
      </c>
      <c r="G393" s="2169">
        <v>0</v>
      </c>
      <c r="H393" s="877">
        <v>537739</v>
      </c>
      <c r="I393" s="3162">
        <v>1036938</v>
      </c>
      <c r="J393" s="884">
        <v>0</v>
      </c>
      <c r="K393" s="180">
        <v>0</v>
      </c>
      <c r="L393" s="2167">
        <f t="shared" si="33"/>
        <v>1574677</v>
      </c>
      <c r="M393" s="877">
        <v>311970</v>
      </c>
      <c r="N393" s="180">
        <v>514018</v>
      </c>
      <c r="O393" s="3162">
        <v>0</v>
      </c>
      <c r="P393" s="180">
        <v>0</v>
      </c>
      <c r="Q393" s="3211">
        <f t="shared" si="34"/>
        <v>825988</v>
      </c>
    </row>
    <row r="394" spans="1:17">
      <c r="A394" s="63">
        <f t="shared" si="35"/>
        <v>2025.01</v>
      </c>
      <c r="B394" s="866">
        <f t="shared" si="31"/>
        <v>1923309</v>
      </c>
      <c r="C394" s="2165">
        <f t="shared" si="32"/>
        <v>1247962</v>
      </c>
      <c r="D394" s="481">
        <v>2473190</v>
      </c>
      <c r="E394" s="3162">
        <v>0</v>
      </c>
      <c r="F394" s="180">
        <v>1868380</v>
      </c>
      <c r="G394" s="2169">
        <v>0</v>
      </c>
      <c r="H394" s="877">
        <v>902966</v>
      </c>
      <c r="I394" s="3162">
        <v>1020343</v>
      </c>
      <c r="J394" s="884">
        <v>0</v>
      </c>
      <c r="K394" s="180">
        <v>0</v>
      </c>
      <c r="L394" s="2167">
        <f t="shared" si="33"/>
        <v>1923309</v>
      </c>
      <c r="M394" s="877">
        <v>295459</v>
      </c>
      <c r="N394" s="180">
        <v>952503</v>
      </c>
      <c r="O394" s="3162">
        <v>0</v>
      </c>
      <c r="P394" s="180">
        <v>0</v>
      </c>
      <c r="Q394" s="3211">
        <f t="shared" si="34"/>
        <v>1247962</v>
      </c>
    </row>
    <row r="395" spans="1:17">
      <c r="A395" s="63">
        <f t="shared" si="35"/>
        <v>2025.02</v>
      </c>
      <c r="B395" s="866">
        <f t="shared" si="31"/>
        <v>1723875</v>
      </c>
      <c r="C395" s="2165">
        <f t="shared" si="32"/>
        <v>928147</v>
      </c>
      <c r="D395" s="481">
        <v>2337546</v>
      </c>
      <c r="E395" s="3162">
        <v>0</v>
      </c>
      <c r="F395" s="180">
        <v>1721217</v>
      </c>
      <c r="G395" s="2169">
        <v>0</v>
      </c>
      <c r="H395" s="877">
        <v>722142</v>
      </c>
      <c r="I395" s="3162">
        <v>1001733</v>
      </c>
      <c r="J395" s="884">
        <v>0</v>
      </c>
      <c r="K395" s="180">
        <v>0</v>
      </c>
      <c r="L395" s="2167">
        <f t="shared" si="33"/>
        <v>1723875</v>
      </c>
      <c r="M395" s="877">
        <v>344564</v>
      </c>
      <c r="N395" s="180">
        <v>583583</v>
      </c>
      <c r="O395" s="3162">
        <v>0</v>
      </c>
      <c r="P395" s="180">
        <v>0</v>
      </c>
      <c r="Q395" s="3211">
        <f t="shared" si="34"/>
        <v>928147</v>
      </c>
    </row>
    <row r="396" spans="1:17">
      <c r="A396" s="63">
        <f t="shared" si="35"/>
        <v>2025.03</v>
      </c>
      <c r="B396" s="866">
        <f t="shared" si="31"/>
        <v>2308772</v>
      </c>
      <c r="C396" s="2165">
        <f t="shared" si="32"/>
        <v>615405</v>
      </c>
      <c r="D396" s="481">
        <v>2913436</v>
      </c>
      <c r="E396" s="3162">
        <v>0</v>
      </c>
      <c r="F396" s="180">
        <v>1126084</v>
      </c>
      <c r="G396" s="2169">
        <v>0</v>
      </c>
      <c r="H396" s="877">
        <v>910325</v>
      </c>
      <c r="I396" s="3162">
        <v>1398447</v>
      </c>
      <c r="J396" s="884">
        <v>0</v>
      </c>
      <c r="K396" s="180">
        <v>0</v>
      </c>
      <c r="L396" s="2167">
        <f t="shared" si="33"/>
        <v>2308772</v>
      </c>
      <c r="M396" s="877">
        <v>357505</v>
      </c>
      <c r="N396" s="180">
        <v>257900</v>
      </c>
      <c r="O396" s="3162">
        <v>0</v>
      </c>
      <c r="P396" s="180">
        <v>0</v>
      </c>
      <c r="Q396" s="3211">
        <f t="shared" si="34"/>
        <v>615405</v>
      </c>
    </row>
    <row r="397" spans="1:17">
      <c r="A397" s="63">
        <f t="shared" si="35"/>
        <v>2025.04</v>
      </c>
      <c r="B397" s="866">
        <f t="shared" si="31"/>
        <v>2754737</v>
      </c>
      <c r="C397" s="2165">
        <f t="shared" si="32"/>
        <v>259875</v>
      </c>
      <c r="D397" s="481">
        <v>3686749</v>
      </c>
      <c r="E397" s="3162">
        <v>0</v>
      </c>
      <c r="F397" s="180">
        <v>531570</v>
      </c>
      <c r="G397" s="2169">
        <v>0</v>
      </c>
      <c r="H397" s="877">
        <v>839712</v>
      </c>
      <c r="I397" s="3162">
        <v>1915025</v>
      </c>
      <c r="J397" s="884">
        <v>0</v>
      </c>
      <c r="K397" s="180">
        <v>0</v>
      </c>
      <c r="L397" s="2167">
        <f t="shared" si="33"/>
        <v>2754737</v>
      </c>
      <c r="M397" s="877">
        <v>57800</v>
      </c>
      <c r="N397" s="180">
        <v>202075</v>
      </c>
      <c r="O397" s="3162">
        <v>0</v>
      </c>
      <c r="P397" s="180">
        <v>0</v>
      </c>
      <c r="Q397" s="3211">
        <f t="shared" si="34"/>
        <v>259875</v>
      </c>
    </row>
    <row r="398" spans="1:17">
      <c r="A398" s="63">
        <f t="shared" si="35"/>
        <v>2025.05</v>
      </c>
      <c r="B398" s="866" t="e">
        <f t="shared" si="31"/>
        <v>#N/A</v>
      </c>
      <c r="C398" s="2165" t="e">
        <f t="shared" si="32"/>
        <v>#N/A</v>
      </c>
      <c r="D398" s="481" t="e">
        <v>#N/A</v>
      </c>
      <c r="E398" s="3162" t="e">
        <v>#N/A</v>
      </c>
      <c r="F398" s="180" t="e">
        <v>#N/A</v>
      </c>
      <c r="G398" s="2169" t="e">
        <v>#N/A</v>
      </c>
      <c r="H398" s="877" t="e">
        <v>#N/A</v>
      </c>
      <c r="I398" s="3162" t="e">
        <v>#N/A</v>
      </c>
      <c r="J398" s="884" t="e">
        <v>#N/A</v>
      </c>
      <c r="K398" s="180" t="e">
        <v>#N/A</v>
      </c>
      <c r="L398" s="2167" t="e">
        <f t="shared" si="33"/>
        <v>#N/A</v>
      </c>
      <c r="M398" s="877" t="e">
        <v>#N/A</v>
      </c>
      <c r="N398" s="180" t="e">
        <v>#N/A</v>
      </c>
      <c r="O398" s="3162" t="e">
        <v>#N/A</v>
      </c>
      <c r="P398" s="180" t="e">
        <v>#N/A</v>
      </c>
      <c r="Q398" s="3211" t="e">
        <f t="shared" si="34"/>
        <v>#N/A</v>
      </c>
    </row>
    <row r="399" spans="1:17">
      <c r="A399" s="63">
        <f t="shared" si="35"/>
        <v>2025.06</v>
      </c>
      <c r="B399" s="866" t="e">
        <f t="shared" si="31"/>
        <v>#N/A</v>
      </c>
      <c r="C399" s="2165" t="e">
        <f t="shared" si="32"/>
        <v>#N/A</v>
      </c>
      <c r="D399" s="481" t="e">
        <v>#N/A</v>
      </c>
      <c r="E399" s="3162" t="e">
        <v>#N/A</v>
      </c>
      <c r="F399" s="180" t="e">
        <v>#N/A</v>
      </c>
      <c r="G399" s="2169" t="e">
        <v>#N/A</v>
      </c>
      <c r="H399" s="877" t="e">
        <v>#N/A</v>
      </c>
      <c r="I399" s="3162" t="e">
        <v>#N/A</v>
      </c>
      <c r="J399" s="884" t="e">
        <v>#N/A</v>
      </c>
      <c r="K399" s="180" t="e">
        <v>#N/A</v>
      </c>
      <c r="L399" s="2167" t="e">
        <f t="shared" si="33"/>
        <v>#N/A</v>
      </c>
      <c r="M399" s="877" t="e">
        <v>#N/A</v>
      </c>
      <c r="N399" s="180" t="e">
        <v>#N/A</v>
      </c>
      <c r="O399" s="3162" t="e">
        <v>#N/A</v>
      </c>
      <c r="P399" s="180" t="e">
        <v>#N/A</v>
      </c>
      <c r="Q399" s="3211" t="e">
        <f t="shared" si="34"/>
        <v>#N/A</v>
      </c>
    </row>
    <row r="400" spans="1:17">
      <c r="A400" s="63">
        <f t="shared" si="35"/>
        <v>2025.07</v>
      </c>
      <c r="B400" s="866" t="e">
        <f t="shared" si="31"/>
        <v>#N/A</v>
      </c>
      <c r="C400" s="2165" t="e">
        <f t="shared" si="32"/>
        <v>#N/A</v>
      </c>
      <c r="D400" s="481" t="e">
        <v>#N/A</v>
      </c>
      <c r="E400" s="3162" t="e">
        <v>#N/A</v>
      </c>
      <c r="F400" s="180" t="e">
        <v>#N/A</v>
      </c>
      <c r="G400" s="2169" t="e">
        <v>#N/A</v>
      </c>
      <c r="H400" s="877" t="e">
        <v>#N/A</v>
      </c>
      <c r="I400" s="3162" t="e">
        <v>#N/A</v>
      </c>
      <c r="J400" s="884" t="e">
        <v>#N/A</v>
      </c>
      <c r="K400" s="180" t="e">
        <v>#N/A</v>
      </c>
      <c r="L400" s="2167" t="e">
        <f t="shared" si="33"/>
        <v>#N/A</v>
      </c>
      <c r="M400" s="877" t="e">
        <v>#N/A</v>
      </c>
      <c r="N400" s="180" t="e">
        <v>#N/A</v>
      </c>
      <c r="O400" s="3162" t="e">
        <v>#N/A</v>
      </c>
      <c r="P400" s="180" t="e">
        <v>#N/A</v>
      </c>
      <c r="Q400" s="3211" t="e">
        <f t="shared" si="34"/>
        <v>#N/A</v>
      </c>
    </row>
    <row r="401" spans="1:17">
      <c r="A401" s="63">
        <f t="shared" si="35"/>
        <v>2025.08</v>
      </c>
      <c r="B401" s="866" t="e">
        <f t="shared" si="31"/>
        <v>#N/A</v>
      </c>
      <c r="C401" s="2165" t="e">
        <f t="shared" si="32"/>
        <v>#N/A</v>
      </c>
      <c r="D401" s="481" t="e">
        <v>#N/A</v>
      </c>
      <c r="E401" s="3162" t="e">
        <v>#N/A</v>
      </c>
      <c r="F401" s="180" t="e">
        <v>#N/A</v>
      </c>
      <c r="G401" s="2169" t="e">
        <v>#N/A</v>
      </c>
      <c r="H401" s="877" t="e">
        <v>#N/A</v>
      </c>
      <c r="I401" s="3162" t="e">
        <v>#N/A</v>
      </c>
      <c r="J401" s="884" t="e">
        <v>#N/A</v>
      </c>
      <c r="K401" s="180" t="e">
        <v>#N/A</v>
      </c>
      <c r="L401" s="2167" t="e">
        <f t="shared" si="33"/>
        <v>#N/A</v>
      </c>
      <c r="M401" s="877" t="e">
        <v>#N/A</v>
      </c>
      <c r="N401" s="180" t="e">
        <v>#N/A</v>
      </c>
      <c r="O401" s="3162" t="e">
        <v>#N/A</v>
      </c>
      <c r="P401" s="180" t="e">
        <v>#N/A</v>
      </c>
      <c r="Q401" s="3211" t="e">
        <f t="shared" si="34"/>
        <v>#N/A</v>
      </c>
    </row>
    <row r="402" spans="1:17">
      <c r="A402" s="63">
        <f t="shared" si="35"/>
        <v>2025.09</v>
      </c>
      <c r="B402" s="866" t="e">
        <f t="shared" si="31"/>
        <v>#N/A</v>
      </c>
      <c r="C402" s="2165" t="e">
        <f t="shared" si="32"/>
        <v>#N/A</v>
      </c>
      <c r="D402" s="481" t="e">
        <v>#N/A</v>
      </c>
      <c r="E402" s="3162" t="e">
        <v>#N/A</v>
      </c>
      <c r="F402" s="180" t="e">
        <v>#N/A</v>
      </c>
      <c r="G402" s="2169" t="e">
        <v>#N/A</v>
      </c>
      <c r="H402" s="877" t="e">
        <v>#N/A</v>
      </c>
      <c r="I402" s="3162" t="e">
        <v>#N/A</v>
      </c>
      <c r="J402" s="884" t="e">
        <v>#N/A</v>
      </c>
      <c r="K402" s="180" t="e">
        <v>#N/A</v>
      </c>
      <c r="L402" s="2167" t="e">
        <f t="shared" si="33"/>
        <v>#N/A</v>
      </c>
      <c r="M402" s="877" t="e">
        <v>#N/A</v>
      </c>
      <c r="N402" s="180" t="e">
        <v>#N/A</v>
      </c>
      <c r="O402" s="3162" t="e">
        <v>#N/A</v>
      </c>
      <c r="P402" s="180" t="e">
        <v>#N/A</v>
      </c>
      <c r="Q402" s="3211" t="e">
        <f t="shared" si="34"/>
        <v>#N/A</v>
      </c>
    </row>
    <row r="403" spans="1:17">
      <c r="A403" s="63">
        <f t="shared" si="35"/>
        <v>2025.1</v>
      </c>
      <c r="B403" s="866" t="e">
        <f t="shared" si="31"/>
        <v>#N/A</v>
      </c>
      <c r="C403" s="2165" t="e">
        <f t="shared" si="32"/>
        <v>#N/A</v>
      </c>
      <c r="D403" s="481" t="e">
        <v>#N/A</v>
      </c>
      <c r="E403" s="3162" t="e">
        <v>#N/A</v>
      </c>
      <c r="F403" s="180" t="e">
        <v>#N/A</v>
      </c>
      <c r="G403" s="2169" t="e">
        <v>#N/A</v>
      </c>
      <c r="H403" s="877" t="e">
        <v>#N/A</v>
      </c>
      <c r="I403" s="3162" t="e">
        <v>#N/A</v>
      </c>
      <c r="J403" s="884" t="e">
        <v>#N/A</v>
      </c>
      <c r="K403" s="180" t="e">
        <v>#N/A</v>
      </c>
      <c r="L403" s="2167" t="e">
        <f t="shared" si="33"/>
        <v>#N/A</v>
      </c>
      <c r="M403" s="877" t="e">
        <v>#N/A</v>
      </c>
      <c r="N403" s="180" t="e">
        <v>#N/A</v>
      </c>
      <c r="O403" s="3162" t="e">
        <v>#N/A</v>
      </c>
      <c r="P403" s="180" t="e">
        <v>#N/A</v>
      </c>
      <c r="Q403" s="3211" t="e">
        <f t="shared" si="34"/>
        <v>#N/A</v>
      </c>
    </row>
    <row r="404" spans="1:17">
      <c r="A404" s="63">
        <f t="shared" si="35"/>
        <v>2025.11</v>
      </c>
      <c r="B404" s="866" t="e">
        <f t="shared" si="31"/>
        <v>#N/A</v>
      </c>
      <c r="C404" s="2165" t="e">
        <f t="shared" si="32"/>
        <v>#N/A</v>
      </c>
      <c r="D404" s="481" t="e">
        <v>#N/A</v>
      </c>
      <c r="E404" s="3162" t="e">
        <v>#N/A</v>
      </c>
      <c r="F404" s="180" t="e">
        <v>#N/A</v>
      </c>
      <c r="G404" s="2169" t="e">
        <v>#N/A</v>
      </c>
      <c r="H404" s="877" t="e">
        <v>#N/A</v>
      </c>
      <c r="I404" s="3162" t="e">
        <v>#N/A</v>
      </c>
      <c r="J404" s="884" t="e">
        <v>#N/A</v>
      </c>
      <c r="K404" s="180" t="e">
        <v>#N/A</v>
      </c>
      <c r="L404" s="2167" t="e">
        <f t="shared" si="33"/>
        <v>#N/A</v>
      </c>
      <c r="M404" s="877" t="e">
        <v>#N/A</v>
      </c>
      <c r="N404" s="180" t="e">
        <v>#N/A</v>
      </c>
      <c r="O404" s="3162" t="e">
        <v>#N/A</v>
      </c>
      <c r="P404" s="180" t="e">
        <v>#N/A</v>
      </c>
      <c r="Q404" s="3211" t="e">
        <f t="shared" si="34"/>
        <v>#N/A</v>
      </c>
    </row>
    <row r="405" spans="1:17">
      <c r="A405" s="63">
        <f t="shared" si="35"/>
        <v>2025.12</v>
      </c>
      <c r="B405" s="866" t="e">
        <f t="shared" si="31"/>
        <v>#N/A</v>
      </c>
      <c r="C405" s="2165" t="e">
        <f t="shared" si="32"/>
        <v>#N/A</v>
      </c>
      <c r="D405" s="481" t="e">
        <v>#N/A</v>
      </c>
      <c r="E405" s="3162" t="e">
        <v>#N/A</v>
      </c>
      <c r="F405" s="180" t="e">
        <v>#N/A</v>
      </c>
      <c r="G405" s="2169" t="e">
        <v>#N/A</v>
      </c>
      <c r="H405" s="877" t="e">
        <v>#N/A</v>
      </c>
      <c r="I405" s="3162" t="e">
        <v>#N/A</v>
      </c>
      <c r="J405" s="884" t="e">
        <v>#N/A</v>
      </c>
      <c r="K405" s="180" t="e">
        <v>#N/A</v>
      </c>
      <c r="L405" s="2167" t="e">
        <f t="shared" si="33"/>
        <v>#N/A</v>
      </c>
      <c r="M405" s="877" t="e">
        <v>#N/A</v>
      </c>
      <c r="N405" s="180" t="e">
        <v>#N/A</v>
      </c>
      <c r="O405" s="3162" t="e">
        <v>#N/A</v>
      </c>
      <c r="P405" s="180" t="e">
        <v>#N/A</v>
      </c>
      <c r="Q405" s="3211" t="e">
        <f t="shared" si="34"/>
        <v>#N/A</v>
      </c>
    </row>
    <row r="406" spans="1:17">
      <c r="A406" s="63">
        <f t="shared" si="35"/>
        <v>2026.01</v>
      </c>
      <c r="B406" s="866" t="e">
        <f t="shared" ref="B406:B433" si="36">L406</f>
        <v>#N/A</v>
      </c>
      <c r="C406" s="2165" t="e">
        <f t="shared" ref="C406:C433" si="37">Q406</f>
        <v>#N/A</v>
      </c>
      <c r="D406" s="481" t="e">
        <v>#N/A</v>
      </c>
      <c r="E406" s="3162" t="e">
        <v>#N/A</v>
      </c>
      <c r="F406" s="180" t="e">
        <v>#N/A</v>
      </c>
      <c r="G406" s="2169" t="e">
        <v>#N/A</v>
      </c>
      <c r="H406" s="877" t="e">
        <v>#N/A</v>
      </c>
      <c r="I406" s="3162" t="e">
        <v>#N/A</v>
      </c>
      <c r="J406" s="884" t="e">
        <v>#N/A</v>
      </c>
      <c r="K406" s="180" t="e">
        <v>#N/A</v>
      </c>
      <c r="L406" s="2167" t="e">
        <f t="shared" ref="L406:L433" si="38">SUM(H406:K406)</f>
        <v>#N/A</v>
      </c>
      <c r="M406" s="877" t="e">
        <v>#N/A</v>
      </c>
      <c r="N406" s="180" t="e">
        <v>#N/A</v>
      </c>
      <c r="O406" s="3162" t="e">
        <v>#N/A</v>
      </c>
      <c r="P406" s="180" t="e">
        <v>#N/A</v>
      </c>
      <c r="Q406" s="3211" t="e">
        <f t="shared" ref="Q406:Q433" si="39">SUM(M406:P406)</f>
        <v>#N/A</v>
      </c>
    </row>
    <row r="407" spans="1:17">
      <c r="A407" s="63">
        <f t="shared" si="35"/>
        <v>2026.02</v>
      </c>
      <c r="B407" s="866" t="e">
        <f t="shared" si="36"/>
        <v>#N/A</v>
      </c>
      <c r="C407" s="2165" t="e">
        <f t="shared" si="37"/>
        <v>#N/A</v>
      </c>
      <c r="D407" s="481" t="e">
        <v>#N/A</v>
      </c>
      <c r="E407" s="3162" t="e">
        <v>#N/A</v>
      </c>
      <c r="F407" s="180" t="e">
        <v>#N/A</v>
      </c>
      <c r="G407" s="2169" t="e">
        <v>#N/A</v>
      </c>
      <c r="H407" s="877" t="e">
        <v>#N/A</v>
      </c>
      <c r="I407" s="3162" t="e">
        <v>#N/A</v>
      </c>
      <c r="J407" s="884" t="e">
        <v>#N/A</v>
      </c>
      <c r="K407" s="180" t="e">
        <v>#N/A</v>
      </c>
      <c r="L407" s="2167" t="e">
        <f t="shared" si="38"/>
        <v>#N/A</v>
      </c>
      <c r="M407" s="877" t="e">
        <v>#N/A</v>
      </c>
      <c r="N407" s="180" t="e">
        <v>#N/A</v>
      </c>
      <c r="O407" s="3162" t="e">
        <v>#N/A</v>
      </c>
      <c r="P407" s="180" t="e">
        <v>#N/A</v>
      </c>
      <c r="Q407" s="3211" t="e">
        <f t="shared" si="39"/>
        <v>#N/A</v>
      </c>
    </row>
    <row r="408" spans="1:17">
      <c r="A408" s="63">
        <f t="shared" si="35"/>
        <v>2026.03</v>
      </c>
      <c r="B408" s="866" t="e">
        <f t="shared" si="36"/>
        <v>#N/A</v>
      </c>
      <c r="C408" s="2165" t="e">
        <f t="shared" si="37"/>
        <v>#N/A</v>
      </c>
      <c r="D408" s="481" t="e">
        <v>#N/A</v>
      </c>
      <c r="E408" s="3162" t="e">
        <v>#N/A</v>
      </c>
      <c r="F408" s="180" t="e">
        <v>#N/A</v>
      </c>
      <c r="G408" s="2169" t="e">
        <v>#N/A</v>
      </c>
      <c r="H408" s="877" t="e">
        <v>#N/A</v>
      </c>
      <c r="I408" s="3162" t="e">
        <v>#N/A</v>
      </c>
      <c r="J408" s="884" t="e">
        <v>#N/A</v>
      </c>
      <c r="K408" s="180" t="e">
        <v>#N/A</v>
      </c>
      <c r="L408" s="2167" t="e">
        <f t="shared" si="38"/>
        <v>#N/A</v>
      </c>
      <c r="M408" s="877" t="e">
        <v>#N/A</v>
      </c>
      <c r="N408" s="180" t="e">
        <v>#N/A</v>
      </c>
      <c r="O408" s="3162" t="e">
        <v>#N/A</v>
      </c>
      <c r="P408" s="180" t="e">
        <v>#N/A</v>
      </c>
      <c r="Q408" s="3211" t="e">
        <f t="shared" si="39"/>
        <v>#N/A</v>
      </c>
    </row>
    <row r="409" spans="1:17">
      <c r="A409" s="63">
        <f t="shared" si="35"/>
        <v>2026.04</v>
      </c>
      <c r="B409" s="866" t="e">
        <f t="shared" si="36"/>
        <v>#N/A</v>
      </c>
      <c r="C409" s="2165" t="e">
        <f t="shared" si="37"/>
        <v>#N/A</v>
      </c>
      <c r="D409" s="481" t="e">
        <v>#N/A</v>
      </c>
      <c r="E409" s="3162" t="e">
        <v>#N/A</v>
      </c>
      <c r="F409" s="180" t="e">
        <v>#N/A</v>
      </c>
      <c r="G409" s="2169" t="e">
        <v>#N/A</v>
      </c>
      <c r="H409" s="877" t="e">
        <v>#N/A</v>
      </c>
      <c r="I409" s="3162" t="e">
        <v>#N/A</v>
      </c>
      <c r="J409" s="884" t="e">
        <v>#N/A</v>
      </c>
      <c r="K409" s="180" t="e">
        <v>#N/A</v>
      </c>
      <c r="L409" s="2167" t="e">
        <f t="shared" si="38"/>
        <v>#N/A</v>
      </c>
      <c r="M409" s="877" t="e">
        <v>#N/A</v>
      </c>
      <c r="N409" s="180" t="e">
        <v>#N/A</v>
      </c>
      <c r="O409" s="3162" t="e">
        <v>#N/A</v>
      </c>
      <c r="P409" s="180" t="e">
        <v>#N/A</v>
      </c>
      <c r="Q409" s="3211" t="e">
        <f t="shared" si="39"/>
        <v>#N/A</v>
      </c>
    </row>
    <row r="410" spans="1:17">
      <c r="A410" s="63">
        <f t="shared" si="35"/>
        <v>2026.05</v>
      </c>
      <c r="B410" s="866" t="e">
        <f t="shared" si="36"/>
        <v>#N/A</v>
      </c>
      <c r="C410" s="2165" t="e">
        <f t="shared" si="37"/>
        <v>#N/A</v>
      </c>
      <c r="D410" s="481" t="e">
        <v>#N/A</v>
      </c>
      <c r="E410" s="3162" t="e">
        <v>#N/A</v>
      </c>
      <c r="F410" s="180" t="e">
        <v>#N/A</v>
      </c>
      <c r="G410" s="2169" t="e">
        <v>#N/A</v>
      </c>
      <c r="H410" s="877" t="e">
        <v>#N/A</v>
      </c>
      <c r="I410" s="3162" t="e">
        <v>#N/A</v>
      </c>
      <c r="J410" s="884" t="e">
        <v>#N/A</v>
      </c>
      <c r="K410" s="180" t="e">
        <v>#N/A</v>
      </c>
      <c r="L410" s="2167" t="e">
        <f t="shared" si="38"/>
        <v>#N/A</v>
      </c>
      <c r="M410" s="877" t="e">
        <v>#N/A</v>
      </c>
      <c r="N410" s="180" t="e">
        <v>#N/A</v>
      </c>
      <c r="O410" s="3162" t="e">
        <v>#N/A</v>
      </c>
      <c r="P410" s="180" t="e">
        <v>#N/A</v>
      </c>
      <c r="Q410" s="3211" t="e">
        <f t="shared" si="39"/>
        <v>#N/A</v>
      </c>
    </row>
    <row r="411" spans="1:17">
      <c r="A411" s="63">
        <f t="shared" si="35"/>
        <v>2026.06</v>
      </c>
      <c r="B411" s="866" t="e">
        <f t="shared" si="36"/>
        <v>#N/A</v>
      </c>
      <c r="C411" s="2165" t="e">
        <f t="shared" si="37"/>
        <v>#N/A</v>
      </c>
      <c r="D411" s="481" t="e">
        <v>#N/A</v>
      </c>
      <c r="E411" s="3162" t="e">
        <v>#N/A</v>
      </c>
      <c r="F411" s="180" t="e">
        <v>#N/A</v>
      </c>
      <c r="G411" s="2169" t="e">
        <v>#N/A</v>
      </c>
      <c r="H411" s="877" t="e">
        <v>#N/A</v>
      </c>
      <c r="I411" s="3162" t="e">
        <v>#N/A</v>
      </c>
      <c r="J411" s="884" t="e">
        <v>#N/A</v>
      </c>
      <c r="K411" s="180" t="e">
        <v>#N/A</v>
      </c>
      <c r="L411" s="2167" t="e">
        <f t="shared" si="38"/>
        <v>#N/A</v>
      </c>
      <c r="M411" s="877" t="e">
        <v>#N/A</v>
      </c>
      <c r="N411" s="180" t="e">
        <v>#N/A</v>
      </c>
      <c r="O411" s="3162" t="e">
        <v>#N/A</v>
      </c>
      <c r="P411" s="180" t="e">
        <v>#N/A</v>
      </c>
      <c r="Q411" s="3211" t="e">
        <f t="shared" si="39"/>
        <v>#N/A</v>
      </c>
    </row>
    <row r="412" spans="1:17">
      <c r="A412" s="63">
        <f t="shared" si="35"/>
        <v>2026.07</v>
      </c>
      <c r="B412" s="866" t="e">
        <f t="shared" si="36"/>
        <v>#N/A</v>
      </c>
      <c r="C412" s="2165" t="e">
        <f t="shared" si="37"/>
        <v>#N/A</v>
      </c>
      <c r="D412" s="481" t="e">
        <v>#N/A</v>
      </c>
      <c r="E412" s="3162" t="e">
        <v>#N/A</v>
      </c>
      <c r="F412" s="180" t="e">
        <v>#N/A</v>
      </c>
      <c r="G412" s="2169" t="e">
        <v>#N/A</v>
      </c>
      <c r="H412" s="877" t="e">
        <v>#N/A</v>
      </c>
      <c r="I412" s="3162" t="e">
        <v>#N/A</v>
      </c>
      <c r="J412" s="884" t="e">
        <v>#N/A</v>
      </c>
      <c r="K412" s="180" t="e">
        <v>#N/A</v>
      </c>
      <c r="L412" s="2167" t="e">
        <f t="shared" si="38"/>
        <v>#N/A</v>
      </c>
      <c r="M412" s="877" t="e">
        <v>#N/A</v>
      </c>
      <c r="N412" s="180" t="e">
        <v>#N/A</v>
      </c>
      <c r="O412" s="3162" t="e">
        <v>#N/A</v>
      </c>
      <c r="P412" s="180" t="e">
        <v>#N/A</v>
      </c>
      <c r="Q412" s="3211" t="e">
        <f t="shared" si="39"/>
        <v>#N/A</v>
      </c>
    </row>
    <row r="413" spans="1:17">
      <c r="A413" s="63">
        <f t="shared" si="35"/>
        <v>2026.08</v>
      </c>
      <c r="B413" s="866" t="e">
        <f t="shared" si="36"/>
        <v>#N/A</v>
      </c>
      <c r="C413" s="2165" t="e">
        <f t="shared" si="37"/>
        <v>#N/A</v>
      </c>
      <c r="D413" s="481" t="e">
        <v>#N/A</v>
      </c>
      <c r="E413" s="3162" t="e">
        <v>#N/A</v>
      </c>
      <c r="F413" s="180" t="e">
        <v>#N/A</v>
      </c>
      <c r="G413" s="2169" t="e">
        <v>#N/A</v>
      </c>
      <c r="H413" s="877" t="e">
        <v>#N/A</v>
      </c>
      <c r="I413" s="3162" t="e">
        <v>#N/A</v>
      </c>
      <c r="J413" s="884" t="e">
        <v>#N/A</v>
      </c>
      <c r="K413" s="180" t="e">
        <v>#N/A</v>
      </c>
      <c r="L413" s="2167" t="e">
        <f t="shared" si="38"/>
        <v>#N/A</v>
      </c>
      <c r="M413" s="877" t="e">
        <v>#N/A</v>
      </c>
      <c r="N413" s="180" t="e">
        <v>#N/A</v>
      </c>
      <c r="O413" s="3162" t="e">
        <v>#N/A</v>
      </c>
      <c r="P413" s="180" t="e">
        <v>#N/A</v>
      </c>
      <c r="Q413" s="3211" t="e">
        <f t="shared" si="39"/>
        <v>#N/A</v>
      </c>
    </row>
    <row r="414" spans="1:17">
      <c r="A414" s="63">
        <f t="shared" si="35"/>
        <v>2026.09</v>
      </c>
      <c r="B414" s="866" t="e">
        <f t="shared" si="36"/>
        <v>#N/A</v>
      </c>
      <c r="C414" s="2165" t="e">
        <f t="shared" si="37"/>
        <v>#N/A</v>
      </c>
      <c r="D414" s="481" t="e">
        <v>#N/A</v>
      </c>
      <c r="E414" s="3162" t="e">
        <v>#N/A</v>
      </c>
      <c r="F414" s="180" t="e">
        <v>#N/A</v>
      </c>
      <c r="G414" s="2169" t="e">
        <v>#N/A</v>
      </c>
      <c r="H414" s="877" t="e">
        <v>#N/A</v>
      </c>
      <c r="I414" s="3162" t="e">
        <v>#N/A</v>
      </c>
      <c r="J414" s="884" t="e">
        <v>#N/A</v>
      </c>
      <c r="K414" s="180" t="e">
        <v>#N/A</v>
      </c>
      <c r="L414" s="2167" t="e">
        <f t="shared" si="38"/>
        <v>#N/A</v>
      </c>
      <c r="M414" s="877" t="e">
        <v>#N/A</v>
      </c>
      <c r="N414" s="180" t="e">
        <v>#N/A</v>
      </c>
      <c r="O414" s="3162" t="e">
        <v>#N/A</v>
      </c>
      <c r="P414" s="180" t="e">
        <v>#N/A</v>
      </c>
      <c r="Q414" s="3211" t="e">
        <f t="shared" si="39"/>
        <v>#N/A</v>
      </c>
    </row>
    <row r="415" spans="1:17">
      <c r="A415" s="63">
        <f t="shared" ref="A415:A465" si="40">A403+1</f>
        <v>2026.1</v>
      </c>
      <c r="B415" s="866" t="e">
        <f t="shared" si="36"/>
        <v>#N/A</v>
      </c>
      <c r="C415" s="2165" t="e">
        <f t="shared" si="37"/>
        <v>#N/A</v>
      </c>
      <c r="D415" s="481" t="e">
        <v>#N/A</v>
      </c>
      <c r="E415" s="3162" t="e">
        <v>#N/A</v>
      </c>
      <c r="F415" s="180" t="e">
        <v>#N/A</v>
      </c>
      <c r="G415" s="2169" t="e">
        <v>#N/A</v>
      </c>
      <c r="H415" s="877" t="e">
        <v>#N/A</v>
      </c>
      <c r="I415" s="3162" t="e">
        <v>#N/A</v>
      </c>
      <c r="J415" s="884" t="e">
        <v>#N/A</v>
      </c>
      <c r="K415" s="180" t="e">
        <v>#N/A</v>
      </c>
      <c r="L415" s="2167" t="e">
        <f t="shared" si="38"/>
        <v>#N/A</v>
      </c>
      <c r="M415" s="877" t="e">
        <v>#N/A</v>
      </c>
      <c r="N415" s="180" t="e">
        <v>#N/A</v>
      </c>
      <c r="O415" s="3162" t="e">
        <v>#N/A</v>
      </c>
      <c r="P415" s="180" t="e">
        <v>#N/A</v>
      </c>
      <c r="Q415" s="3211" t="e">
        <f t="shared" si="39"/>
        <v>#N/A</v>
      </c>
    </row>
    <row r="416" spans="1:17">
      <c r="A416" s="63">
        <f t="shared" si="40"/>
        <v>2026.11</v>
      </c>
      <c r="B416" s="866" t="e">
        <f t="shared" si="36"/>
        <v>#N/A</v>
      </c>
      <c r="C416" s="2165" t="e">
        <f t="shared" si="37"/>
        <v>#N/A</v>
      </c>
      <c r="D416" s="481" t="e">
        <v>#N/A</v>
      </c>
      <c r="E416" s="3162" t="e">
        <v>#N/A</v>
      </c>
      <c r="F416" s="180" t="e">
        <v>#N/A</v>
      </c>
      <c r="G416" s="2169" t="e">
        <v>#N/A</v>
      </c>
      <c r="H416" s="877" t="e">
        <v>#N/A</v>
      </c>
      <c r="I416" s="3162" t="e">
        <v>#N/A</v>
      </c>
      <c r="J416" s="884" t="e">
        <v>#N/A</v>
      </c>
      <c r="K416" s="180" t="e">
        <v>#N/A</v>
      </c>
      <c r="L416" s="2167" t="e">
        <f t="shared" si="38"/>
        <v>#N/A</v>
      </c>
      <c r="M416" s="877" t="e">
        <v>#N/A</v>
      </c>
      <c r="N416" s="180" t="e">
        <v>#N/A</v>
      </c>
      <c r="O416" s="3162" t="e">
        <v>#N/A</v>
      </c>
      <c r="P416" s="180" t="e">
        <v>#N/A</v>
      </c>
      <c r="Q416" s="3211" t="e">
        <f t="shared" si="39"/>
        <v>#N/A</v>
      </c>
    </row>
    <row r="417" spans="1:17">
      <c r="A417" s="63">
        <f t="shared" si="40"/>
        <v>2026.12</v>
      </c>
      <c r="B417" s="866" t="e">
        <f t="shared" si="36"/>
        <v>#N/A</v>
      </c>
      <c r="C417" s="2165" t="e">
        <f t="shared" si="37"/>
        <v>#N/A</v>
      </c>
      <c r="D417" s="481" t="e">
        <v>#N/A</v>
      </c>
      <c r="E417" s="3162" t="e">
        <v>#N/A</v>
      </c>
      <c r="F417" s="180" t="e">
        <v>#N/A</v>
      </c>
      <c r="G417" s="2169" t="e">
        <v>#N/A</v>
      </c>
      <c r="H417" s="877" t="e">
        <v>#N/A</v>
      </c>
      <c r="I417" s="3162" t="e">
        <v>#N/A</v>
      </c>
      <c r="J417" s="884" t="e">
        <v>#N/A</v>
      </c>
      <c r="K417" s="180" t="e">
        <v>#N/A</v>
      </c>
      <c r="L417" s="2167" t="e">
        <f t="shared" si="38"/>
        <v>#N/A</v>
      </c>
      <c r="M417" s="877" t="e">
        <v>#N/A</v>
      </c>
      <c r="N417" s="180" t="e">
        <v>#N/A</v>
      </c>
      <c r="O417" s="3162" t="e">
        <v>#N/A</v>
      </c>
      <c r="P417" s="180" t="e">
        <v>#N/A</v>
      </c>
      <c r="Q417" s="3211" t="e">
        <f t="shared" si="39"/>
        <v>#N/A</v>
      </c>
    </row>
    <row r="418" spans="1:17">
      <c r="A418" s="63">
        <f t="shared" si="40"/>
        <v>2027.01</v>
      </c>
      <c r="B418" s="866" t="e">
        <f t="shared" si="36"/>
        <v>#N/A</v>
      </c>
      <c r="C418" s="2165" t="e">
        <f t="shared" si="37"/>
        <v>#N/A</v>
      </c>
      <c r="D418" s="481" t="e">
        <v>#N/A</v>
      </c>
      <c r="E418" s="3162" t="e">
        <v>#N/A</v>
      </c>
      <c r="F418" s="180" t="e">
        <v>#N/A</v>
      </c>
      <c r="G418" s="2169" t="e">
        <v>#N/A</v>
      </c>
      <c r="H418" s="877" t="e">
        <v>#N/A</v>
      </c>
      <c r="I418" s="3162" t="e">
        <v>#N/A</v>
      </c>
      <c r="J418" s="884" t="e">
        <v>#N/A</v>
      </c>
      <c r="K418" s="180" t="e">
        <v>#N/A</v>
      </c>
      <c r="L418" s="2167" t="e">
        <f t="shared" si="38"/>
        <v>#N/A</v>
      </c>
      <c r="M418" s="877" t="e">
        <v>#N/A</v>
      </c>
      <c r="N418" s="180" t="e">
        <v>#N/A</v>
      </c>
      <c r="O418" s="3162" t="e">
        <v>#N/A</v>
      </c>
      <c r="P418" s="180" t="e">
        <v>#N/A</v>
      </c>
      <c r="Q418" s="3211" t="e">
        <f t="shared" si="39"/>
        <v>#N/A</v>
      </c>
    </row>
    <row r="419" spans="1:17">
      <c r="A419" s="63">
        <f t="shared" si="40"/>
        <v>2027.02</v>
      </c>
      <c r="B419" s="866" t="e">
        <f t="shared" si="36"/>
        <v>#N/A</v>
      </c>
      <c r="C419" s="2165" t="e">
        <f t="shared" si="37"/>
        <v>#N/A</v>
      </c>
      <c r="D419" s="481" t="e">
        <v>#N/A</v>
      </c>
      <c r="E419" s="3162" t="e">
        <v>#N/A</v>
      </c>
      <c r="F419" s="180" t="e">
        <v>#N/A</v>
      </c>
      <c r="G419" s="2169" t="e">
        <v>#N/A</v>
      </c>
      <c r="H419" s="877" t="e">
        <v>#N/A</v>
      </c>
      <c r="I419" s="3162" t="e">
        <v>#N/A</v>
      </c>
      <c r="J419" s="884" t="e">
        <v>#N/A</v>
      </c>
      <c r="K419" s="180" t="e">
        <v>#N/A</v>
      </c>
      <c r="L419" s="2167" t="e">
        <f t="shared" si="38"/>
        <v>#N/A</v>
      </c>
      <c r="M419" s="877" t="e">
        <v>#N/A</v>
      </c>
      <c r="N419" s="180" t="e">
        <v>#N/A</v>
      </c>
      <c r="O419" s="3162" t="e">
        <v>#N/A</v>
      </c>
      <c r="P419" s="180" t="e">
        <v>#N/A</v>
      </c>
      <c r="Q419" s="3211" t="e">
        <f t="shared" si="39"/>
        <v>#N/A</v>
      </c>
    </row>
    <row r="420" spans="1:17">
      <c r="A420" s="63">
        <f t="shared" si="40"/>
        <v>2027.03</v>
      </c>
      <c r="B420" s="866" t="e">
        <f t="shared" si="36"/>
        <v>#N/A</v>
      </c>
      <c r="C420" s="2165" t="e">
        <f t="shared" si="37"/>
        <v>#N/A</v>
      </c>
      <c r="D420" s="481" t="e">
        <v>#N/A</v>
      </c>
      <c r="E420" s="3162" t="e">
        <v>#N/A</v>
      </c>
      <c r="F420" s="180" t="e">
        <v>#N/A</v>
      </c>
      <c r="G420" s="2169" t="e">
        <v>#N/A</v>
      </c>
      <c r="H420" s="877" t="e">
        <v>#N/A</v>
      </c>
      <c r="I420" s="3162" t="e">
        <v>#N/A</v>
      </c>
      <c r="J420" s="884" t="e">
        <v>#N/A</v>
      </c>
      <c r="K420" s="180" t="e">
        <v>#N/A</v>
      </c>
      <c r="L420" s="2167" t="e">
        <f t="shared" si="38"/>
        <v>#N/A</v>
      </c>
      <c r="M420" s="877" t="e">
        <v>#N/A</v>
      </c>
      <c r="N420" s="180" t="e">
        <v>#N/A</v>
      </c>
      <c r="O420" s="3162" t="e">
        <v>#N/A</v>
      </c>
      <c r="P420" s="180" t="e">
        <v>#N/A</v>
      </c>
      <c r="Q420" s="3211" t="e">
        <f t="shared" si="39"/>
        <v>#N/A</v>
      </c>
    </row>
    <row r="421" spans="1:17">
      <c r="A421" s="63">
        <f t="shared" si="40"/>
        <v>2027.04</v>
      </c>
      <c r="B421" s="866" t="e">
        <f t="shared" si="36"/>
        <v>#N/A</v>
      </c>
      <c r="C421" s="2165" t="e">
        <f t="shared" si="37"/>
        <v>#N/A</v>
      </c>
      <c r="D421" s="481" t="e">
        <v>#N/A</v>
      </c>
      <c r="E421" s="3162" t="e">
        <v>#N/A</v>
      </c>
      <c r="F421" s="180" t="e">
        <v>#N/A</v>
      </c>
      <c r="G421" s="2169" t="e">
        <v>#N/A</v>
      </c>
      <c r="H421" s="877" t="e">
        <v>#N/A</v>
      </c>
      <c r="I421" s="3162" t="e">
        <v>#N/A</v>
      </c>
      <c r="J421" s="884" t="e">
        <v>#N/A</v>
      </c>
      <c r="K421" s="180" t="e">
        <v>#N/A</v>
      </c>
      <c r="L421" s="2167" t="e">
        <f t="shared" si="38"/>
        <v>#N/A</v>
      </c>
      <c r="M421" s="877" t="e">
        <v>#N/A</v>
      </c>
      <c r="N421" s="180" t="e">
        <v>#N/A</v>
      </c>
      <c r="O421" s="3162" t="e">
        <v>#N/A</v>
      </c>
      <c r="P421" s="180" t="e">
        <v>#N/A</v>
      </c>
      <c r="Q421" s="3211" t="e">
        <f t="shared" si="39"/>
        <v>#N/A</v>
      </c>
    </row>
    <row r="422" spans="1:17">
      <c r="A422" s="63">
        <f t="shared" si="40"/>
        <v>2027.05</v>
      </c>
      <c r="B422" s="866" t="e">
        <f t="shared" si="36"/>
        <v>#N/A</v>
      </c>
      <c r="C422" s="2165" t="e">
        <f t="shared" si="37"/>
        <v>#N/A</v>
      </c>
      <c r="D422" s="481" t="e">
        <v>#N/A</v>
      </c>
      <c r="E422" s="3162" t="e">
        <v>#N/A</v>
      </c>
      <c r="F422" s="180" t="e">
        <v>#N/A</v>
      </c>
      <c r="G422" s="2169" t="e">
        <v>#N/A</v>
      </c>
      <c r="H422" s="877" t="e">
        <v>#N/A</v>
      </c>
      <c r="I422" s="3162" t="e">
        <v>#N/A</v>
      </c>
      <c r="J422" s="884" t="e">
        <v>#N/A</v>
      </c>
      <c r="K422" s="180" t="e">
        <v>#N/A</v>
      </c>
      <c r="L422" s="2167" t="e">
        <f t="shared" si="38"/>
        <v>#N/A</v>
      </c>
      <c r="M422" s="877" t="e">
        <v>#N/A</v>
      </c>
      <c r="N422" s="180" t="e">
        <v>#N/A</v>
      </c>
      <c r="O422" s="3162" t="e">
        <v>#N/A</v>
      </c>
      <c r="P422" s="180" t="e">
        <v>#N/A</v>
      </c>
      <c r="Q422" s="3211" t="e">
        <f t="shared" si="39"/>
        <v>#N/A</v>
      </c>
    </row>
    <row r="423" spans="1:17">
      <c r="A423" s="63">
        <f t="shared" si="40"/>
        <v>2027.06</v>
      </c>
      <c r="B423" s="866" t="e">
        <f t="shared" si="36"/>
        <v>#N/A</v>
      </c>
      <c r="C423" s="2165" t="e">
        <f t="shared" si="37"/>
        <v>#N/A</v>
      </c>
      <c r="D423" s="481" t="e">
        <v>#N/A</v>
      </c>
      <c r="E423" s="3162" t="e">
        <v>#N/A</v>
      </c>
      <c r="F423" s="180" t="e">
        <v>#N/A</v>
      </c>
      <c r="G423" s="2169" t="e">
        <v>#N/A</v>
      </c>
      <c r="H423" s="877" t="e">
        <v>#N/A</v>
      </c>
      <c r="I423" s="3162" t="e">
        <v>#N/A</v>
      </c>
      <c r="J423" s="884" t="e">
        <v>#N/A</v>
      </c>
      <c r="K423" s="180" t="e">
        <v>#N/A</v>
      </c>
      <c r="L423" s="2167" t="e">
        <f t="shared" si="38"/>
        <v>#N/A</v>
      </c>
      <c r="M423" s="877" t="e">
        <v>#N/A</v>
      </c>
      <c r="N423" s="180" t="e">
        <v>#N/A</v>
      </c>
      <c r="O423" s="3162" t="e">
        <v>#N/A</v>
      </c>
      <c r="P423" s="180" t="e">
        <v>#N/A</v>
      </c>
      <c r="Q423" s="3211" t="e">
        <f t="shared" si="39"/>
        <v>#N/A</v>
      </c>
    </row>
    <row r="424" spans="1:17">
      <c r="A424" s="63">
        <f t="shared" si="40"/>
        <v>2027.07</v>
      </c>
      <c r="B424" s="866" t="e">
        <f t="shared" si="36"/>
        <v>#N/A</v>
      </c>
      <c r="C424" s="2165" t="e">
        <f t="shared" si="37"/>
        <v>#N/A</v>
      </c>
      <c r="D424" s="481" t="e">
        <v>#N/A</v>
      </c>
      <c r="E424" s="3162" t="e">
        <v>#N/A</v>
      </c>
      <c r="F424" s="180" t="e">
        <v>#N/A</v>
      </c>
      <c r="G424" s="2169" t="e">
        <v>#N/A</v>
      </c>
      <c r="H424" s="877" t="e">
        <v>#N/A</v>
      </c>
      <c r="I424" s="3162" t="e">
        <v>#N/A</v>
      </c>
      <c r="J424" s="884" t="e">
        <v>#N/A</v>
      </c>
      <c r="K424" s="180" t="e">
        <v>#N/A</v>
      </c>
      <c r="L424" s="2167" t="e">
        <f t="shared" si="38"/>
        <v>#N/A</v>
      </c>
      <c r="M424" s="877" t="e">
        <v>#N/A</v>
      </c>
      <c r="N424" s="180" t="e">
        <v>#N/A</v>
      </c>
      <c r="O424" s="3162" t="e">
        <v>#N/A</v>
      </c>
      <c r="P424" s="180" t="e">
        <v>#N/A</v>
      </c>
      <c r="Q424" s="3211" t="e">
        <f t="shared" si="39"/>
        <v>#N/A</v>
      </c>
    </row>
    <row r="425" spans="1:17">
      <c r="A425" s="63">
        <f t="shared" si="40"/>
        <v>2027.08</v>
      </c>
      <c r="B425" s="866" t="e">
        <f t="shared" si="36"/>
        <v>#N/A</v>
      </c>
      <c r="C425" s="2165" t="e">
        <f t="shared" si="37"/>
        <v>#N/A</v>
      </c>
      <c r="D425" s="481" t="e">
        <v>#N/A</v>
      </c>
      <c r="E425" s="3162" t="e">
        <v>#N/A</v>
      </c>
      <c r="F425" s="180" t="e">
        <v>#N/A</v>
      </c>
      <c r="G425" s="2169" t="e">
        <v>#N/A</v>
      </c>
      <c r="H425" s="877" t="e">
        <v>#N/A</v>
      </c>
      <c r="I425" s="3162" t="e">
        <v>#N/A</v>
      </c>
      <c r="J425" s="884" t="e">
        <v>#N/A</v>
      </c>
      <c r="K425" s="180" t="e">
        <v>#N/A</v>
      </c>
      <c r="L425" s="2167" t="e">
        <f t="shared" si="38"/>
        <v>#N/A</v>
      </c>
      <c r="M425" s="877" t="e">
        <v>#N/A</v>
      </c>
      <c r="N425" s="180" t="e">
        <v>#N/A</v>
      </c>
      <c r="O425" s="3162" t="e">
        <v>#N/A</v>
      </c>
      <c r="P425" s="180" t="e">
        <v>#N/A</v>
      </c>
      <c r="Q425" s="3211" t="e">
        <f t="shared" si="39"/>
        <v>#N/A</v>
      </c>
    </row>
    <row r="426" spans="1:17">
      <c r="A426" s="63">
        <f t="shared" si="40"/>
        <v>2027.09</v>
      </c>
      <c r="B426" s="866" t="e">
        <f t="shared" si="36"/>
        <v>#N/A</v>
      </c>
      <c r="C426" s="2165" t="e">
        <f t="shared" si="37"/>
        <v>#N/A</v>
      </c>
      <c r="D426" s="481" t="e">
        <v>#N/A</v>
      </c>
      <c r="E426" s="3162" t="e">
        <v>#N/A</v>
      </c>
      <c r="F426" s="180" t="e">
        <v>#N/A</v>
      </c>
      <c r="G426" s="2169" t="e">
        <v>#N/A</v>
      </c>
      <c r="H426" s="877" t="e">
        <v>#N/A</v>
      </c>
      <c r="I426" s="3162" t="e">
        <v>#N/A</v>
      </c>
      <c r="J426" s="884" t="e">
        <v>#N/A</v>
      </c>
      <c r="K426" s="180" t="e">
        <v>#N/A</v>
      </c>
      <c r="L426" s="2167" t="e">
        <f t="shared" si="38"/>
        <v>#N/A</v>
      </c>
      <c r="M426" s="877" t="e">
        <v>#N/A</v>
      </c>
      <c r="N426" s="180" t="e">
        <v>#N/A</v>
      </c>
      <c r="O426" s="3162" t="e">
        <v>#N/A</v>
      </c>
      <c r="P426" s="180" t="e">
        <v>#N/A</v>
      </c>
      <c r="Q426" s="3211" t="e">
        <f t="shared" si="39"/>
        <v>#N/A</v>
      </c>
    </row>
    <row r="427" spans="1:17">
      <c r="A427" s="63">
        <f t="shared" si="40"/>
        <v>2027.1</v>
      </c>
      <c r="B427" s="866" t="e">
        <f t="shared" si="36"/>
        <v>#N/A</v>
      </c>
      <c r="C427" s="2165" t="e">
        <f t="shared" si="37"/>
        <v>#N/A</v>
      </c>
      <c r="D427" s="481" t="e">
        <v>#N/A</v>
      </c>
      <c r="E427" s="3162" t="e">
        <v>#N/A</v>
      </c>
      <c r="F427" s="180" t="e">
        <v>#N/A</v>
      </c>
      <c r="G427" s="2169" t="e">
        <v>#N/A</v>
      </c>
      <c r="H427" s="877" t="e">
        <v>#N/A</v>
      </c>
      <c r="I427" s="3162" t="e">
        <v>#N/A</v>
      </c>
      <c r="J427" s="884" t="e">
        <v>#N/A</v>
      </c>
      <c r="K427" s="180" t="e">
        <v>#N/A</v>
      </c>
      <c r="L427" s="2167" t="e">
        <f t="shared" si="38"/>
        <v>#N/A</v>
      </c>
      <c r="M427" s="877" t="e">
        <v>#N/A</v>
      </c>
      <c r="N427" s="180" t="e">
        <v>#N/A</v>
      </c>
      <c r="O427" s="3162" t="e">
        <v>#N/A</v>
      </c>
      <c r="P427" s="180" t="e">
        <v>#N/A</v>
      </c>
      <c r="Q427" s="3211" t="e">
        <f t="shared" si="39"/>
        <v>#N/A</v>
      </c>
    </row>
    <row r="428" spans="1:17">
      <c r="A428" s="63">
        <f t="shared" si="40"/>
        <v>2027.11</v>
      </c>
      <c r="B428" s="866" t="e">
        <f t="shared" si="36"/>
        <v>#N/A</v>
      </c>
      <c r="C428" s="2165" t="e">
        <f t="shared" si="37"/>
        <v>#N/A</v>
      </c>
      <c r="D428" s="481" t="e">
        <v>#N/A</v>
      </c>
      <c r="E428" s="3162" t="e">
        <v>#N/A</v>
      </c>
      <c r="F428" s="180" t="e">
        <v>#N/A</v>
      </c>
      <c r="G428" s="2169" t="e">
        <v>#N/A</v>
      </c>
      <c r="H428" s="877" t="e">
        <v>#N/A</v>
      </c>
      <c r="I428" s="3162" t="e">
        <v>#N/A</v>
      </c>
      <c r="J428" s="884" t="e">
        <v>#N/A</v>
      </c>
      <c r="K428" s="180" t="e">
        <v>#N/A</v>
      </c>
      <c r="L428" s="2167" t="e">
        <f t="shared" si="38"/>
        <v>#N/A</v>
      </c>
      <c r="M428" s="877" t="e">
        <v>#N/A</v>
      </c>
      <c r="N428" s="180" t="e">
        <v>#N/A</v>
      </c>
      <c r="O428" s="3162" t="e">
        <v>#N/A</v>
      </c>
      <c r="P428" s="180" t="e">
        <v>#N/A</v>
      </c>
      <c r="Q428" s="3211" t="e">
        <f t="shared" si="39"/>
        <v>#N/A</v>
      </c>
    </row>
    <row r="429" spans="1:17">
      <c r="A429" s="63">
        <f t="shared" si="40"/>
        <v>2027.12</v>
      </c>
      <c r="B429" s="866" t="e">
        <f t="shared" si="36"/>
        <v>#N/A</v>
      </c>
      <c r="C429" s="2165" t="e">
        <f t="shared" si="37"/>
        <v>#N/A</v>
      </c>
      <c r="D429" s="481" t="e">
        <v>#N/A</v>
      </c>
      <c r="E429" s="3162" t="e">
        <v>#N/A</v>
      </c>
      <c r="F429" s="180" t="e">
        <v>#N/A</v>
      </c>
      <c r="G429" s="2169" t="e">
        <v>#N/A</v>
      </c>
      <c r="H429" s="877" t="e">
        <v>#N/A</v>
      </c>
      <c r="I429" s="3162" t="e">
        <v>#N/A</v>
      </c>
      <c r="J429" s="884" t="e">
        <v>#N/A</v>
      </c>
      <c r="K429" s="180" t="e">
        <v>#N/A</v>
      </c>
      <c r="L429" s="2167" t="e">
        <f t="shared" si="38"/>
        <v>#N/A</v>
      </c>
      <c r="M429" s="877" t="e">
        <v>#N/A</v>
      </c>
      <c r="N429" s="180" t="e">
        <v>#N/A</v>
      </c>
      <c r="O429" s="3162" t="e">
        <v>#N/A</v>
      </c>
      <c r="P429" s="180" t="e">
        <v>#N/A</v>
      </c>
      <c r="Q429" s="3211" t="e">
        <f t="shared" si="39"/>
        <v>#N/A</v>
      </c>
    </row>
    <row r="430" spans="1:17">
      <c r="A430" s="63">
        <f t="shared" si="40"/>
        <v>2028.01</v>
      </c>
      <c r="B430" s="866" t="e">
        <f t="shared" si="36"/>
        <v>#N/A</v>
      </c>
      <c r="C430" s="2165" t="e">
        <f t="shared" si="37"/>
        <v>#N/A</v>
      </c>
      <c r="D430" s="481" t="e">
        <v>#N/A</v>
      </c>
      <c r="E430" s="3162" t="e">
        <v>#N/A</v>
      </c>
      <c r="F430" s="180" t="e">
        <v>#N/A</v>
      </c>
      <c r="G430" s="2169" t="e">
        <v>#N/A</v>
      </c>
      <c r="H430" s="877" t="e">
        <v>#N/A</v>
      </c>
      <c r="I430" s="3162" t="e">
        <v>#N/A</v>
      </c>
      <c r="J430" s="884" t="e">
        <v>#N/A</v>
      </c>
      <c r="K430" s="180" t="e">
        <v>#N/A</v>
      </c>
      <c r="L430" s="2167" t="e">
        <f t="shared" si="38"/>
        <v>#N/A</v>
      </c>
      <c r="M430" s="877" t="e">
        <v>#N/A</v>
      </c>
      <c r="N430" s="180" t="e">
        <v>#N/A</v>
      </c>
      <c r="O430" s="3162" t="e">
        <v>#N/A</v>
      </c>
      <c r="P430" s="180" t="e">
        <v>#N/A</v>
      </c>
      <c r="Q430" s="3211" t="e">
        <f t="shared" si="39"/>
        <v>#N/A</v>
      </c>
    </row>
    <row r="431" spans="1:17">
      <c r="A431" s="63">
        <f t="shared" si="40"/>
        <v>2028.02</v>
      </c>
      <c r="B431" s="866" t="e">
        <f t="shared" si="36"/>
        <v>#N/A</v>
      </c>
      <c r="C431" s="2165" t="e">
        <f t="shared" si="37"/>
        <v>#N/A</v>
      </c>
      <c r="D431" s="481" t="e">
        <v>#N/A</v>
      </c>
      <c r="E431" s="3162" t="e">
        <v>#N/A</v>
      </c>
      <c r="F431" s="180" t="e">
        <v>#N/A</v>
      </c>
      <c r="G431" s="2169" t="e">
        <v>#N/A</v>
      </c>
      <c r="H431" s="877" t="e">
        <v>#N/A</v>
      </c>
      <c r="I431" s="3162" t="e">
        <v>#N/A</v>
      </c>
      <c r="J431" s="884" t="e">
        <v>#N/A</v>
      </c>
      <c r="K431" s="180" t="e">
        <v>#N/A</v>
      </c>
      <c r="L431" s="2167" t="e">
        <f t="shared" si="38"/>
        <v>#N/A</v>
      </c>
      <c r="M431" s="877" t="e">
        <v>#N/A</v>
      </c>
      <c r="N431" s="180" t="e">
        <v>#N/A</v>
      </c>
      <c r="O431" s="3162" t="e">
        <v>#N/A</v>
      </c>
      <c r="P431" s="180" t="e">
        <v>#N/A</v>
      </c>
      <c r="Q431" s="3211" t="e">
        <f t="shared" si="39"/>
        <v>#N/A</v>
      </c>
    </row>
    <row r="432" spans="1:17">
      <c r="A432" s="63">
        <f t="shared" si="40"/>
        <v>2028.03</v>
      </c>
      <c r="B432" s="866" t="e">
        <f t="shared" si="36"/>
        <v>#N/A</v>
      </c>
      <c r="C432" s="2165" t="e">
        <f t="shared" si="37"/>
        <v>#N/A</v>
      </c>
      <c r="D432" s="481" t="e">
        <v>#N/A</v>
      </c>
      <c r="E432" s="3162" t="e">
        <v>#N/A</v>
      </c>
      <c r="F432" s="180" t="e">
        <v>#N/A</v>
      </c>
      <c r="G432" s="2169" t="e">
        <v>#N/A</v>
      </c>
      <c r="H432" s="877" t="e">
        <v>#N/A</v>
      </c>
      <c r="I432" s="3162" t="e">
        <v>#N/A</v>
      </c>
      <c r="J432" s="884" t="e">
        <v>#N/A</v>
      </c>
      <c r="K432" s="180" t="e">
        <v>#N/A</v>
      </c>
      <c r="L432" s="2167" t="e">
        <f t="shared" si="38"/>
        <v>#N/A</v>
      </c>
      <c r="M432" s="877" t="e">
        <v>#N/A</v>
      </c>
      <c r="N432" s="180" t="e">
        <v>#N/A</v>
      </c>
      <c r="O432" s="3162" t="e">
        <v>#N/A</v>
      </c>
      <c r="P432" s="180" t="e">
        <v>#N/A</v>
      </c>
      <c r="Q432" s="3211" t="e">
        <f t="shared" si="39"/>
        <v>#N/A</v>
      </c>
    </row>
    <row r="433" spans="1:17">
      <c r="A433" s="63">
        <f t="shared" si="40"/>
        <v>2028.04</v>
      </c>
      <c r="B433" s="866" t="e">
        <f t="shared" si="36"/>
        <v>#N/A</v>
      </c>
      <c r="C433" s="2165" t="e">
        <f t="shared" si="37"/>
        <v>#N/A</v>
      </c>
      <c r="D433" s="481" t="e">
        <v>#N/A</v>
      </c>
      <c r="E433" s="3162" t="e">
        <v>#N/A</v>
      </c>
      <c r="F433" s="180" t="e">
        <v>#N/A</v>
      </c>
      <c r="G433" s="2169" t="e">
        <v>#N/A</v>
      </c>
      <c r="H433" s="877" t="e">
        <v>#N/A</v>
      </c>
      <c r="I433" s="3162" t="e">
        <v>#N/A</v>
      </c>
      <c r="J433" s="884" t="e">
        <v>#N/A</v>
      </c>
      <c r="K433" s="180" t="e">
        <v>#N/A</v>
      </c>
      <c r="L433" s="2167" t="e">
        <f t="shared" si="38"/>
        <v>#N/A</v>
      </c>
      <c r="M433" s="877" t="e">
        <v>#N/A</v>
      </c>
      <c r="N433" s="180" t="e">
        <v>#N/A</v>
      </c>
      <c r="O433" s="3162" t="e">
        <v>#N/A</v>
      </c>
      <c r="P433" s="180" t="e">
        <v>#N/A</v>
      </c>
      <c r="Q433" s="3211" t="e">
        <f t="shared" si="39"/>
        <v>#N/A</v>
      </c>
    </row>
    <row r="434" spans="1:17">
      <c r="A434" s="63">
        <f t="shared" si="40"/>
        <v>2028.05</v>
      </c>
      <c r="B434" s="866" t="e">
        <f t="shared" ref="B434:B465" si="41">L434</f>
        <v>#N/A</v>
      </c>
      <c r="C434" s="2165" t="e">
        <f t="shared" ref="C434:C465" si="42">Q434</f>
        <v>#N/A</v>
      </c>
      <c r="D434" s="481" t="e">
        <v>#N/A</v>
      </c>
      <c r="E434" s="3162" t="e">
        <v>#N/A</v>
      </c>
      <c r="F434" s="180" t="e">
        <v>#N/A</v>
      </c>
      <c r="G434" s="2169" t="e">
        <v>#N/A</v>
      </c>
      <c r="H434" s="877" t="e">
        <v>#N/A</v>
      </c>
      <c r="I434" s="3162" t="e">
        <v>#N/A</v>
      </c>
      <c r="J434" s="884" t="e">
        <v>#N/A</v>
      </c>
      <c r="K434" s="180" t="e">
        <v>#N/A</v>
      </c>
      <c r="L434" s="2167" t="e">
        <f t="shared" ref="L434:L465" si="43">SUM(H434:K434)</f>
        <v>#N/A</v>
      </c>
      <c r="M434" s="877" t="e">
        <v>#N/A</v>
      </c>
      <c r="N434" s="180" t="e">
        <v>#N/A</v>
      </c>
      <c r="O434" s="3162" t="e">
        <v>#N/A</v>
      </c>
      <c r="P434" s="180" t="e">
        <v>#N/A</v>
      </c>
      <c r="Q434" s="3211" t="e">
        <f t="shared" ref="Q434:Q465" si="44">SUM(M434:P434)</f>
        <v>#N/A</v>
      </c>
    </row>
    <row r="435" spans="1:17">
      <c r="A435" s="63">
        <f t="shared" si="40"/>
        <v>2028.06</v>
      </c>
      <c r="B435" s="866" t="e">
        <f t="shared" si="41"/>
        <v>#N/A</v>
      </c>
      <c r="C435" s="2165" t="e">
        <f t="shared" si="42"/>
        <v>#N/A</v>
      </c>
      <c r="D435" s="481" t="e">
        <v>#N/A</v>
      </c>
      <c r="E435" s="3162" t="e">
        <v>#N/A</v>
      </c>
      <c r="F435" s="180" t="e">
        <v>#N/A</v>
      </c>
      <c r="G435" s="2169" t="e">
        <v>#N/A</v>
      </c>
      <c r="H435" s="877" t="e">
        <v>#N/A</v>
      </c>
      <c r="I435" s="3162" t="e">
        <v>#N/A</v>
      </c>
      <c r="J435" s="884" t="e">
        <v>#N/A</v>
      </c>
      <c r="K435" s="180" t="e">
        <v>#N/A</v>
      </c>
      <c r="L435" s="2167" t="e">
        <f t="shared" si="43"/>
        <v>#N/A</v>
      </c>
      <c r="M435" s="877" t="e">
        <v>#N/A</v>
      </c>
      <c r="N435" s="180" t="e">
        <v>#N/A</v>
      </c>
      <c r="O435" s="3162" t="e">
        <v>#N/A</v>
      </c>
      <c r="P435" s="180" t="e">
        <v>#N/A</v>
      </c>
      <c r="Q435" s="3211" t="e">
        <f t="shared" si="44"/>
        <v>#N/A</v>
      </c>
    </row>
    <row r="436" spans="1:17">
      <c r="A436" s="63">
        <f t="shared" si="40"/>
        <v>2028.07</v>
      </c>
      <c r="B436" s="866" t="e">
        <f t="shared" si="41"/>
        <v>#N/A</v>
      </c>
      <c r="C436" s="2165" t="e">
        <f t="shared" si="42"/>
        <v>#N/A</v>
      </c>
      <c r="D436" s="481" t="e">
        <v>#N/A</v>
      </c>
      <c r="E436" s="3162" t="e">
        <v>#N/A</v>
      </c>
      <c r="F436" s="180" t="e">
        <v>#N/A</v>
      </c>
      <c r="G436" s="2169" t="e">
        <v>#N/A</v>
      </c>
      <c r="H436" s="877" t="e">
        <v>#N/A</v>
      </c>
      <c r="I436" s="3162" t="e">
        <v>#N/A</v>
      </c>
      <c r="J436" s="884" t="e">
        <v>#N/A</v>
      </c>
      <c r="K436" s="180" t="e">
        <v>#N/A</v>
      </c>
      <c r="L436" s="2167" t="e">
        <f t="shared" si="43"/>
        <v>#N/A</v>
      </c>
      <c r="M436" s="877" t="e">
        <v>#N/A</v>
      </c>
      <c r="N436" s="180" t="e">
        <v>#N/A</v>
      </c>
      <c r="O436" s="3162" t="e">
        <v>#N/A</v>
      </c>
      <c r="P436" s="180" t="e">
        <v>#N/A</v>
      </c>
      <c r="Q436" s="3211" t="e">
        <f t="shared" si="44"/>
        <v>#N/A</v>
      </c>
    </row>
    <row r="437" spans="1:17">
      <c r="A437" s="63">
        <f t="shared" si="40"/>
        <v>2028.08</v>
      </c>
      <c r="B437" s="866" t="e">
        <f t="shared" si="41"/>
        <v>#N/A</v>
      </c>
      <c r="C437" s="2165" t="e">
        <f t="shared" si="42"/>
        <v>#N/A</v>
      </c>
      <c r="D437" s="481" t="e">
        <v>#N/A</v>
      </c>
      <c r="E437" s="3162" t="e">
        <v>#N/A</v>
      </c>
      <c r="F437" s="180" t="e">
        <v>#N/A</v>
      </c>
      <c r="G437" s="2169" t="e">
        <v>#N/A</v>
      </c>
      <c r="H437" s="877" t="e">
        <v>#N/A</v>
      </c>
      <c r="I437" s="3162" t="e">
        <v>#N/A</v>
      </c>
      <c r="J437" s="884" t="e">
        <v>#N/A</v>
      </c>
      <c r="K437" s="180" t="e">
        <v>#N/A</v>
      </c>
      <c r="L437" s="2167" t="e">
        <f t="shared" si="43"/>
        <v>#N/A</v>
      </c>
      <c r="M437" s="877" t="e">
        <v>#N/A</v>
      </c>
      <c r="N437" s="180" t="e">
        <v>#N/A</v>
      </c>
      <c r="O437" s="3162" t="e">
        <v>#N/A</v>
      </c>
      <c r="P437" s="180" t="e">
        <v>#N/A</v>
      </c>
      <c r="Q437" s="3211" t="e">
        <f t="shared" si="44"/>
        <v>#N/A</v>
      </c>
    </row>
    <row r="438" spans="1:17">
      <c r="A438" s="63">
        <f t="shared" si="40"/>
        <v>2028.09</v>
      </c>
      <c r="B438" s="866" t="e">
        <f t="shared" si="41"/>
        <v>#N/A</v>
      </c>
      <c r="C438" s="2165" t="e">
        <f t="shared" si="42"/>
        <v>#N/A</v>
      </c>
      <c r="D438" s="481" t="e">
        <v>#N/A</v>
      </c>
      <c r="E438" s="3162" t="e">
        <v>#N/A</v>
      </c>
      <c r="F438" s="180" t="e">
        <v>#N/A</v>
      </c>
      <c r="G438" s="2169" t="e">
        <v>#N/A</v>
      </c>
      <c r="H438" s="877" t="e">
        <v>#N/A</v>
      </c>
      <c r="I438" s="3162" t="e">
        <v>#N/A</v>
      </c>
      <c r="J438" s="884" t="e">
        <v>#N/A</v>
      </c>
      <c r="K438" s="180" t="e">
        <v>#N/A</v>
      </c>
      <c r="L438" s="2167" t="e">
        <f t="shared" si="43"/>
        <v>#N/A</v>
      </c>
      <c r="M438" s="877" t="e">
        <v>#N/A</v>
      </c>
      <c r="N438" s="180" t="e">
        <v>#N/A</v>
      </c>
      <c r="O438" s="3162" t="e">
        <v>#N/A</v>
      </c>
      <c r="P438" s="180" t="e">
        <v>#N/A</v>
      </c>
      <c r="Q438" s="3211" t="e">
        <f t="shared" si="44"/>
        <v>#N/A</v>
      </c>
    </row>
    <row r="439" spans="1:17">
      <c r="A439" s="63">
        <f t="shared" si="40"/>
        <v>2028.1</v>
      </c>
      <c r="B439" s="866" t="e">
        <f t="shared" si="41"/>
        <v>#N/A</v>
      </c>
      <c r="C439" s="2165" t="e">
        <f t="shared" si="42"/>
        <v>#N/A</v>
      </c>
      <c r="D439" s="481" t="e">
        <v>#N/A</v>
      </c>
      <c r="E439" s="3162" t="e">
        <v>#N/A</v>
      </c>
      <c r="F439" s="180" t="e">
        <v>#N/A</v>
      </c>
      <c r="G439" s="2169" t="e">
        <v>#N/A</v>
      </c>
      <c r="H439" s="877" t="e">
        <v>#N/A</v>
      </c>
      <c r="I439" s="3162" t="e">
        <v>#N/A</v>
      </c>
      <c r="J439" s="884" t="e">
        <v>#N/A</v>
      </c>
      <c r="K439" s="180" t="e">
        <v>#N/A</v>
      </c>
      <c r="L439" s="2167" t="e">
        <f t="shared" si="43"/>
        <v>#N/A</v>
      </c>
      <c r="M439" s="877" t="e">
        <v>#N/A</v>
      </c>
      <c r="N439" s="180" t="e">
        <v>#N/A</v>
      </c>
      <c r="O439" s="3162" t="e">
        <v>#N/A</v>
      </c>
      <c r="P439" s="180" t="e">
        <v>#N/A</v>
      </c>
      <c r="Q439" s="3211" t="e">
        <f t="shared" si="44"/>
        <v>#N/A</v>
      </c>
    </row>
    <row r="440" spans="1:17">
      <c r="A440" s="63">
        <f t="shared" si="40"/>
        <v>2028.11</v>
      </c>
      <c r="B440" s="866" t="e">
        <f t="shared" si="41"/>
        <v>#N/A</v>
      </c>
      <c r="C440" s="2165" t="e">
        <f t="shared" si="42"/>
        <v>#N/A</v>
      </c>
      <c r="D440" s="481" t="e">
        <v>#N/A</v>
      </c>
      <c r="E440" s="3162" t="e">
        <v>#N/A</v>
      </c>
      <c r="F440" s="180" t="e">
        <v>#N/A</v>
      </c>
      <c r="G440" s="2169" t="e">
        <v>#N/A</v>
      </c>
      <c r="H440" s="877" t="e">
        <v>#N/A</v>
      </c>
      <c r="I440" s="3162" t="e">
        <v>#N/A</v>
      </c>
      <c r="J440" s="884" t="e">
        <v>#N/A</v>
      </c>
      <c r="K440" s="180" t="e">
        <v>#N/A</v>
      </c>
      <c r="L440" s="2167" t="e">
        <f t="shared" si="43"/>
        <v>#N/A</v>
      </c>
      <c r="M440" s="877" t="e">
        <v>#N/A</v>
      </c>
      <c r="N440" s="180" t="e">
        <v>#N/A</v>
      </c>
      <c r="O440" s="3162" t="e">
        <v>#N/A</v>
      </c>
      <c r="P440" s="180" t="e">
        <v>#N/A</v>
      </c>
      <c r="Q440" s="3211" t="e">
        <f t="shared" si="44"/>
        <v>#N/A</v>
      </c>
    </row>
    <row r="441" spans="1:17">
      <c r="A441" s="63">
        <f t="shared" si="40"/>
        <v>2028.12</v>
      </c>
      <c r="B441" s="866" t="e">
        <f t="shared" si="41"/>
        <v>#N/A</v>
      </c>
      <c r="C441" s="2165" t="e">
        <f t="shared" si="42"/>
        <v>#N/A</v>
      </c>
      <c r="D441" s="481" t="e">
        <v>#N/A</v>
      </c>
      <c r="E441" s="3162" t="e">
        <v>#N/A</v>
      </c>
      <c r="F441" s="180" t="e">
        <v>#N/A</v>
      </c>
      <c r="G441" s="2169" t="e">
        <v>#N/A</v>
      </c>
      <c r="H441" s="877" t="e">
        <v>#N/A</v>
      </c>
      <c r="I441" s="3162" t="e">
        <v>#N/A</v>
      </c>
      <c r="J441" s="884" t="e">
        <v>#N/A</v>
      </c>
      <c r="K441" s="180" t="e">
        <v>#N/A</v>
      </c>
      <c r="L441" s="2167" t="e">
        <f t="shared" si="43"/>
        <v>#N/A</v>
      </c>
      <c r="M441" s="877" t="e">
        <v>#N/A</v>
      </c>
      <c r="N441" s="180" t="e">
        <v>#N/A</v>
      </c>
      <c r="O441" s="3162" t="e">
        <v>#N/A</v>
      </c>
      <c r="P441" s="180" t="e">
        <v>#N/A</v>
      </c>
      <c r="Q441" s="3211" t="e">
        <f t="shared" si="44"/>
        <v>#N/A</v>
      </c>
    </row>
    <row r="442" spans="1:17">
      <c r="A442" s="63">
        <f t="shared" si="40"/>
        <v>2029.01</v>
      </c>
      <c r="B442" s="866" t="e">
        <f t="shared" si="41"/>
        <v>#N/A</v>
      </c>
      <c r="C442" s="2165" t="e">
        <f t="shared" si="42"/>
        <v>#N/A</v>
      </c>
      <c r="D442" s="481" t="e">
        <v>#N/A</v>
      </c>
      <c r="E442" s="3162" t="e">
        <v>#N/A</v>
      </c>
      <c r="F442" s="180" t="e">
        <v>#N/A</v>
      </c>
      <c r="G442" s="2169" t="e">
        <v>#N/A</v>
      </c>
      <c r="H442" s="877" t="e">
        <v>#N/A</v>
      </c>
      <c r="I442" s="3162" t="e">
        <v>#N/A</v>
      </c>
      <c r="J442" s="884" t="e">
        <v>#N/A</v>
      </c>
      <c r="K442" s="180" t="e">
        <v>#N/A</v>
      </c>
      <c r="L442" s="2167" t="e">
        <f t="shared" si="43"/>
        <v>#N/A</v>
      </c>
      <c r="M442" s="877" t="e">
        <v>#N/A</v>
      </c>
      <c r="N442" s="180" t="e">
        <v>#N/A</v>
      </c>
      <c r="O442" s="3162" t="e">
        <v>#N/A</v>
      </c>
      <c r="P442" s="180" t="e">
        <v>#N/A</v>
      </c>
      <c r="Q442" s="3211" t="e">
        <f t="shared" si="44"/>
        <v>#N/A</v>
      </c>
    </row>
    <row r="443" spans="1:17">
      <c r="A443" s="63">
        <f t="shared" si="40"/>
        <v>2029.02</v>
      </c>
      <c r="B443" s="866" t="e">
        <f t="shared" si="41"/>
        <v>#N/A</v>
      </c>
      <c r="C443" s="2165" t="e">
        <f t="shared" si="42"/>
        <v>#N/A</v>
      </c>
      <c r="D443" s="481" t="e">
        <v>#N/A</v>
      </c>
      <c r="E443" s="3162" t="e">
        <v>#N/A</v>
      </c>
      <c r="F443" s="180" t="e">
        <v>#N/A</v>
      </c>
      <c r="G443" s="2169" t="e">
        <v>#N/A</v>
      </c>
      <c r="H443" s="877" t="e">
        <v>#N/A</v>
      </c>
      <c r="I443" s="3162" t="e">
        <v>#N/A</v>
      </c>
      <c r="J443" s="884" t="e">
        <v>#N/A</v>
      </c>
      <c r="K443" s="180" t="e">
        <v>#N/A</v>
      </c>
      <c r="L443" s="2167" t="e">
        <f t="shared" si="43"/>
        <v>#N/A</v>
      </c>
      <c r="M443" s="877" t="e">
        <v>#N/A</v>
      </c>
      <c r="N443" s="180" t="e">
        <v>#N/A</v>
      </c>
      <c r="O443" s="3162" t="e">
        <v>#N/A</v>
      </c>
      <c r="P443" s="180" t="e">
        <v>#N/A</v>
      </c>
      <c r="Q443" s="3211" t="e">
        <f t="shared" si="44"/>
        <v>#N/A</v>
      </c>
    </row>
    <row r="444" spans="1:17">
      <c r="A444" s="63">
        <f t="shared" si="40"/>
        <v>2029.03</v>
      </c>
      <c r="B444" s="866" t="e">
        <f t="shared" si="41"/>
        <v>#N/A</v>
      </c>
      <c r="C444" s="2165" t="e">
        <f t="shared" si="42"/>
        <v>#N/A</v>
      </c>
      <c r="D444" s="481" t="e">
        <v>#N/A</v>
      </c>
      <c r="E444" s="3162" t="e">
        <v>#N/A</v>
      </c>
      <c r="F444" s="180" t="e">
        <v>#N/A</v>
      </c>
      <c r="G444" s="2169" t="e">
        <v>#N/A</v>
      </c>
      <c r="H444" s="877" t="e">
        <v>#N/A</v>
      </c>
      <c r="I444" s="3162" t="e">
        <v>#N/A</v>
      </c>
      <c r="J444" s="884" t="e">
        <v>#N/A</v>
      </c>
      <c r="K444" s="180" t="e">
        <v>#N/A</v>
      </c>
      <c r="L444" s="2167" t="e">
        <f t="shared" si="43"/>
        <v>#N/A</v>
      </c>
      <c r="M444" s="877" t="e">
        <v>#N/A</v>
      </c>
      <c r="N444" s="180" t="e">
        <v>#N/A</v>
      </c>
      <c r="O444" s="3162" t="e">
        <v>#N/A</v>
      </c>
      <c r="P444" s="180" t="e">
        <v>#N/A</v>
      </c>
      <c r="Q444" s="3211" t="e">
        <f t="shared" si="44"/>
        <v>#N/A</v>
      </c>
    </row>
    <row r="445" spans="1:17">
      <c r="A445" s="63">
        <f t="shared" si="40"/>
        <v>2029.04</v>
      </c>
      <c r="B445" s="866" t="e">
        <f t="shared" si="41"/>
        <v>#N/A</v>
      </c>
      <c r="C445" s="2165" t="e">
        <f t="shared" si="42"/>
        <v>#N/A</v>
      </c>
      <c r="D445" s="481" t="e">
        <v>#N/A</v>
      </c>
      <c r="E445" s="3162" t="e">
        <v>#N/A</v>
      </c>
      <c r="F445" s="180" t="e">
        <v>#N/A</v>
      </c>
      <c r="G445" s="2169" t="e">
        <v>#N/A</v>
      </c>
      <c r="H445" s="877" t="e">
        <v>#N/A</v>
      </c>
      <c r="I445" s="3162" t="e">
        <v>#N/A</v>
      </c>
      <c r="J445" s="884" t="e">
        <v>#N/A</v>
      </c>
      <c r="K445" s="180" t="e">
        <v>#N/A</v>
      </c>
      <c r="L445" s="2167" t="e">
        <f t="shared" si="43"/>
        <v>#N/A</v>
      </c>
      <c r="M445" s="877" t="e">
        <v>#N/A</v>
      </c>
      <c r="N445" s="180" t="e">
        <v>#N/A</v>
      </c>
      <c r="O445" s="3162" t="e">
        <v>#N/A</v>
      </c>
      <c r="P445" s="180" t="e">
        <v>#N/A</v>
      </c>
      <c r="Q445" s="3211" t="e">
        <f t="shared" si="44"/>
        <v>#N/A</v>
      </c>
    </row>
    <row r="446" spans="1:17">
      <c r="A446" s="63">
        <f t="shared" si="40"/>
        <v>2029.05</v>
      </c>
      <c r="B446" s="866" t="e">
        <f t="shared" si="41"/>
        <v>#N/A</v>
      </c>
      <c r="C446" s="2165" t="e">
        <f t="shared" si="42"/>
        <v>#N/A</v>
      </c>
      <c r="D446" s="481" t="e">
        <v>#N/A</v>
      </c>
      <c r="E446" s="3162" t="e">
        <v>#N/A</v>
      </c>
      <c r="F446" s="180" t="e">
        <v>#N/A</v>
      </c>
      <c r="G446" s="2169" t="e">
        <v>#N/A</v>
      </c>
      <c r="H446" s="877" t="e">
        <v>#N/A</v>
      </c>
      <c r="I446" s="3162" t="e">
        <v>#N/A</v>
      </c>
      <c r="J446" s="884" t="e">
        <v>#N/A</v>
      </c>
      <c r="K446" s="180" t="e">
        <v>#N/A</v>
      </c>
      <c r="L446" s="2167" t="e">
        <f t="shared" si="43"/>
        <v>#N/A</v>
      </c>
      <c r="M446" s="877" t="e">
        <v>#N/A</v>
      </c>
      <c r="N446" s="180" t="e">
        <v>#N/A</v>
      </c>
      <c r="O446" s="3162" t="e">
        <v>#N/A</v>
      </c>
      <c r="P446" s="180" t="e">
        <v>#N/A</v>
      </c>
      <c r="Q446" s="3211" t="e">
        <f t="shared" si="44"/>
        <v>#N/A</v>
      </c>
    </row>
    <row r="447" spans="1:17">
      <c r="A447" s="63">
        <f t="shared" si="40"/>
        <v>2029.06</v>
      </c>
      <c r="B447" s="866" t="e">
        <f t="shared" si="41"/>
        <v>#N/A</v>
      </c>
      <c r="C447" s="2165" t="e">
        <f t="shared" si="42"/>
        <v>#N/A</v>
      </c>
      <c r="D447" s="481" t="e">
        <v>#N/A</v>
      </c>
      <c r="E447" s="3162" t="e">
        <v>#N/A</v>
      </c>
      <c r="F447" s="180" t="e">
        <v>#N/A</v>
      </c>
      <c r="G447" s="2169" t="e">
        <v>#N/A</v>
      </c>
      <c r="H447" s="877" t="e">
        <v>#N/A</v>
      </c>
      <c r="I447" s="3162" t="e">
        <v>#N/A</v>
      </c>
      <c r="J447" s="884" t="e">
        <v>#N/A</v>
      </c>
      <c r="K447" s="180" t="e">
        <v>#N/A</v>
      </c>
      <c r="L447" s="2167" t="e">
        <f t="shared" si="43"/>
        <v>#N/A</v>
      </c>
      <c r="M447" s="877" t="e">
        <v>#N/A</v>
      </c>
      <c r="N447" s="180" t="e">
        <v>#N/A</v>
      </c>
      <c r="O447" s="3162" t="e">
        <v>#N/A</v>
      </c>
      <c r="P447" s="180" t="e">
        <v>#N/A</v>
      </c>
      <c r="Q447" s="3211" t="e">
        <f t="shared" si="44"/>
        <v>#N/A</v>
      </c>
    </row>
    <row r="448" spans="1:17">
      <c r="A448" s="63">
        <f t="shared" si="40"/>
        <v>2029.07</v>
      </c>
      <c r="B448" s="866" t="e">
        <f t="shared" si="41"/>
        <v>#N/A</v>
      </c>
      <c r="C448" s="2165" t="e">
        <f t="shared" si="42"/>
        <v>#N/A</v>
      </c>
      <c r="D448" s="481" t="e">
        <v>#N/A</v>
      </c>
      <c r="E448" s="3162" t="e">
        <v>#N/A</v>
      </c>
      <c r="F448" s="180" t="e">
        <v>#N/A</v>
      </c>
      <c r="G448" s="2169" t="e">
        <v>#N/A</v>
      </c>
      <c r="H448" s="877" t="e">
        <v>#N/A</v>
      </c>
      <c r="I448" s="3162" t="e">
        <v>#N/A</v>
      </c>
      <c r="J448" s="884" t="e">
        <v>#N/A</v>
      </c>
      <c r="K448" s="180" t="e">
        <v>#N/A</v>
      </c>
      <c r="L448" s="2167" t="e">
        <f t="shared" si="43"/>
        <v>#N/A</v>
      </c>
      <c r="M448" s="877" t="e">
        <v>#N/A</v>
      </c>
      <c r="N448" s="180" t="e">
        <v>#N/A</v>
      </c>
      <c r="O448" s="3162" t="e">
        <v>#N/A</v>
      </c>
      <c r="P448" s="180" t="e">
        <v>#N/A</v>
      </c>
      <c r="Q448" s="3211" t="e">
        <f t="shared" si="44"/>
        <v>#N/A</v>
      </c>
    </row>
    <row r="449" spans="1:17">
      <c r="A449" s="63">
        <f t="shared" si="40"/>
        <v>2029.08</v>
      </c>
      <c r="B449" s="866" t="e">
        <f t="shared" si="41"/>
        <v>#N/A</v>
      </c>
      <c r="C449" s="2165" t="e">
        <f t="shared" si="42"/>
        <v>#N/A</v>
      </c>
      <c r="D449" s="481" t="e">
        <v>#N/A</v>
      </c>
      <c r="E449" s="3162" t="e">
        <v>#N/A</v>
      </c>
      <c r="F449" s="180" t="e">
        <v>#N/A</v>
      </c>
      <c r="G449" s="2169" t="e">
        <v>#N/A</v>
      </c>
      <c r="H449" s="877" t="e">
        <v>#N/A</v>
      </c>
      <c r="I449" s="3162" t="e">
        <v>#N/A</v>
      </c>
      <c r="J449" s="884" t="e">
        <v>#N/A</v>
      </c>
      <c r="K449" s="180" t="e">
        <v>#N/A</v>
      </c>
      <c r="L449" s="2167" t="e">
        <f t="shared" si="43"/>
        <v>#N/A</v>
      </c>
      <c r="M449" s="877" t="e">
        <v>#N/A</v>
      </c>
      <c r="N449" s="180" t="e">
        <v>#N/A</v>
      </c>
      <c r="O449" s="3162" t="e">
        <v>#N/A</v>
      </c>
      <c r="P449" s="180" t="e">
        <v>#N/A</v>
      </c>
      <c r="Q449" s="3211" t="e">
        <f t="shared" si="44"/>
        <v>#N/A</v>
      </c>
    </row>
    <row r="450" spans="1:17">
      <c r="A450" s="63">
        <f t="shared" si="40"/>
        <v>2029.09</v>
      </c>
      <c r="B450" s="866" t="e">
        <f t="shared" si="41"/>
        <v>#N/A</v>
      </c>
      <c r="C450" s="2165" t="e">
        <f t="shared" si="42"/>
        <v>#N/A</v>
      </c>
      <c r="D450" s="481" t="e">
        <v>#N/A</v>
      </c>
      <c r="E450" s="3162" t="e">
        <v>#N/A</v>
      </c>
      <c r="F450" s="180" t="e">
        <v>#N/A</v>
      </c>
      <c r="G450" s="2169" t="e">
        <v>#N/A</v>
      </c>
      <c r="H450" s="877" t="e">
        <v>#N/A</v>
      </c>
      <c r="I450" s="3162" t="e">
        <v>#N/A</v>
      </c>
      <c r="J450" s="884" t="e">
        <v>#N/A</v>
      </c>
      <c r="K450" s="180" t="e">
        <v>#N/A</v>
      </c>
      <c r="L450" s="2167" t="e">
        <f t="shared" si="43"/>
        <v>#N/A</v>
      </c>
      <c r="M450" s="877" t="e">
        <v>#N/A</v>
      </c>
      <c r="N450" s="180" t="e">
        <v>#N/A</v>
      </c>
      <c r="O450" s="3162" t="e">
        <v>#N/A</v>
      </c>
      <c r="P450" s="180" t="e">
        <v>#N/A</v>
      </c>
      <c r="Q450" s="3211" t="e">
        <f t="shared" si="44"/>
        <v>#N/A</v>
      </c>
    </row>
    <row r="451" spans="1:17">
      <c r="A451" s="63">
        <f t="shared" si="40"/>
        <v>2029.1</v>
      </c>
      <c r="B451" s="866" t="e">
        <f t="shared" si="41"/>
        <v>#N/A</v>
      </c>
      <c r="C451" s="2165" t="e">
        <f t="shared" si="42"/>
        <v>#N/A</v>
      </c>
      <c r="D451" s="481" t="e">
        <v>#N/A</v>
      </c>
      <c r="E451" s="3162" t="e">
        <v>#N/A</v>
      </c>
      <c r="F451" s="180" t="e">
        <v>#N/A</v>
      </c>
      <c r="G451" s="2169" t="e">
        <v>#N/A</v>
      </c>
      <c r="H451" s="877" t="e">
        <v>#N/A</v>
      </c>
      <c r="I451" s="3162" t="e">
        <v>#N/A</v>
      </c>
      <c r="J451" s="884" t="e">
        <v>#N/A</v>
      </c>
      <c r="K451" s="180" t="e">
        <v>#N/A</v>
      </c>
      <c r="L451" s="2167" t="e">
        <f t="shared" si="43"/>
        <v>#N/A</v>
      </c>
      <c r="M451" s="877" t="e">
        <v>#N/A</v>
      </c>
      <c r="N451" s="180" t="e">
        <v>#N/A</v>
      </c>
      <c r="O451" s="3162" t="e">
        <v>#N/A</v>
      </c>
      <c r="P451" s="180" t="e">
        <v>#N/A</v>
      </c>
      <c r="Q451" s="3211" t="e">
        <f t="shared" si="44"/>
        <v>#N/A</v>
      </c>
    </row>
    <row r="452" spans="1:17">
      <c r="A452" s="63">
        <f t="shared" si="40"/>
        <v>2029.11</v>
      </c>
      <c r="B452" s="866" t="e">
        <f t="shared" si="41"/>
        <v>#N/A</v>
      </c>
      <c r="C452" s="2165" t="e">
        <f t="shared" si="42"/>
        <v>#N/A</v>
      </c>
      <c r="D452" s="481" t="e">
        <v>#N/A</v>
      </c>
      <c r="E452" s="3162" t="e">
        <v>#N/A</v>
      </c>
      <c r="F452" s="180" t="e">
        <v>#N/A</v>
      </c>
      <c r="G452" s="2169" t="e">
        <v>#N/A</v>
      </c>
      <c r="H452" s="877" t="e">
        <v>#N/A</v>
      </c>
      <c r="I452" s="3162" t="e">
        <v>#N/A</v>
      </c>
      <c r="J452" s="884" t="e">
        <v>#N/A</v>
      </c>
      <c r="K452" s="180" t="e">
        <v>#N/A</v>
      </c>
      <c r="L452" s="2167" t="e">
        <f t="shared" si="43"/>
        <v>#N/A</v>
      </c>
      <c r="M452" s="877" t="e">
        <v>#N/A</v>
      </c>
      <c r="N452" s="180" t="e">
        <v>#N/A</v>
      </c>
      <c r="O452" s="3162" t="e">
        <v>#N/A</v>
      </c>
      <c r="P452" s="180" t="e">
        <v>#N/A</v>
      </c>
      <c r="Q452" s="3211" t="e">
        <f t="shared" si="44"/>
        <v>#N/A</v>
      </c>
    </row>
    <row r="453" spans="1:17">
      <c r="A453" s="63">
        <f t="shared" si="40"/>
        <v>2029.12</v>
      </c>
      <c r="B453" s="866" t="e">
        <f t="shared" si="41"/>
        <v>#N/A</v>
      </c>
      <c r="C453" s="2165" t="e">
        <f t="shared" si="42"/>
        <v>#N/A</v>
      </c>
      <c r="D453" s="481" t="e">
        <v>#N/A</v>
      </c>
      <c r="E453" s="3162" t="e">
        <v>#N/A</v>
      </c>
      <c r="F453" s="180" t="e">
        <v>#N/A</v>
      </c>
      <c r="G453" s="2169" t="e">
        <v>#N/A</v>
      </c>
      <c r="H453" s="877" t="e">
        <v>#N/A</v>
      </c>
      <c r="I453" s="3162" t="e">
        <v>#N/A</v>
      </c>
      <c r="J453" s="884" t="e">
        <v>#N/A</v>
      </c>
      <c r="K453" s="180" t="e">
        <v>#N/A</v>
      </c>
      <c r="L453" s="2167" t="e">
        <f t="shared" si="43"/>
        <v>#N/A</v>
      </c>
      <c r="M453" s="877" t="e">
        <v>#N/A</v>
      </c>
      <c r="N453" s="180" t="e">
        <v>#N/A</v>
      </c>
      <c r="O453" s="3162" t="e">
        <v>#N/A</v>
      </c>
      <c r="P453" s="180" t="e">
        <v>#N/A</v>
      </c>
      <c r="Q453" s="3211" t="e">
        <f t="shared" si="44"/>
        <v>#N/A</v>
      </c>
    </row>
    <row r="454" spans="1:17">
      <c r="A454" s="63">
        <f t="shared" si="40"/>
        <v>2030.01</v>
      </c>
      <c r="B454" s="866" t="e">
        <f t="shared" si="41"/>
        <v>#N/A</v>
      </c>
      <c r="C454" s="2165" t="e">
        <f t="shared" si="42"/>
        <v>#N/A</v>
      </c>
      <c r="D454" s="481" t="e">
        <v>#N/A</v>
      </c>
      <c r="E454" s="3162" t="e">
        <v>#N/A</v>
      </c>
      <c r="F454" s="180" t="e">
        <v>#N/A</v>
      </c>
      <c r="G454" s="2169" t="e">
        <v>#N/A</v>
      </c>
      <c r="H454" s="877" t="e">
        <v>#N/A</v>
      </c>
      <c r="I454" s="3162" t="e">
        <v>#N/A</v>
      </c>
      <c r="J454" s="884" t="e">
        <v>#N/A</v>
      </c>
      <c r="K454" s="180" t="e">
        <v>#N/A</v>
      </c>
      <c r="L454" s="2167" t="e">
        <f t="shared" si="43"/>
        <v>#N/A</v>
      </c>
      <c r="M454" s="877" t="e">
        <v>#N/A</v>
      </c>
      <c r="N454" s="180" t="e">
        <v>#N/A</v>
      </c>
      <c r="O454" s="3162" t="e">
        <v>#N/A</v>
      </c>
      <c r="P454" s="180" t="e">
        <v>#N/A</v>
      </c>
      <c r="Q454" s="3211" t="e">
        <f t="shared" si="44"/>
        <v>#N/A</v>
      </c>
    </row>
    <row r="455" spans="1:17">
      <c r="A455" s="63">
        <f t="shared" si="40"/>
        <v>2030.02</v>
      </c>
      <c r="B455" s="866" t="e">
        <f t="shared" si="41"/>
        <v>#N/A</v>
      </c>
      <c r="C455" s="2165" t="e">
        <f t="shared" si="42"/>
        <v>#N/A</v>
      </c>
      <c r="D455" s="481" t="e">
        <v>#N/A</v>
      </c>
      <c r="E455" s="3162" t="e">
        <v>#N/A</v>
      </c>
      <c r="F455" s="180" t="e">
        <v>#N/A</v>
      </c>
      <c r="G455" s="2169" t="e">
        <v>#N/A</v>
      </c>
      <c r="H455" s="877" t="e">
        <v>#N/A</v>
      </c>
      <c r="I455" s="3162" t="e">
        <v>#N/A</v>
      </c>
      <c r="J455" s="884" t="e">
        <v>#N/A</v>
      </c>
      <c r="K455" s="180" t="e">
        <v>#N/A</v>
      </c>
      <c r="L455" s="2167" t="e">
        <f t="shared" si="43"/>
        <v>#N/A</v>
      </c>
      <c r="M455" s="877" t="e">
        <v>#N/A</v>
      </c>
      <c r="N455" s="180" t="e">
        <v>#N/A</v>
      </c>
      <c r="O455" s="3162" t="e">
        <v>#N/A</v>
      </c>
      <c r="P455" s="180" t="e">
        <v>#N/A</v>
      </c>
      <c r="Q455" s="3211" t="e">
        <f t="shared" si="44"/>
        <v>#N/A</v>
      </c>
    </row>
    <row r="456" spans="1:17">
      <c r="A456" s="63">
        <f t="shared" si="40"/>
        <v>2030.03</v>
      </c>
      <c r="B456" s="866" t="e">
        <f t="shared" si="41"/>
        <v>#N/A</v>
      </c>
      <c r="C456" s="2165" t="e">
        <f t="shared" si="42"/>
        <v>#N/A</v>
      </c>
      <c r="D456" s="481" t="e">
        <v>#N/A</v>
      </c>
      <c r="E456" s="3162" t="e">
        <v>#N/A</v>
      </c>
      <c r="F456" s="180" t="e">
        <v>#N/A</v>
      </c>
      <c r="G456" s="2169" t="e">
        <v>#N/A</v>
      </c>
      <c r="H456" s="877" t="e">
        <v>#N/A</v>
      </c>
      <c r="I456" s="3162" t="e">
        <v>#N/A</v>
      </c>
      <c r="J456" s="884" t="e">
        <v>#N/A</v>
      </c>
      <c r="K456" s="180" t="e">
        <v>#N/A</v>
      </c>
      <c r="L456" s="2167" t="e">
        <f t="shared" si="43"/>
        <v>#N/A</v>
      </c>
      <c r="M456" s="877" t="e">
        <v>#N/A</v>
      </c>
      <c r="N456" s="180" t="e">
        <v>#N/A</v>
      </c>
      <c r="O456" s="3162" t="e">
        <v>#N/A</v>
      </c>
      <c r="P456" s="180" t="e">
        <v>#N/A</v>
      </c>
      <c r="Q456" s="3211" t="e">
        <f t="shared" si="44"/>
        <v>#N/A</v>
      </c>
    </row>
    <row r="457" spans="1:17">
      <c r="A457" s="63">
        <f t="shared" si="40"/>
        <v>2030.04</v>
      </c>
      <c r="B457" s="866" t="e">
        <f t="shared" si="41"/>
        <v>#N/A</v>
      </c>
      <c r="C457" s="2165" t="e">
        <f t="shared" si="42"/>
        <v>#N/A</v>
      </c>
      <c r="D457" s="481" t="e">
        <v>#N/A</v>
      </c>
      <c r="E457" s="3162" t="e">
        <v>#N/A</v>
      </c>
      <c r="F457" s="180" t="e">
        <v>#N/A</v>
      </c>
      <c r="G457" s="2169" t="e">
        <v>#N/A</v>
      </c>
      <c r="H457" s="877" t="e">
        <v>#N/A</v>
      </c>
      <c r="I457" s="3162" t="e">
        <v>#N/A</v>
      </c>
      <c r="J457" s="884" t="e">
        <v>#N/A</v>
      </c>
      <c r="K457" s="180" t="e">
        <v>#N/A</v>
      </c>
      <c r="L457" s="2167" t="e">
        <f t="shared" si="43"/>
        <v>#N/A</v>
      </c>
      <c r="M457" s="877" t="e">
        <v>#N/A</v>
      </c>
      <c r="N457" s="180" t="e">
        <v>#N/A</v>
      </c>
      <c r="O457" s="3162" t="e">
        <v>#N/A</v>
      </c>
      <c r="P457" s="180" t="e">
        <v>#N/A</v>
      </c>
      <c r="Q457" s="3211" t="e">
        <f t="shared" si="44"/>
        <v>#N/A</v>
      </c>
    </row>
    <row r="458" spans="1:17">
      <c r="A458" s="63">
        <f t="shared" si="40"/>
        <v>2030.05</v>
      </c>
      <c r="B458" s="866" t="e">
        <f t="shared" si="41"/>
        <v>#N/A</v>
      </c>
      <c r="C458" s="2165" t="e">
        <f t="shared" si="42"/>
        <v>#N/A</v>
      </c>
      <c r="D458" s="481" t="e">
        <v>#N/A</v>
      </c>
      <c r="E458" s="3162" t="e">
        <v>#N/A</v>
      </c>
      <c r="F458" s="180" t="e">
        <v>#N/A</v>
      </c>
      <c r="G458" s="2169" t="e">
        <v>#N/A</v>
      </c>
      <c r="H458" s="877" t="e">
        <v>#N/A</v>
      </c>
      <c r="I458" s="3162" t="e">
        <v>#N/A</v>
      </c>
      <c r="J458" s="884" t="e">
        <v>#N/A</v>
      </c>
      <c r="K458" s="180" t="e">
        <v>#N/A</v>
      </c>
      <c r="L458" s="2167" t="e">
        <f t="shared" si="43"/>
        <v>#N/A</v>
      </c>
      <c r="M458" s="877" t="e">
        <v>#N/A</v>
      </c>
      <c r="N458" s="180" t="e">
        <v>#N/A</v>
      </c>
      <c r="O458" s="3162" t="e">
        <v>#N/A</v>
      </c>
      <c r="P458" s="180" t="e">
        <v>#N/A</v>
      </c>
      <c r="Q458" s="3211" t="e">
        <f t="shared" si="44"/>
        <v>#N/A</v>
      </c>
    </row>
    <row r="459" spans="1:17">
      <c r="A459" s="63">
        <f t="shared" si="40"/>
        <v>2030.06</v>
      </c>
      <c r="B459" s="866" t="e">
        <f t="shared" si="41"/>
        <v>#N/A</v>
      </c>
      <c r="C459" s="2165" t="e">
        <f t="shared" si="42"/>
        <v>#N/A</v>
      </c>
      <c r="D459" s="481" t="e">
        <v>#N/A</v>
      </c>
      <c r="E459" s="3162" t="e">
        <v>#N/A</v>
      </c>
      <c r="F459" s="180" t="e">
        <v>#N/A</v>
      </c>
      <c r="G459" s="2169" t="e">
        <v>#N/A</v>
      </c>
      <c r="H459" s="877" t="e">
        <v>#N/A</v>
      </c>
      <c r="I459" s="3162" t="e">
        <v>#N/A</v>
      </c>
      <c r="J459" s="884" t="e">
        <v>#N/A</v>
      </c>
      <c r="K459" s="180" t="e">
        <v>#N/A</v>
      </c>
      <c r="L459" s="2167" t="e">
        <f t="shared" si="43"/>
        <v>#N/A</v>
      </c>
      <c r="M459" s="877" t="e">
        <v>#N/A</v>
      </c>
      <c r="N459" s="180" t="e">
        <v>#N/A</v>
      </c>
      <c r="O459" s="3162" t="e">
        <v>#N/A</v>
      </c>
      <c r="P459" s="180" t="e">
        <v>#N/A</v>
      </c>
      <c r="Q459" s="3211" t="e">
        <f t="shared" si="44"/>
        <v>#N/A</v>
      </c>
    </row>
    <row r="460" spans="1:17">
      <c r="A460" s="63">
        <f t="shared" si="40"/>
        <v>2030.07</v>
      </c>
      <c r="B460" s="866" t="e">
        <f t="shared" si="41"/>
        <v>#N/A</v>
      </c>
      <c r="C460" s="2165" t="e">
        <f t="shared" si="42"/>
        <v>#N/A</v>
      </c>
      <c r="D460" s="481" t="e">
        <v>#N/A</v>
      </c>
      <c r="E460" s="3162" t="e">
        <v>#N/A</v>
      </c>
      <c r="F460" s="180" t="e">
        <v>#N/A</v>
      </c>
      <c r="G460" s="2169" t="e">
        <v>#N/A</v>
      </c>
      <c r="H460" s="877" t="e">
        <v>#N/A</v>
      </c>
      <c r="I460" s="3162" t="e">
        <v>#N/A</v>
      </c>
      <c r="J460" s="884" t="e">
        <v>#N/A</v>
      </c>
      <c r="K460" s="180" t="e">
        <v>#N/A</v>
      </c>
      <c r="L460" s="2167" t="e">
        <f t="shared" si="43"/>
        <v>#N/A</v>
      </c>
      <c r="M460" s="877" t="e">
        <v>#N/A</v>
      </c>
      <c r="N460" s="180" t="e">
        <v>#N/A</v>
      </c>
      <c r="O460" s="3162" t="e">
        <v>#N/A</v>
      </c>
      <c r="P460" s="180" t="e">
        <v>#N/A</v>
      </c>
      <c r="Q460" s="3211" t="e">
        <f t="shared" si="44"/>
        <v>#N/A</v>
      </c>
    </row>
    <row r="461" spans="1:17">
      <c r="A461" s="63">
        <f t="shared" si="40"/>
        <v>2030.08</v>
      </c>
      <c r="B461" s="866" t="e">
        <f t="shared" si="41"/>
        <v>#N/A</v>
      </c>
      <c r="C461" s="2165" t="e">
        <f t="shared" si="42"/>
        <v>#N/A</v>
      </c>
      <c r="D461" s="481" t="e">
        <v>#N/A</v>
      </c>
      <c r="E461" s="3162" t="e">
        <v>#N/A</v>
      </c>
      <c r="F461" s="180" t="e">
        <v>#N/A</v>
      </c>
      <c r="G461" s="2169" t="e">
        <v>#N/A</v>
      </c>
      <c r="H461" s="877" t="e">
        <v>#N/A</v>
      </c>
      <c r="I461" s="3162" t="e">
        <v>#N/A</v>
      </c>
      <c r="J461" s="884" t="e">
        <v>#N/A</v>
      </c>
      <c r="K461" s="180" t="e">
        <v>#N/A</v>
      </c>
      <c r="L461" s="2167" t="e">
        <f t="shared" si="43"/>
        <v>#N/A</v>
      </c>
      <c r="M461" s="877" t="e">
        <v>#N/A</v>
      </c>
      <c r="N461" s="180" t="e">
        <v>#N/A</v>
      </c>
      <c r="O461" s="3162" t="e">
        <v>#N/A</v>
      </c>
      <c r="P461" s="180" t="e">
        <v>#N/A</v>
      </c>
      <c r="Q461" s="3211" t="e">
        <f t="shared" si="44"/>
        <v>#N/A</v>
      </c>
    </row>
    <row r="462" spans="1:17">
      <c r="A462" s="63">
        <f t="shared" si="40"/>
        <v>2030.09</v>
      </c>
      <c r="B462" s="866" t="e">
        <f t="shared" si="41"/>
        <v>#N/A</v>
      </c>
      <c r="C462" s="2165" t="e">
        <f t="shared" si="42"/>
        <v>#N/A</v>
      </c>
      <c r="D462" s="481" t="e">
        <v>#N/A</v>
      </c>
      <c r="E462" s="3162" t="e">
        <v>#N/A</v>
      </c>
      <c r="F462" s="180" t="e">
        <v>#N/A</v>
      </c>
      <c r="G462" s="2169" t="e">
        <v>#N/A</v>
      </c>
      <c r="H462" s="877" t="e">
        <v>#N/A</v>
      </c>
      <c r="I462" s="3162" t="e">
        <v>#N/A</v>
      </c>
      <c r="J462" s="884" t="e">
        <v>#N/A</v>
      </c>
      <c r="K462" s="180" t="e">
        <v>#N/A</v>
      </c>
      <c r="L462" s="2167" t="e">
        <f t="shared" si="43"/>
        <v>#N/A</v>
      </c>
      <c r="M462" s="877" t="e">
        <v>#N/A</v>
      </c>
      <c r="N462" s="180" t="e">
        <v>#N/A</v>
      </c>
      <c r="O462" s="3162" t="e">
        <v>#N/A</v>
      </c>
      <c r="P462" s="180" t="e">
        <v>#N/A</v>
      </c>
      <c r="Q462" s="3211" t="e">
        <f t="shared" si="44"/>
        <v>#N/A</v>
      </c>
    </row>
    <row r="463" spans="1:17">
      <c r="A463" s="63">
        <f t="shared" si="40"/>
        <v>2030.1</v>
      </c>
      <c r="B463" s="866" t="e">
        <f t="shared" si="41"/>
        <v>#N/A</v>
      </c>
      <c r="C463" s="2165" t="e">
        <f t="shared" si="42"/>
        <v>#N/A</v>
      </c>
      <c r="D463" s="481" t="e">
        <v>#N/A</v>
      </c>
      <c r="E463" s="3162" t="e">
        <v>#N/A</v>
      </c>
      <c r="F463" s="180" t="e">
        <v>#N/A</v>
      </c>
      <c r="G463" s="2169" t="e">
        <v>#N/A</v>
      </c>
      <c r="H463" s="877" t="e">
        <v>#N/A</v>
      </c>
      <c r="I463" s="3162" t="e">
        <v>#N/A</v>
      </c>
      <c r="J463" s="884" t="e">
        <v>#N/A</v>
      </c>
      <c r="K463" s="180" t="e">
        <v>#N/A</v>
      </c>
      <c r="L463" s="2167" t="e">
        <f t="shared" si="43"/>
        <v>#N/A</v>
      </c>
      <c r="M463" s="877" t="e">
        <v>#N/A</v>
      </c>
      <c r="N463" s="180" t="e">
        <v>#N/A</v>
      </c>
      <c r="O463" s="3162" t="e">
        <v>#N/A</v>
      </c>
      <c r="P463" s="180" t="e">
        <v>#N/A</v>
      </c>
      <c r="Q463" s="3211" t="e">
        <f t="shared" si="44"/>
        <v>#N/A</v>
      </c>
    </row>
    <row r="464" spans="1:17">
      <c r="A464" s="63">
        <f t="shared" si="40"/>
        <v>2030.11</v>
      </c>
      <c r="B464" s="866" t="e">
        <f t="shared" si="41"/>
        <v>#N/A</v>
      </c>
      <c r="C464" s="2165" t="e">
        <f t="shared" si="42"/>
        <v>#N/A</v>
      </c>
      <c r="D464" s="481" t="e">
        <v>#N/A</v>
      </c>
      <c r="E464" s="3162" t="e">
        <v>#N/A</v>
      </c>
      <c r="F464" s="180" t="e">
        <v>#N/A</v>
      </c>
      <c r="G464" s="2169" t="e">
        <v>#N/A</v>
      </c>
      <c r="H464" s="877" t="e">
        <v>#N/A</v>
      </c>
      <c r="I464" s="3162" t="e">
        <v>#N/A</v>
      </c>
      <c r="J464" s="884" t="e">
        <v>#N/A</v>
      </c>
      <c r="K464" s="180" t="e">
        <v>#N/A</v>
      </c>
      <c r="L464" s="2167" t="e">
        <f t="shared" si="43"/>
        <v>#N/A</v>
      </c>
      <c r="M464" s="877" t="e">
        <v>#N/A</v>
      </c>
      <c r="N464" s="180" t="e">
        <v>#N/A</v>
      </c>
      <c r="O464" s="3162" t="e">
        <v>#N/A</v>
      </c>
      <c r="P464" s="180" t="e">
        <v>#N/A</v>
      </c>
      <c r="Q464" s="3211" t="e">
        <f t="shared" si="44"/>
        <v>#N/A</v>
      </c>
    </row>
    <row r="465" spans="1:17">
      <c r="A465" s="63">
        <f t="shared" si="40"/>
        <v>2030.12</v>
      </c>
      <c r="B465" s="866" t="e">
        <f t="shared" si="41"/>
        <v>#N/A</v>
      </c>
      <c r="C465" s="2165" t="e">
        <f t="shared" si="42"/>
        <v>#N/A</v>
      </c>
      <c r="D465" s="481" t="e">
        <v>#N/A</v>
      </c>
      <c r="E465" s="3162" t="e">
        <v>#N/A</v>
      </c>
      <c r="F465" s="180" t="e">
        <v>#N/A</v>
      </c>
      <c r="G465" s="2169" t="e">
        <v>#N/A</v>
      </c>
      <c r="H465" s="877" t="e">
        <v>#N/A</v>
      </c>
      <c r="I465" s="3162" t="e">
        <v>#N/A</v>
      </c>
      <c r="J465" s="884" t="e">
        <v>#N/A</v>
      </c>
      <c r="K465" s="180" t="e">
        <v>#N/A</v>
      </c>
      <c r="L465" s="2167" t="e">
        <f t="shared" si="43"/>
        <v>#N/A</v>
      </c>
      <c r="M465" s="877" t="e">
        <v>#N/A</v>
      </c>
      <c r="N465" s="180" t="e">
        <v>#N/A</v>
      </c>
      <c r="O465" s="3162" t="e">
        <v>#N/A</v>
      </c>
      <c r="P465" s="180" t="e">
        <v>#N/A</v>
      </c>
      <c r="Q465" s="3211" t="e">
        <f t="shared" si="44"/>
        <v>#N/A</v>
      </c>
    </row>
  </sheetData>
  <phoneticPr fontId="62" type="noConversion"/>
  <hyperlinks>
    <hyperlink ref="A5" location="INDICE!A13" display="VOLVER AL INDICE" xr:uid="{00000000-0004-0000-2900-000000000000}"/>
  </hyperlinks>
  <pageMargins left="0.75" right="0.75" top="1" bottom="1" header="0" footer="0"/>
  <pageSetup paperSize="9" orientation="portrait" horizontalDpi="300" verticalDpi="300" r:id="rId1"/>
  <headerFooter alignWithMargins="0"/>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29">
    <pageSetUpPr autoPageBreaks="0"/>
  </sheetPr>
  <dimension ref="A1:K501"/>
  <sheetViews>
    <sheetView zoomScale="130" zoomScaleNormal="130" workbookViewId="0">
      <pane xSplit="1" ySplit="9" topLeftCell="B422"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5703125" style="24" bestFit="1" customWidth="1"/>
    <col min="2" max="5" width="15.5703125" style="24" customWidth="1"/>
    <col min="6" max="6" width="5.5703125" style="9" customWidth="1"/>
    <col min="7" max="7" width="7.140625" style="9" bestFit="1" customWidth="1"/>
    <col min="8" max="16384" width="11.42578125" style="9"/>
  </cols>
  <sheetData>
    <row r="1" spans="1:11" ht="4.5" customHeight="1">
      <c r="A1" s="104"/>
      <c r="B1" s="46"/>
      <c r="C1" s="46"/>
      <c r="D1" s="46"/>
      <c r="E1" s="2170"/>
      <c r="F1" s="201"/>
      <c r="G1" s="201"/>
      <c r="H1" s="201"/>
      <c r="I1" s="201"/>
      <c r="J1" s="201"/>
      <c r="K1" s="201"/>
    </row>
    <row r="2" spans="1:11" ht="22.5">
      <c r="A2" s="2373" t="s">
        <v>105</v>
      </c>
      <c r="B2" s="382" t="s">
        <v>1310</v>
      </c>
      <c r="C2" s="382"/>
      <c r="D2" s="382"/>
      <c r="E2" s="2171" t="s">
        <v>1311</v>
      </c>
      <c r="F2" s="201"/>
      <c r="G2" s="201"/>
      <c r="H2" s="201"/>
      <c r="I2" s="201"/>
      <c r="J2" s="201"/>
      <c r="K2" s="201"/>
    </row>
    <row r="3" spans="1:11" ht="33.75">
      <c r="A3" s="2373" t="s">
        <v>212</v>
      </c>
      <c r="B3" s="382" t="s">
        <v>132</v>
      </c>
      <c r="C3" s="46"/>
      <c r="D3" s="46"/>
      <c r="E3" s="1882" t="s">
        <v>1312</v>
      </c>
      <c r="F3" s="201"/>
      <c r="G3" s="201"/>
      <c r="H3" s="201"/>
      <c r="I3" s="201"/>
      <c r="J3" s="201"/>
      <c r="K3" s="201"/>
    </row>
    <row r="4" spans="1:11" ht="4.5" hidden="1" customHeight="1">
      <c r="A4" s="104"/>
      <c r="B4" s="46"/>
      <c r="C4" s="46"/>
      <c r="D4" s="46"/>
      <c r="E4" s="2170"/>
      <c r="F4" s="201"/>
      <c r="G4" s="201"/>
      <c r="H4" s="201"/>
      <c r="I4" s="201"/>
      <c r="J4" s="201"/>
      <c r="K4" s="201"/>
    </row>
    <row r="5" spans="1:11" ht="22.5">
      <c r="A5" s="2390" t="s">
        <v>137</v>
      </c>
      <c r="B5" s="8" t="s">
        <v>1313</v>
      </c>
      <c r="C5" s="1089" t="s">
        <v>1314</v>
      </c>
      <c r="D5" s="1090" t="s">
        <v>1315</v>
      </c>
      <c r="E5" s="2054" t="s">
        <v>1316</v>
      </c>
      <c r="F5" s="201"/>
      <c r="G5" s="201"/>
      <c r="H5" s="201"/>
      <c r="I5" s="201"/>
      <c r="J5" s="201"/>
      <c r="K5" s="201"/>
    </row>
    <row r="6" spans="1:11" ht="4.5" hidden="1" customHeight="1">
      <c r="A6" s="104"/>
      <c r="B6" s="46"/>
      <c r="C6" s="888"/>
      <c r="D6" s="46"/>
      <c r="E6" s="2170"/>
      <c r="F6" s="201"/>
      <c r="G6" s="201"/>
      <c r="H6" s="201"/>
      <c r="I6" s="201"/>
      <c r="J6" s="201"/>
      <c r="K6" s="201"/>
    </row>
    <row r="7" spans="1:11" ht="22.5">
      <c r="A7" s="2373" t="s">
        <v>123</v>
      </c>
      <c r="B7" s="2083" t="s">
        <v>1317</v>
      </c>
      <c r="C7" s="1089" t="s">
        <v>1317</v>
      </c>
      <c r="D7" s="1090" t="s">
        <v>1317</v>
      </c>
      <c r="E7" s="1884" t="s">
        <v>1317</v>
      </c>
      <c r="F7" s="201"/>
      <c r="G7" s="201"/>
      <c r="H7" s="201"/>
      <c r="I7" s="201"/>
      <c r="J7" s="201"/>
      <c r="K7" s="201"/>
    </row>
    <row r="8" spans="1:11" ht="14.25" customHeight="1" thickBot="1">
      <c r="A8" s="105" t="s">
        <v>141</v>
      </c>
      <c r="B8" s="150" t="s">
        <v>1318</v>
      </c>
      <c r="C8" s="639" t="s">
        <v>1319</v>
      </c>
      <c r="D8" s="150" t="s">
        <v>1320</v>
      </c>
      <c r="E8" s="1979" t="s">
        <v>1321</v>
      </c>
      <c r="F8" s="201"/>
      <c r="G8" s="201"/>
      <c r="H8" s="201"/>
      <c r="I8" s="201"/>
      <c r="J8" s="201"/>
      <c r="K8" s="201"/>
    </row>
    <row r="9" spans="1:11" ht="13.5" hidden="1" thickBot="1">
      <c r="A9" s="93"/>
      <c r="B9" s="381"/>
      <c r="C9" s="2026"/>
      <c r="D9" s="1946"/>
      <c r="E9" s="2172"/>
      <c r="F9" s="201"/>
      <c r="G9" s="201"/>
      <c r="H9" s="201"/>
      <c r="I9" s="201"/>
      <c r="J9" s="201"/>
      <c r="K9" s="201"/>
    </row>
    <row r="10" spans="1:11">
      <c r="A10" s="67">
        <v>1990.01</v>
      </c>
      <c r="B10" s="60">
        <v>795.55909899999995</v>
      </c>
      <c r="C10" s="767">
        <v>385.75274000000002</v>
      </c>
      <c r="D10" s="1075">
        <f t="shared" ref="D10:D73" si="0">B10-C10</f>
        <v>409.80635899999993</v>
      </c>
      <c r="E10" s="220">
        <v>3295.9</v>
      </c>
      <c r="F10" s="201"/>
      <c r="G10" s="201"/>
      <c r="H10" s="3213"/>
      <c r="I10" s="2945"/>
      <c r="J10" s="3213"/>
      <c r="K10" s="3213"/>
    </row>
    <row r="11" spans="1:11">
      <c r="A11" s="63">
        <v>1990.02</v>
      </c>
      <c r="B11" s="169">
        <v>811.27302799999995</v>
      </c>
      <c r="C11" s="3034">
        <v>226.15921499999999</v>
      </c>
      <c r="D11" s="1076">
        <f t="shared" si="0"/>
        <v>585.11381299999994</v>
      </c>
      <c r="E11" s="1222">
        <v>3055.5</v>
      </c>
      <c r="F11" s="201"/>
      <c r="G11" s="201"/>
      <c r="H11" s="3213"/>
      <c r="I11" s="2945"/>
      <c r="J11" s="3213"/>
      <c r="K11" s="3213"/>
    </row>
    <row r="12" spans="1:11">
      <c r="A12" s="63">
        <v>1990.03</v>
      </c>
      <c r="B12" s="169">
        <v>1163.5131899999999</v>
      </c>
      <c r="C12" s="3034">
        <v>302.887158</v>
      </c>
      <c r="D12" s="1076">
        <f t="shared" si="0"/>
        <v>860.6260319999999</v>
      </c>
      <c r="E12" s="1222">
        <v>3339.6</v>
      </c>
      <c r="F12" s="201"/>
      <c r="G12" s="201"/>
      <c r="H12" s="3213"/>
      <c r="I12" s="2945"/>
      <c r="J12" s="3213"/>
      <c r="K12" s="3213"/>
    </row>
    <row r="13" spans="1:11">
      <c r="A13" s="63">
        <v>1990.04</v>
      </c>
      <c r="B13" s="169">
        <v>1014.905409</v>
      </c>
      <c r="C13" s="3034">
        <v>276.45730400000002</v>
      </c>
      <c r="D13" s="1076">
        <f t="shared" si="0"/>
        <v>738.44810499999994</v>
      </c>
      <c r="E13" s="1222">
        <v>3789.6</v>
      </c>
      <c r="F13" s="201"/>
      <c r="G13" s="201"/>
      <c r="H13" s="3213"/>
      <c r="I13" s="2945"/>
      <c r="J13" s="3213"/>
      <c r="K13" s="3213"/>
    </row>
    <row r="14" spans="1:11">
      <c r="A14" s="63">
        <v>1990.05</v>
      </c>
      <c r="B14" s="169">
        <v>1105.7452390000001</v>
      </c>
      <c r="C14" s="3034">
        <v>302.13349099999999</v>
      </c>
      <c r="D14" s="1076">
        <f t="shared" si="0"/>
        <v>803.61174800000003</v>
      </c>
      <c r="E14" s="1222">
        <v>4116</v>
      </c>
      <c r="F14" s="201"/>
      <c r="G14" s="201"/>
      <c r="H14" s="3213"/>
      <c r="I14" s="2945"/>
      <c r="J14" s="3213"/>
      <c r="K14" s="3213"/>
    </row>
    <row r="15" spans="1:11">
      <c r="A15" s="63">
        <v>1990.06</v>
      </c>
      <c r="B15" s="169">
        <v>1076.1458379999999</v>
      </c>
      <c r="C15" s="3034">
        <v>267.68429200000003</v>
      </c>
      <c r="D15" s="1076">
        <f t="shared" si="0"/>
        <v>808.46154599999988</v>
      </c>
      <c r="E15" s="1222">
        <v>4689.8</v>
      </c>
      <c r="F15" s="201"/>
      <c r="G15" s="201"/>
      <c r="H15" s="3213"/>
      <c r="I15" s="2945"/>
      <c r="J15" s="3213"/>
      <c r="K15" s="3213"/>
    </row>
    <row r="16" spans="1:11">
      <c r="A16" s="63">
        <v>1990.07</v>
      </c>
      <c r="B16" s="169">
        <v>1279.352905</v>
      </c>
      <c r="C16" s="3034">
        <v>313.410346</v>
      </c>
      <c r="D16" s="1076">
        <f t="shared" si="0"/>
        <v>965.94255899999996</v>
      </c>
      <c r="E16" s="1222">
        <v>4388.8</v>
      </c>
      <c r="F16" s="201"/>
      <c r="G16" s="201"/>
      <c r="H16" s="3213"/>
      <c r="I16" s="2945"/>
      <c r="J16" s="3213"/>
      <c r="K16" s="3213"/>
    </row>
    <row r="17" spans="1:11">
      <c r="A17" s="63">
        <v>1990.08</v>
      </c>
      <c r="B17" s="169">
        <v>1127.166759</v>
      </c>
      <c r="C17" s="3034">
        <v>312.275644</v>
      </c>
      <c r="D17" s="1076">
        <f t="shared" si="0"/>
        <v>814.8911149999999</v>
      </c>
      <c r="E17" s="1222">
        <v>4184.2</v>
      </c>
      <c r="F17" s="201"/>
      <c r="G17" s="201"/>
      <c r="H17" s="3213"/>
      <c r="I17" s="2945"/>
      <c r="J17" s="3213"/>
      <c r="K17" s="3213"/>
    </row>
    <row r="18" spans="1:11">
      <c r="A18" s="63">
        <v>1990.09</v>
      </c>
      <c r="B18" s="169">
        <v>1024.587949</v>
      </c>
      <c r="C18" s="3034">
        <v>326.24913900000001</v>
      </c>
      <c r="D18" s="1076">
        <f t="shared" si="0"/>
        <v>698.33880999999997</v>
      </c>
      <c r="E18" s="1222">
        <v>4910</v>
      </c>
      <c r="F18" s="201"/>
      <c r="G18" s="201"/>
      <c r="H18" s="3213"/>
      <c r="I18" s="2945"/>
      <c r="J18" s="3213"/>
      <c r="K18" s="3213"/>
    </row>
    <row r="19" spans="1:11">
      <c r="A19" s="63">
        <v>1990.1</v>
      </c>
      <c r="B19" s="169">
        <v>972.65326800000003</v>
      </c>
      <c r="C19" s="3034">
        <v>424.849874</v>
      </c>
      <c r="D19" s="1076">
        <f t="shared" si="0"/>
        <v>547.80339400000003</v>
      </c>
      <c r="E19" s="1222">
        <v>4843.8999999999996</v>
      </c>
      <c r="F19" s="201"/>
      <c r="G19" s="201"/>
      <c r="H19" s="3213"/>
      <c r="I19" s="2945"/>
      <c r="J19" s="3213"/>
      <c r="K19" s="3213"/>
    </row>
    <row r="20" spans="1:11">
      <c r="A20" s="63">
        <v>1990.11</v>
      </c>
      <c r="B20" s="169">
        <v>950.53544999999997</v>
      </c>
      <c r="C20" s="3034">
        <v>439.175049</v>
      </c>
      <c r="D20" s="1076">
        <f t="shared" si="0"/>
        <v>511.36040099999997</v>
      </c>
      <c r="E20" s="1222">
        <v>4759.5</v>
      </c>
      <c r="F20" s="201"/>
      <c r="G20" s="201"/>
      <c r="H20" s="3213"/>
      <c r="I20" s="2945"/>
      <c r="J20" s="3213"/>
      <c r="K20" s="3213"/>
    </row>
    <row r="21" spans="1:11">
      <c r="A21" s="63">
        <v>1990.12</v>
      </c>
      <c r="B21" s="169">
        <v>1031.0939519999999</v>
      </c>
      <c r="C21" s="3034">
        <v>499.63074999999998</v>
      </c>
      <c r="D21" s="1076">
        <f t="shared" si="0"/>
        <v>531.46320199999991</v>
      </c>
      <c r="E21" s="1222">
        <v>6170</v>
      </c>
      <c r="F21" s="201"/>
      <c r="G21" s="201"/>
      <c r="H21" s="3213"/>
      <c r="I21" s="2945"/>
      <c r="J21" s="3213"/>
      <c r="K21" s="3213"/>
    </row>
    <row r="22" spans="1:11">
      <c r="A22" s="63">
        <v>1991.01</v>
      </c>
      <c r="B22" s="169">
        <v>673.58745899999997</v>
      </c>
      <c r="C22" s="3034">
        <v>492.60817099999997</v>
      </c>
      <c r="D22" s="1076">
        <f t="shared" si="0"/>
        <v>180.979288</v>
      </c>
      <c r="E22" s="1222">
        <v>6040</v>
      </c>
      <c r="F22" s="201"/>
      <c r="G22" s="201"/>
      <c r="H22" s="3213"/>
      <c r="I22" s="2945"/>
      <c r="J22" s="3213"/>
      <c r="K22" s="3213"/>
    </row>
    <row r="23" spans="1:11">
      <c r="A23" s="63">
        <v>1991.02</v>
      </c>
      <c r="B23" s="169">
        <v>807.14543100000003</v>
      </c>
      <c r="C23" s="3034">
        <v>400.27126299999998</v>
      </c>
      <c r="D23" s="1076">
        <f t="shared" si="0"/>
        <v>406.87416800000005</v>
      </c>
      <c r="E23" s="1222">
        <v>6874.8</v>
      </c>
      <c r="F23" s="201"/>
      <c r="G23" s="201"/>
      <c r="H23" s="3213"/>
      <c r="I23" s="2945"/>
      <c r="J23" s="3213"/>
      <c r="K23" s="3213"/>
    </row>
    <row r="24" spans="1:11">
      <c r="A24" s="63">
        <v>1991.03</v>
      </c>
      <c r="B24" s="169">
        <v>867.26754099999994</v>
      </c>
      <c r="C24" s="3034">
        <v>407.69046500000002</v>
      </c>
      <c r="D24" s="1076">
        <f t="shared" si="0"/>
        <v>459.57707599999992</v>
      </c>
      <c r="E24" s="1222">
        <v>5482</v>
      </c>
      <c r="F24" s="201"/>
      <c r="G24" s="201"/>
      <c r="H24" s="3213"/>
      <c r="I24" s="2945"/>
      <c r="J24" s="3213"/>
      <c r="K24" s="3213"/>
    </row>
    <row r="25" spans="1:11">
      <c r="A25" s="63">
        <v>1991.04</v>
      </c>
      <c r="B25" s="169">
        <v>1002.226905</v>
      </c>
      <c r="C25" s="3034">
        <v>614.43746599999997</v>
      </c>
      <c r="D25" s="1076">
        <f t="shared" si="0"/>
        <v>387.78943900000002</v>
      </c>
      <c r="E25" s="1222">
        <v>5393.3</v>
      </c>
      <c r="F25" s="201"/>
      <c r="G25" s="201"/>
      <c r="H25" s="3213"/>
      <c r="I25" s="2945"/>
      <c r="J25" s="3213"/>
      <c r="K25" s="3213"/>
    </row>
    <row r="26" spans="1:11">
      <c r="A26" s="63">
        <v>1991.05</v>
      </c>
      <c r="B26" s="169">
        <v>1228.238685</v>
      </c>
      <c r="C26" s="3034">
        <v>522.07663300000002</v>
      </c>
      <c r="D26" s="1076">
        <f t="shared" si="0"/>
        <v>706.16205200000002</v>
      </c>
      <c r="E26" s="1222">
        <v>5891.8</v>
      </c>
      <c r="F26" s="201"/>
      <c r="G26" s="201"/>
      <c r="H26" s="3213"/>
      <c r="I26" s="2945"/>
      <c r="J26" s="3213"/>
      <c r="K26" s="3213"/>
    </row>
    <row r="27" spans="1:11">
      <c r="A27" s="63">
        <v>1991.06</v>
      </c>
      <c r="B27" s="169">
        <v>1141.5805170000001</v>
      </c>
      <c r="C27" s="3034">
        <v>606.45556599999998</v>
      </c>
      <c r="D27" s="1076">
        <f t="shared" si="0"/>
        <v>535.12495100000012</v>
      </c>
      <c r="E27" s="1222">
        <v>6401.2</v>
      </c>
      <c r="F27" s="201"/>
      <c r="G27" s="201"/>
      <c r="H27" s="3213"/>
      <c r="I27" s="2945"/>
      <c r="J27" s="3213"/>
      <c r="K27" s="3213"/>
    </row>
    <row r="28" spans="1:11">
      <c r="A28" s="63">
        <v>1991.07</v>
      </c>
      <c r="B28" s="169">
        <v>1302.126745</v>
      </c>
      <c r="C28" s="3034">
        <v>748.35573499999998</v>
      </c>
      <c r="D28" s="1076">
        <f t="shared" si="0"/>
        <v>553.77101000000005</v>
      </c>
      <c r="E28" s="1222">
        <v>6534.5</v>
      </c>
      <c r="F28" s="201"/>
      <c r="G28" s="201"/>
      <c r="H28" s="3213"/>
      <c r="I28" s="2945"/>
      <c r="J28" s="3213"/>
      <c r="K28" s="3213"/>
    </row>
    <row r="29" spans="1:11">
      <c r="A29" s="63">
        <v>1991.08</v>
      </c>
      <c r="B29" s="169">
        <v>1074.343869</v>
      </c>
      <c r="C29" s="3034">
        <v>759.651026</v>
      </c>
      <c r="D29" s="1076">
        <f t="shared" si="0"/>
        <v>314.69284300000004</v>
      </c>
      <c r="E29" s="1222">
        <v>6127.1</v>
      </c>
      <c r="F29" s="201"/>
      <c r="G29" s="201"/>
      <c r="H29" s="3213"/>
      <c r="I29" s="2945"/>
      <c r="J29" s="3213"/>
      <c r="K29" s="3213"/>
    </row>
    <row r="30" spans="1:11">
      <c r="A30" s="63">
        <v>1991.09</v>
      </c>
      <c r="B30" s="169">
        <v>1078.6212929999999</v>
      </c>
      <c r="C30" s="3034">
        <v>768.24892999999997</v>
      </c>
      <c r="D30" s="1076">
        <f t="shared" si="0"/>
        <v>310.37236299999995</v>
      </c>
      <c r="E30" s="1222">
        <v>7270.2</v>
      </c>
      <c r="F30" s="201"/>
      <c r="G30" s="201"/>
      <c r="H30" s="3213"/>
      <c r="I30" s="2945"/>
      <c r="J30" s="3213"/>
      <c r="K30" s="3213"/>
    </row>
    <row r="31" spans="1:11">
      <c r="A31" s="63">
        <v>1991.1</v>
      </c>
      <c r="B31" s="169">
        <v>1009.163347</v>
      </c>
      <c r="C31" s="3034">
        <v>936.87978499999997</v>
      </c>
      <c r="D31" s="1076">
        <f t="shared" si="0"/>
        <v>72.283562000000074</v>
      </c>
      <c r="E31" s="1222">
        <v>6703.9</v>
      </c>
      <c r="F31" s="201"/>
      <c r="G31" s="201"/>
      <c r="H31" s="3213"/>
      <c r="I31" s="2945"/>
      <c r="J31" s="3213"/>
      <c r="K31" s="3213"/>
    </row>
    <row r="32" spans="1:11">
      <c r="A32" s="63">
        <v>1991.11</v>
      </c>
      <c r="B32" s="169">
        <v>920.62936000000002</v>
      </c>
      <c r="C32" s="3034">
        <v>1054.902065</v>
      </c>
      <c r="D32" s="1076">
        <f t="shared" si="0"/>
        <v>-134.27270499999997</v>
      </c>
      <c r="E32" s="1222">
        <v>7433.2</v>
      </c>
      <c r="F32" s="201"/>
      <c r="G32" s="201"/>
      <c r="H32" s="3213"/>
      <c r="I32" s="2945"/>
      <c r="J32" s="3213"/>
      <c r="K32" s="3213"/>
    </row>
    <row r="33" spans="1:11">
      <c r="A33" s="63">
        <v>1991.12</v>
      </c>
      <c r="B33" s="169">
        <v>872.85426400000006</v>
      </c>
      <c r="C33" s="3034">
        <v>963.69382900000005</v>
      </c>
      <c r="D33" s="1076">
        <f t="shared" si="0"/>
        <v>-90.839564999999993</v>
      </c>
      <c r="E33" s="1222">
        <v>9093.2999999999993</v>
      </c>
      <c r="F33" s="201"/>
      <c r="G33" s="201"/>
      <c r="H33" s="3213"/>
      <c r="I33" s="2945"/>
      <c r="J33" s="3213"/>
      <c r="K33" s="3213"/>
    </row>
    <row r="34" spans="1:11">
      <c r="A34" s="63">
        <v>1992.01</v>
      </c>
      <c r="B34" s="169">
        <v>725.79817400000002</v>
      </c>
      <c r="C34" s="3034">
        <v>902.94620699999996</v>
      </c>
      <c r="D34" s="1076">
        <f t="shared" si="0"/>
        <v>-177.14803299999994</v>
      </c>
      <c r="E34" s="1222">
        <v>9090.2999999999993</v>
      </c>
      <c r="F34" s="201"/>
      <c r="G34" s="201"/>
      <c r="H34" s="3213"/>
      <c r="I34" s="2945"/>
      <c r="J34" s="3213"/>
      <c r="K34" s="3213"/>
    </row>
    <row r="35" spans="1:11">
      <c r="A35" s="63">
        <v>1992.02</v>
      </c>
      <c r="B35" s="169">
        <v>851.896974</v>
      </c>
      <c r="C35" s="3034">
        <v>914.187817</v>
      </c>
      <c r="D35" s="1076">
        <f t="shared" si="0"/>
        <v>-62.290842999999995</v>
      </c>
      <c r="E35" s="1222">
        <v>8834.7000000000007</v>
      </c>
      <c r="F35" s="201"/>
      <c r="G35" s="201"/>
      <c r="H35" s="3213"/>
      <c r="I35" s="2945"/>
      <c r="J35" s="3213"/>
      <c r="K35" s="3213"/>
    </row>
    <row r="36" spans="1:11">
      <c r="A36" s="63">
        <v>1992.03</v>
      </c>
      <c r="B36" s="169">
        <v>984.64867400000003</v>
      </c>
      <c r="C36" s="3034">
        <v>1070.3378210000001</v>
      </c>
      <c r="D36" s="1076">
        <f t="shared" si="0"/>
        <v>-85.689147000000048</v>
      </c>
      <c r="E36" s="1222">
        <v>9486.2000000000007</v>
      </c>
      <c r="F36" s="201"/>
      <c r="G36" s="201"/>
      <c r="H36" s="3213"/>
      <c r="I36" s="2945"/>
      <c r="J36" s="3213"/>
      <c r="K36" s="3213"/>
    </row>
    <row r="37" spans="1:11">
      <c r="A37" s="63">
        <v>1992.04</v>
      </c>
      <c r="B37" s="169">
        <v>998.05146400000001</v>
      </c>
      <c r="C37" s="3034">
        <v>1186.0421690000001</v>
      </c>
      <c r="D37" s="1076">
        <f t="shared" si="0"/>
        <v>-187.99070500000005</v>
      </c>
      <c r="E37" s="1222">
        <v>9901</v>
      </c>
      <c r="F37" s="201"/>
      <c r="G37" s="201"/>
      <c r="H37" s="3213"/>
      <c r="I37" s="2945"/>
      <c r="J37" s="3213"/>
      <c r="K37" s="3213"/>
    </row>
    <row r="38" spans="1:11">
      <c r="A38" s="63">
        <v>1992.05</v>
      </c>
      <c r="B38" s="169">
        <v>1137.6799559999999</v>
      </c>
      <c r="C38" s="3034">
        <v>1110.860199</v>
      </c>
      <c r="D38" s="1076">
        <f t="shared" si="0"/>
        <v>26.819756999999981</v>
      </c>
      <c r="E38" s="1222">
        <v>10447.299999999999</v>
      </c>
      <c r="F38" s="201"/>
      <c r="G38" s="201"/>
      <c r="H38" s="3213"/>
      <c r="I38" s="2945"/>
      <c r="J38" s="3213"/>
      <c r="K38" s="3213"/>
    </row>
    <row r="39" spans="1:11">
      <c r="A39" s="63">
        <v>1992.06</v>
      </c>
      <c r="B39" s="169">
        <v>1193.1007460000001</v>
      </c>
      <c r="C39" s="3034">
        <v>1284.7340879999999</v>
      </c>
      <c r="D39" s="1076">
        <f t="shared" si="0"/>
        <v>-91.633341999999857</v>
      </c>
      <c r="E39" s="1222">
        <v>10290</v>
      </c>
      <c r="F39" s="201"/>
      <c r="G39" s="201"/>
      <c r="H39" s="3213"/>
      <c r="I39" s="2945"/>
      <c r="J39" s="3213"/>
      <c r="K39" s="3213"/>
    </row>
    <row r="40" spans="1:11">
      <c r="A40" s="63">
        <v>1992.07</v>
      </c>
      <c r="B40" s="169">
        <v>1195.712358</v>
      </c>
      <c r="C40" s="3034">
        <v>1459.9601299999999</v>
      </c>
      <c r="D40" s="1076">
        <f t="shared" si="0"/>
        <v>-264.24777199999994</v>
      </c>
      <c r="E40" s="1222">
        <v>10823.9</v>
      </c>
      <c r="F40" s="201"/>
      <c r="G40" s="201"/>
      <c r="H40" s="3213"/>
      <c r="I40" s="2945"/>
      <c r="J40" s="3213"/>
      <c r="K40" s="3213"/>
    </row>
    <row r="41" spans="1:11">
      <c r="A41" s="63">
        <v>1992.08</v>
      </c>
      <c r="B41" s="169">
        <v>1076.604947</v>
      </c>
      <c r="C41" s="3034">
        <v>1429.65203</v>
      </c>
      <c r="D41" s="1076">
        <f t="shared" si="0"/>
        <v>-353.04708299999993</v>
      </c>
      <c r="E41" s="1222">
        <v>10749.4</v>
      </c>
      <c r="F41" s="201"/>
      <c r="G41" s="201"/>
      <c r="H41" s="3213"/>
      <c r="I41" s="2945"/>
      <c r="J41" s="3213"/>
      <c r="K41" s="3213"/>
    </row>
    <row r="42" spans="1:11">
      <c r="A42" s="63">
        <v>1992.09</v>
      </c>
      <c r="B42" s="169">
        <v>1061.597203</v>
      </c>
      <c r="C42" s="3034">
        <v>1465.142073</v>
      </c>
      <c r="D42" s="1076">
        <f t="shared" si="0"/>
        <v>-403.54486999999995</v>
      </c>
      <c r="E42" s="1222">
        <v>11361</v>
      </c>
      <c r="F42" s="201"/>
      <c r="G42" s="201"/>
      <c r="H42" s="3213"/>
      <c r="I42" s="2945"/>
      <c r="J42" s="3213"/>
      <c r="K42" s="3213"/>
    </row>
    <row r="43" spans="1:11">
      <c r="A43" s="63">
        <v>1992.1</v>
      </c>
      <c r="B43" s="169">
        <v>952.05034599999999</v>
      </c>
      <c r="C43" s="3034">
        <v>1516.8168439999999</v>
      </c>
      <c r="D43" s="1076">
        <f t="shared" si="0"/>
        <v>-564.76649799999996</v>
      </c>
      <c r="E43" s="1222">
        <v>11660.8</v>
      </c>
      <c r="F43" s="201"/>
      <c r="G43" s="201"/>
      <c r="H43" s="3213"/>
      <c r="I43" s="2945"/>
      <c r="J43" s="3213"/>
      <c r="K43" s="3213"/>
    </row>
    <row r="44" spans="1:11">
      <c r="A44" s="63">
        <v>1992.11</v>
      </c>
      <c r="B44" s="169">
        <v>1032.547239</v>
      </c>
      <c r="C44" s="3034">
        <v>1273.6928290000001</v>
      </c>
      <c r="D44" s="1076">
        <f t="shared" si="0"/>
        <v>-241.14559000000008</v>
      </c>
      <c r="E44" s="1222">
        <v>11150.7</v>
      </c>
      <c r="F44" s="201"/>
      <c r="G44" s="201"/>
      <c r="H44" s="3213"/>
      <c r="I44" s="2945"/>
      <c r="J44" s="3213"/>
      <c r="K44" s="3213"/>
    </row>
    <row r="45" spans="1:11">
      <c r="A45" s="63">
        <v>1992.12</v>
      </c>
      <c r="B45" s="169">
        <v>1025.2606639999999</v>
      </c>
      <c r="C45" s="3034">
        <v>1257.381961</v>
      </c>
      <c r="D45" s="1076">
        <f t="shared" si="0"/>
        <v>-232.12129700000014</v>
      </c>
      <c r="E45" s="1222">
        <v>12495.8</v>
      </c>
      <c r="F45" s="201"/>
      <c r="G45" s="201"/>
      <c r="H45" s="3213"/>
      <c r="I45" s="2945"/>
      <c r="J45" s="3213"/>
      <c r="K45" s="3213"/>
    </row>
    <row r="46" spans="1:11">
      <c r="A46" s="63">
        <v>1993.01</v>
      </c>
      <c r="B46" s="169">
        <v>902.00693999999999</v>
      </c>
      <c r="C46" s="3034">
        <v>1038.6474479999999</v>
      </c>
      <c r="D46" s="1076">
        <f t="shared" si="0"/>
        <v>-136.64050799999995</v>
      </c>
      <c r="E46" s="1222">
        <v>12767.4</v>
      </c>
      <c r="F46" s="201"/>
      <c r="G46" s="201"/>
      <c r="H46" s="3213"/>
      <c r="I46" s="2945"/>
      <c r="J46" s="3213"/>
      <c r="K46" s="3213"/>
    </row>
    <row r="47" spans="1:11">
      <c r="A47" s="63">
        <v>1993.02</v>
      </c>
      <c r="B47" s="169">
        <v>910.30477799999994</v>
      </c>
      <c r="C47" s="3034">
        <v>897.60558400000002</v>
      </c>
      <c r="D47" s="1076">
        <f t="shared" si="0"/>
        <v>12.69919399999992</v>
      </c>
      <c r="E47" s="1222">
        <v>12898.7</v>
      </c>
      <c r="F47" s="201"/>
      <c r="G47" s="201"/>
      <c r="H47" s="3213"/>
      <c r="I47" s="2945"/>
      <c r="J47" s="3213"/>
      <c r="K47" s="3213"/>
    </row>
    <row r="48" spans="1:11">
      <c r="A48" s="63">
        <v>1993.03</v>
      </c>
      <c r="B48" s="169">
        <v>1075.0328509999999</v>
      </c>
      <c r="C48" s="3034">
        <v>1322.9286569999999</v>
      </c>
      <c r="D48" s="1076">
        <f t="shared" si="0"/>
        <v>-247.89580599999999</v>
      </c>
      <c r="E48" s="1222">
        <v>13015</v>
      </c>
      <c r="F48" s="201"/>
      <c r="G48" s="201"/>
      <c r="H48" s="3213"/>
      <c r="I48" s="2945"/>
      <c r="J48" s="3213"/>
      <c r="K48" s="3213"/>
    </row>
    <row r="49" spans="1:11">
      <c r="A49" s="63">
        <v>1993.04</v>
      </c>
      <c r="B49" s="169">
        <v>1078.6320479999999</v>
      </c>
      <c r="C49" s="3034">
        <v>1206.81051</v>
      </c>
      <c r="D49" s="1076">
        <f t="shared" si="0"/>
        <v>-128.17846200000008</v>
      </c>
      <c r="E49" s="1222">
        <v>12691.9</v>
      </c>
      <c r="F49" s="201"/>
      <c r="G49" s="201"/>
      <c r="H49" s="3213"/>
      <c r="I49" s="2945"/>
      <c r="J49" s="3213"/>
      <c r="K49" s="3213"/>
    </row>
    <row r="50" spans="1:11">
      <c r="A50" s="63">
        <v>1993.05</v>
      </c>
      <c r="B50" s="169">
        <v>1220.789166</v>
      </c>
      <c r="C50" s="3034">
        <v>1253.398408</v>
      </c>
      <c r="D50" s="1076">
        <f t="shared" si="0"/>
        <v>-32.609241999999995</v>
      </c>
      <c r="E50" s="1222">
        <v>12847.1</v>
      </c>
      <c r="F50" s="201"/>
      <c r="G50" s="201"/>
      <c r="H50" s="3213"/>
      <c r="I50" s="2945"/>
      <c r="J50" s="3213"/>
      <c r="K50" s="3213"/>
    </row>
    <row r="51" spans="1:11">
      <c r="A51" s="63">
        <v>1993.06</v>
      </c>
      <c r="B51" s="169">
        <v>1277.882034</v>
      </c>
      <c r="C51" s="3034">
        <v>1410.1862209999999</v>
      </c>
      <c r="D51" s="1076">
        <f t="shared" si="0"/>
        <v>-132.30418699999996</v>
      </c>
      <c r="E51" s="1222">
        <v>12829</v>
      </c>
      <c r="F51" s="201"/>
      <c r="G51" s="201"/>
      <c r="H51" s="3213"/>
      <c r="I51" s="2945"/>
      <c r="J51" s="3213"/>
      <c r="K51" s="3213"/>
    </row>
    <row r="52" spans="1:11">
      <c r="A52" s="63">
        <v>1993.07</v>
      </c>
      <c r="B52" s="169">
        <v>1161.5192360000001</v>
      </c>
      <c r="C52" s="3034">
        <v>1559.202869</v>
      </c>
      <c r="D52" s="1076">
        <f t="shared" si="0"/>
        <v>-397.68363299999987</v>
      </c>
      <c r="E52" s="1222">
        <v>14388.4</v>
      </c>
      <c r="F52" s="201"/>
      <c r="G52" s="201"/>
      <c r="H52" s="3213"/>
      <c r="I52" s="2945"/>
      <c r="J52" s="3213"/>
      <c r="K52" s="3213"/>
    </row>
    <row r="53" spans="1:11">
      <c r="A53" s="63">
        <v>1993.08</v>
      </c>
      <c r="B53" s="169">
        <v>1082.7340489999999</v>
      </c>
      <c r="C53" s="3034">
        <v>1538.3155400000001</v>
      </c>
      <c r="D53" s="1076">
        <f t="shared" si="0"/>
        <v>-455.58149100000014</v>
      </c>
      <c r="E53" s="1222">
        <v>16060.8</v>
      </c>
      <c r="F53" s="201"/>
      <c r="G53" s="201"/>
      <c r="H53" s="3213"/>
      <c r="I53" s="2945"/>
      <c r="J53" s="3213"/>
      <c r="K53" s="3213"/>
    </row>
    <row r="54" spans="1:11">
      <c r="A54" s="63">
        <v>1993.09</v>
      </c>
      <c r="B54" s="169">
        <v>1190.6036300000001</v>
      </c>
      <c r="C54" s="3034">
        <v>1562.6303849999999</v>
      </c>
      <c r="D54" s="1076">
        <f t="shared" si="0"/>
        <v>-372.02675499999987</v>
      </c>
      <c r="E54" s="1222">
        <v>15014.9</v>
      </c>
      <c r="F54" s="201"/>
      <c r="G54" s="201"/>
      <c r="H54" s="3213"/>
      <c r="I54" s="2945"/>
      <c r="J54" s="3213"/>
      <c r="K54" s="3213"/>
    </row>
    <row r="55" spans="1:11">
      <c r="A55" s="63">
        <v>1993.1</v>
      </c>
      <c r="B55" s="169">
        <v>1091.679142</v>
      </c>
      <c r="C55" s="3034">
        <v>1570.284496</v>
      </c>
      <c r="D55" s="1076">
        <f t="shared" si="0"/>
        <v>-478.60535400000003</v>
      </c>
      <c r="E55" s="1222">
        <v>15148.5</v>
      </c>
      <c r="F55" s="201"/>
      <c r="G55" s="201"/>
      <c r="H55" s="3213"/>
      <c r="I55" s="2945"/>
      <c r="J55" s="3213"/>
      <c r="K55" s="3213"/>
    </row>
    <row r="56" spans="1:11">
      <c r="A56" s="63">
        <v>1993.11</v>
      </c>
      <c r="B56" s="169">
        <v>1015.526883</v>
      </c>
      <c r="C56" s="3034">
        <v>1757.7925720000001</v>
      </c>
      <c r="D56" s="1076">
        <f t="shared" si="0"/>
        <v>-742.26568900000007</v>
      </c>
      <c r="E56" s="1222">
        <v>15193.7</v>
      </c>
      <c r="F56" s="201"/>
      <c r="G56" s="201"/>
      <c r="H56" s="3213"/>
      <c r="I56" s="2945"/>
      <c r="J56" s="3213"/>
      <c r="K56" s="3213"/>
    </row>
    <row r="57" spans="1:11">
      <c r="A57" s="63">
        <v>1993.12</v>
      </c>
      <c r="B57" s="169">
        <v>1111.0471829999999</v>
      </c>
      <c r="C57" s="3034">
        <v>1665.710237</v>
      </c>
      <c r="D57" s="1076">
        <f t="shared" si="0"/>
        <v>-554.6630540000001</v>
      </c>
      <c r="E57" s="1222">
        <v>17222.8</v>
      </c>
      <c r="F57" s="201"/>
      <c r="G57" s="201"/>
      <c r="H57" s="3213"/>
      <c r="I57" s="2945"/>
      <c r="J57" s="3213"/>
      <c r="K57" s="3213"/>
    </row>
    <row r="58" spans="1:11">
      <c r="A58" s="63">
        <v>1994.01</v>
      </c>
      <c r="B58" s="169">
        <v>963.36758799999996</v>
      </c>
      <c r="C58" s="3034">
        <v>1578.238036</v>
      </c>
      <c r="D58" s="1076">
        <f t="shared" si="0"/>
        <v>-614.87044800000001</v>
      </c>
      <c r="E58" s="1222">
        <v>17355.722000000002</v>
      </c>
      <c r="F58" s="201"/>
      <c r="G58" s="201"/>
      <c r="H58" s="3213"/>
      <c r="I58" s="2945"/>
      <c r="J58" s="3213"/>
      <c r="K58" s="3213"/>
    </row>
    <row r="59" spans="1:11">
      <c r="A59" s="63">
        <v>1994.02</v>
      </c>
      <c r="B59" s="169">
        <v>965.82732399999998</v>
      </c>
      <c r="C59" s="3034">
        <v>1487.035885</v>
      </c>
      <c r="D59" s="1076">
        <f t="shared" si="0"/>
        <v>-521.20856100000003</v>
      </c>
      <c r="E59" s="1222">
        <v>17107.716</v>
      </c>
      <c r="F59" s="201"/>
      <c r="G59" s="201"/>
      <c r="H59" s="3213"/>
      <c r="I59" s="2945"/>
      <c r="J59" s="3213"/>
      <c r="K59" s="3213"/>
    </row>
    <row r="60" spans="1:11">
      <c r="A60" s="63">
        <v>1994.03</v>
      </c>
      <c r="B60" s="169">
        <v>1126.6351400000001</v>
      </c>
      <c r="C60" s="3034">
        <v>1849.848279</v>
      </c>
      <c r="D60" s="1076">
        <f t="shared" si="0"/>
        <v>-723.21313899999996</v>
      </c>
      <c r="E60" s="1222">
        <v>16649.876</v>
      </c>
      <c r="F60" s="201"/>
      <c r="G60" s="201"/>
      <c r="H60" s="3213"/>
      <c r="I60" s="2945"/>
      <c r="J60" s="3213"/>
      <c r="K60" s="3213"/>
    </row>
    <row r="61" spans="1:11">
      <c r="A61" s="63">
        <v>1994.04</v>
      </c>
      <c r="B61" s="169">
        <v>1221.823159</v>
      </c>
      <c r="C61" s="3034">
        <v>1751.819589</v>
      </c>
      <c r="D61" s="1076">
        <f t="shared" si="0"/>
        <v>-529.99642999999992</v>
      </c>
      <c r="E61" s="1222">
        <v>16788.578999999998</v>
      </c>
      <c r="F61" s="201"/>
      <c r="G61" s="201"/>
      <c r="H61" s="3213"/>
      <c r="I61" s="2945"/>
      <c r="J61" s="3213"/>
      <c r="K61" s="3213"/>
    </row>
    <row r="62" spans="1:11">
      <c r="A62" s="63">
        <v>1994.05</v>
      </c>
      <c r="B62" s="169">
        <v>1598.178729</v>
      </c>
      <c r="C62" s="3034">
        <v>1740.9545860000001</v>
      </c>
      <c r="D62" s="1076">
        <f t="shared" si="0"/>
        <v>-142.77585700000009</v>
      </c>
      <c r="E62" s="1222">
        <v>16999.263999999999</v>
      </c>
      <c r="F62" s="201"/>
      <c r="G62" s="201"/>
      <c r="H62" s="3213"/>
      <c r="I62" s="2945"/>
      <c r="J62" s="3213"/>
      <c r="K62" s="3213"/>
    </row>
    <row r="63" spans="1:11">
      <c r="A63" s="63">
        <v>1994.06</v>
      </c>
      <c r="B63" s="169">
        <v>1458.4621669999999</v>
      </c>
      <c r="C63" s="3034">
        <v>1835.7948980000001</v>
      </c>
      <c r="D63" s="1076">
        <f t="shared" si="0"/>
        <v>-377.33273100000019</v>
      </c>
      <c r="E63" s="1222">
        <v>17101.654999999999</v>
      </c>
      <c r="F63" s="201"/>
      <c r="G63" s="201"/>
      <c r="H63" s="3213"/>
      <c r="I63" s="2945"/>
      <c r="J63" s="3213"/>
      <c r="K63" s="3213"/>
    </row>
    <row r="64" spans="1:11">
      <c r="A64" s="63">
        <v>1994.07</v>
      </c>
      <c r="B64" s="169">
        <v>1430.051035</v>
      </c>
      <c r="C64" s="3034">
        <v>1775.966983</v>
      </c>
      <c r="D64" s="1076">
        <f t="shared" si="0"/>
        <v>-345.91594800000007</v>
      </c>
      <c r="E64" s="1222">
        <v>17872.058000000001</v>
      </c>
      <c r="F64" s="201"/>
      <c r="G64" s="201"/>
      <c r="H64" s="3213"/>
      <c r="I64" s="2945"/>
      <c r="J64" s="3213"/>
      <c r="K64" s="3213"/>
    </row>
    <row r="65" spans="1:11">
      <c r="A65" s="63">
        <v>1994.08</v>
      </c>
      <c r="B65" s="169">
        <v>1469.6451039999999</v>
      </c>
      <c r="C65" s="3034">
        <v>2102.829972</v>
      </c>
      <c r="D65" s="1076">
        <f t="shared" si="0"/>
        <v>-633.18486800000005</v>
      </c>
      <c r="E65" s="1222">
        <v>17119.756999999998</v>
      </c>
      <c r="F65" s="201"/>
      <c r="G65" s="201"/>
      <c r="H65" s="3213"/>
      <c r="I65" s="2945"/>
      <c r="J65" s="3213"/>
      <c r="K65" s="3213"/>
    </row>
    <row r="66" spans="1:11">
      <c r="A66" s="63">
        <v>1994.09</v>
      </c>
      <c r="B66" s="169">
        <v>1356.761737</v>
      </c>
      <c r="C66" s="3034">
        <v>1766.0140799999999</v>
      </c>
      <c r="D66" s="1076">
        <f t="shared" si="0"/>
        <v>-409.25234299999988</v>
      </c>
      <c r="E66" s="1222">
        <v>17079.563999999998</v>
      </c>
      <c r="F66" s="201"/>
      <c r="G66" s="201"/>
      <c r="H66" s="3213"/>
      <c r="I66" s="2945"/>
      <c r="J66" s="3213"/>
      <c r="K66" s="3213"/>
    </row>
    <row r="67" spans="1:11">
      <c r="A67" s="63">
        <v>1994.1</v>
      </c>
      <c r="B67" s="169">
        <v>1355.1916610000001</v>
      </c>
      <c r="C67" s="3034">
        <v>1840.0035459999999</v>
      </c>
      <c r="D67" s="1076">
        <f t="shared" si="0"/>
        <v>-484.81188499999985</v>
      </c>
      <c r="E67" s="1222">
        <v>16743.076999999997</v>
      </c>
      <c r="F67" s="201"/>
      <c r="G67" s="201"/>
      <c r="H67" s="3213"/>
      <c r="I67" s="2945"/>
      <c r="J67" s="3213"/>
      <c r="K67" s="3213"/>
    </row>
    <row r="68" spans="1:11">
      <c r="A68" s="63">
        <v>1994.11</v>
      </c>
      <c r="B68" s="169">
        <v>1420.8793230000001</v>
      </c>
      <c r="C68" s="3034">
        <v>1891.8529819999999</v>
      </c>
      <c r="D68" s="1076">
        <f t="shared" si="0"/>
        <v>-470.97365899999977</v>
      </c>
      <c r="E68" s="1222">
        <v>16731.624</v>
      </c>
      <c r="F68" s="201"/>
      <c r="G68" s="201"/>
      <c r="H68" s="3213"/>
      <c r="I68" s="2945"/>
      <c r="J68" s="3213"/>
      <c r="K68" s="3213"/>
    </row>
    <row r="69" spans="1:11">
      <c r="A69" s="63">
        <v>1994.12</v>
      </c>
      <c r="B69" s="169">
        <v>1472.390488</v>
      </c>
      <c r="C69" s="3034">
        <v>1969.896542</v>
      </c>
      <c r="D69" s="1076">
        <f t="shared" si="0"/>
        <v>-497.50605399999995</v>
      </c>
      <c r="E69" s="1222">
        <v>17822.927</v>
      </c>
      <c r="F69" s="201"/>
      <c r="G69" s="201"/>
      <c r="H69" s="3213"/>
      <c r="I69" s="2945"/>
      <c r="J69" s="3213"/>
      <c r="K69" s="3213"/>
    </row>
    <row r="70" spans="1:11">
      <c r="A70" s="63">
        <v>1995.01</v>
      </c>
      <c r="B70" s="169">
        <v>1341.892936</v>
      </c>
      <c r="C70" s="3034">
        <v>1717.9107389999999</v>
      </c>
      <c r="D70" s="1076">
        <f t="shared" si="0"/>
        <v>-376.01780299999996</v>
      </c>
      <c r="E70" s="1222">
        <v>15367.806</v>
      </c>
      <c r="F70" s="201"/>
      <c r="G70" s="201"/>
      <c r="H70" s="3213"/>
      <c r="I70" s="2945"/>
      <c r="J70" s="3213"/>
      <c r="K70" s="3213"/>
    </row>
    <row r="71" spans="1:11">
      <c r="A71" s="63">
        <v>1995.02</v>
      </c>
      <c r="B71" s="169">
        <v>1392.1767620000001</v>
      </c>
      <c r="C71" s="3034">
        <v>1629.544245</v>
      </c>
      <c r="D71" s="1076">
        <f t="shared" si="0"/>
        <v>-237.36748299999999</v>
      </c>
      <c r="E71" s="1222">
        <v>14521.665000000001</v>
      </c>
      <c r="F71" s="201"/>
      <c r="G71" s="201"/>
      <c r="H71" s="3213"/>
      <c r="I71" s="2945"/>
      <c r="J71" s="3213"/>
      <c r="K71" s="3213"/>
    </row>
    <row r="72" spans="1:11">
      <c r="A72" s="63">
        <v>1995.03</v>
      </c>
      <c r="B72" s="169">
        <v>1801.805398</v>
      </c>
      <c r="C72" s="3034">
        <v>1890.613932</v>
      </c>
      <c r="D72" s="1076">
        <f t="shared" si="0"/>
        <v>-88.808534000000009</v>
      </c>
      <c r="E72" s="1222">
        <v>11707.546</v>
      </c>
      <c r="F72" s="201"/>
      <c r="G72" s="201"/>
      <c r="H72" s="3213"/>
      <c r="I72" s="2945"/>
      <c r="J72" s="3213"/>
      <c r="K72" s="3213"/>
    </row>
    <row r="73" spans="1:11">
      <c r="A73" s="63">
        <v>1995.04</v>
      </c>
      <c r="B73" s="169">
        <v>1897.065341</v>
      </c>
      <c r="C73" s="3034">
        <v>1485.1774089999999</v>
      </c>
      <c r="D73" s="1076">
        <f t="shared" si="0"/>
        <v>411.88793200000009</v>
      </c>
      <c r="E73" s="1222">
        <v>11559.723</v>
      </c>
      <c r="F73" s="201"/>
      <c r="G73" s="201"/>
      <c r="H73" s="3213"/>
      <c r="I73" s="2945"/>
      <c r="J73" s="3213"/>
      <c r="K73" s="3213"/>
    </row>
    <row r="74" spans="1:11">
      <c r="A74" s="63">
        <v>1995.05</v>
      </c>
      <c r="B74" s="169">
        <v>2270.4402559999999</v>
      </c>
      <c r="C74" s="3034">
        <v>1721.8131519999999</v>
      </c>
      <c r="D74" s="1076">
        <f t="shared" ref="D74:D137" si="1">B74-C74</f>
        <v>548.62710399999992</v>
      </c>
      <c r="E74" s="1222">
        <v>11629.723</v>
      </c>
      <c r="F74" s="201"/>
      <c r="G74" s="201"/>
      <c r="H74" s="3213"/>
      <c r="I74" s="2945"/>
      <c r="J74" s="3213"/>
      <c r="K74" s="3213"/>
    </row>
    <row r="75" spans="1:11">
      <c r="A75" s="63">
        <v>1995.06</v>
      </c>
      <c r="B75" s="169">
        <v>2149.367295</v>
      </c>
      <c r="C75" s="3034">
        <v>1573.1187789999999</v>
      </c>
      <c r="D75" s="1076">
        <f t="shared" si="1"/>
        <v>576.24851600000011</v>
      </c>
      <c r="E75" s="1222">
        <v>13709.099</v>
      </c>
      <c r="F75" s="201"/>
      <c r="G75" s="201"/>
      <c r="H75" s="3213"/>
      <c r="I75" s="2945"/>
      <c r="J75" s="3213"/>
      <c r="K75" s="3213"/>
    </row>
    <row r="76" spans="1:11">
      <c r="A76" s="63">
        <v>1995.07</v>
      </c>
      <c r="B76" s="169">
        <v>1842.4491969999999</v>
      </c>
      <c r="C76" s="3034">
        <v>1518.781747</v>
      </c>
      <c r="D76" s="1076">
        <f t="shared" si="1"/>
        <v>323.66744999999992</v>
      </c>
      <c r="E76" s="1222">
        <v>14428.75</v>
      </c>
      <c r="F76" s="201"/>
      <c r="G76" s="201"/>
      <c r="H76" s="3213"/>
      <c r="I76" s="2945"/>
      <c r="J76" s="3213"/>
      <c r="K76" s="3213"/>
    </row>
    <row r="77" spans="1:11">
      <c r="A77" s="63">
        <v>1995.08</v>
      </c>
      <c r="B77" s="169">
        <v>1766.7271410000001</v>
      </c>
      <c r="C77" s="3034">
        <v>1743.8315889999999</v>
      </c>
      <c r="D77" s="1076">
        <f t="shared" si="1"/>
        <v>22.89555200000018</v>
      </c>
      <c r="E77" s="1222">
        <v>12761.29</v>
      </c>
      <c r="F77" s="201"/>
      <c r="G77" s="201"/>
      <c r="H77" s="3213"/>
      <c r="I77" s="2945"/>
      <c r="J77" s="3213"/>
      <c r="K77" s="3213"/>
    </row>
    <row r="78" spans="1:11">
      <c r="A78" s="63">
        <v>1995.09</v>
      </c>
      <c r="B78" s="169">
        <v>1664.471229</v>
      </c>
      <c r="C78" s="3034">
        <v>1654.5498729999999</v>
      </c>
      <c r="D78" s="1076">
        <f t="shared" si="1"/>
        <v>9.9213560000000598</v>
      </c>
      <c r="E78" s="1222">
        <v>14213.633</v>
      </c>
      <c r="F78" s="201"/>
      <c r="G78" s="201"/>
      <c r="H78" s="3213"/>
      <c r="I78" s="2945"/>
      <c r="J78" s="3213"/>
      <c r="K78" s="3213"/>
    </row>
    <row r="79" spans="1:11">
      <c r="A79" s="63">
        <v>1995.1</v>
      </c>
      <c r="B79" s="169">
        <v>1577.411756</v>
      </c>
      <c r="C79" s="3034">
        <v>1752.3752139999999</v>
      </c>
      <c r="D79" s="1076">
        <f t="shared" si="1"/>
        <v>-174.96345799999995</v>
      </c>
      <c r="E79" s="1222">
        <v>13469.981</v>
      </c>
      <c r="F79" s="201"/>
      <c r="G79" s="201"/>
      <c r="H79" s="3213"/>
      <c r="I79" s="2945"/>
      <c r="J79" s="3213"/>
      <c r="K79" s="3213"/>
    </row>
    <row r="80" spans="1:11">
      <c r="A80" s="63">
        <v>1995.11</v>
      </c>
      <c r="B80" s="169">
        <v>1588.758572</v>
      </c>
      <c r="C80" s="3034">
        <v>1833.0260929999999</v>
      </c>
      <c r="D80" s="1076">
        <f t="shared" si="1"/>
        <v>-244.26752099999999</v>
      </c>
      <c r="E80" s="1222">
        <v>13671.195000000002</v>
      </c>
      <c r="F80" s="201"/>
      <c r="G80" s="201"/>
      <c r="H80" s="3213"/>
      <c r="I80" s="2945"/>
      <c r="J80" s="3213"/>
      <c r="K80" s="3213"/>
    </row>
    <row r="81" spans="1:11">
      <c r="A81" s="63">
        <v>1995.12</v>
      </c>
      <c r="B81" s="169">
        <v>1670.5422550000001</v>
      </c>
      <c r="C81" s="3034">
        <v>1600.9397200000001</v>
      </c>
      <c r="D81" s="1076">
        <f t="shared" si="1"/>
        <v>69.602534999999989</v>
      </c>
      <c r="E81" s="1222">
        <v>17345.898999999998</v>
      </c>
      <c r="F81" s="201"/>
      <c r="G81" s="201"/>
      <c r="H81" s="3213"/>
      <c r="I81" s="2945"/>
      <c r="J81" s="3213"/>
      <c r="K81" s="3213"/>
    </row>
    <row r="82" spans="1:11">
      <c r="A82" s="63">
        <v>1996.01</v>
      </c>
      <c r="B82" s="169">
        <v>1449.080019</v>
      </c>
      <c r="C82" s="3034">
        <v>1681.9460859999999</v>
      </c>
      <c r="D82" s="1076">
        <f t="shared" si="1"/>
        <v>-232.86606699999993</v>
      </c>
      <c r="E82" s="1222">
        <v>16517</v>
      </c>
      <c r="F82" s="201"/>
      <c r="G82" s="201"/>
      <c r="H82" s="3213"/>
      <c r="I82" s="2945"/>
      <c r="J82" s="3213"/>
      <c r="K82" s="3213"/>
    </row>
    <row r="83" spans="1:11">
      <c r="A83" s="63">
        <v>1996.02</v>
      </c>
      <c r="B83" s="169">
        <v>1419.8256160000001</v>
      </c>
      <c r="C83" s="3034">
        <v>1522.092476</v>
      </c>
      <c r="D83" s="1076">
        <f t="shared" si="1"/>
        <v>-102.26685999999995</v>
      </c>
      <c r="E83" s="1222">
        <v>18372</v>
      </c>
      <c r="F83" s="201"/>
      <c r="G83" s="201"/>
      <c r="H83" s="3213"/>
      <c r="I83" s="2945"/>
      <c r="J83" s="3213"/>
      <c r="K83" s="3213"/>
    </row>
    <row r="84" spans="1:11">
      <c r="A84" s="63">
        <v>1996.03</v>
      </c>
      <c r="B84" s="169">
        <v>1869.0672569999999</v>
      </c>
      <c r="C84" s="3034">
        <v>1781.66975</v>
      </c>
      <c r="D84" s="1076">
        <f t="shared" si="1"/>
        <v>87.397506999999905</v>
      </c>
      <c r="E84" s="1222">
        <v>18646</v>
      </c>
      <c r="F84" s="201"/>
      <c r="G84" s="201"/>
      <c r="H84" s="3213"/>
      <c r="I84" s="2945"/>
      <c r="J84" s="3213"/>
      <c r="K84" s="3213"/>
    </row>
    <row r="85" spans="1:11">
      <c r="A85" s="63">
        <v>1996.04</v>
      </c>
      <c r="B85" s="169">
        <v>2013.250436</v>
      </c>
      <c r="C85" s="3034">
        <v>1812.9351819999999</v>
      </c>
      <c r="D85" s="1076">
        <f t="shared" si="1"/>
        <v>200.3152540000001</v>
      </c>
      <c r="E85" s="1222">
        <v>17763</v>
      </c>
      <c r="F85" s="201"/>
      <c r="G85" s="201"/>
      <c r="H85" s="3213"/>
      <c r="I85" s="2945"/>
      <c r="J85" s="3213"/>
      <c r="K85" s="3213"/>
    </row>
    <row r="86" spans="1:11">
      <c r="A86" s="63">
        <v>1996.05</v>
      </c>
      <c r="B86" s="169">
        <v>2386.3763680000002</v>
      </c>
      <c r="C86" s="3034">
        <v>1916.198684</v>
      </c>
      <c r="D86" s="1076">
        <f t="shared" si="1"/>
        <v>470.17768400000023</v>
      </c>
      <c r="E86" s="1222">
        <v>18073</v>
      </c>
      <c r="F86" s="201"/>
      <c r="G86" s="201"/>
      <c r="H86" s="3213"/>
      <c r="I86" s="2945"/>
      <c r="J86" s="3213"/>
      <c r="K86" s="3213"/>
    </row>
    <row r="87" spans="1:11">
      <c r="A87" s="63">
        <v>1996.06</v>
      </c>
      <c r="B87" s="169">
        <v>2205.9842870000002</v>
      </c>
      <c r="C87" s="3034">
        <v>1996.430468</v>
      </c>
      <c r="D87" s="1076">
        <f t="shared" si="1"/>
        <v>209.5538190000002</v>
      </c>
      <c r="E87" s="1222">
        <v>19974</v>
      </c>
      <c r="F87" s="201"/>
      <c r="G87" s="201"/>
      <c r="H87" s="3213"/>
      <c r="I87" s="2945"/>
      <c r="J87" s="3213"/>
      <c r="K87" s="3213"/>
    </row>
    <row r="88" spans="1:11">
      <c r="A88" s="63">
        <v>1996.07</v>
      </c>
      <c r="B88" s="169">
        <v>2225.2148969999998</v>
      </c>
      <c r="C88" s="3034">
        <v>2291.0168330000001</v>
      </c>
      <c r="D88" s="1076">
        <f t="shared" si="1"/>
        <v>-65.801936000000296</v>
      </c>
      <c r="E88" s="1222">
        <v>19719</v>
      </c>
      <c r="F88" s="201"/>
      <c r="G88" s="201"/>
      <c r="H88" s="3213"/>
      <c r="I88" s="2945"/>
      <c r="J88" s="3213"/>
      <c r="K88" s="3213"/>
    </row>
    <row r="89" spans="1:11">
      <c r="A89" s="63">
        <v>1996.08</v>
      </c>
      <c r="B89" s="169">
        <v>2270.0734210000001</v>
      </c>
      <c r="C89" s="3034">
        <v>2307.5313059999999</v>
      </c>
      <c r="D89" s="1076">
        <f t="shared" si="1"/>
        <v>-37.457884999999806</v>
      </c>
      <c r="E89" s="1222">
        <v>19530</v>
      </c>
      <c r="F89" s="201"/>
      <c r="G89" s="201"/>
      <c r="H89" s="3213"/>
      <c r="I89" s="2945"/>
      <c r="J89" s="3213"/>
      <c r="K89" s="3213"/>
    </row>
    <row r="90" spans="1:11">
      <c r="A90" s="63">
        <v>1996.09</v>
      </c>
      <c r="B90" s="169">
        <v>1943.261033</v>
      </c>
      <c r="C90" s="3034">
        <v>1980.8701510000001</v>
      </c>
      <c r="D90" s="1076">
        <f t="shared" si="1"/>
        <v>-37.60911800000008</v>
      </c>
      <c r="E90" s="1222">
        <v>19984</v>
      </c>
      <c r="F90" s="201"/>
      <c r="G90" s="201"/>
      <c r="H90" s="3213"/>
      <c r="I90" s="2945"/>
      <c r="J90" s="3213"/>
      <c r="K90" s="3213"/>
    </row>
    <row r="91" spans="1:11">
      <c r="A91" s="63">
        <v>1996.1</v>
      </c>
      <c r="B91" s="169">
        <v>2073.7680789999999</v>
      </c>
      <c r="C91" s="3034">
        <v>2294.085075</v>
      </c>
      <c r="D91" s="1076">
        <f t="shared" si="1"/>
        <v>-220.31699600000002</v>
      </c>
      <c r="E91" s="1222">
        <v>19288</v>
      </c>
      <c r="F91" s="201"/>
      <c r="G91" s="201"/>
      <c r="H91" s="3213"/>
      <c r="I91" s="2945"/>
      <c r="J91" s="3213"/>
      <c r="K91" s="3213"/>
    </row>
    <row r="92" spans="1:11">
      <c r="A92" s="63">
        <v>1996.11</v>
      </c>
      <c r="B92" s="169">
        <v>1918.3570239999999</v>
      </c>
      <c r="C92" s="3034">
        <v>2098.7689049999999</v>
      </c>
      <c r="D92" s="1076">
        <f t="shared" si="1"/>
        <v>-180.41188099999999</v>
      </c>
      <c r="E92" s="1222">
        <v>20033</v>
      </c>
      <c r="F92" s="201"/>
      <c r="G92" s="201"/>
      <c r="H92" s="3213"/>
      <c r="I92" s="2945"/>
      <c r="J92" s="3213"/>
      <c r="K92" s="3213"/>
    </row>
    <row r="93" spans="1:11">
      <c r="A93" s="63">
        <v>1996.12</v>
      </c>
      <c r="B93" s="169">
        <v>2036.4585360000001</v>
      </c>
      <c r="C93" s="3034">
        <v>2078.2639760000002</v>
      </c>
      <c r="D93" s="1076">
        <f t="shared" si="1"/>
        <v>-41.80544000000009</v>
      </c>
      <c r="E93" s="1222">
        <v>23330</v>
      </c>
      <c r="F93" s="201"/>
      <c r="G93" s="201"/>
      <c r="H93" s="3213"/>
      <c r="I93" s="2945"/>
      <c r="J93" s="3213"/>
      <c r="K93" s="3213"/>
    </row>
    <row r="94" spans="1:11">
      <c r="A94" s="63">
        <v>1997.01</v>
      </c>
      <c r="B94" s="169">
        <v>1894.771291</v>
      </c>
      <c r="C94" s="3034">
        <v>2333.3745220000001</v>
      </c>
      <c r="D94" s="1076">
        <f t="shared" si="1"/>
        <v>-438.60323100000005</v>
      </c>
      <c r="E94" s="1222">
        <v>23426</v>
      </c>
      <c r="F94" s="201"/>
      <c r="G94" s="201"/>
      <c r="H94" s="3213"/>
      <c r="I94" s="2945"/>
      <c r="J94" s="3213"/>
      <c r="K94" s="3213"/>
    </row>
    <row r="95" spans="1:11">
      <c r="A95" s="63">
        <v>1997.02</v>
      </c>
      <c r="B95" s="169">
        <v>1884.3977620000001</v>
      </c>
      <c r="C95" s="3034">
        <v>2026.635464</v>
      </c>
      <c r="D95" s="1076">
        <f t="shared" si="1"/>
        <v>-142.2377019999999</v>
      </c>
      <c r="E95" s="1222">
        <v>25155</v>
      </c>
      <c r="F95" s="201"/>
      <c r="G95" s="201"/>
      <c r="H95" s="3213"/>
      <c r="I95" s="2945"/>
      <c r="J95" s="3213"/>
      <c r="K95" s="3213"/>
    </row>
    <row r="96" spans="1:11">
      <c r="A96" s="63">
        <v>1997.03</v>
      </c>
      <c r="B96" s="169">
        <v>1994.6755909999999</v>
      </c>
      <c r="C96" s="3034">
        <v>2133.055331</v>
      </c>
      <c r="D96" s="1076">
        <f t="shared" si="1"/>
        <v>-138.37974000000008</v>
      </c>
      <c r="E96" s="1222">
        <v>24406</v>
      </c>
      <c r="F96" s="201"/>
      <c r="G96" s="201"/>
      <c r="H96" s="3213"/>
      <c r="I96" s="2945"/>
      <c r="J96" s="3213"/>
      <c r="K96" s="3213"/>
    </row>
    <row r="97" spans="1:11">
      <c r="A97" s="63">
        <v>1997.04</v>
      </c>
      <c r="B97" s="169">
        <v>2420.2429069999998</v>
      </c>
      <c r="C97" s="3034">
        <v>2529.0433419999999</v>
      </c>
      <c r="D97" s="1076">
        <f t="shared" si="1"/>
        <v>-108.80043500000011</v>
      </c>
      <c r="E97" s="1222">
        <v>24028</v>
      </c>
      <c r="F97" s="201"/>
      <c r="G97" s="201"/>
      <c r="H97" s="3213"/>
      <c r="I97" s="2945"/>
      <c r="J97" s="3213"/>
      <c r="K97" s="3213"/>
    </row>
    <row r="98" spans="1:11">
      <c r="A98" s="63">
        <v>1997.05</v>
      </c>
      <c r="B98" s="169">
        <v>2562.9756619999998</v>
      </c>
      <c r="C98" s="3034">
        <v>2543.8848349999998</v>
      </c>
      <c r="D98" s="1076">
        <f t="shared" si="1"/>
        <v>19.09082699999999</v>
      </c>
      <c r="E98" s="1222">
        <v>26007</v>
      </c>
      <c r="F98" s="201"/>
      <c r="G98" s="201"/>
      <c r="H98" s="3213"/>
      <c r="I98" s="2945"/>
      <c r="J98" s="3213"/>
      <c r="K98" s="3213"/>
    </row>
    <row r="99" spans="1:11">
      <c r="A99" s="63">
        <v>1997.06</v>
      </c>
      <c r="B99" s="169">
        <v>2265.186338</v>
      </c>
      <c r="C99" s="3034">
        <v>2446.7506370000001</v>
      </c>
      <c r="D99" s="1076">
        <f t="shared" si="1"/>
        <v>-181.56429900000012</v>
      </c>
      <c r="E99" s="1222">
        <v>25862</v>
      </c>
      <c r="F99" s="201"/>
      <c r="G99" s="201"/>
      <c r="H99" s="3213"/>
      <c r="I99" s="2945"/>
      <c r="J99" s="3213"/>
      <c r="K99" s="3213"/>
    </row>
    <row r="100" spans="1:11">
      <c r="A100" s="63">
        <v>1997.07</v>
      </c>
      <c r="B100" s="169">
        <v>2357.7206780000001</v>
      </c>
      <c r="C100" s="3034">
        <v>2733.5564140000001</v>
      </c>
      <c r="D100" s="1076">
        <f t="shared" si="1"/>
        <v>-375.835736</v>
      </c>
      <c r="E100" s="1222">
        <v>26863</v>
      </c>
      <c r="F100" s="201"/>
      <c r="G100" s="201"/>
      <c r="H100" s="3213"/>
      <c r="I100" s="2945"/>
      <c r="J100" s="3213"/>
      <c r="K100" s="3213"/>
    </row>
    <row r="101" spans="1:11">
      <c r="A101" s="63">
        <v>1997.08</v>
      </c>
      <c r="B101" s="169">
        <v>2356.2175849999999</v>
      </c>
      <c r="C101" s="3034">
        <v>2693.938373</v>
      </c>
      <c r="D101" s="1076">
        <f t="shared" si="1"/>
        <v>-337.72078800000008</v>
      </c>
      <c r="E101" s="1222">
        <v>27879</v>
      </c>
      <c r="F101" s="201"/>
      <c r="G101" s="201"/>
      <c r="H101" s="3213"/>
      <c r="I101" s="2945"/>
      <c r="J101" s="3213"/>
      <c r="K101" s="3213"/>
    </row>
    <row r="102" spans="1:11">
      <c r="A102" s="63">
        <v>1997.09</v>
      </c>
      <c r="B102" s="169">
        <v>2276.578857</v>
      </c>
      <c r="C102" s="3034">
        <v>2766.8456860000001</v>
      </c>
      <c r="D102" s="1076">
        <f t="shared" si="1"/>
        <v>-490.26682900000014</v>
      </c>
      <c r="E102" s="1222">
        <v>26521</v>
      </c>
      <c r="F102" s="201"/>
      <c r="G102" s="201"/>
      <c r="H102" s="3213"/>
      <c r="I102" s="2945"/>
      <c r="J102" s="3213"/>
      <c r="K102" s="3213"/>
    </row>
    <row r="103" spans="1:11">
      <c r="A103" s="63">
        <v>1997.1</v>
      </c>
      <c r="B103" s="169">
        <v>2373.9502929999999</v>
      </c>
      <c r="C103" s="3034">
        <v>2836.1655329999999</v>
      </c>
      <c r="D103" s="1076">
        <f t="shared" si="1"/>
        <v>-462.21523999999999</v>
      </c>
      <c r="E103" s="1222">
        <v>27591</v>
      </c>
      <c r="F103" s="201"/>
      <c r="G103" s="201"/>
      <c r="H103" s="3213"/>
      <c r="I103" s="2945"/>
      <c r="J103" s="3213"/>
      <c r="K103" s="3213"/>
    </row>
    <row r="104" spans="1:11">
      <c r="A104" s="63">
        <v>1997.11</v>
      </c>
      <c r="B104" s="169">
        <v>2022.435923</v>
      </c>
      <c r="C104" s="3034">
        <v>2799.4782409999998</v>
      </c>
      <c r="D104" s="1076">
        <f t="shared" si="1"/>
        <v>-777.0423179999998</v>
      </c>
      <c r="E104" s="1222">
        <v>27331</v>
      </c>
      <c r="F104" s="201"/>
      <c r="G104" s="201"/>
      <c r="H104" s="3213"/>
      <c r="I104" s="2945"/>
      <c r="J104" s="3213"/>
      <c r="K104" s="3213"/>
    </row>
    <row r="105" spans="1:11">
      <c r="A105" s="63">
        <v>1997.12</v>
      </c>
      <c r="B105" s="169">
        <v>2021.701632</v>
      </c>
      <c r="C105" s="3034">
        <v>2607.4555799999998</v>
      </c>
      <c r="D105" s="1076">
        <f t="shared" si="1"/>
        <v>-585.75394799999981</v>
      </c>
      <c r="E105" s="1222">
        <v>29769</v>
      </c>
      <c r="F105" s="201"/>
      <c r="G105" s="201"/>
      <c r="H105" s="3213"/>
      <c r="I105" s="2945"/>
      <c r="J105" s="3213"/>
      <c r="K105" s="3213"/>
    </row>
    <row r="106" spans="1:11">
      <c r="A106" s="63">
        <v>1998.01</v>
      </c>
      <c r="B106" s="169">
        <v>1767.1655519999999</v>
      </c>
      <c r="C106" s="3034">
        <v>2558.3209379999998</v>
      </c>
      <c r="D106" s="1076">
        <f t="shared" si="1"/>
        <v>-791.15538599999991</v>
      </c>
      <c r="E106" s="1222">
        <v>27914</v>
      </c>
      <c r="F106" s="201"/>
      <c r="G106" s="201"/>
      <c r="H106" s="3213"/>
      <c r="I106" s="2945"/>
      <c r="J106" s="3213"/>
      <c r="K106" s="3213"/>
    </row>
    <row r="107" spans="1:11">
      <c r="A107" s="63">
        <v>1998.02</v>
      </c>
      <c r="B107" s="169">
        <v>1883.4331179999999</v>
      </c>
      <c r="C107" s="3034">
        <v>2282.8121500000002</v>
      </c>
      <c r="D107" s="1076">
        <f t="shared" si="1"/>
        <v>-399.37903200000028</v>
      </c>
      <c r="E107" s="1222">
        <v>31325</v>
      </c>
      <c r="F107" s="201"/>
      <c r="G107" s="201"/>
      <c r="H107" s="3213"/>
      <c r="I107" s="2945"/>
      <c r="J107" s="3213"/>
      <c r="K107" s="3213"/>
    </row>
    <row r="108" spans="1:11">
      <c r="A108" s="63">
        <v>1998.03</v>
      </c>
      <c r="B108" s="169">
        <v>2239.4990680000001</v>
      </c>
      <c r="C108" s="3034">
        <v>2693.9489370000001</v>
      </c>
      <c r="D108" s="1076">
        <f t="shared" si="1"/>
        <v>-454.44986900000004</v>
      </c>
      <c r="E108" s="1222">
        <v>29993</v>
      </c>
      <c r="F108" s="201"/>
      <c r="G108" s="201"/>
      <c r="H108" s="3213"/>
      <c r="I108" s="2945"/>
      <c r="J108" s="3213"/>
      <c r="K108" s="3213"/>
    </row>
    <row r="109" spans="1:11">
      <c r="A109" s="63">
        <v>1998.04</v>
      </c>
      <c r="B109" s="169">
        <v>2489.7957249999999</v>
      </c>
      <c r="C109" s="3034">
        <v>2739.397399</v>
      </c>
      <c r="D109" s="1076">
        <f t="shared" si="1"/>
        <v>-249.601674</v>
      </c>
      <c r="E109" s="1222">
        <v>29941</v>
      </c>
      <c r="F109" s="201"/>
      <c r="G109" s="201"/>
      <c r="H109" s="3213"/>
      <c r="I109" s="2945"/>
      <c r="J109" s="3213"/>
      <c r="K109" s="3213"/>
    </row>
    <row r="110" spans="1:11">
      <c r="A110" s="63">
        <v>1998.05</v>
      </c>
      <c r="B110" s="169">
        <v>2571.8065310000002</v>
      </c>
      <c r="C110" s="3034">
        <v>2625.7977030000002</v>
      </c>
      <c r="D110" s="1076">
        <f t="shared" si="1"/>
        <v>-53.991172000000006</v>
      </c>
      <c r="E110" s="1222">
        <v>30462</v>
      </c>
      <c r="F110" s="201"/>
      <c r="G110" s="201"/>
      <c r="H110" s="3213"/>
      <c r="I110" s="2945"/>
      <c r="J110" s="3213"/>
      <c r="K110" s="3213"/>
    </row>
    <row r="111" spans="1:11">
      <c r="A111" s="63">
        <v>1998.06</v>
      </c>
      <c r="B111" s="169">
        <v>2624.455168</v>
      </c>
      <c r="C111" s="3034">
        <v>2823.1031170000001</v>
      </c>
      <c r="D111" s="1076">
        <f t="shared" si="1"/>
        <v>-198.64794900000015</v>
      </c>
      <c r="E111" s="1222">
        <v>30919</v>
      </c>
      <c r="F111" s="201"/>
      <c r="G111" s="201"/>
      <c r="H111" s="3213"/>
      <c r="I111" s="2945"/>
      <c r="J111" s="3213"/>
      <c r="K111" s="3213"/>
    </row>
    <row r="112" spans="1:11">
      <c r="A112" s="63">
        <v>1998.07</v>
      </c>
      <c r="B112" s="169">
        <v>2362.1191979999999</v>
      </c>
      <c r="C112" s="3034">
        <v>3027.2884629999999</v>
      </c>
      <c r="D112" s="1076">
        <f t="shared" si="1"/>
        <v>-665.169265</v>
      </c>
      <c r="E112" s="1222">
        <v>33513</v>
      </c>
      <c r="F112" s="201"/>
      <c r="G112" s="201"/>
      <c r="H112" s="3213"/>
      <c r="I112" s="2945"/>
      <c r="J112" s="3213"/>
      <c r="K112" s="3213"/>
    </row>
    <row r="113" spans="1:11">
      <c r="A113" s="63">
        <v>1998.08</v>
      </c>
      <c r="B113" s="169">
        <v>2367.288775</v>
      </c>
      <c r="C113" s="3034">
        <v>2740.494494</v>
      </c>
      <c r="D113" s="1076">
        <f t="shared" si="1"/>
        <v>-373.20571900000004</v>
      </c>
      <c r="E113" s="1222">
        <v>31766</v>
      </c>
      <c r="F113" s="201"/>
      <c r="G113" s="201"/>
      <c r="H113" s="3213"/>
      <c r="I113" s="2945"/>
      <c r="J113" s="3213"/>
      <c r="K113" s="3213"/>
    </row>
    <row r="114" spans="1:11">
      <c r="A114" s="63">
        <v>1998.09</v>
      </c>
      <c r="B114" s="169">
        <v>2297.6922009999998</v>
      </c>
      <c r="C114" s="3034">
        <v>2660.692638</v>
      </c>
      <c r="D114" s="1076">
        <f t="shared" si="1"/>
        <v>-363.00043700000015</v>
      </c>
      <c r="E114" s="1222">
        <v>30716</v>
      </c>
      <c r="F114" s="201"/>
      <c r="G114" s="201"/>
      <c r="H114" s="3213"/>
      <c r="I114" s="2945"/>
      <c r="J114" s="3213"/>
      <c r="K114" s="3213"/>
    </row>
    <row r="115" spans="1:11">
      <c r="A115" s="63">
        <v>1998.1</v>
      </c>
      <c r="B115" s="169">
        <v>2015.4440979999999</v>
      </c>
      <c r="C115" s="3034">
        <v>2591.1913330000002</v>
      </c>
      <c r="D115" s="1076">
        <f t="shared" si="1"/>
        <v>-575.74723500000027</v>
      </c>
      <c r="E115" s="1222">
        <v>30283</v>
      </c>
      <c r="F115" s="201"/>
      <c r="G115" s="201"/>
      <c r="H115" s="3213"/>
      <c r="I115" s="2945"/>
      <c r="J115" s="3213"/>
      <c r="K115" s="3213"/>
    </row>
    <row r="116" spans="1:11">
      <c r="A116" s="63">
        <v>1998.11</v>
      </c>
      <c r="B116" s="169">
        <v>1884.364998</v>
      </c>
      <c r="C116" s="3034">
        <v>2456.459198</v>
      </c>
      <c r="D116" s="1076">
        <f t="shared" si="1"/>
        <v>-572.0942</v>
      </c>
      <c r="E116" s="1222">
        <v>30468</v>
      </c>
      <c r="F116" s="201"/>
      <c r="G116" s="201"/>
      <c r="H116" s="3213"/>
      <c r="I116" s="2945"/>
      <c r="J116" s="3213"/>
      <c r="K116" s="3213"/>
    </row>
    <row r="117" spans="1:11">
      <c r="A117" s="63">
        <v>1998.12</v>
      </c>
      <c r="B117" s="169">
        <v>1930.6339620000001</v>
      </c>
      <c r="C117" s="3034">
        <v>2177.853901</v>
      </c>
      <c r="D117" s="1076">
        <f t="shared" si="1"/>
        <v>-247.21993899999984</v>
      </c>
      <c r="E117" s="1222">
        <v>31736</v>
      </c>
      <c r="F117" s="201"/>
      <c r="G117" s="201"/>
      <c r="H117" s="3213"/>
      <c r="I117" s="2945"/>
      <c r="J117" s="3213"/>
      <c r="K117" s="3213"/>
    </row>
    <row r="118" spans="1:11">
      <c r="A118" s="63">
        <v>1999.01</v>
      </c>
      <c r="B118" s="169">
        <v>1543.548732</v>
      </c>
      <c r="C118" s="3034">
        <v>1906.339612</v>
      </c>
      <c r="D118" s="1076">
        <f t="shared" si="1"/>
        <v>-362.79088000000002</v>
      </c>
      <c r="E118" s="1222">
        <v>30931</v>
      </c>
      <c r="F118" s="201"/>
      <c r="G118" s="201"/>
      <c r="H118" s="3213"/>
      <c r="I118" s="2945"/>
      <c r="J118" s="3213"/>
      <c r="K118" s="3213"/>
    </row>
    <row r="119" spans="1:11">
      <c r="A119" s="63">
        <v>1999.02</v>
      </c>
      <c r="B119" s="169">
        <v>1523.961372</v>
      </c>
      <c r="C119" s="3034">
        <v>1855.728419</v>
      </c>
      <c r="D119" s="1076">
        <f t="shared" si="1"/>
        <v>-331.76704700000005</v>
      </c>
      <c r="E119" s="1222">
        <v>33342</v>
      </c>
      <c r="F119" s="201"/>
      <c r="G119" s="201"/>
      <c r="H119" s="3213"/>
      <c r="I119" s="2945"/>
      <c r="J119" s="3213"/>
      <c r="K119" s="3213"/>
    </row>
    <row r="120" spans="1:11">
      <c r="A120" s="63">
        <v>1999.03</v>
      </c>
      <c r="B120" s="169">
        <v>1997.620964</v>
      </c>
      <c r="C120" s="3034">
        <v>2078.1561609999999</v>
      </c>
      <c r="D120" s="1076">
        <f t="shared" si="1"/>
        <v>-80.535196999999926</v>
      </c>
      <c r="E120" s="1222">
        <v>31725</v>
      </c>
      <c r="F120" s="201"/>
      <c r="G120" s="201"/>
      <c r="H120" s="3213"/>
      <c r="I120" s="2945"/>
      <c r="J120" s="3213"/>
      <c r="K120" s="3213"/>
    </row>
    <row r="121" spans="1:11">
      <c r="A121" s="63">
        <v>1999.04</v>
      </c>
      <c r="B121" s="169">
        <v>2034.355489</v>
      </c>
      <c r="C121" s="3034">
        <v>1873.381965</v>
      </c>
      <c r="D121" s="1076">
        <f t="shared" si="1"/>
        <v>160.973524</v>
      </c>
      <c r="E121" s="1222">
        <v>30522.400000000001</v>
      </c>
      <c r="F121" s="201"/>
      <c r="G121" s="201"/>
      <c r="H121" s="3213"/>
      <c r="I121" s="2945"/>
      <c r="J121" s="3213"/>
      <c r="K121" s="3213"/>
    </row>
    <row r="122" spans="1:11">
      <c r="A122" s="63">
        <v>1999.05</v>
      </c>
      <c r="B122" s="169">
        <v>2219.8818059999999</v>
      </c>
      <c r="C122" s="3034">
        <v>1930.7002419999999</v>
      </c>
      <c r="D122" s="1076">
        <f t="shared" si="1"/>
        <v>289.18156399999998</v>
      </c>
      <c r="E122" s="1222">
        <v>31403.1</v>
      </c>
      <c r="F122" s="201"/>
      <c r="G122" s="201"/>
      <c r="H122" s="3213"/>
      <c r="I122" s="2945"/>
      <c r="J122" s="3213"/>
      <c r="K122" s="3213"/>
    </row>
    <row r="123" spans="1:11">
      <c r="A123" s="63">
        <v>1999.06</v>
      </c>
      <c r="B123" s="169">
        <v>2129.491227</v>
      </c>
      <c r="C123" s="3034">
        <v>2212.477304</v>
      </c>
      <c r="D123" s="1076">
        <f t="shared" si="1"/>
        <v>-82.986077000000023</v>
      </c>
      <c r="E123" s="1222">
        <v>32191.5</v>
      </c>
      <c r="F123" s="201"/>
      <c r="G123" s="201"/>
      <c r="H123" s="3213"/>
      <c r="I123" s="2945"/>
      <c r="J123" s="3213"/>
      <c r="K123" s="3213"/>
    </row>
    <row r="124" spans="1:11">
      <c r="A124" s="63">
        <v>1999.07</v>
      </c>
      <c r="B124" s="169">
        <v>1940.966322</v>
      </c>
      <c r="C124" s="3034">
        <v>2278.1509299999998</v>
      </c>
      <c r="D124" s="1076">
        <f t="shared" si="1"/>
        <v>-337.1846079999998</v>
      </c>
      <c r="E124" s="1222">
        <v>31932.6</v>
      </c>
      <c r="F124" s="201"/>
      <c r="G124" s="201"/>
      <c r="H124" s="3213"/>
      <c r="I124" s="2945"/>
      <c r="J124" s="3213"/>
      <c r="K124" s="3213"/>
    </row>
    <row r="125" spans="1:11">
      <c r="A125" s="63">
        <v>1999.08</v>
      </c>
      <c r="B125" s="169">
        <v>2098.9594080000002</v>
      </c>
      <c r="C125" s="3034">
        <v>2330.8248140000001</v>
      </c>
      <c r="D125" s="1076">
        <f t="shared" si="1"/>
        <v>-231.86540599999989</v>
      </c>
      <c r="E125" s="1222">
        <v>30855.599999999999</v>
      </c>
      <c r="F125" s="201"/>
      <c r="G125" s="201"/>
      <c r="H125" s="3213"/>
      <c r="I125" s="2945"/>
      <c r="J125" s="3213"/>
      <c r="K125" s="3213"/>
    </row>
    <row r="126" spans="1:11">
      <c r="A126" s="63">
        <v>1999.09</v>
      </c>
      <c r="B126" s="169">
        <v>1897.6707630000001</v>
      </c>
      <c r="C126" s="3034">
        <v>2233.9694260000001</v>
      </c>
      <c r="D126" s="1076">
        <f t="shared" si="1"/>
        <v>-336.29866300000003</v>
      </c>
      <c r="E126" s="1222">
        <v>32084.3</v>
      </c>
      <c r="F126" s="201"/>
      <c r="G126" s="201"/>
      <c r="H126" s="3213"/>
      <c r="I126" s="2945"/>
      <c r="J126" s="3213"/>
      <c r="K126" s="3213"/>
    </row>
    <row r="127" spans="1:11">
      <c r="A127" s="63">
        <v>1999.1</v>
      </c>
      <c r="B127" s="169">
        <v>1900.922454</v>
      </c>
      <c r="C127" s="3034">
        <v>2213.0848700000001</v>
      </c>
      <c r="D127" s="1076">
        <f t="shared" si="1"/>
        <v>-312.16241600000012</v>
      </c>
      <c r="E127" s="1222">
        <v>32041.3</v>
      </c>
      <c r="F127" s="201"/>
      <c r="G127" s="201"/>
      <c r="H127" s="3213"/>
      <c r="I127" s="2945"/>
      <c r="J127" s="3213"/>
      <c r="K127" s="3213"/>
    </row>
    <row r="128" spans="1:11">
      <c r="A128" s="63">
        <v>1999.11</v>
      </c>
      <c r="B128" s="169">
        <v>1965.448523</v>
      </c>
      <c r="C128" s="3034">
        <v>2290.0604699999999</v>
      </c>
      <c r="D128" s="1076">
        <f t="shared" si="1"/>
        <v>-324.61194699999987</v>
      </c>
      <c r="E128" s="1222">
        <v>32427.1</v>
      </c>
      <c r="F128" s="201"/>
      <c r="G128" s="201"/>
      <c r="H128" s="3213"/>
      <c r="I128" s="2945"/>
      <c r="J128" s="3213"/>
      <c r="K128" s="3213"/>
    </row>
    <row r="129" spans="1:11">
      <c r="A129" s="63">
        <v>1999.12</v>
      </c>
      <c r="B129" s="169">
        <v>2055.807683</v>
      </c>
      <c r="C129" s="3034">
        <v>2305.2831630000001</v>
      </c>
      <c r="D129" s="1076">
        <f t="shared" si="1"/>
        <v>-249.47548000000006</v>
      </c>
      <c r="E129" s="1222">
        <v>33100.400000000001</v>
      </c>
      <c r="F129" s="201"/>
      <c r="G129" s="201"/>
      <c r="H129" s="3213"/>
      <c r="I129" s="2945"/>
      <c r="J129" s="3213"/>
      <c r="K129" s="3213"/>
    </row>
    <row r="130" spans="1:11">
      <c r="A130" s="63">
        <v>2000.01</v>
      </c>
      <c r="B130" s="169">
        <v>1768.244543</v>
      </c>
      <c r="C130" s="3034">
        <v>1852.1936410000001</v>
      </c>
      <c r="D130" s="1076">
        <f t="shared" si="1"/>
        <v>-83.949098000000049</v>
      </c>
      <c r="E130" s="1222">
        <v>31099.7</v>
      </c>
      <c r="F130" s="201"/>
      <c r="G130" s="201"/>
      <c r="H130" s="3213"/>
      <c r="I130" s="2945"/>
      <c r="J130" s="3213"/>
      <c r="K130" s="3213"/>
    </row>
    <row r="131" spans="1:11">
      <c r="A131" s="63">
        <v>2000.02</v>
      </c>
      <c r="B131" s="169">
        <v>1783.3226870000001</v>
      </c>
      <c r="C131" s="3034">
        <v>1907.761751</v>
      </c>
      <c r="D131" s="1076">
        <f t="shared" si="1"/>
        <v>-124.43906399999992</v>
      </c>
      <c r="E131" s="1222">
        <v>32255.4</v>
      </c>
      <c r="F131" s="201"/>
      <c r="G131" s="201"/>
      <c r="H131" s="3213"/>
      <c r="I131" s="2945"/>
      <c r="J131" s="3213"/>
      <c r="K131" s="3213"/>
    </row>
    <row r="132" spans="1:11">
      <c r="A132" s="63">
        <v>2000.03</v>
      </c>
      <c r="B132" s="169">
        <v>2160.6473129999999</v>
      </c>
      <c r="C132" s="3034">
        <v>2116.3158330000001</v>
      </c>
      <c r="D132" s="1076">
        <f t="shared" si="1"/>
        <v>44.331479999999829</v>
      </c>
      <c r="E132" s="1222">
        <v>32975.800000000003</v>
      </c>
      <c r="F132" s="201"/>
      <c r="G132" s="201"/>
      <c r="H132" s="3213"/>
      <c r="I132" s="2945"/>
      <c r="J132" s="3213"/>
      <c r="K132" s="3213"/>
    </row>
    <row r="133" spans="1:11">
      <c r="A133" s="63">
        <v>2000.04</v>
      </c>
      <c r="B133" s="169">
        <v>2324.3684320000002</v>
      </c>
      <c r="C133" s="3034">
        <v>1905.387148</v>
      </c>
      <c r="D133" s="1076">
        <f t="shared" si="1"/>
        <v>418.98128400000019</v>
      </c>
      <c r="E133" s="1222">
        <v>31182.3</v>
      </c>
      <c r="F133" s="201"/>
      <c r="G133" s="201"/>
      <c r="H133" s="3213"/>
      <c r="I133" s="2945"/>
      <c r="J133" s="3213"/>
      <c r="K133" s="3213"/>
    </row>
    <row r="134" spans="1:11">
      <c r="A134" s="63">
        <v>2000.05</v>
      </c>
      <c r="B134" s="169">
        <v>2600.3449220000002</v>
      </c>
      <c r="C134" s="3034">
        <v>2215.1310600000002</v>
      </c>
      <c r="D134" s="1076">
        <f t="shared" si="1"/>
        <v>385.21386200000006</v>
      </c>
      <c r="E134" s="1222">
        <v>30601.4</v>
      </c>
      <c r="F134" s="201"/>
      <c r="G134" s="201"/>
      <c r="H134" s="3213"/>
      <c r="I134" s="2945"/>
      <c r="J134" s="3213"/>
      <c r="K134" s="3213"/>
    </row>
    <row r="135" spans="1:11">
      <c r="A135" s="63">
        <v>2000.06</v>
      </c>
      <c r="B135" s="169">
        <v>2390.7072239999998</v>
      </c>
      <c r="C135" s="3034">
        <v>2178.2390019999998</v>
      </c>
      <c r="D135" s="1076">
        <f t="shared" si="1"/>
        <v>212.46822199999997</v>
      </c>
      <c r="E135" s="1222">
        <v>34355.1</v>
      </c>
      <c r="F135" s="201"/>
      <c r="G135" s="201"/>
      <c r="H135" s="3213"/>
      <c r="I135" s="2945"/>
      <c r="J135" s="3213"/>
      <c r="K135" s="3213"/>
    </row>
    <row r="136" spans="1:11">
      <c r="A136" s="63">
        <v>2000.07</v>
      </c>
      <c r="B136" s="169">
        <v>2364.1060240000002</v>
      </c>
      <c r="C136" s="3034">
        <v>2201.5906180000002</v>
      </c>
      <c r="D136" s="1076">
        <f t="shared" si="1"/>
        <v>162.51540599999998</v>
      </c>
      <c r="E136" s="1222">
        <v>33844.800000000003</v>
      </c>
      <c r="F136" s="201"/>
      <c r="G136" s="201"/>
      <c r="H136" s="3213"/>
      <c r="I136" s="2945"/>
      <c r="J136" s="3213"/>
      <c r="K136" s="3213"/>
    </row>
    <row r="137" spans="1:11">
      <c r="A137" s="63">
        <v>2000.08</v>
      </c>
      <c r="B137" s="169">
        <v>2216.324865</v>
      </c>
      <c r="C137" s="3034">
        <v>2319.5623850000002</v>
      </c>
      <c r="D137" s="1076">
        <f t="shared" si="1"/>
        <v>-103.23752000000013</v>
      </c>
      <c r="E137" s="1222">
        <v>31830.7</v>
      </c>
      <c r="F137" s="201"/>
      <c r="G137" s="201"/>
      <c r="H137" s="3213"/>
      <c r="I137" s="2945"/>
      <c r="J137" s="3213"/>
      <c r="K137" s="3213"/>
    </row>
    <row r="138" spans="1:11">
      <c r="A138" s="63">
        <v>2000.09</v>
      </c>
      <c r="B138" s="169">
        <v>2158.0323480000002</v>
      </c>
      <c r="C138" s="3034">
        <v>2083.7551440000002</v>
      </c>
      <c r="D138" s="1076">
        <f t="shared" ref="D138:D201" si="2">B138-C138</f>
        <v>74.277203999999983</v>
      </c>
      <c r="E138" s="1222">
        <v>33219.4</v>
      </c>
      <c r="F138" s="201"/>
      <c r="G138" s="201"/>
      <c r="H138" s="3213"/>
      <c r="I138" s="2945"/>
      <c r="J138" s="3213"/>
      <c r="K138" s="3213"/>
    </row>
    <row r="139" spans="1:11">
      <c r="A139" s="63">
        <v>2000.1</v>
      </c>
      <c r="B139" s="169">
        <v>2071.541729</v>
      </c>
      <c r="C139" s="3034">
        <v>2251.365851</v>
      </c>
      <c r="D139" s="1076">
        <f t="shared" si="2"/>
        <v>-179.82412199999999</v>
      </c>
      <c r="E139" s="1222">
        <v>31751.3</v>
      </c>
      <c r="F139" s="201"/>
      <c r="G139" s="201"/>
      <c r="H139" s="3213"/>
      <c r="I139" s="2945"/>
      <c r="J139" s="3213"/>
      <c r="K139" s="3213"/>
    </row>
    <row r="140" spans="1:11">
      <c r="A140" s="63">
        <v>2000.11</v>
      </c>
      <c r="B140" s="169">
        <v>2146.9404260000001</v>
      </c>
      <c r="C140" s="3034">
        <v>2184.621858</v>
      </c>
      <c r="D140" s="1076">
        <f t="shared" si="2"/>
        <v>-37.681431999999859</v>
      </c>
      <c r="E140" s="1222">
        <v>29571.1</v>
      </c>
      <c r="F140" s="201"/>
      <c r="G140" s="201"/>
      <c r="H140" s="3213"/>
      <c r="I140" s="2945"/>
      <c r="J140" s="3213"/>
      <c r="K140" s="3213"/>
    </row>
    <row r="141" spans="1:11">
      <c r="A141" s="63">
        <v>2000.12</v>
      </c>
      <c r="B141" s="169">
        <v>2356.448472</v>
      </c>
      <c r="C141" s="3034">
        <v>2064.560923</v>
      </c>
      <c r="D141" s="1076">
        <f t="shared" si="2"/>
        <v>291.88754900000004</v>
      </c>
      <c r="E141" s="1222">
        <v>34233.800000000003</v>
      </c>
      <c r="F141" s="201"/>
      <c r="G141" s="201"/>
      <c r="H141" s="3213"/>
      <c r="I141" s="2945"/>
      <c r="J141" s="3213"/>
      <c r="K141" s="3213"/>
    </row>
    <row r="142" spans="1:11">
      <c r="A142" s="63">
        <v>2001.01</v>
      </c>
      <c r="B142" s="169">
        <v>2041.3024660000001</v>
      </c>
      <c r="C142" s="3034">
        <v>1954.05538</v>
      </c>
      <c r="D142" s="1076">
        <f t="shared" si="2"/>
        <v>87.247086000000081</v>
      </c>
      <c r="E142" s="1222">
        <v>36152.5</v>
      </c>
      <c r="F142" s="201"/>
      <c r="G142" s="201"/>
      <c r="H142" s="3213"/>
      <c r="I142" s="2945"/>
      <c r="J142" s="3213"/>
      <c r="K142" s="3213"/>
    </row>
    <row r="143" spans="1:11">
      <c r="A143" s="63">
        <v>2001.02</v>
      </c>
      <c r="B143" s="169">
        <v>1843.3809879999999</v>
      </c>
      <c r="C143" s="3034">
        <v>1753.8880000000001</v>
      </c>
      <c r="D143" s="1076">
        <f t="shared" si="2"/>
        <v>89.492987999999741</v>
      </c>
      <c r="E143" s="1222">
        <v>33218.5</v>
      </c>
      <c r="F143" s="201"/>
      <c r="G143" s="201"/>
      <c r="H143" s="3213"/>
      <c r="I143" s="2945"/>
      <c r="J143" s="3213"/>
      <c r="K143" s="3213"/>
    </row>
    <row r="144" spans="1:11">
      <c r="A144" s="63">
        <v>2001.03</v>
      </c>
      <c r="B144" s="169">
        <v>2023.5084400000001</v>
      </c>
      <c r="C144" s="3034">
        <v>2034.960501</v>
      </c>
      <c r="D144" s="1076">
        <f t="shared" si="2"/>
        <v>-11.452060999999958</v>
      </c>
      <c r="E144" s="1222">
        <v>29811.5</v>
      </c>
      <c r="F144" s="201"/>
      <c r="G144" s="201"/>
      <c r="H144" s="3213"/>
      <c r="I144" s="2945"/>
      <c r="J144" s="3213"/>
      <c r="K144" s="3213"/>
    </row>
    <row r="145" spans="1:11">
      <c r="A145" s="63">
        <v>2001.04</v>
      </c>
      <c r="B145" s="169">
        <v>2392.0668110000001</v>
      </c>
      <c r="C145" s="3034">
        <v>1917.986285</v>
      </c>
      <c r="D145" s="1076">
        <f t="shared" si="2"/>
        <v>474.08052600000019</v>
      </c>
      <c r="E145" s="1222">
        <v>26464.400000000001</v>
      </c>
      <c r="F145" s="201"/>
      <c r="G145" s="201"/>
      <c r="H145" s="3213"/>
      <c r="I145" s="2945"/>
      <c r="J145" s="3213"/>
      <c r="K145" s="3213"/>
    </row>
    <row r="146" spans="1:11">
      <c r="A146" s="63">
        <v>2001.05</v>
      </c>
      <c r="B146" s="169">
        <v>2567.3646100000001</v>
      </c>
      <c r="C146" s="3034">
        <v>2080.7795470000001</v>
      </c>
      <c r="D146" s="1076">
        <f t="shared" si="2"/>
        <v>486.58506299999999</v>
      </c>
      <c r="E146" s="1222">
        <v>25570.2</v>
      </c>
      <c r="F146" s="201"/>
      <c r="G146" s="201"/>
      <c r="H146" s="3213"/>
      <c r="I146" s="2945"/>
      <c r="J146" s="3213"/>
      <c r="K146" s="3213"/>
    </row>
    <row r="147" spans="1:11">
      <c r="A147" s="63">
        <v>2001.06</v>
      </c>
      <c r="B147" s="169">
        <v>2544.9339629999999</v>
      </c>
      <c r="C147" s="3034">
        <v>1777.331684</v>
      </c>
      <c r="D147" s="1076">
        <f t="shared" si="2"/>
        <v>767.60227899999995</v>
      </c>
      <c r="E147" s="1222">
        <v>27266.400000000001</v>
      </c>
      <c r="F147" s="201"/>
      <c r="G147" s="201"/>
      <c r="H147" s="3213"/>
      <c r="I147" s="2945"/>
      <c r="J147" s="3213"/>
      <c r="K147" s="3213"/>
    </row>
    <row r="148" spans="1:11">
      <c r="A148" s="63">
        <v>2001.07</v>
      </c>
      <c r="B148" s="169">
        <v>2353.0307520000001</v>
      </c>
      <c r="C148" s="3034">
        <v>1769.34889</v>
      </c>
      <c r="D148" s="1076">
        <f t="shared" si="2"/>
        <v>583.68186200000014</v>
      </c>
      <c r="E148" s="1222">
        <v>20256.8</v>
      </c>
      <c r="F148" s="201"/>
      <c r="G148" s="201"/>
      <c r="H148" s="3213"/>
      <c r="I148" s="2945"/>
      <c r="J148" s="3213"/>
      <c r="K148" s="3213"/>
    </row>
    <row r="149" spans="1:11">
      <c r="A149" s="63">
        <v>2001.08</v>
      </c>
      <c r="B149" s="169">
        <v>2510.006543</v>
      </c>
      <c r="C149" s="3034">
        <v>1822.2609299999999</v>
      </c>
      <c r="D149" s="1076">
        <f t="shared" si="2"/>
        <v>687.74561300000005</v>
      </c>
      <c r="E149" s="1222">
        <v>17467</v>
      </c>
      <c r="F149" s="201"/>
      <c r="G149" s="201"/>
      <c r="H149" s="3213"/>
      <c r="I149" s="2945"/>
      <c r="J149" s="3213"/>
      <c r="K149" s="3213"/>
    </row>
    <row r="150" spans="1:11">
      <c r="A150" s="63">
        <v>2001.09</v>
      </c>
      <c r="B150" s="169">
        <v>2192.2744640000001</v>
      </c>
      <c r="C150" s="3034">
        <v>1431.4927150000001</v>
      </c>
      <c r="D150" s="1076">
        <f t="shared" si="2"/>
        <v>760.78174899999999</v>
      </c>
      <c r="E150" s="1222">
        <v>24799</v>
      </c>
      <c r="F150" s="201"/>
      <c r="G150" s="201"/>
      <c r="H150" s="3213"/>
      <c r="I150" s="2945"/>
      <c r="J150" s="3213"/>
      <c r="K150" s="3213"/>
    </row>
    <row r="151" spans="1:11">
      <c r="A151" s="63">
        <v>2001.1</v>
      </c>
      <c r="B151" s="169">
        <v>2050.4853579999999</v>
      </c>
      <c r="C151" s="3034">
        <v>1511.8360869999999</v>
      </c>
      <c r="D151" s="1076">
        <f t="shared" si="2"/>
        <v>538.649271</v>
      </c>
      <c r="E151" s="1222">
        <v>21190</v>
      </c>
      <c r="F151" s="201"/>
      <c r="G151" s="201"/>
      <c r="H151" s="3213"/>
      <c r="I151" s="2945"/>
      <c r="J151" s="3213"/>
      <c r="K151" s="3213"/>
    </row>
    <row r="152" spans="1:11">
      <c r="A152" s="63">
        <v>2001.11</v>
      </c>
      <c r="B152" s="169">
        <v>2070.3030610000001</v>
      </c>
      <c r="C152" s="3034">
        <v>1333.733876</v>
      </c>
      <c r="D152" s="1076">
        <f t="shared" si="2"/>
        <v>736.56918500000006</v>
      </c>
      <c r="E152" s="1222">
        <v>15195</v>
      </c>
      <c r="F152" s="201"/>
      <c r="G152" s="201"/>
      <c r="H152" s="3213"/>
      <c r="I152" s="2945"/>
      <c r="J152" s="3213"/>
      <c r="K152" s="3213"/>
    </row>
    <row r="153" spans="1:11">
      <c r="A153" s="63">
        <v>2001.12</v>
      </c>
      <c r="B153" s="169">
        <v>1954.0688829999999</v>
      </c>
      <c r="C153" s="3034">
        <v>931.90529000000004</v>
      </c>
      <c r="D153" s="1076">
        <f t="shared" si="2"/>
        <v>1022.1635929999999</v>
      </c>
      <c r="E153" s="1222">
        <v>15232</v>
      </c>
      <c r="F153" s="201"/>
      <c r="G153" s="201"/>
      <c r="H153" s="3213"/>
      <c r="I153" s="2945"/>
      <c r="J153" s="3213"/>
      <c r="K153" s="3213"/>
    </row>
    <row r="154" spans="1:11">
      <c r="A154" s="202">
        <v>2002.01</v>
      </c>
      <c r="B154" s="169">
        <v>1817.8217689999999</v>
      </c>
      <c r="C154" s="3034">
        <v>850.57991300000003</v>
      </c>
      <c r="D154" s="1076">
        <f t="shared" si="2"/>
        <v>967.24185599999987</v>
      </c>
      <c r="E154" s="1222">
        <v>14069.285714285716</v>
      </c>
      <c r="F154" s="201"/>
      <c r="G154" s="201"/>
      <c r="H154" s="3213"/>
      <c r="I154" s="2945"/>
      <c r="J154" s="3213"/>
      <c r="K154" s="3213"/>
    </row>
    <row r="155" spans="1:11">
      <c r="A155" s="202">
        <v>2002.02</v>
      </c>
      <c r="B155" s="169">
        <v>1781.933597</v>
      </c>
      <c r="C155" s="3034">
        <v>627.75957800000003</v>
      </c>
      <c r="D155" s="1076">
        <f t="shared" si="2"/>
        <v>1154.174019</v>
      </c>
      <c r="E155" s="1222">
        <v>13882.79069767442</v>
      </c>
      <c r="F155" s="201"/>
      <c r="G155" s="201"/>
      <c r="H155" s="3213"/>
      <c r="I155" s="2945"/>
      <c r="J155" s="3213"/>
      <c r="K155" s="3213"/>
    </row>
    <row r="156" spans="1:11">
      <c r="A156" s="202">
        <v>2002.03</v>
      </c>
      <c r="B156" s="169">
        <v>2112.3979880000002</v>
      </c>
      <c r="C156" s="3034">
        <v>592.89003000000002</v>
      </c>
      <c r="D156" s="1076">
        <f t="shared" si="2"/>
        <v>1519.5079580000001</v>
      </c>
      <c r="E156" s="1222">
        <v>12779.655172413793</v>
      </c>
      <c r="F156" s="201"/>
      <c r="G156" s="201"/>
      <c r="H156" s="3213"/>
      <c r="I156" s="2945"/>
      <c r="J156" s="3213"/>
      <c r="K156" s="3213"/>
    </row>
    <row r="157" spans="1:11">
      <c r="A157" s="202">
        <v>2002.04</v>
      </c>
      <c r="B157" s="169">
        <v>2181.683896</v>
      </c>
      <c r="C157" s="3034">
        <v>612.00009699999998</v>
      </c>
      <c r="D157" s="1076">
        <f t="shared" si="2"/>
        <v>1569.6837989999999</v>
      </c>
      <c r="E157" s="1222">
        <v>12170.847457627118</v>
      </c>
      <c r="F157" s="201"/>
      <c r="G157" s="201"/>
      <c r="H157" s="3213"/>
      <c r="I157" s="2945"/>
      <c r="J157" s="3213"/>
      <c r="K157" s="3213"/>
    </row>
    <row r="158" spans="1:11">
      <c r="A158" s="202">
        <v>2002.05</v>
      </c>
      <c r="B158" s="169">
        <v>2369.474217</v>
      </c>
      <c r="C158" s="3034">
        <v>861.77280099999996</v>
      </c>
      <c r="D158" s="1076">
        <f t="shared" si="2"/>
        <v>1507.7014159999999</v>
      </c>
      <c r="E158" s="1222">
        <v>10185.277777777777</v>
      </c>
      <c r="F158" s="201"/>
      <c r="G158" s="201"/>
      <c r="H158" s="3213"/>
      <c r="I158" s="2945"/>
      <c r="J158" s="3213"/>
      <c r="K158" s="3213"/>
    </row>
    <row r="159" spans="1:11">
      <c r="A159" s="202">
        <v>2002.06</v>
      </c>
      <c r="B159" s="169">
        <v>2226.4524000000001</v>
      </c>
      <c r="C159" s="3034">
        <v>682.74186699999996</v>
      </c>
      <c r="D159" s="1076">
        <f t="shared" si="2"/>
        <v>1543.7105330000002</v>
      </c>
      <c r="E159" s="1222">
        <v>9629.21052631579</v>
      </c>
      <c r="F159" s="201"/>
      <c r="G159" s="201"/>
      <c r="H159" s="3213"/>
      <c r="I159" s="2945"/>
      <c r="J159" s="3213"/>
      <c r="K159" s="3213"/>
    </row>
    <row r="160" spans="1:11">
      <c r="A160" s="202">
        <v>2002.07</v>
      </c>
      <c r="B160" s="169">
        <v>2244.5326169999998</v>
      </c>
      <c r="C160" s="3034">
        <v>811.04761900000005</v>
      </c>
      <c r="D160" s="1076">
        <f t="shared" si="2"/>
        <v>1433.4849979999999</v>
      </c>
      <c r="E160" s="1222">
        <v>8986.4130434782601</v>
      </c>
      <c r="F160" s="201"/>
      <c r="G160" s="201"/>
      <c r="H160" s="3213"/>
      <c r="I160" s="2945"/>
      <c r="J160" s="3213"/>
      <c r="K160" s="3213"/>
    </row>
    <row r="161" spans="1:11">
      <c r="A161" s="202">
        <v>2002.08</v>
      </c>
      <c r="B161" s="169">
        <v>2176.7728699999998</v>
      </c>
      <c r="C161" s="3034">
        <v>762.01744199999996</v>
      </c>
      <c r="D161" s="1076">
        <f t="shared" si="2"/>
        <v>1414.7554279999999</v>
      </c>
      <c r="E161" s="1222">
        <v>9101.9337016574591</v>
      </c>
      <c r="F161" s="201"/>
      <c r="G161" s="201"/>
      <c r="H161" s="3213"/>
      <c r="I161" s="2945"/>
      <c r="J161" s="3213"/>
      <c r="K161" s="3213"/>
    </row>
    <row r="162" spans="1:11">
      <c r="A162" s="202">
        <v>2002.09</v>
      </c>
      <c r="B162" s="169">
        <v>2296.6524239999999</v>
      </c>
      <c r="C162" s="3034">
        <v>719.03624000000002</v>
      </c>
      <c r="D162" s="1076">
        <f t="shared" si="2"/>
        <v>1577.616184</v>
      </c>
      <c r="E162" s="1222">
        <v>9404.2666666666664</v>
      </c>
      <c r="F162" s="201"/>
      <c r="G162" s="201"/>
      <c r="H162" s="3213"/>
      <c r="I162" s="2945"/>
      <c r="J162" s="3213"/>
      <c r="K162" s="3213"/>
    </row>
    <row r="163" spans="1:11">
      <c r="A163" s="202">
        <v>2002.1</v>
      </c>
      <c r="B163" s="169">
        <v>2258.078685</v>
      </c>
      <c r="C163" s="3034">
        <v>875.88799399999994</v>
      </c>
      <c r="D163" s="1076">
        <f t="shared" si="2"/>
        <v>1382.190691</v>
      </c>
      <c r="E163" s="1222">
        <v>9882.5352112676064</v>
      </c>
      <c r="F163" s="201"/>
      <c r="G163" s="201"/>
      <c r="H163" s="3213"/>
      <c r="I163" s="2945"/>
      <c r="J163" s="3213"/>
      <c r="K163" s="3213"/>
    </row>
    <row r="164" spans="1:11">
      <c r="A164" s="202">
        <v>2002.11</v>
      </c>
      <c r="B164" s="169">
        <v>2160.4590189999999</v>
      </c>
      <c r="C164" s="3034">
        <v>808.92585099999997</v>
      </c>
      <c r="D164" s="1076">
        <f t="shared" si="2"/>
        <v>1351.5331679999999</v>
      </c>
      <c r="E164" s="1222">
        <v>10022.128851540616</v>
      </c>
      <c r="F164" s="201"/>
      <c r="G164" s="201"/>
      <c r="H164" s="3213"/>
      <c r="I164" s="2945"/>
      <c r="J164" s="3213"/>
      <c r="K164" s="3213"/>
    </row>
    <row r="165" spans="1:11">
      <c r="A165" s="202">
        <v>2002.12</v>
      </c>
      <c r="B165" s="169">
        <v>2024.3392289999999</v>
      </c>
      <c r="C165" s="3034">
        <v>784.88592100000005</v>
      </c>
      <c r="D165" s="1076">
        <f t="shared" si="2"/>
        <v>1239.4533079999999</v>
      </c>
      <c r="E165" s="1222">
        <v>10476.063038953316</v>
      </c>
      <c r="F165" s="201"/>
      <c r="G165" s="201"/>
      <c r="H165" s="3213"/>
      <c r="I165" s="2945"/>
      <c r="J165" s="3213"/>
      <c r="K165" s="3213"/>
    </row>
    <row r="166" spans="1:11">
      <c r="A166" s="202">
        <v>2003.01</v>
      </c>
      <c r="B166" s="169">
        <v>2194.6001150000002</v>
      </c>
      <c r="C166" s="3034">
        <v>798.96511299999997</v>
      </c>
      <c r="D166" s="1076">
        <f t="shared" si="2"/>
        <v>1395.6350020000002</v>
      </c>
      <c r="E166" s="1222">
        <v>9325.6172839506162</v>
      </c>
      <c r="F166" s="201"/>
      <c r="G166" s="201"/>
      <c r="H166" s="3213"/>
      <c r="I166" s="2945"/>
      <c r="J166" s="3213"/>
      <c r="K166" s="3213"/>
    </row>
    <row r="167" spans="1:11">
      <c r="A167" s="202">
        <v>2003.02</v>
      </c>
      <c r="B167" s="169">
        <v>2128.3480989999998</v>
      </c>
      <c r="C167" s="3034">
        <v>776.89723600000002</v>
      </c>
      <c r="D167" s="1076">
        <f t="shared" si="2"/>
        <v>1351.4508629999998</v>
      </c>
      <c r="E167" s="1222">
        <v>10288.52500235723</v>
      </c>
      <c r="F167" s="201"/>
      <c r="G167" s="201"/>
      <c r="H167" s="3213"/>
      <c r="I167" s="2945"/>
      <c r="J167" s="3213"/>
      <c r="K167" s="3213"/>
    </row>
    <row r="168" spans="1:11">
      <c r="A168" s="202">
        <v>2003.03</v>
      </c>
      <c r="B168" s="169">
        <v>2252.1406539999998</v>
      </c>
      <c r="C168" s="3034">
        <v>933.67129199999999</v>
      </c>
      <c r="D168" s="1076">
        <f t="shared" si="2"/>
        <v>1318.4693619999998</v>
      </c>
      <c r="E168" s="1222">
        <v>10516.544757924068</v>
      </c>
      <c r="F168" s="201"/>
      <c r="G168" s="201"/>
      <c r="H168" s="3213"/>
      <c r="I168" s="2945"/>
      <c r="J168" s="3213"/>
      <c r="K168" s="3213"/>
    </row>
    <row r="169" spans="1:11">
      <c r="A169" s="202">
        <v>2003.04</v>
      </c>
      <c r="B169" s="169">
        <v>2458.7715859999998</v>
      </c>
      <c r="C169" s="3034">
        <v>1109.9003130000001</v>
      </c>
      <c r="D169" s="1076">
        <f t="shared" si="2"/>
        <v>1348.8712729999997</v>
      </c>
      <c r="E169" s="1222">
        <v>10971.380530353454</v>
      </c>
      <c r="F169" s="201"/>
      <c r="G169" s="201"/>
      <c r="H169" s="3213"/>
      <c r="I169" s="2945"/>
      <c r="J169" s="3213"/>
      <c r="K169" s="3213"/>
    </row>
    <row r="170" spans="1:11">
      <c r="A170" s="202">
        <v>2003.05</v>
      </c>
      <c r="B170" s="169">
        <v>3122.970139</v>
      </c>
      <c r="C170" s="3034">
        <v>1085.0734950000001</v>
      </c>
      <c r="D170" s="1076">
        <f t="shared" si="2"/>
        <v>2037.8966439999999</v>
      </c>
      <c r="E170" s="1222">
        <v>11373.807458803123</v>
      </c>
      <c r="F170" s="201"/>
      <c r="G170" s="201"/>
      <c r="H170" s="3213"/>
      <c r="I170" s="2945"/>
      <c r="J170" s="3213"/>
      <c r="K170" s="3213"/>
    </row>
    <row r="171" spans="1:11">
      <c r="A171" s="202">
        <v>2003.06</v>
      </c>
      <c r="B171" s="169">
        <v>2874.3022470000001</v>
      </c>
      <c r="C171" s="3034">
        <v>1149.080471</v>
      </c>
      <c r="D171" s="1076">
        <f t="shared" si="2"/>
        <v>1725.2217760000001</v>
      </c>
      <c r="E171" s="1222">
        <v>12183.249821045096</v>
      </c>
      <c r="F171" s="201"/>
      <c r="G171" s="201"/>
      <c r="H171" s="3213"/>
      <c r="I171" s="2945"/>
      <c r="J171" s="3213"/>
      <c r="K171" s="3213"/>
    </row>
    <row r="172" spans="1:11">
      <c r="A172" s="202">
        <v>2003.07</v>
      </c>
      <c r="B172" s="169">
        <v>2835.561342</v>
      </c>
      <c r="C172" s="3034">
        <v>1259.782508</v>
      </c>
      <c r="D172" s="1076">
        <f t="shared" si="2"/>
        <v>1575.778834</v>
      </c>
      <c r="E172" s="1222">
        <v>13484.390735146022</v>
      </c>
      <c r="F172" s="201"/>
      <c r="G172" s="201"/>
      <c r="H172" s="3213"/>
      <c r="I172" s="2945"/>
      <c r="J172" s="3213"/>
      <c r="K172" s="3213"/>
    </row>
    <row r="173" spans="1:11">
      <c r="A173" s="202">
        <v>2003.08</v>
      </c>
      <c r="B173" s="169">
        <v>2346.896698</v>
      </c>
      <c r="C173" s="3034">
        <v>1135.068814</v>
      </c>
      <c r="D173" s="1076">
        <f t="shared" si="2"/>
        <v>1211.827884</v>
      </c>
      <c r="E173" s="1222">
        <v>13584.118438761776</v>
      </c>
      <c r="F173" s="201"/>
      <c r="G173" s="201"/>
      <c r="H173" s="3213"/>
      <c r="I173" s="2945"/>
      <c r="J173" s="3213"/>
      <c r="K173" s="3213"/>
    </row>
    <row r="174" spans="1:11">
      <c r="A174" s="202">
        <v>2003.09</v>
      </c>
      <c r="B174" s="169">
        <v>2368.509313</v>
      </c>
      <c r="C174" s="3034">
        <v>1318.2235499999999</v>
      </c>
      <c r="D174" s="1076">
        <f t="shared" si="2"/>
        <v>1050.2857630000001</v>
      </c>
      <c r="E174" s="1222">
        <v>13405.610049905352</v>
      </c>
      <c r="F174" s="201"/>
      <c r="G174" s="201"/>
      <c r="H174" s="3213"/>
      <c r="I174" s="2945"/>
      <c r="J174" s="3213"/>
      <c r="K174" s="3213"/>
    </row>
    <row r="175" spans="1:11">
      <c r="A175" s="202">
        <v>2003.1</v>
      </c>
      <c r="B175" s="169">
        <v>2441.1941980000001</v>
      </c>
      <c r="C175" s="3034">
        <v>1439.5991059999999</v>
      </c>
      <c r="D175" s="1076">
        <f t="shared" si="2"/>
        <v>1001.5950920000002</v>
      </c>
      <c r="E175" s="1222">
        <v>12901.648505169042</v>
      </c>
      <c r="F175" s="201"/>
      <c r="G175" s="201"/>
      <c r="H175" s="3213"/>
      <c r="I175" s="2945"/>
      <c r="J175" s="3213"/>
      <c r="K175" s="3213"/>
    </row>
    <row r="176" spans="1:11">
      <c r="A176" s="202">
        <v>2003.11</v>
      </c>
      <c r="B176" s="169">
        <v>2453.730904</v>
      </c>
      <c r="C176" s="3034">
        <v>1336.2258019999999</v>
      </c>
      <c r="D176" s="1076">
        <f t="shared" si="2"/>
        <v>1117.5051020000001</v>
      </c>
      <c r="E176" s="1222">
        <v>13482.70070540813</v>
      </c>
      <c r="F176" s="201"/>
      <c r="G176" s="201"/>
      <c r="H176" s="3213"/>
      <c r="I176" s="2945"/>
      <c r="J176" s="3213"/>
      <c r="K176" s="3213"/>
    </row>
    <row r="177" spans="1:11">
      <c r="A177" s="202">
        <v>2003.12</v>
      </c>
      <c r="B177" s="169">
        <v>2461.72732</v>
      </c>
      <c r="C177" s="3034">
        <v>1508.2864360000001</v>
      </c>
      <c r="D177" s="1076">
        <f t="shared" si="2"/>
        <v>953.44088399999987</v>
      </c>
      <c r="E177" s="1222">
        <v>14119.27074459022</v>
      </c>
      <c r="F177" s="201"/>
      <c r="G177" s="201"/>
      <c r="H177" s="3213"/>
      <c r="I177" s="2945"/>
      <c r="J177" s="3213"/>
      <c r="K177" s="3213"/>
    </row>
    <row r="178" spans="1:11">
      <c r="A178" s="202">
        <v>2004.01</v>
      </c>
      <c r="B178" s="169">
        <v>2322.450679</v>
      </c>
      <c r="C178" s="3034">
        <v>1608.575067</v>
      </c>
      <c r="D178" s="1076">
        <f t="shared" si="2"/>
        <v>713.87561200000005</v>
      </c>
      <c r="E178" s="1222">
        <v>14919.804268044039</v>
      </c>
      <c r="F178" s="201"/>
      <c r="G178" s="201"/>
      <c r="H178" s="3213"/>
      <c r="I178" s="2945"/>
      <c r="J178" s="3213"/>
      <c r="K178" s="3213"/>
    </row>
    <row r="179" spans="1:11">
      <c r="A179" s="202">
        <v>2004.02</v>
      </c>
      <c r="B179" s="169">
        <v>2395.0351390000001</v>
      </c>
      <c r="C179" s="3034">
        <v>1363.7314309999999</v>
      </c>
      <c r="D179" s="1076">
        <f t="shared" si="2"/>
        <v>1031.3037080000001</v>
      </c>
      <c r="E179" s="1222">
        <v>15002.564716342373</v>
      </c>
      <c r="F179" s="201"/>
      <c r="G179" s="201"/>
      <c r="H179" s="3213"/>
      <c r="I179" s="2945"/>
      <c r="J179" s="3213"/>
      <c r="K179" s="3213"/>
    </row>
    <row r="180" spans="1:11">
      <c r="A180" s="202">
        <v>2004.03</v>
      </c>
      <c r="B180" s="169">
        <v>2657.5737429999999</v>
      </c>
      <c r="C180" s="3034">
        <v>1690.0581629999999</v>
      </c>
      <c r="D180" s="1076">
        <f t="shared" si="2"/>
        <v>967.51558</v>
      </c>
      <c r="E180" s="1222">
        <v>15003.152364273205</v>
      </c>
      <c r="F180" s="201"/>
      <c r="G180" s="201"/>
      <c r="H180" s="3213"/>
      <c r="I180" s="2945"/>
      <c r="J180" s="3213"/>
      <c r="K180" s="3213"/>
    </row>
    <row r="181" spans="1:11">
      <c r="A181" s="202">
        <v>2004.04</v>
      </c>
      <c r="B181" s="169">
        <v>3039.7478639999999</v>
      </c>
      <c r="C181" s="3034">
        <v>1650.8768689999999</v>
      </c>
      <c r="D181" s="1076">
        <f t="shared" si="2"/>
        <v>1388.870995</v>
      </c>
      <c r="E181" s="1222">
        <v>15763.039505131448</v>
      </c>
      <c r="F181" s="201"/>
      <c r="G181" s="201"/>
      <c r="H181" s="3213"/>
      <c r="I181" s="2945"/>
      <c r="J181" s="3213"/>
      <c r="K181" s="3213"/>
    </row>
    <row r="182" spans="1:11">
      <c r="A182" s="202">
        <v>2004.05</v>
      </c>
      <c r="B182" s="169">
        <v>3394.3957730000002</v>
      </c>
      <c r="C182" s="3034">
        <v>1792.15734</v>
      </c>
      <c r="D182" s="1076">
        <f t="shared" si="2"/>
        <v>1602.2384330000002</v>
      </c>
      <c r="E182" s="1222">
        <v>16704.675797854397</v>
      </c>
      <c r="F182" s="201"/>
      <c r="G182" s="201"/>
      <c r="H182" s="3213"/>
      <c r="I182" s="2945"/>
      <c r="J182" s="3213"/>
      <c r="K182" s="3213"/>
    </row>
    <row r="183" spans="1:11">
      <c r="A183" s="202">
        <v>2004.06</v>
      </c>
      <c r="B183" s="169">
        <v>2950.6950350000002</v>
      </c>
      <c r="C183" s="3034">
        <v>2039.3397990000001</v>
      </c>
      <c r="D183" s="1076">
        <f t="shared" si="2"/>
        <v>911.3552360000001</v>
      </c>
      <c r="E183" s="1222">
        <v>17442.834464822507</v>
      </c>
      <c r="F183" s="201"/>
      <c r="G183" s="201"/>
      <c r="H183" s="3213"/>
      <c r="I183" s="2945"/>
      <c r="J183" s="3213"/>
      <c r="K183" s="3213"/>
    </row>
    <row r="184" spans="1:11">
      <c r="A184" s="202">
        <v>2004.07</v>
      </c>
      <c r="B184" s="169">
        <v>3034.2881120000002</v>
      </c>
      <c r="C184" s="3034">
        <v>1969.8274690000001</v>
      </c>
      <c r="D184" s="1076">
        <f t="shared" si="2"/>
        <v>1064.4606430000001</v>
      </c>
      <c r="E184" s="1222">
        <v>18068.212365591397</v>
      </c>
      <c r="F184" s="201"/>
      <c r="G184" s="201"/>
      <c r="H184" s="3213"/>
      <c r="I184" s="2945"/>
      <c r="J184" s="3213"/>
      <c r="K184" s="3213"/>
    </row>
    <row r="185" spans="1:11">
      <c r="A185" s="202">
        <v>2004.08</v>
      </c>
      <c r="B185" s="169">
        <v>2944.9535169999999</v>
      </c>
      <c r="C185" s="3034">
        <v>2031.629332</v>
      </c>
      <c r="D185" s="1076">
        <f t="shared" si="2"/>
        <v>913.32418499999994</v>
      </c>
      <c r="E185" s="1222">
        <v>18075.85908075859</v>
      </c>
      <c r="F185" s="201"/>
      <c r="G185" s="201"/>
      <c r="H185" s="3213"/>
      <c r="I185" s="2945"/>
      <c r="J185" s="3213"/>
      <c r="K185" s="3213"/>
    </row>
    <row r="186" spans="1:11">
      <c r="A186" s="202">
        <v>2004.09</v>
      </c>
      <c r="B186" s="169">
        <v>3001.937097</v>
      </c>
      <c r="C186" s="3034">
        <v>2025.2212979999999</v>
      </c>
      <c r="D186" s="1076">
        <f t="shared" si="2"/>
        <v>976.71579900000006</v>
      </c>
      <c r="E186" s="1222">
        <v>18223.637887678124</v>
      </c>
      <c r="F186" s="201"/>
      <c r="G186" s="201"/>
      <c r="H186" s="3213"/>
      <c r="I186" s="2945"/>
      <c r="J186" s="3213"/>
      <c r="K186" s="3213"/>
    </row>
    <row r="187" spans="1:11">
      <c r="A187" s="202">
        <v>2004.1</v>
      </c>
      <c r="B187" s="169">
        <v>2830.652208</v>
      </c>
      <c r="C187" s="3034">
        <v>1972.50071</v>
      </c>
      <c r="D187" s="1076">
        <f t="shared" si="2"/>
        <v>858.15149799999995</v>
      </c>
      <c r="E187" s="1222">
        <v>18586.730239742126</v>
      </c>
      <c r="F187" s="201"/>
      <c r="G187" s="201"/>
      <c r="H187" s="3213"/>
      <c r="I187" s="2945"/>
      <c r="J187" s="3213"/>
      <c r="K187" s="3213"/>
    </row>
    <row r="188" spans="1:11">
      <c r="A188" s="202">
        <v>2004.11</v>
      </c>
      <c r="B188" s="169">
        <v>3041.8617730000001</v>
      </c>
      <c r="C188" s="3034">
        <v>2192.6179219999999</v>
      </c>
      <c r="D188" s="1076">
        <f t="shared" si="2"/>
        <v>849.24385100000018</v>
      </c>
      <c r="E188" s="1222">
        <v>18943.747882073872</v>
      </c>
      <c r="F188" s="201"/>
      <c r="G188" s="201"/>
      <c r="H188" s="3213"/>
      <c r="I188" s="2945"/>
      <c r="J188" s="3213"/>
      <c r="K188" s="3213"/>
    </row>
    <row r="189" spans="1:11">
      <c r="A189" s="202">
        <v>2004.12</v>
      </c>
      <c r="B189" s="169">
        <v>2962.1427619999999</v>
      </c>
      <c r="C189" s="3034">
        <v>2108.7459950000002</v>
      </c>
      <c r="D189" s="1076">
        <f t="shared" si="2"/>
        <v>853.39676699999973</v>
      </c>
      <c r="E189" s="1222">
        <v>19645.571322886542</v>
      </c>
      <c r="F189" s="201"/>
      <c r="G189" s="201"/>
      <c r="H189" s="3213"/>
      <c r="I189" s="2945"/>
      <c r="J189" s="3213"/>
      <c r="K189" s="3213"/>
    </row>
    <row r="190" spans="1:11">
      <c r="A190" s="202">
        <v>2005.01</v>
      </c>
      <c r="B190" s="169">
        <v>2781.1053847200001</v>
      </c>
      <c r="C190" s="3034">
        <v>1901.0131532600001</v>
      </c>
      <c r="D190" s="1076">
        <f t="shared" si="2"/>
        <v>880.09223145999999</v>
      </c>
      <c r="E190" s="1222">
        <v>20137.421802892011</v>
      </c>
      <c r="F190" s="201"/>
      <c r="G190" s="201"/>
      <c r="H190" s="3213"/>
      <c r="I190" s="2945"/>
      <c r="J190" s="3213"/>
      <c r="K190" s="3213"/>
    </row>
    <row r="191" spans="1:11">
      <c r="A191" s="202">
        <v>2005.02</v>
      </c>
      <c r="B191" s="169">
        <v>2606.2557954200001</v>
      </c>
      <c r="C191" s="3034">
        <v>1867.28695072</v>
      </c>
      <c r="D191" s="1076">
        <f t="shared" si="2"/>
        <v>738.96884470000009</v>
      </c>
      <c r="E191" s="1222">
        <v>20792.443823098169</v>
      </c>
      <c r="F191" s="201"/>
      <c r="G191" s="201"/>
      <c r="H191" s="3213"/>
      <c r="I191" s="2945"/>
      <c r="J191" s="3213"/>
      <c r="K191" s="3213"/>
    </row>
    <row r="192" spans="1:11">
      <c r="A192" s="202">
        <v>2005.03</v>
      </c>
      <c r="B192" s="169">
        <v>3054.4342241700001</v>
      </c>
      <c r="C192" s="3034">
        <v>2197.56781069</v>
      </c>
      <c r="D192" s="1076">
        <f t="shared" si="2"/>
        <v>856.86641348000012</v>
      </c>
      <c r="E192" s="1222">
        <v>20338.658365545787</v>
      </c>
      <c r="F192" s="201"/>
      <c r="G192" s="201"/>
      <c r="H192" s="3213"/>
      <c r="I192" s="2945"/>
      <c r="J192" s="3213"/>
      <c r="K192" s="3213"/>
    </row>
    <row r="193" spans="1:11">
      <c r="A193" s="202">
        <v>2005.04</v>
      </c>
      <c r="B193" s="169">
        <v>3560.85679179</v>
      </c>
      <c r="C193" s="3034">
        <v>2379.9143108899998</v>
      </c>
      <c r="D193" s="1076">
        <f t="shared" si="2"/>
        <v>1180.9424809000002</v>
      </c>
      <c r="E193" s="1222">
        <v>20904.472591219579</v>
      </c>
      <c r="F193" s="201"/>
      <c r="G193" s="201"/>
      <c r="H193" s="3213"/>
      <c r="I193" s="2945"/>
      <c r="J193" s="3213"/>
      <c r="K193" s="3213"/>
    </row>
    <row r="194" spans="1:11">
      <c r="A194" s="202">
        <v>2005.05</v>
      </c>
      <c r="B194" s="169">
        <v>3695.2891755800001</v>
      </c>
      <c r="C194" s="3034">
        <v>2475.9666818800001</v>
      </c>
      <c r="D194" s="1076">
        <f t="shared" si="2"/>
        <v>1219.3224937</v>
      </c>
      <c r="E194" s="1222">
        <v>22103.057796862555</v>
      </c>
      <c r="F194" s="201"/>
      <c r="G194" s="201"/>
      <c r="H194" s="3213"/>
      <c r="I194" s="2945"/>
      <c r="J194" s="3213"/>
      <c r="K194" s="3213"/>
    </row>
    <row r="195" spans="1:11">
      <c r="A195" s="202">
        <v>2005.06</v>
      </c>
      <c r="B195" s="169">
        <v>3450.19364309</v>
      </c>
      <c r="C195" s="3034">
        <v>2723.61559605</v>
      </c>
      <c r="D195" s="1076">
        <f t="shared" si="2"/>
        <v>726.57804704</v>
      </c>
      <c r="E195" s="1222">
        <v>23052.096305520961</v>
      </c>
      <c r="F195" s="201"/>
      <c r="G195" s="201"/>
      <c r="H195" s="3213"/>
      <c r="I195" s="2945"/>
      <c r="J195" s="3213"/>
      <c r="K195" s="3213"/>
    </row>
    <row r="196" spans="1:11">
      <c r="A196" s="202">
        <v>2005.07</v>
      </c>
      <c r="B196" s="169">
        <v>3601.0016308300001</v>
      </c>
      <c r="C196" s="3034">
        <v>2349.0349482500001</v>
      </c>
      <c r="D196" s="1076">
        <f t="shared" si="2"/>
        <v>1251.96668258</v>
      </c>
      <c r="E196" s="1222">
        <v>25105.491127567417</v>
      </c>
      <c r="F196" s="201"/>
      <c r="G196" s="201"/>
      <c r="H196" s="3213"/>
      <c r="I196" s="2945"/>
      <c r="J196" s="3213"/>
      <c r="K196" s="3213"/>
    </row>
    <row r="197" spans="1:11">
      <c r="A197" s="202">
        <v>2005.08</v>
      </c>
      <c r="B197" s="169">
        <v>3837.3649699299999</v>
      </c>
      <c r="C197" s="3034">
        <v>2625.6684132800001</v>
      </c>
      <c r="D197" s="1076">
        <f t="shared" si="2"/>
        <v>1211.6965566499998</v>
      </c>
      <c r="E197" s="1222">
        <v>25251.914689013291</v>
      </c>
      <c r="F197" s="201"/>
      <c r="G197" s="201"/>
      <c r="H197" s="3213"/>
      <c r="I197" s="2945"/>
      <c r="J197" s="3213"/>
      <c r="K197" s="3213"/>
    </row>
    <row r="198" spans="1:11">
      <c r="A198" s="202">
        <v>2005.09</v>
      </c>
      <c r="B198" s="169">
        <v>3482.92912183</v>
      </c>
      <c r="C198" s="3034">
        <v>2468.0839231300001</v>
      </c>
      <c r="D198" s="1076">
        <f t="shared" si="2"/>
        <v>1014.8451986999999</v>
      </c>
      <c r="E198" s="1222">
        <v>25614.077253218882</v>
      </c>
      <c r="F198" s="201"/>
      <c r="G198" s="201"/>
      <c r="H198" s="3213"/>
      <c r="I198" s="2945"/>
      <c r="J198" s="3213"/>
      <c r="K198" s="3213"/>
    </row>
    <row r="199" spans="1:11">
      <c r="A199" s="202">
        <v>2005.1</v>
      </c>
      <c r="B199" s="169">
        <v>3398.85660048</v>
      </c>
      <c r="C199" s="3034">
        <v>2502.6768854100001</v>
      </c>
      <c r="D199" s="1076">
        <f t="shared" si="2"/>
        <v>896.17971506999993</v>
      </c>
      <c r="E199" s="1222">
        <v>26547.828687244575</v>
      </c>
      <c r="F199" s="201"/>
      <c r="G199" s="201"/>
      <c r="H199" s="3213"/>
      <c r="I199" s="2945"/>
      <c r="J199" s="3213"/>
      <c r="K199" s="3213"/>
    </row>
    <row r="200" spans="1:11">
      <c r="A200" s="202">
        <v>2005.11</v>
      </c>
      <c r="B200" s="169">
        <v>3273.9067319300002</v>
      </c>
      <c r="C200" s="3034">
        <v>2701.1267154100001</v>
      </c>
      <c r="D200" s="1076">
        <f t="shared" si="2"/>
        <v>572.78001652000012</v>
      </c>
      <c r="E200" s="1222">
        <v>26524.63426937952</v>
      </c>
      <c r="F200" s="201"/>
      <c r="G200" s="201"/>
      <c r="H200" s="3213"/>
      <c r="I200" s="2945"/>
      <c r="J200" s="3213"/>
      <c r="K200" s="3213"/>
    </row>
    <row r="201" spans="1:11">
      <c r="A201" s="202">
        <v>2005.12</v>
      </c>
      <c r="B201" s="169">
        <v>3644.5675552299999</v>
      </c>
      <c r="C201" s="3034">
        <v>2494.9341445599998</v>
      </c>
      <c r="D201" s="1076">
        <f t="shared" si="2"/>
        <v>1149.6334106700001</v>
      </c>
      <c r="E201" s="1222">
        <v>28076.859640442028</v>
      </c>
      <c r="F201" s="201"/>
      <c r="G201" s="201"/>
      <c r="H201" s="3213"/>
      <c r="I201" s="2945"/>
      <c r="J201" s="3213"/>
      <c r="K201" s="3213"/>
    </row>
    <row r="202" spans="1:11">
      <c r="A202" s="202">
        <v>2006.01</v>
      </c>
      <c r="B202" s="169">
        <v>3187.53118885</v>
      </c>
      <c r="C202" s="3034">
        <v>2323.6381569099999</v>
      </c>
      <c r="D202" s="1076">
        <f t="shared" ref="D202:D265" si="3">B202-C202</f>
        <v>863.89303194000013</v>
      </c>
      <c r="E202" s="1222">
        <v>19689.264614681593</v>
      </c>
      <c r="F202" s="201"/>
      <c r="G202" s="201"/>
      <c r="H202" s="3213"/>
      <c r="I202" s="2945"/>
      <c r="J202" s="3213"/>
      <c r="K202" s="3213"/>
    </row>
    <row r="203" spans="1:11">
      <c r="A203" s="202">
        <v>2006.02</v>
      </c>
      <c r="B203" s="169">
        <v>3089.94789967</v>
      </c>
      <c r="C203" s="3034">
        <v>2326.0386368899999</v>
      </c>
      <c r="D203" s="1076">
        <f t="shared" si="3"/>
        <v>763.90926278000006</v>
      </c>
      <c r="E203" s="1222">
        <v>20531.762561832857</v>
      </c>
      <c r="F203" s="201"/>
      <c r="G203" s="201"/>
      <c r="H203" s="3213"/>
      <c r="I203" s="2945"/>
      <c r="J203" s="3213"/>
      <c r="K203" s="3213"/>
    </row>
    <row r="204" spans="1:11">
      <c r="A204" s="202">
        <v>2006.03</v>
      </c>
      <c r="B204" s="169">
        <v>3647.9907191299999</v>
      </c>
      <c r="C204" s="3034">
        <v>2722.1056993100001</v>
      </c>
      <c r="D204" s="1076">
        <f t="shared" si="3"/>
        <v>925.8850198199998</v>
      </c>
      <c r="E204" s="1222">
        <v>21548.948325110359</v>
      </c>
      <c r="F204" s="201"/>
      <c r="G204" s="201"/>
      <c r="H204" s="3213"/>
      <c r="I204" s="2945"/>
      <c r="J204" s="3213"/>
      <c r="K204" s="3213"/>
    </row>
    <row r="205" spans="1:11">
      <c r="A205" s="202">
        <v>2006.04</v>
      </c>
      <c r="B205" s="169">
        <v>3925.3413882700002</v>
      </c>
      <c r="C205" s="3034">
        <v>2545.46705789</v>
      </c>
      <c r="D205" s="1076">
        <f t="shared" si="3"/>
        <v>1379.8743303800002</v>
      </c>
      <c r="E205" s="1222">
        <v>22399.960575596295</v>
      </c>
      <c r="F205" s="201"/>
      <c r="G205" s="201"/>
      <c r="H205" s="3213"/>
      <c r="I205" s="2945"/>
      <c r="J205" s="3213"/>
      <c r="K205" s="3213"/>
    </row>
    <row r="206" spans="1:11">
      <c r="A206" s="202">
        <v>2006.05</v>
      </c>
      <c r="B206" s="169">
        <v>4181.2852360099996</v>
      </c>
      <c r="C206" s="3034">
        <v>2825.9275463899999</v>
      </c>
      <c r="D206" s="1076">
        <f t="shared" si="3"/>
        <v>1355.3576896199997</v>
      </c>
      <c r="E206" s="1222">
        <v>24161.591291952831</v>
      </c>
      <c r="F206" s="201"/>
      <c r="G206" s="201"/>
      <c r="H206" s="3213"/>
      <c r="I206" s="2945"/>
      <c r="J206" s="3213"/>
      <c r="K206" s="3213"/>
    </row>
    <row r="207" spans="1:11">
      <c r="A207" s="202">
        <v>2006.06</v>
      </c>
      <c r="B207" s="169">
        <v>3847.7789388800002</v>
      </c>
      <c r="C207" s="3034">
        <v>2859.1793253199999</v>
      </c>
      <c r="D207" s="1076">
        <f t="shared" si="3"/>
        <v>988.59961356000031</v>
      </c>
      <c r="E207" s="1222">
        <v>25490.145228215766</v>
      </c>
      <c r="F207" s="201"/>
      <c r="G207" s="201"/>
      <c r="H207" s="3213"/>
      <c r="I207" s="2945"/>
      <c r="J207" s="3213"/>
      <c r="K207" s="3213"/>
    </row>
    <row r="208" spans="1:11">
      <c r="A208" s="202">
        <v>2006.07</v>
      </c>
      <c r="B208" s="169">
        <v>3816.863382</v>
      </c>
      <c r="C208" s="3034">
        <v>2852.36632267</v>
      </c>
      <c r="D208" s="1076">
        <f t="shared" si="3"/>
        <v>964.49705932999996</v>
      </c>
      <c r="E208" s="1222">
        <v>26223.494211005593</v>
      </c>
      <c r="F208" s="201"/>
      <c r="G208" s="201"/>
      <c r="H208" s="3213"/>
      <c r="I208" s="2945"/>
      <c r="J208" s="3213"/>
      <c r="K208" s="3213"/>
    </row>
    <row r="209" spans="1:11">
      <c r="A209" s="202">
        <v>2006.08</v>
      </c>
      <c r="B209" s="169">
        <v>4246.16490995</v>
      </c>
      <c r="C209" s="3034">
        <v>3280.7935868499999</v>
      </c>
      <c r="D209" s="1076">
        <f t="shared" si="3"/>
        <v>965.37132310000015</v>
      </c>
      <c r="E209" s="1222">
        <v>27396.680873046622</v>
      </c>
      <c r="F209" s="201"/>
      <c r="G209" s="201"/>
      <c r="H209" s="3213"/>
      <c r="I209" s="2945"/>
      <c r="J209" s="3213"/>
      <c r="K209" s="3213"/>
    </row>
    <row r="210" spans="1:11">
      <c r="A210" s="202">
        <v>2006.09</v>
      </c>
      <c r="B210" s="169">
        <v>4048.1082944099999</v>
      </c>
      <c r="C210" s="3034">
        <v>3169.4272959999998</v>
      </c>
      <c r="D210" s="1076">
        <f t="shared" si="3"/>
        <v>878.68099841000003</v>
      </c>
      <c r="E210" s="1222">
        <v>28047.869084817834</v>
      </c>
      <c r="F210" s="201"/>
      <c r="G210" s="201"/>
      <c r="H210" s="3213"/>
      <c r="I210" s="2945"/>
      <c r="J210" s="3213"/>
      <c r="K210" s="3213"/>
    </row>
    <row r="211" spans="1:11">
      <c r="A211" s="202">
        <v>2006.1</v>
      </c>
      <c r="B211" s="169">
        <v>4203.7349545500001</v>
      </c>
      <c r="C211" s="3034">
        <v>3255.11398568</v>
      </c>
      <c r="D211" s="1076">
        <f t="shared" si="3"/>
        <v>948.62096887000007</v>
      </c>
      <c r="E211" s="1222">
        <v>29081.563378915718</v>
      </c>
      <c r="F211" s="201"/>
      <c r="G211" s="201"/>
      <c r="H211" s="3213"/>
      <c r="I211" s="2945"/>
      <c r="J211" s="3213"/>
      <c r="K211" s="3213"/>
    </row>
    <row r="212" spans="1:11">
      <c r="A212" s="202">
        <v>2006.11</v>
      </c>
      <c r="B212" s="169">
        <v>4110.08171012</v>
      </c>
      <c r="C212" s="3034">
        <v>3237.23025431</v>
      </c>
      <c r="D212" s="1076">
        <f t="shared" si="3"/>
        <v>872.85145581000006</v>
      </c>
      <c r="E212" s="1222">
        <v>30328.413644805001</v>
      </c>
      <c r="F212" s="201"/>
      <c r="G212" s="201"/>
      <c r="H212" s="3213"/>
      <c r="I212" s="2945"/>
      <c r="J212" s="3213"/>
      <c r="K212" s="3213"/>
    </row>
    <row r="213" spans="1:11">
      <c r="A213" s="202">
        <v>2006.12</v>
      </c>
      <c r="B213" s="169">
        <v>4241.3744559099996</v>
      </c>
      <c r="C213" s="3034">
        <v>2756.3946033900002</v>
      </c>
      <c r="D213" s="1076">
        <f t="shared" si="3"/>
        <v>1484.9798525199994</v>
      </c>
      <c r="E213" s="1222">
        <v>32036.813813324643</v>
      </c>
      <c r="F213" s="201"/>
      <c r="G213" s="201"/>
      <c r="H213" s="3213"/>
      <c r="I213" s="2945"/>
      <c r="J213" s="3213"/>
      <c r="K213" s="3213"/>
    </row>
    <row r="214" spans="1:11">
      <c r="A214" s="202">
        <v>2007.01</v>
      </c>
      <c r="B214" s="169">
        <v>3389.5499920699999</v>
      </c>
      <c r="C214" s="3034">
        <v>2951.0422552800001</v>
      </c>
      <c r="D214" s="1076">
        <f t="shared" si="3"/>
        <v>438.50773678999985</v>
      </c>
      <c r="E214" s="1222">
        <v>33739.175224543666</v>
      </c>
      <c r="F214" s="201"/>
      <c r="G214" s="201"/>
      <c r="H214" s="3213"/>
      <c r="I214" s="2945"/>
      <c r="J214" s="3213"/>
      <c r="K214" s="3213"/>
    </row>
    <row r="215" spans="1:11">
      <c r="A215" s="202">
        <v>2007.02</v>
      </c>
      <c r="B215" s="169">
        <v>3587.3380862499998</v>
      </c>
      <c r="C215" s="3034">
        <v>2790.7812133900002</v>
      </c>
      <c r="D215" s="1076">
        <f t="shared" si="3"/>
        <v>796.55687285999966</v>
      </c>
      <c r="E215" s="1222">
        <v>34935.504675910997</v>
      </c>
      <c r="F215" s="201"/>
      <c r="G215" s="201"/>
      <c r="H215" s="3213"/>
      <c r="I215" s="2945"/>
      <c r="J215" s="3213"/>
      <c r="K215" s="3213"/>
    </row>
    <row r="216" spans="1:11">
      <c r="A216" s="202">
        <v>2007.03</v>
      </c>
      <c r="B216" s="169">
        <v>4172.5858543900003</v>
      </c>
      <c r="C216" s="3034">
        <v>3422.1101955200002</v>
      </c>
      <c r="D216" s="1076">
        <f t="shared" si="3"/>
        <v>750.47565887000019</v>
      </c>
      <c r="E216" s="1222">
        <v>36849</v>
      </c>
      <c r="F216" s="201"/>
      <c r="G216" s="201"/>
      <c r="H216" s="3213"/>
      <c r="I216" s="2945"/>
      <c r="J216" s="3213"/>
      <c r="K216" s="3213"/>
    </row>
    <row r="217" spans="1:11">
      <c r="A217" s="202">
        <v>2007.04</v>
      </c>
      <c r="B217" s="169">
        <v>4298.5554980400002</v>
      </c>
      <c r="C217" s="3034">
        <v>3060.8982461999999</v>
      </c>
      <c r="D217" s="1076">
        <f t="shared" si="3"/>
        <v>1237.6572518400003</v>
      </c>
      <c r="E217" s="1222">
        <v>38606</v>
      </c>
      <c r="F217" s="201"/>
      <c r="G217" s="201"/>
      <c r="H217" s="3213"/>
      <c r="I217" s="2945"/>
      <c r="J217" s="3213"/>
      <c r="K217" s="3213"/>
    </row>
    <row r="218" spans="1:11">
      <c r="A218" s="202">
        <v>2007.05</v>
      </c>
      <c r="B218" s="169">
        <v>4855.8447527799999</v>
      </c>
      <c r="C218" s="3034">
        <v>3542.11578779</v>
      </c>
      <c r="D218" s="1076">
        <f t="shared" si="3"/>
        <v>1313.7289649899999</v>
      </c>
      <c r="E218" s="1222">
        <v>40581</v>
      </c>
      <c r="F218" s="201"/>
      <c r="G218" s="201"/>
      <c r="H218" s="3213"/>
      <c r="I218" s="2945"/>
      <c r="J218" s="3213"/>
      <c r="K218" s="3213"/>
    </row>
    <row r="219" spans="1:11">
      <c r="A219" s="202">
        <v>2007.06</v>
      </c>
      <c r="B219" s="169">
        <v>4521.0935983099998</v>
      </c>
      <c r="C219" s="3034">
        <v>3578.9387432399999</v>
      </c>
      <c r="D219" s="1076">
        <f t="shared" si="3"/>
        <v>942.15485506999994</v>
      </c>
      <c r="E219" s="1222">
        <v>43157</v>
      </c>
      <c r="F219" s="201"/>
      <c r="G219" s="201"/>
      <c r="H219" s="3213"/>
      <c r="I219" s="2945"/>
      <c r="J219" s="3213"/>
      <c r="K219" s="3213"/>
    </row>
    <row r="220" spans="1:11">
      <c r="A220" s="202">
        <v>2007.07</v>
      </c>
      <c r="B220" s="169">
        <v>4614.2473972999996</v>
      </c>
      <c r="C220" s="3034">
        <v>4125.8085923600001</v>
      </c>
      <c r="D220" s="1076">
        <f t="shared" si="3"/>
        <v>488.4388049399995</v>
      </c>
      <c r="E220" s="1222">
        <v>44202</v>
      </c>
      <c r="F220" s="201"/>
      <c r="G220" s="201"/>
      <c r="H220" s="3213"/>
      <c r="I220" s="2945"/>
      <c r="J220" s="3213"/>
      <c r="K220" s="3213"/>
    </row>
    <row r="221" spans="1:11">
      <c r="A221" s="202">
        <v>2007.08</v>
      </c>
      <c r="B221" s="169">
        <v>4921.6410428299996</v>
      </c>
      <c r="C221" s="3034">
        <v>4606.3962531200004</v>
      </c>
      <c r="D221" s="1076">
        <f t="shared" si="3"/>
        <v>315.24478970999917</v>
      </c>
      <c r="E221" s="1222">
        <v>43160</v>
      </c>
      <c r="F221" s="201"/>
      <c r="G221" s="201"/>
      <c r="H221" s="3213"/>
      <c r="I221" s="2945"/>
      <c r="J221" s="3213"/>
      <c r="K221" s="3213"/>
    </row>
    <row r="222" spans="1:11">
      <c r="A222" s="202">
        <v>2007.09</v>
      </c>
      <c r="B222" s="169">
        <v>4827.8091365800001</v>
      </c>
      <c r="C222" s="3034">
        <v>3963.0609714100001</v>
      </c>
      <c r="D222" s="1076">
        <f t="shared" si="3"/>
        <v>864.74816516999999</v>
      </c>
      <c r="E222" s="1222">
        <v>42891</v>
      </c>
      <c r="F222" s="201"/>
      <c r="G222" s="201"/>
      <c r="H222" s="3213"/>
      <c r="I222" s="2945"/>
      <c r="J222" s="3213"/>
      <c r="K222" s="3213"/>
    </row>
    <row r="223" spans="1:11">
      <c r="A223" s="202">
        <v>2007.1</v>
      </c>
      <c r="B223" s="169">
        <v>5580.7797169100004</v>
      </c>
      <c r="C223" s="3034">
        <v>4400.4776843600002</v>
      </c>
      <c r="D223" s="1076">
        <f t="shared" si="3"/>
        <v>1180.3020325500001</v>
      </c>
      <c r="E223" s="1222">
        <v>43000</v>
      </c>
      <c r="F223" s="201"/>
      <c r="G223" s="201"/>
      <c r="H223" s="3213"/>
      <c r="I223" s="2945"/>
      <c r="J223" s="3213"/>
      <c r="K223" s="3213"/>
    </row>
    <row r="224" spans="1:11">
      <c r="A224" s="202">
        <v>2007.11</v>
      </c>
      <c r="B224" s="169">
        <v>5424.2140163900003</v>
      </c>
      <c r="C224" s="3034">
        <v>4384.4998271799996</v>
      </c>
      <c r="D224" s="1076">
        <f t="shared" si="3"/>
        <v>1039.7141892100008</v>
      </c>
      <c r="E224" s="1222">
        <v>44860</v>
      </c>
      <c r="F224" s="201"/>
      <c r="G224" s="201"/>
      <c r="H224" s="3213"/>
      <c r="I224" s="2945"/>
      <c r="J224" s="3213"/>
      <c r="K224" s="3213"/>
    </row>
    <row r="225" spans="1:11">
      <c r="A225" s="202">
        <v>2007.12</v>
      </c>
      <c r="B225" s="169">
        <v>5786.6494937899997</v>
      </c>
      <c r="C225" s="3034">
        <v>3881.3336258700001</v>
      </c>
      <c r="D225" s="1076">
        <f t="shared" si="3"/>
        <v>1905.3158679199996</v>
      </c>
      <c r="E225" s="1222">
        <v>46176</v>
      </c>
      <c r="F225" s="201"/>
      <c r="G225" s="201"/>
      <c r="H225" s="3213"/>
      <c r="I225" s="2945"/>
      <c r="J225" s="3213"/>
      <c r="K225" s="3213"/>
    </row>
    <row r="226" spans="1:11">
      <c r="A226" s="202">
        <v>2008.01</v>
      </c>
      <c r="B226" s="169">
        <v>5818.3282660900004</v>
      </c>
      <c r="C226" s="3034">
        <v>4478.5264542599998</v>
      </c>
      <c r="D226" s="1076">
        <f t="shared" si="3"/>
        <v>1339.8018118300006</v>
      </c>
      <c r="E226" s="1222">
        <v>47660</v>
      </c>
      <c r="F226" s="201"/>
      <c r="G226" s="201"/>
      <c r="H226" s="3213"/>
      <c r="I226" s="2945"/>
      <c r="J226" s="3213"/>
      <c r="K226" s="3213"/>
    </row>
    <row r="227" spans="1:11">
      <c r="A227" s="202">
        <v>2008.02</v>
      </c>
      <c r="B227" s="169">
        <v>5225.6580459699999</v>
      </c>
      <c r="C227" s="3034">
        <v>4209.7768154400001</v>
      </c>
      <c r="D227" s="1076">
        <f t="shared" si="3"/>
        <v>1015.8812305299998</v>
      </c>
      <c r="E227" s="1222">
        <v>49261</v>
      </c>
      <c r="F227" s="201"/>
      <c r="G227" s="201"/>
      <c r="H227" s="3213"/>
      <c r="I227" s="2945"/>
      <c r="J227" s="3213"/>
      <c r="K227" s="3213"/>
    </row>
    <row r="228" spans="1:11">
      <c r="A228" s="202">
        <v>2008.03</v>
      </c>
      <c r="B228" s="169">
        <v>4990.8444206599997</v>
      </c>
      <c r="C228" s="3034">
        <v>4163.3968326499999</v>
      </c>
      <c r="D228" s="1076">
        <f t="shared" si="3"/>
        <v>827.44758800999989</v>
      </c>
      <c r="E228" s="1222">
        <v>50464</v>
      </c>
      <c r="F228" s="201"/>
      <c r="G228" s="201"/>
      <c r="H228" s="3213"/>
      <c r="I228" s="2945"/>
      <c r="J228" s="3213"/>
      <c r="K228" s="3213"/>
    </row>
    <row r="229" spans="1:11">
      <c r="A229" s="202">
        <v>2008.04</v>
      </c>
      <c r="B229" s="169">
        <v>5845.6563526099999</v>
      </c>
      <c r="C229" s="3034">
        <v>4929.5734442599996</v>
      </c>
      <c r="D229" s="1076">
        <f t="shared" si="3"/>
        <v>916.08290835000025</v>
      </c>
      <c r="E229" s="1222">
        <v>50247</v>
      </c>
      <c r="F229" s="201"/>
      <c r="G229" s="201"/>
      <c r="H229" s="3213"/>
      <c r="I229" s="2945"/>
      <c r="J229" s="3213"/>
      <c r="K229" s="3213"/>
    </row>
    <row r="230" spans="1:11">
      <c r="A230" s="202">
        <v>2008.05</v>
      </c>
      <c r="B230" s="169">
        <v>6240.2889256999997</v>
      </c>
      <c r="C230" s="3034">
        <v>5200.4647046999999</v>
      </c>
      <c r="D230" s="1076">
        <f t="shared" si="3"/>
        <v>1039.8242209999999</v>
      </c>
      <c r="E230" s="1222">
        <v>48588</v>
      </c>
      <c r="F230" s="201"/>
      <c r="G230" s="201"/>
      <c r="H230" s="3213"/>
      <c r="I230" s="2945"/>
      <c r="J230" s="3213"/>
      <c r="K230" s="3213"/>
    </row>
    <row r="231" spans="1:11">
      <c r="A231" s="202">
        <v>2008.06</v>
      </c>
      <c r="B231" s="169">
        <v>5407.0315266699999</v>
      </c>
      <c r="C231" s="3034">
        <v>5195.9917396399997</v>
      </c>
      <c r="D231" s="1076">
        <f t="shared" si="3"/>
        <v>211.0397870300003</v>
      </c>
      <c r="E231" s="1222">
        <v>47516</v>
      </c>
      <c r="F231" s="201"/>
      <c r="G231" s="201"/>
      <c r="H231" s="3213"/>
      <c r="I231" s="2945"/>
      <c r="J231" s="3213"/>
      <c r="K231" s="3213"/>
    </row>
    <row r="232" spans="1:11">
      <c r="A232" s="202">
        <v>2008.07</v>
      </c>
      <c r="B232" s="169">
        <v>7010.5182369800004</v>
      </c>
      <c r="C232" s="3034">
        <v>6046.8269938399999</v>
      </c>
      <c r="D232" s="1076">
        <f t="shared" si="3"/>
        <v>963.69124314000055</v>
      </c>
      <c r="E232" s="1222">
        <v>47545</v>
      </c>
      <c r="F232" s="201"/>
      <c r="G232" s="201"/>
      <c r="H232" s="3213"/>
      <c r="I232" s="2945"/>
      <c r="J232" s="3213"/>
      <c r="K232" s="3213"/>
    </row>
    <row r="233" spans="1:11">
      <c r="A233" s="202">
        <v>2008.08</v>
      </c>
      <c r="B233" s="169">
        <v>7366.7002799700003</v>
      </c>
      <c r="C233" s="3034">
        <v>5158.7470822100004</v>
      </c>
      <c r="D233" s="1076">
        <f t="shared" si="3"/>
        <v>2207.95319776</v>
      </c>
      <c r="E233" s="1222">
        <v>47090</v>
      </c>
      <c r="F233" s="201"/>
      <c r="G233" s="201"/>
      <c r="H233" s="3213"/>
      <c r="I233" s="2945"/>
      <c r="J233" s="3213"/>
      <c r="K233" s="3213"/>
    </row>
    <row r="234" spans="1:11">
      <c r="A234" s="202">
        <v>2008.09</v>
      </c>
      <c r="B234" s="169">
        <v>6918.7255948599995</v>
      </c>
      <c r="C234" s="3034">
        <v>5310.8947334200002</v>
      </c>
      <c r="D234" s="1076">
        <f t="shared" si="3"/>
        <v>1607.8308614399994</v>
      </c>
      <c r="E234" s="1222">
        <v>47121</v>
      </c>
      <c r="F234" s="201"/>
      <c r="G234" s="201"/>
      <c r="H234" s="3213"/>
      <c r="I234" s="2945"/>
      <c r="J234" s="3213"/>
      <c r="K234" s="3213"/>
    </row>
    <row r="235" spans="1:11">
      <c r="A235" s="202">
        <v>2008.1</v>
      </c>
      <c r="B235" s="169">
        <v>6061.1924079199998</v>
      </c>
      <c r="C235" s="3034">
        <v>5128.95839239</v>
      </c>
      <c r="D235" s="1076">
        <f t="shared" si="3"/>
        <v>932.23401552999985</v>
      </c>
      <c r="E235" s="1222">
        <v>44941</v>
      </c>
      <c r="F235" s="201"/>
      <c r="G235" s="201"/>
      <c r="H235" s="3213"/>
      <c r="I235" s="2945"/>
      <c r="J235" s="3213"/>
      <c r="K235" s="3213"/>
    </row>
    <row r="236" spans="1:11">
      <c r="A236" s="202">
        <v>2008.11</v>
      </c>
      <c r="B236" s="169">
        <v>4902.9249548999996</v>
      </c>
      <c r="C236" s="3034">
        <v>4182.2934512600004</v>
      </c>
      <c r="D236" s="1076">
        <f t="shared" si="3"/>
        <v>720.63150363999921</v>
      </c>
      <c r="E236" s="1222">
        <v>46072</v>
      </c>
      <c r="F236" s="201"/>
      <c r="G236" s="201"/>
      <c r="H236" s="3213"/>
      <c r="I236" s="2945"/>
      <c r="J236" s="3213"/>
      <c r="K236" s="3213"/>
    </row>
    <row r="237" spans="1:11">
      <c r="A237" s="202">
        <v>2008.12</v>
      </c>
      <c r="B237" s="169">
        <v>4230.9704197999999</v>
      </c>
      <c r="C237" s="3034">
        <v>3457.00171288</v>
      </c>
      <c r="D237" s="1076">
        <f t="shared" si="3"/>
        <v>773.96870691999993</v>
      </c>
      <c r="E237" s="1222">
        <v>46386</v>
      </c>
      <c r="F237" s="201"/>
      <c r="G237" s="201"/>
      <c r="H237" s="3213"/>
      <c r="I237" s="2945"/>
      <c r="J237" s="3213"/>
      <c r="K237" s="3213"/>
    </row>
    <row r="238" spans="1:11">
      <c r="A238" s="202">
        <v>2009.01</v>
      </c>
      <c r="B238" s="169">
        <v>3714.7217961699998</v>
      </c>
      <c r="C238" s="3034">
        <v>2760.0656236899999</v>
      </c>
      <c r="D238" s="1076">
        <f t="shared" si="3"/>
        <v>954.6561724799999</v>
      </c>
      <c r="E238" s="1222">
        <v>47009</v>
      </c>
      <c r="F238" s="201"/>
      <c r="G238" s="201"/>
      <c r="H238" s="3213"/>
      <c r="I238" s="2945"/>
      <c r="J238" s="3213"/>
      <c r="K238" s="3213"/>
    </row>
    <row r="239" spans="1:11">
      <c r="A239" s="202">
        <v>2009.02</v>
      </c>
      <c r="B239" s="169">
        <v>3944.7629906000002</v>
      </c>
      <c r="C239" s="3034">
        <v>2663.2730100099998</v>
      </c>
      <c r="D239" s="1076">
        <f t="shared" si="3"/>
        <v>1281.4899805900004</v>
      </c>
      <c r="E239" s="1222">
        <v>47025</v>
      </c>
      <c r="F239" s="201"/>
      <c r="G239" s="201"/>
      <c r="H239" s="3213"/>
      <c r="I239" s="2945"/>
      <c r="J239" s="3213"/>
      <c r="K239" s="3213"/>
    </row>
    <row r="240" spans="1:11">
      <c r="A240" s="202">
        <v>2009.03</v>
      </c>
      <c r="B240" s="169">
        <v>4263.7069145400001</v>
      </c>
      <c r="C240" s="3034">
        <v>2888.3559309399998</v>
      </c>
      <c r="D240" s="1076">
        <f t="shared" si="3"/>
        <v>1375.3509836000003</v>
      </c>
      <c r="E240" s="1222">
        <v>46509</v>
      </c>
      <c r="F240" s="201"/>
      <c r="G240" s="201"/>
      <c r="H240" s="3213"/>
      <c r="I240" s="2945"/>
      <c r="J240" s="3213"/>
      <c r="K240" s="3213"/>
    </row>
    <row r="241" spans="1:11">
      <c r="A241" s="202">
        <v>2009.04</v>
      </c>
      <c r="B241" s="169">
        <v>5052.2965551500001</v>
      </c>
      <c r="C241" s="3034">
        <v>2776.6213251099998</v>
      </c>
      <c r="D241" s="1076">
        <f t="shared" si="3"/>
        <v>2275.6752300400003</v>
      </c>
      <c r="E241" s="1222">
        <v>46368</v>
      </c>
      <c r="F241" s="201"/>
      <c r="G241" s="201"/>
      <c r="H241" s="3213"/>
      <c r="I241" s="2945"/>
      <c r="J241" s="3213"/>
      <c r="K241" s="3213"/>
    </row>
    <row r="242" spans="1:11">
      <c r="A242" s="202">
        <v>2009.05</v>
      </c>
      <c r="B242" s="169">
        <v>5203.3631154499999</v>
      </c>
      <c r="C242" s="3034">
        <v>2660.0054315000002</v>
      </c>
      <c r="D242" s="1076">
        <f t="shared" si="3"/>
        <v>2543.3576839499997</v>
      </c>
      <c r="E242" s="1222">
        <v>46545</v>
      </c>
      <c r="F242" s="201"/>
      <c r="G242" s="201"/>
      <c r="H242" s="3213"/>
      <c r="I242" s="2945"/>
      <c r="J242" s="3213"/>
      <c r="K242" s="3213"/>
    </row>
    <row r="243" spans="1:11">
      <c r="A243" s="202">
        <v>2009.06</v>
      </c>
      <c r="B243" s="169">
        <v>5211.3018933399999</v>
      </c>
      <c r="C243" s="3034">
        <v>3618.9275719100001</v>
      </c>
      <c r="D243" s="1076">
        <f t="shared" si="3"/>
        <v>1592.3743214299998</v>
      </c>
      <c r="E243" s="1222">
        <v>46026</v>
      </c>
      <c r="F243" s="201"/>
      <c r="G243" s="201"/>
      <c r="H243" s="3213"/>
      <c r="I243" s="2945"/>
      <c r="J243" s="3213"/>
      <c r="K243" s="3213"/>
    </row>
    <row r="244" spans="1:11">
      <c r="A244" s="202">
        <v>2009.07</v>
      </c>
      <c r="B244" s="169">
        <v>4924.7161743799998</v>
      </c>
      <c r="C244" s="3034">
        <v>3588.9132607800002</v>
      </c>
      <c r="D244" s="1076">
        <f t="shared" si="3"/>
        <v>1335.8029135999996</v>
      </c>
      <c r="E244" s="1222">
        <v>46047</v>
      </c>
      <c r="F244" s="201"/>
      <c r="G244" s="201"/>
      <c r="H244" s="3213"/>
      <c r="I244" s="2945"/>
      <c r="J244" s="3213"/>
      <c r="K244" s="3213"/>
    </row>
    <row r="245" spans="1:11">
      <c r="A245" s="202">
        <v>2009.08</v>
      </c>
      <c r="B245" s="169">
        <v>4351.9085320699996</v>
      </c>
      <c r="C245" s="3034">
        <v>3255.1847197799998</v>
      </c>
      <c r="D245" s="1076">
        <f t="shared" si="3"/>
        <v>1096.7238122899998</v>
      </c>
      <c r="E245" s="1222">
        <v>45021.214602034677</v>
      </c>
      <c r="F245" s="201"/>
      <c r="G245" s="201"/>
      <c r="H245" s="3213"/>
      <c r="I245" s="2945"/>
      <c r="J245" s="3213"/>
      <c r="K245" s="3213"/>
    </row>
    <row r="246" spans="1:11">
      <c r="A246" s="202">
        <v>2009.09</v>
      </c>
      <c r="B246" s="169">
        <v>4530.7229645099997</v>
      </c>
      <c r="C246" s="3034">
        <v>3665.9172551299998</v>
      </c>
      <c r="D246" s="1076">
        <f t="shared" si="3"/>
        <v>864.80570937999983</v>
      </c>
      <c r="E246" s="1222">
        <v>45348</v>
      </c>
      <c r="F246" s="201"/>
      <c r="G246" s="201"/>
      <c r="H246" s="3213"/>
      <c r="I246" s="2945"/>
      <c r="J246" s="3213"/>
      <c r="K246" s="3213"/>
    </row>
    <row r="247" spans="1:11">
      <c r="A247" s="202">
        <v>2009.1</v>
      </c>
      <c r="B247" s="169">
        <v>4807.7267221299999</v>
      </c>
      <c r="C247" s="3034">
        <v>3656.23696445</v>
      </c>
      <c r="D247" s="1076">
        <f t="shared" si="3"/>
        <v>1151.4897576799999</v>
      </c>
      <c r="E247" s="1222">
        <v>46277</v>
      </c>
      <c r="F247" s="201"/>
      <c r="G247" s="201"/>
      <c r="H247" s="3213"/>
      <c r="I247" s="2945"/>
      <c r="J247" s="3213"/>
      <c r="K247" s="3213"/>
    </row>
    <row r="248" spans="1:11">
      <c r="A248" s="202">
        <v>2009.11</v>
      </c>
      <c r="B248" s="169">
        <v>4872.3840026899998</v>
      </c>
      <c r="C248" s="3034">
        <v>3651.18536619</v>
      </c>
      <c r="D248" s="1076">
        <f t="shared" si="3"/>
        <v>1221.1986364999998</v>
      </c>
      <c r="E248" s="1222">
        <v>47072</v>
      </c>
      <c r="F248" s="201"/>
      <c r="G248" s="201"/>
      <c r="H248" s="3213"/>
      <c r="I248" s="2945"/>
      <c r="J248" s="3213"/>
      <c r="K248" s="3213"/>
    </row>
    <row r="249" spans="1:11">
      <c r="A249" s="202">
        <v>2009.12</v>
      </c>
      <c r="B249" s="169">
        <v>4794.4849751000002</v>
      </c>
      <c r="C249" s="3034">
        <v>3601.5828810600001</v>
      </c>
      <c r="D249" s="1076">
        <f t="shared" si="3"/>
        <v>1192.9020940400001</v>
      </c>
      <c r="E249" s="1222">
        <v>47967</v>
      </c>
      <c r="F249" s="201"/>
      <c r="G249" s="201"/>
      <c r="H249" s="3213"/>
      <c r="I249" s="2945"/>
      <c r="J249" s="3213"/>
      <c r="K249" s="3213"/>
    </row>
    <row r="250" spans="1:11">
      <c r="A250" s="202">
        <v>2010.01</v>
      </c>
      <c r="B250" s="169">
        <v>4408.1579867</v>
      </c>
      <c r="C250" s="3034">
        <v>3209.1928459699998</v>
      </c>
      <c r="D250" s="1076">
        <f t="shared" si="3"/>
        <v>1198.9651407300003</v>
      </c>
      <c r="E250" s="1222">
        <v>48129</v>
      </c>
      <c r="F250" s="201"/>
      <c r="G250" s="201"/>
      <c r="H250" s="3213"/>
      <c r="I250" s="2945"/>
      <c r="J250" s="3213"/>
      <c r="K250" s="3213"/>
    </row>
    <row r="251" spans="1:11">
      <c r="A251" s="202">
        <v>2010.02</v>
      </c>
      <c r="B251" s="169">
        <v>3958.9485652399999</v>
      </c>
      <c r="C251" s="3034">
        <v>3455.0710790100002</v>
      </c>
      <c r="D251" s="1076">
        <f t="shared" si="3"/>
        <v>503.8774862299997</v>
      </c>
      <c r="E251" s="1222">
        <v>47758</v>
      </c>
      <c r="F251" s="201"/>
      <c r="G251" s="201"/>
      <c r="H251" s="3213"/>
      <c r="I251" s="2945"/>
      <c r="J251" s="3213"/>
      <c r="K251" s="3213"/>
    </row>
    <row r="252" spans="1:11">
      <c r="A252" s="202">
        <v>2010.03</v>
      </c>
      <c r="B252" s="169">
        <v>4687.49526522</v>
      </c>
      <c r="C252" s="3034">
        <v>4402.8540807500003</v>
      </c>
      <c r="D252" s="1076">
        <f t="shared" si="3"/>
        <v>284.64118446999964</v>
      </c>
      <c r="E252" s="1222">
        <v>47460</v>
      </c>
      <c r="F252" s="201"/>
      <c r="G252" s="201"/>
      <c r="H252" s="3213"/>
      <c r="I252" s="2945"/>
      <c r="J252" s="3213"/>
      <c r="K252" s="3213"/>
    </row>
    <row r="253" spans="1:11">
      <c r="A253" s="202">
        <v>2010.04</v>
      </c>
      <c r="B253" s="169">
        <v>6208.0217815899996</v>
      </c>
      <c r="C253" s="3034">
        <v>4101.0054452900004</v>
      </c>
      <c r="D253" s="1076">
        <f t="shared" si="3"/>
        <v>2107.0163362999992</v>
      </c>
      <c r="E253" s="1222">
        <v>48067</v>
      </c>
      <c r="F253" s="201"/>
      <c r="G253" s="201"/>
      <c r="H253" s="3213"/>
      <c r="I253" s="2945"/>
      <c r="J253" s="3213"/>
      <c r="K253" s="3213"/>
    </row>
    <row r="254" spans="1:11">
      <c r="A254" s="202">
        <v>2010.05</v>
      </c>
      <c r="B254" s="169">
        <v>6502.8226676499999</v>
      </c>
      <c r="C254" s="3034">
        <v>4575.3783136599995</v>
      </c>
      <c r="D254" s="1076">
        <f t="shared" si="3"/>
        <v>1927.4443539900003</v>
      </c>
      <c r="E254" s="1222">
        <v>49000</v>
      </c>
      <c r="F254" s="201"/>
      <c r="G254" s="201"/>
      <c r="H254" s="3213"/>
      <c r="I254" s="2945"/>
      <c r="J254" s="3213"/>
      <c r="K254" s="3213"/>
    </row>
    <row r="255" spans="1:11">
      <c r="A255" s="202">
        <v>2010.06</v>
      </c>
      <c r="B255" s="169">
        <v>6369.2628424100003</v>
      </c>
      <c r="C255" s="3034">
        <v>5151.0250174900002</v>
      </c>
      <c r="D255" s="1076">
        <f t="shared" si="3"/>
        <v>1218.2378249200001</v>
      </c>
      <c r="E255" s="1222">
        <v>49240</v>
      </c>
      <c r="F255" s="201"/>
      <c r="G255" s="1321"/>
      <c r="H255" s="3213"/>
      <c r="I255" s="2945"/>
      <c r="J255" s="3213"/>
      <c r="K255" s="3213"/>
    </row>
    <row r="256" spans="1:11">
      <c r="A256" s="202">
        <v>2010.07</v>
      </c>
      <c r="B256" s="169">
        <v>5983.8040996500004</v>
      </c>
      <c r="C256" s="3034">
        <v>5290.5047000200002</v>
      </c>
      <c r="D256" s="1076">
        <f t="shared" si="3"/>
        <v>693.29939963000015</v>
      </c>
      <c r="E256" s="1222">
        <v>51073</v>
      </c>
      <c r="F256" s="201"/>
      <c r="G256" s="201"/>
      <c r="H256" s="3213"/>
      <c r="I256" s="2945"/>
      <c r="J256" s="3213"/>
      <c r="K256" s="3213"/>
    </row>
    <row r="257" spans="1:11">
      <c r="A257" s="202">
        <v>2010.08</v>
      </c>
      <c r="B257" s="169">
        <v>6382.9892018099999</v>
      </c>
      <c r="C257" s="3034">
        <v>5355.4778892300001</v>
      </c>
      <c r="D257" s="1076">
        <f t="shared" si="3"/>
        <v>1027.5113125799999</v>
      </c>
      <c r="E257" s="1222">
        <v>50348</v>
      </c>
      <c r="F257" s="201"/>
      <c r="G257" s="201"/>
      <c r="H257" s="3213"/>
      <c r="I257" s="2945"/>
      <c r="J257" s="3213"/>
      <c r="K257" s="3213"/>
    </row>
    <row r="258" spans="1:11">
      <c r="A258" s="202">
        <v>2010.09</v>
      </c>
      <c r="B258" s="169">
        <v>6374.9838267100004</v>
      </c>
      <c r="C258" s="3034">
        <v>5336.9439793700003</v>
      </c>
      <c r="D258" s="1076">
        <f t="shared" si="3"/>
        <v>1038.0398473400001</v>
      </c>
      <c r="E258" s="1222">
        <v>51125</v>
      </c>
      <c r="F258" s="201"/>
      <c r="G258" s="201"/>
      <c r="H258" s="3213"/>
      <c r="I258" s="2945"/>
      <c r="J258" s="3213"/>
      <c r="K258" s="3213"/>
    </row>
    <row r="259" spans="1:11">
      <c r="A259" s="202">
        <v>2010.1</v>
      </c>
      <c r="B259" s="169">
        <v>5898.5978015800001</v>
      </c>
      <c r="C259" s="3034">
        <v>4950.8651711800003</v>
      </c>
      <c r="D259" s="1076">
        <f t="shared" si="3"/>
        <v>947.73263039999983</v>
      </c>
      <c r="E259" s="1222">
        <v>51918</v>
      </c>
      <c r="F259" s="201"/>
      <c r="G259" s="201"/>
      <c r="H259" s="3213"/>
      <c r="I259" s="2945"/>
      <c r="J259" s="3213"/>
      <c r="K259" s="3213"/>
    </row>
    <row r="260" spans="1:11">
      <c r="A260" s="202">
        <v>2010.11</v>
      </c>
      <c r="B260" s="169">
        <v>5915.3300753900003</v>
      </c>
      <c r="C260" s="3034">
        <v>5575.5041551200002</v>
      </c>
      <c r="D260" s="1076">
        <f t="shared" si="3"/>
        <v>339.8259202700001</v>
      </c>
      <c r="E260" s="1222">
        <v>51896</v>
      </c>
      <c r="F260" s="201"/>
      <c r="G260" s="201"/>
      <c r="H260" s="3213"/>
      <c r="I260" s="2945"/>
      <c r="J260" s="3213"/>
      <c r="K260" s="3213"/>
    </row>
    <row r="261" spans="1:11">
      <c r="A261" s="202">
        <v>2010.12</v>
      </c>
      <c r="B261" s="169">
        <v>5484.0329354699998</v>
      </c>
      <c r="C261" s="3034">
        <v>5388.7553952600001</v>
      </c>
      <c r="D261" s="1076">
        <f t="shared" si="3"/>
        <v>95.277540209999643</v>
      </c>
      <c r="E261" s="1222">
        <v>52145</v>
      </c>
      <c r="F261" s="201"/>
      <c r="G261" s="1321"/>
      <c r="H261" s="3213"/>
      <c r="I261" s="2945"/>
      <c r="J261" s="3213"/>
      <c r="K261" s="3213"/>
    </row>
    <row r="262" spans="1:11">
      <c r="A262" s="202">
        <v>2011.01</v>
      </c>
      <c r="B262" s="169">
        <v>5185.1235454600001</v>
      </c>
      <c r="C262" s="3034">
        <v>4889.2068505799998</v>
      </c>
      <c r="D262" s="1076">
        <f t="shared" si="3"/>
        <v>295.91669488000025</v>
      </c>
      <c r="E262" s="1222">
        <v>52618</v>
      </c>
      <c r="F262" s="201"/>
      <c r="G262" s="201"/>
      <c r="H262" s="3213"/>
      <c r="I262" s="2945"/>
      <c r="J262" s="3213"/>
      <c r="K262" s="3213"/>
    </row>
    <row r="263" spans="1:11">
      <c r="A263" s="202">
        <v>2011.02</v>
      </c>
      <c r="B263" s="169">
        <v>5398.0233152700002</v>
      </c>
      <c r="C263" s="3034">
        <v>4764.2930864199998</v>
      </c>
      <c r="D263" s="1076">
        <f t="shared" si="3"/>
        <v>633.73022885000046</v>
      </c>
      <c r="E263" s="1222">
        <v>52318</v>
      </c>
      <c r="F263" s="201"/>
      <c r="G263" s="201"/>
      <c r="H263" s="3213"/>
      <c r="I263" s="2945"/>
      <c r="J263" s="3213"/>
      <c r="K263" s="3213"/>
    </row>
    <row r="264" spans="1:11">
      <c r="A264" s="202">
        <v>2011.03</v>
      </c>
      <c r="B264" s="169">
        <v>6098.1081536700003</v>
      </c>
      <c r="C264" s="3034">
        <v>5641.5931666200004</v>
      </c>
      <c r="D264" s="1076">
        <f t="shared" si="3"/>
        <v>456.51498704999995</v>
      </c>
      <c r="E264" s="1222">
        <v>51298</v>
      </c>
      <c r="F264" s="201"/>
      <c r="G264" s="201"/>
      <c r="H264" s="3213"/>
      <c r="I264" s="2945"/>
      <c r="J264" s="3213"/>
      <c r="K264" s="3213"/>
    </row>
    <row r="265" spans="1:11">
      <c r="A265" s="202">
        <v>2011.04</v>
      </c>
      <c r="B265" s="169">
        <v>7042.8725553699996</v>
      </c>
      <c r="C265" s="3034">
        <v>5532.9022012400001</v>
      </c>
      <c r="D265" s="1076">
        <f t="shared" si="3"/>
        <v>1509.9703541299996</v>
      </c>
      <c r="E265" s="1222">
        <v>52011</v>
      </c>
      <c r="F265" s="201"/>
      <c r="G265" s="201"/>
      <c r="H265" s="3213"/>
      <c r="I265" s="2945"/>
      <c r="J265" s="3213"/>
      <c r="K265" s="3213"/>
    </row>
    <row r="266" spans="1:11">
      <c r="A266" s="202">
        <v>2011.05</v>
      </c>
      <c r="B266" s="169">
        <v>7932.8778106399996</v>
      </c>
      <c r="C266" s="3034">
        <v>6489.8352000900004</v>
      </c>
      <c r="D266" s="1076">
        <f t="shared" ref="D266:D329" si="4">B266-C266</f>
        <v>1443.0426105499992</v>
      </c>
      <c r="E266" s="1222">
        <v>52060</v>
      </c>
      <c r="F266" s="201"/>
      <c r="G266" s="201"/>
      <c r="H266" s="3213"/>
      <c r="I266" s="2945"/>
      <c r="J266" s="3213"/>
      <c r="K266" s="3213"/>
    </row>
    <row r="267" spans="1:11">
      <c r="A267" s="202">
        <v>2011.06</v>
      </c>
      <c r="B267" s="169">
        <v>7816.9760044799996</v>
      </c>
      <c r="C267" s="3034">
        <v>6704.5502509899998</v>
      </c>
      <c r="D267" s="1076">
        <f t="shared" si="4"/>
        <v>1112.4257534899998</v>
      </c>
      <c r="E267" s="1222">
        <v>51695</v>
      </c>
      <c r="F267" s="201"/>
      <c r="G267" s="1321"/>
      <c r="H267" s="3213"/>
      <c r="I267" s="2945"/>
      <c r="J267" s="3213"/>
      <c r="K267" s="3213"/>
    </row>
    <row r="268" spans="1:11">
      <c r="A268" s="202">
        <v>2011.07</v>
      </c>
      <c r="B268" s="169">
        <v>7225.6045379300003</v>
      </c>
      <c r="C268" s="3034">
        <v>6858.5447562199997</v>
      </c>
      <c r="D268" s="1076">
        <f t="shared" si="4"/>
        <v>367.05978171000061</v>
      </c>
      <c r="E268" s="1222">
        <v>51923</v>
      </c>
      <c r="F268" s="201"/>
      <c r="G268" s="1321"/>
      <c r="H268" s="3213"/>
      <c r="I268" s="2945"/>
      <c r="J268" s="3213"/>
      <c r="K268" s="3213"/>
    </row>
    <row r="269" spans="1:11">
      <c r="A269" s="202">
        <v>2011.08</v>
      </c>
      <c r="B269" s="169">
        <v>8328.4610195099995</v>
      </c>
      <c r="C269" s="3034">
        <v>7671.0600575199996</v>
      </c>
      <c r="D269" s="1076">
        <f t="shared" si="4"/>
        <v>657.40096198999981</v>
      </c>
      <c r="E269" s="1222">
        <v>49990</v>
      </c>
      <c r="F269" s="201"/>
      <c r="G269" s="201"/>
      <c r="H269" s="3213"/>
      <c r="I269" s="2945"/>
      <c r="J269" s="3213"/>
      <c r="K269" s="3213"/>
    </row>
    <row r="270" spans="1:11">
      <c r="A270" s="202">
        <v>2011.09</v>
      </c>
      <c r="B270" s="169">
        <v>7718.1976588799998</v>
      </c>
      <c r="C270" s="3034">
        <v>6888.5133448200004</v>
      </c>
      <c r="D270" s="1076">
        <f t="shared" si="4"/>
        <v>829.68431405999945</v>
      </c>
      <c r="E270" s="1222">
        <v>48590</v>
      </c>
      <c r="F270" s="201"/>
      <c r="G270" s="201"/>
      <c r="H270" s="3213"/>
      <c r="I270" s="2945"/>
      <c r="J270" s="3213"/>
      <c r="K270" s="3213"/>
    </row>
    <row r="271" spans="1:11">
      <c r="A271" s="202">
        <v>2011.1</v>
      </c>
      <c r="B271" s="169">
        <v>7435.4179912500003</v>
      </c>
      <c r="C271" s="3034">
        <v>6303.0156403700003</v>
      </c>
      <c r="D271" s="1076">
        <f t="shared" si="4"/>
        <v>1132.4023508800001</v>
      </c>
      <c r="E271" s="1222">
        <v>47523</v>
      </c>
      <c r="F271" s="201"/>
      <c r="G271" s="201"/>
      <c r="H271" s="3213"/>
      <c r="I271" s="2945"/>
      <c r="J271" s="3213"/>
      <c r="K271" s="3213"/>
    </row>
    <row r="272" spans="1:11">
      <c r="A272" s="202">
        <v>2011.11</v>
      </c>
      <c r="B272" s="169">
        <v>6493.16602762</v>
      </c>
      <c r="C272" s="3034">
        <v>6229.7566778600003</v>
      </c>
      <c r="D272" s="1076">
        <f t="shared" si="4"/>
        <v>263.40934975999971</v>
      </c>
      <c r="E272" s="1222">
        <v>46062</v>
      </c>
      <c r="F272" s="201"/>
      <c r="G272" s="201"/>
      <c r="H272" s="3213"/>
      <c r="I272" s="2945"/>
      <c r="J272" s="3213"/>
      <c r="K272" s="3213"/>
    </row>
    <row r="273" spans="1:11">
      <c r="A273" s="202">
        <v>2011.12</v>
      </c>
      <c r="B273" s="169">
        <v>6306.26266184</v>
      </c>
      <c r="C273" s="3034">
        <v>5987.4044762100002</v>
      </c>
      <c r="D273" s="1076">
        <f t="shared" si="4"/>
        <v>318.85818562999975</v>
      </c>
      <c r="E273" s="1222">
        <v>46376</v>
      </c>
      <c r="F273" s="201"/>
      <c r="G273" s="1321"/>
      <c r="H273" s="3213"/>
      <c r="I273" s="2945"/>
      <c r="J273" s="3213"/>
      <c r="K273" s="3213"/>
    </row>
    <row r="274" spans="1:11">
      <c r="A274" s="202">
        <v>2012.01</v>
      </c>
      <c r="B274" s="169">
        <v>5399.2831043899996</v>
      </c>
      <c r="C274" s="3034">
        <v>5363.7523266999997</v>
      </c>
      <c r="D274" s="1076">
        <f t="shared" si="4"/>
        <v>35.530777689999923</v>
      </c>
      <c r="E274" s="1222">
        <v>46594</v>
      </c>
      <c r="F274" s="201"/>
      <c r="G274" s="201"/>
      <c r="H274" s="3213"/>
      <c r="I274" s="2945"/>
      <c r="J274" s="3213"/>
      <c r="K274" s="3213"/>
    </row>
    <row r="275" spans="1:11">
      <c r="A275" s="202">
        <v>2012.02</v>
      </c>
      <c r="B275" s="169">
        <v>6004.5286067699999</v>
      </c>
      <c r="C275" s="3034">
        <v>4724.9838398399997</v>
      </c>
      <c r="D275" s="1076">
        <f t="shared" si="4"/>
        <v>1279.5447669300002</v>
      </c>
      <c r="E275" s="1222">
        <v>46668</v>
      </c>
      <c r="F275" s="201"/>
      <c r="G275" s="201"/>
      <c r="H275" s="3213"/>
      <c r="I275" s="2945"/>
      <c r="J275" s="3213"/>
      <c r="K275" s="3213"/>
    </row>
    <row r="276" spans="1:11">
      <c r="A276" s="202">
        <v>2012.03</v>
      </c>
      <c r="B276" s="169">
        <v>6199.9717717699996</v>
      </c>
      <c r="C276" s="3034">
        <v>5146.50963753</v>
      </c>
      <c r="D276" s="1076">
        <f t="shared" si="4"/>
        <v>1053.4621342399996</v>
      </c>
      <c r="E276" s="1222">
        <v>47291</v>
      </c>
      <c r="F276" s="201"/>
      <c r="G276" s="201"/>
      <c r="H276" s="3213"/>
      <c r="I276" s="2945"/>
      <c r="J276" s="3213"/>
      <c r="K276" s="3213"/>
    </row>
    <row r="277" spans="1:11">
      <c r="A277" s="202">
        <v>2012.04</v>
      </c>
      <c r="B277" s="169">
        <v>6714.9558123400002</v>
      </c>
      <c r="C277" s="3034">
        <v>4769.8129770100004</v>
      </c>
      <c r="D277" s="1076">
        <f t="shared" si="4"/>
        <v>1945.1428353299998</v>
      </c>
      <c r="E277" s="1222">
        <v>47844</v>
      </c>
      <c r="F277" s="201"/>
      <c r="G277" s="201"/>
      <c r="H277" s="3213"/>
      <c r="I277" s="2945"/>
      <c r="J277" s="3213"/>
      <c r="K277" s="3213"/>
    </row>
    <row r="278" spans="1:11">
      <c r="A278" s="202">
        <v>2012.05</v>
      </c>
      <c r="B278" s="169">
        <v>7080.8280746800001</v>
      </c>
      <c r="C278" s="3034">
        <v>5987.1012276399997</v>
      </c>
      <c r="D278" s="1076">
        <f t="shared" si="4"/>
        <v>1093.7268470400004</v>
      </c>
      <c r="E278" s="1222">
        <v>46978</v>
      </c>
      <c r="F278" s="201"/>
      <c r="G278" s="201"/>
      <c r="H278" s="3213"/>
      <c r="I278" s="2945"/>
      <c r="J278" s="3213"/>
      <c r="K278" s="3213"/>
    </row>
    <row r="279" spans="1:11">
      <c r="A279" s="202">
        <v>2012.06</v>
      </c>
      <c r="B279" s="169">
        <v>6822.1708296899997</v>
      </c>
      <c r="C279" s="3034">
        <v>6033.5045700999999</v>
      </c>
      <c r="D279" s="1076">
        <f t="shared" si="4"/>
        <v>788.66625958999975</v>
      </c>
      <c r="E279" s="1222">
        <v>46348</v>
      </c>
      <c r="F279" s="201"/>
      <c r="G279" s="1321"/>
      <c r="H279" s="3213"/>
      <c r="I279" s="2945"/>
      <c r="J279" s="3213"/>
      <c r="K279" s="3213"/>
    </row>
    <row r="280" spans="1:11">
      <c r="A280" s="202">
        <v>2012.07</v>
      </c>
      <c r="B280" s="169">
        <v>7655.1147734300002</v>
      </c>
      <c r="C280" s="3034">
        <v>6344.8774976599998</v>
      </c>
      <c r="D280" s="1076">
        <f t="shared" si="4"/>
        <v>1310.2372757700005</v>
      </c>
      <c r="E280" s="1222">
        <v>46818</v>
      </c>
      <c r="F280" s="201"/>
      <c r="G280" s="201"/>
      <c r="H280" s="3213"/>
      <c r="I280" s="2945"/>
      <c r="J280" s="3213"/>
      <c r="K280" s="3213"/>
    </row>
    <row r="281" spans="1:11">
      <c r="A281" s="202">
        <v>2012.08</v>
      </c>
      <c r="B281" s="169">
        <v>7451.1028999500004</v>
      </c>
      <c r="C281" s="3034">
        <v>6276.4327448599997</v>
      </c>
      <c r="D281" s="1076">
        <f t="shared" si="4"/>
        <v>1174.6701550900007</v>
      </c>
      <c r="E281" s="1222">
        <v>45152</v>
      </c>
      <c r="F281" s="201"/>
      <c r="G281" s="201"/>
      <c r="H281" s="3213"/>
      <c r="I281" s="2945"/>
      <c r="J281" s="3213"/>
      <c r="K281" s="3213"/>
    </row>
    <row r="282" spans="1:11">
      <c r="A282" s="202">
        <v>2012.09</v>
      </c>
      <c r="B282" s="169">
        <v>6803.1276980299999</v>
      </c>
      <c r="C282" s="3034">
        <v>5854.6274798699997</v>
      </c>
      <c r="D282" s="1076">
        <f t="shared" si="4"/>
        <v>948.50021816000026</v>
      </c>
      <c r="E282" s="1222">
        <v>45010</v>
      </c>
      <c r="F282" s="201"/>
      <c r="G282" s="201"/>
      <c r="H282" s="3213"/>
      <c r="I282" s="2945"/>
      <c r="J282" s="3213"/>
      <c r="K282" s="3213"/>
    </row>
    <row r="283" spans="1:11">
      <c r="A283" s="202">
        <v>2012.1</v>
      </c>
      <c r="B283" s="169">
        <v>6889.2092488199996</v>
      </c>
      <c r="C283" s="3034">
        <v>6256.6123713699999</v>
      </c>
      <c r="D283" s="1076">
        <f t="shared" si="4"/>
        <v>632.59687744999974</v>
      </c>
      <c r="E283" s="1222">
        <v>45274</v>
      </c>
      <c r="F283" s="201"/>
      <c r="G283" s="201"/>
      <c r="H283" s="3213"/>
      <c r="I283" s="2945"/>
      <c r="J283" s="3213"/>
      <c r="K283" s="3213"/>
    </row>
    <row r="284" spans="1:11">
      <c r="A284" s="202">
        <v>2012.11</v>
      </c>
      <c r="B284" s="169">
        <v>6649.4266366900001</v>
      </c>
      <c r="C284" s="3034">
        <v>5779.47081789</v>
      </c>
      <c r="D284" s="1076">
        <f t="shared" si="4"/>
        <v>869.95581880000009</v>
      </c>
      <c r="E284" s="1222">
        <v>45238</v>
      </c>
      <c r="F284" s="201"/>
      <c r="G284" s="201"/>
      <c r="H284" s="3213"/>
      <c r="I284" s="2945"/>
      <c r="J284" s="3213"/>
      <c r="K284" s="3213"/>
    </row>
    <row r="285" spans="1:11">
      <c r="A285" s="202">
        <v>2012.12</v>
      </c>
      <c r="B285" s="169">
        <v>6312.6684316499995</v>
      </c>
      <c r="C285" s="3034">
        <v>5436.5290390600003</v>
      </c>
      <c r="D285" s="1076">
        <f t="shared" si="4"/>
        <v>876.13939258999926</v>
      </c>
      <c r="E285" s="1222">
        <v>43290</v>
      </c>
      <c r="F285" s="201"/>
      <c r="G285" s="1321"/>
      <c r="H285" s="3213"/>
      <c r="I285" s="2945"/>
      <c r="J285" s="3213"/>
      <c r="K285" s="3213"/>
    </row>
    <row r="286" spans="1:11">
      <c r="A286" s="202">
        <v>2013.01</v>
      </c>
      <c r="B286" s="169">
        <v>5383.0330307499999</v>
      </c>
      <c r="C286" s="3034">
        <v>5358.22554072</v>
      </c>
      <c r="D286" s="1076">
        <f t="shared" si="4"/>
        <v>24.807490029999826</v>
      </c>
      <c r="E286" s="1222">
        <v>42531</v>
      </c>
      <c r="F286" s="201"/>
      <c r="G286" s="201"/>
      <c r="H286" s="3213"/>
      <c r="I286" s="2945"/>
      <c r="J286" s="3213"/>
      <c r="K286" s="3213"/>
    </row>
    <row r="287" spans="1:11">
      <c r="A287" s="202">
        <v>2013.02</v>
      </c>
      <c r="B287" s="169">
        <v>4905.8730660499996</v>
      </c>
      <c r="C287" s="3034">
        <v>5174.7487146000003</v>
      </c>
      <c r="D287" s="1076">
        <f t="shared" si="4"/>
        <v>-268.87564855000073</v>
      </c>
      <c r="E287" s="1222">
        <v>41609</v>
      </c>
      <c r="F287" s="201"/>
      <c r="G287" s="201"/>
      <c r="H287" s="3213"/>
      <c r="I287" s="2945"/>
      <c r="J287" s="3213"/>
      <c r="K287" s="3213"/>
    </row>
    <row r="288" spans="1:11">
      <c r="A288" s="202">
        <v>2013.03</v>
      </c>
      <c r="B288" s="169">
        <v>6159.9507563500001</v>
      </c>
      <c r="C288" s="3034">
        <v>5619.1796781599996</v>
      </c>
      <c r="D288" s="1076">
        <f t="shared" si="4"/>
        <v>540.77107819000048</v>
      </c>
      <c r="E288" s="1222">
        <v>40446</v>
      </c>
      <c r="F288" s="201"/>
      <c r="G288" s="201"/>
      <c r="H288" s="3213"/>
      <c r="I288" s="2945"/>
      <c r="J288" s="3213"/>
      <c r="K288" s="3213"/>
    </row>
    <row r="289" spans="1:11">
      <c r="A289" s="202">
        <v>2013.04</v>
      </c>
      <c r="B289" s="169">
        <v>6895.3905926199996</v>
      </c>
      <c r="C289" s="3034">
        <v>6193.4581991499999</v>
      </c>
      <c r="D289" s="1076">
        <f t="shared" si="4"/>
        <v>701.93239346999962</v>
      </c>
      <c r="E289" s="1222">
        <v>39532</v>
      </c>
      <c r="F289" s="201"/>
      <c r="G289" s="201"/>
      <c r="H289" s="3213"/>
      <c r="I289" s="2945"/>
      <c r="J289" s="3213"/>
      <c r="K289" s="3213"/>
    </row>
    <row r="290" spans="1:11">
      <c r="A290" s="202">
        <v>2013.05</v>
      </c>
      <c r="B290" s="169">
        <v>8393.2451792800002</v>
      </c>
      <c r="C290" s="3034">
        <v>7028.0891482400002</v>
      </c>
      <c r="D290" s="1076">
        <f t="shared" si="4"/>
        <v>1365.15603104</v>
      </c>
      <c r="E290" s="1222">
        <v>38551</v>
      </c>
      <c r="F290" s="201"/>
      <c r="G290" s="201"/>
      <c r="H290" s="3213"/>
      <c r="I290" s="2945"/>
      <c r="J290" s="3213"/>
      <c r="K290" s="3213"/>
    </row>
    <row r="291" spans="1:11">
      <c r="A291" s="202">
        <v>2013.06</v>
      </c>
      <c r="B291" s="169">
        <v>7483.3932045700003</v>
      </c>
      <c r="C291" s="3034">
        <v>6642.8057821100001</v>
      </c>
      <c r="D291" s="1076">
        <f t="shared" si="4"/>
        <v>840.5874224600002</v>
      </c>
      <c r="E291" s="1222">
        <v>37005</v>
      </c>
      <c r="F291" s="201"/>
      <c r="G291" s="1321"/>
      <c r="H291" s="3213"/>
      <c r="I291" s="2945"/>
      <c r="J291" s="3213"/>
      <c r="K291" s="3213"/>
    </row>
    <row r="292" spans="1:11">
      <c r="A292" s="202">
        <v>2013.07</v>
      </c>
      <c r="B292" s="169">
        <v>6930.6567039000001</v>
      </c>
      <c r="C292" s="3034">
        <v>6988.1553112499996</v>
      </c>
      <c r="D292" s="1076">
        <f t="shared" si="4"/>
        <v>-57.498607349999475</v>
      </c>
      <c r="E292" s="1222">
        <v>37049</v>
      </c>
      <c r="F292" s="201"/>
      <c r="G292" s="201"/>
      <c r="H292" s="3213"/>
      <c r="I292" s="2945"/>
      <c r="J292" s="3213"/>
      <c r="K292" s="3213"/>
    </row>
    <row r="293" spans="1:11">
      <c r="A293" s="202">
        <v>2013.08</v>
      </c>
      <c r="B293" s="169">
        <v>7199.5368850000004</v>
      </c>
      <c r="C293" s="3034">
        <v>7073.8980311799996</v>
      </c>
      <c r="D293" s="1076">
        <f t="shared" si="4"/>
        <v>125.6388538200008</v>
      </c>
      <c r="E293" s="1222">
        <v>36678</v>
      </c>
      <c r="F293" s="201"/>
      <c r="G293" s="201"/>
      <c r="H293" s="3213"/>
      <c r="I293" s="2945"/>
      <c r="J293" s="3213"/>
      <c r="K293" s="3213"/>
    </row>
    <row r="294" spans="1:11">
      <c r="A294" s="202">
        <v>2013.09</v>
      </c>
      <c r="B294" s="169">
        <v>6544.8073704799999</v>
      </c>
      <c r="C294" s="3034">
        <v>6028.9320450699997</v>
      </c>
      <c r="D294" s="1076">
        <f t="shared" si="4"/>
        <v>515.87532541000019</v>
      </c>
      <c r="E294" s="1222">
        <v>34741</v>
      </c>
      <c r="F294" s="201"/>
      <c r="G294" s="201"/>
      <c r="H294" s="3213"/>
      <c r="I294" s="2945"/>
      <c r="J294" s="3213"/>
      <c r="K294" s="3213"/>
    </row>
    <row r="295" spans="1:11">
      <c r="A295" s="202">
        <v>2013.1</v>
      </c>
      <c r="B295" s="169">
        <v>6026.9761890299997</v>
      </c>
      <c r="C295" s="3034">
        <v>6830.9588225300004</v>
      </c>
      <c r="D295" s="1076">
        <f t="shared" si="4"/>
        <v>-803.9826335000007</v>
      </c>
      <c r="E295" s="1222">
        <v>33232</v>
      </c>
      <c r="F295" s="201"/>
      <c r="G295" s="201"/>
      <c r="H295" s="3213"/>
      <c r="I295" s="2945"/>
      <c r="J295" s="3213"/>
      <c r="K295" s="3213"/>
    </row>
    <row r="296" spans="1:11">
      <c r="A296" s="202">
        <v>2013.11</v>
      </c>
      <c r="B296" s="169">
        <v>5089.5634059800004</v>
      </c>
      <c r="C296" s="3034">
        <v>6091.6460739699996</v>
      </c>
      <c r="D296" s="1076">
        <f t="shared" si="4"/>
        <v>-1002.0826679899992</v>
      </c>
      <c r="E296" s="1222">
        <v>30799</v>
      </c>
      <c r="F296" s="201"/>
      <c r="G296" s="201"/>
      <c r="H296" s="3213"/>
      <c r="I296" s="2945"/>
      <c r="J296" s="3213"/>
      <c r="K296" s="3213"/>
    </row>
    <row r="297" spans="1:11">
      <c r="A297" s="202">
        <v>2013.12</v>
      </c>
      <c r="B297" s="169">
        <v>4950.5549770600001</v>
      </c>
      <c r="C297" s="3034">
        <v>5411.7027478299997</v>
      </c>
      <c r="D297" s="1076">
        <f t="shared" si="4"/>
        <v>-461.14777076999962</v>
      </c>
      <c r="E297" s="1222">
        <v>30599</v>
      </c>
      <c r="F297" s="201"/>
      <c r="G297" s="201"/>
      <c r="H297" s="3213"/>
      <c r="I297" s="2945"/>
      <c r="J297" s="3213"/>
      <c r="K297" s="3213"/>
    </row>
    <row r="298" spans="1:11">
      <c r="A298" s="202">
        <v>2014.01</v>
      </c>
      <c r="B298" s="169">
        <v>4275.30071219</v>
      </c>
      <c r="C298" s="3034">
        <v>5648.6277370099997</v>
      </c>
      <c r="D298" s="1076">
        <f t="shared" si="4"/>
        <v>-1373.3270248199997</v>
      </c>
      <c r="E298" s="1222">
        <v>27748</v>
      </c>
      <c r="F298" s="201"/>
      <c r="G298" s="201"/>
      <c r="H298" s="3213"/>
      <c r="I298" s="2945"/>
      <c r="J298" s="3213"/>
      <c r="K298" s="3213"/>
    </row>
    <row r="299" spans="1:11">
      <c r="A299" s="202">
        <v>2014.02</v>
      </c>
      <c r="B299" s="169">
        <v>4647.7316751899998</v>
      </c>
      <c r="C299" s="3034">
        <v>5537.4546773599996</v>
      </c>
      <c r="D299" s="1076">
        <f t="shared" si="4"/>
        <v>-889.72300216999975</v>
      </c>
      <c r="E299" s="1222">
        <v>27546</v>
      </c>
      <c r="F299" s="201"/>
      <c r="G299" s="201"/>
      <c r="H299" s="3213"/>
      <c r="I299" s="2945"/>
      <c r="J299" s="3213"/>
      <c r="K299" s="3213"/>
    </row>
    <row r="300" spans="1:11">
      <c r="A300" s="202">
        <v>2014.03</v>
      </c>
      <c r="B300" s="169">
        <v>4912.9567704600004</v>
      </c>
      <c r="C300" s="3034">
        <v>5389.8916067099999</v>
      </c>
      <c r="D300" s="1076">
        <f t="shared" si="4"/>
        <v>-476.93483624999953</v>
      </c>
      <c r="E300" s="1222">
        <v>27007</v>
      </c>
      <c r="F300" s="201"/>
      <c r="G300" s="201"/>
      <c r="H300" s="3213"/>
      <c r="I300" s="2945"/>
      <c r="J300" s="3213"/>
      <c r="K300" s="3213"/>
    </row>
    <row r="301" spans="1:11">
      <c r="A301" s="202">
        <v>2014.04</v>
      </c>
      <c r="B301" s="169">
        <v>6478.5222881</v>
      </c>
      <c r="C301" s="3034">
        <v>5656.1398130400003</v>
      </c>
      <c r="D301" s="1076">
        <f t="shared" si="4"/>
        <v>822.38247505999971</v>
      </c>
      <c r="E301" s="1222">
        <v>28220</v>
      </c>
      <c r="F301" s="201"/>
      <c r="G301" s="201"/>
      <c r="H301" s="3213"/>
      <c r="I301" s="2945"/>
      <c r="J301" s="3213"/>
      <c r="K301" s="3213"/>
    </row>
    <row r="302" spans="1:11">
      <c r="A302" s="202">
        <v>2014.05</v>
      </c>
      <c r="B302" s="169">
        <v>7178.51780478</v>
      </c>
      <c r="C302" s="3034">
        <v>5776.9192509499999</v>
      </c>
      <c r="D302" s="1076">
        <f t="shared" si="4"/>
        <v>1401.5985538300001</v>
      </c>
      <c r="E302" s="1222">
        <v>28542</v>
      </c>
      <c r="F302" s="201"/>
      <c r="G302" s="201"/>
      <c r="H302" s="3213"/>
      <c r="I302" s="2945"/>
      <c r="J302" s="3213"/>
      <c r="K302" s="3213"/>
    </row>
    <row r="303" spans="1:11">
      <c r="A303" s="202">
        <v>2014.06</v>
      </c>
      <c r="B303" s="169">
        <v>7203.7064785299999</v>
      </c>
      <c r="C303" s="3034">
        <v>5847.7833066599997</v>
      </c>
      <c r="D303" s="1076">
        <f t="shared" si="4"/>
        <v>1355.9231718700003</v>
      </c>
      <c r="E303" s="1222">
        <v>29278</v>
      </c>
      <c r="F303" s="201"/>
      <c r="G303" s="201"/>
      <c r="H303" s="3213"/>
      <c r="I303" s="2945"/>
      <c r="J303" s="3213"/>
      <c r="K303" s="3213"/>
    </row>
    <row r="304" spans="1:11">
      <c r="A304" s="202">
        <v>2014.07</v>
      </c>
      <c r="B304" s="169">
        <v>6416.9136761700001</v>
      </c>
      <c r="C304" s="3034">
        <v>6145.0856844700002</v>
      </c>
      <c r="D304" s="1076">
        <f t="shared" si="4"/>
        <v>271.82799169999998</v>
      </c>
      <c r="E304" s="1222">
        <v>29003</v>
      </c>
      <c r="F304" s="201"/>
      <c r="G304" s="201"/>
      <c r="H304" s="3213"/>
      <c r="I304" s="2945"/>
      <c r="J304" s="3213"/>
      <c r="K304" s="3213"/>
    </row>
    <row r="305" spans="1:11">
      <c r="A305" s="202">
        <v>2014.08</v>
      </c>
      <c r="B305" s="169">
        <v>6419.9555482799997</v>
      </c>
      <c r="C305" s="3034">
        <v>5644.3880748299998</v>
      </c>
      <c r="D305" s="1076">
        <f t="shared" si="4"/>
        <v>775.56747344999985</v>
      </c>
      <c r="E305" s="1222">
        <v>28620</v>
      </c>
      <c r="F305" s="201"/>
      <c r="G305" s="201"/>
      <c r="H305" s="3213"/>
      <c r="I305" s="2945"/>
      <c r="J305" s="3213"/>
      <c r="K305" s="3213"/>
    </row>
    <row r="306" spans="1:11">
      <c r="A306" s="202">
        <v>2014.09</v>
      </c>
      <c r="B306" s="169">
        <v>5685.2322747400003</v>
      </c>
      <c r="C306" s="3034">
        <v>5644.0880198499999</v>
      </c>
      <c r="D306" s="1076">
        <f t="shared" si="4"/>
        <v>41.144254890000411</v>
      </c>
      <c r="E306" s="1222">
        <v>27866</v>
      </c>
      <c r="F306" s="201"/>
      <c r="G306" s="201"/>
      <c r="H306" s="3213"/>
      <c r="I306" s="2945"/>
      <c r="J306" s="3213"/>
      <c r="K306" s="3213"/>
    </row>
    <row r="307" spans="1:11">
      <c r="A307" s="202">
        <v>2014.1</v>
      </c>
      <c r="B307" s="169">
        <v>5794.0374187699999</v>
      </c>
      <c r="C307" s="3034">
        <v>5494.2799463000001</v>
      </c>
      <c r="D307" s="1076">
        <f t="shared" si="4"/>
        <v>299.75747246999981</v>
      </c>
      <c r="E307" s="1222">
        <v>28111</v>
      </c>
      <c r="F307" s="201"/>
      <c r="G307" s="201"/>
      <c r="H307" s="3213"/>
      <c r="I307" s="2945"/>
      <c r="J307" s="3213"/>
      <c r="K307" s="3213"/>
    </row>
    <row r="308" spans="1:11">
      <c r="A308" s="202">
        <v>2014.11</v>
      </c>
      <c r="B308" s="169">
        <v>4889.1889031199998</v>
      </c>
      <c r="C308" s="3034">
        <v>4650.9882349299996</v>
      </c>
      <c r="D308" s="1076">
        <f t="shared" si="4"/>
        <v>238.20066819000021</v>
      </c>
      <c r="E308" s="1222">
        <v>28911</v>
      </c>
      <c r="F308" s="201"/>
      <c r="G308" s="201"/>
      <c r="H308" s="3213"/>
      <c r="I308" s="2945"/>
      <c r="J308" s="3213"/>
      <c r="K308" s="3213"/>
    </row>
    <row r="309" spans="1:11">
      <c r="A309" s="202">
        <v>2014.12</v>
      </c>
      <c r="B309" s="169">
        <v>4502.2830679199997</v>
      </c>
      <c r="C309" s="3034">
        <v>4300.4224845700001</v>
      </c>
      <c r="D309" s="1076">
        <f t="shared" si="4"/>
        <v>201.86058334999962</v>
      </c>
      <c r="E309" s="1222">
        <v>31443</v>
      </c>
      <c r="F309" s="201"/>
      <c r="G309" s="201"/>
      <c r="H309" s="3213"/>
      <c r="I309" s="2945"/>
      <c r="J309" s="3213"/>
      <c r="K309" s="3213"/>
    </row>
    <row r="310" spans="1:11">
      <c r="A310" s="202">
        <v>2015.01</v>
      </c>
      <c r="B310" s="169">
        <v>3795.98349349</v>
      </c>
      <c r="C310" s="3034">
        <v>4362.7050951399997</v>
      </c>
      <c r="D310" s="1076">
        <f t="shared" si="4"/>
        <v>-566.72160164999968</v>
      </c>
      <c r="E310" s="1222">
        <v>31452</v>
      </c>
      <c r="F310" s="201"/>
      <c r="G310" s="201"/>
      <c r="H310" s="3213"/>
      <c r="I310" s="2945"/>
      <c r="J310" s="3213"/>
      <c r="K310" s="3213"/>
    </row>
    <row r="311" spans="1:11">
      <c r="A311" s="202">
        <v>2015.02</v>
      </c>
      <c r="B311" s="169">
        <v>3871.7165137100001</v>
      </c>
      <c r="C311" s="3034">
        <v>4084.5012266600002</v>
      </c>
      <c r="D311" s="1076">
        <f t="shared" si="4"/>
        <v>-212.78471295000008</v>
      </c>
      <c r="E311" s="1222">
        <v>31470</v>
      </c>
      <c r="F311" s="201"/>
      <c r="G311" s="201"/>
      <c r="H311" s="3213"/>
      <c r="I311" s="2945"/>
      <c r="J311" s="3213"/>
      <c r="K311" s="3213"/>
    </row>
    <row r="312" spans="1:11">
      <c r="A312" s="202">
        <v>2015.03</v>
      </c>
      <c r="B312" s="169">
        <v>4381.4602613500001</v>
      </c>
      <c r="C312" s="3034">
        <v>5058.82116417</v>
      </c>
      <c r="D312" s="1076">
        <f t="shared" si="4"/>
        <v>-677.36090281999986</v>
      </c>
      <c r="E312" s="1222">
        <v>31490</v>
      </c>
      <c r="F312" s="201"/>
      <c r="G312" s="201"/>
      <c r="H312" s="3213"/>
      <c r="I312" s="2945"/>
      <c r="J312" s="3213"/>
      <c r="K312" s="3213"/>
    </row>
    <row r="313" spans="1:11">
      <c r="A313" s="202">
        <v>2015.04</v>
      </c>
      <c r="B313" s="169">
        <v>5155.2715151900002</v>
      </c>
      <c r="C313" s="3034">
        <v>4932.9498221900003</v>
      </c>
      <c r="D313" s="1076">
        <f t="shared" si="4"/>
        <v>222.32169299999987</v>
      </c>
      <c r="E313" s="1222">
        <v>33909</v>
      </c>
      <c r="F313" s="201"/>
      <c r="G313" s="201"/>
      <c r="H313" s="3213"/>
      <c r="I313" s="2945"/>
      <c r="J313" s="3213"/>
      <c r="K313" s="3213"/>
    </row>
    <row r="314" spans="1:11">
      <c r="A314" s="202">
        <v>2015.05</v>
      </c>
      <c r="B314" s="169">
        <v>5205.5041300800003</v>
      </c>
      <c r="C314" s="3034">
        <v>5002.9036846600002</v>
      </c>
      <c r="D314" s="1076">
        <f t="shared" si="4"/>
        <v>202.60044542000014</v>
      </c>
      <c r="E314" s="1222">
        <v>33283</v>
      </c>
      <c r="F314" s="201"/>
      <c r="G314" s="201"/>
      <c r="H314" s="3213"/>
      <c r="I314" s="2945"/>
      <c r="J314" s="3213"/>
      <c r="K314" s="3213"/>
    </row>
    <row r="315" spans="1:11">
      <c r="A315" s="202">
        <v>2015.06</v>
      </c>
      <c r="B315" s="169">
        <v>6046.4737291399997</v>
      </c>
      <c r="C315" s="3034">
        <v>5707.0664134899998</v>
      </c>
      <c r="D315" s="1076">
        <f t="shared" si="4"/>
        <v>339.40731564999987</v>
      </c>
      <c r="E315" s="1222">
        <v>33851</v>
      </c>
      <c r="F315" s="201"/>
      <c r="G315" s="201"/>
      <c r="H315" s="3213"/>
      <c r="I315" s="2945"/>
      <c r="J315" s="3213"/>
      <c r="K315" s="3213"/>
    </row>
    <row r="316" spans="1:11">
      <c r="A316" s="202">
        <v>2015.07</v>
      </c>
      <c r="B316" s="169">
        <v>5568.8934780199997</v>
      </c>
      <c r="C316" s="3034">
        <v>5800.5772562599996</v>
      </c>
      <c r="D316" s="1076">
        <f t="shared" si="4"/>
        <v>-231.68377823999981</v>
      </c>
      <c r="E316" s="1222">
        <v>33943</v>
      </c>
      <c r="F316" s="201"/>
      <c r="G316" s="201"/>
      <c r="H316" s="3213"/>
      <c r="I316" s="2945"/>
      <c r="J316" s="3213"/>
      <c r="K316" s="3213"/>
    </row>
    <row r="317" spans="1:11">
      <c r="A317" s="202">
        <v>2015.08</v>
      </c>
      <c r="B317" s="169">
        <v>5135.7242069599997</v>
      </c>
      <c r="C317" s="3034">
        <v>5604.9474584299996</v>
      </c>
      <c r="D317" s="1076">
        <f t="shared" si="4"/>
        <v>-469.22325146999992</v>
      </c>
      <c r="E317" s="1222">
        <v>33606</v>
      </c>
      <c r="F317" s="201"/>
      <c r="G317" s="201"/>
      <c r="H317" s="3213"/>
      <c r="I317" s="2945"/>
      <c r="J317" s="3213"/>
      <c r="K317" s="3213"/>
    </row>
    <row r="318" spans="1:11">
      <c r="A318" s="202">
        <v>2015.09</v>
      </c>
      <c r="B318" s="169">
        <v>5162.0023887799998</v>
      </c>
      <c r="C318" s="3034">
        <v>5487.0890577999999</v>
      </c>
      <c r="D318" s="1076">
        <f t="shared" si="4"/>
        <v>-325.08666902000004</v>
      </c>
      <c r="E318" s="1222">
        <v>33257</v>
      </c>
      <c r="F318" s="201"/>
      <c r="G318" s="201"/>
      <c r="H318" s="3213"/>
      <c r="I318" s="2945"/>
      <c r="J318" s="3213"/>
      <c r="K318" s="3213"/>
    </row>
    <row r="319" spans="1:11">
      <c r="A319" s="202">
        <v>2015.1</v>
      </c>
      <c r="B319" s="169">
        <v>5032.9572304000003</v>
      </c>
      <c r="C319" s="3034">
        <v>5058.0012810300004</v>
      </c>
      <c r="D319" s="1076">
        <f t="shared" si="4"/>
        <v>-25.044050630000129</v>
      </c>
      <c r="E319" s="1222">
        <v>26970</v>
      </c>
      <c r="F319" s="201"/>
      <c r="G319" s="201"/>
      <c r="H319" s="3213"/>
      <c r="I319" s="2945"/>
      <c r="J319" s="3213"/>
      <c r="K319" s="3213"/>
    </row>
    <row r="320" spans="1:11">
      <c r="A320" s="202">
        <v>2015.11</v>
      </c>
      <c r="B320" s="169">
        <v>3998.62885319</v>
      </c>
      <c r="C320" s="3034">
        <v>4699.56622909</v>
      </c>
      <c r="D320" s="1076">
        <f t="shared" si="4"/>
        <v>-700.93737590000001</v>
      </c>
      <c r="E320" s="1222">
        <v>25615</v>
      </c>
      <c r="F320" s="201"/>
      <c r="G320" s="201"/>
      <c r="H320" s="3213"/>
      <c r="I320" s="2945"/>
      <c r="J320" s="3213"/>
      <c r="K320" s="3213"/>
    </row>
    <row r="321" spans="1:11">
      <c r="A321" s="202">
        <v>2015.12</v>
      </c>
      <c r="B321" s="169">
        <v>3429.3367033700001</v>
      </c>
      <c r="C321" s="3034">
        <v>4403.90684521</v>
      </c>
      <c r="D321" s="1076">
        <f t="shared" si="4"/>
        <v>-974.57014183999991</v>
      </c>
      <c r="E321" s="1222">
        <v>25563</v>
      </c>
      <c r="F321" s="201"/>
      <c r="G321" s="201"/>
      <c r="H321" s="3213"/>
      <c r="I321" s="2945"/>
      <c r="J321" s="3213"/>
      <c r="K321" s="3213"/>
    </row>
    <row r="322" spans="1:11">
      <c r="A322" s="202">
        <f>A310+1</f>
        <v>2016.01</v>
      </c>
      <c r="B322" s="169">
        <v>3880.89381</v>
      </c>
      <c r="C322" s="3034">
        <v>4123.27232551</v>
      </c>
      <c r="D322" s="1076">
        <f t="shared" si="4"/>
        <v>-242.37851550999994</v>
      </c>
      <c r="E322" s="1222">
        <v>30074</v>
      </c>
      <c r="F322" s="1321"/>
      <c r="G322" s="1321"/>
      <c r="H322" s="3213"/>
      <c r="I322" s="2945"/>
      <c r="J322" s="3213"/>
      <c r="K322" s="3213"/>
    </row>
    <row r="323" spans="1:11">
      <c r="A323" s="202">
        <f t="shared" ref="A323:A350" si="5">A311+1</f>
        <v>2016.02</v>
      </c>
      <c r="B323" s="169">
        <v>4140.9005733599997</v>
      </c>
      <c r="C323" s="3034">
        <v>4096.1900212500004</v>
      </c>
      <c r="D323" s="1076">
        <f t="shared" si="4"/>
        <v>44.710552109999298</v>
      </c>
      <c r="E323" s="1222">
        <v>28399</v>
      </c>
      <c r="F323" s="201"/>
      <c r="G323" s="201"/>
      <c r="H323" s="3213"/>
      <c r="I323" s="2945"/>
      <c r="J323" s="3213"/>
      <c r="K323" s="3213"/>
    </row>
    <row r="324" spans="1:11">
      <c r="A324" s="202">
        <f t="shared" si="5"/>
        <v>2016.03</v>
      </c>
      <c r="B324" s="169">
        <v>4420.8489055999999</v>
      </c>
      <c r="C324" s="3034">
        <v>4556.33606667</v>
      </c>
      <c r="D324" s="1076">
        <f t="shared" si="4"/>
        <v>-135.48716107000018</v>
      </c>
      <c r="E324" s="1222">
        <v>29572</v>
      </c>
      <c r="F324" s="201"/>
      <c r="G324" s="201"/>
      <c r="H324" s="3213"/>
      <c r="I324" s="2945"/>
      <c r="J324" s="3213"/>
      <c r="K324" s="3213"/>
    </row>
    <row r="325" spans="1:11">
      <c r="A325" s="202">
        <f t="shared" si="5"/>
        <v>2016.04</v>
      </c>
      <c r="B325" s="169">
        <v>4739.5571006</v>
      </c>
      <c r="C325" s="3034">
        <v>4422.6567008900001</v>
      </c>
      <c r="D325" s="1076">
        <f t="shared" si="4"/>
        <v>316.90039970999987</v>
      </c>
      <c r="E325" s="1222">
        <v>34380</v>
      </c>
      <c r="F325" s="201"/>
      <c r="G325" s="201"/>
      <c r="H325" s="3213"/>
      <c r="I325" s="2945"/>
      <c r="J325" s="3213"/>
      <c r="K325" s="3213"/>
    </row>
    <row r="326" spans="1:11">
      <c r="A326" s="202">
        <f t="shared" si="5"/>
        <v>2016.05</v>
      </c>
      <c r="B326" s="169">
        <v>5383.4311518699997</v>
      </c>
      <c r="C326" s="3034">
        <v>4873.58161759</v>
      </c>
      <c r="D326" s="1076">
        <f t="shared" si="4"/>
        <v>509.84953427999972</v>
      </c>
      <c r="E326" s="1222">
        <v>30171</v>
      </c>
      <c r="F326" s="201"/>
      <c r="G326" s="201"/>
      <c r="H326" s="3213"/>
      <c r="I326" s="2945"/>
      <c r="J326" s="3213"/>
      <c r="K326" s="3213"/>
    </row>
    <row r="327" spans="1:11">
      <c r="A327" s="202">
        <f t="shared" si="5"/>
        <v>2016.06</v>
      </c>
      <c r="B327" s="169">
        <v>5304.9355165300003</v>
      </c>
      <c r="C327" s="3034">
        <v>5046.3732850300003</v>
      </c>
      <c r="D327" s="1076">
        <f t="shared" si="4"/>
        <v>258.56223150000005</v>
      </c>
      <c r="E327" s="1222">
        <v>30507</v>
      </c>
      <c r="F327" s="201"/>
      <c r="G327" s="201"/>
      <c r="H327" s="3213"/>
      <c r="I327" s="2945"/>
      <c r="J327" s="3213"/>
      <c r="K327" s="3213"/>
    </row>
    <row r="328" spans="1:11">
      <c r="A328" s="202">
        <f t="shared" si="5"/>
        <v>2016.07</v>
      </c>
      <c r="B328" s="169">
        <v>5001.6074998100003</v>
      </c>
      <c r="C328" s="3034">
        <v>4717.6372224300003</v>
      </c>
      <c r="D328" s="1076">
        <f t="shared" si="4"/>
        <v>283.97027737999997</v>
      </c>
      <c r="E328" s="1222">
        <v>32511</v>
      </c>
      <c r="F328" s="201"/>
      <c r="G328" s="201"/>
      <c r="H328" s="3213"/>
      <c r="I328" s="2945"/>
      <c r="J328" s="3213"/>
      <c r="K328" s="3213"/>
    </row>
    <row r="329" spans="1:11">
      <c r="A329" s="202">
        <f t="shared" si="5"/>
        <v>2016.08</v>
      </c>
      <c r="B329" s="169">
        <v>5763.7694112099998</v>
      </c>
      <c r="C329" s="3034">
        <v>5173.6932191699998</v>
      </c>
      <c r="D329" s="1076">
        <f t="shared" si="4"/>
        <v>590.07619204000002</v>
      </c>
      <c r="E329" s="1222">
        <v>31150</v>
      </c>
      <c r="F329" s="201"/>
      <c r="G329" s="201"/>
      <c r="H329" s="3213"/>
      <c r="I329" s="2945"/>
      <c r="J329" s="3213"/>
      <c r="K329" s="3213"/>
    </row>
    <row r="330" spans="1:11">
      <c r="A330" s="202">
        <f t="shared" si="5"/>
        <v>2016.09</v>
      </c>
      <c r="B330" s="169">
        <v>5049.55097105</v>
      </c>
      <c r="C330" s="3034">
        <v>4741.4272834699996</v>
      </c>
      <c r="D330" s="1076">
        <f t="shared" ref="D330:D393" si="6">B330-C330</f>
        <v>308.12368758000048</v>
      </c>
      <c r="E330" s="1222">
        <v>29902</v>
      </c>
      <c r="F330" s="201"/>
      <c r="G330" s="201"/>
      <c r="H330" s="3213"/>
      <c r="I330" s="2945"/>
      <c r="J330" s="3213"/>
      <c r="K330" s="3213"/>
    </row>
    <row r="331" spans="1:11">
      <c r="A331" s="202">
        <f t="shared" si="5"/>
        <v>2016.1</v>
      </c>
      <c r="B331" s="169">
        <v>4736.7338409800004</v>
      </c>
      <c r="C331" s="3034">
        <v>4782.9541800899997</v>
      </c>
      <c r="D331" s="1076">
        <f t="shared" si="6"/>
        <v>-46.220339109999259</v>
      </c>
      <c r="E331" s="1222">
        <v>37210</v>
      </c>
      <c r="F331" s="201"/>
      <c r="G331" s="201"/>
      <c r="H331" s="3213"/>
      <c r="I331" s="2945"/>
      <c r="J331" s="3213"/>
      <c r="K331" s="3213"/>
    </row>
    <row r="332" spans="1:11">
      <c r="A332" s="202">
        <f>A320+1</f>
        <v>2016.11</v>
      </c>
      <c r="B332" s="169">
        <v>4837.4206106900001</v>
      </c>
      <c r="C332" s="3034">
        <v>4723.1506052200002</v>
      </c>
      <c r="D332" s="1076">
        <f t="shared" si="6"/>
        <v>114.27000546999989</v>
      </c>
      <c r="E332" s="1222">
        <v>37378</v>
      </c>
      <c r="F332" s="201"/>
      <c r="G332" s="201"/>
      <c r="H332" s="3213"/>
      <c r="I332" s="2945"/>
      <c r="J332" s="3213"/>
      <c r="K332" s="3213"/>
    </row>
    <row r="333" spans="1:11">
      <c r="A333" s="202">
        <f t="shared" si="5"/>
        <v>2016.12</v>
      </c>
      <c r="B333" s="169">
        <v>4649.4481008800003</v>
      </c>
      <c r="C333" s="3034">
        <v>4594.79292979</v>
      </c>
      <c r="D333" s="1076">
        <f t="shared" si="6"/>
        <v>54.655171090000294</v>
      </c>
      <c r="E333" s="1222">
        <v>38772</v>
      </c>
      <c r="F333" s="201"/>
      <c r="G333" s="201"/>
      <c r="H333" s="3213"/>
      <c r="I333" s="2945"/>
      <c r="J333" s="3213"/>
      <c r="K333" s="3213"/>
    </row>
    <row r="334" spans="1:11">
      <c r="A334" s="202">
        <f t="shared" si="5"/>
        <v>2017.01</v>
      </c>
      <c r="B334" s="169">
        <v>4290.7550579400004</v>
      </c>
      <c r="C334" s="3034">
        <v>4344.1163460999996</v>
      </c>
      <c r="D334" s="1076">
        <f t="shared" si="6"/>
        <v>-53.361288159999276</v>
      </c>
      <c r="E334" s="1222">
        <v>46887</v>
      </c>
      <c r="F334" s="201"/>
      <c r="G334" s="201"/>
      <c r="H334" s="3213"/>
      <c r="I334" s="2945"/>
      <c r="J334" s="3213"/>
      <c r="K334" s="3213"/>
    </row>
    <row r="335" spans="1:11">
      <c r="A335" s="202">
        <f t="shared" si="5"/>
        <v>2017.02</v>
      </c>
      <c r="B335" s="169">
        <v>3899.3477349200002</v>
      </c>
      <c r="C335" s="3034">
        <v>4117.1686595700003</v>
      </c>
      <c r="D335" s="1076">
        <f t="shared" si="6"/>
        <v>-217.82092465000005</v>
      </c>
      <c r="E335" s="1222">
        <v>50608</v>
      </c>
      <c r="F335" s="201"/>
      <c r="G335" s="201"/>
      <c r="H335" s="3213"/>
      <c r="I335" s="2945"/>
      <c r="J335" s="3213"/>
      <c r="K335" s="3213"/>
    </row>
    <row r="336" spans="1:11">
      <c r="A336" s="202">
        <f t="shared" si="5"/>
        <v>2017.03</v>
      </c>
      <c r="B336" s="169">
        <v>4564.6711114</v>
      </c>
      <c r="C336" s="3034">
        <v>5474.9833046599997</v>
      </c>
      <c r="D336" s="1076">
        <f t="shared" si="6"/>
        <v>-910.31219325999973</v>
      </c>
      <c r="E336" s="1222">
        <v>50522</v>
      </c>
      <c r="F336" s="201"/>
      <c r="G336" s="201"/>
      <c r="H336" s="3213"/>
      <c r="I336" s="2945"/>
      <c r="J336" s="3213"/>
      <c r="K336" s="3213"/>
    </row>
    <row r="337" spans="1:11">
      <c r="A337" s="202">
        <f t="shared" si="5"/>
        <v>2017.04</v>
      </c>
      <c r="B337" s="169">
        <v>4866.6298122799999</v>
      </c>
      <c r="C337" s="3034">
        <v>4973.1024557700002</v>
      </c>
      <c r="D337" s="1076">
        <f t="shared" si="6"/>
        <v>-106.47264349000034</v>
      </c>
      <c r="E337" s="1222">
        <v>48217</v>
      </c>
      <c r="F337" s="201"/>
      <c r="G337" s="201"/>
      <c r="H337" s="3213"/>
      <c r="I337" s="2945"/>
      <c r="J337" s="3213"/>
      <c r="K337" s="3213"/>
    </row>
    <row r="338" spans="1:11">
      <c r="A338" s="202">
        <f t="shared" si="5"/>
        <v>2017.05</v>
      </c>
      <c r="B338" s="169">
        <v>5493.1816346799997</v>
      </c>
      <c r="C338" s="3034">
        <v>6064.3205924499998</v>
      </c>
      <c r="D338" s="1076">
        <f t="shared" si="6"/>
        <v>-571.13895777000016</v>
      </c>
      <c r="E338" s="1222">
        <v>46146</v>
      </c>
      <c r="F338" s="201"/>
      <c r="G338" s="201"/>
      <c r="H338" s="3213"/>
      <c r="I338" s="2945"/>
      <c r="J338" s="3213"/>
      <c r="K338" s="3213"/>
    </row>
    <row r="339" spans="1:11">
      <c r="A339" s="202">
        <f t="shared" si="5"/>
        <v>2017.06</v>
      </c>
      <c r="B339" s="169">
        <v>5158.4868016500004</v>
      </c>
      <c r="C339" s="3034">
        <v>5898.1482146899998</v>
      </c>
      <c r="D339" s="1076">
        <f t="shared" si="6"/>
        <v>-739.66141303999939</v>
      </c>
      <c r="E339" s="1222">
        <v>47995</v>
      </c>
      <c r="F339" s="201"/>
      <c r="G339" s="201"/>
      <c r="H339" s="3213"/>
      <c r="I339" s="2945"/>
      <c r="J339" s="3213"/>
      <c r="K339" s="3213"/>
    </row>
    <row r="340" spans="1:11">
      <c r="A340" s="202">
        <f t="shared" si="5"/>
        <v>2017.07</v>
      </c>
      <c r="B340" s="169">
        <v>5304.0836505500001</v>
      </c>
      <c r="C340" s="3034">
        <v>6042.7361441200001</v>
      </c>
      <c r="D340" s="1076">
        <f t="shared" si="6"/>
        <v>-738.65249356999993</v>
      </c>
      <c r="E340" s="1222">
        <v>47014</v>
      </c>
      <c r="F340" s="201"/>
      <c r="G340" s="201"/>
      <c r="H340" s="3213"/>
      <c r="I340" s="2945"/>
      <c r="J340" s="3213"/>
      <c r="K340" s="3213"/>
    </row>
    <row r="341" spans="1:11">
      <c r="A341" s="202">
        <f>A329+1</f>
        <v>2017.08</v>
      </c>
      <c r="B341" s="169">
        <v>5272.3771957400004</v>
      </c>
      <c r="C341" s="3034">
        <v>6316.7319613099999</v>
      </c>
      <c r="D341" s="1076">
        <f t="shared" si="6"/>
        <v>-1044.3547655699995</v>
      </c>
      <c r="E341" s="1222">
        <v>48877</v>
      </c>
      <c r="F341" s="201"/>
      <c r="G341" s="201"/>
      <c r="H341" s="3213"/>
      <c r="I341" s="2945"/>
      <c r="J341" s="3213"/>
      <c r="K341" s="3213"/>
    </row>
    <row r="342" spans="1:11">
      <c r="A342" s="202">
        <f t="shared" si="5"/>
        <v>2017.09</v>
      </c>
      <c r="B342" s="169">
        <v>5268.2368573699996</v>
      </c>
      <c r="C342" s="3034">
        <v>5968.3476645600003</v>
      </c>
      <c r="D342" s="1076">
        <f t="shared" si="6"/>
        <v>-700.11080719000074</v>
      </c>
      <c r="E342" s="1222">
        <v>50237</v>
      </c>
      <c r="F342" s="201"/>
      <c r="G342" s="201"/>
      <c r="H342" s="3213"/>
      <c r="I342" s="2945"/>
      <c r="J342" s="3213"/>
      <c r="K342" s="3213"/>
    </row>
    <row r="343" spans="1:11">
      <c r="A343" s="202">
        <f t="shared" si="5"/>
        <v>2017.1</v>
      </c>
      <c r="B343" s="169">
        <v>5280.53326543</v>
      </c>
      <c r="C343" s="3034">
        <v>6209.1340681499996</v>
      </c>
      <c r="D343" s="1076">
        <f t="shared" si="6"/>
        <v>-928.60080271999959</v>
      </c>
      <c r="E343" s="1222">
        <v>51810</v>
      </c>
      <c r="F343" s="201"/>
      <c r="G343" s="201"/>
      <c r="H343" s="3213"/>
      <c r="I343" s="2945"/>
      <c r="J343" s="3213"/>
      <c r="K343" s="3213"/>
    </row>
    <row r="344" spans="1:11">
      <c r="A344" s="202">
        <f t="shared" si="5"/>
        <v>2017.11</v>
      </c>
      <c r="B344" s="169">
        <v>4668.0095273300003</v>
      </c>
      <c r="C344" s="3034">
        <v>6163.3646786299996</v>
      </c>
      <c r="D344" s="1076">
        <f t="shared" si="6"/>
        <v>-1495.3551512999993</v>
      </c>
      <c r="E344" s="1222">
        <v>54563</v>
      </c>
      <c r="F344" s="201"/>
      <c r="G344" s="201"/>
      <c r="H344" s="3213"/>
      <c r="I344" s="2945"/>
      <c r="J344" s="3213"/>
      <c r="K344" s="3213"/>
    </row>
    <row r="345" spans="1:11">
      <c r="A345" s="202">
        <f t="shared" si="5"/>
        <v>2017.12</v>
      </c>
      <c r="B345" s="169">
        <v>4578.4209987000004</v>
      </c>
      <c r="C345" s="3034">
        <v>5365.9305903699997</v>
      </c>
      <c r="D345" s="1076">
        <f t="shared" si="6"/>
        <v>-787.50959166999928</v>
      </c>
      <c r="E345" s="1222">
        <v>55055</v>
      </c>
      <c r="F345" s="201"/>
      <c r="G345" s="201"/>
      <c r="H345" s="3213"/>
      <c r="I345" s="2945"/>
      <c r="J345" s="3213"/>
      <c r="K345" s="3213"/>
    </row>
    <row r="346" spans="1:11">
      <c r="A346" s="202">
        <f t="shared" si="5"/>
        <v>2018.01</v>
      </c>
      <c r="B346" s="169">
        <v>4810.2403818000003</v>
      </c>
      <c r="C346" s="3034">
        <v>5743.2639206399999</v>
      </c>
      <c r="D346" s="1076">
        <f t="shared" si="6"/>
        <v>-933.02353883999967</v>
      </c>
      <c r="E346" s="1222">
        <v>62023.8</v>
      </c>
      <c r="F346" s="201"/>
      <c r="G346" s="201"/>
      <c r="H346" s="3213"/>
      <c r="I346" s="2945"/>
      <c r="J346" s="3213"/>
      <c r="K346" s="3213"/>
    </row>
    <row r="347" spans="1:11">
      <c r="A347" s="202">
        <f t="shared" si="5"/>
        <v>2018.02</v>
      </c>
      <c r="B347" s="169">
        <v>4304.2139994999998</v>
      </c>
      <c r="C347" s="3034">
        <v>5195.9802166700001</v>
      </c>
      <c r="D347" s="1076">
        <f t="shared" si="6"/>
        <v>-891.76621717000035</v>
      </c>
      <c r="E347" s="1222">
        <v>61508.5</v>
      </c>
      <c r="F347" s="201"/>
      <c r="G347" s="201"/>
      <c r="H347" s="3213"/>
      <c r="I347" s="2945"/>
      <c r="J347" s="3213"/>
      <c r="K347" s="3213"/>
    </row>
    <row r="348" spans="1:11">
      <c r="A348" s="202">
        <f t="shared" si="5"/>
        <v>2018.03</v>
      </c>
      <c r="B348" s="169">
        <v>5416.6648324199996</v>
      </c>
      <c r="C348" s="3034">
        <v>5978.9496413999996</v>
      </c>
      <c r="D348" s="1076">
        <f t="shared" si="6"/>
        <v>-562.28480897999998</v>
      </c>
      <c r="E348" s="1222">
        <v>61725.9</v>
      </c>
      <c r="F348" s="201"/>
      <c r="G348" s="201"/>
      <c r="H348" s="3213"/>
      <c r="I348" s="2945"/>
      <c r="J348" s="3213"/>
      <c r="K348" s="3213"/>
    </row>
    <row r="349" spans="1:11">
      <c r="A349" s="202">
        <f t="shared" si="5"/>
        <v>2018.04</v>
      </c>
      <c r="B349" s="169">
        <v>5216.3309415699996</v>
      </c>
      <c r="C349" s="3034">
        <v>6105.5850650299999</v>
      </c>
      <c r="D349" s="1076">
        <f t="shared" si="6"/>
        <v>-889.2541234600003</v>
      </c>
      <c r="E349" s="1222">
        <v>56623</v>
      </c>
      <c r="F349" s="201"/>
      <c r="G349" s="201"/>
      <c r="H349" s="3213"/>
      <c r="I349" s="2945"/>
      <c r="J349" s="3213"/>
      <c r="K349" s="3213"/>
    </row>
    <row r="350" spans="1:11">
      <c r="A350" s="202">
        <f t="shared" si="5"/>
        <v>2018.05</v>
      </c>
      <c r="B350" s="169">
        <v>5163.0552134199997</v>
      </c>
      <c r="C350" s="3034">
        <v>6448.0005496499998</v>
      </c>
      <c r="D350" s="1076">
        <f t="shared" si="6"/>
        <v>-1284.9453362300001</v>
      </c>
      <c r="E350" s="1222">
        <v>50098.1</v>
      </c>
      <c r="F350" s="201"/>
      <c r="G350" s="201"/>
      <c r="H350" s="3213"/>
      <c r="I350" s="2945"/>
      <c r="J350" s="3213"/>
      <c r="K350" s="3213"/>
    </row>
    <row r="351" spans="1:11">
      <c r="A351" s="202">
        <f>A339+1</f>
        <v>2018.06</v>
      </c>
      <c r="B351" s="169">
        <v>5133.4260802299996</v>
      </c>
      <c r="C351" s="3034">
        <v>5461.0193589299997</v>
      </c>
      <c r="D351" s="1076">
        <f t="shared" si="6"/>
        <v>-327.59327870000016</v>
      </c>
      <c r="E351" s="1222">
        <v>61881</v>
      </c>
      <c r="F351" s="201"/>
      <c r="G351" s="201"/>
      <c r="H351" s="3213"/>
      <c r="I351" s="2945"/>
      <c r="J351" s="3213"/>
      <c r="K351" s="3213"/>
    </row>
    <row r="352" spans="1:11">
      <c r="A352" s="202">
        <f>A340+1</f>
        <v>2018.07</v>
      </c>
      <c r="B352" s="169">
        <v>5414.8310505099998</v>
      </c>
      <c r="C352" s="3034">
        <v>6182.40102398</v>
      </c>
      <c r="D352" s="1076">
        <f t="shared" si="6"/>
        <v>-767.56997347000015</v>
      </c>
      <c r="E352" s="1222">
        <v>57996.2</v>
      </c>
      <c r="F352" s="201"/>
      <c r="G352" s="201"/>
      <c r="H352" s="3213"/>
      <c r="I352" s="2945"/>
      <c r="J352" s="3213"/>
      <c r="K352" s="3213"/>
    </row>
    <row r="353" spans="1:11">
      <c r="A353" s="202">
        <f t="shared" ref="A353:A359" si="7">A341+1</f>
        <v>2018.08</v>
      </c>
      <c r="B353" s="169">
        <v>5201.8101749899997</v>
      </c>
      <c r="C353" s="3034">
        <v>6314.3010030300002</v>
      </c>
      <c r="D353" s="1076">
        <f t="shared" si="6"/>
        <v>-1112.4908280400005</v>
      </c>
      <c r="E353" s="1222">
        <v>52657.7</v>
      </c>
      <c r="F353" s="201"/>
      <c r="G353" s="201"/>
      <c r="H353" s="3213"/>
      <c r="I353" s="2945"/>
      <c r="J353" s="3213"/>
      <c r="K353" s="3213"/>
    </row>
    <row r="354" spans="1:11">
      <c r="A354" s="202">
        <f t="shared" si="7"/>
        <v>2018.09</v>
      </c>
      <c r="B354" s="169">
        <v>5036.8083967499997</v>
      </c>
      <c r="C354" s="3034">
        <v>4699.9546294800002</v>
      </c>
      <c r="D354" s="1076">
        <f t="shared" si="6"/>
        <v>336.85376726999948</v>
      </c>
      <c r="E354" s="1222">
        <v>49003</v>
      </c>
      <c r="F354" s="201"/>
      <c r="G354" s="201"/>
      <c r="H354" s="3213"/>
      <c r="I354" s="2945"/>
      <c r="J354" s="3213"/>
      <c r="K354" s="3213"/>
    </row>
    <row r="355" spans="1:11">
      <c r="A355" s="202">
        <f t="shared" si="7"/>
        <v>2018.1</v>
      </c>
      <c r="B355" s="169">
        <v>5398.1255937300002</v>
      </c>
      <c r="C355" s="3034">
        <v>5073.4736818000001</v>
      </c>
      <c r="D355" s="1076">
        <f t="shared" si="6"/>
        <v>324.6519119300001</v>
      </c>
      <c r="E355" s="1222">
        <v>53955.1</v>
      </c>
      <c r="F355" s="201"/>
      <c r="G355" s="201"/>
      <c r="H355" s="3213"/>
      <c r="I355" s="2945"/>
      <c r="J355" s="3213"/>
      <c r="K355" s="3213"/>
    </row>
    <row r="356" spans="1:11">
      <c r="A356" s="202">
        <f t="shared" si="7"/>
        <v>2018.11</v>
      </c>
      <c r="B356" s="169">
        <v>5349.6076493399996</v>
      </c>
      <c r="C356" s="3034">
        <v>4363.0121795599998</v>
      </c>
      <c r="D356" s="1076">
        <f t="shared" si="6"/>
        <v>986.5954697799998</v>
      </c>
      <c r="E356" s="1222">
        <v>51193</v>
      </c>
      <c r="F356" s="201"/>
      <c r="G356" s="201"/>
      <c r="H356" s="3213"/>
      <c r="I356" s="2945"/>
      <c r="J356" s="3213"/>
      <c r="K356" s="3213"/>
    </row>
    <row r="357" spans="1:11">
      <c r="A357" s="202">
        <f t="shared" si="7"/>
        <v>2018.12</v>
      </c>
      <c r="B357" s="169">
        <v>5336.4142868700001</v>
      </c>
      <c r="C357" s="3034">
        <v>3916.8731460399999</v>
      </c>
      <c r="D357" s="1076">
        <f t="shared" si="6"/>
        <v>1419.5411408300001</v>
      </c>
      <c r="E357" s="1222">
        <v>65806</v>
      </c>
      <c r="F357" s="201"/>
      <c r="G357" s="201"/>
      <c r="H357" s="3213"/>
      <c r="I357" s="2945"/>
      <c r="J357" s="3213"/>
      <c r="K357" s="3213"/>
    </row>
    <row r="358" spans="1:11">
      <c r="A358" s="202">
        <f t="shared" si="7"/>
        <v>2019.01</v>
      </c>
      <c r="B358" s="169">
        <v>4584.79247889</v>
      </c>
      <c r="C358" s="3034">
        <v>4211.8068060599999</v>
      </c>
      <c r="D358" s="1076">
        <f t="shared" si="6"/>
        <v>372.98567283000011</v>
      </c>
      <c r="E358" s="1222">
        <v>66811</v>
      </c>
      <c r="F358" s="201"/>
      <c r="G358" s="201"/>
      <c r="H358" s="3213"/>
      <c r="I358" s="2945"/>
      <c r="J358" s="3213"/>
      <c r="K358" s="3213"/>
    </row>
    <row r="359" spans="1:11">
      <c r="A359" s="202">
        <f t="shared" si="7"/>
        <v>2019.02</v>
      </c>
      <c r="B359" s="169">
        <v>4447.6533387299996</v>
      </c>
      <c r="C359" s="3034">
        <v>3997.93744612</v>
      </c>
      <c r="D359" s="1076">
        <f t="shared" si="6"/>
        <v>449.71589260999963</v>
      </c>
      <c r="E359" s="1222">
        <v>68015</v>
      </c>
      <c r="F359" s="201"/>
      <c r="G359" s="201"/>
      <c r="H359" s="3213"/>
      <c r="I359" s="2945"/>
      <c r="J359" s="3213"/>
      <c r="K359" s="3213"/>
    </row>
    <row r="360" spans="1:11">
      <c r="A360" s="202">
        <f>A348+1</f>
        <v>2019.03</v>
      </c>
      <c r="B360" s="169">
        <v>5136.9720131000004</v>
      </c>
      <c r="C360" s="3034">
        <v>3956.3127303699998</v>
      </c>
      <c r="D360" s="1076">
        <f t="shared" si="6"/>
        <v>1180.6592827300005</v>
      </c>
      <c r="E360" s="1222">
        <v>66187</v>
      </c>
      <c r="F360" s="201"/>
      <c r="G360" s="201"/>
      <c r="H360" s="3213"/>
      <c r="I360" s="2945"/>
      <c r="J360" s="3213"/>
      <c r="K360" s="3213"/>
    </row>
    <row r="361" spans="1:11">
      <c r="A361" s="202">
        <f t="shared" ref="A361:A369" si="8">A349+1</f>
        <v>2019.04</v>
      </c>
      <c r="B361" s="169">
        <v>5337.1754478900002</v>
      </c>
      <c r="C361" s="3034">
        <v>4172.2816332599996</v>
      </c>
      <c r="D361" s="1076">
        <f t="shared" si="6"/>
        <v>1164.8938146300006</v>
      </c>
      <c r="E361" s="1222">
        <v>71663</v>
      </c>
      <c r="F361" s="201"/>
      <c r="G361" s="201"/>
      <c r="H361" s="3213"/>
      <c r="I361" s="2945"/>
      <c r="J361" s="3213"/>
      <c r="K361" s="3213"/>
    </row>
    <row r="362" spans="1:11">
      <c r="A362" s="202">
        <f t="shared" si="8"/>
        <v>2019.05</v>
      </c>
      <c r="B362" s="169">
        <v>6043.6899084899997</v>
      </c>
      <c r="C362" s="3034">
        <v>4644.7887214299999</v>
      </c>
      <c r="D362" s="1076">
        <f t="shared" si="6"/>
        <v>1398.9011870599998</v>
      </c>
      <c r="E362" s="1222">
        <v>64779.4</v>
      </c>
      <c r="F362" s="201"/>
      <c r="G362" s="201"/>
      <c r="H362" s="3213"/>
      <c r="I362" s="2945"/>
      <c r="J362" s="3213"/>
      <c r="K362" s="3213"/>
    </row>
    <row r="363" spans="1:11">
      <c r="A363" s="202">
        <f t="shared" si="8"/>
        <v>2019.06</v>
      </c>
      <c r="B363" s="169">
        <v>5239.1449330599999</v>
      </c>
      <c r="C363" s="3034">
        <v>4171.3918055100003</v>
      </c>
      <c r="D363" s="1076">
        <f t="shared" si="6"/>
        <v>1067.7531275499996</v>
      </c>
      <c r="E363" s="1222">
        <v>64278</v>
      </c>
      <c r="F363" s="201"/>
      <c r="G363" s="201"/>
      <c r="H363" s="3213"/>
      <c r="I363" s="2945"/>
      <c r="J363" s="3213"/>
      <c r="K363" s="3213"/>
    </row>
    <row r="364" spans="1:11">
      <c r="A364" s="202">
        <f t="shared" si="8"/>
        <v>2019.07</v>
      </c>
      <c r="B364" s="169">
        <v>5855.7164680300002</v>
      </c>
      <c r="C364" s="3034">
        <v>4905.2978407800001</v>
      </c>
      <c r="D364" s="1076">
        <f t="shared" si="6"/>
        <v>950.4186272500001</v>
      </c>
      <c r="E364" s="1222">
        <v>67899.399999999994</v>
      </c>
      <c r="F364" s="201"/>
      <c r="G364" s="201"/>
      <c r="H364" s="3213"/>
      <c r="I364" s="2945"/>
      <c r="J364" s="3213"/>
      <c r="K364" s="3213"/>
    </row>
    <row r="365" spans="1:11">
      <c r="A365" s="202">
        <f t="shared" si="8"/>
        <v>2019.08</v>
      </c>
      <c r="B365" s="169">
        <v>5568.03563596</v>
      </c>
      <c r="C365" s="3034">
        <v>4400.0941811599996</v>
      </c>
      <c r="D365" s="1076">
        <f t="shared" si="6"/>
        <v>1167.9414548000004</v>
      </c>
      <c r="E365" s="1222">
        <v>54100</v>
      </c>
      <c r="F365" s="201"/>
      <c r="G365" s="201"/>
      <c r="H365" s="3213"/>
      <c r="I365" s="2945"/>
      <c r="J365" s="3213"/>
      <c r="K365" s="3213"/>
    </row>
    <row r="366" spans="1:11">
      <c r="A366" s="202">
        <f t="shared" si="8"/>
        <v>2019.09</v>
      </c>
      <c r="B366" s="169">
        <v>5746.0370153599997</v>
      </c>
      <c r="C366" s="3034">
        <v>4001.9418050499999</v>
      </c>
      <c r="D366" s="1076">
        <f t="shared" si="6"/>
        <v>1744.0952103099999</v>
      </c>
      <c r="E366" s="1222">
        <v>48703.3</v>
      </c>
      <c r="F366" s="201"/>
      <c r="G366" s="201"/>
      <c r="H366" s="3213"/>
      <c r="I366" s="2945"/>
      <c r="J366" s="3213"/>
      <c r="K366" s="3213"/>
    </row>
    <row r="367" spans="1:11">
      <c r="A367" s="202">
        <f t="shared" si="8"/>
        <v>2019.1</v>
      </c>
      <c r="B367" s="169">
        <v>5889.0927936600001</v>
      </c>
      <c r="C367" s="3034">
        <v>4121.4302404199998</v>
      </c>
      <c r="D367" s="1076">
        <f t="shared" si="6"/>
        <v>1767.6625532400003</v>
      </c>
      <c r="E367" s="1222">
        <v>43260</v>
      </c>
      <c r="F367" s="201"/>
      <c r="G367" s="201"/>
      <c r="H367" s="3213"/>
      <c r="I367" s="2945"/>
      <c r="J367" s="3213"/>
      <c r="K367" s="3213"/>
    </row>
    <row r="368" spans="1:11">
      <c r="A368" s="202">
        <f t="shared" si="8"/>
        <v>2019.11</v>
      </c>
      <c r="B368" s="169">
        <v>5892.6712104999997</v>
      </c>
      <c r="C368" s="3034">
        <v>3408.6821824399999</v>
      </c>
      <c r="D368" s="1076">
        <f t="shared" si="6"/>
        <v>2483.9890280599998</v>
      </c>
      <c r="E368" s="1222">
        <v>43772</v>
      </c>
      <c r="F368" s="201"/>
      <c r="G368" s="201"/>
      <c r="H368" s="3213"/>
      <c r="I368" s="2945"/>
      <c r="J368" s="3213"/>
      <c r="K368" s="3213"/>
    </row>
    <row r="369" spans="1:11">
      <c r="A369" s="202">
        <f t="shared" si="8"/>
        <v>2019.12</v>
      </c>
      <c r="B369" s="169">
        <v>5374.3453798800001</v>
      </c>
      <c r="C369" s="3034">
        <v>3133.0645833499998</v>
      </c>
      <c r="D369" s="1076">
        <f t="shared" si="6"/>
        <v>2241.2807965300003</v>
      </c>
      <c r="E369" s="1222">
        <v>44781</v>
      </c>
      <c r="F369" s="201"/>
      <c r="G369" s="201"/>
      <c r="H369" s="3213"/>
      <c r="I369" s="2945"/>
      <c r="J369" s="3213"/>
      <c r="K369" s="3213"/>
    </row>
    <row r="370" spans="1:11">
      <c r="A370" s="202">
        <f>A358+1</f>
        <v>2020.01</v>
      </c>
      <c r="B370" s="169">
        <v>4579.4688182899999</v>
      </c>
      <c r="C370" s="3034">
        <v>3535.4338468199999</v>
      </c>
      <c r="D370" s="1076">
        <f t="shared" si="6"/>
        <v>1044.0349714700001</v>
      </c>
      <c r="E370" s="1222">
        <v>44917.1</v>
      </c>
      <c r="F370" s="201"/>
      <c r="G370" s="201"/>
      <c r="H370" s="3213"/>
      <c r="I370" s="2945"/>
      <c r="J370" s="3213"/>
      <c r="K370" s="3213"/>
    </row>
    <row r="371" spans="1:11">
      <c r="A371" s="202">
        <f t="shared" ref="A371:A378" si="9">A359+1</f>
        <v>2020.02</v>
      </c>
      <c r="B371" s="169">
        <v>4377.9862334299996</v>
      </c>
      <c r="C371" s="3034">
        <v>3191.2242275399999</v>
      </c>
      <c r="D371" s="1076">
        <f t="shared" si="6"/>
        <v>1186.7620058899997</v>
      </c>
      <c r="E371" s="1222">
        <v>44790.7</v>
      </c>
      <c r="F371" s="201"/>
      <c r="G371" s="201"/>
      <c r="H371" s="3213"/>
      <c r="I371" s="2945"/>
      <c r="J371" s="3213"/>
      <c r="K371" s="3213"/>
    </row>
    <row r="372" spans="1:11">
      <c r="A372" s="202">
        <f t="shared" si="9"/>
        <v>2020.03</v>
      </c>
      <c r="B372" s="169">
        <v>4382.6693789199999</v>
      </c>
      <c r="C372" s="3034">
        <v>3154.1879469999999</v>
      </c>
      <c r="D372" s="1076">
        <f t="shared" si="6"/>
        <v>1228.48143192</v>
      </c>
      <c r="E372" s="1222">
        <v>43561.2</v>
      </c>
      <c r="F372" s="201"/>
      <c r="G372" s="201"/>
      <c r="H372" s="3213"/>
      <c r="I372" s="2945"/>
      <c r="J372" s="3213"/>
      <c r="K372" s="3213"/>
    </row>
    <row r="373" spans="1:11">
      <c r="A373" s="202">
        <f t="shared" si="9"/>
        <v>2020.04</v>
      </c>
      <c r="B373" s="1077">
        <v>4349.2863250800001</v>
      </c>
      <c r="C373" s="3214">
        <v>2894.4193346400002</v>
      </c>
      <c r="D373" s="1076">
        <f t="shared" si="6"/>
        <v>1454.8669904399999</v>
      </c>
      <c r="E373" s="1222">
        <v>43568.4</v>
      </c>
      <c r="F373" s="201"/>
      <c r="G373" s="201"/>
      <c r="H373" s="3213"/>
      <c r="I373" s="2945"/>
      <c r="J373" s="3213"/>
      <c r="K373" s="3213"/>
    </row>
    <row r="374" spans="1:11">
      <c r="A374" s="202">
        <f t="shared" si="9"/>
        <v>2020.05</v>
      </c>
      <c r="B374" s="169">
        <v>5077.7489284800004</v>
      </c>
      <c r="C374" s="3034">
        <v>3165.9282486000002</v>
      </c>
      <c r="D374" s="1076">
        <f t="shared" si="6"/>
        <v>1911.8206798800002</v>
      </c>
      <c r="E374" s="1222">
        <v>42588.5</v>
      </c>
      <c r="F374" s="201"/>
      <c r="G374" s="201"/>
      <c r="H374" s="3213"/>
      <c r="I374" s="2945"/>
      <c r="J374" s="3213"/>
      <c r="K374" s="3213"/>
    </row>
    <row r="375" spans="1:11">
      <c r="A375" s="202">
        <f t="shared" si="9"/>
        <v>2020.06</v>
      </c>
      <c r="B375" s="169">
        <v>4785.9467069399998</v>
      </c>
      <c r="C375" s="3034">
        <v>3299.3069988699999</v>
      </c>
      <c r="D375" s="1076">
        <f t="shared" si="6"/>
        <v>1486.6397080699999</v>
      </c>
      <c r="E375" s="1222">
        <v>43241.5</v>
      </c>
      <c r="F375" s="201"/>
      <c r="G375" s="201"/>
      <c r="H375" s="3213"/>
      <c r="I375" s="2945"/>
      <c r="J375" s="3213"/>
      <c r="K375" s="3213"/>
    </row>
    <row r="376" spans="1:11">
      <c r="A376" s="202">
        <f t="shared" si="9"/>
        <v>2020.07</v>
      </c>
      <c r="B376" s="169">
        <v>4931.0545881300004</v>
      </c>
      <c r="C376" s="3034">
        <v>3450.7895402300001</v>
      </c>
      <c r="D376" s="1076">
        <f t="shared" si="6"/>
        <v>1480.2650479000004</v>
      </c>
      <c r="E376" s="1222">
        <v>43386.3</v>
      </c>
      <c r="F376" s="201"/>
      <c r="G376" s="201"/>
      <c r="H376" s="3213"/>
      <c r="I376" s="2945"/>
      <c r="J376" s="3213"/>
      <c r="K376" s="3213"/>
    </row>
    <row r="377" spans="1:11">
      <c r="A377" s="202">
        <f t="shared" si="9"/>
        <v>2020.08</v>
      </c>
      <c r="B377" s="169">
        <v>4954.6154336</v>
      </c>
      <c r="C377" s="3034">
        <v>3508.2139864300002</v>
      </c>
      <c r="D377" s="1076">
        <f t="shared" si="6"/>
        <v>1446.4014471699998</v>
      </c>
      <c r="E377" s="1222">
        <v>42842.1</v>
      </c>
      <c r="F377" s="201"/>
      <c r="G377" s="201"/>
      <c r="H377" s="3213"/>
      <c r="I377" s="2945"/>
      <c r="J377" s="3213"/>
      <c r="K377" s="3213"/>
    </row>
    <row r="378" spans="1:11">
      <c r="A378" s="202">
        <f t="shared" si="9"/>
        <v>2020.09</v>
      </c>
      <c r="B378" s="169">
        <v>4726.5008352799996</v>
      </c>
      <c r="C378" s="3034">
        <v>4128.9941075799998</v>
      </c>
      <c r="D378" s="1076">
        <f t="shared" si="6"/>
        <v>597.50672769999983</v>
      </c>
      <c r="E378" s="1222">
        <v>41378.800000000003</v>
      </c>
      <c r="F378" s="201"/>
      <c r="G378" s="201"/>
      <c r="H378" s="3213"/>
      <c r="I378" s="2945"/>
      <c r="J378" s="3213"/>
      <c r="K378" s="3213"/>
    </row>
    <row r="379" spans="1:11">
      <c r="A379" s="202">
        <f>A367+1</f>
        <v>2020.1</v>
      </c>
      <c r="B379" s="169">
        <v>4674.0444419699998</v>
      </c>
      <c r="C379" s="3034">
        <v>4004.4409451299998</v>
      </c>
      <c r="D379" s="1076">
        <f t="shared" si="6"/>
        <v>669.60349683999993</v>
      </c>
      <c r="E379" s="1222">
        <v>39856.300000000003</v>
      </c>
      <c r="F379" s="201"/>
      <c r="G379" s="201"/>
      <c r="H379" s="3213"/>
      <c r="I379" s="2945"/>
      <c r="J379" s="3213"/>
      <c r="K379" s="3213"/>
    </row>
    <row r="380" spans="1:11">
      <c r="A380" s="202">
        <f>A368+1</f>
        <v>2020.11</v>
      </c>
      <c r="B380" s="169">
        <v>4500.4326559399997</v>
      </c>
      <c r="C380" s="3034">
        <v>4114.7565082700003</v>
      </c>
      <c r="D380" s="1076">
        <f t="shared" si="6"/>
        <v>385.67614766999941</v>
      </c>
      <c r="E380" s="1222">
        <v>38652</v>
      </c>
      <c r="F380" s="201"/>
      <c r="G380" s="201"/>
      <c r="H380" s="3213"/>
      <c r="I380" s="2945"/>
      <c r="J380" s="3213"/>
      <c r="K380" s="3213"/>
    </row>
    <row r="381" spans="1:11">
      <c r="A381" s="202">
        <f>A369+1</f>
        <v>2020.12</v>
      </c>
      <c r="B381" s="169">
        <v>3544.0680995799999</v>
      </c>
      <c r="C381" s="3034">
        <v>3907.9411869999999</v>
      </c>
      <c r="D381" s="225">
        <f t="shared" si="6"/>
        <v>-363.87308742000005</v>
      </c>
      <c r="E381" s="1222">
        <v>39387</v>
      </c>
      <c r="F381" s="201"/>
      <c r="G381" s="201"/>
      <c r="H381" s="3213"/>
      <c r="I381" s="2945"/>
      <c r="J381" s="3213"/>
      <c r="K381" s="3213"/>
    </row>
    <row r="382" spans="1:11">
      <c r="A382" s="202">
        <f t="shared" ref="A382:A440" si="10">A370+1</f>
        <v>2021.01</v>
      </c>
      <c r="B382" s="169">
        <v>4911.9998968899999</v>
      </c>
      <c r="C382" s="3034">
        <v>3843.54738808</v>
      </c>
      <c r="D382" s="1076">
        <f t="shared" si="6"/>
        <v>1068.4525088099999</v>
      </c>
      <c r="E382" s="1222">
        <v>39515.199999999997</v>
      </c>
      <c r="F382" s="201"/>
      <c r="G382" s="201"/>
      <c r="H382" s="3213"/>
      <c r="I382" s="2945"/>
      <c r="J382" s="3213"/>
      <c r="K382" s="3213"/>
    </row>
    <row r="383" spans="1:11">
      <c r="A383" s="202">
        <f t="shared" si="10"/>
        <v>2021.02</v>
      </c>
      <c r="B383" s="169">
        <v>4774.9989948700004</v>
      </c>
      <c r="C383" s="3034">
        <v>3712.6765941600001</v>
      </c>
      <c r="D383" s="1076">
        <f t="shared" si="6"/>
        <v>1062.3224007100002</v>
      </c>
      <c r="E383" s="1222">
        <v>39518.1</v>
      </c>
      <c r="F383" s="201"/>
      <c r="G383" s="201"/>
      <c r="H383" s="3213"/>
      <c r="I383" s="2945"/>
      <c r="J383" s="3213"/>
      <c r="K383" s="3213"/>
    </row>
    <row r="384" spans="1:11">
      <c r="A384" s="202">
        <f t="shared" si="10"/>
        <v>2021.03</v>
      </c>
      <c r="B384" s="169">
        <v>5719.9987967699999</v>
      </c>
      <c r="C384" s="3034">
        <v>5320.1715676800004</v>
      </c>
      <c r="D384" s="1076">
        <f t="shared" si="6"/>
        <v>399.82722908999949</v>
      </c>
      <c r="E384" s="1222">
        <v>39593.300000000003</v>
      </c>
      <c r="F384" s="201"/>
      <c r="G384" s="201"/>
      <c r="H384" s="3213"/>
      <c r="I384" s="2945"/>
      <c r="J384" s="3213"/>
      <c r="K384" s="3213"/>
    </row>
    <row r="385" spans="1:11">
      <c r="A385" s="202">
        <f t="shared" si="10"/>
        <v>2021.04</v>
      </c>
      <c r="B385" s="169">
        <v>6142.9986999499997</v>
      </c>
      <c r="C385" s="3034">
        <v>4672.8071307</v>
      </c>
      <c r="D385" s="1076">
        <f t="shared" si="6"/>
        <v>1470.1915692499997</v>
      </c>
      <c r="E385" s="1222">
        <v>40262.800000000003</v>
      </c>
      <c r="F385" s="201"/>
      <c r="G385" s="201"/>
      <c r="H385" s="3213"/>
      <c r="I385" s="2945"/>
      <c r="J385" s="3213"/>
      <c r="K385" s="3213"/>
    </row>
    <row r="386" spans="1:11">
      <c r="A386" s="202">
        <f t="shared" si="10"/>
        <v>2021.05</v>
      </c>
      <c r="B386" s="169">
        <v>6812.6912112399996</v>
      </c>
      <c r="C386" s="3034">
        <v>5141.0016533099997</v>
      </c>
      <c r="D386" s="1076">
        <f t="shared" si="6"/>
        <v>1671.6895579299999</v>
      </c>
      <c r="E386" s="1222">
        <v>41871.800000000003</v>
      </c>
      <c r="F386" s="201"/>
      <c r="G386" s="201"/>
      <c r="H386" s="3213"/>
      <c r="I386" s="2945"/>
      <c r="J386" s="3213"/>
      <c r="K386" s="3213"/>
    </row>
    <row r="387" spans="1:11">
      <c r="A387" s="202">
        <f t="shared" si="10"/>
        <v>2021.06</v>
      </c>
      <c r="B387" s="169">
        <v>7009.8537381899996</v>
      </c>
      <c r="C387" s="3034">
        <v>5908.7814722499998</v>
      </c>
      <c r="D387" s="1076">
        <f t="shared" si="6"/>
        <v>1101.0722659399999</v>
      </c>
      <c r="E387" s="1222">
        <v>42436.9</v>
      </c>
      <c r="F387" s="201"/>
      <c r="G387" s="201"/>
      <c r="H387" s="3213"/>
      <c r="I387" s="2945"/>
      <c r="J387" s="3213"/>
      <c r="K387" s="3213"/>
    </row>
    <row r="388" spans="1:11">
      <c r="A388" s="202">
        <f t="shared" si="10"/>
        <v>2021.07</v>
      </c>
      <c r="B388" s="169">
        <v>7251.9069331800001</v>
      </c>
      <c r="C388" s="3034">
        <v>5715.4383776900004</v>
      </c>
      <c r="D388" s="1076">
        <f t="shared" si="6"/>
        <v>1536.4685554899997</v>
      </c>
      <c r="E388" s="1222">
        <v>42581.7</v>
      </c>
      <c r="F388" s="201"/>
      <c r="G388" s="201"/>
      <c r="H388" s="3213"/>
      <c r="I388" s="2945"/>
      <c r="J388" s="3213"/>
      <c r="K388" s="3213"/>
    </row>
    <row r="389" spans="1:11">
      <c r="A389" s="202">
        <f t="shared" si="10"/>
        <v>2021.08</v>
      </c>
      <c r="B389" s="169">
        <v>8098.8562319800003</v>
      </c>
      <c r="C389" s="3034">
        <v>5753.6439883700004</v>
      </c>
      <c r="D389" s="1076">
        <f t="shared" si="6"/>
        <v>2345.2122436099999</v>
      </c>
      <c r="E389" s="1222">
        <v>46180.3</v>
      </c>
      <c r="F389" s="201"/>
      <c r="G389" s="201"/>
      <c r="H389" s="3213"/>
      <c r="I389" s="2945"/>
      <c r="J389" s="3213"/>
      <c r="K389" s="3213"/>
    </row>
    <row r="390" spans="1:11">
      <c r="A390" s="202">
        <f t="shared" si="10"/>
        <v>2021.09</v>
      </c>
      <c r="B390" s="169">
        <v>7570.1892904400001</v>
      </c>
      <c r="C390" s="3034">
        <v>5885.68205141</v>
      </c>
      <c r="D390" s="1076">
        <f t="shared" si="6"/>
        <v>1684.5072390300002</v>
      </c>
      <c r="E390" s="1222">
        <v>42911.199999999997</v>
      </c>
      <c r="F390" s="201"/>
      <c r="G390" s="201"/>
      <c r="H390" s="3213"/>
      <c r="I390" s="2945"/>
      <c r="J390" s="3213"/>
      <c r="K390" s="3213"/>
    </row>
    <row r="391" spans="1:11">
      <c r="A391" s="202">
        <f t="shared" si="10"/>
        <v>2021.1</v>
      </c>
      <c r="B391" s="169">
        <v>6862.5700972699997</v>
      </c>
      <c r="C391" s="3034">
        <v>5247.2321362599996</v>
      </c>
      <c r="D391" s="1076">
        <f t="shared" si="6"/>
        <v>1615.3379610100001</v>
      </c>
      <c r="E391" s="1222">
        <v>42817.1</v>
      </c>
      <c r="F391" s="201"/>
      <c r="G391" s="201"/>
      <c r="H391" s="3213"/>
      <c r="I391" s="2945"/>
      <c r="J391" s="3213"/>
      <c r="K391" s="3213"/>
    </row>
    <row r="392" spans="1:11">
      <c r="A392" s="202">
        <f t="shared" si="10"/>
        <v>2021.11</v>
      </c>
      <c r="B392" s="169">
        <v>6191.1881813099999</v>
      </c>
      <c r="C392" s="3034">
        <v>5767.0360416000003</v>
      </c>
      <c r="D392" s="1076">
        <f t="shared" si="6"/>
        <v>424.15213970999957</v>
      </c>
      <c r="E392" s="1222">
        <v>41529.5</v>
      </c>
      <c r="F392" s="201"/>
      <c r="G392" s="201"/>
      <c r="H392" s="3213"/>
      <c r="I392" s="2945"/>
      <c r="J392" s="3213"/>
      <c r="K392" s="3213"/>
    </row>
    <row r="393" spans="1:11">
      <c r="A393" s="202">
        <f t="shared" si="10"/>
        <v>2021.12</v>
      </c>
      <c r="B393" s="169">
        <v>6587.0629144900004</v>
      </c>
      <c r="C393" s="3034">
        <v>6215.7350031899996</v>
      </c>
      <c r="D393" s="1076">
        <f t="shared" si="6"/>
        <v>371.32791130000078</v>
      </c>
      <c r="E393" s="1222">
        <v>39662.400000000001</v>
      </c>
      <c r="F393" s="201"/>
      <c r="G393" s="201"/>
      <c r="H393" s="3213"/>
      <c r="I393" s="2945"/>
      <c r="J393" s="3213"/>
      <c r="K393" s="3213"/>
    </row>
    <row r="394" spans="1:11">
      <c r="A394" s="202">
        <f t="shared" si="10"/>
        <v>2022.01</v>
      </c>
      <c r="B394" s="169">
        <v>5591.2926839800002</v>
      </c>
      <c r="C394" s="3034">
        <v>5251.2936056999997</v>
      </c>
      <c r="D394" s="1076">
        <f t="shared" ref="D394:D430" si="11">B394-C394</f>
        <v>339.9990782800005</v>
      </c>
      <c r="E394" s="1222">
        <v>37589</v>
      </c>
      <c r="F394" s="201"/>
      <c r="G394" s="201"/>
      <c r="H394" s="3213"/>
      <c r="I394" s="2945"/>
      <c r="J394" s="3213"/>
      <c r="K394" s="3213"/>
    </row>
    <row r="395" spans="1:11">
      <c r="A395" s="202">
        <f t="shared" si="10"/>
        <v>2022.02</v>
      </c>
      <c r="B395" s="169">
        <v>6517.7203051200004</v>
      </c>
      <c r="C395" s="3034">
        <v>5638.66689554</v>
      </c>
      <c r="D395" s="1076">
        <f t="shared" si="11"/>
        <v>879.05340958000033</v>
      </c>
      <c r="E395" s="1222">
        <v>37017.5</v>
      </c>
      <c r="F395" s="201"/>
      <c r="G395" s="201"/>
      <c r="H395" s="3213"/>
      <c r="I395" s="2945"/>
      <c r="J395" s="3213"/>
      <c r="K395" s="3213"/>
    </row>
    <row r="396" spans="1:11">
      <c r="A396" s="202">
        <f t="shared" si="10"/>
        <v>2022.03</v>
      </c>
      <c r="B396" s="169">
        <v>7408.0281616299999</v>
      </c>
      <c r="C396" s="3034">
        <v>7083.8854558700004</v>
      </c>
      <c r="D396" s="1076">
        <f t="shared" si="11"/>
        <v>324.14270575999944</v>
      </c>
      <c r="E396" s="1222">
        <v>43137.4</v>
      </c>
      <c r="F396" s="201"/>
      <c r="G396" s="201"/>
      <c r="H396" s="3213"/>
      <c r="I396" s="2945"/>
      <c r="J396" s="3213"/>
      <c r="K396" s="3213"/>
    </row>
    <row r="397" spans="1:11">
      <c r="A397" s="202">
        <f t="shared" si="10"/>
        <v>2022.04</v>
      </c>
      <c r="B397" s="169">
        <v>8366.2108642300009</v>
      </c>
      <c r="C397" s="3034">
        <v>6889.2949335499998</v>
      </c>
      <c r="D397" s="1076">
        <f t="shared" si="11"/>
        <v>1476.9159306800011</v>
      </c>
      <c r="E397" s="1222">
        <v>42006.6</v>
      </c>
      <c r="F397" s="201"/>
      <c r="G397" s="201"/>
      <c r="H397" s="3213"/>
      <c r="I397" s="2945"/>
      <c r="J397" s="3213"/>
      <c r="K397" s="3213"/>
    </row>
    <row r="398" spans="1:11">
      <c r="A398" s="202">
        <f t="shared" si="10"/>
        <v>2022.05</v>
      </c>
      <c r="B398" s="169">
        <v>8361.0681435700008</v>
      </c>
      <c r="C398" s="3034">
        <v>7891.5254840899997</v>
      </c>
      <c r="D398" s="1076">
        <f t="shared" si="11"/>
        <v>469.54265948000102</v>
      </c>
      <c r="E398" s="1222">
        <v>41561.1</v>
      </c>
      <c r="F398" s="201"/>
      <c r="G398" s="201"/>
      <c r="H398" s="3213"/>
      <c r="I398" s="2945"/>
      <c r="J398" s="3213"/>
      <c r="K398" s="3213"/>
    </row>
    <row r="399" spans="1:11">
      <c r="A399" s="202">
        <f t="shared" si="10"/>
        <v>2022.06</v>
      </c>
      <c r="B399" s="169">
        <v>8456.5889104599992</v>
      </c>
      <c r="C399" s="3034">
        <v>8666.6631010300007</v>
      </c>
      <c r="D399" s="225">
        <f t="shared" si="11"/>
        <v>-210.07419057000152</v>
      </c>
      <c r="E399" s="1222">
        <v>42786.8</v>
      </c>
      <c r="F399" s="201"/>
      <c r="G399" s="201"/>
      <c r="H399" s="3213"/>
      <c r="I399" s="2945"/>
      <c r="J399" s="3213"/>
      <c r="K399" s="3213"/>
    </row>
    <row r="400" spans="1:11">
      <c r="A400" s="202">
        <f t="shared" si="10"/>
        <v>2022.07</v>
      </c>
      <c r="B400" s="169">
        <v>7656.2669054300004</v>
      </c>
      <c r="C400" s="3034">
        <v>8301.6198350600007</v>
      </c>
      <c r="D400" s="225">
        <f t="shared" si="11"/>
        <v>-645.35292963000029</v>
      </c>
      <c r="E400" s="1222">
        <v>38231.699999999997</v>
      </c>
      <c r="F400" s="201"/>
      <c r="G400" s="201"/>
      <c r="H400" s="3213"/>
      <c r="I400" s="2945"/>
      <c r="J400" s="3213"/>
      <c r="K400" s="3213"/>
    </row>
    <row r="401" spans="1:11">
      <c r="A401" s="202">
        <f t="shared" si="10"/>
        <v>2022.08</v>
      </c>
      <c r="B401" s="169">
        <v>7583.2389106299997</v>
      </c>
      <c r="C401" s="3034">
        <v>7917.87095572</v>
      </c>
      <c r="D401" s="225">
        <f t="shared" si="11"/>
        <v>-334.63204509000025</v>
      </c>
      <c r="E401" s="1222">
        <v>36734.400000000001</v>
      </c>
      <c r="F401" s="201"/>
      <c r="G401" s="201"/>
      <c r="H401" s="3213"/>
      <c r="I401" s="2945"/>
      <c r="J401" s="3213"/>
      <c r="K401" s="3213"/>
    </row>
    <row r="402" spans="1:11">
      <c r="A402" s="202">
        <f t="shared" si="10"/>
        <v>2022.09</v>
      </c>
      <c r="B402" s="169">
        <v>7493.9539650400002</v>
      </c>
      <c r="C402" s="3034">
        <v>7143.9614217799999</v>
      </c>
      <c r="D402" s="1076">
        <f t="shared" si="11"/>
        <v>349.99254326000028</v>
      </c>
      <c r="E402" s="1222">
        <v>37625</v>
      </c>
      <c r="F402" s="201"/>
      <c r="G402" s="201"/>
      <c r="H402" s="3213"/>
      <c r="I402" s="2945"/>
      <c r="J402" s="3213"/>
      <c r="K402" s="3213"/>
    </row>
    <row r="403" spans="1:11">
      <c r="A403" s="202">
        <f t="shared" si="10"/>
        <v>2022.1</v>
      </c>
      <c r="B403" s="169">
        <v>8021.3809030800003</v>
      </c>
      <c r="C403" s="3034">
        <v>6088.90578233</v>
      </c>
      <c r="D403" s="1076">
        <f t="shared" si="11"/>
        <v>1932.4751207500003</v>
      </c>
      <c r="E403" s="1222">
        <v>38675.9</v>
      </c>
      <c r="F403" s="201"/>
      <c r="G403" s="201"/>
      <c r="H403" s="3213"/>
      <c r="I403" s="2945"/>
      <c r="J403" s="3213"/>
      <c r="K403" s="3213"/>
    </row>
    <row r="404" spans="1:11">
      <c r="A404" s="202">
        <f t="shared" si="10"/>
        <v>2022.11</v>
      </c>
      <c r="B404" s="169">
        <v>7136.9902817100001</v>
      </c>
      <c r="C404" s="3034">
        <v>5778.0304107499996</v>
      </c>
      <c r="D404" s="1076">
        <f t="shared" si="11"/>
        <v>1358.9598709600004</v>
      </c>
      <c r="E404" s="1222">
        <v>38008.9</v>
      </c>
      <c r="F404" s="201"/>
      <c r="G404" s="201"/>
      <c r="H404" s="3213"/>
      <c r="I404" s="2945"/>
      <c r="J404" s="3213"/>
      <c r="K404" s="3213"/>
    </row>
    <row r="405" spans="1:11">
      <c r="A405" s="202">
        <f t="shared" si="10"/>
        <v>2022.12</v>
      </c>
      <c r="B405" s="169">
        <v>6110.1365702200001</v>
      </c>
      <c r="C405" s="3034">
        <v>5088.6584772799997</v>
      </c>
      <c r="D405" s="1076">
        <f t="shared" si="11"/>
        <v>1021.4780929400004</v>
      </c>
      <c r="E405" s="1222">
        <v>44598.400000000001</v>
      </c>
      <c r="F405" s="201"/>
      <c r="G405" s="201"/>
      <c r="H405" s="3213"/>
      <c r="I405" s="2945"/>
      <c r="J405" s="3213"/>
      <c r="K405" s="3213"/>
    </row>
    <row r="406" spans="1:11">
      <c r="A406" s="202">
        <f t="shared" si="10"/>
        <v>2023.01</v>
      </c>
      <c r="B406" s="169">
        <v>4953.9983615299998</v>
      </c>
      <c r="C406" s="3034">
        <v>5366.6071071300003</v>
      </c>
      <c r="D406" s="225">
        <f t="shared" si="11"/>
        <v>-412.60874560000047</v>
      </c>
      <c r="E406" s="1222">
        <v>41417</v>
      </c>
      <c r="F406" s="201"/>
      <c r="G406" s="201"/>
      <c r="H406" s="3213"/>
      <c r="I406" s="2945"/>
      <c r="J406" s="3213"/>
      <c r="K406" s="3213"/>
    </row>
    <row r="407" spans="1:11">
      <c r="A407" s="202">
        <f t="shared" si="10"/>
        <v>2023.02</v>
      </c>
      <c r="B407" s="169">
        <v>5247.7583786900004</v>
      </c>
      <c r="C407" s="3034">
        <v>5031.0028778300002</v>
      </c>
      <c r="D407" s="1076">
        <f t="shared" si="11"/>
        <v>216.75550086000021</v>
      </c>
      <c r="E407" s="1222">
        <v>38709</v>
      </c>
      <c r="F407" s="201"/>
      <c r="G407" s="201"/>
      <c r="H407" s="3213"/>
      <c r="I407" s="2945"/>
      <c r="J407" s="3213"/>
      <c r="K407" s="3213"/>
    </row>
    <row r="408" spans="1:11">
      <c r="A408" s="202">
        <f t="shared" si="10"/>
        <v>2023.03</v>
      </c>
      <c r="B408" s="169">
        <v>5760.7363858099998</v>
      </c>
      <c r="C408" s="3034">
        <v>6843.81462087</v>
      </c>
      <c r="D408" s="1076">
        <f t="shared" si="11"/>
        <v>-1083.0782350600002</v>
      </c>
      <c r="E408" s="1222">
        <v>39060</v>
      </c>
      <c r="F408" s="201"/>
      <c r="G408" s="201"/>
      <c r="H408" s="3213"/>
      <c r="I408" s="2945"/>
      <c r="J408" s="3213"/>
      <c r="K408" s="3213"/>
    </row>
    <row r="409" spans="1:11">
      <c r="A409" s="202">
        <f t="shared" si="10"/>
        <v>2023.04</v>
      </c>
      <c r="B409" s="169">
        <v>5868.3157394199998</v>
      </c>
      <c r="C409" s="3034">
        <v>6110.2148262800001</v>
      </c>
      <c r="D409" s="1076">
        <f t="shared" si="11"/>
        <v>-241.89908686000035</v>
      </c>
      <c r="E409" s="1222">
        <v>35001</v>
      </c>
      <c r="F409" s="201"/>
      <c r="G409" s="201"/>
      <c r="H409" s="3213"/>
      <c r="I409" s="2945"/>
      <c r="J409" s="3213"/>
      <c r="K409" s="3213"/>
    </row>
    <row r="410" spans="1:11">
      <c r="A410" s="202">
        <f t="shared" si="10"/>
        <v>2023.05</v>
      </c>
      <c r="B410" s="169">
        <v>6280.4858593899999</v>
      </c>
      <c r="C410" s="3034">
        <v>7406.2144810600003</v>
      </c>
      <c r="D410" s="225">
        <f t="shared" si="11"/>
        <v>-1125.7286216700004</v>
      </c>
      <c r="E410" s="1222">
        <v>33001</v>
      </c>
      <c r="F410" s="201"/>
      <c r="G410" s="201"/>
      <c r="H410" s="3213"/>
      <c r="I410" s="2945"/>
      <c r="J410" s="3213"/>
      <c r="K410" s="3213"/>
    </row>
    <row r="411" spans="1:11">
      <c r="A411" s="202">
        <f t="shared" si="10"/>
        <v>2023.06</v>
      </c>
      <c r="B411" s="169">
        <v>5433.52126245</v>
      </c>
      <c r="C411" s="3034">
        <v>7252.0259065999999</v>
      </c>
      <c r="D411" s="225">
        <f t="shared" si="11"/>
        <v>-1818.5046441499999</v>
      </c>
      <c r="E411" s="1222">
        <v>27926</v>
      </c>
      <c r="F411" s="201"/>
      <c r="G411" s="201"/>
      <c r="H411" s="3213"/>
      <c r="I411" s="2945"/>
      <c r="J411" s="3213"/>
      <c r="K411" s="3213"/>
    </row>
    <row r="412" spans="1:11">
      <c r="A412" s="202">
        <f t="shared" si="10"/>
        <v>2023.07</v>
      </c>
      <c r="B412" s="169">
        <v>6074.9657846800001</v>
      </c>
      <c r="C412" s="3034">
        <v>6758.3635765299996</v>
      </c>
      <c r="D412" s="225">
        <f t="shared" si="11"/>
        <v>-683.39779184999952</v>
      </c>
      <c r="E412" s="1222">
        <v>24092</v>
      </c>
      <c r="F412" s="201"/>
      <c r="G412" s="201"/>
      <c r="H412" s="3213"/>
      <c r="I412" s="2945"/>
      <c r="J412" s="3213"/>
      <c r="K412" s="3213"/>
    </row>
    <row r="413" spans="1:11">
      <c r="A413" s="202">
        <f t="shared" si="10"/>
        <v>2023.08</v>
      </c>
      <c r="B413" s="169">
        <v>5934.7545490700004</v>
      </c>
      <c r="C413" s="3034">
        <v>6898.7353382700003</v>
      </c>
      <c r="D413" s="225">
        <f t="shared" si="11"/>
        <v>-963.98078919999989</v>
      </c>
      <c r="E413" s="1222">
        <v>27818</v>
      </c>
      <c r="F413" s="201"/>
      <c r="G413" s="201"/>
      <c r="H413" s="3213"/>
      <c r="I413" s="2945"/>
      <c r="J413" s="3213"/>
      <c r="K413" s="3213"/>
    </row>
    <row r="414" spans="1:11">
      <c r="A414" s="202">
        <f t="shared" si="10"/>
        <v>2023.09</v>
      </c>
      <c r="B414" s="169">
        <v>5788.3855604099999</v>
      </c>
      <c r="C414" s="3034">
        <v>6520.3770243400004</v>
      </c>
      <c r="D414" s="225">
        <f t="shared" si="11"/>
        <v>-731.99146393000046</v>
      </c>
      <c r="E414" s="1222">
        <v>26925</v>
      </c>
      <c r="F414" s="201"/>
      <c r="G414" s="201"/>
      <c r="H414" s="3213"/>
      <c r="I414" s="2945"/>
      <c r="J414" s="3213"/>
      <c r="K414" s="3213"/>
    </row>
    <row r="415" spans="1:11">
      <c r="A415" s="202">
        <f t="shared" si="10"/>
        <v>2023.1</v>
      </c>
      <c r="B415" s="169">
        <v>5405.5850343000002</v>
      </c>
      <c r="C415" s="3034">
        <v>5849.30135642</v>
      </c>
      <c r="D415" s="225">
        <f t="shared" si="11"/>
        <v>-443.71632211999986</v>
      </c>
      <c r="E415" s="1222">
        <v>22559</v>
      </c>
      <c r="F415" s="201"/>
      <c r="G415" s="201"/>
      <c r="H415" s="3213"/>
      <c r="I415" s="2945"/>
      <c r="J415" s="3213"/>
      <c r="K415" s="3213"/>
    </row>
    <row r="416" spans="1:11">
      <c r="A416" s="202">
        <f t="shared" si="10"/>
        <v>2023.11</v>
      </c>
      <c r="B416" s="169">
        <v>4934.2272668899996</v>
      </c>
      <c r="C416" s="3034">
        <v>5517.4370422399998</v>
      </c>
      <c r="D416" s="225">
        <f t="shared" si="11"/>
        <v>-583.2097753500002</v>
      </c>
      <c r="E416" s="1222">
        <v>21513</v>
      </c>
      <c r="F416" s="201"/>
      <c r="G416" s="201"/>
      <c r="H416" s="3213"/>
      <c r="I416" s="2945"/>
      <c r="J416" s="3213"/>
      <c r="K416" s="3213"/>
    </row>
    <row r="417" spans="1:11">
      <c r="A417" s="202">
        <f t="shared" si="10"/>
        <v>2023.12</v>
      </c>
      <c r="B417" s="169">
        <v>5305.0109687599997</v>
      </c>
      <c r="C417" s="3034">
        <v>4271.86806454</v>
      </c>
      <c r="D417" s="1076">
        <f t="shared" si="11"/>
        <v>1033.1429042199998</v>
      </c>
      <c r="E417" s="1222">
        <v>23073</v>
      </c>
      <c r="F417" s="201"/>
      <c r="G417" s="201"/>
      <c r="H417" s="3213"/>
      <c r="I417" s="2945"/>
      <c r="J417" s="3213"/>
      <c r="K417" s="3213"/>
    </row>
    <row r="418" spans="1:11">
      <c r="A418" s="202">
        <f t="shared" si="10"/>
        <v>2024.01</v>
      </c>
      <c r="B418" s="169">
        <v>5412.3239498399998</v>
      </c>
      <c r="C418" s="3034">
        <v>4603.95464722</v>
      </c>
      <c r="D418" s="1076">
        <f t="shared" si="11"/>
        <v>808.36930261999987</v>
      </c>
      <c r="E418" s="1222">
        <v>27642</v>
      </c>
      <c r="F418" s="201"/>
      <c r="G418" s="201"/>
      <c r="H418" s="3213"/>
      <c r="I418" s="2945"/>
      <c r="J418" s="3213"/>
      <c r="K418" s="3213"/>
    </row>
    <row r="419" spans="1:11">
      <c r="A419" s="202">
        <f t="shared" si="10"/>
        <v>2024.02</v>
      </c>
      <c r="B419" s="169">
        <v>5550.1521592199997</v>
      </c>
      <c r="C419" s="3034">
        <v>4118.0574319899997</v>
      </c>
      <c r="D419" s="1076">
        <f t="shared" si="11"/>
        <v>1432.09472723</v>
      </c>
      <c r="E419" s="1222">
        <v>26690</v>
      </c>
      <c r="F419" s="201"/>
      <c r="G419" s="201"/>
      <c r="H419" s="3213"/>
      <c r="I419" s="2945"/>
      <c r="J419" s="3213"/>
      <c r="K419" s="3213"/>
    </row>
    <row r="420" spans="1:11">
      <c r="A420" s="202">
        <f t="shared" si="10"/>
        <v>2024.03</v>
      </c>
      <c r="B420" s="169">
        <v>6491.9457949600001</v>
      </c>
      <c r="C420" s="3034">
        <v>4331.5707728300004</v>
      </c>
      <c r="D420" s="1076">
        <f t="shared" si="11"/>
        <v>2160.3750221299997</v>
      </c>
      <c r="E420" s="1222">
        <v>27127</v>
      </c>
      <c r="F420" s="1147"/>
      <c r="G420" s="201"/>
      <c r="H420" s="3213"/>
      <c r="I420" s="2945"/>
      <c r="J420" s="3213"/>
      <c r="K420" s="3213"/>
    </row>
    <row r="421" spans="1:11">
      <c r="A421" s="202">
        <f t="shared" si="10"/>
        <v>2024.04</v>
      </c>
      <c r="B421" s="169">
        <v>6511.2910541399997</v>
      </c>
      <c r="C421" s="3034">
        <v>4704.5213790799999</v>
      </c>
      <c r="D421" s="1076">
        <f t="shared" si="11"/>
        <v>1806.7696750599998</v>
      </c>
      <c r="E421" s="1222">
        <v>27578</v>
      </c>
      <c r="F421" s="1147"/>
      <c r="G421" s="201"/>
      <c r="H421" s="3213"/>
      <c r="I421" s="2945"/>
      <c r="J421" s="3213"/>
      <c r="K421" s="3213"/>
    </row>
    <row r="422" spans="1:11">
      <c r="A422" s="202">
        <f t="shared" si="10"/>
        <v>2024.05</v>
      </c>
      <c r="B422" s="169">
        <v>7666.5339098799996</v>
      </c>
      <c r="C422" s="3034">
        <v>5012.1174138300003</v>
      </c>
      <c r="D422" s="1076">
        <f t="shared" si="11"/>
        <v>2654.4164960499993</v>
      </c>
      <c r="E422" s="1222">
        <v>28664</v>
      </c>
      <c r="F422" s="1147"/>
      <c r="G422" s="201"/>
      <c r="H422" s="3213"/>
      <c r="I422" s="2945"/>
      <c r="J422" s="3213"/>
      <c r="K422" s="3213"/>
    </row>
    <row r="423" spans="1:11">
      <c r="A423" s="202">
        <f t="shared" si="10"/>
        <v>2024.06</v>
      </c>
      <c r="B423" s="169">
        <v>6567.2309402700002</v>
      </c>
      <c r="C423" s="3034">
        <v>4687.4485046700001</v>
      </c>
      <c r="D423" s="1076">
        <f t="shared" si="11"/>
        <v>1879.7824356000001</v>
      </c>
      <c r="E423" s="1222">
        <v>29022</v>
      </c>
      <c r="F423" s="1147"/>
      <c r="G423" s="201"/>
      <c r="H423" s="3213"/>
      <c r="I423" s="2945"/>
      <c r="J423" s="3213"/>
      <c r="K423" s="3213"/>
    </row>
    <row r="424" spans="1:11">
      <c r="A424" s="202">
        <f t="shared" si="10"/>
        <v>2024.07</v>
      </c>
      <c r="B424" s="169">
        <v>7185.79165543</v>
      </c>
      <c r="C424" s="3034">
        <v>5727.0544681600004</v>
      </c>
      <c r="D424" s="1076">
        <f t="shared" si="11"/>
        <v>1458.7371872699996</v>
      </c>
      <c r="E424" s="1222">
        <v>26402</v>
      </c>
      <c r="F424" s="1147"/>
      <c r="G424" s="201"/>
      <c r="H424" s="3213"/>
      <c r="I424" s="2945"/>
      <c r="J424" s="3213"/>
      <c r="K424" s="3213"/>
    </row>
    <row r="425" spans="1:11">
      <c r="A425" s="202">
        <f t="shared" si="10"/>
        <v>2024.08</v>
      </c>
      <c r="B425" s="169">
        <v>6757.7853202300003</v>
      </c>
      <c r="C425" s="3034">
        <v>4882.9409448699998</v>
      </c>
      <c r="D425" s="1076">
        <f t="shared" si="11"/>
        <v>1874.8443753600004</v>
      </c>
      <c r="E425" s="1222">
        <v>26719</v>
      </c>
      <c r="F425" s="201"/>
      <c r="G425" s="201"/>
      <c r="H425" s="3213"/>
      <c r="I425" s="2945"/>
      <c r="J425" s="3213"/>
      <c r="K425" s="3213"/>
    </row>
    <row r="426" spans="1:11">
      <c r="A426" s="202">
        <f t="shared" si="10"/>
        <v>2024.09</v>
      </c>
      <c r="B426" s="169">
        <v>6952.8804794300004</v>
      </c>
      <c r="C426" s="3034">
        <v>5970.9587054900003</v>
      </c>
      <c r="D426" s="1076">
        <f t="shared" si="11"/>
        <v>981.92177394000009</v>
      </c>
      <c r="E426" s="1222">
        <v>27172</v>
      </c>
      <c r="F426" s="201"/>
      <c r="G426" s="201"/>
      <c r="H426" s="3213"/>
      <c r="I426" s="2945"/>
      <c r="J426" s="3213"/>
      <c r="K426" s="3213"/>
    </row>
    <row r="427" spans="1:11">
      <c r="A427" s="202">
        <f t="shared" si="10"/>
        <v>2024.1</v>
      </c>
      <c r="B427" s="169">
        <v>7032.2499901399997</v>
      </c>
      <c r="C427" s="3034">
        <v>6120.4637945300001</v>
      </c>
      <c r="D427" s="1076">
        <f t="shared" si="11"/>
        <v>911.7861956099996</v>
      </c>
      <c r="E427" s="1222">
        <v>28618</v>
      </c>
      <c r="F427" s="201"/>
      <c r="G427" s="201"/>
      <c r="H427" s="3213"/>
      <c r="I427" s="2945"/>
      <c r="J427" s="3213"/>
      <c r="K427" s="3213"/>
    </row>
    <row r="428" spans="1:11">
      <c r="A428" s="202">
        <f t="shared" si="10"/>
        <v>2024.11</v>
      </c>
      <c r="B428" s="169">
        <v>6526.00222519</v>
      </c>
      <c r="C428" s="3034">
        <v>5249.0720928399996</v>
      </c>
      <c r="D428" s="1076">
        <f t="shared" si="11"/>
        <v>1276.9301323500003</v>
      </c>
      <c r="E428" s="1222">
        <v>30214</v>
      </c>
      <c r="F428" s="201"/>
      <c r="G428" s="201"/>
      <c r="H428" s="3213"/>
      <c r="I428" s="2945"/>
      <c r="J428" s="3213"/>
      <c r="K428" s="3213"/>
    </row>
    <row r="429" spans="1:11">
      <c r="A429" s="202">
        <f t="shared" si="10"/>
        <v>2024.12</v>
      </c>
      <c r="B429" s="169">
        <v>7049.0192435199997</v>
      </c>
      <c r="C429" s="3034">
        <v>5367.4114138900004</v>
      </c>
      <c r="D429" s="1076">
        <f t="shared" si="11"/>
        <v>1681.6078296299993</v>
      </c>
      <c r="E429" s="1222">
        <v>29612</v>
      </c>
      <c r="F429" s="201"/>
      <c r="G429" s="201"/>
      <c r="H429" s="3213"/>
      <c r="I429" s="2945"/>
      <c r="J429" s="3213"/>
      <c r="K429" s="3213"/>
    </row>
    <row r="430" spans="1:11">
      <c r="A430" s="202">
        <f t="shared" si="10"/>
        <v>2025.01</v>
      </c>
      <c r="B430" s="169">
        <v>5914.8480421800004</v>
      </c>
      <c r="C430" s="3034">
        <v>5752.75016151</v>
      </c>
      <c r="D430" s="1076">
        <f t="shared" si="11"/>
        <v>162.09788067000045</v>
      </c>
      <c r="E430" s="1222">
        <v>28310</v>
      </c>
      <c r="F430" s="201"/>
      <c r="G430" s="201"/>
      <c r="H430" s="201"/>
      <c r="I430" s="201"/>
      <c r="J430" s="201"/>
      <c r="K430" s="201"/>
    </row>
    <row r="431" spans="1:11">
      <c r="A431" s="202">
        <f t="shared" si="10"/>
        <v>2025.02</v>
      </c>
      <c r="B431" s="169">
        <v>6139.7040570999998</v>
      </c>
      <c r="C431" s="3034">
        <v>5864.2875606400003</v>
      </c>
      <c r="D431" s="1076">
        <f t="shared" ref="D431:D440" si="12">B431-C431</f>
        <v>275.41649645999951</v>
      </c>
      <c r="E431" s="1222">
        <v>28117</v>
      </c>
      <c r="F431" s="201"/>
      <c r="G431" s="201"/>
      <c r="H431" s="201"/>
      <c r="I431" s="201"/>
      <c r="J431" s="201"/>
      <c r="K431" s="201"/>
    </row>
    <row r="432" spans="1:11">
      <c r="A432" s="202">
        <f t="shared" si="10"/>
        <v>2025.03</v>
      </c>
      <c r="B432" s="169">
        <v>6642.3469731900004</v>
      </c>
      <c r="C432" s="3034">
        <v>6018.8479755899998</v>
      </c>
      <c r="D432" s="1076">
        <f t="shared" si="12"/>
        <v>623.49899760000062</v>
      </c>
      <c r="E432" s="1222">
        <v>24986</v>
      </c>
      <c r="F432" s="201"/>
      <c r="G432" s="201"/>
      <c r="H432" s="201"/>
      <c r="I432" s="201"/>
      <c r="J432" s="201"/>
      <c r="K432" s="201"/>
    </row>
    <row r="433" spans="1:5">
      <c r="A433" s="202">
        <f t="shared" si="10"/>
        <v>2025.04</v>
      </c>
      <c r="B433" s="169">
        <v>6664.0584373600004</v>
      </c>
      <c r="C433" s="3034">
        <v>6459.9591891399996</v>
      </c>
      <c r="D433" s="1076">
        <f t="shared" si="12"/>
        <v>204.09924822000085</v>
      </c>
      <c r="E433" s="1222">
        <v>39291</v>
      </c>
    </row>
    <row r="434" spans="1:5">
      <c r="A434" s="202">
        <f t="shared" si="10"/>
        <v>2025.05</v>
      </c>
      <c r="B434" s="169" t="e">
        <v>#N/A</v>
      </c>
      <c r="C434" s="3034" t="e">
        <v>#N/A</v>
      </c>
      <c r="D434" s="225" t="e">
        <f t="shared" si="12"/>
        <v>#N/A</v>
      </c>
      <c r="E434" s="1222">
        <v>36919</v>
      </c>
    </row>
    <row r="435" spans="1:5">
      <c r="A435" s="202">
        <f t="shared" si="10"/>
        <v>2025.06</v>
      </c>
      <c r="B435" s="169" t="e">
        <v>#N/A</v>
      </c>
      <c r="C435" s="3034" t="e">
        <v>#N/A</v>
      </c>
      <c r="D435" s="225" t="e">
        <f t="shared" si="12"/>
        <v>#N/A</v>
      </c>
      <c r="E435" s="1222" t="e">
        <v>#N/A</v>
      </c>
    </row>
    <row r="436" spans="1:5">
      <c r="A436" s="202">
        <f t="shared" si="10"/>
        <v>2025.07</v>
      </c>
      <c r="B436" s="169" t="e">
        <v>#N/A</v>
      </c>
      <c r="C436" s="3034" t="e">
        <v>#N/A</v>
      </c>
      <c r="D436" s="225" t="e">
        <f t="shared" si="12"/>
        <v>#N/A</v>
      </c>
      <c r="E436" s="1222" t="e">
        <v>#N/A</v>
      </c>
    </row>
    <row r="437" spans="1:5">
      <c r="A437" s="202">
        <f t="shared" si="10"/>
        <v>2025.08</v>
      </c>
      <c r="B437" s="169" t="e">
        <v>#N/A</v>
      </c>
      <c r="C437" s="3034" t="e">
        <v>#N/A</v>
      </c>
      <c r="D437" s="225" t="e">
        <f t="shared" si="12"/>
        <v>#N/A</v>
      </c>
      <c r="E437" s="1222" t="e">
        <v>#N/A</v>
      </c>
    </row>
    <row r="438" spans="1:5">
      <c r="A438" s="202">
        <f t="shared" si="10"/>
        <v>2025.09</v>
      </c>
      <c r="B438" s="169" t="e">
        <v>#N/A</v>
      </c>
      <c r="C438" s="3034" t="e">
        <v>#N/A</v>
      </c>
      <c r="D438" s="225" t="e">
        <f t="shared" si="12"/>
        <v>#N/A</v>
      </c>
      <c r="E438" s="1222" t="e">
        <v>#N/A</v>
      </c>
    </row>
    <row r="439" spans="1:5">
      <c r="A439" s="202">
        <f t="shared" si="10"/>
        <v>2025.1</v>
      </c>
      <c r="B439" s="169" t="e">
        <v>#N/A</v>
      </c>
      <c r="C439" s="3034" t="e">
        <v>#N/A</v>
      </c>
      <c r="D439" s="225" t="e">
        <f t="shared" si="12"/>
        <v>#N/A</v>
      </c>
      <c r="E439" s="1222" t="e">
        <v>#N/A</v>
      </c>
    </row>
    <row r="440" spans="1:5">
      <c r="A440" s="202">
        <f t="shared" si="10"/>
        <v>2025.11</v>
      </c>
      <c r="B440" s="169" t="e">
        <v>#N/A</v>
      </c>
      <c r="C440" s="3034" t="e">
        <v>#N/A</v>
      </c>
      <c r="D440" s="225" t="e">
        <f t="shared" si="12"/>
        <v>#N/A</v>
      </c>
      <c r="E440" s="1222" t="e">
        <v>#N/A</v>
      </c>
    </row>
    <row r="441" spans="1:5">
      <c r="A441" s="202">
        <f t="shared" ref="A441:A472" si="13">A429+1</f>
        <v>2025.12</v>
      </c>
      <c r="B441" s="169" t="e">
        <v>#N/A</v>
      </c>
      <c r="C441" s="3034" t="e">
        <v>#N/A</v>
      </c>
      <c r="D441" s="225" t="e">
        <f>B441-C441</f>
        <v>#N/A</v>
      </c>
      <c r="E441" s="1222" t="e">
        <v>#N/A</v>
      </c>
    </row>
    <row r="442" spans="1:5">
      <c r="A442" s="202">
        <f t="shared" si="13"/>
        <v>2026.01</v>
      </c>
      <c r="B442" s="169" t="e">
        <v>#N/A</v>
      </c>
      <c r="C442" s="3034" t="e">
        <v>#N/A</v>
      </c>
      <c r="D442" s="225" t="e">
        <f t="shared" ref="D442:D458" si="14">B442-C442</f>
        <v>#N/A</v>
      </c>
      <c r="E442" s="1222" t="e">
        <v>#N/A</v>
      </c>
    </row>
    <row r="443" spans="1:5">
      <c r="A443" s="202">
        <f t="shared" si="13"/>
        <v>2026.02</v>
      </c>
      <c r="B443" s="169" t="e">
        <v>#N/A</v>
      </c>
      <c r="C443" s="3034" t="e">
        <v>#N/A</v>
      </c>
      <c r="D443" s="225" t="e">
        <f t="shared" si="14"/>
        <v>#N/A</v>
      </c>
      <c r="E443" s="1222" t="e">
        <v>#N/A</v>
      </c>
    </row>
    <row r="444" spans="1:5">
      <c r="A444" s="202">
        <f t="shared" si="13"/>
        <v>2026.03</v>
      </c>
      <c r="B444" s="169" t="e">
        <v>#N/A</v>
      </c>
      <c r="C444" s="3034" t="e">
        <v>#N/A</v>
      </c>
      <c r="D444" s="225" t="e">
        <f t="shared" si="14"/>
        <v>#N/A</v>
      </c>
      <c r="E444" s="1222" t="e">
        <v>#N/A</v>
      </c>
    </row>
    <row r="445" spans="1:5">
      <c r="A445" s="202">
        <f t="shared" si="13"/>
        <v>2026.04</v>
      </c>
      <c r="B445" s="169" t="e">
        <v>#N/A</v>
      </c>
      <c r="C445" s="3034" t="e">
        <v>#N/A</v>
      </c>
      <c r="D445" s="225" t="e">
        <f t="shared" si="14"/>
        <v>#N/A</v>
      </c>
      <c r="E445" s="1222" t="e">
        <v>#N/A</v>
      </c>
    </row>
    <row r="446" spans="1:5">
      <c r="A446" s="202">
        <f t="shared" si="13"/>
        <v>2026.05</v>
      </c>
      <c r="B446" s="169" t="e">
        <v>#N/A</v>
      </c>
      <c r="C446" s="3034" t="e">
        <v>#N/A</v>
      </c>
      <c r="D446" s="225" t="e">
        <f t="shared" si="14"/>
        <v>#N/A</v>
      </c>
      <c r="E446" s="1222" t="e">
        <v>#N/A</v>
      </c>
    </row>
    <row r="447" spans="1:5">
      <c r="A447" s="202">
        <f t="shared" si="13"/>
        <v>2026.06</v>
      </c>
      <c r="B447" s="169" t="e">
        <v>#N/A</v>
      </c>
      <c r="C447" s="3034" t="e">
        <v>#N/A</v>
      </c>
      <c r="D447" s="225" t="e">
        <f t="shared" si="14"/>
        <v>#N/A</v>
      </c>
      <c r="E447" s="1222" t="e">
        <v>#N/A</v>
      </c>
    </row>
    <row r="448" spans="1:5">
      <c r="A448" s="202">
        <f t="shared" si="13"/>
        <v>2026.07</v>
      </c>
      <c r="B448" s="169" t="e">
        <v>#N/A</v>
      </c>
      <c r="C448" s="3034" t="e">
        <v>#N/A</v>
      </c>
      <c r="D448" s="225" t="e">
        <f t="shared" si="14"/>
        <v>#N/A</v>
      </c>
      <c r="E448" s="1222" t="e">
        <v>#N/A</v>
      </c>
    </row>
    <row r="449" spans="1:5">
      <c r="A449" s="202">
        <f t="shared" si="13"/>
        <v>2026.08</v>
      </c>
      <c r="B449" s="169" t="e">
        <v>#N/A</v>
      </c>
      <c r="C449" s="3034" t="e">
        <v>#N/A</v>
      </c>
      <c r="D449" s="225" t="e">
        <f t="shared" si="14"/>
        <v>#N/A</v>
      </c>
      <c r="E449" s="1222" t="e">
        <v>#N/A</v>
      </c>
    </row>
    <row r="450" spans="1:5">
      <c r="A450" s="202">
        <f t="shared" si="13"/>
        <v>2026.09</v>
      </c>
      <c r="B450" s="169" t="e">
        <v>#N/A</v>
      </c>
      <c r="C450" s="3034" t="e">
        <v>#N/A</v>
      </c>
      <c r="D450" s="225" t="e">
        <f t="shared" si="14"/>
        <v>#N/A</v>
      </c>
      <c r="E450" s="1222" t="e">
        <v>#N/A</v>
      </c>
    </row>
    <row r="451" spans="1:5">
      <c r="A451" s="202">
        <f t="shared" si="13"/>
        <v>2026.1</v>
      </c>
      <c r="B451" s="169" t="e">
        <v>#N/A</v>
      </c>
      <c r="C451" s="3034" t="e">
        <v>#N/A</v>
      </c>
      <c r="D451" s="225" t="e">
        <f t="shared" si="14"/>
        <v>#N/A</v>
      </c>
      <c r="E451" s="1222" t="e">
        <v>#N/A</v>
      </c>
    </row>
    <row r="452" spans="1:5">
      <c r="A452" s="202">
        <f t="shared" si="13"/>
        <v>2026.11</v>
      </c>
      <c r="B452" s="169" t="e">
        <v>#N/A</v>
      </c>
      <c r="C452" s="3034" t="e">
        <v>#N/A</v>
      </c>
      <c r="D452" s="225" t="e">
        <f t="shared" si="14"/>
        <v>#N/A</v>
      </c>
      <c r="E452" s="1222" t="e">
        <v>#N/A</v>
      </c>
    </row>
    <row r="453" spans="1:5">
      <c r="A453" s="202">
        <f t="shared" si="13"/>
        <v>2026.12</v>
      </c>
      <c r="B453" s="169" t="e">
        <v>#N/A</v>
      </c>
      <c r="C453" s="3034" t="e">
        <v>#N/A</v>
      </c>
      <c r="D453" s="225" t="e">
        <f t="shared" si="14"/>
        <v>#N/A</v>
      </c>
      <c r="E453" s="1222" t="e">
        <v>#N/A</v>
      </c>
    </row>
    <row r="454" spans="1:5">
      <c r="A454" s="202">
        <f t="shared" si="13"/>
        <v>2027.01</v>
      </c>
      <c r="B454" s="169" t="e">
        <v>#N/A</v>
      </c>
      <c r="C454" s="3034" t="e">
        <v>#N/A</v>
      </c>
      <c r="D454" s="225" t="e">
        <f t="shared" si="14"/>
        <v>#N/A</v>
      </c>
      <c r="E454" s="1222" t="e">
        <v>#N/A</v>
      </c>
    </row>
    <row r="455" spans="1:5">
      <c r="A455" s="202">
        <f t="shared" si="13"/>
        <v>2027.02</v>
      </c>
      <c r="B455" s="169" t="e">
        <v>#N/A</v>
      </c>
      <c r="C455" s="3034" t="e">
        <v>#N/A</v>
      </c>
      <c r="D455" s="225" t="e">
        <f t="shared" si="14"/>
        <v>#N/A</v>
      </c>
      <c r="E455" s="1222" t="e">
        <v>#N/A</v>
      </c>
    </row>
    <row r="456" spans="1:5">
      <c r="A456" s="202">
        <f t="shared" si="13"/>
        <v>2027.03</v>
      </c>
      <c r="B456" s="169" t="e">
        <v>#N/A</v>
      </c>
      <c r="C456" s="3034" t="e">
        <v>#N/A</v>
      </c>
      <c r="D456" s="225" t="e">
        <f t="shared" si="14"/>
        <v>#N/A</v>
      </c>
      <c r="E456" s="1222" t="e">
        <v>#N/A</v>
      </c>
    </row>
    <row r="457" spans="1:5">
      <c r="A457" s="202">
        <f t="shared" si="13"/>
        <v>2027.04</v>
      </c>
      <c r="B457" s="169" t="e">
        <v>#N/A</v>
      </c>
      <c r="C457" s="3034" t="e">
        <v>#N/A</v>
      </c>
      <c r="D457" s="225" t="e">
        <f t="shared" si="14"/>
        <v>#N/A</v>
      </c>
      <c r="E457" s="1222" t="e">
        <v>#N/A</v>
      </c>
    </row>
    <row r="458" spans="1:5">
      <c r="A458" s="202">
        <f t="shared" si="13"/>
        <v>2027.05</v>
      </c>
      <c r="B458" s="169" t="e">
        <v>#N/A</v>
      </c>
      <c r="C458" s="3034" t="e">
        <v>#N/A</v>
      </c>
      <c r="D458" s="225" t="e">
        <f t="shared" si="14"/>
        <v>#N/A</v>
      </c>
      <c r="E458" s="1222" t="e">
        <v>#N/A</v>
      </c>
    </row>
    <row r="459" spans="1:5">
      <c r="A459" s="202">
        <f t="shared" si="13"/>
        <v>2027.06</v>
      </c>
      <c r="B459" s="169" t="e">
        <v>#N/A</v>
      </c>
      <c r="C459" s="3034" t="e">
        <v>#N/A</v>
      </c>
      <c r="D459" s="225" t="e">
        <f t="shared" ref="D459:D464" si="15">B459-C459</f>
        <v>#N/A</v>
      </c>
      <c r="E459" s="1222" t="e">
        <v>#N/A</v>
      </c>
    </row>
    <row r="460" spans="1:5">
      <c r="A460" s="202">
        <f t="shared" si="13"/>
        <v>2027.07</v>
      </c>
      <c r="B460" s="169" t="e">
        <v>#N/A</v>
      </c>
      <c r="C460" s="3034" t="e">
        <v>#N/A</v>
      </c>
      <c r="D460" s="225" t="e">
        <f t="shared" si="15"/>
        <v>#N/A</v>
      </c>
      <c r="E460" s="1222" t="e">
        <v>#N/A</v>
      </c>
    </row>
    <row r="461" spans="1:5">
      <c r="A461" s="202">
        <f t="shared" si="13"/>
        <v>2027.08</v>
      </c>
      <c r="B461" s="169" t="e">
        <v>#N/A</v>
      </c>
      <c r="C461" s="3034" t="e">
        <v>#N/A</v>
      </c>
      <c r="D461" s="225" t="e">
        <f t="shared" si="15"/>
        <v>#N/A</v>
      </c>
      <c r="E461" s="1222" t="e">
        <v>#N/A</v>
      </c>
    </row>
    <row r="462" spans="1:5">
      <c r="A462" s="202">
        <f t="shared" si="13"/>
        <v>2027.09</v>
      </c>
      <c r="B462" s="169" t="e">
        <v>#N/A</v>
      </c>
      <c r="C462" s="3034" t="e">
        <v>#N/A</v>
      </c>
      <c r="D462" s="225" t="e">
        <f t="shared" si="15"/>
        <v>#N/A</v>
      </c>
      <c r="E462" s="1222" t="e">
        <v>#N/A</v>
      </c>
    </row>
    <row r="463" spans="1:5">
      <c r="A463" s="202">
        <f t="shared" si="13"/>
        <v>2027.1</v>
      </c>
      <c r="B463" s="169" t="e">
        <v>#N/A</v>
      </c>
      <c r="C463" s="3034" t="e">
        <v>#N/A</v>
      </c>
      <c r="D463" s="225" t="e">
        <f t="shared" si="15"/>
        <v>#N/A</v>
      </c>
      <c r="E463" s="1222" t="e">
        <v>#N/A</v>
      </c>
    </row>
    <row r="464" spans="1:5">
      <c r="A464" s="202">
        <f t="shared" si="13"/>
        <v>2027.11</v>
      </c>
      <c r="B464" s="169" t="e">
        <v>#N/A</v>
      </c>
      <c r="C464" s="3034" t="e">
        <v>#N/A</v>
      </c>
      <c r="D464" s="225" t="e">
        <f t="shared" si="15"/>
        <v>#N/A</v>
      </c>
      <c r="E464" s="1222" t="e">
        <v>#N/A</v>
      </c>
    </row>
    <row r="465" spans="1:5">
      <c r="A465" s="202">
        <f t="shared" si="13"/>
        <v>2027.12</v>
      </c>
      <c r="B465" s="169" t="e">
        <v>#N/A</v>
      </c>
      <c r="C465" s="3034" t="e">
        <v>#N/A</v>
      </c>
      <c r="D465" s="225" t="e">
        <f>B465-C465</f>
        <v>#N/A</v>
      </c>
      <c r="E465" s="1222" t="e">
        <v>#N/A</v>
      </c>
    </row>
    <row r="466" spans="1:5">
      <c r="A466" s="202">
        <f t="shared" si="13"/>
        <v>2028.01</v>
      </c>
      <c r="B466" s="169" t="e">
        <v>#N/A</v>
      </c>
      <c r="C466" s="3034" t="e">
        <v>#N/A</v>
      </c>
      <c r="D466" s="225" t="e">
        <f t="shared" ref="D466:D477" si="16">B466-C466</f>
        <v>#N/A</v>
      </c>
      <c r="E466" s="1222" t="e">
        <v>#N/A</v>
      </c>
    </row>
    <row r="467" spans="1:5">
      <c r="A467" s="202">
        <f t="shared" si="13"/>
        <v>2028.02</v>
      </c>
      <c r="B467" s="169" t="e">
        <v>#N/A</v>
      </c>
      <c r="C467" s="3034" t="e">
        <v>#N/A</v>
      </c>
      <c r="D467" s="225" t="e">
        <f t="shared" si="16"/>
        <v>#N/A</v>
      </c>
      <c r="E467" s="1222" t="e">
        <v>#N/A</v>
      </c>
    </row>
    <row r="468" spans="1:5">
      <c r="A468" s="202">
        <f t="shared" si="13"/>
        <v>2028.03</v>
      </c>
      <c r="B468" s="169" t="e">
        <v>#N/A</v>
      </c>
      <c r="C468" s="3034" t="e">
        <v>#N/A</v>
      </c>
      <c r="D468" s="225" t="e">
        <f t="shared" si="16"/>
        <v>#N/A</v>
      </c>
      <c r="E468" s="1222" t="e">
        <v>#N/A</v>
      </c>
    </row>
    <row r="469" spans="1:5">
      <c r="A469" s="202">
        <f t="shared" si="13"/>
        <v>2028.04</v>
      </c>
      <c r="B469" s="169" t="e">
        <v>#N/A</v>
      </c>
      <c r="C469" s="3034" t="e">
        <v>#N/A</v>
      </c>
      <c r="D469" s="225" t="e">
        <f t="shared" si="16"/>
        <v>#N/A</v>
      </c>
      <c r="E469" s="1222" t="e">
        <v>#N/A</v>
      </c>
    </row>
    <row r="470" spans="1:5">
      <c r="A470" s="202">
        <f t="shared" si="13"/>
        <v>2028.05</v>
      </c>
      <c r="B470" s="169" t="e">
        <v>#N/A</v>
      </c>
      <c r="C470" s="3034" t="e">
        <v>#N/A</v>
      </c>
      <c r="D470" s="225" t="e">
        <f t="shared" si="16"/>
        <v>#N/A</v>
      </c>
      <c r="E470" s="1222" t="e">
        <v>#N/A</v>
      </c>
    </row>
    <row r="471" spans="1:5">
      <c r="A471" s="202">
        <f t="shared" si="13"/>
        <v>2028.06</v>
      </c>
      <c r="B471" s="169" t="e">
        <v>#N/A</v>
      </c>
      <c r="C471" s="3034" t="e">
        <v>#N/A</v>
      </c>
      <c r="D471" s="225" t="e">
        <f t="shared" si="16"/>
        <v>#N/A</v>
      </c>
      <c r="E471" s="1222" t="e">
        <v>#N/A</v>
      </c>
    </row>
    <row r="472" spans="1:5">
      <c r="A472" s="202">
        <f t="shared" si="13"/>
        <v>2028.07</v>
      </c>
      <c r="B472" s="169" t="e">
        <v>#N/A</v>
      </c>
      <c r="C472" s="3034" t="e">
        <v>#N/A</v>
      </c>
      <c r="D472" s="225" t="e">
        <f t="shared" si="16"/>
        <v>#N/A</v>
      </c>
      <c r="E472" s="1222" t="e">
        <v>#N/A</v>
      </c>
    </row>
    <row r="473" spans="1:5">
      <c r="A473" s="202">
        <f t="shared" ref="A473:A501" si="17">A461+1</f>
        <v>2028.08</v>
      </c>
      <c r="B473" s="169" t="e">
        <v>#N/A</v>
      </c>
      <c r="C473" s="3034" t="e">
        <v>#N/A</v>
      </c>
      <c r="D473" s="225" t="e">
        <f t="shared" si="16"/>
        <v>#N/A</v>
      </c>
      <c r="E473" s="1222" t="e">
        <v>#N/A</v>
      </c>
    </row>
    <row r="474" spans="1:5">
      <c r="A474" s="202">
        <f t="shared" si="17"/>
        <v>2028.09</v>
      </c>
      <c r="B474" s="169" t="e">
        <v>#N/A</v>
      </c>
      <c r="C474" s="3034" t="e">
        <v>#N/A</v>
      </c>
      <c r="D474" s="225" t="e">
        <f t="shared" si="16"/>
        <v>#N/A</v>
      </c>
      <c r="E474" s="1222" t="e">
        <v>#N/A</v>
      </c>
    </row>
    <row r="475" spans="1:5">
      <c r="A475" s="202">
        <f t="shared" si="17"/>
        <v>2028.1</v>
      </c>
      <c r="B475" s="169" t="e">
        <v>#N/A</v>
      </c>
      <c r="C475" s="3034" t="e">
        <v>#N/A</v>
      </c>
      <c r="D475" s="225" t="e">
        <f t="shared" si="16"/>
        <v>#N/A</v>
      </c>
      <c r="E475" s="1222" t="e">
        <v>#N/A</v>
      </c>
    </row>
    <row r="476" spans="1:5">
      <c r="A476" s="202">
        <f t="shared" si="17"/>
        <v>2028.11</v>
      </c>
      <c r="B476" s="169" t="e">
        <v>#N/A</v>
      </c>
      <c r="C476" s="3034" t="e">
        <v>#N/A</v>
      </c>
      <c r="D476" s="225" t="e">
        <f t="shared" si="16"/>
        <v>#N/A</v>
      </c>
      <c r="E476" s="1222" t="e">
        <v>#N/A</v>
      </c>
    </row>
    <row r="477" spans="1:5">
      <c r="A477" s="202">
        <f t="shared" si="17"/>
        <v>2028.12</v>
      </c>
      <c r="B477" s="169" t="e">
        <v>#N/A</v>
      </c>
      <c r="C477" s="3034" t="e">
        <v>#N/A</v>
      </c>
      <c r="D477" s="225" t="e">
        <f t="shared" si="16"/>
        <v>#N/A</v>
      </c>
      <c r="E477" s="1222" t="e">
        <v>#N/A</v>
      </c>
    </row>
    <row r="478" spans="1:5">
      <c r="A478" s="202">
        <f t="shared" si="17"/>
        <v>2029.01</v>
      </c>
      <c r="B478" s="169" t="e">
        <v>#N/A</v>
      </c>
      <c r="C478" s="3034" t="e">
        <v>#N/A</v>
      </c>
      <c r="D478" s="225" t="e">
        <f>B478-C478</f>
        <v>#N/A</v>
      </c>
      <c r="E478" s="1222" t="e">
        <v>#N/A</v>
      </c>
    </row>
    <row r="479" spans="1:5">
      <c r="A479" s="202">
        <f t="shared" si="17"/>
        <v>2029.02</v>
      </c>
      <c r="B479" s="169" t="e">
        <v>#N/A</v>
      </c>
      <c r="C479" s="3034" t="e">
        <v>#N/A</v>
      </c>
      <c r="D479" s="225" t="e">
        <f t="shared" ref="D479:D489" si="18">B479-C479</f>
        <v>#N/A</v>
      </c>
      <c r="E479" s="1222" t="e">
        <v>#N/A</v>
      </c>
    </row>
    <row r="480" spans="1:5">
      <c r="A480" s="202">
        <f t="shared" si="17"/>
        <v>2029.03</v>
      </c>
      <c r="B480" s="169" t="e">
        <v>#N/A</v>
      </c>
      <c r="C480" s="3034" t="e">
        <v>#N/A</v>
      </c>
      <c r="D480" s="225" t="e">
        <f t="shared" si="18"/>
        <v>#N/A</v>
      </c>
      <c r="E480" s="1222" t="e">
        <v>#N/A</v>
      </c>
    </row>
    <row r="481" spans="1:5">
      <c r="A481" s="202">
        <f t="shared" si="17"/>
        <v>2029.04</v>
      </c>
      <c r="B481" s="169" t="e">
        <v>#N/A</v>
      </c>
      <c r="C481" s="3034" t="e">
        <v>#N/A</v>
      </c>
      <c r="D481" s="225" t="e">
        <f t="shared" si="18"/>
        <v>#N/A</v>
      </c>
      <c r="E481" s="1222" t="e">
        <v>#N/A</v>
      </c>
    </row>
    <row r="482" spans="1:5">
      <c r="A482" s="202">
        <f t="shared" si="17"/>
        <v>2029.05</v>
      </c>
      <c r="B482" s="169" t="e">
        <v>#N/A</v>
      </c>
      <c r="C482" s="3034" t="e">
        <v>#N/A</v>
      </c>
      <c r="D482" s="225" t="e">
        <f t="shared" si="18"/>
        <v>#N/A</v>
      </c>
      <c r="E482" s="1222" t="e">
        <v>#N/A</v>
      </c>
    </row>
    <row r="483" spans="1:5">
      <c r="A483" s="202">
        <f t="shared" si="17"/>
        <v>2029.06</v>
      </c>
      <c r="B483" s="169" t="e">
        <v>#N/A</v>
      </c>
      <c r="C483" s="3034" t="e">
        <v>#N/A</v>
      </c>
      <c r="D483" s="225" t="e">
        <f t="shared" si="18"/>
        <v>#N/A</v>
      </c>
      <c r="E483" s="1222" t="e">
        <v>#N/A</v>
      </c>
    </row>
    <row r="484" spans="1:5">
      <c r="A484" s="202">
        <f t="shared" si="17"/>
        <v>2029.07</v>
      </c>
      <c r="B484" s="169" t="e">
        <v>#N/A</v>
      </c>
      <c r="C484" s="3034" t="e">
        <v>#N/A</v>
      </c>
      <c r="D484" s="225" t="e">
        <f t="shared" si="18"/>
        <v>#N/A</v>
      </c>
      <c r="E484" s="1222" t="e">
        <v>#N/A</v>
      </c>
    </row>
    <row r="485" spans="1:5">
      <c r="A485" s="202">
        <f t="shared" si="17"/>
        <v>2029.08</v>
      </c>
      <c r="B485" s="169" t="e">
        <v>#N/A</v>
      </c>
      <c r="C485" s="3034" t="e">
        <v>#N/A</v>
      </c>
      <c r="D485" s="225" t="e">
        <f t="shared" si="18"/>
        <v>#N/A</v>
      </c>
      <c r="E485" s="1222" t="e">
        <v>#N/A</v>
      </c>
    </row>
    <row r="486" spans="1:5">
      <c r="A486" s="202">
        <f t="shared" si="17"/>
        <v>2029.09</v>
      </c>
      <c r="B486" s="169" t="e">
        <v>#N/A</v>
      </c>
      <c r="C486" s="3034" t="e">
        <v>#N/A</v>
      </c>
      <c r="D486" s="225" t="e">
        <f t="shared" si="18"/>
        <v>#N/A</v>
      </c>
      <c r="E486" s="1222" t="e">
        <v>#N/A</v>
      </c>
    </row>
    <row r="487" spans="1:5">
      <c r="A487" s="202">
        <f t="shared" si="17"/>
        <v>2029.1</v>
      </c>
      <c r="B487" s="169" t="e">
        <v>#N/A</v>
      </c>
      <c r="C487" s="3034" t="e">
        <v>#N/A</v>
      </c>
      <c r="D487" s="225" t="e">
        <f t="shared" si="18"/>
        <v>#N/A</v>
      </c>
      <c r="E487" s="1222" t="e">
        <v>#N/A</v>
      </c>
    </row>
    <row r="488" spans="1:5">
      <c r="A488" s="202">
        <f t="shared" si="17"/>
        <v>2029.11</v>
      </c>
      <c r="B488" s="169" t="e">
        <v>#N/A</v>
      </c>
      <c r="C488" s="3034" t="e">
        <v>#N/A</v>
      </c>
      <c r="D488" s="225" t="e">
        <f t="shared" si="18"/>
        <v>#N/A</v>
      </c>
      <c r="E488" s="1222" t="e">
        <v>#N/A</v>
      </c>
    </row>
    <row r="489" spans="1:5">
      <c r="A489" s="202">
        <f t="shared" si="17"/>
        <v>2029.12</v>
      </c>
      <c r="B489" s="169" t="e">
        <v>#N/A</v>
      </c>
      <c r="C489" s="3034" t="e">
        <v>#N/A</v>
      </c>
      <c r="D489" s="225" t="e">
        <f t="shared" si="18"/>
        <v>#N/A</v>
      </c>
      <c r="E489" s="1222" t="e">
        <v>#N/A</v>
      </c>
    </row>
    <row r="490" spans="1:5">
      <c r="A490" s="202">
        <f t="shared" si="17"/>
        <v>2030.01</v>
      </c>
      <c r="B490" s="169" t="e">
        <v>#N/A</v>
      </c>
      <c r="C490" s="3034" t="e">
        <v>#N/A</v>
      </c>
      <c r="D490" s="225" t="e">
        <f>B490-C490</f>
        <v>#N/A</v>
      </c>
      <c r="E490" s="1222" t="e">
        <v>#N/A</v>
      </c>
    </row>
    <row r="491" spans="1:5">
      <c r="A491" s="202">
        <f t="shared" si="17"/>
        <v>2030.02</v>
      </c>
      <c r="B491" s="169" t="e">
        <v>#N/A</v>
      </c>
      <c r="C491" s="3034" t="e">
        <v>#N/A</v>
      </c>
      <c r="D491" s="225" t="e">
        <f t="shared" ref="D491:D499" si="19">B491-C491</f>
        <v>#N/A</v>
      </c>
      <c r="E491" s="1222" t="e">
        <v>#N/A</v>
      </c>
    </row>
    <row r="492" spans="1:5">
      <c r="A492" s="202">
        <f t="shared" si="17"/>
        <v>2030.03</v>
      </c>
      <c r="B492" s="169" t="e">
        <v>#N/A</v>
      </c>
      <c r="C492" s="3034" t="e">
        <v>#N/A</v>
      </c>
      <c r="D492" s="225" t="e">
        <f t="shared" si="19"/>
        <v>#N/A</v>
      </c>
      <c r="E492" s="1222" t="e">
        <v>#N/A</v>
      </c>
    </row>
    <row r="493" spans="1:5">
      <c r="A493" s="202">
        <f t="shared" si="17"/>
        <v>2030.04</v>
      </c>
      <c r="B493" s="169" t="e">
        <v>#N/A</v>
      </c>
      <c r="C493" s="3034" t="e">
        <v>#N/A</v>
      </c>
      <c r="D493" s="225" t="e">
        <f t="shared" si="19"/>
        <v>#N/A</v>
      </c>
      <c r="E493" s="1222" t="e">
        <v>#N/A</v>
      </c>
    </row>
    <row r="494" spans="1:5">
      <c r="A494" s="202">
        <f t="shared" si="17"/>
        <v>2030.05</v>
      </c>
      <c r="B494" s="169" t="e">
        <v>#N/A</v>
      </c>
      <c r="C494" s="3034" t="e">
        <v>#N/A</v>
      </c>
      <c r="D494" s="225" t="e">
        <f t="shared" si="19"/>
        <v>#N/A</v>
      </c>
      <c r="E494" s="1222" t="e">
        <v>#N/A</v>
      </c>
    </row>
    <row r="495" spans="1:5">
      <c r="A495" s="202">
        <f t="shared" si="17"/>
        <v>2030.06</v>
      </c>
      <c r="B495" s="169" t="e">
        <v>#N/A</v>
      </c>
      <c r="C495" s="3034" t="e">
        <v>#N/A</v>
      </c>
      <c r="D495" s="225" t="e">
        <f t="shared" si="19"/>
        <v>#N/A</v>
      </c>
      <c r="E495" s="1222" t="e">
        <v>#N/A</v>
      </c>
    </row>
    <row r="496" spans="1:5">
      <c r="A496" s="202">
        <f t="shared" si="17"/>
        <v>2030.07</v>
      </c>
      <c r="B496" s="169" t="e">
        <v>#N/A</v>
      </c>
      <c r="C496" s="3034" t="e">
        <v>#N/A</v>
      </c>
      <c r="D496" s="225" t="e">
        <f t="shared" si="19"/>
        <v>#N/A</v>
      </c>
      <c r="E496" s="1222" t="e">
        <v>#N/A</v>
      </c>
    </row>
    <row r="497" spans="1:5">
      <c r="A497" s="202">
        <f t="shared" si="17"/>
        <v>2030.08</v>
      </c>
      <c r="B497" s="169" t="e">
        <v>#N/A</v>
      </c>
      <c r="C497" s="3034" t="e">
        <v>#N/A</v>
      </c>
      <c r="D497" s="225" t="e">
        <f t="shared" si="19"/>
        <v>#N/A</v>
      </c>
      <c r="E497" s="1222" t="e">
        <v>#N/A</v>
      </c>
    </row>
    <row r="498" spans="1:5">
      <c r="A498" s="202">
        <f t="shared" si="17"/>
        <v>2030.09</v>
      </c>
      <c r="B498" s="169" t="e">
        <v>#N/A</v>
      </c>
      <c r="C498" s="3034" t="e">
        <v>#N/A</v>
      </c>
      <c r="D498" s="225" t="e">
        <f t="shared" si="19"/>
        <v>#N/A</v>
      </c>
      <c r="E498" s="1222" t="e">
        <v>#N/A</v>
      </c>
    </row>
    <row r="499" spans="1:5">
      <c r="A499" s="202">
        <f t="shared" si="17"/>
        <v>2030.1</v>
      </c>
      <c r="B499" s="169" t="e">
        <v>#N/A</v>
      </c>
      <c r="C499" s="3034" t="e">
        <v>#N/A</v>
      </c>
      <c r="D499" s="225" t="e">
        <f t="shared" si="19"/>
        <v>#N/A</v>
      </c>
      <c r="E499" s="1222" t="e">
        <v>#N/A</v>
      </c>
    </row>
    <row r="500" spans="1:5">
      <c r="A500" s="202">
        <f t="shared" si="17"/>
        <v>2030.11</v>
      </c>
      <c r="B500" s="169" t="e">
        <v>#N/A</v>
      </c>
      <c r="C500" s="3034" t="e">
        <v>#N/A</v>
      </c>
      <c r="D500" s="225" t="e">
        <f>B500-C500</f>
        <v>#N/A</v>
      </c>
      <c r="E500" s="1222" t="e">
        <v>#N/A</v>
      </c>
    </row>
    <row r="501" spans="1:5">
      <c r="A501" s="202">
        <f t="shared" si="17"/>
        <v>2030.12</v>
      </c>
      <c r="B501" s="169" t="e">
        <v>#N/A</v>
      </c>
      <c r="C501" s="3034" t="e">
        <v>#N/A</v>
      </c>
      <c r="D501" s="225" t="e">
        <f t="shared" ref="D501" si="20">B501-C501</f>
        <v>#N/A</v>
      </c>
      <c r="E501" s="1222" t="e">
        <v>#N/A</v>
      </c>
    </row>
  </sheetData>
  <phoneticPr fontId="62" type="noConversion"/>
  <hyperlinks>
    <hyperlink ref="A5" location="INDICE!A13" display="VOLVER AL INDICE" xr:uid="{00000000-0004-0000-2A00-000000000000}"/>
  </hyperlinks>
  <pageMargins left="0.75" right="0.75" top="1" bottom="1" header="0" footer="0"/>
  <pageSetup paperSize="9"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3"/>
  <dimension ref="A1:I533"/>
  <sheetViews>
    <sheetView zoomScale="115" zoomScaleNormal="115"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8" width="11.5703125" style="488" customWidth="1"/>
    <col min="9" max="16384" width="11.42578125" style="488"/>
  </cols>
  <sheetData>
    <row r="1" spans="1:9" ht="2.25" customHeight="1">
      <c r="A1" s="59"/>
      <c r="B1" s="732"/>
      <c r="C1" s="733"/>
      <c r="D1" s="733"/>
      <c r="E1" s="732"/>
      <c r="F1" s="733"/>
      <c r="G1" s="733"/>
      <c r="I1" s="734"/>
    </row>
    <row r="2" spans="1:9" ht="24" customHeight="1">
      <c r="A2" s="59" t="s">
        <v>105</v>
      </c>
      <c r="B2" s="510" t="s">
        <v>294</v>
      </c>
      <c r="C2" s="2173"/>
      <c r="D2" s="2173"/>
      <c r="E2" s="2173" t="s">
        <v>291</v>
      </c>
      <c r="F2" s="2173"/>
      <c r="G2" s="2173"/>
      <c r="H2" s="2465" t="s">
        <v>1322</v>
      </c>
      <c r="I2" s="511"/>
    </row>
    <row r="3" spans="1:9">
      <c r="A3" s="59" t="s">
        <v>109</v>
      </c>
      <c r="B3" s="2466" t="s">
        <v>449</v>
      </c>
      <c r="C3" s="489"/>
      <c r="D3" s="490"/>
      <c r="E3" s="2466"/>
      <c r="F3" s="489"/>
      <c r="G3" s="490"/>
      <c r="H3" s="2466"/>
      <c r="I3" s="2174"/>
    </row>
    <row r="4" spans="1:9" ht="1.5" hidden="1" customHeight="1">
      <c r="A4" s="59"/>
      <c r="B4" s="512"/>
      <c r="C4" s="512"/>
      <c r="D4" s="512"/>
      <c r="E4" s="512"/>
      <c r="F4" s="512"/>
      <c r="G4" s="512"/>
      <c r="H4" s="512"/>
      <c r="I4" s="513"/>
    </row>
    <row r="5" spans="1:9" ht="67.5">
      <c r="A5" s="2390" t="s">
        <v>137</v>
      </c>
      <c r="B5" s="507" t="s">
        <v>1323</v>
      </c>
      <c r="C5" s="508" t="s">
        <v>1324</v>
      </c>
      <c r="D5" s="509" t="s">
        <v>1325</v>
      </c>
      <c r="E5" s="2467" t="s">
        <v>1326</v>
      </c>
      <c r="F5" s="508" t="s">
        <v>1327</v>
      </c>
      <c r="G5" s="509" t="s">
        <v>1328</v>
      </c>
      <c r="H5" s="2467" t="s">
        <v>1329</v>
      </c>
      <c r="I5" s="727" t="s">
        <v>1330</v>
      </c>
    </row>
    <row r="6" spans="1:9" ht="2.25" hidden="1" customHeight="1">
      <c r="A6" s="491"/>
      <c r="B6" s="2468"/>
      <c r="C6" s="514"/>
      <c r="D6" s="514"/>
      <c r="E6" s="514"/>
      <c r="F6" s="514"/>
      <c r="G6" s="514"/>
      <c r="H6" s="514"/>
      <c r="I6" s="728"/>
    </row>
    <row r="7" spans="1:9" ht="22.5">
      <c r="A7" s="2373" t="s">
        <v>123</v>
      </c>
      <c r="B7" s="2469" t="s">
        <v>1331</v>
      </c>
      <c r="C7" s="515" t="s">
        <v>1331</v>
      </c>
      <c r="D7" s="516" t="s">
        <v>1331</v>
      </c>
      <c r="E7" s="2469" t="s">
        <v>1331</v>
      </c>
      <c r="F7" s="515" t="s">
        <v>1331</v>
      </c>
      <c r="G7" s="516" t="s">
        <v>1331</v>
      </c>
      <c r="H7" s="2469" t="s">
        <v>1331</v>
      </c>
      <c r="I7" s="729" t="s">
        <v>1331</v>
      </c>
    </row>
    <row r="8" spans="1:9">
      <c r="A8" s="147" t="s">
        <v>141</v>
      </c>
      <c r="B8" s="492" t="s">
        <v>1332</v>
      </c>
      <c r="C8" s="493" t="s">
        <v>1333</v>
      </c>
      <c r="D8" s="494" t="s">
        <v>1334</v>
      </c>
      <c r="E8" s="492" t="s">
        <v>1335</v>
      </c>
      <c r="F8" s="493" t="s">
        <v>1336</v>
      </c>
      <c r="G8" s="494" t="s">
        <v>1337</v>
      </c>
      <c r="H8" s="2470" t="s">
        <v>1338</v>
      </c>
      <c r="I8" s="730" t="s">
        <v>1339</v>
      </c>
    </row>
    <row r="9" spans="1:9" ht="3" hidden="1" customHeight="1">
      <c r="A9" s="2990"/>
      <c r="B9" s="3215"/>
      <c r="C9" s="495"/>
      <c r="D9" s="496"/>
      <c r="E9" s="2471"/>
      <c r="F9" s="495"/>
      <c r="G9" s="496"/>
      <c r="H9" s="2471"/>
      <c r="I9" s="731"/>
    </row>
    <row r="10" spans="1:9" ht="12.75" customHeight="1">
      <c r="A10" s="497">
        <v>1986.1</v>
      </c>
      <c r="B10" s="498">
        <v>17.497890999999999</v>
      </c>
      <c r="C10" s="3342">
        <v>69.843274999999991</v>
      </c>
      <c r="D10" s="3216">
        <v>25.053079</v>
      </c>
      <c r="E10" s="3343">
        <v>16.405251</v>
      </c>
      <c r="F10" s="3342">
        <v>94.940759999999997</v>
      </c>
      <c r="G10" s="3344">
        <v>17.279460999999998</v>
      </c>
      <c r="H10" s="3217">
        <v>73.56510999999999</v>
      </c>
      <c r="I10" s="3345">
        <f>B10/F10*100</f>
        <v>18.430325394488101</v>
      </c>
    </row>
    <row r="11" spans="1:9" ht="12.75" customHeight="1">
      <c r="A11" s="497">
        <v>1986.2</v>
      </c>
      <c r="B11" s="499">
        <v>22.766632999999999</v>
      </c>
      <c r="C11" s="3218">
        <v>72.703974000000002</v>
      </c>
      <c r="D11" s="499">
        <v>31.314152</v>
      </c>
      <c r="E11" s="500">
        <v>20.557683999999998</v>
      </c>
      <c r="F11" s="3218">
        <v>97.572072999999989</v>
      </c>
      <c r="G11" s="501">
        <v>21.069229</v>
      </c>
      <c r="H11" s="499">
        <v>74.513097999999999</v>
      </c>
      <c r="I11" s="3219">
        <f>B11/F11*100</f>
        <v>23.333144720621036</v>
      </c>
    </row>
    <row r="12" spans="1:9" ht="12.75" customHeight="1">
      <c r="A12" s="497">
        <v>1986.3</v>
      </c>
      <c r="B12" s="499">
        <v>21.944872999999998</v>
      </c>
      <c r="C12" s="3218">
        <v>74.478963999999991</v>
      </c>
      <c r="D12" s="499">
        <v>29.464524999999998</v>
      </c>
      <c r="E12" s="500">
        <v>24.356791999999999</v>
      </c>
      <c r="F12" s="3218">
        <v>96.965701999999993</v>
      </c>
      <c r="G12" s="501">
        <v>25.118976</v>
      </c>
      <c r="H12" s="499">
        <v>76.809595999999999</v>
      </c>
      <c r="I12" s="3219">
        <f t="shared" ref="I12:I75" si="0">B12/F12*100</f>
        <v>22.631582660021373</v>
      </c>
    </row>
    <row r="13" spans="1:9" ht="12.75" customHeight="1">
      <c r="A13" s="497">
        <v>1986.4</v>
      </c>
      <c r="B13" s="499">
        <v>17.062532000000001</v>
      </c>
      <c r="C13" s="3218">
        <v>73.36052699999999</v>
      </c>
      <c r="D13" s="499">
        <v>23.258464</v>
      </c>
      <c r="E13" s="500">
        <v>23.048743999999999</v>
      </c>
      <c r="F13" s="3218">
        <v>95.824547999999993</v>
      </c>
      <c r="G13" s="501">
        <v>24.053068</v>
      </c>
      <c r="H13" s="499">
        <v>76.557132999999993</v>
      </c>
      <c r="I13" s="3219">
        <f t="shared" si="0"/>
        <v>17.806013548845545</v>
      </c>
    </row>
    <row r="14" spans="1:9" ht="12.75" customHeight="1">
      <c r="A14" s="497">
        <f>A10+1</f>
        <v>1987.1</v>
      </c>
      <c r="B14" s="499">
        <v>16.736376</v>
      </c>
      <c r="C14" s="3218">
        <v>70.648290000000003</v>
      </c>
      <c r="D14" s="499">
        <v>23.689712</v>
      </c>
      <c r="E14" s="500">
        <v>21.382617</v>
      </c>
      <c r="F14" s="3218">
        <v>95.836187999999993</v>
      </c>
      <c r="G14" s="501">
        <v>22.311630999999998</v>
      </c>
      <c r="H14" s="499">
        <v>73.717759000000001</v>
      </c>
      <c r="I14" s="3219">
        <f t="shared" si="0"/>
        <v>17.463524321313784</v>
      </c>
    </row>
    <row r="15" spans="1:9" ht="12.75" customHeight="1">
      <c r="A15" s="497">
        <f t="shared" ref="A15:A78" si="1">A11+1</f>
        <v>1987.2</v>
      </c>
      <c r="B15" s="499">
        <v>20.144451</v>
      </c>
      <c r="C15" s="3218">
        <v>74.218268999999992</v>
      </c>
      <c r="D15" s="499">
        <v>27.142173</v>
      </c>
      <c r="E15" s="500">
        <v>24.580774999999999</v>
      </c>
      <c r="F15" s="3218">
        <v>91.91807399999999</v>
      </c>
      <c r="G15" s="501">
        <v>26.742048</v>
      </c>
      <c r="H15" s="499">
        <v>80.743933999999996</v>
      </c>
      <c r="I15" s="3219">
        <f t="shared" si="0"/>
        <v>21.915658285007151</v>
      </c>
    </row>
    <row r="16" spans="1:9" ht="12.75" customHeight="1">
      <c r="A16" s="497">
        <f t="shared" si="1"/>
        <v>1987.3</v>
      </c>
      <c r="B16" s="499">
        <v>18.735963999999999</v>
      </c>
      <c r="C16" s="3218">
        <v>79.580315999999996</v>
      </c>
      <c r="D16" s="499">
        <v>23.543465999999999</v>
      </c>
      <c r="E16" s="500">
        <v>29.095948999999997</v>
      </c>
      <c r="F16" s="3218">
        <v>89.221168999999989</v>
      </c>
      <c r="G16" s="501">
        <v>32.611038000000001</v>
      </c>
      <c r="H16" s="499">
        <v>89.194432999999989</v>
      </c>
      <c r="I16" s="3219">
        <f t="shared" si="0"/>
        <v>20.999460341076681</v>
      </c>
    </row>
    <row r="17" spans="1:9" ht="12.75" customHeight="1">
      <c r="A17" s="497">
        <f t="shared" si="1"/>
        <v>1987.4</v>
      </c>
      <c r="B17" s="499">
        <v>18.083829999999999</v>
      </c>
      <c r="C17" s="3218">
        <v>80.017229</v>
      </c>
      <c r="D17" s="499">
        <v>22.599919999999997</v>
      </c>
      <c r="E17" s="500">
        <v>28.620681999999999</v>
      </c>
      <c r="F17" s="3218">
        <v>100.52935100000001</v>
      </c>
      <c r="G17" s="501">
        <v>28.469975999999999</v>
      </c>
      <c r="H17" s="499">
        <v>79.595888000000002</v>
      </c>
      <c r="I17" s="3219">
        <f t="shared" si="0"/>
        <v>17.988607128280375</v>
      </c>
    </row>
    <row r="18" spans="1:9" ht="12.75" customHeight="1">
      <c r="A18" s="497">
        <f t="shared" si="1"/>
        <v>1988.1</v>
      </c>
      <c r="B18" s="499">
        <v>19.886005000000001</v>
      </c>
      <c r="C18" s="3218">
        <v>80.68737999999999</v>
      </c>
      <c r="D18" s="499">
        <v>24.645744000000001</v>
      </c>
      <c r="E18" s="500">
        <v>20.757263999999999</v>
      </c>
      <c r="F18" s="3218">
        <v>100.53785499999999</v>
      </c>
      <c r="G18" s="501">
        <v>20.646217</v>
      </c>
      <c r="H18" s="499">
        <v>80.255719999999997</v>
      </c>
      <c r="I18" s="3219">
        <f t="shared" si="0"/>
        <v>19.77961932846091</v>
      </c>
    </row>
    <row r="19" spans="1:9" ht="12.75" customHeight="1">
      <c r="A19" s="497">
        <f t="shared" si="1"/>
        <v>1988.2</v>
      </c>
      <c r="B19" s="499">
        <v>26.578254999999999</v>
      </c>
      <c r="C19" s="3218">
        <v>85.181072</v>
      </c>
      <c r="D19" s="499">
        <v>31.202065999999999</v>
      </c>
      <c r="E19" s="500">
        <v>25.062417</v>
      </c>
      <c r="F19" s="3218">
        <v>98.469493999999997</v>
      </c>
      <c r="G19" s="501">
        <v>25.451960999999997</v>
      </c>
      <c r="H19" s="499">
        <v>86.505037000000002</v>
      </c>
      <c r="I19" s="3219">
        <f t="shared" si="0"/>
        <v>26.991359374711521</v>
      </c>
    </row>
    <row r="20" spans="1:9" ht="12.75" customHeight="1">
      <c r="A20" s="497">
        <f t="shared" si="1"/>
        <v>1988.3</v>
      </c>
      <c r="B20" s="499">
        <v>30.973917</v>
      </c>
      <c r="C20" s="3218">
        <v>91.683137000000002</v>
      </c>
      <c r="D20" s="499">
        <v>33.783656999999998</v>
      </c>
      <c r="E20" s="500">
        <v>25.963607999999997</v>
      </c>
      <c r="F20" s="3218">
        <v>95.678249999999991</v>
      </c>
      <c r="G20" s="501">
        <v>27.136374</v>
      </c>
      <c r="H20" s="499">
        <v>95.824429999999992</v>
      </c>
      <c r="I20" s="3219">
        <f t="shared" si="0"/>
        <v>32.372996997750278</v>
      </c>
    </row>
    <row r="21" spans="1:9" ht="12.75" customHeight="1">
      <c r="A21" s="497">
        <f t="shared" si="1"/>
        <v>1988.4</v>
      </c>
      <c r="B21" s="499">
        <v>28.240696999999997</v>
      </c>
      <c r="C21" s="3218">
        <v>93.721963000000002</v>
      </c>
      <c r="D21" s="499">
        <v>30.132421999999998</v>
      </c>
      <c r="E21" s="500">
        <v>23.052941000000001</v>
      </c>
      <c r="F21" s="3218">
        <v>109.150908</v>
      </c>
      <c r="G21" s="501">
        <v>21.120246999999999</v>
      </c>
      <c r="H21" s="499">
        <v>85.864575000000002</v>
      </c>
      <c r="I21" s="3219">
        <f t="shared" si="0"/>
        <v>25.873075650456336</v>
      </c>
    </row>
    <row r="22" spans="1:9" ht="12.75" customHeight="1">
      <c r="A22" s="497">
        <f t="shared" si="1"/>
        <v>1989.1</v>
      </c>
      <c r="B22" s="499">
        <v>24.496727999999997</v>
      </c>
      <c r="C22" s="3218">
        <v>91.705500000000001</v>
      </c>
      <c r="D22" s="499">
        <v>26.712387</v>
      </c>
      <c r="E22" s="500">
        <v>20.814142</v>
      </c>
      <c r="F22" s="3218">
        <v>109.453369</v>
      </c>
      <c r="G22" s="501">
        <v>19.016446999999999</v>
      </c>
      <c r="H22" s="499">
        <v>83.784995999999992</v>
      </c>
      <c r="I22" s="3219">
        <f t="shared" si="0"/>
        <v>22.380972119734384</v>
      </c>
    </row>
    <row r="23" spans="1:9" ht="12.75" customHeight="1">
      <c r="A23" s="497">
        <f t="shared" si="1"/>
        <v>1989.2</v>
      </c>
      <c r="B23" s="499">
        <v>29.468736999999997</v>
      </c>
      <c r="C23" s="3218">
        <v>90.413122000000001</v>
      </c>
      <c r="D23" s="499">
        <v>32.593429</v>
      </c>
      <c r="E23" s="500">
        <v>18.411044</v>
      </c>
      <c r="F23" s="3218">
        <v>107.64888000000001</v>
      </c>
      <c r="G23" s="501">
        <v>17.102865999999999</v>
      </c>
      <c r="H23" s="499">
        <v>83.988911000000002</v>
      </c>
      <c r="I23" s="3219">
        <f t="shared" si="0"/>
        <v>27.374866324665891</v>
      </c>
    </row>
    <row r="24" spans="1:9" ht="12.75" customHeight="1">
      <c r="A24" s="497">
        <f t="shared" si="1"/>
        <v>1989.3</v>
      </c>
      <c r="B24" s="499">
        <v>32.569032999999997</v>
      </c>
      <c r="C24" s="3218">
        <v>90.004848999999993</v>
      </c>
      <c r="D24" s="499">
        <v>36.185865</v>
      </c>
      <c r="E24" s="500">
        <v>18.287696</v>
      </c>
      <c r="F24" s="3218">
        <v>109.102391</v>
      </c>
      <c r="G24" s="501">
        <v>16.761956999999999</v>
      </c>
      <c r="H24" s="499">
        <v>82.495762999999997</v>
      </c>
      <c r="I24" s="3219">
        <f t="shared" si="0"/>
        <v>29.851804989315035</v>
      </c>
    </row>
    <row r="25" spans="1:9" ht="12.75" customHeight="1">
      <c r="A25" s="497">
        <f t="shared" si="1"/>
        <v>1989.4</v>
      </c>
      <c r="B25" s="499">
        <v>24.286237</v>
      </c>
      <c r="C25" s="3218">
        <v>88.301324999999991</v>
      </c>
      <c r="D25" s="499">
        <v>27.503819</v>
      </c>
      <c r="E25" s="500">
        <v>17.392741000000001</v>
      </c>
      <c r="F25" s="3218">
        <v>115.529343</v>
      </c>
      <c r="G25" s="501">
        <v>15.054824999999999</v>
      </c>
      <c r="H25" s="499">
        <v>76.431945999999996</v>
      </c>
      <c r="I25" s="3219">
        <f t="shared" si="0"/>
        <v>21.021704416686589</v>
      </c>
    </row>
    <row r="26" spans="1:9" ht="12.75" customHeight="1">
      <c r="A26" s="497">
        <f t="shared" si="1"/>
        <v>1990.1</v>
      </c>
      <c r="B26" s="499">
        <v>32.049590999999999</v>
      </c>
      <c r="C26" s="3218">
        <v>89.524197999999998</v>
      </c>
      <c r="D26" s="499">
        <v>35.79992</v>
      </c>
      <c r="E26" s="500">
        <v>16.302743</v>
      </c>
      <c r="F26" s="3218">
        <v>110.277625</v>
      </c>
      <c r="G26" s="501">
        <v>14.783363999999999</v>
      </c>
      <c r="H26" s="499">
        <v>81.180745000000002</v>
      </c>
      <c r="I26" s="3219">
        <f t="shared" si="0"/>
        <v>29.062641673684936</v>
      </c>
    </row>
    <row r="27" spans="1:9" ht="12.75" customHeight="1">
      <c r="A27" s="497">
        <f t="shared" si="1"/>
        <v>1990.2</v>
      </c>
      <c r="B27" s="499">
        <v>36.983122000000002</v>
      </c>
      <c r="C27" s="3218">
        <v>84.368331999999995</v>
      </c>
      <c r="D27" s="499">
        <v>43.835312999999999</v>
      </c>
      <c r="E27" s="500">
        <v>15.081567999999999</v>
      </c>
      <c r="F27" s="3218">
        <v>111.779347</v>
      </c>
      <c r="G27" s="501">
        <v>13.492267</v>
      </c>
      <c r="H27" s="499">
        <v>75.477567999999991</v>
      </c>
      <c r="I27" s="3219">
        <f t="shared" si="0"/>
        <v>33.085827563476464</v>
      </c>
    </row>
    <row r="28" spans="1:9" ht="12.75" customHeight="1">
      <c r="A28" s="497">
        <f t="shared" si="1"/>
        <v>1990.3</v>
      </c>
      <c r="B28" s="499">
        <v>39.693822999999995</v>
      </c>
      <c r="C28" s="3218">
        <v>87.010655</v>
      </c>
      <c r="D28" s="499">
        <v>45.619496999999996</v>
      </c>
      <c r="E28" s="500">
        <v>16.964548000000001</v>
      </c>
      <c r="F28" s="3218">
        <v>112.30412</v>
      </c>
      <c r="G28" s="501">
        <v>15.1059</v>
      </c>
      <c r="H28" s="499">
        <v>77.477705</v>
      </c>
      <c r="I28" s="3219">
        <f t="shared" si="0"/>
        <v>35.344939259574801</v>
      </c>
    </row>
    <row r="29" spans="1:9" ht="12.75" customHeight="1">
      <c r="A29" s="497">
        <f t="shared" si="1"/>
        <v>1990.4</v>
      </c>
      <c r="B29" s="499">
        <v>34.177526999999998</v>
      </c>
      <c r="C29" s="3218">
        <v>91.504056999999989</v>
      </c>
      <c r="D29" s="499">
        <v>37.350831999999997</v>
      </c>
      <c r="E29" s="500">
        <v>24.301867999999999</v>
      </c>
      <c r="F29" s="3218">
        <v>116.946344</v>
      </c>
      <c r="G29" s="501">
        <v>20.780356999999999</v>
      </c>
      <c r="H29" s="499">
        <v>78.244478000000001</v>
      </c>
      <c r="I29" s="3219">
        <f t="shared" si="0"/>
        <v>29.224964057020884</v>
      </c>
    </row>
    <row r="30" spans="1:9" ht="12.75" customHeight="1">
      <c r="A30" s="497">
        <f t="shared" si="1"/>
        <v>1991.1</v>
      </c>
      <c r="B30" s="499">
        <v>27.163563999999997</v>
      </c>
      <c r="C30" s="3218">
        <v>84.371397999999999</v>
      </c>
      <c r="D30" s="499">
        <v>32.195228999999998</v>
      </c>
      <c r="E30" s="500">
        <v>23.177609</v>
      </c>
      <c r="F30" s="3218">
        <v>114.504113</v>
      </c>
      <c r="G30" s="501">
        <v>20.241726</v>
      </c>
      <c r="H30" s="499">
        <v>73.684162999999998</v>
      </c>
      <c r="I30" s="3219">
        <f t="shared" si="0"/>
        <v>23.722784525652802</v>
      </c>
    </row>
    <row r="31" spans="1:9" ht="12.75" customHeight="1">
      <c r="A31" s="497">
        <f t="shared" si="1"/>
        <v>1991.2</v>
      </c>
      <c r="B31" s="499">
        <v>39.010551999999997</v>
      </c>
      <c r="C31" s="3218">
        <v>84.656739000000002</v>
      </c>
      <c r="D31" s="499">
        <v>46.080857999999999</v>
      </c>
      <c r="E31" s="500">
        <v>31.061667</v>
      </c>
      <c r="F31" s="3218">
        <v>111.98827199999999</v>
      </c>
      <c r="G31" s="501">
        <v>27.736535999999997</v>
      </c>
      <c r="H31" s="499">
        <v>75.594290000000001</v>
      </c>
      <c r="I31" s="3219">
        <f t="shared" si="0"/>
        <v>34.834497669541683</v>
      </c>
    </row>
    <row r="32" spans="1:9" ht="12.75" customHeight="1">
      <c r="A32" s="497">
        <f t="shared" si="1"/>
        <v>1991.3</v>
      </c>
      <c r="B32" s="499">
        <v>39.971291999999998</v>
      </c>
      <c r="C32" s="3218">
        <v>86.120572999999993</v>
      </c>
      <c r="D32" s="499">
        <v>46.413174999999995</v>
      </c>
      <c r="E32" s="500">
        <v>40.565419999999996</v>
      </c>
      <c r="F32" s="3218">
        <v>105.23448</v>
      </c>
      <c r="G32" s="501">
        <v>38.547650999999995</v>
      </c>
      <c r="H32" s="499">
        <v>81.836839999999995</v>
      </c>
      <c r="I32" s="3219">
        <f t="shared" si="0"/>
        <v>37.983075509091698</v>
      </c>
    </row>
    <row r="33" spans="1:9" ht="12.75" customHeight="1">
      <c r="A33" s="497">
        <f t="shared" si="1"/>
        <v>1991.4</v>
      </c>
      <c r="B33" s="499">
        <v>32.423282999999998</v>
      </c>
      <c r="C33" s="3218">
        <v>87.492300999999998</v>
      </c>
      <c r="D33" s="499">
        <v>37.058440999999995</v>
      </c>
      <c r="E33" s="500">
        <v>52.669879999999999</v>
      </c>
      <c r="F33" s="3218">
        <v>105.294399</v>
      </c>
      <c r="G33" s="501">
        <v>50.021539999999995</v>
      </c>
      <c r="H33" s="499">
        <v>83.093024999999997</v>
      </c>
      <c r="I33" s="3219">
        <f t="shared" si="0"/>
        <v>30.792979786132786</v>
      </c>
    </row>
    <row r="34" spans="1:9" ht="12.75" customHeight="1">
      <c r="A34" s="497">
        <f t="shared" si="1"/>
        <v>1992.1</v>
      </c>
      <c r="B34" s="499">
        <v>29.643262</v>
      </c>
      <c r="C34" s="3218">
        <v>86.076106999999993</v>
      </c>
      <c r="D34" s="499">
        <v>34.438431999999999</v>
      </c>
      <c r="E34" s="500">
        <v>51.457974999999998</v>
      </c>
      <c r="F34" s="3218">
        <v>104.359442</v>
      </c>
      <c r="G34" s="501">
        <v>49.308403999999996</v>
      </c>
      <c r="H34" s="499">
        <v>82.480420999999993</v>
      </c>
      <c r="I34" s="3219">
        <f t="shared" si="0"/>
        <v>28.404964066404265</v>
      </c>
    </row>
    <row r="35" spans="1:9" ht="12.75" customHeight="1">
      <c r="A35" s="497">
        <f t="shared" si="1"/>
        <v>1992.2</v>
      </c>
      <c r="B35" s="499">
        <v>38.510618000000001</v>
      </c>
      <c r="C35" s="3218">
        <v>86.923045000000002</v>
      </c>
      <c r="D35" s="499">
        <v>44.304266999999996</v>
      </c>
      <c r="E35" s="500">
        <v>63.828764999999997</v>
      </c>
      <c r="F35" s="3218">
        <v>102.74252799999999</v>
      </c>
      <c r="G35" s="501">
        <v>62.124969999999998</v>
      </c>
      <c r="H35" s="499">
        <v>84.602789999999999</v>
      </c>
      <c r="I35" s="3219">
        <f t="shared" si="0"/>
        <v>37.482645939955852</v>
      </c>
    </row>
    <row r="36" spans="1:9" ht="12.75" customHeight="1">
      <c r="A36" s="497">
        <f t="shared" si="1"/>
        <v>1992.3</v>
      </c>
      <c r="B36" s="499">
        <v>38.569413999999995</v>
      </c>
      <c r="C36" s="3218">
        <v>89.153182000000001</v>
      </c>
      <c r="D36" s="499">
        <v>43.261959999999995</v>
      </c>
      <c r="E36" s="500">
        <v>77.60658699999999</v>
      </c>
      <c r="F36" s="3218">
        <v>104.086217</v>
      </c>
      <c r="G36" s="501">
        <v>74.559907999999993</v>
      </c>
      <c r="H36" s="499">
        <v>85.653206999999995</v>
      </c>
      <c r="I36" s="3219">
        <f t="shared" si="0"/>
        <v>37.055255836610904</v>
      </c>
    </row>
    <row r="37" spans="1:9" ht="12.75" customHeight="1">
      <c r="A37" s="497">
        <f t="shared" si="1"/>
        <v>1992.4</v>
      </c>
      <c r="B37" s="499">
        <v>34.82047</v>
      </c>
      <c r="C37" s="3218">
        <v>86.565218000000002</v>
      </c>
      <c r="D37" s="499">
        <v>40.224550999999998</v>
      </c>
      <c r="E37" s="500">
        <v>72.137952999999996</v>
      </c>
      <c r="F37" s="3218">
        <v>105.11922</v>
      </c>
      <c r="G37" s="501">
        <v>68.624893999999998</v>
      </c>
      <c r="H37" s="499">
        <v>82.349561999999992</v>
      </c>
      <c r="I37" s="3219">
        <f t="shared" si="0"/>
        <v>33.124741602915243</v>
      </c>
    </row>
    <row r="38" spans="1:9" ht="12.75" customHeight="1">
      <c r="A38" s="497">
        <f t="shared" si="1"/>
        <v>1993.1</v>
      </c>
      <c r="B38" s="499">
        <v>33.403132999999997</v>
      </c>
      <c r="C38" s="3218">
        <v>85.217035999999993</v>
      </c>
      <c r="D38" s="499">
        <v>39.197716999999997</v>
      </c>
      <c r="E38" s="500">
        <v>58.082259999999998</v>
      </c>
      <c r="F38" s="3218">
        <v>104.643156</v>
      </c>
      <c r="G38" s="501">
        <v>55.505072999999996</v>
      </c>
      <c r="H38" s="499">
        <v>81.435842999999991</v>
      </c>
      <c r="I38" s="3219">
        <f t="shared" si="0"/>
        <v>31.920991564895075</v>
      </c>
    </row>
    <row r="39" spans="1:9" ht="12.75" customHeight="1">
      <c r="A39" s="497">
        <f t="shared" si="1"/>
        <v>1993.2</v>
      </c>
      <c r="B39" s="499">
        <v>41.385131999999999</v>
      </c>
      <c r="C39" s="3218">
        <v>85.82027699999999</v>
      </c>
      <c r="D39" s="499">
        <v>48.223022999999998</v>
      </c>
      <c r="E39" s="500">
        <v>68.974767</v>
      </c>
      <c r="F39" s="3218">
        <v>103.980138</v>
      </c>
      <c r="G39" s="501">
        <v>66.334559999999996</v>
      </c>
      <c r="H39" s="499">
        <v>82.535259999999994</v>
      </c>
      <c r="I39" s="3219">
        <f t="shared" si="0"/>
        <v>39.800997378941737</v>
      </c>
    </row>
    <row r="40" spans="1:9" ht="12.75" customHeight="1">
      <c r="A40" s="497">
        <f t="shared" si="1"/>
        <v>1993.3</v>
      </c>
      <c r="B40" s="499">
        <v>39.737197999999999</v>
      </c>
      <c r="C40" s="3218">
        <v>88.647369999999995</v>
      </c>
      <c r="D40" s="499">
        <v>44.826143999999999</v>
      </c>
      <c r="E40" s="500">
        <v>83.049059999999997</v>
      </c>
      <c r="F40" s="3218">
        <v>100.49619800000001</v>
      </c>
      <c r="G40" s="501">
        <v>82.639005999999995</v>
      </c>
      <c r="H40" s="499">
        <v>88.20967499999999</v>
      </c>
      <c r="I40" s="3219">
        <f t="shared" si="0"/>
        <v>39.540996366847622</v>
      </c>
    </row>
    <row r="41" spans="1:9" ht="12.75" customHeight="1">
      <c r="A41" s="497">
        <f t="shared" si="1"/>
        <v>1993.4</v>
      </c>
      <c r="B41" s="499">
        <v>37.231350999999997</v>
      </c>
      <c r="C41" s="3218">
        <v>85.074176999999992</v>
      </c>
      <c r="D41" s="499">
        <v>43.763397999999995</v>
      </c>
      <c r="E41" s="500">
        <v>88.994870999999989</v>
      </c>
      <c r="F41" s="3218">
        <v>103.82983899999999</v>
      </c>
      <c r="G41" s="501">
        <v>85.712231000000003</v>
      </c>
      <c r="H41" s="499">
        <v>81.936154999999999</v>
      </c>
      <c r="I41" s="3219">
        <f t="shared" si="0"/>
        <v>35.858045585527684</v>
      </c>
    </row>
    <row r="42" spans="1:9" ht="12.75" customHeight="1">
      <c r="A42" s="497">
        <f t="shared" si="1"/>
        <v>1994.1</v>
      </c>
      <c r="B42" s="499">
        <v>35.352308999999998</v>
      </c>
      <c r="C42" s="3218">
        <v>83.179311999999996</v>
      </c>
      <c r="D42" s="499">
        <v>42.501323999999997</v>
      </c>
      <c r="E42" s="500">
        <v>87.592970999999991</v>
      </c>
      <c r="F42" s="3218">
        <v>104.73758599999999</v>
      </c>
      <c r="G42" s="501">
        <v>83.630884999999992</v>
      </c>
      <c r="H42" s="499">
        <v>79.416868999999991</v>
      </c>
      <c r="I42" s="3219">
        <f t="shared" si="0"/>
        <v>33.753221121594308</v>
      </c>
    </row>
    <row r="43" spans="1:9" ht="12.75" customHeight="1">
      <c r="A43" s="497">
        <f t="shared" si="1"/>
        <v>1994.2</v>
      </c>
      <c r="B43" s="499">
        <v>49.496725999999995</v>
      </c>
      <c r="C43" s="3218">
        <v>87.637288999999996</v>
      </c>
      <c r="D43" s="499">
        <v>56.47907</v>
      </c>
      <c r="E43" s="500">
        <v>94.961055999999999</v>
      </c>
      <c r="F43" s="3218">
        <v>102.348157</v>
      </c>
      <c r="G43" s="501">
        <v>92.782379999999989</v>
      </c>
      <c r="H43" s="499">
        <v>85.626640999999992</v>
      </c>
      <c r="I43" s="3219">
        <f t="shared" si="0"/>
        <v>48.361130723633835</v>
      </c>
    </row>
    <row r="44" spans="1:9" ht="12.75" customHeight="1">
      <c r="A44" s="497">
        <f t="shared" si="1"/>
        <v>1994.3</v>
      </c>
      <c r="B44" s="499">
        <v>49.242140999999997</v>
      </c>
      <c r="C44" s="3218">
        <v>90.023411999999993</v>
      </c>
      <c r="D44" s="499">
        <v>54.699261</v>
      </c>
      <c r="E44" s="500">
        <v>100.596841</v>
      </c>
      <c r="F44" s="3218">
        <v>103.16973299999999</v>
      </c>
      <c r="G44" s="501">
        <v>97.506157000000002</v>
      </c>
      <c r="H44" s="499">
        <v>87.257578999999993</v>
      </c>
      <c r="I44" s="3219">
        <f t="shared" si="0"/>
        <v>47.729251174857652</v>
      </c>
    </row>
    <row r="45" spans="1:9" ht="12.75" customHeight="1">
      <c r="A45" s="497">
        <f t="shared" si="1"/>
        <v>1994.4</v>
      </c>
      <c r="B45" s="499">
        <v>49.149631999999997</v>
      </c>
      <c r="C45" s="3218">
        <v>89.925180999999995</v>
      </c>
      <c r="D45" s="499">
        <v>54.656138999999996</v>
      </c>
      <c r="E45" s="500">
        <v>101.61161199999999</v>
      </c>
      <c r="F45" s="3218">
        <v>106.86162899999999</v>
      </c>
      <c r="G45" s="501">
        <v>95.087088999999992</v>
      </c>
      <c r="H45" s="499">
        <v>84.151048000000003</v>
      </c>
      <c r="I45" s="3219">
        <f t="shared" si="0"/>
        <v>45.993713983154791</v>
      </c>
    </row>
    <row r="46" spans="1:9" ht="12.75" customHeight="1">
      <c r="A46" s="497">
        <f t="shared" si="1"/>
        <v>1995.1</v>
      </c>
      <c r="B46" s="499">
        <v>52.474664999999995</v>
      </c>
      <c r="C46" s="3218">
        <v>93.309434999999993</v>
      </c>
      <c r="D46" s="499">
        <v>56.237254999999998</v>
      </c>
      <c r="E46" s="500">
        <v>93.348241999999999</v>
      </c>
      <c r="F46" s="3218">
        <v>106.60727799999999</v>
      </c>
      <c r="G46" s="501">
        <v>87.56272899999999</v>
      </c>
      <c r="H46" s="499">
        <v>87.526326999999995</v>
      </c>
      <c r="I46" s="3219">
        <f t="shared" si="0"/>
        <v>49.22240393381022</v>
      </c>
    </row>
    <row r="47" spans="1:9" ht="12.75" customHeight="1">
      <c r="A47" s="497">
        <f t="shared" si="1"/>
        <v>1995.2</v>
      </c>
      <c r="B47" s="499">
        <v>73.078684999999993</v>
      </c>
      <c r="C47" s="3218">
        <v>95.222476</v>
      </c>
      <c r="D47" s="499">
        <v>76.745205999999996</v>
      </c>
      <c r="E47" s="500">
        <v>85.186891000000003</v>
      </c>
      <c r="F47" s="3218">
        <v>106.07539800000001</v>
      </c>
      <c r="G47" s="501">
        <v>80.307867999999999</v>
      </c>
      <c r="H47" s="499">
        <v>89.768670999999998</v>
      </c>
      <c r="I47" s="3219">
        <f t="shared" si="0"/>
        <v>68.893151831492531</v>
      </c>
    </row>
    <row r="48" spans="1:9" ht="12.75" customHeight="1">
      <c r="A48" s="497">
        <f t="shared" si="1"/>
        <v>1995.3</v>
      </c>
      <c r="B48" s="499">
        <v>61.009811999999997</v>
      </c>
      <c r="C48" s="3218">
        <v>95.371313000000001</v>
      </c>
      <c r="D48" s="499">
        <v>63.970820999999994</v>
      </c>
      <c r="E48" s="500">
        <v>87.629343999999989</v>
      </c>
      <c r="F48" s="3218">
        <v>106.431521</v>
      </c>
      <c r="G48" s="501">
        <v>82.334013999999996</v>
      </c>
      <c r="H48" s="499">
        <v>89.608145999999991</v>
      </c>
      <c r="I48" s="3219">
        <f t="shared" si="0"/>
        <v>57.323066913607292</v>
      </c>
    </row>
    <row r="49" spans="1:9" ht="12.75" customHeight="1">
      <c r="A49" s="497">
        <f t="shared" si="1"/>
        <v>1995.4</v>
      </c>
      <c r="B49" s="499">
        <v>55.954995999999994</v>
      </c>
      <c r="C49" s="3218">
        <v>92.272617999999994</v>
      </c>
      <c r="D49" s="499">
        <v>60.640954000000001</v>
      </c>
      <c r="E49" s="500">
        <v>92.426394000000002</v>
      </c>
      <c r="F49" s="3218">
        <v>108.831808</v>
      </c>
      <c r="G49" s="501">
        <v>84.925900999999996</v>
      </c>
      <c r="H49" s="499">
        <v>84.784604999999999</v>
      </c>
      <c r="I49" s="3219">
        <f t="shared" si="0"/>
        <v>51.414193174113208</v>
      </c>
    </row>
    <row r="50" spans="1:9" ht="12.75" customHeight="1">
      <c r="A50" s="497">
        <f t="shared" si="1"/>
        <v>1996.1</v>
      </c>
      <c r="B50" s="499">
        <v>54.812694999999998</v>
      </c>
      <c r="C50" s="3218">
        <v>94.31291499999999</v>
      </c>
      <c r="D50" s="499">
        <v>58.117909999999995</v>
      </c>
      <c r="E50" s="500">
        <v>88.850893999999997</v>
      </c>
      <c r="F50" s="3218">
        <v>112.28900400000001</v>
      </c>
      <c r="G50" s="501">
        <v>79.126976999999997</v>
      </c>
      <c r="H50" s="499">
        <v>83.99122899999999</v>
      </c>
      <c r="I50" s="3219">
        <f t="shared" si="0"/>
        <v>48.813947089601037</v>
      </c>
    </row>
    <row r="51" spans="1:9" ht="12.75" customHeight="1">
      <c r="A51" s="497">
        <f t="shared" si="1"/>
        <v>1996.2</v>
      </c>
      <c r="B51" s="499">
        <v>76.41904199999999</v>
      </c>
      <c r="C51" s="3218">
        <v>102.33609799999999</v>
      </c>
      <c r="D51" s="499">
        <v>74.674571</v>
      </c>
      <c r="E51" s="500">
        <v>102.035955</v>
      </c>
      <c r="F51" s="3218">
        <v>106.81935799999999</v>
      </c>
      <c r="G51" s="501">
        <v>95.521970999999994</v>
      </c>
      <c r="H51" s="499">
        <v>95.802951999999991</v>
      </c>
      <c r="I51" s="3219">
        <f t="shared" si="0"/>
        <v>71.540443072125555</v>
      </c>
    </row>
    <row r="52" spans="1:9" ht="12.75" customHeight="1">
      <c r="A52" s="497">
        <f t="shared" si="1"/>
        <v>1996.3</v>
      </c>
      <c r="B52" s="499">
        <v>74.486336999999992</v>
      </c>
      <c r="C52" s="3218">
        <v>101.591296</v>
      </c>
      <c r="D52" s="499">
        <v>73.319604999999996</v>
      </c>
      <c r="E52" s="500">
        <v>117.25258700000001</v>
      </c>
      <c r="F52" s="3218">
        <v>104.350375</v>
      </c>
      <c r="G52" s="501">
        <v>112.364318</v>
      </c>
      <c r="H52" s="499">
        <v>97.355947</v>
      </c>
      <c r="I52" s="3219">
        <f t="shared" si="0"/>
        <v>71.380995995462399</v>
      </c>
    </row>
    <row r="53" spans="1:9" ht="12.75" customHeight="1">
      <c r="A53" s="497">
        <f t="shared" si="1"/>
        <v>1996.4</v>
      </c>
      <c r="B53" s="499">
        <v>69.743521999999999</v>
      </c>
      <c r="C53" s="3218">
        <v>98.231893999999997</v>
      </c>
      <c r="D53" s="499">
        <v>70.998857000000001</v>
      </c>
      <c r="E53" s="500">
        <v>115.322554</v>
      </c>
      <c r="F53" s="3218">
        <v>108.54783</v>
      </c>
      <c r="G53" s="501">
        <v>106.24123400000001</v>
      </c>
      <c r="H53" s="499">
        <v>90.496414000000001</v>
      </c>
      <c r="I53" s="3219">
        <f t="shared" si="0"/>
        <v>64.25141985795571</v>
      </c>
    </row>
    <row r="54" spans="1:9" ht="12.75" customHeight="1">
      <c r="A54" s="497">
        <f t="shared" si="1"/>
        <v>1997.1</v>
      </c>
      <c r="B54" s="499">
        <v>66.796495999999991</v>
      </c>
      <c r="C54" s="3218">
        <v>97.347543999999999</v>
      </c>
      <c r="D54" s="499">
        <v>68.616518999999997</v>
      </c>
      <c r="E54" s="500">
        <v>115.71368099999999</v>
      </c>
      <c r="F54" s="3218">
        <v>109.419335</v>
      </c>
      <c r="G54" s="501">
        <v>105.752499</v>
      </c>
      <c r="H54" s="499">
        <v>88.967405999999997</v>
      </c>
      <c r="I54" s="3219">
        <f t="shared" si="0"/>
        <v>61.046337011644226</v>
      </c>
    </row>
    <row r="55" spans="1:9" ht="12.75" customHeight="1">
      <c r="A55" s="497">
        <f t="shared" si="1"/>
        <v>1997.2</v>
      </c>
      <c r="B55" s="499">
        <v>83.855400000000003</v>
      </c>
      <c r="C55" s="3218">
        <v>97.54464999999999</v>
      </c>
      <c r="D55" s="499">
        <v>85.966168999999994</v>
      </c>
      <c r="E55" s="500">
        <v>134.00908100000001</v>
      </c>
      <c r="F55" s="3218">
        <v>106.27366499999999</v>
      </c>
      <c r="G55" s="501">
        <v>126.098107</v>
      </c>
      <c r="H55" s="499">
        <v>91.78628599999999</v>
      </c>
      <c r="I55" s="3219">
        <f t="shared" si="0"/>
        <v>78.905154913025726</v>
      </c>
    </row>
    <row r="56" spans="1:9" ht="12.75" customHeight="1">
      <c r="A56" s="497">
        <f t="shared" si="1"/>
        <v>1997.3</v>
      </c>
      <c r="B56" s="499">
        <v>80.871944999999997</v>
      </c>
      <c r="C56" s="3218">
        <v>95.376139999999992</v>
      </c>
      <c r="D56" s="499">
        <v>84.792638999999994</v>
      </c>
      <c r="E56" s="500">
        <v>146.03230500000001</v>
      </c>
      <c r="F56" s="3218">
        <v>104.760679</v>
      </c>
      <c r="G56" s="501">
        <v>139.39610400000001</v>
      </c>
      <c r="H56" s="499">
        <v>91.041925999999989</v>
      </c>
      <c r="I56" s="3219">
        <f t="shared" si="0"/>
        <v>77.196850738243114</v>
      </c>
    </row>
    <row r="57" spans="1:9" ht="12.75" customHeight="1">
      <c r="A57" s="497">
        <f t="shared" si="1"/>
        <v>1997.4</v>
      </c>
      <c r="B57" s="499">
        <v>74.249620999999991</v>
      </c>
      <c r="C57" s="3218">
        <v>93.309348999999997</v>
      </c>
      <c r="D57" s="499">
        <v>79.573613999999992</v>
      </c>
      <c r="E57" s="500">
        <v>146.90124299999999</v>
      </c>
      <c r="F57" s="3218">
        <v>105.558818</v>
      </c>
      <c r="G57" s="501">
        <v>139.16529800000001</v>
      </c>
      <c r="H57" s="499">
        <v>88.39559899999999</v>
      </c>
      <c r="I57" s="3219">
        <f t="shared" si="0"/>
        <v>70.339572199453755</v>
      </c>
    </row>
    <row r="58" spans="1:9" ht="12.75" customHeight="1">
      <c r="A58" s="497">
        <f t="shared" si="1"/>
        <v>1998.1</v>
      </c>
      <c r="B58" s="499">
        <v>68.141406000000003</v>
      </c>
      <c r="C58" s="3218">
        <v>87.500231999999997</v>
      </c>
      <c r="D58" s="499">
        <v>77.875686000000002</v>
      </c>
      <c r="E58" s="500">
        <v>134.28358299999999</v>
      </c>
      <c r="F58" s="3218">
        <v>103.936662</v>
      </c>
      <c r="G58" s="501">
        <v>129.19751299999999</v>
      </c>
      <c r="H58" s="499">
        <v>84.186109000000002</v>
      </c>
      <c r="I58" s="3219">
        <f t="shared" si="0"/>
        <v>65.56051030386179</v>
      </c>
    </row>
    <row r="59" spans="1:9" ht="12.75" customHeight="1">
      <c r="A59" s="497">
        <f t="shared" si="1"/>
        <v>1998.2</v>
      </c>
      <c r="B59" s="499">
        <v>88.918516999999994</v>
      </c>
      <c r="C59" s="3218">
        <v>87.325071999999992</v>
      </c>
      <c r="D59" s="499">
        <v>101.82472799999999</v>
      </c>
      <c r="E59" s="500">
        <v>145.92462599999999</v>
      </c>
      <c r="F59" s="3218">
        <v>100.510887</v>
      </c>
      <c r="G59" s="501">
        <v>145.182906</v>
      </c>
      <c r="H59" s="499">
        <v>86.881206999999989</v>
      </c>
      <c r="I59" s="3219">
        <f t="shared" si="0"/>
        <v>88.466552881977847</v>
      </c>
    </row>
    <row r="60" spans="1:9" ht="12.75" customHeight="1">
      <c r="A60" s="497">
        <f t="shared" si="1"/>
        <v>1998.3</v>
      </c>
      <c r="B60" s="499">
        <v>81.29516799999999</v>
      </c>
      <c r="C60" s="3218">
        <v>83.741383999999996</v>
      </c>
      <c r="D60" s="499">
        <v>97.078845000000001</v>
      </c>
      <c r="E60" s="500">
        <v>150.20485500000001</v>
      </c>
      <c r="F60" s="3218">
        <v>98.316839000000002</v>
      </c>
      <c r="G60" s="501">
        <v>152.77632699999998</v>
      </c>
      <c r="H60" s="499">
        <v>85.175015999999999</v>
      </c>
      <c r="I60" s="3219">
        <f t="shared" si="0"/>
        <v>82.686922023601667</v>
      </c>
    </row>
    <row r="61" spans="1:9" ht="12.75" customHeight="1">
      <c r="A61" s="497">
        <f t="shared" si="1"/>
        <v>1998.4</v>
      </c>
      <c r="B61" s="499">
        <v>67.451272000000003</v>
      </c>
      <c r="C61" s="3218">
        <v>81.591385000000002</v>
      </c>
      <c r="D61" s="499">
        <v>82.669601</v>
      </c>
      <c r="E61" s="500">
        <v>128.76656399999999</v>
      </c>
      <c r="F61" s="3218">
        <v>97.94568799999999</v>
      </c>
      <c r="G61" s="501">
        <v>131.46731299999999</v>
      </c>
      <c r="H61" s="499">
        <v>83.302680999999993</v>
      </c>
      <c r="I61" s="3219">
        <f t="shared" si="0"/>
        <v>68.865994386603319</v>
      </c>
    </row>
    <row r="62" spans="1:9" ht="12.75" customHeight="1">
      <c r="A62" s="497">
        <f t="shared" si="1"/>
        <v>1999.1</v>
      </c>
      <c r="B62" s="499">
        <v>58.597524999999997</v>
      </c>
      <c r="C62" s="3218">
        <v>74.623187999999999</v>
      </c>
      <c r="D62" s="499">
        <v>78.524553999999995</v>
      </c>
      <c r="E62" s="500">
        <v>104.079322</v>
      </c>
      <c r="F62" s="3218">
        <v>97.691524999999999</v>
      </c>
      <c r="G62" s="501">
        <v>106.538742</v>
      </c>
      <c r="H62" s="499">
        <v>76.386551999999995</v>
      </c>
      <c r="I62" s="3219">
        <f t="shared" si="0"/>
        <v>59.982199069980737</v>
      </c>
    </row>
    <row r="63" spans="1:9" ht="12.75" customHeight="1">
      <c r="A63" s="497">
        <f t="shared" si="1"/>
        <v>1999.2</v>
      </c>
      <c r="B63" s="499">
        <v>73.852125000000001</v>
      </c>
      <c r="C63" s="3218">
        <v>74.968707999999992</v>
      </c>
      <c r="D63" s="499">
        <v>98.510600999999994</v>
      </c>
      <c r="E63" s="500">
        <v>107.22181499999999</v>
      </c>
      <c r="F63" s="3218">
        <v>95.918092999999999</v>
      </c>
      <c r="G63" s="501">
        <v>111.78476499999999</v>
      </c>
      <c r="H63" s="499">
        <v>78.159088999999994</v>
      </c>
      <c r="I63" s="3219">
        <f t="shared" si="0"/>
        <v>76.994988839071269</v>
      </c>
    </row>
    <row r="64" spans="1:9" ht="12.75" customHeight="1">
      <c r="A64" s="497">
        <f t="shared" si="1"/>
        <v>1999.3</v>
      </c>
      <c r="B64" s="499">
        <v>68.690910000000002</v>
      </c>
      <c r="C64" s="3218">
        <v>76.394635999999991</v>
      </c>
      <c r="D64" s="499">
        <v>89.915880999999999</v>
      </c>
      <c r="E64" s="500">
        <v>121.948931</v>
      </c>
      <c r="F64" s="3218">
        <v>96.312689999999989</v>
      </c>
      <c r="G64" s="501">
        <v>126.617718</v>
      </c>
      <c r="H64" s="499">
        <v>79.319386999999992</v>
      </c>
      <c r="I64" s="3219">
        <f t="shared" si="0"/>
        <v>71.320726271896277</v>
      </c>
    </row>
    <row r="65" spans="1:9" ht="12.75" customHeight="1">
      <c r="A65" s="497">
        <f t="shared" si="1"/>
        <v>1999.4</v>
      </c>
      <c r="B65" s="499">
        <v>68.512543999999991</v>
      </c>
      <c r="C65" s="3218">
        <v>80.736273999999995</v>
      </c>
      <c r="D65" s="499">
        <v>84.859679</v>
      </c>
      <c r="E65" s="500">
        <v>121.333805</v>
      </c>
      <c r="F65" s="3218">
        <v>97.33099</v>
      </c>
      <c r="G65" s="501">
        <v>124.66102000000001</v>
      </c>
      <c r="H65" s="499">
        <v>82.950223999999992</v>
      </c>
      <c r="I65" s="3219">
        <f t="shared" si="0"/>
        <v>70.39129469452638</v>
      </c>
    </row>
    <row r="66" spans="1:9" ht="12.75" customHeight="1">
      <c r="A66" s="497">
        <f t="shared" si="1"/>
        <v>2000.1</v>
      </c>
      <c r="B66" s="499">
        <v>66.083508999999992</v>
      </c>
      <c r="C66" s="3218">
        <v>84.028172999999995</v>
      </c>
      <c r="D66" s="499">
        <v>78.644468000000003</v>
      </c>
      <c r="E66" s="500">
        <v>104.721721</v>
      </c>
      <c r="F66" s="3218">
        <v>100.15629</v>
      </c>
      <c r="G66" s="501">
        <v>104.558306</v>
      </c>
      <c r="H66" s="499">
        <v>83.897049999999993</v>
      </c>
      <c r="I66" s="3219">
        <f t="shared" si="0"/>
        <v>65.9803882512022</v>
      </c>
    </row>
    <row r="67" spans="1:9" ht="12.75" customHeight="1">
      <c r="A67" s="497">
        <f t="shared" si="1"/>
        <v>2000.2</v>
      </c>
      <c r="B67" s="499">
        <v>84.630690999999999</v>
      </c>
      <c r="C67" s="3218">
        <v>83.326675999999992</v>
      </c>
      <c r="D67" s="499">
        <v>101.564942</v>
      </c>
      <c r="E67" s="500">
        <v>112.250893</v>
      </c>
      <c r="F67" s="3218">
        <v>98.631354999999999</v>
      </c>
      <c r="G67" s="501">
        <v>113.808528</v>
      </c>
      <c r="H67" s="499">
        <v>84.482947999999993</v>
      </c>
      <c r="I67" s="3219">
        <f t="shared" si="0"/>
        <v>85.805057631013995</v>
      </c>
    </row>
    <row r="68" spans="1:9" ht="12.75" customHeight="1">
      <c r="A68" s="497">
        <f t="shared" si="1"/>
        <v>2000.3</v>
      </c>
      <c r="B68" s="499">
        <v>77.955983000000003</v>
      </c>
      <c r="C68" s="3218">
        <v>85.908846999999994</v>
      </c>
      <c r="D68" s="499">
        <v>90.742671999999999</v>
      </c>
      <c r="E68" s="500">
        <v>117.706845</v>
      </c>
      <c r="F68" s="3218">
        <v>96.671522999999993</v>
      </c>
      <c r="G68" s="501">
        <v>121.759584</v>
      </c>
      <c r="H68" s="499">
        <v>88.866755999999995</v>
      </c>
      <c r="I68" s="3219">
        <f t="shared" si="0"/>
        <v>80.640069154594798</v>
      </c>
    </row>
    <row r="69" spans="1:9" ht="12.75" customHeight="1">
      <c r="A69" s="497">
        <f t="shared" si="1"/>
        <v>2000.4</v>
      </c>
      <c r="B69" s="499">
        <v>76.064104999999998</v>
      </c>
      <c r="C69" s="3218">
        <v>86.935626999999997</v>
      </c>
      <c r="D69" s="499">
        <v>87.494744999999995</v>
      </c>
      <c r="E69" s="500">
        <v>115.847042</v>
      </c>
      <c r="F69" s="3218">
        <v>98.163783999999993</v>
      </c>
      <c r="G69" s="501">
        <v>118.01403500000001</v>
      </c>
      <c r="H69" s="499">
        <v>88.561813999999998</v>
      </c>
      <c r="I69" s="3219">
        <f t="shared" si="0"/>
        <v>77.486932451585204</v>
      </c>
    </row>
    <row r="70" spans="1:9" ht="12.75" customHeight="1">
      <c r="A70" s="497">
        <f t="shared" si="1"/>
        <v>2001.1</v>
      </c>
      <c r="B70" s="499">
        <v>68.350732999999991</v>
      </c>
      <c r="C70" s="3218">
        <v>86.374431999999999</v>
      </c>
      <c r="D70" s="499">
        <v>79.133062999999993</v>
      </c>
      <c r="E70" s="500">
        <v>102.344966</v>
      </c>
      <c r="F70" s="3218">
        <v>98.522312999999997</v>
      </c>
      <c r="G70" s="501">
        <v>103.879987</v>
      </c>
      <c r="H70" s="499">
        <v>87.669918999999993</v>
      </c>
      <c r="I70" s="3219">
        <f t="shared" si="0"/>
        <v>69.375891530277002</v>
      </c>
    </row>
    <row r="71" spans="1:9" ht="12.75" customHeight="1">
      <c r="A71" s="497">
        <f t="shared" si="1"/>
        <v>2001.2</v>
      </c>
      <c r="B71" s="499">
        <v>86.816557000000003</v>
      </c>
      <c r="C71" s="3218">
        <v>79.976546999999997</v>
      </c>
      <c r="D71" s="499">
        <v>108.552519</v>
      </c>
      <c r="E71" s="500">
        <v>102.93651300000001</v>
      </c>
      <c r="F71" s="3218">
        <v>96.849054999999993</v>
      </c>
      <c r="G71" s="501">
        <v>106.285512</v>
      </c>
      <c r="H71" s="499">
        <v>82.578552000000002</v>
      </c>
      <c r="I71" s="3219">
        <f t="shared" si="0"/>
        <v>89.641098717999895</v>
      </c>
    </row>
    <row r="72" spans="1:9" ht="12.75" customHeight="1">
      <c r="A72" s="497">
        <f t="shared" si="1"/>
        <v>2001.3</v>
      </c>
      <c r="B72" s="499">
        <v>81.621541999999991</v>
      </c>
      <c r="C72" s="3218">
        <v>81.021878999999998</v>
      </c>
      <c r="D72" s="499">
        <v>100.74012500000001</v>
      </c>
      <c r="E72" s="500">
        <v>89.517300999999989</v>
      </c>
      <c r="F72" s="3218">
        <v>93.705531999999991</v>
      </c>
      <c r="G72" s="501">
        <v>95.530434</v>
      </c>
      <c r="H72" s="499">
        <v>86.464350999999994</v>
      </c>
      <c r="I72" s="3219">
        <f t="shared" si="0"/>
        <v>87.104293906575336</v>
      </c>
    </row>
    <row r="73" spans="1:9" ht="12.75" customHeight="1">
      <c r="A73" s="497">
        <f t="shared" si="1"/>
        <v>2001.4</v>
      </c>
      <c r="B73" s="499">
        <v>70.278852999999998</v>
      </c>
      <c r="C73" s="3218">
        <v>76.405148999999994</v>
      </c>
      <c r="D73" s="499">
        <v>91.981828999999991</v>
      </c>
      <c r="E73" s="500">
        <v>67.318831000000003</v>
      </c>
      <c r="F73" s="3218">
        <v>91.994571999999991</v>
      </c>
      <c r="G73" s="501">
        <v>73.176958999999997</v>
      </c>
      <c r="H73" s="499">
        <v>83.053974999999994</v>
      </c>
      <c r="I73" s="3219">
        <f t="shared" si="0"/>
        <v>76.39456488802405</v>
      </c>
    </row>
    <row r="74" spans="1:9" ht="12.75" customHeight="1">
      <c r="A74" s="497">
        <f t="shared" si="1"/>
        <v>2002.1</v>
      </c>
      <c r="B74" s="499">
        <v>66.082801000000003</v>
      </c>
      <c r="C74" s="3218">
        <v>75.106133</v>
      </c>
      <c r="D74" s="499">
        <v>87.98589299999999</v>
      </c>
      <c r="E74" s="500">
        <v>36.911625000000001</v>
      </c>
      <c r="F74" s="3218">
        <v>94.448090999999991</v>
      </c>
      <c r="G74" s="501">
        <v>39.081387999999997</v>
      </c>
      <c r="H74" s="499">
        <v>79.521070999999992</v>
      </c>
      <c r="I74" s="3219">
        <f t="shared" si="0"/>
        <v>69.967323108732828</v>
      </c>
    </row>
    <row r="75" spans="1:9" ht="12.75" customHeight="1">
      <c r="A75" s="497">
        <f t="shared" si="1"/>
        <v>2002.2</v>
      </c>
      <c r="B75" s="499">
        <v>78.408869999999993</v>
      </c>
      <c r="C75" s="3218">
        <v>75.539796999999993</v>
      </c>
      <c r="D75" s="499">
        <v>103.798095</v>
      </c>
      <c r="E75" s="500">
        <v>38.431502999999999</v>
      </c>
      <c r="F75" s="3218">
        <v>88.314267000000001</v>
      </c>
      <c r="G75" s="501">
        <v>43.516754999999996</v>
      </c>
      <c r="H75" s="499">
        <v>85.535212999999999</v>
      </c>
      <c r="I75" s="3219">
        <f t="shared" si="0"/>
        <v>88.7839220813552</v>
      </c>
    </row>
    <row r="76" spans="1:9" ht="12.75" customHeight="1">
      <c r="A76" s="497">
        <f>A72+1</f>
        <v>2002.3</v>
      </c>
      <c r="B76" s="499">
        <v>77.718760000000003</v>
      </c>
      <c r="C76" s="3218">
        <v>79.813520999999994</v>
      </c>
      <c r="D76" s="499">
        <v>97.375431999999989</v>
      </c>
      <c r="E76" s="500">
        <v>40.847806999999996</v>
      </c>
      <c r="F76" s="3218">
        <v>89.337215999999998</v>
      </c>
      <c r="G76" s="501">
        <v>45.723169999999996</v>
      </c>
      <c r="H76" s="499">
        <v>89.339610999999991</v>
      </c>
      <c r="I76" s="3219">
        <f t="shared" ref="I76:I139" si="2">B76/F76*100</f>
        <v>86.994830911229656</v>
      </c>
    </row>
    <row r="77" spans="1:9" ht="12.75" customHeight="1">
      <c r="A77" s="497">
        <f t="shared" si="1"/>
        <v>2002.4</v>
      </c>
      <c r="B77" s="499">
        <v>74.536401999999995</v>
      </c>
      <c r="C77" s="3218">
        <v>81.044646</v>
      </c>
      <c r="D77" s="499">
        <v>91.969556999999995</v>
      </c>
      <c r="E77" s="500">
        <v>44.012809999999995</v>
      </c>
      <c r="F77" s="3218">
        <v>89.363586999999995</v>
      </c>
      <c r="G77" s="501">
        <v>49.251390999999998</v>
      </c>
      <c r="H77" s="499">
        <v>90.690905000000001</v>
      </c>
      <c r="I77" s="3219">
        <f t="shared" si="2"/>
        <v>83.408023896802618</v>
      </c>
    </row>
    <row r="78" spans="1:9" ht="12.75" customHeight="1">
      <c r="A78" s="497">
        <f t="shared" si="1"/>
        <v>2003.1</v>
      </c>
      <c r="B78" s="499">
        <v>76.065935999999994</v>
      </c>
      <c r="C78" s="3218">
        <v>86.957742999999994</v>
      </c>
      <c r="D78" s="499">
        <v>87.474598</v>
      </c>
      <c r="E78" s="500">
        <v>44.722693999999997</v>
      </c>
      <c r="F78" s="3218">
        <v>92.217405999999997</v>
      </c>
      <c r="G78" s="501">
        <v>48.497019999999999</v>
      </c>
      <c r="H78" s="499">
        <v>94.296453</v>
      </c>
      <c r="I78" s="3219">
        <f t="shared" si="2"/>
        <v>82.485443149420178</v>
      </c>
    </row>
    <row r="79" spans="1:9" ht="12.75" customHeight="1">
      <c r="A79" s="497">
        <f t="shared" ref="A79:A142" si="3">A75+1</f>
        <v>2003.2</v>
      </c>
      <c r="B79" s="499">
        <v>97.826342999999994</v>
      </c>
      <c r="C79" s="3218">
        <v>83.951870999999997</v>
      </c>
      <c r="D79" s="499">
        <v>116.526698</v>
      </c>
      <c r="E79" s="500">
        <v>59.594784999999995</v>
      </c>
      <c r="F79" s="3218">
        <v>91.951196999999993</v>
      </c>
      <c r="G79" s="501">
        <v>64.811319999999995</v>
      </c>
      <c r="H79" s="499">
        <v>91.300466</v>
      </c>
      <c r="I79" s="3219">
        <f t="shared" si="2"/>
        <v>106.38941763857626</v>
      </c>
    </row>
    <row r="80" spans="1:9" ht="12.75" customHeight="1">
      <c r="A80" s="497">
        <f t="shared" si="3"/>
        <v>2003.3</v>
      </c>
      <c r="B80" s="499">
        <v>87.355685999999992</v>
      </c>
      <c r="C80" s="3218">
        <v>85.389077</v>
      </c>
      <c r="D80" s="499">
        <v>102.30311500000001</v>
      </c>
      <c r="E80" s="500">
        <v>66.171143999999998</v>
      </c>
      <c r="F80" s="3218">
        <v>91.865963999999991</v>
      </c>
      <c r="G80" s="501">
        <v>72.030097999999995</v>
      </c>
      <c r="H80" s="499">
        <v>92.949633999999989</v>
      </c>
      <c r="I80" s="3219">
        <f t="shared" si="2"/>
        <v>95.090371010530077</v>
      </c>
    </row>
    <row r="81" spans="1:9" ht="12.75" customHeight="1">
      <c r="A81" s="497">
        <f t="shared" si="3"/>
        <v>2003.4</v>
      </c>
      <c r="B81" s="499">
        <v>85.107693999999995</v>
      </c>
      <c r="C81" s="3218">
        <v>90.445297999999994</v>
      </c>
      <c r="D81" s="499">
        <v>94.098528000000002</v>
      </c>
      <c r="E81" s="500">
        <v>76.347651999999997</v>
      </c>
      <c r="F81" s="3218">
        <v>93.982407999999992</v>
      </c>
      <c r="G81" s="501">
        <v>81.236109999999996</v>
      </c>
      <c r="H81" s="499">
        <v>96.236412000000001</v>
      </c>
      <c r="I81" s="3219">
        <f t="shared" si="2"/>
        <v>90.55704765513137</v>
      </c>
    </row>
    <row r="82" spans="1:9" ht="12.75" customHeight="1">
      <c r="A82" s="497">
        <f t="shared" si="3"/>
        <v>2004.1</v>
      </c>
      <c r="B82" s="499">
        <v>85.32064299999999</v>
      </c>
      <c r="C82" s="3218">
        <v>98.366294999999994</v>
      </c>
      <c r="D82" s="499">
        <v>86.737679999999997</v>
      </c>
      <c r="E82" s="500">
        <v>83.088549</v>
      </c>
      <c r="F82" s="3218">
        <v>95.567118999999991</v>
      </c>
      <c r="G82" s="501">
        <v>86.942611999999997</v>
      </c>
      <c r="H82" s="499">
        <v>102.929016</v>
      </c>
      <c r="I82" s="3219">
        <f t="shared" si="2"/>
        <v>89.278241190884913</v>
      </c>
    </row>
    <row r="83" spans="1:9" ht="12.75" customHeight="1">
      <c r="A83" s="497">
        <f t="shared" si="3"/>
        <v>2004.2</v>
      </c>
      <c r="B83" s="499">
        <v>108.57138999999999</v>
      </c>
      <c r="C83" s="3218">
        <v>102.46966999999999</v>
      </c>
      <c r="D83" s="499">
        <v>105.95465899999999</v>
      </c>
      <c r="E83" s="500">
        <v>97.702032000000003</v>
      </c>
      <c r="F83" s="3218">
        <v>99.076138</v>
      </c>
      <c r="G83" s="501">
        <v>98.613080999999994</v>
      </c>
      <c r="H83" s="499">
        <v>103.42517599999999</v>
      </c>
      <c r="I83" s="3219">
        <f t="shared" si="2"/>
        <v>109.58379302188787</v>
      </c>
    </row>
    <row r="84" spans="1:9" ht="12.75" customHeight="1">
      <c r="A84" s="497">
        <f t="shared" si="3"/>
        <v>2004.3</v>
      </c>
      <c r="B84" s="499">
        <v>103.901526</v>
      </c>
      <c r="C84" s="3218">
        <v>99.162854999999993</v>
      </c>
      <c r="D84" s="499">
        <v>104.778676</v>
      </c>
      <c r="E84" s="500">
        <v>107.40213900000001</v>
      </c>
      <c r="F84" s="3218">
        <v>101.664419</v>
      </c>
      <c r="G84" s="501">
        <v>105.643784</v>
      </c>
      <c r="H84" s="499">
        <v>97.539389999999997</v>
      </c>
      <c r="I84" s="3219">
        <f t="shared" si="2"/>
        <v>102.20048176343781</v>
      </c>
    </row>
    <row r="85" spans="1:9" ht="12.75" customHeight="1">
      <c r="A85" s="497">
        <f t="shared" si="3"/>
        <v>2004.4</v>
      </c>
      <c r="B85" s="499">
        <v>102.206441</v>
      </c>
      <c r="C85" s="3218">
        <v>99.324275</v>
      </c>
      <c r="D85" s="499">
        <v>102.901774</v>
      </c>
      <c r="E85" s="500">
        <v>111.80727999999999</v>
      </c>
      <c r="F85" s="3218">
        <v>102.51884099999999</v>
      </c>
      <c r="G85" s="501">
        <v>109.060226</v>
      </c>
      <c r="H85" s="499">
        <v>96.883923999999993</v>
      </c>
      <c r="I85" s="3219">
        <f t="shared" si="2"/>
        <v>99.695275525013002</v>
      </c>
    </row>
    <row r="86" spans="1:9" ht="12.75" customHeight="1">
      <c r="A86" s="497">
        <f t="shared" si="3"/>
        <v>2005.1</v>
      </c>
      <c r="B86" s="499">
        <v>97.661503999999994</v>
      </c>
      <c r="C86" s="3218">
        <v>98.67183</v>
      </c>
      <c r="D86" s="499">
        <v>98.976074999999994</v>
      </c>
      <c r="E86" s="500">
        <v>106.318434</v>
      </c>
      <c r="F86" s="3218">
        <v>105.486538</v>
      </c>
      <c r="G86" s="501">
        <v>100.788628</v>
      </c>
      <c r="H86" s="499">
        <v>93.539737000000002</v>
      </c>
      <c r="I86" s="3219">
        <f t="shared" si="2"/>
        <v>92.581959605120417</v>
      </c>
    </row>
    <row r="87" spans="1:9" ht="12.75" customHeight="1">
      <c r="A87" s="497">
        <f t="shared" si="3"/>
        <v>2005.2</v>
      </c>
      <c r="B87" s="499">
        <v>123.85957999999999</v>
      </c>
      <c r="C87" s="3218">
        <v>101.84740600000001</v>
      </c>
      <c r="D87" s="499">
        <v>121.61289600000001</v>
      </c>
      <c r="E87" s="500">
        <v>135.07510000000002</v>
      </c>
      <c r="F87" s="3218">
        <v>108.489405</v>
      </c>
      <c r="G87" s="501">
        <v>124.50533799999999</v>
      </c>
      <c r="H87" s="499">
        <v>93.877743999999993</v>
      </c>
      <c r="I87" s="3219">
        <f t="shared" si="2"/>
        <v>114.16744335541335</v>
      </c>
    </row>
    <row r="88" spans="1:9" ht="12.75" customHeight="1">
      <c r="A88" s="497">
        <f t="shared" si="3"/>
        <v>2005.3</v>
      </c>
      <c r="B88" s="499">
        <v>126.346366</v>
      </c>
      <c r="C88" s="3218">
        <v>107.57832000000001</v>
      </c>
      <c r="D88" s="499">
        <v>117.445936</v>
      </c>
      <c r="E88" s="500">
        <v>132.63878800000001</v>
      </c>
      <c r="F88" s="3218">
        <v>107.93256</v>
      </c>
      <c r="G88" s="501">
        <v>122.89043100000001</v>
      </c>
      <c r="H88" s="499">
        <v>99.671796000000001</v>
      </c>
      <c r="I88" s="3219">
        <f t="shared" si="2"/>
        <v>117.06047368838468</v>
      </c>
    </row>
    <row r="89" spans="1:9" ht="12.75" customHeight="1">
      <c r="A89" s="497">
        <f t="shared" si="3"/>
        <v>2005.4</v>
      </c>
      <c r="B89" s="499">
        <v>119.359213</v>
      </c>
      <c r="C89" s="3218">
        <v>109.861886</v>
      </c>
      <c r="D89" s="499">
        <v>108.64478800000001</v>
      </c>
      <c r="E89" s="500">
        <v>137.20011099999999</v>
      </c>
      <c r="F89" s="3218">
        <v>108.854174</v>
      </c>
      <c r="G89" s="501">
        <v>126.040285</v>
      </c>
      <c r="H89" s="499">
        <v>100.92574500000001</v>
      </c>
      <c r="I89" s="3219">
        <f t="shared" si="2"/>
        <v>109.65056149339757</v>
      </c>
    </row>
    <row r="90" spans="1:9" ht="12.75" customHeight="1">
      <c r="A90" s="497">
        <f t="shared" si="3"/>
        <v>2006.1</v>
      </c>
      <c r="B90" s="499">
        <v>114.825847</v>
      </c>
      <c r="C90" s="3218">
        <v>110.95615599999999</v>
      </c>
      <c r="D90" s="499">
        <v>103.48758599999999</v>
      </c>
      <c r="E90" s="500">
        <v>131.373403</v>
      </c>
      <c r="F90" s="3218">
        <v>111.249756</v>
      </c>
      <c r="G90" s="501">
        <v>118.088711</v>
      </c>
      <c r="H90" s="499">
        <v>99.736088999999993</v>
      </c>
      <c r="I90" s="3219">
        <f t="shared" si="2"/>
        <v>103.21447087039004</v>
      </c>
    </row>
    <row r="91" spans="1:9" ht="12.75" customHeight="1">
      <c r="A91" s="497">
        <f t="shared" si="3"/>
        <v>2006.2</v>
      </c>
      <c r="B91" s="499">
        <v>138.298214</v>
      </c>
      <c r="C91" s="3218">
        <v>112.893766</v>
      </c>
      <c r="D91" s="499">
        <v>122.502968</v>
      </c>
      <c r="E91" s="500">
        <v>146.67802599999999</v>
      </c>
      <c r="F91" s="3218">
        <v>112.740689</v>
      </c>
      <c r="G91" s="501">
        <v>130.10212000000001</v>
      </c>
      <c r="H91" s="499">
        <v>100.135778</v>
      </c>
      <c r="I91" s="3219">
        <f t="shared" si="2"/>
        <v>122.66929998981999</v>
      </c>
    </row>
    <row r="92" spans="1:9" ht="12.75" customHeight="1">
      <c r="A92" s="497">
        <f t="shared" si="3"/>
        <v>2006.3</v>
      </c>
      <c r="B92" s="499">
        <v>140.11140499999999</v>
      </c>
      <c r="C92" s="3218">
        <v>117.133351</v>
      </c>
      <c r="D92" s="499">
        <v>119.61700399999999</v>
      </c>
      <c r="E92" s="500">
        <v>165.782501</v>
      </c>
      <c r="F92" s="3218">
        <v>115.25192300000001</v>
      </c>
      <c r="G92" s="501">
        <v>143.84358800000001</v>
      </c>
      <c r="H92" s="499">
        <v>101.63244899999999</v>
      </c>
      <c r="I92" s="3219">
        <f t="shared" si="2"/>
        <v>121.56968955737075</v>
      </c>
    </row>
    <row r="93" spans="1:9" ht="12.75" customHeight="1">
      <c r="A93" s="497">
        <f t="shared" si="3"/>
        <v>2006.4</v>
      </c>
      <c r="B93" s="499">
        <v>145.24858699999999</v>
      </c>
      <c r="C93" s="3218">
        <v>119.664248</v>
      </c>
      <c r="D93" s="499">
        <v>121.38010199999999</v>
      </c>
      <c r="E93" s="500">
        <v>164.82286299999998</v>
      </c>
      <c r="F93" s="3218">
        <v>115.31078599999999</v>
      </c>
      <c r="G93" s="501">
        <v>142.937941</v>
      </c>
      <c r="H93" s="499">
        <v>103.77541600000001</v>
      </c>
      <c r="I93" s="3219">
        <f t="shared" si="2"/>
        <v>125.96270655895103</v>
      </c>
    </row>
    <row r="94" spans="1:9" ht="12.75" customHeight="1">
      <c r="A94" s="497">
        <f t="shared" si="3"/>
        <v>2007.1</v>
      </c>
      <c r="B94" s="499">
        <v>128.98611499999998</v>
      </c>
      <c r="C94" s="3218">
        <v>123.91269699999999</v>
      </c>
      <c r="D94" s="499">
        <v>104.09434899999999</v>
      </c>
      <c r="E94" s="500">
        <v>163.31153999999998</v>
      </c>
      <c r="F94" s="3218">
        <v>116.200686</v>
      </c>
      <c r="G94" s="501">
        <v>140.542665</v>
      </c>
      <c r="H94" s="499">
        <v>106.636804</v>
      </c>
      <c r="I94" s="3219">
        <f t="shared" si="2"/>
        <v>111.00288598984689</v>
      </c>
    </row>
    <row r="95" spans="1:9" ht="12.75" customHeight="1">
      <c r="A95" s="497">
        <f t="shared" si="3"/>
        <v>2007.2</v>
      </c>
      <c r="B95" s="499">
        <v>158.20915300000001</v>
      </c>
      <c r="C95" s="3218">
        <v>123.34566599999999</v>
      </c>
      <c r="D95" s="499">
        <v>128.26486499999999</v>
      </c>
      <c r="E95" s="500">
        <v>181.453778</v>
      </c>
      <c r="F95" s="3218">
        <v>119.88085699999999</v>
      </c>
      <c r="G95" s="501">
        <v>151.361762</v>
      </c>
      <c r="H95" s="499">
        <v>102.89021099999999</v>
      </c>
      <c r="I95" s="3219">
        <f t="shared" si="2"/>
        <v>131.97199032369284</v>
      </c>
    </row>
    <row r="96" spans="1:9" ht="12.75" customHeight="1">
      <c r="A96" s="497">
        <f t="shared" si="3"/>
        <v>2007.3</v>
      </c>
      <c r="B96" s="499">
        <v>166.170849</v>
      </c>
      <c r="C96" s="3218">
        <v>128.578</v>
      </c>
      <c r="D96" s="499">
        <v>129.23738800000001</v>
      </c>
      <c r="E96" s="500">
        <v>226.24382499999999</v>
      </c>
      <c r="F96" s="3218">
        <v>125.630691</v>
      </c>
      <c r="G96" s="501">
        <v>180.08642900000001</v>
      </c>
      <c r="H96" s="499">
        <v>102.346011</v>
      </c>
      <c r="I96" s="3219">
        <f t="shared" si="2"/>
        <v>132.26931068937606</v>
      </c>
    </row>
    <row r="97" spans="1:9" ht="12.75" customHeight="1">
      <c r="A97" s="497">
        <f t="shared" si="3"/>
        <v>2007.4</v>
      </c>
      <c r="B97" s="499">
        <v>194.25928499999998</v>
      </c>
      <c r="C97" s="3218">
        <v>145.74049400000001</v>
      </c>
      <c r="D97" s="499">
        <v>133.29122100000001</v>
      </c>
      <c r="E97" s="500">
        <v>225.72782100000001</v>
      </c>
      <c r="F97" s="3218">
        <v>123.744124</v>
      </c>
      <c r="G97" s="501">
        <v>182.41498100000001</v>
      </c>
      <c r="H97" s="499">
        <v>117.775689</v>
      </c>
      <c r="I97" s="3219">
        <f t="shared" si="2"/>
        <v>156.98465407537248</v>
      </c>
    </row>
    <row r="98" spans="1:9" ht="12.75" customHeight="1">
      <c r="A98" s="497">
        <f t="shared" si="3"/>
        <v>2008.1</v>
      </c>
      <c r="B98" s="499">
        <v>185.50386700000001</v>
      </c>
      <c r="C98" s="3218">
        <v>166.238134</v>
      </c>
      <c r="D98" s="499">
        <v>111.58923799999999</v>
      </c>
      <c r="E98" s="500">
        <v>229.03165899999999</v>
      </c>
      <c r="F98" s="3218">
        <v>126.83327800000001</v>
      </c>
      <c r="G98" s="501">
        <v>180.57694499999999</v>
      </c>
      <c r="H98" s="499">
        <v>131.06823</v>
      </c>
      <c r="I98" s="3219">
        <f t="shared" si="2"/>
        <v>146.25804041743683</v>
      </c>
    </row>
    <row r="99" spans="1:9" ht="12.75" customHeight="1">
      <c r="A99" s="497">
        <f t="shared" si="3"/>
        <v>2008.2</v>
      </c>
      <c r="B99" s="499">
        <v>202.37287800000001</v>
      </c>
      <c r="C99" s="3218">
        <v>166.415896</v>
      </c>
      <c r="D99" s="499">
        <v>121.60669899999999</v>
      </c>
      <c r="E99" s="500">
        <v>273.126981</v>
      </c>
      <c r="F99" s="3218">
        <v>141.87285500000002</v>
      </c>
      <c r="G99" s="501">
        <v>192.515321</v>
      </c>
      <c r="H99" s="499">
        <v>117.29932099999999</v>
      </c>
      <c r="I99" s="3219">
        <f t="shared" si="2"/>
        <v>142.6438327472863</v>
      </c>
    </row>
    <row r="100" spans="1:9" ht="12.75" customHeight="1">
      <c r="A100" s="497">
        <f t="shared" si="3"/>
        <v>2008.3</v>
      </c>
      <c r="B100" s="499">
        <v>246.368673</v>
      </c>
      <c r="C100" s="3218">
        <v>174.38721900000002</v>
      </c>
      <c r="D100" s="499">
        <v>141.27679499999999</v>
      </c>
      <c r="E100" s="500">
        <v>294.34193299999998</v>
      </c>
      <c r="F100" s="3218">
        <v>146.498198</v>
      </c>
      <c r="G100" s="501">
        <v>200.91846699999999</v>
      </c>
      <c r="H100" s="499">
        <v>119.037108</v>
      </c>
      <c r="I100" s="3219">
        <f t="shared" si="2"/>
        <v>168.17181123279073</v>
      </c>
    </row>
    <row r="101" spans="1:9" ht="12.75" customHeight="1">
      <c r="A101" s="497">
        <f t="shared" si="3"/>
        <v>2008.4</v>
      </c>
      <c r="B101" s="499">
        <v>175.78904199999999</v>
      </c>
      <c r="C101" s="3218">
        <v>152.35330000000002</v>
      </c>
      <c r="D101" s="499">
        <v>115.382497</v>
      </c>
      <c r="E101" s="500">
        <v>227.54454899999999</v>
      </c>
      <c r="F101" s="3218">
        <v>131.89752200000001</v>
      </c>
      <c r="G101" s="501">
        <v>172.516167</v>
      </c>
      <c r="H101" s="499">
        <v>115.508842</v>
      </c>
      <c r="I101" s="3219">
        <f t="shared" si="2"/>
        <v>133.27698605285397</v>
      </c>
    </row>
    <row r="102" spans="1:9" ht="12.75" customHeight="1">
      <c r="A102" s="497">
        <f t="shared" si="3"/>
        <v>2009.1</v>
      </c>
      <c r="B102" s="499">
        <v>137.937107</v>
      </c>
      <c r="C102" s="3218">
        <v>139.13414499999999</v>
      </c>
      <c r="D102" s="499">
        <v>99.139651999999998</v>
      </c>
      <c r="E102" s="500">
        <v>148.12368699999999</v>
      </c>
      <c r="F102" s="3218">
        <v>120.679051</v>
      </c>
      <c r="G102" s="501">
        <v>122.741839</v>
      </c>
      <c r="H102" s="499">
        <v>115.29270700000001</v>
      </c>
      <c r="I102" s="3219">
        <f t="shared" si="2"/>
        <v>114.30078862651978</v>
      </c>
    </row>
    <row r="103" spans="1:9" ht="12.75" customHeight="1">
      <c r="A103" s="497">
        <f t="shared" si="3"/>
        <v>2009.2</v>
      </c>
      <c r="B103" s="499">
        <v>178.93429800000001</v>
      </c>
      <c r="C103" s="3218">
        <v>145.40756400000001</v>
      </c>
      <c r="D103" s="499">
        <v>123.05707699999999</v>
      </c>
      <c r="E103" s="500">
        <v>161.380099</v>
      </c>
      <c r="F103" s="3218">
        <v>122.934074</v>
      </c>
      <c r="G103" s="501">
        <v>131.27369300000001</v>
      </c>
      <c r="H103" s="499">
        <v>118.280929</v>
      </c>
      <c r="I103" s="3219">
        <f t="shared" si="2"/>
        <v>145.55305309413239</v>
      </c>
    </row>
    <row r="104" spans="1:9" ht="12.75" customHeight="1">
      <c r="A104" s="497">
        <f t="shared" si="3"/>
        <v>2009.3</v>
      </c>
      <c r="B104" s="499">
        <v>159.734544</v>
      </c>
      <c r="C104" s="3218">
        <v>150.10470599999999</v>
      </c>
      <c r="D104" s="499">
        <v>106.415414</v>
      </c>
      <c r="E104" s="500">
        <v>187.300218</v>
      </c>
      <c r="F104" s="3218">
        <v>121.728893</v>
      </c>
      <c r="G104" s="501">
        <v>153.86668900000001</v>
      </c>
      <c r="H104" s="499">
        <v>123.31066300000001</v>
      </c>
      <c r="I104" s="3219">
        <f t="shared" si="2"/>
        <v>131.22155312790039</v>
      </c>
    </row>
    <row r="105" spans="1:9" ht="12.75" customHeight="1">
      <c r="A105" s="497">
        <f t="shared" si="3"/>
        <v>2009.4</v>
      </c>
      <c r="B105" s="499">
        <v>167.45380799999998</v>
      </c>
      <c r="C105" s="3218">
        <v>154.006348</v>
      </c>
      <c r="D105" s="499">
        <v>108.731757</v>
      </c>
      <c r="E105" s="500">
        <v>194.41066499999999</v>
      </c>
      <c r="F105" s="3218">
        <v>119.328468</v>
      </c>
      <c r="G105" s="501">
        <v>162.92060799999999</v>
      </c>
      <c r="H105" s="499">
        <v>129.06086099999999</v>
      </c>
      <c r="I105" s="3219">
        <f t="shared" si="2"/>
        <v>140.33014150487543</v>
      </c>
    </row>
    <row r="106" spans="1:9" ht="12.75" customHeight="1">
      <c r="A106" s="497">
        <f t="shared" si="3"/>
        <v>2010.1</v>
      </c>
      <c r="B106" s="499">
        <v>151.026173</v>
      </c>
      <c r="C106" s="3218">
        <v>158.45370399999999</v>
      </c>
      <c r="D106" s="499">
        <v>95.312490999999994</v>
      </c>
      <c r="E106" s="500">
        <v>197.22841199999999</v>
      </c>
      <c r="F106" s="3218">
        <v>122.710314</v>
      </c>
      <c r="G106" s="501">
        <v>160.726842</v>
      </c>
      <c r="H106" s="499">
        <v>129.12826899999999</v>
      </c>
      <c r="I106" s="3219">
        <f t="shared" si="2"/>
        <v>123.07537001331445</v>
      </c>
    </row>
    <row r="107" spans="1:9" ht="12.75" customHeight="1">
      <c r="A107" s="497">
        <f t="shared" si="3"/>
        <v>2010.2</v>
      </c>
      <c r="B107" s="499">
        <v>220.734084</v>
      </c>
      <c r="C107" s="3218">
        <v>151.29083600000001</v>
      </c>
      <c r="D107" s="499">
        <v>145.900498</v>
      </c>
      <c r="E107" s="500">
        <v>246.41987799999998</v>
      </c>
      <c r="F107" s="3218">
        <v>129.73098999999999</v>
      </c>
      <c r="G107" s="501">
        <v>189.946811</v>
      </c>
      <c r="H107" s="499">
        <v>116.618887</v>
      </c>
      <c r="I107" s="3219">
        <f t="shared" si="2"/>
        <v>170.14753683757445</v>
      </c>
    </row>
    <row r="108" spans="1:9" ht="12.75" customHeight="1">
      <c r="A108" s="497">
        <f t="shared" si="3"/>
        <v>2010.3</v>
      </c>
      <c r="B108" s="499">
        <v>216.820008</v>
      </c>
      <c r="C108" s="3218">
        <v>155.830941</v>
      </c>
      <c r="D108" s="499">
        <v>139.13797</v>
      </c>
      <c r="E108" s="500">
        <v>284.83361400000001</v>
      </c>
      <c r="F108" s="3218">
        <v>127.56622899999999</v>
      </c>
      <c r="G108" s="501">
        <v>223.28293099999999</v>
      </c>
      <c r="H108" s="499">
        <v>122.156893</v>
      </c>
      <c r="I108" s="3219">
        <f t="shared" si="2"/>
        <v>169.96662024084762</v>
      </c>
    </row>
    <row r="109" spans="1:9" ht="12.75" customHeight="1">
      <c r="A109" s="497">
        <f t="shared" si="3"/>
        <v>2010.4</v>
      </c>
      <c r="B109" s="499">
        <v>200.11677499999999</v>
      </c>
      <c r="C109" s="3218">
        <v>170.98254900000001</v>
      </c>
      <c r="D109" s="499">
        <v>117.039298</v>
      </c>
      <c r="E109" s="500">
        <v>283.62531000000001</v>
      </c>
      <c r="F109" s="3218">
        <v>126.39264299999999</v>
      </c>
      <c r="G109" s="501">
        <v>224.400173</v>
      </c>
      <c r="H109" s="499">
        <v>135.27887799999999</v>
      </c>
      <c r="I109" s="3219">
        <f t="shared" si="2"/>
        <v>158.32944881135208</v>
      </c>
    </row>
    <row r="110" spans="1:9" ht="12.75" customHeight="1">
      <c r="A110" s="497">
        <f t="shared" si="3"/>
        <v>2011.1</v>
      </c>
      <c r="B110" s="499">
        <v>192.982225</v>
      </c>
      <c r="C110" s="3218">
        <v>184.95815199999998</v>
      </c>
      <c r="D110" s="499">
        <v>104.338318</v>
      </c>
      <c r="E110" s="500">
        <v>272.57565299999999</v>
      </c>
      <c r="F110" s="3218">
        <v>131.97011599999999</v>
      </c>
      <c r="G110" s="501">
        <v>206.54346799999999</v>
      </c>
      <c r="H110" s="499">
        <v>140.15154200000001</v>
      </c>
      <c r="I110" s="3219">
        <f t="shared" si="2"/>
        <v>146.23176128753269</v>
      </c>
    </row>
    <row r="111" spans="1:9" ht="12.75" customHeight="1">
      <c r="A111" s="497">
        <f t="shared" si="3"/>
        <v>2011.2</v>
      </c>
      <c r="B111" s="499">
        <v>263.68465900000001</v>
      </c>
      <c r="C111" s="3218">
        <v>190.05904799999999</v>
      </c>
      <c r="D111" s="499">
        <v>138.738282</v>
      </c>
      <c r="E111" s="500">
        <v>333.741196</v>
      </c>
      <c r="F111" s="3218">
        <v>141.36484000000002</v>
      </c>
      <c r="G111" s="501">
        <v>236.08500900000001</v>
      </c>
      <c r="H111" s="499">
        <v>134.44576999999998</v>
      </c>
      <c r="I111" s="3219">
        <f t="shared" si="2"/>
        <v>186.52775258685256</v>
      </c>
    </row>
    <row r="112" spans="1:9" ht="12.75" customHeight="1">
      <c r="A112" s="497">
        <f t="shared" si="3"/>
        <v>2011.3</v>
      </c>
      <c r="B112" s="499">
        <v>269.232328</v>
      </c>
      <c r="C112" s="3218">
        <v>190.733239</v>
      </c>
      <c r="D112" s="499">
        <v>141.15648099999999</v>
      </c>
      <c r="E112" s="500">
        <v>381.69480299999998</v>
      </c>
      <c r="F112" s="3218">
        <v>138.95346999999998</v>
      </c>
      <c r="G112" s="501">
        <v>274.69252999999998</v>
      </c>
      <c r="H112" s="499">
        <v>137.264106</v>
      </c>
      <c r="I112" s="3219">
        <f t="shared" si="2"/>
        <v>193.75718217040568</v>
      </c>
    </row>
    <row r="113" spans="1:9" ht="12.75" customHeight="1">
      <c r="A113" s="497">
        <f t="shared" si="3"/>
        <v>2011.4</v>
      </c>
      <c r="B113" s="499">
        <v>234.093042</v>
      </c>
      <c r="C113" s="3218">
        <v>188.19283799999999</v>
      </c>
      <c r="D113" s="499">
        <v>124.389984</v>
      </c>
      <c r="E113" s="500">
        <v>330.05024900000001</v>
      </c>
      <c r="F113" s="3218">
        <v>131.230707</v>
      </c>
      <c r="G113" s="501">
        <v>251.503826</v>
      </c>
      <c r="H113" s="499">
        <v>143.40609899999998</v>
      </c>
      <c r="I113" s="3219">
        <f t="shared" si="2"/>
        <v>178.38282468446963</v>
      </c>
    </row>
    <row r="114" spans="1:9" ht="12.75" customHeight="1">
      <c r="A114" s="497">
        <f t="shared" si="3"/>
        <v>2012.1</v>
      </c>
      <c r="B114" s="499">
        <v>203.65477899999999</v>
      </c>
      <c r="C114" s="3218">
        <v>189.91087899999999</v>
      </c>
      <c r="D114" s="499">
        <v>107.237026</v>
      </c>
      <c r="E114" s="500">
        <v>271.50910799999997</v>
      </c>
      <c r="F114" s="3218">
        <v>130.434642</v>
      </c>
      <c r="G114" s="501">
        <v>208.157208</v>
      </c>
      <c r="H114" s="499">
        <v>145.59849800000001</v>
      </c>
      <c r="I114" s="3219">
        <f t="shared" si="2"/>
        <v>156.13549888073445</v>
      </c>
    </row>
    <row r="115" spans="1:9" ht="12.75" customHeight="1">
      <c r="A115" s="497">
        <f t="shared" si="3"/>
        <v>2012.2</v>
      </c>
      <c r="B115" s="499">
        <v>238.52514500000001</v>
      </c>
      <c r="C115" s="3218">
        <v>193.72343100000001</v>
      </c>
      <c r="D115" s="499">
        <v>123.126637</v>
      </c>
      <c r="E115" s="500">
        <v>299.22402799999998</v>
      </c>
      <c r="F115" s="3218">
        <v>144.45784499999999</v>
      </c>
      <c r="G115" s="501">
        <v>207.13587899999999</v>
      </c>
      <c r="H115" s="499">
        <v>134.10378</v>
      </c>
      <c r="I115" s="3219">
        <f t="shared" si="2"/>
        <v>165.11747423616904</v>
      </c>
    </row>
    <row r="116" spans="1:9" ht="12.75" customHeight="1">
      <c r="A116" s="497">
        <f t="shared" si="3"/>
        <v>2012.3</v>
      </c>
      <c r="B116" s="499">
        <v>253.46499399999999</v>
      </c>
      <c r="C116" s="3218">
        <v>195.36873399999999</v>
      </c>
      <c r="D116" s="499">
        <v>129.73672400000001</v>
      </c>
      <c r="E116" s="500">
        <v>329.26185900000002</v>
      </c>
      <c r="F116" s="3218">
        <v>132.32468</v>
      </c>
      <c r="G116" s="501">
        <v>248.82875799999999</v>
      </c>
      <c r="H116" s="499">
        <v>147.64345800000001</v>
      </c>
      <c r="I116" s="3219">
        <f t="shared" si="2"/>
        <v>191.54778534132862</v>
      </c>
    </row>
    <row r="117" spans="1:9" ht="12.75" customHeight="1">
      <c r="A117" s="497">
        <f t="shared" si="3"/>
        <v>2012.4</v>
      </c>
      <c r="B117" s="499">
        <v>229.655914</v>
      </c>
      <c r="C117" s="3218">
        <v>193.362493</v>
      </c>
      <c r="D117" s="499">
        <v>118.769628</v>
      </c>
      <c r="E117" s="500">
        <v>311.38147800000002</v>
      </c>
      <c r="F117" s="3218">
        <v>127.828868</v>
      </c>
      <c r="G117" s="501">
        <v>243.592456</v>
      </c>
      <c r="H117" s="499">
        <v>151.26668699999999</v>
      </c>
      <c r="I117" s="3219">
        <f t="shared" si="2"/>
        <v>179.65888112222038</v>
      </c>
    </row>
    <row r="118" spans="1:9" ht="12.75" customHeight="1">
      <c r="A118" s="497">
        <f t="shared" si="3"/>
        <v>2013.1</v>
      </c>
      <c r="B118" s="499">
        <v>190.293655</v>
      </c>
      <c r="C118" s="3218">
        <v>194.322622</v>
      </c>
      <c r="D118" s="499">
        <v>97.926660999999996</v>
      </c>
      <c r="E118" s="500">
        <v>287.84943499999997</v>
      </c>
      <c r="F118" s="3218">
        <v>137.76397399999999</v>
      </c>
      <c r="G118" s="501">
        <v>208.94390999999999</v>
      </c>
      <c r="H118" s="499">
        <v>141.054744</v>
      </c>
      <c r="I118" s="3219">
        <f t="shared" si="2"/>
        <v>138.13020158666447</v>
      </c>
    </row>
    <row r="119" spans="1:9" ht="12.75" customHeight="1">
      <c r="A119" s="497">
        <f t="shared" si="3"/>
        <v>2013.2</v>
      </c>
      <c r="B119" s="499">
        <v>263.44521500000002</v>
      </c>
      <c r="C119" s="3218">
        <v>194.386876</v>
      </c>
      <c r="D119" s="499">
        <v>135.52623499999999</v>
      </c>
      <c r="E119" s="500">
        <v>354.004974</v>
      </c>
      <c r="F119" s="3218">
        <v>147.94547800000001</v>
      </c>
      <c r="G119" s="501">
        <v>239.280699</v>
      </c>
      <c r="H119" s="499">
        <v>131.39088699999999</v>
      </c>
      <c r="I119" s="3219">
        <f t="shared" si="2"/>
        <v>178.06912286971016</v>
      </c>
    </row>
    <row r="120" spans="1:9" ht="12.75" customHeight="1">
      <c r="A120" s="497">
        <f t="shared" si="3"/>
        <v>2013.3</v>
      </c>
      <c r="B120" s="499">
        <v>239.185102</v>
      </c>
      <c r="C120" s="3218">
        <v>188.395241</v>
      </c>
      <c r="D120" s="499">
        <v>126.95920599999999</v>
      </c>
      <c r="E120" s="500">
        <v>358.043814</v>
      </c>
      <c r="F120" s="3218">
        <v>139.48645299999998</v>
      </c>
      <c r="G120" s="501">
        <v>256.68715900000001</v>
      </c>
      <c r="H120" s="499">
        <v>135.063468</v>
      </c>
      <c r="I120" s="3219">
        <f t="shared" si="2"/>
        <v>171.47550665726658</v>
      </c>
    </row>
    <row r="121" spans="1:9" ht="12.75" customHeight="1">
      <c r="A121" s="497">
        <f t="shared" si="3"/>
        <v>2013.4</v>
      </c>
      <c r="B121" s="499">
        <v>185.87712099999999</v>
      </c>
      <c r="C121" s="3218">
        <v>184.32217</v>
      </c>
      <c r="D121" s="499">
        <v>100.843605</v>
      </c>
      <c r="E121" s="500">
        <v>326.73785299999997</v>
      </c>
      <c r="F121" s="3218">
        <v>137.99876499999999</v>
      </c>
      <c r="G121" s="501">
        <v>236.76867999999999</v>
      </c>
      <c r="H121" s="499">
        <v>133.56798599999999</v>
      </c>
      <c r="I121" s="3219">
        <f t="shared" si="2"/>
        <v>134.69477136262776</v>
      </c>
    </row>
    <row r="122" spans="1:9" ht="12.75" customHeight="1">
      <c r="A122" s="497">
        <f t="shared" si="3"/>
        <v>2014.1</v>
      </c>
      <c r="B122" s="499">
        <v>160.06589199999999</v>
      </c>
      <c r="C122" s="3218">
        <v>189.14250000000001</v>
      </c>
      <c r="D122" s="499">
        <v>84.627141999999992</v>
      </c>
      <c r="E122" s="500">
        <v>295.40238299999999</v>
      </c>
      <c r="F122" s="3218">
        <v>140.73940199999998</v>
      </c>
      <c r="G122" s="501">
        <v>209.89316299999999</v>
      </c>
      <c r="H122" s="499">
        <v>134.39200199999999</v>
      </c>
      <c r="I122" s="3219">
        <f t="shared" si="2"/>
        <v>113.73211035812132</v>
      </c>
    </row>
    <row r="123" spans="1:9" ht="12.75" customHeight="1">
      <c r="A123" s="497">
        <f t="shared" si="3"/>
        <v>2014.2</v>
      </c>
      <c r="B123" s="499">
        <v>241.333957</v>
      </c>
      <c r="C123" s="3218">
        <v>195.20411200000001</v>
      </c>
      <c r="D123" s="499">
        <v>123.631595</v>
      </c>
      <c r="E123" s="500">
        <v>307.96392500000002</v>
      </c>
      <c r="F123" s="3218">
        <v>143.57737900000001</v>
      </c>
      <c r="G123" s="501">
        <v>214.493347</v>
      </c>
      <c r="H123" s="499">
        <v>135.95742799999999</v>
      </c>
      <c r="I123" s="3219">
        <f t="shared" si="2"/>
        <v>168.08633691523229</v>
      </c>
    </row>
    <row r="124" spans="1:9" ht="12.75" customHeight="1">
      <c r="A124" s="497">
        <f t="shared" si="3"/>
        <v>2014.3</v>
      </c>
      <c r="B124" s="499">
        <v>214.27862300000001</v>
      </c>
      <c r="C124" s="3218">
        <v>184.73238800000001</v>
      </c>
      <c r="D124" s="499">
        <v>115.994074</v>
      </c>
      <c r="E124" s="500">
        <v>310.68555500000002</v>
      </c>
      <c r="F124" s="3218">
        <v>140.12380200000001</v>
      </c>
      <c r="G124" s="501">
        <v>221.722184</v>
      </c>
      <c r="H124" s="499">
        <v>131.83512300000001</v>
      </c>
      <c r="I124" s="3219">
        <f t="shared" si="2"/>
        <v>152.92093130616024</v>
      </c>
    </row>
    <row r="125" spans="1:9" ht="12.75" customHeight="1">
      <c r="A125" s="497">
        <f t="shared" si="3"/>
        <v>2014.4</v>
      </c>
      <c r="B125" s="499">
        <v>175.67823199999998</v>
      </c>
      <c r="C125" s="3218">
        <v>173.55538999999999</v>
      </c>
      <c r="D125" s="499">
        <v>101.22314900000001</v>
      </c>
      <c r="E125" s="500">
        <v>257.43835300000001</v>
      </c>
      <c r="F125" s="3218">
        <v>136.37870100000001</v>
      </c>
      <c r="G125" s="501">
        <v>188.76727199999999</v>
      </c>
      <c r="H125" s="499">
        <v>127.259894</v>
      </c>
      <c r="I125" s="3219">
        <f t="shared" si="2"/>
        <v>128.8164725956731</v>
      </c>
    </row>
    <row r="126" spans="1:9" ht="12.75" customHeight="1">
      <c r="A126" s="497">
        <f t="shared" si="3"/>
        <v>2015.1</v>
      </c>
      <c r="B126" s="499">
        <v>139.39441299999999</v>
      </c>
      <c r="C126" s="3218">
        <v>166.581695</v>
      </c>
      <c r="D126" s="499">
        <v>83.679310000000001</v>
      </c>
      <c r="E126" s="500">
        <v>240.69250499999998</v>
      </c>
      <c r="F126" s="3218">
        <v>128.92812799999999</v>
      </c>
      <c r="G126" s="501">
        <v>186.68734899999998</v>
      </c>
      <c r="H126" s="499">
        <v>129.205083</v>
      </c>
      <c r="I126" s="3219">
        <f t="shared" si="2"/>
        <v>108.11792210308056</v>
      </c>
    </row>
    <row r="127" spans="1:9" ht="12.75" customHeight="1">
      <c r="A127" s="497">
        <f t="shared" si="3"/>
        <v>2015.2</v>
      </c>
      <c r="B127" s="499">
        <v>189.81230599999998</v>
      </c>
      <c r="C127" s="3218">
        <v>157.11533600000001</v>
      </c>
      <c r="D127" s="499">
        <v>120.81080799999999</v>
      </c>
      <c r="E127" s="500">
        <v>278.774316</v>
      </c>
      <c r="F127" s="3218">
        <v>129.07645199999999</v>
      </c>
      <c r="G127" s="501">
        <v>215.976122</v>
      </c>
      <c r="H127" s="499">
        <v>121.722694</v>
      </c>
      <c r="I127" s="3219">
        <f t="shared" si="2"/>
        <v>147.05417065538802</v>
      </c>
    </row>
    <row r="128" spans="1:9" ht="12.75" customHeight="1">
      <c r="A128" s="497">
        <f t="shared" si="3"/>
        <v>2015.3</v>
      </c>
      <c r="B128" s="499">
        <v>183.55786999999998</v>
      </c>
      <c r="C128" s="3218">
        <v>155.55627099999998</v>
      </c>
      <c r="D128" s="499">
        <v>118.000945</v>
      </c>
      <c r="E128" s="500">
        <v>301.04525699999999</v>
      </c>
      <c r="F128" s="3218">
        <v>123.500888</v>
      </c>
      <c r="G128" s="501">
        <v>243.75958900000001</v>
      </c>
      <c r="H128" s="499">
        <v>125.955589</v>
      </c>
      <c r="I128" s="3219">
        <f t="shared" si="2"/>
        <v>148.62878556792239</v>
      </c>
    </row>
    <row r="129" spans="1:9" ht="12.75" customHeight="1">
      <c r="A129" s="497">
        <f t="shared" si="3"/>
        <v>2015.4</v>
      </c>
      <c r="B129" s="499">
        <v>144.15801400000001</v>
      </c>
      <c r="C129" s="3218">
        <v>150.39274699999999</v>
      </c>
      <c r="D129" s="499">
        <v>95.854365999999999</v>
      </c>
      <c r="E129" s="500">
        <v>252.3733</v>
      </c>
      <c r="F129" s="3218">
        <v>116.552076</v>
      </c>
      <c r="G129" s="501">
        <v>216.53265199999998</v>
      </c>
      <c r="H129" s="499">
        <v>129.034808</v>
      </c>
      <c r="I129" s="3219">
        <f t="shared" si="2"/>
        <v>123.6854966015363</v>
      </c>
    </row>
    <row r="130" spans="1:9" ht="12.75" customHeight="1">
      <c r="A130" s="497">
        <f t="shared" si="3"/>
        <v>2016.1</v>
      </c>
      <c r="B130" s="499">
        <v>143.94654199999999</v>
      </c>
      <c r="C130" s="3218">
        <v>143.74258499999999</v>
      </c>
      <c r="D130" s="499">
        <v>100.141891</v>
      </c>
      <c r="E130" s="500">
        <v>227.67900599999999</v>
      </c>
      <c r="F130" s="3218">
        <v>111.730631</v>
      </c>
      <c r="G130" s="501">
        <v>203.774923</v>
      </c>
      <c r="H130" s="499">
        <v>128.65100999999999</v>
      </c>
      <c r="I130" s="3219">
        <f t="shared" si="2"/>
        <v>128.83355326257845</v>
      </c>
    </row>
    <row r="131" spans="1:9" ht="12.75" customHeight="1">
      <c r="A131" s="497">
        <f t="shared" si="3"/>
        <v>2016.2</v>
      </c>
      <c r="B131" s="499">
        <v>178.482677</v>
      </c>
      <c r="C131" s="3218">
        <v>147.05749499999999</v>
      </c>
      <c r="D131" s="499">
        <v>121.369316</v>
      </c>
      <c r="E131" s="500">
        <v>255.60136900000001</v>
      </c>
      <c r="F131" s="3218">
        <v>110.483604</v>
      </c>
      <c r="G131" s="501">
        <v>231.34778299999999</v>
      </c>
      <c r="H131" s="499">
        <v>133.10345599999999</v>
      </c>
      <c r="I131" s="3219">
        <f t="shared" si="2"/>
        <v>161.54675493750185</v>
      </c>
    </row>
    <row r="132" spans="1:9" ht="12.75" customHeight="1">
      <c r="A132" s="497">
        <f t="shared" si="3"/>
        <v>2016.3</v>
      </c>
      <c r="B132" s="499">
        <v>182.95985300000001</v>
      </c>
      <c r="C132" s="3218">
        <v>155.551815</v>
      </c>
      <c r="D132" s="499">
        <v>117.619877</v>
      </c>
      <c r="E132" s="500">
        <v>260.77209699999997</v>
      </c>
      <c r="F132" s="3218">
        <v>111.520894</v>
      </c>
      <c r="G132" s="501">
        <v>233.83250100000001</v>
      </c>
      <c r="H132" s="567">
        <v>139.48221599999999</v>
      </c>
      <c r="I132" s="3219">
        <f t="shared" si="2"/>
        <v>164.0588112573775</v>
      </c>
    </row>
    <row r="133" spans="1:9" ht="12.75" customHeight="1">
      <c r="A133" s="497">
        <f t="shared" si="3"/>
        <v>2016.4</v>
      </c>
      <c r="B133" s="499">
        <v>164.550117</v>
      </c>
      <c r="C133" s="3218">
        <v>152.777635</v>
      </c>
      <c r="D133" s="499">
        <v>107.70563199999999</v>
      </c>
      <c r="E133" s="500">
        <v>251.293757</v>
      </c>
      <c r="F133" s="3218">
        <v>113.08951999999999</v>
      </c>
      <c r="G133" s="501">
        <v>222.207821</v>
      </c>
      <c r="H133" s="567">
        <v>135.094424</v>
      </c>
      <c r="I133" s="3219">
        <f t="shared" si="2"/>
        <v>145.50430225541677</v>
      </c>
    </row>
    <row r="134" spans="1:9" ht="12.75" customHeight="1">
      <c r="A134" s="497">
        <f t="shared" si="3"/>
        <v>2017.1</v>
      </c>
      <c r="B134" s="567">
        <v>147.55752100000001</v>
      </c>
      <c r="C134" s="3163">
        <v>151.92221899999998</v>
      </c>
      <c r="D134" s="567">
        <v>97.127017999999993</v>
      </c>
      <c r="E134" s="569">
        <v>248.35987699999998</v>
      </c>
      <c r="F134" s="3163">
        <v>116.36561499999999</v>
      </c>
      <c r="G134" s="366">
        <v>213.43064000000001</v>
      </c>
      <c r="H134" s="567">
        <v>130.555937</v>
      </c>
      <c r="I134" s="3219">
        <f t="shared" si="2"/>
        <v>126.80508842753937</v>
      </c>
    </row>
    <row r="135" spans="1:9" ht="12.75" customHeight="1">
      <c r="A135" s="497">
        <f t="shared" si="3"/>
        <v>2017.2</v>
      </c>
      <c r="B135" s="567">
        <v>179.52820199999999</v>
      </c>
      <c r="C135" s="3163">
        <v>151.97879499999999</v>
      </c>
      <c r="D135" s="567">
        <v>118.127138</v>
      </c>
      <c r="E135" s="569">
        <v>301.81080800000001</v>
      </c>
      <c r="F135" s="3163">
        <v>119.704117</v>
      </c>
      <c r="G135" s="366">
        <v>252.130683</v>
      </c>
      <c r="H135" s="567">
        <v>126.962046</v>
      </c>
      <c r="I135" s="3219">
        <f t="shared" si="2"/>
        <v>149.9766311295709</v>
      </c>
    </row>
    <row r="136" spans="1:9" ht="12.75" customHeight="1">
      <c r="A136" s="497">
        <f t="shared" si="3"/>
        <v>2017.3</v>
      </c>
      <c r="B136" s="567">
        <v>183.30425400000001</v>
      </c>
      <c r="C136" s="3163">
        <v>149.23845799999998</v>
      </c>
      <c r="D136" s="567">
        <v>122.826419</v>
      </c>
      <c r="E136" s="569">
        <v>326.62216100000001</v>
      </c>
      <c r="F136" s="3163">
        <v>116.565352</v>
      </c>
      <c r="G136" s="366">
        <v>280.20518500000003</v>
      </c>
      <c r="H136" s="567">
        <v>128.02986100000001</v>
      </c>
      <c r="I136" s="3219">
        <f t="shared" si="2"/>
        <v>157.25449359943596</v>
      </c>
    </row>
    <row r="137" spans="1:9" ht="12.75" customHeight="1">
      <c r="A137" s="497">
        <f t="shared" si="3"/>
        <v>2017.4</v>
      </c>
      <c r="B137" s="567">
        <v>168.05964499999999</v>
      </c>
      <c r="C137" s="3163">
        <v>155.27035899999998</v>
      </c>
      <c r="D137" s="567">
        <v>108.236785</v>
      </c>
      <c r="E137" s="569">
        <v>316.11863599999998</v>
      </c>
      <c r="F137" s="3163">
        <v>114.462757</v>
      </c>
      <c r="G137" s="366">
        <v>276.17597499999999</v>
      </c>
      <c r="H137" s="567">
        <v>135.65142299999999</v>
      </c>
      <c r="I137" s="3219">
        <f t="shared" si="2"/>
        <v>146.82473968366844</v>
      </c>
    </row>
    <row r="138" spans="1:9" ht="12.75" customHeight="1">
      <c r="A138" s="497">
        <f t="shared" si="3"/>
        <v>2018.1</v>
      </c>
      <c r="B138" s="567">
        <v>168.10771799999998</v>
      </c>
      <c r="C138" s="3163">
        <v>159.929115</v>
      </c>
      <c r="D138" s="567">
        <v>105.113893</v>
      </c>
      <c r="E138" s="569">
        <v>301.50112100000001</v>
      </c>
      <c r="F138" s="3163">
        <v>120.09186199999999</v>
      </c>
      <c r="G138" s="366">
        <v>251.05874499999999</v>
      </c>
      <c r="H138" s="567">
        <v>133.17231699999999</v>
      </c>
      <c r="I138" s="3219">
        <f t="shared" si="2"/>
        <v>139.98260598207727</v>
      </c>
    </row>
    <row r="139" spans="1:9" ht="12.75" customHeight="1">
      <c r="A139" s="497">
        <f t="shared" si="3"/>
        <v>2018.2</v>
      </c>
      <c r="B139" s="567">
        <v>179.46473499999999</v>
      </c>
      <c r="C139" s="3163">
        <v>169.35917899999998</v>
      </c>
      <c r="D139" s="567">
        <v>105.966937</v>
      </c>
      <c r="E139" s="569">
        <v>321.04039399999999</v>
      </c>
      <c r="F139" s="3163">
        <v>123.322419</v>
      </c>
      <c r="G139" s="366">
        <v>260.32605999999998</v>
      </c>
      <c r="H139" s="567">
        <v>137.33040700000001</v>
      </c>
      <c r="I139" s="3219">
        <f t="shared" si="2"/>
        <v>145.52482545772963</v>
      </c>
    </row>
    <row r="140" spans="1:9" ht="12.75" customHeight="1">
      <c r="A140" s="497">
        <f t="shared" si="3"/>
        <v>2018.3</v>
      </c>
      <c r="B140" s="567">
        <v>181.09174200000001</v>
      </c>
      <c r="C140" s="3163">
        <v>160.69407200000001</v>
      </c>
      <c r="D140" s="567">
        <v>112.69347999999999</v>
      </c>
      <c r="E140" s="569">
        <v>306.463641</v>
      </c>
      <c r="F140" s="3163">
        <v>123.825655</v>
      </c>
      <c r="G140" s="366">
        <v>247.49607900000001</v>
      </c>
      <c r="H140" s="567">
        <v>129.77445800000001</v>
      </c>
      <c r="I140" s="3219">
        <f t="shared" ref="I140:I169" si="4">B140/F140*100</f>
        <v>146.24735237620993</v>
      </c>
    </row>
    <row r="141" spans="1:9" ht="12.75" customHeight="1">
      <c r="A141" s="497">
        <f t="shared" si="3"/>
        <v>2018.4</v>
      </c>
      <c r="B141" s="568">
        <v>186.07440299999999</v>
      </c>
      <c r="C141" s="3220">
        <v>153.494381</v>
      </c>
      <c r="D141" s="568">
        <v>121.22554700000001</v>
      </c>
      <c r="E141" s="570">
        <v>237.97178199999999</v>
      </c>
      <c r="F141" s="3220">
        <v>121.144414</v>
      </c>
      <c r="G141" s="571">
        <v>196.43644599999999</v>
      </c>
      <c r="H141" s="568">
        <v>126.703638</v>
      </c>
      <c r="I141" s="3219">
        <f t="shared" si="4"/>
        <v>153.5971794787005</v>
      </c>
    </row>
    <row r="142" spans="1:9" ht="12.75" customHeight="1">
      <c r="A142" s="497">
        <f t="shared" si="3"/>
        <v>2019.1</v>
      </c>
      <c r="B142" s="568">
        <v>163.92326399999999</v>
      </c>
      <c r="C142" s="3220">
        <v>153.83475799999999</v>
      </c>
      <c r="D142" s="568">
        <v>106.558015</v>
      </c>
      <c r="E142" s="570">
        <v>216.81273300000001</v>
      </c>
      <c r="F142" s="3220">
        <v>119.182467</v>
      </c>
      <c r="G142" s="571">
        <v>181.91663499999999</v>
      </c>
      <c r="H142" s="568">
        <v>129.07499100000001</v>
      </c>
      <c r="I142" s="3219">
        <f t="shared" si="4"/>
        <v>137.53974735226785</v>
      </c>
    </row>
    <row r="143" spans="1:9" ht="12.75" customHeight="1">
      <c r="A143" s="497">
        <f t="shared" ref="A143:A189" si="5">A139+1</f>
        <v>2019.2</v>
      </c>
      <c r="B143" s="568">
        <v>192.273696</v>
      </c>
      <c r="C143" s="3220">
        <v>151.721464</v>
      </c>
      <c r="D143" s="568">
        <v>126.728078</v>
      </c>
      <c r="E143" s="570">
        <v>231.46891199999999</v>
      </c>
      <c r="F143" s="3220">
        <v>117.255427</v>
      </c>
      <c r="G143" s="571">
        <v>197.40571299999999</v>
      </c>
      <c r="H143" s="568">
        <v>129.39398</v>
      </c>
      <c r="I143" s="3219">
        <f t="shared" si="4"/>
        <v>163.97850480728709</v>
      </c>
    </row>
    <row r="144" spans="1:9" ht="12.75" customHeight="1">
      <c r="A144" s="497">
        <f t="shared" si="5"/>
        <v>2019.3</v>
      </c>
      <c r="B144" s="568">
        <v>198.63398100000001</v>
      </c>
      <c r="C144" s="3220">
        <v>149.35465199999999</v>
      </c>
      <c r="D144" s="568">
        <v>132.99484000000001</v>
      </c>
      <c r="E144" s="570">
        <v>237.15156100000002</v>
      </c>
      <c r="F144" s="3220">
        <v>114.054642</v>
      </c>
      <c r="G144" s="571">
        <v>207.928022</v>
      </c>
      <c r="H144" s="568">
        <v>130.950086</v>
      </c>
      <c r="I144" s="3219">
        <f t="shared" si="4"/>
        <v>174.15685807860413</v>
      </c>
    </row>
    <row r="145" spans="1:9" ht="12.75" customHeight="1">
      <c r="A145" s="497">
        <f t="shared" si="5"/>
        <v>2019.4</v>
      </c>
      <c r="B145" s="502">
        <v>197.535504</v>
      </c>
      <c r="C145" s="3221">
        <v>149.31657100000001</v>
      </c>
      <c r="D145" s="504">
        <v>132.29308900000001</v>
      </c>
      <c r="E145" s="503">
        <v>190.029732</v>
      </c>
      <c r="F145" s="3221">
        <v>111.85278700000001</v>
      </c>
      <c r="G145" s="504">
        <v>169.89270999999999</v>
      </c>
      <c r="H145" s="503">
        <v>133.493831</v>
      </c>
      <c r="I145" s="3219">
        <f t="shared" si="4"/>
        <v>176.603113161588</v>
      </c>
    </row>
    <row r="146" spans="1:9" ht="12.75" customHeight="1">
      <c r="A146" s="497">
        <f t="shared" si="5"/>
        <v>2020.1</v>
      </c>
      <c r="B146" s="502">
        <v>154.329329</v>
      </c>
      <c r="C146" s="3221">
        <v>150.838076</v>
      </c>
      <c r="D146" s="502">
        <v>102.31457</v>
      </c>
      <c r="E146" s="503">
        <v>176.08771899999999</v>
      </c>
      <c r="F146" s="3221">
        <v>114.72090299999999</v>
      </c>
      <c r="G146" s="504">
        <v>153.49227099999999</v>
      </c>
      <c r="H146" s="502">
        <v>131.482643</v>
      </c>
      <c r="I146" s="3219">
        <f t="shared" si="4"/>
        <v>134.52590152642017</v>
      </c>
    </row>
    <row r="147" spans="1:9" ht="12.75" customHeight="1">
      <c r="A147" s="497">
        <f t="shared" si="5"/>
        <v>2020.2</v>
      </c>
      <c r="B147" s="502">
        <v>164.42724900000002</v>
      </c>
      <c r="C147" s="3221">
        <v>140.470834</v>
      </c>
      <c r="D147" s="502">
        <v>117.05437000000001</v>
      </c>
      <c r="E147" s="503">
        <v>166.79950500000001</v>
      </c>
      <c r="F147" s="3221">
        <v>111.784153</v>
      </c>
      <c r="G147" s="504">
        <v>149.215699</v>
      </c>
      <c r="H147" s="502">
        <v>125.662564</v>
      </c>
      <c r="I147" s="3219">
        <f t="shared" si="4"/>
        <v>147.09352317586556</v>
      </c>
    </row>
    <row r="148" spans="1:9" ht="12.75" customHeight="1">
      <c r="A148" s="497">
        <f t="shared" si="5"/>
        <v>2020.3</v>
      </c>
      <c r="B148" s="502">
        <v>169.045389</v>
      </c>
      <c r="C148" s="3221">
        <v>144.21149600000001</v>
      </c>
      <c r="D148" s="502">
        <v>117.220467</v>
      </c>
      <c r="E148" s="503">
        <v>197.60050999999999</v>
      </c>
      <c r="F148" s="3221">
        <v>109.927216</v>
      </c>
      <c r="G148" s="504">
        <v>179.75576599999999</v>
      </c>
      <c r="H148" s="502">
        <v>131.188163</v>
      </c>
      <c r="I148" s="3222">
        <f t="shared" si="4"/>
        <v>153.77937798406538</v>
      </c>
    </row>
    <row r="149" spans="1:9" ht="12.75" customHeight="1">
      <c r="A149" s="497">
        <f t="shared" si="5"/>
        <v>2020.4</v>
      </c>
      <c r="B149" s="502">
        <v>147.10154600000001</v>
      </c>
      <c r="C149" s="3221">
        <v>151.77972399999999</v>
      </c>
      <c r="D149" s="502">
        <v>96.917784999999995</v>
      </c>
      <c r="E149" s="503">
        <v>214.337052</v>
      </c>
      <c r="F149" s="3221">
        <v>110.442745</v>
      </c>
      <c r="G149" s="504">
        <v>194.07074</v>
      </c>
      <c r="H149" s="502">
        <v>137.42842400000001</v>
      </c>
      <c r="I149" s="3222">
        <f t="shared" si="4"/>
        <v>133.19258408508409</v>
      </c>
    </row>
    <row r="150" spans="1:9" ht="12.75" customHeight="1">
      <c r="A150" s="497">
        <f t="shared" si="5"/>
        <v>2021.1</v>
      </c>
      <c r="B150" s="502">
        <v>178.240587</v>
      </c>
      <c r="C150" s="3221">
        <v>170.27346799999998</v>
      </c>
      <c r="D150" s="502">
        <v>104.679014</v>
      </c>
      <c r="E150" s="503">
        <v>229.47175999999999</v>
      </c>
      <c r="F150" s="3221">
        <v>115.846199</v>
      </c>
      <c r="G150" s="504">
        <v>198.08311599999999</v>
      </c>
      <c r="H150" s="502">
        <v>146.98235199999999</v>
      </c>
      <c r="I150" s="3222">
        <f t="shared" si="4"/>
        <v>153.85967648364536</v>
      </c>
    </row>
    <row r="151" spans="1:9" ht="12.75" customHeight="1">
      <c r="A151" s="497">
        <f t="shared" si="5"/>
        <v>2021.2</v>
      </c>
      <c r="B151" s="502">
        <v>230.97752700000001</v>
      </c>
      <c r="C151" s="3221">
        <v>183.97788500000001</v>
      </c>
      <c r="D151" s="502">
        <v>125.54635399999999</v>
      </c>
      <c r="E151" s="503">
        <v>280.19413099999997</v>
      </c>
      <c r="F151" s="3221">
        <v>128.03014899999999</v>
      </c>
      <c r="G151" s="504">
        <v>218.85011700000001</v>
      </c>
      <c r="H151" s="502">
        <v>143.69887599999998</v>
      </c>
      <c r="I151" s="3222">
        <f t="shared" si="4"/>
        <v>180.40869967276225</v>
      </c>
    </row>
    <row r="152" spans="1:9" ht="12.75" customHeight="1">
      <c r="A152" s="497">
        <f t="shared" si="5"/>
        <v>2021.3</v>
      </c>
      <c r="B152" s="502">
        <v>265.16808200000003</v>
      </c>
      <c r="C152" s="3221">
        <v>188.93883399999999</v>
      </c>
      <c r="D152" s="502">
        <v>140.34599299999999</v>
      </c>
      <c r="E152" s="503">
        <v>309.28129799999999</v>
      </c>
      <c r="F152" s="3221">
        <v>133.652308</v>
      </c>
      <c r="G152" s="504">
        <v>231.407376</v>
      </c>
      <c r="H152" s="502">
        <v>141.36593500000001</v>
      </c>
      <c r="I152" s="3222">
        <f t="shared" si="4"/>
        <v>198.40142378985331</v>
      </c>
    </row>
    <row r="153" spans="1:9" ht="12.75" customHeight="1">
      <c r="A153" s="497">
        <f t="shared" si="5"/>
        <v>2021.4</v>
      </c>
      <c r="B153" s="502">
        <v>227.15048100000001</v>
      </c>
      <c r="C153" s="3221">
        <v>191.34169600000001</v>
      </c>
      <c r="D153" s="502">
        <v>118.8</v>
      </c>
      <c r="E153" s="503">
        <v>307.05791299999999</v>
      </c>
      <c r="F153" s="3221">
        <v>132.64962399999999</v>
      </c>
      <c r="G153" s="504">
        <v>231.48042599999999</v>
      </c>
      <c r="H153" s="502">
        <v>144.24593999999999</v>
      </c>
      <c r="I153" s="3222">
        <f t="shared" si="4"/>
        <v>171.24095353636287</v>
      </c>
    </row>
    <row r="154" spans="1:9" ht="12.75" customHeight="1">
      <c r="A154" s="497">
        <f t="shared" si="5"/>
        <v>2022.1</v>
      </c>
      <c r="B154" s="502">
        <v>225.78888799999999</v>
      </c>
      <c r="C154" s="3221">
        <v>209.36363800000001</v>
      </c>
      <c r="D154" s="502">
        <v>107.845321</v>
      </c>
      <c r="E154" s="503">
        <v>320.31402300000002</v>
      </c>
      <c r="F154" s="3221">
        <v>137.48791299999999</v>
      </c>
      <c r="G154" s="504">
        <v>232.976133</v>
      </c>
      <c r="H154" s="502">
        <v>152.27785</v>
      </c>
      <c r="I154" s="3222">
        <f t="shared" si="4"/>
        <v>164.22453659617338</v>
      </c>
    </row>
    <row r="155" spans="1:9" ht="12.75" customHeight="1">
      <c r="A155" s="497">
        <f t="shared" si="5"/>
        <v>2022.2</v>
      </c>
      <c r="B155" s="502">
        <v>291.34731499999998</v>
      </c>
      <c r="C155" s="3221">
        <v>224.64211699999998</v>
      </c>
      <c r="D155" s="502">
        <v>129.693985</v>
      </c>
      <c r="E155" s="503">
        <v>417.86036200000001</v>
      </c>
      <c r="F155" s="3221">
        <v>161.26671099999999</v>
      </c>
      <c r="G155" s="504">
        <v>259.111356</v>
      </c>
      <c r="H155" s="502">
        <v>139.29850500000001</v>
      </c>
      <c r="I155" s="3222">
        <f t="shared" si="4"/>
        <v>180.66178270356119</v>
      </c>
    </row>
    <row r="156" spans="1:9" ht="12.75" customHeight="1">
      <c r="A156" s="497">
        <f t="shared" si="5"/>
        <v>2022.3</v>
      </c>
      <c r="B156" s="502">
        <v>262.99901499999999</v>
      </c>
      <c r="C156" s="3221">
        <v>211.37519399999999</v>
      </c>
      <c r="D156" s="502">
        <v>124.422838</v>
      </c>
      <c r="E156" s="503">
        <v>416.36282999999997</v>
      </c>
      <c r="F156" s="3221">
        <v>159.07888600000001</v>
      </c>
      <c r="G156" s="504">
        <v>261.73355900000001</v>
      </c>
      <c r="H156" s="502">
        <v>132.874449</v>
      </c>
      <c r="I156" s="3222">
        <f t="shared" si="4"/>
        <v>165.32616088347513</v>
      </c>
    </row>
    <row r="157" spans="1:9" ht="12.75" customHeight="1">
      <c r="A157" s="497">
        <f t="shared" si="5"/>
        <v>2022.4</v>
      </c>
      <c r="B157" s="502">
        <v>246.051267</v>
      </c>
      <c r="C157" s="3221">
        <v>208.81756899999999</v>
      </c>
      <c r="D157" s="502">
        <v>117.830731</v>
      </c>
      <c r="E157" s="503">
        <v>302.16764699999999</v>
      </c>
      <c r="F157" s="3221">
        <v>137.49935600000001</v>
      </c>
      <c r="G157" s="504">
        <v>219.75931700000001</v>
      </c>
      <c r="H157" s="502">
        <v>151.86803399999999</v>
      </c>
      <c r="I157" s="3222">
        <f t="shared" si="4"/>
        <v>178.94721412367923</v>
      </c>
    </row>
    <row r="158" spans="1:9" ht="12.75" customHeight="1">
      <c r="A158" s="497">
        <f t="shared" si="5"/>
        <v>2023.1</v>
      </c>
      <c r="B158" s="502">
        <v>184.66700700000001</v>
      </c>
      <c r="C158" s="3221">
        <v>203.27388500000001</v>
      </c>
      <c r="D158" s="502">
        <v>90.846400000000003</v>
      </c>
      <c r="E158" s="503">
        <v>307.26145600000001</v>
      </c>
      <c r="F158" s="3221">
        <v>142.608631</v>
      </c>
      <c r="G158" s="504">
        <v>215.45782600000001</v>
      </c>
      <c r="H158" s="502">
        <v>142.53967900000001</v>
      </c>
      <c r="I158" s="3222">
        <f t="shared" si="4"/>
        <v>129.49216727282095</v>
      </c>
    </row>
    <row r="159" spans="1:9" ht="12.75" customHeight="1">
      <c r="A159" s="497">
        <f t="shared" si="5"/>
        <v>2023.2</v>
      </c>
      <c r="B159" s="502">
        <v>203.40650500000001</v>
      </c>
      <c r="C159" s="3221">
        <v>197.410302</v>
      </c>
      <c r="D159" s="502">
        <v>103.037431</v>
      </c>
      <c r="E159" s="503">
        <v>370.11708299999998</v>
      </c>
      <c r="F159" s="3221">
        <v>148.92480599999999</v>
      </c>
      <c r="G159" s="504">
        <v>248.52614699999998</v>
      </c>
      <c r="H159" s="502">
        <v>132.55703099999999</v>
      </c>
      <c r="I159" s="3222">
        <f t="shared" si="4"/>
        <v>136.58336073306688</v>
      </c>
    </row>
    <row r="160" spans="1:9" ht="12.75" customHeight="1">
      <c r="A160" s="497">
        <f t="shared" si="5"/>
        <v>2023.3</v>
      </c>
      <c r="B160" s="502">
        <v>205.90285700000001</v>
      </c>
      <c r="C160" s="3221">
        <v>187.983127</v>
      </c>
      <c r="D160" s="502">
        <v>109.53262700000001</v>
      </c>
      <c r="E160" s="503">
        <v>359.585172</v>
      </c>
      <c r="F160" s="3221">
        <v>137.365475</v>
      </c>
      <c r="G160" s="504">
        <v>261.77259700000002</v>
      </c>
      <c r="H160" s="502">
        <v>136.84888899999999</v>
      </c>
      <c r="I160" s="3222">
        <f t="shared" si="4"/>
        <v>149.89418338195969</v>
      </c>
    </row>
    <row r="161" spans="1:9" ht="12.75" customHeight="1">
      <c r="A161" s="497">
        <f t="shared" si="5"/>
        <v>2023.4</v>
      </c>
      <c r="B161" s="502">
        <v>180.99194499999999</v>
      </c>
      <c r="C161" s="3221">
        <v>186.37149399999998</v>
      </c>
      <c r="D161" s="502">
        <v>97.113534999999999</v>
      </c>
      <c r="E161" s="503">
        <v>278.69744500000002</v>
      </c>
      <c r="F161" s="3221">
        <v>132.79794200000001</v>
      </c>
      <c r="G161" s="504">
        <v>209.86578600000001</v>
      </c>
      <c r="H161" s="502">
        <v>140.34215499999999</v>
      </c>
      <c r="I161" s="3222">
        <f t="shared" si="4"/>
        <v>136.291227314351</v>
      </c>
    </row>
    <row r="162" spans="1:9" ht="12.75" customHeight="1">
      <c r="A162" s="497">
        <f t="shared" si="5"/>
        <v>2024.1</v>
      </c>
      <c r="B162" s="502">
        <v>201.92684299999999</v>
      </c>
      <c r="C162" s="3221">
        <v>186.66241300000002</v>
      </c>
      <c r="D162" s="502">
        <v>108.17756</v>
      </c>
      <c r="E162" s="503">
        <v>232.629436</v>
      </c>
      <c r="F162" s="3221">
        <v>134.88242700000001</v>
      </c>
      <c r="G162" s="504">
        <v>172.46830499999999</v>
      </c>
      <c r="H162" s="502">
        <v>138.38897900000001</v>
      </c>
      <c r="I162" s="3222">
        <f t="shared" si="4"/>
        <v>149.70581972105231</v>
      </c>
    </row>
    <row r="163" spans="1:9" ht="12.75" customHeight="1">
      <c r="A163" s="497">
        <f t="shared" si="5"/>
        <v>2024.2</v>
      </c>
      <c r="B163" s="502">
        <v>239.995554</v>
      </c>
      <c r="C163" s="3221">
        <v>183.49620499999997</v>
      </c>
      <c r="D163" s="502">
        <v>130.79047199999999</v>
      </c>
      <c r="E163" s="503">
        <v>256.696934</v>
      </c>
      <c r="F163" s="3221">
        <v>141.47638699999999</v>
      </c>
      <c r="G163" s="504">
        <v>181.44153899999998</v>
      </c>
      <c r="H163" s="502">
        <v>129.700941</v>
      </c>
      <c r="I163" s="3222">
        <f>B163/F163*100</f>
        <v>169.6364736823538</v>
      </c>
    </row>
    <row r="164" spans="1:9" ht="12.75" customHeight="1">
      <c r="A164" s="497">
        <f t="shared" si="5"/>
        <v>2024.3</v>
      </c>
      <c r="B164" s="502">
        <v>241.74708899999999</v>
      </c>
      <c r="C164" s="3221">
        <v>178.130878</v>
      </c>
      <c r="D164" s="502">
        <v>135.71318500000001</v>
      </c>
      <c r="E164" s="503">
        <v>295.49113399999999</v>
      </c>
      <c r="F164" s="3221">
        <v>135.66286099999999</v>
      </c>
      <c r="G164" s="504">
        <v>217.81284299999999</v>
      </c>
      <c r="H164" s="502">
        <v>131.30408499999999</v>
      </c>
      <c r="I164" s="3222">
        <f t="shared" si="4"/>
        <v>178.19695620306874</v>
      </c>
    </row>
    <row r="165" spans="1:9" ht="12.75" customHeight="1">
      <c r="A165" s="497">
        <f t="shared" si="5"/>
        <v>2024.4</v>
      </c>
      <c r="B165" s="502">
        <v>238.40155199999998</v>
      </c>
      <c r="C165" s="3221">
        <v>181.69631699999999</v>
      </c>
      <c r="D165" s="502">
        <v>131.208797</v>
      </c>
      <c r="E165" s="503">
        <v>298.27110700000003</v>
      </c>
      <c r="F165" s="3221">
        <v>127.851135</v>
      </c>
      <c r="G165" s="504">
        <v>233.295626</v>
      </c>
      <c r="H165" s="502">
        <v>142.11552899999998</v>
      </c>
      <c r="I165" s="3222">
        <f t="shared" si="4"/>
        <v>186.4680763295531</v>
      </c>
    </row>
    <row r="166" spans="1:9" ht="12.75" customHeight="1">
      <c r="A166" s="497">
        <f t="shared" si="5"/>
        <v>2025.1</v>
      </c>
      <c r="B166" s="502">
        <v>212.67281</v>
      </c>
      <c r="C166" s="3221">
        <v>185.56437299999999</v>
      </c>
      <c r="D166" s="502">
        <v>114.608643</v>
      </c>
      <c r="E166" s="503">
        <v>314.05747600000001</v>
      </c>
      <c r="F166" s="3221">
        <v>124.945483</v>
      </c>
      <c r="G166" s="504">
        <v>251.35560699999999</v>
      </c>
      <c r="H166" s="502">
        <v>148.51627200000001</v>
      </c>
      <c r="I166" s="3222">
        <f t="shared" si="4"/>
        <v>170.21248379183106</v>
      </c>
    </row>
    <row r="167" spans="1:9" ht="12.75" customHeight="1">
      <c r="A167" s="497">
        <f t="shared" si="5"/>
        <v>2025.2</v>
      </c>
      <c r="B167" s="502" t="e">
        <v>#N/A</v>
      </c>
      <c r="C167" s="3221" t="e">
        <v>#N/A</v>
      </c>
      <c r="D167" s="502" t="e">
        <v>#N/A</v>
      </c>
      <c r="E167" s="503" t="e">
        <v>#N/A</v>
      </c>
      <c r="F167" s="3221" t="e">
        <v>#N/A</v>
      </c>
      <c r="G167" s="504" t="e">
        <v>#N/A</v>
      </c>
      <c r="H167" s="502" t="e">
        <v>#N/A</v>
      </c>
      <c r="I167" s="3222" t="e">
        <f t="shared" si="4"/>
        <v>#N/A</v>
      </c>
    </row>
    <row r="168" spans="1:9" ht="12.75" customHeight="1">
      <c r="A168" s="497">
        <f t="shared" si="5"/>
        <v>2025.3</v>
      </c>
      <c r="B168" s="502" t="e">
        <v>#N/A</v>
      </c>
      <c r="C168" s="3221" t="e">
        <v>#N/A</v>
      </c>
      <c r="D168" s="502" t="e">
        <v>#N/A</v>
      </c>
      <c r="E168" s="503" t="e">
        <v>#N/A</v>
      </c>
      <c r="F168" s="3221" t="e">
        <v>#N/A</v>
      </c>
      <c r="G168" s="504" t="e">
        <v>#N/A</v>
      </c>
      <c r="H168" s="502" t="e">
        <v>#N/A</v>
      </c>
      <c r="I168" s="3222" t="e">
        <f t="shared" si="4"/>
        <v>#N/A</v>
      </c>
    </row>
    <row r="169" spans="1:9" ht="12.75" customHeight="1">
      <c r="A169" s="497">
        <f t="shared" si="5"/>
        <v>2025.4</v>
      </c>
      <c r="B169" s="502" t="e">
        <v>#N/A</v>
      </c>
      <c r="C169" s="3221" t="e">
        <v>#N/A</v>
      </c>
      <c r="D169" s="502" t="e">
        <v>#N/A</v>
      </c>
      <c r="E169" s="503" t="e">
        <v>#N/A</v>
      </c>
      <c r="F169" s="3221" t="e">
        <v>#N/A</v>
      </c>
      <c r="G169" s="504" t="e">
        <v>#N/A</v>
      </c>
      <c r="H169" s="502" t="e">
        <v>#N/A</v>
      </c>
      <c r="I169" s="3222" t="e">
        <f t="shared" si="4"/>
        <v>#N/A</v>
      </c>
    </row>
    <row r="170" spans="1:9" ht="12.75" customHeight="1">
      <c r="A170" s="497">
        <f t="shared" si="5"/>
        <v>2026.1</v>
      </c>
      <c r="B170" s="502" t="e">
        <v>#N/A</v>
      </c>
      <c r="C170" s="3221" t="e">
        <v>#N/A</v>
      </c>
      <c r="D170" s="502" t="e">
        <v>#N/A</v>
      </c>
      <c r="E170" s="503" t="e">
        <v>#N/A</v>
      </c>
      <c r="F170" s="3221" t="e">
        <v>#N/A</v>
      </c>
      <c r="G170" s="504" t="e">
        <v>#N/A</v>
      </c>
      <c r="H170" s="502" t="e">
        <v>#N/A</v>
      </c>
      <c r="I170" s="3222" t="e">
        <f t="shared" ref="I170:I189" si="6">B170/F170*100</f>
        <v>#N/A</v>
      </c>
    </row>
    <row r="171" spans="1:9" ht="12.75" customHeight="1">
      <c r="A171" s="497">
        <f t="shared" si="5"/>
        <v>2026.2</v>
      </c>
      <c r="B171" s="502" t="e">
        <v>#N/A</v>
      </c>
      <c r="C171" s="3221" t="e">
        <v>#N/A</v>
      </c>
      <c r="D171" s="502" t="e">
        <v>#N/A</v>
      </c>
      <c r="E171" s="503" t="e">
        <v>#N/A</v>
      </c>
      <c r="F171" s="3221" t="e">
        <v>#N/A</v>
      </c>
      <c r="G171" s="504" t="e">
        <v>#N/A</v>
      </c>
      <c r="H171" s="502" t="e">
        <v>#N/A</v>
      </c>
      <c r="I171" s="3222" t="e">
        <f t="shared" si="6"/>
        <v>#N/A</v>
      </c>
    </row>
    <row r="172" spans="1:9" ht="12.75" customHeight="1">
      <c r="A172" s="497">
        <f t="shared" si="5"/>
        <v>2026.3</v>
      </c>
      <c r="B172" s="502" t="e">
        <v>#N/A</v>
      </c>
      <c r="C172" s="3221" t="e">
        <v>#N/A</v>
      </c>
      <c r="D172" s="502" t="e">
        <v>#N/A</v>
      </c>
      <c r="E172" s="503" t="e">
        <v>#N/A</v>
      </c>
      <c r="F172" s="3221" t="e">
        <v>#N/A</v>
      </c>
      <c r="G172" s="504" t="e">
        <v>#N/A</v>
      </c>
      <c r="H172" s="502" t="e">
        <v>#N/A</v>
      </c>
      <c r="I172" s="3222" t="e">
        <f t="shared" si="6"/>
        <v>#N/A</v>
      </c>
    </row>
    <row r="173" spans="1:9" ht="12.75" customHeight="1">
      <c r="A173" s="497">
        <f t="shared" si="5"/>
        <v>2026.4</v>
      </c>
      <c r="B173" s="502" t="e">
        <v>#N/A</v>
      </c>
      <c r="C173" s="3221" t="e">
        <v>#N/A</v>
      </c>
      <c r="D173" s="502" t="e">
        <v>#N/A</v>
      </c>
      <c r="E173" s="503" t="e">
        <v>#N/A</v>
      </c>
      <c r="F173" s="3221" t="e">
        <v>#N/A</v>
      </c>
      <c r="G173" s="504" t="e">
        <v>#N/A</v>
      </c>
      <c r="H173" s="502" t="e">
        <v>#N/A</v>
      </c>
      <c r="I173" s="3222" t="e">
        <f t="shared" si="6"/>
        <v>#N/A</v>
      </c>
    </row>
    <row r="174" spans="1:9" ht="12.75" customHeight="1">
      <c r="A174" s="497">
        <f t="shared" si="5"/>
        <v>2027.1</v>
      </c>
      <c r="B174" s="502" t="e">
        <v>#N/A</v>
      </c>
      <c r="C174" s="3221" t="e">
        <v>#N/A</v>
      </c>
      <c r="D174" s="502" t="e">
        <v>#N/A</v>
      </c>
      <c r="E174" s="503" t="e">
        <v>#N/A</v>
      </c>
      <c r="F174" s="3221" t="e">
        <v>#N/A</v>
      </c>
      <c r="G174" s="504" t="e">
        <v>#N/A</v>
      </c>
      <c r="H174" s="502" t="e">
        <v>#N/A</v>
      </c>
      <c r="I174" s="3222" t="e">
        <f t="shared" si="6"/>
        <v>#N/A</v>
      </c>
    </row>
    <row r="175" spans="1:9" ht="12.75" customHeight="1">
      <c r="A175" s="497">
        <f t="shared" si="5"/>
        <v>2027.2</v>
      </c>
      <c r="B175" s="502" t="e">
        <v>#N/A</v>
      </c>
      <c r="C175" s="3221" t="e">
        <v>#N/A</v>
      </c>
      <c r="D175" s="502" t="e">
        <v>#N/A</v>
      </c>
      <c r="E175" s="503" t="e">
        <v>#N/A</v>
      </c>
      <c r="F175" s="3221" t="e">
        <v>#N/A</v>
      </c>
      <c r="G175" s="504" t="e">
        <v>#N/A</v>
      </c>
      <c r="H175" s="502" t="e">
        <v>#N/A</v>
      </c>
      <c r="I175" s="3222" t="e">
        <f t="shared" si="6"/>
        <v>#N/A</v>
      </c>
    </row>
    <row r="176" spans="1:9" ht="12.75" customHeight="1">
      <c r="A176" s="497">
        <f t="shared" si="5"/>
        <v>2027.3</v>
      </c>
      <c r="B176" s="502" t="e">
        <v>#N/A</v>
      </c>
      <c r="C176" s="3221" t="e">
        <v>#N/A</v>
      </c>
      <c r="D176" s="502" t="e">
        <v>#N/A</v>
      </c>
      <c r="E176" s="503" t="e">
        <v>#N/A</v>
      </c>
      <c r="F176" s="3221" t="e">
        <v>#N/A</v>
      </c>
      <c r="G176" s="504" t="e">
        <v>#N/A</v>
      </c>
      <c r="H176" s="502" t="e">
        <v>#N/A</v>
      </c>
      <c r="I176" s="3222" t="e">
        <f t="shared" si="6"/>
        <v>#N/A</v>
      </c>
    </row>
    <row r="177" spans="1:9" ht="12.75" customHeight="1">
      <c r="A177" s="497">
        <f t="shared" si="5"/>
        <v>2027.4</v>
      </c>
      <c r="B177" s="502" t="e">
        <v>#N/A</v>
      </c>
      <c r="C177" s="3221" t="e">
        <v>#N/A</v>
      </c>
      <c r="D177" s="502" t="e">
        <v>#N/A</v>
      </c>
      <c r="E177" s="503" t="e">
        <v>#N/A</v>
      </c>
      <c r="F177" s="3221" t="e">
        <v>#N/A</v>
      </c>
      <c r="G177" s="504" t="e">
        <v>#N/A</v>
      </c>
      <c r="H177" s="502" t="e">
        <v>#N/A</v>
      </c>
      <c r="I177" s="3222" t="e">
        <f t="shared" si="6"/>
        <v>#N/A</v>
      </c>
    </row>
    <row r="178" spans="1:9" ht="12.75" customHeight="1">
      <c r="A178" s="497">
        <f t="shared" si="5"/>
        <v>2028.1</v>
      </c>
      <c r="B178" s="502" t="e">
        <v>#N/A</v>
      </c>
      <c r="C178" s="3221" t="e">
        <v>#N/A</v>
      </c>
      <c r="D178" s="502" t="e">
        <v>#N/A</v>
      </c>
      <c r="E178" s="503" t="e">
        <v>#N/A</v>
      </c>
      <c r="F178" s="3221" t="e">
        <v>#N/A</v>
      </c>
      <c r="G178" s="504" t="e">
        <v>#N/A</v>
      </c>
      <c r="H178" s="502" t="e">
        <v>#N/A</v>
      </c>
      <c r="I178" s="3222" t="e">
        <f t="shared" si="6"/>
        <v>#N/A</v>
      </c>
    </row>
    <row r="179" spans="1:9" ht="12.75" customHeight="1">
      <c r="A179" s="497">
        <f t="shared" si="5"/>
        <v>2028.2</v>
      </c>
      <c r="B179" s="502" t="e">
        <v>#N/A</v>
      </c>
      <c r="C179" s="3221" t="e">
        <v>#N/A</v>
      </c>
      <c r="D179" s="502" t="e">
        <v>#N/A</v>
      </c>
      <c r="E179" s="503" t="e">
        <v>#N/A</v>
      </c>
      <c r="F179" s="3221" t="e">
        <v>#N/A</v>
      </c>
      <c r="G179" s="504" t="e">
        <v>#N/A</v>
      </c>
      <c r="H179" s="502" t="e">
        <v>#N/A</v>
      </c>
      <c r="I179" s="3222" t="e">
        <f t="shared" si="6"/>
        <v>#N/A</v>
      </c>
    </row>
    <row r="180" spans="1:9" ht="12.75" customHeight="1">
      <c r="A180" s="497">
        <f t="shared" si="5"/>
        <v>2028.3</v>
      </c>
      <c r="B180" s="502" t="e">
        <v>#N/A</v>
      </c>
      <c r="C180" s="3221" t="e">
        <v>#N/A</v>
      </c>
      <c r="D180" s="502" t="e">
        <v>#N/A</v>
      </c>
      <c r="E180" s="503" t="e">
        <v>#N/A</v>
      </c>
      <c r="F180" s="3221" t="e">
        <v>#N/A</v>
      </c>
      <c r="G180" s="504" t="e">
        <v>#N/A</v>
      </c>
      <c r="H180" s="502" t="e">
        <v>#N/A</v>
      </c>
      <c r="I180" s="3222" t="e">
        <f t="shared" si="6"/>
        <v>#N/A</v>
      </c>
    </row>
    <row r="181" spans="1:9" ht="12.75" customHeight="1">
      <c r="A181" s="497">
        <f t="shared" si="5"/>
        <v>2028.4</v>
      </c>
      <c r="B181" s="502" t="e">
        <v>#N/A</v>
      </c>
      <c r="C181" s="3221" t="e">
        <v>#N/A</v>
      </c>
      <c r="D181" s="502" t="e">
        <v>#N/A</v>
      </c>
      <c r="E181" s="503" t="e">
        <v>#N/A</v>
      </c>
      <c r="F181" s="3221" t="e">
        <v>#N/A</v>
      </c>
      <c r="G181" s="504" t="e">
        <v>#N/A</v>
      </c>
      <c r="H181" s="502" t="e">
        <v>#N/A</v>
      </c>
      <c r="I181" s="3222" t="e">
        <f t="shared" si="6"/>
        <v>#N/A</v>
      </c>
    </row>
    <row r="182" spans="1:9" ht="12.75" customHeight="1">
      <c r="A182" s="497">
        <f t="shared" si="5"/>
        <v>2029.1</v>
      </c>
      <c r="B182" s="502" t="e">
        <v>#N/A</v>
      </c>
      <c r="C182" s="3221" t="e">
        <v>#N/A</v>
      </c>
      <c r="D182" s="502" t="e">
        <v>#N/A</v>
      </c>
      <c r="E182" s="503" t="e">
        <v>#N/A</v>
      </c>
      <c r="F182" s="3221" t="e">
        <v>#N/A</v>
      </c>
      <c r="G182" s="504" t="e">
        <v>#N/A</v>
      </c>
      <c r="H182" s="502" t="e">
        <v>#N/A</v>
      </c>
      <c r="I182" s="3222" t="e">
        <f t="shared" si="6"/>
        <v>#N/A</v>
      </c>
    </row>
    <row r="183" spans="1:9" ht="12.75" customHeight="1">
      <c r="A183" s="497">
        <f t="shared" si="5"/>
        <v>2029.2</v>
      </c>
      <c r="B183" s="502" t="e">
        <v>#N/A</v>
      </c>
      <c r="C183" s="3221" t="e">
        <v>#N/A</v>
      </c>
      <c r="D183" s="502" t="e">
        <v>#N/A</v>
      </c>
      <c r="E183" s="503" t="e">
        <v>#N/A</v>
      </c>
      <c r="F183" s="3221" t="e">
        <v>#N/A</v>
      </c>
      <c r="G183" s="504" t="e">
        <v>#N/A</v>
      </c>
      <c r="H183" s="502" t="e">
        <v>#N/A</v>
      </c>
      <c r="I183" s="3222" t="e">
        <f t="shared" si="6"/>
        <v>#N/A</v>
      </c>
    </row>
    <row r="184" spans="1:9" ht="12.75" customHeight="1">
      <c r="A184" s="497">
        <f t="shared" si="5"/>
        <v>2029.3</v>
      </c>
      <c r="B184" s="502" t="e">
        <v>#N/A</v>
      </c>
      <c r="C184" s="3221" t="e">
        <v>#N/A</v>
      </c>
      <c r="D184" s="502" t="e">
        <v>#N/A</v>
      </c>
      <c r="E184" s="503" t="e">
        <v>#N/A</v>
      </c>
      <c r="F184" s="3221" t="e">
        <v>#N/A</v>
      </c>
      <c r="G184" s="504" t="e">
        <v>#N/A</v>
      </c>
      <c r="H184" s="502" t="e">
        <v>#N/A</v>
      </c>
      <c r="I184" s="3222" t="e">
        <f t="shared" si="6"/>
        <v>#N/A</v>
      </c>
    </row>
    <row r="185" spans="1:9" ht="12.75" customHeight="1">
      <c r="A185" s="497">
        <f t="shared" si="5"/>
        <v>2029.4</v>
      </c>
      <c r="B185" s="502" t="e">
        <v>#N/A</v>
      </c>
      <c r="C185" s="3221" t="e">
        <v>#N/A</v>
      </c>
      <c r="D185" s="502" t="e">
        <v>#N/A</v>
      </c>
      <c r="E185" s="503" t="e">
        <v>#N/A</v>
      </c>
      <c r="F185" s="3221" t="e">
        <v>#N/A</v>
      </c>
      <c r="G185" s="504" t="e">
        <v>#N/A</v>
      </c>
      <c r="H185" s="502" t="e">
        <v>#N/A</v>
      </c>
      <c r="I185" s="3222" t="e">
        <f t="shared" si="6"/>
        <v>#N/A</v>
      </c>
    </row>
    <row r="186" spans="1:9" ht="12.75" customHeight="1">
      <c r="A186" s="497">
        <f t="shared" si="5"/>
        <v>2030.1</v>
      </c>
      <c r="B186" s="502" t="e">
        <v>#N/A</v>
      </c>
      <c r="C186" s="3221" t="e">
        <v>#N/A</v>
      </c>
      <c r="D186" s="502" t="e">
        <v>#N/A</v>
      </c>
      <c r="E186" s="503" t="e">
        <v>#N/A</v>
      </c>
      <c r="F186" s="3221" t="e">
        <v>#N/A</v>
      </c>
      <c r="G186" s="504" t="e">
        <v>#N/A</v>
      </c>
      <c r="H186" s="502" t="e">
        <v>#N/A</v>
      </c>
      <c r="I186" s="3222" t="e">
        <f t="shared" si="6"/>
        <v>#N/A</v>
      </c>
    </row>
    <row r="187" spans="1:9" ht="12.75" customHeight="1">
      <c r="A187" s="497">
        <f t="shared" si="5"/>
        <v>2030.2</v>
      </c>
      <c r="B187" s="502" t="e">
        <v>#N/A</v>
      </c>
      <c r="C187" s="3221" t="e">
        <v>#N/A</v>
      </c>
      <c r="D187" s="502" t="e">
        <v>#N/A</v>
      </c>
      <c r="E187" s="503" t="e">
        <v>#N/A</v>
      </c>
      <c r="F187" s="3221" t="e">
        <v>#N/A</v>
      </c>
      <c r="G187" s="504" t="e">
        <v>#N/A</v>
      </c>
      <c r="H187" s="502" t="e">
        <v>#N/A</v>
      </c>
      <c r="I187" s="3222" t="e">
        <f t="shared" si="6"/>
        <v>#N/A</v>
      </c>
    </row>
    <row r="188" spans="1:9" ht="12.75" customHeight="1">
      <c r="A188" s="497">
        <f t="shared" si="5"/>
        <v>2030.3</v>
      </c>
      <c r="B188" s="502" t="e">
        <v>#N/A</v>
      </c>
      <c r="C188" s="3221" t="e">
        <v>#N/A</v>
      </c>
      <c r="D188" s="502" t="e">
        <v>#N/A</v>
      </c>
      <c r="E188" s="503" t="e">
        <v>#N/A</v>
      </c>
      <c r="F188" s="3221" t="e">
        <v>#N/A</v>
      </c>
      <c r="G188" s="504" t="e">
        <v>#N/A</v>
      </c>
      <c r="H188" s="502" t="e">
        <v>#N/A</v>
      </c>
      <c r="I188" s="3222" t="e">
        <f t="shared" si="6"/>
        <v>#N/A</v>
      </c>
    </row>
    <row r="189" spans="1:9" ht="12.75" customHeight="1">
      <c r="A189" s="497">
        <f t="shared" si="5"/>
        <v>2030.4</v>
      </c>
      <c r="B189" s="502" t="e">
        <v>#N/A</v>
      </c>
      <c r="C189" s="3221" t="e">
        <v>#N/A</v>
      </c>
      <c r="D189" s="502" t="e">
        <v>#N/A</v>
      </c>
      <c r="E189" s="503" t="e">
        <v>#N/A</v>
      </c>
      <c r="F189" s="3221" t="e">
        <v>#N/A</v>
      </c>
      <c r="G189" s="504" t="e">
        <v>#N/A</v>
      </c>
      <c r="H189" s="502" t="e">
        <v>#N/A</v>
      </c>
      <c r="I189" s="3222" t="e">
        <f t="shared" si="6"/>
        <v>#N/A</v>
      </c>
    </row>
    <row r="190" spans="1:9">
      <c r="A190" s="505"/>
    </row>
    <row r="191" spans="1:9">
      <c r="A191" s="505"/>
    </row>
    <row r="192" spans="1:9">
      <c r="A192" s="505"/>
    </row>
    <row r="193" spans="1:1">
      <c r="A193" s="505"/>
    </row>
    <row r="194" spans="1:1">
      <c r="A194" s="505"/>
    </row>
    <row r="195" spans="1:1">
      <c r="A195" s="505"/>
    </row>
    <row r="196" spans="1:1">
      <c r="A196" s="505"/>
    </row>
    <row r="197" spans="1:1">
      <c r="A197" s="505"/>
    </row>
    <row r="198" spans="1:1">
      <c r="A198" s="505"/>
    </row>
    <row r="199" spans="1:1">
      <c r="A199" s="505"/>
    </row>
    <row r="200" spans="1:1">
      <c r="A200" s="505"/>
    </row>
    <row r="201" spans="1:1">
      <c r="A201" s="505"/>
    </row>
    <row r="202" spans="1:1">
      <c r="A202" s="505"/>
    </row>
    <row r="203" spans="1:1">
      <c r="A203" s="505"/>
    </row>
    <row r="204" spans="1:1">
      <c r="A204" s="505"/>
    </row>
    <row r="205" spans="1:1">
      <c r="A205" s="505"/>
    </row>
    <row r="206" spans="1:1">
      <c r="A206" s="505"/>
    </row>
    <row r="207" spans="1:1">
      <c r="A207" s="505"/>
    </row>
    <row r="208" spans="1:1">
      <c r="A208" s="505"/>
    </row>
    <row r="209" spans="1:1">
      <c r="A209" s="505"/>
    </row>
    <row r="210" spans="1:1">
      <c r="A210" s="505"/>
    </row>
    <row r="211" spans="1:1">
      <c r="A211" s="505"/>
    </row>
    <row r="212" spans="1:1">
      <c r="A212" s="505"/>
    </row>
    <row r="213" spans="1:1">
      <c r="A213" s="505"/>
    </row>
    <row r="214" spans="1:1">
      <c r="A214" s="505"/>
    </row>
    <row r="215" spans="1:1">
      <c r="A215" s="505"/>
    </row>
    <row r="216" spans="1:1">
      <c r="A216" s="505"/>
    </row>
    <row r="217" spans="1:1">
      <c r="A217" s="505"/>
    </row>
    <row r="218" spans="1:1">
      <c r="A218" s="505"/>
    </row>
    <row r="219" spans="1:1">
      <c r="A219" s="505"/>
    </row>
    <row r="220" spans="1:1">
      <c r="A220" s="505"/>
    </row>
    <row r="221" spans="1:1">
      <c r="A221" s="505"/>
    </row>
    <row r="222" spans="1:1">
      <c r="A222" s="505"/>
    </row>
    <row r="223" spans="1:1">
      <c r="A223" s="505"/>
    </row>
    <row r="224" spans="1:1">
      <c r="A224" s="505"/>
    </row>
    <row r="225" spans="1:1">
      <c r="A225" s="505"/>
    </row>
    <row r="226" spans="1:1">
      <c r="A226" s="505"/>
    </row>
    <row r="227" spans="1:1">
      <c r="A227" s="505"/>
    </row>
    <row r="228" spans="1:1">
      <c r="A228" s="505"/>
    </row>
    <row r="229" spans="1:1">
      <c r="A229" s="505"/>
    </row>
    <row r="230" spans="1:1">
      <c r="A230" s="505"/>
    </row>
    <row r="231" spans="1:1">
      <c r="A231" s="505"/>
    </row>
    <row r="232" spans="1:1">
      <c r="A232" s="505"/>
    </row>
    <row r="233" spans="1:1">
      <c r="A233" s="505"/>
    </row>
    <row r="234" spans="1:1">
      <c r="A234" s="505"/>
    </row>
    <row r="235" spans="1:1">
      <c r="A235" s="505"/>
    </row>
    <row r="236" spans="1:1">
      <c r="A236" s="505"/>
    </row>
    <row r="237" spans="1:1">
      <c r="A237" s="505"/>
    </row>
    <row r="238" spans="1:1">
      <c r="A238" s="505"/>
    </row>
    <row r="239" spans="1:1">
      <c r="A239" s="505"/>
    </row>
    <row r="240" spans="1:1">
      <c r="A240" s="505"/>
    </row>
    <row r="241" spans="1:1">
      <c r="A241" s="505"/>
    </row>
    <row r="242" spans="1:1">
      <c r="A242" s="505"/>
    </row>
    <row r="243" spans="1:1">
      <c r="A243" s="505"/>
    </row>
    <row r="244" spans="1:1">
      <c r="A244" s="505"/>
    </row>
    <row r="245" spans="1:1">
      <c r="A245" s="505"/>
    </row>
    <row r="246" spans="1:1">
      <c r="A246" s="505"/>
    </row>
    <row r="247" spans="1:1">
      <c r="A247" s="505"/>
    </row>
    <row r="248" spans="1:1">
      <c r="A248" s="505"/>
    </row>
    <row r="249" spans="1:1">
      <c r="A249" s="505"/>
    </row>
    <row r="250" spans="1:1">
      <c r="A250" s="505"/>
    </row>
    <row r="251" spans="1:1">
      <c r="A251" s="505"/>
    </row>
    <row r="252" spans="1:1">
      <c r="A252" s="505"/>
    </row>
    <row r="253" spans="1:1">
      <c r="A253" s="505"/>
    </row>
    <row r="254" spans="1:1">
      <c r="A254" s="505"/>
    </row>
    <row r="255" spans="1:1">
      <c r="A255" s="505"/>
    </row>
    <row r="256" spans="1:1">
      <c r="A256" s="505"/>
    </row>
    <row r="257" spans="1:1">
      <c r="A257" s="505"/>
    </row>
    <row r="258" spans="1:1">
      <c r="A258" s="505"/>
    </row>
    <row r="259" spans="1:1">
      <c r="A259" s="505"/>
    </row>
    <row r="260" spans="1:1">
      <c r="A260" s="505"/>
    </row>
    <row r="261" spans="1:1">
      <c r="A261" s="505"/>
    </row>
    <row r="262" spans="1:1">
      <c r="A262" s="505"/>
    </row>
    <row r="263" spans="1:1">
      <c r="A263" s="505"/>
    </row>
    <row r="264" spans="1:1">
      <c r="A264" s="505"/>
    </row>
    <row r="265" spans="1:1">
      <c r="A265" s="505"/>
    </row>
    <row r="266" spans="1:1">
      <c r="A266" s="505"/>
    </row>
    <row r="267" spans="1:1">
      <c r="A267" s="505"/>
    </row>
    <row r="268" spans="1:1">
      <c r="A268" s="505"/>
    </row>
    <row r="269" spans="1:1">
      <c r="A269" s="505"/>
    </row>
    <row r="270" spans="1:1">
      <c r="A270" s="505"/>
    </row>
    <row r="271" spans="1:1">
      <c r="A271" s="505"/>
    </row>
    <row r="272" spans="1:1">
      <c r="A272" s="505"/>
    </row>
    <row r="273" spans="1:1">
      <c r="A273" s="505"/>
    </row>
    <row r="274" spans="1:1">
      <c r="A274" s="505"/>
    </row>
    <row r="275" spans="1:1">
      <c r="A275" s="505"/>
    </row>
    <row r="276" spans="1:1">
      <c r="A276" s="505"/>
    </row>
    <row r="277" spans="1:1">
      <c r="A277" s="505"/>
    </row>
    <row r="278" spans="1:1">
      <c r="A278" s="505"/>
    </row>
    <row r="279" spans="1:1">
      <c r="A279" s="505"/>
    </row>
    <row r="280" spans="1:1">
      <c r="A280" s="505"/>
    </row>
    <row r="281" spans="1:1">
      <c r="A281" s="505"/>
    </row>
    <row r="282" spans="1:1">
      <c r="A282" s="505"/>
    </row>
    <row r="283" spans="1:1">
      <c r="A283" s="505"/>
    </row>
    <row r="284" spans="1:1">
      <c r="A284" s="505"/>
    </row>
    <row r="285" spans="1:1">
      <c r="A285" s="505"/>
    </row>
    <row r="286" spans="1:1">
      <c r="A286" s="505"/>
    </row>
    <row r="287" spans="1:1">
      <c r="A287" s="505"/>
    </row>
    <row r="288" spans="1:1">
      <c r="A288" s="505"/>
    </row>
    <row r="289" spans="1:1">
      <c r="A289" s="505"/>
    </row>
    <row r="290" spans="1:1">
      <c r="A290" s="505"/>
    </row>
    <row r="291" spans="1:1">
      <c r="A291" s="505"/>
    </row>
    <row r="292" spans="1:1">
      <c r="A292" s="505"/>
    </row>
    <row r="293" spans="1:1">
      <c r="A293" s="505"/>
    </row>
    <row r="294" spans="1:1">
      <c r="A294" s="505"/>
    </row>
    <row r="295" spans="1:1">
      <c r="A295" s="505"/>
    </row>
    <row r="296" spans="1:1">
      <c r="A296" s="505"/>
    </row>
    <row r="297" spans="1:1">
      <c r="A297" s="505"/>
    </row>
    <row r="298" spans="1:1">
      <c r="A298" s="505"/>
    </row>
    <row r="299" spans="1:1">
      <c r="A299" s="505"/>
    </row>
    <row r="300" spans="1:1">
      <c r="A300" s="505"/>
    </row>
    <row r="301" spans="1:1">
      <c r="A301" s="505"/>
    </row>
    <row r="302" spans="1:1">
      <c r="A302" s="505"/>
    </row>
    <row r="303" spans="1:1">
      <c r="A303" s="505"/>
    </row>
    <row r="304" spans="1:1">
      <c r="A304" s="505"/>
    </row>
    <row r="305" spans="1:1">
      <c r="A305" s="505"/>
    </row>
    <row r="306" spans="1:1">
      <c r="A306" s="505"/>
    </row>
    <row r="307" spans="1:1">
      <c r="A307" s="505"/>
    </row>
    <row r="308" spans="1:1">
      <c r="A308" s="505"/>
    </row>
    <row r="309" spans="1:1">
      <c r="A309" s="505"/>
    </row>
    <row r="310" spans="1:1">
      <c r="A310" s="505"/>
    </row>
    <row r="311" spans="1:1">
      <c r="A311" s="505"/>
    </row>
    <row r="312" spans="1:1">
      <c r="A312" s="505"/>
    </row>
    <row r="313" spans="1:1">
      <c r="A313" s="505"/>
    </row>
    <row r="314" spans="1:1">
      <c r="A314" s="505"/>
    </row>
    <row r="315" spans="1:1">
      <c r="A315" s="505"/>
    </row>
    <row r="316" spans="1:1">
      <c r="A316" s="505"/>
    </row>
    <row r="317" spans="1:1">
      <c r="A317" s="505"/>
    </row>
    <row r="318" spans="1:1">
      <c r="A318" s="505"/>
    </row>
    <row r="319" spans="1:1">
      <c r="A319" s="505"/>
    </row>
    <row r="320" spans="1:1">
      <c r="A320" s="505"/>
    </row>
    <row r="321" spans="1:1">
      <c r="A321" s="505"/>
    </row>
    <row r="322" spans="1:1">
      <c r="A322" s="505"/>
    </row>
    <row r="323" spans="1:1">
      <c r="A323" s="505"/>
    </row>
    <row r="324" spans="1:1">
      <c r="A324" s="505"/>
    </row>
    <row r="325" spans="1:1">
      <c r="A325" s="505"/>
    </row>
    <row r="326" spans="1:1">
      <c r="A326" s="505"/>
    </row>
    <row r="327" spans="1:1">
      <c r="A327" s="505"/>
    </row>
    <row r="328" spans="1:1">
      <c r="A328" s="505"/>
    </row>
    <row r="329" spans="1:1">
      <c r="A329" s="505"/>
    </row>
    <row r="330" spans="1:1">
      <c r="A330" s="505"/>
    </row>
    <row r="331" spans="1:1">
      <c r="A331" s="505"/>
    </row>
    <row r="332" spans="1:1">
      <c r="A332" s="505"/>
    </row>
    <row r="333" spans="1:1">
      <c r="A333" s="505"/>
    </row>
    <row r="334" spans="1:1">
      <c r="A334" s="505"/>
    </row>
    <row r="335" spans="1:1">
      <c r="A335" s="505"/>
    </row>
    <row r="336" spans="1:1">
      <c r="A336" s="505"/>
    </row>
    <row r="337" spans="1:1">
      <c r="A337" s="505"/>
    </row>
    <row r="338" spans="1:1">
      <c r="A338" s="505"/>
    </row>
    <row r="339" spans="1:1">
      <c r="A339" s="505"/>
    </row>
    <row r="340" spans="1:1">
      <c r="A340" s="505"/>
    </row>
    <row r="341" spans="1:1">
      <c r="A341" s="505"/>
    </row>
    <row r="342" spans="1:1">
      <c r="A342" s="505"/>
    </row>
    <row r="343" spans="1:1">
      <c r="A343" s="505"/>
    </row>
    <row r="344" spans="1:1">
      <c r="A344" s="505"/>
    </row>
    <row r="345" spans="1:1">
      <c r="A345" s="505"/>
    </row>
    <row r="346" spans="1:1">
      <c r="A346" s="505"/>
    </row>
    <row r="347" spans="1:1">
      <c r="A347" s="505"/>
    </row>
    <row r="348" spans="1:1">
      <c r="A348" s="505"/>
    </row>
    <row r="349" spans="1:1">
      <c r="A349" s="505"/>
    </row>
    <row r="350" spans="1:1">
      <c r="A350" s="505"/>
    </row>
    <row r="351" spans="1:1">
      <c r="A351" s="505"/>
    </row>
    <row r="352" spans="1:1">
      <c r="A352" s="505"/>
    </row>
    <row r="353" spans="1:1">
      <c r="A353" s="505"/>
    </row>
    <row r="354" spans="1:1">
      <c r="A354" s="505"/>
    </row>
    <row r="355" spans="1:1">
      <c r="A355" s="505"/>
    </row>
    <row r="356" spans="1:1">
      <c r="A356" s="505"/>
    </row>
    <row r="357" spans="1:1">
      <c r="A357" s="505"/>
    </row>
    <row r="358" spans="1:1">
      <c r="A358" s="505"/>
    </row>
    <row r="359" spans="1:1">
      <c r="A359" s="505"/>
    </row>
    <row r="360" spans="1:1">
      <c r="A360" s="505"/>
    </row>
    <row r="361" spans="1:1">
      <c r="A361" s="505"/>
    </row>
    <row r="362" spans="1:1">
      <c r="A362" s="505"/>
    </row>
    <row r="363" spans="1:1">
      <c r="A363" s="505"/>
    </row>
    <row r="364" spans="1:1">
      <c r="A364" s="505"/>
    </row>
    <row r="365" spans="1:1">
      <c r="A365" s="505"/>
    </row>
    <row r="366" spans="1:1">
      <c r="A366" s="505"/>
    </row>
    <row r="367" spans="1:1">
      <c r="A367" s="505"/>
    </row>
    <row r="368" spans="1:1">
      <c r="A368" s="505"/>
    </row>
    <row r="369" spans="1:1">
      <c r="A369" s="505"/>
    </row>
    <row r="370" spans="1:1">
      <c r="A370" s="505"/>
    </row>
    <row r="371" spans="1:1">
      <c r="A371" s="505"/>
    </row>
    <row r="372" spans="1:1">
      <c r="A372" s="505"/>
    </row>
    <row r="373" spans="1:1">
      <c r="A373" s="505"/>
    </row>
    <row r="374" spans="1:1">
      <c r="A374" s="505"/>
    </row>
    <row r="375" spans="1:1">
      <c r="A375" s="505"/>
    </row>
    <row r="376" spans="1:1">
      <c r="A376" s="505"/>
    </row>
    <row r="377" spans="1:1">
      <c r="A377" s="505"/>
    </row>
    <row r="378" spans="1:1">
      <c r="A378" s="505"/>
    </row>
    <row r="379" spans="1:1">
      <c r="A379" s="505"/>
    </row>
    <row r="380" spans="1:1">
      <c r="A380" s="505"/>
    </row>
    <row r="381" spans="1:1">
      <c r="A381" s="505"/>
    </row>
    <row r="382" spans="1:1">
      <c r="A382" s="505"/>
    </row>
    <row r="383" spans="1:1">
      <c r="A383" s="505"/>
    </row>
    <row r="384" spans="1:1">
      <c r="A384" s="505"/>
    </row>
    <row r="385" spans="1:1">
      <c r="A385" s="505"/>
    </row>
    <row r="386" spans="1:1">
      <c r="A386" s="505"/>
    </row>
    <row r="387" spans="1:1">
      <c r="A387" s="505"/>
    </row>
    <row r="388" spans="1:1">
      <c r="A388" s="505"/>
    </row>
    <row r="389" spans="1:1">
      <c r="A389" s="505"/>
    </row>
    <row r="390" spans="1:1">
      <c r="A390" s="505"/>
    </row>
    <row r="391" spans="1:1">
      <c r="A391" s="505"/>
    </row>
    <row r="392" spans="1:1">
      <c r="A392" s="505"/>
    </row>
    <row r="393" spans="1:1">
      <c r="A393" s="505"/>
    </row>
    <row r="394" spans="1:1">
      <c r="A394" s="505"/>
    </row>
    <row r="395" spans="1:1">
      <c r="A395" s="505"/>
    </row>
    <row r="396" spans="1:1">
      <c r="A396" s="505"/>
    </row>
    <row r="397" spans="1:1">
      <c r="A397" s="505"/>
    </row>
    <row r="398" spans="1:1">
      <c r="A398" s="505"/>
    </row>
    <row r="399" spans="1:1">
      <c r="A399" s="505"/>
    </row>
    <row r="400" spans="1:1">
      <c r="A400" s="505"/>
    </row>
    <row r="401" spans="1:1">
      <c r="A401" s="505"/>
    </row>
    <row r="402" spans="1:1">
      <c r="A402" s="505"/>
    </row>
    <row r="403" spans="1:1">
      <c r="A403" s="505"/>
    </row>
    <row r="404" spans="1:1">
      <c r="A404" s="505"/>
    </row>
    <row r="405" spans="1:1">
      <c r="A405" s="505"/>
    </row>
    <row r="406" spans="1:1">
      <c r="A406" s="505"/>
    </row>
    <row r="407" spans="1:1">
      <c r="A407" s="505"/>
    </row>
    <row r="408" spans="1:1">
      <c r="A408" s="505"/>
    </row>
    <row r="409" spans="1:1">
      <c r="A409" s="505"/>
    </row>
    <row r="410" spans="1:1">
      <c r="A410" s="505"/>
    </row>
    <row r="411" spans="1:1">
      <c r="A411" s="505"/>
    </row>
    <row r="412" spans="1:1">
      <c r="A412" s="505"/>
    </row>
    <row r="413" spans="1:1">
      <c r="A413" s="505"/>
    </row>
    <row r="414" spans="1:1">
      <c r="A414" s="505"/>
    </row>
    <row r="415" spans="1:1">
      <c r="A415" s="505"/>
    </row>
    <row r="416" spans="1:1">
      <c r="A416" s="505"/>
    </row>
    <row r="417" spans="1:1">
      <c r="A417" s="505"/>
    </row>
    <row r="418" spans="1:1">
      <c r="A418" s="505"/>
    </row>
    <row r="419" spans="1:1">
      <c r="A419" s="505"/>
    </row>
    <row r="420" spans="1:1">
      <c r="A420" s="505"/>
    </row>
    <row r="421" spans="1:1">
      <c r="A421" s="505"/>
    </row>
    <row r="422" spans="1:1">
      <c r="A422" s="505"/>
    </row>
    <row r="423" spans="1:1">
      <c r="A423" s="505"/>
    </row>
    <row r="424" spans="1:1">
      <c r="A424" s="505"/>
    </row>
    <row r="425" spans="1:1">
      <c r="A425" s="505"/>
    </row>
    <row r="426" spans="1:1">
      <c r="A426" s="505"/>
    </row>
    <row r="427" spans="1:1">
      <c r="A427" s="505"/>
    </row>
    <row r="428" spans="1:1">
      <c r="A428" s="505"/>
    </row>
    <row r="429" spans="1:1">
      <c r="A429" s="505"/>
    </row>
    <row r="430" spans="1:1">
      <c r="A430" s="505"/>
    </row>
    <row r="431" spans="1:1">
      <c r="A431" s="505"/>
    </row>
    <row r="432" spans="1:1">
      <c r="A432" s="505"/>
    </row>
    <row r="433" spans="1:1">
      <c r="A433" s="505"/>
    </row>
    <row r="434" spans="1:1">
      <c r="A434" s="505"/>
    </row>
    <row r="435" spans="1:1">
      <c r="A435" s="505"/>
    </row>
    <row r="436" spans="1:1">
      <c r="A436" s="505"/>
    </row>
    <row r="437" spans="1:1">
      <c r="A437" s="505"/>
    </row>
    <row r="438" spans="1:1">
      <c r="A438" s="505"/>
    </row>
    <row r="439" spans="1:1">
      <c r="A439" s="505"/>
    </row>
    <row r="440" spans="1:1">
      <c r="A440" s="505"/>
    </row>
    <row r="441" spans="1:1">
      <c r="A441" s="505"/>
    </row>
    <row r="442" spans="1:1">
      <c r="A442" s="505"/>
    </row>
    <row r="443" spans="1:1">
      <c r="A443" s="505"/>
    </row>
    <row r="444" spans="1:1">
      <c r="A444" s="505"/>
    </row>
    <row r="445" spans="1:1">
      <c r="A445" s="505"/>
    </row>
    <row r="446" spans="1:1">
      <c r="A446" s="505"/>
    </row>
    <row r="447" spans="1:1">
      <c r="A447" s="505"/>
    </row>
    <row r="448" spans="1:1">
      <c r="A448" s="505"/>
    </row>
    <row r="449" spans="1:1">
      <c r="A449" s="505"/>
    </row>
    <row r="450" spans="1:1">
      <c r="A450" s="505"/>
    </row>
    <row r="451" spans="1:1">
      <c r="A451" s="505"/>
    </row>
    <row r="452" spans="1:1">
      <c r="A452" s="505"/>
    </row>
    <row r="453" spans="1:1">
      <c r="A453" s="505"/>
    </row>
    <row r="454" spans="1:1">
      <c r="A454" s="505"/>
    </row>
    <row r="455" spans="1:1">
      <c r="A455" s="505"/>
    </row>
    <row r="456" spans="1:1">
      <c r="A456" s="505"/>
    </row>
    <row r="457" spans="1:1">
      <c r="A457" s="505"/>
    </row>
    <row r="458" spans="1:1">
      <c r="A458" s="505"/>
    </row>
    <row r="459" spans="1:1">
      <c r="A459" s="505"/>
    </row>
    <row r="460" spans="1:1">
      <c r="A460" s="505"/>
    </row>
    <row r="461" spans="1:1">
      <c r="A461" s="505"/>
    </row>
    <row r="462" spans="1:1">
      <c r="A462" s="505"/>
    </row>
    <row r="463" spans="1:1">
      <c r="A463" s="505"/>
    </row>
    <row r="464" spans="1:1">
      <c r="A464" s="505"/>
    </row>
    <row r="465" spans="1:1">
      <c r="A465" s="505"/>
    </row>
    <row r="466" spans="1:1">
      <c r="A466" s="505"/>
    </row>
    <row r="467" spans="1:1">
      <c r="A467" s="505"/>
    </row>
    <row r="468" spans="1:1">
      <c r="A468" s="505"/>
    </row>
    <row r="469" spans="1:1">
      <c r="A469" s="505"/>
    </row>
    <row r="470" spans="1:1">
      <c r="A470" s="505"/>
    </row>
    <row r="471" spans="1:1">
      <c r="A471" s="505"/>
    </row>
    <row r="472" spans="1:1">
      <c r="A472" s="505"/>
    </row>
    <row r="473" spans="1:1">
      <c r="A473" s="505"/>
    </row>
    <row r="474" spans="1:1">
      <c r="A474" s="505"/>
    </row>
    <row r="475" spans="1:1">
      <c r="A475" s="505"/>
    </row>
    <row r="476" spans="1:1">
      <c r="A476" s="505"/>
    </row>
    <row r="477" spans="1:1">
      <c r="A477" s="505"/>
    </row>
    <row r="478" spans="1:1">
      <c r="A478" s="505"/>
    </row>
    <row r="479" spans="1:1">
      <c r="A479" s="505"/>
    </row>
    <row r="480" spans="1:1">
      <c r="A480" s="505"/>
    </row>
    <row r="481" spans="1:1">
      <c r="A481" s="505"/>
    </row>
    <row r="482" spans="1:1">
      <c r="A482" s="505"/>
    </row>
    <row r="483" spans="1:1">
      <c r="A483" s="505"/>
    </row>
    <row r="484" spans="1:1">
      <c r="A484" s="505"/>
    </row>
    <row r="485" spans="1:1">
      <c r="A485" s="505"/>
    </row>
    <row r="486" spans="1:1">
      <c r="A486" s="505"/>
    </row>
    <row r="487" spans="1:1">
      <c r="A487" s="505"/>
    </row>
    <row r="488" spans="1:1">
      <c r="A488" s="505"/>
    </row>
    <row r="489" spans="1:1">
      <c r="A489" s="505"/>
    </row>
    <row r="490" spans="1:1">
      <c r="A490" s="506"/>
    </row>
    <row r="491" spans="1:1">
      <c r="A491" s="506"/>
    </row>
    <row r="492" spans="1:1">
      <c r="A492" s="506"/>
    </row>
    <row r="493" spans="1:1">
      <c r="A493" s="506"/>
    </row>
    <row r="494" spans="1:1">
      <c r="A494" s="506"/>
    </row>
    <row r="495" spans="1:1">
      <c r="A495" s="506"/>
    </row>
    <row r="496" spans="1:1">
      <c r="A496" s="506"/>
    </row>
    <row r="497" spans="1:1">
      <c r="A497" s="506"/>
    </row>
    <row r="498" spans="1:1">
      <c r="A498" s="506"/>
    </row>
    <row r="499" spans="1:1">
      <c r="A499" s="506"/>
    </row>
    <row r="500" spans="1:1">
      <c r="A500" s="506"/>
    </row>
    <row r="501" spans="1:1">
      <c r="A501" s="506"/>
    </row>
    <row r="502" spans="1:1">
      <c r="A502" s="506"/>
    </row>
    <row r="503" spans="1:1">
      <c r="A503" s="506"/>
    </row>
    <row r="504" spans="1:1">
      <c r="A504" s="506"/>
    </row>
    <row r="505" spans="1:1">
      <c r="A505" s="506"/>
    </row>
    <row r="506" spans="1:1">
      <c r="A506" s="506"/>
    </row>
    <row r="507" spans="1:1">
      <c r="A507" s="506"/>
    </row>
    <row r="508" spans="1:1">
      <c r="A508" s="506"/>
    </row>
    <row r="509" spans="1:1">
      <c r="A509" s="506"/>
    </row>
    <row r="510" spans="1:1">
      <c r="A510" s="506"/>
    </row>
    <row r="511" spans="1:1">
      <c r="A511" s="506"/>
    </row>
    <row r="512" spans="1:1">
      <c r="A512" s="506"/>
    </row>
    <row r="513" spans="1:1">
      <c r="A513" s="506"/>
    </row>
    <row r="514" spans="1:1">
      <c r="A514" s="506"/>
    </row>
    <row r="515" spans="1:1">
      <c r="A515" s="506"/>
    </row>
    <row r="516" spans="1:1">
      <c r="A516" s="506"/>
    </row>
    <row r="517" spans="1:1">
      <c r="A517" s="506"/>
    </row>
    <row r="518" spans="1:1">
      <c r="A518" s="506"/>
    </row>
    <row r="519" spans="1:1">
      <c r="A519" s="506"/>
    </row>
    <row r="520" spans="1:1">
      <c r="A520" s="506"/>
    </row>
    <row r="521" spans="1:1">
      <c r="A521" s="506"/>
    </row>
    <row r="522" spans="1:1">
      <c r="A522" s="506"/>
    </row>
    <row r="523" spans="1:1">
      <c r="A523" s="506"/>
    </row>
    <row r="524" spans="1:1">
      <c r="A524" s="506"/>
    </row>
    <row r="525" spans="1:1">
      <c r="A525" s="506"/>
    </row>
    <row r="526" spans="1:1">
      <c r="A526" s="506"/>
    </row>
    <row r="527" spans="1:1">
      <c r="A527" s="506"/>
    </row>
    <row r="528" spans="1:1">
      <c r="A528" s="506"/>
    </row>
    <row r="529" spans="1:1">
      <c r="A529" s="506"/>
    </row>
    <row r="530" spans="1:1">
      <c r="A530" s="506"/>
    </row>
    <row r="531" spans="1:1">
      <c r="A531" s="506"/>
    </row>
    <row r="532" spans="1:1">
      <c r="A532" s="506"/>
    </row>
    <row r="533" spans="1:1">
      <c r="A533" s="506"/>
    </row>
  </sheetData>
  <hyperlinks>
    <hyperlink ref="A5" location="INDICE!A13" display="VOLVER AL INDICE" xr:uid="{00000000-0004-0000-2B00-000000000000}"/>
  </hyperlinks>
  <pageMargins left="0.7" right="0.7" top="0.75" bottom="0.75" header="0.3" footer="0.3"/>
  <pageSetup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55"/>
  <dimension ref="A1:AB65"/>
  <sheetViews>
    <sheetView zoomScale="130" zoomScaleNormal="130" workbookViewId="0">
      <pane xSplit="1" ySplit="9" topLeftCell="F37" activePane="bottomRight" state="frozen"/>
      <selection pane="topRight" activeCell="A5" sqref="A5"/>
      <selection pane="bottomLeft" activeCell="A5" sqref="A5"/>
      <selection pane="bottomRight" activeCell="I49" sqref="I49"/>
    </sheetView>
  </sheetViews>
  <sheetFormatPr baseColWidth="10" defaultColWidth="11.42578125" defaultRowHeight="12.75"/>
  <cols>
    <col min="1" max="1" width="10.5703125" style="24" customWidth="1"/>
    <col min="2" max="3" width="25.28515625" style="24" customWidth="1"/>
    <col min="4" max="5" width="24.5703125" style="24" customWidth="1"/>
    <col min="6" max="6" width="12" style="10" bestFit="1" customWidth="1"/>
    <col min="7" max="16384" width="11.42578125" style="10"/>
  </cols>
  <sheetData>
    <row r="1" spans="1:28" s="30" customFormat="1" ht="3" customHeight="1">
      <c r="A1" s="34"/>
      <c r="B1" s="49"/>
      <c r="C1" s="50"/>
      <c r="D1" s="2472"/>
      <c r="E1" s="159"/>
      <c r="F1" s="235"/>
      <c r="G1" s="235"/>
      <c r="H1" s="235"/>
      <c r="I1" s="235"/>
      <c r="J1" s="235"/>
      <c r="K1" s="235"/>
      <c r="L1" s="235"/>
      <c r="M1" s="235"/>
      <c r="N1" s="235"/>
      <c r="O1" s="235"/>
      <c r="P1" s="235"/>
      <c r="Q1" s="235"/>
      <c r="R1" s="235"/>
      <c r="S1" s="235"/>
      <c r="T1" s="235"/>
      <c r="U1" s="235"/>
      <c r="V1" s="235"/>
      <c r="W1" s="235"/>
      <c r="X1" s="235"/>
      <c r="Y1" s="235"/>
      <c r="Z1" s="235"/>
      <c r="AA1" s="235"/>
      <c r="AB1" s="235"/>
    </row>
    <row r="2" spans="1:28" s="16" customFormat="1">
      <c r="A2" s="36" t="s">
        <v>105</v>
      </c>
      <c r="B2" s="174" t="s">
        <v>1340</v>
      </c>
      <c r="C2" s="173"/>
      <c r="D2" s="2175" t="s">
        <v>1341</v>
      </c>
      <c r="E2" s="330"/>
      <c r="F2" s="216"/>
      <c r="G2" s="216"/>
      <c r="H2" s="216"/>
      <c r="I2" s="216"/>
      <c r="J2" s="216"/>
      <c r="K2" s="216"/>
      <c r="L2" s="216"/>
      <c r="M2" s="216"/>
      <c r="N2" s="216"/>
      <c r="O2" s="216"/>
      <c r="P2" s="216"/>
      <c r="Q2" s="216"/>
      <c r="R2" s="216"/>
      <c r="S2" s="216"/>
      <c r="T2" s="216"/>
      <c r="U2" s="216"/>
      <c r="V2" s="216"/>
      <c r="W2" s="216"/>
      <c r="X2" s="216"/>
      <c r="Y2" s="216"/>
      <c r="Z2" s="216"/>
      <c r="AA2" s="216"/>
      <c r="AB2" s="216"/>
    </row>
    <row r="3" spans="1:28" s="16" customFormat="1">
      <c r="A3" s="37" t="s">
        <v>212</v>
      </c>
      <c r="B3" s="2176" t="s">
        <v>147</v>
      </c>
      <c r="C3" s="39"/>
      <c r="D3" s="2473" t="s">
        <v>132</v>
      </c>
      <c r="E3" s="160"/>
      <c r="F3" s="216"/>
      <c r="G3" s="216"/>
      <c r="H3" s="216"/>
      <c r="I3" s="216"/>
      <c r="J3" s="216"/>
      <c r="K3" s="216"/>
      <c r="L3" s="216"/>
      <c r="M3" s="216"/>
      <c r="N3" s="216"/>
      <c r="O3" s="216"/>
      <c r="P3" s="216"/>
      <c r="Q3" s="216"/>
      <c r="R3" s="216"/>
      <c r="S3" s="216"/>
      <c r="T3" s="216"/>
      <c r="U3" s="216"/>
      <c r="V3" s="216"/>
      <c r="W3" s="216"/>
      <c r="X3" s="216"/>
      <c r="Y3" s="216"/>
      <c r="Z3" s="216"/>
      <c r="AA3" s="216"/>
      <c r="AB3" s="216"/>
    </row>
    <row r="4" spans="1:28" s="16" customFormat="1" hidden="1">
      <c r="A4" s="35"/>
      <c r="B4" s="1843"/>
      <c r="C4" s="1844"/>
      <c r="D4" s="3223"/>
      <c r="E4" s="3224"/>
      <c r="F4" s="216"/>
      <c r="G4" s="216"/>
      <c r="H4" s="216"/>
      <c r="I4" s="216"/>
      <c r="J4" s="216"/>
      <c r="K4" s="216"/>
      <c r="L4" s="216"/>
      <c r="M4" s="216"/>
      <c r="N4" s="216"/>
      <c r="O4" s="216"/>
      <c r="P4" s="216"/>
      <c r="Q4" s="216"/>
      <c r="R4" s="216"/>
      <c r="S4" s="216"/>
      <c r="T4" s="216"/>
      <c r="U4" s="216"/>
      <c r="V4" s="216"/>
      <c r="W4" s="216"/>
      <c r="X4" s="216"/>
      <c r="Y4" s="216"/>
      <c r="Z4" s="216"/>
      <c r="AA4" s="216"/>
      <c r="AB4" s="216"/>
    </row>
    <row r="5" spans="1:28" s="30" customFormat="1" ht="22.5">
      <c r="A5" s="2390" t="s">
        <v>137</v>
      </c>
      <c r="B5" s="2177" t="s">
        <v>1342</v>
      </c>
      <c r="C5" s="2178" t="s">
        <v>1343</v>
      </c>
      <c r="D5" s="2179" t="s">
        <v>1342</v>
      </c>
      <c r="E5" s="2180" t="s">
        <v>1343</v>
      </c>
      <c r="F5" s="235"/>
      <c r="G5" s="235"/>
      <c r="H5" s="235"/>
      <c r="I5" s="235"/>
      <c r="J5" s="235"/>
      <c r="K5" s="235"/>
      <c r="L5" s="235"/>
      <c r="M5" s="235"/>
      <c r="N5" s="235"/>
      <c r="O5" s="235"/>
      <c r="P5" s="235"/>
      <c r="Q5" s="235"/>
      <c r="R5" s="235"/>
      <c r="S5" s="235"/>
      <c r="T5" s="235"/>
      <c r="U5" s="235"/>
      <c r="V5" s="235"/>
      <c r="W5" s="235"/>
      <c r="X5" s="235"/>
      <c r="Y5" s="235"/>
      <c r="Z5" s="235"/>
      <c r="AA5" s="235"/>
      <c r="AB5" s="235"/>
    </row>
    <row r="6" spans="1:28" s="30" customFormat="1" ht="11.25" hidden="1" customHeight="1">
      <c r="A6" s="33"/>
      <c r="B6" s="926"/>
      <c r="C6" s="925"/>
      <c r="D6" s="928"/>
      <c r="E6" s="927"/>
      <c r="F6" s="235"/>
      <c r="G6" s="235"/>
      <c r="H6" s="235"/>
      <c r="I6" s="235"/>
      <c r="J6" s="235"/>
      <c r="K6" s="235"/>
      <c r="L6" s="235"/>
      <c r="M6" s="235"/>
      <c r="N6" s="235"/>
      <c r="O6" s="235"/>
      <c r="P6" s="235"/>
      <c r="Q6" s="235"/>
      <c r="R6" s="235"/>
      <c r="S6" s="235"/>
      <c r="T6" s="235"/>
      <c r="U6" s="235"/>
      <c r="V6" s="235"/>
      <c r="W6" s="235"/>
      <c r="X6" s="235"/>
      <c r="Y6" s="235"/>
      <c r="Z6" s="235"/>
      <c r="AA6" s="235"/>
      <c r="AB6" s="235"/>
    </row>
    <row r="7" spans="1:28" s="30" customFormat="1" ht="22.5">
      <c r="A7" s="2373" t="s">
        <v>123</v>
      </c>
      <c r="B7" s="2181" t="s">
        <v>1317</v>
      </c>
      <c r="C7" s="318" t="s">
        <v>125</v>
      </c>
      <c r="D7" s="992" t="s">
        <v>1317</v>
      </c>
      <c r="E7" s="1004" t="s">
        <v>125</v>
      </c>
      <c r="F7" s="235"/>
      <c r="G7" s="235"/>
      <c r="H7" s="235"/>
      <c r="I7" s="235"/>
      <c r="J7" s="235"/>
      <c r="K7" s="235"/>
      <c r="L7" s="235"/>
      <c r="M7" s="235"/>
      <c r="N7" s="235"/>
      <c r="O7" s="235"/>
      <c r="P7" s="235"/>
      <c r="Q7" s="235"/>
      <c r="R7" s="235"/>
      <c r="S7" s="235"/>
      <c r="T7" s="235"/>
      <c r="U7" s="235"/>
      <c r="V7" s="235"/>
      <c r="W7" s="235"/>
      <c r="X7" s="235"/>
      <c r="Y7" s="235"/>
      <c r="Z7" s="235"/>
      <c r="AA7" s="235"/>
      <c r="AB7" s="235"/>
    </row>
    <row r="8" spans="1:28" s="30" customFormat="1" ht="12" thickBot="1">
      <c r="A8" s="147" t="s">
        <v>141</v>
      </c>
      <c r="B8" s="881" t="s">
        <v>1344</v>
      </c>
      <c r="C8" s="150" t="s">
        <v>1345</v>
      </c>
      <c r="D8" s="773" t="s">
        <v>1346</v>
      </c>
      <c r="E8" s="148" t="s">
        <v>1347</v>
      </c>
      <c r="F8" s="235"/>
      <c r="G8" s="235"/>
      <c r="H8" s="235"/>
      <c r="I8" s="235"/>
      <c r="J8" s="235"/>
      <c r="K8" s="235"/>
      <c r="L8" s="235"/>
      <c r="M8" s="235"/>
      <c r="N8" s="235"/>
      <c r="O8" s="235"/>
      <c r="P8" s="235"/>
      <c r="Q8" s="235"/>
      <c r="R8" s="235"/>
      <c r="S8" s="235"/>
      <c r="T8" s="235"/>
      <c r="U8" s="235"/>
      <c r="V8" s="235"/>
      <c r="W8" s="235"/>
      <c r="X8" s="235"/>
      <c r="Y8" s="235"/>
      <c r="Z8" s="235"/>
      <c r="AA8" s="235"/>
      <c r="AB8" s="235"/>
    </row>
    <row r="9" spans="1:28" s="17" customFormat="1" ht="13.5" hidden="1" customHeight="1" thickBot="1">
      <c r="A9" s="72"/>
      <c r="B9" s="2182"/>
      <c r="C9" s="234"/>
      <c r="D9" s="995"/>
      <c r="E9" s="2183"/>
      <c r="F9" s="214"/>
      <c r="G9" s="214"/>
      <c r="H9" s="214"/>
      <c r="I9" s="214"/>
      <c r="J9" s="214"/>
      <c r="K9" s="214"/>
      <c r="L9" s="214"/>
      <c r="M9" s="214"/>
      <c r="N9" s="214"/>
      <c r="O9" s="214"/>
      <c r="P9" s="214"/>
      <c r="Q9" s="214"/>
      <c r="R9" s="214"/>
      <c r="S9" s="214"/>
      <c r="T9" s="214"/>
      <c r="U9" s="214"/>
      <c r="V9" s="214"/>
      <c r="W9" s="214"/>
      <c r="X9" s="214"/>
      <c r="Y9" s="214"/>
      <c r="Z9" s="214"/>
      <c r="AA9" s="214"/>
      <c r="AB9" s="214"/>
    </row>
    <row r="10" spans="1:28" s="17" customFormat="1" ht="13.5" customHeight="1">
      <c r="A10" s="2651">
        <v>1980</v>
      </c>
      <c r="B10" s="2652"/>
      <c r="C10" s="2653"/>
      <c r="D10" s="897">
        <v>8021.4179940000004</v>
      </c>
      <c r="E10" s="265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row>
    <row r="11" spans="1:28" s="17" customFormat="1" ht="13.5" customHeight="1">
      <c r="A11" s="1866">
        <v>1981</v>
      </c>
      <c r="B11" s="2527"/>
      <c r="C11" s="2528"/>
      <c r="D11" s="1313">
        <v>9143.0444659999994</v>
      </c>
      <c r="E11" s="2529"/>
      <c r="F11" s="214"/>
      <c r="G11" s="214"/>
      <c r="H11" s="214"/>
      <c r="I11" s="214"/>
      <c r="J11" s="214"/>
      <c r="K11" s="214"/>
      <c r="L11" s="214"/>
      <c r="M11" s="214"/>
      <c r="N11" s="214"/>
      <c r="O11" s="214"/>
      <c r="P11" s="214"/>
      <c r="Q11" s="214"/>
      <c r="R11" s="214"/>
      <c r="S11" s="214"/>
      <c r="T11" s="214"/>
      <c r="U11" s="214"/>
      <c r="V11" s="214"/>
      <c r="W11" s="214"/>
      <c r="X11" s="214"/>
      <c r="Y11" s="214"/>
      <c r="Z11" s="214"/>
      <c r="AA11" s="214"/>
      <c r="AB11" s="214"/>
    </row>
    <row r="12" spans="1:28" s="17" customFormat="1" ht="13.5" customHeight="1">
      <c r="A12" s="1866">
        <v>1982</v>
      </c>
      <c r="B12" s="2527"/>
      <c r="C12" s="2528"/>
      <c r="D12" s="1313">
        <v>7624.9364370000003</v>
      </c>
      <c r="E12" s="2529"/>
      <c r="F12" s="214"/>
      <c r="G12" s="214"/>
      <c r="H12" s="214"/>
      <c r="I12" s="214"/>
      <c r="J12" s="214"/>
      <c r="K12" s="214"/>
      <c r="L12" s="214"/>
      <c r="M12" s="214"/>
      <c r="N12" s="214"/>
      <c r="O12" s="214"/>
      <c r="P12" s="214"/>
      <c r="Q12" s="214"/>
      <c r="R12" s="214"/>
      <c r="S12" s="214"/>
      <c r="T12" s="214"/>
      <c r="U12" s="214"/>
      <c r="V12" s="214"/>
      <c r="W12" s="214"/>
      <c r="X12" s="214"/>
      <c r="Y12" s="214"/>
      <c r="Z12" s="214"/>
      <c r="AA12" s="214"/>
      <c r="AB12" s="214"/>
    </row>
    <row r="13" spans="1:28" s="17" customFormat="1" ht="13.5" customHeight="1">
      <c r="A13" s="1866">
        <v>1983</v>
      </c>
      <c r="B13" s="2527"/>
      <c r="C13" s="2528"/>
      <c r="D13" s="1313">
        <v>7836.0628880000004</v>
      </c>
      <c r="E13" s="2529"/>
      <c r="F13" s="214"/>
      <c r="G13" s="214"/>
      <c r="H13" s="214"/>
      <c r="I13" s="214"/>
      <c r="J13" s="214"/>
      <c r="K13" s="214"/>
      <c r="L13" s="214"/>
      <c r="M13" s="214"/>
      <c r="N13" s="214"/>
      <c r="O13" s="214"/>
      <c r="P13" s="214"/>
      <c r="Q13" s="214"/>
      <c r="R13" s="214"/>
      <c r="S13" s="214"/>
      <c r="T13" s="214"/>
      <c r="U13" s="214"/>
      <c r="V13" s="214"/>
      <c r="W13" s="214"/>
      <c r="X13" s="214"/>
      <c r="Y13" s="214"/>
      <c r="Z13" s="214"/>
      <c r="AA13" s="214"/>
      <c r="AB13" s="214"/>
    </row>
    <row r="14" spans="1:28" s="17" customFormat="1" ht="13.5" customHeight="1">
      <c r="A14" s="1866">
        <v>1984</v>
      </c>
      <c r="B14" s="2527"/>
      <c r="C14" s="2528"/>
      <c r="D14" s="1313">
        <v>8107.4049759999998</v>
      </c>
      <c r="E14" s="2529"/>
      <c r="F14" s="214"/>
      <c r="G14" s="214"/>
      <c r="H14" s="214"/>
      <c r="I14" s="214"/>
      <c r="J14" s="214"/>
      <c r="K14" s="214"/>
      <c r="L14" s="214"/>
      <c r="M14" s="214"/>
      <c r="N14" s="214"/>
      <c r="O14" s="214"/>
      <c r="P14" s="214"/>
      <c r="Q14" s="214"/>
      <c r="R14" s="214"/>
      <c r="S14" s="214"/>
      <c r="T14" s="214"/>
      <c r="U14" s="214"/>
      <c r="V14" s="214"/>
      <c r="W14" s="214"/>
      <c r="X14" s="214"/>
      <c r="Y14" s="214"/>
      <c r="Z14" s="214"/>
      <c r="AA14" s="214"/>
      <c r="AB14" s="214"/>
    </row>
    <row r="15" spans="1:28" s="17" customFormat="1" ht="13.5" customHeight="1">
      <c r="A15" s="1866">
        <v>1985</v>
      </c>
      <c r="B15" s="2527"/>
      <c r="C15" s="2528"/>
      <c r="D15" s="1313">
        <v>8396.017049</v>
      </c>
      <c r="E15" s="2529"/>
      <c r="F15" s="214"/>
      <c r="G15" s="214"/>
      <c r="H15" s="214"/>
      <c r="I15" s="214"/>
      <c r="J15" s="214"/>
      <c r="K15" s="214"/>
      <c r="L15" s="214"/>
      <c r="M15" s="214"/>
      <c r="N15" s="214"/>
      <c r="O15" s="214"/>
      <c r="P15" s="214"/>
      <c r="Q15" s="214"/>
      <c r="R15" s="214"/>
      <c r="S15" s="214"/>
      <c r="T15" s="214"/>
      <c r="U15" s="214"/>
      <c r="V15" s="214"/>
      <c r="W15" s="214"/>
      <c r="X15" s="214"/>
      <c r="Y15" s="214"/>
      <c r="Z15" s="214"/>
      <c r="AA15" s="214"/>
      <c r="AB15" s="214"/>
    </row>
    <row r="16" spans="1:28" s="17" customFormat="1" ht="13.5" customHeight="1">
      <c r="A16" s="1866">
        <v>1986</v>
      </c>
      <c r="B16" s="2527"/>
      <c r="C16" s="2528"/>
      <c r="D16" s="1313">
        <v>6852.2127180000007</v>
      </c>
      <c r="E16" s="2529"/>
      <c r="F16" s="214"/>
      <c r="G16" s="214"/>
      <c r="H16" s="214"/>
      <c r="I16" s="214"/>
      <c r="J16" s="214"/>
      <c r="K16" s="214"/>
      <c r="L16" s="214"/>
      <c r="M16" s="214"/>
      <c r="N16" s="214"/>
      <c r="O16" s="214"/>
      <c r="P16" s="214"/>
      <c r="Q16" s="214"/>
      <c r="R16" s="214"/>
      <c r="S16" s="214"/>
      <c r="T16" s="214"/>
      <c r="U16" s="214"/>
      <c r="V16" s="214"/>
      <c r="W16" s="214"/>
      <c r="X16" s="214"/>
      <c r="Y16" s="214"/>
      <c r="Z16" s="214"/>
      <c r="AA16" s="214"/>
      <c r="AB16" s="214"/>
    </row>
    <row r="17" spans="1:28" s="17" customFormat="1" ht="13.5" customHeight="1">
      <c r="A17" s="1866">
        <v>1987</v>
      </c>
      <c r="B17" s="2527"/>
      <c r="C17" s="2528"/>
      <c r="D17" s="1313">
        <v>6370.6329999999998</v>
      </c>
      <c r="E17" s="2529"/>
      <c r="F17" s="214"/>
      <c r="G17" s="214"/>
      <c r="H17" s="214"/>
      <c r="I17" s="214"/>
      <c r="J17" s="214"/>
      <c r="K17" s="214"/>
      <c r="L17" s="214"/>
      <c r="M17" s="214"/>
      <c r="N17" s="214"/>
      <c r="O17" s="214"/>
      <c r="P17" s="214"/>
      <c r="Q17" s="214"/>
      <c r="R17" s="214"/>
      <c r="S17" s="214"/>
      <c r="T17" s="214"/>
      <c r="U17" s="214"/>
      <c r="V17" s="214"/>
      <c r="W17" s="214"/>
      <c r="X17" s="214"/>
      <c r="Y17" s="214"/>
      <c r="Z17" s="214"/>
      <c r="AA17" s="214"/>
      <c r="AB17" s="214"/>
    </row>
    <row r="18" spans="1:28" s="17" customFormat="1" ht="13.5" customHeight="1">
      <c r="A18" s="1866">
        <v>1988</v>
      </c>
      <c r="B18" s="2527"/>
      <c r="C18" s="2528"/>
      <c r="D18" s="1313">
        <v>9134.8115330000001</v>
      </c>
      <c r="E18" s="2529"/>
      <c r="F18" s="214"/>
      <c r="G18" s="214"/>
      <c r="H18" s="214"/>
      <c r="I18" s="214"/>
      <c r="J18" s="214"/>
      <c r="K18" s="214"/>
      <c r="L18" s="214"/>
      <c r="M18" s="214"/>
      <c r="N18" s="214"/>
      <c r="O18" s="214"/>
      <c r="P18" s="214"/>
      <c r="Q18" s="214"/>
      <c r="R18" s="214"/>
      <c r="S18" s="214"/>
      <c r="T18" s="214"/>
      <c r="U18" s="214"/>
      <c r="V18" s="214"/>
      <c r="W18" s="214"/>
      <c r="X18" s="214"/>
      <c r="Y18" s="214"/>
      <c r="Z18" s="214"/>
      <c r="AA18" s="214"/>
      <c r="AB18" s="214"/>
    </row>
    <row r="19" spans="1:28" s="17" customFormat="1" ht="13.5" customHeight="1">
      <c r="A19" s="1866">
        <v>1989</v>
      </c>
      <c r="B19" s="2527"/>
      <c r="C19" s="2528"/>
      <c r="D19" s="1313">
        <v>9579.2705800000003</v>
      </c>
      <c r="E19" s="2529"/>
      <c r="F19" s="214"/>
      <c r="G19" s="214"/>
      <c r="H19" s="214"/>
      <c r="I19" s="214"/>
      <c r="J19" s="214"/>
      <c r="K19" s="214"/>
      <c r="L19" s="214"/>
      <c r="M19" s="214"/>
      <c r="N19" s="214"/>
      <c r="O19" s="214"/>
      <c r="P19" s="214"/>
      <c r="Q19" s="214"/>
      <c r="R19" s="214"/>
      <c r="S19" s="214"/>
      <c r="T19" s="214"/>
      <c r="U19" s="214"/>
      <c r="V19" s="214"/>
      <c r="W19" s="214"/>
      <c r="X19" s="214"/>
      <c r="Y19" s="214"/>
      <c r="Z19" s="214"/>
      <c r="AA19" s="214"/>
      <c r="AB19" s="214"/>
    </row>
    <row r="20" spans="1:28" s="17" customFormat="1" ht="13.5" customHeight="1">
      <c r="A20" s="1866">
        <v>1990</v>
      </c>
      <c r="B20" s="2527"/>
      <c r="C20" s="2528"/>
      <c r="D20" s="1313">
        <v>12352.532085999999</v>
      </c>
      <c r="E20" s="2529"/>
      <c r="F20" s="214"/>
      <c r="G20" s="214"/>
      <c r="H20" s="214"/>
      <c r="I20" s="214"/>
      <c r="J20" s="214"/>
      <c r="K20" s="214"/>
      <c r="L20" s="214"/>
      <c r="M20" s="214"/>
      <c r="N20" s="214"/>
      <c r="O20" s="214"/>
      <c r="P20" s="214"/>
      <c r="Q20" s="214"/>
      <c r="R20" s="214"/>
      <c r="S20" s="214"/>
      <c r="T20" s="214"/>
      <c r="U20" s="214"/>
      <c r="V20" s="214"/>
      <c r="W20" s="214"/>
      <c r="X20" s="214"/>
      <c r="Y20" s="214"/>
      <c r="Z20" s="214"/>
      <c r="AA20" s="214"/>
      <c r="AB20" s="214"/>
    </row>
    <row r="21" spans="1:28" s="17" customFormat="1" ht="13.5" customHeight="1">
      <c r="A21" s="1866">
        <v>1991</v>
      </c>
      <c r="B21" s="2527"/>
      <c r="C21" s="2528"/>
      <c r="D21" s="1313">
        <v>11977.785415999999</v>
      </c>
      <c r="E21" s="2529"/>
      <c r="F21" s="214"/>
      <c r="G21" s="214"/>
      <c r="H21" s="214"/>
      <c r="I21" s="214"/>
      <c r="J21" s="214"/>
      <c r="K21" s="214"/>
      <c r="L21" s="214"/>
      <c r="M21" s="214"/>
      <c r="N21" s="214"/>
      <c r="O21" s="214"/>
      <c r="P21" s="214"/>
      <c r="Q21" s="214"/>
      <c r="R21" s="214"/>
      <c r="S21" s="214"/>
      <c r="T21" s="214"/>
      <c r="U21" s="214"/>
      <c r="V21" s="214"/>
      <c r="W21" s="214"/>
      <c r="X21" s="214"/>
      <c r="Y21" s="214"/>
      <c r="Z21" s="214"/>
      <c r="AA21" s="214"/>
      <c r="AB21" s="214"/>
    </row>
    <row r="22" spans="1:28" s="17" customFormat="1" ht="13.5" customHeight="1">
      <c r="A22" s="1866">
        <v>1992</v>
      </c>
      <c r="B22" s="2527"/>
      <c r="C22" s="2528"/>
      <c r="D22" s="1313">
        <v>12234.948745</v>
      </c>
      <c r="E22" s="2529"/>
      <c r="F22" s="214"/>
      <c r="G22" s="214"/>
      <c r="H22" s="214"/>
      <c r="I22" s="214"/>
      <c r="J22" s="214"/>
      <c r="K22" s="214"/>
      <c r="L22" s="214"/>
      <c r="M22" s="214"/>
      <c r="N22" s="214"/>
      <c r="O22" s="214"/>
      <c r="P22" s="214"/>
      <c r="Q22" s="214"/>
      <c r="R22" s="214"/>
      <c r="S22" s="214"/>
      <c r="T22" s="214"/>
      <c r="U22" s="214"/>
      <c r="V22" s="214"/>
      <c r="W22" s="214"/>
      <c r="X22" s="214"/>
      <c r="Y22" s="214"/>
      <c r="Z22" s="214"/>
      <c r="AA22" s="214"/>
      <c r="AB22" s="214"/>
    </row>
    <row r="23" spans="1:28" s="17" customFormat="1" ht="13.5" customHeight="1" thickBot="1">
      <c r="A23" s="1866">
        <v>1993</v>
      </c>
      <c r="B23" s="2527"/>
      <c r="C23" s="2528"/>
      <c r="D23" s="1313">
        <v>13117.75794</v>
      </c>
      <c r="E23" s="2529"/>
      <c r="F23" s="214"/>
      <c r="G23" s="214"/>
      <c r="H23" s="214"/>
      <c r="I23" s="214"/>
      <c r="J23" s="214"/>
      <c r="K23" s="214"/>
      <c r="L23" s="214"/>
      <c r="M23" s="214"/>
      <c r="N23" s="214"/>
      <c r="O23" s="214"/>
      <c r="P23" s="214"/>
      <c r="Q23" s="214"/>
      <c r="R23" s="214"/>
      <c r="S23" s="214"/>
      <c r="T23" s="214"/>
      <c r="U23" s="214"/>
      <c r="V23" s="214"/>
      <c r="W23" s="214"/>
      <c r="X23" s="214"/>
      <c r="Y23" s="214"/>
      <c r="Z23" s="214"/>
      <c r="AA23" s="214"/>
      <c r="AB23" s="214"/>
    </row>
    <row r="24" spans="1:28">
      <c r="A24" s="1866">
        <v>1994</v>
      </c>
      <c r="B24" s="2518">
        <v>2838.1</v>
      </c>
      <c r="C24" s="166"/>
      <c r="D24" s="1313">
        <v>15839.213455000001</v>
      </c>
      <c r="E24" s="865"/>
    </row>
    <row r="25" spans="1:28">
      <c r="A25" s="1866">
        <v>1995</v>
      </c>
      <c r="B25" s="1733">
        <v>3455.9</v>
      </c>
      <c r="C25" s="2131"/>
      <c r="D25" s="1313">
        <v>20963.108138</v>
      </c>
      <c r="E25" s="2132"/>
    </row>
    <row r="26" spans="1:28">
      <c r="A26" s="1866">
        <v>1996</v>
      </c>
      <c r="B26" s="1733">
        <v>4218</v>
      </c>
      <c r="C26" s="2131"/>
      <c r="D26" s="1313">
        <v>23810.716973000002</v>
      </c>
      <c r="E26" s="2132"/>
      <c r="G26" s="235"/>
      <c r="H26" s="235"/>
      <c r="I26" s="235"/>
      <c r="J26" s="235"/>
      <c r="K26" s="235"/>
      <c r="L26" s="235"/>
      <c r="M26" s="235"/>
      <c r="N26" s="235"/>
      <c r="O26" s="235"/>
      <c r="P26" s="235"/>
      <c r="Q26" s="235"/>
      <c r="R26" s="235"/>
      <c r="S26" s="235"/>
      <c r="T26" s="235"/>
      <c r="U26" s="235"/>
      <c r="V26" s="235"/>
      <c r="W26" s="235"/>
      <c r="X26" s="235"/>
      <c r="Y26" s="235"/>
      <c r="Z26" s="235"/>
      <c r="AA26" s="235"/>
      <c r="AB26" s="235"/>
    </row>
    <row r="27" spans="1:28">
      <c r="A27" s="1866">
        <v>1997</v>
      </c>
      <c r="B27" s="1733">
        <v>4253.3</v>
      </c>
      <c r="C27" s="60">
        <v>13050578</v>
      </c>
      <c r="D27" s="1313">
        <v>26430.854519</v>
      </c>
      <c r="E27" s="151">
        <v>70165157</v>
      </c>
      <c r="F27" s="454"/>
      <c r="G27" s="235"/>
      <c r="H27" s="235"/>
      <c r="I27" s="235"/>
      <c r="J27" s="235"/>
      <c r="K27" s="235"/>
      <c r="L27" s="235"/>
      <c r="M27" s="235"/>
      <c r="N27" s="235"/>
      <c r="O27" s="235"/>
      <c r="P27" s="235"/>
      <c r="Q27" s="235"/>
      <c r="R27" s="235"/>
      <c r="S27" s="235"/>
      <c r="T27" s="235"/>
      <c r="U27" s="235"/>
      <c r="V27" s="235"/>
      <c r="W27" s="235"/>
      <c r="X27" s="235"/>
      <c r="Y27" s="235"/>
      <c r="Z27" s="235"/>
      <c r="AA27" s="235"/>
      <c r="AB27" s="235"/>
    </row>
    <row r="28" spans="1:28">
      <c r="A28" s="1866">
        <v>1998</v>
      </c>
      <c r="B28" s="1733">
        <v>4606.2</v>
      </c>
      <c r="C28" s="169">
        <v>17442174</v>
      </c>
      <c r="D28" s="1313">
        <v>26433.698394000003</v>
      </c>
      <c r="E28" s="380">
        <v>82505183</v>
      </c>
      <c r="F28" s="454"/>
      <c r="G28" s="2184"/>
      <c r="H28" s="2184"/>
      <c r="I28" s="235"/>
      <c r="J28" s="235"/>
      <c r="K28" s="235"/>
      <c r="L28" s="235"/>
      <c r="M28" s="235"/>
      <c r="N28" s="235"/>
      <c r="O28" s="235"/>
      <c r="P28" s="235"/>
      <c r="Q28" s="235"/>
      <c r="R28" s="235"/>
      <c r="S28" s="235"/>
      <c r="T28" s="235"/>
      <c r="U28" s="235"/>
      <c r="V28" s="235"/>
      <c r="W28" s="235"/>
      <c r="X28" s="235"/>
      <c r="Y28" s="235"/>
      <c r="Z28" s="235"/>
      <c r="AA28" s="235"/>
      <c r="AB28" s="235"/>
    </row>
    <row r="29" spans="1:28">
      <c r="A29" s="1866">
        <v>1999</v>
      </c>
      <c r="B29" s="1733">
        <v>4187.8999999999996</v>
      </c>
      <c r="C29" s="169">
        <v>18753840</v>
      </c>
      <c r="D29" s="1313">
        <v>23308.634743000002</v>
      </c>
      <c r="E29" s="380">
        <v>78074028</v>
      </c>
      <c r="F29" s="454"/>
      <c r="G29" s="2184"/>
      <c r="H29" s="2184"/>
      <c r="I29" s="235"/>
      <c r="J29" s="235"/>
      <c r="K29" s="235"/>
      <c r="L29" s="235"/>
      <c r="M29" s="235"/>
      <c r="N29" s="235"/>
      <c r="O29" s="235"/>
      <c r="P29" s="235"/>
      <c r="Q29" s="235"/>
      <c r="R29" s="235"/>
      <c r="S29" s="235"/>
      <c r="T29" s="235"/>
      <c r="U29" s="235"/>
      <c r="V29" s="235"/>
      <c r="W29" s="235"/>
      <c r="X29" s="235"/>
      <c r="Y29" s="235"/>
      <c r="Z29" s="235"/>
      <c r="AA29" s="235"/>
      <c r="AB29" s="235"/>
    </row>
    <row r="30" spans="1:28">
      <c r="A30" s="1866">
        <v>2000</v>
      </c>
      <c r="B30" s="1733">
        <v>4304.4931939999997</v>
      </c>
      <c r="C30" s="169">
        <v>18730568.384550001</v>
      </c>
      <c r="D30" s="1313">
        <v>26341.028985000001</v>
      </c>
      <c r="E30" s="380">
        <v>82610069</v>
      </c>
      <c r="F30" s="454"/>
      <c r="G30" s="2184"/>
      <c r="H30" s="2184"/>
      <c r="I30" s="235"/>
      <c r="J30" s="235"/>
      <c r="K30" s="235"/>
      <c r="L30" s="235"/>
      <c r="M30" s="235"/>
      <c r="N30" s="235"/>
      <c r="O30" s="235"/>
      <c r="P30" s="235"/>
      <c r="Q30" s="235"/>
      <c r="R30" s="235"/>
      <c r="S30" s="235"/>
      <c r="T30" s="235"/>
      <c r="U30" s="235"/>
      <c r="V30" s="235"/>
      <c r="W30" s="235"/>
      <c r="X30" s="235"/>
      <c r="Y30" s="235"/>
      <c r="Z30" s="235"/>
      <c r="AA30" s="235"/>
      <c r="AB30" s="235"/>
    </row>
    <row r="31" spans="1:28">
      <c r="A31" s="1866">
        <v>2001</v>
      </c>
      <c r="B31" s="1733">
        <v>4332.1929550000004</v>
      </c>
      <c r="C31" s="169">
        <v>20128876.156709999</v>
      </c>
      <c r="D31" s="1313">
        <v>26542.726999999999</v>
      </c>
      <c r="E31" s="380">
        <v>90013747</v>
      </c>
      <c r="F31" s="454"/>
      <c r="G31" s="2184"/>
      <c r="H31" s="2184"/>
      <c r="I31" s="235"/>
      <c r="J31" s="235"/>
      <c r="K31" s="235"/>
      <c r="L31" s="235"/>
      <c r="M31" s="235"/>
      <c r="N31" s="235"/>
      <c r="O31" s="235"/>
      <c r="P31" s="235"/>
      <c r="Q31" s="235"/>
      <c r="R31" s="235"/>
      <c r="S31" s="235"/>
      <c r="T31" s="235"/>
      <c r="U31" s="235"/>
      <c r="V31" s="235"/>
      <c r="W31" s="235"/>
      <c r="X31" s="235"/>
      <c r="Y31" s="235"/>
      <c r="Z31" s="235"/>
      <c r="AA31" s="235"/>
      <c r="AB31" s="235"/>
    </row>
    <row r="32" spans="1:28">
      <c r="A32" s="1866">
        <v>2002</v>
      </c>
      <c r="B32" s="1733">
        <v>4888.2099900000003</v>
      </c>
      <c r="C32" s="169">
        <v>20835780.032159999</v>
      </c>
      <c r="D32" s="1313">
        <v>25650.598999999998</v>
      </c>
      <c r="E32" s="380">
        <v>89532210</v>
      </c>
      <c r="F32" s="454"/>
      <c r="G32" s="2184"/>
      <c r="H32" s="2184"/>
      <c r="I32" s="235"/>
      <c r="J32" s="235"/>
      <c r="K32" s="235"/>
      <c r="L32" s="235"/>
      <c r="M32" s="235"/>
      <c r="N32" s="235"/>
      <c r="O32" s="235"/>
      <c r="P32" s="235"/>
      <c r="Q32" s="235"/>
      <c r="R32" s="235"/>
      <c r="S32" s="235"/>
      <c r="T32" s="235"/>
      <c r="U32" s="235"/>
      <c r="V32" s="235"/>
      <c r="W32" s="235"/>
      <c r="X32" s="235"/>
      <c r="Y32" s="235"/>
      <c r="Z32" s="235"/>
      <c r="AA32" s="235"/>
      <c r="AB32" s="235"/>
    </row>
    <row r="33" spans="1:28">
      <c r="A33" s="1866">
        <v>2003</v>
      </c>
      <c r="B33" s="1733">
        <v>6265.7760980000003</v>
      </c>
      <c r="C33" s="169">
        <v>23632375.135770001</v>
      </c>
      <c r="D33" s="1313">
        <v>29938.752</v>
      </c>
      <c r="E33" s="380">
        <v>94870426</v>
      </c>
      <c r="F33" s="454"/>
      <c r="G33" s="2184"/>
      <c r="H33" s="2184"/>
      <c r="I33" s="235"/>
      <c r="J33" s="235"/>
      <c r="K33" s="235"/>
      <c r="L33" s="235"/>
      <c r="M33" s="235"/>
      <c r="N33" s="235"/>
      <c r="O33" s="235"/>
      <c r="P33" s="235"/>
      <c r="Q33" s="235"/>
      <c r="R33" s="235"/>
      <c r="S33" s="235"/>
      <c r="T33" s="235"/>
      <c r="U33" s="235"/>
      <c r="V33" s="235"/>
      <c r="W33" s="235"/>
      <c r="X33" s="235"/>
      <c r="Y33" s="235"/>
      <c r="Z33" s="235"/>
      <c r="AA33" s="235"/>
      <c r="AB33" s="235"/>
    </row>
    <row r="34" spans="1:28">
      <c r="A34" s="1866">
        <v>2004</v>
      </c>
      <c r="B34" s="1733">
        <v>7155.7241869999998</v>
      </c>
      <c r="C34" s="169">
        <v>23242105.1063</v>
      </c>
      <c r="D34" s="1313">
        <v>34575.733999999997</v>
      </c>
      <c r="E34" s="380">
        <v>92344518</v>
      </c>
      <c r="F34" s="454"/>
      <c r="G34" s="2184"/>
      <c r="H34" s="2184"/>
      <c r="I34" s="235"/>
      <c r="J34" s="235"/>
      <c r="K34" s="235"/>
      <c r="L34" s="235"/>
      <c r="M34" s="235"/>
      <c r="N34" s="235"/>
      <c r="O34" s="235"/>
      <c r="P34" s="235"/>
      <c r="Q34" s="235"/>
      <c r="R34" s="235"/>
      <c r="S34" s="235"/>
      <c r="T34" s="235"/>
      <c r="U34" s="235"/>
      <c r="V34" s="235"/>
      <c r="W34" s="235"/>
      <c r="X34" s="235"/>
      <c r="Y34" s="235"/>
      <c r="Z34" s="235"/>
      <c r="AA34" s="235"/>
      <c r="AB34" s="235"/>
    </row>
    <row r="35" spans="1:28">
      <c r="A35" s="1866">
        <v>2005</v>
      </c>
      <c r="B35" s="1733">
        <v>7720.4310429999996</v>
      </c>
      <c r="C35" s="169">
        <v>26962405.437120002</v>
      </c>
      <c r="D35" s="1313">
        <v>40386.762000000002</v>
      </c>
      <c r="E35" s="380">
        <v>102722083</v>
      </c>
      <c r="F35" s="454"/>
      <c r="G35" s="2184"/>
      <c r="H35" s="2184"/>
      <c r="I35" s="235"/>
      <c r="J35" s="235"/>
      <c r="K35" s="235"/>
      <c r="L35" s="235"/>
      <c r="M35" s="235"/>
      <c r="N35" s="235"/>
      <c r="O35" s="235"/>
      <c r="P35" s="235"/>
      <c r="Q35" s="235"/>
      <c r="R35" s="235"/>
      <c r="S35" s="235"/>
      <c r="T35" s="235"/>
      <c r="U35" s="235"/>
      <c r="V35" s="235"/>
      <c r="W35" s="235"/>
      <c r="X35" s="235"/>
      <c r="Y35" s="235"/>
      <c r="Z35" s="235"/>
      <c r="AA35" s="235"/>
      <c r="AB35" s="235"/>
    </row>
    <row r="36" spans="1:28">
      <c r="A36" s="1866">
        <v>2006</v>
      </c>
      <c r="B36" s="1733">
        <v>8930.9271079999999</v>
      </c>
      <c r="C36" s="169">
        <v>29688614.75028</v>
      </c>
      <c r="D36" s="1313">
        <v>46546.203077749997</v>
      </c>
      <c r="E36" s="380">
        <v>99199610</v>
      </c>
      <c r="F36" s="454"/>
      <c r="G36" s="2184"/>
      <c r="H36" s="2184"/>
      <c r="I36" s="235"/>
      <c r="J36" s="235"/>
      <c r="K36" s="235"/>
      <c r="L36" s="235"/>
      <c r="M36" s="235"/>
      <c r="N36" s="235"/>
      <c r="O36" s="235"/>
      <c r="P36" s="235"/>
      <c r="Q36" s="235"/>
      <c r="R36" s="235"/>
      <c r="S36" s="235"/>
      <c r="T36" s="235"/>
      <c r="U36" s="235"/>
      <c r="V36" s="235"/>
      <c r="W36" s="235"/>
      <c r="X36" s="235"/>
      <c r="Y36" s="235"/>
      <c r="Z36" s="235"/>
      <c r="AA36" s="235"/>
      <c r="AB36" s="235"/>
    </row>
    <row r="37" spans="1:28">
      <c r="A37" s="1866">
        <v>2007</v>
      </c>
      <c r="B37" s="1733">
        <v>12567.216152999999</v>
      </c>
      <c r="C37" s="169">
        <v>33765493.091940001</v>
      </c>
      <c r="D37" s="1313">
        <v>55980.309000000001</v>
      </c>
      <c r="E37" s="380">
        <v>105637416</v>
      </c>
      <c r="F37" s="454"/>
      <c r="G37" s="2184"/>
      <c r="H37" s="2184"/>
      <c r="I37" s="235"/>
      <c r="J37" s="235"/>
      <c r="K37" s="235"/>
      <c r="L37" s="235"/>
      <c r="M37" s="235"/>
      <c r="N37" s="235"/>
      <c r="O37" s="235"/>
      <c r="P37" s="235"/>
      <c r="Q37" s="235"/>
      <c r="R37" s="235"/>
      <c r="S37" s="235"/>
      <c r="T37" s="235"/>
      <c r="U37" s="235"/>
      <c r="V37" s="235"/>
      <c r="W37" s="235"/>
      <c r="X37" s="235"/>
      <c r="Y37" s="235"/>
      <c r="Z37" s="235"/>
      <c r="AA37" s="235"/>
      <c r="AB37" s="235"/>
    </row>
    <row r="38" spans="1:28">
      <c r="A38" s="1866">
        <v>2008</v>
      </c>
      <c r="B38" s="1733">
        <v>15243.845942</v>
      </c>
      <c r="C38" s="169">
        <v>29962249.94117</v>
      </c>
      <c r="D38" s="1313">
        <v>70018.839000000007</v>
      </c>
      <c r="E38" s="380">
        <v>100074049</v>
      </c>
      <c r="F38" s="454"/>
      <c r="G38" s="2184"/>
      <c r="H38" s="2184"/>
      <c r="I38" s="235"/>
      <c r="J38" s="235"/>
      <c r="K38" s="235"/>
      <c r="L38" s="235"/>
      <c r="M38" s="235"/>
      <c r="N38" s="235"/>
      <c r="O38" s="235"/>
      <c r="P38" s="235"/>
      <c r="Q38" s="235"/>
      <c r="R38" s="235"/>
      <c r="S38" s="235"/>
      <c r="T38" s="235"/>
      <c r="U38" s="235"/>
      <c r="V38" s="235"/>
      <c r="W38" s="235"/>
      <c r="X38" s="235"/>
      <c r="Y38" s="235"/>
      <c r="Z38" s="235"/>
      <c r="AA38" s="235"/>
      <c r="AB38" s="235"/>
    </row>
    <row r="39" spans="1:28">
      <c r="A39" s="1866">
        <v>2009</v>
      </c>
      <c r="B39" s="1733">
        <v>12971.332934</v>
      </c>
      <c r="C39" s="169">
        <v>25808946</v>
      </c>
      <c r="D39" s="1313">
        <v>55672.097000000002</v>
      </c>
      <c r="E39" s="380">
        <v>82229800</v>
      </c>
      <c r="F39" s="454"/>
      <c r="G39" s="2184"/>
      <c r="H39" s="2184"/>
      <c r="I39" s="235"/>
      <c r="J39" s="235"/>
      <c r="K39" s="235"/>
      <c r="L39" s="235"/>
      <c r="M39" s="235"/>
      <c r="N39" s="235"/>
      <c r="O39" s="235"/>
      <c r="P39" s="235"/>
      <c r="Q39" s="235"/>
      <c r="R39" s="235"/>
      <c r="S39" s="235"/>
      <c r="T39" s="235"/>
      <c r="U39" s="235"/>
      <c r="V39" s="235"/>
      <c r="W39" s="235"/>
      <c r="X39" s="235"/>
      <c r="Y39" s="235"/>
      <c r="Z39" s="235"/>
      <c r="AA39" s="235"/>
      <c r="AB39" s="235"/>
    </row>
    <row r="40" spans="1:28">
      <c r="A40" s="1866">
        <v>2010</v>
      </c>
      <c r="B40" s="1733">
        <v>15448.056685</v>
      </c>
      <c r="C40" s="169">
        <v>31950609</v>
      </c>
      <c r="D40" s="1313">
        <v>68174.447</v>
      </c>
      <c r="E40" s="380">
        <v>99698352</v>
      </c>
      <c r="F40" s="454"/>
      <c r="G40" s="2184"/>
      <c r="H40" s="2184"/>
      <c r="I40" s="235"/>
      <c r="J40" s="235"/>
      <c r="K40" s="235"/>
      <c r="L40" s="235"/>
      <c r="M40" s="235"/>
      <c r="N40" s="235"/>
      <c r="O40" s="235"/>
      <c r="P40" s="235"/>
      <c r="Q40" s="235"/>
      <c r="R40" s="235"/>
      <c r="S40" s="235"/>
      <c r="T40" s="235"/>
      <c r="U40" s="235"/>
      <c r="V40" s="235"/>
      <c r="W40" s="235"/>
      <c r="X40" s="235"/>
      <c r="Y40" s="235"/>
      <c r="Z40" s="235"/>
      <c r="AA40" s="235"/>
      <c r="AB40" s="235"/>
    </row>
    <row r="41" spans="1:28">
      <c r="A41" s="1866">
        <v>2011</v>
      </c>
      <c r="B41" s="1733">
        <v>18852.657176000001</v>
      </c>
      <c r="C41" s="169">
        <v>30838193</v>
      </c>
      <c r="D41" s="1313">
        <v>82981.091</v>
      </c>
      <c r="E41" s="380">
        <v>99360518</v>
      </c>
      <c r="F41" s="454"/>
      <c r="G41" s="2184"/>
      <c r="H41" s="2184"/>
      <c r="I41" s="235"/>
      <c r="J41" s="235"/>
      <c r="K41" s="235"/>
      <c r="L41" s="235"/>
      <c r="M41" s="235"/>
      <c r="N41" s="235"/>
      <c r="O41" s="235"/>
      <c r="P41" s="235"/>
      <c r="Q41" s="235"/>
      <c r="R41" s="235"/>
      <c r="S41" s="235"/>
      <c r="T41" s="235"/>
      <c r="U41" s="235"/>
      <c r="V41" s="235"/>
      <c r="W41" s="235"/>
      <c r="X41" s="235"/>
      <c r="Y41" s="235"/>
      <c r="Z41" s="235"/>
      <c r="AA41" s="235"/>
      <c r="AB41" s="235"/>
    </row>
    <row r="42" spans="1:28">
      <c r="A42" s="1866">
        <v>2012</v>
      </c>
      <c r="B42" s="1733">
        <v>17931.537294999998</v>
      </c>
      <c r="C42" s="169">
        <v>28561926</v>
      </c>
      <c r="D42" s="1313">
        <v>79982.388000000006</v>
      </c>
      <c r="E42" s="380">
        <v>98717168</v>
      </c>
      <c r="F42" s="454"/>
      <c r="G42" s="2184"/>
      <c r="H42" s="2184"/>
      <c r="I42" s="235"/>
      <c r="J42" s="235"/>
      <c r="K42" s="235"/>
      <c r="L42" s="235"/>
      <c r="M42" s="235"/>
      <c r="N42" s="235"/>
      <c r="O42" s="235"/>
      <c r="P42" s="235"/>
      <c r="Q42" s="235"/>
      <c r="R42" s="235"/>
      <c r="S42" s="235"/>
      <c r="T42" s="235"/>
      <c r="U42" s="235"/>
      <c r="V42" s="235"/>
      <c r="W42" s="235"/>
      <c r="X42" s="235"/>
      <c r="Y42" s="235"/>
      <c r="Z42" s="235"/>
      <c r="AA42" s="235"/>
      <c r="AB42" s="235"/>
    </row>
    <row r="43" spans="1:28">
      <c r="A43" s="1866">
        <v>2013</v>
      </c>
      <c r="B43" s="1733">
        <v>16794.654402</v>
      </c>
      <c r="C43" s="169">
        <v>26601621</v>
      </c>
      <c r="D43" s="1313">
        <v>75962.981</v>
      </c>
      <c r="E43" s="380">
        <v>89235430</v>
      </c>
      <c r="F43" s="454"/>
      <c r="G43" s="2184"/>
      <c r="H43" s="2184"/>
      <c r="I43" s="235"/>
      <c r="J43" s="235"/>
      <c r="K43" s="235"/>
      <c r="L43" s="235"/>
      <c r="M43" s="235"/>
      <c r="N43" s="235"/>
      <c r="O43" s="235"/>
      <c r="P43" s="235"/>
      <c r="Q43" s="235"/>
      <c r="R43" s="235"/>
      <c r="S43" s="235"/>
      <c r="T43" s="235"/>
      <c r="U43" s="235"/>
      <c r="V43" s="235"/>
      <c r="W43" s="235"/>
      <c r="X43" s="235"/>
      <c r="Y43" s="235"/>
      <c r="Z43" s="235"/>
      <c r="AA43" s="235"/>
      <c r="AB43" s="235"/>
    </row>
    <row r="44" spans="1:28">
      <c r="A44" s="1866">
        <v>2014</v>
      </c>
      <c r="B44" s="1733">
        <v>16079.051363500001</v>
      </c>
      <c r="C44" s="169">
        <v>26262936.803160001</v>
      </c>
      <c r="D44" s="1313">
        <v>68404.346618249998</v>
      </c>
      <c r="E44" s="380">
        <v>83145392</v>
      </c>
      <c r="F44" s="2517"/>
      <c r="G44" s="2184"/>
      <c r="H44" s="2184"/>
      <c r="I44" s="235"/>
      <c r="J44" s="235"/>
      <c r="K44" s="235"/>
      <c r="L44" s="235"/>
      <c r="M44" s="235"/>
      <c r="N44" s="235"/>
      <c r="O44" s="235"/>
      <c r="P44" s="235"/>
      <c r="Q44" s="235"/>
      <c r="R44" s="235"/>
      <c r="S44" s="235"/>
      <c r="T44" s="235"/>
      <c r="U44" s="235"/>
      <c r="V44" s="235"/>
      <c r="W44" s="235"/>
      <c r="X44" s="235"/>
      <c r="Y44" s="235"/>
      <c r="Z44" s="235"/>
      <c r="AA44" s="235"/>
      <c r="AB44" s="235"/>
    </row>
    <row r="45" spans="1:28">
      <c r="A45" s="1866">
        <v>2015</v>
      </c>
      <c r="B45" s="1733">
        <v>13206.825658</v>
      </c>
      <c r="C45" s="169">
        <v>29734481.208000001</v>
      </c>
      <c r="D45" s="1313">
        <v>56783.952503679997</v>
      </c>
      <c r="E45" s="380">
        <v>91557794</v>
      </c>
      <c r="F45" s="454"/>
      <c r="G45" s="3496"/>
      <c r="H45" s="3496"/>
      <c r="I45" s="235"/>
      <c r="J45" s="235"/>
      <c r="K45" s="235"/>
      <c r="L45" s="235"/>
      <c r="M45" s="235"/>
      <c r="N45" s="235"/>
      <c r="O45" s="235"/>
      <c r="P45" s="235"/>
      <c r="Q45" s="235"/>
      <c r="R45" s="235"/>
      <c r="S45" s="235"/>
      <c r="T45" s="235"/>
      <c r="U45" s="235"/>
      <c r="V45" s="235"/>
      <c r="W45" s="235"/>
      <c r="X45" s="235"/>
      <c r="Y45" s="235"/>
      <c r="Z45" s="235"/>
      <c r="AA45" s="235"/>
      <c r="AB45" s="235"/>
    </row>
    <row r="46" spans="1:28">
      <c r="A46" s="1866">
        <v>2016</v>
      </c>
      <c r="B46" s="1733">
        <v>13829.380695</v>
      </c>
      <c r="C46" s="169">
        <v>32170096.041000001</v>
      </c>
      <c r="D46" s="1313">
        <v>57909.097000000002</v>
      </c>
      <c r="E46" s="380">
        <v>108258508.168</v>
      </c>
      <c r="F46" s="454"/>
      <c r="G46" s="3496"/>
      <c r="H46" s="3496"/>
      <c r="I46" s="235"/>
      <c r="J46" s="235"/>
      <c r="K46" s="235"/>
      <c r="L46" s="235"/>
      <c r="M46" s="235"/>
      <c r="N46" s="235"/>
      <c r="O46" s="235"/>
      <c r="P46" s="235"/>
      <c r="Q46" s="235"/>
      <c r="R46" s="235"/>
      <c r="S46" s="235"/>
      <c r="T46" s="235"/>
      <c r="U46" s="235"/>
      <c r="V46" s="235"/>
      <c r="W46" s="235"/>
      <c r="X46" s="235"/>
      <c r="Y46" s="235"/>
      <c r="Z46" s="235"/>
      <c r="AA46" s="235"/>
      <c r="AB46" s="235"/>
    </row>
    <row r="47" spans="1:28">
      <c r="A47" s="1866">
        <v>2017</v>
      </c>
      <c r="B47" s="1733">
        <v>13760.730242</v>
      </c>
      <c r="C47" s="169">
        <v>32478765.441</v>
      </c>
      <c r="D47" s="1313">
        <v>58644.733999999997</v>
      </c>
      <c r="E47" s="380">
        <v>104547078</v>
      </c>
      <c r="F47" s="454"/>
      <c r="G47" s="3496"/>
      <c r="H47" s="3496"/>
      <c r="I47" s="235"/>
      <c r="J47" s="235"/>
      <c r="K47" s="235"/>
      <c r="L47" s="235"/>
      <c r="M47" s="235"/>
      <c r="N47" s="235"/>
      <c r="O47" s="235"/>
      <c r="P47" s="235"/>
      <c r="Q47" s="235"/>
      <c r="R47" s="235"/>
      <c r="S47" s="235"/>
      <c r="T47" s="235"/>
      <c r="U47" s="235"/>
      <c r="V47" s="235"/>
      <c r="W47" s="235"/>
      <c r="X47" s="235"/>
      <c r="Y47" s="235"/>
      <c r="Z47" s="235"/>
      <c r="AA47" s="235"/>
      <c r="AB47" s="235"/>
    </row>
    <row r="48" spans="1:28">
      <c r="A48" s="1866">
        <v>2018</v>
      </c>
      <c r="B48" s="1733">
        <v>13659.627239020001</v>
      </c>
      <c r="C48" s="169">
        <v>28231705.197459999</v>
      </c>
      <c r="D48" s="1313">
        <v>61781.527999999998</v>
      </c>
      <c r="E48" s="380">
        <v>97229072</v>
      </c>
      <c r="F48" s="454"/>
      <c r="G48" s="3496"/>
      <c r="H48" s="3496"/>
      <c r="I48" s="235"/>
      <c r="J48" s="235"/>
      <c r="K48" s="235"/>
      <c r="L48" s="235"/>
      <c r="M48" s="235"/>
      <c r="N48" s="235"/>
      <c r="O48" s="235"/>
      <c r="P48" s="235"/>
      <c r="Q48" s="235"/>
      <c r="R48" s="235"/>
      <c r="S48" s="235"/>
      <c r="T48" s="235"/>
      <c r="U48" s="235"/>
      <c r="V48" s="235"/>
      <c r="W48" s="235"/>
      <c r="X48" s="235"/>
      <c r="Y48" s="235"/>
      <c r="Z48" s="235"/>
      <c r="AA48" s="235"/>
      <c r="AB48" s="235"/>
    </row>
    <row r="49" spans="1:28">
      <c r="A49" s="1866">
        <v>2019</v>
      </c>
      <c r="B49" s="1733">
        <v>14276.570992000001</v>
      </c>
      <c r="C49" s="169">
        <v>34746482.718999997</v>
      </c>
      <c r="D49" s="1313">
        <v>65115.324999999997</v>
      </c>
      <c r="E49" s="380">
        <v>127508496</v>
      </c>
      <c r="F49" s="454"/>
      <c r="G49" s="3496"/>
      <c r="H49" s="3496"/>
      <c r="I49" s="235"/>
      <c r="J49" s="235"/>
      <c r="K49" s="235"/>
      <c r="L49" s="235"/>
      <c r="M49" s="235"/>
      <c r="N49" s="235"/>
      <c r="O49" s="235"/>
      <c r="P49" s="235"/>
      <c r="Q49" s="235"/>
      <c r="R49" s="235"/>
      <c r="S49" s="235"/>
      <c r="T49" s="235"/>
      <c r="U49" s="235"/>
      <c r="V49" s="235"/>
      <c r="W49" s="235"/>
      <c r="X49" s="235"/>
      <c r="Y49" s="235"/>
      <c r="Z49" s="235"/>
      <c r="AA49" s="235"/>
      <c r="AB49" s="235"/>
    </row>
    <row r="50" spans="1:28">
      <c r="A50" s="1866">
        <v>2020</v>
      </c>
      <c r="B50" s="1733">
        <v>11378.190323999999</v>
      </c>
      <c r="C50" s="169">
        <v>27336662.291000001</v>
      </c>
      <c r="D50" s="1313">
        <v>54883.822346060122</v>
      </c>
      <c r="E50" s="380">
        <v>116664853</v>
      </c>
      <c r="F50" s="454"/>
      <c r="G50" s="3496"/>
      <c r="H50" s="3496"/>
      <c r="I50" s="235"/>
      <c r="J50" s="235"/>
      <c r="K50" s="235"/>
      <c r="L50" s="235"/>
      <c r="M50" s="235"/>
      <c r="N50" s="235"/>
      <c r="O50" s="235"/>
      <c r="P50" s="235"/>
      <c r="Q50" s="235"/>
      <c r="R50" s="235"/>
      <c r="S50" s="235"/>
      <c r="T50" s="235"/>
      <c r="U50" s="235"/>
      <c r="V50" s="235"/>
      <c r="W50" s="235"/>
      <c r="X50" s="235"/>
      <c r="Y50" s="235"/>
      <c r="Z50" s="235"/>
      <c r="AA50" s="235"/>
      <c r="AB50" s="235"/>
    </row>
    <row r="51" spans="1:28">
      <c r="A51" s="1866">
        <v>2021</v>
      </c>
      <c r="B51" s="1733">
        <v>17920.340706999999</v>
      </c>
      <c r="C51" s="169">
        <v>31828253.607999999</v>
      </c>
      <c r="D51" s="1313">
        <v>77934.313999999998</v>
      </c>
      <c r="E51" s="380">
        <v>128532890.169</v>
      </c>
      <c r="F51" s="454"/>
      <c r="G51" s="3496"/>
      <c r="H51" s="3496"/>
      <c r="I51" s="235"/>
      <c r="J51" s="235"/>
      <c r="K51" s="235"/>
      <c r="L51" s="235"/>
      <c r="M51" s="235"/>
      <c r="N51" s="235"/>
      <c r="O51" s="235"/>
      <c r="P51" s="235"/>
      <c r="Q51" s="235"/>
      <c r="R51" s="235"/>
      <c r="S51" s="235"/>
      <c r="T51" s="235"/>
      <c r="U51" s="235"/>
      <c r="V51" s="235"/>
      <c r="W51" s="235"/>
      <c r="X51" s="235"/>
      <c r="Y51" s="235"/>
      <c r="Z51" s="235"/>
      <c r="AA51" s="235"/>
      <c r="AB51" s="235"/>
    </row>
    <row r="52" spans="1:28">
      <c r="A52" s="1866">
        <v>2022</v>
      </c>
      <c r="B52" s="1733">
        <v>19162.519733000001</v>
      </c>
      <c r="C52" s="169">
        <v>28862049.463</v>
      </c>
      <c r="D52" s="1313">
        <v>88445.718838200002</v>
      </c>
      <c r="E52" s="380">
        <v>125515437.7269</v>
      </c>
      <c r="F52" s="454"/>
      <c r="G52" s="3496"/>
      <c r="H52" s="3496"/>
      <c r="I52" s="235"/>
      <c r="J52" s="235"/>
      <c r="K52" s="235"/>
      <c r="L52" s="235"/>
      <c r="M52" s="235"/>
      <c r="N52" s="235"/>
      <c r="O52" s="235"/>
      <c r="P52" s="235"/>
      <c r="Q52" s="235"/>
      <c r="R52" s="235"/>
      <c r="S52" s="235"/>
      <c r="T52" s="235"/>
      <c r="U52" s="235"/>
      <c r="V52" s="235"/>
      <c r="W52" s="235"/>
      <c r="X52" s="235"/>
      <c r="Y52" s="235"/>
      <c r="Z52" s="235"/>
      <c r="AA52" s="235"/>
      <c r="AB52" s="235"/>
    </row>
    <row r="53" spans="1:28">
      <c r="A53" s="1866">
        <v>2023</v>
      </c>
      <c r="B53" s="1733">
        <v>11612.227708</v>
      </c>
      <c r="C53" s="169">
        <v>17442742.524999999</v>
      </c>
      <c r="D53" s="1313">
        <v>66788.515986249986</v>
      </c>
      <c r="E53" s="380">
        <v>86445605.409999996</v>
      </c>
      <c r="F53" s="454"/>
      <c r="G53" s="3496"/>
      <c r="H53" s="3496"/>
      <c r="I53" s="235"/>
      <c r="K53" s="235"/>
      <c r="L53" s="235"/>
      <c r="M53" s="235"/>
      <c r="N53" s="235"/>
      <c r="O53" s="235"/>
      <c r="P53" s="235"/>
      <c r="Q53" s="235"/>
      <c r="R53" s="235"/>
      <c r="S53" s="235"/>
      <c r="T53" s="235"/>
      <c r="U53" s="235"/>
      <c r="V53" s="235"/>
      <c r="W53" s="235"/>
      <c r="X53" s="235"/>
      <c r="Y53" s="235"/>
      <c r="Z53" s="235"/>
      <c r="AA53" s="235"/>
      <c r="AB53" s="235"/>
    </row>
    <row r="54" spans="1:28">
      <c r="A54" s="1866">
        <v>2024</v>
      </c>
      <c r="B54" s="1733">
        <v>14723.793428999999</v>
      </c>
      <c r="C54" s="169">
        <v>27101776.324999999</v>
      </c>
      <c r="D54" s="1313">
        <v>79720.582571830004</v>
      </c>
      <c r="E54" s="380">
        <v>126610635.7286</v>
      </c>
      <c r="F54" s="454"/>
      <c r="G54" s="3496"/>
      <c r="H54" s="3496"/>
      <c r="I54" s="235"/>
      <c r="J54" s="235"/>
      <c r="K54" s="235"/>
      <c r="L54" s="235"/>
      <c r="M54" s="235"/>
      <c r="N54" s="235"/>
      <c r="O54" s="235"/>
      <c r="P54" s="235"/>
      <c r="Q54" s="235"/>
      <c r="R54" s="235"/>
      <c r="S54" s="235"/>
      <c r="T54" s="235"/>
      <c r="U54" s="235"/>
      <c r="V54" s="235"/>
      <c r="W54" s="235"/>
      <c r="X54" s="235"/>
      <c r="Y54" s="235"/>
      <c r="Z54" s="235"/>
      <c r="AA54" s="235"/>
      <c r="AB54" s="235"/>
    </row>
    <row r="55" spans="1:28">
      <c r="A55" s="1866">
        <v>2025</v>
      </c>
      <c r="B55" s="1733" t="e">
        <v>#N/A</v>
      </c>
      <c r="C55" s="169" t="e">
        <v>#N/A</v>
      </c>
      <c r="D55" s="1313" t="e">
        <v>#N/A</v>
      </c>
      <c r="E55" s="380" t="e">
        <v>#N/A</v>
      </c>
      <c r="G55" s="235"/>
      <c r="H55" s="235"/>
      <c r="I55" s="235"/>
      <c r="J55" s="235"/>
      <c r="K55" s="235"/>
      <c r="L55" s="235"/>
      <c r="M55" s="235"/>
      <c r="N55" s="235"/>
      <c r="O55" s="235"/>
      <c r="P55" s="235"/>
      <c r="Q55" s="235"/>
      <c r="R55" s="235"/>
      <c r="S55" s="235"/>
      <c r="T55" s="235"/>
      <c r="U55" s="235"/>
      <c r="V55" s="235"/>
      <c r="W55" s="235"/>
      <c r="X55" s="235"/>
      <c r="Y55" s="235"/>
      <c r="Z55" s="235"/>
      <c r="AA55" s="235"/>
      <c r="AB55" s="235"/>
    </row>
    <row r="56" spans="1:28">
      <c r="A56" s="1866">
        <v>2026</v>
      </c>
      <c r="B56" s="1733" t="e">
        <v>#N/A</v>
      </c>
      <c r="C56" s="169" t="e">
        <v>#N/A</v>
      </c>
      <c r="D56" s="1313" t="e">
        <v>#N/A</v>
      </c>
      <c r="E56" s="380" t="e">
        <v>#N/A</v>
      </c>
    </row>
    <row r="57" spans="1:28">
      <c r="A57" s="1866">
        <v>2027</v>
      </c>
      <c r="B57" s="1733" t="e">
        <v>#N/A</v>
      </c>
      <c r="C57" s="169" t="e">
        <v>#N/A</v>
      </c>
      <c r="D57" s="1313" t="e">
        <v>#N/A</v>
      </c>
      <c r="E57" s="380" t="e">
        <v>#N/A</v>
      </c>
      <c r="I57" s="3497"/>
      <c r="J57" s="3497"/>
    </row>
    <row r="58" spans="1:28">
      <c r="A58" s="1866">
        <v>2028</v>
      </c>
      <c r="B58" s="1733" t="e">
        <v>#N/A</v>
      </c>
      <c r="C58" s="169" t="e">
        <v>#N/A</v>
      </c>
      <c r="D58" s="1313" t="e">
        <v>#N/A</v>
      </c>
      <c r="E58" s="380" t="e">
        <v>#N/A</v>
      </c>
    </row>
    <row r="59" spans="1:28">
      <c r="A59" s="1866">
        <v>2029</v>
      </c>
      <c r="B59" s="1733" t="e">
        <v>#N/A</v>
      </c>
      <c r="C59" s="169" t="e">
        <v>#N/A</v>
      </c>
      <c r="D59" s="1313" t="e">
        <v>#N/A</v>
      </c>
      <c r="E59" s="380" t="e">
        <v>#N/A</v>
      </c>
    </row>
    <row r="60" spans="1:28">
      <c r="A60" s="1866">
        <v>2030</v>
      </c>
      <c r="B60" s="1733" t="e">
        <v>#N/A</v>
      </c>
      <c r="C60" s="169" t="e">
        <v>#N/A</v>
      </c>
      <c r="D60" s="1313" t="e">
        <v>#N/A</v>
      </c>
      <c r="E60" s="380" t="e">
        <v>#N/A</v>
      </c>
    </row>
    <row r="61" spans="1:28">
      <c r="A61" s="1866"/>
      <c r="B61" s="2520"/>
      <c r="C61" s="2520"/>
      <c r="D61" s="2520"/>
      <c r="E61" s="2520"/>
    </row>
    <row r="62" spans="1:28">
      <c r="A62" s="62"/>
      <c r="B62" s="2520"/>
      <c r="C62" s="2520"/>
      <c r="D62" s="2520"/>
      <c r="E62" s="2520"/>
    </row>
    <row r="65" spans="2:2">
      <c r="B65" s="2521"/>
    </row>
  </sheetData>
  <phoneticPr fontId="62" type="noConversion"/>
  <hyperlinks>
    <hyperlink ref="A5" location="INDICE!A13" display="VOLVER AL INDICE" xr:uid="{00000000-0004-0000-2C00-000000000000}"/>
  </hyperlinks>
  <pageMargins left="0.75" right="0.75" top="1" bottom="1" header="0" footer="0"/>
  <pageSetup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30"/>
  <dimension ref="A1:I489"/>
  <sheetViews>
    <sheetView zoomScale="130" zoomScaleNormal="130" workbookViewId="0">
      <pane xSplit="1" ySplit="9" topLeftCell="B414" activePane="bottomRight" state="frozen"/>
      <selection pane="topRight" sqref="A1:A5"/>
      <selection pane="bottomLeft" sqref="A1:A5"/>
      <selection pane="bottomRight" activeCell="B422" sqref="B422"/>
    </sheetView>
  </sheetViews>
  <sheetFormatPr baseColWidth="10" defaultColWidth="12.5703125" defaultRowHeight="12.75"/>
  <cols>
    <col min="1" max="1" width="11" style="103" customWidth="1"/>
    <col min="2" max="2" width="27.7109375" style="103" customWidth="1"/>
    <col min="3" max="6" width="18.7109375" style="103" customWidth="1"/>
    <col min="7" max="7" width="4.7109375" style="21" customWidth="1"/>
    <col min="8" max="16384" width="12.5703125" style="21"/>
  </cols>
  <sheetData>
    <row r="1" spans="1:8" s="19" customFormat="1" ht="3.75" customHeight="1">
      <c r="A1" s="34"/>
      <c r="B1" s="2185"/>
      <c r="C1" s="2186"/>
      <c r="D1" s="2187"/>
      <c r="E1" s="2187"/>
      <c r="F1" s="2188"/>
      <c r="G1" s="2189"/>
      <c r="H1" s="2190"/>
    </row>
    <row r="2" spans="1:8" s="19" customFormat="1" ht="22.5">
      <c r="A2" s="59" t="s">
        <v>105</v>
      </c>
      <c r="B2" s="3225" t="s">
        <v>1348</v>
      </c>
      <c r="C2" s="3226" t="s">
        <v>1349</v>
      </c>
      <c r="D2" s="3227"/>
      <c r="E2" s="3227"/>
      <c r="F2" s="3228"/>
      <c r="G2" s="2189"/>
      <c r="H2" s="2190"/>
    </row>
    <row r="3" spans="1:8" s="19" customFormat="1" ht="22.5">
      <c r="A3" s="59" t="s">
        <v>109</v>
      </c>
      <c r="B3" s="224" t="s">
        <v>115</v>
      </c>
      <c r="C3" s="2191" t="s">
        <v>115</v>
      </c>
      <c r="D3" s="2192"/>
      <c r="E3" s="2192"/>
      <c r="F3" s="343"/>
      <c r="G3" s="2189"/>
      <c r="H3" s="2190"/>
    </row>
    <row r="4" spans="1:8" s="19" customFormat="1" ht="2.25" hidden="1" customHeight="1">
      <c r="A4" s="104"/>
      <c r="B4" s="107"/>
      <c r="C4" s="257" t="s">
        <v>5</v>
      </c>
      <c r="D4" s="258"/>
      <c r="E4" s="258"/>
      <c r="F4" s="259"/>
      <c r="G4" s="2189"/>
      <c r="H4" s="2190"/>
    </row>
    <row r="5" spans="1:8" s="19" customFormat="1" ht="45">
      <c r="A5" s="2390" t="s">
        <v>137</v>
      </c>
      <c r="B5" s="2193" t="s">
        <v>1350</v>
      </c>
      <c r="C5" s="285" t="s">
        <v>1351</v>
      </c>
      <c r="D5" s="930" t="s">
        <v>1352</v>
      </c>
      <c r="E5" s="930" t="s">
        <v>1353</v>
      </c>
      <c r="F5" s="933" t="s">
        <v>1354</v>
      </c>
      <c r="G5" s="2189"/>
      <c r="H5" s="1023"/>
    </row>
    <row r="6" spans="1:8" s="19" customFormat="1" ht="4.5" hidden="1" customHeight="1">
      <c r="A6" s="105"/>
      <c r="B6" s="2194"/>
      <c r="C6" s="2195"/>
      <c r="D6" s="3229"/>
      <c r="E6" s="3229"/>
      <c r="F6" s="2196"/>
      <c r="G6" s="2189"/>
      <c r="H6" s="2190"/>
    </row>
    <row r="7" spans="1:8" s="19" customFormat="1" ht="22.5">
      <c r="A7" s="2373" t="s">
        <v>123</v>
      </c>
      <c r="B7" s="2858" t="s">
        <v>1355</v>
      </c>
      <c r="C7" s="2859" t="s">
        <v>1355</v>
      </c>
      <c r="D7" s="930" t="s">
        <v>1355</v>
      </c>
      <c r="E7" s="930" t="s">
        <v>1355</v>
      </c>
      <c r="F7" s="285" t="s">
        <v>1355</v>
      </c>
      <c r="G7" s="2189"/>
      <c r="H7" s="2190"/>
    </row>
    <row r="8" spans="1:8" s="19" customFormat="1" ht="12.75" customHeight="1" thickBot="1">
      <c r="A8" s="105" t="s">
        <v>141</v>
      </c>
      <c r="B8" s="149" t="s">
        <v>1356</v>
      </c>
      <c r="C8" s="773" t="s">
        <v>1357</v>
      </c>
      <c r="D8" s="881" t="s">
        <v>1358</v>
      </c>
      <c r="E8" s="639" t="s">
        <v>1359</v>
      </c>
      <c r="F8" s="150" t="s">
        <v>1360</v>
      </c>
      <c r="G8" s="2189"/>
      <c r="H8" s="2190"/>
    </row>
    <row r="9" spans="1:8" s="20" customFormat="1" ht="13.5" hidden="1" thickBot="1">
      <c r="A9" s="72"/>
      <c r="B9" s="2197"/>
      <c r="C9" s="2198"/>
      <c r="D9" s="2199"/>
      <c r="E9" s="2199"/>
      <c r="F9" s="2200"/>
      <c r="G9" s="2201"/>
      <c r="H9" s="1565"/>
    </row>
    <row r="10" spans="1:8" s="20" customFormat="1">
      <c r="A10" s="2320">
        <v>1991.01</v>
      </c>
      <c r="B10" s="2655">
        <v>106.46006076671858</v>
      </c>
      <c r="C10" s="273">
        <v>131.70241759721873</v>
      </c>
      <c r="D10" s="931">
        <v>85.812322164889167</v>
      </c>
      <c r="E10" s="931">
        <v>64.711754823775109</v>
      </c>
      <c r="F10" s="2656">
        <v>115.02370293782712</v>
      </c>
      <c r="G10" s="2201"/>
      <c r="H10" s="1565"/>
    </row>
    <row r="11" spans="1:8" s="20" customFormat="1">
      <c r="A11" s="2202">
        <v>1991.02</v>
      </c>
      <c r="B11" s="270">
        <v>123.99909591302099</v>
      </c>
      <c r="C11" s="274">
        <v>149.16617757771519</v>
      </c>
      <c r="D11" s="3230">
        <v>97.809627809888156</v>
      </c>
      <c r="E11" s="3230">
        <v>77.217418633665886</v>
      </c>
      <c r="F11" s="271">
        <v>134.37046335441045</v>
      </c>
      <c r="G11" s="2201"/>
      <c r="H11" s="1565"/>
    </row>
    <row r="12" spans="1:8" s="20" customFormat="1">
      <c r="A12" s="2202">
        <v>1991.03</v>
      </c>
      <c r="B12" s="270">
        <v>109.54679279807536</v>
      </c>
      <c r="C12" s="274">
        <v>146.90738013515733</v>
      </c>
      <c r="D12" s="3230">
        <v>89.060285491232733</v>
      </c>
      <c r="E12" s="3230">
        <v>70.970658506033502</v>
      </c>
      <c r="F12" s="271">
        <v>112.86793776045258</v>
      </c>
      <c r="G12" s="2201"/>
      <c r="H12" s="1565"/>
    </row>
    <row r="13" spans="1:8" s="20" customFormat="1">
      <c r="A13" s="2202">
        <v>1991.04</v>
      </c>
      <c r="B13" s="270">
        <v>105.86759283734837</v>
      </c>
      <c r="C13" s="274">
        <v>145.82767775024541</v>
      </c>
      <c r="D13" s="3230">
        <v>87.390468066136549</v>
      </c>
      <c r="E13" s="3230">
        <v>68.183410538647351</v>
      </c>
      <c r="F13" s="271">
        <v>104.90597522513363</v>
      </c>
      <c r="G13" s="2201"/>
      <c r="H13" s="1565"/>
    </row>
    <row r="14" spans="1:8" s="20" customFormat="1">
      <c r="A14" s="2202">
        <v>1991.05</v>
      </c>
      <c r="B14" s="270">
        <v>103.00385801005974</v>
      </c>
      <c r="C14" s="274">
        <v>132.04603147782129</v>
      </c>
      <c r="D14" s="3230">
        <v>85.867482858190044</v>
      </c>
      <c r="E14" s="3230">
        <v>66.271300627943674</v>
      </c>
      <c r="F14" s="271">
        <v>102.35034669468001</v>
      </c>
      <c r="G14" s="2201"/>
      <c r="H14" s="1565"/>
    </row>
    <row r="15" spans="1:8" s="20" customFormat="1">
      <c r="A15" s="2202">
        <v>1991.06</v>
      </c>
      <c r="B15" s="270">
        <v>98.547289504139798</v>
      </c>
      <c r="C15" s="274">
        <v>129.96860334078903</v>
      </c>
      <c r="D15" s="3230">
        <v>84.104990994689558</v>
      </c>
      <c r="E15" s="3230">
        <v>65.67578915029685</v>
      </c>
      <c r="F15" s="271">
        <v>96.528663794820659</v>
      </c>
      <c r="G15" s="2201"/>
      <c r="H15" s="1565"/>
    </row>
    <row r="16" spans="1:8" s="20" customFormat="1">
      <c r="A16" s="2202">
        <v>1991.07</v>
      </c>
      <c r="B16" s="270">
        <v>96.576347336667624</v>
      </c>
      <c r="C16" s="274">
        <v>135.56320093688447</v>
      </c>
      <c r="D16" s="3230">
        <v>82.101429577802705</v>
      </c>
      <c r="E16" s="3230">
        <v>63.24706348940947</v>
      </c>
      <c r="F16" s="271">
        <v>94.500713641083664</v>
      </c>
      <c r="G16" s="2201"/>
      <c r="H16" s="1565"/>
    </row>
    <row r="17" spans="1:7" s="20" customFormat="1">
      <c r="A17" s="2202">
        <v>1991.08</v>
      </c>
      <c r="B17" s="270">
        <v>97.127338735040283</v>
      </c>
      <c r="C17" s="274">
        <v>136.85971384928757</v>
      </c>
      <c r="D17" s="3230">
        <v>81.366958205013148</v>
      </c>
      <c r="E17" s="3230">
        <v>62.400023759622314</v>
      </c>
      <c r="F17" s="271">
        <v>95.567187772242193</v>
      </c>
      <c r="G17" s="2201"/>
    </row>
    <row r="18" spans="1:7" s="20" customFormat="1">
      <c r="A18" s="2202">
        <v>1991.09</v>
      </c>
      <c r="B18" s="270">
        <v>97.08546491166166</v>
      </c>
      <c r="C18" s="274">
        <v>131.56769127595112</v>
      </c>
      <c r="D18" s="3230">
        <v>80.063440623180597</v>
      </c>
      <c r="E18" s="3230">
        <v>62.025043896817714</v>
      </c>
      <c r="F18" s="271">
        <v>96.377855634490658</v>
      </c>
      <c r="G18" s="2201"/>
    </row>
    <row r="19" spans="1:7" s="20" customFormat="1">
      <c r="A19" s="2202">
        <v>1991.1</v>
      </c>
      <c r="B19" s="270">
        <v>94.011280232219605</v>
      </c>
      <c r="C19" s="274">
        <v>117.84945228922673</v>
      </c>
      <c r="D19" s="3230">
        <v>79.111508423415117</v>
      </c>
      <c r="E19" s="3230">
        <v>60.529176541711834</v>
      </c>
      <c r="F19" s="271">
        <v>95.66140955361891</v>
      </c>
      <c r="G19" s="2201"/>
    </row>
    <row r="20" spans="1:7" s="20" customFormat="1">
      <c r="A20" s="2202">
        <v>1991.11</v>
      </c>
      <c r="B20" s="270">
        <v>95.409382573201469</v>
      </c>
      <c r="C20" s="274">
        <v>114.64480534700662</v>
      </c>
      <c r="D20" s="3230">
        <v>79.034439502640495</v>
      </c>
      <c r="E20" s="3230">
        <v>59.011125730724906</v>
      </c>
      <c r="F20" s="271">
        <v>99.467113994392037</v>
      </c>
      <c r="G20" s="2201"/>
    </row>
    <row r="21" spans="1:7" s="20" customFormat="1">
      <c r="A21" s="2202">
        <v>1991.12</v>
      </c>
      <c r="B21" s="270">
        <v>95.510582151427414</v>
      </c>
      <c r="C21" s="274">
        <v>108.20456465628332</v>
      </c>
      <c r="D21" s="3230">
        <v>78.581613442919291</v>
      </c>
      <c r="E21" s="3230">
        <v>57.962044235337629</v>
      </c>
      <c r="F21" s="271">
        <v>102.24399499513392</v>
      </c>
      <c r="G21" s="2201"/>
    </row>
    <row r="22" spans="1:7" s="20" customFormat="1">
      <c r="A22" s="2202">
        <v>1992.01</v>
      </c>
      <c r="B22" s="270">
        <v>92.947352335501179</v>
      </c>
      <c r="C22" s="274">
        <v>104.92038849202896</v>
      </c>
      <c r="D22" s="3230">
        <v>76.371858161645321</v>
      </c>
      <c r="E22" s="3230">
        <v>56.384382575211724</v>
      </c>
      <c r="F22" s="271">
        <v>98.965003544644546</v>
      </c>
      <c r="G22" s="2201"/>
    </row>
    <row r="23" spans="1:7" s="20" customFormat="1">
      <c r="A23" s="2202">
        <v>1992.02</v>
      </c>
      <c r="B23" s="270">
        <v>90.459676921773635</v>
      </c>
      <c r="C23" s="274">
        <v>103.99011707390737</v>
      </c>
      <c r="D23" s="3230">
        <v>75.032110070294124</v>
      </c>
      <c r="E23" s="3230">
        <v>57.847636076586745</v>
      </c>
      <c r="F23" s="271">
        <v>95.037582637883958</v>
      </c>
      <c r="G23" s="2201"/>
    </row>
    <row r="24" spans="1:7" s="20" customFormat="1">
      <c r="A24" s="2202">
        <v>1992.03</v>
      </c>
      <c r="B24" s="270">
        <v>87.315298253456859</v>
      </c>
      <c r="C24" s="274">
        <v>99.682417658420576</v>
      </c>
      <c r="D24" s="3230">
        <v>73.934810074340504</v>
      </c>
      <c r="E24" s="3230">
        <v>57.396702112120941</v>
      </c>
      <c r="F24" s="271">
        <v>91.158140394788006</v>
      </c>
      <c r="G24" s="2201"/>
    </row>
    <row r="25" spans="1:7" s="20" customFormat="1">
      <c r="A25" s="2202">
        <v>1992.04</v>
      </c>
      <c r="B25" s="270">
        <v>86.750138346119883</v>
      </c>
      <c r="C25" s="274">
        <v>98.799205866422597</v>
      </c>
      <c r="D25" s="3230">
        <v>73.02668626274189</v>
      </c>
      <c r="E25" s="3230">
        <v>55.589838737702109</v>
      </c>
      <c r="F25" s="271">
        <v>90.927263240056348</v>
      </c>
      <c r="G25" s="2201"/>
    </row>
    <row r="26" spans="1:7" s="20" customFormat="1">
      <c r="A26" s="2202">
        <v>1992.05</v>
      </c>
      <c r="B26" s="270">
        <v>87.942939835192306</v>
      </c>
      <c r="C26" s="274">
        <v>102.2301537249146</v>
      </c>
      <c r="D26" s="3230">
        <v>72.642468695000645</v>
      </c>
      <c r="E26" s="3230">
        <v>56.119039784331861</v>
      </c>
      <c r="F26" s="271">
        <v>92.278941128561044</v>
      </c>
      <c r="G26" s="2201"/>
    </row>
    <row r="27" spans="1:7" s="20" customFormat="1">
      <c r="A27" s="2202">
        <v>1992.06</v>
      </c>
      <c r="B27" s="270">
        <v>88.921813277804318</v>
      </c>
      <c r="C27" s="274">
        <v>101.39740943094468</v>
      </c>
      <c r="D27" s="3230">
        <v>72.335287234913736</v>
      </c>
      <c r="E27" s="3230">
        <v>55.937140876690293</v>
      </c>
      <c r="F27" s="271">
        <v>94.496135283885366</v>
      </c>
      <c r="G27" s="2201"/>
    </row>
    <row r="28" spans="1:7" s="20" customFormat="1">
      <c r="A28" s="2202">
        <v>1992.07</v>
      </c>
      <c r="B28" s="270">
        <v>89.690158919503773</v>
      </c>
      <c r="C28" s="274">
        <v>100.05759158039763</v>
      </c>
      <c r="D28" s="3230">
        <v>71.258201293664996</v>
      </c>
      <c r="E28" s="3230">
        <v>54.973948637694981</v>
      </c>
      <c r="F28" s="271">
        <v>97.879698756588738</v>
      </c>
      <c r="G28" s="2201"/>
    </row>
    <row r="29" spans="1:7" s="20" customFormat="1">
      <c r="A29" s="2202">
        <v>1992.08</v>
      </c>
      <c r="B29" s="270">
        <v>89.474952891827286</v>
      </c>
      <c r="C29" s="274">
        <v>98.406951679638766</v>
      </c>
      <c r="D29" s="3230">
        <v>70.40729461999797</v>
      </c>
      <c r="E29" s="3230">
        <v>54.338948063600263</v>
      </c>
      <c r="F29" s="271">
        <v>98.978662882689491</v>
      </c>
      <c r="G29" s="2201"/>
    </row>
    <row r="30" spans="1:7" s="20" customFormat="1">
      <c r="A30" s="2202">
        <v>1992.09</v>
      </c>
      <c r="B30" s="270">
        <v>88.401159610443798</v>
      </c>
      <c r="C30" s="274">
        <v>98.308648421402609</v>
      </c>
      <c r="D30" s="3230">
        <v>69.884690504253726</v>
      </c>
      <c r="E30" s="3230">
        <v>54.408229068290588</v>
      </c>
      <c r="F30" s="271">
        <v>96.975236270810257</v>
      </c>
      <c r="G30" s="2201"/>
    </row>
    <row r="31" spans="1:7" s="20" customFormat="1">
      <c r="A31" s="2202">
        <v>1992.1</v>
      </c>
      <c r="B31" s="270">
        <v>85.448844082148653</v>
      </c>
      <c r="C31" s="274">
        <v>97.260665740129383</v>
      </c>
      <c r="D31" s="3230">
        <v>69.255276948739976</v>
      </c>
      <c r="E31" s="3230">
        <v>53.692441993676084</v>
      </c>
      <c r="F31" s="271">
        <v>92.132759139784568</v>
      </c>
      <c r="G31" s="2201"/>
    </row>
    <row r="32" spans="1:7" s="20" customFormat="1">
      <c r="A32" s="2202">
        <v>1992.11</v>
      </c>
      <c r="B32" s="270">
        <v>81.934165654480921</v>
      </c>
      <c r="C32" s="274">
        <v>94.605213067644527</v>
      </c>
      <c r="D32" s="3230">
        <v>69.034786989737555</v>
      </c>
      <c r="E32" s="3230">
        <v>51.905943585801197</v>
      </c>
      <c r="F32" s="271">
        <v>86.214033369124252</v>
      </c>
      <c r="G32" s="2201"/>
    </row>
    <row r="33" spans="1:7" s="20" customFormat="1">
      <c r="A33" s="2202">
        <v>1992.12</v>
      </c>
      <c r="B33" s="270">
        <v>81.947764974333197</v>
      </c>
      <c r="C33" s="274">
        <v>95.795075488077828</v>
      </c>
      <c r="D33" s="3230">
        <v>68.791022520266409</v>
      </c>
      <c r="E33" s="3230">
        <v>49.855574704666296</v>
      </c>
      <c r="F33" s="271">
        <v>85.786710189229055</v>
      </c>
      <c r="G33" s="2201"/>
    </row>
    <row r="34" spans="1:7" s="20" customFormat="1">
      <c r="A34" s="2202">
        <v>1993.01</v>
      </c>
      <c r="B34" s="270">
        <v>81.450239084730768</v>
      </c>
      <c r="C34" s="274">
        <v>99.110613046003294</v>
      </c>
      <c r="D34" s="3230">
        <v>69.113118125741025</v>
      </c>
      <c r="E34" s="3230">
        <v>50.695551628462958</v>
      </c>
      <c r="F34" s="271">
        <v>84.125018741870619</v>
      </c>
      <c r="G34" s="2201"/>
    </row>
    <row r="35" spans="1:7" s="20" customFormat="1">
      <c r="A35" s="2202">
        <v>1993.02</v>
      </c>
      <c r="B35" s="270">
        <v>80.002767294916879</v>
      </c>
      <c r="C35" s="274">
        <v>96.721634686208503</v>
      </c>
      <c r="D35" s="3230">
        <v>68.852520819016149</v>
      </c>
      <c r="E35" s="3230">
        <v>53.768946840168049</v>
      </c>
      <c r="F35" s="271">
        <v>82.134824943406002</v>
      </c>
      <c r="G35" s="2201"/>
    </row>
    <row r="36" spans="1:7" s="20" customFormat="1">
      <c r="A36" s="2202">
        <v>1993.03</v>
      </c>
      <c r="B36" s="270">
        <v>79.96015203446342</v>
      </c>
      <c r="C36" s="274">
        <v>97.110316407925609</v>
      </c>
      <c r="D36" s="3230">
        <v>68.577490861795511</v>
      </c>
      <c r="E36" s="3230">
        <v>54.62073958057686</v>
      </c>
      <c r="F36" s="271">
        <v>81.175146410816041</v>
      </c>
      <c r="G36" s="2201"/>
    </row>
    <row r="37" spans="1:7" s="20" customFormat="1">
      <c r="A37" s="2202">
        <v>1993.04</v>
      </c>
      <c r="B37" s="270">
        <v>80.827985563558414</v>
      </c>
      <c r="C37" s="274">
        <v>96.068793189290759</v>
      </c>
      <c r="D37" s="3230">
        <v>68.057087174442671</v>
      </c>
      <c r="E37" s="3230">
        <v>54.307093126058419</v>
      </c>
      <c r="F37" s="271">
        <v>83.19151327427447</v>
      </c>
      <c r="G37" s="2201"/>
    </row>
    <row r="38" spans="1:7" s="20" customFormat="1">
      <c r="A38" s="2202">
        <v>1993.05</v>
      </c>
      <c r="B38" s="270">
        <v>79.824848029352879</v>
      </c>
      <c r="C38" s="274">
        <v>93.894670091193447</v>
      </c>
      <c r="D38" s="3230">
        <v>67.285948530183731</v>
      </c>
      <c r="E38" s="3230">
        <v>54.685649730029134</v>
      </c>
      <c r="F38" s="271">
        <v>82.114064773205357</v>
      </c>
      <c r="G38" s="2201"/>
    </row>
    <row r="39" spans="1:7" s="20" customFormat="1">
      <c r="A39" s="2202">
        <v>1993.06</v>
      </c>
      <c r="B39" s="270">
        <v>78.649465071737779</v>
      </c>
      <c r="C39" s="274">
        <v>93.385088850558077</v>
      </c>
      <c r="D39" s="3230">
        <v>66.898102044327956</v>
      </c>
      <c r="E39" s="3230">
        <v>54.605879936880058</v>
      </c>
      <c r="F39" s="271">
        <v>79.526306339023279</v>
      </c>
      <c r="G39" s="2201"/>
    </row>
    <row r="40" spans="1:7" s="20" customFormat="1">
      <c r="A40" s="2202">
        <v>1993.07</v>
      </c>
      <c r="B40" s="270">
        <v>77.296835769639173</v>
      </c>
      <c r="C40" s="274">
        <v>93.20598703541188</v>
      </c>
      <c r="D40" s="3230">
        <v>66.683555275208505</v>
      </c>
      <c r="E40" s="3230">
        <v>54.325109795336814</v>
      </c>
      <c r="F40" s="271">
        <v>76.02544052608522</v>
      </c>
      <c r="G40" s="2201"/>
    </row>
    <row r="41" spans="1:7" s="20" customFormat="1">
      <c r="A41" s="2202">
        <v>1993.08</v>
      </c>
      <c r="B41" s="270">
        <v>77.722885224756439</v>
      </c>
      <c r="C41" s="274">
        <v>94.075024015068294</v>
      </c>
      <c r="D41" s="3230">
        <v>66.857606757528487</v>
      </c>
      <c r="E41" s="3230">
        <v>55.015230651067867</v>
      </c>
      <c r="F41" s="271">
        <v>75.835750354664299</v>
      </c>
      <c r="G41" s="2201"/>
    </row>
    <row r="42" spans="1:7" s="20" customFormat="1">
      <c r="A42" s="2202">
        <v>1993.09</v>
      </c>
      <c r="B42" s="270">
        <v>78.555340518400953</v>
      </c>
      <c r="C42" s="274">
        <v>94.239681586419437</v>
      </c>
      <c r="D42" s="3230">
        <v>66.515014981249749</v>
      </c>
      <c r="E42" s="3230">
        <v>55.908660227543038</v>
      </c>
      <c r="F42" s="271">
        <v>78.571289501255279</v>
      </c>
      <c r="G42" s="2201"/>
    </row>
    <row r="43" spans="1:7" s="20" customFormat="1">
      <c r="A43" s="2202">
        <v>1993.1</v>
      </c>
      <c r="B43" s="270">
        <v>77.483503182727432</v>
      </c>
      <c r="C43" s="274">
        <v>92.257555522994579</v>
      </c>
      <c r="D43" s="3230">
        <v>66.348210382533566</v>
      </c>
      <c r="E43" s="3230">
        <v>55.534027140541028</v>
      </c>
      <c r="F43" s="271">
        <v>77.186478480366389</v>
      </c>
      <c r="G43" s="2201"/>
    </row>
    <row r="44" spans="1:7" s="20" customFormat="1">
      <c r="A44" s="2202">
        <v>1993.11</v>
      </c>
      <c r="B44" s="270">
        <v>76.507025832389957</v>
      </c>
      <c r="C44" s="274">
        <v>91.802655893976308</v>
      </c>
      <c r="D44" s="3230">
        <v>66.355815170668322</v>
      </c>
      <c r="E44" s="3230">
        <v>54.598571494911901</v>
      </c>
      <c r="F44" s="271">
        <v>74.689431690054192</v>
      </c>
      <c r="G44" s="2201"/>
    </row>
    <row r="45" spans="1:7" s="20" customFormat="1">
      <c r="A45" s="2202">
        <v>1993.12</v>
      </c>
      <c r="B45" s="270">
        <v>76.689984377104651</v>
      </c>
      <c r="C45" s="274">
        <v>92.527714489858923</v>
      </c>
      <c r="D45" s="3230">
        <v>66.364511514300233</v>
      </c>
      <c r="E45" s="3230">
        <v>54.507321171968719</v>
      </c>
      <c r="F45" s="271">
        <v>74.587222108735745</v>
      </c>
      <c r="G45" s="2201"/>
    </row>
    <row r="46" spans="1:7" s="20" customFormat="1">
      <c r="A46" s="2202">
        <v>1994.01</v>
      </c>
      <c r="B46" s="270">
        <v>75.541517478414036</v>
      </c>
      <c r="C46" s="274">
        <v>93.396423608020385</v>
      </c>
      <c r="D46" s="3230">
        <v>66.479668925363455</v>
      </c>
      <c r="E46" s="3230">
        <v>37.561848146271309</v>
      </c>
      <c r="F46" s="271">
        <v>73.695534734327552</v>
      </c>
      <c r="G46" s="2201"/>
    </row>
    <row r="47" spans="1:7" s="20" customFormat="1">
      <c r="A47" s="2202">
        <v>1994.02</v>
      </c>
      <c r="B47" s="270">
        <v>76.070039199987761</v>
      </c>
      <c r="C47" s="274">
        <v>92.966804453846095</v>
      </c>
      <c r="D47" s="3230">
        <v>66.70940319305555</v>
      </c>
      <c r="E47" s="3230">
        <v>40.907174028782514</v>
      </c>
      <c r="F47" s="271">
        <v>74.61438495348952</v>
      </c>
      <c r="G47" s="2201"/>
    </row>
    <row r="48" spans="1:7" s="20" customFormat="1">
      <c r="A48" s="2202">
        <v>1994.03</v>
      </c>
      <c r="B48" s="270">
        <v>77.123683344709761</v>
      </c>
      <c r="C48" s="274">
        <v>95.082677642735078</v>
      </c>
      <c r="D48" s="3230">
        <v>66.84358107464935</v>
      </c>
      <c r="E48" s="3230">
        <v>41.546590112110984</v>
      </c>
      <c r="F48" s="271">
        <v>76.254325877904776</v>
      </c>
      <c r="G48" s="2201"/>
    </row>
    <row r="49" spans="1:7" s="20" customFormat="1">
      <c r="A49" s="2202">
        <v>1994.04</v>
      </c>
      <c r="B49" s="270">
        <v>76.848915719202694</v>
      </c>
      <c r="C49" s="274">
        <v>93.690869109685607</v>
      </c>
      <c r="D49" s="3230">
        <v>66.771879517837732</v>
      </c>
      <c r="E49" s="3230">
        <v>41.851175279313615</v>
      </c>
      <c r="F49" s="271">
        <v>76.220350268285344</v>
      </c>
      <c r="G49" s="2201"/>
    </row>
    <row r="50" spans="1:7" s="20" customFormat="1">
      <c r="A50" s="2202">
        <v>1994.05</v>
      </c>
      <c r="B50" s="270">
        <v>77.623683910245546</v>
      </c>
      <c r="C50" s="274">
        <v>94.030249681681937</v>
      </c>
      <c r="D50" s="3230">
        <v>66.586371539496341</v>
      </c>
      <c r="E50" s="3230">
        <v>42.604172026147005</v>
      </c>
      <c r="F50" s="271">
        <v>77.842270376749426</v>
      </c>
      <c r="G50" s="2201"/>
    </row>
    <row r="51" spans="1:7" s="20" customFormat="1">
      <c r="A51" s="2202">
        <v>1994.06</v>
      </c>
      <c r="B51" s="270">
        <v>78.272918788431809</v>
      </c>
      <c r="C51" s="274">
        <v>95.597560116655444</v>
      </c>
      <c r="D51" s="3230">
        <v>66.554505483446135</v>
      </c>
      <c r="E51" s="3230">
        <v>43.192985859676071</v>
      </c>
      <c r="F51" s="271">
        <v>78.812795908709546</v>
      </c>
      <c r="G51" s="2201"/>
    </row>
    <row r="52" spans="1:7" s="20" customFormat="1">
      <c r="A52" s="2202">
        <v>1994.07</v>
      </c>
      <c r="B52" s="270">
        <v>78.25058225653693</v>
      </c>
      <c r="C52" s="274">
        <v>91.157996978097245</v>
      </c>
      <c r="D52" s="3230">
        <v>66.123908095225502</v>
      </c>
      <c r="E52" s="3230">
        <v>44.072339085263508</v>
      </c>
      <c r="F52" s="271">
        <v>80.989665920334204</v>
      </c>
      <c r="G52" s="2201"/>
    </row>
    <row r="53" spans="1:7" s="20" customFormat="1">
      <c r="A53" s="2202">
        <v>1994.08</v>
      </c>
      <c r="B53" s="270">
        <v>79.408928503117295</v>
      </c>
      <c r="C53" s="274">
        <v>95.579905480720413</v>
      </c>
      <c r="D53" s="3230">
        <v>66.254575153721532</v>
      </c>
      <c r="E53" s="3230">
        <v>44.913026928900443</v>
      </c>
      <c r="F53" s="271">
        <v>81.057960593770716</v>
      </c>
      <c r="G53" s="2201"/>
    </row>
    <row r="54" spans="1:7" s="20" customFormat="1">
      <c r="A54" s="2202">
        <v>1994.09</v>
      </c>
      <c r="B54" s="270">
        <v>80.404300349115175</v>
      </c>
      <c r="C54" s="274">
        <v>100.18902732420564</v>
      </c>
      <c r="D54" s="3230">
        <v>65.980871495951718</v>
      </c>
      <c r="E54" s="3230">
        <v>46.089171860102859</v>
      </c>
      <c r="F54" s="271">
        <v>81.440565744741534</v>
      </c>
      <c r="G54" s="2201"/>
    </row>
    <row r="55" spans="1:7" s="20" customFormat="1">
      <c r="A55" s="2202">
        <v>1994.1</v>
      </c>
      <c r="B55" s="270">
        <v>82.04726522136059</v>
      </c>
      <c r="C55" s="274">
        <v>104.78688165352588</v>
      </c>
      <c r="D55" s="3230">
        <v>65.814140280012708</v>
      </c>
      <c r="E55" s="3230">
        <v>46.849644596809341</v>
      </c>
      <c r="F55" s="271">
        <v>82.750813701987539</v>
      </c>
      <c r="G55" s="2201"/>
    </row>
    <row r="56" spans="1:7" s="20" customFormat="1">
      <c r="A56" s="2202">
        <v>1994.11</v>
      </c>
      <c r="B56" s="270">
        <v>82.081901728230363</v>
      </c>
      <c r="C56" s="274">
        <v>108.03250922213354</v>
      </c>
      <c r="D56" s="3230">
        <v>65.753499613795967</v>
      </c>
      <c r="E56" s="3230">
        <v>47.543711839019622</v>
      </c>
      <c r="F56" s="271">
        <v>81.490439633680083</v>
      </c>
      <c r="G56" s="2201"/>
    </row>
    <row r="57" spans="1:7" s="20" customFormat="1">
      <c r="A57" s="2202">
        <v>1994.12</v>
      </c>
      <c r="B57" s="270">
        <v>81.197585220616119</v>
      </c>
      <c r="C57" s="274">
        <v>108.53593496799104</v>
      </c>
      <c r="D57" s="3230">
        <v>65.610847422571041</v>
      </c>
      <c r="E57" s="3230">
        <v>48.546339397944259</v>
      </c>
      <c r="F57" s="271">
        <v>79.5418626888913</v>
      </c>
      <c r="G57" s="2201"/>
    </row>
    <row r="58" spans="1:7" s="20" customFormat="1">
      <c r="A58" s="2202">
        <v>1995.01</v>
      </c>
      <c r="B58" s="270">
        <v>81.089680833584325</v>
      </c>
      <c r="C58" s="274">
        <v>109.20776972382978</v>
      </c>
      <c r="D58" s="3230">
        <v>64.932890819800519</v>
      </c>
      <c r="E58" s="3230">
        <v>48.652132858631362</v>
      </c>
      <c r="F58" s="271">
        <v>80.328181082961336</v>
      </c>
      <c r="G58" s="2201"/>
    </row>
    <row r="59" spans="1:7" s="20" customFormat="1">
      <c r="A59" s="2202">
        <v>1995.02</v>
      </c>
      <c r="B59" s="270">
        <v>82.156595052967404</v>
      </c>
      <c r="C59" s="274">
        <v>111.44616215740548</v>
      </c>
      <c r="D59" s="3230">
        <v>65.390029200936738</v>
      </c>
      <c r="E59" s="3230">
        <v>50.003032319641754</v>
      </c>
      <c r="F59" s="271">
        <v>82.095309124103139</v>
      </c>
      <c r="G59" s="2201"/>
    </row>
    <row r="60" spans="1:7" s="20" customFormat="1">
      <c r="A60" s="2202">
        <v>1995.03</v>
      </c>
      <c r="B60" s="270">
        <v>83.566716541395635</v>
      </c>
      <c r="C60" s="274">
        <v>107.48551459845481</v>
      </c>
      <c r="D60" s="3230">
        <v>65.902805355776636</v>
      </c>
      <c r="E60" s="3230">
        <v>50.396661119233499</v>
      </c>
      <c r="F60" s="271">
        <v>86.284975079245456</v>
      </c>
      <c r="G60" s="2201"/>
    </row>
    <row r="61" spans="1:7" s="20" customFormat="1">
      <c r="A61" s="2202">
        <v>1995.04</v>
      </c>
      <c r="B61" s="270">
        <v>84.738499015876656</v>
      </c>
      <c r="C61" s="274">
        <v>107.35957504491122</v>
      </c>
      <c r="D61" s="3230">
        <v>65.819424848253746</v>
      </c>
      <c r="E61" s="3230">
        <v>50.170910465022963</v>
      </c>
      <c r="F61" s="271">
        <v>87.493055536366029</v>
      </c>
      <c r="G61" s="2201"/>
    </row>
    <row r="62" spans="1:7" s="20" customFormat="1">
      <c r="A62" s="2202">
        <v>1995.05</v>
      </c>
      <c r="B62" s="270">
        <v>85.349917106956937</v>
      </c>
      <c r="C62" s="274">
        <v>111.50030895019734</v>
      </c>
      <c r="D62" s="3230">
        <v>65.935545317917359</v>
      </c>
      <c r="E62" s="3230">
        <v>51.449693489403579</v>
      </c>
      <c r="F62" s="271">
        <v>86.404125469071218</v>
      </c>
      <c r="G62" s="2201"/>
    </row>
    <row r="63" spans="1:7" s="20" customFormat="1">
      <c r="A63" s="2202">
        <v>1995.06</v>
      </c>
      <c r="B63" s="270">
        <v>86.099001527230129</v>
      </c>
      <c r="C63" s="274">
        <v>112.10704991831409</v>
      </c>
      <c r="D63" s="3230">
        <v>66.20185557447931</v>
      </c>
      <c r="E63" s="3230">
        <v>52.285530979924111</v>
      </c>
      <c r="F63" s="271">
        <v>87.820818819117719</v>
      </c>
      <c r="G63" s="2201"/>
    </row>
    <row r="64" spans="1:7" s="20" customFormat="1">
      <c r="A64" s="2202">
        <v>1995.07</v>
      </c>
      <c r="B64" s="270">
        <v>86.131133011387206</v>
      </c>
      <c r="C64" s="274">
        <v>112.51598899136059</v>
      </c>
      <c r="D64" s="3230">
        <v>65.934382510754389</v>
      </c>
      <c r="E64" s="3230">
        <v>52.251906560121711</v>
      </c>
      <c r="F64" s="271">
        <v>88.438564263384592</v>
      </c>
      <c r="G64" s="2201"/>
    </row>
    <row r="65" spans="1:7" s="20" customFormat="1">
      <c r="A65" s="2202">
        <v>1995.08</v>
      </c>
      <c r="B65" s="270">
        <v>84.923690619091431</v>
      </c>
      <c r="C65" s="274">
        <v>112.32265830239231</v>
      </c>
      <c r="D65" s="3230">
        <v>66.267863518184299</v>
      </c>
      <c r="E65" s="3230">
        <v>52.778387224644483</v>
      </c>
      <c r="F65" s="271">
        <v>86.201619473287266</v>
      </c>
      <c r="G65" s="2201"/>
    </row>
    <row r="66" spans="1:7" s="20" customFormat="1">
      <c r="A66" s="2202">
        <v>1995.09</v>
      </c>
      <c r="B66" s="270">
        <v>84.30432278040962</v>
      </c>
      <c r="C66" s="274">
        <v>111.97116839094524</v>
      </c>
      <c r="D66" s="3230">
        <v>66.28893516103804</v>
      </c>
      <c r="E66" s="3230">
        <v>53.004507395437074</v>
      </c>
      <c r="F66" s="271">
        <v>85.195116884872746</v>
      </c>
      <c r="G66" s="2201"/>
    </row>
    <row r="67" spans="1:7" s="20" customFormat="1">
      <c r="A67" s="2202">
        <v>1995.1</v>
      </c>
      <c r="B67" s="270">
        <v>84.938983748296167</v>
      </c>
      <c r="C67" s="274">
        <v>112.19729380447129</v>
      </c>
      <c r="D67" s="3230">
        <v>66.279916165237083</v>
      </c>
      <c r="E67" s="3230">
        <v>53.258652845378883</v>
      </c>
      <c r="F67" s="271">
        <v>87.141120376468479</v>
      </c>
      <c r="G67" s="2201"/>
    </row>
    <row r="68" spans="1:7" s="20" customFormat="1">
      <c r="A68" s="2202">
        <v>1995.11</v>
      </c>
      <c r="B68" s="270">
        <v>85.086937431204177</v>
      </c>
      <c r="C68" s="274">
        <v>113.66978867226229</v>
      </c>
      <c r="D68" s="3230">
        <v>66.388442648629791</v>
      </c>
      <c r="E68" s="3230">
        <v>53.753755394290522</v>
      </c>
      <c r="F68" s="271">
        <v>87.619996182112075</v>
      </c>
      <c r="G68" s="2201"/>
    </row>
    <row r="69" spans="1:7" s="20" customFormat="1">
      <c r="A69" s="2202">
        <v>1995.12</v>
      </c>
      <c r="B69" s="270">
        <v>84.895695217984837</v>
      </c>
      <c r="C69" s="274">
        <v>114.77099894724243</v>
      </c>
      <c r="D69" s="3230">
        <v>66.2780502907992</v>
      </c>
      <c r="E69" s="3230">
        <v>54.010293585621334</v>
      </c>
      <c r="F69" s="271">
        <v>86.666468315369571</v>
      </c>
      <c r="G69" s="2201"/>
    </row>
    <row r="70" spans="1:7">
      <c r="A70" s="2202">
        <v>1996.01</v>
      </c>
      <c r="B70" s="270">
        <v>83.80559759883721</v>
      </c>
      <c r="C70" s="274">
        <v>115.17604346290143</v>
      </c>
      <c r="D70" s="3230">
        <v>66.467409550916102</v>
      </c>
      <c r="E70" s="3230">
        <v>54.084994405101803</v>
      </c>
      <c r="F70" s="271">
        <v>85.736433571688053</v>
      </c>
      <c r="G70" s="2203"/>
    </row>
    <row r="71" spans="1:7">
      <c r="A71" s="2202">
        <v>1996.02</v>
      </c>
      <c r="B71" s="270">
        <v>84.789621404476236</v>
      </c>
      <c r="C71" s="274">
        <v>115.94620910368349</v>
      </c>
      <c r="D71" s="3230">
        <v>66.900022130042984</v>
      </c>
      <c r="E71" s="3230">
        <v>54.762560918420611</v>
      </c>
      <c r="F71" s="271">
        <v>86.140529849510585</v>
      </c>
      <c r="G71" s="2203"/>
    </row>
    <row r="72" spans="1:7">
      <c r="A72" s="2202">
        <v>1996.03</v>
      </c>
      <c r="B72" s="270">
        <v>85.326546715038802</v>
      </c>
      <c r="C72" s="274">
        <v>116.40987954116771</v>
      </c>
      <c r="D72" s="3230">
        <v>67.610325130917772</v>
      </c>
      <c r="E72" s="3230">
        <v>55.401914540572996</v>
      </c>
      <c r="F72" s="271">
        <v>86.525683951787272</v>
      </c>
      <c r="G72" s="2203"/>
    </row>
    <row r="73" spans="1:7">
      <c r="A73" s="2202">
        <v>1996.04</v>
      </c>
      <c r="B73" s="270">
        <v>85.011069216637651</v>
      </c>
      <c r="C73" s="274">
        <v>117.41048149401163</v>
      </c>
      <c r="D73" s="3230">
        <v>67.869780818150076</v>
      </c>
      <c r="E73" s="3230">
        <v>55.614068956644374</v>
      </c>
      <c r="F73" s="271">
        <v>85.46276236974667</v>
      </c>
      <c r="G73" s="2203"/>
    </row>
    <row r="74" spans="1:7">
      <c r="A74" s="2202">
        <v>1996.05</v>
      </c>
      <c r="B74" s="270">
        <v>85.270188957475014</v>
      </c>
      <c r="C74" s="274">
        <v>118.24287922652829</v>
      </c>
      <c r="D74" s="3230">
        <v>68.060778742449656</v>
      </c>
      <c r="E74" s="3230">
        <v>56.637041697039635</v>
      </c>
      <c r="F74" s="271">
        <v>84.543448567839476</v>
      </c>
      <c r="G74" s="2203"/>
    </row>
    <row r="75" spans="1:7">
      <c r="A75" s="2202">
        <v>1996.06</v>
      </c>
      <c r="B75" s="270">
        <v>85.481685069532062</v>
      </c>
      <c r="C75" s="274">
        <v>118.93237161824867</v>
      </c>
      <c r="D75" s="3230">
        <v>68.102469459863002</v>
      </c>
      <c r="E75" s="3230">
        <v>57.026049617143002</v>
      </c>
      <c r="F75" s="271">
        <v>84.819310593921685</v>
      </c>
      <c r="G75" s="2203"/>
    </row>
    <row r="76" spans="1:7">
      <c r="A76" s="2202">
        <v>1996.07</v>
      </c>
      <c r="B76" s="270">
        <v>85.915435874792038</v>
      </c>
      <c r="C76" s="274">
        <v>118.88592473682873</v>
      </c>
      <c r="D76" s="3230">
        <v>67.864863128184055</v>
      </c>
      <c r="E76" s="3230">
        <v>56.784337009072367</v>
      </c>
      <c r="F76" s="271">
        <v>85.686232513643375</v>
      </c>
      <c r="G76" s="2203"/>
    </row>
    <row r="77" spans="1:7">
      <c r="A77" s="2202">
        <v>1996.08</v>
      </c>
      <c r="B77" s="270">
        <v>86.015885367075256</v>
      </c>
      <c r="C77" s="274">
        <v>118.77968996271575</v>
      </c>
      <c r="D77" s="3230">
        <v>68.047267629378865</v>
      </c>
      <c r="E77" s="3230">
        <v>57.0416773395837</v>
      </c>
      <c r="F77" s="271">
        <v>86.632261101992412</v>
      </c>
      <c r="G77" s="2203"/>
    </row>
    <row r="78" spans="1:7">
      <c r="A78" s="2202">
        <v>1996.09</v>
      </c>
      <c r="B78" s="270">
        <v>85.174086071855243</v>
      </c>
      <c r="C78" s="274">
        <v>118.02045009391459</v>
      </c>
      <c r="D78" s="3230">
        <v>68.139844558665061</v>
      </c>
      <c r="E78" s="3230">
        <v>57.22911172755645</v>
      </c>
      <c r="F78" s="271">
        <v>85.583745036491663</v>
      </c>
      <c r="G78" s="2203"/>
    </row>
    <row r="79" spans="1:7">
      <c r="A79" s="2202">
        <v>1996.1</v>
      </c>
      <c r="B79" s="270">
        <v>84.878784934578761</v>
      </c>
      <c r="C79" s="274">
        <v>117.18089481507867</v>
      </c>
      <c r="D79" s="3230">
        <v>68.012915244535805</v>
      </c>
      <c r="E79" s="3230">
        <v>57.04687326396617</v>
      </c>
      <c r="F79" s="271">
        <v>84.301921426322934</v>
      </c>
      <c r="G79" s="2203"/>
    </row>
    <row r="80" spans="1:7">
      <c r="A80" s="2202">
        <v>1996.11</v>
      </c>
      <c r="B80" s="270">
        <v>84.710942922900912</v>
      </c>
      <c r="C80" s="274">
        <v>117.13573758070169</v>
      </c>
      <c r="D80" s="3230">
        <v>68.247810009745052</v>
      </c>
      <c r="E80" s="3230">
        <v>57.275298410170244</v>
      </c>
      <c r="F80" s="271">
        <v>85.315582382995402</v>
      </c>
      <c r="G80" s="2203"/>
    </row>
    <row r="81" spans="1:9" ht="13.5" thickBot="1">
      <c r="A81" s="2202">
        <v>1996.12</v>
      </c>
      <c r="B81" s="270">
        <v>84.629028660022698</v>
      </c>
      <c r="C81" s="274">
        <v>117.17213484178987</v>
      </c>
      <c r="D81" s="3230">
        <v>68.442924967301238</v>
      </c>
      <c r="E81" s="3230">
        <v>57.662408921587186</v>
      </c>
      <c r="F81" s="271">
        <v>83.77982996956483</v>
      </c>
      <c r="G81" s="2203"/>
      <c r="H81" s="2204"/>
      <c r="I81" s="2204"/>
    </row>
    <row r="82" spans="1:9">
      <c r="A82" s="2202">
        <v>1997.01</v>
      </c>
      <c r="B82" s="208">
        <v>85.383664898648618</v>
      </c>
      <c r="C82" s="929">
        <v>120.29376659855224</v>
      </c>
      <c r="D82" s="932">
        <v>70.202916882579785</v>
      </c>
      <c r="E82" s="932">
        <v>58.82225251443792</v>
      </c>
      <c r="F82" s="272">
        <v>85.778839506847206</v>
      </c>
      <c r="G82" s="2203"/>
      <c r="H82" s="2205"/>
      <c r="I82" s="2206"/>
    </row>
    <row r="83" spans="1:9">
      <c r="A83" s="2202">
        <v>1997.02</v>
      </c>
      <c r="B83" s="390">
        <v>84.041747508165273</v>
      </c>
      <c r="C83" s="391">
        <v>120.04762927622339</v>
      </c>
      <c r="D83" s="3231">
        <v>70.064503321015209</v>
      </c>
      <c r="E83" s="3231">
        <v>59.841290110803129</v>
      </c>
      <c r="F83" s="392">
        <v>81.596624991657919</v>
      </c>
      <c r="G83" s="2203"/>
      <c r="H83" s="2205"/>
      <c r="I83" s="2206"/>
    </row>
    <row r="84" spans="1:9">
      <c r="A84" s="2202">
        <v>1997.03</v>
      </c>
      <c r="B84" s="390">
        <v>83.801701561108317</v>
      </c>
      <c r="C84" s="391">
        <v>119.82477122809016</v>
      </c>
      <c r="D84" s="3231">
        <v>70.176494997567787</v>
      </c>
      <c r="E84" s="3231">
        <v>59.818303694161081</v>
      </c>
      <c r="F84" s="392">
        <v>80.64524752515976</v>
      </c>
      <c r="G84" s="2203"/>
      <c r="H84" s="2205"/>
      <c r="I84" s="2206"/>
    </row>
    <row r="85" spans="1:9">
      <c r="A85" s="2202">
        <v>1997.04</v>
      </c>
      <c r="B85" s="390">
        <v>84.058682654334604</v>
      </c>
      <c r="C85" s="391">
        <v>120.70659777256759</v>
      </c>
      <c r="D85" s="3231">
        <v>70.509440527144122</v>
      </c>
      <c r="E85" s="3231">
        <v>59.656265105097717</v>
      </c>
      <c r="F85" s="392">
        <v>80.4016065971784</v>
      </c>
      <c r="G85" s="2203"/>
      <c r="H85" s="2205"/>
      <c r="I85" s="2206"/>
    </row>
    <row r="86" spans="1:9">
      <c r="A86" s="2202">
        <v>1997.05</v>
      </c>
      <c r="B86" s="390">
        <v>84.526287555861543</v>
      </c>
      <c r="C86" s="391">
        <v>120.88318608720378</v>
      </c>
      <c r="D86" s="3231">
        <v>70.698458464598531</v>
      </c>
      <c r="E86" s="3231">
        <v>60.117392616101263</v>
      </c>
      <c r="F86" s="392">
        <v>80.972139185467753</v>
      </c>
      <c r="G86" s="2203"/>
      <c r="H86" s="2205"/>
      <c r="I86" s="2206"/>
    </row>
    <row r="87" spans="1:9">
      <c r="A87" s="2202">
        <v>1997.06</v>
      </c>
      <c r="B87" s="390">
        <v>84.291032721652343</v>
      </c>
      <c r="C87" s="391">
        <v>120.62946786704167</v>
      </c>
      <c r="D87" s="3231">
        <v>70.729082446828883</v>
      </c>
      <c r="E87" s="3231">
        <v>60.018689382393696</v>
      </c>
      <c r="F87" s="392">
        <v>79.992173116519467</v>
      </c>
      <c r="G87" s="2203"/>
      <c r="H87" s="2205"/>
      <c r="I87" s="2206"/>
    </row>
    <row r="88" spans="1:9">
      <c r="A88" s="2202">
        <v>1997.07</v>
      </c>
      <c r="B88" s="390">
        <v>83.385035962160273</v>
      </c>
      <c r="C88" s="391">
        <v>120.1544481010795</v>
      </c>
      <c r="D88" s="3231">
        <v>70.677993632056243</v>
      </c>
      <c r="E88" s="3231">
        <v>60.000134325374212</v>
      </c>
      <c r="F88" s="392">
        <v>77.281208049860695</v>
      </c>
      <c r="G88" s="2203"/>
      <c r="H88" s="2205"/>
      <c r="I88" s="2206"/>
    </row>
    <row r="89" spans="1:9">
      <c r="A89" s="2202">
        <v>1997.08</v>
      </c>
      <c r="B89" s="390">
        <v>82.443648453186555</v>
      </c>
      <c r="C89" s="391">
        <v>119.21532770307623</v>
      </c>
      <c r="D89" s="3231">
        <v>70.690260271573024</v>
      </c>
      <c r="E89" s="3231">
        <v>60.5472343193968</v>
      </c>
      <c r="F89" s="392">
        <v>75.228747049220416</v>
      </c>
      <c r="G89" s="2203"/>
      <c r="H89" s="2205"/>
      <c r="I89" s="2206"/>
    </row>
    <row r="90" spans="1:9">
      <c r="A90" s="2202">
        <v>1997.09</v>
      </c>
      <c r="B90" s="390">
        <v>83.021115889422148</v>
      </c>
      <c r="C90" s="391">
        <v>118.56603238460347</v>
      </c>
      <c r="D90" s="3231">
        <v>70.846678469563386</v>
      </c>
      <c r="E90" s="3231">
        <v>60.533721122610011</v>
      </c>
      <c r="F90" s="392">
        <v>77.479689129323987</v>
      </c>
      <c r="G90" s="2203"/>
      <c r="H90" s="2205"/>
      <c r="I90" s="2206"/>
    </row>
    <row r="91" spans="1:9">
      <c r="A91" s="2202">
        <v>1997.1</v>
      </c>
      <c r="B91" s="390">
        <v>83.473335888790032</v>
      </c>
      <c r="C91" s="391">
        <v>118.21836651830064</v>
      </c>
      <c r="D91" s="3231">
        <v>71.102199417043281</v>
      </c>
      <c r="E91" s="3231">
        <v>59.452592025538294</v>
      </c>
      <c r="F91" s="392">
        <v>78.732057231062129</v>
      </c>
      <c r="G91" s="2203"/>
      <c r="H91" s="2205"/>
      <c r="I91" s="2206"/>
    </row>
    <row r="92" spans="1:9">
      <c r="A92" s="2202">
        <v>1997.11</v>
      </c>
      <c r="B92" s="390">
        <v>83.670298782161836</v>
      </c>
      <c r="C92" s="391">
        <v>117.82534711497108</v>
      </c>
      <c r="D92" s="3231">
        <v>71.361152033236337</v>
      </c>
      <c r="E92" s="3231">
        <v>58.567747663973002</v>
      </c>
      <c r="F92" s="392">
        <v>80.143789611503323</v>
      </c>
      <c r="G92" s="2203"/>
      <c r="H92" s="2205"/>
      <c r="I92" s="2206"/>
    </row>
    <row r="93" spans="1:9">
      <c r="A93" s="2202">
        <v>1997.12</v>
      </c>
      <c r="B93" s="390">
        <v>82.906546260870016</v>
      </c>
      <c r="C93" s="391">
        <v>117.64676247140558</v>
      </c>
      <c r="D93" s="3231">
        <v>71.437656426943718</v>
      </c>
      <c r="E93" s="3231">
        <v>58.478841980074854</v>
      </c>
      <c r="F93" s="392">
        <v>78.216715304862078</v>
      </c>
      <c r="G93" s="2203"/>
      <c r="H93" s="2205"/>
      <c r="I93" s="2206"/>
    </row>
    <row r="94" spans="1:9">
      <c r="A94" s="2202">
        <v>1998.01</v>
      </c>
      <c r="B94" s="390">
        <v>81.944550012536041</v>
      </c>
      <c r="C94" s="391">
        <v>117.24344895143263</v>
      </c>
      <c r="D94" s="3231">
        <v>71.215118310206435</v>
      </c>
      <c r="E94" s="3231">
        <v>58.905879470424921</v>
      </c>
      <c r="F94" s="392">
        <v>76.052219390795969</v>
      </c>
      <c r="G94" s="2203"/>
      <c r="H94" s="2205"/>
      <c r="I94" s="2206"/>
    </row>
    <row r="95" spans="1:9">
      <c r="A95" s="2202">
        <v>1998.02</v>
      </c>
      <c r="B95" s="390">
        <v>81.859609443593328</v>
      </c>
      <c r="C95" s="391">
        <v>116.520603424144</v>
      </c>
      <c r="D95" s="3231">
        <v>70.914017128514587</v>
      </c>
      <c r="E95" s="3231">
        <v>59.716017803922924</v>
      </c>
      <c r="F95" s="392">
        <v>75.920809704482835</v>
      </c>
      <c r="G95" s="2203"/>
      <c r="H95" s="2205"/>
      <c r="I95" s="2206"/>
    </row>
    <row r="96" spans="1:9">
      <c r="A96" s="2202">
        <v>1998.03</v>
      </c>
      <c r="B96" s="390">
        <v>81.3077788775296</v>
      </c>
      <c r="C96" s="391">
        <v>114.83009096741245</v>
      </c>
      <c r="D96" s="3231">
        <v>70.840998379588839</v>
      </c>
      <c r="E96" s="3231">
        <v>59.739584908499424</v>
      </c>
      <c r="F96" s="392">
        <v>75.417340971433987</v>
      </c>
      <c r="G96" s="2203"/>
      <c r="H96" s="2205"/>
      <c r="I96" s="2206"/>
    </row>
    <row r="97" spans="1:9">
      <c r="A97" s="2202">
        <v>1998.04</v>
      </c>
      <c r="B97" s="390">
        <v>81.748439650785215</v>
      </c>
      <c r="C97" s="391">
        <v>115.84935552112766</v>
      </c>
      <c r="D97" s="3231">
        <v>70.925142166416933</v>
      </c>
      <c r="E97" s="3231">
        <v>59.28909783143984</v>
      </c>
      <c r="F97" s="392">
        <v>76.062758202692208</v>
      </c>
      <c r="G97" s="2203"/>
      <c r="H97" s="2205"/>
      <c r="I97" s="2206"/>
    </row>
    <row r="98" spans="1:9">
      <c r="A98" s="2202">
        <v>1998.05</v>
      </c>
      <c r="B98" s="390">
        <v>82.240477848221275</v>
      </c>
      <c r="C98" s="391">
        <v>115.64653767675698</v>
      </c>
      <c r="D98" s="3231">
        <v>71.080376818836086</v>
      </c>
      <c r="E98" s="3231">
        <v>59.124194514851908</v>
      </c>
      <c r="F98" s="392">
        <v>77.95632926556307</v>
      </c>
      <c r="G98" s="2203"/>
      <c r="H98" s="2205"/>
      <c r="I98" s="2206"/>
    </row>
    <row r="99" spans="1:9">
      <c r="A99" s="2202">
        <v>1998.06</v>
      </c>
      <c r="B99" s="390">
        <v>81.768164900713771</v>
      </c>
      <c r="C99" s="391">
        <v>114.93427455116885</v>
      </c>
      <c r="D99" s="3231">
        <v>71.165064000493558</v>
      </c>
      <c r="E99" s="3231">
        <v>58.723060877840481</v>
      </c>
      <c r="F99" s="392">
        <v>77.320211065649488</v>
      </c>
      <c r="G99" s="2203"/>
      <c r="H99" s="2205"/>
      <c r="I99" s="2206"/>
    </row>
    <row r="100" spans="1:9">
      <c r="A100" s="2202">
        <v>1998.07</v>
      </c>
      <c r="B100" s="390">
        <v>81.336624687533799</v>
      </c>
      <c r="C100" s="391">
        <v>114.12515224876313</v>
      </c>
      <c r="D100" s="3231">
        <v>71.11726920668751</v>
      </c>
      <c r="E100" s="3231">
        <v>58.572589138421378</v>
      </c>
      <c r="F100" s="392">
        <v>76.845863529707884</v>
      </c>
      <c r="G100" s="2203"/>
      <c r="H100" s="2205"/>
      <c r="I100" s="2206"/>
    </row>
    <row r="101" spans="1:9">
      <c r="A101" s="2202">
        <v>1998.08</v>
      </c>
      <c r="B101" s="390">
        <v>80.937239675896265</v>
      </c>
      <c r="C101" s="391">
        <v>112.60325958769856</v>
      </c>
      <c r="D101" s="3231">
        <v>71.13189448881019</v>
      </c>
      <c r="E101" s="3231">
        <v>59.083265660882233</v>
      </c>
      <c r="F101" s="392">
        <v>77.197162635336696</v>
      </c>
      <c r="G101" s="2203"/>
      <c r="H101" s="2205"/>
      <c r="I101" s="2206"/>
    </row>
    <row r="102" spans="1:9">
      <c r="A102" s="2202">
        <v>1998.09</v>
      </c>
      <c r="B102" s="390">
        <v>81.946240525559929</v>
      </c>
      <c r="C102" s="391">
        <v>111.47293191571094</v>
      </c>
      <c r="D102" s="3231">
        <v>71.200985915569291</v>
      </c>
      <c r="E102" s="3231">
        <v>59.06588608732411</v>
      </c>
      <c r="F102" s="392">
        <v>81.166878605131203</v>
      </c>
      <c r="G102" s="2203"/>
      <c r="H102" s="2205"/>
      <c r="I102" s="2206"/>
    </row>
    <row r="103" spans="1:9">
      <c r="A103" s="2202">
        <v>1998.1</v>
      </c>
      <c r="B103" s="390">
        <v>83.085030239969399</v>
      </c>
      <c r="C103" s="391">
        <v>110.68355489172531</v>
      </c>
      <c r="D103" s="3231">
        <v>71.457727204467517</v>
      </c>
      <c r="E103" s="3231">
        <v>58.145938568075785</v>
      </c>
      <c r="F103" s="392">
        <v>84.355814672209448</v>
      </c>
      <c r="G103" s="2203"/>
      <c r="H103" s="2205"/>
      <c r="I103" s="2206"/>
    </row>
    <row r="104" spans="1:9">
      <c r="A104" s="2202">
        <v>1998.11</v>
      </c>
      <c r="B104" s="390">
        <v>82.690516250986192</v>
      </c>
      <c r="C104" s="391">
        <v>110.48245354419336</v>
      </c>
      <c r="D104" s="3231">
        <v>71.80249681121208</v>
      </c>
      <c r="E104" s="3231">
        <v>57.414687790491421</v>
      </c>
      <c r="F104" s="392">
        <v>82.314897126986793</v>
      </c>
      <c r="G104" s="2203"/>
      <c r="H104" s="2205"/>
      <c r="I104" s="2206"/>
    </row>
    <row r="105" spans="1:9">
      <c r="A105" s="2202">
        <v>1998.12</v>
      </c>
      <c r="B105" s="390">
        <v>82.815504534872474</v>
      </c>
      <c r="C105" s="391">
        <v>109.67261688453031</v>
      </c>
      <c r="D105" s="3231">
        <v>72.000283313378574</v>
      </c>
      <c r="E105" s="3231">
        <v>57.41637428971729</v>
      </c>
      <c r="F105" s="392">
        <v>83.040256643756663</v>
      </c>
      <c r="G105" s="2203"/>
      <c r="H105" s="2205"/>
      <c r="I105" s="2206"/>
    </row>
    <row r="106" spans="1:9">
      <c r="A106" s="2202">
        <v>1999.01</v>
      </c>
      <c r="B106" s="390">
        <v>78.255504667938425</v>
      </c>
      <c r="C106" s="391">
        <v>93.786745053717752</v>
      </c>
      <c r="D106" s="3231">
        <v>71.961661998792451</v>
      </c>
      <c r="E106" s="3231">
        <v>57.919854448719228</v>
      </c>
      <c r="F106" s="392">
        <v>81.901615668619371</v>
      </c>
      <c r="G106" s="2203"/>
      <c r="H106" s="2205"/>
      <c r="I106" s="2206"/>
    </row>
    <row r="107" spans="1:9">
      <c r="A107" s="2202">
        <v>1999.02</v>
      </c>
      <c r="B107" s="390">
        <v>70.306765810476023</v>
      </c>
      <c r="C107" s="391">
        <v>68.845910237023134</v>
      </c>
      <c r="D107" s="3231">
        <v>71.921288024927293</v>
      </c>
      <c r="E107" s="3231">
        <v>58.831869427251569</v>
      </c>
      <c r="F107" s="392">
        <v>79.005765014970819</v>
      </c>
      <c r="G107" s="2203"/>
      <c r="H107" s="2205"/>
      <c r="I107" s="2206"/>
    </row>
    <row r="108" spans="1:9">
      <c r="A108" s="2202">
        <v>1999.03</v>
      </c>
      <c r="B108" s="390">
        <v>70.867332107097027</v>
      </c>
      <c r="C108" s="391">
        <v>71.748420307908319</v>
      </c>
      <c r="D108" s="3231">
        <v>72.280404471234974</v>
      </c>
      <c r="E108" s="3231">
        <v>59.00168183998818</v>
      </c>
      <c r="F108" s="392">
        <v>77.441812321231311</v>
      </c>
      <c r="G108" s="2203"/>
      <c r="H108" s="2205"/>
      <c r="I108" s="2206"/>
    </row>
    <row r="109" spans="1:9">
      <c r="A109" s="2202">
        <v>1999.04</v>
      </c>
      <c r="B109" s="390">
        <v>73.692768847693529</v>
      </c>
      <c r="C109" s="391">
        <v>80.728500941961812</v>
      </c>
      <c r="D109" s="3231">
        <v>72.852461077227446</v>
      </c>
      <c r="E109" s="3231">
        <v>58.499663568233096</v>
      </c>
      <c r="F109" s="392">
        <v>76.845373437150627</v>
      </c>
      <c r="G109" s="2203"/>
      <c r="H109" s="2205"/>
      <c r="I109" s="2206"/>
    </row>
    <row r="110" spans="1:9">
      <c r="A110" s="2202">
        <v>1999.05</v>
      </c>
      <c r="B110" s="390">
        <v>74.453732271193985</v>
      </c>
      <c r="C110" s="391">
        <v>82.507807407949286</v>
      </c>
      <c r="D110" s="3231">
        <v>73.330943235041374</v>
      </c>
      <c r="E110" s="3231">
        <v>58.383570661740897</v>
      </c>
      <c r="F110" s="392">
        <v>77.130106897302852</v>
      </c>
      <c r="G110" s="2203"/>
      <c r="H110" s="2205"/>
      <c r="I110" s="2206"/>
    </row>
    <row r="111" spans="1:9">
      <c r="A111" s="2202">
        <v>1999.06</v>
      </c>
      <c r="B111" s="390">
        <v>73.186163061022583</v>
      </c>
      <c r="C111" s="391">
        <v>79.428829634548634</v>
      </c>
      <c r="D111" s="3231">
        <v>73.529951225289636</v>
      </c>
      <c r="E111" s="3231">
        <v>58.204355052541089</v>
      </c>
      <c r="F111" s="392">
        <v>75.800883063891447</v>
      </c>
      <c r="G111" s="2203"/>
      <c r="H111" s="2205"/>
      <c r="I111" s="2206"/>
    </row>
    <row r="112" spans="1:9">
      <c r="A112" s="2202">
        <v>1999.07</v>
      </c>
      <c r="B112" s="390">
        <v>72.336083413315478</v>
      </c>
      <c r="C112" s="391">
        <v>77.864393782549101</v>
      </c>
      <c r="D112" s="3231">
        <v>73.621394238572393</v>
      </c>
      <c r="E112" s="3231">
        <v>58.393498414686249</v>
      </c>
      <c r="F112" s="392">
        <v>74.816911521228619</v>
      </c>
      <c r="G112" s="2203"/>
      <c r="H112" s="2205"/>
      <c r="I112" s="2206"/>
    </row>
    <row r="113" spans="1:9">
      <c r="A113" s="2202">
        <v>1999.08</v>
      </c>
      <c r="B113" s="390">
        <v>72.317771986708038</v>
      </c>
      <c r="C113" s="391">
        <v>74.874481993553346</v>
      </c>
      <c r="D113" s="3231">
        <v>73.940307666676347</v>
      </c>
      <c r="E113" s="3231">
        <v>59.298679068535655</v>
      </c>
      <c r="F113" s="392">
        <v>76.80198473099766</v>
      </c>
      <c r="G113" s="2203"/>
      <c r="H113" s="2205"/>
      <c r="I113" s="2206"/>
    </row>
    <row r="114" spans="1:9">
      <c r="A114" s="2202">
        <v>1999.09</v>
      </c>
      <c r="B114" s="390">
        <v>72.552168427137829</v>
      </c>
      <c r="C114" s="391">
        <v>75.409821247472777</v>
      </c>
      <c r="D114" s="3231">
        <v>74.398275893029464</v>
      </c>
      <c r="E114" s="3231">
        <v>59.622795201165701</v>
      </c>
      <c r="F114" s="392">
        <v>76.316704470931882</v>
      </c>
      <c r="G114" s="2203"/>
      <c r="H114" s="2205"/>
      <c r="I114" s="2206"/>
    </row>
    <row r="115" spans="1:9">
      <c r="A115" s="2202">
        <v>1999.1</v>
      </c>
      <c r="B115" s="390">
        <v>72.473479421911762</v>
      </c>
      <c r="C115" s="391">
        <v>73.308299743371649</v>
      </c>
      <c r="D115" s="3231">
        <v>74.695385381411157</v>
      </c>
      <c r="E115" s="3231">
        <v>58.832005474154272</v>
      </c>
      <c r="F115" s="392">
        <v>77.852913272697933</v>
      </c>
      <c r="G115" s="2203"/>
      <c r="H115" s="2205"/>
      <c r="I115" s="2206"/>
    </row>
    <row r="116" spans="1:9">
      <c r="A116" s="2202">
        <v>1999.11</v>
      </c>
      <c r="B116" s="390">
        <v>72.304599970501826</v>
      </c>
      <c r="C116" s="391">
        <v>75.064497652949953</v>
      </c>
      <c r="D116" s="3231">
        <v>74.957139228159662</v>
      </c>
      <c r="E116" s="3231">
        <v>57.978784406871554</v>
      </c>
      <c r="F116" s="392">
        <v>75.359073982394705</v>
      </c>
      <c r="G116" s="2203"/>
      <c r="H116" s="2205"/>
      <c r="I116" s="2206"/>
    </row>
    <row r="117" spans="1:9">
      <c r="A117" s="2202">
        <v>1999.12</v>
      </c>
      <c r="B117" s="390">
        <v>72.803663601673037</v>
      </c>
      <c r="C117" s="391">
        <v>77.434752116114339</v>
      </c>
      <c r="D117" s="3231">
        <v>75.252822662909679</v>
      </c>
      <c r="E117" s="3231">
        <v>57.89532657610151</v>
      </c>
      <c r="F117" s="392">
        <v>74.24924965936242</v>
      </c>
      <c r="G117" s="2203"/>
      <c r="H117" s="2205"/>
      <c r="I117" s="2206"/>
    </row>
    <row r="118" spans="1:9">
      <c r="A118" s="2202">
        <v>2000.01</v>
      </c>
      <c r="B118" s="390">
        <v>73.553449315509269</v>
      </c>
      <c r="C118" s="391">
        <v>80.368879311050733</v>
      </c>
      <c r="D118" s="3231">
        <v>75.149939911900944</v>
      </c>
      <c r="E118" s="3231">
        <v>58.526821076724843</v>
      </c>
      <c r="F118" s="392">
        <v>74.112651235746071</v>
      </c>
      <c r="G118" s="2203"/>
      <c r="H118" s="2205"/>
      <c r="I118" s="2206"/>
    </row>
    <row r="119" spans="1:9">
      <c r="A119" s="2202">
        <v>2000.02</v>
      </c>
      <c r="B119" s="390">
        <v>73.332872682085679</v>
      </c>
      <c r="C119" s="391">
        <v>82.317959443007666</v>
      </c>
      <c r="D119" s="3231">
        <v>75.110194430956625</v>
      </c>
      <c r="E119" s="3231">
        <v>59.802097713108964</v>
      </c>
      <c r="F119" s="392">
        <v>71.767420738309255</v>
      </c>
      <c r="G119" s="2203"/>
      <c r="H119" s="2205"/>
      <c r="I119" s="2206"/>
    </row>
    <row r="120" spans="1:9">
      <c r="A120" s="2202">
        <v>2000.03</v>
      </c>
      <c r="B120" s="390">
        <v>73.684120099938056</v>
      </c>
      <c r="C120" s="391">
        <v>83.278814523444723</v>
      </c>
      <c r="D120" s="3231">
        <v>75.693658861679609</v>
      </c>
      <c r="E120" s="3231">
        <v>59.843853062645763</v>
      </c>
      <c r="F120" s="392">
        <v>70.953361270499599</v>
      </c>
      <c r="G120" s="2203"/>
      <c r="H120" s="2205"/>
      <c r="I120" s="2206"/>
    </row>
    <row r="121" spans="1:9">
      <c r="A121" s="2202">
        <v>2000.04</v>
      </c>
      <c r="B121" s="390">
        <v>73.634999745415783</v>
      </c>
      <c r="C121" s="391">
        <v>83.268610877322871</v>
      </c>
      <c r="D121" s="3231">
        <v>76.124472481874122</v>
      </c>
      <c r="E121" s="3231">
        <v>58.982012192575702</v>
      </c>
      <c r="F121" s="392">
        <v>69.937394816767664</v>
      </c>
      <c r="G121" s="2203"/>
      <c r="H121" s="2205"/>
      <c r="I121" s="2206"/>
    </row>
    <row r="122" spans="1:9">
      <c r="A122" s="2202">
        <v>2000.05</v>
      </c>
      <c r="B122" s="390">
        <v>72.685902128935012</v>
      </c>
      <c r="C122" s="391">
        <v>83.275159863703266</v>
      </c>
      <c r="D122" s="3231">
        <v>76.366755323125801</v>
      </c>
      <c r="E122" s="3231">
        <v>58.93189314212551</v>
      </c>
      <c r="F122" s="392">
        <v>67.184796116857683</v>
      </c>
      <c r="G122" s="2203"/>
      <c r="H122" s="2205"/>
      <c r="I122" s="2206"/>
    </row>
    <row r="123" spans="1:9">
      <c r="A123" s="2202">
        <v>2000.06</v>
      </c>
      <c r="B123" s="390">
        <v>73.771005793448566</v>
      </c>
      <c r="C123" s="391">
        <v>82.884418427109992</v>
      </c>
      <c r="D123" s="3231">
        <v>76.880075489151849</v>
      </c>
      <c r="E123" s="3231">
        <v>59.016117782773328</v>
      </c>
      <c r="F123" s="392">
        <v>70.793167914778664</v>
      </c>
      <c r="G123" s="2203"/>
      <c r="H123" s="2205"/>
      <c r="I123" s="2206"/>
    </row>
    <row r="124" spans="1:9">
      <c r="A124" s="2202">
        <v>2000.07</v>
      </c>
      <c r="B124" s="390">
        <v>73.579399989922763</v>
      </c>
      <c r="C124" s="391">
        <v>83.160267446538754</v>
      </c>
      <c r="D124" s="3231">
        <v>77.108508046950007</v>
      </c>
      <c r="E124" s="3231">
        <v>59.280653802970349</v>
      </c>
      <c r="F124" s="392">
        <v>70.219202334834321</v>
      </c>
      <c r="G124" s="2203"/>
      <c r="H124" s="2205"/>
      <c r="I124" s="2206"/>
    </row>
    <row r="125" spans="1:9">
      <c r="A125" s="2202">
        <v>2000.08</v>
      </c>
      <c r="B125" s="390">
        <v>73.246042185623665</v>
      </c>
      <c r="C125" s="391">
        <v>85.127942690641859</v>
      </c>
      <c r="D125" s="3231">
        <v>77.14073330339086</v>
      </c>
      <c r="E125" s="3231">
        <v>60.009717118058774</v>
      </c>
      <c r="F125" s="392">
        <v>67.555770336724976</v>
      </c>
      <c r="G125" s="2203"/>
      <c r="H125" s="2205"/>
      <c r="I125" s="2206"/>
    </row>
    <row r="126" spans="1:9">
      <c r="A126" s="2202">
        <v>2000.09</v>
      </c>
      <c r="B126" s="390">
        <v>72.406137537454796</v>
      </c>
      <c r="C126" s="391">
        <v>84.103391520958041</v>
      </c>
      <c r="D126" s="3231">
        <v>77.490460944011119</v>
      </c>
      <c r="E126" s="3231">
        <v>60.13441420391873</v>
      </c>
      <c r="F126" s="392">
        <v>65.412687482934103</v>
      </c>
      <c r="G126" s="2203"/>
      <c r="H126" s="2205"/>
      <c r="I126" s="2206"/>
    </row>
    <row r="127" spans="1:9">
      <c r="A127" s="2202">
        <v>2000.1</v>
      </c>
      <c r="B127" s="390">
        <v>71.716390237914339</v>
      </c>
      <c r="C127" s="391">
        <v>82.865505534073719</v>
      </c>
      <c r="D127" s="3231">
        <v>77.738507993506417</v>
      </c>
      <c r="E127" s="3231">
        <v>59.178310869885635</v>
      </c>
      <c r="F127" s="392">
        <v>64.160886063400412</v>
      </c>
      <c r="G127" s="2203"/>
      <c r="H127" s="2205"/>
      <c r="I127" s="2206"/>
    </row>
    <row r="128" spans="1:9">
      <c r="A128" s="2202">
        <v>2000.11</v>
      </c>
      <c r="B128" s="390">
        <v>70.965974105634643</v>
      </c>
      <c r="C128" s="391">
        <v>79.783824266349484</v>
      </c>
      <c r="D128" s="3231">
        <v>78.001964323545806</v>
      </c>
      <c r="E128" s="3231">
        <v>58.720102979835922</v>
      </c>
      <c r="F128" s="392">
        <v>64.447202414732701</v>
      </c>
      <c r="G128" s="2203"/>
      <c r="H128" s="2205"/>
      <c r="I128" s="2206"/>
    </row>
    <row r="129" spans="1:9">
      <c r="A129" s="2202">
        <v>2000.12</v>
      </c>
      <c r="B129" s="390">
        <v>72.068764552723408</v>
      </c>
      <c r="C129" s="391">
        <v>79.547914696559488</v>
      </c>
      <c r="D129" s="3231">
        <v>78.394543723928649</v>
      </c>
      <c r="E129" s="3231">
        <v>59.139368034965663</v>
      </c>
      <c r="F129" s="392">
        <v>68.036332054294093</v>
      </c>
      <c r="G129" s="2203"/>
      <c r="H129" s="2205"/>
      <c r="I129" s="2206"/>
    </row>
    <row r="130" spans="1:9">
      <c r="A130" s="2202">
        <v>2001.01</v>
      </c>
      <c r="B130" s="390">
        <v>73.36917942798442</v>
      </c>
      <c r="C130" s="391">
        <v>80.477882566658366</v>
      </c>
      <c r="D130" s="3231">
        <v>78.726614618971936</v>
      </c>
      <c r="E130" s="3231">
        <v>60.001076795623504</v>
      </c>
      <c r="F130" s="392">
        <v>71.775634859866642</v>
      </c>
      <c r="G130" s="2203"/>
      <c r="H130" s="2205"/>
      <c r="I130" s="2206"/>
    </row>
    <row r="131" spans="1:9">
      <c r="A131" s="2202">
        <v>2001.02</v>
      </c>
      <c r="B131" s="390">
        <v>72.750626494401132</v>
      </c>
      <c r="C131" s="391">
        <v>79.435857372838953</v>
      </c>
      <c r="D131" s="3231">
        <v>79.097566175845785</v>
      </c>
      <c r="E131" s="3231">
        <v>61.134165465053975</v>
      </c>
      <c r="F131" s="392">
        <v>69.993861159435497</v>
      </c>
      <c r="G131" s="2203"/>
      <c r="H131" s="2205"/>
      <c r="I131" s="2206"/>
    </row>
    <row r="132" spans="1:9">
      <c r="A132" s="2202">
        <v>2001.03</v>
      </c>
      <c r="B132" s="390">
        <v>72.289193608521728</v>
      </c>
      <c r="C132" s="391">
        <v>78.745391008201793</v>
      </c>
      <c r="D132" s="3231">
        <v>79.213931413033862</v>
      </c>
      <c r="E132" s="3231">
        <v>60.915662134129605</v>
      </c>
      <c r="F132" s="392">
        <v>69.274842099027936</v>
      </c>
      <c r="G132" s="2203"/>
      <c r="H132" s="2205"/>
      <c r="I132" s="2206"/>
    </row>
    <row r="133" spans="1:9">
      <c r="A133" s="2202">
        <v>2001.04</v>
      </c>
      <c r="B133" s="390">
        <v>70.040532562531624</v>
      </c>
      <c r="C133" s="391">
        <v>73.02705862197908</v>
      </c>
      <c r="D133" s="3231">
        <v>78.960896876142044</v>
      </c>
      <c r="E133" s="3231">
        <v>60.073606507804442</v>
      </c>
      <c r="F133" s="392">
        <v>68.196896953195974</v>
      </c>
      <c r="G133" s="2203"/>
      <c r="H133" s="2205"/>
      <c r="I133" s="2206"/>
    </row>
    <row r="134" spans="1:9">
      <c r="A134" s="2202">
        <v>2001.05</v>
      </c>
      <c r="B134" s="390">
        <v>69.381512136680186</v>
      </c>
      <c r="C134" s="391">
        <v>72.000576419211285</v>
      </c>
      <c r="D134" s="3231">
        <v>78.955633379955785</v>
      </c>
      <c r="E134" s="3231">
        <v>59.910030737027817</v>
      </c>
      <c r="F134" s="392">
        <v>66.946495981727239</v>
      </c>
      <c r="G134" s="2203"/>
      <c r="H134" s="2205"/>
      <c r="I134" s="2206"/>
    </row>
    <row r="135" spans="1:9">
      <c r="A135" s="2202">
        <v>2001.06</v>
      </c>
      <c r="B135" s="390">
        <v>68.096584491861179</v>
      </c>
      <c r="C135" s="391">
        <v>68.777477760550013</v>
      </c>
      <c r="D135" s="3231">
        <v>79.516319622282793</v>
      </c>
      <c r="E135" s="3231">
        <v>59.961263477921563</v>
      </c>
      <c r="F135" s="392">
        <v>65.652841546169469</v>
      </c>
      <c r="G135" s="2203"/>
      <c r="H135" s="2205"/>
      <c r="I135" s="2206"/>
    </row>
    <row r="136" spans="1:9">
      <c r="A136" s="2202">
        <v>2001.07</v>
      </c>
      <c r="B136" s="390">
        <v>67.914579036241776</v>
      </c>
      <c r="C136" s="391">
        <v>67.900351253285436</v>
      </c>
      <c r="D136" s="3231">
        <v>79.945072619873045</v>
      </c>
      <c r="E136" s="3231">
        <v>60.58535508696621</v>
      </c>
      <c r="F136" s="392">
        <v>66.537503138060998</v>
      </c>
      <c r="G136" s="2203"/>
      <c r="H136" s="2205"/>
      <c r="I136" s="2206"/>
    </row>
    <row r="137" spans="1:9">
      <c r="A137" s="2202">
        <v>2001.08</v>
      </c>
      <c r="B137" s="390">
        <v>68.522012601538776</v>
      </c>
      <c r="C137" s="391">
        <v>66.892833576095455</v>
      </c>
      <c r="D137" s="3231">
        <v>80.151363355972933</v>
      </c>
      <c r="E137" s="3231">
        <v>61.472919795910109</v>
      </c>
      <c r="F137" s="392">
        <v>69.854734497143511</v>
      </c>
      <c r="G137" s="2203"/>
      <c r="H137" s="2205"/>
      <c r="I137" s="2206"/>
    </row>
    <row r="138" spans="1:9">
      <c r="A138" s="2202">
        <v>2001.09</v>
      </c>
      <c r="B138" s="390">
        <v>67.500462210274321</v>
      </c>
      <c r="C138" s="391">
        <v>62.988602432211223</v>
      </c>
      <c r="D138" s="3231">
        <v>80.486371579871658</v>
      </c>
      <c r="E138" s="3231">
        <v>61.120189878748164</v>
      </c>
      <c r="F138" s="392">
        <v>70.819056130647567</v>
      </c>
      <c r="G138" s="2203"/>
      <c r="H138" s="2205"/>
      <c r="I138" s="2206"/>
    </row>
    <row r="139" spans="1:9">
      <c r="A139" s="2202">
        <v>2001.1</v>
      </c>
      <c r="B139" s="390">
        <v>66.458501693396315</v>
      </c>
      <c r="C139" s="391">
        <v>60.559818752803899</v>
      </c>
      <c r="D139" s="3231">
        <v>80.736583917949773</v>
      </c>
      <c r="E139" s="3231">
        <v>60.092854838701882</v>
      </c>
      <c r="F139" s="392">
        <v>70.71126546978833</v>
      </c>
      <c r="G139" s="2203"/>
      <c r="H139" s="2205"/>
      <c r="I139" s="2206"/>
    </row>
    <row r="140" spans="1:9">
      <c r="A140" s="2202">
        <v>2001.11</v>
      </c>
      <c r="B140" s="390">
        <v>68.100159068095152</v>
      </c>
      <c r="C140" s="391">
        <v>65.748382888979307</v>
      </c>
      <c r="D140" s="3231">
        <v>80.910934276956098</v>
      </c>
      <c r="E140" s="3231">
        <v>59.679999461393585</v>
      </c>
      <c r="F140" s="392">
        <v>69.567038659967764</v>
      </c>
      <c r="G140" s="2203"/>
      <c r="H140" s="2205"/>
      <c r="I140" s="2206"/>
    </row>
    <row r="141" spans="1:9">
      <c r="A141" s="2202">
        <v>2001.12</v>
      </c>
      <c r="B141" s="390">
        <v>69.21320254505919</v>
      </c>
      <c r="C141" s="391">
        <v>68.023479556057339</v>
      </c>
      <c r="D141" s="3231">
        <v>81.02755522357873</v>
      </c>
      <c r="E141" s="3231">
        <v>59.90066234063741</v>
      </c>
      <c r="F141" s="392">
        <v>70.400087392601236</v>
      </c>
      <c r="G141" s="2203"/>
      <c r="H141" s="2205"/>
      <c r="I141" s="2206"/>
    </row>
    <row r="142" spans="1:9">
      <c r="A142" s="2202">
        <v>2002.01</v>
      </c>
      <c r="B142" s="390">
        <v>109.99825080751174</v>
      </c>
      <c r="C142" s="391">
        <v>114.60919142318531</v>
      </c>
      <c r="D142" s="3231">
        <v>128.12264415801363</v>
      </c>
      <c r="E142" s="3231">
        <v>76.059219560285499</v>
      </c>
      <c r="F142" s="392">
        <v>109.97237533885303</v>
      </c>
      <c r="G142" s="2203"/>
      <c r="H142" s="2205"/>
      <c r="I142" s="2206"/>
    </row>
    <row r="143" spans="1:9">
      <c r="A143" s="2202">
        <v>2002.02</v>
      </c>
      <c r="B143" s="390">
        <v>134.31282006704319</v>
      </c>
      <c r="C143" s="391">
        <v>140.02134152233404</v>
      </c>
      <c r="D143" s="3231">
        <v>156.87494169998826</v>
      </c>
      <c r="E143" s="3231">
        <v>103.6595573048439</v>
      </c>
      <c r="F143" s="392">
        <v>132.04232882618717</v>
      </c>
      <c r="G143" s="2203"/>
      <c r="H143" s="2205"/>
      <c r="I143" s="2206"/>
    </row>
    <row r="144" spans="1:9">
      <c r="A144" s="2202">
        <v>2002.03</v>
      </c>
      <c r="B144" s="390">
        <v>163.99912280245914</v>
      </c>
      <c r="C144" s="391">
        <v>171.19190642528386</v>
      </c>
      <c r="D144" s="3231">
        <v>188.82894958865705</v>
      </c>
      <c r="E144" s="3231">
        <v>137.85199490068936</v>
      </c>
      <c r="F144" s="392">
        <v>160.86697461217148</v>
      </c>
      <c r="G144" s="2203"/>
      <c r="H144" s="2205"/>
      <c r="I144" s="2206"/>
    </row>
    <row r="145" spans="1:9">
      <c r="A145" s="2202">
        <v>2002.04</v>
      </c>
      <c r="B145" s="390">
        <v>182.8022188036262</v>
      </c>
      <c r="C145" s="391">
        <v>192.98037225105307</v>
      </c>
      <c r="D145" s="3231">
        <v>208.76774049999116</v>
      </c>
      <c r="E145" s="3231">
        <v>153.26208953082281</v>
      </c>
      <c r="F145" s="392">
        <v>179.99180072008664</v>
      </c>
      <c r="G145" s="2203"/>
      <c r="H145" s="2205"/>
      <c r="I145" s="2206"/>
    </row>
    <row r="146" spans="1:9">
      <c r="A146" s="2202">
        <v>2002.05</v>
      </c>
      <c r="B146" s="390">
        <v>191.19498607465647</v>
      </c>
      <c r="C146" s="391">
        <v>191.49231800387409</v>
      </c>
      <c r="D146" s="3231">
        <v>220.86503605156148</v>
      </c>
      <c r="E146" s="3231">
        <v>161.44459135112265</v>
      </c>
      <c r="F146" s="392">
        <v>197.45156631050631</v>
      </c>
      <c r="G146" s="2203"/>
      <c r="H146" s="2205"/>
      <c r="I146" s="2206"/>
    </row>
    <row r="147" spans="1:9">
      <c r="A147" s="2202">
        <v>2002.06</v>
      </c>
      <c r="B147" s="390">
        <v>198.84868574319867</v>
      </c>
      <c r="C147" s="391">
        <v>185.88256635298796</v>
      </c>
      <c r="D147" s="3231">
        <v>233.61925590597446</v>
      </c>
      <c r="E147" s="3231">
        <v>170.95370430237037</v>
      </c>
      <c r="F147" s="392">
        <v>217.48836022307981</v>
      </c>
      <c r="G147" s="2203"/>
      <c r="H147" s="2205"/>
      <c r="I147" s="2206"/>
    </row>
    <row r="148" spans="1:9">
      <c r="A148" s="2202">
        <v>2002.07</v>
      </c>
      <c r="B148" s="390">
        <v>187.74231526084813</v>
      </c>
      <c r="C148" s="391">
        <v>166.47337737870859</v>
      </c>
      <c r="D148" s="3231">
        <v>224.13785633894946</v>
      </c>
      <c r="E148" s="3231">
        <v>165.81128483319807</v>
      </c>
      <c r="F148" s="392">
        <v>216.0037569422968</v>
      </c>
      <c r="G148" s="2203"/>
      <c r="H148" s="2205"/>
      <c r="I148" s="2206"/>
    </row>
    <row r="149" spans="1:9">
      <c r="A149" s="2202">
        <v>2002.08</v>
      </c>
      <c r="B149" s="390">
        <v>179.13383659078553</v>
      </c>
      <c r="C149" s="391">
        <v>153.66965883512262</v>
      </c>
      <c r="D149" s="3231">
        <v>219.25390408636846</v>
      </c>
      <c r="E149" s="3231">
        <v>163.89758186312625</v>
      </c>
      <c r="F149" s="392">
        <v>207.84930716863727</v>
      </c>
      <c r="G149" s="2203"/>
      <c r="H149" s="2205"/>
      <c r="I149" s="2206"/>
    </row>
    <row r="150" spans="1:9">
      <c r="A150" s="2202">
        <v>2002.09</v>
      </c>
      <c r="B150" s="390">
        <v>174.03119380604304</v>
      </c>
      <c r="C150" s="391">
        <v>144.8992403658859</v>
      </c>
      <c r="D150" s="3231">
        <v>217.3845317460146</v>
      </c>
      <c r="E150" s="3231">
        <v>160.79889377523131</v>
      </c>
      <c r="F150" s="392">
        <v>206.29959128325538</v>
      </c>
      <c r="G150" s="2203"/>
      <c r="H150" s="2205"/>
      <c r="I150" s="2206"/>
    </row>
    <row r="151" spans="1:9">
      <c r="A151" s="2202">
        <v>2002.1</v>
      </c>
      <c r="B151" s="390">
        <v>167.43030292563625</v>
      </c>
      <c r="C151" s="391">
        <v>125.92335992003316</v>
      </c>
      <c r="D151" s="3231">
        <v>216.97389361927483</v>
      </c>
      <c r="E151" s="3231">
        <v>156.93314701737654</v>
      </c>
      <c r="F151" s="392">
        <v>206.65158147541126</v>
      </c>
      <c r="G151" s="2203"/>
      <c r="H151" s="2205"/>
      <c r="I151" s="2206"/>
    </row>
    <row r="152" spans="1:9">
      <c r="A152" s="2202">
        <v>2002.11</v>
      </c>
      <c r="B152" s="390">
        <v>165.94214736088352</v>
      </c>
      <c r="C152" s="391">
        <v>130.80348792040644</v>
      </c>
      <c r="D152" s="3231">
        <v>208.77447905200799</v>
      </c>
      <c r="E152" s="3231">
        <v>149.15123975867715</v>
      </c>
      <c r="F152" s="392">
        <v>202.25537997207266</v>
      </c>
      <c r="G152" s="2203"/>
      <c r="H152" s="2205"/>
      <c r="I152" s="2206"/>
    </row>
    <row r="153" spans="1:9">
      <c r="A153" s="2202">
        <v>2002.12</v>
      </c>
      <c r="B153" s="390">
        <v>165.31993223363332</v>
      </c>
      <c r="C153" s="391">
        <v>130.98548938730295</v>
      </c>
      <c r="D153" s="3231">
        <v>205.87832933727185</v>
      </c>
      <c r="E153" s="3231">
        <v>147.6435096262536</v>
      </c>
      <c r="F153" s="392">
        <v>203.24614789541533</v>
      </c>
      <c r="G153" s="2203"/>
      <c r="H153" s="2205"/>
      <c r="I153" s="2206"/>
    </row>
    <row r="154" spans="1:9">
      <c r="A154" s="2202">
        <v>2003.01</v>
      </c>
      <c r="B154" s="390">
        <v>158.16523249195936</v>
      </c>
      <c r="C154" s="391">
        <v>130.54762648960539</v>
      </c>
      <c r="D154" s="3231">
        <v>191.35683112797977</v>
      </c>
      <c r="E154" s="3231">
        <v>139.41266372232795</v>
      </c>
      <c r="F154" s="392">
        <v>196.53585095184258</v>
      </c>
      <c r="G154" s="2203"/>
      <c r="H154" s="2205"/>
      <c r="I154" s="2206"/>
    </row>
    <row r="155" spans="1:9">
      <c r="A155" s="2202">
        <v>2003.02</v>
      </c>
      <c r="B155" s="390">
        <v>151.88978490388718</v>
      </c>
      <c r="C155" s="391">
        <v>122.72565207071914</v>
      </c>
      <c r="D155" s="3231">
        <v>185.24391774171394</v>
      </c>
      <c r="E155" s="3231">
        <v>137.05414636760199</v>
      </c>
      <c r="F155" s="392">
        <v>192.61924436523958</v>
      </c>
      <c r="G155" s="2203"/>
      <c r="H155" s="2205"/>
      <c r="I155" s="2206"/>
    </row>
    <row r="156" spans="1:9">
      <c r="A156" s="2202">
        <v>2003.03</v>
      </c>
      <c r="B156" s="390">
        <v>149.25481352249011</v>
      </c>
      <c r="C156" s="391">
        <v>124.71605946696781</v>
      </c>
      <c r="D156" s="3231">
        <v>179.23912699881487</v>
      </c>
      <c r="E156" s="3231">
        <v>132.40770849642757</v>
      </c>
      <c r="F156" s="392">
        <v>186.72859783602772</v>
      </c>
      <c r="G156" s="2203"/>
      <c r="H156" s="2205"/>
      <c r="I156" s="2206"/>
    </row>
    <row r="157" spans="1:9">
      <c r="A157" s="2202">
        <v>2003.04</v>
      </c>
      <c r="B157" s="390">
        <v>145.64274460781058</v>
      </c>
      <c r="C157" s="391">
        <v>131.22995336995081</v>
      </c>
      <c r="D157" s="3231">
        <v>168.01422716370359</v>
      </c>
      <c r="E157" s="3231">
        <v>122.75937125393793</v>
      </c>
      <c r="F157" s="392">
        <v>177.100149373541</v>
      </c>
      <c r="G157" s="2203"/>
      <c r="H157" s="2205"/>
      <c r="I157" s="2206"/>
    </row>
    <row r="158" spans="1:9">
      <c r="A158" s="2202">
        <v>2003.05</v>
      </c>
      <c r="B158" s="390">
        <v>148.78971603779308</v>
      </c>
      <c r="C158" s="391">
        <v>137.42642018970912</v>
      </c>
      <c r="D158" s="3231">
        <v>164.73650321262582</v>
      </c>
      <c r="E158" s="3231">
        <v>120.14461806990533</v>
      </c>
      <c r="F158" s="392">
        <v>185.57952261746865</v>
      </c>
      <c r="G158" s="2203"/>
      <c r="H158" s="2205"/>
      <c r="I158" s="2206"/>
    </row>
    <row r="159" spans="1:9">
      <c r="A159" s="2202">
        <v>2003.06</v>
      </c>
      <c r="B159" s="390">
        <v>149.13524844798928</v>
      </c>
      <c r="C159" s="391">
        <v>139.54650362588771</v>
      </c>
      <c r="D159" s="3231">
        <v>163.39670351459478</v>
      </c>
      <c r="E159" s="3231">
        <v>118.93436466325893</v>
      </c>
      <c r="F159" s="392">
        <v>185.76545212472834</v>
      </c>
      <c r="G159" s="2203"/>
      <c r="H159" s="2205"/>
      <c r="I159" s="2206"/>
    </row>
    <row r="160" spans="1:9">
      <c r="A160" s="2202">
        <v>2003.07</v>
      </c>
      <c r="B160" s="390">
        <v>147.42016511485244</v>
      </c>
      <c r="C160" s="391">
        <v>138.97422690745745</v>
      </c>
      <c r="D160" s="3231">
        <v>162.70674124803355</v>
      </c>
      <c r="E160" s="3231">
        <v>118.7414015881194</v>
      </c>
      <c r="F160" s="392">
        <v>179.87256660919147</v>
      </c>
      <c r="G160" s="2203"/>
      <c r="H160" s="2205"/>
      <c r="I160" s="2206"/>
    </row>
    <row r="161" spans="1:9">
      <c r="A161" s="2202">
        <v>2003.08</v>
      </c>
      <c r="B161" s="390">
        <v>151.2234074390864</v>
      </c>
      <c r="C161" s="391">
        <v>139.51289453117363</v>
      </c>
      <c r="D161" s="3231">
        <v>170.41690622373739</v>
      </c>
      <c r="E161" s="3231">
        <v>125.88659302953846</v>
      </c>
      <c r="F161" s="392">
        <v>183.86952024403826</v>
      </c>
      <c r="G161" s="2203"/>
      <c r="H161" s="2205"/>
      <c r="I161" s="2206"/>
    </row>
    <row r="162" spans="1:9">
      <c r="A162" s="2202">
        <v>2003.09</v>
      </c>
      <c r="B162" s="390">
        <v>153.28210600829783</v>
      </c>
      <c r="C162" s="391">
        <v>143.65265945434288</v>
      </c>
      <c r="D162" s="3231">
        <v>170.41446607369889</v>
      </c>
      <c r="E162" s="3231">
        <v>124.85064214675748</v>
      </c>
      <c r="F162" s="392">
        <v>185.7236604451985</v>
      </c>
      <c r="G162" s="2203"/>
      <c r="H162" s="2205"/>
      <c r="I162" s="2206"/>
    </row>
    <row r="163" spans="1:9">
      <c r="A163" s="2202">
        <v>2003.1</v>
      </c>
      <c r="B163" s="390">
        <v>152.74212225476469</v>
      </c>
      <c r="C163" s="391">
        <v>143.71506157992366</v>
      </c>
      <c r="D163" s="3231">
        <v>166.35432695042806</v>
      </c>
      <c r="E163" s="3231">
        <v>119.96215727693195</v>
      </c>
      <c r="F163" s="392">
        <v>188.53673091734896</v>
      </c>
      <c r="G163" s="2203"/>
      <c r="H163" s="2205"/>
      <c r="I163" s="2206"/>
    </row>
    <row r="164" spans="1:9">
      <c r="A164" s="2202">
        <v>2003.11</v>
      </c>
      <c r="B164" s="390">
        <v>153.65815586564085</v>
      </c>
      <c r="C164" s="391">
        <v>142.6286559016508</v>
      </c>
      <c r="D164" s="3231">
        <v>167.50847019458644</v>
      </c>
      <c r="E164" s="3231">
        <v>120.56058939126508</v>
      </c>
      <c r="F164" s="392">
        <v>190.41210379784647</v>
      </c>
      <c r="G164" s="2203"/>
      <c r="H164" s="2205"/>
      <c r="I164" s="2206"/>
    </row>
    <row r="165" spans="1:9">
      <c r="A165" s="2202">
        <v>2003.12</v>
      </c>
      <c r="B165" s="390">
        <v>159.82720880313192</v>
      </c>
      <c r="C165" s="391">
        <v>145.82890065567594</v>
      </c>
      <c r="D165" s="3231">
        <v>171.52328251007197</v>
      </c>
      <c r="E165" s="3231">
        <v>124.66978359701247</v>
      </c>
      <c r="F165" s="392">
        <v>204.6248387917303</v>
      </c>
      <c r="G165" s="2203"/>
      <c r="H165" s="2205"/>
      <c r="I165" s="2206"/>
    </row>
    <row r="166" spans="1:9">
      <c r="A166" s="2202">
        <v>2004.01</v>
      </c>
      <c r="B166" s="390">
        <v>159.60284738331177</v>
      </c>
      <c r="C166" s="391">
        <v>146.87118408381426</v>
      </c>
      <c r="D166" s="3231">
        <v>168.08873997153015</v>
      </c>
      <c r="E166" s="3231">
        <v>123.64049255347928</v>
      </c>
      <c r="F166" s="392">
        <v>204.82989604275369</v>
      </c>
      <c r="G166" s="2203"/>
      <c r="H166" s="2205"/>
      <c r="I166" s="2206"/>
    </row>
    <row r="167" spans="1:9">
      <c r="A167" s="2202">
        <v>2004.02</v>
      </c>
      <c r="B167" s="390">
        <v>160.33460457452367</v>
      </c>
      <c r="C167" s="391">
        <v>145.23081644242782</v>
      </c>
      <c r="D167" s="3231">
        <v>170.14421703686506</v>
      </c>
      <c r="E167" s="3231">
        <v>127.03669548740025</v>
      </c>
      <c r="F167" s="392">
        <v>206.98396872478577</v>
      </c>
      <c r="G167" s="2203"/>
      <c r="H167" s="2205"/>
      <c r="I167" s="2206"/>
    </row>
    <row r="168" spans="1:9">
      <c r="A168" s="2202">
        <v>2004.03</v>
      </c>
      <c r="B168" s="390">
        <v>157.19702806619557</v>
      </c>
      <c r="C168" s="391">
        <v>145.07570583527965</v>
      </c>
      <c r="D168" s="3231">
        <v>167.89441703022061</v>
      </c>
      <c r="E168" s="3231">
        <v>124.99003720222312</v>
      </c>
      <c r="F168" s="392">
        <v>198.76675787840361</v>
      </c>
      <c r="G168" s="2203"/>
      <c r="H168" s="2205"/>
      <c r="I168" s="2206"/>
    </row>
    <row r="169" spans="1:9">
      <c r="A169" s="2202">
        <v>2004.04</v>
      </c>
      <c r="B169" s="390">
        <v>152.1854631406955</v>
      </c>
      <c r="C169" s="391">
        <v>141.37893857434028</v>
      </c>
      <c r="D169" s="3231">
        <v>163.25731930267145</v>
      </c>
      <c r="E169" s="3231">
        <v>120.83342968454215</v>
      </c>
      <c r="F169" s="392">
        <v>190.10721329037798</v>
      </c>
      <c r="G169" s="2203"/>
      <c r="H169" s="2205"/>
      <c r="I169" s="2206"/>
    </row>
    <row r="170" spans="1:9">
      <c r="A170" s="2202">
        <v>2004.05</v>
      </c>
      <c r="B170" s="390">
        <v>152.54144042990887</v>
      </c>
      <c r="C170" s="391">
        <v>136.42206605267324</v>
      </c>
      <c r="D170" s="3231">
        <v>167.54901263682652</v>
      </c>
      <c r="E170" s="3231">
        <v>124.15112899637843</v>
      </c>
      <c r="F170" s="392">
        <v>195.13274620851439</v>
      </c>
      <c r="G170" s="2203"/>
      <c r="H170" s="2205"/>
      <c r="I170" s="2206"/>
    </row>
    <row r="171" spans="1:9">
      <c r="A171" s="2202">
        <v>2004.06</v>
      </c>
      <c r="B171" s="390">
        <v>154.3482919296342</v>
      </c>
      <c r="C171" s="391">
        <v>136.7504401837304</v>
      </c>
      <c r="D171" s="3231">
        <v>169.45801754935837</v>
      </c>
      <c r="E171" s="3231">
        <v>125.38276006790144</v>
      </c>
      <c r="F171" s="392">
        <v>199.23396136823069</v>
      </c>
      <c r="G171" s="2203"/>
      <c r="H171" s="2205"/>
      <c r="I171" s="2206"/>
    </row>
    <row r="172" spans="1:9">
      <c r="A172" s="2202">
        <v>2004.07</v>
      </c>
      <c r="B172" s="390">
        <v>155.77464092854285</v>
      </c>
      <c r="C172" s="391">
        <v>140.89840979572705</v>
      </c>
      <c r="D172" s="3231">
        <v>168.71036175464923</v>
      </c>
      <c r="E172" s="3231">
        <v>125.64124625310566</v>
      </c>
      <c r="F172" s="392">
        <v>199.54812551799407</v>
      </c>
      <c r="G172" s="2203"/>
      <c r="H172" s="2205"/>
      <c r="I172" s="2206"/>
    </row>
    <row r="173" spans="1:9">
      <c r="A173" s="2202">
        <v>2004.08</v>
      </c>
      <c r="B173" s="390">
        <v>159.40491163016341</v>
      </c>
      <c r="C173" s="391">
        <v>146.11155354728083</v>
      </c>
      <c r="D173" s="3231">
        <v>171.48824966143144</v>
      </c>
      <c r="E173" s="3231">
        <v>129.78680322382669</v>
      </c>
      <c r="F173" s="392">
        <v>201.79029940213664</v>
      </c>
      <c r="G173" s="2203"/>
      <c r="H173" s="2205"/>
      <c r="I173" s="2206"/>
    </row>
    <row r="174" spans="1:9">
      <c r="A174" s="2202">
        <v>2004.09</v>
      </c>
      <c r="B174" s="390">
        <v>160.29208546981218</v>
      </c>
      <c r="C174" s="391">
        <v>150.70846115680612</v>
      </c>
      <c r="D174" s="3231">
        <v>169.86658136720783</v>
      </c>
      <c r="E174" s="3231">
        <v>127.84096997661679</v>
      </c>
      <c r="F174" s="392">
        <v>200.00508787644316</v>
      </c>
      <c r="G174" s="2203"/>
      <c r="H174" s="2205"/>
      <c r="I174" s="2206"/>
    </row>
    <row r="175" spans="1:9">
      <c r="A175" s="2202">
        <v>2004.1</v>
      </c>
      <c r="B175" s="390">
        <v>160.41649621964527</v>
      </c>
      <c r="C175" s="391">
        <v>151.48822377362183</v>
      </c>
      <c r="D175" s="3231">
        <v>168.21480430522621</v>
      </c>
      <c r="E175" s="3231">
        <v>123.42820907097475</v>
      </c>
      <c r="F175" s="392">
        <v>202.63367160217226</v>
      </c>
      <c r="G175" s="2203"/>
      <c r="H175" s="2205"/>
      <c r="I175" s="2206"/>
    </row>
    <row r="176" spans="1:9">
      <c r="A176" s="2202">
        <v>2004.11</v>
      </c>
      <c r="B176" s="390">
        <v>162.89251816820297</v>
      </c>
      <c r="C176" s="391">
        <v>154.52043816161535</v>
      </c>
      <c r="D176" s="3231">
        <v>167.84990724025178</v>
      </c>
      <c r="E176" s="3231">
        <v>121.04043933952924</v>
      </c>
      <c r="F176" s="392">
        <v>209.48868663469702</v>
      </c>
      <c r="G176" s="2203"/>
      <c r="H176" s="2205"/>
      <c r="I176" s="2206"/>
    </row>
    <row r="177" spans="1:9">
      <c r="A177" s="2202">
        <v>2004.12</v>
      </c>
      <c r="B177" s="390">
        <v>166.92882346533932</v>
      </c>
      <c r="C177" s="391">
        <v>159.9889939012632</v>
      </c>
      <c r="D177" s="3231">
        <v>168.54375857002009</v>
      </c>
      <c r="E177" s="3231">
        <v>121.40896708367509</v>
      </c>
      <c r="F177" s="392">
        <v>216.49175277315516</v>
      </c>
      <c r="G177" s="2203"/>
      <c r="H177" s="2205"/>
      <c r="I177" s="2206"/>
    </row>
    <row r="178" spans="1:9">
      <c r="A178" s="2202">
        <v>2005.01</v>
      </c>
      <c r="B178" s="390">
        <v>164.01406528722904</v>
      </c>
      <c r="C178" s="391">
        <v>159.69368909147599</v>
      </c>
      <c r="D178" s="3231">
        <v>165.16257042362605</v>
      </c>
      <c r="E178" s="3231">
        <v>120.47673229799197</v>
      </c>
      <c r="F178" s="392">
        <v>207.6965926490906</v>
      </c>
      <c r="G178" s="2203"/>
      <c r="H178" s="2205"/>
      <c r="I178" s="2206"/>
    </row>
    <row r="179" spans="1:9">
      <c r="A179" s="2202">
        <v>2005.02</v>
      </c>
      <c r="B179" s="390">
        <v>162.79024909068374</v>
      </c>
      <c r="C179" s="391">
        <v>162.52779617444278</v>
      </c>
      <c r="D179" s="3231">
        <v>161.974498879073</v>
      </c>
      <c r="E179" s="3231">
        <v>120.78555738080043</v>
      </c>
      <c r="F179" s="392">
        <v>201.2768366942816</v>
      </c>
      <c r="G179" s="2203"/>
      <c r="H179" s="2205"/>
      <c r="I179" s="2206"/>
    </row>
    <row r="180" spans="1:9">
      <c r="A180" s="2202">
        <v>2005.03</v>
      </c>
      <c r="B180" s="390">
        <v>159.96582727947958</v>
      </c>
      <c r="C180" s="391">
        <v>155.44588455690095</v>
      </c>
      <c r="D180" s="3231">
        <v>160.86377238686143</v>
      </c>
      <c r="E180" s="3231">
        <v>119.96600030128604</v>
      </c>
      <c r="F180" s="392">
        <v>203.07816139945024</v>
      </c>
      <c r="G180" s="2203"/>
      <c r="H180" s="2205"/>
      <c r="I180" s="2206"/>
    </row>
    <row r="181" spans="1:9">
      <c r="A181" s="2202">
        <v>2005.04</v>
      </c>
      <c r="B181" s="390">
        <v>159.6903974133597</v>
      </c>
      <c r="C181" s="391">
        <v>161.33768529007773</v>
      </c>
      <c r="D181" s="3231">
        <v>158.58478976096032</v>
      </c>
      <c r="E181" s="3231">
        <v>116.09190270997127</v>
      </c>
      <c r="F181" s="392">
        <v>196.5906418919154</v>
      </c>
      <c r="G181" s="2203"/>
      <c r="H181" s="2205"/>
      <c r="I181" s="2206"/>
    </row>
    <row r="182" spans="1:9">
      <c r="A182" s="2202">
        <v>2005.05</v>
      </c>
      <c r="B182" s="390">
        <v>161.1519701799993</v>
      </c>
      <c r="C182" s="391">
        <v>169.41675807282598</v>
      </c>
      <c r="D182" s="3231">
        <v>157.33927443823148</v>
      </c>
      <c r="E182" s="3231">
        <v>115.1706863363637</v>
      </c>
      <c r="F182" s="392">
        <v>191.6551189481909</v>
      </c>
      <c r="G182" s="2203"/>
      <c r="H182" s="2205"/>
      <c r="I182" s="2206"/>
    </row>
    <row r="183" spans="1:9">
      <c r="A183" s="2202">
        <v>2005.06</v>
      </c>
      <c r="B183" s="390">
        <v>159.05684742993202</v>
      </c>
      <c r="C183" s="391">
        <v>170.70450047182081</v>
      </c>
      <c r="D183" s="3231">
        <v>155.7470229458979</v>
      </c>
      <c r="E183" s="3231">
        <v>114.08885260497802</v>
      </c>
      <c r="F183" s="392">
        <v>182.19801214550043</v>
      </c>
      <c r="G183" s="2203"/>
      <c r="H183" s="2205"/>
      <c r="I183" s="2206"/>
    </row>
    <row r="184" spans="1:9">
      <c r="A184" s="2202">
        <v>2005.07</v>
      </c>
      <c r="B184" s="390">
        <v>157.88172079127756</v>
      </c>
      <c r="C184" s="391">
        <v>171.56823693951517</v>
      </c>
      <c r="D184" s="3231">
        <v>153.98873406504677</v>
      </c>
      <c r="E184" s="3231">
        <v>114.37777606931046</v>
      </c>
      <c r="F184" s="392">
        <v>177.76423514506959</v>
      </c>
      <c r="G184" s="2203"/>
      <c r="H184" s="2205"/>
      <c r="I184" s="2206"/>
    </row>
    <row r="185" spans="1:9">
      <c r="A185" s="2202">
        <v>2005.08</v>
      </c>
      <c r="B185" s="390">
        <v>160.02707863940361</v>
      </c>
      <c r="C185" s="391">
        <v>172.01575821002859</v>
      </c>
      <c r="D185" s="3231">
        <v>154.92400686256229</v>
      </c>
      <c r="E185" s="3231">
        <v>117.64257143226548</v>
      </c>
      <c r="F185" s="392">
        <v>181.67727387952178</v>
      </c>
      <c r="G185" s="2203"/>
      <c r="H185" s="2205"/>
      <c r="I185" s="2206"/>
    </row>
    <row r="186" spans="1:9">
      <c r="A186" s="2202">
        <v>2005.09</v>
      </c>
      <c r="B186" s="390">
        <v>162.33141247195337</v>
      </c>
      <c r="C186" s="391">
        <v>177.84412352782155</v>
      </c>
      <c r="D186" s="3231">
        <v>156.42969759791265</v>
      </c>
      <c r="E186" s="3231">
        <v>116.70917454672431</v>
      </c>
      <c r="F186" s="392">
        <v>181.73459344126329</v>
      </c>
      <c r="G186" s="2203"/>
      <c r="H186" s="2205"/>
      <c r="I186" s="2206"/>
    </row>
    <row r="187" spans="1:9">
      <c r="A187" s="2202">
        <v>2005.1</v>
      </c>
      <c r="B187" s="390">
        <v>164.50710584045891</v>
      </c>
      <c r="C187" s="391">
        <v>183.68997851936928</v>
      </c>
      <c r="D187" s="3231">
        <v>158.99328815686869</v>
      </c>
      <c r="E187" s="3231">
        <v>115.31471971458612</v>
      </c>
      <c r="F187" s="392">
        <v>180.63947397033323</v>
      </c>
      <c r="G187" s="2203"/>
      <c r="H187" s="2205"/>
      <c r="I187" s="2206"/>
    </row>
    <row r="188" spans="1:9">
      <c r="A188" s="2202">
        <v>2005.11</v>
      </c>
      <c r="B188" s="390">
        <v>163.57997427865701</v>
      </c>
      <c r="C188" s="391">
        <v>186.72462345436551</v>
      </c>
      <c r="D188" s="3231">
        <v>157.1075917386739</v>
      </c>
      <c r="E188" s="3231">
        <v>113.15073404940449</v>
      </c>
      <c r="F188" s="392">
        <v>175.06409494870795</v>
      </c>
      <c r="G188" s="2203"/>
      <c r="H188" s="2205"/>
      <c r="I188" s="2206"/>
    </row>
    <row r="189" spans="1:9">
      <c r="A189" s="2202">
        <v>2005.12</v>
      </c>
      <c r="B189" s="390">
        <v>163.5214165188537</v>
      </c>
      <c r="C189" s="391">
        <v>182.71064230259591</v>
      </c>
      <c r="D189" s="3231">
        <v>157.48588283790588</v>
      </c>
      <c r="E189" s="3231">
        <v>114.10938846091386</v>
      </c>
      <c r="F189" s="392">
        <v>177.12562408314093</v>
      </c>
      <c r="G189" s="2203"/>
      <c r="H189" s="2205"/>
      <c r="I189" s="2206"/>
    </row>
    <row r="190" spans="1:9">
      <c r="A190" s="2202">
        <v>2006.01</v>
      </c>
      <c r="B190" s="390">
        <v>164.93609877719072</v>
      </c>
      <c r="C190" s="391">
        <v>184.1281373187646</v>
      </c>
      <c r="D190" s="3231">
        <v>157.80433803474389</v>
      </c>
      <c r="E190" s="3231">
        <v>115.91905481685725</v>
      </c>
      <c r="F190" s="392">
        <v>180.71273623224056</v>
      </c>
      <c r="G190" s="2203"/>
      <c r="H190" s="2205"/>
      <c r="I190" s="2206"/>
    </row>
    <row r="191" spans="1:9">
      <c r="A191" s="2202">
        <v>2006.02</v>
      </c>
      <c r="B191" s="390">
        <v>167.81845574641557</v>
      </c>
      <c r="C191" s="391">
        <v>194.57535099753855</v>
      </c>
      <c r="D191" s="3231">
        <v>158.20418079400474</v>
      </c>
      <c r="E191" s="3231">
        <v>118.5749608786048</v>
      </c>
      <c r="F191" s="392">
        <v>177.73971817925278</v>
      </c>
      <c r="G191" s="2203"/>
      <c r="H191" s="2205"/>
      <c r="I191" s="2206"/>
    </row>
    <row r="192" spans="1:9">
      <c r="A192" s="2202">
        <v>2006.03</v>
      </c>
      <c r="B192" s="390">
        <v>167.68493051474306</v>
      </c>
      <c r="C192" s="391">
        <v>195.24131027197419</v>
      </c>
      <c r="D192" s="3231">
        <v>157.45679288097577</v>
      </c>
      <c r="E192" s="3231">
        <v>117.79876046206137</v>
      </c>
      <c r="F192" s="392">
        <v>178.88968876565991</v>
      </c>
      <c r="G192" s="2203"/>
      <c r="H192" s="2205"/>
      <c r="I192" s="2206"/>
    </row>
    <row r="193" spans="1:9">
      <c r="A193" s="2202">
        <v>2006.04</v>
      </c>
      <c r="B193" s="390">
        <v>167.25943636187134</v>
      </c>
      <c r="C193" s="391">
        <v>194.67454097027928</v>
      </c>
      <c r="D193" s="3231">
        <v>155.8339488797553</v>
      </c>
      <c r="E193" s="3231">
        <v>114.9958554923253</v>
      </c>
      <c r="F193" s="392">
        <v>181.1796724801892</v>
      </c>
      <c r="G193" s="2203"/>
      <c r="H193" s="2205"/>
      <c r="I193" s="2206"/>
    </row>
    <row r="194" spans="1:9">
      <c r="A194" s="2202">
        <v>2006.05</v>
      </c>
      <c r="B194" s="390">
        <v>166.47005492714612</v>
      </c>
      <c r="C194" s="391">
        <v>189.33858054811179</v>
      </c>
      <c r="D194" s="3231">
        <v>154.68195044624116</v>
      </c>
      <c r="E194" s="3231">
        <v>114.11395150543642</v>
      </c>
      <c r="F194" s="392">
        <v>187.13035255669377</v>
      </c>
      <c r="G194" s="2203"/>
      <c r="H194" s="2205"/>
      <c r="I194" s="2206"/>
    </row>
    <row r="195" spans="1:9">
      <c r="A195" s="2202">
        <v>2006.06</v>
      </c>
      <c r="B195" s="390">
        <v>164.32949211740882</v>
      </c>
      <c r="C195" s="391">
        <v>183.13953502218664</v>
      </c>
      <c r="D195" s="3231">
        <v>155.69260136240129</v>
      </c>
      <c r="E195" s="3231">
        <v>114.95738435792211</v>
      </c>
      <c r="F195" s="392">
        <v>186.83834298668256</v>
      </c>
      <c r="G195" s="2203"/>
      <c r="H195" s="2205"/>
      <c r="I195" s="2206"/>
    </row>
    <row r="196" spans="1:9">
      <c r="A196" s="2202">
        <v>2006.07</v>
      </c>
      <c r="B196" s="390">
        <v>165.70861372345584</v>
      </c>
      <c r="C196" s="391">
        <v>187.37178644746311</v>
      </c>
      <c r="D196" s="3231">
        <v>155.48839952100639</v>
      </c>
      <c r="E196" s="3231">
        <v>115.46199216760171</v>
      </c>
      <c r="F196" s="392">
        <v>186.34656814185215</v>
      </c>
      <c r="G196" s="2203"/>
      <c r="H196" s="2205"/>
      <c r="I196" s="2206"/>
    </row>
    <row r="197" spans="1:9">
      <c r="A197" s="2202">
        <v>2006.08</v>
      </c>
      <c r="B197" s="390">
        <v>166.25181793880662</v>
      </c>
      <c r="C197" s="391">
        <v>188.83944398106408</v>
      </c>
      <c r="D197" s="3231">
        <v>155.21871774800462</v>
      </c>
      <c r="E197" s="3231">
        <v>116.46705508749318</v>
      </c>
      <c r="F197" s="392">
        <v>186.45083682481965</v>
      </c>
      <c r="G197" s="2203"/>
      <c r="H197" s="2205"/>
      <c r="I197" s="2206"/>
    </row>
    <row r="198" spans="1:9">
      <c r="A198" s="2202">
        <v>2006.09</v>
      </c>
      <c r="B198" s="390">
        <v>165.89999110969424</v>
      </c>
      <c r="C198" s="391">
        <v>188.29020365872691</v>
      </c>
      <c r="D198" s="3231">
        <v>155.03830829783965</v>
      </c>
      <c r="E198" s="3231">
        <v>116.21405380382991</v>
      </c>
      <c r="F198" s="392">
        <v>185.38322714336599</v>
      </c>
      <c r="G198" s="2203"/>
      <c r="H198" s="2205"/>
      <c r="I198" s="2206"/>
    </row>
    <row r="199" spans="1:9">
      <c r="A199" s="2202">
        <v>2006.1</v>
      </c>
      <c r="B199" s="390">
        <v>164.77111834461599</v>
      </c>
      <c r="C199" s="391">
        <v>188.6583884662991</v>
      </c>
      <c r="D199" s="3231">
        <v>152.90277914877842</v>
      </c>
      <c r="E199" s="3231">
        <v>113.29448599863443</v>
      </c>
      <c r="F199" s="392">
        <v>182.17208338178324</v>
      </c>
      <c r="G199" s="2203"/>
      <c r="H199" s="2205"/>
      <c r="I199" s="2206"/>
    </row>
    <row r="200" spans="1:9">
      <c r="A200" s="2202">
        <v>2006.11</v>
      </c>
      <c r="B200" s="390">
        <v>163.15132189672815</v>
      </c>
      <c r="C200" s="391">
        <v>185.63684141082624</v>
      </c>
      <c r="D200" s="3231">
        <v>150.28477241041472</v>
      </c>
      <c r="E200" s="3231">
        <v>111.16452940333463</v>
      </c>
      <c r="F200" s="392">
        <v>183.24636793901121</v>
      </c>
      <c r="G200" s="2203"/>
      <c r="H200" s="2205"/>
      <c r="I200" s="2206"/>
    </row>
    <row r="201" spans="1:9">
      <c r="A201" s="2202">
        <v>2006.12</v>
      </c>
      <c r="B201" s="390">
        <v>162.74750861526249</v>
      </c>
      <c r="C201" s="391">
        <v>184.60787028946208</v>
      </c>
      <c r="D201" s="3231">
        <v>148.72736711122519</v>
      </c>
      <c r="E201" s="3231">
        <v>111.39326361664955</v>
      </c>
      <c r="F201" s="392">
        <v>185.64712492936425</v>
      </c>
      <c r="G201" s="2203"/>
      <c r="H201" s="2205"/>
      <c r="I201" s="2206"/>
    </row>
    <row r="202" spans="1:9">
      <c r="A202" s="2202">
        <v>2007.01</v>
      </c>
      <c r="B202" s="390">
        <v>162.30224209682197</v>
      </c>
      <c r="C202" s="391">
        <v>185.98386064547216</v>
      </c>
      <c r="D202" s="3231">
        <v>148.95351827705468</v>
      </c>
      <c r="E202" s="3231">
        <v>113.50162375989929</v>
      </c>
      <c r="F202" s="392">
        <v>182.15612760376399</v>
      </c>
      <c r="G202" s="2203"/>
      <c r="H202" s="2205"/>
      <c r="I202" s="2206"/>
    </row>
    <row r="203" spans="1:9">
      <c r="A203" s="2202">
        <v>2007.02</v>
      </c>
      <c r="B203" s="390">
        <v>163.75370382945789</v>
      </c>
      <c r="C203" s="391">
        <v>189.78776068887191</v>
      </c>
      <c r="D203" s="3231">
        <v>148.89620332935172</v>
      </c>
      <c r="E203" s="3231">
        <v>116.1307242674886</v>
      </c>
      <c r="F203" s="392">
        <v>182.68095570026455</v>
      </c>
      <c r="G203" s="2203"/>
      <c r="H203" s="2205"/>
      <c r="I203" s="2206"/>
    </row>
    <row r="204" spans="1:9">
      <c r="A204" s="2202">
        <v>2007.03</v>
      </c>
      <c r="B204" s="390">
        <v>163.72111782407003</v>
      </c>
      <c r="C204" s="391">
        <v>189.68538452551829</v>
      </c>
      <c r="D204" s="3231">
        <v>148.17579563130019</v>
      </c>
      <c r="E204" s="3231">
        <v>115.58746823411721</v>
      </c>
      <c r="F204" s="392">
        <v>184.21853587622155</v>
      </c>
      <c r="G204" s="2203"/>
      <c r="H204" s="2205"/>
      <c r="I204" s="2206"/>
    </row>
    <row r="205" spans="1:9">
      <c r="A205" s="2202">
        <v>2007.04</v>
      </c>
      <c r="B205" s="390">
        <v>163.76234069474759</v>
      </c>
      <c r="C205" s="391">
        <v>191.79171081111289</v>
      </c>
      <c r="D205" s="3231">
        <v>145.92016238916779</v>
      </c>
      <c r="E205" s="3231">
        <v>112.17317604338999</v>
      </c>
      <c r="F205" s="392">
        <v>185.44617194105922</v>
      </c>
      <c r="G205" s="2203"/>
      <c r="H205" s="2205"/>
      <c r="I205" s="2206"/>
    </row>
    <row r="206" spans="1:9">
      <c r="A206" s="2202">
        <v>2007.05</v>
      </c>
      <c r="B206" s="390">
        <v>162.06739952384697</v>
      </c>
      <c r="C206" s="391">
        <v>191.85252970236516</v>
      </c>
      <c r="D206" s="3231">
        <v>142.82710072542341</v>
      </c>
      <c r="E206" s="3231">
        <v>110.5984809573919</v>
      </c>
      <c r="F206" s="392">
        <v>181.71213760699138</v>
      </c>
      <c r="G206" s="2203"/>
      <c r="H206" s="2205"/>
      <c r="I206" s="2206"/>
    </row>
    <row r="207" spans="1:9">
      <c r="A207" s="2202">
        <v>2007.06</v>
      </c>
      <c r="B207" s="390">
        <v>159.99890310797758</v>
      </c>
      <c r="C207" s="391">
        <v>193.14579021851398</v>
      </c>
      <c r="D207" s="3231">
        <v>139.88442611767729</v>
      </c>
      <c r="E207" s="3231">
        <v>109.6211110597222</v>
      </c>
      <c r="F207" s="392">
        <v>176.46973327821325</v>
      </c>
      <c r="G207" s="2203"/>
      <c r="H207" s="2205"/>
      <c r="I207" s="2206"/>
    </row>
    <row r="208" spans="1:9">
      <c r="A208" s="2202">
        <v>2007.07</v>
      </c>
      <c r="B208" s="390">
        <v>160.71034383857682</v>
      </c>
      <c r="C208" s="391">
        <v>195.5742391205585</v>
      </c>
      <c r="D208" s="3231">
        <v>138.064527807621</v>
      </c>
      <c r="E208" s="3231">
        <v>110.75368207310484</v>
      </c>
      <c r="F208" s="392">
        <v>177.48928383346535</v>
      </c>
      <c r="G208" s="2203"/>
      <c r="H208" s="2205"/>
      <c r="I208" s="2206"/>
    </row>
    <row r="209" spans="1:9">
      <c r="A209" s="2202">
        <v>2007.08</v>
      </c>
      <c r="B209" s="390">
        <v>156.56263102809129</v>
      </c>
      <c r="C209" s="391">
        <v>186.06324487286219</v>
      </c>
      <c r="D209" s="3231">
        <v>136.03282988101842</v>
      </c>
      <c r="E209" s="3231">
        <v>111.64437286435238</v>
      </c>
      <c r="F209" s="392">
        <v>173.55624778884101</v>
      </c>
      <c r="G209" s="2203"/>
      <c r="H209" s="2205"/>
      <c r="I209" s="2206"/>
    </row>
    <row r="210" spans="1:9">
      <c r="A210" s="2202">
        <v>2007.09</v>
      </c>
      <c r="B210" s="390">
        <v>155.41269399862912</v>
      </c>
      <c r="C210" s="391">
        <v>186.66904521851694</v>
      </c>
      <c r="D210" s="3231">
        <v>132.64438347455115</v>
      </c>
      <c r="E210" s="3231">
        <v>108.9529240844212</v>
      </c>
      <c r="F210" s="392">
        <v>172.69925634497773</v>
      </c>
      <c r="G210" s="2203"/>
      <c r="H210" s="2205"/>
      <c r="I210" s="2206"/>
    </row>
    <row r="211" spans="1:9">
      <c r="A211" s="2202">
        <v>2007.1</v>
      </c>
      <c r="B211" s="390">
        <v>158.29431563213407</v>
      </c>
      <c r="C211" s="391">
        <v>195.37607130049429</v>
      </c>
      <c r="D211" s="3231">
        <v>131.37857855659465</v>
      </c>
      <c r="E211" s="3231">
        <v>105.60575016323754</v>
      </c>
      <c r="F211" s="392">
        <v>175.06701834892826</v>
      </c>
      <c r="G211" s="2203"/>
      <c r="H211" s="2205"/>
      <c r="I211" s="2206"/>
    </row>
    <row r="212" spans="1:9">
      <c r="A212" s="2202">
        <v>2007.11</v>
      </c>
      <c r="B212" s="390">
        <v>159.23307245755672</v>
      </c>
      <c r="C212" s="391">
        <v>197.12252166504791</v>
      </c>
      <c r="D212" s="3231">
        <v>130.4299587535312</v>
      </c>
      <c r="E212" s="3231">
        <v>104.8951843264537</v>
      </c>
      <c r="F212" s="392">
        <v>179.20782054054936</v>
      </c>
      <c r="G212" s="2203"/>
      <c r="H212" s="2205"/>
      <c r="I212" s="2206"/>
    </row>
    <row r="213" spans="1:9">
      <c r="A213" s="2202">
        <v>2007.12</v>
      </c>
      <c r="B213" s="390">
        <v>159.1101801141989</v>
      </c>
      <c r="C213" s="391">
        <v>195.86753252984232</v>
      </c>
      <c r="D213" s="3231">
        <v>130.96329038387003</v>
      </c>
      <c r="E213" s="3231">
        <v>106.57622428532721</v>
      </c>
      <c r="F213" s="392">
        <v>178.3335615818381</v>
      </c>
      <c r="G213" s="2203"/>
      <c r="H213" s="2205"/>
      <c r="I213" s="2206"/>
    </row>
    <row r="214" spans="1:9">
      <c r="A214" s="2202">
        <f t="shared" ref="A214:A277" si="0">A202+1</f>
        <v>2008.01</v>
      </c>
      <c r="B214" s="390">
        <v>159.27340420776062</v>
      </c>
      <c r="C214" s="391">
        <v>195.73110477295242</v>
      </c>
      <c r="D214" s="3231">
        <v>129.57436662249066</v>
      </c>
      <c r="E214" s="3231">
        <v>108.81722071373026</v>
      </c>
      <c r="F214" s="392">
        <v>177.78992936131451</v>
      </c>
      <c r="G214" s="2203"/>
      <c r="H214" s="2205"/>
      <c r="I214" s="2206"/>
    </row>
    <row r="215" spans="1:9">
      <c r="A215" s="2202">
        <f t="shared" si="0"/>
        <v>2008.02</v>
      </c>
      <c r="B215" s="390">
        <v>159.44734015322967</v>
      </c>
      <c r="C215" s="391">
        <v>197.69937679035718</v>
      </c>
      <c r="D215" s="3231">
        <v>127.80469667500873</v>
      </c>
      <c r="E215" s="3231">
        <v>111.60618213611569</v>
      </c>
      <c r="F215" s="392">
        <v>175.20248179273491</v>
      </c>
      <c r="G215" s="2203"/>
      <c r="H215" s="2205"/>
      <c r="I215" s="2206"/>
    </row>
    <row r="216" spans="1:9">
      <c r="A216" s="2202">
        <f t="shared" si="0"/>
        <v>2008.03</v>
      </c>
      <c r="B216" s="390">
        <v>159.14295097367912</v>
      </c>
      <c r="C216" s="391">
        <v>195.48737541458618</v>
      </c>
      <c r="D216" s="3231">
        <v>124.15195126165308</v>
      </c>
      <c r="E216" s="3231">
        <v>110.37596980991437</v>
      </c>
      <c r="F216" s="392">
        <v>180.08617334421351</v>
      </c>
      <c r="G216" s="2203"/>
      <c r="H216" s="2205"/>
      <c r="I216" s="2206"/>
    </row>
    <row r="217" spans="1:9">
      <c r="A217" s="2202">
        <f t="shared" si="0"/>
        <v>2008.04</v>
      </c>
      <c r="B217" s="390">
        <v>156.14403497190108</v>
      </c>
      <c r="C217" s="391">
        <v>192.7670702257212</v>
      </c>
      <c r="D217" s="3231">
        <v>120.68776897840156</v>
      </c>
      <c r="E217" s="3231">
        <v>106.78172633071077</v>
      </c>
      <c r="F217" s="392">
        <v>177.9325766114992</v>
      </c>
      <c r="G217" s="2203"/>
      <c r="H217" s="2205"/>
      <c r="I217" s="2206"/>
    </row>
    <row r="218" spans="1:9">
      <c r="A218" s="2202">
        <f t="shared" si="0"/>
        <v>2008.05</v>
      </c>
      <c r="B218" s="390">
        <v>153.65651487304581</v>
      </c>
      <c r="C218" s="391">
        <v>193.20702991484734</v>
      </c>
      <c r="D218" s="3231">
        <v>118.73048959538693</v>
      </c>
      <c r="E218" s="3231">
        <v>105.17700154096912</v>
      </c>
      <c r="F218" s="392">
        <v>173.19522756714409</v>
      </c>
      <c r="G218" s="2203"/>
      <c r="H218" s="2205"/>
      <c r="I218" s="2206"/>
    </row>
    <row r="219" spans="1:9">
      <c r="A219" s="2202">
        <f t="shared" si="0"/>
        <v>2008.06</v>
      </c>
      <c r="B219" s="390">
        <v>148.50959524331455</v>
      </c>
      <c r="C219" s="391">
        <v>190.24779071701889</v>
      </c>
      <c r="D219" s="3231">
        <v>114.1787217854143</v>
      </c>
      <c r="E219" s="3231">
        <v>101.69454463529134</v>
      </c>
      <c r="F219" s="392">
        <v>166.15879491300549</v>
      </c>
      <c r="G219" s="2203"/>
      <c r="H219" s="2205"/>
      <c r="I219" s="2206"/>
    </row>
    <row r="220" spans="1:9">
      <c r="A220" s="2202">
        <f t="shared" si="0"/>
        <v>2008.07</v>
      </c>
      <c r="B220" s="390">
        <v>146.98973284371391</v>
      </c>
      <c r="C220" s="391">
        <v>189.73152082710854</v>
      </c>
      <c r="D220" s="3231">
        <v>112.15165128829317</v>
      </c>
      <c r="E220" s="3231">
        <v>101.10404144778111</v>
      </c>
      <c r="F220" s="392">
        <v>163.85669864570988</v>
      </c>
      <c r="G220" s="2203"/>
      <c r="H220" s="2205"/>
      <c r="I220" s="2206"/>
    </row>
    <row r="221" spans="1:9">
      <c r="A221" s="2202">
        <f t="shared" si="0"/>
        <v>2008.08</v>
      </c>
      <c r="B221" s="390">
        <v>143.61354033181348</v>
      </c>
      <c r="C221" s="391">
        <v>186.73405815346081</v>
      </c>
      <c r="D221" s="3231">
        <v>111.6539667965568</v>
      </c>
      <c r="E221" s="3231">
        <v>101.45345734577974</v>
      </c>
      <c r="F221" s="392">
        <v>154.08163858585741</v>
      </c>
      <c r="G221" s="2203"/>
      <c r="H221" s="2205"/>
      <c r="I221" s="2206"/>
    </row>
    <row r="222" spans="1:9">
      <c r="A222" s="2202">
        <f t="shared" si="0"/>
        <v>2008.09</v>
      </c>
      <c r="B222" s="390">
        <v>137.3532236800913</v>
      </c>
      <c r="C222" s="391">
        <v>169.30417935036601</v>
      </c>
      <c r="D222" s="3231">
        <v>112.41086086339719</v>
      </c>
      <c r="E222" s="3231">
        <v>101.18379953939414</v>
      </c>
      <c r="F222" s="392">
        <v>149.19487342761462</v>
      </c>
      <c r="G222" s="2203"/>
      <c r="H222" s="2205"/>
      <c r="I222" s="2206"/>
    </row>
    <row r="223" spans="1:9">
      <c r="A223" s="2202">
        <f t="shared" si="0"/>
        <v>2008.1</v>
      </c>
      <c r="B223" s="390">
        <v>128.22641161402126</v>
      </c>
      <c r="C223" s="391">
        <v>144.61101970943184</v>
      </c>
      <c r="D223" s="3231">
        <v>116.4860038129145</v>
      </c>
      <c r="E223" s="3231">
        <v>102.73692077947523</v>
      </c>
      <c r="F223" s="392">
        <v>143.40647125916914</v>
      </c>
      <c r="G223" s="2203"/>
      <c r="H223" s="2205"/>
      <c r="I223" s="2206"/>
    </row>
    <row r="224" spans="1:9">
      <c r="A224" s="2202">
        <f t="shared" si="0"/>
        <v>2008.11</v>
      </c>
      <c r="B224" s="390">
        <v>127.53745205892336</v>
      </c>
      <c r="C224" s="391">
        <v>144.16949360346374</v>
      </c>
      <c r="D224" s="3231">
        <v>117.61363914228559</v>
      </c>
      <c r="E224" s="3231">
        <v>103.59228485967151</v>
      </c>
      <c r="F224" s="392">
        <v>140.59918964619459</v>
      </c>
      <c r="G224" s="2203"/>
      <c r="H224" s="2205"/>
      <c r="I224" s="2206"/>
    </row>
    <row r="225" spans="1:9">
      <c r="A225" s="2202">
        <f t="shared" si="0"/>
        <v>2008.12</v>
      </c>
      <c r="B225" s="390">
        <v>129.13233580137458</v>
      </c>
      <c r="C225" s="391">
        <v>139.03859695897751</v>
      </c>
      <c r="D225" s="3231">
        <v>118.87673698416236</v>
      </c>
      <c r="E225" s="3231">
        <v>105.33438188290896</v>
      </c>
      <c r="F225" s="392">
        <v>152.2895360450363</v>
      </c>
      <c r="G225" s="2203"/>
      <c r="H225" s="2205"/>
      <c r="I225" s="2206"/>
    </row>
    <row r="226" spans="1:9">
      <c r="A226" s="2202">
        <f t="shared" si="0"/>
        <v>2009.01</v>
      </c>
      <c r="B226" s="390">
        <v>131.18385305457971</v>
      </c>
      <c r="C226" s="391">
        <v>145.73944227160368</v>
      </c>
      <c r="D226" s="3231">
        <v>118.77107090153407</v>
      </c>
      <c r="E226" s="3231">
        <v>106.94328960990744</v>
      </c>
      <c r="F226" s="392">
        <v>149.3659869301782</v>
      </c>
      <c r="G226" s="2203"/>
      <c r="H226" s="2205"/>
      <c r="I226" s="2206"/>
    </row>
    <row r="227" spans="1:9">
      <c r="A227" s="2202">
        <f t="shared" si="0"/>
        <v>2009.02</v>
      </c>
      <c r="B227" s="390">
        <v>131.35500936623166</v>
      </c>
      <c r="C227" s="391">
        <v>147.2599015455792</v>
      </c>
      <c r="D227" s="3231">
        <v>120.17479867947158</v>
      </c>
      <c r="E227" s="3231">
        <v>109.71324002750222</v>
      </c>
      <c r="F227" s="392">
        <v>144.79990509078849</v>
      </c>
      <c r="G227" s="2203"/>
      <c r="H227" s="2205"/>
      <c r="I227" s="2206"/>
    </row>
    <row r="228" spans="1:9">
      <c r="A228" s="2202">
        <f t="shared" si="0"/>
        <v>2009.03</v>
      </c>
      <c r="B228" s="390">
        <v>135.84940317462838</v>
      </c>
      <c r="C228" s="391">
        <v>152.39837816433385</v>
      </c>
      <c r="D228" s="3231">
        <v>123.74580087678598</v>
      </c>
      <c r="E228" s="3231">
        <v>112.54359903635618</v>
      </c>
      <c r="F228" s="392">
        <v>152.58115453771913</v>
      </c>
      <c r="G228" s="2203"/>
      <c r="H228" s="2205"/>
      <c r="I228" s="2206"/>
    </row>
    <row r="229" spans="1:9">
      <c r="A229" s="2202">
        <f t="shared" si="0"/>
        <v>2009.04</v>
      </c>
      <c r="B229" s="390">
        <v>137.74600810151921</v>
      </c>
      <c r="C229" s="391">
        <v>158.59446402959347</v>
      </c>
      <c r="D229" s="3231">
        <v>122.39988289874567</v>
      </c>
      <c r="E229" s="3231">
        <v>110.04194922013457</v>
      </c>
      <c r="F229" s="392">
        <v>153.22274655328724</v>
      </c>
      <c r="G229" s="2203"/>
      <c r="H229" s="2205"/>
      <c r="I229" s="2206"/>
    </row>
    <row r="230" spans="1:9">
      <c r="A230" s="2202">
        <f t="shared" si="0"/>
        <v>2009.05</v>
      </c>
      <c r="B230" s="390">
        <v>142.54750068237897</v>
      </c>
      <c r="C230" s="391">
        <v>169.6017113191711</v>
      </c>
      <c r="D230" s="3231">
        <v>122.14230831340105</v>
      </c>
      <c r="E230" s="3231">
        <v>109.84583990648201</v>
      </c>
      <c r="F230" s="392">
        <v>158.40579622451082</v>
      </c>
      <c r="G230" s="2203"/>
      <c r="H230" s="2205"/>
      <c r="I230" s="2206"/>
    </row>
    <row r="231" spans="1:9">
      <c r="A231" s="2202">
        <f t="shared" si="0"/>
        <v>2009.06</v>
      </c>
      <c r="B231" s="390">
        <v>147.68972909573984</v>
      </c>
      <c r="C231" s="391">
        <v>180.78912355193123</v>
      </c>
      <c r="D231" s="3231">
        <v>123.31698280517922</v>
      </c>
      <c r="E231" s="3231">
        <v>110.39856761385391</v>
      </c>
      <c r="F231" s="392">
        <v>163.4030091050104</v>
      </c>
      <c r="G231" s="2203"/>
      <c r="H231" s="2205"/>
      <c r="I231" s="2206"/>
    </row>
    <row r="232" spans="1:9">
      <c r="A232" s="2202">
        <f t="shared" si="0"/>
        <v>2009.07</v>
      </c>
      <c r="B232" s="390">
        <v>149.16630711430244</v>
      </c>
      <c r="C232" s="391">
        <v>183.33614139147062</v>
      </c>
      <c r="D232" s="3231">
        <v>124.09898620815906</v>
      </c>
      <c r="E232" s="3231">
        <v>111.75307068634186</v>
      </c>
      <c r="F232" s="392">
        <v>163.85083692915791</v>
      </c>
      <c r="G232" s="2203"/>
      <c r="H232" s="2205"/>
      <c r="I232" s="2206"/>
    </row>
    <row r="233" spans="1:9">
      <c r="A233" s="2202">
        <f t="shared" si="0"/>
        <v>2009.08</v>
      </c>
      <c r="B233" s="390">
        <v>151.6934559556332</v>
      </c>
      <c r="C233" s="391">
        <v>191.70562207440241</v>
      </c>
      <c r="D233" s="3231">
        <v>123.50590925462446</v>
      </c>
      <c r="E233" s="3231">
        <v>112.79995385625509</v>
      </c>
      <c r="F233" s="392">
        <v>164.92189844324989</v>
      </c>
      <c r="G233" s="2203"/>
      <c r="H233" s="2205"/>
      <c r="I233" s="2206"/>
    </row>
    <row r="234" spans="1:9">
      <c r="A234" s="2202">
        <f t="shared" si="0"/>
        <v>2009.09</v>
      </c>
      <c r="B234" s="390">
        <v>151.14923280633005</v>
      </c>
      <c r="C234" s="391">
        <v>191.90748222917088</v>
      </c>
      <c r="D234" s="3231">
        <v>121.87904624202298</v>
      </c>
      <c r="E234" s="3231">
        <v>110.35773113364006</v>
      </c>
      <c r="F234" s="392">
        <v>165.98548868099516</v>
      </c>
      <c r="G234" s="2203"/>
      <c r="H234" s="2205"/>
      <c r="I234" s="2206"/>
    </row>
    <row r="235" spans="1:9">
      <c r="A235" s="2202">
        <f t="shared" si="0"/>
        <v>2009.1</v>
      </c>
      <c r="B235" s="390">
        <v>151.55156036893976</v>
      </c>
      <c r="C235" s="391">
        <v>197.33966369948627</v>
      </c>
      <c r="D235" s="3231">
        <v>119.74930743489961</v>
      </c>
      <c r="E235" s="3231">
        <v>105.93890785106498</v>
      </c>
      <c r="F235" s="392">
        <v>165.5566899125275</v>
      </c>
      <c r="G235" s="2203"/>
      <c r="H235" s="2205"/>
      <c r="I235" s="2206"/>
    </row>
    <row r="236" spans="1:9">
      <c r="A236" s="2202">
        <f t="shared" si="0"/>
        <v>2009.11</v>
      </c>
      <c r="B236" s="390">
        <v>150.45908549061943</v>
      </c>
      <c r="C236" s="391">
        <v>195.43040652746672</v>
      </c>
      <c r="D236" s="3231">
        <v>117.99275784644988</v>
      </c>
      <c r="E236" s="3231">
        <v>103.11406009728998</v>
      </c>
      <c r="F236" s="392">
        <v>164.02776985203661</v>
      </c>
      <c r="G236" s="2203"/>
      <c r="H236" s="2205"/>
      <c r="I236" s="2206"/>
    </row>
    <row r="237" spans="1:9">
      <c r="A237" s="2202">
        <f t="shared" si="0"/>
        <v>2009.12</v>
      </c>
      <c r="B237" s="390">
        <v>146.27906686610976</v>
      </c>
      <c r="C237" s="391">
        <v>189.23644744274304</v>
      </c>
      <c r="D237" s="3231">
        <v>115.49121952221218</v>
      </c>
      <c r="E237" s="3231">
        <v>101.58752782255122</v>
      </c>
      <c r="F237" s="392">
        <v>156.9707169094772</v>
      </c>
      <c r="G237" s="2203"/>
      <c r="H237" s="2205"/>
      <c r="I237" s="2206"/>
    </row>
    <row r="238" spans="1:9">
      <c r="A238" s="2202">
        <f t="shared" si="0"/>
        <v>2010.01</v>
      </c>
      <c r="B238" s="390">
        <v>141.43127423592085</v>
      </c>
      <c r="C238" s="391">
        <v>182.05599177354347</v>
      </c>
      <c r="D238" s="3231">
        <v>112.52647742453705</v>
      </c>
      <c r="E238" s="3231">
        <v>100.42935121068642</v>
      </c>
      <c r="F238" s="392">
        <v>149.23513368138893</v>
      </c>
      <c r="G238" s="2203"/>
      <c r="H238" s="2205"/>
      <c r="I238" s="2206"/>
    </row>
    <row r="239" spans="1:9">
      <c r="A239" s="2202">
        <f t="shared" si="0"/>
        <v>2010.02</v>
      </c>
      <c r="B239" s="390">
        <v>135.74724111796101</v>
      </c>
      <c r="C239" s="391">
        <v>174.00045109514741</v>
      </c>
      <c r="D239" s="3231">
        <v>110.20034098884442</v>
      </c>
      <c r="E239" s="3231">
        <v>100.45056330437501</v>
      </c>
      <c r="F239" s="392">
        <v>139.67785256481116</v>
      </c>
      <c r="G239" s="2203"/>
      <c r="H239" s="2205"/>
      <c r="I239" s="2206"/>
    </row>
    <row r="240" spans="1:9">
      <c r="A240" s="2202">
        <f t="shared" si="0"/>
        <v>2010.03</v>
      </c>
      <c r="B240" s="390">
        <v>133.74127768683007</v>
      </c>
      <c r="C240" s="391">
        <v>174.90222129236932</v>
      </c>
      <c r="D240" s="3231">
        <v>106.81280765450823</v>
      </c>
      <c r="E240" s="3231">
        <v>97.587513378313844</v>
      </c>
      <c r="F240" s="392">
        <v>135.58187737609526</v>
      </c>
      <c r="G240" s="2203"/>
      <c r="H240" s="2205"/>
      <c r="I240" s="2206"/>
    </row>
    <row r="241" spans="1:9">
      <c r="A241" s="2202">
        <f t="shared" si="0"/>
        <v>2010.04</v>
      </c>
      <c r="B241" s="390">
        <v>132.61786781597624</v>
      </c>
      <c r="C241" s="391">
        <v>175.50463790109717</v>
      </c>
      <c r="D241" s="3231">
        <v>105.12101302158935</v>
      </c>
      <c r="E241" s="3231">
        <v>94.912551345256986</v>
      </c>
      <c r="F241" s="392">
        <v>132.96711502631467</v>
      </c>
      <c r="G241" s="2203"/>
      <c r="H241" s="2205"/>
      <c r="I241" s="2206"/>
    </row>
    <row r="242" spans="1:9">
      <c r="A242" s="2202">
        <f t="shared" si="0"/>
        <v>2010.05</v>
      </c>
      <c r="B242" s="390">
        <v>128.20502962332719</v>
      </c>
      <c r="C242" s="391">
        <v>170.02810162105527</v>
      </c>
      <c r="D242" s="3231">
        <v>104.28944667711711</v>
      </c>
      <c r="E242" s="3231">
        <v>94.514808989483058</v>
      </c>
      <c r="F242" s="392">
        <v>124.0965382404917</v>
      </c>
      <c r="G242" s="2203"/>
      <c r="H242" s="2205"/>
      <c r="I242" s="2206"/>
    </row>
    <row r="243" spans="1:9">
      <c r="A243" s="2202">
        <f t="shared" si="0"/>
        <v>2010.06</v>
      </c>
      <c r="B243" s="390">
        <v>126.60627747499035</v>
      </c>
      <c r="C243" s="391">
        <v>169.8691091812529</v>
      </c>
      <c r="D243" s="3231">
        <v>103.49742702795336</v>
      </c>
      <c r="E243" s="3231">
        <v>94.162901405963268</v>
      </c>
      <c r="F243" s="392">
        <v>119.46573378288167</v>
      </c>
      <c r="G243" s="2203"/>
      <c r="H243" s="2205"/>
      <c r="I243" s="2206"/>
    </row>
    <row r="244" spans="1:9">
      <c r="A244" s="2202">
        <f t="shared" si="0"/>
        <v>2010.07</v>
      </c>
      <c r="B244" s="390">
        <v>127.96275138767186</v>
      </c>
      <c r="C244" s="391">
        <v>171.39139665090727</v>
      </c>
      <c r="D244" s="3231">
        <v>102.49563627686554</v>
      </c>
      <c r="E244" s="3231">
        <v>94.770915486194411</v>
      </c>
      <c r="F244" s="392">
        <v>123.59868158838931</v>
      </c>
      <c r="G244" s="2203"/>
      <c r="H244" s="2205"/>
      <c r="I244" s="2206"/>
    </row>
    <row r="245" spans="1:9">
      <c r="A245" s="2202">
        <f t="shared" si="0"/>
        <v>2010.08</v>
      </c>
      <c r="B245" s="390">
        <v>127.72426650910541</v>
      </c>
      <c r="C245" s="391">
        <v>170.40187643286896</v>
      </c>
      <c r="D245" s="3231">
        <v>101.46318647136327</v>
      </c>
      <c r="E245" s="3231">
        <v>95.27072851232839</v>
      </c>
      <c r="F245" s="392">
        <v>122.95690425165606</v>
      </c>
      <c r="G245" s="2203"/>
      <c r="H245" s="2205"/>
      <c r="I245" s="2206"/>
    </row>
    <row r="246" spans="1:9">
      <c r="A246" s="2202">
        <f t="shared" si="0"/>
        <v>2010.09</v>
      </c>
      <c r="B246" s="390">
        <v>128.7056969824711</v>
      </c>
      <c r="C246" s="391">
        <v>173.36207829520703</v>
      </c>
      <c r="D246" s="3231">
        <v>100.64688383995968</v>
      </c>
      <c r="E246" s="3231">
        <v>94.503769984057442</v>
      </c>
      <c r="F246" s="392">
        <v>123.75785249862089</v>
      </c>
      <c r="G246" s="2203"/>
      <c r="H246" s="2205"/>
      <c r="I246" s="2206"/>
    </row>
    <row r="247" spans="1:9">
      <c r="A247" s="2202">
        <f t="shared" si="0"/>
        <v>2010.1</v>
      </c>
      <c r="B247" s="390">
        <v>129.49340864146714</v>
      </c>
      <c r="C247" s="391">
        <v>173.96118234203408</v>
      </c>
      <c r="D247" s="3231">
        <v>98.620322577076905</v>
      </c>
      <c r="E247" s="3231">
        <v>91.86601774191044</v>
      </c>
      <c r="F247" s="392">
        <v>128.95563354851507</v>
      </c>
      <c r="G247" s="2203"/>
      <c r="H247" s="2205"/>
      <c r="I247" s="2206"/>
    </row>
    <row r="248" spans="1:9">
      <c r="A248" s="2202">
        <f t="shared" si="0"/>
        <v>2010.11</v>
      </c>
      <c r="B248" s="390">
        <v>126.01228875825714</v>
      </c>
      <c r="C248" s="391">
        <v>168.59779498440494</v>
      </c>
      <c r="D248" s="3231">
        <v>96.7412813562552</v>
      </c>
      <c r="E248" s="3231">
        <v>89.888770003173448</v>
      </c>
      <c r="F248" s="392">
        <v>124.11094473697293</v>
      </c>
      <c r="G248" s="2203"/>
      <c r="H248" s="2205"/>
      <c r="I248" s="2206"/>
    </row>
    <row r="249" spans="1:9">
      <c r="A249" s="2202">
        <f t="shared" si="0"/>
        <v>2010.12</v>
      </c>
      <c r="B249" s="390">
        <v>124.50316957888204</v>
      </c>
      <c r="C249" s="391">
        <v>168.86200774446397</v>
      </c>
      <c r="D249" s="3231">
        <v>95.537476054198976</v>
      </c>
      <c r="E249" s="3231">
        <v>89.321796018062145</v>
      </c>
      <c r="F249" s="392">
        <v>118.78199741860401</v>
      </c>
      <c r="G249" s="2203"/>
      <c r="H249" s="2205"/>
      <c r="I249" s="2206"/>
    </row>
    <row r="250" spans="1:9">
      <c r="A250" s="2202">
        <f t="shared" si="0"/>
        <v>2011.01</v>
      </c>
      <c r="B250" s="390">
        <v>124.61287436342766</v>
      </c>
      <c r="C250" s="391">
        <v>169.92294211102302</v>
      </c>
      <c r="D250" s="3231">
        <v>94.711588612044679</v>
      </c>
      <c r="E250" s="3231">
        <v>90.164938260277253</v>
      </c>
      <c r="F250" s="392">
        <v>118.52064039355724</v>
      </c>
      <c r="G250" s="2203"/>
      <c r="H250" s="2205"/>
      <c r="I250" s="2206"/>
    </row>
    <row r="251" spans="1:9">
      <c r="A251" s="2202">
        <f t="shared" si="0"/>
        <v>2011.02</v>
      </c>
      <c r="B251" s="390">
        <v>126.45368647994792</v>
      </c>
      <c r="C251" s="391">
        <v>172.09025987644981</v>
      </c>
      <c r="D251" s="3231">
        <v>94.931292252836911</v>
      </c>
      <c r="E251" s="3231">
        <v>92.426649967126764</v>
      </c>
      <c r="F251" s="392">
        <v>120.77670138402097</v>
      </c>
      <c r="G251" s="2203"/>
      <c r="H251" s="2205"/>
      <c r="I251" s="2206"/>
    </row>
    <row r="252" spans="1:9">
      <c r="A252" s="2202">
        <f t="shared" si="0"/>
        <v>2011.03</v>
      </c>
      <c r="B252" s="390">
        <v>126.52727769508638</v>
      </c>
      <c r="C252" s="391">
        <v>171.82247196182439</v>
      </c>
      <c r="D252" s="3231">
        <v>93.891300540165219</v>
      </c>
      <c r="E252" s="3231">
        <v>91.593706437623922</v>
      </c>
      <c r="F252" s="392">
        <v>123.31290023786691</v>
      </c>
      <c r="G252" s="2203"/>
      <c r="H252" s="2205"/>
      <c r="I252" s="2206"/>
    </row>
    <row r="253" spans="1:9">
      <c r="A253" s="2202">
        <f t="shared" si="0"/>
        <v>2011.04</v>
      </c>
      <c r="B253" s="390">
        <v>128.22840412310171</v>
      </c>
      <c r="C253" s="391">
        <v>177.81069274758923</v>
      </c>
      <c r="D253" s="3231">
        <v>92.62216848745787</v>
      </c>
      <c r="E253" s="3231">
        <v>89.532109229726302</v>
      </c>
      <c r="F253" s="392">
        <v>125.93203394235132</v>
      </c>
      <c r="G253" s="2203"/>
      <c r="H253" s="2205"/>
      <c r="I253" s="2206"/>
    </row>
    <row r="254" spans="1:9">
      <c r="A254" s="2202">
        <f t="shared" si="0"/>
        <v>2011.05</v>
      </c>
      <c r="B254" s="390">
        <v>125.84597679313239</v>
      </c>
      <c r="C254" s="391">
        <v>173.00696496188439</v>
      </c>
      <c r="D254" s="3231">
        <v>91.409908969043059</v>
      </c>
      <c r="E254" s="3231">
        <v>88.877945510351665</v>
      </c>
      <c r="F254" s="392">
        <v>123.06664257763974</v>
      </c>
      <c r="G254" s="2203"/>
      <c r="H254" s="2205"/>
      <c r="I254" s="2206"/>
    </row>
    <row r="255" spans="1:9">
      <c r="A255" s="2202">
        <f t="shared" si="0"/>
        <v>2011.06</v>
      </c>
      <c r="B255" s="390">
        <v>125.29492273661185</v>
      </c>
      <c r="C255" s="391">
        <v>173.67100212022825</v>
      </c>
      <c r="D255" s="3231">
        <v>90.351845567220252</v>
      </c>
      <c r="E255" s="3231">
        <v>88.655821017293675</v>
      </c>
      <c r="F255" s="392">
        <v>121.96908756015452</v>
      </c>
      <c r="G255" s="2203"/>
      <c r="H255" s="2205"/>
      <c r="I255" s="2206"/>
    </row>
    <row r="256" spans="1:9">
      <c r="A256" s="2202">
        <f t="shared" si="0"/>
        <v>2011.07</v>
      </c>
      <c r="B256" s="390">
        <v>125.57308500163255</v>
      </c>
      <c r="C256" s="391">
        <v>175.50435618875591</v>
      </c>
      <c r="D256" s="3231">
        <v>89.724173730810861</v>
      </c>
      <c r="E256" s="3231">
        <v>89.509946928287604</v>
      </c>
      <c r="F256" s="392">
        <v>119.86938351988222</v>
      </c>
      <c r="G256" s="2203"/>
      <c r="H256" s="2205"/>
      <c r="I256" s="2206"/>
    </row>
    <row r="257" spans="1:9">
      <c r="A257" s="2202">
        <f t="shared" si="0"/>
        <v>2011.08</v>
      </c>
      <c r="B257" s="390">
        <v>123.52060133047067</v>
      </c>
      <c r="C257" s="391">
        <v>170.19955616686892</v>
      </c>
      <c r="D257" s="3231">
        <v>89.014167592326118</v>
      </c>
      <c r="E257" s="3231">
        <v>90.873882534628791</v>
      </c>
      <c r="F257" s="392">
        <v>118.627587003806</v>
      </c>
      <c r="G257" s="2203"/>
      <c r="H257" s="2205"/>
      <c r="I257" s="2206"/>
    </row>
    <row r="258" spans="1:9">
      <c r="A258" s="2202">
        <f t="shared" si="0"/>
        <v>2011.09</v>
      </c>
      <c r="B258" s="390">
        <v>116.65557747668143</v>
      </c>
      <c r="C258" s="391">
        <v>155.17638983604476</v>
      </c>
      <c r="D258" s="3231">
        <v>88.094960391851501</v>
      </c>
      <c r="E258" s="3231">
        <v>89.275135980114726</v>
      </c>
      <c r="F258" s="392">
        <v>112.98695158722811</v>
      </c>
      <c r="G258" s="2203"/>
      <c r="H258" s="2205"/>
      <c r="I258" s="2206"/>
    </row>
    <row r="259" spans="1:9">
      <c r="A259" s="2202">
        <f t="shared" si="0"/>
        <v>2011.1</v>
      </c>
      <c r="B259" s="390">
        <v>114.09466059821911</v>
      </c>
      <c r="C259" s="391">
        <v>151.44211878150438</v>
      </c>
      <c r="D259" s="3231">
        <v>87.273613416213237</v>
      </c>
      <c r="E259" s="3231">
        <v>86.828391754572294</v>
      </c>
      <c r="F259" s="392">
        <v>111.98301559095258</v>
      </c>
      <c r="G259" s="2203"/>
      <c r="H259" s="2205"/>
      <c r="I259" s="2206"/>
    </row>
    <row r="260" spans="1:9">
      <c r="A260" s="2202">
        <f t="shared" si="0"/>
        <v>2011.11</v>
      </c>
      <c r="B260" s="390">
        <v>113.08228879978387</v>
      </c>
      <c r="C260" s="391">
        <v>150.09846993131853</v>
      </c>
      <c r="D260" s="3231">
        <v>87.12431641146334</v>
      </c>
      <c r="E260" s="3231">
        <v>85.823827254283344</v>
      </c>
      <c r="F260" s="392">
        <v>110.60273456844591</v>
      </c>
      <c r="G260" s="2203"/>
      <c r="H260" s="2205"/>
      <c r="I260" s="2206"/>
    </row>
    <row r="261" spans="1:9">
      <c r="A261" s="2202">
        <f t="shared" si="0"/>
        <v>2011.12</v>
      </c>
      <c r="B261" s="390">
        <v>110.41459248656372</v>
      </c>
      <c r="C261" s="391">
        <v>145.50758110965802</v>
      </c>
      <c r="D261" s="3231">
        <v>86.34352139371579</v>
      </c>
      <c r="E261" s="3231">
        <v>85.30675963533487</v>
      </c>
      <c r="F261" s="392">
        <v>106.52523407664607</v>
      </c>
      <c r="G261" s="2203"/>
      <c r="H261" s="2205"/>
      <c r="I261" s="2206"/>
    </row>
    <row r="262" spans="1:9">
      <c r="A262" s="2202">
        <f t="shared" si="0"/>
        <v>2012.01</v>
      </c>
      <c r="B262" s="390">
        <v>111.10280371543446</v>
      </c>
      <c r="C262" s="391">
        <v>148.95206281067937</v>
      </c>
      <c r="D262" s="3231">
        <v>85.842240306059708</v>
      </c>
      <c r="E262" s="3231">
        <v>86.505688209121772</v>
      </c>
      <c r="F262" s="392">
        <v>103.33130491811046</v>
      </c>
      <c r="G262" s="2203"/>
      <c r="H262" s="2205"/>
      <c r="I262" s="2206"/>
    </row>
    <row r="263" spans="1:9">
      <c r="A263" s="2202">
        <f t="shared" si="0"/>
        <v>2012.02</v>
      </c>
      <c r="B263" s="390">
        <v>113.81070716472159</v>
      </c>
      <c r="C263" s="391">
        <v>155.07514272702858</v>
      </c>
      <c r="D263" s="3231">
        <v>85.462047256268932</v>
      </c>
      <c r="E263" s="3231">
        <v>87.65910027473511</v>
      </c>
      <c r="F263" s="392">
        <v>105.14632984296648</v>
      </c>
      <c r="G263" s="2203"/>
      <c r="H263" s="2205"/>
      <c r="I263" s="2206"/>
    </row>
    <row r="264" spans="1:9">
      <c r="A264" s="2202">
        <f t="shared" si="0"/>
        <v>2012.03</v>
      </c>
      <c r="B264" s="390">
        <v>109.801586321241</v>
      </c>
      <c r="C264" s="391">
        <v>145.67247731735267</v>
      </c>
      <c r="D264" s="3231">
        <v>83.762127211356216</v>
      </c>
      <c r="E264" s="3231">
        <v>85.560158964328977</v>
      </c>
      <c r="F264" s="392">
        <v>103.57996138391002</v>
      </c>
      <c r="G264" s="2203"/>
      <c r="H264" s="2205"/>
      <c r="I264" s="2206"/>
    </row>
    <row r="265" spans="1:9">
      <c r="A265" s="2202">
        <f t="shared" si="0"/>
        <v>2012.04</v>
      </c>
      <c r="B265" s="390">
        <v>106.90182383076193</v>
      </c>
      <c r="C265" s="391">
        <v>139.20375506025763</v>
      </c>
      <c r="D265" s="3231">
        <v>82.522886350443557</v>
      </c>
      <c r="E265" s="3231">
        <v>83.496005175033304</v>
      </c>
      <c r="F265" s="392">
        <v>102.50490637437787</v>
      </c>
      <c r="G265" s="2203"/>
      <c r="H265" s="2205"/>
      <c r="I265" s="2206"/>
    </row>
    <row r="266" spans="1:9">
      <c r="A266" s="2202">
        <f t="shared" si="0"/>
        <v>2012.05</v>
      </c>
      <c r="B266" s="390">
        <v>102.62518330711806</v>
      </c>
      <c r="C266" s="391">
        <v>129.63076431833778</v>
      </c>
      <c r="D266" s="3231">
        <v>81.876842776680817</v>
      </c>
      <c r="E266" s="3231">
        <v>82.713103550587689</v>
      </c>
      <c r="F266" s="392">
        <v>98.950632361793154</v>
      </c>
      <c r="G266" s="2203"/>
      <c r="H266" s="2205"/>
      <c r="I266" s="2206"/>
    </row>
    <row r="267" spans="1:9">
      <c r="A267" s="2202">
        <f t="shared" si="0"/>
        <v>2012.06</v>
      </c>
      <c r="B267" s="390">
        <v>100.26682728549835</v>
      </c>
      <c r="C267" s="391">
        <v>125.5261397816589</v>
      </c>
      <c r="D267" s="3231">
        <v>81.464541815258301</v>
      </c>
      <c r="E267" s="3231">
        <v>82.045258634109558</v>
      </c>
      <c r="F267" s="392">
        <v>96.399016799782785</v>
      </c>
      <c r="G267" s="2203"/>
      <c r="H267" s="2205"/>
      <c r="I267" s="2206"/>
    </row>
    <row r="268" spans="1:9">
      <c r="A268" s="2202">
        <f t="shared" si="0"/>
        <v>2012.07</v>
      </c>
      <c r="B268" s="390">
        <v>100.09535171119374</v>
      </c>
      <c r="C268" s="391">
        <v>126.25812231459405</v>
      </c>
      <c r="D268" s="3231">
        <v>81.063726297672233</v>
      </c>
      <c r="E268" s="3231">
        <v>82.334725865380705</v>
      </c>
      <c r="F268" s="392">
        <v>93.834862550801589</v>
      </c>
      <c r="G268" s="2203"/>
      <c r="H268" s="2205"/>
      <c r="I268" s="2206"/>
    </row>
    <row r="269" spans="1:9">
      <c r="A269" s="2202">
        <f t="shared" si="0"/>
        <v>2012.08</v>
      </c>
      <c r="B269" s="390">
        <v>100.46264517601797</v>
      </c>
      <c r="C269" s="391">
        <v>126.2087827265763</v>
      </c>
      <c r="D269" s="3231">
        <v>80.811793672301363</v>
      </c>
      <c r="E269" s="3231">
        <v>83.348465198426254</v>
      </c>
      <c r="F269" s="392">
        <v>94.020068928352714</v>
      </c>
      <c r="G269" s="2203"/>
      <c r="H269" s="2205"/>
      <c r="I269" s="2206"/>
    </row>
    <row r="270" spans="1:9">
      <c r="A270" s="2202">
        <f t="shared" si="0"/>
        <v>2012.09</v>
      </c>
      <c r="B270" s="390">
        <v>101.52839203898377</v>
      </c>
      <c r="C270" s="391">
        <v>126.2104792103347</v>
      </c>
      <c r="D270" s="3231">
        <v>80.875810951358744</v>
      </c>
      <c r="E270" s="3231">
        <v>82.944937970781382</v>
      </c>
      <c r="F270" s="392">
        <v>97.738221345999392</v>
      </c>
      <c r="G270" s="2203"/>
      <c r="H270" s="2205"/>
      <c r="I270" s="2206"/>
    </row>
    <row r="271" spans="1:9">
      <c r="A271" s="2202">
        <f t="shared" si="0"/>
        <v>2012.1</v>
      </c>
      <c r="B271" s="390">
        <v>101.80860950436634</v>
      </c>
      <c r="C271" s="391">
        <v>126.4078210736137</v>
      </c>
      <c r="D271" s="3231">
        <v>80.973281108809644</v>
      </c>
      <c r="E271" s="3231">
        <v>81.576616743502228</v>
      </c>
      <c r="F271" s="392">
        <v>98.732322934396308</v>
      </c>
      <c r="G271" s="2203"/>
      <c r="H271" s="2205"/>
      <c r="I271" s="2206"/>
    </row>
    <row r="272" spans="1:9">
      <c r="A272" s="2202">
        <f t="shared" si="0"/>
        <v>2012.11</v>
      </c>
      <c r="B272" s="390">
        <v>100.65027122348557</v>
      </c>
      <c r="C272" s="391">
        <v>124.5924805622321</v>
      </c>
      <c r="D272" s="3231">
        <v>80.738052057658095</v>
      </c>
      <c r="E272" s="3231">
        <v>80.991696944761529</v>
      </c>
      <c r="F272" s="392">
        <v>97.298404645420632</v>
      </c>
      <c r="G272" s="2203"/>
      <c r="H272" s="2205"/>
      <c r="I272" s="2206"/>
    </row>
    <row r="273" spans="1:9">
      <c r="A273" s="2202">
        <f t="shared" si="0"/>
        <v>2012.12</v>
      </c>
      <c r="B273" s="390">
        <v>101.37999425046311</v>
      </c>
      <c r="C273" s="391">
        <v>124.64621861295394</v>
      </c>
      <c r="D273" s="3231">
        <v>80.681823247576119</v>
      </c>
      <c r="E273" s="3231">
        <v>81.568761239500233</v>
      </c>
      <c r="F273" s="392">
        <v>99.590196382820253</v>
      </c>
      <c r="G273" s="2203"/>
      <c r="H273" s="2205"/>
      <c r="I273" s="2206"/>
    </row>
    <row r="274" spans="1:9">
      <c r="A274" s="2202">
        <f t="shared" si="0"/>
        <v>2013.01</v>
      </c>
      <c r="B274" s="390">
        <v>102.51903725984623</v>
      </c>
      <c r="C274" s="391">
        <v>128.07390902832532</v>
      </c>
      <c r="D274" s="3231">
        <v>80.407460180813189</v>
      </c>
      <c r="E274" s="3231">
        <v>82.634796853503659</v>
      </c>
      <c r="F274" s="392">
        <v>100.17337814687281</v>
      </c>
      <c r="G274" s="2203"/>
      <c r="H274" s="2205"/>
      <c r="I274" s="2206"/>
    </row>
    <row r="275" spans="1:9">
      <c r="A275" s="2202">
        <f t="shared" si="0"/>
        <v>2013.02</v>
      </c>
      <c r="B275" s="390">
        <v>103.48037641404345</v>
      </c>
      <c r="C275" s="391">
        <v>131.96178387576671</v>
      </c>
      <c r="D275" s="3231">
        <v>80.199911550611588</v>
      </c>
      <c r="E275" s="3231">
        <v>83.753296727148651</v>
      </c>
      <c r="F275" s="392">
        <v>99.656360721541432</v>
      </c>
      <c r="G275" s="2203"/>
      <c r="H275" s="2205"/>
      <c r="I275" s="2206"/>
    </row>
    <row r="276" spans="1:9">
      <c r="A276" s="2202">
        <f t="shared" si="0"/>
        <v>2013.03</v>
      </c>
      <c r="B276" s="390">
        <v>102.67538236426567</v>
      </c>
      <c r="C276" s="391">
        <v>131.43105024051025</v>
      </c>
      <c r="D276" s="3231">
        <v>80.042379610793034</v>
      </c>
      <c r="E276" s="3231">
        <v>83.720698860289033</v>
      </c>
      <c r="F276" s="392">
        <v>97.091605436011051</v>
      </c>
      <c r="G276" s="2203"/>
      <c r="H276" s="2205"/>
      <c r="I276" s="2206"/>
    </row>
    <row r="277" spans="1:9">
      <c r="A277" s="2202">
        <f t="shared" si="0"/>
        <v>2013.04</v>
      </c>
      <c r="B277" s="390">
        <v>102.19310801075113</v>
      </c>
      <c r="C277" s="391">
        <v>130.43592365932469</v>
      </c>
      <c r="D277" s="3231">
        <v>79.347433703422865</v>
      </c>
      <c r="E277" s="3231">
        <v>82.551713535346238</v>
      </c>
      <c r="F277" s="392">
        <v>97.569765251032734</v>
      </c>
      <c r="G277" s="2203"/>
      <c r="H277" s="2205"/>
      <c r="I277" s="2206"/>
    </row>
    <row r="278" spans="1:9">
      <c r="A278" s="2202">
        <f t="shared" ref="A278:A342" si="1">A266+1</f>
        <v>2013.05</v>
      </c>
      <c r="B278" s="390">
        <v>101.31354578316243</v>
      </c>
      <c r="C278" s="391">
        <v>128.40463467470613</v>
      </c>
      <c r="D278" s="3231">
        <v>79.174285300130606</v>
      </c>
      <c r="E278" s="3231">
        <v>83.158112853698455</v>
      </c>
      <c r="F278" s="392">
        <v>97.009468086877661</v>
      </c>
      <c r="G278" s="2203"/>
      <c r="H278" s="2205"/>
      <c r="I278" s="2206"/>
    </row>
    <row r="279" spans="1:9">
      <c r="A279" s="2202">
        <f t="shared" si="1"/>
        <v>2013.06</v>
      </c>
      <c r="B279" s="390">
        <v>99.061374562085078</v>
      </c>
      <c r="C279" s="391">
        <v>121.06958488400743</v>
      </c>
      <c r="D279" s="3231">
        <v>79.186553793740785</v>
      </c>
      <c r="E279" s="3231">
        <v>83.453481726763485</v>
      </c>
      <c r="F279" s="392">
        <v>98.772541673182104</v>
      </c>
      <c r="G279" s="2203"/>
      <c r="H279" s="2205"/>
      <c r="I279" s="2206"/>
    </row>
    <row r="280" spans="1:9">
      <c r="A280" s="2202">
        <f t="shared" si="1"/>
        <v>2013.07</v>
      </c>
      <c r="B280" s="390">
        <v>97.283228891515577</v>
      </c>
      <c r="C280" s="391">
        <v>116.2261728485925</v>
      </c>
      <c r="D280" s="3231">
        <v>79.210144081590684</v>
      </c>
      <c r="E280" s="3231">
        <v>84.3067192204674</v>
      </c>
      <c r="F280" s="392">
        <v>97.457730830455631</v>
      </c>
      <c r="G280" s="2203"/>
      <c r="H280" s="2205"/>
      <c r="I280" s="2206"/>
    </row>
    <row r="281" spans="1:9">
      <c r="A281" s="2202">
        <f t="shared" si="1"/>
        <v>2013.08</v>
      </c>
      <c r="B281" s="390">
        <v>96.860668677054562</v>
      </c>
      <c r="C281" s="391">
        <v>112.56365818475153</v>
      </c>
      <c r="D281" s="3231">
        <v>79.697056192377275</v>
      </c>
      <c r="E281" s="3231">
        <v>86.223833005476507</v>
      </c>
      <c r="F281" s="392">
        <v>99.419368537308983</v>
      </c>
      <c r="G281" s="2203"/>
      <c r="H281" s="2205"/>
      <c r="I281" s="2206"/>
    </row>
    <row r="282" spans="1:9">
      <c r="A282" s="2202">
        <f t="shared" si="1"/>
        <v>2013.09</v>
      </c>
      <c r="B282" s="390">
        <v>98.923597907497879</v>
      </c>
      <c r="C282" s="391">
        <v>117.13208316382443</v>
      </c>
      <c r="D282" s="3231">
        <v>80.422691385863146</v>
      </c>
      <c r="E282" s="3231">
        <v>86.499327382150156</v>
      </c>
      <c r="F282" s="392">
        <v>100.78821323636573</v>
      </c>
      <c r="G282" s="2203"/>
      <c r="H282" s="2205"/>
      <c r="I282" s="2206"/>
    </row>
    <row r="283" spans="1:9">
      <c r="A283" s="2202">
        <f t="shared" si="1"/>
        <v>2013.1</v>
      </c>
      <c r="B283" s="390">
        <v>100.52661867948001</v>
      </c>
      <c r="C283" s="391">
        <v>121.5261889841674</v>
      </c>
      <c r="D283" s="3231">
        <v>80.127272282516898</v>
      </c>
      <c r="E283" s="3231">
        <v>84.712696443753757</v>
      </c>
      <c r="F283" s="392">
        <v>102.58838802524203</v>
      </c>
      <c r="G283" s="2203"/>
      <c r="H283" s="2205"/>
      <c r="I283" s="2206"/>
    </row>
    <row r="284" spans="1:9">
      <c r="A284" s="2202">
        <f t="shared" si="1"/>
        <v>2013.11</v>
      </c>
      <c r="B284" s="390">
        <v>98.566864919009049</v>
      </c>
      <c r="C284" s="391">
        <v>116.58276278783107</v>
      </c>
      <c r="D284" s="3231">
        <v>80.343958777904291</v>
      </c>
      <c r="E284" s="3231">
        <v>84.098951357377715</v>
      </c>
      <c r="F284" s="392">
        <v>101.51828315450547</v>
      </c>
      <c r="G284" s="2203"/>
      <c r="H284" s="2205"/>
      <c r="I284" s="2206"/>
    </row>
    <row r="285" spans="1:9">
      <c r="A285" s="2202">
        <f t="shared" si="1"/>
        <v>2013.12</v>
      </c>
      <c r="B285" s="390">
        <v>101.02939709105688</v>
      </c>
      <c r="C285" s="391">
        <v>118.00405955422684</v>
      </c>
      <c r="D285" s="3231">
        <v>82.643556291602096</v>
      </c>
      <c r="E285" s="3231">
        <v>86.878295417931682</v>
      </c>
      <c r="F285" s="392">
        <v>106.04161053044301</v>
      </c>
      <c r="G285" s="2203"/>
      <c r="H285" s="2205"/>
      <c r="I285" s="2206"/>
    </row>
    <row r="286" spans="1:9">
      <c r="A286" s="2202">
        <f t="shared" si="1"/>
        <v>2014.01</v>
      </c>
      <c r="B286" s="390">
        <v>108.18112142933681</v>
      </c>
      <c r="C286" s="391">
        <v>125.98233445888818</v>
      </c>
      <c r="D286" s="3231">
        <v>89.059411603403461</v>
      </c>
      <c r="E286" s="3231">
        <v>94.996934716821812</v>
      </c>
      <c r="F286" s="392">
        <v>112.76349967194682</v>
      </c>
      <c r="G286" s="2203"/>
      <c r="H286" s="2205"/>
      <c r="I286" s="2206"/>
    </row>
    <row r="287" spans="1:9">
      <c r="A287" s="2202">
        <f t="shared" si="1"/>
        <v>2014.02</v>
      </c>
      <c r="B287" s="390">
        <v>114.79852774296708</v>
      </c>
      <c r="C287" s="391">
        <v>134.03912349474865</v>
      </c>
      <c r="D287" s="3231">
        <v>94.360735406002888</v>
      </c>
      <c r="E287" s="3231">
        <v>101.92196575640753</v>
      </c>
      <c r="F287" s="392">
        <v>119.13128153664631</v>
      </c>
      <c r="G287" s="2203"/>
      <c r="H287" s="2205"/>
      <c r="I287" s="2206"/>
    </row>
    <row r="288" spans="1:9">
      <c r="A288" s="2202">
        <f t="shared" si="1"/>
        <v>2014.03</v>
      </c>
      <c r="B288" s="390">
        <v>112.15815746112349</v>
      </c>
      <c r="C288" s="391">
        <v>133.32235610632412</v>
      </c>
      <c r="D288" s="3231">
        <v>91.033967324977723</v>
      </c>
      <c r="E288" s="3231">
        <v>96.662138696504741</v>
      </c>
      <c r="F288" s="392">
        <v>116.96574534061476</v>
      </c>
      <c r="G288" s="2203"/>
      <c r="H288" s="2205"/>
      <c r="I288" s="2206"/>
    </row>
    <row r="289" spans="1:9">
      <c r="A289" s="2202">
        <f t="shared" si="1"/>
        <v>2014.04</v>
      </c>
      <c r="B289" s="390">
        <v>111.61090168901063</v>
      </c>
      <c r="C289" s="391">
        <v>136.80196656045192</v>
      </c>
      <c r="D289" s="3231">
        <v>89.197315734514092</v>
      </c>
      <c r="E289" s="3231">
        <v>92.496105302145708</v>
      </c>
      <c r="F289" s="392">
        <v>114.8649929126032</v>
      </c>
      <c r="G289" s="2203"/>
      <c r="H289" s="2205"/>
      <c r="I289" s="2206"/>
    </row>
    <row r="290" spans="1:9">
      <c r="A290" s="2202">
        <f t="shared" si="1"/>
        <v>2014.05</v>
      </c>
      <c r="B290" s="390">
        <v>109.79693886319285</v>
      </c>
      <c r="C290" s="391">
        <v>135.40923927953665</v>
      </c>
      <c r="D290" s="3231">
        <v>87.540671877619388</v>
      </c>
      <c r="E290" s="3231">
        <v>90.591390966363306</v>
      </c>
      <c r="F290" s="392">
        <v>111.88861353509103</v>
      </c>
      <c r="G290" s="2203"/>
      <c r="H290" s="2205"/>
      <c r="I290" s="2206"/>
    </row>
    <row r="291" spans="1:9">
      <c r="A291" s="2202">
        <f t="shared" si="1"/>
        <v>2014.06</v>
      </c>
      <c r="B291" s="390">
        <v>108.45302496158074</v>
      </c>
      <c r="C291" s="391">
        <v>133.77337066118827</v>
      </c>
      <c r="D291" s="3231">
        <v>86.607314533169088</v>
      </c>
      <c r="E291" s="3231">
        <v>90.146384063039619</v>
      </c>
      <c r="F291" s="392">
        <v>109.53658260740062</v>
      </c>
      <c r="G291" s="2203"/>
      <c r="H291" s="2205"/>
      <c r="I291" s="2206"/>
    </row>
    <row r="292" spans="1:9">
      <c r="A292" s="2202">
        <f t="shared" si="1"/>
        <v>2014.07</v>
      </c>
      <c r="B292" s="390">
        <v>107.08538215082289</v>
      </c>
      <c r="C292" s="391">
        <v>132.4400282794935</v>
      </c>
      <c r="D292" s="3231">
        <v>85.303305467366698</v>
      </c>
      <c r="E292" s="3231">
        <v>90.117797001104179</v>
      </c>
      <c r="F292" s="392">
        <v>106.92285120077055</v>
      </c>
      <c r="G292" s="2203"/>
      <c r="H292" s="2205"/>
      <c r="I292" s="2206"/>
    </row>
    <row r="293" spans="1:9">
      <c r="A293" s="2202">
        <f t="shared" si="1"/>
        <v>2014.08</v>
      </c>
      <c r="B293" s="390">
        <v>105.69477818846087</v>
      </c>
      <c r="C293" s="391">
        <v>129.65152024276097</v>
      </c>
      <c r="D293" s="3231">
        <v>85.080276542264599</v>
      </c>
      <c r="E293" s="3231">
        <v>91.843177983945878</v>
      </c>
      <c r="F293" s="392">
        <v>104.60556654051997</v>
      </c>
      <c r="G293" s="2203"/>
      <c r="H293" s="2205"/>
      <c r="I293" s="2206"/>
    </row>
    <row r="294" spans="1:9">
      <c r="A294" s="2202">
        <f t="shared" si="1"/>
        <v>2014.09</v>
      </c>
      <c r="B294" s="390">
        <v>102.48409365650211</v>
      </c>
      <c r="C294" s="391">
        <v>124.7940015675988</v>
      </c>
      <c r="D294" s="3231">
        <v>83.989218247922523</v>
      </c>
      <c r="E294" s="3231">
        <v>90.17284369505181</v>
      </c>
      <c r="F294" s="392">
        <v>100.18630212220005</v>
      </c>
      <c r="G294" s="2203"/>
      <c r="H294" s="2205"/>
      <c r="I294" s="2206"/>
    </row>
    <row r="295" spans="1:9">
      <c r="A295" s="2202">
        <f t="shared" si="1"/>
        <v>2014.1</v>
      </c>
      <c r="B295" s="390">
        <v>98.968452566170029</v>
      </c>
      <c r="C295" s="391">
        <v>117.93642813556473</v>
      </c>
      <c r="D295" s="3231">
        <v>82.858326666102087</v>
      </c>
      <c r="E295" s="3231">
        <v>87.259722099174937</v>
      </c>
      <c r="F295" s="392">
        <v>97.273598556255791</v>
      </c>
      <c r="G295" s="2203"/>
      <c r="H295" s="2205"/>
      <c r="I295" s="2206"/>
    </row>
    <row r="296" spans="1:9">
      <c r="A296" s="2202">
        <f t="shared" si="1"/>
        <v>2014.11</v>
      </c>
      <c r="B296" s="390">
        <v>95.998362429085788</v>
      </c>
      <c r="C296" s="391">
        <v>112.58096975157129</v>
      </c>
      <c r="D296" s="3231">
        <v>81.83701166848482</v>
      </c>
      <c r="E296" s="3231">
        <v>85.253988709756598</v>
      </c>
      <c r="F296" s="392">
        <v>94.546165992431895</v>
      </c>
      <c r="G296" s="2203"/>
      <c r="H296" s="2205"/>
      <c r="I296" s="2206"/>
    </row>
    <row r="297" spans="1:9">
      <c r="A297" s="2202">
        <f t="shared" si="1"/>
        <v>2014.12</v>
      </c>
      <c r="B297" s="390">
        <v>93.041117301272195</v>
      </c>
      <c r="C297" s="391">
        <v>107.86533866486276</v>
      </c>
      <c r="D297" s="3231">
        <v>80.732682332601271</v>
      </c>
      <c r="E297" s="3231">
        <v>83.663023834279457</v>
      </c>
      <c r="F297" s="392">
        <v>92.15581955710185</v>
      </c>
      <c r="G297" s="2203"/>
      <c r="H297" s="2205"/>
      <c r="I297" s="2206"/>
    </row>
    <row r="298" spans="1:9">
      <c r="A298" s="2202">
        <f t="shared" si="1"/>
        <v>2015.01</v>
      </c>
      <c r="B298" s="390">
        <v>91.270743831734634</v>
      </c>
      <c r="C298" s="391">
        <v>108.28031818992902</v>
      </c>
      <c r="D298" s="3231">
        <v>79.54395465135029</v>
      </c>
      <c r="E298" s="3231">
        <v>83.310794045136035</v>
      </c>
      <c r="F298" s="392">
        <v>85.495150788161212</v>
      </c>
      <c r="G298" s="2203"/>
      <c r="H298" s="2205"/>
      <c r="I298" s="2206"/>
    </row>
    <row r="299" spans="1:9">
      <c r="A299" s="2202">
        <f t="shared" si="1"/>
        <v>2015.02</v>
      </c>
      <c r="B299" s="390">
        <v>88.681228940057551</v>
      </c>
      <c r="C299" s="391">
        <v>101.87306398153289</v>
      </c>
      <c r="D299" s="3231">
        <v>78.841323466386939</v>
      </c>
      <c r="E299" s="3231">
        <v>83.843393833818794</v>
      </c>
      <c r="F299" s="392">
        <v>82.479918546431762</v>
      </c>
      <c r="G299" s="2203"/>
      <c r="H299" s="2205"/>
      <c r="I299" s="2206"/>
    </row>
    <row r="300" spans="1:9">
      <c r="A300" s="2202">
        <f t="shared" si="1"/>
        <v>2015.03</v>
      </c>
      <c r="B300" s="390">
        <v>84.550356111864119</v>
      </c>
      <c r="C300" s="391">
        <v>91.711636550278158</v>
      </c>
      <c r="D300" s="3231">
        <v>78.487222635964031</v>
      </c>
      <c r="E300" s="3231">
        <v>83.646909451758916</v>
      </c>
      <c r="F300" s="392">
        <v>78.764605600430031</v>
      </c>
      <c r="G300" s="2203"/>
      <c r="H300" s="2205"/>
      <c r="I300" s="2206"/>
    </row>
    <row r="301" spans="1:9">
      <c r="A301" s="2202">
        <f t="shared" si="1"/>
        <v>2015.04</v>
      </c>
      <c r="B301" s="390">
        <v>84.904258459642605</v>
      </c>
      <c r="C301" s="391">
        <v>94.615031173862789</v>
      </c>
      <c r="D301" s="3231">
        <v>77.783165652575065</v>
      </c>
      <c r="E301" s="3231">
        <v>82.180086793347172</v>
      </c>
      <c r="F301" s="392">
        <v>78.279637236497521</v>
      </c>
      <c r="G301" s="2203"/>
      <c r="H301" s="2205"/>
      <c r="I301" s="2206"/>
    </row>
    <row r="302" spans="1:9">
      <c r="A302" s="2202">
        <f t="shared" si="1"/>
        <v>2015.05</v>
      </c>
      <c r="B302" s="390">
        <v>84.842819778875821</v>
      </c>
      <c r="C302" s="391">
        <v>94.107760414583609</v>
      </c>
      <c r="D302" s="3231">
        <v>77.087749188631747</v>
      </c>
      <c r="E302" s="3231">
        <v>81.345354079260758</v>
      </c>
      <c r="F302" s="392">
        <v>80.277829428259139</v>
      </c>
      <c r="G302" s="2203"/>
      <c r="H302" s="2205"/>
      <c r="I302" s="2206"/>
    </row>
    <row r="303" spans="1:9">
      <c r="A303" s="2202">
        <f t="shared" si="1"/>
        <v>2015.06</v>
      </c>
      <c r="B303" s="390">
        <v>84.018603756055384</v>
      </c>
      <c r="C303" s="391">
        <v>92.42957357108034</v>
      </c>
      <c r="D303" s="3231">
        <v>76.838016732107818</v>
      </c>
      <c r="E303" s="3231">
        <v>81.262456015662337</v>
      </c>
      <c r="F303" s="392">
        <v>80.372492327088693</v>
      </c>
      <c r="G303" s="2203"/>
      <c r="H303" s="2205"/>
      <c r="I303" s="2206"/>
    </row>
    <row r="304" spans="1:9">
      <c r="A304" s="2202">
        <f t="shared" si="1"/>
        <v>2015.07</v>
      </c>
      <c r="B304" s="390">
        <v>82.339262462486587</v>
      </c>
      <c r="C304" s="391">
        <v>89.467631352467947</v>
      </c>
      <c r="D304" s="3231">
        <v>76.513542950496472</v>
      </c>
      <c r="E304" s="3231">
        <v>81.788765639043518</v>
      </c>
      <c r="F304" s="392">
        <v>78.01091339736638</v>
      </c>
      <c r="G304" s="2203"/>
      <c r="H304" s="2205"/>
      <c r="I304" s="2206"/>
    </row>
    <row r="305" spans="1:9">
      <c r="A305" s="2202">
        <f t="shared" si="1"/>
        <v>2015.08</v>
      </c>
      <c r="B305" s="390">
        <v>79.255379154784649</v>
      </c>
      <c r="C305" s="391">
        <v>81.711356838588713</v>
      </c>
      <c r="D305" s="3231">
        <v>75.890919617984608</v>
      </c>
      <c r="E305" s="3231">
        <v>80.910904249235941</v>
      </c>
      <c r="F305" s="392">
        <v>78.020766611591384</v>
      </c>
      <c r="G305" s="2203"/>
      <c r="H305" s="2205"/>
      <c r="I305" s="2206"/>
    </row>
    <row r="306" spans="1:9">
      <c r="A306" s="2202">
        <f t="shared" si="1"/>
        <v>2015.09</v>
      </c>
      <c r="B306" s="390">
        <v>76.197346524263438</v>
      </c>
      <c r="C306" s="391">
        <v>73.343261218993732</v>
      </c>
      <c r="D306" s="3231">
        <v>75.364423294408496</v>
      </c>
      <c r="E306" s="3231">
        <v>79.303670322283779</v>
      </c>
      <c r="F306" s="392">
        <v>78.352434951257919</v>
      </c>
      <c r="G306" s="2203"/>
      <c r="H306" s="2205"/>
      <c r="I306" s="2206"/>
    </row>
    <row r="307" spans="1:9">
      <c r="A307" s="2202">
        <f t="shared" si="1"/>
        <v>2015.1</v>
      </c>
      <c r="B307" s="390">
        <v>76.093021184457285</v>
      </c>
      <c r="C307" s="391">
        <v>74.062662433972491</v>
      </c>
      <c r="D307" s="3231">
        <v>75.005262226194631</v>
      </c>
      <c r="E307" s="3231">
        <v>77.266041191878514</v>
      </c>
      <c r="F307" s="392">
        <v>77.992369842908005</v>
      </c>
      <c r="G307" s="2203"/>
      <c r="H307" s="2205"/>
      <c r="I307" s="2206"/>
    </row>
    <row r="308" spans="1:9">
      <c r="A308" s="2202">
        <f t="shared" si="1"/>
        <v>2015.11</v>
      </c>
      <c r="B308" s="390">
        <v>75.434395339022828</v>
      </c>
      <c r="C308" s="391">
        <v>76.18886724439669</v>
      </c>
      <c r="D308" s="3231">
        <v>74.729604400345679</v>
      </c>
      <c r="E308" s="3231">
        <v>75.71337715036276</v>
      </c>
      <c r="F308" s="392">
        <v>74.208174179707683</v>
      </c>
      <c r="G308" s="2203"/>
      <c r="H308" s="2205"/>
      <c r="I308" s="2206"/>
    </row>
    <row r="309" spans="1:9">
      <c r="A309" s="2202">
        <f t="shared" si="1"/>
        <v>2015.12</v>
      </c>
      <c r="B309" s="390">
        <v>85.104770495311755</v>
      </c>
      <c r="C309" s="391">
        <v>84.969816704403755</v>
      </c>
      <c r="D309" s="3231">
        <v>84.805387031151952</v>
      </c>
      <c r="E309" s="3231">
        <v>85.154944300834757</v>
      </c>
      <c r="F309" s="392">
        <v>85.432253557894001</v>
      </c>
      <c r="G309" s="2203"/>
      <c r="H309" s="2205"/>
      <c r="I309" s="2206"/>
    </row>
    <row r="310" spans="1:9">
      <c r="A310" s="2202">
        <f t="shared" si="1"/>
        <v>2016.01</v>
      </c>
      <c r="B310" s="390">
        <v>96.002089867681192</v>
      </c>
      <c r="C310" s="391">
        <v>94.59853588136022</v>
      </c>
      <c r="D310" s="3231">
        <v>97.163413763268878</v>
      </c>
      <c r="E310" s="3231">
        <v>97.065037978047997</v>
      </c>
      <c r="F310" s="392">
        <v>96.914633080354179</v>
      </c>
      <c r="G310" s="2203"/>
      <c r="H310" s="2205"/>
      <c r="I310" s="2206"/>
    </row>
    <row r="311" spans="1:9">
      <c r="A311" s="2202">
        <f t="shared" si="1"/>
        <v>2016.02</v>
      </c>
      <c r="B311" s="390">
        <v>102.49339868937741</v>
      </c>
      <c r="C311" s="391">
        <v>102.20252675449318</v>
      </c>
      <c r="D311" s="3231">
        <v>101.90884484668968</v>
      </c>
      <c r="E311" s="3231">
        <v>104.53763639436778</v>
      </c>
      <c r="F311" s="392">
        <v>103.24439094759386</v>
      </c>
      <c r="G311" s="2203"/>
      <c r="H311" s="2205"/>
      <c r="I311" s="2206"/>
    </row>
    <row r="312" spans="1:9">
      <c r="A312" s="2202">
        <f t="shared" si="1"/>
        <v>2016.03</v>
      </c>
      <c r="B312" s="390">
        <v>102.99578155826357</v>
      </c>
      <c r="C312" s="391">
        <v>107.87341917012928</v>
      </c>
      <c r="D312" s="3231">
        <v>99.248797912338844</v>
      </c>
      <c r="E312" s="3231">
        <v>102.94771129203534</v>
      </c>
      <c r="F312" s="392">
        <v>101.58985730543121</v>
      </c>
      <c r="G312" s="2203"/>
      <c r="H312" s="2205"/>
      <c r="I312" s="2206"/>
    </row>
    <row r="313" spans="1:9">
      <c r="A313" s="2202">
        <f t="shared" si="1"/>
        <v>2016.04</v>
      </c>
      <c r="B313" s="390">
        <v>97.324224870848155</v>
      </c>
      <c r="C313" s="391">
        <v>104.20461148255718</v>
      </c>
      <c r="D313" s="3231">
        <v>92.442469586672217</v>
      </c>
      <c r="E313" s="3231">
        <v>94.637315479359287</v>
      </c>
      <c r="F313" s="392">
        <v>96.672419373172929</v>
      </c>
      <c r="G313" s="2203"/>
      <c r="H313" s="2205"/>
      <c r="I313" s="2206"/>
    </row>
    <row r="314" spans="1:9">
      <c r="A314" s="2202">
        <f t="shared" si="1"/>
        <v>2016.05</v>
      </c>
      <c r="B314" s="390">
        <v>91.365013787487413</v>
      </c>
      <c r="C314" s="391">
        <v>98.985394432314763</v>
      </c>
      <c r="D314" s="3231">
        <v>86.976071409679236</v>
      </c>
      <c r="E314" s="3231">
        <v>88.000382412994512</v>
      </c>
      <c r="F314" s="392">
        <v>90.62583781008739</v>
      </c>
      <c r="G314" s="2203"/>
      <c r="H314" s="2205"/>
      <c r="I314" s="2206"/>
    </row>
    <row r="315" spans="1:9">
      <c r="A315" s="2202">
        <f t="shared" si="1"/>
        <v>2016.06</v>
      </c>
      <c r="B315" s="390">
        <v>89.202954966577892</v>
      </c>
      <c r="C315" s="391">
        <v>99.278207308120884</v>
      </c>
      <c r="D315" s="3231">
        <v>84.356997757489864</v>
      </c>
      <c r="E315" s="3231">
        <v>84.65172921794526</v>
      </c>
      <c r="F315" s="392">
        <v>87.443107744409062</v>
      </c>
      <c r="G315" s="2203"/>
      <c r="H315" s="2205"/>
      <c r="I315" s="2206"/>
    </row>
    <row r="316" spans="1:9">
      <c r="A316" s="2202">
        <f t="shared" si="1"/>
        <v>2016.07</v>
      </c>
      <c r="B316" s="390">
        <v>92.689607792562782</v>
      </c>
      <c r="C316" s="391">
        <v>107.17285145377556</v>
      </c>
      <c r="D316" s="3231">
        <v>86.699925545810913</v>
      </c>
      <c r="E316" s="3231">
        <v>86.835756467531766</v>
      </c>
      <c r="F316" s="392">
        <v>88.271088769339826</v>
      </c>
      <c r="G316" s="2203"/>
      <c r="H316" s="2205"/>
      <c r="I316" s="2206"/>
    </row>
    <row r="317" spans="1:9">
      <c r="A317" s="2202">
        <f t="shared" si="1"/>
        <v>2016.08</v>
      </c>
      <c r="B317" s="390">
        <v>92.655141929123872</v>
      </c>
      <c r="C317" s="391">
        <v>108.29881036774074</v>
      </c>
      <c r="D317" s="3231">
        <v>85.493750355660751</v>
      </c>
      <c r="E317" s="3231">
        <v>87.163825322155319</v>
      </c>
      <c r="F317" s="392">
        <v>87.870785512489974</v>
      </c>
      <c r="G317" s="2203"/>
      <c r="H317" s="2205"/>
      <c r="I317" s="2206"/>
    </row>
    <row r="318" spans="1:9">
      <c r="A318" s="2202">
        <f t="shared" si="1"/>
        <v>2016.09</v>
      </c>
      <c r="B318" s="390">
        <v>93.152200535808774</v>
      </c>
      <c r="C318" s="391">
        <v>108.27883942610863</v>
      </c>
      <c r="D318" s="3231">
        <v>86.625104175446808</v>
      </c>
      <c r="E318" s="3231">
        <v>87.161199232440865</v>
      </c>
      <c r="F318" s="392">
        <v>89.081305044864436</v>
      </c>
      <c r="G318" s="2203"/>
      <c r="H318" s="2205"/>
      <c r="I318" s="2206"/>
    </row>
    <row r="319" spans="1:9">
      <c r="A319" s="2202">
        <f t="shared" si="1"/>
        <v>2016.1</v>
      </c>
      <c r="B319" s="390">
        <v>91.943047961109812</v>
      </c>
      <c r="C319" s="391">
        <v>109.26935043918104</v>
      </c>
      <c r="D319" s="3231">
        <v>85.765340724125437</v>
      </c>
      <c r="E319" s="3231">
        <v>83.687277930750795</v>
      </c>
      <c r="F319" s="392">
        <v>86.88219484800922</v>
      </c>
      <c r="G319" s="2203"/>
      <c r="H319" s="2205"/>
      <c r="I319" s="2206"/>
    </row>
    <row r="320" spans="1:9">
      <c r="A320" s="2202">
        <f t="shared" si="1"/>
        <v>2016.11</v>
      </c>
      <c r="B320" s="390">
        <v>88.96531846770489</v>
      </c>
      <c r="C320" s="391">
        <v>103.67967591677888</v>
      </c>
      <c r="D320" s="3231">
        <v>85.210559633532498</v>
      </c>
      <c r="E320" s="3231">
        <v>80.759226278615358</v>
      </c>
      <c r="F320" s="392">
        <v>84.168991696837182</v>
      </c>
      <c r="G320" s="2203"/>
      <c r="H320" s="2205"/>
      <c r="I320" s="2206"/>
    </row>
    <row r="321" spans="1:9">
      <c r="A321" s="2202">
        <f t="shared" si="1"/>
        <v>2016.12</v>
      </c>
      <c r="B321" s="390">
        <v>89.888351630937919</v>
      </c>
      <c r="C321" s="391">
        <v>105.36801637386442</v>
      </c>
      <c r="D321" s="3231">
        <v>86.889210340190473</v>
      </c>
      <c r="E321" s="3231">
        <v>81.625778235611406</v>
      </c>
      <c r="F321" s="392">
        <v>84.001969671435816</v>
      </c>
      <c r="G321" s="2203"/>
      <c r="H321" s="2205"/>
      <c r="I321" s="2206"/>
    </row>
    <row r="322" spans="1:9">
      <c r="A322" s="2202">
        <f t="shared" si="1"/>
        <v>2017.01</v>
      </c>
      <c r="B322" s="390">
        <v>90.638790905540645</v>
      </c>
      <c r="C322" s="391">
        <v>109.86613702027005</v>
      </c>
      <c r="D322" s="3231">
        <v>86.247265437440234</v>
      </c>
      <c r="E322" s="3231">
        <v>82.073568147505767</v>
      </c>
      <c r="F322" s="392">
        <v>83.449554959667822</v>
      </c>
      <c r="G322" s="2203"/>
      <c r="H322" s="2205"/>
      <c r="I322" s="2206"/>
    </row>
    <row r="323" spans="1:9">
      <c r="A323" s="2202">
        <f t="shared" si="1"/>
        <v>2017.02</v>
      </c>
      <c r="B323" s="390">
        <v>88.785211956929174</v>
      </c>
      <c r="C323" s="391">
        <v>109.2330990087048</v>
      </c>
      <c r="D323" s="3231">
        <v>83.230136235033228</v>
      </c>
      <c r="E323" s="3231">
        <v>80.56796887770922</v>
      </c>
      <c r="F323" s="392">
        <v>80.235592332722817</v>
      </c>
      <c r="G323" s="2203"/>
      <c r="H323" s="2205"/>
      <c r="I323" s="2206"/>
    </row>
    <row r="324" spans="1:9">
      <c r="A324" s="2202">
        <f t="shared" si="1"/>
        <v>2017.03</v>
      </c>
      <c r="B324" s="390">
        <v>86.611851984102401</v>
      </c>
      <c r="C324" s="391">
        <v>105.92350452663142</v>
      </c>
      <c r="D324" s="3231">
        <v>81.164875829870823</v>
      </c>
      <c r="E324" s="3231">
        <v>78.016164507184016</v>
      </c>
      <c r="F324" s="392">
        <v>78.999075642675351</v>
      </c>
      <c r="G324" s="2203"/>
      <c r="H324" s="2205"/>
      <c r="I324" s="2206"/>
    </row>
    <row r="325" spans="1:9">
      <c r="A325" s="2202">
        <f t="shared" si="1"/>
        <v>2017.04</v>
      </c>
      <c r="B325" s="390">
        <v>83.725095979713586</v>
      </c>
      <c r="C325" s="391">
        <v>101.84719603847635</v>
      </c>
      <c r="D325" s="3231">
        <v>78.301759762157474</v>
      </c>
      <c r="E325" s="3231">
        <v>74.44202628376118</v>
      </c>
      <c r="F325" s="392">
        <v>76.838321772252996</v>
      </c>
      <c r="G325" s="2203"/>
      <c r="H325" s="2205"/>
      <c r="I325" s="2206"/>
    </row>
    <row r="326" spans="1:9">
      <c r="A326" s="2202">
        <f t="shared" si="1"/>
        <v>2017.05</v>
      </c>
      <c r="B326" s="390">
        <v>84.22148754854841</v>
      </c>
      <c r="C326" s="391">
        <v>100.48858851061675</v>
      </c>
      <c r="D326" s="3231">
        <v>78.62063134747379</v>
      </c>
      <c r="E326" s="3231">
        <v>74.984491372539182</v>
      </c>
      <c r="F326" s="392">
        <v>79.916622816507825</v>
      </c>
      <c r="G326" s="2203"/>
      <c r="H326" s="2205"/>
      <c r="I326" s="2206"/>
    </row>
    <row r="327" spans="1:9">
      <c r="A327" s="2202">
        <f t="shared" si="1"/>
        <v>2017.06</v>
      </c>
      <c r="B327" s="390">
        <v>85.083990520695878</v>
      </c>
      <c r="C327" s="391">
        <v>98.91643206127101</v>
      </c>
      <c r="D327" s="3231">
        <v>79.482694652909487</v>
      </c>
      <c r="E327" s="3231">
        <v>77.083213367139464</v>
      </c>
      <c r="F327" s="392">
        <v>82.050921890006066</v>
      </c>
      <c r="G327" s="2203"/>
      <c r="H327" s="2205"/>
      <c r="I327" s="2206"/>
    </row>
    <row r="328" spans="1:9">
      <c r="A328" s="2202">
        <f t="shared" si="1"/>
        <v>2017.07</v>
      </c>
      <c r="B328" s="390">
        <v>91.087213865262655</v>
      </c>
      <c r="C328" s="391">
        <v>107.00191696236962</v>
      </c>
      <c r="D328" s="3231">
        <v>83.625133042518286</v>
      </c>
      <c r="E328" s="3231">
        <v>82.45079298607115</v>
      </c>
      <c r="F328" s="392">
        <v>88.425924577112596</v>
      </c>
      <c r="G328" s="2203"/>
      <c r="H328" s="2205"/>
      <c r="I328" s="2206"/>
    </row>
    <row r="329" spans="1:9">
      <c r="A329" s="2202">
        <f t="shared" si="1"/>
        <v>2017.08</v>
      </c>
      <c r="B329" s="390">
        <v>92.565516058848985</v>
      </c>
      <c r="C329" s="391">
        <v>108.95353202285456</v>
      </c>
      <c r="D329" s="3231">
        <v>83.719422059711761</v>
      </c>
      <c r="E329" s="3231">
        <v>84.915136943307431</v>
      </c>
      <c r="F329" s="392">
        <v>90.402891113511274</v>
      </c>
      <c r="G329" s="2203"/>
      <c r="H329" s="2205"/>
      <c r="I329" s="2206"/>
    </row>
    <row r="330" spans="1:9">
      <c r="A330" s="2202">
        <f t="shared" si="1"/>
        <v>2017.09</v>
      </c>
      <c r="B330" s="390">
        <v>90.743653832342488</v>
      </c>
      <c r="C330" s="391">
        <v>106.71957527875537</v>
      </c>
      <c r="D330" s="3231">
        <v>81.741257805355175</v>
      </c>
      <c r="E330" s="3231">
        <v>83.340981584957106</v>
      </c>
      <c r="F330" s="392">
        <v>88.925532781867858</v>
      </c>
      <c r="G330" s="2203"/>
      <c r="H330" s="2205"/>
      <c r="I330" s="2206"/>
    </row>
    <row r="331" spans="1:9">
      <c r="A331" s="2202">
        <f t="shared" si="1"/>
        <v>2017.1</v>
      </c>
      <c r="B331" s="390">
        <v>89.198820903796474</v>
      </c>
      <c r="C331" s="391">
        <v>104.64349889969095</v>
      </c>
      <c r="D331" s="3231">
        <v>81.679587823188939</v>
      </c>
      <c r="E331" s="3231">
        <v>80.668425129736178</v>
      </c>
      <c r="F331" s="392">
        <v>87.561855791581451</v>
      </c>
      <c r="G331" s="2203"/>
      <c r="H331" s="2205"/>
      <c r="I331" s="2206"/>
    </row>
    <row r="332" spans="1:9">
      <c r="A332" s="2202">
        <f t="shared" si="1"/>
        <v>2017.11</v>
      </c>
      <c r="B332" s="390">
        <v>87.530995024544325</v>
      </c>
      <c r="C332" s="391">
        <v>101.38405022905368</v>
      </c>
      <c r="D332" s="3231">
        <v>80.818160632814752</v>
      </c>
      <c r="E332" s="3231">
        <v>78.931229656584861</v>
      </c>
      <c r="F332" s="392">
        <v>86.398524689047406</v>
      </c>
      <c r="G332" s="2203"/>
      <c r="H332" s="2205"/>
      <c r="I332" s="2206"/>
    </row>
    <row r="333" spans="1:9">
      <c r="A333" s="2202">
        <f t="shared" si="1"/>
        <v>2017.12</v>
      </c>
      <c r="B333" s="390">
        <v>86.98176879358931</v>
      </c>
      <c r="C333" s="391">
        <v>99.822178981834838</v>
      </c>
      <c r="D333" s="3231">
        <v>80.312112952555879</v>
      </c>
      <c r="E333" s="3231">
        <v>78.994621331921309</v>
      </c>
      <c r="F333" s="392">
        <v>86.472025609640241</v>
      </c>
      <c r="G333" s="2203"/>
      <c r="H333" s="2205"/>
      <c r="I333" s="2206"/>
    </row>
    <row r="334" spans="1:9">
      <c r="A334" s="2202">
        <f t="shared" si="1"/>
        <v>2018.01</v>
      </c>
      <c r="B334" s="390">
        <v>93.414728606784536</v>
      </c>
      <c r="C334" s="391">
        <v>107.83497059039254</v>
      </c>
      <c r="D334" s="3231">
        <v>84.386634017628879</v>
      </c>
      <c r="E334" s="3231">
        <v>85.769124446172967</v>
      </c>
      <c r="F334" s="392">
        <v>92.974212520725246</v>
      </c>
      <c r="G334" s="2203"/>
      <c r="H334" s="2205"/>
      <c r="I334" s="2206"/>
    </row>
    <row r="335" spans="1:9">
      <c r="A335" s="2202">
        <f t="shared" si="1"/>
        <v>2018.02</v>
      </c>
      <c r="B335" s="390">
        <v>96.057543682471433</v>
      </c>
      <c r="C335" s="391">
        <v>109.14072159028417</v>
      </c>
      <c r="D335" s="3231">
        <v>86.477025307945993</v>
      </c>
      <c r="E335" s="3231">
        <v>90.986161971653146</v>
      </c>
      <c r="F335" s="392">
        <v>95.730664508506052</v>
      </c>
      <c r="G335" s="2203"/>
      <c r="H335" s="2205"/>
      <c r="I335" s="2206"/>
    </row>
    <row r="336" spans="1:9">
      <c r="A336" s="2202">
        <f t="shared" si="1"/>
        <v>2018.03</v>
      </c>
      <c r="B336" s="390">
        <v>95.493345996059446</v>
      </c>
      <c r="C336" s="391">
        <v>107.82325988559506</v>
      </c>
      <c r="D336" s="3231">
        <v>86.269277443782329</v>
      </c>
      <c r="E336" s="3231">
        <v>90.566519868654424</v>
      </c>
      <c r="F336" s="392">
        <v>95.931557645352441</v>
      </c>
      <c r="G336" s="2203"/>
      <c r="H336" s="2205"/>
      <c r="I336" s="2206"/>
    </row>
    <row r="337" spans="1:9">
      <c r="A337" s="2202">
        <f t="shared" si="1"/>
        <v>2018.04</v>
      </c>
      <c r="B337" s="390">
        <v>92.091922243326891</v>
      </c>
      <c r="C337" s="391">
        <v>101.52410915072983</v>
      </c>
      <c r="D337" s="3231">
        <v>84.341560444739358</v>
      </c>
      <c r="E337" s="3231">
        <v>87.256617556611317</v>
      </c>
      <c r="F337" s="392">
        <v>93.883122902826784</v>
      </c>
      <c r="G337" s="2203"/>
      <c r="H337" s="2205"/>
      <c r="I337" s="2206"/>
    </row>
    <row r="338" spans="1:9">
      <c r="A338" s="2202">
        <f t="shared" si="1"/>
        <v>2018.05</v>
      </c>
      <c r="B338" s="390">
        <v>101.39807845810377</v>
      </c>
      <c r="C338" s="391">
        <v>108.81814360729516</v>
      </c>
      <c r="D338" s="3231">
        <v>96.196183298188359</v>
      </c>
      <c r="E338" s="3231">
        <v>98.212377162701102</v>
      </c>
      <c r="F338" s="392">
        <v>103.48104949214476</v>
      </c>
      <c r="G338" s="2203"/>
      <c r="H338" s="2205"/>
      <c r="I338" s="2206"/>
    </row>
    <row r="339" spans="1:9">
      <c r="A339" s="2202">
        <f t="shared" si="1"/>
        <v>2018.06</v>
      </c>
      <c r="B339" s="390">
        <v>109.40427553068928</v>
      </c>
      <c r="C339" s="391">
        <v>115.55126486056697</v>
      </c>
      <c r="D339" s="3231">
        <v>105.38430692789392</v>
      </c>
      <c r="E339" s="3231">
        <v>106.49640920790128</v>
      </c>
      <c r="F339" s="392">
        <v>112.12923176063369</v>
      </c>
      <c r="G339" s="2203"/>
      <c r="H339" s="2205"/>
      <c r="I339" s="2206"/>
    </row>
    <row r="340" spans="1:9">
      <c r="A340" s="2202">
        <f t="shared" si="1"/>
        <v>2018.07</v>
      </c>
      <c r="B340" s="390">
        <v>109.48754253148601</v>
      </c>
      <c r="C340" s="391">
        <v>115.50178227628062</v>
      </c>
      <c r="D340" s="3231">
        <v>106.01338675404286</v>
      </c>
      <c r="E340" s="3231">
        <v>104.40158217979908</v>
      </c>
      <c r="F340" s="392">
        <v>112.78636362528331</v>
      </c>
      <c r="G340" s="2203"/>
      <c r="H340" s="2205"/>
      <c r="I340" s="2206"/>
    </row>
    <row r="341" spans="1:9">
      <c r="A341" s="2202">
        <f t="shared" si="1"/>
        <v>2018.08</v>
      </c>
      <c r="B341" s="390">
        <v>113.35316909897541</v>
      </c>
      <c r="C341" s="391">
        <v>117.67978277604873</v>
      </c>
      <c r="D341" s="3231">
        <v>111.12121540521547</v>
      </c>
      <c r="E341" s="3231">
        <v>109.27894309136063</v>
      </c>
      <c r="F341" s="392">
        <v>116.48879244000625</v>
      </c>
      <c r="G341" s="2203"/>
      <c r="H341" s="2205"/>
      <c r="I341" s="2206"/>
    </row>
    <row r="342" spans="1:9">
      <c r="A342" s="2202">
        <f t="shared" si="1"/>
        <v>2018.09</v>
      </c>
      <c r="B342" s="390">
        <v>136.82224406178608</v>
      </c>
      <c r="C342" s="391">
        <v>138.32737655001637</v>
      </c>
      <c r="D342" s="3231">
        <v>136.09826666759983</v>
      </c>
      <c r="E342" s="3231">
        <v>132.75114583657248</v>
      </c>
      <c r="F342" s="392">
        <v>144.22259257194733</v>
      </c>
      <c r="G342" s="2203"/>
      <c r="H342" s="2205"/>
      <c r="I342" s="2206"/>
    </row>
    <row r="343" spans="1:9">
      <c r="A343" s="2202">
        <f t="shared" ref="A343:A406" si="2">A331+1</f>
        <v>2018.1</v>
      </c>
      <c r="B343" s="390">
        <v>126.80827263430864</v>
      </c>
      <c r="C343" s="391">
        <v>137.40613140969043</v>
      </c>
      <c r="D343" s="3231">
        <v>123.9048399982793</v>
      </c>
      <c r="E343" s="3231">
        <v>117.26935533630034</v>
      </c>
      <c r="F343" s="392">
        <v>129.57238365074195</v>
      </c>
      <c r="G343" s="2203"/>
      <c r="H343" s="2205"/>
      <c r="I343" s="2206"/>
    </row>
    <row r="344" spans="1:9">
      <c r="A344" s="2202">
        <f t="shared" si="2"/>
        <v>2018.11</v>
      </c>
      <c r="B344" s="390">
        <v>118.8863367677483</v>
      </c>
      <c r="C344" s="391">
        <v>129.17010574269821</v>
      </c>
      <c r="D344" s="3231">
        <v>116.81580084468111</v>
      </c>
      <c r="E344" s="3231">
        <v>108.92977200462126</v>
      </c>
      <c r="F344" s="392">
        <v>120.55733353824067</v>
      </c>
      <c r="G344" s="2203"/>
      <c r="H344" s="2205"/>
      <c r="I344" s="2206"/>
    </row>
    <row r="345" spans="1:9">
      <c r="A345" s="2202">
        <f t="shared" si="2"/>
        <v>2018.12</v>
      </c>
      <c r="B345" s="390">
        <v>119.31185857732623</v>
      </c>
      <c r="C345" s="391">
        <v>126.98714300137952</v>
      </c>
      <c r="D345" s="3231">
        <v>118.11770109631551</v>
      </c>
      <c r="E345" s="3231">
        <v>110.97568516998237</v>
      </c>
      <c r="F345" s="392">
        <v>121.71370528955964</v>
      </c>
      <c r="G345" s="2203"/>
      <c r="H345" s="2205"/>
      <c r="I345" s="2206"/>
    </row>
    <row r="346" spans="1:9">
      <c r="A346" s="2202">
        <f t="shared" si="2"/>
        <v>2019.01</v>
      </c>
      <c r="B346" s="390">
        <v>116.57403898072839</v>
      </c>
      <c r="C346" s="391">
        <v>126.89046691629957</v>
      </c>
      <c r="D346" s="3231">
        <v>113.56450105976155</v>
      </c>
      <c r="E346" s="3231">
        <v>109.23413054903114</v>
      </c>
      <c r="F346" s="392">
        <v>116.71608674272547</v>
      </c>
      <c r="G346" s="2203"/>
      <c r="H346" s="2205"/>
      <c r="I346" s="2206"/>
    </row>
    <row r="347" spans="1:9">
      <c r="A347" s="2202">
        <f t="shared" si="2"/>
        <v>2019.02</v>
      </c>
      <c r="B347" s="487">
        <v>116.56312853302248</v>
      </c>
      <c r="C347" s="392">
        <v>127.35816302568371</v>
      </c>
      <c r="D347" s="3231">
        <v>112.9278430244684</v>
      </c>
      <c r="E347" s="3231">
        <v>111.46921101421331</v>
      </c>
      <c r="F347" s="392">
        <v>114.86666479775344</v>
      </c>
      <c r="G347" s="2203"/>
      <c r="H347" s="2205"/>
      <c r="I347" s="2206"/>
    </row>
    <row r="348" spans="1:9">
      <c r="A348" s="2202">
        <f t="shared" si="2"/>
        <v>2019.03</v>
      </c>
      <c r="B348" s="390">
        <v>119.81630418582981</v>
      </c>
      <c r="C348" s="391">
        <v>128.04522760118988</v>
      </c>
      <c r="D348" s="3231">
        <v>117.05496054070497</v>
      </c>
      <c r="E348" s="3231">
        <v>115.98482365619275</v>
      </c>
      <c r="F348" s="934">
        <v>118.96133370738566</v>
      </c>
      <c r="G348" s="2203"/>
      <c r="H348" s="2204"/>
      <c r="I348" s="2204"/>
    </row>
    <row r="349" spans="1:9">
      <c r="A349" s="2202">
        <f t="shared" si="2"/>
        <v>2019.04</v>
      </c>
      <c r="B349" s="487">
        <v>120.21562736854604</v>
      </c>
      <c r="C349" s="391">
        <v>127.83956021764146</v>
      </c>
      <c r="D349" s="3231">
        <v>118.14555845862142</v>
      </c>
      <c r="E349" s="3231">
        <v>115.29004579833958</v>
      </c>
      <c r="F349" s="392">
        <v>120.02836460370837</v>
      </c>
      <c r="G349" s="2203"/>
      <c r="H349" s="2204"/>
      <c r="I349" s="2204"/>
    </row>
    <row r="350" spans="1:9">
      <c r="A350" s="2202">
        <f t="shared" si="2"/>
        <v>2019.05</v>
      </c>
      <c r="B350" s="390">
        <v>119.49811778929879</v>
      </c>
      <c r="C350" s="391">
        <v>125.77803692899819</v>
      </c>
      <c r="D350" s="3231">
        <v>118.94759340896047</v>
      </c>
      <c r="E350" s="3231">
        <v>113.83109157047302</v>
      </c>
      <c r="F350" s="934">
        <v>120.57534112005946</v>
      </c>
      <c r="G350" s="2203"/>
      <c r="H350" s="2204"/>
      <c r="I350" s="2204"/>
    </row>
    <row r="351" spans="1:9">
      <c r="A351" s="2202">
        <f t="shared" si="2"/>
        <v>2019.06</v>
      </c>
      <c r="B351" s="390">
        <v>114.81066147855627</v>
      </c>
      <c r="C351" s="391">
        <v>123.35091945163587</v>
      </c>
      <c r="D351" s="3231">
        <v>112.81385889633795</v>
      </c>
      <c r="E351" s="3231">
        <v>107.88469235672612</v>
      </c>
      <c r="F351" s="934">
        <v>115.57988856226775</v>
      </c>
      <c r="G351" s="2203"/>
      <c r="H351" s="2204"/>
      <c r="I351" s="2204"/>
    </row>
    <row r="352" spans="1:9">
      <c r="A352" s="2202">
        <f t="shared" si="2"/>
        <v>2019.07</v>
      </c>
      <c r="B352" s="562">
        <v>109.87210711011343</v>
      </c>
      <c r="C352" s="563">
        <v>119.75108288775291</v>
      </c>
      <c r="D352" s="3232">
        <v>106.96750621954331</v>
      </c>
      <c r="E352" s="3232">
        <v>103.92225937246151</v>
      </c>
      <c r="F352" s="935">
        <v>108.54751726701113</v>
      </c>
      <c r="G352" s="2203"/>
      <c r="H352" s="2204"/>
      <c r="I352" s="2204"/>
    </row>
    <row r="353" spans="1:7">
      <c r="A353" s="2202">
        <f t="shared" si="2"/>
        <v>2019.08</v>
      </c>
      <c r="B353" s="562">
        <v>127.75712863988301</v>
      </c>
      <c r="C353" s="563">
        <v>134.21877447009885</v>
      </c>
      <c r="D353" s="3232">
        <v>127.7231018537092</v>
      </c>
      <c r="E353" s="3232">
        <v>122.97111809690394</v>
      </c>
      <c r="F353" s="935">
        <v>128.12703168385002</v>
      </c>
      <c r="G353" s="2203"/>
    </row>
    <row r="354" spans="1:7">
      <c r="A354" s="2202">
        <f t="shared" si="2"/>
        <v>2019.09</v>
      </c>
      <c r="B354" s="390">
        <v>130.69676682825113</v>
      </c>
      <c r="C354" s="391">
        <v>135.40708897236254</v>
      </c>
      <c r="D354" s="3231">
        <v>132.16806982599161</v>
      </c>
      <c r="E354" s="3231">
        <v>125.62919724511626</v>
      </c>
      <c r="F354" s="392">
        <v>131.30782098098615</v>
      </c>
      <c r="G354" s="2203"/>
    </row>
    <row r="355" spans="1:7">
      <c r="A355" s="2202">
        <f t="shared" si="2"/>
        <v>2019.1</v>
      </c>
      <c r="B355" s="390">
        <v>129.78036695537284</v>
      </c>
      <c r="C355" s="391">
        <v>135.31724085905978</v>
      </c>
      <c r="D355" s="3231">
        <v>131.085357938626</v>
      </c>
      <c r="E355" s="3231">
        <v>122.92046591203942</v>
      </c>
      <c r="F355" s="392">
        <v>130.73003844764321</v>
      </c>
      <c r="G355" s="2203"/>
    </row>
    <row r="356" spans="1:7">
      <c r="A356" s="2202">
        <f t="shared" si="2"/>
        <v>2019.11</v>
      </c>
      <c r="B356" s="390">
        <v>126.94731897803258</v>
      </c>
      <c r="C356" s="391">
        <v>131.28870351471909</v>
      </c>
      <c r="D356" s="3231">
        <v>129.24253299141455</v>
      </c>
      <c r="E356" s="3231">
        <v>121.7048126997437</v>
      </c>
      <c r="F356" s="392">
        <v>128.3417390441505</v>
      </c>
      <c r="G356" s="2203"/>
    </row>
    <row r="357" spans="1:7">
      <c r="A357" s="2202">
        <f t="shared" si="2"/>
        <v>2019.12</v>
      </c>
      <c r="B357" s="390">
        <v>123.59569162530545</v>
      </c>
      <c r="C357" s="391">
        <v>128.9562173998346</v>
      </c>
      <c r="D357" s="3231">
        <v>124.93043767002477</v>
      </c>
      <c r="E357" s="3231">
        <v>117.94172274910156</v>
      </c>
      <c r="F357" s="392">
        <v>124.36968228737855</v>
      </c>
      <c r="G357" s="2203"/>
    </row>
    <row r="358" spans="1:7">
      <c r="A358" s="2202">
        <f t="shared" si="2"/>
        <v>2020.01</v>
      </c>
      <c r="B358" s="390">
        <v>120.83783272094927</v>
      </c>
      <c r="C358" s="391">
        <v>125.33783145933423</v>
      </c>
      <c r="D358" s="3231">
        <v>121.82524249929702</v>
      </c>
      <c r="E358" s="3231">
        <v>117.93771638297306</v>
      </c>
      <c r="F358" s="392">
        <v>120.51488800035749</v>
      </c>
      <c r="G358" s="2203"/>
    </row>
    <row r="359" spans="1:7">
      <c r="A359" s="2202">
        <f t="shared" si="2"/>
        <v>2020.02</v>
      </c>
      <c r="B359" s="390">
        <v>118.92318668988145</v>
      </c>
      <c r="C359" s="391">
        <v>119.8049287055629</v>
      </c>
      <c r="D359" s="3231">
        <v>122.13745930297489</v>
      </c>
      <c r="E359" s="3231">
        <v>119.47007080247178</v>
      </c>
      <c r="F359" s="392">
        <v>118.14520193360119</v>
      </c>
      <c r="G359" s="2203"/>
    </row>
    <row r="360" spans="1:7">
      <c r="A360" s="2202">
        <f t="shared" si="2"/>
        <v>2020.03</v>
      </c>
      <c r="B360" s="390">
        <v>114.50455586726807</v>
      </c>
      <c r="C360" s="391">
        <v>107.83665273358214</v>
      </c>
      <c r="D360" s="3231">
        <v>122.38032698557271</v>
      </c>
      <c r="E360" s="3231">
        <v>119.10086688411879</v>
      </c>
      <c r="F360" s="392">
        <v>120.429755262179</v>
      </c>
      <c r="G360" s="2203"/>
    </row>
    <row r="361" spans="1:7">
      <c r="A361" s="2202">
        <f t="shared" si="2"/>
        <v>2020.04</v>
      </c>
      <c r="B361" s="390">
        <v>111.58725442403269</v>
      </c>
      <c r="C361" s="391">
        <v>99.399823258629937</v>
      </c>
      <c r="D361" s="3231">
        <v>123.35568355557255</v>
      </c>
      <c r="E361" s="3231">
        <v>117.46178074462838</v>
      </c>
      <c r="F361" s="392">
        <v>120.55656417898813</v>
      </c>
      <c r="G361" s="2203"/>
    </row>
    <row r="362" spans="1:7">
      <c r="A362" s="2202">
        <f t="shared" si="2"/>
        <v>2020.05</v>
      </c>
      <c r="B362" s="390">
        <v>111.76321719153971</v>
      </c>
      <c r="C362" s="391">
        <v>95.424198136370777</v>
      </c>
      <c r="D362" s="3231">
        <v>124.7364967034484</v>
      </c>
      <c r="E362" s="3231">
        <v>118.08756370376587</v>
      </c>
      <c r="F362" s="392">
        <v>123.15956808867877</v>
      </c>
      <c r="G362" s="2203"/>
    </row>
    <row r="363" spans="1:7">
      <c r="A363" s="2202">
        <f t="shared" si="2"/>
        <v>2020.06</v>
      </c>
      <c r="B363" s="390">
        <v>116.63125978606895</v>
      </c>
      <c r="C363" s="391">
        <v>104.30197941417676</v>
      </c>
      <c r="D363" s="3231">
        <v>125.96429579340845</v>
      </c>
      <c r="E363" s="3231">
        <v>119.68594112941815</v>
      </c>
      <c r="F363" s="392">
        <v>128.17176986463647</v>
      </c>
      <c r="G363" s="2203"/>
    </row>
    <row r="364" spans="1:7">
      <c r="A364" s="2202">
        <f t="shared" si="2"/>
        <v>2020.07</v>
      </c>
      <c r="B364" s="390">
        <v>117.97866852853976</v>
      </c>
      <c r="C364" s="391">
        <v>103.15319797359379</v>
      </c>
      <c r="D364" s="3231">
        <v>127.24165486565836</v>
      </c>
      <c r="E364" s="3231">
        <v>123.39547327001023</v>
      </c>
      <c r="F364" s="392">
        <v>131.30233170670382</v>
      </c>
      <c r="G364" s="2203"/>
    </row>
    <row r="365" spans="1:7">
      <c r="A365" s="2202">
        <f t="shared" si="2"/>
        <v>2020.08</v>
      </c>
      <c r="B365" s="390">
        <v>118.95854507021234</v>
      </c>
      <c r="C365" s="391">
        <v>100.65514567676783</v>
      </c>
      <c r="D365" s="3231">
        <v>128.19892422699533</v>
      </c>
      <c r="E365" s="3231">
        <v>127.46351617916129</v>
      </c>
      <c r="F365" s="392">
        <v>135.30160651476757</v>
      </c>
      <c r="G365" s="2203"/>
    </row>
    <row r="366" spans="1:7">
      <c r="A366" s="2202">
        <f t="shared" si="2"/>
        <v>2020.09</v>
      </c>
      <c r="B366" s="562">
        <v>119.64914729370641</v>
      </c>
      <c r="C366" s="563">
        <v>101.98920398002033</v>
      </c>
      <c r="D366" s="3232">
        <v>128.46916977954791</v>
      </c>
      <c r="E366" s="3232">
        <v>128.37758999502174</v>
      </c>
      <c r="F366" s="1151">
        <v>134.49911030170344</v>
      </c>
      <c r="G366" s="2203"/>
    </row>
    <row r="367" spans="1:7">
      <c r="A367" s="2202">
        <f t="shared" si="2"/>
        <v>2020.1</v>
      </c>
      <c r="B367" s="562">
        <v>118.1742480878253</v>
      </c>
      <c r="C367" s="563">
        <v>98.379920430738551</v>
      </c>
      <c r="D367" s="3232">
        <v>128.48376615553519</v>
      </c>
      <c r="E367" s="3232">
        <v>126.95106307421493</v>
      </c>
      <c r="F367" s="1151">
        <v>134.22910817044229</v>
      </c>
      <c r="G367" s="2203"/>
    </row>
    <row r="368" spans="1:7">
      <c r="A368" s="2202">
        <f t="shared" si="2"/>
        <v>2020.11</v>
      </c>
      <c r="B368" s="562">
        <v>119.62047291688545</v>
      </c>
      <c r="C368" s="563">
        <v>102.00004842354929</v>
      </c>
      <c r="D368" s="3232">
        <v>128.15127783100729</v>
      </c>
      <c r="E368" s="3232">
        <v>126.82771698732751</v>
      </c>
      <c r="F368" s="1151">
        <v>134.3003422767504</v>
      </c>
      <c r="G368" s="2203"/>
    </row>
    <row r="369" spans="1:7">
      <c r="A369" s="2202">
        <f t="shared" si="2"/>
        <v>2020.12</v>
      </c>
      <c r="B369" s="390">
        <v>123.2364377141712</v>
      </c>
      <c r="C369" s="391">
        <v>108.91559459070824</v>
      </c>
      <c r="D369" s="3231">
        <v>128.36890060823646</v>
      </c>
      <c r="E369" s="3231">
        <v>128.16993056774066</v>
      </c>
      <c r="F369" s="392">
        <v>137.94937001561931</v>
      </c>
      <c r="G369" s="2203"/>
    </row>
    <row r="370" spans="1:7">
      <c r="A370" s="2202">
        <f t="shared" si="2"/>
        <v>2021.01</v>
      </c>
      <c r="B370" s="390">
        <v>122.8371991172762</v>
      </c>
      <c r="C370" s="391">
        <v>105.64826506084528</v>
      </c>
      <c r="D370" s="3231">
        <v>128.64487930547298</v>
      </c>
      <c r="E370" s="3231">
        <v>131.1942776420388</v>
      </c>
      <c r="F370" s="934">
        <v>138.15375240259834</v>
      </c>
      <c r="G370" s="2204"/>
    </row>
    <row r="371" spans="1:7">
      <c r="A371" s="2202">
        <f t="shared" si="2"/>
        <v>2021.02</v>
      </c>
      <c r="B371" s="390">
        <v>122.38450784787337</v>
      </c>
      <c r="C371" s="391">
        <v>104.32844099235315</v>
      </c>
      <c r="D371" s="3231">
        <v>128.44953614161298</v>
      </c>
      <c r="E371" s="3231">
        <v>133.4968500855903</v>
      </c>
      <c r="F371" s="934">
        <v>136.77251917211362</v>
      </c>
      <c r="G371" s="2204"/>
    </row>
    <row r="372" spans="1:7">
      <c r="A372" s="2202">
        <f t="shared" si="2"/>
        <v>2021.03</v>
      </c>
      <c r="B372" s="390">
        <v>119.04451536172763</v>
      </c>
      <c r="C372" s="391">
        <v>99.896980308713452</v>
      </c>
      <c r="D372" s="3231">
        <v>127.12393113894815</v>
      </c>
      <c r="E372" s="3231">
        <v>130.77889423895598</v>
      </c>
      <c r="F372" s="934">
        <v>133.43629966632685</v>
      </c>
      <c r="G372" s="2204"/>
    </row>
    <row r="373" spans="1:7">
      <c r="A373" s="2202">
        <f t="shared" si="2"/>
        <v>2021.04</v>
      </c>
      <c r="B373" s="390">
        <v>116.76413222735742</v>
      </c>
      <c r="C373" s="391">
        <v>98.883210189286061</v>
      </c>
      <c r="D373" s="3231">
        <v>124.63086131523565</v>
      </c>
      <c r="E373" s="3231">
        <v>125.33654646783829</v>
      </c>
      <c r="F373" s="934">
        <v>131.64339461468037</v>
      </c>
      <c r="G373" s="2204"/>
    </row>
    <row r="374" spans="1:7">
      <c r="A374" s="2202">
        <f t="shared" si="2"/>
        <v>2021.05</v>
      </c>
      <c r="B374" s="390">
        <v>117.26227522656828</v>
      </c>
      <c r="C374" s="391">
        <v>102.47216807250551</v>
      </c>
      <c r="D374" s="3231">
        <v>122.77961270749927</v>
      </c>
      <c r="E374" s="3231">
        <v>124.1727014141851</v>
      </c>
      <c r="F374" s="934">
        <v>131.40587967034986</v>
      </c>
      <c r="G374" s="2204"/>
    </row>
    <row r="375" spans="1:7">
      <c r="A375" s="2202">
        <f t="shared" si="2"/>
        <v>2021.06</v>
      </c>
      <c r="B375" s="390">
        <v>116.98709310951446</v>
      </c>
      <c r="C375" s="391">
        <v>106.3739565798007</v>
      </c>
      <c r="D375" s="3231">
        <v>121.25389769514997</v>
      </c>
      <c r="E375" s="3231">
        <v>122.26193825884857</v>
      </c>
      <c r="F375" s="934">
        <v>128.05385875551519</v>
      </c>
      <c r="G375" s="2204"/>
    </row>
    <row r="376" spans="1:7">
      <c r="A376" s="2202">
        <f t="shared" si="2"/>
        <v>2021.07</v>
      </c>
      <c r="B376" s="390">
        <v>113.77078493539263</v>
      </c>
      <c r="C376" s="391">
        <v>102.50206218890837</v>
      </c>
      <c r="D376" s="3231">
        <v>119.53304880155265</v>
      </c>
      <c r="E376" s="3231">
        <v>120.45936988718206</v>
      </c>
      <c r="F376" s="934">
        <v>123.3268116113907</v>
      </c>
      <c r="G376" s="2204"/>
    </row>
    <row r="377" spans="1:7">
      <c r="A377" s="2202">
        <f t="shared" si="2"/>
        <v>2021.08</v>
      </c>
      <c r="B377" s="390">
        <v>111.94354386027193</v>
      </c>
      <c r="C377" s="391">
        <v>99.9147179401985</v>
      </c>
      <c r="D377" s="3231">
        <v>118.054672288001</v>
      </c>
      <c r="E377" s="3231">
        <v>120.4291127116179</v>
      </c>
      <c r="F377" s="934">
        <v>120.91571879760387</v>
      </c>
      <c r="G377" s="2204"/>
    </row>
    <row r="378" spans="1:7">
      <c r="A378" s="2202">
        <f t="shared" si="2"/>
        <v>2021.09</v>
      </c>
      <c r="B378" s="390">
        <v>110.11975426173393</v>
      </c>
      <c r="C378" s="391">
        <v>98.528757864714436</v>
      </c>
      <c r="D378" s="3231">
        <v>116.33223824504036</v>
      </c>
      <c r="E378" s="3231">
        <v>117.3881103018839</v>
      </c>
      <c r="F378" s="934">
        <v>119.20350085665298</v>
      </c>
      <c r="G378" s="2204"/>
    </row>
    <row r="379" spans="1:7">
      <c r="A379" s="2202">
        <f t="shared" si="2"/>
        <v>2021.1</v>
      </c>
      <c r="B379" s="390">
        <v>105.67761184154908</v>
      </c>
      <c r="C379" s="391">
        <v>92.820994573370285</v>
      </c>
      <c r="D379" s="3231">
        <v>114.21997305161396</v>
      </c>
      <c r="E379" s="3231">
        <v>112.89512035922553</v>
      </c>
      <c r="F379" s="934">
        <v>115.24544227741934</v>
      </c>
      <c r="G379" s="2204"/>
    </row>
    <row r="380" spans="1:7">
      <c r="A380" s="2202">
        <f t="shared" si="2"/>
        <v>2021.11</v>
      </c>
      <c r="B380" s="562">
        <v>103.82670702227043</v>
      </c>
      <c r="C380" s="391">
        <v>91.755375693960431</v>
      </c>
      <c r="D380" s="3231">
        <v>113.08171387975167</v>
      </c>
      <c r="E380" s="3231">
        <v>110.57941882179001</v>
      </c>
      <c r="F380" s="934">
        <v>112.02179952168723</v>
      </c>
      <c r="G380" s="2204"/>
    </row>
    <row r="381" spans="1:7">
      <c r="A381" s="2202">
        <f t="shared" si="2"/>
        <v>2021.12</v>
      </c>
      <c r="B381" s="562">
        <v>101.82573301227636</v>
      </c>
      <c r="C381" s="563">
        <v>89.355941965689141</v>
      </c>
      <c r="D381" s="3231">
        <v>112.13585948126679</v>
      </c>
      <c r="E381" s="3232">
        <v>109.40677270340564</v>
      </c>
      <c r="F381" s="935">
        <v>109.68923805437926</v>
      </c>
      <c r="G381" s="2204"/>
    </row>
    <row r="382" spans="1:7">
      <c r="A382" s="2202">
        <f t="shared" si="2"/>
        <v>2022.01</v>
      </c>
      <c r="B382" s="562">
        <v>101.56645213534681</v>
      </c>
      <c r="C382" s="563">
        <v>90.435429353983125</v>
      </c>
      <c r="D382" s="3232">
        <v>110.90742749086992</v>
      </c>
      <c r="E382" s="3232">
        <v>108.53451912987676</v>
      </c>
      <c r="F382" s="935">
        <v>108.31151946943807</v>
      </c>
      <c r="G382" s="2204"/>
    </row>
    <row r="383" spans="1:7">
      <c r="A383" s="2202">
        <f t="shared" si="2"/>
        <v>2022.02</v>
      </c>
      <c r="B383" s="562">
        <v>102.63765570699391</v>
      </c>
      <c r="C383" s="563">
        <v>95.10578116372848</v>
      </c>
      <c r="D383" s="3232">
        <v>109.56619362014966</v>
      </c>
      <c r="E383" s="3232">
        <v>108.65336433000924</v>
      </c>
      <c r="F383" s="935">
        <v>107.22204660437747</v>
      </c>
      <c r="G383" s="2204"/>
    </row>
    <row r="384" spans="1:7">
      <c r="A384" s="2202">
        <f t="shared" si="2"/>
        <v>2022.03</v>
      </c>
      <c r="B384" s="562">
        <v>101.51523789643754</v>
      </c>
      <c r="C384" s="563">
        <v>97.863033357891467</v>
      </c>
      <c r="D384" s="3232">
        <v>107.44829001516159</v>
      </c>
      <c r="E384" s="3232">
        <v>106.05732920354271</v>
      </c>
      <c r="F384" s="935">
        <v>102.8541693527894</v>
      </c>
      <c r="G384" s="2204"/>
    </row>
    <row r="385" spans="1:6">
      <c r="A385" s="2202">
        <f t="shared" si="2"/>
        <v>2022.04</v>
      </c>
      <c r="B385" s="562">
        <v>100.19817781655186</v>
      </c>
      <c r="C385" s="391">
        <v>101.19688643384156</v>
      </c>
      <c r="D385" s="3231">
        <v>105.25049803018292</v>
      </c>
      <c r="E385" s="3231">
        <v>100.90600680020451</v>
      </c>
      <c r="F385" s="934">
        <v>99.799056961812553</v>
      </c>
    </row>
    <row r="386" spans="1:6">
      <c r="A386" s="2202">
        <f t="shared" si="2"/>
        <v>2022.05</v>
      </c>
      <c r="B386" s="390">
        <v>96.650921350354011</v>
      </c>
      <c r="C386" s="391">
        <v>96.527469866219974</v>
      </c>
      <c r="D386" s="3231">
        <v>104.48330787771525</v>
      </c>
      <c r="E386" s="3231">
        <v>95.603424291391747</v>
      </c>
      <c r="F386" s="934">
        <v>96.825649365764278</v>
      </c>
    </row>
    <row r="387" spans="1:6">
      <c r="A387" s="2202">
        <f t="shared" si="2"/>
        <v>2022.06</v>
      </c>
      <c r="B387" s="390">
        <v>95.784192032424244</v>
      </c>
      <c r="C387" s="391">
        <v>94.425879959661103</v>
      </c>
      <c r="D387" s="3231">
        <v>104.54445144394245</v>
      </c>
      <c r="E387" s="3231">
        <v>95.194003254573616</v>
      </c>
      <c r="F387" s="934">
        <v>96.702617143196903</v>
      </c>
    </row>
    <row r="388" spans="1:6">
      <c r="A388" s="2202">
        <f t="shared" si="2"/>
        <v>2022.07</v>
      </c>
      <c r="B388" s="390">
        <v>91.857142194066853</v>
      </c>
      <c r="C388" s="391">
        <v>87.206727789781681</v>
      </c>
      <c r="D388" s="3231">
        <v>103.44424807714924</v>
      </c>
      <c r="E388" s="3231">
        <v>94.693192173727383</v>
      </c>
      <c r="F388" s="934">
        <v>92.072419977423635</v>
      </c>
    </row>
    <row r="389" spans="1:6">
      <c r="A389" s="2202">
        <f t="shared" si="2"/>
        <v>2022.08</v>
      </c>
      <c r="B389" s="390">
        <v>91.693193995106114</v>
      </c>
      <c r="C389" s="391">
        <v>88.883976754669831</v>
      </c>
      <c r="D389" s="3231">
        <v>101.79416707275308</v>
      </c>
      <c r="E389" s="3231">
        <v>93.722304664445559</v>
      </c>
      <c r="F389" s="934">
        <v>90.258253847863415</v>
      </c>
    </row>
    <row r="390" spans="1:6">
      <c r="A390" s="2202">
        <f t="shared" si="2"/>
        <v>2022.09</v>
      </c>
      <c r="B390" s="390">
        <v>89.259457817047533</v>
      </c>
      <c r="C390" s="391">
        <v>86.327050691659736</v>
      </c>
      <c r="D390" s="3231">
        <v>101.33904927331248</v>
      </c>
      <c r="E390" s="3231">
        <v>89.414432886234351</v>
      </c>
      <c r="F390" s="934">
        <v>88.446116563109868</v>
      </c>
    </row>
    <row r="391" spans="1:6">
      <c r="A391" s="2202">
        <f t="shared" si="2"/>
        <v>2022.1</v>
      </c>
      <c r="B391" s="390">
        <v>88.353727059819519</v>
      </c>
      <c r="C391" s="391">
        <v>86.431182454945457</v>
      </c>
      <c r="D391" s="3231">
        <v>101.85228844294062</v>
      </c>
      <c r="E391" s="3231">
        <v>85.291960261765439</v>
      </c>
      <c r="F391" s="934">
        <v>89.055771309513773</v>
      </c>
    </row>
    <row r="392" spans="1:6">
      <c r="A392" s="2202">
        <f t="shared" si="2"/>
        <v>2022.11</v>
      </c>
      <c r="B392" s="390">
        <v>90.096259171093664</v>
      </c>
      <c r="C392" s="391">
        <v>87.099384538432858</v>
      </c>
      <c r="D392" s="3231">
        <v>103.15926204087886</v>
      </c>
      <c r="E392" s="3231">
        <v>85.302699805601108</v>
      </c>
      <c r="F392" s="934">
        <v>94.042365245965883</v>
      </c>
    </row>
    <row r="393" spans="1:6">
      <c r="A393" s="2202">
        <f t="shared" si="2"/>
        <v>2022.12</v>
      </c>
      <c r="B393" s="390">
        <v>93.206157880135734</v>
      </c>
      <c r="C393" s="391">
        <v>89.388431666828879</v>
      </c>
      <c r="D393" s="3231">
        <v>104.79972666146162</v>
      </c>
      <c r="E393" s="3231">
        <v>88.897769431902603</v>
      </c>
      <c r="F393" s="934">
        <v>98.585370416083919</v>
      </c>
    </row>
    <row r="394" spans="1:6">
      <c r="A394" s="2202">
        <f t="shared" si="2"/>
        <v>2023.01</v>
      </c>
      <c r="B394" s="390">
        <v>95.136177348994181</v>
      </c>
      <c r="C394" s="391">
        <v>90.820229800067494</v>
      </c>
      <c r="D394" s="3231">
        <v>105.13905788550491</v>
      </c>
      <c r="E394" s="3231">
        <v>92.274678927657206</v>
      </c>
      <c r="F394" s="934">
        <v>100.12093739840643</v>
      </c>
    </row>
    <row r="395" spans="1:6">
      <c r="A395" s="2202">
        <f t="shared" si="2"/>
        <v>2023.02</v>
      </c>
      <c r="B395" s="390">
        <v>94.766248533671401</v>
      </c>
      <c r="C395" s="391">
        <v>90.7663362598296</v>
      </c>
      <c r="D395" s="3231">
        <v>104.67206404860676</v>
      </c>
      <c r="E395" s="3231">
        <v>92.001797632662488</v>
      </c>
      <c r="F395" s="934">
        <v>98.793202593251252</v>
      </c>
    </row>
    <row r="396" spans="1:6">
      <c r="A396" s="2202">
        <f t="shared" si="2"/>
        <v>2023.03</v>
      </c>
      <c r="B396" s="390">
        <v>93.584121446951627</v>
      </c>
      <c r="C396" s="391">
        <v>89.62221182541974</v>
      </c>
      <c r="D396" s="3231">
        <v>103.44895216750916</v>
      </c>
      <c r="E396" s="3231">
        <v>89.950770897373417</v>
      </c>
      <c r="F396" s="934">
        <v>98.449501006977513</v>
      </c>
    </row>
    <row r="397" spans="1:6">
      <c r="A397" s="2202">
        <f t="shared" si="2"/>
        <v>2023.04</v>
      </c>
      <c r="B397" s="390">
        <v>93.806279007774904</v>
      </c>
      <c r="C397" s="391">
        <v>92.257824877200434</v>
      </c>
      <c r="D397" s="3231">
        <v>102.04327901378636</v>
      </c>
      <c r="E397" s="3231">
        <v>87.30676166704734</v>
      </c>
      <c r="F397" s="934">
        <v>99.844702086353422</v>
      </c>
    </row>
    <row r="398" spans="1:6">
      <c r="A398" s="2202">
        <f t="shared" si="2"/>
        <v>2023.05</v>
      </c>
      <c r="B398" s="390">
        <v>93.047220559429832</v>
      </c>
      <c r="C398" s="391">
        <v>92.757416775813979</v>
      </c>
      <c r="D398" s="3231">
        <v>101.42731376972253</v>
      </c>
      <c r="E398" s="3231">
        <v>85.198573707501467</v>
      </c>
      <c r="F398" s="934">
        <v>98.467818439658487</v>
      </c>
    </row>
    <row r="399" spans="1:6">
      <c r="A399" s="2202">
        <f t="shared" si="2"/>
        <v>2023.06</v>
      </c>
      <c r="B399" s="390">
        <v>93.963542862014847</v>
      </c>
      <c r="C399" s="391">
        <v>95.536927848930446</v>
      </c>
      <c r="D399" s="3231">
        <v>102.21245410473006</v>
      </c>
      <c r="E399" s="3231">
        <v>84.12158879624856</v>
      </c>
      <c r="F399" s="934">
        <v>98.93595781870583</v>
      </c>
    </row>
    <row r="400" spans="1:6">
      <c r="A400" s="2202">
        <f t="shared" si="2"/>
        <v>2023.07</v>
      </c>
      <c r="B400" s="390">
        <v>95.847856649229797</v>
      </c>
      <c r="C400" s="391">
        <v>97.588316920437506</v>
      </c>
      <c r="D400" s="3231">
        <v>103.35472670112193</v>
      </c>
      <c r="E400" s="3231">
        <v>85.637922882082094</v>
      </c>
      <c r="F400" s="934">
        <v>101.89263045302489</v>
      </c>
    </row>
    <row r="401" spans="1:6">
      <c r="A401" s="2202">
        <f t="shared" si="2"/>
        <v>2023.08</v>
      </c>
      <c r="B401" s="390">
        <v>104.82407025413322</v>
      </c>
      <c r="C401" s="391">
        <v>105.37607168876211</v>
      </c>
      <c r="D401" s="3231">
        <v>114.30064616504619</v>
      </c>
      <c r="E401" s="3231">
        <v>95.20045654568986</v>
      </c>
      <c r="F401" s="934">
        <v>111.02126482196817</v>
      </c>
    </row>
    <row r="402" spans="1:6">
      <c r="A402" s="2202">
        <f t="shared" si="2"/>
        <v>2023.09</v>
      </c>
      <c r="B402" s="390">
        <v>100.66570371269685</v>
      </c>
      <c r="C402" s="391">
        <v>101.66325587727339</v>
      </c>
      <c r="D402" s="3231">
        <v>111.29226007042648</v>
      </c>
      <c r="E402" s="3231">
        <v>90.976990664516563</v>
      </c>
      <c r="F402" s="934">
        <v>105.85287652921703</v>
      </c>
    </row>
    <row r="403" spans="1:6">
      <c r="A403" s="2202">
        <f t="shared" si="2"/>
        <v>2023.1</v>
      </c>
      <c r="B403" s="390">
        <v>89.627357638790627</v>
      </c>
      <c r="C403" s="391">
        <v>90.056542858573536</v>
      </c>
      <c r="D403" s="3231">
        <v>100.99545549267712</v>
      </c>
      <c r="E403" s="3231">
        <v>80.344870215027214</v>
      </c>
      <c r="F403" s="934">
        <v>94.991422912851718</v>
      </c>
    </row>
    <row r="404" spans="1:6">
      <c r="A404" s="2202">
        <f t="shared" si="2"/>
        <v>2023.11</v>
      </c>
      <c r="B404" s="390">
        <v>83.19406721634067</v>
      </c>
      <c r="C404" s="391">
        <v>85.144702251838225</v>
      </c>
      <c r="D404" s="3231">
        <v>92.31463145520199</v>
      </c>
      <c r="E404" s="3231">
        <v>73.009713947196175</v>
      </c>
      <c r="F404" s="934">
        <v>88.527117936350209</v>
      </c>
    </row>
    <row r="405" spans="1:6">
      <c r="A405" s="2202">
        <f t="shared" si="2"/>
        <v>2023.12</v>
      </c>
      <c r="B405" s="390">
        <v>124.86547454888039</v>
      </c>
      <c r="C405" s="391">
        <v>127.35574792801974</v>
      </c>
      <c r="D405" s="3231">
        <v>137.397419742534</v>
      </c>
      <c r="E405" s="3231">
        <v>110.10545659223369</v>
      </c>
      <c r="F405" s="934">
        <v>132.91401284081769</v>
      </c>
    </row>
    <row r="406" spans="1:6">
      <c r="A406" s="2202">
        <f t="shared" si="2"/>
        <v>2024.01</v>
      </c>
      <c r="B406" s="390">
        <v>132.77413580143073</v>
      </c>
      <c r="C406" s="391">
        <v>135.58360545735317</v>
      </c>
      <c r="D406" s="3231">
        <v>146.59697567351031</v>
      </c>
      <c r="E406" s="3231">
        <v>117.44991250923704</v>
      </c>
      <c r="F406" s="934">
        <v>140.81197187308618</v>
      </c>
    </row>
    <row r="407" spans="1:6">
      <c r="A407" s="2202">
        <f t="shared" ref="A407:A470" si="3">A395+1</f>
        <v>2024.02</v>
      </c>
      <c r="B407" s="390">
        <v>115.74437620428446</v>
      </c>
      <c r="C407" s="391">
        <v>117.73366866151071</v>
      </c>
      <c r="D407" s="3231">
        <v>128.432734883656</v>
      </c>
      <c r="E407" s="3231">
        <v>104.09027422837356</v>
      </c>
      <c r="F407" s="934">
        <v>121.76771280440934</v>
      </c>
    </row>
    <row r="408" spans="1:6">
      <c r="A408" s="2202">
        <f t="shared" si="3"/>
        <v>2024.03</v>
      </c>
      <c r="B408" s="390">
        <v>105.86353613870173</v>
      </c>
      <c r="C408" s="391">
        <v>107.36500975842877</v>
      </c>
      <c r="D408" s="3231">
        <v>117.29954367161987</v>
      </c>
      <c r="E408" s="3231">
        <v>94.793184174469047</v>
      </c>
      <c r="F408" s="934">
        <v>112.32168665878443</v>
      </c>
    </row>
    <row r="409" spans="1:6">
      <c r="A409" s="2202">
        <f t="shared" si="3"/>
        <v>2024.04</v>
      </c>
      <c r="B409" s="390">
        <v>97.016299021053797</v>
      </c>
      <c r="C409" s="391">
        <v>97.225160675086769</v>
      </c>
      <c r="D409" s="3231">
        <v>109.26425467234004</v>
      </c>
      <c r="E409" s="3231">
        <v>86.21131542495435</v>
      </c>
      <c r="F409" s="934">
        <v>103.62478234481897</v>
      </c>
    </row>
    <row r="410" spans="1:6">
      <c r="A410" s="2202">
        <f t="shared" si="3"/>
        <v>2024.05</v>
      </c>
      <c r="B410" s="390">
        <v>93.424457930490675</v>
      </c>
      <c r="C410" s="391">
        <v>93.288621121919164</v>
      </c>
      <c r="D410" s="3231">
        <v>104.93635967633834</v>
      </c>
      <c r="E410" s="3231">
        <v>82.677846012151392</v>
      </c>
      <c r="F410" s="934">
        <v>100.55383741579394</v>
      </c>
    </row>
    <row r="411" spans="1:6">
      <c r="A411" s="2202">
        <f t="shared" si="3"/>
        <v>2024.06</v>
      </c>
      <c r="B411" s="390">
        <v>89.895830650224624</v>
      </c>
      <c r="C411" s="391">
        <v>87.181685213009814</v>
      </c>
      <c r="D411" s="3231">
        <v>102.6061849713375</v>
      </c>
      <c r="E411" s="3231">
        <v>80.949533052252747</v>
      </c>
      <c r="F411" s="934">
        <v>98.077802491967233</v>
      </c>
    </row>
    <row r="412" spans="1:6">
      <c r="A412" s="2202">
        <f t="shared" si="3"/>
        <v>2024.07</v>
      </c>
      <c r="B412" s="390">
        <v>87.875459003630439</v>
      </c>
      <c r="C412" s="391">
        <v>83.337751798954159</v>
      </c>
      <c r="D412" s="3231">
        <v>100.60036316163679</v>
      </c>
      <c r="E412" s="3231">
        <v>80.440652012162161</v>
      </c>
      <c r="F412" s="934">
        <v>96.945130052485524</v>
      </c>
    </row>
    <row r="413" spans="1:6">
      <c r="A413" s="2202">
        <f t="shared" si="3"/>
        <v>2024.08</v>
      </c>
      <c r="B413" s="390">
        <v>87.149716009664374</v>
      </c>
      <c r="C413" s="391">
        <v>81.661283511460113</v>
      </c>
      <c r="D413" s="3231">
        <v>98.792227720590873</v>
      </c>
      <c r="E413" s="3231">
        <v>81.658606106157464</v>
      </c>
      <c r="F413" s="934">
        <v>96.589101429583692</v>
      </c>
    </row>
    <row r="414" spans="1:6">
      <c r="A414" s="2202">
        <f t="shared" si="3"/>
        <v>2024.09</v>
      </c>
      <c r="B414" s="390">
        <v>86.038995792915429</v>
      </c>
      <c r="C414" s="391">
        <v>80.685675693645692</v>
      </c>
      <c r="D414" s="3231">
        <v>97.307671879060379</v>
      </c>
      <c r="E414" s="3231">
        <v>80.407480489698131</v>
      </c>
      <c r="F414" s="934">
        <v>95.724745750524264</v>
      </c>
    </row>
    <row r="415" spans="1:6">
      <c r="A415" s="2202">
        <f t="shared" si="3"/>
        <v>2024.1</v>
      </c>
      <c r="B415" s="390">
        <v>84.03946599061139</v>
      </c>
      <c r="C415" s="391">
        <v>79.080764821150964</v>
      </c>
      <c r="D415" s="3231">
        <v>96.523253243384673</v>
      </c>
      <c r="E415" s="3231">
        <v>77.499215977398421</v>
      </c>
      <c r="F415" s="934">
        <v>93.015968166486445</v>
      </c>
    </row>
    <row r="416" spans="1:6">
      <c r="A416" s="2202">
        <f t="shared" si="3"/>
        <v>2024.11</v>
      </c>
      <c r="B416" s="390">
        <v>81.741646805814625</v>
      </c>
      <c r="C416" s="391">
        <v>76.363767544643181</v>
      </c>
      <c r="D416" s="3231">
        <v>96.277961213618553</v>
      </c>
      <c r="E416" s="3231">
        <v>74.612060365740135</v>
      </c>
      <c r="F416" s="934">
        <v>90.306566992429552</v>
      </c>
    </row>
    <row r="417" spans="1:6">
      <c r="A417" s="2202">
        <f t="shared" si="3"/>
        <v>2024.12</v>
      </c>
      <c r="B417" s="390">
        <v>79.786744845762058</v>
      </c>
      <c r="C417" s="391">
        <v>72.770650506490199</v>
      </c>
      <c r="D417" s="3231">
        <v>96.105117226325987</v>
      </c>
      <c r="E417" s="3231">
        <v>73.441320112803325</v>
      </c>
      <c r="F417" s="934">
        <v>88.570718915392618</v>
      </c>
    </row>
    <row r="418" spans="1:6">
      <c r="A418" s="2202">
        <f t="shared" si="3"/>
        <v>2025.01</v>
      </c>
      <c r="B418" s="390">
        <v>79.702167009462343</v>
      </c>
      <c r="C418" s="391">
        <v>73.601973599375071</v>
      </c>
      <c r="D418" s="3231">
        <v>96.127715134050689</v>
      </c>
      <c r="E418" s="3231">
        <v>73.726223993105535</v>
      </c>
      <c r="F418" s="934">
        <v>87.219051118872358</v>
      </c>
    </row>
    <row r="419" spans="1:6">
      <c r="A419" s="2202">
        <f t="shared" si="3"/>
        <v>2025.02</v>
      </c>
      <c r="B419" s="390">
        <v>81.044535589831625</v>
      </c>
      <c r="C419" s="391">
        <v>76.973426549968593</v>
      </c>
      <c r="D419" s="3231">
        <v>95.648427561609878</v>
      </c>
      <c r="E419" s="3231">
        <v>74.482901731416874</v>
      </c>
      <c r="F419" s="934">
        <v>87.138009871254525</v>
      </c>
    </row>
    <row r="420" spans="1:6">
      <c r="A420" s="2202">
        <f t="shared" si="3"/>
        <v>2025.03</v>
      </c>
      <c r="B420" s="390">
        <v>80.49441861817246</v>
      </c>
      <c r="C420" s="391">
        <v>76.089332313100513</v>
      </c>
      <c r="D420" s="3231">
        <v>93.807376505653721</v>
      </c>
      <c r="E420" s="3231">
        <v>73.105144807503677</v>
      </c>
      <c r="F420" s="934">
        <v>88.917947489986801</v>
      </c>
    </row>
    <row r="421" spans="1:6">
      <c r="A421" s="2202">
        <f t="shared" si="3"/>
        <v>2025.04</v>
      </c>
      <c r="B421" s="390">
        <v>82.320092159753671</v>
      </c>
      <c r="C421" s="391">
        <v>77.516186397320922</v>
      </c>
      <c r="D421" s="3231">
        <v>95.656066827438053</v>
      </c>
      <c r="E421" s="3231">
        <v>73.038414245381503</v>
      </c>
      <c r="F421" s="934">
        <v>94.922356551304262</v>
      </c>
    </row>
    <row r="422" spans="1:6">
      <c r="A422" s="2202">
        <f t="shared" si="3"/>
        <v>2025.05</v>
      </c>
      <c r="B422" s="390">
        <v>83.395678219460393</v>
      </c>
      <c r="C422" s="391" t="e">
        <v>#N/A</v>
      </c>
      <c r="D422" s="3231" t="e">
        <v>#N/A</v>
      </c>
      <c r="E422" s="3231" t="e">
        <v>#N/A</v>
      </c>
      <c r="F422" s="934" t="e">
        <v>#N/A</v>
      </c>
    </row>
    <row r="423" spans="1:6">
      <c r="A423" s="2202">
        <f t="shared" si="3"/>
        <v>2025.06</v>
      </c>
      <c r="B423" s="390" t="e">
        <v>#N/A</v>
      </c>
      <c r="C423" s="391" t="e">
        <v>#N/A</v>
      </c>
      <c r="D423" s="3231" t="e">
        <v>#N/A</v>
      </c>
      <c r="E423" s="3231" t="e">
        <v>#N/A</v>
      </c>
      <c r="F423" s="934" t="e">
        <v>#N/A</v>
      </c>
    </row>
    <row r="424" spans="1:6">
      <c r="A424" s="2202">
        <f t="shared" si="3"/>
        <v>2025.07</v>
      </c>
      <c r="B424" s="390" t="e">
        <v>#N/A</v>
      </c>
      <c r="C424" s="391" t="e">
        <v>#N/A</v>
      </c>
      <c r="D424" s="3231" t="e">
        <v>#N/A</v>
      </c>
      <c r="E424" s="3231" t="e">
        <v>#N/A</v>
      </c>
      <c r="F424" s="934" t="e">
        <v>#N/A</v>
      </c>
    </row>
    <row r="425" spans="1:6">
      <c r="A425" s="2202">
        <f t="shared" si="3"/>
        <v>2025.08</v>
      </c>
      <c r="B425" s="390" t="e">
        <v>#N/A</v>
      </c>
      <c r="C425" s="391" t="e">
        <v>#N/A</v>
      </c>
      <c r="D425" s="3231" t="e">
        <v>#N/A</v>
      </c>
      <c r="E425" s="3231" t="e">
        <v>#N/A</v>
      </c>
      <c r="F425" s="934" t="e">
        <v>#N/A</v>
      </c>
    </row>
    <row r="426" spans="1:6">
      <c r="A426" s="2202">
        <f t="shared" si="3"/>
        <v>2025.09</v>
      </c>
      <c r="B426" s="390" t="e">
        <v>#N/A</v>
      </c>
      <c r="C426" s="391" t="e">
        <v>#N/A</v>
      </c>
      <c r="D426" s="3231" t="e">
        <v>#N/A</v>
      </c>
      <c r="E426" s="3231" t="e">
        <v>#N/A</v>
      </c>
      <c r="F426" s="934" t="e">
        <v>#N/A</v>
      </c>
    </row>
    <row r="427" spans="1:6">
      <c r="A427" s="2202">
        <f t="shared" si="3"/>
        <v>2025.1</v>
      </c>
      <c r="B427" s="390" t="e">
        <v>#N/A</v>
      </c>
      <c r="C427" s="391" t="e">
        <v>#N/A</v>
      </c>
      <c r="D427" s="3231" t="e">
        <v>#N/A</v>
      </c>
      <c r="E427" s="3231" t="e">
        <v>#N/A</v>
      </c>
      <c r="F427" s="934" t="e">
        <v>#N/A</v>
      </c>
    </row>
    <row r="428" spans="1:6">
      <c r="A428" s="2202">
        <f t="shared" si="3"/>
        <v>2025.11</v>
      </c>
      <c r="B428" s="390" t="e">
        <v>#N/A</v>
      </c>
      <c r="C428" s="391" t="e">
        <v>#N/A</v>
      </c>
      <c r="D428" s="3231" t="e">
        <v>#N/A</v>
      </c>
      <c r="E428" s="3231" t="e">
        <v>#N/A</v>
      </c>
      <c r="F428" s="934" t="e">
        <v>#N/A</v>
      </c>
    </row>
    <row r="429" spans="1:6">
      <c r="A429" s="2202">
        <f t="shared" si="3"/>
        <v>2025.12</v>
      </c>
      <c r="B429" s="390" t="e">
        <v>#N/A</v>
      </c>
      <c r="C429" s="391" t="e">
        <v>#N/A</v>
      </c>
      <c r="D429" s="3231" t="e">
        <v>#N/A</v>
      </c>
      <c r="E429" s="3231" t="e">
        <v>#N/A</v>
      </c>
      <c r="F429" s="934" t="e">
        <v>#N/A</v>
      </c>
    </row>
    <row r="430" spans="1:6">
      <c r="A430" s="1340">
        <f t="shared" si="3"/>
        <v>2026.01</v>
      </c>
      <c r="B430" s="390" t="e">
        <v>#N/A</v>
      </c>
      <c r="C430" s="391" t="e">
        <v>#N/A</v>
      </c>
      <c r="D430" s="3231" t="e">
        <v>#N/A</v>
      </c>
      <c r="E430" s="3231" t="e">
        <v>#N/A</v>
      </c>
      <c r="F430" s="934" t="e">
        <v>#N/A</v>
      </c>
    </row>
    <row r="431" spans="1:6">
      <c r="A431" s="1340">
        <f t="shared" si="3"/>
        <v>2026.02</v>
      </c>
      <c r="B431" s="390" t="e">
        <v>#N/A</v>
      </c>
      <c r="C431" s="391" t="e">
        <v>#N/A</v>
      </c>
      <c r="D431" s="3231" t="e">
        <v>#N/A</v>
      </c>
      <c r="E431" s="3231" t="e">
        <v>#N/A</v>
      </c>
      <c r="F431" s="934" t="e">
        <v>#N/A</v>
      </c>
    </row>
    <row r="432" spans="1:6">
      <c r="A432" s="1340">
        <f t="shared" si="3"/>
        <v>2026.03</v>
      </c>
      <c r="B432" s="390" t="e">
        <v>#N/A</v>
      </c>
      <c r="C432" s="391" t="e">
        <v>#N/A</v>
      </c>
      <c r="D432" s="3231" t="e">
        <v>#N/A</v>
      </c>
      <c r="E432" s="3231" t="e">
        <v>#N/A</v>
      </c>
      <c r="F432" s="934" t="e">
        <v>#N/A</v>
      </c>
    </row>
    <row r="433" spans="1:6">
      <c r="A433" s="1340">
        <f t="shared" si="3"/>
        <v>2026.04</v>
      </c>
      <c r="B433" s="390" t="e">
        <v>#N/A</v>
      </c>
      <c r="C433" s="391" t="e">
        <v>#N/A</v>
      </c>
      <c r="D433" s="3231" t="e">
        <v>#N/A</v>
      </c>
      <c r="E433" s="3231" t="e">
        <v>#N/A</v>
      </c>
      <c r="F433" s="934" t="e">
        <v>#N/A</v>
      </c>
    </row>
    <row r="434" spans="1:6">
      <c r="A434" s="1340">
        <f t="shared" si="3"/>
        <v>2026.05</v>
      </c>
      <c r="B434" s="390" t="e">
        <v>#N/A</v>
      </c>
      <c r="C434" s="391" t="e">
        <v>#N/A</v>
      </c>
      <c r="D434" s="3231" t="e">
        <v>#N/A</v>
      </c>
      <c r="E434" s="3231" t="e">
        <v>#N/A</v>
      </c>
      <c r="F434" s="934" t="e">
        <v>#N/A</v>
      </c>
    </row>
    <row r="435" spans="1:6">
      <c r="A435" s="1340">
        <f t="shared" si="3"/>
        <v>2026.06</v>
      </c>
      <c r="B435" s="390" t="e">
        <v>#N/A</v>
      </c>
      <c r="C435" s="391" t="e">
        <v>#N/A</v>
      </c>
      <c r="D435" s="3231" t="e">
        <v>#N/A</v>
      </c>
      <c r="E435" s="3231" t="e">
        <v>#N/A</v>
      </c>
      <c r="F435" s="934" t="e">
        <v>#N/A</v>
      </c>
    </row>
    <row r="436" spans="1:6">
      <c r="A436" s="1340">
        <f t="shared" si="3"/>
        <v>2026.07</v>
      </c>
      <c r="B436" s="390" t="e">
        <v>#N/A</v>
      </c>
      <c r="C436" s="391" t="e">
        <v>#N/A</v>
      </c>
      <c r="D436" s="3231" t="e">
        <v>#N/A</v>
      </c>
      <c r="E436" s="3231" t="e">
        <v>#N/A</v>
      </c>
      <c r="F436" s="934" t="e">
        <v>#N/A</v>
      </c>
    </row>
    <row r="437" spans="1:6">
      <c r="A437" s="1340">
        <f t="shared" si="3"/>
        <v>2026.08</v>
      </c>
      <c r="B437" s="390" t="e">
        <v>#N/A</v>
      </c>
      <c r="C437" s="391" t="e">
        <v>#N/A</v>
      </c>
      <c r="D437" s="3231" t="e">
        <v>#N/A</v>
      </c>
      <c r="E437" s="3231" t="e">
        <v>#N/A</v>
      </c>
      <c r="F437" s="934" t="e">
        <v>#N/A</v>
      </c>
    </row>
    <row r="438" spans="1:6">
      <c r="A438" s="1340">
        <f t="shared" si="3"/>
        <v>2026.09</v>
      </c>
      <c r="B438" s="390" t="e">
        <v>#N/A</v>
      </c>
      <c r="C438" s="391" t="e">
        <v>#N/A</v>
      </c>
      <c r="D438" s="3231" t="e">
        <v>#N/A</v>
      </c>
      <c r="E438" s="3231" t="e">
        <v>#N/A</v>
      </c>
      <c r="F438" s="934" t="e">
        <v>#N/A</v>
      </c>
    </row>
    <row r="439" spans="1:6">
      <c r="A439" s="1340">
        <f t="shared" si="3"/>
        <v>2026.1</v>
      </c>
      <c r="B439" s="390" t="e">
        <v>#N/A</v>
      </c>
      <c r="C439" s="391" t="e">
        <v>#N/A</v>
      </c>
      <c r="D439" s="3231" t="e">
        <v>#N/A</v>
      </c>
      <c r="E439" s="3231" t="e">
        <v>#N/A</v>
      </c>
      <c r="F439" s="934" t="e">
        <v>#N/A</v>
      </c>
    </row>
    <row r="440" spans="1:6">
      <c r="A440" s="1340">
        <f t="shared" si="3"/>
        <v>2026.11</v>
      </c>
      <c r="B440" s="390" t="e">
        <v>#N/A</v>
      </c>
      <c r="C440" s="391" t="e">
        <v>#N/A</v>
      </c>
      <c r="D440" s="3231" t="e">
        <v>#N/A</v>
      </c>
      <c r="E440" s="3231" t="e">
        <v>#N/A</v>
      </c>
      <c r="F440" s="934" t="e">
        <v>#N/A</v>
      </c>
    </row>
    <row r="441" spans="1:6">
      <c r="A441" s="1340">
        <f t="shared" si="3"/>
        <v>2026.12</v>
      </c>
      <c r="B441" s="390" t="e">
        <v>#N/A</v>
      </c>
      <c r="C441" s="391" t="e">
        <v>#N/A</v>
      </c>
      <c r="D441" s="3231" t="e">
        <v>#N/A</v>
      </c>
      <c r="E441" s="3231" t="e">
        <v>#N/A</v>
      </c>
      <c r="F441" s="934" t="e">
        <v>#N/A</v>
      </c>
    </row>
    <row r="442" spans="1:6">
      <c r="A442" s="1340">
        <f t="shared" si="3"/>
        <v>2027.01</v>
      </c>
      <c r="B442" s="390" t="e">
        <v>#N/A</v>
      </c>
      <c r="C442" s="391" t="e">
        <v>#N/A</v>
      </c>
      <c r="D442" s="3231" t="e">
        <v>#N/A</v>
      </c>
      <c r="E442" s="3231" t="e">
        <v>#N/A</v>
      </c>
      <c r="F442" s="934" t="e">
        <v>#N/A</v>
      </c>
    </row>
    <row r="443" spans="1:6">
      <c r="A443" s="1340">
        <f t="shared" si="3"/>
        <v>2027.02</v>
      </c>
      <c r="B443" s="390" t="e">
        <v>#N/A</v>
      </c>
      <c r="C443" s="391" t="e">
        <v>#N/A</v>
      </c>
      <c r="D443" s="3231" t="e">
        <v>#N/A</v>
      </c>
      <c r="E443" s="3231" t="e">
        <v>#N/A</v>
      </c>
      <c r="F443" s="934" t="e">
        <v>#N/A</v>
      </c>
    </row>
    <row r="444" spans="1:6">
      <c r="A444" s="1340">
        <f t="shared" si="3"/>
        <v>2027.03</v>
      </c>
      <c r="B444" s="390" t="e">
        <v>#N/A</v>
      </c>
      <c r="C444" s="391" t="e">
        <v>#N/A</v>
      </c>
      <c r="D444" s="3231" t="e">
        <v>#N/A</v>
      </c>
      <c r="E444" s="3231" t="e">
        <v>#N/A</v>
      </c>
      <c r="F444" s="934" t="e">
        <v>#N/A</v>
      </c>
    </row>
    <row r="445" spans="1:6">
      <c r="A445" s="1340">
        <f t="shared" si="3"/>
        <v>2027.04</v>
      </c>
      <c r="B445" s="390" t="e">
        <v>#N/A</v>
      </c>
      <c r="C445" s="391" t="e">
        <v>#N/A</v>
      </c>
      <c r="D445" s="3231" t="e">
        <v>#N/A</v>
      </c>
      <c r="E445" s="3231" t="e">
        <v>#N/A</v>
      </c>
      <c r="F445" s="934" t="e">
        <v>#N/A</v>
      </c>
    </row>
    <row r="446" spans="1:6">
      <c r="A446" s="1340">
        <f t="shared" si="3"/>
        <v>2027.05</v>
      </c>
      <c r="B446" s="390" t="e">
        <v>#N/A</v>
      </c>
      <c r="C446" s="391" t="e">
        <v>#N/A</v>
      </c>
      <c r="D446" s="3231" t="e">
        <v>#N/A</v>
      </c>
      <c r="E446" s="3231" t="e">
        <v>#N/A</v>
      </c>
      <c r="F446" s="934" t="e">
        <v>#N/A</v>
      </c>
    </row>
    <row r="447" spans="1:6">
      <c r="A447" s="1340">
        <f t="shared" si="3"/>
        <v>2027.06</v>
      </c>
      <c r="B447" s="390" t="e">
        <v>#N/A</v>
      </c>
      <c r="C447" s="391" t="e">
        <v>#N/A</v>
      </c>
      <c r="D447" s="3231" t="e">
        <v>#N/A</v>
      </c>
      <c r="E447" s="3231" t="e">
        <v>#N/A</v>
      </c>
      <c r="F447" s="934" t="e">
        <v>#N/A</v>
      </c>
    </row>
    <row r="448" spans="1:6">
      <c r="A448" s="1340">
        <f t="shared" si="3"/>
        <v>2027.07</v>
      </c>
      <c r="B448" s="390" t="e">
        <v>#N/A</v>
      </c>
      <c r="C448" s="391" t="e">
        <v>#N/A</v>
      </c>
      <c r="D448" s="3231" t="e">
        <v>#N/A</v>
      </c>
      <c r="E448" s="3231" t="e">
        <v>#N/A</v>
      </c>
      <c r="F448" s="934" t="e">
        <v>#N/A</v>
      </c>
    </row>
    <row r="449" spans="1:6">
      <c r="A449" s="1340">
        <f t="shared" si="3"/>
        <v>2027.08</v>
      </c>
      <c r="B449" s="390" t="e">
        <v>#N/A</v>
      </c>
      <c r="C449" s="391" t="e">
        <v>#N/A</v>
      </c>
      <c r="D449" s="3231" t="e">
        <v>#N/A</v>
      </c>
      <c r="E449" s="3231" t="e">
        <v>#N/A</v>
      </c>
      <c r="F449" s="934" t="e">
        <v>#N/A</v>
      </c>
    </row>
    <row r="450" spans="1:6">
      <c r="A450" s="1340">
        <f t="shared" si="3"/>
        <v>2027.09</v>
      </c>
      <c r="B450" s="390" t="e">
        <v>#N/A</v>
      </c>
      <c r="C450" s="391" t="e">
        <v>#N/A</v>
      </c>
      <c r="D450" s="3231" t="e">
        <v>#N/A</v>
      </c>
      <c r="E450" s="3231" t="e">
        <v>#N/A</v>
      </c>
      <c r="F450" s="934" t="e">
        <v>#N/A</v>
      </c>
    </row>
    <row r="451" spans="1:6">
      <c r="A451" s="1340">
        <f t="shared" si="3"/>
        <v>2027.1</v>
      </c>
      <c r="B451" s="390" t="e">
        <v>#N/A</v>
      </c>
      <c r="C451" s="391" t="e">
        <v>#N/A</v>
      </c>
      <c r="D451" s="3231" t="e">
        <v>#N/A</v>
      </c>
      <c r="E451" s="3231" t="e">
        <v>#N/A</v>
      </c>
      <c r="F451" s="934" t="e">
        <v>#N/A</v>
      </c>
    </row>
    <row r="452" spans="1:6">
      <c r="A452" s="1340">
        <f t="shared" si="3"/>
        <v>2027.11</v>
      </c>
      <c r="B452" s="390" t="e">
        <v>#N/A</v>
      </c>
      <c r="C452" s="391" t="e">
        <v>#N/A</v>
      </c>
      <c r="D452" s="3231" t="e">
        <v>#N/A</v>
      </c>
      <c r="E452" s="3231" t="e">
        <v>#N/A</v>
      </c>
      <c r="F452" s="934" t="e">
        <v>#N/A</v>
      </c>
    </row>
    <row r="453" spans="1:6">
      <c r="A453" s="1340">
        <f t="shared" si="3"/>
        <v>2027.12</v>
      </c>
      <c r="B453" s="390" t="e">
        <v>#N/A</v>
      </c>
      <c r="C453" s="391" t="e">
        <v>#N/A</v>
      </c>
      <c r="D453" s="3231" t="e">
        <v>#N/A</v>
      </c>
      <c r="E453" s="3231" t="e">
        <v>#N/A</v>
      </c>
      <c r="F453" s="934" t="e">
        <v>#N/A</v>
      </c>
    </row>
    <row r="454" spans="1:6">
      <c r="A454" s="1340">
        <f t="shared" si="3"/>
        <v>2028.01</v>
      </c>
      <c r="B454" s="390" t="e">
        <v>#N/A</v>
      </c>
      <c r="C454" s="391" t="e">
        <v>#N/A</v>
      </c>
      <c r="D454" s="3231" t="e">
        <v>#N/A</v>
      </c>
      <c r="E454" s="3231" t="e">
        <v>#N/A</v>
      </c>
      <c r="F454" s="934" t="e">
        <v>#N/A</v>
      </c>
    </row>
    <row r="455" spans="1:6">
      <c r="A455" s="1340">
        <f t="shared" si="3"/>
        <v>2028.02</v>
      </c>
      <c r="B455" s="390" t="e">
        <v>#N/A</v>
      </c>
      <c r="C455" s="391" t="e">
        <v>#N/A</v>
      </c>
      <c r="D455" s="3231" t="e">
        <v>#N/A</v>
      </c>
      <c r="E455" s="3231" t="e">
        <v>#N/A</v>
      </c>
      <c r="F455" s="934" t="e">
        <v>#N/A</v>
      </c>
    </row>
    <row r="456" spans="1:6">
      <c r="A456" s="1340">
        <f t="shared" si="3"/>
        <v>2028.03</v>
      </c>
      <c r="B456" s="390" t="e">
        <v>#N/A</v>
      </c>
      <c r="C456" s="391" t="e">
        <v>#N/A</v>
      </c>
      <c r="D456" s="3231" t="e">
        <v>#N/A</v>
      </c>
      <c r="E456" s="3231" t="e">
        <v>#N/A</v>
      </c>
      <c r="F456" s="934" t="e">
        <v>#N/A</v>
      </c>
    </row>
    <row r="457" spans="1:6">
      <c r="A457" s="1340">
        <f t="shared" si="3"/>
        <v>2028.04</v>
      </c>
      <c r="B457" s="390" t="e">
        <v>#N/A</v>
      </c>
      <c r="C457" s="391" t="e">
        <v>#N/A</v>
      </c>
      <c r="D457" s="3231" t="e">
        <v>#N/A</v>
      </c>
      <c r="E457" s="3231" t="e">
        <v>#N/A</v>
      </c>
      <c r="F457" s="934" t="e">
        <v>#N/A</v>
      </c>
    </row>
    <row r="458" spans="1:6">
      <c r="A458" s="1340">
        <f t="shared" si="3"/>
        <v>2028.05</v>
      </c>
      <c r="B458" s="390" t="e">
        <v>#N/A</v>
      </c>
      <c r="C458" s="391" t="e">
        <v>#N/A</v>
      </c>
      <c r="D458" s="3231" t="e">
        <v>#N/A</v>
      </c>
      <c r="E458" s="3231" t="e">
        <v>#N/A</v>
      </c>
      <c r="F458" s="934" t="e">
        <v>#N/A</v>
      </c>
    </row>
    <row r="459" spans="1:6">
      <c r="A459" s="1340">
        <f t="shared" si="3"/>
        <v>2028.06</v>
      </c>
      <c r="B459" s="390" t="e">
        <v>#N/A</v>
      </c>
      <c r="C459" s="391" t="e">
        <v>#N/A</v>
      </c>
      <c r="D459" s="3231" t="e">
        <v>#N/A</v>
      </c>
      <c r="E459" s="3231" t="e">
        <v>#N/A</v>
      </c>
      <c r="F459" s="934" t="e">
        <v>#N/A</v>
      </c>
    </row>
    <row r="460" spans="1:6">
      <c r="A460" s="1340">
        <f t="shared" si="3"/>
        <v>2028.07</v>
      </c>
      <c r="B460" s="390" t="e">
        <v>#N/A</v>
      </c>
      <c r="C460" s="391" t="e">
        <v>#N/A</v>
      </c>
      <c r="D460" s="3231" t="e">
        <v>#N/A</v>
      </c>
      <c r="E460" s="3231" t="e">
        <v>#N/A</v>
      </c>
      <c r="F460" s="934" t="e">
        <v>#N/A</v>
      </c>
    </row>
    <row r="461" spans="1:6">
      <c r="A461" s="1340">
        <f t="shared" si="3"/>
        <v>2028.08</v>
      </c>
      <c r="B461" s="390" t="e">
        <v>#N/A</v>
      </c>
      <c r="C461" s="391" t="e">
        <v>#N/A</v>
      </c>
      <c r="D461" s="3231" t="e">
        <v>#N/A</v>
      </c>
      <c r="E461" s="3231" t="e">
        <v>#N/A</v>
      </c>
      <c r="F461" s="934" t="e">
        <v>#N/A</v>
      </c>
    </row>
    <row r="462" spans="1:6">
      <c r="A462" s="1340">
        <f t="shared" si="3"/>
        <v>2028.09</v>
      </c>
      <c r="B462" s="390" t="e">
        <v>#N/A</v>
      </c>
      <c r="C462" s="391" t="e">
        <v>#N/A</v>
      </c>
      <c r="D462" s="3231" t="e">
        <v>#N/A</v>
      </c>
      <c r="E462" s="3231" t="e">
        <v>#N/A</v>
      </c>
      <c r="F462" s="934" t="e">
        <v>#N/A</v>
      </c>
    </row>
    <row r="463" spans="1:6">
      <c r="A463" s="1340">
        <f t="shared" si="3"/>
        <v>2028.1</v>
      </c>
      <c r="B463" s="390" t="e">
        <v>#N/A</v>
      </c>
      <c r="C463" s="391" t="e">
        <v>#N/A</v>
      </c>
      <c r="D463" s="3231" t="e">
        <v>#N/A</v>
      </c>
      <c r="E463" s="3231" t="e">
        <v>#N/A</v>
      </c>
      <c r="F463" s="934" t="e">
        <v>#N/A</v>
      </c>
    </row>
    <row r="464" spans="1:6">
      <c r="A464" s="1340">
        <f t="shared" si="3"/>
        <v>2028.11</v>
      </c>
      <c r="B464" s="390" t="e">
        <v>#N/A</v>
      </c>
      <c r="C464" s="391" t="e">
        <v>#N/A</v>
      </c>
      <c r="D464" s="3231" t="e">
        <v>#N/A</v>
      </c>
      <c r="E464" s="3231" t="e">
        <v>#N/A</v>
      </c>
      <c r="F464" s="934" t="e">
        <v>#N/A</v>
      </c>
    </row>
    <row r="465" spans="1:6">
      <c r="A465" s="1340">
        <f t="shared" si="3"/>
        <v>2028.12</v>
      </c>
      <c r="B465" s="390" t="e">
        <v>#N/A</v>
      </c>
      <c r="C465" s="391" t="e">
        <v>#N/A</v>
      </c>
      <c r="D465" s="3231" t="e">
        <v>#N/A</v>
      </c>
      <c r="E465" s="3231" t="e">
        <v>#N/A</v>
      </c>
      <c r="F465" s="934" t="e">
        <v>#N/A</v>
      </c>
    </row>
    <row r="466" spans="1:6">
      <c r="A466" s="1340">
        <f t="shared" si="3"/>
        <v>2029.01</v>
      </c>
      <c r="B466" s="390" t="e">
        <v>#N/A</v>
      </c>
      <c r="C466" s="391" t="e">
        <v>#N/A</v>
      </c>
      <c r="D466" s="3231" t="e">
        <v>#N/A</v>
      </c>
      <c r="E466" s="3231" t="e">
        <v>#N/A</v>
      </c>
      <c r="F466" s="934" t="e">
        <v>#N/A</v>
      </c>
    </row>
    <row r="467" spans="1:6">
      <c r="A467" s="1340">
        <f t="shared" si="3"/>
        <v>2029.02</v>
      </c>
      <c r="B467" s="390" t="e">
        <v>#N/A</v>
      </c>
      <c r="C467" s="391" t="e">
        <v>#N/A</v>
      </c>
      <c r="D467" s="3231" t="e">
        <v>#N/A</v>
      </c>
      <c r="E467" s="3231" t="e">
        <v>#N/A</v>
      </c>
      <c r="F467" s="934" t="e">
        <v>#N/A</v>
      </c>
    </row>
    <row r="468" spans="1:6">
      <c r="A468" s="1340">
        <f t="shared" si="3"/>
        <v>2029.03</v>
      </c>
      <c r="B468" s="390" t="e">
        <v>#N/A</v>
      </c>
      <c r="C468" s="391" t="e">
        <v>#N/A</v>
      </c>
      <c r="D468" s="3231" t="e">
        <v>#N/A</v>
      </c>
      <c r="E468" s="3231" t="e">
        <v>#N/A</v>
      </c>
      <c r="F468" s="934" t="e">
        <v>#N/A</v>
      </c>
    </row>
    <row r="469" spans="1:6">
      <c r="A469" s="1340">
        <f t="shared" si="3"/>
        <v>2029.04</v>
      </c>
      <c r="B469" s="390" t="e">
        <v>#N/A</v>
      </c>
      <c r="C469" s="391" t="e">
        <v>#N/A</v>
      </c>
      <c r="D469" s="3231" t="e">
        <v>#N/A</v>
      </c>
      <c r="E469" s="3231" t="e">
        <v>#N/A</v>
      </c>
      <c r="F469" s="934" t="e">
        <v>#N/A</v>
      </c>
    </row>
    <row r="470" spans="1:6">
      <c r="A470" s="1340">
        <f t="shared" si="3"/>
        <v>2029.05</v>
      </c>
      <c r="B470" s="390" t="e">
        <v>#N/A</v>
      </c>
      <c r="C470" s="391" t="e">
        <v>#N/A</v>
      </c>
      <c r="D470" s="3231" t="e">
        <v>#N/A</v>
      </c>
      <c r="E470" s="3231" t="e">
        <v>#N/A</v>
      </c>
      <c r="F470" s="934" t="e">
        <v>#N/A</v>
      </c>
    </row>
    <row r="471" spans="1:6">
      <c r="A471" s="1340">
        <f t="shared" ref="A471:A489" si="4">A459+1</f>
        <v>2029.06</v>
      </c>
      <c r="B471" s="390" t="e">
        <v>#N/A</v>
      </c>
      <c r="C471" s="391" t="e">
        <v>#N/A</v>
      </c>
      <c r="D471" s="3231" t="e">
        <v>#N/A</v>
      </c>
      <c r="E471" s="3231" t="e">
        <v>#N/A</v>
      </c>
      <c r="F471" s="934" t="e">
        <v>#N/A</v>
      </c>
    </row>
    <row r="472" spans="1:6">
      <c r="A472" s="1340">
        <f t="shared" si="4"/>
        <v>2029.07</v>
      </c>
      <c r="B472" s="390" t="e">
        <v>#N/A</v>
      </c>
      <c r="C472" s="391" t="e">
        <v>#N/A</v>
      </c>
      <c r="D472" s="3231" t="e">
        <v>#N/A</v>
      </c>
      <c r="E472" s="3231" t="e">
        <v>#N/A</v>
      </c>
      <c r="F472" s="934" t="e">
        <v>#N/A</v>
      </c>
    </row>
    <row r="473" spans="1:6">
      <c r="A473" s="1340">
        <f t="shared" si="4"/>
        <v>2029.08</v>
      </c>
      <c r="B473" s="390" t="e">
        <v>#N/A</v>
      </c>
      <c r="C473" s="391" t="e">
        <v>#N/A</v>
      </c>
      <c r="D473" s="3231" t="e">
        <v>#N/A</v>
      </c>
      <c r="E473" s="3231" t="e">
        <v>#N/A</v>
      </c>
      <c r="F473" s="934" t="e">
        <v>#N/A</v>
      </c>
    </row>
    <row r="474" spans="1:6">
      <c r="A474" s="1340">
        <f t="shared" si="4"/>
        <v>2029.09</v>
      </c>
      <c r="B474" s="390" t="e">
        <v>#N/A</v>
      </c>
      <c r="C474" s="391" t="e">
        <v>#N/A</v>
      </c>
      <c r="D474" s="3231" t="e">
        <v>#N/A</v>
      </c>
      <c r="E474" s="3231" t="e">
        <v>#N/A</v>
      </c>
      <c r="F474" s="934" t="e">
        <v>#N/A</v>
      </c>
    </row>
    <row r="475" spans="1:6">
      <c r="A475" s="1340">
        <f t="shared" si="4"/>
        <v>2029.1</v>
      </c>
      <c r="B475" s="390" t="e">
        <v>#N/A</v>
      </c>
      <c r="C475" s="391" t="e">
        <v>#N/A</v>
      </c>
      <c r="D475" s="3231" t="e">
        <v>#N/A</v>
      </c>
      <c r="E475" s="3231" t="e">
        <v>#N/A</v>
      </c>
      <c r="F475" s="934" t="e">
        <v>#N/A</v>
      </c>
    </row>
    <row r="476" spans="1:6">
      <c r="A476" s="1340">
        <f t="shared" si="4"/>
        <v>2029.11</v>
      </c>
      <c r="B476" s="390" t="e">
        <v>#N/A</v>
      </c>
      <c r="C476" s="391" t="e">
        <v>#N/A</v>
      </c>
      <c r="D476" s="3231" t="e">
        <v>#N/A</v>
      </c>
      <c r="E476" s="3231" t="e">
        <v>#N/A</v>
      </c>
      <c r="F476" s="934" t="e">
        <v>#N/A</v>
      </c>
    </row>
    <row r="477" spans="1:6">
      <c r="A477" s="1340">
        <f t="shared" si="4"/>
        <v>2029.12</v>
      </c>
      <c r="B477" s="390" t="e">
        <v>#N/A</v>
      </c>
      <c r="C477" s="391" t="e">
        <v>#N/A</v>
      </c>
      <c r="D477" s="3231" t="e">
        <v>#N/A</v>
      </c>
      <c r="E477" s="3231" t="e">
        <v>#N/A</v>
      </c>
      <c r="F477" s="934" t="e">
        <v>#N/A</v>
      </c>
    </row>
    <row r="478" spans="1:6">
      <c r="A478" s="1340">
        <f t="shared" si="4"/>
        <v>2030.01</v>
      </c>
      <c r="B478" s="390" t="e">
        <v>#N/A</v>
      </c>
      <c r="C478" s="391" t="e">
        <v>#N/A</v>
      </c>
      <c r="D478" s="3231" t="e">
        <v>#N/A</v>
      </c>
      <c r="E478" s="3231" t="e">
        <v>#N/A</v>
      </c>
      <c r="F478" s="934" t="e">
        <v>#N/A</v>
      </c>
    </row>
    <row r="479" spans="1:6">
      <c r="A479" s="1340">
        <f t="shared" si="4"/>
        <v>2030.02</v>
      </c>
      <c r="B479" s="390" t="e">
        <v>#N/A</v>
      </c>
      <c r="C479" s="391" t="e">
        <v>#N/A</v>
      </c>
      <c r="D479" s="3231" t="e">
        <v>#N/A</v>
      </c>
      <c r="E479" s="3231" t="e">
        <v>#N/A</v>
      </c>
      <c r="F479" s="934" t="e">
        <v>#N/A</v>
      </c>
    </row>
    <row r="480" spans="1:6">
      <c r="A480" s="1340">
        <f t="shared" si="4"/>
        <v>2030.03</v>
      </c>
      <c r="B480" s="390" t="e">
        <v>#N/A</v>
      </c>
      <c r="C480" s="391" t="e">
        <v>#N/A</v>
      </c>
      <c r="D480" s="3231" t="e">
        <v>#N/A</v>
      </c>
      <c r="E480" s="3231" t="e">
        <v>#N/A</v>
      </c>
      <c r="F480" s="934" t="e">
        <v>#N/A</v>
      </c>
    </row>
    <row r="481" spans="1:6">
      <c r="A481" s="1340">
        <f t="shared" si="4"/>
        <v>2030.04</v>
      </c>
      <c r="B481" s="390" t="e">
        <v>#N/A</v>
      </c>
      <c r="C481" s="391" t="e">
        <v>#N/A</v>
      </c>
      <c r="D481" s="3231" t="e">
        <v>#N/A</v>
      </c>
      <c r="E481" s="3231" t="e">
        <v>#N/A</v>
      </c>
      <c r="F481" s="934" t="e">
        <v>#N/A</v>
      </c>
    </row>
    <row r="482" spans="1:6">
      <c r="A482" s="1340">
        <f t="shared" si="4"/>
        <v>2030.05</v>
      </c>
      <c r="B482" s="390" t="e">
        <v>#N/A</v>
      </c>
      <c r="C482" s="391" t="e">
        <v>#N/A</v>
      </c>
      <c r="D482" s="3231" t="e">
        <v>#N/A</v>
      </c>
      <c r="E482" s="3231" t="e">
        <v>#N/A</v>
      </c>
      <c r="F482" s="934" t="e">
        <v>#N/A</v>
      </c>
    </row>
    <row r="483" spans="1:6">
      <c r="A483" s="1340">
        <f t="shared" si="4"/>
        <v>2030.06</v>
      </c>
      <c r="B483" s="390" t="e">
        <v>#N/A</v>
      </c>
      <c r="C483" s="391" t="e">
        <v>#N/A</v>
      </c>
      <c r="D483" s="3231" t="e">
        <v>#N/A</v>
      </c>
      <c r="E483" s="3231" t="e">
        <v>#N/A</v>
      </c>
      <c r="F483" s="934" t="e">
        <v>#N/A</v>
      </c>
    </row>
    <row r="484" spans="1:6">
      <c r="A484" s="1340">
        <f t="shared" si="4"/>
        <v>2030.07</v>
      </c>
      <c r="B484" s="390" t="e">
        <v>#N/A</v>
      </c>
      <c r="C484" s="391" t="e">
        <v>#N/A</v>
      </c>
      <c r="D484" s="3231" t="e">
        <v>#N/A</v>
      </c>
      <c r="E484" s="3231" t="e">
        <v>#N/A</v>
      </c>
      <c r="F484" s="934" t="e">
        <v>#N/A</v>
      </c>
    </row>
    <row r="485" spans="1:6">
      <c r="A485" s="1340">
        <f t="shared" si="4"/>
        <v>2030.08</v>
      </c>
      <c r="B485" s="390" t="e">
        <v>#N/A</v>
      </c>
      <c r="C485" s="391" t="e">
        <v>#N/A</v>
      </c>
      <c r="D485" s="3231" t="e">
        <v>#N/A</v>
      </c>
      <c r="E485" s="3231" t="e">
        <v>#N/A</v>
      </c>
      <c r="F485" s="934" t="e">
        <v>#N/A</v>
      </c>
    </row>
    <row r="486" spans="1:6">
      <c r="A486" s="1340">
        <f t="shared" si="4"/>
        <v>2030.09</v>
      </c>
      <c r="B486" s="390" t="e">
        <v>#N/A</v>
      </c>
      <c r="C486" s="391" t="e">
        <v>#N/A</v>
      </c>
      <c r="D486" s="3231" t="e">
        <v>#N/A</v>
      </c>
      <c r="E486" s="3231" t="e">
        <v>#N/A</v>
      </c>
      <c r="F486" s="934" t="e">
        <v>#N/A</v>
      </c>
    </row>
    <row r="487" spans="1:6">
      <c r="A487" s="1340">
        <f t="shared" si="4"/>
        <v>2030.1</v>
      </c>
      <c r="B487" s="390" t="e">
        <v>#N/A</v>
      </c>
      <c r="C487" s="391" t="e">
        <v>#N/A</v>
      </c>
      <c r="D487" s="3231" t="e">
        <v>#N/A</v>
      </c>
      <c r="E487" s="3231" t="e">
        <v>#N/A</v>
      </c>
      <c r="F487" s="934" t="e">
        <v>#N/A</v>
      </c>
    </row>
    <row r="488" spans="1:6">
      <c r="A488" s="1340">
        <f t="shared" si="4"/>
        <v>2030.11</v>
      </c>
      <c r="B488" s="390" t="e">
        <v>#N/A</v>
      </c>
      <c r="C488" s="391" t="e">
        <v>#N/A</v>
      </c>
      <c r="D488" s="3231" t="e">
        <v>#N/A</v>
      </c>
      <c r="E488" s="3231" t="e">
        <v>#N/A</v>
      </c>
      <c r="F488" s="934" t="e">
        <v>#N/A</v>
      </c>
    </row>
    <row r="489" spans="1:6">
      <c r="A489" s="1340">
        <f t="shared" si="4"/>
        <v>2030.12</v>
      </c>
      <c r="B489" s="390" t="e">
        <v>#N/A</v>
      </c>
      <c r="C489" s="391" t="e">
        <v>#N/A</v>
      </c>
      <c r="D489" s="3231" t="e">
        <v>#N/A</v>
      </c>
      <c r="E489" s="3231" t="e">
        <v>#N/A</v>
      </c>
      <c r="F489" s="934" t="e">
        <v>#N/A</v>
      </c>
    </row>
  </sheetData>
  <phoneticPr fontId="68" type="noConversion"/>
  <hyperlinks>
    <hyperlink ref="A1:A3" location="Indice!A1" display="ÍNDICE" xr:uid="{00000000-0004-0000-2D00-000000000000}"/>
    <hyperlink ref="A5" location="INDICE!A13" display="VOLVER AL INDICE" xr:uid="{00000000-0004-0000-2D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31">
    <pageSetUpPr autoPageBreaks="0"/>
  </sheetPr>
  <dimension ref="A1:P477"/>
  <sheetViews>
    <sheetView zoomScale="115" zoomScaleNormal="115" workbookViewId="0">
      <pane xSplit="1" ySplit="9" topLeftCell="B396"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8" width="14.140625" style="24" customWidth="1"/>
    <col min="9" max="9" width="11.42578125" style="9"/>
    <col min="10" max="10" width="18" style="9" bestFit="1" customWidth="1"/>
    <col min="11" max="16384" width="11.42578125" style="9"/>
  </cols>
  <sheetData>
    <row r="1" spans="1:8" ht="3.75" customHeight="1">
      <c r="A1" s="2373"/>
      <c r="B1" s="15"/>
      <c r="C1" s="15"/>
      <c r="D1" s="15"/>
      <c r="E1" s="15"/>
      <c r="F1" s="15"/>
      <c r="G1" s="15"/>
      <c r="H1" s="12"/>
    </row>
    <row r="2" spans="1:8">
      <c r="A2" s="2373" t="s">
        <v>105</v>
      </c>
      <c r="B2" s="382" t="s">
        <v>1361</v>
      </c>
      <c r="C2" s="84"/>
      <c r="D2" s="382"/>
      <c r="E2" s="84"/>
      <c r="F2" s="84"/>
      <c r="G2" s="84"/>
      <c r="H2" s="85"/>
    </row>
    <row r="3" spans="1:8">
      <c r="A3" s="2373" t="s">
        <v>109</v>
      </c>
      <c r="B3" s="382" t="s">
        <v>116</v>
      </c>
      <c r="C3" s="84"/>
      <c r="D3" s="382"/>
      <c r="E3" s="84"/>
      <c r="F3" s="84"/>
      <c r="G3" s="84"/>
      <c r="H3" s="85"/>
    </row>
    <row r="4" spans="1:8" ht="3" hidden="1" customHeight="1">
      <c r="A4" s="104"/>
      <c r="B4" s="383"/>
      <c r="C4" s="382"/>
      <c r="D4" s="382"/>
      <c r="E4" s="382"/>
      <c r="F4" s="382"/>
      <c r="G4" s="382"/>
      <c r="H4" s="378"/>
    </row>
    <row r="5" spans="1:8" s="24" customFormat="1" ht="22.35" customHeight="1">
      <c r="A5" s="2390" t="s">
        <v>137</v>
      </c>
      <c r="B5" s="176" t="s">
        <v>1362</v>
      </c>
      <c r="C5" s="2053" t="s">
        <v>1363</v>
      </c>
      <c r="D5" s="84" t="s">
        <v>1364</v>
      </c>
      <c r="E5" s="2053" t="s">
        <v>1365</v>
      </c>
      <c r="F5" s="84" t="s">
        <v>1366</v>
      </c>
      <c r="G5" s="2053" t="s">
        <v>1367</v>
      </c>
      <c r="H5" s="85" t="s">
        <v>1368</v>
      </c>
    </row>
    <row r="6" spans="1:8" s="24" customFormat="1" ht="3" hidden="1" customHeight="1">
      <c r="A6" s="104"/>
      <c r="B6" s="116"/>
      <c r="C6" s="938"/>
      <c r="D6" s="117"/>
      <c r="E6" s="938"/>
      <c r="F6" s="117"/>
      <c r="G6" s="938"/>
      <c r="H6" s="2207"/>
    </row>
    <row r="7" spans="1:8" s="24" customFormat="1" ht="22.5">
      <c r="A7" s="2373" t="s">
        <v>123</v>
      </c>
      <c r="B7" s="176" t="s">
        <v>358</v>
      </c>
      <c r="C7" s="2053" t="s">
        <v>358</v>
      </c>
      <c r="D7" s="84" t="s">
        <v>358</v>
      </c>
      <c r="E7" s="2053" t="s">
        <v>358</v>
      </c>
      <c r="F7" s="84" t="s">
        <v>358</v>
      </c>
      <c r="G7" s="2053" t="s">
        <v>358</v>
      </c>
      <c r="H7" s="85" t="str">
        <f>F7</f>
        <v>Pesos corrientes</v>
      </c>
    </row>
    <row r="8" spans="1:8" s="24" customFormat="1" ht="12" customHeight="1" thickBot="1">
      <c r="A8" s="105" t="s">
        <v>141</v>
      </c>
      <c r="B8" s="150" t="s">
        <v>1369</v>
      </c>
      <c r="C8" s="639" t="s">
        <v>1370</v>
      </c>
      <c r="D8" s="150" t="s">
        <v>1371</v>
      </c>
      <c r="E8" s="639" t="s">
        <v>1372</v>
      </c>
      <c r="F8" s="150" t="s">
        <v>1373</v>
      </c>
      <c r="G8" s="639" t="s">
        <v>1374</v>
      </c>
      <c r="H8" s="148" t="s">
        <v>1375</v>
      </c>
    </row>
    <row r="9" spans="1:8" ht="13.5" hidden="1" thickBot="1">
      <c r="A9" s="72"/>
      <c r="B9" s="2129"/>
      <c r="C9" s="2026"/>
      <c r="D9" s="1946"/>
      <c r="E9" s="2026"/>
      <c r="F9" s="1946"/>
      <c r="G9" s="2026"/>
      <c r="H9" s="355"/>
    </row>
    <row r="10" spans="1:8">
      <c r="A10" s="1338">
        <v>1992.01</v>
      </c>
      <c r="B10" s="193">
        <v>5800312</v>
      </c>
      <c r="C10" s="767">
        <v>27293814</v>
      </c>
      <c r="D10" s="768">
        <v>7063668</v>
      </c>
      <c r="E10" s="767">
        <v>10612125</v>
      </c>
      <c r="F10" s="768">
        <v>2202467</v>
      </c>
      <c r="G10" s="767">
        <v>405086</v>
      </c>
      <c r="H10" s="427">
        <f>_xlfn.AGGREGATE(9,6,B10:G10)</f>
        <v>53377472</v>
      </c>
    </row>
    <row r="11" spans="1:8">
      <c r="A11" s="1340">
        <v>1992.02</v>
      </c>
      <c r="B11" s="252">
        <v>15086512</v>
      </c>
      <c r="C11" s="3034">
        <v>24660172</v>
      </c>
      <c r="D11" s="169">
        <v>4708936</v>
      </c>
      <c r="E11" s="3034">
        <v>8062176</v>
      </c>
      <c r="F11" s="169">
        <v>1806530</v>
      </c>
      <c r="G11" s="3034">
        <v>177949</v>
      </c>
      <c r="H11" s="206">
        <f t="shared" ref="H11:H74" si="0">_xlfn.AGGREGATE(9,6,B11:G11)</f>
        <v>54502275</v>
      </c>
    </row>
    <row r="12" spans="1:8">
      <c r="A12" s="1340">
        <v>1992.03</v>
      </c>
      <c r="B12" s="252">
        <v>11097571</v>
      </c>
      <c r="C12" s="3034">
        <v>26885910</v>
      </c>
      <c r="D12" s="169">
        <v>5438320</v>
      </c>
      <c r="E12" s="3034">
        <v>8750411</v>
      </c>
      <c r="F12" s="169">
        <v>1822667</v>
      </c>
      <c r="G12" s="3034">
        <v>232876</v>
      </c>
      <c r="H12" s="206">
        <f t="shared" si="0"/>
        <v>54227755</v>
      </c>
    </row>
    <row r="13" spans="1:8">
      <c r="A13" s="1340">
        <v>1992.04</v>
      </c>
      <c r="B13" s="252">
        <v>4362917</v>
      </c>
      <c r="C13" s="3034">
        <v>27856542</v>
      </c>
      <c r="D13" s="169">
        <v>4543488</v>
      </c>
      <c r="E13" s="3034">
        <v>10873481</v>
      </c>
      <c r="F13" s="169">
        <v>9039579</v>
      </c>
      <c r="G13" s="3034">
        <v>255425</v>
      </c>
      <c r="H13" s="206">
        <f t="shared" si="0"/>
        <v>56931432</v>
      </c>
    </row>
    <row r="14" spans="1:8">
      <c r="A14" s="1340">
        <v>1992.05</v>
      </c>
      <c r="B14" s="252">
        <v>22603227</v>
      </c>
      <c r="C14" s="3034">
        <v>31365100</v>
      </c>
      <c r="D14" s="169">
        <v>4485236</v>
      </c>
      <c r="E14" s="3034">
        <v>9898321</v>
      </c>
      <c r="F14" s="169">
        <v>2250304</v>
      </c>
      <c r="G14" s="3034">
        <v>195892</v>
      </c>
      <c r="H14" s="206">
        <f t="shared" si="0"/>
        <v>70798080</v>
      </c>
    </row>
    <row r="15" spans="1:8">
      <c r="A15" s="1340">
        <v>1992.06</v>
      </c>
      <c r="B15" s="252">
        <v>30391854</v>
      </c>
      <c r="C15" s="3034">
        <v>30968249</v>
      </c>
      <c r="D15" s="169">
        <v>4802926</v>
      </c>
      <c r="E15" s="3034">
        <v>11957626</v>
      </c>
      <c r="F15" s="169">
        <v>11142206</v>
      </c>
      <c r="G15" s="3034">
        <v>224244</v>
      </c>
      <c r="H15" s="206">
        <f t="shared" si="0"/>
        <v>89487105</v>
      </c>
    </row>
    <row r="16" spans="1:8">
      <c r="A16" s="1340">
        <v>1992.07</v>
      </c>
      <c r="B16" s="252">
        <v>8776210</v>
      </c>
      <c r="C16" s="3034">
        <v>31960848</v>
      </c>
      <c r="D16" s="169">
        <v>9419252</v>
      </c>
      <c r="E16" s="3034">
        <v>11288212</v>
      </c>
      <c r="F16" s="169">
        <v>2458234</v>
      </c>
      <c r="G16" s="3034">
        <v>295363</v>
      </c>
      <c r="H16" s="206">
        <f t="shared" si="0"/>
        <v>64198119</v>
      </c>
    </row>
    <row r="17" spans="1:8">
      <c r="A17" s="1340">
        <v>1992.08</v>
      </c>
      <c r="B17" s="252">
        <v>11775155</v>
      </c>
      <c r="C17" s="3034">
        <v>27428295</v>
      </c>
      <c r="D17" s="169">
        <v>5259848</v>
      </c>
      <c r="E17" s="3034">
        <v>12484148</v>
      </c>
      <c r="F17" s="169">
        <v>1794328</v>
      </c>
      <c r="G17" s="3034">
        <v>237914</v>
      </c>
      <c r="H17" s="206">
        <f t="shared" si="0"/>
        <v>58979688</v>
      </c>
    </row>
    <row r="18" spans="1:8">
      <c r="A18" s="1340">
        <v>1992.09</v>
      </c>
      <c r="B18" s="252">
        <v>12552228</v>
      </c>
      <c r="C18" s="3034">
        <v>31136506</v>
      </c>
      <c r="D18" s="169">
        <v>5409138</v>
      </c>
      <c r="E18" s="3034">
        <v>13115142</v>
      </c>
      <c r="F18" s="169">
        <v>8067676</v>
      </c>
      <c r="G18" s="3034">
        <v>219062</v>
      </c>
      <c r="H18" s="206">
        <f t="shared" si="0"/>
        <v>70499752</v>
      </c>
    </row>
    <row r="19" spans="1:8">
      <c r="A19" s="1340">
        <v>1992.1</v>
      </c>
      <c r="B19" s="252">
        <v>1589067</v>
      </c>
      <c r="C19" s="3034">
        <v>32302620</v>
      </c>
      <c r="D19" s="169">
        <v>5256699</v>
      </c>
      <c r="E19" s="3034">
        <v>13276370</v>
      </c>
      <c r="F19" s="169">
        <v>1412311</v>
      </c>
      <c r="G19" s="3034">
        <v>238538</v>
      </c>
      <c r="H19" s="206">
        <f t="shared" si="0"/>
        <v>54075605</v>
      </c>
    </row>
    <row r="20" spans="1:8">
      <c r="A20" s="1340">
        <v>1992.11</v>
      </c>
      <c r="B20" s="252">
        <v>4110818</v>
      </c>
      <c r="C20" s="3034">
        <v>34594148</v>
      </c>
      <c r="D20" s="169">
        <v>5318404</v>
      </c>
      <c r="E20" s="3034">
        <v>13692393</v>
      </c>
      <c r="F20" s="169">
        <v>9294234</v>
      </c>
      <c r="G20" s="3034">
        <v>322825</v>
      </c>
      <c r="H20" s="206">
        <f t="shared" si="0"/>
        <v>67332822</v>
      </c>
    </row>
    <row r="21" spans="1:8">
      <c r="A21" s="1340">
        <v>1992.12</v>
      </c>
      <c r="B21" s="252">
        <v>16372702</v>
      </c>
      <c r="C21" s="3034">
        <v>32853704</v>
      </c>
      <c r="D21" s="169">
        <v>5355167</v>
      </c>
      <c r="E21" s="3034">
        <v>13994519</v>
      </c>
      <c r="F21" s="169">
        <v>2152009</v>
      </c>
      <c r="G21" s="3034">
        <v>230476</v>
      </c>
      <c r="H21" s="206">
        <f t="shared" si="0"/>
        <v>70958577</v>
      </c>
    </row>
    <row r="22" spans="1:8">
      <c r="A22" s="1340">
        <v>1993.01</v>
      </c>
      <c r="B22" s="252">
        <v>16744838</v>
      </c>
      <c r="C22" s="3034">
        <v>32061046</v>
      </c>
      <c r="D22" s="169">
        <v>9806986</v>
      </c>
      <c r="E22" s="3034">
        <v>14555197</v>
      </c>
      <c r="F22" s="169">
        <v>2311145</v>
      </c>
      <c r="G22" s="3034">
        <v>708582</v>
      </c>
      <c r="H22" s="206">
        <f t="shared" si="0"/>
        <v>76187794</v>
      </c>
    </row>
    <row r="23" spans="1:8">
      <c r="A23" s="1340">
        <v>1993.02</v>
      </c>
      <c r="B23" s="252">
        <v>17454004</v>
      </c>
      <c r="C23" s="3034">
        <v>29205065</v>
      </c>
      <c r="D23" s="169">
        <v>5806663</v>
      </c>
      <c r="E23" s="3034">
        <v>12744236</v>
      </c>
      <c r="F23" s="169">
        <v>2817482</v>
      </c>
      <c r="G23" s="3034">
        <v>162059</v>
      </c>
      <c r="H23" s="206">
        <f t="shared" si="0"/>
        <v>68189509</v>
      </c>
    </row>
    <row r="24" spans="1:8">
      <c r="A24" s="1340">
        <v>1993.03</v>
      </c>
      <c r="B24" s="252">
        <v>19362653</v>
      </c>
      <c r="C24" s="3034">
        <v>27162685</v>
      </c>
      <c r="D24" s="169">
        <v>5429554</v>
      </c>
      <c r="E24" s="3034">
        <v>13732865</v>
      </c>
      <c r="F24" s="169">
        <v>2211834</v>
      </c>
      <c r="G24" s="3034">
        <v>146889</v>
      </c>
      <c r="H24" s="206">
        <f t="shared" si="0"/>
        <v>68046480</v>
      </c>
    </row>
    <row r="25" spans="1:8">
      <c r="A25" s="1340">
        <v>1993.04</v>
      </c>
      <c r="B25" s="252">
        <v>2777319</v>
      </c>
      <c r="C25" s="3034">
        <v>31642017</v>
      </c>
      <c r="D25" s="169">
        <v>5425658</v>
      </c>
      <c r="E25" s="3034">
        <v>13919182</v>
      </c>
      <c r="F25" s="169">
        <v>12141693</v>
      </c>
      <c r="G25" s="3034">
        <v>156047</v>
      </c>
      <c r="H25" s="206">
        <f t="shared" si="0"/>
        <v>66061916</v>
      </c>
    </row>
    <row r="26" spans="1:8">
      <c r="A26" s="1340">
        <v>1993.05</v>
      </c>
      <c r="B26" s="252">
        <v>10478470</v>
      </c>
      <c r="C26" s="3034">
        <v>33086288</v>
      </c>
      <c r="D26" s="169">
        <v>5451575</v>
      </c>
      <c r="E26" s="3034">
        <v>14064436</v>
      </c>
      <c r="F26" s="169">
        <v>3382319</v>
      </c>
      <c r="G26" s="3034">
        <v>158044</v>
      </c>
      <c r="H26" s="206">
        <f t="shared" si="0"/>
        <v>66621132</v>
      </c>
    </row>
    <row r="27" spans="1:8">
      <c r="A27" s="1340">
        <v>1993.06</v>
      </c>
      <c r="B27" s="252">
        <v>2251201</v>
      </c>
      <c r="C27" s="3034">
        <v>34390832</v>
      </c>
      <c r="D27" s="169">
        <v>5522229</v>
      </c>
      <c r="E27" s="3034">
        <v>14937369</v>
      </c>
      <c r="F27" s="169">
        <v>2334352</v>
      </c>
      <c r="G27" s="3034">
        <v>186577</v>
      </c>
      <c r="H27" s="206">
        <f t="shared" si="0"/>
        <v>59622560</v>
      </c>
    </row>
    <row r="28" spans="1:8">
      <c r="A28" s="1340">
        <v>1993.07</v>
      </c>
      <c r="B28" s="252">
        <v>2657318</v>
      </c>
      <c r="C28" s="3034">
        <v>34837539</v>
      </c>
      <c r="D28" s="169">
        <v>9637191</v>
      </c>
      <c r="E28" s="3034">
        <v>15295422</v>
      </c>
      <c r="F28" s="169">
        <v>9628626</v>
      </c>
      <c r="G28" s="3034">
        <v>219205</v>
      </c>
      <c r="H28" s="206">
        <f t="shared" si="0"/>
        <v>72275301</v>
      </c>
    </row>
    <row r="29" spans="1:8">
      <c r="A29" s="1340">
        <v>1993.08</v>
      </c>
      <c r="B29" s="252">
        <v>1585539</v>
      </c>
      <c r="C29" s="3034">
        <v>33178987</v>
      </c>
      <c r="D29" s="169">
        <v>5690193</v>
      </c>
      <c r="E29" s="3034">
        <v>15852017</v>
      </c>
      <c r="F29" s="169">
        <v>3273716</v>
      </c>
      <c r="G29" s="3034">
        <v>203841</v>
      </c>
      <c r="H29" s="206">
        <f t="shared" si="0"/>
        <v>59784293</v>
      </c>
    </row>
    <row r="30" spans="1:8">
      <c r="A30" s="1340">
        <v>1993.09</v>
      </c>
      <c r="B30" s="252">
        <v>9412387</v>
      </c>
      <c r="C30" s="3034">
        <v>32459886</v>
      </c>
      <c r="D30" s="169">
        <v>5673596</v>
      </c>
      <c r="E30" s="3034">
        <v>16129501</v>
      </c>
      <c r="F30" s="169">
        <v>10315121</v>
      </c>
      <c r="G30" s="3034">
        <v>221917</v>
      </c>
      <c r="H30" s="206">
        <f t="shared" si="0"/>
        <v>74212408</v>
      </c>
    </row>
    <row r="31" spans="1:8">
      <c r="A31" s="1340">
        <v>1993.1</v>
      </c>
      <c r="B31" s="252">
        <v>23379693</v>
      </c>
      <c r="C31" s="3034">
        <v>34663512</v>
      </c>
      <c r="D31" s="169">
        <v>5995664</v>
      </c>
      <c r="E31" s="3034">
        <v>15463793</v>
      </c>
      <c r="F31" s="169">
        <v>2266822</v>
      </c>
      <c r="G31" s="3034">
        <v>185104</v>
      </c>
      <c r="H31" s="206">
        <f t="shared" si="0"/>
        <v>81954588</v>
      </c>
    </row>
    <row r="32" spans="1:8">
      <c r="A32" s="1340">
        <v>1993.11</v>
      </c>
      <c r="B32" s="252">
        <v>15172396</v>
      </c>
      <c r="C32" s="3034">
        <v>48115404</v>
      </c>
      <c r="D32" s="169">
        <v>6047637</v>
      </c>
      <c r="E32" s="3034">
        <v>16755622</v>
      </c>
      <c r="F32" s="169">
        <v>10546678</v>
      </c>
      <c r="G32" s="3034">
        <v>230236</v>
      </c>
      <c r="H32" s="206">
        <f t="shared" si="0"/>
        <v>96867973</v>
      </c>
    </row>
    <row r="33" spans="1:8">
      <c r="A33" s="1340">
        <v>1993.12</v>
      </c>
      <c r="B33" s="252">
        <v>29602991</v>
      </c>
      <c r="C33" s="3034">
        <v>38264210</v>
      </c>
      <c r="D33" s="169">
        <v>5973757</v>
      </c>
      <c r="E33" s="3034">
        <v>16301558</v>
      </c>
      <c r="F33" s="169">
        <v>1669464</v>
      </c>
      <c r="G33" s="3034">
        <v>194628</v>
      </c>
      <c r="H33" s="206">
        <f t="shared" si="0"/>
        <v>92006608</v>
      </c>
    </row>
    <row r="34" spans="1:8">
      <c r="A34" s="1340">
        <v>1994.01</v>
      </c>
      <c r="B34" s="252">
        <v>5823841</v>
      </c>
      <c r="C34" s="3034">
        <v>38704943</v>
      </c>
      <c r="D34" s="169">
        <v>10291998</v>
      </c>
      <c r="E34" s="3034">
        <v>16291631</v>
      </c>
      <c r="F34" s="169">
        <v>2592703</v>
      </c>
      <c r="G34" s="3034">
        <v>721415</v>
      </c>
      <c r="H34" s="206">
        <f t="shared" si="0"/>
        <v>74426531</v>
      </c>
    </row>
    <row r="35" spans="1:8">
      <c r="A35" s="1340">
        <v>1994.02</v>
      </c>
      <c r="B35" s="252">
        <v>27343248</v>
      </c>
      <c r="C35" s="3034">
        <v>38714257</v>
      </c>
      <c r="D35" s="169">
        <v>5009667</v>
      </c>
      <c r="E35" s="3034">
        <v>12671022</v>
      </c>
      <c r="F35" s="169">
        <v>2407366</v>
      </c>
      <c r="G35" s="3034">
        <v>196486</v>
      </c>
      <c r="H35" s="206">
        <f t="shared" si="0"/>
        <v>86342046</v>
      </c>
    </row>
    <row r="36" spans="1:8">
      <c r="A36" s="1340">
        <v>1994.03</v>
      </c>
      <c r="B36" s="252">
        <v>16441286</v>
      </c>
      <c r="C36" s="3034">
        <v>37526839</v>
      </c>
      <c r="D36" s="169">
        <v>4721711</v>
      </c>
      <c r="E36" s="3034">
        <v>13416492</v>
      </c>
      <c r="F36" s="169">
        <v>2083336</v>
      </c>
      <c r="G36" s="3034">
        <v>211523</v>
      </c>
      <c r="H36" s="206">
        <f t="shared" si="0"/>
        <v>74401187</v>
      </c>
    </row>
    <row r="37" spans="1:8">
      <c r="A37" s="1340">
        <v>1994.04</v>
      </c>
      <c r="B37" s="252">
        <v>5232339</v>
      </c>
      <c r="C37" s="3034">
        <v>42732055</v>
      </c>
      <c r="D37" s="169">
        <v>4640847</v>
      </c>
      <c r="E37" s="3034">
        <v>13471365</v>
      </c>
      <c r="F37" s="169">
        <v>12393772</v>
      </c>
      <c r="G37" s="3034">
        <v>199321</v>
      </c>
      <c r="H37" s="206">
        <f t="shared" si="0"/>
        <v>78669699</v>
      </c>
    </row>
    <row r="38" spans="1:8">
      <c r="A38" s="1340">
        <v>1994.05</v>
      </c>
      <c r="B38" s="252">
        <v>23039736</v>
      </c>
      <c r="C38" s="3034">
        <v>41925763</v>
      </c>
      <c r="D38" s="169">
        <v>4760142</v>
      </c>
      <c r="E38" s="3034">
        <v>13863863</v>
      </c>
      <c r="F38" s="169">
        <v>5281000</v>
      </c>
      <c r="G38" s="3034">
        <v>207822</v>
      </c>
      <c r="H38" s="206">
        <f t="shared" si="0"/>
        <v>89078326</v>
      </c>
    </row>
    <row r="39" spans="1:8">
      <c r="A39" s="1340">
        <v>1994.06</v>
      </c>
      <c r="B39" s="252">
        <v>14157589</v>
      </c>
      <c r="C39" s="3034">
        <v>44108183</v>
      </c>
      <c r="D39" s="169">
        <v>4637417</v>
      </c>
      <c r="E39" s="3034">
        <v>13788355</v>
      </c>
      <c r="F39" s="169">
        <v>9879760</v>
      </c>
      <c r="G39" s="3034">
        <v>197653</v>
      </c>
      <c r="H39" s="206">
        <f t="shared" si="0"/>
        <v>86768957</v>
      </c>
    </row>
    <row r="40" spans="1:8">
      <c r="A40" s="1340">
        <v>1994.07</v>
      </c>
      <c r="B40" s="252">
        <v>3423858</v>
      </c>
      <c r="C40" s="3034">
        <v>43430746</v>
      </c>
      <c r="D40" s="169">
        <v>7044053</v>
      </c>
      <c r="E40" s="3034">
        <v>13713163</v>
      </c>
      <c r="F40" s="169">
        <v>4268421</v>
      </c>
      <c r="G40" s="3034">
        <v>157634</v>
      </c>
      <c r="H40" s="206">
        <f t="shared" si="0"/>
        <v>72037875</v>
      </c>
    </row>
    <row r="41" spans="1:8">
      <c r="A41" s="1340">
        <v>1994.08</v>
      </c>
      <c r="B41" s="252">
        <v>2291245</v>
      </c>
      <c r="C41" s="3034">
        <v>40856898</v>
      </c>
      <c r="D41" s="169">
        <v>4503503</v>
      </c>
      <c r="E41" s="3034">
        <v>14594575</v>
      </c>
      <c r="F41" s="169">
        <v>1932319</v>
      </c>
      <c r="G41" s="3034">
        <v>225696</v>
      </c>
      <c r="H41" s="206">
        <f t="shared" si="0"/>
        <v>64404236</v>
      </c>
    </row>
    <row r="42" spans="1:8">
      <c r="A42" s="1340">
        <v>1994.09</v>
      </c>
      <c r="B42" s="252">
        <v>10034632</v>
      </c>
      <c r="C42" s="3034">
        <v>41012431</v>
      </c>
      <c r="D42" s="169">
        <v>4620500</v>
      </c>
      <c r="E42" s="3034">
        <v>14976286</v>
      </c>
      <c r="F42" s="169">
        <v>9210556</v>
      </c>
      <c r="G42" s="3034">
        <v>140125</v>
      </c>
      <c r="H42" s="206">
        <f t="shared" si="0"/>
        <v>79994530</v>
      </c>
    </row>
    <row r="43" spans="1:8">
      <c r="A43" s="1340">
        <v>1994.1</v>
      </c>
      <c r="B43" s="252">
        <v>19514482</v>
      </c>
      <c r="C43" s="3034">
        <v>39907295</v>
      </c>
      <c r="D43" s="169">
        <v>4731084</v>
      </c>
      <c r="E43" s="3034">
        <v>14272150</v>
      </c>
      <c r="F43" s="169">
        <v>3902842</v>
      </c>
      <c r="G43" s="3034">
        <v>212419</v>
      </c>
      <c r="H43" s="206">
        <f t="shared" si="0"/>
        <v>82540272</v>
      </c>
    </row>
    <row r="44" spans="1:8">
      <c r="A44" s="1340">
        <v>1994.11</v>
      </c>
      <c r="B44" s="252">
        <v>4247235</v>
      </c>
      <c r="C44" s="3034">
        <v>40604353</v>
      </c>
      <c r="D44" s="169">
        <v>4637332</v>
      </c>
      <c r="E44" s="3034">
        <v>13823193</v>
      </c>
      <c r="F44" s="169">
        <v>7890869</v>
      </c>
      <c r="G44" s="3034">
        <v>135753</v>
      </c>
      <c r="H44" s="206">
        <f t="shared" si="0"/>
        <v>71338735</v>
      </c>
    </row>
    <row r="45" spans="1:8">
      <c r="A45" s="1340">
        <v>1994.12</v>
      </c>
      <c r="B45" s="252">
        <v>40242087</v>
      </c>
      <c r="C45" s="3034">
        <v>51235121</v>
      </c>
      <c r="D45" s="169">
        <v>4814238</v>
      </c>
      <c r="E45" s="3034">
        <v>14778109</v>
      </c>
      <c r="F45" s="169">
        <v>5613363</v>
      </c>
      <c r="G45" s="3034">
        <v>369087</v>
      </c>
      <c r="H45" s="206">
        <f t="shared" si="0"/>
        <v>117052005</v>
      </c>
    </row>
    <row r="46" spans="1:8">
      <c r="A46" s="1340">
        <v>1995.01</v>
      </c>
      <c r="B46" s="252">
        <v>4313909</v>
      </c>
      <c r="C46" s="3034">
        <v>44177026</v>
      </c>
      <c r="D46" s="169">
        <v>7808885</v>
      </c>
      <c r="E46" s="3034">
        <v>14098080</v>
      </c>
      <c r="F46" s="169">
        <v>2709051</v>
      </c>
      <c r="G46" s="3034">
        <v>789214</v>
      </c>
      <c r="H46" s="206">
        <f t="shared" si="0"/>
        <v>73896165</v>
      </c>
    </row>
    <row r="47" spans="1:8">
      <c r="A47" s="1340">
        <v>1995.02</v>
      </c>
      <c r="B47" s="252">
        <v>25094098</v>
      </c>
      <c r="C47" s="3034">
        <v>37365289</v>
      </c>
      <c r="D47" s="169">
        <v>4927430</v>
      </c>
      <c r="E47" s="3034">
        <v>11654581</v>
      </c>
      <c r="F47" s="169">
        <v>2104638</v>
      </c>
      <c r="G47" s="3034">
        <v>170533</v>
      </c>
      <c r="H47" s="206">
        <f t="shared" si="0"/>
        <v>81316569</v>
      </c>
    </row>
    <row r="48" spans="1:8">
      <c r="A48" s="1340">
        <v>1995.03</v>
      </c>
      <c r="B48" s="252">
        <v>13855149</v>
      </c>
      <c r="C48" s="3034">
        <v>33194650</v>
      </c>
      <c r="D48" s="169">
        <v>4511668</v>
      </c>
      <c r="E48" s="3034">
        <v>10204279</v>
      </c>
      <c r="F48" s="169">
        <v>2035131</v>
      </c>
      <c r="G48" s="3034">
        <v>179671</v>
      </c>
      <c r="H48" s="206">
        <f t="shared" si="0"/>
        <v>63980548</v>
      </c>
    </row>
    <row r="49" spans="1:8">
      <c r="A49" s="1340">
        <v>1995.04</v>
      </c>
      <c r="B49" s="252">
        <v>4411245</v>
      </c>
      <c r="C49" s="3034">
        <v>34489587</v>
      </c>
      <c r="D49" s="169">
        <v>4212129</v>
      </c>
      <c r="E49" s="3034">
        <v>9732824</v>
      </c>
      <c r="F49" s="169">
        <v>12085006</v>
      </c>
      <c r="G49" s="3034">
        <v>156706</v>
      </c>
      <c r="H49" s="206">
        <f t="shared" si="0"/>
        <v>65087497</v>
      </c>
    </row>
    <row r="50" spans="1:8">
      <c r="A50" s="1340">
        <v>1995.05</v>
      </c>
      <c r="B50" s="252">
        <v>22950992</v>
      </c>
      <c r="C50" s="3034">
        <v>32867470</v>
      </c>
      <c r="D50" s="169">
        <v>4324133</v>
      </c>
      <c r="E50" s="3034">
        <v>10162588</v>
      </c>
      <c r="F50" s="169">
        <v>8590242</v>
      </c>
      <c r="G50" s="3034">
        <v>181069</v>
      </c>
      <c r="H50" s="206">
        <f t="shared" si="0"/>
        <v>79076494</v>
      </c>
    </row>
    <row r="51" spans="1:8">
      <c r="A51" s="1340">
        <v>1995.06</v>
      </c>
      <c r="B51" s="252">
        <v>13860700</v>
      </c>
      <c r="C51" s="3034">
        <v>32503300</v>
      </c>
      <c r="D51" s="169">
        <v>4773900</v>
      </c>
      <c r="E51" s="3034">
        <v>10744700</v>
      </c>
      <c r="F51" s="169">
        <v>9262400</v>
      </c>
      <c r="G51" s="3034">
        <v>182400</v>
      </c>
      <c r="H51" s="206">
        <f t="shared" si="0"/>
        <v>71327400</v>
      </c>
    </row>
    <row r="52" spans="1:8">
      <c r="A52" s="1340">
        <v>1995.07</v>
      </c>
      <c r="B52" s="252">
        <v>26139461</v>
      </c>
      <c r="C52" s="3034">
        <v>37290108</v>
      </c>
      <c r="D52" s="169">
        <v>6295055</v>
      </c>
      <c r="E52" s="3034">
        <v>9548470</v>
      </c>
      <c r="F52" s="169">
        <v>6926831</v>
      </c>
      <c r="G52" s="3034">
        <v>168222</v>
      </c>
      <c r="H52" s="206">
        <f t="shared" si="0"/>
        <v>86368147</v>
      </c>
    </row>
    <row r="53" spans="1:8">
      <c r="A53" s="1340">
        <v>1995.08</v>
      </c>
      <c r="B53" s="252">
        <v>14525702</v>
      </c>
      <c r="C53" s="3034">
        <v>36264847</v>
      </c>
      <c r="D53" s="169">
        <v>4398645</v>
      </c>
      <c r="E53" s="3034">
        <v>10643494</v>
      </c>
      <c r="F53" s="169">
        <v>2208236</v>
      </c>
      <c r="G53" s="3034">
        <v>195375</v>
      </c>
      <c r="H53" s="206">
        <f t="shared" si="0"/>
        <v>68236299</v>
      </c>
    </row>
    <row r="54" spans="1:8">
      <c r="A54" s="1340">
        <v>1995.09</v>
      </c>
      <c r="B54" s="252">
        <v>4518910</v>
      </c>
      <c r="C54" s="3034">
        <v>34055851</v>
      </c>
      <c r="D54" s="169">
        <v>4139090</v>
      </c>
      <c r="E54" s="3034">
        <v>9779873</v>
      </c>
      <c r="F54" s="169">
        <v>8763451</v>
      </c>
      <c r="G54" s="3034">
        <v>175899</v>
      </c>
      <c r="H54" s="206">
        <f t="shared" si="0"/>
        <v>61433074</v>
      </c>
    </row>
    <row r="55" spans="1:8">
      <c r="A55" s="1340">
        <v>1995.1</v>
      </c>
      <c r="B55" s="252">
        <v>24298301</v>
      </c>
      <c r="C55" s="3034">
        <v>33552532</v>
      </c>
      <c r="D55" s="169">
        <v>4893860</v>
      </c>
      <c r="E55" s="3034">
        <v>9507614</v>
      </c>
      <c r="F55" s="169">
        <v>4510843</v>
      </c>
      <c r="G55" s="3034">
        <v>172192</v>
      </c>
      <c r="H55" s="206">
        <f t="shared" si="0"/>
        <v>76935342</v>
      </c>
    </row>
    <row r="56" spans="1:8">
      <c r="A56" s="1340">
        <v>1995.11</v>
      </c>
      <c r="B56" s="252">
        <v>13244005</v>
      </c>
      <c r="C56" s="3034">
        <v>37385540</v>
      </c>
      <c r="D56" s="169">
        <v>5263781</v>
      </c>
      <c r="E56" s="3034">
        <v>9780312</v>
      </c>
      <c r="F56" s="169">
        <v>8141799</v>
      </c>
      <c r="G56" s="3034">
        <v>192715</v>
      </c>
      <c r="H56" s="206">
        <f t="shared" si="0"/>
        <v>74008152</v>
      </c>
    </row>
    <row r="57" spans="1:8">
      <c r="A57" s="1340">
        <v>1995.12</v>
      </c>
      <c r="B57" s="252">
        <v>4022565</v>
      </c>
      <c r="C57" s="3034">
        <v>34678661</v>
      </c>
      <c r="D57" s="169">
        <v>4188671</v>
      </c>
      <c r="E57" s="3034">
        <v>9261264</v>
      </c>
      <c r="F57" s="169">
        <v>4364486</v>
      </c>
      <c r="G57" s="3034">
        <v>136154</v>
      </c>
      <c r="H57" s="206">
        <f t="shared" si="0"/>
        <v>56651801</v>
      </c>
    </row>
    <row r="58" spans="1:8">
      <c r="A58" s="1340">
        <v>1996.01</v>
      </c>
      <c r="B58" s="252">
        <v>5732178</v>
      </c>
      <c r="C58" s="3034">
        <v>36910702</v>
      </c>
      <c r="D58" s="169">
        <v>6529269</v>
      </c>
      <c r="E58" s="3034">
        <v>10042346</v>
      </c>
      <c r="F58" s="169">
        <v>2666511</v>
      </c>
      <c r="G58" s="3034">
        <v>665980</v>
      </c>
      <c r="H58" s="206">
        <f t="shared" si="0"/>
        <v>62546986</v>
      </c>
    </row>
    <row r="59" spans="1:8">
      <c r="A59" s="1340">
        <v>1996.02</v>
      </c>
      <c r="B59" s="252">
        <v>24245402</v>
      </c>
      <c r="C59" s="3034">
        <v>32848257</v>
      </c>
      <c r="D59" s="169">
        <v>4462247</v>
      </c>
      <c r="E59" s="3034">
        <v>9517473</v>
      </c>
      <c r="F59" s="169">
        <v>2096164</v>
      </c>
      <c r="G59" s="3034">
        <v>141245</v>
      </c>
      <c r="H59" s="206">
        <f t="shared" si="0"/>
        <v>73310788</v>
      </c>
    </row>
    <row r="60" spans="1:8">
      <c r="A60" s="1340">
        <v>1996.03</v>
      </c>
      <c r="B60" s="252">
        <v>15000225</v>
      </c>
      <c r="C60" s="3034">
        <v>32270675</v>
      </c>
      <c r="D60" s="169">
        <v>4283152</v>
      </c>
      <c r="E60" s="3034">
        <v>8976987</v>
      </c>
      <c r="F60" s="169">
        <v>2228414</v>
      </c>
      <c r="G60" s="3034">
        <v>174399</v>
      </c>
      <c r="H60" s="206">
        <f t="shared" si="0"/>
        <v>62933852</v>
      </c>
    </row>
    <row r="61" spans="1:8">
      <c r="A61" s="1340">
        <v>1996.04</v>
      </c>
      <c r="B61" s="252">
        <v>8221411</v>
      </c>
      <c r="C61" s="3034">
        <v>36840442</v>
      </c>
      <c r="D61" s="169">
        <v>4906559</v>
      </c>
      <c r="E61" s="3034">
        <v>9453156</v>
      </c>
      <c r="F61" s="169">
        <v>13449814</v>
      </c>
      <c r="G61" s="3034">
        <v>146493</v>
      </c>
      <c r="H61" s="206">
        <f t="shared" si="0"/>
        <v>73017875</v>
      </c>
    </row>
    <row r="62" spans="1:8">
      <c r="A62" s="1340">
        <v>1996.05</v>
      </c>
      <c r="B62" s="252">
        <v>24628707</v>
      </c>
      <c r="C62" s="3034">
        <v>35965568</v>
      </c>
      <c r="D62" s="169">
        <v>4322198</v>
      </c>
      <c r="E62" s="3034">
        <v>10022999</v>
      </c>
      <c r="F62" s="169">
        <v>7200700</v>
      </c>
      <c r="G62" s="3034">
        <v>181537</v>
      </c>
      <c r="H62" s="206">
        <f t="shared" si="0"/>
        <v>82321709</v>
      </c>
    </row>
    <row r="63" spans="1:8">
      <c r="A63" s="1340">
        <v>1996.06</v>
      </c>
      <c r="B63" s="252">
        <v>14217435</v>
      </c>
      <c r="C63" s="3034">
        <v>35946527</v>
      </c>
      <c r="D63" s="169">
        <v>4304909</v>
      </c>
      <c r="E63" s="3034">
        <v>9837055</v>
      </c>
      <c r="F63" s="169">
        <v>8681854</v>
      </c>
      <c r="G63" s="3034">
        <v>231916</v>
      </c>
      <c r="H63" s="206">
        <f t="shared" si="0"/>
        <v>73219696</v>
      </c>
    </row>
    <row r="64" spans="1:8">
      <c r="A64" s="1340">
        <v>1996.07</v>
      </c>
      <c r="B64" s="252">
        <v>18620258</v>
      </c>
      <c r="C64" s="3034">
        <v>35984642</v>
      </c>
      <c r="D64" s="169">
        <v>6339320</v>
      </c>
      <c r="E64" s="3034">
        <v>9586423</v>
      </c>
      <c r="F64" s="169">
        <v>5457664</v>
      </c>
      <c r="G64" s="3034">
        <v>231312</v>
      </c>
      <c r="H64" s="206">
        <f t="shared" si="0"/>
        <v>76219619</v>
      </c>
    </row>
    <row r="65" spans="1:8">
      <c r="A65" s="1340">
        <v>1996.08</v>
      </c>
      <c r="B65" s="252">
        <v>20430860</v>
      </c>
      <c r="C65" s="3034">
        <v>36858402</v>
      </c>
      <c r="D65" s="169">
        <v>4331792</v>
      </c>
      <c r="E65" s="3034">
        <v>11171741</v>
      </c>
      <c r="F65" s="169">
        <v>2221795</v>
      </c>
      <c r="G65" s="3034">
        <v>254975</v>
      </c>
      <c r="H65" s="206">
        <f t="shared" si="0"/>
        <v>75269565</v>
      </c>
    </row>
    <row r="66" spans="1:8">
      <c r="A66" s="1340">
        <v>1996.09</v>
      </c>
      <c r="B66" s="252">
        <v>4422056</v>
      </c>
      <c r="C66" s="3034">
        <v>36140088</v>
      </c>
      <c r="D66" s="169">
        <v>4478633</v>
      </c>
      <c r="E66" s="3034">
        <v>10415940</v>
      </c>
      <c r="F66" s="169">
        <v>8719750</v>
      </c>
      <c r="G66" s="3034">
        <v>264981</v>
      </c>
      <c r="H66" s="206">
        <f t="shared" si="0"/>
        <v>64441448</v>
      </c>
    </row>
    <row r="67" spans="1:8">
      <c r="A67" s="1340">
        <v>1996.1</v>
      </c>
      <c r="B67" s="252">
        <v>5444336</v>
      </c>
      <c r="C67" s="3034">
        <v>35782085</v>
      </c>
      <c r="D67" s="169">
        <v>4510669</v>
      </c>
      <c r="E67" s="3034">
        <v>10734457</v>
      </c>
      <c r="F67" s="169">
        <v>4394946</v>
      </c>
      <c r="G67" s="3034">
        <v>286539</v>
      </c>
      <c r="H67" s="206">
        <f t="shared" si="0"/>
        <v>61153032</v>
      </c>
    </row>
    <row r="68" spans="1:8">
      <c r="A68" s="1340">
        <v>1996.11</v>
      </c>
      <c r="B68" s="252">
        <v>27099993</v>
      </c>
      <c r="C68" s="3034">
        <v>37345246</v>
      </c>
      <c r="D68" s="169">
        <v>4297144</v>
      </c>
      <c r="E68" s="3034">
        <v>10868303</v>
      </c>
      <c r="F68" s="169">
        <v>7753044</v>
      </c>
      <c r="G68" s="3034">
        <v>284265</v>
      </c>
      <c r="H68" s="206">
        <f t="shared" si="0"/>
        <v>87647995</v>
      </c>
    </row>
    <row r="69" spans="1:8">
      <c r="A69" s="1340">
        <v>1996.12</v>
      </c>
      <c r="B69" s="252">
        <v>8620861</v>
      </c>
      <c r="C69" s="3034">
        <v>36839559</v>
      </c>
      <c r="D69" s="169">
        <v>4458343</v>
      </c>
      <c r="E69" s="3034">
        <v>9972240</v>
      </c>
      <c r="F69" s="169">
        <v>4052632</v>
      </c>
      <c r="G69" s="3034">
        <v>222964</v>
      </c>
      <c r="H69" s="206">
        <f t="shared" si="0"/>
        <v>64166599</v>
      </c>
    </row>
    <row r="70" spans="1:8">
      <c r="A70" s="1340">
        <v>1997.01</v>
      </c>
      <c r="B70" s="252">
        <v>1983542.87</v>
      </c>
      <c r="C70" s="3034">
        <v>38154916.869999997</v>
      </c>
      <c r="D70" s="169">
        <v>7040117.71</v>
      </c>
      <c r="E70" s="3034">
        <v>10865703.77</v>
      </c>
      <c r="F70" s="169">
        <v>2541852.54</v>
      </c>
      <c r="G70" s="3034">
        <v>602885.46</v>
      </c>
      <c r="H70" s="206">
        <f t="shared" si="0"/>
        <v>61189019.219999999</v>
      </c>
    </row>
    <row r="71" spans="1:8">
      <c r="A71" s="1340">
        <v>1997.02</v>
      </c>
      <c r="B71" s="252">
        <v>19262998.539999999</v>
      </c>
      <c r="C71" s="3034">
        <v>34362947.710000001</v>
      </c>
      <c r="D71" s="169">
        <v>5211821.0599999996</v>
      </c>
      <c r="E71" s="3034">
        <v>10348337.02</v>
      </c>
      <c r="F71" s="169">
        <v>2011939.72</v>
      </c>
      <c r="G71" s="3034">
        <v>221646.72</v>
      </c>
      <c r="H71" s="206">
        <f t="shared" si="0"/>
        <v>71419690.769999996</v>
      </c>
    </row>
    <row r="72" spans="1:8">
      <c r="A72" s="1340">
        <v>1997.03</v>
      </c>
      <c r="B72" s="252">
        <v>31767312.460000001</v>
      </c>
      <c r="C72" s="3034">
        <v>40661292.039999999</v>
      </c>
      <c r="D72" s="169">
        <v>6050177.2999999998</v>
      </c>
      <c r="E72" s="3034">
        <v>10555956.619999999</v>
      </c>
      <c r="F72" s="169">
        <v>4183230.58</v>
      </c>
      <c r="G72" s="3034">
        <v>209092.59</v>
      </c>
      <c r="H72" s="206">
        <f t="shared" si="0"/>
        <v>93427061.590000004</v>
      </c>
    </row>
    <row r="73" spans="1:8">
      <c r="A73" s="1340">
        <v>1997.04</v>
      </c>
      <c r="B73" s="252">
        <v>11185572.41</v>
      </c>
      <c r="C73" s="3034">
        <v>42701913.049999997</v>
      </c>
      <c r="D73" s="169">
        <v>5981098.9299999997</v>
      </c>
      <c r="E73" s="3034">
        <v>12159125.67</v>
      </c>
      <c r="F73" s="169">
        <v>14554480.48</v>
      </c>
      <c r="G73" s="3034">
        <v>266637.59000000003</v>
      </c>
      <c r="H73" s="206">
        <f t="shared" si="0"/>
        <v>86848828.129999995</v>
      </c>
    </row>
    <row r="74" spans="1:8">
      <c r="A74" s="1340">
        <v>1997.05</v>
      </c>
      <c r="B74" s="252">
        <v>20204381.739999998</v>
      </c>
      <c r="C74" s="3034">
        <v>41141430.700000003</v>
      </c>
      <c r="D74" s="169">
        <v>5222559.08</v>
      </c>
      <c r="E74" s="3034">
        <v>11124111.779999999</v>
      </c>
      <c r="F74" s="169">
        <v>6403061.1699999999</v>
      </c>
      <c r="G74" s="3034">
        <v>254491.37</v>
      </c>
      <c r="H74" s="206">
        <f t="shared" si="0"/>
        <v>84350035.840000004</v>
      </c>
    </row>
    <row r="75" spans="1:8">
      <c r="A75" s="1340">
        <v>1997.06</v>
      </c>
      <c r="B75" s="252">
        <v>20204381.739999998</v>
      </c>
      <c r="C75" s="3034">
        <v>41141430.700000003</v>
      </c>
      <c r="D75" s="169">
        <v>5222559.08</v>
      </c>
      <c r="E75" s="3034">
        <v>11124111.779999999</v>
      </c>
      <c r="F75" s="169">
        <v>6403061.1699999999</v>
      </c>
      <c r="G75" s="3034">
        <v>254491.37</v>
      </c>
      <c r="H75" s="206">
        <f t="shared" ref="H75:H138" si="1">_xlfn.AGGREGATE(9,6,B75:G75)</f>
        <v>84350035.840000004</v>
      </c>
    </row>
    <row r="76" spans="1:8">
      <c r="A76" s="1340">
        <v>1997.07</v>
      </c>
      <c r="B76" s="252">
        <v>24018574.129999999</v>
      </c>
      <c r="C76" s="3034">
        <v>40288593.829999998</v>
      </c>
      <c r="D76" s="169">
        <v>7305986.7300000004</v>
      </c>
      <c r="E76" s="3034">
        <v>11724032.17</v>
      </c>
      <c r="F76" s="169">
        <v>5130231.8</v>
      </c>
      <c r="G76" s="3034">
        <v>212439.79</v>
      </c>
      <c r="H76" s="206">
        <f t="shared" si="1"/>
        <v>88679858.450000003</v>
      </c>
    </row>
    <row r="77" spans="1:8">
      <c r="A77" s="1340">
        <v>1997.08</v>
      </c>
      <c r="B77" s="252">
        <v>15942811.42</v>
      </c>
      <c r="C77" s="3034">
        <v>42406771.590000004</v>
      </c>
      <c r="D77" s="169">
        <v>5209310.3</v>
      </c>
      <c r="E77" s="3034">
        <v>12730657.279999999</v>
      </c>
      <c r="F77" s="169">
        <v>4073454.55</v>
      </c>
      <c r="G77" s="3034">
        <v>217093.42</v>
      </c>
      <c r="H77" s="206">
        <f t="shared" si="1"/>
        <v>80580098.560000002</v>
      </c>
    </row>
    <row r="78" spans="1:8">
      <c r="A78" s="1340">
        <v>1997.09</v>
      </c>
      <c r="B78" s="252">
        <v>6295810.2199999997</v>
      </c>
      <c r="C78" s="3034">
        <v>40842079.439999998</v>
      </c>
      <c r="D78" s="169">
        <v>5164908.17</v>
      </c>
      <c r="E78" s="3034">
        <v>12117487.4</v>
      </c>
      <c r="F78" s="169">
        <v>9825239.2699999996</v>
      </c>
      <c r="G78" s="3034">
        <v>298607.63</v>
      </c>
      <c r="H78" s="206">
        <f t="shared" si="1"/>
        <v>74544132.129999995</v>
      </c>
    </row>
    <row r="79" spans="1:8">
      <c r="A79" s="1340">
        <v>1997.1</v>
      </c>
      <c r="B79" s="252">
        <v>18708299.73</v>
      </c>
      <c r="C79" s="3034">
        <v>40274987.030000001</v>
      </c>
      <c r="D79" s="169">
        <v>5175482.49</v>
      </c>
      <c r="E79" s="3034">
        <v>12917849.609999999</v>
      </c>
      <c r="F79" s="169">
        <v>3930969.85</v>
      </c>
      <c r="G79" s="3034">
        <v>263145.78999999998</v>
      </c>
      <c r="H79" s="206">
        <f t="shared" si="1"/>
        <v>81270734.500000015</v>
      </c>
    </row>
    <row r="80" spans="1:8">
      <c r="A80" s="1340">
        <v>1997.11</v>
      </c>
      <c r="B80" s="252">
        <v>15056321.32</v>
      </c>
      <c r="C80" s="3034">
        <v>40088875.289999999</v>
      </c>
      <c r="D80" s="169">
        <v>6169055.54</v>
      </c>
      <c r="E80" s="3034">
        <v>11696514.529999999</v>
      </c>
      <c r="F80" s="169">
        <v>9435986.7799999993</v>
      </c>
      <c r="G80" s="3034">
        <v>259791.76</v>
      </c>
      <c r="H80" s="206">
        <f t="shared" si="1"/>
        <v>82706545.219999999</v>
      </c>
    </row>
    <row r="81" spans="1:8">
      <c r="A81" s="1340">
        <v>1997.12</v>
      </c>
      <c r="B81" s="252">
        <v>6003911.8600000003</v>
      </c>
      <c r="C81" s="3034">
        <v>39138256.869999997</v>
      </c>
      <c r="D81" s="169">
        <v>4847074.28</v>
      </c>
      <c r="E81" s="3034">
        <v>12116147.82</v>
      </c>
      <c r="F81" s="169">
        <v>3398452.13</v>
      </c>
      <c r="G81" s="3034">
        <v>223539.34</v>
      </c>
      <c r="H81" s="206">
        <f t="shared" si="1"/>
        <v>65727382.300000004</v>
      </c>
    </row>
    <row r="82" spans="1:8">
      <c r="A82" s="1340">
        <v>1998.01</v>
      </c>
      <c r="B82" s="252">
        <v>4360269.99</v>
      </c>
      <c r="C82" s="3034">
        <v>42620051.789999999</v>
      </c>
      <c r="D82" s="169">
        <v>7320467.0999999996</v>
      </c>
      <c r="E82" s="3034">
        <v>11990779.16</v>
      </c>
      <c r="F82" s="169">
        <v>4818756.17</v>
      </c>
      <c r="G82" s="3034">
        <v>561553.79</v>
      </c>
      <c r="H82" s="206">
        <f t="shared" si="1"/>
        <v>71671878.000000015</v>
      </c>
    </row>
    <row r="83" spans="1:8">
      <c r="A83" s="1340">
        <v>1998.02</v>
      </c>
      <c r="B83" s="252">
        <v>19587668.010000002</v>
      </c>
      <c r="C83" s="3034">
        <v>39944228.009999998</v>
      </c>
      <c r="D83" s="169">
        <v>5301233.7699999996</v>
      </c>
      <c r="E83" s="3034">
        <v>11471217.210000001</v>
      </c>
      <c r="F83" s="169">
        <v>2919867.73</v>
      </c>
      <c r="G83" s="3034">
        <v>213905.98</v>
      </c>
      <c r="H83" s="206">
        <f t="shared" si="1"/>
        <v>79438120.710000008</v>
      </c>
    </row>
    <row r="84" spans="1:8">
      <c r="A84" s="1340">
        <v>1998.03</v>
      </c>
      <c r="B84" s="252">
        <v>19179330.780000001</v>
      </c>
      <c r="C84" s="3034">
        <v>37915542.840000004</v>
      </c>
      <c r="D84" s="169">
        <v>5150680.13</v>
      </c>
      <c r="E84" s="3034">
        <v>11166327.92</v>
      </c>
      <c r="F84" s="169">
        <v>2613691.75</v>
      </c>
      <c r="G84" s="3034">
        <v>188634.2</v>
      </c>
      <c r="H84" s="206">
        <f t="shared" si="1"/>
        <v>76214207.620000005</v>
      </c>
    </row>
    <row r="85" spans="1:8">
      <c r="A85" s="1340">
        <v>1998.04</v>
      </c>
      <c r="B85" s="252">
        <v>7466149.29</v>
      </c>
      <c r="C85" s="3034">
        <v>42269255.939999998</v>
      </c>
      <c r="D85" s="169">
        <v>4976008.54</v>
      </c>
      <c r="E85" s="3034">
        <v>12645528.289999999</v>
      </c>
      <c r="F85" s="169">
        <v>13054617.529999999</v>
      </c>
      <c r="G85" s="3034">
        <v>256885.29</v>
      </c>
      <c r="H85" s="206">
        <f t="shared" si="1"/>
        <v>80668444.88000001</v>
      </c>
    </row>
    <row r="86" spans="1:8">
      <c r="A86" s="1340">
        <v>1998.05</v>
      </c>
      <c r="B86" s="252">
        <v>19457704.82</v>
      </c>
      <c r="C86" s="3034">
        <v>44402740.799999997</v>
      </c>
      <c r="D86" s="169">
        <v>5018369.63</v>
      </c>
      <c r="E86" s="3034">
        <v>11533337.92</v>
      </c>
      <c r="F86" s="169">
        <v>6277018.2199999997</v>
      </c>
      <c r="G86" s="3034">
        <v>247195.38</v>
      </c>
      <c r="H86" s="206">
        <f t="shared" si="1"/>
        <v>86936366.769999996</v>
      </c>
    </row>
    <row r="87" spans="1:8">
      <c r="A87" s="1340">
        <v>1998.06</v>
      </c>
      <c r="B87" s="252">
        <v>18092612.02</v>
      </c>
      <c r="C87" s="3034">
        <v>41529123.950000003</v>
      </c>
      <c r="D87" s="169">
        <v>4918191.66</v>
      </c>
      <c r="E87" s="3034">
        <v>12119399.65</v>
      </c>
      <c r="F87" s="169">
        <v>11320742.810000001</v>
      </c>
      <c r="G87" s="3034">
        <v>265033.03000000003</v>
      </c>
      <c r="H87" s="206">
        <f t="shared" si="1"/>
        <v>88245103.120000005</v>
      </c>
    </row>
    <row r="88" spans="1:8">
      <c r="A88" s="1340">
        <v>1998.07</v>
      </c>
      <c r="B88" s="252">
        <v>24867488.629999999</v>
      </c>
      <c r="C88" s="3034">
        <v>42730672.689999998</v>
      </c>
      <c r="D88" s="169">
        <v>7131055.6399999997</v>
      </c>
      <c r="E88" s="3034">
        <v>12739441.32</v>
      </c>
      <c r="F88" s="169">
        <v>5400460.5899999999</v>
      </c>
      <c r="G88" s="3034">
        <v>226798.13</v>
      </c>
      <c r="H88" s="206">
        <f t="shared" si="1"/>
        <v>93095917</v>
      </c>
    </row>
    <row r="89" spans="1:8">
      <c r="A89" s="1340">
        <v>1998.08</v>
      </c>
      <c r="B89" s="252">
        <v>19308158.879999999</v>
      </c>
      <c r="C89" s="3034">
        <v>41754662.619999997</v>
      </c>
      <c r="D89" s="169">
        <v>4873050.29</v>
      </c>
      <c r="E89" s="3034">
        <v>13856524.58</v>
      </c>
      <c r="F89" s="169">
        <v>4469479.92</v>
      </c>
      <c r="G89" s="3034">
        <v>256720.36</v>
      </c>
      <c r="H89" s="206">
        <f t="shared" si="1"/>
        <v>84518596.650000006</v>
      </c>
    </row>
    <row r="90" spans="1:8">
      <c r="A90" s="1340">
        <v>1998.09</v>
      </c>
      <c r="B90" s="252">
        <v>8964689.5700000003</v>
      </c>
      <c r="C90" s="3034">
        <v>41085946.229999997</v>
      </c>
      <c r="D90" s="169">
        <v>4711776.72</v>
      </c>
      <c r="E90" s="3034">
        <v>12853472.08</v>
      </c>
      <c r="F90" s="169">
        <v>8499431.1999999993</v>
      </c>
      <c r="G90" s="3034">
        <v>319227.76</v>
      </c>
      <c r="H90" s="206">
        <f t="shared" si="1"/>
        <v>76434543.560000002</v>
      </c>
    </row>
    <row r="91" spans="1:8">
      <c r="A91" s="1340">
        <v>1998.1</v>
      </c>
      <c r="B91" s="252">
        <v>18889628.039999999</v>
      </c>
      <c r="C91" s="3034">
        <v>39885475.710000001</v>
      </c>
      <c r="D91" s="169">
        <v>4723804.72</v>
      </c>
      <c r="E91" s="3034">
        <v>12578439.93</v>
      </c>
      <c r="F91" s="169">
        <v>3932462.35</v>
      </c>
      <c r="G91" s="3034">
        <v>282975.56</v>
      </c>
      <c r="H91" s="206">
        <f t="shared" si="1"/>
        <v>80292786.310000002</v>
      </c>
    </row>
    <row r="92" spans="1:8">
      <c r="A92" s="1340">
        <v>1998.11</v>
      </c>
      <c r="B92" s="252">
        <v>17847498.32</v>
      </c>
      <c r="C92" s="3034">
        <v>40556705.609999999</v>
      </c>
      <c r="D92" s="169">
        <v>4804099.57</v>
      </c>
      <c r="E92" s="3034">
        <v>11908026.52</v>
      </c>
      <c r="F92" s="169">
        <v>9332963.6600000001</v>
      </c>
      <c r="G92" s="3034">
        <v>316859.86</v>
      </c>
      <c r="H92" s="206">
        <f t="shared" si="1"/>
        <v>84766153.539999992</v>
      </c>
    </row>
    <row r="93" spans="1:8">
      <c r="A93" s="1340">
        <v>1998.12</v>
      </c>
      <c r="B93" s="252">
        <v>8398824</v>
      </c>
      <c r="C93" s="3034">
        <v>39612028</v>
      </c>
      <c r="D93" s="169">
        <v>4283001</v>
      </c>
      <c r="E93" s="3034">
        <v>12272026</v>
      </c>
      <c r="F93" s="169">
        <v>3798871</v>
      </c>
      <c r="G93" s="3034">
        <v>286466</v>
      </c>
      <c r="H93" s="206">
        <f t="shared" si="1"/>
        <v>68651216</v>
      </c>
    </row>
    <row r="94" spans="1:8">
      <c r="A94" s="1340">
        <v>1999.01</v>
      </c>
      <c r="B94" s="252">
        <v>4665708</v>
      </c>
      <c r="C94" s="3034">
        <v>41941015</v>
      </c>
      <c r="D94" s="169">
        <v>6646022</v>
      </c>
      <c r="E94" s="3034">
        <v>11586789</v>
      </c>
      <c r="F94" s="169">
        <v>4874185</v>
      </c>
      <c r="G94" s="3034">
        <v>395396</v>
      </c>
      <c r="H94" s="206">
        <f t="shared" si="1"/>
        <v>70109115</v>
      </c>
    </row>
    <row r="95" spans="1:8">
      <c r="A95" s="1340">
        <v>1999.02</v>
      </c>
      <c r="B95" s="252">
        <v>21214444</v>
      </c>
      <c r="C95" s="3034">
        <v>37971944</v>
      </c>
      <c r="D95" s="169">
        <v>4563402</v>
      </c>
      <c r="E95" s="3034">
        <v>10458305</v>
      </c>
      <c r="F95" s="169">
        <v>2667580</v>
      </c>
      <c r="G95" s="3034">
        <v>271378</v>
      </c>
      <c r="H95" s="206">
        <f t="shared" si="1"/>
        <v>77147053</v>
      </c>
    </row>
    <row r="96" spans="1:8">
      <c r="A96" s="1340">
        <v>1999.03</v>
      </c>
      <c r="B96" s="252">
        <v>19286926</v>
      </c>
      <c r="C96" s="3034">
        <v>33726204</v>
      </c>
      <c r="D96" s="169">
        <v>4345798</v>
      </c>
      <c r="E96" s="3034">
        <v>9978794</v>
      </c>
      <c r="F96" s="169">
        <v>2630398</v>
      </c>
      <c r="G96" s="3034">
        <v>274387</v>
      </c>
      <c r="H96" s="206">
        <f t="shared" si="1"/>
        <v>70242507</v>
      </c>
    </row>
    <row r="97" spans="1:8">
      <c r="A97" s="1340">
        <v>1999.04</v>
      </c>
      <c r="B97" s="252">
        <v>9380040</v>
      </c>
      <c r="C97" s="3034">
        <v>37709596</v>
      </c>
      <c r="D97" s="169">
        <v>4258491</v>
      </c>
      <c r="E97" s="3034">
        <v>9807777</v>
      </c>
      <c r="F97" s="169">
        <v>13669652</v>
      </c>
      <c r="G97" s="3034">
        <v>275139</v>
      </c>
      <c r="H97" s="206">
        <f t="shared" si="1"/>
        <v>75100695</v>
      </c>
    </row>
    <row r="98" spans="1:8">
      <c r="A98" s="1340">
        <v>1999.05</v>
      </c>
      <c r="B98" s="252">
        <v>20588265</v>
      </c>
      <c r="C98" s="3034">
        <v>36968408</v>
      </c>
      <c r="D98" s="169">
        <v>4203436</v>
      </c>
      <c r="E98" s="3034">
        <v>10207588</v>
      </c>
      <c r="F98" s="169">
        <v>5948597</v>
      </c>
      <c r="G98" s="3034">
        <v>274111</v>
      </c>
      <c r="H98" s="206">
        <f t="shared" si="1"/>
        <v>78190405</v>
      </c>
    </row>
    <row r="99" spans="1:8">
      <c r="A99" s="1340">
        <v>1999.06</v>
      </c>
      <c r="B99" s="252">
        <v>18583640.800000001</v>
      </c>
      <c r="C99" s="3034">
        <v>35690174.840000004</v>
      </c>
      <c r="D99" s="169">
        <v>4196785.16</v>
      </c>
      <c r="E99" s="3034">
        <v>11120020.99</v>
      </c>
      <c r="F99" s="169">
        <v>12748377.890000001</v>
      </c>
      <c r="G99" s="3034">
        <v>314634.27</v>
      </c>
      <c r="H99" s="206">
        <f t="shared" si="1"/>
        <v>82653633.949999988</v>
      </c>
    </row>
    <row r="100" spans="1:8">
      <c r="A100" s="1340">
        <v>1999.07</v>
      </c>
      <c r="B100" s="252">
        <v>22093100.960000001</v>
      </c>
      <c r="C100" s="3034">
        <v>36393034.880000003</v>
      </c>
      <c r="D100" s="169">
        <v>6158302.75</v>
      </c>
      <c r="E100" s="3034">
        <v>10945264.039999999</v>
      </c>
      <c r="F100" s="169">
        <v>4809792.18</v>
      </c>
      <c r="G100" s="3034">
        <v>258968.04</v>
      </c>
      <c r="H100" s="206">
        <f t="shared" si="1"/>
        <v>80658462.850000009</v>
      </c>
    </row>
    <row r="101" spans="1:8">
      <c r="A101" s="1340">
        <v>1999.08</v>
      </c>
      <c r="B101" s="252">
        <v>18808221</v>
      </c>
      <c r="C101" s="3034">
        <v>36036920</v>
      </c>
      <c r="D101" s="169">
        <v>4097577</v>
      </c>
      <c r="E101" s="3034">
        <v>11501169</v>
      </c>
      <c r="F101" s="169">
        <v>5276660</v>
      </c>
      <c r="G101" s="3034">
        <v>313470</v>
      </c>
      <c r="H101" s="206">
        <f t="shared" si="1"/>
        <v>76034017</v>
      </c>
    </row>
    <row r="102" spans="1:8">
      <c r="A102" s="1340">
        <v>1999.09</v>
      </c>
      <c r="B102" s="252">
        <v>8141354</v>
      </c>
      <c r="C102" s="3034">
        <v>35142602</v>
      </c>
      <c r="D102" s="169">
        <v>4165250</v>
      </c>
      <c r="E102" s="3034">
        <v>12394948</v>
      </c>
      <c r="F102" s="169">
        <v>9183545</v>
      </c>
      <c r="G102" s="3034">
        <v>312295</v>
      </c>
      <c r="H102" s="206">
        <f t="shared" si="1"/>
        <v>69339994</v>
      </c>
    </row>
    <row r="103" spans="1:8">
      <c r="A103" s="1340">
        <v>1999.1</v>
      </c>
      <c r="B103" s="252">
        <v>17146404</v>
      </c>
      <c r="C103" s="3034">
        <v>35211218</v>
      </c>
      <c r="D103" s="169">
        <v>4260396</v>
      </c>
      <c r="E103" s="3034">
        <v>11803359</v>
      </c>
      <c r="F103" s="169">
        <v>3759925</v>
      </c>
      <c r="G103" s="3034">
        <v>317816</v>
      </c>
      <c r="H103" s="206">
        <f t="shared" si="1"/>
        <v>72499118</v>
      </c>
    </row>
    <row r="104" spans="1:8">
      <c r="A104" s="1340">
        <v>1999.11</v>
      </c>
      <c r="B104" s="252">
        <v>17226856</v>
      </c>
      <c r="C104" s="3034">
        <v>36490417</v>
      </c>
      <c r="D104" s="169">
        <v>4281769</v>
      </c>
      <c r="E104" s="3034">
        <v>12821302</v>
      </c>
      <c r="F104" s="169">
        <v>10620098</v>
      </c>
      <c r="G104" s="3034">
        <v>348270</v>
      </c>
      <c r="H104" s="206">
        <f t="shared" si="1"/>
        <v>81788712</v>
      </c>
    </row>
    <row r="105" spans="1:8">
      <c r="A105" s="1340">
        <v>1999.12</v>
      </c>
      <c r="B105" s="252">
        <v>27050839</v>
      </c>
      <c r="C105" s="3034">
        <v>42867139</v>
      </c>
      <c r="D105" s="169">
        <v>4285544</v>
      </c>
      <c r="E105" s="3034">
        <v>13371064</v>
      </c>
      <c r="F105" s="169">
        <v>7107154</v>
      </c>
      <c r="G105" s="3034">
        <v>286437</v>
      </c>
      <c r="H105" s="206">
        <f t="shared" si="1"/>
        <v>94968177</v>
      </c>
    </row>
    <row r="106" spans="1:8">
      <c r="A106" s="1340">
        <v>2000.01</v>
      </c>
      <c r="B106" s="252">
        <v>13444481</v>
      </c>
      <c r="C106" s="3034">
        <v>46651122</v>
      </c>
      <c r="D106" s="169">
        <v>6301058</v>
      </c>
      <c r="E106" s="3034">
        <v>12160119</v>
      </c>
      <c r="F106" s="169">
        <v>6810551</v>
      </c>
      <c r="G106" s="3034">
        <v>211935</v>
      </c>
      <c r="H106" s="206">
        <f t="shared" si="1"/>
        <v>85579266</v>
      </c>
    </row>
    <row r="107" spans="1:8">
      <c r="A107" s="1340">
        <v>2000.02</v>
      </c>
      <c r="B107" s="252">
        <v>24906636</v>
      </c>
      <c r="C107" s="3034">
        <v>38976750</v>
      </c>
      <c r="D107" s="169">
        <v>4474452</v>
      </c>
      <c r="E107" s="3034">
        <v>10911337</v>
      </c>
      <c r="F107" s="169">
        <v>3203120</v>
      </c>
      <c r="G107" s="3034">
        <v>296939</v>
      </c>
      <c r="H107" s="206">
        <f t="shared" si="1"/>
        <v>82769234</v>
      </c>
    </row>
    <row r="108" spans="1:8">
      <c r="A108" s="1340">
        <v>2000.03</v>
      </c>
      <c r="B108" s="252">
        <v>17980172</v>
      </c>
      <c r="C108" s="3034">
        <v>33703853</v>
      </c>
      <c r="D108" s="169">
        <v>4283879</v>
      </c>
      <c r="E108" s="3034">
        <v>11087444</v>
      </c>
      <c r="F108" s="169">
        <v>2331684</v>
      </c>
      <c r="G108" s="3034">
        <v>302329</v>
      </c>
      <c r="H108" s="206">
        <f t="shared" si="1"/>
        <v>69689361</v>
      </c>
    </row>
    <row r="109" spans="1:8">
      <c r="A109" s="1340">
        <v>2000.04</v>
      </c>
      <c r="B109" s="252">
        <v>14901148</v>
      </c>
      <c r="C109" s="3034">
        <v>41749775</v>
      </c>
      <c r="D109" s="169">
        <v>4300046</v>
      </c>
      <c r="E109" s="3034">
        <v>10322601</v>
      </c>
      <c r="F109" s="169">
        <v>12807749</v>
      </c>
      <c r="G109" s="3034">
        <v>281716</v>
      </c>
      <c r="H109" s="206">
        <f t="shared" si="1"/>
        <v>84363035</v>
      </c>
    </row>
    <row r="110" spans="1:8">
      <c r="A110" s="1340">
        <v>2000.05</v>
      </c>
      <c r="B110" s="252">
        <v>23695131</v>
      </c>
      <c r="C110" s="3034">
        <v>35866246</v>
      </c>
      <c r="D110" s="169">
        <v>4228804</v>
      </c>
      <c r="E110" s="3034">
        <v>9882517</v>
      </c>
      <c r="F110" s="169">
        <v>5382566</v>
      </c>
      <c r="G110" s="3034">
        <v>276965</v>
      </c>
      <c r="H110" s="206">
        <f t="shared" si="1"/>
        <v>79332229</v>
      </c>
    </row>
    <row r="111" spans="1:8">
      <c r="A111" s="1340">
        <v>2000.06</v>
      </c>
      <c r="B111" s="252">
        <v>16127676</v>
      </c>
      <c r="C111" s="3034">
        <v>37421690</v>
      </c>
      <c r="D111" s="169">
        <v>4311969</v>
      </c>
      <c r="E111" s="3034">
        <v>11232520</v>
      </c>
      <c r="F111" s="169">
        <v>12101785</v>
      </c>
      <c r="G111" s="3034">
        <v>307617</v>
      </c>
      <c r="H111" s="206">
        <f t="shared" si="1"/>
        <v>81503257</v>
      </c>
    </row>
    <row r="112" spans="1:8">
      <c r="A112" s="1340">
        <v>2000.07</v>
      </c>
      <c r="B112" s="252">
        <v>26674024</v>
      </c>
      <c r="C112" s="3034">
        <v>37394608</v>
      </c>
      <c r="D112" s="169">
        <v>7392153</v>
      </c>
      <c r="E112" s="3034">
        <v>11044175</v>
      </c>
      <c r="F112" s="169">
        <v>5081935</v>
      </c>
      <c r="G112" s="3034">
        <v>247307</v>
      </c>
      <c r="H112" s="206">
        <f t="shared" si="1"/>
        <v>87834202</v>
      </c>
    </row>
    <row r="113" spans="1:8">
      <c r="A113" s="1340">
        <v>2000.08</v>
      </c>
      <c r="B113" s="252">
        <v>16797618</v>
      </c>
      <c r="C113" s="3034">
        <v>35470993</v>
      </c>
      <c r="D113" s="169">
        <v>4155790</v>
      </c>
      <c r="E113" s="3034">
        <v>12079793</v>
      </c>
      <c r="F113" s="169">
        <v>5243611</v>
      </c>
      <c r="G113" s="3034">
        <v>315280</v>
      </c>
      <c r="H113" s="206">
        <f t="shared" si="1"/>
        <v>74063085</v>
      </c>
    </row>
    <row r="114" spans="1:8">
      <c r="A114" s="1340">
        <v>2000.09</v>
      </c>
      <c r="B114" s="252">
        <v>12060416</v>
      </c>
      <c r="C114" s="3034">
        <v>35650318</v>
      </c>
      <c r="D114" s="169">
        <v>4095356</v>
      </c>
      <c r="E114" s="3034">
        <v>11884246</v>
      </c>
      <c r="F114" s="169">
        <v>8819571</v>
      </c>
      <c r="G114" s="3034">
        <v>304814</v>
      </c>
      <c r="H114" s="206">
        <f t="shared" si="1"/>
        <v>72814721</v>
      </c>
    </row>
    <row r="115" spans="1:8">
      <c r="A115" s="1340">
        <v>2000.1</v>
      </c>
      <c r="B115" s="252">
        <v>21756230</v>
      </c>
      <c r="C115" s="3034">
        <v>36527558</v>
      </c>
      <c r="D115" s="169">
        <v>4125880</v>
      </c>
      <c r="E115" s="3034">
        <v>11150487</v>
      </c>
      <c r="F115" s="169">
        <v>4093427</v>
      </c>
      <c r="G115" s="3034">
        <v>307381</v>
      </c>
      <c r="H115" s="206">
        <f t="shared" si="1"/>
        <v>77960963</v>
      </c>
    </row>
    <row r="116" spans="1:8">
      <c r="A116" s="1340">
        <v>2000.11</v>
      </c>
      <c r="B116" s="252">
        <v>15032164</v>
      </c>
      <c r="C116" s="3034">
        <v>36071616</v>
      </c>
      <c r="D116" s="169">
        <v>4083778</v>
      </c>
      <c r="E116" s="3034">
        <v>11656307</v>
      </c>
      <c r="F116" s="169">
        <v>10648697</v>
      </c>
      <c r="G116" s="3034">
        <v>337954</v>
      </c>
      <c r="H116" s="206">
        <f t="shared" si="1"/>
        <v>77830516</v>
      </c>
    </row>
    <row r="117" spans="1:8">
      <c r="A117" s="1340">
        <v>2000.12</v>
      </c>
      <c r="B117" s="252">
        <v>11170140</v>
      </c>
      <c r="C117" s="3034">
        <v>35408746</v>
      </c>
      <c r="D117" s="169">
        <v>3991078</v>
      </c>
      <c r="E117" s="3034">
        <v>11543140</v>
      </c>
      <c r="F117" s="169">
        <v>3798764</v>
      </c>
      <c r="G117" s="3034">
        <v>249410</v>
      </c>
      <c r="H117" s="206">
        <f t="shared" si="1"/>
        <v>66161278</v>
      </c>
    </row>
    <row r="118" spans="1:8">
      <c r="A118" s="1340">
        <v>2001.01</v>
      </c>
      <c r="B118" s="252">
        <v>7248477</v>
      </c>
      <c r="C118" s="3034">
        <v>39487938</v>
      </c>
      <c r="D118" s="169">
        <v>6369797</v>
      </c>
      <c r="E118" s="3034">
        <v>11616669</v>
      </c>
      <c r="F118" s="169">
        <v>5720066</v>
      </c>
      <c r="G118" s="3034">
        <v>225686</v>
      </c>
      <c r="H118" s="206">
        <f t="shared" si="1"/>
        <v>70668633</v>
      </c>
    </row>
    <row r="119" spans="1:8">
      <c r="A119" s="1340">
        <v>2001.02</v>
      </c>
      <c r="B119" s="252">
        <v>20453476</v>
      </c>
      <c r="C119" s="3034">
        <v>33820950</v>
      </c>
      <c r="D119" s="169">
        <v>4329292</v>
      </c>
      <c r="E119" s="3034">
        <v>10577763</v>
      </c>
      <c r="F119" s="169">
        <v>2260686</v>
      </c>
      <c r="G119" s="3034">
        <v>275505</v>
      </c>
      <c r="H119" s="206">
        <f t="shared" si="1"/>
        <v>71717672</v>
      </c>
    </row>
    <row r="120" spans="1:8">
      <c r="A120" s="1340">
        <v>2001.03</v>
      </c>
      <c r="B120" s="252">
        <v>15456329</v>
      </c>
      <c r="C120" s="3034">
        <v>31700888</v>
      </c>
      <c r="D120" s="169">
        <v>4380953</v>
      </c>
      <c r="E120" s="3034">
        <v>10575488</v>
      </c>
      <c r="F120" s="169">
        <v>2105723</v>
      </c>
      <c r="G120" s="3034">
        <v>275257</v>
      </c>
      <c r="H120" s="206">
        <f t="shared" si="1"/>
        <v>64494638</v>
      </c>
    </row>
    <row r="121" spans="1:8">
      <c r="A121" s="1340">
        <v>2001.04</v>
      </c>
      <c r="B121" s="252">
        <v>10893516</v>
      </c>
      <c r="C121" s="3034">
        <v>33361185</v>
      </c>
      <c r="D121" s="169">
        <v>3792680</v>
      </c>
      <c r="E121" s="3034">
        <v>9384046</v>
      </c>
      <c r="F121" s="169">
        <v>11857631</v>
      </c>
      <c r="G121" s="3034">
        <v>257853</v>
      </c>
      <c r="H121" s="206">
        <f t="shared" si="1"/>
        <v>69546911</v>
      </c>
    </row>
    <row r="122" spans="1:8">
      <c r="A122" s="1340">
        <v>2001.05</v>
      </c>
      <c r="B122" s="252">
        <v>22165980</v>
      </c>
      <c r="C122" s="3034">
        <v>35784331</v>
      </c>
      <c r="D122" s="169">
        <v>3774047</v>
      </c>
      <c r="E122" s="3034">
        <v>10608877</v>
      </c>
      <c r="F122" s="169">
        <v>5227680</v>
      </c>
      <c r="G122" s="3034">
        <v>292404</v>
      </c>
      <c r="H122" s="206">
        <f t="shared" si="1"/>
        <v>77853319</v>
      </c>
    </row>
    <row r="123" spans="1:8">
      <c r="A123" s="1340">
        <v>2001.06</v>
      </c>
      <c r="B123" s="252">
        <v>14951345</v>
      </c>
      <c r="C123" s="3034">
        <v>35866167</v>
      </c>
      <c r="D123" s="169">
        <v>3748093</v>
      </c>
      <c r="E123" s="3034">
        <v>10734398</v>
      </c>
      <c r="F123" s="169">
        <v>11478158</v>
      </c>
      <c r="G123" s="3034">
        <v>293523</v>
      </c>
      <c r="H123" s="206">
        <f t="shared" si="1"/>
        <v>77071684</v>
      </c>
    </row>
    <row r="124" spans="1:8">
      <c r="A124" s="1340">
        <v>2001.07</v>
      </c>
      <c r="B124" s="252">
        <v>24317167</v>
      </c>
      <c r="C124" s="3034">
        <v>34323675</v>
      </c>
      <c r="D124" s="169">
        <v>5294656</v>
      </c>
      <c r="E124" s="3034">
        <v>9464103</v>
      </c>
      <c r="F124" s="169">
        <v>4589726</v>
      </c>
      <c r="G124" s="3034">
        <v>243217</v>
      </c>
      <c r="H124" s="206">
        <f t="shared" si="1"/>
        <v>78232544</v>
      </c>
    </row>
    <row r="125" spans="1:8">
      <c r="A125" s="1340">
        <v>2001.08</v>
      </c>
      <c r="B125" s="252">
        <v>15551115</v>
      </c>
      <c r="C125" s="3034">
        <v>32704550</v>
      </c>
      <c r="D125" s="169">
        <v>3586712</v>
      </c>
      <c r="E125" s="3034">
        <v>10848236</v>
      </c>
      <c r="F125" s="169">
        <v>4783413</v>
      </c>
      <c r="G125" s="3034">
        <v>292987</v>
      </c>
      <c r="H125" s="206">
        <f t="shared" si="1"/>
        <v>67767013</v>
      </c>
    </row>
    <row r="126" spans="1:8">
      <c r="A126" s="1340">
        <v>2001.09</v>
      </c>
      <c r="B126" s="252">
        <v>10696758</v>
      </c>
      <c r="C126" s="3034">
        <v>31621393</v>
      </c>
      <c r="D126" s="169">
        <v>3543838</v>
      </c>
      <c r="E126" s="3034">
        <v>9495867</v>
      </c>
      <c r="F126" s="169">
        <v>8060722</v>
      </c>
      <c r="G126" s="3034">
        <v>266459</v>
      </c>
      <c r="H126" s="206">
        <f t="shared" si="1"/>
        <v>63685037</v>
      </c>
    </row>
    <row r="127" spans="1:8">
      <c r="A127" s="1340">
        <v>2001.1</v>
      </c>
      <c r="B127" s="252">
        <v>17319589</v>
      </c>
      <c r="C127" s="3034">
        <v>31498251</v>
      </c>
      <c r="D127" s="169">
        <v>3543542</v>
      </c>
      <c r="E127" s="3034">
        <v>10503456</v>
      </c>
      <c r="F127" s="169">
        <v>3834569</v>
      </c>
      <c r="G127" s="3034">
        <v>314892</v>
      </c>
      <c r="H127" s="206">
        <f t="shared" si="1"/>
        <v>67014299</v>
      </c>
    </row>
    <row r="128" spans="1:8">
      <c r="A128" s="1340">
        <v>2001.11</v>
      </c>
      <c r="B128" s="252">
        <v>11641989</v>
      </c>
      <c r="C128" s="3034">
        <v>30785711</v>
      </c>
      <c r="D128" s="169">
        <v>3440012</v>
      </c>
      <c r="E128" s="3034">
        <v>9941648</v>
      </c>
      <c r="F128" s="169">
        <v>9454672</v>
      </c>
      <c r="G128" s="3034">
        <v>300017</v>
      </c>
      <c r="H128" s="206">
        <f t="shared" si="1"/>
        <v>65564049</v>
      </c>
    </row>
    <row r="129" spans="1:8">
      <c r="A129" s="1340">
        <v>2001.12</v>
      </c>
      <c r="B129" s="252">
        <v>7556722</v>
      </c>
      <c r="C129" s="3034">
        <v>21703764</v>
      </c>
      <c r="D129" s="169">
        <v>2757606</v>
      </c>
      <c r="E129" s="3034">
        <v>7272328</v>
      </c>
      <c r="F129" s="169">
        <v>2373767</v>
      </c>
      <c r="G129" s="3034">
        <v>205254</v>
      </c>
      <c r="H129" s="206">
        <f t="shared" si="1"/>
        <v>41869441</v>
      </c>
    </row>
    <row r="130" spans="1:8">
      <c r="A130" s="1340">
        <v>2002.01</v>
      </c>
      <c r="B130" s="252">
        <v>10018829</v>
      </c>
      <c r="C130" s="3034">
        <v>27961004</v>
      </c>
      <c r="D130" s="169">
        <v>4686049</v>
      </c>
      <c r="E130" s="3034">
        <v>6211722</v>
      </c>
      <c r="F130" s="169">
        <v>4636557</v>
      </c>
      <c r="G130" s="3034">
        <v>151149</v>
      </c>
      <c r="H130" s="206">
        <f t="shared" si="1"/>
        <v>53665310</v>
      </c>
    </row>
    <row r="131" spans="1:8">
      <c r="A131" s="1340">
        <v>2002.02</v>
      </c>
      <c r="B131" s="252">
        <v>21413546</v>
      </c>
      <c r="C131" s="3034">
        <v>24237128</v>
      </c>
      <c r="D131" s="169">
        <v>3122868</v>
      </c>
      <c r="E131" s="3034">
        <v>5304961</v>
      </c>
      <c r="F131" s="169">
        <v>1772263</v>
      </c>
      <c r="G131" s="3034">
        <v>198338</v>
      </c>
      <c r="H131" s="206">
        <f t="shared" si="1"/>
        <v>56049104</v>
      </c>
    </row>
    <row r="132" spans="1:8">
      <c r="A132" s="1340">
        <v>2002.03</v>
      </c>
      <c r="B132" s="252">
        <v>19185128</v>
      </c>
      <c r="C132" s="3034">
        <v>26753561</v>
      </c>
      <c r="D132" s="169">
        <v>2905367</v>
      </c>
      <c r="E132" s="3034">
        <v>5538631</v>
      </c>
      <c r="F132" s="169">
        <v>1851869</v>
      </c>
      <c r="G132" s="3034">
        <v>183930</v>
      </c>
      <c r="H132" s="206">
        <f t="shared" si="1"/>
        <v>56418486</v>
      </c>
    </row>
    <row r="133" spans="1:8">
      <c r="A133" s="1340">
        <v>2002.04</v>
      </c>
      <c r="B133" s="252">
        <v>13225317</v>
      </c>
      <c r="C133" s="3034">
        <v>31096569</v>
      </c>
      <c r="D133" s="169">
        <v>3077461</v>
      </c>
      <c r="E133" s="3034">
        <v>7422650</v>
      </c>
      <c r="F133" s="169">
        <v>9121162</v>
      </c>
      <c r="G133" s="3034">
        <v>208673</v>
      </c>
      <c r="H133" s="206">
        <f t="shared" si="1"/>
        <v>64151832</v>
      </c>
    </row>
    <row r="134" spans="1:8">
      <c r="A134" s="1340">
        <v>2002.05</v>
      </c>
      <c r="B134" s="252">
        <v>22268433</v>
      </c>
      <c r="C134" s="3034">
        <v>36138824</v>
      </c>
      <c r="D134" s="169">
        <v>3113521</v>
      </c>
      <c r="E134" s="3034">
        <v>11467183</v>
      </c>
      <c r="F134" s="169">
        <v>5295545</v>
      </c>
      <c r="G134" s="3034">
        <v>216988</v>
      </c>
      <c r="H134" s="206">
        <f t="shared" si="1"/>
        <v>78500494</v>
      </c>
    </row>
    <row r="135" spans="1:8">
      <c r="A135" s="1340">
        <v>2002.06</v>
      </c>
      <c r="B135" s="252">
        <v>15619475</v>
      </c>
      <c r="C135" s="3034">
        <v>40643915</v>
      </c>
      <c r="D135" s="169">
        <v>3029309</v>
      </c>
      <c r="E135" s="3034">
        <v>8377650</v>
      </c>
      <c r="F135" s="169">
        <v>9902871</v>
      </c>
      <c r="G135" s="3034">
        <v>242386</v>
      </c>
      <c r="H135" s="206">
        <f t="shared" si="1"/>
        <v>77815606</v>
      </c>
    </row>
    <row r="136" spans="1:8">
      <c r="A136" s="1340">
        <v>2002.07</v>
      </c>
      <c r="B136" s="252">
        <v>25336889</v>
      </c>
      <c r="C136" s="3034">
        <v>43108473</v>
      </c>
      <c r="D136" s="169">
        <v>4477723</v>
      </c>
      <c r="E136" s="3034">
        <v>9979953</v>
      </c>
      <c r="F136" s="169">
        <v>4637639</v>
      </c>
      <c r="G136" s="3034">
        <v>226104</v>
      </c>
      <c r="H136" s="206">
        <f t="shared" si="1"/>
        <v>87766781</v>
      </c>
    </row>
    <row r="137" spans="1:8">
      <c r="A137" s="1340">
        <v>2002.08</v>
      </c>
      <c r="B137" s="252">
        <v>16239662</v>
      </c>
      <c r="C137" s="3034">
        <v>46520716</v>
      </c>
      <c r="D137" s="169">
        <v>3040623</v>
      </c>
      <c r="E137" s="3034">
        <v>9961753</v>
      </c>
      <c r="F137" s="169">
        <v>4588806</v>
      </c>
      <c r="G137" s="3034">
        <v>253162</v>
      </c>
      <c r="H137" s="206">
        <f t="shared" si="1"/>
        <v>80604722</v>
      </c>
    </row>
    <row r="138" spans="1:8">
      <c r="A138" s="1340">
        <v>2002.09</v>
      </c>
      <c r="B138" s="252">
        <v>11248894</v>
      </c>
      <c r="C138" s="3034">
        <v>46443879</v>
      </c>
      <c r="D138" s="169">
        <v>3114659</v>
      </c>
      <c r="E138" s="3034">
        <v>8766596</v>
      </c>
      <c r="F138" s="169">
        <v>8144087</v>
      </c>
      <c r="G138" s="3034">
        <v>256392</v>
      </c>
      <c r="H138" s="206">
        <f t="shared" si="1"/>
        <v>77974507</v>
      </c>
    </row>
    <row r="139" spans="1:8">
      <c r="A139" s="1340">
        <v>2002.1</v>
      </c>
      <c r="B139" s="252">
        <v>19169490</v>
      </c>
      <c r="C139" s="3034">
        <v>52953807</v>
      </c>
      <c r="D139" s="169">
        <v>3359305</v>
      </c>
      <c r="E139" s="3034">
        <v>12123487</v>
      </c>
      <c r="F139" s="169">
        <v>3871552</v>
      </c>
      <c r="G139" s="3034">
        <v>302786</v>
      </c>
      <c r="H139" s="206">
        <f t="shared" ref="H139:H202" si="2">_xlfn.AGGREGATE(9,6,B139:G139)</f>
        <v>91780427</v>
      </c>
    </row>
    <row r="140" spans="1:8">
      <c r="A140" s="1340">
        <v>2002.11</v>
      </c>
      <c r="B140" s="252">
        <v>13489309</v>
      </c>
      <c r="C140" s="3034">
        <v>52678067</v>
      </c>
      <c r="D140" s="169">
        <v>3132454</v>
      </c>
      <c r="E140" s="3034">
        <v>13920626</v>
      </c>
      <c r="F140" s="169">
        <v>9327702</v>
      </c>
      <c r="G140" s="3034">
        <v>645584</v>
      </c>
      <c r="H140" s="206">
        <f t="shared" si="2"/>
        <v>93193742</v>
      </c>
    </row>
    <row r="141" spans="1:8">
      <c r="A141" s="1340">
        <v>2002.12</v>
      </c>
      <c r="B141" s="252">
        <v>11068613</v>
      </c>
      <c r="C141" s="3034">
        <v>53425275</v>
      </c>
      <c r="D141" s="169">
        <v>3412167</v>
      </c>
      <c r="E141" s="3034">
        <v>10809410</v>
      </c>
      <c r="F141" s="169">
        <v>4139389</v>
      </c>
      <c r="G141" s="3034">
        <v>273862</v>
      </c>
      <c r="H141" s="206">
        <f t="shared" si="2"/>
        <v>83128716</v>
      </c>
    </row>
    <row r="142" spans="1:8">
      <c r="A142" s="1340">
        <v>2003.01</v>
      </c>
      <c r="B142" s="252">
        <v>4382997</v>
      </c>
      <c r="C142" s="3034">
        <v>75370933</v>
      </c>
      <c r="D142" s="169">
        <v>4989113</v>
      </c>
      <c r="E142" s="3034">
        <v>11060112</v>
      </c>
      <c r="F142" s="169">
        <v>4314294</v>
      </c>
      <c r="G142" s="3034">
        <v>234617</v>
      </c>
      <c r="H142" s="206">
        <f t="shared" si="2"/>
        <v>100352066</v>
      </c>
    </row>
    <row r="143" spans="1:8">
      <c r="A143" s="1340">
        <v>2003.02</v>
      </c>
      <c r="B143" s="252">
        <v>19724332</v>
      </c>
      <c r="C143" s="3034">
        <v>48305115</v>
      </c>
      <c r="D143" s="169">
        <v>3678309</v>
      </c>
      <c r="E143" s="3034">
        <v>9383824</v>
      </c>
      <c r="F143" s="169">
        <v>2278198</v>
      </c>
      <c r="G143" s="3034">
        <v>278773</v>
      </c>
      <c r="H143" s="206">
        <f t="shared" si="2"/>
        <v>83648551</v>
      </c>
    </row>
    <row r="144" spans="1:8">
      <c r="A144" s="1340">
        <v>2003.03</v>
      </c>
      <c r="B144" s="252">
        <v>14861590</v>
      </c>
      <c r="C144" s="3034">
        <v>47491014</v>
      </c>
      <c r="D144" s="169">
        <v>3453554</v>
      </c>
      <c r="E144" s="3034">
        <v>9041371</v>
      </c>
      <c r="F144" s="169">
        <v>2271932</v>
      </c>
      <c r="G144" s="3034">
        <v>300666</v>
      </c>
      <c r="H144" s="206">
        <f t="shared" si="2"/>
        <v>77420127</v>
      </c>
    </row>
    <row r="145" spans="1:8">
      <c r="A145" s="1340">
        <v>2003.04</v>
      </c>
      <c r="B145" s="252">
        <v>9366311</v>
      </c>
      <c r="C145" s="3034">
        <v>52040553</v>
      </c>
      <c r="D145" s="169">
        <v>3469927</v>
      </c>
      <c r="E145" s="3034">
        <v>10834349</v>
      </c>
      <c r="F145" s="169">
        <v>12572681</v>
      </c>
      <c r="G145" s="3034">
        <v>281781</v>
      </c>
      <c r="H145" s="206">
        <f t="shared" si="2"/>
        <v>88565602</v>
      </c>
    </row>
    <row r="146" spans="1:8">
      <c r="A146" s="1340">
        <v>2003.05</v>
      </c>
      <c r="B146" s="252">
        <v>25853714</v>
      </c>
      <c r="C146" s="3034">
        <v>53866303</v>
      </c>
      <c r="D146" s="169">
        <v>3612164</v>
      </c>
      <c r="E146" s="3034">
        <v>9829661</v>
      </c>
      <c r="F146" s="169">
        <v>5578118</v>
      </c>
      <c r="G146" s="3034">
        <v>302251</v>
      </c>
      <c r="H146" s="206">
        <f t="shared" si="2"/>
        <v>99042211</v>
      </c>
    </row>
    <row r="147" spans="1:8">
      <c r="A147" s="1340">
        <v>2003.06</v>
      </c>
      <c r="B147" s="252">
        <v>7479536</v>
      </c>
      <c r="C147" s="3034">
        <v>55247389</v>
      </c>
      <c r="D147" s="169">
        <v>3707883</v>
      </c>
      <c r="E147" s="3034">
        <v>11112777</v>
      </c>
      <c r="F147" s="169">
        <v>11300707</v>
      </c>
      <c r="G147" s="3034">
        <v>333853</v>
      </c>
      <c r="H147" s="206">
        <f t="shared" si="2"/>
        <v>89182145</v>
      </c>
    </row>
    <row r="148" spans="1:8">
      <c r="A148" s="1340">
        <v>2003.07</v>
      </c>
      <c r="B148" s="252">
        <v>7152406</v>
      </c>
      <c r="C148" s="3034">
        <v>55983074</v>
      </c>
      <c r="D148" s="169">
        <v>5415589</v>
      </c>
      <c r="E148" s="3034">
        <v>12857993</v>
      </c>
      <c r="F148" s="169">
        <v>4881647</v>
      </c>
      <c r="G148" s="3034">
        <v>283225</v>
      </c>
      <c r="H148" s="206">
        <f t="shared" si="2"/>
        <v>86573934</v>
      </c>
    </row>
    <row r="149" spans="1:8">
      <c r="A149" s="1340">
        <v>2003.08</v>
      </c>
      <c r="B149" s="252">
        <v>2847459</v>
      </c>
      <c r="C149" s="3034">
        <v>55256521</v>
      </c>
      <c r="D149" s="169">
        <v>3930867</v>
      </c>
      <c r="E149" s="3034">
        <v>11785766</v>
      </c>
      <c r="F149" s="169">
        <v>10174903</v>
      </c>
      <c r="G149" s="3034">
        <v>323790</v>
      </c>
      <c r="H149" s="206">
        <f t="shared" si="2"/>
        <v>84319306</v>
      </c>
    </row>
    <row r="150" spans="1:8">
      <c r="A150" s="1340">
        <v>2003.09</v>
      </c>
      <c r="B150" s="252">
        <v>29777706</v>
      </c>
      <c r="C150" s="3034">
        <v>63032220</v>
      </c>
      <c r="D150" s="169">
        <v>4080639</v>
      </c>
      <c r="E150" s="3034">
        <v>12752728</v>
      </c>
      <c r="F150" s="169">
        <v>5870354</v>
      </c>
      <c r="G150" s="3034">
        <v>332151</v>
      </c>
      <c r="H150" s="206">
        <f t="shared" si="2"/>
        <v>115845798</v>
      </c>
    </row>
    <row r="151" spans="1:8">
      <c r="A151" s="1340">
        <v>2003.1</v>
      </c>
      <c r="B151" s="252">
        <v>24673817</v>
      </c>
      <c r="C151" s="3034">
        <v>62990461</v>
      </c>
      <c r="D151" s="169">
        <v>3934067</v>
      </c>
      <c r="E151" s="3034">
        <v>12293550</v>
      </c>
      <c r="F151" s="169">
        <v>12426509</v>
      </c>
      <c r="G151" s="3034">
        <v>351130</v>
      </c>
      <c r="H151" s="206">
        <f t="shared" si="2"/>
        <v>116669534</v>
      </c>
    </row>
    <row r="152" spans="1:8">
      <c r="A152" s="1340">
        <v>2003.11</v>
      </c>
      <c r="B152" s="252">
        <v>36578612</v>
      </c>
      <c r="C152" s="3034">
        <v>68212240</v>
      </c>
      <c r="D152" s="169">
        <v>4100299</v>
      </c>
      <c r="E152" s="3034">
        <v>11960800</v>
      </c>
      <c r="F152" s="169">
        <v>8113059</v>
      </c>
      <c r="G152" s="3034">
        <v>353960</v>
      </c>
      <c r="H152" s="206">
        <f t="shared" si="2"/>
        <v>129318970</v>
      </c>
    </row>
    <row r="153" spans="1:8">
      <c r="A153" s="1340">
        <v>2003.12</v>
      </c>
      <c r="B153" s="252">
        <v>18550201</v>
      </c>
      <c r="C153" s="3034">
        <v>63708358</v>
      </c>
      <c r="D153" s="169">
        <v>4267741</v>
      </c>
      <c r="E153" s="3034">
        <v>14656642</v>
      </c>
      <c r="F153" s="169">
        <v>5675819</v>
      </c>
      <c r="G153" s="3034">
        <v>306888</v>
      </c>
      <c r="H153" s="206">
        <f t="shared" si="2"/>
        <v>107165649</v>
      </c>
    </row>
    <row r="154" spans="1:8">
      <c r="A154" s="1340">
        <v>2004.01</v>
      </c>
      <c r="B154" s="252">
        <v>11286033</v>
      </c>
      <c r="C154" s="3034">
        <v>69358249</v>
      </c>
      <c r="D154" s="169">
        <v>6148338</v>
      </c>
      <c r="E154" s="3034">
        <v>12204805</v>
      </c>
      <c r="F154" s="169">
        <v>2963901</v>
      </c>
      <c r="G154" s="3034">
        <v>260200</v>
      </c>
      <c r="H154" s="206">
        <f t="shared" si="2"/>
        <v>102221526</v>
      </c>
    </row>
    <row r="155" spans="1:8">
      <c r="A155" s="1340">
        <v>2004.02</v>
      </c>
      <c r="B155" s="252">
        <v>24456890</v>
      </c>
      <c r="C155" s="3034">
        <v>62726369</v>
      </c>
      <c r="D155" s="169">
        <v>4982134</v>
      </c>
      <c r="E155" s="3034">
        <v>12950475</v>
      </c>
      <c r="F155" s="169">
        <v>3149843</v>
      </c>
      <c r="G155" s="3034">
        <v>308286</v>
      </c>
      <c r="H155" s="206">
        <f t="shared" si="2"/>
        <v>108573997</v>
      </c>
    </row>
    <row r="156" spans="1:8">
      <c r="A156" s="1340">
        <v>2004.03</v>
      </c>
      <c r="B156" s="252">
        <v>34300383</v>
      </c>
      <c r="C156" s="3034">
        <v>75477754</v>
      </c>
      <c r="D156" s="169">
        <v>4956242</v>
      </c>
      <c r="E156" s="3034">
        <v>13304793</v>
      </c>
      <c r="F156" s="169">
        <v>6667780</v>
      </c>
      <c r="G156" s="3034">
        <v>341344</v>
      </c>
      <c r="H156" s="206">
        <f t="shared" si="2"/>
        <v>135048296</v>
      </c>
    </row>
    <row r="157" spans="1:8">
      <c r="A157" s="1340">
        <v>2004.04</v>
      </c>
      <c r="B157" s="252">
        <v>14581391</v>
      </c>
      <c r="C157" s="3034">
        <v>69316513</v>
      </c>
      <c r="D157" s="169">
        <v>4862854</v>
      </c>
      <c r="E157" s="3034">
        <v>13356709</v>
      </c>
      <c r="F157" s="169">
        <v>17841335</v>
      </c>
      <c r="G157" s="3034">
        <v>341026</v>
      </c>
      <c r="H157" s="206">
        <f t="shared" si="2"/>
        <v>120299828</v>
      </c>
    </row>
    <row r="158" spans="1:8">
      <c r="A158" s="1340">
        <v>2004.05</v>
      </c>
      <c r="B158" s="252">
        <v>25620673</v>
      </c>
      <c r="C158" s="3034">
        <v>74529893</v>
      </c>
      <c r="D158" s="169">
        <v>4858985</v>
      </c>
      <c r="E158" s="3034">
        <v>13404787</v>
      </c>
      <c r="F158" s="169">
        <v>5411711</v>
      </c>
      <c r="G158" s="3034">
        <v>360060</v>
      </c>
      <c r="H158" s="206">
        <f t="shared" si="2"/>
        <v>124186109</v>
      </c>
    </row>
    <row r="159" spans="1:8">
      <c r="A159" s="1340">
        <v>2004.06</v>
      </c>
      <c r="B159" s="252">
        <v>16814810</v>
      </c>
      <c r="C159" s="3034">
        <v>74229244</v>
      </c>
      <c r="D159" s="169">
        <v>4982653</v>
      </c>
      <c r="E159" s="3034">
        <v>13717074</v>
      </c>
      <c r="F159" s="169">
        <v>13960531</v>
      </c>
      <c r="G159" s="3034">
        <v>369350</v>
      </c>
      <c r="H159" s="206">
        <f t="shared" si="2"/>
        <v>124073662</v>
      </c>
    </row>
    <row r="160" spans="1:8">
      <c r="A160" s="1340">
        <v>2004.07</v>
      </c>
      <c r="B160" s="252">
        <v>11421255</v>
      </c>
      <c r="C160" s="3034">
        <v>75831887</v>
      </c>
      <c r="D160" s="169">
        <v>7109242</v>
      </c>
      <c r="E160" s="3034">
        <v>15837332</v>
      </c>
      <c r="F160" s="169">
        <v>4284170</v>
      </c>
      <c r="G160" s="3034">
        <v>351617</v>
      </c>
      <c r="H160" s="206">
        <f t="shared" si="2"/>
        <v>114835503</v>
      </c>
    </row>
    <row r="161" spans="1:8">
      <c r="A161" s="1340">
        <v>2004.08</v>
      </c>
      <c r="B161" s="252">
        <v>41898365</v>
      </c>
      <c r="C161" s="3034">
        <v>74760534</v>
      </c>
      <c r="D161" s="169">
        <v>5079596</v>
      </c>
      <c r="E161" s="3034">
        <v>15901131</v>
      </c>
      <c r="F161" s="169">
        <v>3777721</v>
      </c>
      <c r="G161" s="3034">
        <v>393253</v>
      </c>
      <c r="H161" s="206">
        <f t="shared" si="2"/>
        <v>141810600</v>
      </c>
    </row>
    <row r="162" spans="1:8">
      <c r="A162" s="1340">
        <v>2004.09</v>
      </c>
      <c r="B162" s="252">
        <v>11574543</v>
      </c>
      <c r="C162" s="3034">
        <v>75398222</v>
      </c>
      <c r="D162" s="169">
        <v>5058265</v>
      </c>
      <c r="E162" s="3034">
        <v>16858369</v>
      </c>
      <c r="F162" s="169">
        <v>15676975</v>
      </c>
      <c r="G162" s="3034">
        <v>382833</v>
      </c>
      <c r="H162" s="206">
        <f t="shared" si="2"/>
        <v>124949207</v>
      </c>
    </row>
    <row r="163" spans="1:8">
      <c r="A163" s="1340">
        <v>2004.1</v>
      </c>
      <c r="B163" s="252">
        <v>38514093</v>
      </c>
      <c r="C163" s="3034">
        <v>73130268</v>
      </c>
      <c r="D163" s="169">
        <v>6018772</v>
      </c>
      <c r="E163" s="3034">
        <v>15854486</v>
      </c>
      <c r="F163" s="169">
        <v>4823658</v>
      </c>
      <c r="G163" s="3034">
        <v>377380</v>
      </c>
      <c r="H163" s="206">
        <f t="shared" si="2"/>
        <v>138718657</v>
      </c>
    </row>
    <row r="164" spans="1:8">
      <c r="A164" s="1340">
        <v>2004.11</v>
      </c>
      <c r="B164" s="252">
        <v>11141580</v>
      </c>
      <c r="C164" s="3034">
        <v>75516596</v>
      </c>
      <c r="D164" s="169">
        <v>5995015</v>
      </c>
      <c r="E164" s="3034">
        <v>17558055</v>
      </c>
      <c r="F164" s="169">
        <v>14143889</v>
      </c>
      <c r="G164" s="3034">
        <v>403353</v>
      </c>
      <c r="H164" s="206">
        <f t="shared" si="2"/>
        <v>124758488</v>
      </c>
    </row>
    <row r="165" spans="1:8">
      <c r="A165" s="1340">
        <v>2004.12</v>
      </c>
      <c r="B165" s="252">
        <v>8637522</v>
      </c>
      <c r="C165" s="3034">
        <v>79451252</v>
      </c>
      <c r="D165" s="169">
        <v>6011610</v>
      </c>
      <c r="E165" s="3034">
        <v>20641328</v>
      </c>
      <c r="F165" s="169">
        <v>12167354</v>
      </c>
      <c r="G165" s="3034">
        <v>424738</v>
      </c>
      <c r="H165" s="206">
        <f t="shared" si="2"/>
        <v>127333804</v>
      </c>
    </row>
    <row r="166" spans="1:8">
      <c r="A166" s="1340">
        <v>2005.01</v>
      </c>
      <c r="B166" s="252">
        <v>9543203</v>
      </c>
      <c r="C166" s="3034">
        <v>89559899</v>
      </c>
      <c r="D166" s="169">
        <v>9174184</v>
      </c>
      <c r="E166" s="3034">
        <v>21401753</v>
      </c>
      <c r="F166" s="169">
        <v>7293555</v>
      </c>
      <c r="G166" s="3034">
        <v>319308</v>
      </c>
      <c r="H166" s="206">
        <f t="shared" si="2"/>
        <v>137291902</v>
      </c>
    </row>
    <row r="167" spans="1:8">
      <c r="A167" s="1340">
        <v>2005.02</v>
      </c>
      <c r="B167" s="252">
        <v>32416538</v>
      </c>
      <c r="C167" s="3034">
        <v>74004305</v>
      </c>
      <c r="D167" s="169">
        <v>5894856</v>
      </c>
      <c r="E167" s="3034">
        <v>15480765</v>
      </c>
      <c r="F167" s="169">
        <v>22153872</v>
      </c>
      <c r="G167" s="3034">
        <v>446684</v>
      </c>
      <c r="H167" s="206">
        <f t="shared" si="2"/>
        <v>150397020</v>
      </c>
    </row>
    <row r="168" spans="1:8">
      <c r="A168" s="1340">
        <v>2005.03</v>
      </c>
      <c r="B168" s="252">
        <v>16590933</v>
      </c>
      <c r="C168" s="3034">
        <v>74325957</v>
      </c>
      <c r="D168" s="169">
        <v>5480899</v>
      </c>
      <c r="E168" s="3034">
        <v>15838399</v>
      </c>
      <c r="F168" s="169">
        <v>7436445</v>
      </c>
      <c r="G168" s="3034">
        <v>371104</v>
      </c>
      <c r="H168" s="206">
        <f t="shared" si="2"/>
        <v>120043737</v>
      </c>
    </row>
    <row r="169" spans="1:8">
      <c r="A169" s="1340">
        <v>2005.04</v>
      </c>
      <c r="B169" s="252">
        <v>9974223</v>
      </c>
      <c r="C169" s="3034">
        <v>83664240</v>
      </c>
      <c r="D169" s="169">
        <v>5874247</v>
      </c>
      <c r="E169" s="3034">
        <v>19131819</v>
      </c>
      <c r="F169" s="169">
        <v>23386954</v>
      </c>
      <c r="G169" s="3034">
        <v>414964</v>
      </c>
      <c r="H169" s="206">
        <f t="shared" si="2"/>
        <v>142446447</v>
      </c>
    </row>
    <row r="170" spans="1:8">
      <c r="A170" s="1340">
        <v>2005.05</v>
      </c>
      <c r="B170" s="252">
        <v>31169204</v>
      </c>
      <c r="C170" s="3034">
        <v>86322842</v>
      </c>
      <c r="D170" s="169">
        <v>5761931</v>
      </c>
      <c r="E170" s="3034">
        <v>16525856</v>
      </c>
      <c r="F170" s="169">
        <v>8173043</v>
      </c>
      <c r="G170" s="3034">
        <v>383692</v>
      </c>
      <c r="H170" s="206">
        <f t="shared" si="2"/>
        <v>148336568</v>
      </c>
    </row>
    <row r="171" spans="1:8">
      <c r="A171" s="1340">
        <v>2005.06</v>
      </c>
      <c r="B171" s="252">
        <v>19104832</v>
      </c>
      <c r="C171" s="3034">
        <v>91245630</v>
      </c>
      <c r="D171" s="169">
        <v>5790883</v>
      </c>
      <c r="E171" s="3034">
        <v>19290820</v>
      </c>
      <c r="F171" s="169">
        <v>20294118</v>
      </c>
      <c r="G171" s="3034">
        <v>401925</v>
      </c>
      <c r="H171" s="206">
        <f t="shared" si="2"/>
        <v>156128208</v>
      </c>
    </row>
    <row r="172" spans="1:8">
      <c r="A172" s="1340">
        <v>2005.07</v>
      </c>
      <c r="B172" s="252">
        <v>32090228</v>
      </c>
      <c r="C172" s="3034">
        <v>86933772</v>
      </c>
      <c r="D172" s="169">
        <v>8230553</v>
      </c>
      <c r="E172" s="3034">
        <v>17957044</v>
      </c>
      <c r="F172" s="169">
        <v>7083304</v>
      </c>
      <c r="G172" s="3034">
        <v>380459</v>
      </c>
      <c r="H172" s="206">
        <f t="shared" si="2"/>
        <v>152675360</v>
      </c>
    </row>
    <row r="173" spans="1:8">
      <c r="A173" s="1340">
        <v>2005.08</v>
      </c>
      <c r="B173" s="252">
        <v>18280325</v>
      </c>
      <c r="C173" s="3034">
        <v>88148121</v>
      </c>
      <c r="D173" s="169">
        <v>6480676</v>
      </c>
      <c r="E173" s="3034">
        <v>18935556</v>
      </c>
      <c r="F173" s="169">
        <v>6636822</v>
      </c>
      <c r="G173" s="3034">
        <v>427354</v>
      </c>
      <c r="H173" s="206">
        <f t="shared" si="2"/>
        <v>138908854</v>
      </c>
    </row>
    <row r="174" spans="1:8">
      <c r="A174" s="1340">
        <v>2005.09</v>
      </c>
      <c r="B174" s="252">
        <v>9335888</v>
      </c>
      <c r="C174" s="3034">
        <v>92361079</v>
      </c>
      <c r="D174" s="169">
        <v>6351214</v>
      </c>
      <c r="E174" s="3034">
        <v>19514652</v>
      </c>
      <c r="F174" s="169">
        <v>18597340</v>
      </c>
      <c r="G174" s="3034">
        <v>408214</v>
      </c>
      <c r="H174" s="206">
        <f t="shared" si="2"/>
        <v>146568387</v>
      </c>
    </row>
    <row r="175" spans="1:8">
      <c r="A175" s="1340">
        <v>2005.1</v>
      </c>
      <c r="B175" s="252">
        <v>29007396</v>
      </c>
      <c r="C175" s="3034">
        <v>91416542</v>
      </c>
      <c r="D175" s="169">
        <v>6626223</v>
      </c>
      <c r="E175" s="3034">
        <v>19441519</v>
      </c>
      <c r="F175" s="169">
        <v>5693372</v>
      </c>
      <c r="G175" s="3034">
        <v>437876</v>
      </c>
      <c r="H175" s="206">
        <f t="shared" si="2"/>
        <v>152622928</v>
      </c>
    </row>
    <row r="176" spans="1:8">
      <c r="A176" s="1340">
        <v>2005.11</v>
      </c>
      <c r="B176" s="252">
        <v>15625823</v>
      </c>
      <c r="C176" s="3034">
        <v>96489354</v>
      </c>
      <c r="D176" s="169">
        <v>6691643</v>
      </c>
      <c r="E176" s="3034">
        <v>19613044</v>
      </c>
      <c r="F176" s="169">
        <v>18971551</v>
      </c>
      <c r="G176" s="3034">
        <v>461810</v>
      </c>
      <c r="H176" s="206">
        <f t="shared" si="2"/>
        <v>157853225</v>
      </c>
    </row>
    <row r="177" spans="1:8">
      <c r="A177" s="1340">
        <v>2005.12</v>
      </c>
      <c r="B177" s="252">
        <v>8252271</v>
      </c>
      <c r="C177" s="3034">
        <v>95855207</v>
      </c>
      <c r="D177" s="169">
        <v>6912705</v>
      </c>
      <c r="E177" s="3034">
        <v>20546592</v>
      </c>
      <c r="F177" s="169">
        <v>6178504</v>
      </c>
      <c r="G177" s="3034">
        <v>447415</v>
      </c>
      <c r="H177" s="206">
        <f t="shared" si="2"/>
        <v>138192694</v>
      </c>
    </row>
    <row r="178" spans="1:8">
      <c r="A178" s="1340">
        <v>2006.01</v>
      </c>
      <c r="B178" s="252">
        <v>5591294</v>
      </c>
      <c r="C178" s="3034">
        <v>103282137</v>
      </c>
      <c r="D178" s="169">
        <v>9610206</v>
      </c>
      <c r="E178" s="3034">
        <v>20921471</v>
      </c>
      <c r="F178" s="169">
        <v>7641730</v>
      </c>
      <c r="G178" s="3034">
        <v>357412</v>
      </c>
      <c r="H178" s="206">
        <f t="shared" si="2"/>
        <v>147404250</v>
      </c>
    </row>
    <row r="179" spans="1:8">
      <c r="A179" s="1340">
        <v>2006.02</v>
      </c>
      <c r="B179" s="252">
        <v>35010088</v>
      </c>
      <c r="C179" s="3034">
        <v>91460656</v>
      </c>
      <c r="D179" s="169">
        <v>6319668</v>
      </c>
      <c r="E179" s="3034">
        <v>23250609</v>
      </c>
      <c r="F179" s="169">
        <v>31104518</v>
      </c>
      <c r="G179" s="3034">
        <v>399361</v>
      </c>
      <c r="H179" s="206">
        <f t="shared" si="2"/>
        <v>187544900</v>
      </c>
    </row>
    <row r="180" spans="1:8">
      <c r="A180" s="1340">
        <v>2006.03</v>
      </c>
      <c r="B180" s="252">
        <v>19623955</v>
      </c>
      <c r="C180" s="3034">
        <v>90508588</v>
      </c>
      <c r="D180" s="169">
        <v>5846170</v>
      </c>
      <c r="E180" s="3034">
        <v>19532920</v>
      </c>
      <c r="F180" s="169">
        <v>10628329</v>
      </c>
      <c r="G180" s="3034">
        <v>411602</v>
      </c>
      <c r="H180" s="206">
        <f t="shared" si="2"/>
        <v>146551564</v>
      </c>
    </row>
    <row r="181" spans="1:8">
      <c r="A181" s="1340">
        <v>2006.04</v>
      </c>
      <c r="B181" s="252">
        <v>10193282</v>
      </c>
      <c r="C181" s="3034">
        <v>97508446</v>
      </c>
      <c r="D181" s="169">
        <v>5632441</v>
      </c>
      <c r="E181" s="3034">
        <v>18731773</v>
      </c>
      <c r="F181" s="169">
        <v>27610877</v>
      </c>
      <c r="G181" s="3034">
        <v>427218</v>
      </c>
      <c r="H181" s="206">
        <f t="shared" si="2"/>
        <v>160104037</v>
      </c>
    </row>
    <row r="182" spans="1:8">
      <c r="A182" s="1340">
        <v>2006.05</v>
      </c>
      <c r="B182" s="252">
        <v>31352277</v>
      </c>
      <c r="C182" s="3034">
        <v>104859642</v>
      </c>
      <c r="D182" s="169">
        <v>5854810</v>
      </c>
      <c r="E182" s="3034">
        <v>20938606</v>
      </c>
      <c r="F182" s="169">
        <v>10494942</v>
      </c>
      <c r="G182" s="3034">
        <v>429988</v>
      </c>
      <c r="H182" s="206">
        <f t="shared" si="2"/>
        <v>173930265</v>
      </c>
    </row>
    <row r="183" spans="1:8">
      <c r="A183" s="1340">
        <v>2006.06</v>
      </c>
      <c r="B183" s="252">
        <v>20153447</v>
      </c>
      <c r="C183" s="3034">
        <v>108237524</v>
      </c>
      <c r="D183" s="169">
        <v>5704010</v>
      </c>
      <c r="E183" s="3034">
        <v>23706780</v>
      </c>
      <c r="F183" s="169">
        <v>24469256</v>
      </c>
      <c r="G183" s="3034">
        <v>482117</v>
      </c>
      <c r="H183" s="206">
        <f t="shared" si="2"/>
        <v>182753134</v>
      </c>
    </row>
    <row r="184" spans="1:8">
      <c r="A184" s="1340">
        <v>2006.07</v>
      </c>
      <c r="B184" s="252">
        <v>36783702</v>
      </c>
      <c r="C184" s="3034">
        <v>104705492</v>
      </c>
      <c r="D184" s="169">
        <v>7808103</v>
      </c>
      <c r="E184" s="3034">
        <v>26570440</v>
      </c>
      <c r="F184" s="169">
        <v>8737087</v>
      </c>
      <c r="G184" s="3034">
        <v>427477</v>
      </c>
      <c r="H184" s="206">
        <f t="shared" si="2"/>
        <v>185032301</v>
      </c>
    </row>
    <row r="185" spans="1:8">
      <c r="A185" s="1340">
        <v>2006.08</v>
      </c>
      <c r="B185" s="252">
        <v>20115586</v>
      </c>
      <c r="C185" s="3034">
        <v>108539430</v>
      </c>
      <c r="D185" s="169">
        <v>5703582</v>
      </c>
      <c r="E185" s="3034">
        <v>25085972</v>
      </c>
      <c r="F185" s="169">
        <v>7995942</v>
      </c>
      <c r="G185" s="3034">
        <v>505776</v>
      </c>
      <c r="H185" s="206">
        <f t="shared" si="2"/>
        <v>167946288</v>
      </c>
    </row>
    <row r="186" spans="1:8">
      <c r="A186" s="1340">
        <v>2006.09</v>
      </c>
      <c r="B186" s="252">
        <v>11589793</v>
      </c>
      <c r="C186" s="3034">
        <v>113375345</v>
      </c>
      <c r="D186" s="169">
        <v>5684615</v>
      </c>
      <c r="E186" s="3034">
        <v>24090776</v>
      </c>
      <c r="F186" s="169">
        <v>23050611</v>
      </c>
      <c r="G186" s="3034">
        <v>535878</v>
      </c>
      <c r="H186" s="206">
        <f t="shared" si="2"/>
        <v>178327018</v>
      </c>
    </row>
    <row r="187" spans="1:8">
      <c r="A187" s="1340">
        <v>2006.1</v>
      </c>
      <c r="B187" s="252">
        <v>29475367</v>
      </c>
      <c r="C187" s="3034">
        <v>113786578</v>
      </c>
      <c r="D187" s="169">
        <v>5970549</v>
      </c>
      <c r="E187" s="3034">
        <v>23478071</v>
      </c>
      <c r="F187" s="169">
        <v>7697321</v>
      </c>
      <c r="G187" s="3034">
        <v>481042</v>
      </c>
      <c r="H187" s="206">
        <f t="shared" si="2"/>
        <v>180888928</v>
      </c>
    </row>
    <row r="188" spans="1:8">
      <c r="A188" s="1340">
        <v>2006.11</v>
      </c>
      <c r="B188" s="252">
        <v>16445940</v>
      </c>
      <c r="C188" s="3034">
        <v>118207003</v>
      </c>
      <c r="D188" s="169">
        <v>5965378</v>
      </c>
      <c r="E188" s="3034">
        <v>24456797</v>
      </c>
      <c r="F188" s="169">
        <v>20984363</v>
      </c>
      <c r="G188" s="3034">
        <v>529340</v>
      </c>
      <c r="H188" s="206">
        <f t="shared" si="2"/>
        <v>186588821</v>
      </c>
    </row>
    <row r="189" spans="1:8">
      <c r="A189" s="1340">
        <v>2006.12</v>
      </c>
      <c r="B189" s="252">
        <v>9105705</v>
      </c>
      <c r="C189" s="3034">
        <v>115836481</v>
      </c>
      <c r="D189" s="169">
        <v>6415657</v>
      </c>
      <c r="E189" s="3034">
        <v>23934285</v>
      </c>
      <c r="F189" s="169">
        <v>6882844</v>
      </c>
      <c r="G189" s="3034">
        <v>488941</v>
      </c>
      <c r="H189" s="206">
        <f t="shared" si="2"/>
        <v>162663913</v>
      </c>
    </row>
    <row r="190" spans="1:8">
      <c r="A190" s="1340">
        <v>2007.01</v>
      </c>
      <c r="B190" s="252">
        <v>10335415</v>
      </c>
      <c r="C190" s="3034">
        <v>123602705</v>
      </c>
      <c r="D190" s="169">
        <v>8458627</v>
      </c>
      <c r="E190" s="3034">
        <v>27216332</v>
      </c>
      <c r="F190" s="169">
        <v>8928320</v>
      </c>
      <c r="G190" s="3034">
        <v>436162</v>
      </c>
      <c r="H190" s="206">
        <f t="shared" si="2"/>
        <v>178977561</v>
      </c>
    </row>
    <row r="191" spans="1:8">
      <c r="A191" s="1340">
        <v>2007.02</v>
      </c>
      <c r="B191" s="252">
        <v>35023534</v>
      </c>
      <c r="C191" s="3034">
        <v>117256154</v>
      </c>
      <c r="D191" s="169">
        <v>6339062</v>
      </c>
      <c r="E191" s="3034">
        <v>25039186</v>
      </c>
      <c r="F191" s="169">
        <v>35310588</v>
      </c>
      <c r="G191" s="3034">
        <v>443375</v>
      </c>
      <c r="H191" s="206">
        <f t="shared" si="2"/>
        <v>219411899</v>
      </c>
    </row>
    <row r="192" spans="1:8">
      <c r="A192" s="1340">
        <v>2007.03</v>
      </c>
      <c r="B192" s="252">
        <v>17331246</v>
      </c>
      <c r="C192" s="3034">
        <v>113159346</v>
      </c>
      <c r="D192" s="169">
        <v>5633093</v>
      </c>
      <c r="E192" s="3034">
        <v>26670043</v>
      </c>
      <c r="F192" s="169">
        <v>13947321</v>
      </c>
      <c r="G192" s="3034">
        <v>398902</v>
      </c>
      <c r="H192" s="206">
        <f t="shared" si="2"/>
        <v>177139951</v>
      </c>
    </row>
    <row r="193" spans="1:8">
      <c r="A193" s="1340">
        <v>2007.04</v>
      </c>
      <c r="B193" s="252">
        <v>8315870</v>
      </c>
      <c r="C193" s="3034">
        <v>120419718</v>
      </c>
      <c r="D193" s="169">
        <v>4456126</v>
      </c>
      <c r="E193" s="3034">
        <v>26456727</v>
      </c>
      <c r="F193" s="169">
        <v>32401708</v>
      </c>
      <c r="G193" s="3034">
        <v>400268</v>
      </c>
      <c r="H193" s="206">
        <f t="shared" si="2"/>
        <v>192450417</v>
      </c>
    </row>
    <row r="194" spans="1:8">
      <c r="A194" s="1340">
        <v>2007.05</v>
      </c>
      <c r="B194" s="252">
        <v>28815345</v>
      </c>
      <c r="C194" s="3034">
        <v>128389031</v>
      </c>
      <c r="D194" s="169">
        <v>4314816</v>
      </c>
      <c r="E194" s="3034">
        <v>28438279</v>
      </c>
      <c r="F194" s="169">
        <v>12469890</v>
      </c>
      <c r="G194" s="3034">
        <v>448316</v>
      </c>
      <c r="H194" s="206">
        <f t="shared" si="2"/>
        <v>202875677</v>
      </c>
    </row>
    <row r="195" spans="1:8">
      <c r="A195" s="1340">
        <v>2007.06</v>
      </c>
      <c r="B195" s="252">
        <v>23870002</v>
      </c>
      <c r="C195" s="3034">
        <v>139831894</v>
      </c>
      <c r="D195" s="169">
        <v>3991211</v>
      </c>
      <c r="E195" s="3034">
        <v>31069875</v>
      </c>
      <c r="F195" s="169">
        <v>29072307</v>
      </c>
      <c r="G195" s="3034">
        <v>467656</v>
      </c>
      <c r="H195" s="206">
        <f t="shared" si="2"/>
        <v>228302945</v>
      </c>
    </row>
    <row r="196" spans="1:8">
      <c r="A196" s="1340">
        <v>2007.07</v>
      </c>
      <c r="B196" s="252">
        <v>36556968</v>
      </c>
      <c r="C196" s="3034">
        <v>141581266</v>
      </c>
      <c r="D196" s="169">
        <v>5388541</v>
      </c>
      <c r="E196" s="3034">
        <v>28763004</v>
      </c>
      <c r="F196" s="169">
        <v>11717596</v>
      </c>
      <c r="G196" s="3034">
        <v>423441</v>
      </c>
      <c r="H196" s="206">
        <f t="shared" si="2"/>
        <v>224430816</v>
      </c>
    </row>
    <row r="197" spans="1:8">
      <c r="A197" s="1340">
        <v>2007.08</v>
      </c>
      <c r="B197" s="252">
        <v>19074231</v>
      </c>
      <c r="C197" s="3034">
        <v>150946901</v>
      </c>
      <c r="D197" s="169">
        <v>3983932</v>
      </c>
      <c r="E197" s="3034">
        <v>34586145</v>
      </c>
      <c r="F197" s="169">
        <v>10634184</v>
      </c>
      <c r="G197" s="3034">
        <v>486839</v>
      </c>
      <c r="H197" s="206">
        <f t="shared" si="2"/>
        <v>219712232</v>
      </c>
    </row>
    <row r="198" spans="1:8">
      <c r="A198" s="1340">
        <v>2007.09</v>
      </c>
      <c r="B198" s="252">
        <v>9955748</v>
      </c>
      <c r="C198" s="3034">
        <v>149359581</v>
      </c>
      <c r="D198" s="169">
        <v>4076253</v>
      </c>
      <c r="E198" s="3034">
        <v>33445862</v>
      </c>
      <c r="F198" s="169">
        <v>27897056</v>
      </c>
      <c r="G198" s="3034">
        <v>486966</v>
      </c>
      <c r="H198" s="206">
        <f t="shared" si="2"/>
        <v>225221466</v>
      </c>
    </row>
    <row r="199" spans="1:8">
      <c r="A199" s="1340">
        <v>2007.1</v>
      </c>
      <c r="B199" s="252">
        <v>30169253</v>
      </c>
      <c r="C199" s="3034">
        <v>152444384</v>
      </c>
      <c r="D199" s="169">
        <v>4187362</v>
      </c>
      <c r="E199" s="3034">
        <v>35165101</v>
      </c>
      <c r="F199" s="169">
        <v>10735348</v>
      </c>
      <c r="G199" s="3034">
        <v>508147</v>
      </c>
      <c r="H199" s="206">
        <f t="shared" si="2"/>
        <v>233209595</v>
      </c>
    </row>
    <row r="200" spans="1:8">
      <c r="A200" s="1340">
        <v>2007.11</v>
      </c>
      <c r="B200" s="252">
        <v>16401152</v>
      </c>
      <c r="C200" s="3034">
        <v>166821082</v>
      </c>
      <c r="D200" s="169">
        <v>4929435</v>
      </c>
      <c r="E200" s="3034">
        <v>32484264</v>
      </c>
      <c r="F200" s="169">
        <v>26029174</v>
      </c>
      <c r="G200" s="3034">
        <v>531013</v>
      </c>
      <c r="H200" s="206">
        <f t="shared" si="2"/>
        <v>247196120</v>
      </c>
    </row>
    <row r="201" spans="1:8">
      <c r="A201" s="1340">
        <v>2007.12</v>
      </c>
      <c r="B201" s="252">
        <v>8345298</v>
      </c>
      <c r="C201" s="3034">
        <v>164681986</v>
      </c>
      <c r="D201" s="169">
        <v>4478013</v>
      </c>
      <c r="E201" s="3034">
        <v>34372020</v>
      </c>
      <c r="F201" s="169">
        <v>8607822</v>
      </c>
      <c r="G201" s="3034">
        <v>575581</v>
      </c>
      <c r="H201" s="206">
        <f t="shared" si="2"/>
        <v>221060720</v>
      </c>
    </row>
    <row r="202" spans="1:8">
      <c r="A202" s="1340">
        <f t="shared" ref="A202:A261" si="3">A190+1</f>
        <v>2008.01</v>
      </c>
      <c r="B202" s="252">
        <v>11651366</v>
      </c>
      <c r="C202" s="3034">
        <v>170731455</v>
      </c>
      <c r="D202" s="169">
        <v>6127287</v>
      </c>
      <c r="E202" s="3034">
        <v>38722169</v>
      </c>
      <c r="F202" s="169">
        <v>10944602</v>
      </c>
      <c r="G202" s="3034">
        <v>454845</v>
      </c>
      <c r="H202" s="206">
        <f t="shared" si="2"/>
        <v>238631724</v>
      </c>
    </row>
    <row r="203" spans="1:8">
      <c r="A203" s="1340">
        <f t="shared" si="3"/>
        <v>2008.02</v>
      </c>
      <c r="B203" s="252">
        <v>37645068</v>
      </c>
      <c r="C203" s="3034">
        <v>165783276</v>
      </c>
      <c r="D203" s="169">
        <v>1194525</v>
      </c>
      <c r="E203" s="3034">
        <v>31653922</v>
      </c>
      <c r="F203" s="169">
        <v>47670367</v>
      </c>
      <c r="G203" s="3034">
        <v>529956</v>
      </c>
      <c r="H203" s="206">
        <f t="shared" ref="H203:H266" si="4">_xlfn.AGGREGATE(9,6,B203:G203)</f>
        <v>284477114</v>
      </c>
    </row>
    <row r="204" spans="1:8">
      <c r="A204" s="1340">
        <f t="shared" si="3"/>
        <v>2008.03</v>
      </c>
      <c r="B204" s="252">
        <v>17456465</v>
      </c>
      <c r="C204" s="3034">
        <v>157552437</v>
      </c>
      <c r="D204" s="169">
        <v>835157</v>
      </c>
      <c r="E204" s="3034">
        <v>31361284</v>
      </c>
      <c r="F204" s="169">
        <v>17264114</v>
      </c>
      <c r="G204" s="3034">
        <v>556727</v>
      </c>
      <c r="H204" s="206">
        <f t="shared" si="4"/>
        <v>225026184</v>
      </c>
    </row>
    <row r="205" spans="1:8">
      <c r="A205" s="1340">
        <f t="shared" si="3"/>
        <v>2008.04</v>
      </c>
      <c r="B205" s="252">
        <v>9981309</v>
      </c>
      <c r="C205" s="3034">
        <v>166346650</v>
      </c>
      <c r="D205" s="169">
        <v>996986</v>
      </c>
      <c r="E205" s="3034">
        <v>34463297</v>
      </c>
      <c r="F205" s="169">
        <v>44263145</v>
      </c>
      <c r="G205" s="3034">
        <v>533246</v>
      </c>
      <c r="H205" s="206">
        <f t="shared" si="4"/>
        <v>256584633</v>
      </c>
    </row>
    <row r="206" spans="1:8">
      <c r="A206" s="1340">
        <f t="shared" si="3"/>
        <v>2008.05</v>
      </c>
      <c r="B206" s="252">
        <v>29554208</v>
      </c>
      <c r="C206" s="3034">
        <v>188510758</v>
      </c>
      <c r="D206" s="169">
        <v>736889</v>
      </c>
      <c r="E206" s="3034">
        <v>40848336</v>
      </c>
      <c r="F206" s="169">
        <v>16705970</v>
      </c>
      <c r="G206" s="3034">
        <v>567474</v>
      </c>
      <c r="H206" s="206">
        <f t="shared" si="4"/>
        <v>276923635</v>
      </c>
    </row>
    <row r="207" spans="1:8">
      <c r="A207" s="1340">
        <f t="shared" si="3"/>
        <v>2008.06</v>
      </c>
      <c r="B207" s="252">
        <v>20801134</v>
      </c>
      <c r="C207" s="3034">
        <v>194716524</v>
      </c>
      <c r="D207" s="169">
        <v>621306</v>
      </c>
      <c r="E207" s="3034">
        <v>35750949</v>
      </c>
      <c r="F207" s="169">
        <v>35850969</v>
      </c>
      <c r="G207" s="3034">
        <v>606204</v>
      </c>
      <c r="H207" s="206">
        <f t="shared" si="4"/>
        <v>288347086</v>
      </c>
    </row>
    <row r="208" spans="1:8">
      <c r="A208" s="1340">
        <f t="shared" si="3"/>
        <v>2008.07</v>
      </c>
      <c r="B208" s="252">
        <v>37816825</v>
      </c>
      <c r="C208" s="3034">
        <v>209640131</v>
      </c>
      <c r="D208" s="169">
        <v>686772</v>
      </c>
      <c r="E208" s="3034">
        <v>37651176</v>
      </c>
      <c r="F208" s="169">
        <v>15648446</v>
      </c>
      <c r="G208" s="3034">
        <v>704746</v>
      </c>
      <c r="H208" s="206">
        <f t="shared" si="4"/>
        <v>302148096</v>
      </c>
    </row>
    <row r="209" spans="1:8">
      <c r="A209" s="1340">
        <f t="shared" si="3"/>
        <v>2008.08</v>
      </c>
      <c r="B209" s="252">
        <v>18987446</v>
      </c>
      <c r="C209" s="3034">
        <v>221090957.38999999</v>
      </c>
      <c r="D209" s="169">
        <v>786022.34</v>
      </c>
      <c r="E209" s="3034">
        <v>36907712.280000001</v>
      </c>
      <c r="F209" s="169">
        <v>12025986</v>
      </c>
      <c r="G209" s="3034">
        <v>506433.99</v>
      </c>
      <c r="H209" s="206">
        <f t="shared" si="4"/>
        <v>290304558</v>
      </c>
    </row>
    <row r="210" spans="1:8">
      <c r="A210" s="1340">
        <f t="shared" si="3"/>
        <v>2008.09</v>
      </c>
      <c r="B210" s="252">
        <v>21249389</v>
      </c>
      <c r="C210" s="3034">
        <v>193105269</v>
      </c>
      <c r="D210" s="169">
        <v>691162</v>
      </c>
      <c r="E210" s="3034">
        <v>39261158</v>
      </c>
      <c r="F210" s="169">
        <v>35225655</v>
      </c>
      <c r="G210" s="3034">
        <v>629639</v>
      </c>
      <c r="H210" s="206">
        <f t="shared" si="4"/>
        <v>290162272</v>
      </c>
    </row>
    <row r="211" spans="1:8">
      <c r="A211" s="1340">
        <f t="shared" si="3"/>
        <v>2008.1</v>
      </c>
      <c r="B211" s="252">
        <v>31745607</v>
      </c>
      <c r="C211" s="3034">
        <v>199419804</v>
      </c>
      <c r="D211" s="169">
        <v>735651</v>
      </c>
      <c r="E211" s="3034">
        <v>38245792</v>
      </c>
      <c r="F211" s="169">
        <v>12530932</v>
      </c>
      <c r="G211" s="3034">
        <v>656341</v>
      </c>
      <c r="H211" s="206">
        <f t="shared" si="4"/>
        <v>283334127</v>
      </c>
    </row>
    <row r="212" spans="1:8">
      <c r="A212" s="1340">
        <f t="shared" si="3"/>
        <v>2008.11</v>
      </c>
      <c r="B212" s="252">
        <v>19540363</v>
      </c>
      <c r="C212" s="3034">
        <v>196534647</v>
      </c>
      <c r="D212" s="169">
        <v>603122</v>
      </c>
      <c r="E212" s="3034">
        <v>34653839</v>
      </c>
      <c r="F212" s="169">
        <v>29572532</v>
      </c>
      <c r="G212" s="3034">
        <v>696405</v>
      </c>
      <c r="H212" s="206">
        <f t="shared" si="4"/>
        <v>281600908</v>
      </c>
    </row>
    <row r="213" spans="1:8">
      <c r="A213" s="1340">
        <f t="shared" si="3"/>
        <v>2008.12</v>
      </c>
      <c r="B213" s="252">
        <v>10478910</v>
      </c>
      <c r="C213" s="3034">
        <v>200547900</v>
      </c>
      <c r="D213" s="169">
        <v>586490</v>
      </c>
      <c r="E213" s="3034">
        <v>34452360</v>
      </c>
      <c r="F213" s="169">
        <v>12127090</v>
      </c>
      <c r="G213" s="3034">
        <v>773840</v>
      </c>
      <c r="H213" s="206">
        <f t="shared" si="4"/>
        <v>258966590</v>
      </c>
    </row>
    <row r="214" spans="1:8">
      <c r="A214" s="1340">
        <f t="shared" si="3"/>
        <v>2009.01</v>
      </c>
      <c r="B214" s="252">
        <v>13427880</v>
      </c>
      <c r="C214" s="3034">
        <v>233179150</v>
      </c>
      <c r="D214" s="169">
        <v>561120</v>
      </c>
      <c r="E214" s="3034">
        <v>35459700</v>
      </c>
      <c r="F214" s="169">
        <v>12685920</v>
      </c>
      <c r="G214" s="3034">
        <v>632140</v>
      </c>
      <c r="H214" s="206">
        <f t="shared" si="4"/>
        <v>295945910</v>
      </c>
    </row>
    <row r="215" spans="1:8">
      <c r="A215" s="1340">
        <f t="shared" si="3"/>
        <v>2009.02</v>
      </c>
      <c r="B215" s="252">
        <v>36098750</v>
      </c>
      <c r="C215" s="3034">
        <v>192319860</v>
      </c>
      <c r="D215" s="169">
        <v>582950</v>
      </c>
      <c r="E215" s="3034">
        <v>32977950</v>
      </c>
      <c r="F215" s="169">
        <v>52143900</v>
      </c>
      <c r="G215" s="3034">
        <v>805320</v>
      </c>
      <c r="H215" s="206">
        <f t="shared" si="4"/>
        <v>314928730</v>
      </c>
    </row>
    <row r="216" spans="1:8">
      <c r="A216" s="1340">
        <f t="shared" si="3"/>
        <v>2009.03</v>
      </c>
      <c r="B216" s="252">
        <v>17749880</v>
      </c>
      <c r="C216" s="3034">
        <v>184272140</v>
      </c>
      <c r="D216" s="169">
        <v>651090</v>
      </c>
      <c r="E216" s="3034">
        <v>30439310</v>
      </c>
      <c r="F216" s="169">
        <v>19628630</v>
      </c>
      <c r="G216" s="3034">
        <v>717610</v>
      </c>
      <c r="H216" s="206">
        <f t="shared" si="4"/>
        <v>253458660</v>
      </c>
    </row>
    <row r="217" spans="1:8">
      <c r="A217" s="1340">
        <f t="shared" si="3"/>
        <v>2009.04</v>
      </c>
      <c r="B217" s="252">
        <v>8633930</v>
      </c>
      <c r="C217" s="3034">
        <v>210365370</v>
      </c>
      <c r="D217" s="169">
        <v>544760</v>
      </c>
      <c r="E217" s="3034">
        <v>32149850</v>
      </c>
      <c r="F217" s="169">
        <v>46567590</v>
      </c>
      <c r="G217" s="3034">
        <v>717710</v>
      </c>
      <c r="H217" s="206">
        <f t="shared" si="4"/>
        <v>298979210</v>
      </c>
    </row>
    <row r="218" spans="1:8">
      <c r="A218" s="1340">
        <f t="shared" si="3"/>
        <v>2009.05</v>
      </c>
      <c r="B218" s="252">
        <v>28162700</v>
      </c>
      <c r="C218" s="3034">
        <v>204624940</v>
      </c>
      <c r="D218" s="169">
        <v>979470</v>
      </c>
      <c r="E218" s="3034">
        <v>32601390</v>
      </c>
      <c r="F218" s="169">
        <v>16566020</v>
      </c>
      <c r="G218" s="3034">
        <v>756510</v>
      </c>
      <c r="H218" s="206">
        <f t="shared" si="4"/>
        <v>283691030</v>
      </c>
    </row>
    <row r="219" spans="1:8">
      <c r="A219" s="1340">
        <f t="shared" si="3"/>
        <v>2009.06</v>
      </c>
      <c r="B219" s="252">
        <v>16361230</v>
      </c>
      <c r="C219" s="3034">
        <v>227110700</v>
      </c>
      <c r="D219" s="169">
        <v>385650</v>
      </c>
      <c r="E219" s="3034">
        <v>35995040</v>
      </c>
      <c r="F219" s="169">
        <v>43152330</v>
      </c>
      <c r="G219" s="3034">
        <v>857660</v>
      </c>
      <c r="H219" s="206">
        <f t="shared" si="4"/>
        <v>323862610</v>
      </c>
    </row>
    <row r="220" spans="1:8">
      <c r="A220" s="1340">
        <f t="shared" si="3"/>
        <v>2009.07</v>
      </c>
      <c r="B220" s="252">
        <v>41717140</v>
      </c>
      <c r="C220" s="3034">
        <v>222337930</v>
      </c>
      <c r="D220" s="169">
        <v>557350</v>
      </c>
      <c r="E220" s="3034">
        <v>36339660</v>
      </c>
      <c r="F220" s="169">
        <v>18112050</v>
      </c>
      <c r="G220" s="3034">
        <v>769800</v>
      </c>
      <c r="H220" s="206">
        <f t="shared" si="4"/>
        <v>319833930</v>
      </c>
    </row>
    <row r="221" spans="1:8">
      <c r="A221" s="1340">
        <f t="shared" si="3"/>
        <v>2009.08</v>
      </c>
      <c r="B221" s="252">
        <v>28574700</v>
      </c>
      <c r="C221" s="3034">
        <v>235781920</v>
      </c>
      <c r="D221" s="169">
        <v>635160</v>
      </c>
      <c r="E221" s="3034">
        <v>39197820</v>
      </c>
      <c r="F221" s="169">
        <v>13762440</v>
      </c>
      <c r="G221" s="3034">
        <v>859460</v>
      </c>
      <c r="H221" s="206">
        <f t="shared" si="4"/>
        <v>318811500</v>
      </c>
    </row>
    <row r="222" spans="1:8">
      <c r="A222" s="1340">
        <f t="shared" si="3"/>
        <v>2009.09</v>
      </c>
      <c r="B222" s="252">
        <v>12561300</v>
      </c>
      <c r="C222" s="3034">
        <v>252607310</v>
      </c>
      <c r="D222" s="169">
        <v>502160</v>
      </c>
      <c r="E222" s="3034">
        <v>40011820</v>
      </c>
      <c r="F222" s="169">
        <v>41167120</v>
      </c>
      <c r="G222" s="3034">
        <v>834750</v>
      </c>
      <c r="H222" s="206">
        <f t="shared" si="4"/>
        <v>347684460</v>
      </c>
    </row>
    <row r="223" spans="1:8">
      <c r="A223" s="1340">
        <f t="shared" si="3"/>
        <v>2009.1</v>
      </c>
      <c r="B223" s="252">
        <v>28885780</v>
      </c>
      <c r="C223" s="3034">
        <v>234578350</v>
      </c>
      <c r="D223" s="169">
        <v>251170</v>
      </c>
      <c r="E223" s="3034">
        <v>39789210</v>
      </c>
      <c r="F223" s="169">
        <v>14722470</v>
      </c>
      <c r="G223" s="3034">
        <v>901260</v>
      </c>
      <c r="H223" s="206">
        <f t="shared" si="4"/>
        <v>319128240</v>
      </c>
    </row>
    <row r="224" spans="1:8">
      <c r="A224" s="1340">
        <f t="shared" si="3"/>
        <v>2009.11</v>
      </c>
      <c r="B224" s="252">
        <v>16527570</v>
      </c>
      <c r="C224" s="3034">
        <v>229983960</v>
      </c>
      <c r="D224" s="169">
        <v>352620</v>
      </c>
      <c r="E224" s="3034">
        <v>40978290</v>
      </c>
      <c r="F224" s="169">
        <v>37723840</v>
      </c>
      <c r="G224" s="3034">
        <v>888940</v>
      </c>
      <c r="H224" s="206">
        <f t="shared" si="4"/>
        <v>326455220</v>
      </c>
    </row>
    <row r="225" spans="1:8">
      <c r="A225" s="1340">
        <f t="shared" si="3"/>
        <v>2009.12</v>
      </c>
      <c r="B225" s="252">
        <v>10931290</v>
      </c>
      <c r="C225" s="3034">
        <v>218545500</v>
      </c>
      <c r="D225" s="169">
        <v>447630</v>
      </c>
      <c r="E225" s="3034">
        <v>42855890</v>
      </c>
      <c r="F225" s="169">
        <v>17090150</v>
      </c>
      <c r="G225" s="3034">
        <v>903110</v>
      </c>
      <c r="H225" s="206">
        <f t="shared" si="4"/>
        <v>290773570</v>
      </c>
    </row>
    <row r="226" spans="1:8">
      <c r="A226" s="1340">
        <f t="shared" si="3"/>
        <v>2010.01</v>
      </c>
      <c r="B226" s="252">
        <v>9246350</v>
      </c>
      <c r="C226" s="3034">
        <v>240727110</v>
      </c>
      <c r="D226" s="169">
        <v>379000</v>
      </c>
      <c r="E226" s="3034">
        <v>43013050</v>
      </c>
      <c r="F226" s="169">
        <v>13497620</v>
      </c>
      <c r="G226" s="3034">
        <v>853990</v>
      </c>
      <c r="H226" s="206">
        <f t="shared" si="4"/>
        <v>307717120</v>
      </c>
    </row>
    <row r="227" spans="1:8">
      <c r="A227" s="1340">
        <f t="shared" si="3"/>
        <v>2010.02</v>
      </c>
      <c r="B227" s="252">
        <v>77945000</v>
      </c>
      <c r="C227" s="3034">
        <v>222210730</v>
      </c>
      <c r="D227" s="169">
        <v>858640</v>
      </c>
      <c r="E227" s="3034">
        <v>38841960</v>
      </c>
      <c r="F227" s="169">
        <v>67840340</v>
      </c>
      <c r="G227" s="3034">
        <v>871370</v>
      </c>
      <c r="H227" s="206">
        <f t="shared" si="4"/>
        <v>408568040</v>
      </c>
    </row>
    <row r="228" spans="1:8">
      <c r="A228" s="1340">
        <f t="shared" si="3"/>
        <v>2010.03</v>
      </c>
      <c r="B228" s="252">
        <v>38581800</v>
      </c>
      <c r="C228" s="3034">
        <v>280874920</v>
      </c>
      <c r="D228" s="169">
        <v>313030</v>
      </c>
      <c r="E228" s="3034">
        <v>40898040</v>
      </c>
      <c r="F228" s="169">
        <v>29115430</v>
      </c>
      <c r="G228" s="3034">
        <v>856170</v>
      </c>
      <c r="H228" s="206">
        <f t="shared" si="4"/>
        <v>390639390</v>
      </c>
    </row>
    <row r="229" spans="1:8">
      <c r="A229" s="1340">
        <f t="shared" si="3"/>
        <v>2010.04</v>
      </c>
      <c r="B229" s="252">
        <v>39842799</v>
      </c>
      <c r="C229" s="3034">
        <v>310544881</v>
      </c>
      <c r="D229" s="169">
        <v>796020</v>
      </c>
      <c r="E229" s="3034">
        <v>45186955</v>
      </c>
      <c r="F229" s="169">
        <v>72333328</v>
      </c>
      <c r="G229" s="3034">
        <v>921799</v>
      </c>
      <c r="H229" s="206">
        <f t="shared" si="4"/>
        <v>469625782</v>
      </c>
    </row>
    <row r="230" spans="1:8">
      <c r="A230" s="1340">
        <f t="shared" si="3"/>
        <v>2010.05</v>
      </c>
      <c r="B230" s="252">
        <v>77378525</v>
      </c>
      <c r="C230" s="3034">
        <v>315309248</v>
      </c>
      <c r="D230" s="169">
        <v>1216851</v>
      </c>
      <c r="E230" s="3034">
        <v>49784114</v>
      </c>
      <c r="F230" s="169">
        <v>29099625</v>
      </c>
      <c r="G230" s="3034">
        <v>869432</v>
      </c>
      <c r="H230" s="206">
        <f t="shared" si="4"/>
        <v>473657795</v>
      </c>
    </row>
    <row r="231" spans="1:8">
      <c r="A231" s="1340">
        <f t="shared" si="3"/>
        <v>2010.06</v>
      </c>
      <c r="B231" s="252">
        <v>42265410</v>
      </c>
      <c r="C231" s="3034">
        <v>327202160</v>
      </c>
      <c r="D231" s="169">
        <v>400620</v>
      </c>
      <c r="E231" s="3034">
        <v>51707740</v>
      </c>
      <c r="F231" s="169">
        <v>62145820</v>
      </c>
      <c r="G231" s="3034">
        <v>969470</v>
      </c>
      <c r="H231" s="206">
        <f t="shared" si="4"/>
        <v>484691220</v>
      </c>
    </row>
    <row r="232" spans="1:8">
      <c r="A232" s="1340">
        <f t="shared" si="3"/>
        <v>2010.07</v>
      </c>
      <c r="B232" s="252">
        <v>82095220</v>
      </c>
      <c r="C232" s="3034">
        <v>334026620</v>
      </c>
      <c r="D232" s="169">
        <v>704140</v>
      </c>
      <c r="E232" s="3034">
        <v>53320730</v>
      </c>
      <c r="F232" s="169">
        <v>25354680</v>
      </c>
      <c r="G232" s="3034">
        <v>1061030</v>
      </c>
      <c r="H232" s="206">
        <f t="shared" si="4"/>
        <v>496562420</v>
      </c>
    </row>
    <row r="233" spans="1:8">
      <c r="A233" s="1340">
        <f t="shared" si="3"/>
        <v>2010.08</v>
      </c>
      <c r="B233" s="252">
        <v>47002102</v>
      </c>
      <c r="C233" s="3034">
        <v>351833100</v>
      </c>
      <c r="D233" s="169">
        <v>254133</v>
      </c>
      <c r="E233" s="3034">
        <v>55146693</v>
      </c>
      <c r="F233" s="169">
        <v>24498789</v>
      </c>
      <c r="G233" s="3034">
        <v>1043960</v>
      </c>
      <c r="H233" s="206">
        <f t="shared" si="4"/>
        <v>479778777</v>
      </c>
    </row>
    <row r="234" spans="1:8">
      <c r="A234" s="1340">
        <f t="shared" si="3"/>
        <v>2010.09</v>
      </c>
      <c r="B234" s="252">
        <v>20844858</v>
      </c>
      <c r="C234" s="3034">
        <v>327967946</v>
      </c>
      <c r="D234" s="169">
        <v>281030</v>
      </c>
      <c r="E234" s="3034">
        <v>60746126</v>
      </c>
      <c r="F234" s="169">
        <v>59075005</v>
      </c>
      <c r="G234" s="3034">
        <v>1119536</v>
      </c>
      <c r="H234" s="206">
        <f t="shared" si="4"/>
        <v>470034501</v>
      </c>
    </row>
    <row r="235" spans="1:8">
      <c r="A235" s="1340">
        <f t="shared" si="3"/>
        <v>2010.1</v>
      </c>
      <c r="B235" s="252">
        <v>63482858</v>
      </c>
      <c r="C235" s="3034">
        <v>331989161</v>
      </c>
      <c r="D235" s="169">
        <v>252548</v>
      </c>
      <c r="E235" s="3034">
        <v>54558216</v>
      </c>
      <c r="F235" s="169">
        <v>21204001</v>
      </c>
      <c r="G235" s="3034">
        <v>1057064</v>
      </c>
      <c r="H235" s="206">
        <f t="shared" si="4"/>
        <v>472543848</v>
      </c>
    </row>
    <row r="236" spans="1:8">
      <c r="A236" s="1340">
        <f t="shared" si="3"/>
        <v>2010.11</v>
      </c>
      <c r="B236" s="252">
        <v>40743289</v>
      </c>
      <c r="C236" s="3034">
        <v>350054599</v>
      </c>
      <c r="D236" s="169">
        <v>256954</v>
      </c>
      <c r="E236" s="3034">
        <v>56636419</v>
      </c>
      <c r="F236" s="169">
        <v>57503836</v>
      </c>
      <c r="G236" s="3034">
        <v>1169635</v>
      </c>
      <c r="H236" s="206">
        <f t="shared" si="4"/>
        <v>506364732</v>
      </c>
    </row>
    <row r="237" spans="1:8">
      <c r="A237" s="1340">
        <f t="shared" si="3"/>
        <v>2010.12</v>
      </c>
      <c r="B237" s="252">
        <v>18045959</v>
      </c>
      <c r="C237" s="3034">
        <v>366745240</v>
      </c>
      <c r="D237" s="169">
        <v>526743</v>
      </c>
      <c r="E237" s="3034">
        <v>61611740</v>
      </c>
      <c r="F237" s="169">
        <v>36401081</v>
      </c>
      <c r="G237" s="3034">
        <v>1160243</v>
      </c>
      <c r="H237" s="206">
        <f t="shared" si="4"/>
        <v>484491006</v>
      </c>
    </row>
    <row r="238" spans="1:8">
      <c r="A238" s="1340">
        <f t="shared" si="3"/>
        <v>2011.01</v>
      </c>
      <c r="B238" s="252">
        <v>20863878</v>
      </c>
      <c r="C238" s="3034">
        <v>394506883</v>
      </c>
      <c r="D238" s="169">
        <v>378489</v>
      </c>
      <c r="E238" s="3034">
        <v>63888987</v>
      </c>
      <c r="F238" s="169">
        <v>27269539</v>
      </c>
      <c r="G238" s="3034">
        <v>1157302</v>
      </c>
      <c r="H238" s="206">
        <f t="shared" si="4"/>
        <v>508065078</v>
      </c>
    </row>
    <row r="239" spans="1:8">
      <c r="A239" s="1340">
        <f t="shared" si="3"/>
        <v>2011.02</v>
      </c>
      <c r="B239" s="252">
        <v>80701120</v>
      </c>
      <c r="C239" s="3034">
        <v>335814899</v>
      </c>
      <c r="D239" s="169">
        <v>450654</v>
      </c>
      <c r="E239" s="3034">
        <v>57814961</v>
      </c>
      <c r="F239" s="169">
        <v>94312795</v>
      </c>
      <c r="G239" s="3034">
        <v>1190377</v>
      </c>
      <c r="H239" s="206">
        <f t="shared" si="4"/>
        <v>570284806</v>
      </c>
    </row>
    <row r="240" spans="1:8">
      <c r="A240" s="1340">
        <f t="shared" si="3"/>
        <v>2011.03</v>
      </c>
      <c r="B240" s="252">
        <v>41784654</v>
      </c>
      <c r="C240" s="3034">
        <v>350492069</v>
      </c>
      <c r="D240" s="169">
        <v>259975</v>
      </c>
      <c r="E240" s="3034">
        <v>56387690</v>
      </c>
      <c r="F240" s="169">
        <v>38713305</v>
      </c>
      <c r="G240" s="3034">
        <v>1122717</v>
      </c>
      <c r="H240" s="206">
        <f t="shared" si="4"/>
        <v>488760410</v>
      </c>
    </row>
    <row r="241" spans="1:8">
      <c r="A241" s="1340">
        <f t="shared" si="3"/>
        <v>2011.04</v>
      </c>
      <c r="B241" s="252">
        <v>16773327</v>
      </c>
      <c r="C241" s="3034">
        <v>377113084</v>
      </c>
      <c r="D241" s="169">
        <v>303468</v>
      </c>
      <c r="E241" s="3034">
        <v>62936740</v>
      </c>
      <c r="F241" s="169">
        <v>85055274</v>
      </c>
      <c r="G241" s="3034">
        <v>1241024</v>
      </c>
      <c r="H241" s="206">
        <f t="shared" si="4"/>
        <v>543422917</v>
      </c>
    </row>
    <row r="242" spans="1:8">
      <c r="A242" s="1340">
        <f t="shared" si="3"/>
        <v>2011.05</v>
      </c>
      <c r="B242" s="252">
        <v>68021620</v>
      </c>
      <c r="C242" s="3034">
        <v>424145700</v>
      </c>
      <c r="D242" s="169">
        <v>256410</v>
      </c>
      <c r="E242" s="3034">
        <v>68600307</v>
      </c>
      <c r="F242" s="169">
        <v>40505466</v>
      </c>
      <c r="G242" s="3034">
        <v>1220557</v>
      </c>
      <c r="H242" s="206">
        <f t="shared" si="4"/>
        <v>602750060</v>
      </c>
    </row>
    <row r="243" spans="1:8">
      <c r="A243" s="1340">
        <f t="shared" si="3"/>
        <v>2011.06</v>
      </c>
      <c r="B243" s="252">
        <v>50262190</v>
      </c>
      <c r="C243" s="3034">
        <v>462334457</v>
      </c>
      <c r="D243" s="169">
        <v>294056</v>
      </c>
      <c r="E243" s="3034">
        <v>76961414</v>
      </c>
      <c r="F243" s="169">
        <v>81386926</v>
      </c>
      <c r="G243" s="3034">
        <v>1409506</v>
      </c>
      <c r="H243" s="206">
        <f t="shared" si="4"/>
        <v>672648549</v>
      </c>
    </row>
    <row r="244" spans="1:8">
      <c r="A244" s="1340">
        <f t="shared" si="3"/>
        <v>2011.07</v>
      </c>
      <c r="B244" s="252">
        <v>87975396</v>
      </c>
      <c r="C244" s="3034">
        <v>450537516</v>
      </c>
      <c r="D244" s="169">
        <v>247354</v>
      </c>
      <c r="E244" s="3034">
        <v>74903424</v>
      </c>
      <c r="F244" s="169">
        <v>36369254</v>
      </c>
      <c r="G244" s="3034">
        <v>1348446</v>
      </c>
      <c r="H244" s="206">
        <f t="shared" si="4"/>
        <v>651381390</v>
      </c>
    </row>
    <row r="245" spans="1:8">
      <c r="A245" s="1340">
        <f t="shared" si="3"/>
        <v>2011.08</v>
      </c>
      <c r="B245" s="252">
        <v>47429984</v>
      </c>
      <c r="C245" s="3034">
        <v>455867208</v>
      </c>
      <c r="D245" s="169">
        <v>236050</v>
      </c>
      <c r="E245" s="3034">
        <v>78465906</v>
      </c>
      <c r="F245" s="169">
        <v>31328058</v>
      </c>
      <c r="G245" s="3034">
        <v>1366780</v>
      </c>
      <c r="H245" s="206">
        <f t="shared" si="4"/>
        <v>614693986</v>
      </c>
    </row>
    <row r="246" spans="1:8">
      <c r="A246" s="1340">
        <f t="shared" si="3"/>
        <v>2011.09</v>
      </c>
      <c r="B246" s="252">
        <v>25506090</v>
      </c>
      <c r="C246" s="3034">
        <v>466914900</v>
      </c>
      <c r="D246" s="169">
        <v>397710</v>
      </c>
      <c r="E246" s="3034">
        <v>96085690</v>
      </c>
      <c r="F246" s="169">
        <v>78498720</v>
      </c>
      <c r="G246" s="3034">
        <v>1383620</v>
      </c>
      <c r="H246" s="206">
        <f t="shared" si="4"/>
        <v>668786730</v>
      </c>
    </row>
    <row r="247" spans="1:8">
      <c r="A247" s="1340">
        <f t="shared" si="3"/>
        <v>2011.1</v>
      </c>
      <c r="B247" s="252">
        <v>69342213</v>
      </c>
      <c r="C247" s="3034">
        <v>463871114</v>
      </c>
      <c r="D247" s="169">
        <v>262410</v>
      </c>
      <c r="E247" s="3034">
        <v>76250037</v>
      </c>
      <c r="F247" s="169">
        <v>30794046</v>
      </c>
      <c r="G247" s="3034">
        <v>1489249</v>
      </c>
      <c r="H247" s="206">
        <f t="shared" si="4"/>
        <v>642009069</v>
      </c>
    </row>
    <row r="248" spans="1:8">
      <c r="A248" s="1340">
        <f t="shared" si="3"/>
        <v>2011.11</v>
      </c>
      <c r="B248" s="252">
        <v>39559759</v>
      </c>
      <c r="C248" s="3034">
        <v>474416848</v>
      </c>
      <c r="D248" s="169">
        <v>315997</v>
      </c>
      <c r="E248" s="3034">
        <v>77574715</v>
      </c>
      <c r="F248" s="169">
        <v>68080347</v>
      </c>
      <c r="G248" s="3034">
        <v>1518230</v>
      </c>
      <c r="H248" s="206">
        <f t="shared" si="4"/>
        <v>661465896</v>
      </c>
    </row>
    <row r="249" spans="1:8">
      <c r="A249" s="1340">
        <f t="shared" si="3"/>
        <v>2011.12</v>
      </c>
      <c r="B249" s="252">
        <v>18253808</v>
      </c>
      <c r="C249" s="3034">
        <v>472845824</v>
      </c>
      <c r="D249" s="169">
        <v>329654</v>
      </c>
      <c r="E249" s="3034">
        <v>83642819</v>
      </c>
      <c r="F249" s="169">
        <v>31820854</v>
      </c>
      <c r="G249" s="3034">
        <v>1442894</v>
      </c>
      <c r="H249" s="206">
        <f t="shared" si="4"/>
        <v>608335853</v>
      </c>
    </row>
    <row r="250" spans="1:8">
      <c r="A250" s="1340">
        <f t="shared" si="3"/>
        <v>2012.01</v>
      </c>
      <c r="B250" s="252">
        <v>22718211</v>
      </c>
      <c r="C250" s="3034">
        <v>508731980</v>
      </c>
      <c r="D250" s="169">
        <v>266717</v>
      </c>
      <c r="E250" s="3034">
        <v>76806688</v>
      </c>
      <c r="F250" s="169">
        <v>32776717</v>
      </c>
      <c r="G250" s="3034">
        <v>1503570</v>
      </c>
      <c r="H250" s="206">
        <f t="shared" si="4"/>
        <v>642803883</v>
      </c>
    </row>
    <row r="251" spans="1:8">
      <c r="A251" s="1340">
        <f t="shared" si="3"/>
        <v>2012.02</v>
      </c>
      <c r="B251" s="252">
        <v>89943398</v>
      </c>
      <c r="C251" s="3034">
        <v>447258655</v>
      </c>
      <c r="D251" s="169">
        <v>185338</v>
      </c>
      <c r="E251" s="3034">
        <v>67934645</v>
      </c>
      <c r="F251" s="169">
        <v>110048518</v>
      </c>
      <c r="G251" s="3034">
        <v>1613724</v>
      </c>
      <c r="H251" s="206">
        <f t="shared" si="4"/>
        <v>716984278</v>
      </c>
    </row>
    <row r="252" spans="1:8">
      <c r="A252" s="1340">
        <f t="shared" si="3"/>
        <v>2012.03</v>
      </c>
      <c r="B252" s="252">
        <v>47439366</v>
      </c>
      <c r="C252" s="3034">
        <v>501166731</v>
      </c>
      <c r="D252" s="169">
        <v>297286</v>
      </c>
      <c r="E252" s="3034">
        <v>71899073</v>
      </c>
      <c r="F252" s="169">
        <v>50454420</v>
      </c>
      <c r="G252" s="3034">
        <v>1353492</v>
      </c>
      <c r="H252" s="206">
        <f t="shared" si="4"/>
        <v>672610368</v>
      </c>
    </row>
    <row r="253" spans="1:8">
      <c r="A253" s="1340">
        <f t="shared" si="3"/>
        <v>2012.04</v>
      </c>
      <c r="B253" s="252">
        <v>19402704</v>
      </c>
      <c r="C253" s="3034">
        <v>459685238</v>
      </c>
      <c r="D253" s="169">
        <v>290479</v>
      </c>
      <c r="E253" s="3034">
        <v>71116137</v>
      </c>
      <c r="F253" s="169">
        <v>101930235</v>
      </c>
      <c r="G253" s="3034">
        <v>1699615</v>
      </c>
      <c r="H253" s="206">
        <f t="shared" si="4"/>
        <v>654124408</v>
      </c>
    </row>
    <row r="254" spans="1:8">
      <c r="A254" s="1340">
        <f t="shared" si="3"/>
        <v>2012.05</v>
      </c>
      <c r="B254" s="252">
        <v>76362756</v>
      </c>
      <c r="C254" s="3034">
        <v>548215874</v>
      </c>
      <c r="D254" s="169">
        <v>192630</v>
      </c>
      <c r="E254" s="3034">
        <v>79714284</v>
      </c>
      <c r="F254" s="169">
        <v>47906134</v>
      </c>
      <c r="G254" s="3034">
        <v>1491476</v>
      </c>
      <c r="H254" s="206">
        <f t="shared" si="4"/>
        <v>753883154</v>
      </c>
    </row>
    <row r="255" spans="1:8">
      <c r="A255" s="1340">
        <f t="shared" si="3"/>
        <v>2012.06</v>
      </c>
      <c r="B255" s="252">
        <v>40206058</v>
      </c>
      <c r="C255" s="3034">
        <v>540929077</v>
      </c>
      <c r="D255" s="169">
        <v>653977</v>
      </c>
      <c r="E255" s="3034">
        <v>82816785</v>
      </c>
      <c r="F255" s="169">
        <v>100710084</v>
      </c>
      <c r="G255" s="3034">
        <v>1700636</v>
      </c>
      <c r="H255" s="206">
        <f t="shared" si="4"/>
        <v>767016617</v>
      </c>
    </row>
    <row r="256" spans="1:8">
      <c r="A256" s="1340">
        <f t="shared" si="3"/>
        <v>2012.07</v>
      </c>
      <c r="B256" s="252">
        <v>90058608</v>
      </c>
      <c r="C256" s="3034">
        <v>526652018</v>
      </c>
      <c r="D256" s="169">
        <v>162375</v>
      </c>
      <c r="E256" s="3034">
        <v>80643007</v>
      </c>
      <c r="F256" s="169">
        <v>45786885</v>
      </c>
      <c r="G256" s="3034">
        <v>1623650</v>
      </c>
      <c r="H256" s="206">
        <f t="shared" si="4"/>
        <v>744926543</v>
      </c>
    </row>
    <row r="257" spans="1:8">
      <c r="A257" s="1340">
        <f t="shared" si="3"/>
        <v>2012.08</v>
      </c>
      <c r="B257" s="252">
        <v>45178416</v>
      </c>
      <c r="C257" s="3034">
        <v>555742754</v>
      </c>
      <c r="D257" s="169">
        <v>217577</v>
      </c>
      <c r="E257" s="3034">
        <v>90462064</v>
      </c>
      <c r="F257" s="169">
        <v>36755636</v>
      </c>
      <c r="G257" s="3034">
        <v>2161723</v>
      </c>
      <c r="H257" s="206">
        <f t="shared" si="4"/>
        <v>730518170</v>
      </c>
    </row>
    <row r="258" spans="1:8">
      <c r="A258" s="1340">
        <f t="shared" si="3"/>
        <v>2012.09</v>
      </c>
      <c r="B258" s="252">
        <v>21492183</v>
      </c>
      <c r="C258" s="3034">
        <v>547907645</v>
      </c>
      <c r="D258" s="169">
        <v>188033</v>
      </c>
      <c r="E258" s="3034">
        <v>86791822</v>
      </c>
      <c r="F258" s="169">
        <v>90381628</v>
      </c>
      <c r="G258" s="3034">
        <v>1932700</v>
      </c>
      <c r="H258" s="206">
        <f t="shared" si="4"/>
        <v>748694011</v>
      </c>
    </row>
    <row r="259" spans="1:8">
      <c r="A259" s="1340">
        <f t="shared" si="3"/>
        <v>2012.1</v>
      </c>
      <c r="B259" s="252">
        <v>85148854</v>
      </c>
      <c r="C259" s="3034">
        <v>580430060</v>
      </c>
      <c r="D259" s="169">
        <v>149169</v>
      </c>
      <c r="E259" s="3034">
        <v>90955045</v>
      </c>
      <c r="F259" s="169">
        <v>37701464</v>
      </c>
      <c r="G259" s="3034">
        <v>2023812</v>
      </c>
      <c r="H259" s="206">
        <f t="shared" si="4"/>
        <v>796408404</v>
      </c>
    </row>
    <row r="260" spans="1:8">
      <c r="A260" s="1340">
        <f t="shared" si="3"/>
        <v>2012.11</v>
      </c>
      <c r="B260" s="252">
        <v>47205963</v>
      </c>
      <c r="C260" s="3034">
        <v>609715748</v>
      </c>
      <c r="D260" s="169">
        <v>144473</v>
      </c>
      <c r="E260" s="3034">
        <v>104117468</v>
      </c>
      <c r="F260" s="169">
        <v>86027553</v>
      </c>
      <c r="G260" s="3034">
        <v>2214599</v>
      </c>
      <c r="H260" s="206">
        <f t="shared" si="4"/>
        <v>849425804</v>
      </c>
    </row>
    <row r="261" spans="1:8">
      <c r="A261" s="1340">
        <f t="shared" si="3"/>
        <v>2012.12</v>
      </c>
      <c r="B261" s="252">
        <v>93718410</v>
      </c>
      <c r="C261" s="3034">
        <v>580067239</v>
      </c>
      <c r="D261" s="169">
        <v>111487</v>
      </c>
      <c r="E261" s="3034">
        <v>87130986</v>
      </c>
      <c r="F261" s="169">
        <v>55202466</v>
      </c>
      <c r="G261" s="3034">
        <v>1936546</v>
      </c>
      <c r="H261" s="206">
        <f t="shared" si="4"/>
        <v>818167134</v>
      </c>
    </row>
    <row r="262" spans="1:8">
      <c r="A262" s="1340">
        <f t="shared" ref="A262:A273" si="5">A250+1</f>
        <v>2013.01</v>
      </c>
      <c r="B262" s="252">
        <v>33420229</v>
      </c>
      <c r="C262" s="3034">
        <v>717589023</v>
      </c>
      <c r="D262" s="169">
        <v>120630</v>
      </c>
      <c r="E262" s="3034">
        <v>97928902</v>
      </c>
      <c r="F262" s="169">
        <v>39342845</v>
      </c>
      <c r="G262" s="3034">
        <v>1974244</v>
      </c>
      <c r="H262" s="206">
        <f t="shared" si="4"/>
        <v>890375873</v>
      </c>
    </row>
    <row r="263" spans="1:8">
      <c r="A263" s="1340">
        <f t="shared" si="5"/>
        <v>2013.02</v>
      </c>
      <c r="B263" s="252">
        <v>151617727</v>
      </c>
      <c r="C263" s="3034">
        <v>635240365</v>
      </c>
      <c r="D263" s="169">
        <v>280913</v>
      </c>
      <c r="E263" s="3034">
        <v>87686765</v>
      </c>
      <c r="F263" s="169">
        <v>131934621</v>
      </c>
      <c r="G263" s="3034">
        <v>2217683</v>
      </c>
      <c r="H263" s="206">
        <f t="shared" si="4"/>
        <v>1008978074</v>
      </c>
    </row>
    <row r="264" spans="1:8">
      <c r="A264" s="1340">
        <f t="shared" si="5"/>
        <v>2013.03</v>
      </c>
      <c r="B264" s="252">
        <v>101880082</v>
      </c>
      <c r="C264" s="3034">
        <v>646823153</v>
      </c>
      <c r="D264" s="169">
        <v>809487</v>
      </c>
      <c r="E264" s="3034">
        <v>95360845</v>
      </c>
      <c r="F264" s="169">
        <v>71877373</v>
      </c>
      <c r="G264" s="3034">
        <v>2181853</v>
      </c>
      <c r="H264" s="206">
        <f t="shared" si="4"/>
        <v>918932793</v>
      </c>
    </row>
    <row r="265" spans="1:8">
      <c r="A265" s="1340">
        <f t="shared" si="5"/>
        <v>2013.04</v>
      </c>
      <c r="B265" s="252">
        <v>106668306</v>
      </c>
      <c r="C265" s="3034">
        <v>657565107</v>
      </c>
      <c r="D265" s="169">
        <v>224176</v>
      </c>
      <c r="E265" s="3034">
        <v>93967865</v>
      </c>
      <c r="F265" s="169">
        <v>136008132</v>
      </c>
      <c r="G265" s="3034">
        <v>2070422</v>
      </c>
      <c r="H265" s="206">
        <f t="shared" si="4"/>
        <v>996504008</v>
      </c>
    </row>
    <row r="266" spans="1:8">
      <c r="A266" s="1340">
        <f t="shared" si="5"/>
        <v>2013.05</v>
      </c>
      <c r="B266" s="252">
        <v>96308147</v>
      </c>
      <c r="C266" s="3034">
        <v>734254212</v>
      </c>
      <c r="D266" s="169">
        <v>295732</v>
      </c>
      <c r="E266" s="3034">
        <v>108573621</v>
      </c>
      <c r="F266" s="169">
        <v>62012409</v>
      </c>
      <c r="G266" s="3034">
        <v>2306015</v>
      </c>
      <c r="H266" s="206">
        <f t="shared" si="4"/>
        <v>1003750136</v>
      </c>
    </row>
    <row r="267" spans="1:8">
      <c r="A267" s="1340">
        <f t="shared" si="5"/>
        <v>2013.06</v>
      </c>
      <c r="B267" s="252">
        <v>103995047</v>
      </c>
      <c r="C267" s="3034">
        <v>781978947</v>
      </c>
      <c r="D267" s="169">
        <v>257305</v>
      </c>
      <c r="E267" s="3034">
        <v>107538269</v>
      </c>
      <c r="F267" s="169">
        <v>119793176</v>
      </c>
      <c r="G267" s="3034">
        <v>2209184</v>
      </c>
      <c r="H267" s="206">
        <f t="shared" ref="H267:H330" si="6">_xlfn.AGGREGATE(9,6,B267:G267)</f>
        <v>1115771928</v>
      </c>
    </row>
    <row r="268" spans="1:8">
      <c r="A268" s="1340">
        <f t="shared" si="5"/>
        <v>2013.07</v>
      </c>
      <c r="B268" s="252">
        <v>83457476</v>
      </c>
      <c r="C268" s="3034">
        <v>756245563</v>
      </c>
      <c r="D268" s="169">
        <v>243836</v>
      </c>
      <c r="E268" s="3034">
        <v>110058255</v>
      </c>
      <c r="F268" s="169">
        <v>56933484</v>
      </c>
      <c r="G268" s="3034">
        <v>2298543</v>
      </c>
      <c r="H268" s="206">
        <f t="shared" si="6"/>
        <v>1009237157</v>
      </c>
    </row>
    <row r="269" spans="1:8">
      <c r="A269" s="1340">
        <f t="shared" si="5"/>
        <v>2013.08</v>
      </c>
      <c r="B269" s="252">
        <v>100186562</v>
      </c>
      <c r="C269" s="3034">
        <v>816719259</v>
      </c>
      <c r="D269" s="169">
        <v>342930</v>
      </c>
      <c r="E269" s="3034">
        <v>116086394</v>
      </c>
      <c r="F269" s="169">
        <v>44942883</v>
      </c>
      <c r="G269" s="3034">
        <v>2853607</v>
      </c>
      <c r="H269" s="206">
        <f t="shared" si="6"/>
        <v>1081131635</v>
      </c>
    </row>
    <row r="270" spans="1:8">
      <c r="A270" s="1340">
        <f t="shared" si="5"/>
        <v>2013.09</v>
      </c>
      <c r="B270" s="252">
        <v>85950186</v>
      </c>
      <c r="C270" s="3034">
        <v>815740097</v>
      </c>
      <c r="D270" s="169">
        <v>321819</v>
      </c>
      <c r="E270" s="3034">
        <v>116921800</v>
      </c>
      <c r="F270" s="169">
        <v>116325390</v>
      </c>
      <c r="G270" s="3034">
        <v>2582735</v>
      </c>
      <c r="H270" s="206">
        <f t="shared" si="6"/>
        <v>1137842027</v>
      </c>
    </row>
    <row r="271" spans="1:8">
      <c r="A271" s="1340">
        <f t="shared" si="5"/>
        <v>2013.1</v>
      </c>
      <c r="B271" s="252">
        <v>94418354</v>
      </c>
      <c r="C271" s="3034">
        <v>797172759</v>
      </c>
      <c r="D271" s="169">
        <v>269508</v>
      </c>
      <c r="E271" s="3034">
        <v>121232566</v>
      </c>
      <c r="F271" s="169">
        <v>49147223</v>
      </c>
      <c r="G271" s="3034">
        <v>2800954</v>
      </c>
      <c r="H271" s="206">
        <f t="shared" si="6"/>
        <v>1065041364</v>
      </c>
    </row>
    <row r="272" spans="1:8">
      <c r="A272" s="1340">
        <f t="shared" si="5"/>
        <v>2013.11</v>
      </c>
      <c r="B272" s="252">
        <v>81168594</v>
      </c>
      <c r="C272" s="3034">
        <v>881813160</v>
      </c>
      <c r="D272" s="169">
        <v>226557</v>
      </c>
      <c r="E272" s="3034">
        <v>117465573</v>
      </c>
      <c r="F272" s="169">
        <v>110084727</v>
      </c>
      <c r="G272" s="3034">
        <v>2924503</v>
      </c>
      <c r="H272" s="206">
        <f t="shared" si="6"/>
        <v>1193683114</v>
      </c>
    </row>
    <row r="273" spans="1:8">
      <c r="A273" s="1340">
        <f t="shared" si="5"/>
        <v>2013.12</v>
      </c>
      <c r="B273" s="252">
        <v>94268386</v>
      </c>
      <c r="C273" s="3034">
        <v>876688961</v>
      </c>
      <c r="D273" s="169">
        <v>308092</v>
      </c>
      <c r="E273" s="3034">
        <v>116733707</v>
      </c>
      <c r="F273" s="169">
        <v>77246279</v>
      </c>
      <c r="G273" s="3034">
        <v>2609736</v>
      </c>
      <c r="H273" s="206">
        <f t="shared" si="6"/>
        <v>1167855161</v>
      </c>
    </row>
    <row r="274" spans="1:8">
      <c r="A274" s="1340">
        <f t="shared" ref="A274:A338" si="7">A262+1</f>
        <v>2014.01</v>
      </c>
      <c r="B274" s="252">
        <v>39145610</v>
      </c>
      <c r="C274" s="3034">
        <v>935929326</v>
      </c>
      <c r="D274" s="169">
        <v>299712</v>
      </c>
      <c r="E274" s="3034">
        <v>134122612</v>
      </c>
      <c r="F274" s="169">
        <v>59127890</v>
      </c>
      <c r="G274" s="3034">
        <v>2523167</v>
      </c>
      <c r="H274" s="206">
        <f t="shared" si="6"/>
        <v>1171148317</v>
      </c>
    </row>
    <row r="275" spans="1:8">
      <c r="A275" s="1340">
        <f t="shared" si="7"/>
        <v>2014.02</v>
      </c>
      <c r="B275" s="252">
        <f>210321401</f>
        <v>210321401</v>
      </c>
      <c r="C275" s="3034">
        <v>949408461</v>
      </c>
      <c r="D275" s="169">
        <v>220822</v>
      </c>
      <c r="E275" s="3034">
        <v>116086421</v>
      </c>
      <c r="F275" s="169">
        <v>177613385</v>
      </c>
      <c r="G275" s="3034">
        <v>2843258</v>
      </c>
      <c r="H275" s="206">
        <f t="shared" si="6"/>
        <v>1456493748</v>
      </c>
    </row>
    <row r="276" spans="1:8">
      <c r="A276" s="1340">
        <f t="shared" si="7"/>
        <v>2014.03</v>
      </c>
      <c r="B276" s="252">
        <v>99975074</v>
      </c>
      <c r="C276" s="3034">
        <v>824842740</v>
      </c>
      <c r="D276" s="169">
        <v>255684</v>
      </c>
      <c r="E276" s="3034">
        <v>106167897</v>
      </c>
      <c r="F276" s="169">
        <v>74516239</v>
      </c>
      <c r="G276" s="3034">
        <v>2782094</v>
      </c>
      <c r="H276" s="206">
        <f t="shared" si="6"/>
        <v>1108539728</v>
      </c>
    </row>
    <row r="277" spans="1:8">
      <c r="A277" s="1340">
        <f t="shared" si="7"/>
        <v>2014.04</v>
      </c>
      <c r="B277" s="252">
        <v>125963578</v>
      </c>
      <c r="C277" s="3034">
        <v>898493291</v>
      </c>
      <c r="D277" s="169">
        <v>244542</v>
      </c>
      <c r="E277" s="3034">
        <v>123840401</v>
      </c>
      <c r="F277" s="169">
        <v>161119889</v>
      </c>
      <c r="G277" s="3034">
        <v>2867697</v>
      </c>
      <c r="H277" s="206">
        <f t="shared" si="6"/>
        <v>1312529398</v>
      </c>
    </row>
    <row r="278" spans="1:8">
      <c r="A278" s="1340">
        <f t="shared" si="7"/>
        <v>2014.05</v>
      </c>
      <c r="B278" s="252">
        <v>101264546</v>
      </c>
      <c r="C278" s="3034">
        <v>984970542</v>
      </c>
      <c r="D278" s="169">
        <v>187935</v>
      </c>
      <c r="E278" s="3034">
        <v>123316535</v>
      </c>
      <c r="F278" s="169">
        <v>65973667</v>
      </c>
      <c r="G278" s="3034">
        <v>2842000</v>
      </c>
      <c r="H278" s="206">
        <f t="shared" si="6"/>
        <v>1278555225</v>
      </c>
    </row>
    <row r="279" spans="1:8">
      <c r="A279" s="1340">
        <f t="shared" si="7"/>
        <v>2014.06</v>
      </c>
      <c r="B279" s="252">
        <v>154497915</v>
      </c>
      <c r="C279" s="3034">
        <v>1053530378</v>
      </c>
      <c r="D279" s="169">
        <v>205056</v>
      </c>
      <c r="E279" s="3034">
        <v>139220045</v>
      </c>
      <c r="F279" s="169">
        <v>164080441</v>
      </c>
      <c r="G279" s="3034">
        <v>3272683</v>
      </c>
      <c r="H279" s="206">
        <f t="shared" si="6"/>
        <v>1514806518</v>
      </c>
    </row>
    <row r="280" spans="1:8">
      <c r="A280" s="1340">
        <f t="shared" si="7"/>
        <v>2014.07</v>
      </c>
      <c r="B280" s="252">
        <v>113895437</v>
      </c>
      <c r="C280" s="3034">
        <v>1077953330</v>
      </c>
      <c r="D280" s="169">
        <v>208314</v>
      </c>
      <c r="E280" s="3034">
        <v>139871604</v>
      </c>
      <c r="F280" s="169">
        <v>70673699</v>
      </c>
      <c r="G280" s="3034">
        <v>3139309</v>
      </c>
      <c r="H280" s="206">
        <f t="shared" si="6"/>
        <v>1405741693</v>
      </c>
    </row>
    <row r="281" spans="1:8">
      <c r="A281" s="1340">
        <f t="shared" si="7"/>
        <v>2014.08</v>
      </c>
      <c r="B281" s="252">
        <v>128043700</v>
      </c>
      <c r="C281" s="3034">
        <v>1134553827</v>
      </c>
      <c r="D281" s="169">
        <v>157121</v>
      </c>
      <c r="E281" s="3034">
        <v>143546760</v>
      </c>
      <c r="F281" s="169">
        <v>54954780</v>
      </c>
      <c r="G281" s="3034">
        <v>3639797</v>
      </c>
      <c r="H281" s="206">
        <f t="shared" si="6"/>
        <v>1464895985</v>
      </c>
    </row>
    <row r="282" spans="1:8">
      <c r="A282" s="1786">
        <f t="shared" si="7"/>
        <v>2014.09</v>
      </c>
      <c r="B282" s="252">
        <v>110417283</v>
      </c>
      <c r="C282" s="3034">
        <v>1214551944</v>
      </c>
      <c r="D282" s="169">
        <v>206753</v>
      </c>
      <c r="E282" s="3034">
        <v>142836694</v>
      </c>
      <c r="F282" s="169">
        <v>163607385</v>
      </c>
      <c r="G282" s="3034">
        <v>3507234</v>
      </c>
      <c r="H282" s="206">
        <f t="shared" si="6"/>
        <v>1635127293</v>
      </c>
    </row>
    <row r="283" spans="1:8">
      <c r="A283" s="1340">
        <f t="shared" si="7"/>
        <v>2014.1</v>
      </c>
      <c r="B283" s="252">
        <v>128714975</v>
      </c>
      <c r="C283" s="3034">
        <v>1157203317</v>
      </c>
      <c r="D283" s="169">
        <v>207131</v>
      </c>
      <c r="E283" s="3034">
        <v>151123305</v>
      </c>
      <c r="F283" s="169">
        <v>65326950</v>
      </c>
      <c r="G283" s="3034">
        <v>3884141</v>
      </c>
      <c r="H283" s="206">
        <f t="shared" si="6"/>
        <v>1506459819</v>
      </c>
    </row>
    <row r="284" spans="1:8">
      <c r="A284" s="1340">
        <f t="shared" si="7"/>
        <v>2014.11</v>
      </c>
      <c r="B284" s="252">
        <v>102615690</v>
      </c>
      <c r="C284" s="3034">
        <v>1207035725</v>
      </c>
      <c r="D284" s="169">
        <v>185219</v>
      </c>
      <c r="E284" s="3034">
        <v>142318663</v>
      </c>
      <c r="F284" s="169">
        <v>146752446</v>
      </c>
      <c r="G284" s="3034">
        <v>3629658</v>
      </c>
      <c r="H284" s="206">
        <f t="shared" si="6"/>
        <v>1602537401</v>
      </c>
    </row>
    <row r="285" spans="1:8">
      <c r="A285" s="1340">
        <f t="shared" si="7"/>
        <v>2014.12</v>
      </c>
      <c r="B285" s="252">
        <v>139796848</v>
      </c>
      <c r="C285" s="3034">
        <v>1173024680</v>
      </c>
      <c r="D285" s="169">
        <v>194235</v>
      </c>
      <c r="E285" s="3034">
        <v>150110836</v>
      </c>
      <c r="F285" s="169">
        <v>104759830</v>
      </c>
      <c r="G285" s="3034">
        <v>3572020</v>
      </c>
      <c r="H285" s="206">
        <f t="shared" si="6"/>
        <v>1571458449</v>
      </c>
    </row>
    <row r="286" spans="1:8">
      <c r="A286" s="1340">
        <f t="shared" si="7"/>
        <v>2015.01</v>
      </c>
      <c r="B286" s="252">
        <v>47887893</v>
      </c>
      <c r="C286" s="3034">
        <v>1241072984</v>
      </c>
      <c r="D286" s="169">
        <v>186361</v>
      </c>
      <c r="E286" s="3034">
        <v>148430114</v>
      </c>
      <c r="F286" s="169">
        <v>64146269</v>
      </c>
      <c r="G286" s="3034">
        <v>3619563</v>
      </c>
      <c r="H286" s="206">
        <f t="shared" si="6"/>
        <v>1505343184</v>
      </c>
    </row>
    <row r="287" spans="1:8">
      <c r="A287" s="1340">
        <f t="shared" si="7"/>
        <v>2015.02</v>
      </c>
      <c r="B287" s="252">
        <v>259478087</v>
      </c>
      <c r="C287" s="3034">
        <v>1122447229</v>
      </c>
      <c r="D287" s="169">
        <v>170944</v>
      </c>
      <c r="E287" s="3034">
        <v>167014245</v>
      </c>
      <c r="F287" s="169">
        <v>237955240</v>
      </c>
      <c r="G287" s="3034">
        <v>4050266</v>
      </c>
      <c r="H287" s="206">
        <f t="shared" si="6"/>
        <v>1791116011</v>
      </c>
    </row>
    <row r="288" spans="1:8">
      <c r="A288" s="1340">
        <f t="shared" si="7"/>
        <v>2015.03</v>
      </c>
      <c r="B288" s="252">
        <v>133530640</v>
      </c>
      <c r="C288" s="3034">
        <v>1139110660</v>
      </c>
      <c r="D288" s="169">
        <v>274241</v>
      </c>
      <c r="E288" s="3034">
        <v>157529281</v>
      </c>
      <c r="F288" s="169">
        <v>109422709</v>
      </c>
      <c r="G288" s="3034">
        <v>3459132</v>
      </c>
      <c r="H288" s="206">
        <f t="shared" si="6"/>
        <v>1543326663</v>
      </c>
    </row>
    <row r="289" spans="1:8">
      <c r="A289" s="1340">
        <f t="shared" si="7"/>
        <v>2015.04</v>
      </c>
      <c r="B289" s="252">
        <v>179701804</v>
      </c>
      <c r="C289" s="3034">
        <v>1273857446</v>
      </c>
      <c r="D289" s="169">
        <v>365267</v>
      </c>
      <c r="E289" s="3034">
        <v>178966985</v>
      </c>
      <c r="F289" s="169">
        <v>234658123</v>
      </c>
      <c r="G289" s="3034">
        <v>3908184</v>
      </c>
      <c r="H289" s="206">
        <f t="shared" si="6"/>
        <v>1871457809</v>
      </c>
    </row>
    <row r="290" spans="1:8">
      <c r="A290" s="1340">
        <f t="shared" si="7"/>
        <v>2015.05</v>
      </c>
      <c r="B290" s="252">
        <v>137537819</v>
      </c>
      <c r="C290" s="3034">
        <v>1366284652</v>
      </c>
      <c r="D290" s="169">
        <v>223908</v>
      </c>
      <c r="E290" s="3034">
        <v>181766559</v>
      </c>
      <c r="F290" s="169">
        <v>93728809</v>
      </c>
      <c r="G290" s="3034">
        <v>4290128</v>
      </c>
      <c r="H290" s="206">
        <f t="shared" si="6"/>
        <v>1783831875</v>
      </c>
    </row>
    <row r="291" spans="1:8">
      <c r="A291" s="1340">
        <f t="shared" si="7"/>
        <v>2015.06</v>
      </c>
      <c r="B291" s="260">
        <v>193676306</v>
      </c>
      <c r="C291" s="3034">
        <v>1362709548</v>
      </c>
      <c r="D291" s="169">
        <v>334705</v>
      </c>
      <c r="E291" s="3034">
        <v>187666310</v>
      </c>
      <c r="F291" s="169">
        <v>258323789</v>
      </c>
      <c r="G291" s="3034">
        <v>4102489</v>
      </c>
      <c r="H291" s="206">
        <f t="shared" si="6"/>
        <v>2006813147</v>
      </c>
    </row>
    <row r="292" spans="1:8">
      <c r="A292" s="1340">
        <f t="shared" si="7"/>
        <v>2015.07</v>
      </c>
      <c r="B292" s="260">
        <v>143743754</v>
      </c>
      <c r="C292" s="3034">
        <v>1426363795</v>
      </c>
      <c r="D292" s="169">
        <v>246678</v>
      </c>
      <c r="E292" s="3034">
        <v>208815469</v>
      </c>
      <c r="F292" s="169">
        <v>105322688</v>
      </c>
      <c r="G292" s="3034">
        <v>4110088</v>
      </c>
      <c r="H292" s="206">
        <f t="shared" si="6"/>
        <v>1888602472</v>
      </c>
    </row>
    <row r="293" spans="1:8">
      <c r="A293" s="1340">
        <f t="shared" si="7"/>
        <v>2015.08</v>
      </c>
      <c r="B293" s="260">
        <v>173620220</v>
      </c>
      <c r="C293" s="3034">
        <v>1426889980</v>
      </c>
      <c r="D293" s="169">
        <v>275820</v>
      </c>
      <c r="E293" s="3034">
        <v>212922159.99999997</v>
      </c>
      <c r="F293" s="169">
        <v>86128230.000000015</v>
      </c>
      <c r="G293" s="3034">
        <v>5038230</v>
      </c>
      <c r="H293" s="206">
        <f t="shared" si="6"/>
        <v>1904874640</v>
      </c>
    </row>
    <row r="294" spans="1:8">
      <c r="A294" s="1340">
        <f t="shared" si="7"/>
        <v>2015.09</v>
      </c>
      <c r="B294" s="260">
        <v>137971131</v>
      </c>
      <c r="C294" s="3034">
        <v>1375294020</v>
      </c>
      <c r="D294" s="169">
        <v>413895</v>
      </c>
      <c r="E294" s="3034">
        <v>209907655</v>
      </c>
      <c r="F294" s="169">
        <v>231448973</v>
      </c>
      <c r="G294" s="3034">
        <v>4252637</v>
      </c>
      <c r="H294" s="206">
        <f t="shared" si="6"/>
        <v>1959288311</v>
      </c>
    </row>
    <row r="295" spans="1:8">
      <c r="A295" s="1340">
        <f t="shared" si="7"/>
        <v>2015.1</v>
      </c>
      <c r="B295" s="260">
        <v>171789636</v>
      </c>
      <c r="C295" s="3034">
        <v>1434301769</v>
      </c>
      <c r="D295" s="169">
        <v>198547</v>
      </c>
      <c r="E295" s="3034">
        <v>215849870</v>
      </c>
      <c r="F295" s="169">
        <v>95999813</v>
      </c>
      <c r="G295" s="3034">
        <v>4974316</v>
      </c>
      <c r="H295" s="206">
        <f t="shared" si="6"/>
        <v>1923113951</v>
      </c>
    </row>
    <row r="296" spans="1:8">
      <c r="A296" s="1340">
        <f t="shared" si="7"/>
        <v>2015.11</v>
      </c>
      <c r="B296" s="252">
        <v>132592321</v>
      </c>
      <c r="C296" s="3034">
        <v>1550925305</v>
      </c>
      <c r="D296" s="169">
        <v>226485</v>
      </c>
      <c r="E296" s="3034">
        <v>216746483</v>
      </c>
      <c r="F296" s="169">
        <v>227891165</v>
      </c>
      <c r="G296" s="3034">
        <v>4655262</v>
      </c>
      <c r="H296" s="206">
        <f t="shared" si="6"/>
        <v>2133037021</v>
      </c>
    </row>
    <row r="297" spans="1:8">
      <c r="A297" s="1340">
        <f t="shared" si="7"/>
        <v>2015.12</v>
      </c>
      <c r="B297" s="252">
        <v>182017823</v>
      </c>
      <c r="C297" s="3034">
        <v>1554777288</v>
      </c>
      <c r="D297" s="169">
        <v>220333</v>
      </c>
      <c r="E297" s="3034">
        <v>232911232</v>
      </c>
      <c r="F297" s="169">
        <v>160461255</v>
      </c>
      <c r="G297" s="3034">
        <v>5558780</v>
      </c>
      <c r="H297" s="206">
        <f t="shared" si="6"/>
        <v>2135946711</v>
      </c>
    </row>
    <row r="298" spans="1:8">
      <c r="A298" s="1340">
        <f t="shared" si="7"/>
        <v>2016.01</v>
      </c>
      <c r="B298" s="260">
        <v>75221161</v>
      </c>
      <c r="C298" s="3034">
        <v>1608868173</v>
      </c>
      <c r="D298" s="169">
        <v>190129</v>
      </c>
      <c r="E298" s="3034">
        <v>224330927</v>
      </c>
      <c r="F298" s="169">
        <v>89257393</v>
      </c>
      <c r="G298" s="3034">
        <v>5041329</v>
      </c>
      <c r="H298" s="206">
        <f t="shared" si="6"/>
        <v>2002909112</v>
      </c>
    </row>
    <row r="299" spans="1:8">
      <c r="A299" s="1340">
        <f t="shared" si="7"/>
        <v>2016.02</v>
      </c>
      <c r="B299" s="260">
        <v>406848860</v>
      </c>
      <c r="C299" s="3034">
        <v>1624295285</v>
      </c>
      <c r="D299" s="169">
        <v>197941</v>
      </c>
      <c r="E299" s="3034">
        <v>214297289</v>
      </c>
      <c r="F299" s="169">
        <v>343607097</v>
      </c>
      <c r="G299" s="3034">
        <v>4502793</v>
      </c>
      <c r="H299" s="206">
        <f t="shared" si="6"/>
        <v>2593749265</v>
      </c>
    </row>
    <row r="300" spans="1:8">
      <c r="A300" s="1340">
        <f t="shared" si="7"/>
        <v>2016.03</v>
      </c>
      <c r="B300" s="260">
        <v>198673800</v>
      </c>
      <c r="C300" s="3034">
        <v>1748944995</v>
      </c>
      <c r="D300" s="169">
        <v>383302</v>
      </c>
      <c r="E300" s="3034">
        <v>242219968</v>
      </c>
      <c r="F300" s="169">
        <v>160159545</v>
      </c>
      <c r="G300" s="3034">
        <v>5412827</v>
      </c>
      <c r="H300" s="206">
        <f t="shared" si="6"/>
        <v>2355794437</v>
      </c>
    </row>
    <row r="301" spans="1:8">
      <c r="A301" s="1340">
        <f t="shared" si="7"/>
        <v>2016.04</v>
      </c>
      <c r="B301" s="252">
        <v>257898157</v>
      </c>
      <c r="C301" s="3034">
        <v>1897691732</v>
      </c>
      <c r="D301" s="169">
        <v>205013</v>
      </c>
      <c r="E301" s="3034">
        <v>261695994</v>
      </c>
      <c r="F301" s="169">
        <v>328466130</v>
      </c>
      <c r="G301" s="3034">
        <v>5764656</v>
      </c>
      <c r="H301" s="206">
        <f t="shared" si="6"/>
        <v>2751721682</v>
      </c>
    </row>
    <row r="302" spans="1:8">
      <c r="A302" s="1340">
        <f t="shared" si="7"/>
        <v>2016.05</v>
      </c>
      <c r="B302" s="252">
        <v>167522678</v>
      </c>
      <c r="C302" s="3034">
        <v>1889105765</v>
      </c>
      <c r="D302" s="169">
        <v>210979</v>
      </c>
      <c r="E302" s="3034">
        <v>245671195</v>
      </c>
      <c r="F302" s="169">
        <v>139579607</v>
      </c>
      <c r="G302" s="3034">
        <v>5247945</v>
      </c>
      <c r="H302" s="206">
        <f t="shared" si="6"/>
        <v>2447338169</v>
      </c>
    </row>
    <row r="303" spans="1:8">
      <c r="A303" s="1340">
        <f t="shared" si="7"/>
        <v>2016.06</v>
      </c>
      <c r="B303" s="252">
        <v>241645556</v>
      </c>
      <c r="C303" s="3034">
        <v>2016972638</v>
      </c>
      <c r="D303" s="169">
        <v>122302</v>
      </c>
      <c r="E303" s="3034">
        <v>264462951</v>
      </c>
      <c r="F303" s="169">
        <v>320780968</v>
      </c>
      <c r="G303" s="3034">
        <v>5690836</v>
      </c>
      <c r="H303" s="206">
        <f t="shared" si="6"/>
        <v>2849675251</v>
      </c>
    </row>
    <row r="304" spans="1:8">
      <c r="A304" s="1340">
        <f t="shared" si="7"/>
        <v>2016.07</v>
      </c>
      <c r="B304" s="252">
        <v>181465195</v>
      </c>
      <c r="C304" s="3034">
        <v>2123494058</v>
      </c>
      <c r="D304" s="169">
        <v>157453</v>
      </c>
      <c r="E304" s="3034">
        <v>272986810</v>
      </c>
      <c r="F304" s="169">
        <v>132201383</v>
      </c>
      <c r="G304" s="3034">
        <v>5535613</v>
      </c>
      <c r="H304" s="206">
        <f t="shared" si="6"/>
        <v>2715840512</v>
      </c>
    </row>
    <row r="305" spans="1:8">
      <c r="A305" s="1340">
        <f t="shared" si="7"/>
        <v>2016.08</v>
      </c>
      <c r="B305" s="260">
        <v>292516710</v>
      </c>
      <c r="C305" s="3034">
        <v>2028089488</v>
      </c>
      <c r="D305" s="169">
        <v>222296</v>
      </c>
      <c r="E305" s="3034">
        <v>289736645</v>
      </c>
      <c r="F305" s="169">
        <v>137455836</v>
      </c>
      <c r="G305" s="3034">
        <v>7154949</v>
      </c>
      <c r="H305" s="206">
        <f t="shared" si="6"/>
        <v>2755175924</v>
      </c>
    </row>
    <row r="306" spans="1:8">
      <c r="A306" s="1340">
        <f t="shared" si="7"/>
        <v>2016.09</v>
      </c>
      <c r="B306" s="260">
        <v>182569885</v>
      </c>
      <c r="C306" s="3034">
        <v>2180436782</v>
      </c>
      <c r="D306" s="169">
        <v>153950</v>
      </c>
      <c r="E306" s="3034">
        <v>326130859</v>
      </c>
      <c r="F306" s="169">
        <v>338155449</v>
      </c>
      <c r="G306" s="3034">
        <v>6713719</v>
      </c>
      <c r="H306" s="206">
        <f t="shared" si="6"/>
        <v>3034160644</v>
      </c>
    </row>
    <row r="307" spans="1:8">
      <c r="A307" s="1340">
        <f t="shared" si="7"/>
        <v>2016.1</v>
      </c>
      <c r="B307" s="252">
        <v>257757976</v>
      </c>
      <c r="C307" s="3034">
        <v>2069836244</v>
      </c>
      <c r="D307" s="169">
        <v>143035</v>
      </c>
      <c r="E307" s="3034">
        <v>294421192</v>
      </c>
      <c r="F307" s="169">
        <v>129934356</v>
      </c>
      <c r="G307" s="3034">
        <v>6359439</v>
      </c>
      <c r="H307" s="206">
        <f t="shared" si="6"/>
        <v>2758452242</v>
      </c>
    </row>
    <row r="308" spans="1:8">
      <c r="A308" s="1340">
        <f t="shared" si="7"/>
        <v>2016.11</v>
      </c>
      <c r="B308" s="252">
        <v>182162007</v>
      </c>
      <c r="C308" s="3034">
        <v>2209888992</v>
      </c>
      <c r="D308" s="169">
        <v>148612</v>
      </c>
      <c r="E308" s="3034">
        <v>325431955</v>
      </c>
      <c r="F308" s="169">
        <v>313280636</v>
      </c>
      <c r="G308" s="3034">
        <v>7263231</v>
      </c>
      <c r="H308" s="206">
        <f t="shared" si="6"/>
        <v>3038175433</v>
      </c>
    </row>
    <row r="309" spans="1:8">
      <c r="A309" s="1340">
        <f t="shared" si="7"/>
        <v>2016.12</v>
      </c>
      <c r="B309" s="252">
        <v>266387360</v>
      </c>
      <c r="C309" s="3034">
        <v>2381368435</v>
      </c>
      <c r="D309" s="169">
        <v>146470</v>
      </c>
      <c r="E309" s="3034">
        <v>352449716</v>
      </c>
      <c r="F309" s="169">
        <v>237863087</v>
      </c>
      <c r="G309" s="3034">
        <v>7659404</v>
      </c>
      <c r="H309" s="206">
        <f t="shared" si="6"/>
        <v>3245874472</v>
      </c>
    </row>
    <row r="310" spans="1:8">
      <c r="A310" s="1340">
        <f t="shared" si="7"/>
        <v>2017.01</v>
      </c>
      <c r="B310" s="252">
        <v>141537107</v>
      </c>
      <c r="C310" s="3034">
        <v>2530754197</v>
      </c>
      <c r="D310" s="169">
        <v>123544</v>
      </c>
      <c r="E310" s="3034">
        <v>333178168</v>
      </c>
      <c r="F310" s="169">
        <v>160251115</v>
      </c>
      <c r="G310" s="3034">
        <v>14840528</v>
      </c>
      <c r="H310" s="206">
        <f t="shared" si="6"/>
        <v>3180684659</v>
      </c>
    </row>
    <row r="311" spans="1:8">
      <c r="A311" s="1340">
        <f t="shared" si="7"/>
        <v>2017.02</v>
      </c>
      <c r="B311" s="252">
        <v>584956917</v>
      </c>
      <c r="C311" s="3034">
        <v>2225366116</v>
      </c>
      <c r="D311" s="169">
        <v>121057</v>
      </c>
      <c r="E311" s="3034">
        <v>330888733</v>
      </c>
      <c r="F311" s="169">
        <v>520296116</v>
      </c>
      <c r="G311" s="3034">
        <v>7873242</v>
      </c>
      <c r="H311" s="206">
        <f t="shared" si="6"/>
        <v>3669502181</v>
      </c>
    </row>
    <row r="312" spans="1:8">
      <c r="A312" s="1340">
        <f t="shared" si="7"/>
        <v>2017.03</v>
      </c>
      <c r="B312" s="252">
        <v>206584819</v>
      </c>
      <c r="C312" s="3034">
        <v>2057199234</v>
      </c>
      <c r="D312" s="169">
        <v>129038</v>
      </c>
      <c r="E312" s="3034">
        <v>343156200</v>
      </c>
      <c r="F312" s="169">
        <v>208900194</v>
      </c>
      <c r="G312" s="3034">
        <v>8943830</v>
      </c>
      <c r="H312" s="206">
        <f t="shared" si="6"/>
        <v>2824913315</v>
      </c>
    </row>
    <row r="313" spans="1:8">
      <c r="A313" s="1340">
        <f t="shared" si="7"/>
        <v>2017.04</v>
      </c>
      <c r="B313" s="252">
        <v>305347514</v>
      </c>
      <c r="C313" s="3034">
        <v>2250503718</v>
      </c>
      <c r="D313" s="169">
        <v>118619</v>
      </c>
      <c r="E313" s="3034">
        <v>346564528</v>
      </c>
      <c r="F313" s="169">
        <v>387512752</v>
      </c>
      <c r="G313" s="3034">
        <v>20747695</v>
      </c>
      <c r="H313" s="206">
        <f t="shared" si="6"/>
        <v>3310794826</v>
      </c>
    </row>
    <row r="314" spans="1:8">
      <c r="A314" s="1340">
        <f t="shared" si="7"/>
        <v>2017.05</v>
      </c>
      <c r="B314" s="252">
        <v>231633318</v>
      </c>
      <c r="C314" s="3034">
        <v>2460630680</v>
      </c>
      <c r="D314" s="169">
        <v>152352</v>
      </c>
      <c r="E314" s="3034">
        <v>368990026</v>
      </c>
      <c r="F314" s="169">
        <v>195300019</v>
      </c>
      <c r="G314" s="3034">
        <v>12155190</v>
      </c>
      <c r="H314" s="206">
        <f t="shared" si="6"/>
        <v>3268861585</v>
      </c>
    </row>
    <row r="315" spans="1:8">
      <c r="A315" s="1786">
        <f t="shared" si="7"/>
        <v>2017.06</v>
      </c>
      <c r="B315" s="252">
        <v>341513820</v>
      </c>
      <c r="C315" s="3034">
        <v>2649660020</v>
      </c>
      <c r="D315" s="169">
        <v>120987</v>
      </c>
      <c r="E315" s="3034">
        <v>398090423</v>
      </c>
      <c r="F315" s="169">
        <v>422730342</v>
      </c>
      <c r="G315" s="3034">
        <v>7910054</v>
      </c>
      <c r="H315" s="206">
        <f t="shared" si="6"/>
        <v>3820025646</v>
      </c>
    </row>
    <row r="316" spans="1:8">
      <c r="A316" s="1340">
        <f t="shared" si="7"/>
        <v>2017.07</v>
      </c>
      <c r="B316" s="252">
        <v>230997424</v>
      </c>
      <c r="C316" s="3034">
        <v>2717143448</v>
      </c>
      <c r="D316" s="169">
        <v>160338</v>
      </c>
      <c r="E316" s="3034">
        <v>399425050</v>
      </c>
      <c r="F316" s="169">
        <v>213864064</v>
      </c>
      <c r="G316" s="3034">
        <v>7976510</v>
      </c>
      <c r="H316" s="206">
        <f t="shared" si="6"/>
        <v>3569566834</v>
      </c>
    </row>
    <row r="317" spans="1:8">
      <c r="A317" s="1340">
        <f t="shared" si="7"/>
        <v>2017.08</v>
      </c>
      <c r="B317" s="252">
        <v>339074369</v>
      </c>
      <c r="C317" s="3034">
        <v>2758889928</v>
      </c>
      <c r="D317" s="169">
        <v>221339</v>
      </c>
      <c r="E317" s="3034">
        <v>432999163</v>
      </c>
      <c r="F317" s="169">
        <v>181519396</v>
      </c>
      <c r="G317" s="3034">
        <v>8809985</v>
      </c>
      <c r="H317" s="206">
        <f t="shared" si="6"/>
        <v>3721514180</v>
      </c>
    </row>
    <row r="318" spans="1:8">
      <c r="A318" s="1340">
        <f t="shared" si="7"/>
        <v>2017.09</v>
      </c>
      <c r="B318" s="252">
        <v>259169932</v>
      </c>
      <c r="C318" s="3034">
        <v>2814566764</v>
      </c>
      <c r="D318" s="169">
        <v>419555</v>
      </c>
      <c r="E318" s="3034">
        <v>460875399</v>
      </c>
      <c r="F318" s="169">
        <v>377699542</v>
      </c>
      <c r="G318" s="3034">
        <v>9440100</v>
      </c>
      <c r="H318" s="206">
        <f t="shared" si="6"/>
        <v>3922171292</v>
      </c>
    </row>
    <row r="319" spans="1:8">
      <c r="A319" s="1340">
        <f t="shared" si="7"/>
        <v>2017.1</v>
      </c>
      <c r="B319" s="252">
        <v>338566287</v>
      </c>
      <c r="C319" s="3034">
        <v>2691928865</v>
      </c>
      <c r="D319" s="169">
        <v>385177</v>
      </c>
      <c r="E319" s="3034">
        <v>438285347</v>
      </c>
      <c r="F319" s="169">
        <v>182400172</v>
      </c>
      <c r="G319" s="3034">
        <v>8174345</v>
      </c>
      <c r="H319" s="206">
        <f t="shared" si="6"/>
        <v>3659740193</v>
      </c>
    </row>
    <row r="320" spans="1:8">
      <c r="A320" s="1340">
        <f t="shared" si="7"/>
        <v>2017.11</v>
      </c>
      <c r="B320" s="252">
        <v>266205724</v>
      </c>
      <c r="C320" s="3034">
        <v>2775041794</v>
      </c>
      <c r="D320" s="169">
        <v>130991</v>
      </c>
      <c r="E320" s="3034">
        <v>460762811</v>
      </c>
      <c r="F320" s="169">
        <v>382807968</v>
      </c>
      <c r="G320" s="3034">
        <v>9072166</v>
      </c>
      <c r="H320" s="206">
        <f t="shared" si="6"/>
        <v>3894021454</v>
      </c>
    </row>
    <row r="321" spans="1:8">
      <c r="A321" s="1340">
        <f t="shared" si="7"/>
        <v>2017.12</v>
      </c>
      <c r="B321" s="260">
        <v>354089367.00000012</v>
      </c>
      <c r="C321" s="3034">
        <v>2809468153</v>
      </c>
      <c r="D321" s="169">
        <v>118864</v>
      </c>
      <c r="E321" s="3034">
        <v>470213862</v>
      </c>
      <c r="F321" s="169">
        <v>293138625</v>
      </c>
      <c r="G321" s="3034">
        <v>9968189</v>
      </c>
      <c r="H321" s="206">
        <f t="shared" si="6"/>
        <v>3936997060</v>
      </c>
    </row>
    <row r="322" spans="1:8">
      <c r="A322" s="1340">
        <f t="shared" si="7"/>
        <v>2018.01</v>
      </c>
      <c r="B322" s="252">
        <v>132836384.06999999</v>
      </c>
      <c r="C322" s="3034">
        <v>2980280972.5599999</v>
      </c>
      <c r="D322" s="169">
        <v>204333.45</v>
      </c>
      <c r="E322" s="3034">
        <v>484901630.26999998</v>
      </c>
      <c r="F322" s="169">
        <v>227931959.53</v>
      </c>
      <c r="G322" s="3034">
        <v>8647351.5700000003</v>
      </c>
      <c r="H322" s="206">
        <f t="shared" si="6"/>
        <v>3834802631.4500003</v>
      </c>
    </row>
    <row r="323" spans="1:8">
      <c r="A323" s="1340">
        <f t="shared" si="7"/>
        <v>2018.02</v>
      </c>
      <c r="B323" s="936">
        <v>444379580.19999999</v>
      </c>
      <c r="C323" s="3194">
        <v>2725723988.1700001</v>
      </c>
      <c r="D323" s="939">
        <v>106860.94</v>
      </c>
      <c r="E323" s="3194">
        <v>449894177.44999999</v>
      </c>
      <c r="F323" s="939">
        <v>621974948.19000006</v>
      </c>
      <c r="G323" s="3194">
        <v>8743210</v>
      </c>
      <c r="H323" s="206">
        <f t="shared" si="6"/>
        <v>4250822764.9499998</v>
      </c>
    </row>
    <row r="324" spans="1:8">
      <c r="A324" s="1340">
        <f t="shared" si="7"/>
        <v>2018.03</v>
      </c>
      <c r="B324" s="936">
        <v>119149146.97</v>
      </c>
      <c r="C324" s="3194">
        <v>2787202218.0599999</v>
      </c>
      <c r="D324" s="939">
        <v>136199.1</v>
      </c>
      <c r="E324" s="3194">
        <v>477146233.63999999</v>
      </c>
      <c r="F324" s="939">
        <v>249635081.50999999</v>
      </c>
      <c r="G324" s="3194">
        <v>8312069.4500000002</v>
      </c>
      <c r="H324" s="206">
        <f t="shared" si="6"/>
        <v>3641580948.7299995</v>
      </c>
    </row>
    <row r="325" spans="1:8">
      <c r="A325" s="1340">
        <f t="shared" si="7"/>
        <v>2018.04</v>
      </c>
      <c r="B325" s="936">
        <v>117322110.86</v>
      </c>
      <c r="C325" s="3194">
        <v>2990322365.98</v>
      </c>
      <c r="D325" s="939">
        <v>315726.52</v>
      </c>
      <c r="E325" s="3194">
        <v>461808027.75</v>
      </c>
      <c r="F325" s="939">
        <v>474335106.44999999</v>
      </c>
      <c r="G325" s="3194">
        <v>8744090.7599999998</v>
      </c>
      <c r="H325" s="206">
        <f t="shared" si="6"/>
        <v>4052847428.3200002</v>
      </c>
    </row>
    <row r="326" spans="1:8">
      <c r="A326" s="1340">
        <f t="shared" si="7"/>
        <v>2018.05</v>
      </c>
      <c r="B326" s="936">
        <v>640365146.02999997</v>
      </c>
      <c r="C326" s="3194">
        <v>3153485979.1900001</v>
      </c>
      <c r="D326" s="939">
        <v>134064.6</v>
      </c>
      <c r="E326" s="3194">
        <v>510492647.64999998</v>
      </c>
      <c r="F326" s="939">
        <v>242574071.81</v>
      </c>
      <c r="G326" s="3194">
        <v>8842871.4299999997</v>
      </c>
      <c r="H326" s="206">
        <f t="shared" si="6"/>
        <v>4555894780.710001</v>
      </c>
    </row>
    <row r="327" spans="1:8">
      <c r="A327" s="1340">
        <f t="shared" si="7"/>
        <v>2018.06</v>
      </c>
      <c r="B327" s="936">
        <v>499071538.80000001</v>
      </c>
      <c r="C327" s="3194">
        <v>3476759122.1599998</v>
      </c>
      <c r="D327" s="939">
        <v>114833.94</v>
      </c>
      <c r="E327" s="3194">
        <v>528517782.95999998</v>
      </c>
      <c r="F327" s="939">
        <v>469147118.39999998</v>
      </c>
      <c r="G327" s="3194">
        <v>9538199.0099999998</v>
      </c>
      <c r="H327" s="206">
        <f t="shared" si="6"/>
        <v>4983148595.2699995</v>
      </c>
    </row>
    <row r="328" spans="1:8">
      <c r="A328" s="1340">
        <f t="shared" si="7"/>
        <v>2018.07</v>
      </c>
      <c r="B328" s="936">
        <v>217774170.66</v>
      </c>
      <c r="C328" s="3194">
        <v>3469461155.1799998</v>
      </c>
      <c r="D328" s="939">
        <v>115506.04</v>
      </c>
      <c r="E328" s="3194">
        <v>487893272.55000001</v>
      </c>
      <c r="F328" s="939">
        <v>269798278.85000002</v>
      </c>
      <c r="G328" s="3194">
        <v>9683448.7300000004</v>
      </c>
      <c r="H328" s="206">
        <f t="shared" si="6"/>
        <v>4454725832.0099993</v>
      </c>
    </row>
    <row r="329" spans="1:8">
      <c r="A329" s="1340">
        <f t="shared" si="7"/>
        <v>2018.08</v>
      </c>
      <c r="B329" s="936">
        <v>680096633.07000005</v>
      </c>
      <c r="C329" s="3194">
        <v>3635753440.6500001</v>
      </c>
      <c r="D329" s="939">
        <v>98070.51</v>
      </c>
      <c r="E329" s="3194">
        <v>515518241.41000003</v>
      </c>
      <c r="F329" s="939">
        <v>209429178.63999999</v>
      </c>
      <c r="G329" s="3194">
        <v>9716727.0099999998</v>
      </c>
      <c r="H329" s="206">
        <f t="shared" si="6"/>
        <v>5050612291.2900009</v>
      </c>
    </row>
    <row r="330" spans="1:8">
      <c r="A330" s="1340">
        <f t="shared" si="7"/>
        <v>2018.09</v>
      </c>
      <c r="B330" s="936">
        <v>593768030.65999997</v>
      </c>
      <c r="C330" s="3194">
        <v>3926127027.1599998</v>
      </c>
      <c r="D330" s="939">
        <v>106448.57</v>
      </c>
      <c r="E330" s="3194">
        <v>490298427.74000001</v>
      </c>
      <c r="F330" s="939">
        <v>416356204.77999997</v>
      </c>
      <c r="G330" s="3194">
        <v>9726137.3000000007</v>
      </c>
      <c r="H330" s="206">
        <f t="shared" si="6"/>
        <v>5436382276.2099991</v>
      </c>
    </row>
    <row r="331" spans="1:8">
      <c r="A331" s="1340">
        <f t="shared" si="7"/>
        <v>2018.1</v>
      </c>
      <c r="B331" s="937">
        <v>222885613</v>
      </c>
      <c r="C331" s="3194">
        <v>4048372283.8400002</v>
      </c>
      <c r="D331" s="939">
        <v>405113.39</v>
      </c>
      <c r="E331" s="3194">
        <v>505678908.87</v>
      </c>
      <c r="F331" s="939">
        <v>202809736.13999999</v>
      </c>
      <c r="G331" s="3194">
        <v>13800548.399999619</v>
      </c>
      <c r="H331" s="206">
        <f t="shared" ref="H331:H394" si="8">_xlfn.AGGREGATE(9,6,B331:G331)</f>
        <v>4993952203.6400003</v>
      </c>
    </row>
    <row r="332" spans="1:8">
      <c r="A332" s="1340">
        <f t="shared" si="7"/>
        <v>2018.11</v>
      </c>
      <c r="B332" s="937">
        <v>603488287.04999995</v>
      </c>
      <c r="C332" s="3194">
        <v>4213651708.1100001</v>
      </c>
      <c r="D332" s="939">
        <v>206981.8</v>
      </c>
      <c r="E332" s="3194">
        <v>517427212.58999997</v>
      </c>
      <c r="F332" s="939">
        <v>417331267.67000002</v>
      </c>
      <c r="G332" s="3194">
        <v>10936879.390000001</v>
      </c>
      <c r="H332" s="206">
        <f t="shared" si="8"/>
        <v>5763042336.6100006</v>
      </c>
    </row>
    <row r="333" spans="1:8">
      <c r="A333" s="1340">
        <f t="shared" si="7"/>
        <v>2018.12</v>
      </c>
      <c r="B333" s="937">
        <v>661290896.80999994</v>
      </c>
      <c r="C333" s="3194">
        <v>4176915143.8699999</v>
      </c>
      <c r="D333" s="939">
        <v>67205.740000000005</v>
      </c>
      <c r="E333" s="3194">
        <v>526325085.19999999</v>
      </c>
      <c r="F333" s="939">
        <v>343717818.86000001</v>
      </c>
      <c r="G333" s="3194">
        <v>14328782.279999999</v>
      </c>
      <c r="H333" s="206">
        <f t="shared" si="8"/>
        <v>5722644932.7599993</v>
      </c>
    </row>
    <row r="334" spans="1:8">
      <c r="A334" s="1340">
        <f t="shared" si="7"/>
        <v>2019.01</v>
      </c>
      <c r="B334" s="937">
        <v>181575410.78</v>
      </c>
      <c r="C334" s="3194">
        <v>4233183377.0799999</v>
      </c>
      <c r="D334" s="939">
        <v>109584.32000000001</v>
      </c>
      <c r="E334" s="3194">
        <v>493044828.77999997</v>
      </c>
      <c r="F334" s="939">
        <v>245001663.83000001</v>
      </c>
      <c r="G334" s="3194">
        <v>10809654.380000001</v>
      </c>
      <c r="H334" s="206">
        <f t="shared" si="8"/>
        <v>5163724519.1699991</v>
      </c>
    </row>
    <row r="335" spans="1:8">
      <c r="A335" s="1340">
        <f t="shared" si="7"/>
        <v>2019.02</v>
      </c>
      <c r="B335" s="937">
        <v>949182514.80999994</v>
      </c>
      <c r="C335" s="3194">
        <v>4274503667.3200002</v>
      </c>
      <c r="D335" s="939">
        <v>72671.27</v>
      </c>
      <c r="E335" s="3194">
        <v>460230851.75</v>
      </c>
      <c r="F335" s="939">
        <v>814069295.76999998</v>
      </c>
      <c r="G335" s="3194">
        <v>12019316.789999999</v>
      </c>
      <c r="H335" s="206">
        <f t="shared" si="8"/>
        <v>6510078317.71</v>
      </c>
    </row>
    <row r="336" spans="1:8">
      <c r="A336" s="1340">
        <f t="shared" si="7"/>
        <v>2019.03</v>
      </c>
      <c r="B336" s="937">
        <v>450675897.56999999</v>
      </c>
      <c r="C336" s="3194">
        <v>4060371007.9200001</v>
      </c>
      <c r="D336" s="939">
        <v>75051.960000000006</v>
      </c>
      <c r="E336" s="3194">
        <v>426995820.49000001</v>
      </c>
      <c r="F336" s="939">
        <v>320136368.74000001</v>
      </c>
      <c r="G336" s="3194">
        <v>10744545.98</v>
      </c>
      <c r="H336" s="206">
        <f t="shared" si="8"/>
        <v>5268998692.6599989</v>
      </c>
    </row>
    <row r="337" spans="1:8">
      <c r="A337" s="1340">
        <f t="shared" si="7"/>
        <v>2019.04</v>
      </c>
      <c r="B337" s="252">
        <v>536169975.56</v>
      </c>
      <c r="C337" s="3034">
        <v>4424954328.0699997</v>
      </c>
      <c r="D337" s="169">
        <v>64286.1</v>
      </c>
      <c r="E337" s="3034">
        <v>475527763.25</v>
      </c>
      <c r="F337" s="169">
        <v>627855218.58000004</v>
      </c>
      <c r="G337" s="3034">
        <v>11152879.74</v>
      </c>
      <c r="H337" s="206">
        <f t="shared" si="8"/>
        <v>6075724451.3000002</v>
      </c>
    </row>
    <row r="338" spans="1:8">
      <c r="A338" s="1340">
        <f t="shared" si="7"/>
        <v>2019.05</v>
      </c>
      <c r="B338" s="260">
        <v>455195854.94</v>
      </c>
      <c r="C338" s="3034">
        <v>4708137639.4099998</v>
      </c>
      <c r="D338" s="169">
        <v>119907.93</v>
      </c>
      <c r="E338" s="3034">
        <v>486270070.85000002</v>
      </c>
      <c r="F338" s="169">
        <v>329753185.82999998</v>
      </c>
      <c r="G338" s="3034">
        <v>12400465.939999999</v>
      </c>
      <c r="H338" s="206">
        <f t="shared" si="8"/>
        <v>5991877124.8999996</v>
      </c>
    </row>
    <row r="339" spans="1:8">
      <c r="A339" s="1340">
        <f t="shared" ref="A339:A402" si="9">A327+1</f>
        <v>2019.06</v>
      </c>
      <c r="B339" s="260">
        <v>481758777</v>
      </c>
      <c r="C339" s="3034">
        <v>4707904644.5699997</v>
      </c>
      <c r="D339" s="169">
        <v>69859.17</v>
      </c>
      <c r="E339" s="3034">
        <v>604375382.65999997</v>
      </c>
      <c r="F339" s="169">
        <v>606141255.58000004</v>
      </c>
      <c r="G339" s="3034">
        <v>12911838.810000001</v>
      </c>
      <c r="H339" s="206">
        <f t="shared" si="8"/>
        <v>6413161757.79</v>
      </c>
    </row>
    <row r="340" spans="1:8">
      <c r="A340" s="1340">
        <f t="shared" si="9"/>
        <v>2019.07</v>
      </c>
      <c r="B340" s="260">
        <v>561521616.44000006</v>
      </c>
      <c r="C340" s="3034">
        <v>4657143837.5500002</v>
      </c>
      <c r="D340" s="169">
        <v>92978.23</v>
      </c>
      <c r="E340" s="3034">
        <v>500982119.31</v>
      </c>
      <c r="F340" s="169">
        <v>350898844.00999999</v>
      </c>
      <c r="G340" s="3034">
        <v>13037781.390000001</v>
      </c>
      <c r="H340" s="206">
        <f t="shared" si="8"/>
        <v>6083677176.9300003</v>
      </c>
    </row>
    <row r="341" spans="1:8">
      <c r="A341" s="1340">
        <f t="shared" si="9"/>
        <v>2019.08</v>
      </c>
      <c r="B341" s="260">
        <v>778511135.01999998</v>
      </c>
      <c r="C341" s="3034">
        <v>5138260513.21</v>
      </c>
      <c r="D341" s="169">
        <v>68074.84</v>
      </c>
      <c r="E341" s="3034">
        <v>587022150.38999999</v>
      </c>
      <c r="F341" s="169">
        <v>313992914.58999997</v>
      </c>
      <c r="G341" s="3034">
        <v>14328969.33</v>
      </c>
      <c r="H341" s="206">
        <f t="shared" si="8"/>
        <v>6832183757.3800001</v>
      </c>
    </row>
    <row r="342" spans="1:8">
      <c r="A342" s="1340">
        <f t="shared" si="9"/>
        <v>2019.09</v>
      </c>
      <c r="B342" s="260">
        <v>556076364.45000005</v>
      </c>
      <c r="C342" s="3034">
        <v>5623382211.6199999</v>
      </c>
      <c r="D342" s="169">
        <v>76693.490000000005</v>
      </c>
      <c r="E342" s="3034">
        <v>558120910.75999999</v>
      </c>
      <c r="F342" s="169">
        <v>671517821.13</v>
      </c>
      <c r="G342" s="3034">
        <v>14986152.27</v>
      </c>
      <c r="H342" s="206">
        <f t="shared" si="8"/>
        <v>7424160153.7200003</v>
      </c>
    </row>
    <row r="343" spans="1:8">
      <c r="A343" s="1340">
        <f t="shared" si="9"/>
        <v>2019.1</v>
      </c>
      <c r="B343" s="937">
        <v>705415359.90999997</v>
      </c>
      <c r="C343" s="3194">
        <v>5564225923.7700005</v>
      </c>
      <c r="D343" s="169">
        <v>119364.19</v>
      </c>
      <c r="E343" s="3034">
        <v>568025538.45000005</v>
      </c>
      <c r="F343" s="169">
        <v>312201085.24000001</v>
      </c>
      <c r="G343" s="3034">
        <v>15420107.32</v>
      </c>
      <c r="H343" s="206">
        <f t="shared" si="8"/>
        <v>7165407378.8799992</v>
      </c>
    </row>
    <row r="344" spans="1:8">
      <c r="A344" s="1340">
        <f t="shared" si="9"/>
        <v>2019.11</v>
      </c>
      <c r="B344" s="252">
        <v>537163991.35000002</v>
      </c>
      <c r="C344" s="3034">
        <v>6273247365.5699997</v>
      </c>
      <c r="D344" s="169">
        <v>102196.45</v>
      </c>
      <c r="E344" s="3034">
        <v>619512737.80999994</v>
      </c>
      <c r="F344" s="169">
        <v>587170385.28999996</v>
      </c>
      <c r="G344" s="3034">
        <v>18703002.199999999</v>
      </c>
      <c r="H344" s="206">
        <f t="shared" si="8"/>
        <v>8035899678.6700001</v>
      </c>
    </row>
    <row r="345" spans="1:8">
      <c r="A345" s="1340">
        <f t="shared" si="9"/>
        <v>2019.12</v>
      </c>
      <c r="B345" s="252">
        <v>698107609.96000004</v>
      </c>
      <c r="C345" s="3034">
        <v>6251114476.1000004</v>
      </c>
      <c r="D345" s="169">
        <v>111352.86</v>
      </c>
      <c r="E345" s="3034">
        <v>636980288.34000003</v>
      </c>
      <c r="F345" s="169">
        <v>616057061.89999998</v>
      </c>
      <c r="G345" s="3034">
        <v>15358025.74</v>
      </c>
      <c r="H345" s="206">
        <f t="shared" si="8"/>
        <v>8217728814.8999996</v>
      </c>
    </row>
    <row r="346" spans="1:8">
      <c r="A346" s="1340">
        <f t="shared" si="9"/>
        <v>2020.01</v>
      </c>
      <c r="B346" s="252">
        <v>210591660.44999999</v>
      </c>
      <c r="C346" s="3034">
        <v>6457025387.0600004</v>
      </c>
      <c r="D346" s="169">
        <v>86819.81</v>
      </c>
      <c r="E346" s="3034">
        <v>612578160.32000005</v>
      </c>
      <c r="F346" s="169">
        <v>376319435.31</v>
      </c>
      <c r="G346" s="3034">
        <v>15868420.630000001</v>
      </c>
      <c r="H346" s="206">
        <f t="shared" si="8"/>
        <v>7672469883.5800009</v>
      </c>
    </row>
    <row r="347" spans="1:8">
      <c r="A347" s="1340">
        <f t="shared" si="9"/>
        <v>2020.02</v>
      </c>
      <c r="B347" s="252">
        <v>1641676011.51</v>
      </c>
      <c r="C347" s="3034">
        <v>6129152444.6800003</v>
      </c>
      <c r="D347" s="169">
        <v>170599.27</v>
      </c>
      <c r="E347" s="3034">
        <v>599862057.74000001</v>
      </c>
      <c r="F347" s="169">
        <v>1253384570.9100001</v>
      </c>
      <c r="G347" s="3034">
        <v>17431920.920000002</v>
      </c>
      <c r="H347" s="206">
        <f t="shared" si="8"/>
        <v>9641677605.0300007</v>
      </c>
    </row>
    <row r="348" spans="1:8">
      <c r="A348" s="1340">
        <f t="shared" si="9"/>
        <v>2020.03</v>
      </c>
      <c r="B348" s="252">
        <v>694345285.87</v>
      </c>
      <c r="C348" s="3034">
        <v>5555525392.6199999</v>
      </c>
      <c r="D348" s="169">
        <v>198601.34</v>
      </c>
      <c r="E348" s="3034">
        <v>500435532.63</v>
      </c>
      <c r="F348" s="169">
        <v>402876339.77999997</v>
      </c>
      <c r="G348" s="3034">
        <v>12842398.25</v>
      </c>
      <c r="H348" s="206">
        <f t="shared" si="8"/>
        <v>7166223550.4899998</v>
      </c>
    </row>
    <row r="349" spans="1:8">
      <c r="A349" s="1340">
        <f t="shared" si="9"/>
        <v>2020.04</v>
      </c>
      <c r="B349" s="252">
        <v>670511853.77999997</v>
      </c>
      <c r="C349" s="3034">
        <v>5144586606.7600002</v>
      </c>
      <c r="D349" s="169">
        <v>154840</v>
      </c>
      <c r="E349" s="3034">
        <v>333974844.27999997</v>
      </c>
      <c r="F349" s="169">
        <v>663977509.21000004</v>
      </c>
      <c r="G349" s="3034">
        <v>3478563.98</v>
      </c>
      <c r="H349" s="206">
        <f t="shared" si="8"/>
        <v>6816684218.0099993</v>
      </c>
    </row>
    <row r="350" spans="1:8">
      <c r="A350" s="1340">
        <f t="shared" si="9"/>
        <v>2020.05</v>
      </c>
      <c r="B350" s="252">
        <v>817122248.29999995</v>
      </c>
      <c r="C350" s="3034">
        <v>6375791693.8500004</v>
      </c>
      <c r="D350" s="3034">
        <v>305320.39</v>
      </c>
      <c r="E350" s="3034">
        <v>387764369.04000002</v>
      </c>
      <c r="F350" s="169">
        <v>494536738.13999999</v>
      </c>
      <c r="G350" s="3034">
        <v>10312714.220000001</v>
      </c>
      <c r="H350" s="206">
        <f t="shared" si="8"/>
        <v>8085833083.9400015</v>
      </c>
    </row>
    <row r="351" spans="1:8">
      <c r="A351" s="1340">
        <f t="shared" si="9"/>
        <v>2020.06</v>
      </c>
      <c r="B351" s="252">
        <v>1085559253.3699999</v>
      </c>
      <c r="C351" s="3034">
        <v>6707421117.8699999</v>
      </c>
      <c r="D351" s="3034">
        <v>525306.74</v>
      </c>
      <c r="E351" s="3034">
        <v>597292097.39999998</v>
      </c>
      <c r="F351" s="169">
        <v>1114962680.76</v>
      </c>
      <c r="G351" s="3034">
        <v>7145877.4400000004</v>
      </c>
      <c r="H351" s="206">
        <f t="shared" si="8"/>
        <v>9512906333.5799999</v>
      </c>
    </row>
    <row r="352" spans="1:8">
      <c r="A352" s="1340">
        <f t="shared" si="9"/>
        <v>2020.07</v>
      </c>
      <c r="B352" s="252">
        <v>857854114.14999998</v>
      </c>
      <c r="C352" s="3034">
        <v>7670138926.1999998</v>
      </c>
      <c r="D352" s="169">
        <v>32154.47</v>
      </c>
      <c r="E352" s="3034">
        <v>701307059.70000005</v>
      </c>
      <c r="F352" s="169">
        <v>537088422.63</v>
      </c>
      <c r="G352" s="3034">
        <v>8918285.3100000005</v>
      </c>
      <c r="H352" s="206">
        <f t="shared" si="8"/>
        <v>9775338962.4599991</v>
      </c>
    </row>
    <row r="353" spans="1:8">
      <c r="A353" s="1340">
        <f t="shared" si="9"/>
        <v>2020.08</v>
      </c>
      <c r="B353" s="252">
        <v>921435089.5</v>
      </c>
      <c r="C353" s="3034">
        <v>7863037288.5699997</v>
      </c>
      <c r="D353" s="169">
        <v>51289.66</v>
      </c>
      <c r="E353" s="3034">
        <v>715255009.75</v>
      </c>
      <c r="F353" s="169">
        <v>506090021.75</v>
      </c>
      <c r="G353" s="3034">
        <v>5246490.25</v>
      </c>
      <c r="H353" s="206">
        <f t="shared" si="8"/>
        <v>10011115189.48</v>
      </c>
    </row>
    <row r="354" spans="1:8">
      <c r="A354" s="1340">
        <f t="shared" si="9"/>
        <v>2020.09</v>
      </c>
      <c r="B354" s="1148">
        <v>819354365.39999998</v>
      </c>
      <c r="C354" s="3034">
        <v>7650547842.9300003</v>
      </c>
      <c r="D354" s="169">
        <v>145332.57</v>
      </c>
      <c r="E354" s="3034">
        <v>784289786.84000003</v>
      </c>
      <c r="F354" s="169">
        <v>979750345</v>
      </c>
      <c r="G354" s="3034">
        <v>5196622.57</v>
      </c>
      <c r="H354" s="206">
        <f t="shared" si="8"/>
        <v>10239284295.309999</v>
      </c>
    </row>
    <row r="355" spans="1:8">
      <c r="A355" s="1340">
        <f t="shared" si="9"/>
        <v>2020.1</v>
      </c>
      <c r="B355" s="252">
        <v>888648932.50999999</v>
      </c>
      <c r="C355" s="3034">
        <v>8068730406.6700001</v>
      </c>
      <c r="D355" s="169">
        <v>34365.620000000003</v>
      </c>
      <c r="E355" s="3034">
        <v>720820723.72000003</v>
      </c>
      <c r="F355" s="169">
        <v>471672411.18000001</v>
      </c>
      <c r="G355" s="3034">
        <v>8570156.1799999997</v>
      </c>
      <c r="H355" s="206">
        <f t="shared" si="8"/>
        <v>10158476995.880001</v>
      </c>
    </row>
    <row r="356" spans="1:8">
      <c r="A356" s="1340">
        <f t="shared" si="9"/>
        <v>2020.11</v>
      </c>
      <c r="B356" s="252">
        <v>760272628.82000005</v>
      </c>
      <c r="C356" s="3034">
        <v>8757251122.3199997</v>
      </c>
      <c r="D356" s="169">
        <v>46590.54</v>
      </c>
      <c r="E356" s="3034">
        <v>846038236.95000005</v>
      </c>
      <c r="F356" s="169">
        <v>940431583.30999994</v>
      </c>
      <c r="G356" s="3034">
        <v>8954580.2200000007</v>
      </c>
      <c r="H356" s="206">
        <f t="shared" si="8"/>
        <v>11312994742.16</v>
      </c>
    </row>
    <row r="357" spans="1:8">
      <c r="A357" s="1340">
        <f t="shared" si="9"/>
        <v>2020.12</v>
      </c>
      <c r="B357" s="252">
        <v>935953918.74000001</v>
      </c>
      <c r="C357" s="3034">
        <v>7885531756.25</v>
      </c>
      <c r="D357" s="169">
        <v>32494</v>
      </c>
      <c r="E357" s="3034">
        <v>844300829.28999996</v>
      </c>
      <c r="F357" s="169">
        <v>960058883.73000002</v>
      </c>
      <c r="G357" s="3034">
        <v>10285648.300000001</v>
      </c>
      <c r="H357" s="206">
        <f t="shared" si="8"/>
        <v>10636163530.309998</v>
      </c>
    </row>
    <row r="358" spans="1:8">
      <c r="A358" s="1340">
        <f t="shared" si="9"/>
        <v>2021.01</v>
      </c>
      <c r="B358" s="252">
        <v>328378146.30000001</v>
      </c>
      <c r="C358" s="3034">
        <v>9153626259.3099995</v>
      </c>
      <c r="D358" s="169">
        <v>39875</v>
      </c>
      <c r="E358" s="3034">
        <v>908168901.70000005</v>
      </c>
      <c r="F358" s="169">
        <v>504864919.35000002</v>
      </c>
      <c r="G358" s="3034">
        <v>8791586.9199999999</v>
      </c>
      <c r="H358" s="206">
        <f t="shared" si="8"/>
        <v>10903869688.58</v>
      </c>
    </row>
    <row r="359" spans="1:8">
      <c r="A359" s="1340">
        <f t="shared" si="9"/>
        <v>2021.02</v>
      </c>
      <c r="B359" s="252">
        <v>2561626396.4299998</v>
      </c>
      <c r="C359" s="3034">
        <v>8449710999.8100004</v>
      </c>
      <c r="D359" s="169">
        <v>66893.19</v>
      </c>
      <c r="E359" s="3034">
        <v>873881654.76999998</v>
      </c>
      <c r="F359" s="169">
        <v>1415191002.9400001</v>
      </c>
      <c r="G359" s="3034">
        <v>8875399.2899999991</v>
      </c>
      <c r="H359" s="206">
        <f t="shared" si="8"/>
        <v>13309352346.430002</v>
      </c>
    </row>
    <row r="360" spans="1:8">
      <c r="A360" s="1340">
        <f t="shared" si="9"/>
        <v>2021.03</v>
      </c>
      <c r="B360" s="252">
        <v>1144114227.3599999</v>
      </c>
      <c r="C360" s="3034">
        <v>8786628513.0499992</v>
      </c>
      <c r="D360" s="169">
        <v>38076.269999999997</v>
      </c>
      <c r="E360" s="3034">
        <v>1054661638.36</v>
      </c>
      <c r="F360" s="169">
        <v>680832702.08000004</v>
      </c>
      <c r="G360" s="3034">
        <v>6990252.2000000002</v>
      </c>
      <c r="H360" s="206">
        <f t="shared" si="8"/>
        <v>11673265409.320002</v>
      </c>
    </row>
    <row r="361" spans="1:8">
      <c r="A361" s="1340">
        <f t="shared" si="9"/>
        <v>2021.04</v>
      </c>
      <c r="B361" s="252">
        <v>1232045233.51</v>
      </c>
      <c r="C361" s="3034">
        <v>9785383086.7099991</v>
      </c>
      <c r="D361" s="169">
        <v>1969101.97</v>
      </c>
      <c r="E361" s="3034">
        <v>1023942497.37</v>
      </c>
      <c r="F361" s="169">
        <v>1036992871.89</v>
      </c>
      <c r="G361" s="3034">
        <v>11570632.43</v>
      </c>
      <c r="H361" s="206">
        <f t="shared" si="8"/>
        <v>13091903423.879999</v>
      </c>
    </row>
    <row r="362" spans="1:8">
      <c r="A362" s="1340">
        <f t="shared" si="9"/>
        <v>2021.05</v>
      </c>
      <c r="B362" s="252">
        <v>1139734705.5799999</v>
      </c>
      <c r="C362" s="3034">
        <v>10629375699.620001</v>
      </c>
      <c r="D362" s="169">
        <v>641043.65</v>
      </c>
      <c r="E362" s="3034">
        <v>1077348032.3900001</v>
      </c>
      <c r="F362" s="169">
        <v>694339022.57000005</v>
      </c>
      <c r="G362" s="3034">
        <v>9738503.0899999999</v>
      </c>
      <c r="H362" s="206">
        <f t="shared" si="8"/>
        <v>13551177006.9</v>
      </c>
    </row>
    <row r="363" spans="1:8" s="265" customFormat="1">
      <c r="A363" s="1340">
        <f t="shared" si="9"/>
        <v>2021.06</v>
      </c>
      <c r="B363" s="252">
        <v>1383577762.28</v>
      </c>
      <c r="C363" s="3034">
        <v>11079653022.01</v>
      </c>
      <c r="D363" s="169">
        <v>823521.93</v>
      </c>
      <c r="E363" s="3034">
        <v>1090900732.71</v>
      </c>
      <c r="F363" s="169">
        <v>1301244775.26</v>
      </c>
      <c r="G363" s="3034">
        <v>10397096.720000001</v>
      </c>
      <c r="H363" s="206">
        <f t="shared" si="8"/>
        <v>14866596910.91</v>
      </c>
    </row>
    <row r="364" spans="1:8">
      <c r="A364" s="1340">
        <f t="shared" si="9"/>
        <v>2021.07</v>
      </c>
      <c r="B364" s="252">
        <v>1052266133.14</v>
      </c>
      <c r="C364" s="3034">
        <v>11422300324.16</v>
      </c>
      <c r="D364" s="169">
        <v>367370.6</v>
      </c>
      <c r="E364" s="3034">
        <v>1202862180.8099999</v>
      </c>
      <c r="F364" s="169">
        <v>634487986.77999997</v>
      </c>
      <c r="G364" s="3034">
        <v>11664640.560000001</v>
      </c>
      <c r="H364" s="206">
        <f t="shared" si="8"/>
        <v>14323948636.049999</v>
      </c>
    </row>
    <row r="365" spans="1:8">
      <c r="A365" s="1340">
        <f t="shared" si="9"/>
        <v>2021.08</v>
      </c>
      <c r="B365" s="252">
        <v>1328289966.9400001</v>
      </c>
      <c r="C365" s="3034">
        <v>11980551480.43</v>
      </c>
      <c r="D365" s="169">
        <v>108909.89</v>
      </c>
      <c r="E365" s="3034">
        <v>1276729445.99</v>
      </c>
      <c r="F365" s="169">
        <v>1207044016.23</v>
      </c>
      <c r="G365" s="3034">
        <v>12472429.1</v>
      </c>
      <c r="H365" s="206">
        <f t="shared" si="8"/>
        <v>15805196248.58</v>
      </c>
    </row>
    <row r="366" spans="1:8">
      <c r="A366" s="1340">
        <f t="shared" si="9"/>
        <v>2021.09</v>
      </c>
      <c r="B366" s="252">
        <v>1013547463.5700001</v>
      </c>
      <c r="C366" s="3034">
        <v>12623151384.1</v>
      </c>
      <c r="D366" s="169">
        <v>37043.99</v>
      </c>
      <c r="E366" s="3034">
        <v>1376767742.1700001</v>
      </c>
      <c r="F366" s="169">
        <v>1534321861.8699999</v>
      </c>
      <c r="G366" s="3034">
        <v>11655066.619999999</v>
      </c>
      <c r="H366" s="206">
        <f t="shared" si="8"/>
        <v>16559480562.320002</v>
      </c>
    </row>
    <row r="367" spans="1:8" s="265" customFormat="1">
      <c r="A367" s="1340">
        <f t="shared" si="9"/>
        <v>2021.1</v>
      </c>
      <c r="B367" s="252">
        <v>1141985557.9100001</v>
      </c>
      <c r="C367" s="3034">
        <v>12638007801.77</v>
      </c>
      <c r="D367" s="169">
        <v>34451.67</v>
      </c>
      <c r="E367" s="3034">
        <v>1323647424.99</v>
      </c>
      <c r="F367" s="169">
        <v>688812210.74000001</v>
      </c>
      <c r="G367" s="3034">
        <v>14078695.699999999</v>
      </c>
      <c r="H367" s="206">
        <f t="shared" si="8"/>
        <v>15806566142.780001</v>
      </c>
    </row>
    <row r="368" spans="1:8" s="265" customFormat="1">
      <c r="A368" s="1340">
        <f t="shared" si="9"/>
        <v>2021.11</v>
      </c>
      <c r="B368" s="252">
        <v>622523026.76999998</v>
      </c>
      <c r="C368" s="3034">
        <v>14052915449.860001</v>
      </c>
      <c r="D368" s="169">
        <v>50704.82</v>
      </c>
      <c r="E368" s="3034">
        <v>1491614318</v>
      </c>
      <c r="F368" s="169">
        <v>1365230566.3599999</v>
      </c>
      <c r="G368" s="3034">
        <v>15316569.68</v>
      </c>
      <c r="H368" s="206">
        <f t="shared" si="8"/>
        <v>17547650635.490002</v>
      </c>
    </row>
    <row r="369" spans="1:8">
      <c r="A369" s="1340">
        <f t="shared" si="9"/>
        <v>2021.12</v>
      </c>
      <c r="B369" s="252">
        <v>764782440.27999997</v>
      </c>
      <c r="C369" s="3034">
        <v>14335802554.700001</v>
      </c>
      <c r="D369" s="169">
        <v>250915.59</v>
      </c>
      <c r="E369" s="3034">
        <v>1428776648.5</v>
      </c>
      <c r="F369" s="169">
        <v>1352147019.74</v>
      </c>
      <c r="G369" s="3034">
        <v>19879507.190000001</v>
      </c>
      <c r="H369" s="206">
        <f t="shared" si="8"/>
        <v>17901639086</v>
      </c>
    </row>
    <row r="370" spans="1:8">
      <c r="A370" s="1340">
        <f t="shared" si="9"/>
        <v>2022.01</v>
      </c>
      <c r="B370" s="252">
        <v>396995713.38</v>
      </c>
      <c r="C370" s="3034">
        <v>15300399886.360001</v>
      </c>
      <c r="D370" s="169">
        <v>35334.51</v>
      </c>
      <c r="E370" s="3034">
        <v>1391394435.3399999</v>
      </c>
      <c r="F370" s="169">
        <v>717436480.70000005</v>
      </c>
      <c r="G370" s="3034">
        <v>41148579.140000001</v>
      </c>
      <c r="H370" s="206">
        <f t="shared" si="8"/>
        <v>17847410429.43</v>
      </c>
    </row>
    <row r="371" spans="1:8">
      <c r="A371" s="1340">
        <f t="shared" si="9"/>
        <v>2022.02</v>
      </c>
      <c r="B371" s="252">
        <v>3839903617.0100002</v>
      </c>
      <c r="C371" s="3034">
        <v>13908779014.17</v>
      </c>
      <c r="D371" s="169">
        <v>49403.040000000001</v>
      </c>
      <c r="E371" s="3034">
        <v>1406305280.6199999</v>
      </c>
      <c r="F371" s="169">
        <v>3475847676.27</v>
      </c>
      <c r="G371" s="3034">
        <v>28759923.530000001</v>
      </c>
      <c r="H371" s="206">
        <f t="shared" si="8"/>
        <v>22659644914.639999</v>
      </c>
    </row>
    <row r="372" spans="1:8">
      <c r="A372" s="1340">
        <f t="shared" si="9"/>
        <v>2022.03</v>
      </c>
      <c r="B372" s="252">
        <v>1250703591.6600001</v>
      </c>
      <c r="C372" s="3034">
        <v>14207078537.74</v>
      </c>
      <c r="D372" s="169">
        <v>129181.03</v>
      </c>
      <c r="E372" s="3034">
        <v>1473461562.0799999</v>
      </c>
      <c r="F372" s="169">
        <v>1140373969.26</v>
      </c>
      <c r="G372" s="3034">
        <v>35705095.640000001</v>
      </c>
      <c r="H372" s="206">
        <f t="shared" si="8"/>
        <v>18107451937.41</v>
      </c>
    </row>
    <row r="373" spans="1:8">
      <c r="A373" s="1340">
        <f t="shared" si="9"/>
        <v>2022.04</v>
      </c>
      <c r="B373" s="252">
        <v>1424931408.48</v>
      </c>
      <c r="C373" s="3034">
        <v>17128774559.42</v>
      </c>
      <c r="D373" s="169">
        <v>50878.14</v>
      </c>
      <c r="E373" s="3034">
        <v>1668322966.3900001</v>
      </c>
      <c r="F373" s="169">
        <v>1725789984.3599999</v>
      </c>
      <c r="G373" s="3034">
        <v>36459467.07</v>
      </c>
      <c r="H373" s="206">
        <f t="shared" si="8"/>
        <v>21984329263.860001</v>
      </c>
    </row>
    <row r="374" spans="1:8">
      <c r="A374" s="1340">
        <f t="shared" si="9"/>
        <v>2022.05</v>
      </c>
      <c r="B374" s="252">
        <v>1395807506.73</v>
      </c>
      <c r="C374" s="3034">
        <v>18578413394.009998</v>
      </c>
      <c r="D374" s="169">
        <v>309820.58</v>
      </c>
      <c r="E374" s="3034">
        <v>1878881021.6199999</v>
      </c>
      <c r="F374" s="3034">
        <v>1268457323.46</v>
      </c>
      <c r="G374" s="3034">
        <v>34142763</v>
      </c>
      <c r="H374" s="3137">
        <f t="shared" si="8"/>
        <v>23156011829.399998</v>
      </c>
    </row>
    <row r="375" spans="1:8">
      <c r="A375" s="1340">
        <f t="shared" si="9"/>
        <v>2022.06</v>
      </c>
      <c r="B375" s="252">
        <v>1578618162.7399998</v>
      </c>
      <c r="C375" s="3034">
        <v>20112234608.300003</v>
      </c>
      <c r="D375" s="169">
        <f>(D363/(SUM(B363:G363)-D363))*SUM(B375:C375,E375:G375)</f>
        <v>1417671.5520132338</v>
      </c>
      <c r="E375" s="3034">
        <v>2024074733.9499998</v>
      </c>
      <c r="F375" s="3034">
        <v>1841810000</v>
      </c>
      <c r="G375" s="3034">
        <v>34304171.620000005</v>
      </c>
      <c r="H375" s="3137">
        <f t="shared" si="8"/>
        <v>25592459348.162014</v>
      </c>
    </row>
    <row r="376" spans="1:8">
      <c r="A376" s="1340">
        <f t="shared" si="9"/>
        <v>2022.07</v>
      </c>
      <c r="B376" s="252">
        <v>1114293551.8</v>
      </c>
      <c r="C376" s="3034">
        <v>22244706078.849998</v>
      </c>
      <c r="D376" s="169">
        <v>119568.52</v>
      </c>
      <c r="E376" s="3034">
        <v>2035348075.8800001</v>
      </c>
      <c r="F376" s="169">
        <v>870729752.23000002</v>
      </c>
      <c r="G376" s="3034">
        <v>44772323.32</v>
      </c>
      <c r="H376" s="3137">
        <f t="shared" si="8"/>
        <v>26309969350.599998</v>
      </c>
    </row>
    <row r="377" spans="1:8">
      <c r="A377" s="1340">
        <f t="shared" si="9"/>
        <v>2022.08</v>
      </c>
      <c r="B377" s="252">
        <v>1501566906.21</v>
      </c>
      <c r="C377" s="3034">
        <v>21885972661.330002</v>
      </c>
      <c r="D377" s="169">
        <v>48741.27</v>
      </c>
      <c r="E377" s="3034">
        <v>2027945666.3</v>
      </c>
      <c r="F377" s="169">
        <v>932242195.42999995</v>
      </c>
      <c r="G377" s="3034">
        <v>42704739.170000002</v>
      </c>
      <c r="H377" s="3137">
        <f t="shared" si="8"/>
        <v>26390480909.709999</v>
      </c>
    </row>
    <row r="378" spans="1:8">
      <c r="A378" s="1340">
        <f t="shared" si="9"/>
        <v>2022.09</v>
      </c>
      <c r="B378" s="252">
        <v>1110035393.6900001</v>
      </c>
      <c r="C378" s="3034">
        <v>24326567910.560001</v>
      </c>
      <c r="D378" s="169">
        <v>352659.48</v>
      </c>
      <c r="E378" s="3034">
        <v>2268982091.29</v>
      </c>
      <c r="F378" s="169">
        <v>1650413552.3900001</v>
      </c>
      <c r="G378" s="3034">
        <v>52365968.100000001</v>
      </c>
      <c r="H378" s="3137">
        <f t="shared" si="8"/>
        <v>29408717575.509998</v>
      </c>
    </row>
    <row r="379" spans="1:8">
      <c r="A379" s="1340">
        <f t="shared" si="9"/>
        <v>2022.1</v>
      </c>
      <c r="B379" s="252">
        <v>1332783479.98</v>
      </c>
      <c r="C379" s="3034">
        <v>24717510456.32</v>
      </c>
      <c r="D379" s="169">
        <v>62259.41</v>
      </c>
      <c r="E379" s="3034">
        <v>2238701767.3499999</v>
      </c>
      <c r="F379" s="169">
        <v>851033578.99000001</v>
      </c>
      <c r="G379" s="3034">
        <v>43108490.5</v>
      </c>
      <c r="H379" s="3137">
        <f t="shared" si="8"/>
        <v>29183200032.549999</v>
      </c>
    </row>
    <row r="380" spans="1:8">
      <c r="A380" s="1340">
        <f t="shared" si="9"/>
        <v>2022.11</v>
      </c>
      <c r="B380" s="252">
        <v>684311491.98000002</v>
      </c>
      <c r="C380" s="3034">
        <v>25611893675.080002</v>
      </c>
      <c r="D380" s="169">
        <v>120659.78</v>
      </c>
      <c r="E380" s="3034">
        <v>2325923058.8600001</v>
      </c>
      <c r="F380" s="169">
        <v>1646446864.8800001</v>
      </c>
      <c r="G380" s="3034">
        <v>57462848.75</v>
      </c>
      <c r="H380" s="3137">
        <f t="shared" si="8"/>
        <v>30326158599.330002</v>
      </c>
    </row>
    <row r="381" spans="1:8">
      <c r="A381" s="1340">
        <f t="shared" si="9"/>
        <v>2022.12</v>
      </c>
      <c r="B381" s="252">
        <v>939670729.62</v>
      </c>
      <c r="C381" s="3034">
        <v>26479630600.77</v>
      </c>
      <c r="D381" s="169">
        <v>196219.29</v>
      </c>
      <c r="E381" s="3034">
        <v>2518047389.9499998</v>
      </c>
      <c r="F381" s="169">
        <v>1649339708.3299999</v>
      </c>
      <c r="G381" s="3034">
        <v>49871510.829999998</v>
      </c>
      <c r="H381" s="3137">
        <f t="shared" si="8"/>
        <v>31636756158.790001</v>
      </c>
    </row>
    <row r="382" spans="1:8">
      <c r="A382" s="1340">
        <f t="shared" si="9"/>
        <v>2023.01</v>
      </c>
      <c r="B382" s="252">
        <v>938861327.75</v>
      </c>
      <c r="C382" s="3034">
        <v>30000972037.75</v>
      </c>
      <c r="D382" s="169">
        <v>51573.14</v>
      </c>
      <c r="E382" s="3034">
        <v>2477788568.5100002</v>
      </c>
      <c r="F382" s="169">
        <v>1688682039.03</v>
      </c>
      <c r="G382" s="3034">
        <v>65872099.340000004</v>
      </c>
      <c r="H382" s="3137">
        <f t="shared" si="8"/>
        <v>35172227645.519997</v>
      </c>
    </row>
    <row r="383" spans="1:8">
      <c r="A383" s="1340">
        <f t="shared" si="9"/>
        <v>2023.02</v>
      </c>
      <c r="B383" s="252">
        <v>5695385736.8400002</v>
      </c>
      <c r="C383" s="3034">
        <v>26081260271.639999</v>
      </c>
      <c r="D383" s="169">
        <v>34743.5</v>
      </c>
      <c r="E383" s="3034">
        <v>2532060319.5599999</v>
      </c>
      <c r="F383" s="169">
        <v>5710227400.1099997</v>
      </c>
      <c r="G383" s="3034">
        <v>68040596.829999998</v>
      </c>
      <c r="H383" s="3137">
        <f t="shared" si="8"/>
        <v>40087009068.480003</v>
      </c>
    </row>
    <row r="384" spans="1:8">
      <c r="A384" s="1340">
        <f t="shared" si="9"/>
        <v>2023.03</v>
      </c>
      <c r="B384" s="252">
        <v>1497030244</v>
      </c>
      <c r="C384" s="3034">
        <v>28777671142.91</v>
      </c>
      <c r="D384" s="169">
        <v>291725.23</v>
      </c>
      <c r="E384" s="3034">
        <v>2468531628.4699998</v>
      </c>
      <c r="F384" s="169">
        <v>1618772695.1500001</v>
      </c>
      <c r="G384" s="3034">
        <v>82137537.459999993</v>
      </c>
      <c r="H384" s="3137">
        <f t="shared" si="8"/>
        <v>34444434973.220001</v>
      </c>
    </row>
    <row r="385" spans="1:13">
      <c r="A385" s="1340">
        <f t="shared" si="9"/>
        <v>2023.04</v>
      </c>
      <c r="B385" s="252">
        <v>1868217828.77</v>
      </c>
      <c r="C385" s="3034">
        <v>33070532002.25</v>
      </c>
      <c r="D385" s="169">
        <v>31108.01</v>
      </c>
      <c r="E385" s="3034">
        <v>2967725261.1700001</v>
      </c>
      <c r="F385" s="169">
        <v>2497939389.5100002</v>
      </c>
      <c r="G385" s="3034">
        <v>72877217.620000005</v>
      </c>
      <c r="H385" s="206">
        <f t="shared" si="8"/>
        <v>40477322807.330002</v>
      </c>
      <c r="I385" s="201"/>
      <c r="J385" s="201"/>
      <c r="K385" s="201"/>
      <c r="L385" s="201"/>
      <c r="M385" s="201"/>
    </row>
    <row r="386" spans="1:13">
      <c r="A386" s="1340">
        <f t="shared" si="9"/>
        <v>2023.05</v>
      </c>
      <c r="B386" s="252">
        <v>1284502417.9100001</v>
      </c>
      <c r="C386" s="3034">
        <v>38426931672.410004</v>
      </c>
      <c r="D386" s="169">
        <v>1122222.8600000001</v>
      </c>
      <c r="E386" s="3034">
        <v>3008647775.02</v>
      </c>
      <c r="F386" s="169">
        <v>1437869722.0999999</v>
      </c>
      <c r="G386" s="3034">
        <v>75006414.989999995</v>
      </c>
      <c r="H386" s="206">
        <f t="shared" si="8"/>
        <v>44234080225.290001</v>
      </c>
      <c r="I386" s="201"/>
      <c r="J386" s="201"/>
      <c r="K386" s="201"/>
      <c r="L386" s="201"/>
      <c r="M386" s="201"/>
    </row>
    <row r="387" spans="1:13">
      <c r="A387" s="1340">
        <f t="shared" si="9"/>
        <v>2023.06</v>
      </c>
      <c r="B387" s="252">
        <v>1858135121.79</v>
      </c>
      <c r="C387" s="3034">
        <v>42261316040.68</v>
      </c>
      <c r="D387" s="169">
        <v>227290.93</v>
      </c>
      <c r="E387" s="3034">
        <v>3465937645.6599998</v>
      </c>
      <c r="F387" s="169">
        <v>2702806976.3800001</v>
      </c>
      <c r="G387" s="3034">
        <v>91830546.439999998</v>
      </c>
      <c r="H387" s="206">
        <f t="shared" si="8"/>
        <v>50380253621.879997</v>
      </c>
      <c r="I387" s="201"/>
      <c r="J387" s="201"/>
      <c r="K387" s="201"/>
      <c r="L387" s="201"/>
      <c r="M387" s="201"/>
    </row>
    <row r="388" spans="1:13">
      <c r="A388" s="1340">
        <f t="shared" si="9"/>
        <v>2023.07</v>
      </c>
      <c r="B388" s="252">
        <v>1239166315.97</v>
      </c>
      <c r="C388" s="3034">
        <v>46670100591.400002</v>
      </c>
      <c r="D388" s="169">
        <v>27944.41</v>
      </c>
      <c r="E388" s="3034">
        <v>3801166175.6500001</v>
      </c>
      <c r="F388" s="169">
        <v>1504648516.02</v>
      </c>
      <c r="G388" s="3034">
        <v>86459999.340000004</v>
      </c>
      <c r="H388" s="206">
        <f t="shared" si="8"/>
        <v>53301569542.790001</v>
      </c>
      <c r="I388" s="201"/>
      <c r="J388" s="201"/>
      <c r="K388" s="201"/>
      <c r="L388" s="201"/>
      <c r="M388" s="201"/>
    </row>
    <row r="389" spans="1:13">
      <c r="A389" s="1340">
        <f t="shared" si="9"/>
        <v>2023.08</v>
      </c>
      <c r="B389" s="252">
        <v>2159434273.5799999</v>
      </c>
      <c r="C389" s="3034">
        <v>53205799348.089996</v>
      </c>
      <c r="D389" s="169">
        <v>25566.799999999999</v>
      </c>
      <c r="E389" s="3034">
        <v>4253957641.6999998</v>
      </c>
      <c r="F389" s="169">
        <v>1486595440.45</v>
      </c>
      <c r="G389" s="3034">
        <v>120156546.31999999</v>
      </c>
      <c r="H389" s="206">
        <f t="shared" si="8"/>
        <v>61225968816.939995</v>
      </c>
      <c r="I389" s="201"/>
      <c r="J389" s="201"/>
      <c r="K389" s="201"/>
      <c r="L389" s="201"/>
      <c r="M389" s="201"/>
    </row>
    <row r="390" spans="1:13">
      <c r="A390" s="1340">
        <f t="shared" si="9"/>
        <v>2023.09</v>
      </c>
      <c r="B390" s="252">
        <v>1225186436.79</v>
      </c>
      <c r="C390" s="3034">
        <v>58806826719.379997</v>
      </c>
      <c r="D390" s="169">
        <v>34830.949999999997</v>
      </c>
      <c r="E390" s="3034">
        <v>4267335740.9000001</v>
      </c>
      <c r="F390" s="169">
        <v>2744217168.9499998</v>
      </c>
      <c r="G390" s="3034">
        <v>103502581.59999999</v>
      </c>
      <c r="H390" s="206">
        <f t="shared" si="8"/>
        <v>67147103478.569992</v>
      </c>
      <c r="I390" s="201"/>
      <c r="J390" s="201"/>
      <c r="K390" s="201"/>
      <c r="L390" s="201"/>
      <c r="M390" s="201"/>
    </row>
    <row r="391" spans="1:13">
      <c r="A391" s="1340">
        <f t="shared" si="9"/>
        <v>2023.1</v>
      </c>
      <c r="B391" s="252">
        <v>1992947018.8900001</v>
      </c>
      <c r="C391" s="3034">
        <v>65632212731.190002</v>
      </c>
      <c r="D391" s="169">
        <v>216969.66</v>
      </c>
      <c r="E391" s="3034">
        <v>4360449824.6000004</v>
      </c>
      <c r="F391" s="169">
        <v>1384843239.9400001</v>
      </c>
      <c r="G391" s="3034">
        <v>99490684.079999998</v>
      </c>
      <c r="H391" s="206">
        <f t="shared" si="8"/>
        <v>73470160468.360016</v>
      </c>
      <c r="I391" s="201"/>
      <c r="J391" s="201"/>
      <c r="K391" s="201"/>
      <c r="L391" s="201"/>
      <c r="M391" s="201"/>
    </row>
    <row r="392" spans="1:13">
      <c r="A392" s="1340">
        <f t="shared" si="9"/>
        <v>2023.11</v>
      </c>
      <c r="B392" s="252">
        <v>985209957.23000002</v>
      </c>
      <c r="C392" s="3034">
        <v>68278044206.489998</v>
      </c>
      <c r="D392" s="169">
        <v>989153.81</v>
      </c>
      <c r="E392" s="3034">
        <v>4820027231.9899998</v>
      </c>
      <c r="F392" s="169">
        <v>2652217832.9899998</v>
      </c>
      <c r="G392" s="3034">
        <v>162065691.69</v>
      </c>
      <c r="H392" s="206">
        <f t="shared" si="8"/>
        <v>76898554074.200012</v>
      </c>
      <c r="I392" s="201"/>
      <c r="J392" s="201"/>
      <c r="K392" s="201"/>
      <c r="L392" s="201"/>
      <c r="M392" s="201"/>
    </row>
    <row r="393" spans="1:13">
      <c r="A393" s="1340">
        <f t="shared" si="9"/>
        <v>2023.12</v>
      </c>
      <c r="B393" s="3233">
        <v>1401016815.8499999</v>
      </c>
      <c r="C393" s="3233">
        <v>75890657017.190002</v>
      </c>
      <c r="D393" s="3233">
        <v>80156.42</v>
      </c>
      <c r="E393" s="3233">
        <v>5809561124.8199997</v>
      </c>
      <c r="F393" s="3233">
        <v>2898259280.3600001</v>
      </c>
      <c r="G393" s="3233">
        <v>148162659.13</v>
      </c>
      <c r="H393" s="206">
        <f t="shared" si="8"/>
        <v>86147737053.770004</v>
      </c>
      <c r="I393" s="201"/>
      <c r="J393" s="201"/>
      <c r="K393" s="201"/>
      <c r="L393" s="201"/>
      <c r="M393" s="201"/>
    </row>
    <row r="394" spans="1:13">
      <c r="A394" s="1340">
        <f t="shared" si="9"/>
        <v>2024.01</v>
      </c>
      <c r="B394" s="3233">
        <v>1609310134.6099999</v>
      </c>
      <c r="C394" s="3233">
        <v>99512914137.589996</v>
      </c>
      <c r="D394" s="3233">
        <v>48684.09</v>
      </c>
      <c r="E394" s="3233">
        <v>5506957926.8699999</v>
      </c>
      <c r="F394" s="3233">
        <v>3411549521.8699999</v>
      </c>
      <c r="G394" s="3233">
        <v>140530110.62</v>
      </c>
      <c r="H394" s="206">
        <f t="shared" si="8"/>
        <v>110181310515.64998</v>
      </c>
      <c r="I394" s="201"/>
      <c r="J394" s="201"/>
      <c r="K394" s="201"/>
      <c r="L394" s="201"/>
      <c r="M394" s="201"/>
    </row>
    <row r="395" spans="1:13">
      <c r="A395" s="1340">
        <f t="shared" si="9"/>
        <v>2024.02</v>
      </c>
      <c r="B395" s="3233">
        <v>14958557637.33</v>
      </c>
      <c r="C395" s="3233">
        <v>111233530360.8</v>
      </c>
      <c r="D395" s="3233">
        <v>210732.92</v>
      </c>
      <c r="E395" s="3233">
        <v>6887887894.6300001</v>
      </c>
      <c r="F395" s="3233">
        <v>18900546797.169998</v>
      </c>
      <c r="G395" s="3233">
        <v>193644324.69999999</v>
      </c>
      <c r="H395" s="206">
        <f t="shared" ref="H395:H396" si="10">_xlfn.AGGREGATE(9,6,B395:G395)</f>
        <v>152174377747.55002</v>
      </c>
      <c r="I395" s="201"/>
      <c r="J395" s="201"/>
      <c r="K395" s="201"/>
      <c r="L395" s="201"/>
      <c r="M395" s="201"/>
    </row>
    <row r="396" spans="1:13">
      <c r="A396" s="1340">
        <f t="shared" si="9"/>
        <v>2024.03</v>
      </c>
      <c r="B396" s="3233">
        <v>2426318039.8000002</v>
      </c>
      <c r="C396" s="3233">
        <v>119436259600.31</v>
      </c>
      <c r="D396" s="3233">
        <v>314167.56</v>
      </c>
      <c r="E396" s="3233">
        <v>7334383585.2200003</v>
      </c>
      <c r="F396" s="3233">
        <v>3208575960.1700001</v>
      </c>
      <c r="G396" s="3233">
        <v>169831794.97999999</v>
      </c>
      <c r="H396" s="206">
        <f t="shared" si="10"/>
        <v>132575683148.03999</v>
      </c>
      <c r="I396" s="201"/>
      <c r="J396" s="201"/>
      <c r="K396" s="201"/>
      <c r="L396" s="201"/>
      <c r="M396" s="201"/>
    </row>
    <row r="397" spans="1:13">
      <c r="A397" s="1340">
        <f t="shared" si="9"/>
        <v>2024.04</v>
      </c>
      <c r="B397" s="3233">
        <v>4997672761.79</v>
      </c>
      <c r="C397" s="3233">
        <v>125156705551.82001</v>
      </c>
      <c r="D397" s="3233">
        <v>26287.040000000001</v>
      </c>
      <c r="E397" s="3233">
        <v>6967566839.3800001</v>
      </c>
      <c r="F397" s="3233">
        <v>7148065719.0900002</v>
      </c>
      <c r="G397" s="3233">
        <v>178885849.30000001</v>
      </c>
      <c r="H397" s="206">
        <f t="shared" ref="H397:H402" si="11">_xlfn.AGGREGATE(9,6,B397:G397)</f>
        <v>144448923008.41998</v>
      </c>
      <c r="I397" s="201"/>
      <c r="J397" s="201"/>
      <c r="K397" s="201"/>
      <c r="L397" s="201"/>
      <c r="M397" s="201"/>
    </row>
    <row r="398" spans="1:13">
      <c r="A398" s="1340">
        <f t="shared" si="9"/>
        <v>2024.05</v>
      </c>
      <c r="B398" s="252">
        <v>3238700983.8299999</v>
      </c>
      <c r="C398" s="3233">
        <v>135405198959.27</v>
      </c>
      <c r="D398" s="169">
        <v>19291.48</v>
      </c>
      <c r="E398" s="3034">
        <v>9582336831.0699997</v>
      </c>
      <c r="F398" s="169">
        <v>3635040303.0100002</v>
      </c>
      <c r="G398" s="3034">
        <v>229886870.09</v>
      </c>
      <c r="H398" s="206">
        <f t="shared" si="11"/>
        <v>152091183238.75003</v>
      </c>
      <c r="I398" s="201"/>
      <c r="J398" s="201"/>
      <c r="K398" s="201"/>
      <c r="L398" s="201"/>
      <c r="M398" s="201"/>
    </row>
    <row r="399" spans="1:13">
      <c r="A399" s="1340">
        <f t="shared" si="9"/>
        <v>2024.06</v>
      </c>
      <c r="B399" s="252">
        <v>4903307753.4099998</v>
      </c>
      <c r="C399" s="3034">
        <v>145013278079.89999</v>
      </c>
      <c r="D399" s="169">
        <v>278631.44</v>
      </c>
      <c r="E399" s="3034">
        <v>10873657826.34</v>
      </c>
      <c r="F399" s="169">
        <v>7426133993.7399998</v>
      </c>
      <c r="G399" s="3034">
        <v>271984583.26999998</v>
      </c>
      <c r="H399" s="206">
        <f t="shared" si="11"/>
        <v>168488640868.09998</v>
      </c>
      <c r="I399" s="201"/>
      <c r="J399" s="201"/>
      <c r="K399" s="201"/>
      <c r="L399" s="201"/>
      <c r="M399" s="201"/>
    </row>
    <row r="400" spans="1:13">
      <c r="A400" s="1340">
        <f t="shared" si="9"/>
        <v>2024.07</v>
      </c>
      <c r="B400" s="252">
        <v>5990636739.5299997</v>
      </c>
      <c r="C400" s="3034">
        <v>140317404428.29001</v>
      </c>
      <c r="D400" s="169">
        <v>99886.35</v>
      </c>
      <c r="E400" s="3034">
        <v>11262749904.870001</v>
      </c>
      <c r="F400" s="169">
        <v>4916526010.3999996</v>
      </c>
      <c r="G400" s="3034">
        <v>279321155.22000003</v>
      </c>
      <c r="H400" s="206">
        <f t="shared" si="11"/>
        <v>162766738124.66</v>
      </c>
      <c r="I400" s="1321"/>
      <c r="J400" s="2510"/>
      <c r="K400" s="1321"/>
      <c r="L400" s="1321"/>
      <c r="M400" s="1321"/>
    </row>
    <row r="401" spans="1:16">
      <c r="A401" s="1340">
        <f t="shared" si="9"/>
        <v>2024.08</v>
      </c>
      <c r="B401" s="252">
        <v>9126641237.2000008</v>
      </c>
      <c r="C401" s="3034">
        <v>153495396459.13</v>
      </c>
      <c r="D401" s="169">
        <v>219794.5</v>
      </c>
      <c r="E401" s="3034">
        <v>14235401973.780001</v>
      </c>
      <c r="F401" s="169">
        <v>4374997377.2600002</v>
      </c>
      <c r="G401" s="3034">
        <v>325906162.79000002</v>
      </c>
      <c r="H401" s="206">
        <f t="shared" si="11"/>
        <v>181558563004.66003</v>
      </c>
      <c r="I401" s="1321"/>
      <c r="J401" s="2510"/>
      <c r="K401" s="1321"/>
      <c r="L401" s="1321"/>
      <c r="M401" s="1321"/>
      <c r="N401" s="201"/>
      <c r="O401" s="201"/>
      <c r="P401" s="201"/>
    </row>
    <row r="402" spans="1:16">
      <c r="A402" s="1340">
        <f t="shared" si="9"/>
        <v>2024.09</v>
      </c>
      <c r="B402" s="252">
        <v>7268452901.0699997</v>
      </c>
      <c r="C402" s="3034">
        <v>154247819298.48999</v>
      </c>
      <c r="D402" s="169">
        <v>48706.39</v>
      </c>
      <c r="E402" s="3034">
        <v>13236057207.23</v>
      </c>
      <c r="F402" s="169">
        <v>12418220036.360001</v>
      </c>
      <c r="G402" s="3034">
        <v>472005661.52999997</v>
      </c>
      <c r="H402" s="206">
        <f t="shared" si="11"/>
        <v>187642603811.07004</v>
      </c>
      <c r="I402" s="1321"/>
      <c r="J402" s="2510"/>
      <c r="K402" s="201"/>
      <c r="L402" s="201"/>
      <c r="M402" s="201"/>
      <c r="N402" s="201"/>
      <c r="O402" s="201"/>
      <c r="P402" s="201"/>
    </row>
    <row r="403" spans="1:16">
      <c r="A403" s="1340">
        <f t="shared" ref="A403:A466" si="12">A391+1</f>
        <v>2024.1</v>
      </c>
      <c r="B403" s="252">
        <v>9995643794.9699993</v>
      </c>
      <c r="C403" s="3034">
        <v>153021764050.29999</v>
      </c>
      <c r="D403" s="169">
        <v>87631.13</v>
      </c>
      <c r="E403" s="3034">
        <v>14719906737.459999</v>
      </c>
      <c r="F403" s="169">
        <v>5517781625.0900002</v>
      </c>
      <c r="G403" s="3034">
        <v>394565655.62</v>
      </c>
      <c r="H403" s="206">
        <f>_xlfn.AGGREGATE(9,6,B403:G403)</f>
        <v>183649749494.56998</v>
      </c>
      <c r="I403" s="201"/>
      <c r="J403" s="201"/>
      <c r="K403" s="201"/>
      <c r="L403" s="201"/>
      <c r="M403" s="201"/>
      <c r="N403" s="201"/>
      <c r="O403" s="201"/>
      <c r="P403" s="201"/>
    </row>
    <row r="404" spans="1:16">
      <c r="A404" s="1340">
        <f t="shared" si="12"/>
        <v>2024.11</v>
      </c>
      <c r="B404" s="252">
        <v>4317023383.1800003</v>
      </c>
      <c r="C404" s="3034">
        <v>167113826170.70999</v>
      </c>
      <c r="D404" s="169">
        <v>153733.23000000001</v>
      </c>
      <c r="E404" s="3034">
        <v>14982347123.91</v>
      </c>
      <c r="F404" s="169">
        <v>12835053201.52</v>
      </c>
      <c r="G404" s="3034">
        <v>422302477.49000001</v>
      </c>
      <c r="H404" s="206">
        <f>_xlfn.AGGREGATE(9,6,B404:G404)</f>
        <v>199670706090.03998</v>
      </c>
      <c r="I404" s="10"/>
      <c r="J404" s="10"/>
      <c r="K404" s="10"/>
      <c r="L404" s="10"/>
      <c r="M404" s="201"/>
      <c r="N404" s="201"/>
      <c r="O404" s="201"/>
      <c r="P404" s="201"/>
    </row>
    <row r="405" spans="1:16">
      <c r="A405" s="1340">
        <f t="shared" si="12"/>
        <v>2024.12</v>
      </c>
      <c r="B405" s="252">
        <v>7018229313.4899998</v>
      </c>
      <c r="C405" s="3034">
        <v>163536729679.19</v>
      </c>
      <c r="D405" s="169">
        <v>95965.440000000002</v>
      </c>
      <c r="E405" s="3034">
        <v>15187415682.27</v>
      </c>
      <c r="F405" s="169">
        <v>11660701040.58</v>
      </c>
      <c r="G405" s="3034">
        <v>469875061.23000002</v>
      </c>
      <c r="H405" s="206">
        <f>_xlfn.AGGREGATE(9,6,B405:G405)</f>
        <v>197873046742.19998</v>
      </c>
      <c r="I405" s="201"/>
      <c r="J405" s="201"/>
      <c r="K405" s="201"/>
      <c r="L405" s="201"/>
      <c r="M405" s="201"/>
      <c r="N405" s="201"/>
      <c r="O405" s="201"/>
      <c r="P405" s="201"/>
    </row>
    <row r="406" spans="1:16">
      <c r="A406" s="1340">
        <f t="shared" si="12"/>
        <v>2025.01</v>
      </c>
      <c r="B406" s="252">
        <v>3751677302.9899998</v>
      </c>
      <c r="C406" s="3034">
        <v>177790282219.42001</v>
      </c>
      <c r="D406" s="169">
        <v>13958.27</v>
      </c>
      <c r="E406" s="3034">
        <v>17567158165.220001</v>
      </c>
      <c r="F406" s="169">
        <v>9085321488.5400009</v>
      </c>
      <c r="G406" s="3034">
        <v>600503219.45000005</v>
      </c>
      <c r="H406" s="206">
        <f>_xlfn.AGGREGATE(9,6,B406:G406)</f>
        <v>208794956353.89001</v>
      </c>
      <c r="I406" s="201"/>
      <c r="J406" s="201"/>
      <c r="K406" s="201"/>
      <c r="L406" s="201"/>
      <c r="M406" s="201"/>
      <c r="N406" s="201"/>
      <c r="O406" s="201"/>
      <c r="P406" s="201"/>
    </row>
    <row r="407" spans="1:16">
      <c r="A407" s="1340">
        <f t="shared" si="12"/>
        <v>2025.02</v>
      </c>
      <c r="B407" s="252">
        <v>53330190699.300003</v>
      </c>
      <c r="C407" s="3034">
        <v>182533409209.57001</v>
      </c>
      <c r="D407" s="169">
        <v>17216.599999999999</v>
      </c>
      <c r="E407" s="3034">
        <v>16745597065.620001</v>
      </c>
      <c r="F407" s="169">
        <v>54541943170.080002</v>
      </c>
      <c r="G407" s="3034">
        <v>594978982.45000005</v>
      </c>
      <c r="H407" s="206">
        <f>_xlfn.AGGREGATE(9,6,B407:G407)</f>
        <v>307746136343.62</v>
      </c>
      <c r="I407" s="201"/>
      <c r="J407" s="201"/>
      <c r="K407" s="201"/>
      <c r="L407" s="201"/>
      <c r="M407" s="201"/>
      <c r="N407" s="201"/>
      <c r="O407" s="201"/>
      <c r="P407" s="201"/>
    </row>
    <row r="408" spans="1:16">
      <c r="A408" s="1340">
        <f t="shared" si="12"/>
        <v>2025.03</v>
      </c>
      <c r="B408" s="2657">
        <v>8063270000</v>
      </c>
      <c r="C408" s="3234">
        <v>160059530000</v>
      </c>
      <c r="D408" s="1419" t="e">
        <v>#N/A</v>
      </c>
      <c r="E408" s="3234">
        <v>16424110000</v>
      </c>
      <c r="F408" s="1419" t="e">
        <v>#N/A</v>
      </c>
      <c r="G408" s="3234">
        <v>574380000</v>
      </c>
      <c r="H408" s="2658">
        <f>185401.09*1000000-279.8*1000000+279.8*100/5*1000000</f>
        <v>190717290000</v>
      </c>
      <c r="I408" s="201"/>
      <c r="J408" s="201"/>
      <c r="K408" s="201"/>
      <c r="L408" s="201"/>
      <c r="M408" s="201"/>
      <c r="N408" s="201"/>
      <c r="O408" s="201"/>
      <c r="P408" s="201"/>
    </row>
    <row r="409" spans="1:16">
      <c r="A409" s="1340">
        <f t="shared" si="12"/>
        <v>2025.04</v>
      </c>
      <c r="B409" s="252" t="e">
        <v>#N/A</v>
      </c>
      <c r="C409" s="3034" t="e">
        <v>#N/A</v>
      </c>
      <c r="D409" s="169" t="e">
        <v>#N/A</v>
      </c>
      <c r="E409" s="3034" t="e">
        <v>#N/A</v>
      </c>
      <c r="F409" s="169" t="e">
        <v>#N/A</v>
      </c>
      <c r="G409" s="3034" t="e">
        <v>#N/A</v>
      </c>
      <c r="H409" s="380" t="e">
        <v>#N/A</v>
      </c>
      <c r="I409" s="201"/>
      <c r="J409" s="201"/>
      <c r="K409" s="201"/>
      <c r="L409" s="201"/>
      <c r="M409" s="201"/>
      <c r="N409" s="201"/>
      <c r="O409" s="201"/>
      <c r="P409" s="201"/>
    </row>
    <row r="410" spans="1:16">
      <c r="A410" s="1340">
        <f t="shared" si="12"/>
        <v>2025.05</v>
      </c>
      <c r="B410" s="252" t="e">
        <v>#N/A</v>
      </c>
      <c r="C410" s="3034" t="e">
        <v>#N/A</v>
      </c>
      <c r="D410" s="169" t="e">
        <v>#N/A</v>
      </c>
      <c r="E410" s="3034" t="e">
        <v>#N/A</v>
      </c>
      <c r="F410" s="169" t="e">
        <v>#N/A</v>
      </c>
      <c r="G410" s="3034" t="e">
        <v>#N/A</v>
      </c>
      <c r="H410" s="380" t="e">
        <v>#N/A</v>
      </c>
      <c r="I410" s="201"/>
      <c r="J410" s="201"/>
      <c r="K410" s="201"/>
      <c r="L410" s="201"/>
      <c r="M410" s="201"/>
      <c r="N410" s="201"/>
      <c r="O410" s="201"/>
      <c r="P410" s="201"/>
    </row>
    <row r="411" spans="1:16">
      <c r="A411" s="1340">
        <f t="shared" si="12"/>
        <v>2025.06</v>
      </c>
      <c r="B411" s="252" t="e">
        <v>#N/A</v>
      </c>
      <c r="C411" s="3034" t="e">
        <v>#N/A</v>
      </c>
      <c r="D411" s="169" t="e">
        <v>#N/A</v>
      </c>
      <c r="E411" s="3034" t="e">
        <v>#N/A</v>
      </c>
      <c r="F411" s="169" t="e">
        <v>#N/A</v>
      </c>
      <c r="G411" s="3034" t="e">
        <v>#N/A</v>
      </c>
      <c r="H411" s="380" t="e">
        <v>#N/A</v>
      </c>
      <c r="I411" s="201"/>
      <c r="J411" s="201"/>
      <c r="K411" s="201"/>
      <c r="L411" s="201"/>
      <c r="M411" s="201"/>
      <c r="N411" s="201"/>
      <c r="O411" s="201"/>
      <c r="P411" s="201"/>
    </row>
    <row r="412" spans="1:16">
      <c r="A412" s="1340">
        <f t="shared" si="12"/>
        <v>2025.07</v>
      </c>
      <c r="B412" s="252" t="e">
        <v>#N/A</v>
      </c>
      <c r="C412" s="3034" t="e">
        <v>#N/A</v>
      </c>
      <c r="D412" s="169" t="e">
        <v>#N/A</v>
      </c>
      <c r="E412" s="3034" t="e">
        <v>#N/A</v>
      </c>
      <c r="F412" s="169" t="e">
        <v>#N/A</v>
      </c>
      <c r="G412" s="3034" t="e">
        <v>#N/A</v>
      </c>
      <c r="H412" s="380" t="e">
        <v>#N/A</v>
      </c>
      <c r="I412" s="201"/>
      <c r="J412" s="201"/>
      <c r="K412" s="201"/>
      <c r="L412" s="201"/>
      <c r="M412" s="201"/>
      <c r="N412" s="201"/>
      <c r="O412" s="201"/>
      <c r="P412" s="201"/>
    </row>
    <row r="413" spans="1:16">
      <c r="A413" s="1340">
        <f t="shared" si="12"/>
        <v>2025.08</v>
      </c>
      <c r="B413" s="252" t="e">
        <v>#N/A</v>
      </c>
      <c r="C413" s="3034" t="e">
        <v>#N/A</v>
      </c>
      <c r="D413" s="169" t="e">
        <v>#N/A</v>
      </c>
      <c r="E413" s="3034" t="e">
        <v>#N/A</v>
      </c>
      <c r="F413" s="169" t="e">
        <v>#N/A</v>
      </c>
      <c r="G413" s="3034" t="e">
        <v>#N/A</v>
      </c>
      <c r="H413" s="380" t="e">
        <v>#N/A</v>
      </c>
      <c r="I413" s="201"/>
      <c r="J413" s="201"/>
      <c r="K413" s="201"/>
      <c r="L413" s="201"/>
      <c r="M413" s="201"/>
      <c r="N413" s="201"/>
      <c r="O413" s="201"/>
      <c r="P413" s="201"/>
    </row>
    <row r="414" spans="1:16">
      <c r="A414" s="1340">
        <f t="shared" si="12"/>
        <v>2025.09</v>
      </c>
      <c r="B414" s="252" t="e">
        <v>#N/A</v>
      </c>
      <c r="C414" s="3034" t="e">
        <v>#N/A</v>
      </c>
      <c r="D414" s="169" t="e">
        <v>#N/A</v>
      </c>
      <c r="E414" s="3034" t="e">
        <v>#N/A</v>
      </c>
      <c r="F414" s="169" t="e">
        <v>#N/A</v>
      </c>
      <c r="G414" s="3034" t="e">
        <v>#N/A</v>
      </c>
      <c r="H414" s="380" t="e">
        <v>#N/A</v>
      </c>
      <c r="I414" s="201"/>
      <c r="J414" s="201"/>
      <c r="K414" s="201"/>
      <c r="L414" s="201"/>
      <c r="M414" s="201"/>
      <c r="N414" s="201"/>
      <c r="O414" s="201"/>
      <c r="P414" s="201"/>
    </row>
    <row r="415" spans="1:16">
      <c r="A415" s="1340">
        <f t="shared" si="12"/>
        <v>2025.1</v>
      </c>
      <c r="B415" s="252" t="e">
        <v>#N/A</v>
      </c>
      <c r="C415" s="3034" t="e">
        <v>#N/A</v>
      </c>
      <c r="D415" s="169" t="e">
        <v>#N/A</v>
      </c>
      <c r="E415" s="3034" t="e">
        <v>#N/A</v>
      </c>
      <c r="F415" s="169" t="e">
        <v>#N/A</v>
      </c>
      <c r="G415" s="3034" t="e">
        <v>#N/A</v>
      </c>
      <c r="H415" s="380" t="e">
        <v>#N/A</v>
      </c>
      <c r="I415" s="201"/>
      <c r="J415" s="201"/>
      <c r="K415" s="201"/>
      <c r="L415" s="201"/>
      <c r="M415" s="201"/>
      <c r="N415" s="201"/>
      <c r="O415" s="201"/>
      <c r="P415" s="201"/>
    </row>
    <row r="416" spans="1:16">
      <c r="A416" s="1340">
        <f t="shared" si="12"/>
        <v>2025.11</v>
      </c>
      <c r="B416" s="252" t="e">
        <v>#N/A</v>
      </c>
      <c r="C416" s="3034" t="e">
        <v>#N/A</v>
      </c>
      <c r="D416" s="169" t="e">
        <v>#N/A</v>
      </c>
      <c r="E416" s="3034" t="e">
        <v>#N/A</v>
      </c>
      <c r="F416" s="169" t="e">
        <v>#N/A</v>
      </c>
      <c r="G416" s="3034" t="e">
        <v>#N/A</v>
      </c>
      <c r="H416" s="380" t="e">
        <v>#N/A</v>
      </c>
      <c r="I416" s="201"/>
      <c r="J416" s="201"/>
      <c r="K416" s="201"/>
      <c r="L416" s="201"/>
      <c r="M416" s="201"/>
      <c r="N416" s="201"/>
      <c r="O416" s="201"/>
      <c r="P416" s="201"/>
    </row>
    <row r="417" spans="1:8">
      <c r="A417" s="1340">
        <f t="shared" si="12"/>
        <v>2025.12</v>
      </c>
      <c r="B417" s="252" t="e">
        <v>#N/A</v>
      </c>
      <c r="C417" s="3034" t="e">
        <v>#N/A</v>
      </c>
      <c r="D417" s="169" t="e">
        <v>#N/A</v>
      </c>
      <c r="E417" s="3034" t="e">
        <v>#N/A</v>
      </c>
      <c r="F417" s="169" t="e">
        <v>#N/A</v>
      </c>
      <c r="G417" s="3034" t="e">
        <v>#N/A</v>
      </c>
      <c r="H417" s="380" t="e">
        <v>#N/A</v>
      </c>
    </row>
    <row r="418" spans="1:8">
      <c r="A418" s="1340">
        <f t="shared" si="12"/>
        <v>2026.01</v>
      </c>
      <c r="B418" s="252" t="e">
        <v>#N/A</v>
      </c>
      <c r="C418" s="3034" t="e">
        <v>#N/A</v>
      </c>
      <c r="D418" s="169" t="e">
        <v>#N/A</v>
      </c>
      <c r="E418" s="3034" t="e">
        <v>#N/A</v>
      </c>
      <c r="F418" s="169" t="e">
        <v>#N/A</v>
      </c>
      <c r="G418" s="3034" t="e">
        <v>#N/A</v>
      </c>
      <c r="H418" s="380" t="e">
        <v>#N/A</v>
      </c>
    </row>
    <row r="419" spans="1:8">
      <c r="A419" s="1340">
        <f t="shared" si="12"/>
        <v>2026.02</v>
      </c>
      <c r="B419" s="252" t="e">
        <v>#N/A</v>
      </c>
      <c r="C419" s="3034" t="e">
        <v>#N/A</v>
      </c>
      <c r="D419" s="169" t="e">
        <v>#N/A</v>
      </c>
      <c r="E419" s="3034" t="e">
        <v>#N/A</v>
      </c>
      <c r="F419" s="169" t="e">
        <v>#N/A</v>
      </c>
      <c r="G419" s="3034" t="e">
        <v>#N/A</v>
      </c>
      <c r="H419" s="380" t="e">
        <v>#N/A</v>
      </c>
    </row>
    <row r="420" spans="1:8">
      <c r="A420" s="1340">
        <f t="shared" si="12"/>
        <v>2026.03</v>
      </c>
      <c r="B420" s="252" t="e">
        <v>#N/A</v>
      </c>
      <c r="C420" s="3034" t="e">
        <v>#N/A</v>
      </c>
      <c r="D420" s="169" t="e">
        <v>#N/A</v>
      </c>
      <c r="E420" s="3034" t="e">
        <v>#N/A</v>
      </c>
      <c r="F420" s="169" t="e">
        <v>#N/A</v>
      </c>
      <c r="G420" s="3034" t="e">
        <v>#N/A</v>
      </c>
      <c r="H420" s="380" t="e">
        <v>#N/A</v>
      </c>
    </row>
    <row r="421" spans="1:8">
      <c r="A421" s="1340">
        <f t="shared" si="12"/>
        <v>2026.04</v>
      </c>
      <c r="B421" s="252" t="e">
        <v>#N/A</v>
      </c>
      <c r="C421" s="3034" t="e">
        <v>#N/A</v>
      </c>
      <c r="D421" s="169" t="e">
        <v>#N/A</v>
      </c>
      <c r="E421" s="3034" t="e">
        <v>#N/A</v>
      </c>
      <c r="F421" s="169" t="e">
        <v>#N/A</v>
      </c>
      <c r="G421" s="3034" t="e">
        <v>#N/A</v>
      </c>
      <c r="H421" s="380" t="e">
        <v>#N/A</v>
      </c>
    </row>
    <row r="422" spans="1:8">
      <c r="A422" s="1340">
        <f t="shared" si="12"/>
        <v>2026.05</v>
      </c>
      <c r="B422" s="252" t="e">
        <v>#N/A</v>
      </c>
      <c r="C422" s="3034" t="e">
        <v>#N/A</v>
      </c>
      <c r="D422" s="169" t="e">
        <v>#N/A</v>
      </c>
      <c r="E422" s="3034" t="e">
        <v>#N/A</v>
      </c>
      <c r="F422" s="169" t="e">
        <v>#N/A</v>
      </c>
      <c r="G422" s="3034" t="e">
        <v>#N/A</v>
      </c>
      <c r="H422" s="380" t="e">
        <v>#N/A</v>
      </c>
    </row>
    <row r="423" spans="1:8">
      <c r="A423" s="1340">
        <f t="shared" si="12"/>
        <v>2026.06</v>
      </c>
      <c r="B423" s="252" t="e">
        <v>#N/A</v>
      </c>
      <c r="C423" s="3034" t="e">
        <v>#N/A</v>
      </c>
      <c r="D423" s="169" t="e">
        <v>#N/A</v>
      </c>
      <c r="E423" s="3034" t="e">
        <v>#N/A</v>
      </c>
      <c r="F423" s="169" t="e">
        <v>#N/A</v>
      </c>
      <c r="G423" s="3034" t="e">
        <v>#N/A</v>
      </c>
      <c r="H423" s="380" t="e">
        <v>#N/A</v>
      </c>
    </row>
    <row r="424" spans="1:8">
      <c r="A424" s="1340">
        <f t="shared" si="12"/>
        <v>2026.07</v>
      </c>
      <c r="B424" s="252" t="e">
        <v>#N/A</v>
      </c>
      <c r="C424" s="3034" t="e">
        <v>#N/A</v>
      </c>
      <c r="D424" s="169" t="e">
        <v>#N/A</v>
      </c>
      <c r="E424" s="3034" t="e">
        <v>#N/A</v>
      </c>
      <c r="F424" s="169" t="e">
        <v>#N/A</v>
      </c>
      <c r="G424" s="3034" t="e">
        <v>#N/A</v>
      </c>
      <c r="H424" s="380" t="e">
        <v>#N/A</v>
      </c>
    </row>
    <row r="425" spans="1:8">
      <c r="A425" s="1340">
        <f t="shared" si="12"/>
        <v>2026.08</v>
      </c>
      <c r="B425" s="252" t="e">
        <v>#N/A</v>
      </c>
      <c r="C425" s="3034" t="e">
        <v>#N/A</v>
      </c>
      <c r="D425" s="169" t="e">
        <v>#N/A</v>
      </c>
      <c r="E425" s="3034" t="e">
        <v>#N/A</v>
      </c>
      <c r="F425" s="169" t="e">
        <v>#N/A</v>
      </c>
      <c r="G425" s="3034" t="e">
        <v>#N/A</v>
      </c>
      <c r="H425" s="380" t="e">
        <v>#N/A</v>
      </c>
    </row>
    <row r="426" spans="1:8">
      <c r="A426" s="1340">
        <f t="shared" si="12"/>
        <v>2026.09</v>
      </c>
      <c r="B426" s="252" t="e">
        <v>#N/A</v>
      </c>
      <c r="C426" s="3034" t="e">
        <v>#N/A</v>
      </c>
      <c r="D426" s="169" t="e">
        <v>#N/A</v>
      </c>
      <c r="E426" s="3034" t="e">
        <v>#N/A</v>
      </c>
      <c r="F426" s="169" t="e">
        <v>#N/A</v>
      </c>
      <c r="G426" s="3034" t="e">
        <v>#N/A</v>
      </c>
      <c r="H426" s="380" t="e">
        <v>#N/A</v>
      </c>
    </row>
    <row r="427" spans="1:8">
      <c r="A427" s="1340">
        <f t="shared" si="12"/>
        <v>2026.1</v>
      </c>
      <c r="B427" s="252" t="e">
        <v>#N/A</v>
      </c>
      <c r="C427" s="3034" t="e">
        <v>#N/A</v>
      </c>
      <c r="D427" s="169" t="e">
        <v>#N/A</v>
      </c>
      <c r="E427" s="3034" t="e">
        <v>#N/A</v>
      </c>
      <c r="F427" s="169" t="e">
        <v>#N/A</v>
      </c>
      <c r="G427" s="3034" t="e">
        <v>#N/A</v>
      </c>
      <c r="H427" s="380" t="e">
        <v>#N/A</v>
      </c>
    </row>
    <row r="428" spans="1:8">
      <c r="A428" s="1340">
        <f t="shared" si="12"/>
        <v>2026.11</v>
      </c>
      <c r="B428" s="252" t="e">
        <v>#N/A</v>
      </c>
      <c r="C428" s="3034" t="e">
        <v>#N/A</v>
      </c>
      <c r="D428" s="169" t="e">
        <v>#N/A</v>
      </c>
      <c r="E428" s="3034" t="e">
        <v>#N/A</v>
      </c>
      <c r="F428" s="169" t="e">
        <v>#N/A</v>
      </c>
      <c r="G428" s="3034" t="e">
        <v>#N/A</v>
      </c>
      <c r="H428" s="380" t="e">
        <v>#N/A</v>
      </c>
    </row>
    <row r="429" spans="1:8">
      <c r="A429" s="1340">
        <f t="shared" si="12"/>
        <v>2026.12</v>
      </c>
      <c r="B429" s="252" t="e">
        <v>#N/A</v>
      </c>
      <c r="C429" s="3034" t="e">
        <v>#N/A</v>
      </c>
      <c r="D429" s="169" t="e">
        <v>#N/A</v>
      </c>
      <c r="E429" s="3034" t="e">
        <v>#N/A</v>
      </c>
      <c r="F429" s="169" t="e">
        <v>#N/A</v>
      </c>
      <c r="G429" s="3034" t="e">
        <v>#N/A</v>
      </c>
      <c r="H429" s="380" t="e">
        <v>#N/A</v>
      </c>
    </row>
    <row r="430" spans="1:8">
      <c r="A430" s="1340">
        <f t="shared" si="12"/>
        <v>2027.01</v>
      </c>
      <c r="B430" s="252" t="e">
        <v>#N/A</v>
      </c>
      <c r="C430" s="3034" t="e">
        <v>#N/A</v>
      </c>
      <c r="D430" s="169" t="e">
        <v>#N/A</v>
      </c>
      <c r="E430" s="3034" t="e">
        <v>#N/A</v>
      </c>
      <c r="F430" s="169" t="e">
        <v>#N/A</v>
      </c>
      <c r="G430" s="3034" t="e">
        <v>#N/A</v>
      </c>
      <c r="H430" s="380" t="e">
        <v>#N/A</v>
      </c>
    </row>
    <row r="431" spans="1:8">
      <c r="A431" s="1340">
        <f t="shared" si="12"/>
        <v>2027.02</v>
      </c>
      <c r="B431" s="252" t="e">
        <v>#N/A</v>
      </c>
      <c r="C431" s="3034" t="e">
        <v>#N/A</v>
      </c>
      <c r="D431" s="169" t="e">
        <v>#N/A</v>
      </c>
      <c r="E431" s="3034" t="e">
        <v>#N/A</v>
      </c>
      <c r="F431" s="169" t="e">
        <v>#N/A</v>
      </c>
      <c r="G431" s="3034" t="e">
        <v>#N/A</v>
      </c>
      <c r="H431" s="380" t="e">
        <v>#N/A</v>
      </c>
    </row>
    <row r="432" spans="1:8">
      <c r="A432" s="1340">
        <f t="shared" si="12"/>
        <v>2027.03</v>
      </c>
      <c r="B432" s="252" t="e">
        <v>#N/A</v>
      </c>
      <c r="C432" s="3034" t="e">
        <v>#N/A</v>
      </c>
      <c r="D432" s="169" t="e">
        <v>#N/A</v>
      </c>
      <c r="E432" s="3034" t="e">
        <v>#N/A</v>
      </c>
      <c r="F432" s="169" t="e">
        <v>#N/A</v>
      </c>
      <c r="G432" s="3034" t="e">
        <v>#N/A</v>
      </c>
      <c r="H432" s="380" t="e">
        <v>#N/A</v>
      </c>
    </row>
    <row r="433" spans="1:8">
      <c r="A433" s="1340">
        <f t="shared" si="12"/>
        <v>2027.04</v>
      </c>
      <c r="B433" s="252" t="e">
        <v>#N/A</v>
      </c>
      <c r="C433" s="3034" t="e">
        <v>#N/A</v>
      </c>
      <c r="D433" s="169" t="e">
        <v>#N/A</v>
      </c>
      <c r="E433" s="3034" t="e">
        <v>#N/A</v>
      </c>
      <c r="F433" s="169" t="e">
        <v>#N/A</v>
      </c>
      <c r="G433" s="3034" t="e">
        <v>#N/A</v>
      </c>
      <c r="H433" s="380" t="e">
        <v>#N/A</v>
      </c>
    </row>
    <row r="434" spans="1:8">
      <c r="A434" s="1340">
        <f t="shared" si="12"/>
        <v>2027.05</v>
      </c>
      <c r="B434" s="252" t="e">
        <v>#N/A</v>
      </c>
      <c r="C434" s="3034" t="e">
        <v>#N/A</v>
      </c>
      <c r="D434" s="169" t="e">
        <v>#N/A</v>
      </c>
      <c r="E434" s="3034" t="e">
        <v>#N/A</v>
      </c>
      <c r="F434" s="169" t="e">
        <v>#N/A</v>
      </c>
      <c r="G434" s="3034" t="e">
        <v>#N/A</v>
      </c>
      <c r="H434" s="380" t="e">
        <v>#N/A</v>
      </c>
    </row>
    <row r="435" spans="1:8">
      <c r="A435" s="1340">
        <f t="shared" si="12"/>
        <v>2027.06</v>
      </c>
      <c r="B435" s="252" t="e">
        <v>#N/A</v>
      </c>
      <c r="C435" s="3034" t="e">
        <v>#N/A</v>
      </c>
      <c r="D435" s="169" t="e">
        <v>#N/A</v>
      </c>
      <c r="E435" s="3034" t="e">
        <v>#N/A</v>
      </c>
      <c r="F435" s="169" t="e">
        <v>#N/A</v>
      </c>
      <c r="G435" s="3034" t="e">
        <v>#N/A</v>
      </c>
      <c r="H435" s="380" t="e">
        <v>#N/A</v>
      </c>
    </row>
    <row r="436" spans="1:8">
      <c r="A436" s="1340">
        <f t="shared" si="12"/>
        <v>2027.07</v>
      </c>
      <c r="B436" s="252" t="e">
        <v>#N/A</v>
      </c>
      <c r="C436" s="3034" t="e">
        <v>#N/A</v>
      </c>
      <c r="D436" s="169" t="e">
        <v>#N/A</v>
      </c>
      <c r="E436" s="3034" t="e">
        <v>#N/A</v>
      </c>
      <c r="F436" s="169" t="e">
        <v>#N/A</v>
      </c>
      <c r="G436" s="3034" t="e">
        <v>#N/A</v>
      </c>
      <c r="H436" s="380" t="e">
        <v>#N/A</v>
      </c>
    </row>
    <row r="437" spans="1:8">
      <c r="A437" s="1340">
        <f t="shared" si="12"/>
        <v>2027.08</v>
      </c>
      <c r="B437" s="252" t="e">
        <v>#N/A</v>
      </c>
      <c r="C437" s="3034" t="e">
        <v>#N/A</v>
      </c>
      <c r="D437" s="169" t="e">
        <v>#N/A</v>
      </c>
      <c r="E437" s="3034" t="e">
        <v>#N/A</v>
      </c>
      <c r="F437" s="169" t="e">
        <v>#N/A</v>
      </c>
      <c r="G437" s="3034" t="e">
        <v>#N/A</v>
      </c>
      <c r="H437" s="380" t="e">
        <v>#N/A</v>
      </c>
    </row>
    <row r="438" spans="1:8">
      <c r="A438" s="1340">
        <f t="shared" si="12"/>
        <v>2027.09</v>
      </c>
      <c r="B438" s="252" t="e">
        <v>#N/A</v>
      </c>
      <c r="C438" s="3034" t="e">
        <v>#N/A</v>
      </c>
      <c r="D438" s="169" t="e">
        <v>#N/A</v>
      </c>
      <c r="E438" s="3034" t="e">
        <v>#N/A</v>
      </c>
      <c r="F438" s="169" t="e">
        <v>#N/A</v>
      </c>
      <c r="G438" s="3034" t="e">
        <v>#N/A</v>
      </c>
      <c r="H438" s="380" t="e">
        <v>#N/A</v>
      </c>
    </row>
    <row r="439" spans="1:8">
      <c r="A439" s="1340">
        <f t="shared" si="12"/>
        <v>2027.1</v>
      </c>
      <c r="B439" s="252" t="e">
        <v>#N/A</v>
      </c>
      <c r="C439" s="3034" t="e">
        <v>#N/A</v>
      </c>
      <c r="D439" s="169" t="e">
        <v>#N/A</v>
      </c>
      <c r="E439" s="3034" t="e">
        <v>#N/A</v>
      </c>
      <c r="F439" s="169" t="e">
        <v>#N/A</v>
      </c>
      <c r="G439" s="3034" t="e">
        <v>#N/A</v>
      </c>
      <c r="H439" s="380" t="e">
        <v>#N/A</v>
      </c>
    </row>
    <row r="440" spans="1:8">
      <c r="A440" s="1340">
        <f t="shared" si="12"/>
        <v>2027.11</v>
      </c>
      <c r="B440" s="252" t="e">
        <v>#N/A</v>
      </c>
      <c r="C440" s="3034" t="e">
        <v>#N/A</v>
      </c>
      <c r="D440" s="169" t="e">
        <v>#N/A</v>
      </c>
      <c r="E440" s="3034" t="e">
        <v>#N/A</v>
      </c>
      <c r="F440" s="169" t="e">
        <v>#N/A</v>
      </c>
      <c r="G440" s="3034" t="e">
        <v>#N/A</v>
      </c>
      <c r="H440" s="380" t="e">
        <v>#N/A</v>
      </c>
    </row>
    <row r="441" spans="1:8">
      <c r="A441" s="1340">
        <f t="shared" si="12"/>
        <v>2027.12</v>
      </c>
      <c r="B441" s="252" t="e">
        <v>#N/A</v>
      </c>
      <c r="C441" s="3034" t="e">
        <v>#N/A</v>
      </c>
      <c r="D441" s="169" t="e">
        <v>#N/A</v>
      </c>
      <c r="E441" s="3034" t="e">
        <v>#N/A</v>
      </c>
      <c r="F441" s="169" t="e">
        <v>#N/A</v>
      </c>
      <c r="G441" s="3034" t="e">
        <v>#N/A</v>
      </c>
      <c r="H441" s="380" t="e">
        <v>#N/A</v>
      </c>
    </row>
    <row r="442" spans="1:8">
      <c r="A442" s="1340">
        <f t="shared" si="12"/>
        <v>2028.01</v>
      </c>
      <c r="B442" s="252" t="e">
        <v>#N/A</v>
      </c>
      <c r="C442" s="3034" t="e">
        <v>#N/A</v>
      </c>
      <c r="D442" s="169" t="e">
        <v>#N/A</v>
      </c>
      <c r="E442" s="3034" t="e">
        <v>#N/A</v>
      </c>
      <c r="F442" s="169" t="e">
        <v>#N/A</v>
      </c>
      <c r="G442" s="3034" t="e">
        <v>#N/A</v>
      </c>
      <c r="H442" s="380" t="e">
        <v>#N/A</v>
      </c>
    </row>
    <row r="443" spans="1:8">
      <c r="A443" s="1340">
        <f t="shared" si="12"/>
        <v>2028.02</v>
      </c>
      <c r="B443" s="252" t="e">
        <v>#N/A</v>
      </c>
      <c r="C443" s="3034" t="e">
        <v>#N/A</v>
      </c>
      <c r="D443" s="169" t="e">
        <v>#N/A</v>
      </c>
      <c r="E443" s="3034" t="e">
        <v>#N/A</v>
      </c>
      <c r="F443" s="169" t="e">
        <v>#N/A</v>
      </c>
      <c r="G443" s="3034" t="e">
        <v>#N/A</v>
      </c>
      <c r="H443" s="380" t="e">
        <v>#N/A</v>
      </c>
    </row>
    <row r="444" spans="1:8">
      <c r="A444" s="1340">
        <f t="shared" si="12"/>
        <v>2028.03</v>
      </c>
      <c r="B444" s="252" t="e">
        <v>#N/A</v>
      </c>
      <c r="C444" s="3034" t="e">
        <v>#N/A</v>
      </c>
      <c r="D444" s="169" t="e">
        <v>#N/A</v>
      </c>
      <c r="E444" s="3034" t="e">
        <v>#N/A</v>
      </c>
      <c r="F444" s="169" t="e">
        <v>#N/A</v>
      </c>
      <c r="G444" s="3034" t="e">
        <v>#N/A</v>
      </c>
      <c r="H444" s="380" t="e">
        <v>#N/A</v>
      </c>
    </row>
    <row r="445" spans="1:8">
      <c r="A445" s="1340">
        <f t="shared" si="12"/>
        <v>2028.04</v>
      </c>
      <c r="B445" s="252" t="e">
        <v>#N/A</v>
      </c>
      <c r="C445" s="3034" t="e">
        <v>#N/A</v>
      </c>
      <c r="D445" s="169" t="e">
        <v>#N/A</v>
      </c>
      <c r="E445" s="3034" t="e">
        <v>#N/A</v>
      </c>
      <c r="F445" s="169" t="e">
        <v>#N/A</v>
      </c>
      <c r="G445" s="3034" t="e">
        <v>#N/A</v>
      </c>
      <c r="H445" s="380" t="e">
        <v>#N/A</v>
      </c>
    </row>
    <row r="446" spans="1:8">
      <c r="A446" s="1340">
        <f t="shared" si="12"/>
        <v>2028.05</v>
      </c>
      <c r="B446" s="252" t="e">
        <v>#N/A</v>
      </c>
      <c r="C446" s="3034" t="e">
        <v>#N/A</v>
      </c>
      <c r="D446" s="169" t="e">
        <v>#N/A</v>
      </c>
      <c r="E446" s="3034" t="e">
        <v>#N/A</v>
      </c>
      <c r="F446" s="169" t="e">
        <v>#N/A</v>
      </c>
      <c r="G446" s="3034" t="e">
        <v>#N/A</v>
      </c>
      <c r="H446" s="380" t="e">
        <v>#N/A</v>
      </c>
    </row>
    <row r="447" spans="1:8">
      <c r="A447" s="1340">
        <f t="shared" si="12"/>
        <v>2028.06</v>
      </c>
      <c r="B447" s="252" t="e">
        <v>#N/A</v>
      </c>
      <c r="C447" s="3034" t="e">
        <v>#N/A</v>
      </c>
      <c r="D447" s="169" t="e">
        <v>#N/A</v>
      </c>
      <c r="E447" s="3034" t="e">
        <v>#N/A</v>
      </c>
      <c r="F447" s="169" t="e">
        <v>#N/A</v>
      </c>
      <c r="G447" s="3034" t="e">
        <v>#N/A</v>
      </c>
      <c r="H447" s="380" t="e">
        <v>#N/A</v>
      </c>
    </row>
    <row r="448" spans="1:8">
      <c r="A448" s="1340">
        <f t="shared" si="12"/>
        <v>2028.07</v>
      </c>
      <c r="B448" s="252" t="e">
        <v>#N/A</v>
      </c>
      <c r="C448" s="3034" t="e">
        <v>#N/A</v>
      </c>
      <c r="D448" s="169" t="e">
        <v>#N/A</v>
      </c>
      <c r="E448" s="3034" t="e">
        <v>#N/A</v>
      </c>
      <c r="F448" s="169" t="e">
        <v>#N/A</v>
      </c>
      <c r="G448" s="3034" t="e">
        <v>#N/A</v>
      </c>
      <c r="H448" s="380" t="e">
        <v>#N/A</v>
      </c>
    </row>
    <row r="449" spans="1:8">
      <c r="A449" s="1340">
        <f t="shared" si="12"/>
        <v>2028.08</v>
      </c>
      <c r="B449" s="252" t="e">
        <v>#N/A</v>
      </c>
      <c r="C449" s="3034" t="e">
        <v>#N/A</v>
      </c>
      <c r="D449" s="169" t="e">
        <v>#N/A</v>
      </c>
      <c r="E449" s="3034" t="e">
        <v>#N/A</v>
      </c>
      <c r="F449" s="169" t="e">
        <v>#N/A</v>
      </c>
      <c r="G449" s="3034" t="e">
        <v>#N/A</v>
      </c>
      <c r="H449" s="380" t="e">
        <v>#N/A</v>
      </c>
    </row>
    <row r="450" spans="1:8">
      <c r="A450" s="1340">
        <f t="shared" si="12"/>
        <v>2028.09</v>
      </c>
      <c r="B450" s="252" t="e">
        <v>#N/A</v>
      </c>
      <c r="C450" s="3034" t="e">
        <v>#N/A</v>
      </c>
      <c r="D450" s="169" t="e">
        <v>#N/A</v>
      </c>
      <c r="E450" s="3034" t="e">
        <v>#N/A</v>
      </c>
      <c r="F450" s="169" t="e">
        <v>#N/A</v>
      </c>
      <c r="G450" s="3034" t="e">
        <v>#N/A</v>
      </c>
      <c r="H450" s="380" t="e">
        <v>#N/A</v>
      </c>
    </row>
    <row r="451" spans="1:8">
      <c r="A451" s="1340">
        <f t="shared" si="12"/>
        <v>2028.1</v>
      </c>
      <c r="B451" s="252" t="e">
        <v>#N/A</v>
      </c>
      <c r="C451" s="3034" t="e">
        <v>#N/A</v>
      </c>
      <c r="D451" s="169" t="e">
        <v>#N/A</v>
      </c>
      <c r="E451" s="3034" t="e">
        <v>#N/A</v>
      </c>
      <c r="F451" s="169" t="e">
        <v>#N/A</v>
      </c>
      <c r="G451" s="3034" t="e">
        <v>#N/A</v>
      </c>
      <c r="H451" s="380" t="e">
        <v>#N/A</v>
      </c>
    </row>
    <row r="452" spans="1:8">
      <c r="A452" s="1340">
        <f t="shared" si="12"/>
        <v>2028.11</v>
      </c>
      <c r="B452" s="252" t="e">
        <v>#N/A</v>
      </c>
      <c r="C452" s="3034" t="e">
        <v>#N/A</v>
      </c>
      <c r="D452" s="169" t="e">
        <v>#N/A</v>
      </c>
      <c r="E452" s="3034" t="e">
        <v>#N/A</v>
      </c>
      <c r="F452" s="169" t="e">
        <v>#N/A</v>
      </c>
      <c r="G452" s="3034" t="e">
        <v>#N/A</v>
      </c>
      <c r="H452" s="380" t="e">
        <v>#N/A</v>
      </c>
    </row>
    <row r="453" spans="1:8">
      <c r="A453" s="1340">
        <f t="shared" si="12"/>
        <v>2028.12</v>
      </c>
      <c r="B453" s="252" t="e">
        <v>#N/A</v>
      </c>
      <c r="C453" s="3034" t="e">
        <v>#N/A</v>
      </c>
      <c r="D453" s="169" t="e">
        <v>#N/A</v>
      </c>
      <c r="E453" s="3034" t="e">
        <v>#N/A</v>
      </c>
      <c r="F453" s="169" t="e">
        <v>#N/A</v>
      </c>
      <c r="G453" s="3034" t="e">
        <v>#N/A</v>
      </c>
      <c r="H453" s="380" t="e">
        <v>#N/A</v>
      </c>
    </row>
    <row r="454" spans="1:8">
      <c r="A454" s="1340">
        <f t="shared" si="12"/>
        <v>2029.01</v>
      </c>
      <c r="B454" s="252" t="e">
        <v>#N/A</v>
      </c>
      <c r="C454" s="3034" t="e">
        <v>#N/A</v>
      </c>
      <c r="D454" s="169" t="e">
        <v>#N/A</v>
      </c>
      <c r="E454" s="3034" t="e">
        <v>#N/A</v>
      </c>
      <c r="F454" s="169" t="e">
        <v>#N/A</v>
      </c>
      <c r="G454" s="3034" t="e">
        <v>#N/A</v>
      </c>
      <c r="H454" s="380" t="e">
        <v>#N/A</v>
      </c>
    </row>
    <row r="455" spans="1:8">
      <c r="A455" s="1340">
        <f t="shared" si="12"/>
        <v>2029.02</v>
      </c>
      <c r="B455" s="252" t="e">
        <v>#N/A</v>
      </c>
      <c r="C455" s="3034" t="e">
        <v>#N/A</v>
      </c>
      <c r="D455" s="169" t="e">
        <v>#N/A</v>
      </c>
      <c r="E455" s="3034" t="e">
        <v>#N/A</v>
      </c>
      <c r="F455" s="169" t="e">
        <v>#N/A</v>
      </c>
      <c r="G455" s="3034" t="e">
        <v>#N/A</v>
      </c>
      <c r="H455" s="380" t="e">
        <v>#N/A</v>
      </c>
    </row>
    <row r="456" spans="1:8">
      <c r="A456" s="1340">
        <f t="shared" si="12"/>
        <v>2029.03</v>
      </c>
      <c r="B456" s="252" t="e">
        <v>#N/A</v>
      </c>
      <c r="C456" s="3034" t="e">
        <v>#N/A</v>
      </c>
      <c r="D456" s="169" t="e">
        <v>#N/A</v>
      </c>
      <c r="E456" s="3034" t="e">
        <v>#N/A</v>
      </c>
      <c r="F456" s="169" t="e">
        <v>#N/A</v>
      </c>
      <c r="G456" s="3034" t="e">
        <v>#N/A</v>
      </c>
      <c r="H456" s="380" t="e">
        <v>#N/A</v>
      </c>
    </row>
    <row r="457" spans="1:8">
      <c r="A457" s="1340">
        <f t="shared" si="12"/>
        <v>2029.04</v>
      </c>
      <c r="B457" s="252" t="e">
        <v>#N/A</v>
      </c>
      <c r="C457" s="3034" t="e">
        <v>#N/A</v>
      </c>
      <c r="D457" s="169" t="e">
        <v>#N/A</v>
      </c>
      <c r="E457" s="3034" t="e">
        <v>#N/A</v>
      </c>
      <c r="F457" s="169" t="e">
        <v>#N/A</v>
      </c>
      <c r="G457" s="3034" t="e">
        <v>#N/A</v>
      </c>
      <c r="H457" s="380" t="e">
        <v>#N/A</v>
      </c>
    </row>
    <row r="458" spans="1:8">
      <c r="A458" s="1340">
        <f t="shared" si="12"/>
        <v>2029.05</v>
      </c>
      <c r="B458" s="252" t="e">
        <v>#N/A</v>
      </c>
      <c r="C458" s="3034" t="e">
        <v>#N/A</v>
      </c>
      <c r="D458" s="169" t="e">
        <v>#N/A</v>
      </c>
      <c r="E458" s="3034" t="e">
        <v>#N/A</v>
      </c>
      <c r="F458" s="169" t="e">
        <v>#N/A</v>
      </c>
      <c r="G458" s="3034" t="e">
        <v>#N/A</v>
      </c>
      <c r="H458" s="380" t="e">
        <v>#N/A</v>
      </c>
    </row>
    <row r="459" spans="1:8">
      <c r="A459" s="1340">
        <f t="shared" si="12"/>
        <v>2029.06</v>
      </c>
      <c r="B459" s="252" t="e">
        <v>#N/A</v>
      </c>
      <c r="C459" s="3034" t="e">
        <v>#N/A</v>
      </c>
      <c r="D459" s="169" t="e">
        <v>#N/A</v>
      </c>
      <c r="E459" s="3034" t="e">
        <v>#N/A</v>
      </c>
      <c r="F459" s="169" t="e">
        <v>#N/A</v>
      </c>
      <c r="G459" s="3034" t="e">
        <v>#N/A</v>
      </c>
      <c r="H459" s="380" t="e">
        <v>#N/A</v>
      </c>
    </row>
    <row r="460" spans="1:8">
      <c r="A460" s="1340">
        <f t="shared" si="12"/>
        <v>2029.07</v>
      </c>
      <c r="B460" s="252" t="e">
        <v>#N/A</v>
      </c>
      <c r="C460" s="3034" t="e">
        <v>#N/A</v>
      </c>
      <c r="D460" s="169" t="e">
        <v>#N/A</v>
      </c>
      <c r="E460" s="3034" t="e">
        <v>#N/A</v>
      </c>
      <c r="F460" s="169" t="e">
        <v>#N/A</v>
      </c>
      <c r="G460" s="3034" t="e">
        <v>#N/A</v>
      </c>
      <c r="H460" s="380" t="e">
        <v>#N/A</v>
      </c>
    </row>
    <row r="461" spans="1:8">
      <c r="A461" s="1340">
        <f t="shared" si="12"/>
        <v>2029.08</v>
      </c>
      <c r="B461" s="252" t="e">
        <v>#N/A</v>
      </c>
      <c r="C461" s="3034" t="e">
        <v>#N/A</v>
      </c>
      <c r="D461" s="169" t="e">
        <v>#N/A</v>
      </c>
      <c r="E461" s="3034" t="e">
        <v>#N/A</v>
      </c>
      <c r="F461" s="169" t="e">
        <v>#N/A</v>
      </c>
      <c r="G461" s="3034" t="e">
        <v>#N/A</v>
      </c>
      <c r="H461" s="380" t="e">
        <v>#N/A</v>
      </c>
    </row>
    <row r="462" spans="1:8">
      <c r="A462" s="1340">
        <f t="shared" si="12"/>
        <v>2029.09</v>
      </c>
      <c r="B462" s="252" t="e">
        <v>#N/A</v>
      </c>
      <c r="C462" s="3034" t="e">
        <v>#N/A</v>
      </c>
      <c r="D462" s="169" t="e">
        <v>#N/A</v>
      </c>
      <c r="E462" s="3034" t="e">
        <v>#N/A</v>
      </c>
      <c r="F462" s="169" t="e">
        <v>#N/A</v>
      </c>
      <c r="G462" s="3034" t="e">
        <v>#N/A</v>
      </c>
      <c r="H462" s="380" t="e">
        <v>#N/A</v>
      </c>
    </row>
    <row r="463" spans="1:8">
      <c r="A463" s="1340">
        <f t="shared" si="12"/>
        <v>2029.1</v>
      </c>
      <c r="B463" s="252" t="e">
        <v>#N/A</v>
      </c>
      <c r="C463" s="3034" t="e">
        <v>#N/A</v>
      </c>
      <c r="D463" s="169" t="e">
        <v>#N/A</v>
      </c>
      <c r="E463" s="3034" t="e">
        <v>#N/A</v>
      </c>
      <c r="F463" s="169" t="e">
        <v>#N/A</v>
      </c>
      <c r="G463" s="3034" t="e">
        <v>#N/A</v>
      </c>
      <c r="H463" s="380" t="e">
        <v>#N/A</v>
      </c>
    </row>
    <row r="464" spans="1:8">
      <c r="A464" s="1340">
        <f t="shared" si="12"/>
        <v>2029.11</v>
      </c>
      <c r="B464" s="252" t="e">
        <v>#N/A</v>
      </c>
      <c r="C464" s="3034" t="e">
        <v>#N/A</v>
      </c>
      <c r="D464" s="169" t="e">
        <v>#N/A</v>
      </c>
      <c r="E464" s="3034" t="e">
        <v>#N/A</v>
      </c>
      <c r="F464" s="169" t="e">
        <v>#N/A</v>
      </c>
      <c r="G464" s="3034" t="e">
        <v>#N/A</v>
      </c>
      <c r="H464" s="380" t="e">
        <v>#N/A</v>
      </c>
    </row>
    <row r="465" spans="1:8">
      <c r="A465" s="1340">
        <f t="shared" si="12"/>
        <v>2029.12</v>
      </c>
      <c r="B465" s="252" t="e">
        <v>#N/A</v>
      </c>
      <c r="C465" s="3034" t="e">
        <v>#N/A</v>
      </c>
      <c r="D465" s="169" t="e">
        <v>#N/A</v>
      </c>
      <c r="E465" s="3034" t="e">
        <v>#N/A</v>
      </c>
      <c r="F465" s="169" t="e">
        <v>#N/A</v>
      </c>
      <c r="G465" s="3034" t="e">
        <v>#N/A</v>
      </c>
      <c r="H465" s="380" t="e">
        <v>#N/A</v>
      </c>
    </row>
    <row r="466" spans="1:8">
      <c r="A466" s="1340">
        <f t="shared" si="12"/>
        <v>2030.01</v>
      </c>
      <c r="B466" s="252" t="e">
        <v>#N/A</v>
      </c>
      <c r="C466" s="3034" t="e">
        <v>#N/A</v>
      </c>
      <c r="D466" s="169" t="e">
        <v>#N/A</v>
      </c>
      <c r="E466" s="3034" t="e">
        <v>#N/A</v>
      </c>
      <c r="F466" s="169" t="e">
        <v>#N/A</v>
      </c>
      <c r="G466" s="3034" t="e">
        <v>#N/A</v>
      </c>
      <c r="H466" s="380" t="e">
        <v>#N/A</v>
      </c>
    </row>
    <row r="467" spans="1:8">
      <c r="A467" s="1340">
        <f t="shared" ref="A467:A477" si="13">A455+1</f>
        <v>2030.02</v>
      </c>
      <c r="B467" s="252" t="e">
        <v>#N/A</v>
      </c>
      <c r="C467" s="3034" t="e">
        <v>#N/A</v>
      </c>
      <c r="D467" s="169" t="e">
        <v>#N/A</v>
      </c>
      <c r="E467" s="3034" t="e">
        <v>#N/A</v>
      </c>
      <c r="F467" s="169" t="e">
        <v>#N/A</v>
      </c>
      <c r="G467" s="3034" t="e">
        <v>#N/A</v>
      </c>
      <c r="H467" s="380" t="e">
        <v>#N/A</v>
      </c>
    </row>
    <row r="468" spans="1:8">
      <c r="A468" s="1340">
        <f t="shared" si="13"/>
        <v>2030.03</v>
      </c>
      <c r="B468" s="252" t="e">
        <v>#N/A</v>
      </c>
      <c r="C468" s="3034" t="e">
        <v>#N/A</v>
      </c>
      <c r="D468" s="169" t="e">
        <v>#N/A</v>
      </c>
      <c r="E468" s="3034" t="e">
        <v>#N/A</v>
      </c>
      <c r="F468" s="169" t="e">
        <v>#N/A</v>
      </c>
      <c r="G468" s="3034" t="e">
        <v>#N/A</v>
      </c>
      <c r="H468" s="380" t="e">
        <v>#N/A</v>
      </c>
    </row>
    <row r="469" spans="1:8">
      <c r="A469" s="1340">
        <f t="shared" si="13"/>
        <v>2030.04</v>
      </c>
      <c r="B469" s="252" t="e">
        <v>#N/A</v>
      </c>
      <c r="C469" s="3034" t="e">
        <v>#N/A</v>
      </c>
      <c r="D469" s="169" t="e">
        <v>#N/A</v>
      </c>
      <c r="E469" s="3034" t="e">
        <v>#N/A</v>
      </c>
      <c r="F469" s="169" t="e">
        <v>#N/A</v>
      </c>
      <c r="G469" s="3034" t="e">
        <v>#N/A</v>
      </c>
      <c r="H469" s="380" t="e">
        <v>#N/A</v>
      </c>
    </row>
    <row r="470" spans="1:8">
      <c r="A470" s="1340">
        <f t="shared" si="13"/>
        <v>2030.05</v>
      </c>
      <c r="B470" s="252" t="e">
        <v>#N/A</v>
      </c>
      <c r="C470" s="3034" t="e">
        <v>#N/A</v>
      </c>
      <c r="D470" s="169" t="e">
        <v>#N/A</v>
      </c>
      <c r="E470" s="3034" t="e">
        <v>#N/A</v>
      </c>
      <c r="F470" s="169" t="e">
        <v>#N/A</v>
      </c>
      <c r="G470" s="3034" t="e">
        <v>#N/A</v>
      </c>
      <c r="H470" s="380" t="e">
        <v>#N/A</v>
      </c>
    </row>
    <row r="471" spans="1:8">
      <c r="A471" s="1340">
        <f t="shared" si="13"/>
        <v>2030.06</v>
      </c>
      <c r="B471" s="252" t="e">
        <v>#N/A</v>
      </c>
      <c r="C471" s="3034" t="e">
        <v>#N/A</v>
      </c>
      <c r="D471" s="169" t="e">
        <v>#N/A</v>
      </c>
      <c r="E471" s="3034" t="e">
        <v>#N/A</v>
      </c>
      <c r="F471" s="169" t="e">
        <v>#N/A</v>
      </c>
      <c r="G471" s="3034" t="e">
        <v>#N/A</v>
      </c>
      <c r="H471" s="380" t="e">
        <v>#N/A</v>
      </c>
    </row>
    <row r="472" spans="1:8">
      <c r="A472" s="1340">
        <f t="shared" si="13"/>
        <v>2030.07</v>
      </c>
      <c r="B472" s="252" t="e">
        <v>#N/A</v>
      </c>
      <c r="C472" s="3034" t="e">
        <v>#N/A</v>
      </c>
      <c r="D472" s="169" t="e">
        <v>#N/A</v>
      </c>
      <c r="E472" s="3034" t="e">
        <v>#N/A</v>
      </c>
      <c r="F472" s="169" t="e">
        <v>#N/A</v>
      </c>
      <c r="G472" s="3034" t="e">
        <v>#N/A</v>
      </c>
      <c r="H472" s="380" t="e">
        <v>#N/A</v>
      </c>
    </row>
    <row r="473" spans="1:8">
      <c r="A473" s="1340">
        <f t="shared" si="13"/>
        <v>2030.08</v>
      </c>
      <c r="B473" s="252" t="e">
        <v>#N/A</v>
      </c>
      <c r="C473" s="3034" t="e">
        <v>#N/A</v>
      </c>
      <c r="D473" s="169" t="e">
        <v>#N/A</v>
      </c>
      <c r="E473" s="3034" t="e">
        <v>#N/A</v>
      </c>
      <c r="F473" s="169" t="e">
        <v>#N/A</v>
      </c>
      <c r="G473" s="3034" t="e">
        <v>#N/A</v>
      </c>
      <c r="H473" s="380" t="e">
        <v>#N/A</v>
      </c>
    </row>
    <row r="474" spans="1:8">
      <c r="A474" s="1340">
        <f t="shared" si="13"/>
        <v>2030.09</v>
      </c>
      <c r="B474" s="252" t="e">
        <v>#N/A</v>
      </c>
      <c r="C474" s="3034" t="e">
        <v>#N/A</v>
      </c>
      <c r="D474" s="169" t="e">
        <v>#N/A</v>
      </c>
      <c r="E474" s="3034" t="e">
        <v>#N/A</v>
      </c>
      <c r="F474" s="169" t="e">
        <v>#N/A</v>
      </c>
      <c r="G474" s="3034" t="e">
        <v>#N/A</v>
      </c>
      <c r="H474" s="380" t="e">
        <v>#N/A</v>
      </c>
    </row>
    <row r="475" spans="1:8">
      <c r="A475" s="1340">
        <f t="shared" si="13"/>
        <v>2030.1</v>
      </c>
      <c r="B475" s="252" t="e">
        <v>#N/A</v>
      </c>
      <c r="C475" s="3034" t="e">
        <v>#N/A</v>
      </c>
      <c r="D475" s="169" t="e">
        <v>#N/A</v>
      </c>
      <c r="E475" s="3034" t="e">
        <v>#N/A</v>
      </c>
      <c r="F475" s="169" t="e">
        <v>#N/A</v>
      </c>
      <c r="G475" s="3034" t="e">
        <v>#N/A</v>
      </c>
      <c r="H475" s="380" t="e">
        <v>#N/A</v>
      </c>
    </row>
    <row r="476" spans="1:8">
      <c r="A476" s="1340">
        <f t="shared" si="13"/>
        <v>2030.11</v>
      </c>
      <c r="B476" s="252" t="e">
        <v>#N/A</v>
      </c>
      <c r="C476" s="3034" t="e">
        <v>#N/A</v>
      </c>
      <c r="D476" s="169" t="e">
        <v>#N/A</v>
      </c>
      <c r="E476" s="3034" t="e">
        <v>#N/A</v>
      </c>
      <c r="F476" s="169" t="e">
        <v>#N/A</v>
      </c>
      <c r="G476" s="3034" t="e">
        <v>#N/A</v>
      </c>
      <c r="H476" s="380" t="e">
        <v>#N/A</v>
      </c>
    </row>
    <row r="477" spans="1:8">
      <c r="A477" s="1340">
        <f t="shared" si="13"/>
        <v>2030.12</v>
      </c>
      <c r="B477" s="252" t="e">
        <v>#N/A</v>
      </c>
      <c r="C477" s="3034" t="e">
        <v>#N/A</v>
      </c>
      <c r="D477" s="169" t="e">
        <v>#N/A</v>
      </c>
      <c r="E477" s="3034" t="e">
        <v>#N/A</v>
      </c>
      <c r="F477" s="169" t="e">
        <v>#N/A</v>
      </c>
      <c r="G477" s="3034" t="e">
        <v>#N/A</v>
      </c>
      <c r="H477" s="380" t="e">
        <v>#N/A</v>
      </c>
    </row>
  </sheetData>
  <phoneticPr fontId="0" type="noConversion"/>
  <hyperlinks>
    <hyperlink ref="A5" location="INDICE!A13" display="VOLVER AL INDICE" xr:uid="{00000000-0004-0000-2E00-000000000000}"/>
  </hyperlinks>
  <pageMargins left="0.75" right="0.75" top="1" bottom="1" header="0" footer="0"/>
  <pageSetup paperSize="9" orientation="portrait" horizontalDpi="300" verticalDpi="300"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32">
    <pageSetUpPr autoPageBreaks="0"/>
  </sheetPr>
  <dimension ref="A1:D477"/>
  <sheetViews>
    <sheetView zoomScale="130" zoomScaleNormal="130" workbookViewId="0">
      <pane xSplit="1" ySplit="9" topLeftCell="B407"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6.7109375" style="24" customWidth="1"/>
    <col min="3" max="3" width="11.42578125" style="9"/>
    <col min="4" max="4" width="17.140625" style="9" customWidth="1"/>
    <col min="5" max="16384" width="11.42578125" style="9"/>
  </cols>
  <sheetData>
    <row r="1" spans="1:3" ht="3.75" customHeight="1">
      <c r="A1" s="2373"/>
      <c r="B1" s="1882"/>
      <c r="C1" s="15"/>
    </row>
    <row r="2" spans="1:3" ht="45">
      <c r="A2" s="2373" t="s">
        <v>105</v>
      </c>
      <c r="B2" s="1882" t="s">
        <v>1376</v>
      </c>
      <c r="C2" s="1926" t="s">
        <v>5</v>
      </c>
    </row>
    <row r="3" spans="1:3" ht="22.5">
      <c r="A3" s="2373" t="s">
        <v>109</v>
      </c>
      <c r="B3" s="1882" t="s">
        <v>1377</v>
      </c>
      <c r="C3" s="1926" t="s">
        <v>5</v>
      </c>
    </row>
    <row r="4" spans="1:3" ht="3" hidden="1" customHeight="1">
      <c r="A4" s="104"/>
      <c r="B4" s="2208"/>
      <c r="C4" s="1926" t="s">
        <v>5</v>
      </c>
    </row>
    <row r="5" spans="1:3" s="24" customFormat="1" ht="22.5">
      <c r="A5" s="2390" t="s">
        <v>137</v>
      </c>
      <c r="B5" s="2054"/>
      <c r="C5" s="2135" t="s">
        <v>5</v>
      </c>
    </row>
    <row r="6" spans="1:3" s="24" customFormat="1" ht="3" hidden="1" customHeight="1">
      <c r="A6" s="104"/>
      <c r="B6" s="2208"/>
      <c r="C6" s="137"/>
    </row>
    <row r="7" spans="1:3" s="24" customFormat="1" ht="22.5">
      <c r="A7" s="2373" t="s">
        <v>123</v>
      </c>
      <c r="B7" s="2054" t="s">
        <v>259</v>
      </c>
      <c r="C7" s="2135" t="s">
        <v>5</v>
      </c>
    </row>
    <row r="8" spans="1:3" s="24" customFormat="1" ht="13.5" customHeight="1" thickBot="1">
      <c r="A8" s="105" t="s">
        <v>141</v>
      </c>
      <c r="B8" s="2209" t="s">
        <v>1378</v>
      </c>
      <c r="C8" s="2210" t="s">
        <v>5</v>
      </c>
    </row>
    <row r="9" spans="1:3" ht="13.5" hidden="1" thickBot="1">
      <c r="A9" s="72"/>
      <c r="B9" s="2093"/>
      <c r="C9" s="2211" t="s">
        <v>5</v>
      </c>
    </row>
    <row r="10" spans="1:3">
      <c r="A10" s="1338">
        <v>1992.01</v>
      </c>
      <c r="B10" s="2659">
        <v>74720.219678755646</v>
      </c>
      <c r="C10" s="2211"/>
    </row>
    <row r="11" spans="1:3">
      <c r="A11" s="1340">
        <v>1992.02</v>
      </c>
      <c r="B11" s="2212">
        <v>70353.343649184419</v>
      </c>
      <c r="C11" s="2211"/>
    </row>
    <row r="12" spans="1:3">
      <c r="A12" s="1340">
        <v>1992.03</v>
      </c>
      <c r="B12" s="2212">
        <v>70471.315911203012</v>
      </c>
      <c r="C12" s="2211"/>
    </row>
    <row r="13" spans="1:3">
      <c r="A13" s="1340">
        <v>1992.04</v>
      </c>
      <c r="B13" s="2212">
        <v>71524.213484273758</v>
      </c>
      <c r="C13" s="2211"/>
    </row>
    <row r="14" spans="1:3">
      <c r="A14" s="1340">
        <v>1992.05</v>
      </c>
      <c r="B14" s="2212">
        <v>103261.58375298294</v>
      </c>
      <c r="C14" s="2211"/>
    </row>
    <row r="15" spans="1:3">
      <c r="A15" s="1340">
        <v>1992.06</v>
      </c>
      <c r="B15" s="2212">
        <v>94834.976756224962</v>
      </c>
      <c r="C15" s="2211"/>
    </row>
    <row r="16" spans="1:3">
      <c r="A16" s="1340">
        <v>1992.07</v>
      </c>
      <c r="B16" s="2212">
        <v>81495.237898387684</v>
      </c>
      <c r="C16" s="2211"/>
    </row>
    <row r="17" spans="1:3">
      <c r="A17" s="1340">
        <v>1992.08</v>
      </c>
      <c r="B17" s="2212">
        <v>87623.098721539936</v>
      </c>
      <c r="C17" s="2211"/>
    </row>
    <row r="18" spans="1:3">
      <c r="A18" s="1340">
        <v>1992.09</v>
      </c>
      <c r="B18" s="2212">
        <v>81708.939076311843</v>
      </c>
      <c r="C18" s="2211"/>
    </row>
    <row r="19" spans="1:3">
      <c r="A19" s="1340">
        <v>1992.1</v>
      </c>
      <c r="B19" s="2212">
        <v>83723.102197507833</v>
      </c>
      <c r="C19" s="2211"/>
    </row>
    <row r="20" spans="1:3">
      <c r="A20" s="1340">
        <v>1992.11</v>
      </c>
      <c r="B20" s="2212">
        <v>82262.879762628058</v>
      </c>
      <c r="C20" s="2211"/>
    </row>
    <row r="21" spans="1:3">
      <c r="A21" s="1340">
        <v>1992.12</v>
      </c>
      <c r="B21" s="2212">
        <v>85574.859110999896</v>
      </c>
      <c r="C21" s="2211"/>
    </row>
    <row r="22" spans="1:3">
      <c r="A22" s="1340">
        <v>1993.01</v>
      </c>
      <c r="B22" s="2212">
        <v>80649.9305733363</v>
      </c>
      <c r="C22" s="2211"/>
    </row>
    <row r="23" spans="1:3">
      <c r="A23" s="1340">
        <v>1993.02</v>
      </c>
      <c r="B23" s="2212">
        <v>75936.504272912571</v>
      </c>
      <c r="C23" s="2211"/>
    </row>
    <row r="24" spans="1:3">
      <c r="A24" s="1340">
        <v>1993.03</v>
      </c>
      <c r="B24" s="2212">
        <v>76063.838678275453</v>
      </c>
      <c r="C24" s="2211"/>
    </row>
    <row r="25" spans="1:3">
      <c r="A25" s="1340">
        <v>1993.04</v>
      </c>
      <c r="B25" s="2212">
        <v>77200.292994577918</v>
      </c>
      <c r="C25" s="2211"/>
    </row>
    <row r="26" spans="1:3">
      <c r="A26" s="1340">
        <v>1993.05</v>
      </c>
      <c r="B26" s="2212">
        <v>111456.30455016776</v>
      </c>
      <c r="C26" s="2211"/>
    </row>
    <row r="27" spans="1:3">
      <c r="A27" s="1340">
        <v>1993.06</v>
      </c>
      <c r="B27" s="2212">
        <v>102360.97169141618</v>
      </c>
      <c r="C27" s="2211"/>
    </row>
    <row r="28" spans="1:3">
      <c r="A28" s="1340">
        <v>1993.07</v>
      </c>
      <c r="B28" s="2212">
        <v>87962.606464755896</v>
      </c>
      <c r="C28" s="2211"/>
    </row>
    <row r="29" spans="1:3">
      <c r="A29" s="1340">
        <v>1993.08</v>
      </c>
      <c r="B29" s="2212">
        <v>94576.76729130403</v>
      </c>
      <c r="C29" s="2211"/>
    </row>
    <row r="30" spans="1:3">
      <c r="A30" s="1340">
        <v>1993.09</v>
      </c>
      <c r="B30" s="2212">
        <v>88193.266722944667</v>
      </c>
      <c r="C30" s="2211"/>
    </row>
    <row r="31" spans="1:3">
      <c r="A31" s="1340">
        <v>1993.1</v>
      </c>
      <c r="B31" s="2212">
        <v>90367.271518249312</v>
      </c>
      <c r="C31" s="2211"/>
    </row>
    <row r="32" spans="1:3">
      <c r="A32" s="1340">
        <v>1993.11</v>
      </c>
      <c r="B32" s="2212">
        <v>88791.167506497251</v>
      </c>
      <c r="C32" s="2211"/>
    </row>
    <row r="33" spans="1:3">
      <c r="A33" s="1340">
        <v>1993.12</v>
      </c>
      <c r="B33" s="2212">
        <v>92365.981735562716</v>
      </c>
      <c r="C33" s="2211"/>
    </row>
    <row r="34" spans="1:3">
      <c r="A34" s="1340">
        <v>1994.01</v>
      </c>
      <c r="B34" s="2212">
        <v>83364.861742826048</v>
      </c>
      <c r="C34" s="2213"/>
    </row>
    <row r="35" spans="1:3">
      <c r="A35" s="1340">
        <v>1994.02</v>
      </c>
      <c r="B35" s="2212">
        <v>78492.766639005422</v>
      </c>
      <c r="C35" s="2213"/>
    </row>
    <row r="36" spans="1:3">
      <c r="A36" s="1340">
        <v>1994.03</v>
      </c>
      <c r="B36" s="2212">
        <v>78624.387522281075</v>
      </c>
      <c r="C36" s="2213"/>
    </row>
    <row r="37" spans="1:3">
      <c r="A37" s="1340">
        <v>1994.04</v>
      </c>
      <c r="B37" s="2212">
        <v>79799.098477170774</v>
      </c>
      <c r="C37" s="2213"/>
    </row>
    <row r="38" spans="1:3">
      <c r="A38" s="1340">
        <v>1994.05</v>
      </c>
      <c r="B38" s="2212">
        <v>115208.27548316485</v>
      </c>
      <c r="C38" s="2213"/>
    </row>
    <row r="39" spans="1:3">
      <c r="A39" s="1340">
        <v>1994.06</v>
      </c>
      <c r="B39" s="2212">
        <v>105806.76501831287</v>
      </c>
      <c r="C39" s="2213"/>
    </row>
    <row r="40" spans="1:3">
      <c r="A40" s="1340">
        <v>1994.07</v>
      </c>
      <c r="B40" s="2212">
        <v>90923.705381308202</v>
      </c>
      <c r="C40" s="2213"/>
    </row>
    <row r="41" spans="1:3">
      <c r="A41" s="1340">
        <v>1994.08</v>
      </c>
      <c r="B41" s="2212">
        <v>97760.519733536508</v>
      </c>
      <c r="C41" s="2213"/>
    </row>
    <row r="42" spans="1:3">
      <c r="A42" s="1340">
        <v>1994.09</v>
      </c>
      <c r="B42" s="2212">
        <v>91162.13039168049</v>
      </c>
      <c r="C42" s="2213"/>
    </row>
    <row r="43" spans="1:3">
      <c r="A43" s="1340">
        <v>1994.1</v>
      </c>
      <c r="B43" s="2212">
        <v>93409.319048885984</v>
      </c>
      <c r="C43" s="2213"/>
    </row>
    <row r="44" spans="1:3">
      <c r="A44" s="1340">
        <v>1994.11</v>
      </c>
      <c r="B44" s="2212">
        <v>91780.158402398549</v>
      </c>
      <c r="C44" s="2213"/>
    </row>
    <row r="45" spans="1:3">
      <c r="A45" s="1340">
        <v>1994.12</v>
      </c>
      <c r="B45" s="2212">
        <v>95475.312159429261</v>
      </c>
      <c r="C45" s="2213"/>
    </row>
    <row r="46" spans="1:3">
      <c r="A46" s="1340">
        <v>1995.01</v>
      </c>
      <c r="B46" s="2212">
        <v>83378.590229960508</v>
      </c>
      <c r="C46" s="2213"/>
    </row>
    <row r="47" spans="1:3">
      <c r="A47" s="1340">
        <v>1995.02</v>
      </c>
      <c r="B47" s="2212">
        <v>78505.692791756403</v>
      </c>
      <c r="C47" s="2213"/>
    </row>
    <row r="48" spans="1:3">
      <c r="A48" s="1340">
        <v>1995.03</v>
      </c>
      <c r="B48" s="2212">
        <v>78637.335350298643</v>
      </c>
      <c r="C48" s="2213"/>
    </row>
    <row r="49" spans="1:3">
      <c r="A49" s="1340">
        <v>1995.04</v>
      </c>
      <c r="B49" s="2212">
        <v>79812.239756048744</v>
      </c>
      <c r="C49" s="2213"/>
    </row>
    <row r="50" spans="1:3">
      <c r="A50" s="1340">
        <v>1995.05</v>
      </c>
      <c r="B50" s="2212">
        <v>115227.24792904539</v>
      </c>
      <c r="C50" s="2213"/>
    </row>
    <row r="51" spans="1:3">
      <c r="A51" s="1340">
        <v>1995.06</v>
      </c>
      <c r="B51" s="2212">
        <v>105824.18922776906</v>
      </c>
      <c r="C51" s="2213"/>
    </row>
    <row r="52" spans="1:3">
      <c r="A52" s="1340">
        <v>1995.07</v>
      </c>
      <c r="B52" s="2212">
        <v>90938.678655340569</v>
      </c>
      <c r="C52" s="2213"/>
    </row>
    <row r="53" spans="1:3">
      <c r="A53" s="1340">
        <v>1995.08</v>
      </c>
      <c r="B53" s="2212">
        <v>97776.618891015605</v>
      </c>
      <c r="C53" s="2213"/>
    </row>
    <row r="54" spans="1:3">
      <c r="A54" s="1340">
        <v>1995.09</v>
      </c>
      <c r="B54" s="2212">
        <v>91177.142929434034</v>
      </c>
      <c r="C54" s="2213"/>
    </row>
    <row r="55" spans="1:3">
      <c r="A55" s="1340">
        <v>1995.1</v>
      </c>
      <c r="B55" s="2212">
        <v>93424.701652635253</v>
      </c>
      <c r="C55" s="2213"/>
    </row>
    <row r="56" spans="1:3">
      <c r="A56" s="1340">
        <v>1995.11</v>
      </c>
      <c r="B56" s="2212">
        <v>91795.272716720967</v>
      </c>
      <c r="C56" s="2213"/>
    </row>
    <row r="57" spans="1:3">
      <c r="A57" s="1340">
        <v>1995.12</v>
      </c>
      <c r="B57" s="2212">
        <v>95491.034989974869</v>
      </c>
      <c r="C57" s="2213"/>
    </row>
    <row r="58" spans="1:3">
      <c r="A58" s="1340">
        <v>1996.01</v>
      </c>
      <c r="B58" s="2212">
        <v>90689.335914503143</v>
      </c>
      <c r="C58" s="1993"/>
    </row>
    <row r="59" spans="1:3">
      <c r="A59" s="1340">
        <v>1996.02</v>
      </c>
      <c r="B59" s="2212">
        <v>85389.176347983885</v>
      </c>
      <c r="C59" s="1993"/>
    </row>
    <row r="60" spans="1:3">
      <c r="A60" s="1340">
        <v>1996.03</v>
      </c>
      <c r="B60" s="2212">
        <v>85532.361501143168</v>
      </c>
      <c r="C60" s="1993"/>
    </row>
    <row r="61" spans="1:3">
      <c r="A61" s="1340">
        <v>1996.04</v>
      </c>
      <c r="B61" s="2212">
        <v>86810.283087807431</v>
      </c>
      <c r="C61" s="1993"/>
    </row>
    <row r="62" spans="1:3">
      <c r="A62" s="1340">
        <v>1996.05</v>
      </c>
      <c r="B62" s="2212">
        <v>125330.52627922661</v>
      </c>
      <c r="C62" s="1993"/>
    </row>
    <row r="63" spans="1:3">
      <c r="A63" s="1340">
        <v>1996.06</v>
      </c>
      <c r="B63" s="2212">
        <v>115102.99488499326</v>
      </c>
      <c r="C63" s="1993"/>
    </row>
    <row r="64" spans="1:3">
      <c r="A64" s="1340">
        <v>1996.07</v>
      </c>
      <c r="B64" s="2212">
        <v>98912.302947906821</v>
      </c>
      <c r="C64" s="1993"/>
    </row>
    <row r="65" spans="1:3">
      <c r="A65" s="1340">
        <v>1996.08</v>
      </c>
      <c r="B65" s="2212">
        <v>106349.80287787803</v>
      </c>
      <c r="C65" s="1993"/>
    </row>
    <row r="66" spans="1:3">
      <c r="A66" s="1340">
        <v>1996.09</v>
      </c>
      <c r="B66" s="2212">
        <v>99171.676086709296</v>
      </c>
      <c r="C66" s="1993"/>
    </row>
    <row r="67" spans="1:3">
      <c r="A67" s="1340">
        <v>1996.1</v>
      </c>
      <c r="B67" s="2212">
        <v>101616.30374800459</v>
      </c>
      <c r="C67" s="1993"/>
    </row>
    <row r="68" spans="1:3">
      <c r="A68" s="1340">
        <v>1996.11</v>
      </c>
      <c r="B68" s="2212">
        <v>99844.004315855607</v>
      </c>
      <c r="C68" s="1993"/>
    </row>
    <row r="69" spans="1:3">
      <c r="A69" s="1340">
        <v>1996.12</v>
      </c>
      <c r="B69" s="2212">
        <v>103863.81594057691</v>
      </c>
      <c r="C69" s="1993"/>
    </row>
    <row r="70" spans="1:3">
      <c r="A70" s="1340">
        <v>1997.01</v>
      </c>
      <c r="B70" s="2212">
        <v>102957.39364094843</v>
      </c>
      <c r="C70" s="1993"/>
    </row>
    <row r="71" spans="1:3">
      <c r="A71" s="1340">
        <v>1997.02</v>
      </c>
      <c r="B71" s="2212">
        <v>96940.251610441017</v>
      </c>
      <c r="C71" s="1993"/>
    </row>
    <row r="72" spans="1:3">
      <c r="A72" s="1340">
        <v>1997.03</v>
      </c>
      <c r="B72" s="2212">
        <v>97102.806226468398</v>
      </c>
      <c r="C72" s="1993"/>
    </row>
    <row r="73" spans="1:3">
      <c r="A73" s="1340">
        <v>1997.04</v>
      </c>
      <c r="B73" s="2212">
        <v>98553.599470389556</v>
      </c>
      <c r="C73" s="1993"/>
    </row>
    <row r="74" spans="1:3">
      <c r="A74" s="1340">
        <v>1997.05</v>
      </c>
      <c r="B74" s="2212">
        <v>142284.69311455166</v>
      </c>
      <c r="C74" s="1993"/>
    </row>
    <row r="75" spans="1:3">
      <c r="A75" s="1340">
        <v>1997.06</v>
      </c>
      <c r="B75" s="2212">
        <v>130673.62589134523</v>
      </c>
      <c r="C75" s="1993"/>
    </row>
    <row r="76" spans="1:3">
      <c r="A76" s="1340">
        <v>1997.07</v>
      </c>
      <c r="B76" s="2212">
        <v>112292.72778158903</v>
      </c>
      <c r="C76" s="1993"/>
    </row>
    <row r="77" spans="1:3">
      <c r="A77" s="1340">
        <v>1997.08</v>
      </c>
      <c r="B77" s="2212">
        <v>120736.34025567831</v>
      </c>
      <c r="C77" s="1993"/>
    </row>
    <row r="78" spans="1:3">
      <c r="A78" s="1340">
        <v>1997.09</v>
      </c>
      <c r="B78" s="2212">
        <v>112587.1877870824</v>
      </c>
      <c r="C78" s="1993"/>
    </row>
    <row r="79" spans="1:3">
      <c r="A79" s="1340">
        <v>1997.1</v>
      </c>
      <c r="B79" s="2212">
        <v>115362.51401360601</v>
      </c>
      <c r="C79" s="1993"/>
    </row>
    <row r="80" spans="1:3">
      <c r="A80" s="1340">
        <v>1997.11</v>
      </c>
      <c r="B80" s="2212">
        <v>113350.46564600724</v>
      </c>
      <c r="C80" s="1993"/>
    </row>
    <row r="81" spans="1:3">
      <c r="A81" s="1340">
        <v>1997.12</v>
      </c>
      <c r="B81" s="2212">
        <v>117914.05985072239</v>
      </c>
      <c r="C81" s="1993"/>
    </row>
    <row r="82" spans="1:3">
      <c r="A82" s="1340">
        <v>1998.01</v>
      </c>
      <c r="B82" s="2212">
        <v>107301.66967515073</v>
      </c>
      <c r="C82" s="1993"/>
    </row>
    <row r="83" spans="1:3">
      <c r="A83" s="1340">
        <v>1998.02</v>
      </c>
      <c r="B83" s="2212">
        <v>101030.63499067147</v>
      </c>
      <c r="C83" s="1993"/>
    </row>
    <row r="84" spans="1:3">
      <c r="A84" s="1340">
        <v>1998.03</v>
      </c>
      <c r="B84" s="2212">
        <v>101200.048581054</v>
      </c>
      <c r="C84" s="1993"/>
    </row>
    <row r="85" spans="1:3">
      <c r="A85" s="1340">
        <v>1998.04</v>
      </c>
      <c r="B85" s="2212">
        <v>102712.05788821516</v>
      </c>
      <c r="C85" s="1993"/>
    </row>
    <row r="86" spans="1:3">
      <c r="A86" s="1340">
        <v>1998.05</v>
      </c>
      <c r="B86" s="2212">
        <v>148288.38027554378</v>
      </c>
      <c r="C86" s="1993"/>
    </row>
    <row r="87" spans="1:3">
      <c r="A87" s="1340">
        <v>1998.06</v>
      </c>
      <c r="B87" s="2212">
        <v>136187.38533286541</v>
      </c>
      <c r="C87" s="1993"/>
    </row>
    <row r="88" spans="1:3">
      <c r="A88" s="1340">
        <v>1998.07</v>
      </c>
      <c r="B88" s="2212">
        <v>117030.90722519469</v>
      </c>
      <c r="C88" s="1993"/>
    </row>
    <row r="89" spans="1:3">
      <c r="A89" s="1340">
        <v>1998.08</v>
      </c>
      <c r="B89" s="2212">
        <v>125830.79700988879</v>
      </c>
      <c r="C89" s="1993"/>
    </row>
    <row r="90" spans="1:3">
      <c r="A90" s="1340">
        <v>1998.09</v>
      </c>
      <c r="B90" s="2212">
        <v>117337.7919386149</v>
      </c>
      <c r="C90" s="1993"/>
    </row>
    <row r="91" spans="1:3">
      <c r="A91" s="1340">
        <v>1998.1</v>
      </c>
      <c r="B91" s="2212">
        <v>120230.22275361542</v>
      </c>
      <c r="C91" s="1993"/>
    </row>
    <row r="92" spans="1:3">
      <c r="A92" s="1340">
        <v>1998.11</v>
      </c>
      <c r="B92" s="2212">
        <v>118133.27622383613</v>
      </c>
      <c r="C92" s="1993"/>
    </row>
    <row r="93" spans="1:3">
      <c r="A93" s="1340">
        <v>1998.12</v>
      </c>
      <c r="B93" s="2212">
        <v>122889.43079000048</v>
      </c>
      <c r="C93" s="1993"/>
    </row>
    <row r="94" spans="1:3">
      <c r="A94" s="1340">
        <v>1999.01</v>
      </c>
      <c r="B94" s="2212">
        <v>103920.02064050338</v>
      </c>
      <c r="C94" s="1993"/>
    </row>
    <row r="95" spans="1:3">
      <c r="A95" s="1340">
        <v>1999.02</v>
      </c>
      <c r="B95" s="2212">
        <v>97846.619771520302</v>
      </c>
      <c r="C95" s="1993"/>
    </row>
    <row r="96" spans="1:3">
      <c r="A96" s="1340">
        <v>1999.03</v>
      </c>
      <c r="B96" s="2212">
        <v>98010.694234318813</v>
      </c>
      <c r="C96" s="1993"/>
    </row>
    <row r="97" spans="1:3">
      <c r="A97" s="1340">
        <v>1999.04</v>
      </c>
      <c r="B97" s="2212">
        <v>99475.052047990466</v>
      </c>
      <c r="C97" s="1993"/>
    </row>
    <row r="98" spans="1:3">
      <c r="A98" s="1340">
        <v>1999.05</v>
      </c>
      <c r="B98" s="2212">
        <v>143615.02095572752</v>
      </c>
      <c r="C98" s="1993"/>
    </row>
    <row r="99" spans="1:3">
      <c r="A99" s="1340">
        <v>1999.06</v>
      </c>
      <c r="B99" s="2212">
        <v>131895.39303175508</v>
      </c>
      <c r="C99" s="1993"/>
    </row>
    <row r="100" spans="1:3">
      <c r="A100" s="1340">
        <v>1999.07</v>
      </c>
      <c r="B100" s="2212">
        <v>113342.63792202249</v>
      </c>
      <c r="C100" s="1993"/>
    </row>
    <row r="101" spans="1:3">
      <c r="A101" s="1340">
        <v>1999.08</v>
      </c>
      <c r="B101" s="2212">
        <v>121865.19615273886</v>
      </c>
      <c r="C101" s="1993"/>
    </row>
    <row r="102" spans="1:3">
      <c r="A102" s="1340">
        <v>1999.09</v>
      </c>
      <c r="B102" s="2212">
        <v>113639.85105812216</v>
      </c>
      <c r="C102" s="1993"/>
    </row>
    <row r="103" spans="1:3">
      <c r="A103" s="1340">
        <v>1999.1</v>
      </c>
      <c r="B103" s="2212">
        <v>116441.12592090925</v>
      </c>
      <c r="C103" s="1993"/>
    </row>
    <row r="104" spans="1:3">
      <c r="A104" s="1340">
        <v>1999.11</v>
      </c>
      <c r="B104" s="2212">
        <v>114410.26538242536</v>
      </c>
      <c r="C104" s="1993"/>
    </row>
    <row r="105" spans="1:3">
      <c r="A105" s="1340">
        <v>1999.12</v>
      </c>
      <c r="B105" s="2212">
        <v>119016.52810118422</v>
      </c>
      <c r="C105" s="1993"/>
    </row>
    <row r="106" spans="1:3">
      <c r="A106" s="1340">
        <v>2000.01</v>
      </c>
      <c r="B106" s="2212">
        <v>114004.69745864099</v>
      </c>
      <c r="C106" s="1993"/>
    </row>
    <row r="107" spans="1:3">
      <c r="A107" s="1340">
        <v>2000.02</v>
      </c>
      <c r="B107" s="2212">
        <v>113858.59082876529</v>
      </c>
      <c r="C107" s="1993"/>
    </row>
    <row r="108" spans="1:3">
      <c r="A108" s="1340">
        <v>2000.03</v>
      </c>
      <c r="B108" s="2212">
        <v>113935.53642646484</v>
      </c>
      <c r="C108" s="1993"/>
    </row>
    <row r="109" spans="1:3">
      <c r="A109" s="1340">
        <v>2000.04</v>
      </c>
      <c r="B109" s="2212">
        <v>113849.64383246483</v>
      </c>
      <c r="C109" s="1993"/>
    </row>
    <row r="110" spans="1:3">
      <c r="A110" s="1340">
        <v>2000.05</v>
      </c>
      <c r="B110" s="2212">
        <v>113848.72078346484</v>
      </c>
      <c r="C110" s="1993"/>
    </row>
    <row r="111" spans="1:3">
      <c r="A111" s="1340">
        <v>2000.06</v>
      </c>
      <c r="B111" s="2212">
        <v>113865.46856846486</v>
      </c>
      <c r="C111" s="1993"/>
    </row>
    <row r="112" spans="1:3">
      <c r="A112" s="1340">
        <v>2000.07</v>
      </c>
      <c r="B112" s="2212">
        <v>113785.63497088566</v>
      </c>
      <c r="C112" s="1993"/>
    </row>
    <row r="113" spans="1:3">
      <c r="A113" s="1340">
        <v>2000.08</v>
      </c>
      <c r="B113" s="2212">
        <v>113915.69655717014</v>
      </c>
      <c r="C113" s="1993"/>
    </row>
    <row r="114" spans="1:3">
      <c r="A114" s="1340">
        <v>2000.09</v>
      </c>
      <c r="B114" s="2212">
        <v>113859.86464846485</v>
      </c>
      <c r="C114" s="1993"/>
    </row>
    <row r="115" spans="1:3">
      <c r="A115" s="1340">
        <v>2000.1</v>
      </c>
      <c r="B115" s="2212">
        <v>113860.0619776985</v>
      </c>
      <c r="C115" s="1993"/>
    </row>
    <row r="116" spans="1:3">
      <c r="A116" s="1340">
        <v>2000.11</v>
      </c>
      <c r="B116" s="2212">
        <v>113572.18394846485</v>
      </c>
      <c r="C116" s="1993"/>
    </row>
    <row r="117" spans="1:3">
      <c r="A117" s="1340">
        <v>2000.12</v>
      </c>
      <c r="B117" s="2212">
        <v>113892.02602846487</v>
      </c>
      <c r="C117" s="1993"/>
    </row>
    <row r="118" spans="1:3">
      <c r="A118" s="1340">
        <v>2001.01</v>
      </c>
      <c r="B118" s="1222">
        <v>113882.78904236421</v>
      </c>
      <c r="C118" s="1993"/>
    </row>
    <row r="119" spans="1:3">
      <c r="A119" s="1340">
        <v>2001.02</v>
      </c>
      <c r="B119" s="1222">
        <v>103554.99932797925</v>
      </c>
      <c r="C119" s="1993"/>
    </row>
    <row r="120" spans="1:3">
      <c r="A120" s="1340">
        <v>2001.03</v>
      </c>
      <c r="B120" s="1222">
        <v>118000.5645694605</v>
      </c>
      <c r="C120" s="1993"/>
    </row>
    <row r="121" spans="1:3">
      <c r="A121" s="1340">
        <v>2001.04</v>
      </c>
      <c r="B121" s="1222">
        <v>110859.73153092472</v>
      </c>
      <c r="C121" s="1993"/>
    </row>
    <row r="122" spans="1:3">
      <c r="A122" s="1340">
        <v>2001.05</v>
      </c>
      <c r="B122" s="1222">
        <v>129985.83752652435</v>
      </c>
      <c r="C122" s="1993"/>
    </row>
    <row r="123" spans="1:3">
      <c r="A123" s="1340">
        <v>2001.06</v>
      </c>
      <c r="B123" s="1222">
        <v>113335.29742951998</v>
      </c>
      <c r="C123" s="1993"/>
    </row>
    <row r="124" spans="1:3">
      <c r="A124" s="1340">
        <v>2001.07</v>
      </c>
      <c r="B124" s="1222">
        <v>94006.363509765783</v>
      </c>
      <c r="C124" s="1993"/>
    </row>
    <row r="125" spans="1:3">
      <c r="A125" s="1340">
        <v>2001.08</v>
      </c>
      <c r="B125" s="1222">
        <v>118390.06913956979</v>
      </c>
      <c r="C125" s="1993"/>
    </row>
    <row r="126" spans="1:3">
      <c r="A126" s="1340">
        <v>2001.09</v>
      </c>
      <c r="B126" s="1222">
        <v>91852.616120608887</v>
      </c>
      <c r="C126" s="1993"/>
    </row>
    <row r="127" spans="1:3">
      <c r="A127" s="1340">
        <v>2001.1</v>
      </c>
      <c r="B127" s="1222">
        <v>86763.829712707535</v>
      </c>
      <c r="C127" s="1993"/>
    </row>
    <row r="128" spans="1:3">
      <c r="A128" s="1340">
        <v>2001.11</v>
      </c>
      <c r="B128" s="1222">
        <v>76039.358260300025</v>
      </c>
      <c r="C128" s="1993"/>
    </row>
    <row r="129" spans="1:3">
      <c r="A129" s="1340">
        <v>2001.12</v>
      </c>
      <c r="B129" s="1222">
        <v>53301.135828822102</v>
      </c>
      <c r="C129" s="1993"/>
    </row>
    <row r="130" spans="1:3">
      <c r="A130" s="1340">
        <v>2002.01</v>
      </c>
      <c r="B130" s="1222">
        <v>114004.69745864099</v>
      </c>
      <c r="C130" s="1993"/>
    </row>
    <row r="131" spans="1:3">
      <c r="A131" s="1340">
        <v>2002.02</v>
      </c>
      <c r="B131" s="1222">
        <v>113858.59082876529</v>
      </c>
      <c r="C131" s="1993"/>
    </row>
    <row r="132" spans="1:3">
      <c r="A132" s="1340">
        <v>2002.03</v>
      </c>
      <c r="B132" s="1222">
        <v>113935.53642646484</v>
      </c>
      <c r="C132" s="1993"/>
    </row>
    <row r="133" spans="1:3">
      <c r="A133" s="1340">
        <v>2002.04</v>
      </c>
      <c r="B133" s="1222">
        <v>113849.64383246483</v>
      </c>
      <c r="C133" s="1993"/>
    </row>
    <row r="134" spans="1:3">
      <c r="A134" s="1340">
        <v>2002.05</v>
      </c>
      <c r="B134" s="1222">
        <v>113848.72078346484</v>
      </c>
      <c r="C134" s="1993"/>
    </row>
    <row r="135" spans="1:3">
      <c r="A135" s="1340">
        <v>2002.06</v>
      </c>
      <c r="B135" s="1222">
        <v>113865.46856846486</v>
      </c>
      <c r="C135" s="1993"/>
    </row>
    <row r="136" spans="1:3">
      <c r="A136" s="1340">
        <v>2002.07</v>
      </c>
      <c r="B136" s="1222">
        <v>113785.63497088566</v>
      </c>
      <c r="C136" s="1993"/>
    </row>
    <row r="137" spans="1:3">
      <c r="A137" s="1340">
        <v>2002.08</v>
      </c>
      <c r="B137" s="1222">
        <v>113915.69655717014</v>
      </c>
      <c r="C137" s="1993"/>
    </row>
    <row r="138" spans="1:3">
      <c r="A138" s="1340">
        <v>2002.09</v>
      </c>
      <c r="B138" s="1222">
        <v>113859.86464846485</v>
      </c>
      <c r="C138" s="1993"/>
    </row>
    <row r="139" spans="1:3">
      <c r="A139" s="1340">
        <v>2002.1</v>
      </c>
      <c r="B139" s="1222">
        <v>113860.0619776985</v>
      </c>
      <c r="C139" s="1993"/>
    </row>
    <row r="140" spans="1:3">
      <c r="A140" s="1340">
        <v>2002.11</v>
      </c>
      <c r="B140" s="1222">
        <v>113572.18394846485</v>
      </c>
      <c r="C140" s="1993"/>
    </row>
    <row r="141" spans="1:3">
      <c r="A141" s="1340">
        <v>2002.12</v>
      </c>
      <c r="B141" s="1222">
        <v>113892.02602846487</v>
      </c>
      <c r="C141" s="1993"/>
    </row>
    <row r="142" spans="1:3">
      <c r="A142" s="1340">
        <v>2003.01</v>
      </c>
      <c r="B142" s="1222">
        <v>122659.7840192093</v>
      </c>
      <c r="C142" s="1993"/>
    </row>
    <row r="143" spans="1:3">
      <c r="A143" s="1340">
        <v>2003.02</v>
      </c>
      <c r="B143" s="1222">
        <v>94389.416098168658</v>
      </c>
      <c r="C143" s="1993"/>
    </row>
    <row r="144" spans="1:3">
      <c r="A144" s="1340">
        <v>2003.03</v>
      </c>
      <c r="B144" s="1222">
        <v>97299.951338496539</v>
      </c>
      <c r="C144" s="1993"/>
    </row>
    <row r="145" spans="1:3">
      <c r="A145" s="1340">
        <v>2003.04</v>
      </c>
      <c r="B145" s="1222">
        <v>112749.14079337637</v>
      </c>
      <c r="C145" s="1993"/>
    </row>
    <row r="146" spans="1:3">
      <c r="A146" s="1340">
        <v>2003.05</v>
      </c>
      <c r="B146" s="1222">
        <v>184810.9190461323</v>
      </c>
      <c r="C146" s="1993"/>
    </row>
    <row r="147" spans="1:3">
      <c r="A147" s="1340">
        <v>2003.06</v>
      </c>
      <c r="B147" s="1222">
        <v>147893.063572118</v>
      </c>
      <c r="C147" s="1993"/>
    </row>
    <row r="148" spans="1:3">
      <c r="A148" s="1340">
        <v>2003.07</v>
      </c>
      <c r="B148" s="1222">
        <v>134252.39016294101</v>
      </c>
      <c r="C148" s="1993"/>
    </row>
    <row r="149" spans="1:3">
      <c r="A149" s="1340">
        <v>2003.08</v>
      </c>
      <c r="B149" s="1222">
        <v>158989.43377400088</v>
      </c>
      <c r="C149" s="1993"/>
    </row>
    <row r="150" spans="1:3">
      <c r="A150" s="1340">
        <v>2003.09</v>
      </c>
      <c r="B150" s="1222">
        <v>141252.80998308089</v>
      </c>
      <c r="C150" s="1993"/>
    </row>
    <row r="151" spans="1:3">
      <c r="A151" s="1340">
        <v>2003.1</v>
      </c>
      <c r="B151" s="1222">
        <v>146433.13265858626</v>
      </c>
      <c r="C151" s="1993"/>
    </row>
    <row r="152" spans="1:3">
      <c r="A152" s="1340">
        <v>2003.11</v>
      </c>
      <c r="B152" s="1222">
        <v>155849.51147899791</v>
      </c>
      <c r="C152" s="1993"/>
    </row>
    <row r="153" spans="1:3">
      <c r="A153" s="1340">
        <v>2003.12</v>
      </c>
      <c r="B153" s="1222">
        <v>183563.2477261383</v>
      </c>
      <c r="C153" s="1993"/>
    </row>
    <row r="154" spans="1:3">
      <c r="A154" s="1340">
        <v>2004.01</v>
      </c>
      <c r="B154" s="1222">
        <v>161823.64065823634</v>
      </c>
      <c r="C154" s="1993"/>
    </row>
    <row r="155" spans="1:3">
      <c r="A155" s="1340">
        <v>2004.02</v>
      </c>
      <c r="B155" s="1222">
        <v>147655.81179882714</v>
      </c>
      <c r="C155" s="1993"/>
    </row>
    <row r="156" spans="1:3">
      <c r="A156" s="1340">
        <v>2004.03</v>
      </c>
      <c r="B156" s="1222">
        <v>157691.66429141138</v>
      </c>
      <c r="C156" s="1993"/>
    </row>
    <row r="157" spans="1:3">
      <c r="A157" s="1340">
        <v>2004.04</v>
      </c>
      <c r="B157" s="1222">
        <v>155487.4203188621</v>
      </c>
      <c r="C157" s="1993"/>
    </row>
    <row r="158" spans="1:3">
      <c r="A158" s="1340">
        <v>2004.05</v>
      </c>
      <c r="B158" s="1222">
        <v>351221.88902006007</v>
      </c>
      <c r="C158" s="1993"/>
    </row>
    <row r="159" spans="1:3">
      <c r="A159" s="1340">
        <v>2004.06</v>
      </c>
      <c r="B159" s="1222">
        <v>263764.25786617707</v>
      </c>
      <c r="C159" s="1993"/>
    </row>
    <row r="160" spans="1:3">
      <c r="A160" s="1340">
        <v>2004.07</v>
      </c>
      <c r="B160" s="1222">
        <v>206685.3</v>
      </c>
      <c r="C160" s="1993"/>
    </row>
    <row r="161" spans="1:3">
      <c r="A161" s="1340">
        <v>2004.08</v>
      </c>
      <c r="B161" s="1222">
        <v>212495.5</v>
      </c>
      <c r="C161" s="1993"/>
    </row>
    <row r="162" spans="1:3">
      <c r="A162" s="1340">
        <v>2004.09</v>
      </c>
      <c r="B162" s="1222">
        <v>198872.8</v>
      </c>
      <c r="C162" s="1993"/>
    </row>
    <row r="163" spans="1:3">
      <c r="A163" s="1340">
        <v>2004.1</v>
      </c>
      <c r="B163" s="1222">
        <v>203398.9</v>
      </c>
      <c r="C163" s="1993"/>
    </row>
    <row r="164" spans="1:3">
      <c r="A164" s="1340">
        <v>2004.11</v>
      </c>
      <c r="B164" s="1222">
        <v>201934.9</v>
      </c>
      <c r="C164" s="1993"/>
    </row>
    <row r="165" spans="1:3">
      <c r="A165" s="1340">
        <v>2004.12</v>
      </c>
      <c r="B165" s="1222">
        <v>184246</v>
      </c>
      <c r="C165" s="1993"/>
    </row>
    <row r="166" spans="1:3">
      <c r="A166" s="1340">
        <v>2005.01</v>
      </c>
      <c r="B166" s="1222">
        <v>207044.4</v>
      </c>
      <c r="C166" s="1993"/>
    </row>
    <row r="167" spans="1:3">
      <c r="A167" s="1340">
        <v>2005.02</v>
      </c>
      <c r="B167" s="1222">
        <v>199668.2</v>
      </c>
      <c r="C167" s="1993"/>
    </row>
    <row r="168" spans="1:3">
      <c r="A168" s="1340">
        <v>2005.03</v>
      </c>
      <c r="B168" s="1222">
        <v>203409.1</v>
      </c>
      <c r="C168" s="1993"/>
    </row>
    <row r="169" spans="1:3">
      <c r="A169" s="1340">
        <v>2005.04</v>
      </c>
      <c r="B169" s="1222">
        <v>223507.5</v>
      </c>
      <c r="C169" s="1993"/>
    </row>
    <row r="170" spans="1:3">
      <c r="A170" s="1340">
        <v>2005.05</v>
      </c>
      <c r="B170" s="1222">
        <v>330750.59999999998</v>
      </c>
      <c r="C170" s="1993"/>
    </row>
    <row r="171" spans="1:3">
      <c r="A171" s="1340">
        <v>2005.06</v>
      </c>
      <c r="B171" s="1222">
        <v>301734.90000000002</v>
      </c>
      <c r="C171" s="1993"/>
    </row>
    <row r="172" spans="1:3">
      <c r="A172" s="1340">
        <v>2005.07</v>
      </c>
      <c r="B172" s="1222">
        <v>238282.5</v>
      </c>
      <c r="C172" s="1993"/>
    </row>
    <row r="173" spans="1:3">
      <c r="A173" s="1340">
        <v>2005.08</v>
      </c>
      <c r="B173" s="1222">
        <v>255399.9</v>
      </c>
      <c r="C173" s="1993"/>
    </row>
    <row r="174" spans="1:3">
      <c r="A174" s="1340">
        <v>2005.09</v>
      </c>
      <c r="B174" s="1222">
        <v>255916.3</v>
      </c>
      <c r="C174" s="1993"/>
    </row>
    <row r="175" spans="1:3">
      <c r="A175" s="1340">
        <v>2005.1</v>
      </c>
      <c r="B175" s="1222">
        <v>249881.5</v>
      </c>
      <c r="C175" s="1993"/>
    </row>
    <row r="176" spans="1:3">
      <c r="A176" s="1340">
        <v>2005.11</v>
      </c>
      <c r="B176" s="1222">
        <v>255664.9</v>
      </c>
      <c r="C176" s="1993"/>
    </row>
    <row r="177" spans="1:3">
      <c r="A177" s="1340">
        <v>2005.12</v>
      </c>
      <c r="B177" s="1222">
        <v>288713.59999999998</v>
      </c>
      <c r="C177" s="1993"/>
    </row>
    <row r="178" spans="1:3">
      <c r="A178" s="1340">
        <v>2006.01</v>
      </c>
      <c r="B178" s="1222">
        <v>259662.5</v>
      </c>
      <c r="C178" s="1993"/>
    </row>
    <row r="179" spans="1:3">
      <c r="A179" s="1340">
        <v>2006.02</v>
      </c>
      <c r="B179" s="1222">
        <v>254188.9</v>
      </c>
      <c r="C179" s="1993"/>
    </row>
    <row r="180" spans="1:3">
      <c r="A180" s="1340">
        <v>2006.03</v>
      </c>
      <c r="B180" s="1222">
        <v>245617.1</v>
      </c>
      <c r="C180" s="1993"/>
    </row>
    <row r="181" spans="1:3">
      <c r="A181" s="1340">
        <v>2006.04</v>
      </c>
      <c r="B181" s="1222">
        <v>221864.2</v>
      </c>
      <c r="C181" s="1993"/>
    </row>
    <row r="182" spans="1:3">
      <c r="A182" s="1340">
        <v>2006.05</v>
      </c>
      <c r="B182" s="1222">
        <v>384467.5</v>
      </c>
      <c r="C182" s="1993"/>
    </row>
    <row r="183" spans="1:3">
      <c r="A183" s="1340">
        <v>2006.06</v>
      </c>
      <c r="B183" s="1222">
        <v>390039.9</v>
      </c>
      <c r="C183" s="1993"/>
    </row>
    <row r="184" spans="1:3">
      <c r="A184" s="1340">
        <v>2006.07</v>
      </c>
      <c r="B184" s="1222">
        <v>300226</v>
      </c>
      <c r="C184" s="1993"/>
    </row>
    <row r="185" spans="1:3">
      <c r="A185" s="1340">
        <v>2006.08</v>
      </c>
      <c r="B185" s="1222">
        <v>328050.94599999994</v>
      </c>
      <c r="C185" s="1993"/>
    </row>
    <row r="186" spans="1:3">
      <c r="A186" s="1340">
        <v>2006.09</v>
      </c>
      <c r="B186" s="1222">
        <v>308775.59760000004</v>
      </c>
      <c r="C186" s="1993"/>
    </row>
    <row r="187" spans="1:3">
      <c r="A187" s="1340">
        <v>2006.1</v>
      </c>
      <c r="B187" s="1222">
        <v>327828.79760000005</v>
      </c>
      <c r="C187" s="1993"/>
    </row>
    <row r="188" spans="1:3">
      <c r="A188" s="1340">
        <v>2006.11</v>
      </c>
      <c r="B188" s="1222">
        <v>335191.41880000004</v>
      </c>
      <c r="C188" s="1993"/>
    </row>
    <row r="189" spans="1:3">
      <c r="A189" s="1340">
        <v>2006.12</v>
      </c>
      <c r="B189" s="1222">
        <v>346989.0612</v>
      </c>
      <c r="C189" s="1993"/>
    </row>
    <row r="190" spans="1:3">
      <c r="A190" s="1340">
        <v>2007.01</v>
      </c>
      <c r="B190" s="1222">
        <v>347489.8</v>
      </c>
      <c r="C190" s="1993"/>
    </row>
    <row r="191" spans="1:3">
      <c r="A191" s="1340">
        <v>2007.02</v>
      </c>
      <c r="B191" s="1222">
        <v>314805.90000000002</v>
      </c>
      <c r="C191" s="1993"/>
    </row>
    <row r="192" spans="1:3">
      <c r="A192" s="1340">
        <v>2007.03</v>
      </c>
      <c r="B192" s="1222">
        <v>311504.09999999998</v>
      </c>
      <c r="C192" s="1993"/>
    </row>
    <row r="193" spans="1:3">
      <c r="A193" s="1340">
        <v>2007.04</v>
      </c>
      <c r="B193" s="1222">
        <v>293278.2</v>
      </c>
      <c r="C193" s="1993"/>
    </row>
    <row r="194" spans="1:3">
      <c r="A194" s="1340">
        <v>2007.05</v>
      </c>
      <c r="B194" s="1222">
        <v>505586</v>
      </c>
      <c r="C194" s="1993"/>
    </row>
    <row r="195" spans="1:3">
      <c r="A195" s="1340">
        <v>2007.06</v>
      </c>
      <c r="B195" s="1222">
        <v>492630.33015000005</v>
      </c>
      <c r="C195" s="1993"/>
    </row>
    <row r="196" spans="1:3">
      <c r="A196" s="1340">
        <v>2007.07</v>
      </c>
      <c r="B196" s="1222">
        <v>411636.76846999989</v>
      </c>
      <c r="C196" s="1993"/>
    </row>
    <row r="197" spans="1:3">
      <c r="A197" s="1340">
        <v>2007.08</v>
      </c>
      <c r="B197" s="1222">
        <v>451807.96075999999</v>
      </c>
      <c r="C197" s="1993"/>
    </row>
    <row r="198" spans="1:3">
      <c r="A198" s="1340">
        <v>2007.09</v>
      </c>
      <c r="B198" s="1222">
        <v>405385.17617999989</v>
      </c>
      <c r="C198" s="1993"/>
    </row>
    <row r="199" spans="1:3">
      <c r="A199" s="1340">
        <v>2007.1</v>
      </c>
      <c r="B199" s="1222">
        <v>420647.96076000005</v>
      </c>
      <c r="C199" s="1993"/>
    </row>
    <row r="200" spans="1:3">
      <c r="A200" s="1340">
        <v>2007.11</v>
      </c>
      <c r="B200" s="1222">
        <v>428495.33808999998</v>
      </c>
      <c r="C200" s="1993"/>
    </row>
    <row r="201" spans="1:3">
      <c r="A201" s="1340">
        <v>2007.12</v>
      </c>
      <c r="B201" s="1222">
        <v>473005.14579999994</v>
      </c>
      <c r="C201" s="1993"/>
    </row>
    <row r="202" spans="1:3">
      <c r="A202" s="1340">
        <f t="shared" ref="A202:A265" si="0">A190+1</f>
        <v>2008.01</v>
      </c>
      <c r="B202" s="1222">
        <v>461696.3</v>
      </c>
      <c r="C202" s="1993"/>
    </row>
    <row r="203" spans="1:3">
      <c r="A203" s="1340">
        <f t="shared" si="0"/>
        <v>2008.02</v>
      </c>
      <c r="B203" s="1222">
        <v>432737.20655999996</v>
      </c>
      <c r="C203" s="1993"/>
    </row>
    <row r="204" spans="1:3">
      <c r="A204" s="1340">
        <f t="shared" si="0"/>
        <v>2008.03</v>
      </c>
      <c r="B204" s="1222">
        <v>371188.07440000004</v>
      </c>
      <c r="C204" s="1993"/>
    </row>
    <row r="205" spans="1:3">
      <c r="A205" s="1340">
        <f t="shared" si="0"/>
        <v>2008.04</v>
      </c>
      <c r="B205" s="1222">
        <v>438694.00655999995</v>
      </c>
      <c r="C205" s="1993"/>
    </row>
    <row r="206" spans="1:3">
      <c r="A206" s="1340">
        <f t="shared" si="0"/>
        <v>2008.05</v>
      </c>
      <c r="B206" s="1222">
        <v>610695.40655999992</v>
      </c>
      <c r="C206" s="1993"/>
    </row>
    <row r="207" spans="1:3">
      <c r="A207" s="1340">
        <f t="shared" si="0"/>
        <v>2008.06</v>
      </c>
      <c r="B207" s="1222">
        <v>612978.58720000007</v>
      </c>
      <c r="C207" s="1993"/>
    </row>
    <row r="208" spans="1:3">
      <c r="A208" s="1340">
        <f t="shared" si="0"/>
        <v>2008.07</v>
      </c>
      <c r="B208" s="1222">
        <v>541041.22592</v>
      </c>
      <c r="C208" s="1993"/>
    </row>
    <row r="209" spans="1:3">
      <c r="A209" s="1340">
        <f t="shared" si="0"/>
        <v>2008.08</v>
      </c>
      <c r="B209" s="1222">
        <v>546588.18720000004</v>
      </c>
      <c r="C209" s="1993"/>
    </row>
    <row r="210" spans="1:3">
      <c r="A210" s="1340">
        <f t="shared" si="0"/>
        <v>2008.09</v>
      </c>
      <c r="B210" s="1222">
        <v>514731.52592000051</v>
      </c>
      <c r="C210" s="1993"/>
    </row>
    <row r="211" spans="1:3">
      <c r="A211" s="1340">
        <f t="shared" si="0"/>
        <v>2008.1</v>
      </c>
      <c r="B211" s="1222">
        <v>548637.7452800005</v>
      </c>
      <c r="C211" s="1993"/>
    </row>
    <row r="212" spans="1:3">
      <c r="A212" s="1340">
        <f t="shared" si="0"/>
        <v>2008.11</v>
      </c>
      <c r="B212" s="1222">
        <v>490560.06784000027</v>
      </c>
      <c r="C212" s="1993"/>
    </row>
    <row r="213" spans="1:3">
      <c r="A213" s="1340">
        <f t="shared" si="0"/>
        <v>2008.12</v>
      </c>
      <c r="B213" s="1222">
        <v>545773.90656000015</v>
      </c>
      <c r="C213" s="1993"/>
    </row>
    <row r="214" spans="1:3">
      <c r="A214" s="1340">
        <f t="shared" si="0"/>
        <v>2009.01</v>
      </c>
      <c r="B214" s="1222">
        <v>469472.27195999993</v>
      </c>
      <c r="C214" s="1993"/>
    </row>
    <row r="215" spans="1:3">
      <c r="A215" s="1340">
        <f t="shared" si="0"/>
        <v>2009.02</v>
      </c>
      <c r="B215" s="1222">
        <v>486428.0352000001</v>
      </c>
      <c r="C215" s="1993"/>
    </row>
    <row r="216" spans="1:3">
      <c r="A216" s="1340">
        <f t="shared" si="0"/>
        <v>2009.03</v>
      </c>
      <c r="B216" s="1222">
        <v>453937.77196000016</v>
      </c>
      <c r="C216" s="1993"/>
    </row>
    <row r="217" spans="1:3">
      <c r="A217" s="1340">
        <f t="shared" si="0"/>
        <v>2009.04</v>
      </c>
      <c r="B217" s="1222">
        <v>459580.69843999995</v>
      </c>
      <c r="C217" s="1993"/>
    </row>
    <row r="218" spans="1:3">
      <c r="A218" s="1340">
        <f t="shared" si="0"/>
        <v>2009.05</v>
      </c>
      <c r="B218" s="1222">
        <v>667753.59843999986</v>
      </c>
      <c r="C218" s="1993"/>
    </row>
    <row r="219" spans="1:3">
      <c r="A219" s="1340">
        <f t="shared" si="0"/>
        <v>2009.06</v>
      </c>
      <c r="B219" s="1222">
        <v>644947.27195999981</v>
      </c>
      <c r="C219" s="1993"/>
    </row>
    <row r="220" spans="1:3">
      <c r="A220" s="1340">
        <f t="shared" si="0"/>
        <v>2009.07</v>
      </c>
      <c r="B220" s="1222">
        <v>553348.30871999986</v>
      </c>
      <c r="C220" s="1993"/>
    </row>
    <row r="221" spans="1:3">
      <c r="A221" s="1340">
        <f t="shared" si="0"/>
        <v>2009.08</v>
      </c>
      <c r="B221" s="1222">
        <v>568196.53519999969</v>
      </c>
      <c r="C221" s="1993"/>
    </row>
    <row r="222" spans="1:3">
      <c r="A222" s="1340">
        <f t="shared" si="0"/>
        <v>2009.09</v>
      </c>
      <c r="B222" s="1222">
        <v>555253.00871999969</v>
      </c>
      <c r="C222" s="1993"/>
    </row>
    <row r="223" spans="1:3">
      <c r="A223" s="1340">
        <f t="shared" si="0"/>
        <v>2009.1</v>
      </c>
      <c r="B223" s="1222">
        <v>607478.67196000007</v>
      </c>
      <c r="C223" s="1993"/>
    </row>
    <row r="224" spans="1:3">
      <c r="A224" s="1340">
        <f t="shared" si="0"/>
        <v>2009.11</v>
      </c>
      <c r="B224" s="1222">
        <v>563933.63520000014</v>
      </c>
      <c r="C224" s="1993"/>
    </row>
    <row r="225" spans="1:3">
      <c r="A225" s="1340">
        <f t="shared" si="0"/>
        <v>2009.12</v>
      </c>
      <c r="B225" s="1222">
        <v>632160.17195999972</v>
      </c>
      <c r="C225" s="1993"/>
    </row>
    <row r="226" spans="1:3">
      <c r="A226" s="1340">
        <f t="shared" si="0"/>
        <v>2010.01</v>
      </c>
      <c r="B226" s="1222">
        <v>569481.27040000004</v>
      </c>
      <c r="C226" s="1993"/>
    </row>
    <row r="227" spans="1:3">
      <c r="A227" s="1340">
        <f t="shared" si="0"/>
        <v>2010.02</v>
      </c>
      <c r="B227" s="1222">
        <v>591194.37039999978</v>
      </c>
      <c r="C227" s="1993"/>
    </row>
    <row r="228" spans="1:3">
      <c r="A228" s="1340">
        <f t="shared" si="0"/>
        <v>2010.03</v>
      </c>
      <c r="B228" s="1222">
        <v>593962.4974400003</v>
      </c>
      <c r="C228" s="1993"/>
    </row>
    <row r="229" spans="1:3">
      <c r="A229" s="1340">
        <f t="shared" si="0"/>
        <v>2010.04</v>
      </c>
      <c r="B229" s="1222">
        <v>612672.37040000001</v>
      </c>
      <c r="C229" s="1993"/>
    </row>
    <row r="230" spans="1:3">
      <c r="A230" s="1340">
        <f t="shared" si="0"/>
        <v>2010.05</v>
      </c>
      <c r="B230" s="1222">
        <v>983156.97039999987</v>
      </c>
      <c r="C230" s="1993"/>
    </row>
    <row r="231" spans="1:3">
      <c r="A231" s="1340">
        <f t="shared" si="0"/>
        <v>2010.06</v>
      </c>
      <c r="B231" s="1222">
        <v>908405.23391999968</v>
      </c>
      <c r="C231" s="1993"/>
    </row>
    <row r="232" spans="1:3">
      <c r="A232" s="1340">
        <f t="shared" si="0"/>
        <v>2010.07</v>
      </c>
      <c r="B232" s="1222">
        <v>752282.1339199997</v>
      </c>
      <c r="C232" s="1993"/>
    </row>
    <row r="233" spans="1:3">
      <c r="A233" s="1340">
        <f t="shared" si="0"/>
        <v>2010.08</v>
      </c>
      <c r="B233" s="1222">
        <v>774330</v>
      </c>
      <c r="C233" s="1993"/>
    </row>
    <row r="234" spans="1:3">
      <c r="A234" s="1340">
        <f t="shared" si="0"/>
        <v>2010.09</v>
      </c>
      <c r="B234" s="1222">
        <v>756957.19743999955</v>
      </c>
      <c r="C234" s="1993"/>
    </row>
    <row r="235" spans="1:3">
      <c r="A235" s="1340">
        <f t="shared" si="0"/>
        <v>2010.1</v>
      </c>
      <c r="B235" s="1222">
        <v>746998.96221000003</v>
      </c>
      <c r="C235" s="1993"/>
    </row>
    <row r="236" spans="1:3">
      <c r="A236" s="1340">
        <f t="shared" si="0"/>
        <v>2010.11</v>
      </c>
      <c r="B236" s="1222">
        <v>788357.94799000002</v>
      </c>
      <c r="C236" s="1993"/>
    </row>
    <row r="237" spans="1:3">
      <c r="A237" s="1340">
        <f t="shared" si="0"/>
        <v>2010.12</v>
      </c>
      <c r="B237" s="1222">
        <v>888369.4974399996</v>
      </c>
      <c r="C237" s="1993"/>
    </row>
    <row r="238" spans="1:3">
      <c r="A238" s="1340">
        <f t="shared" si="0"/>
        <v>2011.01</v>
      </c>
      <c r="B238" s="1222">
        <v>811740.2</v>
      </c>
      <c r="C238" s="1993"/>
    </row>
    <row r="239" spans="1:3">
      <c r="A239" s="1340">
        <f t="shared" si="0"/>
        <v>2011.02</v>
      </c>
      <c r="B239" s="1222">
        <v>788772.8</v>
      </c>
      <c r="C239" s="1993"/>
    </row>
    <row r="240" spans="1:3">
      <c r="A240" s="1340">
        <f t="shared" si="0"/>
        <v>2011.03</v>
      </c>
      <c r="B240" s="1222">
        <v>827722.3</v>
      </c>
      <c r="C240" s="1993"/>
    </row>
    <row r="241" spans="1:3">
      <c r="A241" s="1340">
        <f t="shared" si="0"/>
        <v>2011.04</v>
      </c>
      <c r="B241" s="1222">
        <v>836537.1</v>
      </c>
      <c r="C241" s="1993"/>
    </row>
    <row r="242" spans="1:3">
      <c r="A242" s="1340">
        <f t="shared" si="0"/>
        <v>2011.05</v>
      </c>
      <c r="B242" s="1222">
        <v>1274884.6000000001</v>
      </c>
      <c r="C242" s="1993"/>
    </row>
    <row r="243" spans="1:3">
      <c r="A243" s="1340">
        <f t="shared" si="0"/>
        <v>2011.06</v>
      </c>
      <c r="B243" s="1222">
        <v>1143529.5</v>
      </c>
      <c r="C243" s="1993"/>
    </row>
    <row r="244" spans="1:3">
      <c r="A244" s="1340">
        <f t="shared" si="0"/>
        <v>2011.07</v>
      </c>
      <c r="B244" s="1222">
        <v>999246.6</v>
      </c>
      <c r="C244" s="1993"/>
    </row>
    <row r="245" spans="1:3">
      <c r="A245" s="1340">
        <f t="shared" si="0"/>
        <v>2011.08</v>
      </c>
      <c r="B245" s="1222">
        <v>1021369.1</v>
      </c>
      <c r="C245" s="1993"/>
    </row>
    <row r="246" spans="1:3">
      <c r="A246" s="1340">
        <f t="shared" si="0"/>
        <v>2011.09</v>
      </c>
      <c r="B246" s="1222">
        <v>1025307.7</v>
      </c>
      <c r="C246" s="1993"/>
    </row>
    <row r="247" spans="1:3">
      <c r="A247" s="1340">
        <f t="shared" si="0"/>
        <v>2011.1</v>
      </c>
      <c r="B247" s="1222">
        <v>1008851.8</v>
      </c>
      <c r="C247" s="1993"/>
    </row>
    <row r="248" spans="1:3">
      <c r="A248" s="1340">
        <f t="shared" si="0"/>
        <v>2011.11</v>
      </c>
      <c r="B248" s="1222">
        <v>1092864.1000000001</v>
      </c>
      <c r="C248" s="1993"/>
    </row>
    <row r="249" spans="1:3">
      <c r="A249" s="1340">
        <f t="shared" si="0"/>
        <v>2011.12</v>
      </c>
      <c r="B249" s="1222">
        <v>1074542.7</v>
      </c>
      <c r="C249" s="1993"/>
    </row>
    <row r="250" spans="1:3">
      <c r="A250" s="1340">
        <f t="shared" si="0"/>
        <v>2012.01</v>
      </c>
      <c r="B250" s="1222">
        <v>1077484.9651600001</v>
      </c>
      <c r="C250" s="1993"/>
    </row>
    <row r="251" spans="1:3">
      <c r="A251" s="1340">
        <f t="shared" si="0"/>
        <v>2012.02</v>
      </c>
      <c r="B251" s="1222">
        <v>1032580.1121600001</v>
      </c>
      <c r="C251" s="1993"/>
    </row>
    <row r="252" spans="1:3">
      <c r="A252" s="1340">
        <f t="shared" si="0"/>
        <v>2012.03</v>
      </c>
      <c r="B252" s="1222">
        <v>1007273.9333600001</v>
      </c>
      <c r="C252" s="1993"/>
    </row>
    <row r="253" spans="1:3">
      <c r="A253" s="1340">
        <f t="shared" si="0"/>
        <v>2012.04</v>
      </c>
      <c r="B253" s="1222">
        <v>970962.54396000016</v>
      </c>
      <c r="C253" s="1993"/>
    </row>
    <row r="254" spans="1:3">
      <c r="A254" s="1340">
        <f t="shared" si="0"/>
        <v>2012.05</v>
      </c>
      <c r="B254" s="1222">
        <v>1493780.3954799999</v>
      </c>
      <c r="C254" s="1993"/>
    </row>
    <row r="255" spans="1:3">
      <c r="A255" s="1340">
        <f t="shared" si="0"/>
        <v>2012.06</v>
      </c>
      <c r="B255" s="1222">
        <v>1432963.0575999999</v>
      </c>
      <c r="C255" s="1993"/>
    </row>
    <row r="256" spans="1:3">
      <c r="A256" s="1340">
        <f t="shared" si="0"/>
        <v>2012.07</v>
      </c>
      <c r="B256" s="1222">
        <v>1212682.2954799999</v>
      </c>
      <c r="C256" s="1993"/>
    </row>
    <row r="257" spans="1:3">
      <c r="A257" s="1340">
        <f t="shared" si="0"/>
        <v>2012.08</v>
      </c>
      <c r="B257" s="1222">
        <v>1344183.5333599998</v>
      </c>
      <c r="C257" s="1993"/>
    </row>
    <row r="258" spans="1:3">
      <c r="A258" s="1340">
        <f t="shared" si="0"/>
        <v>2012.09</v>
      </c>
      <c r="B258" s="1222">
        <v>1250232.7575999999</v>
      </c>
      <c r="C258" s="1993"/>
    </row>
    <row r="259" spans="1:3">
      <c r="A259" s="1340">
        <f t="shared" si="0"/>
        <v>2012.1</v>
      </c>
      <c r="B259" s="1222">
        <v>1409000.23336</v>
      </c>
      <c r="C259" s="1993"/>
    </row>
    <row r="260" spans="1:3">
      <c r="A260" s="1340">
        <f t="shared" si="0"/>
        <v>2012.11</v>
      </c>
      <c r="B260" s="1222">
        <v>1410129.4576000001</v>
      </c>
      <c r="C260" s="201"/>
    </row>
    <row r="261" spans="1:3">
      <c r="A261" s="1340">
        <f t="shared" si="0"/>
        <v>2012.12</v>
      </c>
      <c r="B261" s="1222">
        <v>1458296.7197200006</v>
      </c>
      <c r="C261" s="201"/>
    </row>
    <row r="262" spans="1:3">
      <c r="A262" s="1340">
        <f t="shared" si="0"/>
        <v>2013.01</v>
      </c>
      <c r="B262" s="1222">
        <v>1358156.0668500005</v>
      </c>
      <c r="C262" s="201"/>
    </row>
    <row r="263" spans="1:3">
      <c r="A263" s="1340">
        <f t="shared" si="0"/>
        <v>2013.02</v>
      </c>
      <c r="B263" s="1222">
        <v>1435479.1</v>
      </c>
      <c r="C263" s="201"/>
    </row>
    <row r="264" spans="1:3">
      <c r="A264" s="1340">
        <f t="shared" si="0"/>
        <v>2013.03</v>
      </c>
      <c r="B264" s="1222">
        <v>1333270.3970000001</v>
      </c>
      <c r="C264" s="201"/>
    </row>
    <row r="265" spans="1:3">
      <c r="A265" s="1340">
        <f t="shared" si="0"/>
        <v>2013.04</v>
      </c>
      <c r="B265" s="1222">
        <v>1373982.4970000002</v>
      </c>
      <c r="C265" s="201"/>
    </row>
    <row r="266" spans="1:3">
      <c r="A266" s="1340">
        <f t="shared" ref="A266:A329" si="1">A254+1</f>
        <v>2013.05</v>
      </c>
      <c r="B266" s="1222">
        <v>1985578.3367000001</v>
      </c>
      <c r="C266" s="201"/>
    </row>
    <row r="267" spans="1:3">
      <c r="A267" s="1340">
        <f t="shared" si="1"/>
        <v>2013.06</v>
      </c>
      <c r="B267" s="1222">
        <v>1897516.2</v>
      </c>
      <c r="C267" s="201"/>
    </row>
    <row r="268" spans="1:3">
      <c r="A268" s="1340">
        <f t="shared" si="1"/>
        <v>2013.07</v>
      </c>
      <c r="B268" s="1222">
        <v>1696179.0367000008</v>
      </c>
      <c r="C268" s="201"/>
    </row>
    <row r="269" spans="1:3">
      <c r="A269" s="1340">
        <f t="shared" si="1"/>
        <v>2013.08</v>
      </c>
      <c r="B269" s="1222">
        <v>1735649.76685</v>
      </c>
      <c r="C269" s="201"/>
    </row>
    <row r="270" spans="1:3">
      <c r="A270" s="1340">
        <f t="shared" si="1"/>
        <v>2013.09</v>
      </c>
      <c r="B270" s="1222">
        <v>1617002.8</v>
      </c>
      <c r="C270" s="201"/>
    </row>
    <row r="271" spans="1:3">
      <c r="A271" s="1340">
        <f t="shared" si="1"/>
        <v>2013.1</v>
      </c>
      <c r="B271" s="1222">
        <v>1749049.7366999984</v>
      </c>
      <c r="C271" s="201"/>
    </row>
    <row r="272" spans="1:3">
      <c r="A272" s="1340">
        <f t="shared" si="1"/>
        <v>2013.11</v>
      </c>
      <c r="B272" s="1222">
        <v>1732827.32715</v>
      </c>
      <c r="C272" s="201"/>
    </row>
    <row r="273" spans="1:2">
      <c r="A273" s="1340">
        <f t="shared" si="1"/>
        <v>2013.12</v>
      </c>
      <c r="B273" s="1222">
        <v>1795421.5668499987</v>
      </c>
    </row>
    <row r="274" spans="1:2">
      <c r="A274" s="1340">
        <f t="shared" si="1"/>
        <v>2014.01</v>
      </c>
      <c r="B274" s="1222">
        <v>2005961.9120399999</v>
      </c>
    </row>
    <row r="275" spans="1:2">
      <c r="A275" s="1340">
        <f t="shared" si="1"/>
        <v>2014.02</v>
      </c>
      <c r="B275" s="1222">
        <v>1947098.7563999996</v>
      </c>
    </row>
    <row r="276" spans="1:2">
      <c r="A276" s="1340">
        <f t="shared" si="1"/>
        <v>2014.03</v>
      </c>
      <c r="B276" s="1222">
        <v>1788614.5007600004</v>
      </c>
    </row>
    <row r="277" spans="1:2">
      <c r="A277" s="1340">
        <f t="shared" si="1"/>
        <v>2014.04</v>
      </c>
      <c r="B277" s="1222">
        <v>1894451.8785800003</v>
      </c>
    </row>
    <row r="278" spans="1:2">
      <c r="A278" s="1340">
        <f t="shared" si="1"/>
        <v>2014.05</v>
      </c>
      <c r="B278" s="1222">
        <v>2646369.3564000004</v>
      </c>
    </row>
    <row r="279" spans="1:2">
      <c r="A279" s="1340">
        <f t="shared" si="1"/>
        <v>2014.06</v>
      </c>
      <c r="B279" s="1222">
        <v>2494326.8564000009</v>
      </c>
    </row>
    <row r="280" spans="1:2">
      <c r="A280" s="1340">
        <f t="shared" si="1"/>
        <v>2014.07</v>
      </c>
      <c r="B280" s="1222">
        <v>2240090.7120400011</v>
      </c>
    </row>
    <row r="281" spans="1:2">
      <c r="A281" s="1340">
        <f t="shared" si="1"/>
        <v>2014.08</v>
      </c>
      <c r="B281" s="1222">
        <v>2296988.6563999993</v>
      </c>
    </row>
    <row r="282" spans="1:2">
      <c r="A282" s="1340">
        <f t="shared" si="1"/>
        <v>2014.09</v>
      </c>
      <c r="B282" s="1222">
        <v>2318378.5120399985</v>
      </c>
    </row>
    <row r="283" spans="1:2">
      <c r="A283" s="1340">
        <f t="shared" si="1"/>
        <v>2014.1</v>
      </c>
      <c r="B283" s="1222">
        <v>2457094.4120399985</v>
      </c>
    </row>
    <row r="284" spans="1:2">
      <c r="A284" s="1340">
        <f t="shared" si="1"/>
        <v>2014.11</v>
      </c>
      <c r="B284" s="1222">
        <v>2413032.9007599996</v>
      </c>
    </row>
    <row r="285" spans="1:2">
      <c r="A285" s="1340">
        <f t="shared" si="1"/>
        <v>2014.12</v>
      </c>
      <c r="B285" s="1222">
        <v>2594125.1</v>
      </c>
    </row>
    <row r="286" spans="1:2">
      <c r="A286" s="1340">
        <f t="shared" si="1"/>
        <v>2015.01</v>
      </c>
      <c r="B286" s="1222">
        <v>2594383.6</v>
      </c>
    </row>
    <row r="287" spans="1:2">
      <c r="A287" s="1340">
        <f t="shared" si="1"/>
        <v>2015.02</v>
      </c>
      <c r="B287" s="1222">
        <v>2593487.7000000002</v>
      </c>
    </row>
    <row r="288" spans="1:2">
      <c r="A288" s="1340">
        <f t="shared" si="1"/>
        <v>2015.03</v>
      </c>
      <c r="B288" s="1222">
        <v>2324248.7999999998</v>
      </c>
    </row>
    <row r="289" spans="1:2">
      <c r="A289" s="1340">
        <f t="shared" si="1"/>
        <v>2015.04</v>
      </c>
      <c r="B289" s="1222">
        <v>2620793.5</v>
      </c>
    </row>
    <row r="290" spans="1:2">
      <c r="A290" s="1340">
        <f t="shared" si="1"/>
        <v>2015.05</v>
      </c>
      <c r="B290" s="1222">
        <v>3569954</v>
      </c>
    </row>
    <row r="291" spans="1:2">
      <c r="A291" s="1340">
        <f t="shared" si="1"/>
        <v>2015.06</v>
      </c>
      <c r="B291" s="1222">
        <v>3529503.6</v>
      </c>
    </row>
    <row r="292" spans="1:2">
      <c r="A292" s="1340">
        <f t="shared" si="1"/>
        <v>2015.07</v>
      </c>
      <c r="B292" s="1222">
        <v>3095414.3</v>
      </c>
    </row>
    <row r="293" spans="1:2">
      <c r="A293" s="1340">
        <f t="shared" si="1"/>
        <v>2015.08</v>
      </c>
      <c r="B293" s="1222">
        <v>3194866.9</v>
      </c>
    </row>
    <row r="294" spans="1:2">
      <c r="A294" s="1340">
        <f t="shared" si="1"/>
        <v>2015.09</v>
      </c>
      <c r="B294" s="1222">
        <v>3153547.8</v>
      </c>
    </row>
    <row r="295" spans="1:2">
      <c r="A295" s="1340">
        <f t="shared" si="1"/>
        <v>2015.1</v>
      </c>
      <c r="B295" s="1222">
        <v>3293349.9</v>
      </c>
    </row>
    <row r="296" spans="1:2">
      <c r="A296" s="1340">
        <f t="shared" si="1"/>
        <v>2015.11</v>
      </c>
      <c r="B296" s="1222">
        <v>3145379.2</v>
      </c>
    </row>
    <row r="297" spans="1:2">
      <c r="A297" s="1340">
        <f t="shared" si="1"/>
        <v>2015.12</v>
      </c>
      <c r="B297" s="1222">
        <v>4341541.2</v>
      </c>
    </row>
    <row r="298" spans="1:2">
      <c r="A298" s="1340">
        <f t="shared" si="1"/>
        <v>2016.01</v>
      </c>
      <c r="B298" s="1222">
        <v>4427593.7</v>
      </c>
    </row>
    <row r="299" spans="1:2">
      <c r="A299" s="1340">
        <f t="shared" si="1"/>
        <v>2016.02</v>
      </c>
      <c r="B299" s="1222">
        <v>3840889.9</v>
      </c>
    </row>
    <row r="300" spans="1:2">
      <c r="A300" s="1340">
        <f t="shared" si="1"/>
        <v>2016.03</v>
      </c>
      <c r="B300" s="1222">
        <v>3641285.4999999995</v>
      </c>
    </row>
    <row r="301" spans="1:2">
      <c r="A301" s="1340">
        <f t="shared" si="1"/>
        <v>2016.04</v>
      </c>
      <c r="B301" s="1222">
        <v>3724859</v>
      </c>
    </row>
    <row r="302" spans="1:2">
      <c r="A302" s="1340">
        <f t="shared" si="1"/>
        <v>2016.05</v>
      </c>
      <c r="B302" s="1222">
        <v>4882320.2</v>
      </c>
    </row>
    <row r="303" spans="1:2">
      <c r="A303" s="1340">
        <f t="shared" si="1"/>
        <v>2016.06</v>
      </c>
      <c r="B303" s="1222">
        <v>5131944.5999999996</v>
      </c>
    </row>
    <row r="304" spans="1:2">
      <c r="A304" s="1340">
        <f t="shared" si="1"/>
        <v>2016.07</v>
      </c>
      <c r="B304" s="1222">
        <v>4495104.4000000004</v>
      </c>
    </row>
    <row r="305" spans="1:2">
      <c r="A305" s="1340">
        <f t="shared" si="1"/>
        <v>2016.08</v>
      </c>
      <c r="B305" s="1222">
        <v>4625653</v>
      </c>
    </row>
    <row r="306" spans="1:2">
      <c r="A306" s="1340">
        <f t="shared" si="1"/>
        <v>2016.09</v>
      </c>
      <c r="B306" s="1222">
        <v>4665886.3</v>
      </c>
    </row>
    <row r="307" spans="1:2">
      <c r="A307" s="1340">
        <f t="shared" si="1"/>
        <v>2016.1</v>
      </c>
      <c r="B307" s="1222">
        <v>4526237.8</v>
      </c>
    </row>
    <row r="308" spans="1:2">
      <c r="A308" s="1340">
        <f t="shared" si="1"/>
        <v>2016.11</v>
      </c>
      <c r="B308" s="1222">
        <v>4713930.7</v>
      </c>
    </row>
    <row r="309" spans="1:2">
      <c r="A309" s="1340">
        <f t="shared" si="1"/>
        <v>2016.12</v>
      </c>
      <c r="B309" s="1222">
        <v>5185468.4000000004</v>
      </c>
    </row>
    <row r="310" spans="1:2">
      <c r="A310" s="1340">
        <f t="shared" si="1"/>
        <v>2017.01</v>
      </c>
      <c r="B310" s="1222">
        <v>5358739.4000000004</v>
      </c>
    </row>
    <row r="311" spans="1:2">
      <c r="A311" s="1340">
        <f t="shared" si="1"/>
        <v>2017.02</v>
      </c>
      <c r="B311" s="1222">
        <v>4688140.1407261509</v>
      </c>
    </row>
    <row r="312" spans="1:2">
      <c r="A312" s="1340">
        <f t="shared" si="1"/>
        <v>2017.03</v>
      </c>
      <c r="B312" s="1222">
        <v>4631502.9000000004</v>
      </c>
    </row>
    <row r="313" spans="1:2">
      <c r="A313" s="1340">
        <f t="shared" si="1"/>
        <v>2017.04</v>
      </c>
      <c r="B313" s="1222">
        <v>4840230.0999999996</v>
      </c>
    </row>
    <row r="314" spans="1:2">
      <c r="A314" s="1340">
        <f t="shared" si="1"/>
        <v>2017.05</v>
      </c>
      <c r="B314" s="1222">
        <v>5852039.164180507</v>
      </c>
    </row>
    <row r="315" spans="1:2">
      <c r="A315" s="1340">
        <f t="shared" si="1"/>
        <v>2017.06</v>
      </c>
      <c r="B315" s="1222">
        <v>6661482.164180507</v>
      </c>
    </row>
    <row r="316" spans="1:2">
      <c r="A316" s="1340">
        <f t="shared" si="1"/>
        <v>2017.07</v>
      </c>
      <c r="B316" s="1222">
        <v>6193379.0641805064</v>
      </c>
    </row>
    <row r="317" spans="1:2">
      <c r="A317" s="1340">
        <f t="shared" si="1"/>
        <v>2017.08</v>
      </c>
      <c r="B317" s="1222">
        <v>6213946.5672652926</v>
      </c>
    </row>
    <row r="318" spans="1:2">
      <c r="A318" s="1340">
        <f t="shared" si="1"/>
        <v>2017.09</v>
      </c>
      <c r="B318" s="1222">
        <v>6401639.0901505072</v>
      </c>
    </row>
    <row r="319" spans="1:2">
      <c r="A319" s="1340">
        <f t="shared" si="1"/>
        <v>2017.1</v>
      </c>
      <c r="B319" s="1222">
        <v>6290765.2899605073</v>
      </c>
    </row>
    <row r="320" spans="1:2">
      <c r="A320" s="1340">
        <f t="shared" si="1"/>
        <v>2017.11</v>
      </c>
      <c r="B320" s="1222">
        <v>6350882.9287561486</v>
      </c>
    </row>
    <row r="321" spans="1:2">
      <c r="A321" s="1340">
        <f t="shared" si="1"/>
        <v>2017.12</v>
      </c>
      <c r="B321" s="1222">
        <v>6652392.6744561475</v>
      </c>
    </row>
    <row r="322" spans="1:2">
      <c r="A322" s="1340">
        <f t="shared" si="1"/>
        <v>2018.01</v>
      </c>
      <c r="B322" s="1222">
        <v>6962829.084973569</v>
      </c>
    </row>
    <row r="323" spans="1:2">
      <c r="A323" s="1340">
        <f t="shared" si="1"/>
        <v>2018.02</v>
      </c>
      <c r="B323" s="1222">
        <v>6359112.1692267442</v>
      </c>
    </row>
    <row r="324" spans="1:2">
      <c r="A324" s="1340">
        <f t="shared" si="1"/>
        <v>2018.03</v>
      </c>
      <c r="B324" s="1222">
        <v>7226745.5979582937</v>
      </c>
    </row>
    <row r="325" spans="1:2">
      <c r="A325" s="1340">
        <f t="shared" si="1"/>
        <v>2018.04</v>
      </c>
      <c r="B325" s="1222">
        <v>6583933.2419323437</v>
      </c>
    </row>
    <row r="326" spans="1:2">
      <c r="A326" s="1340">
        <f t="shared" si="1"/>
        <v>2018.05</v>
      </c>
      <c r="B326" s="1222">
        <v>8790288.96034953</v>
      </c>
    </row>
    <row r="327" spans="1:2">
      <c r="A327" s="1340">
        <f t="shared" si="1"/>
        <v>2018.06</v>
      </c>
      <c r="B327" s="1222">
        <v>9851338.4508313295</v>
      </c>
    </row>
    <row r="328" spans="1:2">
      <c r="A328" s="1340">
        <f t="shared" si="1"/>
        <v>2018.07</v>
      </c>
      <c r="B328" s="1222">
        <v>8019420.5999999996</v>
      </c>
    </row>
    <row r="329" spans="1:2">
      <c r="A329" s="1340">
        <f t="shared" si="1"/>
        <v>2018.08</v>
      </c>
      <c r="B329" s="1222">
        <v>8723221.4258405026</v>
      </c>
    </row>
    <row r="330" spans="1:2">
      <c r="A330" s="1340">
        <f t="shared" ref="A330:A393" si="2">A318+1</f>
        <v>2018.09</v>
      </c>
      <c r="B330" s="1222">
        <v>8299709.2940060543</v>
      </c>
    </row>
    <row r="331" spans="1:2">
      <c r="A331" s="1340">
        <f t="shared" si="2"/>
        <v>2018.1</v>
      </c>
      <c r="B331" s="1222">
        <v>8994680.5796141624</v>
      </c>
    </row>
    <row r="332" spans="1:2">
      <c r="A332" s="1340">
        <f t="shared" si="2"/>
        <v>2018.11</v>
      </c>
      <c r="B332" s="1222">
        <v>8341299.4363304544</v>
      </c>
    </row>
    <row r="333" spans="1:2">
      <c r="A333" s="1340">
        <f t="shared" si="2"/>
        <v>2018.12</v>
      </c>
      <c r="B333" s="1222">
        <v>8787259.9594178647</v>
      </c>
    </row>
    <row r="334" spans="1:2">
      <c r="A334" s="1340">
        <f t="shared" si="2"/>
        <v>2019.01</v>
      </c>
      <c r="B334" s="1222">
        <v>9910947.4347412102</v>
      </c>
    </row>
    <row r="335" spans="1:2">
      <c r="A335" s="1340">
        <f t="shared" si="2"/>
        <v>2019.02</v>
      </c>
      <c r="B335" s="1222">
        <v>9025182.2465656418</v>
      </c>
    </row>
    <row r="336" spans="1:2">
      <c r="A336" s="1340">
        <f t="shared" si="2"/>
        <v>2019.03</v>
      </c>
      <c r="B336" s="1222">
        <v>8803952.9414528571</v>
      </c>
    </row>
    <row r="337" spans="1:2">
      <c r="A337" s="1340">
        <f t="shared" si="2"/>
        <v>2019.04</v>
      </c>
      <c r="B337" s="1222">
        <v>9249820.1643200796</v>
      </c>
    </row>
    <row r="338" spans="1:2">
      <c r="A338" s="1340">
        <f t="shared" si="2"/>
        <v>2019.05</v>
      </c>
      <c r="B338" s="1222">
        <v>13553222.542503988</v>
      </c>
    </row>
    <row r="339" spans="1:2">
      <c r="A339" s="1340">
        <f t="shared" si="2"/>
        <v>2019.06</v>
      </c>
      <c r="B339" s="1222">
        <v>13454808.461600076</v>
      </c>
    </row>
    <row r="340" spans="1:2">
      <c r="A340" s="1340">
        <f t="shared" si="2"/>
        <v>2019.07</v>
      </c>
      <c r="B340" s="1222">
        <v>11971165.984838426</v>
      </c>
    </row>
    <row r="341" spans="1:2">
      <c r="A341" s="1340">
        <f t="shared" si="2"/>
        <v>2019.08</v>
      </c>
      <c r="B341" s="1222">
        <v>12622452.974498427</v>
      </c>
    </row>
    <row r="342" spans="1:2">
      <c r="A342" s="1340">
        <f t="shared" si="2"/>
        <v>2019.09</v>
      </c>
      <c r="B342" s="1222">
        <v>11624692.375328425</v>
      </c>
    </row>
    <row r="343" spans="1:2">
      <c r="A343" s="1340">
        <f t="shared" si="2"/>
        <v>2019.1</v>
      </c>
      <c r="B343" s="1222">
        <v>12231326.9034412</v>
      </c>
    </row>
    <row r="344" spans="1:2">
      <c r="A344" s="1340">
        <f t="shared" si="2"/>
        <v>2019.11</v>
      </c>
      <c r="B344" s="1222">
        <v>12387496.365782859</v>
      </c>
    </row>
    <row r="345" spans="1:2">
      <c r="A345" s="1340">
        <f t="shared" si="2"/>
        <v>2019.12</v>
      </c>
      <c r="B345" s="1222">
        <v>12671348.446881209</v>
      </c>
    </row>
    <row r="346" spans="1:2">
      <c r="A346" s="1340">
        <f t="shared" si="2"/>
        <v>2020.01</v>
      </c>
      <c r="B346" s="1222">
        <v>13497199.228019999</v>
      </c>
    </row>
    <row r="347" spans="1:2">
      <c r="A347" s="1340">
        <f t="shared" si="2"/>
        <v>2020.02</v>
      </c>
      <c r="B347" s="1222">
        <v>12829726.256490001</v>
      </c>
    </row>
    <row r="348" spans="1:2">
      <c r="A348" s="1340">
        <f t="shared" si="2"/>
        <v>2020.03</v>
      </c>
      <c r="B348" s="1222">
        <v>11296177.207850004</v>
      </c>
    </row>
    <row r="349" spans="1:2">
      <c r="A349" s="1340">
        <f t="shared" si="2"/>
        <v>2020.04</v>
      </c>
      <c r="B349" s="1222">
        <v>10794744.361199999</v>
      </c>
    </row>
    <row r="350" spans="1:2">
      <c r="A350" s="1340">
        <f t="shared" si="2"/>
        <v>2020.05</v>
      </c>
      <c r="B350" s="1222">
        <v>14231255.025969995</v>
      </c>
    </row>
    <row r="351" spans="1:2">
      <c r="A351" s="1340">
        <f t="shared" si="2"/>
        <v>2020.06</v>
      </c>
      <c r="B351" s="1222">
        <v>16780086.096209992</v>
      </c>
    </row>
    <row r="352" spans="1:2">
      <c r="A352" s="1340">
        <f t="shared" si="2"/>
        <v>2020.07</v>
      </c>
      <c r="B352" s="1222">
        <v>14413090.630149996</v>
      </c>
    </row>
    <row r="353" spans="1:2">
      <c r="A353" s="1340">
        <f t="shared" si="2"/>
        <v>2020.08</v>
      </c>
      <c r="B353" s="1222">
        <v>18122175.690419998</v>
      </c>
    </row>
    <row r="354" spans="1:2">
      <c r="A354" s="1340">
        <f t="shared" si="2"/>
        <v>2020.09</v>
      </c>
      <c r="B354" s="1222">
        <v>16664474.659719994</v>
      </c>
    </row>
    <row r="355" spans="1:2">
      <c r="A355" s="1340">
        <f t="shared" si="2"/>
        <v>2020.1</v>
      </c>
      <c r="B355" s="1222">
        <v>19323880.159759991</v>
      </c>
    </row>
    <row r="356" spans="1:2">
      <c r="A356" s="1340">
        <f t="shared" si="2"/>
        <v>2020.11</v>
      </c>
      <c r="B356" s="1222">
        <v>19342188.999570001</v>
      </c>
    </row>
    <row r="357" spans="1:2">
      <c r="A357" s="1340">
        <f t="shared" si="2"/>
        <v>2020.12</v>
      </c>
      <c r="B357" s="1222">
        <v>20711483.211920001</v>
      </c>
    </row>
    <row r="358" spans="1:2">
      <c r="A358" s="1340">
        <f t="shared" si="2"/>
        <v>2021.01</v>
      </c>
      <c r="B358" s="1222">
        <v>20239716.062554151</v>
      </c>
    </row>
    <row r="359" spans="1:2">
      <c r="A359" s="1340">
        <f t="shared" si="2"/>
        <v>2021.02</v>
      </c>
      <c r="B359" s="1222">
        <v>19932208.687030826</v>
      </c>
    </row>
    <row r="360" spans="1:2">
      <c r="A360" s="1340">
        <f t="shared" si="2"/>
        <v>2021.03</v>
      </c>
      <c r="B360" s="1222">
        <v>20462855.561635487</v>
      </c>
    </row>
    <row r="361" spans="1:2">
      <c r="A361" s="1340">
        <f t="shared" si="2"/>
        <v>2021.04</v>
      </c>
      <c r="B361" s="1222">
        <v>22910626.765061233</v>
      </c>
    </row>
    <row r="362" spans="1:2">
      <c r="A362" s="1340">
        <f t="shared" si="2"/>
        <v>2021.05</v>
      </c>
      <c r="B362" s="1222">
        <v>23561783.606001832</v>
      </c>
    </row>
    <row r="363" spans="1:2">
      <c r="A363" s="1340">
        <f t="shared" si="2"/>
        <v>2021.06</v>
      </c>
      <c r="B363" s="1222">
        <v>27744068.828014068</v>
      </c>
    </row>
    <row r="364" spans="1:2">
      <c r="A364" s="1340">
        <f t="shared" si="2"/>
        <v>2021.07</v>
      </c>
      <c r="B364" s="1222">
        <v>23807003.857964344</v>
      </c>
    </row>
    <row r="365" spans="1:2">
      <c r="A365" s="1340">
        <f t="shared" si="2"/>
        <v>2021.08</v>
      </c>
      <c r="B365" s="1222">
        <v>29514513.702886708</v>
      </c>
    </row>
    <row r="366" spans="1:2">
      <c r="A366" s="1340">
        <f t="shared" si="2"/>
        <v>2021.09</v>
      </c>
      <c r="B366" s="1222">
        <v>27440569.18554838</v>
      </c>
    </row>
    <row r="367" spans="1:2">
      <c r="A367" s="1340">
        <f t="shared" si="2"/>
        <v>2021.1</v>
      </c>
      <c r="B367" s="1222">
        <v>28457817.809350256</v>
      </c>
    </row>
    <row r="368" spans="1:2">
      <c r="A368" s="1340">
        <f t="shared" si="2"/>
        <v>2021.11</v>
      </c>
      <c r="B368" s="1222">
        <v>28802803.889758144</v>
      </c>
    </row>
    <row r="369" spans="1:3">
      <c r="A369" s="1340">
        <f t="shared" si="2"/>
        <v>2021.12</v>
      </c>
      <c r="B369" s="1222">
        <v>33625539.933210202</v>
      </c>
      <c r="C369" s="201"/>
    </row>
    <row r="370" spans="1:3">
      <c r="A370" s="1340">
        <f t="shared" si="2"/>
        <v>2022.01</v>
      </c>
      <c r="B370" s="1222">
        <v>31217729.588561889</v>
      </c>
      <c r="C370" s="201"/>
    </row>
    <row r="371" spans="1:3">
      <c r="A371" s="1340">
        <f t="shared" si="2"/>
        <v>2022.02</v>
      </c>
      <c r="B371" s="1222">
        <v>31474572.301535528</v>
      </c>
      <c r="C371" s="201"/>
    </row>
    <row r="372" spans="1:3">
      <c r="A372" s="1340">
        <f t="shared" si="2"/>
        <v>2022.03</v>
      </c>
      <c r="B372" s="1222">
        <v>32151381.803923063</v>
      </c>
      <c r="C372" s="201"/>
    </row>
    <row r="373" spans="1:3">
      <c r="A373" s="1340">
        <f t="shared" si="2"/>
        <v>2022.04</v>
      </c>
      <c r="B373" s="1222">
        <v>37442105.532266974</v>
      </c>
      <c r="C373" s="201"/>
    </row>
    <row r="374" spans="1:3">
      <c r="A374" s="1340">
        <f t="shared" si="2"/>
        <v>2022.05</v>
      </c>
      <c r="B374" s="1222">
        <v>44190211.823564678</v>
      </c>
      <c r="C374" s="201"/>
    </row>
    <row r="375" spans="1:3">
      <c r="A375" s="1340">
        <f t="shared" si="2"/>
        <v>2022.06</v>
      </c>
      <c r="B375" s="1222">
        <v>52571547.541900009</v>
      </c>
      <c r="C375" s="201"/>
    </row>
    <row r="376" spans="1:3">
      <c r="A376" s="1340">
        <f t="shared" si="2"/>
        <v>2022.07</v>
      </c>
      <c r="B376" s="1222">
        <v>47541642.390599057</v>
      </c>
      <c r="C376" s="201"/>
    </row>
    <row r="377" spans="1:3">
      <c r="A377" s="1340">
        <f t="shared" si="2"/>
        <v>2022.08</v>
      </c>
      <c r="B377" s="1222">
        <v>51136392.400154084</v>
      </c>
      <c r="C377" s="201"/>
    </row>
    <row r="378" spans="1:3">
      <c r="A378" s="1340">
        <f t="shared" si="2"/>
        <v>2022.09</v>
      </c>
      <c r="B378" s="1222">
        <v>51789826.247062504</v>
      </c>
      <c r="C378" s="201"/>
    </row>
    <row r="379" spans="1:3">
      <c r="A379" s="1340">
        <f t="shared" si="2"/>
        <v>2022.1</v>
      </c>
      <c r="B379" s="1222">
        <v>58933857.137441233</v>
      </c>
      <c r="C379" s="201"/>
    </row>
    <row r="380" spans="1:3">
      <c r="A380" s="1340">
        <f t="shared" si="2"/>
        <v>2022.11</v>
      </c>
      <c r="B380" s="1222">
        <v>59644753.211845145</v>
      </c>
      <c r="C380" s="201"/>
    </row>
    <row r="381" spans="1:3">
      <c r="A381" s="1340">
        <f t="shared" si="2"/>
        <v>2022.12</v>
      </c>
      <c r="B381" s="1222">
        <v>66161269.808220014</v>
      </c>
      <c r="C381" s="201"/>
    </row>
    <row r="382" spans="1:3">
      <c r="A382" s="1340">
        <f t="shared" si="2"/>
        <v>2023.01</v>
      </c>
      <c r="B382" s="1222">
        <v>62820178.768470392</v>
      </c>
      <c r="C382" s="1983"/>
    </row>
    <row r="383" spans="1:3">
      <c r="A383" s="1340">
        <f t="shared" si="2"/>
        <v>2023.02</v>
      </c>
      <c r="B383" s="1222">
        <v>62322533.811819993</v>
      </c>
      <c r="C383" s="1983"/>
    </row>
    <row r="384" spans="1:3">
      <c r="A384" s="1340">
        <f t="shared" si="2"/>
        <v>2023.03</v>
      </c>
      <c r="B384" s="1222">
        <v>67327625.931510746</v>
      </c>
      <c r="C384" s="1983"/>
    </row>
    <row r="385" spans="1:4">
      <c r="A385" s="1340">
        <f t="shared" si="2"/>
        <v>2023.04</v>
      </c>
      <c r="B385" s="1222">
        <v>75018341.537748963</v>
      </c>
      <c r="C385" s="1983"/>
      <c r="D385" s="201"/>
    </row>
    <row r="386" spans="1:4">
      <c r="A386" s="1340">
        <f t="shared" si="2"/>
        <v>2023.05</v>
      </c>
      <c r="B386" s="1222">
        <v>93494136.950799957</v>
      </c>
      <c r="C386" s="1983"/>
      <c r="D386" s="201"/>
    </row>
    <row r="387" spans="1:4">
      <c r="A387" s="1340">
        <f t="shared" si="2"/>
        <v>2023.06</v>
      </c>
      <c r="B387" s="1222">
        <v>112315607.61296964</v>
      </c>
      <c r="C387" s="1983"/>
      <c r="D387" s="201"/>
    </row>
    <row r="388" spans="1:4">
      <c r="A388" s="1340">
        <f t="shared" si="2"/>
        <v>2023.07</v>
      </c>
      <c r="B388" s="1222">
        <v>98881322.371633157</v>
      </c>
      <c r="C388" s="1983"/>
      <c r="D388" s="201"/>
    </row>
    <row r="389" spans="1:4">
      <c r="A389" s="1340">
        <f t="shared" si="2"/>
        <v>2023.08</v>
      </c>
      <c r="B389" s="1222">
        <v>119605086.03583835</v>
      </c>
      <c r="C389" s="1983"/>
      <c r="D389" s="201"/>
    </row>
    <row r="390" spans="1:4">
      <c r="A390" s="1340">
        <f t="shared" si="2"/>
        <v>2023.09</v>
      </c>
      <c r="B390" s="1222">
        <v>123116323.25839679</v>
      </c>
      <c r="C390" s="1983"/>
      <c r="D390" s="201"/>
    </row>
    <row r="391" spans="1:4">
      <c r="A391" s="1340">
        <f t="shared" si="2"/>
        <v>2023.1</v>
      </c>
      <c r="B391" s="1222">
        <v>130107616.74159853</v>
      </c>
      <c r="C391" s="1983"/>
      <c r="D391" s="201"/>
    </row>
    <row r="392" spans="1:4">
      <c r="A392" s="1340">
        <f t="shared" si="2"/>
        <v>2023.11</v>
      </c>
      <c r="B392" s="1222">
        <v>135996257.98842871</v>
      </c>
      <c r="C392" s="1983"/>
      <c r="D392" s="201"/>
    </row>
    <row r="393" spans="1:4">
      <c r="A393" s="1340">
        <f t="shared" si="2"/>
        <v>2023.12</v>
      </c>
      <c r="B393" s="1222">
        <v>163411677.28899014</v>
      </c>
      <c r="C393" s="1983"/>
      <c r="D393" s="201"/>
    </row>
    <row r="394" spans="1:4">
      <c r="A394" s="1340">
        <f t="shared" ref="A394:A457" si="3">A382+1</f>
        <v>2024.01</v>
      </c>
      <c r="B394" s="1222">
        <v>199863968.19593</v>
      </c>
      <c r="C394" s="1983"/>
      <c r="D394" s="201"/>
    </row>
    <row r="395" spans="1:4">
      <c r="A395" s="1340">
        <f t="shared" si="3"/>
        <v>2024.02</v>
      </c>
      <c r="B395" s="1222">
        <v>193052996.16180259</v>
      </c>
      <c r="C395" s="1983"/>
      <c r="D395" s="201"/>
    </row>
    <row r="396" spans="1:4">
      <c r="A396" s="1340">
        <f t="shared" si="3"/>
        <v>2024.03</v>
      </c>
      <c r="B396" s="1222">
        <v>192449679.20925412</v>
      </c>
      <c r="C396" s="1983"/>
      <c r="D396" s="201"/>
    </row>
    <row r="397" spans="1:4">
      <c r="A397" s="1340">
        <f t="shared" si="3"/>
        <v>2024.04</v>
      </c>
      <c r="B397" s="1222">
        <v>232972568.94190502</v>
      </c>
      <c r="C397" s="1983"/>
      <c r="D397" s="201"/>
    </row>
    <row r="398" spans="1:4">
      <c r="A398" s="1340">
        <f t="shared" si="3"/>
        <v>2024.05</v>
      </c>
      <c r="B398" s="1222">
        <v>437442322.86684072</v>
      </c>
      <c r="C398" s="1983"/>
      <c r="D398" s="201"/>
    </row>
    <row r="399" spans="1:4">
      <c r="A399" s="1340">
        <f t="shared" si="3"/>
        <v>2024.06</v>
      </c>
      <c r="B399" s="1222">
        <v>318146100.70615971</v>
      </c>
      <c r="C399" s="201"/>
      <c r="D399" s="201"/>
    </row>
    <row r="400" spans="1:4">
      <c r="A400" s="1340">
        <f t="shared" si="3"/>
        <v>2024.07</v>
      </c>
      <c r="B400" s="1222">
        <v>291049398.5868631</v>
      </c>
      <c r="C400" s="201"/>
      <c r="D400" s="201"/>
    </row>
    <row r="401" spans="1:3">
      <c r="A401" s="1340">
        <f t="shared" si="3"/>
        <v>2024.08</v>
      </c>
      <c r="B401" s="1222">
        <v>326313921.00832683</v>
      </c>
    </row>
    <row r="402" spans="1:3">
      <c r="A402" s="1340">
        <f t="shared" si="3"/>
        <v>2024.09</v>
      </c>
      <c r="B402" s="1222">
        <v>378361663.21082109</v>
      </c>
    </row>
    <row r="403" spans="1:3">
      <c r="A403" s="1340">
        <f t="shared" si="3"/>
        <v>2024.1</v>
      </c>
      <c r="B403" s="1222">
        <v>359145199.19426018</v>
      </c>
    </row>
    <row r="404" spans="1:3">
      <c r="A404" s="1340">
        <f t="shared" si="3"/>
        <v>2024.11</v>
      </c>
      <c r="B404" s="1222">
        <v>367438791.02604061</v>
      </c>
    </row>
    <row r="405" spans="1:3">
      <c r="A405" s="1340">
        <f t="shared" si="3"/>
        <v>2024.12</v>
      </c>
      <c r="B405" s="1222">
        <v>366169008.782897</v>
      </c>
    </row>
    <row r="406" spans="1:3">
      <c r="A406" s="1340">
        <f t="shared" si="3"/>
        <v>2025.01</v>
      </c>
      <c r="B406" s="1222">
        <v>408054491.54080999</v>
      </c>
    </row>
    <row r="407" spans="1:3">
      <c r="A407" s="1340">
        <f t="shared" si="3"/>
        <v>2025.02</v>
      </c>
      <c r="B407" s="1222">
        <v>379345100</v>
      </c>
    </row>
    <row r="408" spans="1:3">
      <c r="A408" s="1340">
        <f t="shared" si="3"/>
        <v>2025.03</v>
      </c>
      <c r="B408" s="1222">
        <v>342197895.98906296</v>
      </c>
    </row>
    <row r="409" spans="1:3">
      <c r="A409" s="1340">
        <f t="shared" si="3"/>
        <v>2025.04</v>
      </c>
      <c r="B409" s="1222">
        <v>369835420.61780697</v>
      </c>
      <c r="C409" s="3498"/>
    </row>
    <row r="410" spans="1:3">
      <c r="A410" s="1340">
        <f t="shared" si="3"/>
        <v>2025.05</v>
      </c>
      <c r="B410" s="1222">
        <v>474498154.79860902</v>
      </c>
    </row>
    <row r="411" spans="1:3">
      <c r="A411" s="1340">
        <f t="shared" si="3"/>
        <v>2025.06</v>
      </c>
      <c r="B411" s="1222" t="e">
        <v>#N/A</v>
      </c>
    </row>
    <row r="412" spans="1:3">
      <c r="A412" s="1340">
        <f t="shared" si="3"/>
        <v>2025.07</v>
      </c>
      <c r="B412" s="1222" t="e">
        <v>#N/A</v>
      </c>
    </row>
    <row r="413" spans="1:3">
      <c r="A413" s="1340">
        <f t="shared" si="3"/>
        <v>2025.08</v>
      </c>
      <c r="B413" s="1222" t="e">
        <v>#N/A</v>
      </c>
    </row>
    <row r="414" spans="1:3">
      <c r="A414" s="1340">
        <f t="shared" si="3"/>
        <v>2025.09</v>
      </c>
      <c r="B414" s="1222" t="e">
        <v>#N/A</v>
      </c>
    </row>
    <row r="415" spans="1:3">
      <c r="A415" s="1340">
        <f t="shared" si="3"/>
        <v>2025.1</v>
      </c>
      <c r="B415" s="1222" t="e">
        <v>#N/A</v>
      </c>
    </row>
    <row r="416" spans="1:3">
      <c r="A416" s="1340">
        <f t="shared" si="3"/>
        <v>2025.11</v>
      </c>
      <c r="B416" s="1222" t="e">
        <v>#N/A</v>
      </c>
    </row>
    <row r="417" spans="1:2">
      <c r="A417" s="1340">
        <f t="shared" si="3"/>
        <v>2025.12</v>
      </c>
      <c r="B417" s="1222" t="e">
        <v>#N/A</v>
      </c>
    </row>
    <row r="418" spans="1:2">
      <c r="A418" s="1340">
        <f t="shared" si="3"/>
        <v>2026.01</v>
      </c>
      <c r="B418" s="1222" t="e">
        <v>#N/A</v>
      </c>
    </row>
    <row r="419" spans="1:2">
      <c r="A419" s="1340">
        <f t="shared" si="3"/>
        <v>2026.02</v>
      </c>
      <c r="B419" s="1222" t="e">
        <v>#N/A</v>
      </c>
    </row>
    <row r="420" spans="1:2">
      <c r="A420" s="1340">
        <f t="shared" si="3"/>
        <v>2026.03</v>
      </c>
      <c r="B420" s="1222" t="e">
        <v>#N/A</v>
      </c>
    </row>
    <row r="421" spans="1:2">
      <c r="A421" s="1340">
        <f t="shared" si="3"/>
        <v>2026.04</v>
      </c>
      <c r="B421" s="1222" t="e">
        <v>#N/A</v>
      </c>
    </row>
    <row r="422" spans="1:2">
      <c r="A422" s="1340">
        <f t="shared" si="3"/>
        <v>2026.05</v>
      </c>
      <c r="B422" s="1222" t="e">
        <v>#N/A</v>
      </c>
    </row>
    <row r="423" spans="1:2">
      <c r="A423" s="1340">
        <f t="shared" si="3"/>
        <v>2026.06</v>
      </c>
      <c r="B423" s="1222" t="e">
        <v>#N/A</v>
      </c>
    </row>
    <row r="424" spans="1:2">
      <c r="A424" s="1340">
        <f t="shared" si="3"/>
        <v>2026.07</v>
      </c>
      <c r="B424" s="1222" t="e">
        <v>#N/A</v>
      </c>
    </row>
    <row r="425" spans="1:2">
      <c r="A425" s="1340">
        <f t="shared" si="3"/>
        <v>2026.08</v>
      </c>
      <c r="B425" s="1222" t="e">
        <v>#N/A</v>
      </c>
    </row>
    <row r="426" spans="1:2">
      <c r="A426" s="1340">
        <f t="shared" si="3"/>
        <v>2026.09</v>
      </c>
      <c r="B426" s="1222" t="e">
        <v>#N/A</v>
      </c>
    </row>
    <row r="427" spans="1:2">
      <c r="A427" s="1340">
        <f t="shared" si="3"/>
        <v>2026.1</v>
      </c>
      <c r="B427" s="1222" t="e">
        <v>#N/A</v>
      </c>
    </row>
    <row r="428" spans="1:2">
      <c r="A428" s="1340">
        <f t="shared" si="3"/>
        <v>2026.11</v>
      </c>
      <c r="B428" s="1222" t="e">
        <v>#N/A</v>
      </c>
    </row>
    <row r="429" spans="1:2">
      <c r="A429" s="1340">
        <f t="shared" si="3"/>
        <v>2026.12</v>
      </c>
      <c r="B429" s="1222" t="e">
        <v>#N/A</v>
      </c>
    </row>
    <row r="430" spans="1:2">
      <c r="A430" s="1340">
        <f t="shared" si="3"/>
        <v>2027.01</v>
      </c>
      <c r="B430" s="1222" t="e">
        <v>#N/A</v>
      </c>
    </row>
    <row r="431" spans="1:2">
      <c r="A431" s="1340">
        <f t="shared" si="3"/>
        <v>2027.02</v>
      </c>
      <c r="B431" s="1222" t="e">
        <v>#N/A</v>
      </c>
    </row>
    <row r="432" spans="1:2">
      <c r="A432" s="1340">
        <f t="shared" si="3"/>
        <v>2027.03</v>
      </c>
      <c r="B432" s="1222" t="e">
        <v>#N/A</v>
      </c>
    </row>
    <row r="433" spans="1:2">
      <c r="A433" s="1340">
        <f t="shared" si="3"/>
        <v>2027.04</v>
      </c>
      <c r="B433" s="1222" t="e">
        <v>#N/A</v>
      </c>
    </row>
    <row r="434" spans="1:2">
      <c r="A434" s="1340">
        <f t="shared" si="3"/>
        <v>2027.05</v>
      </c>
      <c r="B434" s="1222" t="e">
        <v>#N/A</v>
      </c>
    </row>
    <row r="435" spans="1:2">
      <c r="A435" s="1340">
        <f t="shared" si="3"/>
        <v>2027.06</v>
      </c>
      <c r="B435" s="1222" t="e">
        <v>#N/A</v>
      </c>
    </row>
    <row r="436" spans="1:2">
      <c r="A436" s="1340">
        <f t="shared" si="3"/>
        <v>2027.07</v>
      </c>
      <c r="B436" s="1222" t="e">
        <v>#N/A</v>
      </c>
    </row>
    <row r="437" spans="1:2">
      <c r="A437" s="1340">
        <f t="shared" si="3"/>
        <v>2027.08</v>
      </c>
      <c r="B437" s="1222" t="e">
        <v>#N/A</v>
      </c>
    </row>
    <row r="438" spans="1:2">
      <c r="A438" s="1340">
        <f t="shared" si="3"/>
        <v>2027.09</v>
      </c>
      <c r="B438" s="1222" t="e">
        <v>#N/A</v>
      </c>
    </row>
    <row r="439" spans="1:2">
      <c r="A439" s="1340">
        <f t="shared" si="3"/>
        <v>2027.1</v>
      </c>
      <c r="B439" s="1222" t="e">
        <v>#N/A</v>
      </c>
    </row>
    <row r="440" spans="1:2">
      <c r="A440" s="1340">
        <f t="shared" si="3"/>
        <v>2027.11</v>
      </c>
      <c r="B440" s="1222" t="e">
        <v>#N/A</v>
      </c>
    </row>
    <row r="441" spans="1:2">
      <c r="A441" s="1340">
        <f t="shared" si="3"/>
        <v>2027.12</v>
      </c>
      <c r="B441" s="1222" t="e">
        <v>#N/A</v>
      </c>
    </row>
    <row r="442" spans="1:2">
      <c r="A442" s="1340">
        <f t="shared" si="3"/>
        <v>2028.01</v>
      </c>
      <c r="B442" s="1222" t="e">
        <v>#N/A</v>
      </c>
    </row>
    <row r="443" spans="1:2">
      <c r="A443" s="1340">
        <f t="shared" si="3"/>
        <v>2028.02</v>
      </c>
      <c r="B443" s="1222" t="e">
        <v>#N/A</v>
      </c>
    </row>
    <row r="444" spans="1:2">
      <c r="A444" s="1340">
        <f t="shared" si="3"/>
        <v>2028.03</v>
      </c>
      <c r="B444" s="1222" t="e">
        <v>#N/A</v>
      </c>
    </row>
    <row r="445" spans="1:2">
      <c r="A445" s="1340">
        <f t="shared" si="3"/>
        <v>2028.04</v>
      </c>
      <c r="B445" s="1222" t="e">
        <v>#N/A</v>
      </c>
    </row>
    <row r="446" spans="1:2">
      <c r="A446" s="1340">
        <f t="shared" si="3"/>
        <v>2028.05</v>
      </c>
      <c r="B446" s="1222" t="e">
        <v>#N/A</v>
      </c>
    </row>
    <row r="447" spans="1:2">
      <c r="A447" s="1340">
        <f t="shared" si="3"/>
        <v>2028.06</v>
      </c>
      <c r="B447" s="1222" t="e">
        <v>#N/A</v>
      </c>
    </row>
    <row r="448" spans="1:2">
      <c r="A448" s="1340">
        <f t="shared" si="3"/>
        <v>2028.07</v>
      </c>
      <c r="B448" s="1222" t="e">
        <v>#N/A</v>
      </c>
    </row>
    <row r="449" spans="1:2">
      <c r="A449" s="1340">
        <f t="shared" si="3"/>
        <v>2028.08</v>
      </c>
      <c r="B449" s="1222" t="e">
        <v>#N/A</v>
      </c>
    </row>
    <row r="450" spans="1:2">
      <c r="A450" s="1340">
        <f t="shared" si="3"/>
        <v>2028.09</v>
      </c>
      <c r="B450" s="1222" t="e">
        <v>#N/A</v>
      </c>
    </row>
    <row r="451" spans="1:2">
      <c r="A451" s="1340">
        <f t="shared" si="3"/>
        <v>2028.1</v>
      </c>
      <c r="B451" s="1222" t="e">
        <v>#N/A</v>
      </c>
    </row>
    <row r="452" spans="1:2">
      <c r="A452" s="1340">
        <f t="shared" si="3"/>
        <v>2028.11</v>
      </c>
      <c r="B452" s="1222" t="e">
        <v>#N/A</v>
      </c>
    </row>
    <row r="453" spans="1:2">
      <c r="A453" s="1340">
        <f t="shared" si="3"/>
        <v>2028.12</v>
      </c>
      <c r="B453" s="1222" t="e">
        <v>#N/A</v>
      </c>
    </row>
    <row r="454" spans="1:2">
      <c r="A454" s="1340">
        <f t="shared" si="3"/>
        <v>2029.01</v>
      </c>
      <c r="B454" s="1222" t="e">
        <v>#N/A</v>
      </c>
    </row>
    <row r="455" spans="1:2">
      <c r="A455" s="1340">
        <f t="shared" si="3"/>
        <v>2029.02</v>
      </c>
      <c r="B455" s="1222" t="e">
        <v>#N/A</v>
      </c>
    </row>
    <row r="456" spans="1:2">
      <c r="A456" s="1340">
        <f t="shared" si="3"/>
        <v>2029.03</v>
      </c>
      <c r="B456" s="1222" t="e">
        <v>#N/A</v>
      </c>
    </row>
    <row r="457" spans="1:2">
      <c r="A457" s="1340">
        <f t="shared" si="3"/>
        <v>2029.04</v>
      </c>
      <c r="B457" s="1222" t="e">
        <v>#N/A</v>
      </c>
    </row>
    <row r="458" spans="1:2">
      <c r="A458" s="1340">
        <f t="shared" ref="A458:A477" si="4">A446+1</f>
        <v>2029.05</v>
      </c>
      <c r="B458" s="1222" t="e">
        <v>#N/A</v>
      </c>
    </row>
    <row r="459" spans="1:2">
      <c r="A459" s="1340">
        <f t="shared" si="4"/>
        <v>2029.06</v>
      </c>
      <c r="B459" s="1222" t="e">
        <v>#N/A</v>
      </c>
    </row>
    <row r="460" spans="1:2">
      <c r="A460" s="1340">
        <f t="shared" si="4"/>
        <v>2029.07</v>
      </c>
      <c r="B460" s="1222" t="e">
        <v>#N/A</v>
      </c>
    </row>
    <row r="461" spans="1:2">
      <c r="A461" s="1340">
        <f t="shared" si="4"/>
        <v>2029.08</v>
      </c>
      <c r="B461" s="1222" t="e">
        <v>#N/A</v>
      </c>
    </row>
    <row r="462" spans="1:2">
      <c r="A462" s="1340">
        <f t="shared" si="4"/>
        <v>2029.09</v>
      </c>
      <c r="B462" s="1222" t="e">
        <v>#N/A</v>
      </c>
    </row>
    <row r="463" spans="1:2">
      <c r="A463" s="1340">
        <f t="shared" si="4"/>
        <v>2029.1</v>
      </c>
      <c r="B463" s="1222" t="e">
        <v>#N/A</v>
      </c>
    </row>
    <row r="464" spans="1:2">
      <c r="A464" s="1340">
        <f t="shared" si="4"/>
        <v>2029.11</v>
      </c>
      <c r="B464" s="1222" t="e">
        <v>#N/A</v>
      </c>
    </row>
    <row r="465" spans="1:2">
      <c r="A465" s="1340">
        <f t="shared" si="4"/>
        <v>2029.12</v>
      </c>
      <c r="B465" s="1222" t="e">
        <v>#N/A</v>
      </c>
    </row>
    <row r="466" spans="1:2">
      <c r="A466" s="1340">
        <f t="shared" si="4"/>
        <v>2030.01</v>
      </c>
      <c r="B466" s="1222" t="e">
        <v>#N/A</v>
      </c>
    </row>
    <row r="467" spans="1:2">
      <c r="A467" s="1340">
        <f t="shared" si="4"/>
        <v>2030.02</v>
      </c>
      <c r="B467" s="1222" t="e">
        <v>#N/A</v>
      </c>
    </row>
    <row r="468" spans="1:2">
      <c r="A468" s="1340">
        <f t="shared" si="4"/>
        <v>2030.03</v>
      </c>
      <c r="B468" s="1222" t="e">
        <v>#N/A</v>
      </c>
    </row>
    <row r="469" spans="1:2">
      <c r="A469" s="1340">
        <f t="shared" si="4"/>
        <v>2030.04</v>
      </c>
      <c r="B469" s="1222" t="e">
        <v>#N/A</v>
      </c>
    </row>
    <row r="470" spans="1:2">
      <c r="A470" s="1340">
        <f t="shared" si="4"/>
        <v>2030.05</v>
      </c>
      <c r="B470" s="1222" t="e">
        <v>#N/A</v>
      </c>
    </row>
    <row r="471" spans="1:2">
      <c r="A471" s="1340">
        <f t="shared" si="4"/>
        <v>2030.06</v>
      </c>
      <c r="B471" s="1222" t="e">
        <v>#N/A</v>
      </c>
    </row>
    <row r="472" spans="1:2">
      <c r="A472" s="1340">
        <f t="shared" si="4"/>
        <v>2030.07</v>
      </c>
      <c r="B472" s="1222" t="e">
        <v>#N/A</v>
      </c>
    </row>
    <row r="473" spans="1:2">
      <c r="A473" s="1340">
        <f t="shared" si="4"/>
        <v>2030.08</v>
      </c>
      <c r="B473" s="1222" t="e">
        <v>#N/A</v>
      </c>
    </row>
    <row r="474" spans="1:2">
      <c r="A474" s="1340">
        <f t="shared" si="4"/>
        <v>2030.09</v>
      </c>
      <c r="B474" s="1222" t="e">
        <v>#N/A</v>
      </c>
    </row>
    <row r="475" spans="1:2">
      <c r="A475" s="1340">
        <f t="shared" si="4"/>
        <v>2030.1</v>
      </c>
      <c r="B475" s="1222" t="e">
        <v>#N/A</v>
      </c>
    </row>
    <row r="476" spans="1:2">
      <c r="A476" s="1340">
        <f t="shared" si="4"/>
        <v>2030.11</v>
      </c>
      <c r="B476" s="1222" t="e">
        <v>#N/A</v>
      </c>
    </row>
    <row r="477" spans="1:2">
      <c r="A477" s="1340">
        <f t="shared" si="4"/>
        <v>2030.12</v>
      </c>
      <c r="B477" s="1222" t="e">
        <v>#N/A</v>
      </c>
    </row>
  </sheetData>
  <phoneticPr fontId="0" type="noConversion"/>
  <hyperlinks>
    <hyperlink ref="A5" location="INDICE!A13" display="VOLVER AL INDICE" xr:uid="{00000000-0004-0000-2F00-000000000000}"/>
  </hyperlinks>
  <pageMargins left="0.75" right="0.75" top="1" bottom="1" header="0" footer="0"/>
  <pageSetup paperSize="9"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7">
    <pageSetUpPr autoPageBreaks="0"/>
  </sheetPr>
  <dimension ref="A1:F477"/>
  <sheetViews>
    <sheetView zoomScale="130" zoomScaleNormal="130" workbookViewId="0">
      <pane xSplit="1" ySplit="9" topLeftCell="B394"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3.28515625" style="24" customWidth="1"/>
    <col min="3" max="3" width="19" style="24" bestFit="1" customWidth="1"/>
    <col min="4" max="4" width="23.28515625" style="24" customWidth="1"/>
    <col min="5" max="5" width="23.42578125" style="24" customWidth="1"/>
    <col min="6" max="6" width="11.42578125" style="9"/>
    <col min="7" max="7" width="12.28515625" style="9" bestFit="1" customWidth="1"/>
    <col min="8" max="16384" width="11.42578125" style="9"/>
  </cols>
  <sheetData>
    <row r="1" spans="1:6" ht="3.75" customHeight="1">
      <c r="A1" s="2373"/>
      <c r="B1" s="2474"/>
      <c r="C1" s="1818"/>
      <c r="D1" s="1818"/>
      <c r="E1" s="2214"/>
      <c r="F1" s="201"/>
    </row>
    <row r="2" spans="1:6">
      <c r="A2" s="2373" t="s">
        <v>105</v>
      </c>
      <c r="B2" s="2474" t="s">
        <v>1379</v>
      </c>
      <c r="C2" s="1818"/>
      <c r="D2" s="1818"/>
      <c r="E2" s="2214"/>
      <c r="F2" s="201"/>
    </row>
    <row r="3" spans="1:6">
      <c r="A3" s="2373" t="s">
        <v>109</v>
      </c>
      <c r="B3" s="2474" t="s">
        <v>372</v>
      </c>
      <c r="C3" s="1818"/>
      <c r="D3" s="1818"/>
      <c r="E3" s="2214"/>
      <c r="F3" s="201"/>
    </row>
    <row r="4" spans="1:6" ht="3" hidden="1" customHeight="1">
      <c r="A4" s="104"/>
      <c r="B4" s="2475"/>
      <c r="C4" s="261" t="s">
        <v>5</v>
      </c>
      <c r="D4" s="261"/>
      <c r="E4" s="262"/>
      <c r="F4" s="201"/>
    </row>
    <row r="5" spans="1:6" s="24" customFormat="1" ht="22.5">
      <c r="A5" s="2390" t="s">
        <v>137</v>
      </c>
      <c r="B5" s="2402" t="s">
        <v>1380</v>
      </c>
      <c r="C5" s="2402"/>
      <c r="D5" s="2402" t="s">
        <v>1381</v>
      </c>
      <c r="E5" s="1884"/>
      <c r="F5" s="62"/>
    </row>
    <row r="6" spans="1:6" s="24" customFormat="1" ht="11.25">
      <c r="A6" s="104"/>
      <c r="B6" s="2387"/>
      <c r="C6" s="142"/>
      <c r="D6" s="2387"/>
      <c r="E6" s="79"/>
      <c r="F6" s="62"/>
    </row>
    <row r="7" spans="1:6" s="24" customFormat="1" ht="22.5">
      <c r="A7" s="2373" t="s">
        <v>123</v>
      </c>
      <c r="B7" s="1991" t="s">
        <v>299</v>
      </c>
      <c r="C7" s="8" t="s">
        <v>299</v>
      </c>
      <c r="D7" s="1991" t="s">
        <v>299</v>
      </c>
      <c r="E7" s="8" t="s">
        <v>299</v>
      </c>
      <c r="F7" s="2215" t="s">
        <v>1382</v>
      </c>
    </row>
    <row r="8" spans="1:6" s="24" customFormat="1" ht="13.5" customHeight="1">
      <c r="A8" s="105" t="s">
        <v>141</v>
      </c>
      <c r="B8" s="944" t="s">
        <v>1383</v>
      </c>
      <c r="C8" s="940" t="s">
        <v>1384</v>
      </c>
      <c r="D8" s="944" t="s">
        <v>1385</v>
      </c>
      <c r="E8" s="949" t="s">
        <v>1386</v>
      </c>
      <c r="F8" s="62"/>
    </row>
    <row r="9" spans="1:6" ht="13.5" thickBot="1">
      <c r="A9" s="93"/>
      <c r="B9" s="945" t="s">
        <v>1387</v>
      </c>
      <c r="C9" s="941" t="s">
        <v>1388</v>
      </c>
      <c r="D9" s="945" t="s">
        <v>1387</v>
      </c>
      <c r="E9" s="950" t="s">
        <v>1388</v>
      </c>
      <c r="F9" s="201"/>
    </row>
    <row r="10" spans="1:6">
      <c r="A10" s="1340">
        <v>1992.01</v>
      </c>
      <c r="B10" s="946">
        <v>139.17007952012293</v>
      </c>
      <c r="C10" s="942"/>
      <c r="D10" s="953"/>
      <c r="E10" s="951"/>
      <c r="F10" s="201"/>
    </row>
    <row r="11" spans="1:6">
      <c r="A11" s="1340">
        <v>1992.02</v>
      </c>
      <c r="B11" s="947">
        <v>143.75702166187693</v>
      </c>
      <c r="C11" s="943"/>
      <c r="D11" s="954"/>
      <c r="E11" s="952"/>
      <c r="F11" s="201"/>
    </row>
    <row r="12" spans="1:6">
      <c r="A12" s="1340">
        <v>1992.03</v>
      </c>
      <c r="B12" s="947">
        <v>171.88421062883032</v>
      </c>
      <c r="C12" s="943"/>
      <c r="D12" s="954"/>
      <c r="E12" s="952"/>
      <c r="F12" s="201"/>
    </row>
    <row r="13" spans="1:6">
      <c r="A13" s="1340">
        <v>1992.04</v>
      </c>
      <c r="B13" s="947">
        <v>171.07534478944879</v>
      </c>
      <c r="C13" s="943"/>
      <c r="D13" s="954"/>
      <c r="E13" s="952"/>
      <c r="F13" s="201"/>
    </row>
    <row r="14" spans="1:6">
      <c r="A14" s="1340">
        <v>1992.05</v>
      </c>
      <c r="B14" s="947">
        <v>185.37310758485609</v>
      </c>
      <c r="C14" s="943"/>
      <c r="D14" s="954"/>
      <c r="E14" s="952"/>
      <c r="F14" s="201"/>
    </row>
    <row r="15" spans="1:6">
      <c r="A15" s="1340">
        <v>1992.06</v>
      </c>
      <c r="B15" s="947">
        <v>229.97842765071454</v>
      </c>
      <c r="C15" s="943"/>
      <c r="D15" s="954"/>
      <c r="E15" s="952"/>
      <c r="F15" s="201"/>
    </row>
    <row r="16" spans="1:6">
      <c r="A16" s="1340">
        <v>1992.07</v>
      </c>
      <c r="B16" s="947">
        <v>192.74256780084758</v>
      </c>
      <c r="C16" s="943"/>
      <c r="D16" s="954"/>
      <c r="E16" s="952"/>
      <c r="F16" s="201"/>
    </row>
    <row r="17" spans="1:5">
      <c r="A17" s="1340">
        <v>1992.08</v>
      </c>
      <c r="B17" s="947">
        <v>191.99104502305352</v>
      </c>
      <c r="C17" s="943"/>
      <c r="D17" s="954"/>
      <c r="E17" s="952"/>
    </row>
    <row r="18" spans="1:5">
      <c r="A18" s="1340">
        <v>1992.09</v>
      </c>
      <c r="B18" s="947">
        <v>200.73849115279333</v>
      </c>
      <c r="C18" s="943"/>
      <c r="D18" s="954"/>
      <c r="E18" s="952"/>
    </row>
    <row r="19" spans="1:5">
      <c r="A19" s="1340">
        <v>1992.1</v>
      </c>
      <c r="B19" s="947">
        <v>201.99228334221726</v>
      </c>
      <c r="C19" s="943"/>
      <c r="D19" s="954"/>
      <c r="E19" s="952"/>
    </row>
    <row r="20" spans="1:5">
      <c r="A20" s="1340">
        <v>1992.11</v>
      </c>
      <c r="B20" s="947">
        <v>215.03277744942824</v>
      </c>
      <c r="C20" s="943"/>
      <c r="D20" s="954"/>
      <c r="E20" s="952"/>
    </row>
    <row r="21" spans="1:5">
      <c r="A21" s="1340">
        <v>1992.12</v>
      </c>
      <c r="B21" s="947">
        <v>464.34936594698848</v>
      </c>
      <c r="C21" s="943"/>
      <c r="D21" s="954"/>
      <c r="E21" s="952"/>
    </row>
    <row r="22" spans="1:5">
      <c r="A22" s="1340">
        <v>1993.01</v>
      </c>
      <c r="B22" s="947">
        <v>167.47013329098451</v>
      </c>
      <c r="C22" s="943"/>
      <c r="D22" s="954"/>
      <c r="E22" s="952"/>
    </row>
    <row r="23" spans="1:5">
      <c r="A23" s="1340">
        <v>1993.02</v>
      </c>
      <c r="B23" s="947">
        <v>172.98982412199032</v>
      </c>
      <c r="C23" s="943"/>
      <c r="D23" s="954"/>
      <c r="E23" s="952"/>
    </row>
    <row r="24" spans="1:5">
      <c r="A24" s="1340">
        <v>1993.03</v>
      </c>
      <c r="B24" s="947">
        <v>206.83664020227639</v>
      </c>
      <c r="C24" s="943"/>
      <c r="D24" s="954"/>
      <c r="E24" s="952"/>
    </row>
    <row r="25" spans="1:5">
      <c r="A25" s="1340">
        <v>1993.04</v>
      </c>
      <c r="B25" s="947">
        <v>205.8632925516691</v>
      </c>
      <c r="C25" s="943"/>
      <c r="D25" s="954"/>
      <c r="E25" s="952"/>
    </row>
    <row r="26" spans="1:5">
      <c r="A26" s="1340">
        <v>1993.05</v>
      </c>
      <c r="B26" s="947">
        <v>223.06848672390862</v>
      </c>
      <c r="C26" s="943"/>
      <c r="D26" s="954"/>
      <c r="E26" s="952"/>
    </row>
    <row r="27" spans="1:5">
      <c r="A27" s="1340">
        <v>1993.06</v>
      </c>
      <c r="B27" s="947">
        <v>276.74424032464026</v>
      </c>
      <c r="C27" s="943"/>
      <c r="D27" s="954"/>
      <c r="E27" s="952"/>
    </row>
    <row r="28" spans="1:5">
      <c r="A28" s="1340">
        <v>1993.07</v>
      </c>
      <c r="B28" s="947">
        <v>231.93651704271187</v>
      </c>
      <c r="C28" s="943"/>
      <c r="D28" s="954"/>
      <c r="E28" s="952"/>
    </row>
    <row r="29" spans="1:5">
      <c r="A29" s="1340">
        <v>1993.08</v>
      </c>
      <c r="B29" s="947">
        <v>231.0321730903166</v>
      </c>
      <c r="C29" s="943"/>
      <c r="D29" s="954"/>
      <c r="E29" s="952"/>
    </row>
    <row r="30" spans="1:5">
      <c r="A30" s="1340">
        <v>1993.09</v>
      </c>
      <c r="B30" s="947">
        <v>241.55840095735911</v>
      </c>
      <c r="C30" s="943"/>
      <c r="D30" s="954"/>
      <c r="E30" s="952"/>
    </row>
    <row r="31" spans="1:5">
      <c r="A31" s="1340">
        <v>1993.1</v>
      </c>
      <c r="B31" s="947">
        <v>243.06715014975762</v>
      </c>
      <c r="C31" s="943"/>
      <c r="D31" s="954"/>
      <c r="E31" s="952"/>
    </row>
    <row r="32" spans="1:5">
      <c r="A32" s="1340">
        <v>1993.11</v>
      </c>
      <c r="B32" s="947">
        <v>258.7594116893448</v>
      </c>
      <c r="C32" s="943"/>
      <c r="D32" s="954"/>
      <c r="E32" s="952"/>
    </row>
    <row r="33" spans="1:5">
      <c r="A33" s="1340">
        <v>1993.12</v>
      </c>
      <c r="B33" s="947">
        <v>558.77420259346843</v>
      </c>
      <c r="C33" s="943"/>
      <c r="D33" s="954"/>
      <c r="E33" s="952"/>
    </row>
    <row r="34" spans="1:5">
      <c r="A34" s="1340">
        <v>1994.01</v>
      </c>
      <c r="B34" s="947">
        <v>180.76139345845672</v>
      </c>
      <c r="C34" s="943"/>
      <c r="D34" s="954"/>
      <c r="E34" s="952"/>
    </row>
    <row r="35" spans="1:5">
      <c r="A35" s="1340">
        <v>1994.02</v>
      </c>
      <c r="B35" s="947">
        <v>186.71915432283049</v>
      </c>
      <c r="C35" s="943"/>
      <c r="D35" s="954"/>
      <c r="E35" s="952"/>
    </row>
    <row r="36" spans="1:5">
      <c r="A36" s="1340">
        <v>1994.03</v>
      </c>
      <c r="B36" s="947">
        <v>223.25222155443083</v>
      </c>
      <c r="C36" s="943"/>
      <c r="D36" s="954"/>
      <c r="E36" s="952"/>
    </row>
    <row r="37" spans="1:5">
      <c r="A37" s="1340">
        <v>1994.04</v>
      </c>
      <c r="B37" s="947">
        <v>222.20162420799187</v>
      </c>
      <c r="C37" s="943"/>
      <c r="D37" s="954"/>
      <c r="E37" s="952"/>
    </row>
    <row r="38" spans="1:5">
      <c r="A38" s="1340">
        <v>1994.05</v>
      </c>
      <c r="B38" s="947">
        <v>240.77230790054949</v>
      </c>
      <c r="C38" s="943"/>
      <c r="D38" s="954"/>
      <c r="E38" s="952"/>
    </row>
    <row r="39" spans="1:5">
      <c r="A39" s="1340">
        <v>1994.06</v>
      </c>
      <c r="B39" s="947">
        <v>298.70803545468368</v>
      </c>
      <c r="C39" s="943"/>
      <c r="D39" s="954"/>
      <c r="E39" s="952"/>
    </row>
    <row r="40" spans="1:5">
      <c r="A40" s="1340">
        <v>1994.07</v>
      </c>
      <c r="B40" s="947">
        <v>250.34414907699056</v>
      </c>
      <c r="C40" s="943"/>
      <c r="D40" s="954"/>
      <c r="E40" s="952"/>
    </row>
    <row r="41" spans="1:5">
      <c r="A41" s="1340">
        <v>1994.08</v>
      </c>
      <c r="B41" s="947">
        <v>249.36803190440398</v>
      </c>
      <c r="C41" s="943"/>
      <c r="D41" s="954"/>
      <c r="E41" s="952"/>
    </row>
    <row r="42" spans="1:5">
      <c r="A42" s="1340">
        <v>1994.09</v>
      </c>
      <c r="B42" s="947">
        <v>260.72967340857463</v>
      </c>
      <c r="C42" s="943"/>
      <c r="D42" s="954"/>
      <c r="E42" s="952"/>
    </row>
    <row r="43" spans="1:5">
      <c r="A43" s="1340">
        <v>1994.1</v>
      </c>
      <c r="B43" s="947">
        <v>262.35816441791422</v>
      </c>
      <c r="C43" s="943"/>
      <c r="D43" s="954"/>
      <c r="E43" s="952"/>
    </row>
    <row r="44" spans="1:5">
      <c r="A44" s="1340">
        <v>1994.11</v>
      </c>
      <c r="B44" s="947">
        <v>279.29584164231653</v>
      </c>
      <c r="C44" s="943"/>
      <c r="D44" s="954"/>
      <c r="E44" s="952"/>
    </row>
    <row r="45" spans="1:5">
      <c r="A45" s="1340">
        <v>1994.12</v>
      </c>
      <c r="B45" s="947">
        <v>603.12129395594638</v>
      </c>
      <c r="C45" s="943"/>
      <c r="D45" s="954"/>
      <c r="E45" s="952"/>
    </row>
    <row r="46" spans="1:5">
      <c r="A46" s="1340">
        <v>1995.01</v>
      </c>
      <c r="B46" s="947">
        <v>196.52840698375147</v>
      </c>
      <c r="C46" s="943"/>
      <c r="D46" s="954"/>
      <c r="E46" s="952"/>
    </row>
    <row r="47" spans="1:5">
      <c r="A47" s="1340">
        <v>1995.02</v>
      </c>
      <c r="B47" s="947">
        <v>203.00583686777483</v>
      </c>
      <c r="C47" s="943"/>
      <c r="D47" s="954"/>
      <c r="E47" s="952"/>
    </row>
    <row r="48" spans="1:5">
      <c r="A48" s="1340">
        <v>1995.03</v>
      </c>
      <c r="B48" s="947">
        <v>242.72552129755209</v>
      </c>
      <c r="C48" s="943"/>
      <c r="D48" s="954"/>
      <c r="E48" s="952"/>
    </row>
    <row r="49" spans="1:5">
      <c r="A49" s="1340">
        <v>1995.04</v>
      </c>
      <c r="B49" s="947">
        <v>241.58328501066234</v>
      </c>
      <c r="C49" s="943"/>
      <c r="D49" s="954"/>
      <c r="E49" s="952"/>
    </row>
    <row r="50" spans="1:5">
      <c r="A50" s="1340">
        <v>1995.05</v>
      </c>
      <c r="B50" s="947">
        <v>261.77380696266454</v>
      </c>
      <c r="C50" s="943"/>
      <c r="D50" s="954"/>
      <c r="E50" s="952"/>
    </row>
    <row r="51" spans="1:5">
      <c r="A51" s="1340">
        <v>1995.06</v>
      </c>
      <c r="B51" s="947">
        <v>324.76301071803067</v>
      </c>
      <c r="C51" s="943"/>
      <c r="D51" s="954"/>
      <c r="E51" s="952"/>
    </row>
    <row r="52" spans="1:5">
      <c r="A52" s="1340">
        <v>1995.07</v>
      </c>
      <c r="B52" s="947">
        <v>272.18055733295182</v>
      </c>
      <c r="C52" s="943"/>
      <c r="D52" s="954"/>
      <c r="E52" s="952"/>
    </row>
    <row r="53" spans="1:5">
      <c r="A53" s="1340">
        <v>1995.08</v>
      </c>
      <c r="B53" s="947">
        <v>271.11929779468647</v>
      </c>
      <c r="C53" s="943"/>
      <c r="D53" s="954"/>
      <c r="E53" s="952"/>
    </row>
    <row r="54" spans="1:5">
      <c r="A54" s="1340">
        <v>1995.09</v>
      </c>
      <c r="B54" s="947">
        <v>283.47196482614697</v>
      </c>
      <c r="C54" s="943"/>
      <c r="D54" s="954"/>
      <c r="E54" s="952"/>
    </row>
    <row r="55" spans="1:5">
      <c r="A55" s="1340">
        <v>1995.1</v>
      </c>
      <c r="B55" s="947">
        <v>285.24250187351947</v>
      </c>
      <c r="C55" s="943"/>
      <c r="D55" s="954"/>
      <c r="E55" s="952"/>
    </row>
    <row r="56" spans="1:5">
      <c r="A56" s="1340">
        <v>1995.11</v>
      </c>
      <c r="B56" s="947">
        <v>303.65757745591577</v>
      </c>
      <c r="C56" s="943"/>
      <c r="D56" s="954"/>
      <c r="E56" s="952"/>
    </row>
    <row r="57" spans="1:5">
      <c r="A57" s="1340">
        <v>1995.12</v>
      </c>
      <c r="B57" s="947">
        <v>655.72888575005447</v>
      </c>
      <c r="C57" s="943"/>
      <c r="D57" s="954"/>
      <c r="E57" s="952"/>
    </row>
    <row r="58" spans="1:5">
      <c r="A58" s="1340">
        <v>1996.01</v>
      </c>
      <c r="B58" s="947">
        <v>185.86911522385921</v>
      </c>
      <c r="C58" s="943"/>
      <c r="D58" s="954"/>
      <c r="E58" s="952"/>
    </row>
    <row r="59" spans="1:5">
      <c r="A59" s="1340">
        <v>1996.02</v>
      </c>
      <c r="B59" s="947">
        <v>191.99522279245892</v>
      </c>
      <c r="C59" s="943"/>
      <c r="D59" s="954"/>
      <c r="E59" s="952"/>
    </row>
    <row r="60" spans="1:5">
      <c r="A60" s="1340">
        <v>1996.03</v>
      </c>
      <c r="B60" s="947">
        <v>229.56059420741161</v>
      </c>
      <c r="C60" s="943"/>
      <c r="D60" s="954"/>
      <c r="E60" s="952"/>
    </row>
    <row r="61" spans="1:5">
      <c r="A61" s="1340">
        <v>1996.04</v>
      </c>
      <c r="B61" s="947">
        <v>228.48031043938443</v>
      </c>
      <c r="C61" s="943"/>
      <c r="D61" s="954"/>
      <c r="E61" s="952"/>
    </row>
    <row r="62" spans="1:5">
      <c r="A62" s="1340">
        <v>1996.05</v>
      </c>
      <c r="B62" s="947">
        <v>247.57574050327756</v>
      </c>
      <c r="C62" s="943"/>
      <c r="D62" s="954"/>
      <c r="E62" s="952"/>
    </row>
    <row r="63" spans="1:5">
      <c r="A63" s="1340">
        <v>1996.06</v>
      </c>
      <c r="B63" s="947">
        <v>307.14854094648916</v>
      </c>
      <c r="C63" s="943"/>
      <c r="D63" s="954"/>
      <c r="E63" s="952"/>
    </row>
    <row r="64" spans="1:5">
      <c r="A64" s="1340">
        <v>1996.07</v>
      </c>
      <c r="B64" s="947">
        <v>257.41805039306763</v>
      </c>
      <c r="C64" s="943"/>
      <c r="D64" s="954"/>
      <c r="E64" s="952"/>
    </row>
    <row r="65" spans="1:5">
      <c r="A65" s="1340">
        <v>1996.08</v>
      </c>
      <c r="B65" s="947">
        <v>256.4143513633565</v>
      </c>
      <c r="C65" s="943"/>
      <c r="D65" s="954"/>
      <c r="E65" s="952"/>
    </row>
    <row r="66" spans="1:5">
      <c r="A66" s="1340">
        <v>1996.09</v>
      </c>
      <c r="B66" s="947">
        <v>268.09703544465737</v>
      </c>
      <c r="C66" s="943"/>
      <c r="D66" s="954"/>
      <c r="E66" s="952"/>
    </row>
    <row r="67" spans="1:5">
      <c r="A67" s="1340">
        <v>1996.1</v>
      </c>
      <c r="B67" s="947">
        <v>269.77154224760221</v>
      </c>
      <c r="C67" s="943"/>
      <c r="D67" s="954"/>
      <c r="E67" s="952"/>
    </row>
    <row r="68" spans="1:5">
      <c r="A68" s="1340">
        <v>1996.11</v>
      </c>
      <c r="B68" s="947">
        <v>287.18782245773735</v>
      </c>
      <c r="C68" s="943"/>
      <c r="D68" s="954"/>
      <c r="E68" s="952"/>
    </row>
    <row r="69" spans="1:5">
      <c r="A69" s="1340">
        <v>1996.12</v>
      </c>
      <c r="B69" s="947">
        <v>620.16351575661236</v>
      </c>
      <c r="C69" s="943"/>
      <c r="D69" s="954"/>
      <c r="E69" s="952"/>
    </row>
    <row r="70" spans="1:5">
      <c r="A70" s="1340">
        <v>1997.01</v>
      </c>
      <c r="B70" s="947">
        <v>192.88181739006887</v>
      </c>
      <c r="C70" s="943"/>
      <c r="D70" s="954"/>
      <c r="E70" s="952"/>
    </row>
    <row r="71" spans="1:5">
      <c r="A71" s="1340">
        <v>1997.02</v>
      </c>
      <c r="B71" s="947">
        <v>199.23905839772871</v>
      </c>
      <c r="C71" s="943"/>
      <c r="D71" s="954"/>
      <c r="E71" s="952"/>
    </row>
    <row r="72" spans="1:5">
      <c r="A72" s="1340">
        <v>1997.03</v>
      </c>
      <c r="B72" s="947">
        <v>238.22174307195434</v>
      </c>
      <c r="C72" s="943"/>
      <c r="D72" s="954"/>
      <c r="E72" s="952"/>
    </row>
    <row r="73" spans="1:5">
      <c r="A73" s="1340">
        <v>1997.04</v>
      </c>
      <c r="B73" s="947">
        <v>237.10070100844035</v>
      </c>
      <c r="C73" s="943"/>
      <c r="D73" s="954"/>
      <c r="E73" s="952"/>
    </row>
    <row r="74" spans="1:5">
      <c r="A74" s="1340">
        <v>1997.05</v>
      </c>
      <c r="B74" s="947">
        <v>256.91658731172805</v>
      </c>
      <c r="C74" s="943"/>
      <c r="D74" s="954"/>
      <c r="E74" s="952"/>
    </row>
    <row r="75" spans="1:5">
      <c r="A75" s="1340">
        <v>1997.06</v>
      </c>
      <c r="B75" s="947">
        <v>318.73702478819354</v>
      </c>
      <c r="C75" s="943"/>
      <c r="D75" s="954"/>
      <c r="E75" s="952"/>
    </row>
    <row r="76" spans="1:5">
      <c r="A76" s="1340">
        <v>1997.07</v>
      </c>
      <c r="B76" s="947">
        <v>267.13024016401891</v>
      </c>
      <c r="C76" s="943"/>
      <c r="D76" s="954"/>
      <c r="E76" s="952"/>
    </row>
    <row r="77" spans="1:5">
      <c r="A77" s="1340">
        <v>1997.08</v>
      </c>
      <c r="B77" s="947">
        <v>266.08867232349758</v>
      </c>
      <c r="C77" s="943"/>
      <c r="D77" s="954"/>
      <c r="E77" s="952"/>
    </row>
    <row r="78" spans="1:5">
      <c r="A78" s="1340">
        <v>1997.09</v>
      </c>
      <c r="B78" s="947">
        <v>278.21213530378554</v>
      </c>
      <c r="C78" s="943"/>
      <c r="D78" s="954"/>
      <c r="E78" s="952"/>
    </row>
    <row r="79" spans="1:5">
      <c r="A79" s="1340">
        <v>1997.1</v>
      </c>
      <c r="B79" s="947">
        <v>279.94981999117988</v>
      </c>
      <c r="C79" s="943"/>
      <c r="D79" s="954"/>
      <c r="E79" s="952"/>
    </row>
    <row r="80" spans="1:5">
      <c r="A80" s="1340">
        <v>1997.11</v>
      </c>
      <c r="B80" s="947">
        <v>298.02320337743885</v>
      </c>
      <c r="C80" s="943"/>
      <c r="D80" s="954"/>
      <c r="E80" s="952"/>
    </row>
    <row r="81" spans="1:5">
      <c r="A81" s="1340">
        <v>1997.12</v>
      </c>
      <c r="B81" s="947">
        <v>643.56181958515685</v>
      </c>
      <c r="C81" s="943"/>
      <c r="D81" s="954"/>
      <c r="E81" s="952"/>
    </row>
    <row r="82" spans="1:5">
      <c r="A82" s="1340">
        <v>1998.01</v>
      </c>
      <c r="B82" s="947">
        <v>219.6008039971737</v>
      </c>
      <c r="C82" s="943"/>
      <c r="D82" s="954"/>
      <c r="E82" s="952"/>
    </row>
    <row r="83" spans="1:5">
      <c r="A83" s="1340">
        <v>1998.02</v>
      </c>
      <c r="B83" s="947">
        <v>226.83868289823485</v>
      </c>
      <c r="C83" s="943"/>
      <c r="D83" s="954"/>
      <c r="E83" s="952"/>
    </row>
    <row r="84" spans="1:5">
      <c r="A84" s="1340">
        <v>1998.03</v>
      </c>
      <c r="B84" s="947">
        <v>271.22145060679452</v>
      </c>
      <c r="C84" s="943"/>
      <c r="D84" s="954"/>
      <c r="E84" s="952"/>
    </row>
    <row r="85" spans="1:5">
      <c r="A85" s="1340">
        <v>1998.04</v>
      </c>
      <c r="B85" s="947">
        <v>269.94511600048753</v>
      </c>
      <c r="C85" s="943"/>
      <c r="D85" s="954"/>
      <c r="E85" s="952"/>
    </row>
    <row r="86" spans="1:5">
      <c r="A86" s="1340">
        <v>1998.05</v>
      </c>
      <c r="B86" s="947">
        <v>292.50600132913547</v>
      </c>
      <c r="C86" s="943"/>
      <c r="D86" s="954"/>
      <c r="E86" s="952"/>
    </row>
    <row r="87" spans="1:5">
      <c r="A87" s="1340">
        <v>1998.06</v>
      </c>
      <c r="B87" s="947">
        <v>362.89012543677063</v>
      </c>
      <c r="C87" s="943"/>
      <c r="D87" s="954"/>
      <c r="E87" s="952"/>
    </row>
    <row r="88" spans="1:5">
      <c r="A88" s="1340">
        <v>1998.07</v>
      </c>
      <c r="B88" s="947">
        <v>304.13450218245953</v>
      </c>
      <c r="C88" s="943"/>
      <c r="D88" s="954"/>
      <c r="E88" s="952"/>
    </row>
    <row r="89" spans="1:5">
      <c r="A89" s="1340">
        <v>1998.08</v>
      </c>
      <c r="B89" s="947">
        <v>302.94865097942193</v>
      </c>
      <c r="C89" s="943"/>
      <c r="D89" s="954"/>
      <c r="E89" s="952"/>
    </row>
    <row r="90" spans="1:5">
      <c r="A90" s="1340">
        <v>1998.09</v>
      </c>
      <c r="B90" s="947">
        <v>316.75151873401774</v>
      </c>
      <c r="C90" s="943"/>
      <c r="D90" s="954"/>
      <c r="E90" s="952"/>
    </row>
    <row r="91" spans="1:5">
      <c r="A91" s="1340">
        <v>1998.1</v>
      </c>
      <c r="B91" s="947">
        <v>318.72991648870942</v>
      </c>
      <c r="C91" s="943"/>
      <c r="D91" s="954"/>
      <c r="E91" s="952"/>
    </row>
    <row r="92" spans="1:5">
      <c r="A92" s="1340">
        <v>1998.11</v>
      </c>
      <c r="B92" s="947">
        <v>339.30691838695049</v>
      </c>
      <c r="C92" s="943"/>
      <c r="D92" s="954"/>
      <c r="E92" s="952"/>
    </row>
    <row r="93" spans="1:5">
      <c r="A93" s="1340">
        <v>1998.12</v>
      </c>
      <c r="B93" s="947">
        <v>732.71133025969277</v>
      </c>
      <c r="C93" s="943"/>
      <c r="D93" s="954"/>
      <c r="E93" s="952"/>
    </row>
    <row r="94" spans="1:5">
      <c r="A94" s="1340">
        <v>1999.01</v>
      </c>
      <c r="B94" s="947">
        <v>205.70210249630486</v>
      </c>
      <c r="C94" s="943"/>
      <c r="D94" s="954"/>
      <c r="E94" s="952"/>
    </row>
    <row r="95" spans="1:5">
      <c r="A95" s="1340">
        <v>1999.02</v>
      </c>
      <c r="B95" s="947">
        <v>212.4818905501823</v>
      </c>
      <c r="C95" s="943"/>
      <c r="D95" s="954"/>
      <c r="E95" s="952"/>
    </row>
    <row r="96" spans="1:5">
      <c r="A96" s="1340">
        <v>1999.03</v>
      </c>
      <c r="B96" s="947">
        <v>254.05563921629977</v>
      </c>
      <c r="C96" s="943"/>
      <c r="D96" s="954"/>
      <c r="E96" s="952"/>
    </row>
    <row r="97" spans="1:5">
      <c r="A97" s="1340">
        <v>1999.04</v>
      </c>
      <c r="B97" s="947">
        <v>252.86008479560871</v>
      </c>
      <c r="C97" s="943"/>
      <c r="D97" s="954"/>
      <c r="E97" s="952"/>
    </row>
    <row r="98" spans="1:5">
      <c r="A98" s="1340">
        <v>1999.05</v>
      </c>
      <c r="B98" s="947">
        <v>273.99307457437408</v>
      </c>
      <c r="C98" s="943"/>
      <c r="D98" s="954"/>
      <c r="E98" s="952"/>
    </row>
    <row r="99" spans="1:5">
      <c r="A99" s="1340">
        <v>1999.06</v>
      </c>
      <c r="B99" s="947">
        <v>339.92253406527715</v>
      </c>
      <c r="C99" s="943"/>
      <c r="D99" s="954"/>
      <c r="E99" s="952"/>
    </row>
    <row r="100" spans="1:5">
      <c r="A100" s="1340">
        <v>1999.07</v>
      </c>
      <c r="B100" s="947">
        <v>284.8855987858957</v>
      </c>
      <c r="C100" s="943"/>
      <c r="D100" s="954"/>
      <c r="E100" s="952"/>
    </row>
    <row r="101" spans="1:5">
      <c r="A101" s="1340">
        <v>1999.08</v>
      </c>
      <c r="B101" s="947">
        <v>283.77480100522934</v>
      </c>
      <c r="C101" s="943"/>
      <c r="D101" s="954"/>
      <c r="E101" s="952"/>
    </row>
    <row r="102" spans="1:5">
      <c r="A102" s="1340">
        <v>1999.09</v>
      </c>
      <c r="B102" s="947">
        <v>296.70407478710194</v>
      </c>
      <c r="C102" s="943"/>
      <c r="D102" s="954"/>
      <c r="E102" s="952"/>
    </row>
    <row r="103" spans="1:5">
      <c r="A103" s="1340">
        <v>1999.1</v>
      </c>
      <c r="B103" s="947">
        <v>298.55725824684595</v>
      </c>
      <c r="C103" s="943"/>
      <c r="D103" s="954"/>
      <c r="E103" s="952"/>
    </row>
    <row r="104" spans="1:5">
      <c r="A104" s="1340">
        <v>1999.11</v>
      </c>
      <c r="B104" s="947">
        <v>317.83192608273026</v>
      </c>
      <c r="C104" s="943"/>
      <c r="D104" s="954"/>
      <c r="E104" s="952"/>
    </row>
    <row r="105" spans="1:5">
      <c r="A105" s="1340">
        <v>1999.12</v>
      </c>
      <c r="B105" s="947">
        <v>686.33747424359603</v>
      </c>
      <c r="C105" s="943"/>
      <c r="D105" s="954"/>
      <c r="E105" s="952"/>
    </row>
    <row r="106" spans="1:5">
      <c r="A106" s="1340">
        <v>2000.01</v>
      </c>
      <c r="B106" s="947">
        <v>208.53754988204912</v>
      </c>
      <c r="C106" s="943"/>
      <c r="D106" s="954"/>
      <c r="E106" s="952"/>
    </row>
    <row r="107" spans="1:5">
      <c r="A107" s="1340">
        <v>2000.02</v>
      </c>
      <c r="B107" s="947">
        <v>215.4107921694029</v>
      </c>
      <c r="C107" s="943"/>
      <c r="D107" s="954"/>
      <c r="E107" s="952"/>
    </row>
    <row r="108" spans="1:5">
      <c r="A108" s="1340">
        <v>2000.03</v>
      </c>
      <c r="B108" s="947">
        <v>257.55760341261799</v>
      </c>
      <c r="C108" s="943"/>
      <c r="D108" s="954"/>
      <c r="E108" s="952"/>
    </row>
    <row r="109" spans="1:5">
      <c r="A109" s="1340">
        <v>2000.04</v>
      </c>
      <c r="B109" s="947">
        <v>256.3455691814849</v>
      </c>
      <c r="C109" s="943"/>
      <c r="D109" s="954"/>
      <c r="E109" s="952"/>
    </row>
    <row r="110" spans="1:5">
      <c r="A110" s="1340">
        <v>2000.05</v>
      </c>
      <c r="B110" s="947">
        <v>277.76986118756821</v>
      </c>
      <c r="C110" s="943"/>
      <c r="D110" s="954"/>
      <c r="E110" s="952"/>
    </row>
    <row r="111" spans="1:5">
      <c r="A111" s="1340">
        <v>2000.06</v>
      </c>
      <c r="B111" s="947">
        <v>344.60810824694238</v>
      </c>
      <c r="C111" s="943"/>
      <c r="D111" s="954"/>
      <c r="E111" s="952"/>
    </row>
    <row r="112" spans="1:5">
      <c r="A112" s="1340">
        <v>2000.07</v>
      </c>
      <c r="B112" s="947">
        <v>288.812530579547</v>
      </c>
      <c r="C112" s="943"/>
      <c r="D112" s="954"/>
      <c r="E112" s="952"/>
    </row>
    <row r="113" spans="1:5">
      <c r="A113" s="1340">
        <v>2000.08</v>
      </c>
      <c r="B113" s="947">
        <v>287.68642129440371</v>
      </c>
      <c r="C113" s="943"/>
      <c r="D113" s="954"/>
      <c r="E113" s="952"/>
    </row>
    <row r="114" spans="1:5">
      <c r="A114" s="1340">
        <v>2000.09</v>
      </c>
      <c r="B114" s="947">
        <v>300.79391530397208</v>
      </c>
      <c r="C114" s="943"/>
      <c r="D114" s="954"/>
      <c r="E114" s="952"/>
    </row>
    <row r="115" spans="1:5">
      <c r="A115" s="1340">
        <v>2000.1</v>
      </c>
      <c r="B115" s="947">
        <v>302.67264349141919</v>
      </c>
      <c r="C115" s="943"/>
      <c r="D115" s="954"/>
      <c r="E115" s="952"/>
    </row>
    <row r="116" spans="1:5">
      <c r="A116" s="1340">
        <v>2000.11</v>
      </c>
      <c r="B116" s="947">
        <v>322.2129979968276</v>
      </c>
      <c r="C116" s="943"/>
      <c r="D116" s="954"/>
      <c r="E116" s="952"/>
    </row>
    <row r="117" spans="1:5">
      <c r="A117" s="1340">
        <v>2000.12</v>
      </c>
      <c r="B117" s="947">
        <v>695.79811549842861</v>
      </c>
      <c r="C117" s="943"/>
      <c r="D117" s="954"/>
      <c r="E117" s="952"/>
    </row>
    <row r="118" spans="1:5">
      <c r="A118" s="1340">
        <v>2001.01</v>
      </c>
      <c r="B118" s="947">
        <v>201.10873653393921</v>
      </c>
      <c r="C118" s="943"/>
      <c r="D118" s="954"/>
      <c r="E118" s="952"/>
    </row>
    <row r="119" spans="1:5">
      <c r="A119" s="1340">
        <v>2001.02</v>
      </c>
      <c r="B119" s="947">
        <v>207.73713066767286</v>
      </c>
      <c r="C119" s="943"/>
      <c r="D119" s="954"/>
      <c r="E119" s="952"/>
    </row>
    <row r="120" spans="1:5">
      <c r="A120" s="1340">
        <v>2001.03</v>
      </c>
      <c r="B120" s="947">
        <v>248.38252984327252</v>
      </c>
      <c r="C120" s="943"/>
      <c r="D120" s="954"/>
      <c r="E120" s="952"/>
    </row>
    <row r="121" spans="1:5">
      <c r="A121" s="1340">
        <v>2001.04</v>
      </c>
      <c r="B121" s="947">
        <v>247.21367237373323</v>
      </c>
      <c r="C121" s="943"/>
      <c r="D121" s="954"/>
      <c r="E121" s="952"/>
    </row>
    <row r="122" spans="1:5">
      <c r="A122" s="1340">
        <v>2001.05</v>
      </c>
      <c r="B122" s="947">
        <v>267.8747585853751</v>
      </c>
      <c r="C122" s="943"/>
      <c r="D122" s="954"/>
      <c r="E122" s="952"/>
    </row>
    <row r="123" spans="1:5">
      <c r="A123" s="1340">
        <v>2001.06</v>
      </c>
      <c r="B123" s="947">
        <v>332.33200106212234</v>
      </c>
      <c r="C123" s="943"/>
      <c r="D123" s="954"/>
      <c r="E123" s="952"/>
    </row>
    <row r="124" spans="1:5">
      <c r="A124" s="1340">
        <v>2001.07</v>
      </c>
      <c r="B124" s="947">
        <v>278.52405071832163</v>
      </c>
      <c r="C124" s="943"/>
      <c r="D124" s="954"/>
      <c r="E124" s="952"/>
    </row>
    <row r="125" spans="1:5">
      <c r="A125" s="1340">
        <v>2001.08</v>
      </c>
      <c r="B125" s="947">
        <v>277.43805725737229</v>
      </c>
      <c r="C125" s="943"/>
      <c r="D125" s="954"/>
      <c r="E125" s="952"/>
    </row>
    <row r="126" spans="1:5">
      <c r="A126" s="1340">
        <v>2001.09</v>
      </c>
      <c r="B126" s="947">
        <v>290.07861796637383</v>
      </c>
      <c r="C126" s="943"/>
      <c r="D126" s="954"/>
      <c r="E126" s="952"/>
    </row>
    <row r="127" spans="1:5">
      <c r="A127" s="1340">
        <v>2001.1</v>
      </c>
      <c r="B127" s="947">
        <v>291.89041949699453</v>
      </c>
      <c r="C127" s="943"/>
      <c r="D127" s="954"/>
      <c r="E127" s="952"/>
    </row>
    <row r="128" spans="1:5">
      <c r="A128" s="1340">
        <v>2001.11</v>
      </c>
      <c r="B128" s="947">
        <v>310.73468043815666</v>
      </c>
      <c r="C128" s="943"/>
      <c r="D128" s="954"/>
      <c r="E128" s="952"/>
    </row>
    <row r="129" spans="1:5">
      <c r="A129" s="1340">
        <v>2001.12</v>
      </c>
      <c r="B129" s="947">
        <v>671.01143160898971</v>
      </c>
      <c r="C129" s="943"/>
      <c r="D129" s="954"/>
      <c r="E129" s="952"/>
    </row>
    <row r="130" spans="1:5">
      <c r="A130" s="1340">
        <v>2002.01</v>
      </c>
      <c r="B130" s="947">
        <v>199.2809205984064</v>
      </c>
      <c r="C130" s="943"/>
      <c r="D130" s="954"/>
      <c r="E130" s="952"/>
    </row>
    <row r="131" spans="1:5">
      <c r="A131" s="1340">
        <v>2002.02</v>
      </c>
      <c r="B131" s="947">
        <v>205.84907128059521</v>
      </c>
      <c r="C131" s="943"/>
      <c r="D131" s="954"/>
      <c r="E131" s="952"/>
    </row>
    <row r="132" spans="1:5">
      <c r="A132" s="1340">
        <v>2002.03</v>
      </c>
      <c r="B132" s="947">
        <v>246.12505682653529</v>
      </c>
      <c r="C132" s="943"/>
      <c r="D132" s="954"/>
      <c r="E132" s="952"/>
    </row>
    <row r="133" spans="1:5">
      <c r="A133" s="1340">
        <v>2002.04</v>
      </c>
      <c r="B133" s="947">
        <v>244.96682274584529</v>
      </c>
      <c r="C133" s="943"/>
      <c r="D133" s="954"/>
      <c r="E133" s="952"/>
    </row>
    <row r="134" spans="1:5">
      <c r="A134" s="1340">
        <v>2002.05</v>
      </c>
      <c r="B134" s="947">
        <v>265.44012664989617</v>
      </c>
      <c r="C134" s="943"/>
      <c r="D134" s="954"/>
      <c r="E134" s="952"/>
    </row>
    <row r="135" spans="1:5">
      <c r="A135" s="1340">
        <v>2002.06</v>
      </c>
      <c r="B135" s="947">
        <v>329.31153691969894</v>
      </c>
      <c r="C135" s="943"/>
      <c r="D135" s="954"/>
      <c r="E135" s="952"/>
    </row>
    <row r="136" spans="1:5">
      <c r="A136" s="1340">
        <v>2002.07</v>
      </c>
      <c r="B136" s="947">
        <v>275.99263061640983</v>
      </c>
      <c r="C136" s="943"/>
      <c r="D136" s="954"/>
      <c r="E136" s="952"/>
    </row>
    <row r="137" spans="1:5">
      <c r="A137" s="1340">
        <v>2002.08</v>
      </c>
      <c r="B137" s="947">
        <v>274.9165074186227</v>
      </c>
      <c r="C137" s="943"/>
      <c r="D137" s="954"/>
      <c r="E137" s="952"/>
    </row>
    <row r="138" spans="1:5">
      <c r="A138" s="1340">
        <v>2002.09</v>
      </c>
      <c r="B138" s="947">
        <v>287.44218192876394</v>
      </c>
      <c r="C138" s="943"/>
      <c r="D138" s="954"/>
      <c r="E138" s="952"/>
    </row>
    <row r="139" spans="1:5">
      <c r="A139" s="1340">
        <v>2002.1</v>
      </c>
      <c r="B139" s="947">
        <v>289.23751654816652</v>
      </c>
      <c r="C139" s="943"/>
      <c r="D139" s="954"/>
      <c r="E139" s="952"/>
    </row>
    <row r="140" spans="1:5">
      <c r="A140" s="1340">
        <v>2002.11</v>
      </c>
      <c r="B140" s="947">
        <v>307.91050775219423</v>
      </c>
      <c r="C140" s="943"/>
      <c r="D140" s="954"/>
      <c r="E140" s="952"/>
    </row>
    <row r="141" spans="1:5">
      <c r="A141" s="1340">
        <v>2002.12</v>
      </c>
      <c r="B141" s="947">
        <v>664.91281347455265</v>
      </c>
      <c r="C141" s="943"/>
      <c r="D141" s="954"/>
      <c r="E141" s="952"/>
    </row>
    <row r="142" spans="1:5">
      <c r="A142" s="1340">
        <v>2003.01</v>
      </c>
      <c r="B142" s="2542">
        <f>C142</f>
        <v>210.3</v>
      </c>
      <c r="C142" s="60">
        <v>210.3</v>
      </c>
      <c r="D142" s="955">
        <v>2.2000000000000002</v>
      </c>
      <c r="E142" s="151">
        <v>2.2000000000000002</v>
      </c>
    </row>
    <row r="143" spans="1:5">
      <c r="A143" s="1340">
        <v>2003.02</v>
      </c>
      <c r="B143" s="948">
        <f>(C143-C142)</f>
        <v>237.5</v>
      </c>
      <c r="C143" s="169">
        <v>447.8</v>
      </c>
      <c r="D143" s="948">
        <f>E143-E142</f>
        <v>4.3999999999999995</v>
      </c>
      <c r="E143" s="380">
        <v>6.6</v>
      </c>
    </row>
    <row r="144" spans="1:5">
      <c r="A144" s="1340">
        <v>2003.03</v>
      </c>
      <c r="B144" s="948">
        <f t="shared" ref="B144:B153" si="0">(C144-C143)</f>
        <v>247.09999999999997</v>
      </c>
      <c r="C144" s="169">
        <v>694.9</v>
      </c>
      <c r="D144" s="948">
        <f t="shared" ref="D144:D153" si="1">E144-E143</f>
        <v>6</v>
      </c>
      <c r="E144" s="380">
        <v>12.6</v>
      </c>
    </row>
    <row r="145" spans="1:5">
      <c r="A145" s="1340">
        <v>2003.04</v>
      </c>
      <c r="B145" s="948">
        <f t="shared" si="0"/>
        <v>245.89999999999998</v>
      </c>
      <c r="C145" s="169">
        <v>940.8</v>
      </c>
      <c r="D145" s="948">
        <f t="shared" si="1"/>
        <v>7.9</v>
      </c>
      <c r="E145" s="380">
        <v>20.5</v>
      </c>
    </row>
    <row r="146" spans="1:5">
      <c r="A146" s="1340">
        <v>2003.05</v>
      </c>
      <c r="B146" s="948">
        <f t="shared" si="0"/>
        <v>282.79999999999995</v>
      </c>
      <c r="C146" s="169">
        <v>1223.5999999999999</v>
      </c>
      <c r="D146" s="948">
        <f t="shared" si="1"/>
        <v>11.899999999999999</v>
      </c>
      <c r="E146" s="380">
        <v>32.4</v>
      </c>
    </row>
    <row r="147" spans="1:5">
      <c r="A147" s="1340">
        <v>2003.06</v>
      </c>
      <c r="B147" s="948">
        <f t="shared" si="0"/>
        <v>350.30000000000018</v>
      </c>
      <c r="C147" s="169">
        <v>1573.9</v>
      </c>
      <c r="D147" s="948">
        <f t="shared" si="1"/>
        <v>15.5</v>
      </c>
      <c r="E147" s="380">
        <v>47.9</v>
      </c>
    </row>
    <row r="148" spans="1:5">
      <c r="A148" s="1340">
        <v>2003.07</v>
      </c>
      <c r="B148" s="948">
        <f t="shared" si="0"/>
        <v>310.5</v>
      </c>
      <c r="C148" s="169">
        <v>1884.4</v>
      </c>
      <c r="D148" s="948">
        <f t="shared" si="1"/>
        <v>20.300000000000004</v>
      </c>
      <c r="E148" s="380">
        <v>68.2</v>
      </c>
    </row>
    <row r="149" spans="1:5">
      <c r="A149" s="1340">
        <v>2003.08</v>
      </c>
      <c r="B149" s="948">
        <f t="shared" si="0"/>
        <v>264.69999999999982</v>
      </c>
      <c r="C149" s="169">
        <v>2149.1</v>
      </c>
      <c r="D149" s="948">
        <f t="shared" si="1"/>
        <v>20.099999999999994</v>
      </c>
      <c r="E149" s="380">
        <v>88.3</v>
      </c>
    </row>
    <row r="150" spans="1:5">
      <c r="A150" s="1340">
        <v>2003.09</v>
      </c>
      <c r="B150" s="948">
        <f t="shared" si="0"/>
        <v>324.70000000000027</v>
      </c>
      <c r="C150" s="169">
        <v>2473.8000000000002</v>
      </c>
      <c r="D150" s="948">
        <f t="shared" si="1"/>
        <v>19.700000000000003</v>
      </c>
      <c r="E150" s="380">
        <v>108</v>
      </c>
    </row>
    <row r="151" spans="1:5">
      <c r="A151" s="1340">
        <v>2003.1</v>
      </c>
      <c r="B151" s="948">
        <f t="shared" si="0"/>
        <v>320.79999999999973</v>
      </c>
      <c r="C151" s="169">
        <v>2794.6</v>
      </c>
      <c r="D151" s="948">
        <f t="shared" si="1"/>
        <v>39</v>
      </c>
      <c r="E151" s="380">
        <v>147</v>
      </c>
    </row>
    <row r="152" spans="1:5">
      <c r="A152" s="1340">
        <v>2003.11</v>
      </c>
      <c r="B152" s="948">
        <f t="shared" si="0"/>
        <v>446.5</v>
      </c>
      <c r="C152" s="169">
        <v>3241.1</v>
      </c>
      <c r="D152" s="948">
        <f t="shared" si="1"/>
        <v>29.800000000000011</v>
      </c>
      <c r="E152" s="380">
        <v>176.8</v>
      </c>
    </row>
    <row r="153" spans="1:5">
      <c r="A153" s="1340">
        <v>2003.12</v>
      </c>
      <c r="B153" s="948">
        <f t="shared" si="0"/>
        <v>465.93650797999999</v>
      </c>
      <c r="C153" s="169">
        <v>3707.0365079799999</v>
      </c>
      <c r="D153" s="948">
        <f t="shared" si="1"/>
        <v>56.042606089999992</v>
      </c>
      <c r="E153" s="380">
        <v>232.84260609</v>
      </c>
    </row>
    <row r="154" spans="1:5">
      <c r="A154" s="1340">
        <v>2004.01</v>
      </c>
      <c r="B154" s="2542">
        <f>C154</f>
        <v>226.6</v>
      </c>
      <c r="C154" s="169">
        <v>226.6</v>
      </c>
      <c r="D154" s="2542">
        <v>2.2999999999999998</v>
      </c>
      <c r="E154" s="380">
        <v>2.2999999999999998</v>
      </c>
    </row>
    <row r="155" spans="1:5">
      <c r="A155" s="1340">
        <v>2004.02</v>
      </c>
      <c r="B155" s="948">
        <f>(C155-C154)</f>
        <v>283.39999999999998</v>
      </c>
      <c r="C155" s="169">
        <v>510</v>
      </c>
      <c r="D155" s="948">
        <f>E155-E154</f>
        <v>7.8</v>
      </c>
      <c r="E155" s="380">
        <v>10.1</v>
      </c>
    </row>
    <row r="156" spans="1:5">
      <c r="A156" s="1340">
        <v>2004.03</v>
      </c>
      <c r="B156" s="948">
        <f t="shared" ref="B156:B165" si="2">(C156-C155)</f>
        <v>309.29999999999995</v>
      </c>
      <c r="C156" s="169">
        <v>819.3</v>
      </c>
      <c r="D156" s="948">
        <f>E156-E155</f>
        <v>23.6</v>
      </c>
      <c r="E156" s="380">
        <v>33.700000000000003</v>
      </c>
    </row>
    <row r="157" spans="1:5">
      <c r="A157" s="1340">
        <v>2004.04</v>
      </c>
      <c r="B157" s="948">
        <f t="shared" si="2"/>
        <v>295.70000000000005</v>
      </c>
      <c r="C157" s="169">
        <v>1115</v>
      </c>
      <c r="D157" s="948">
        <f t="shared" ref="D157:D165" si="3">E157-E156</f>
        <v>20.5</v>
      </c>
      <c r="E157" s="380">
        <v>54.2</v>
      </c>
    </row>
    <row r="158" spans="1:5">
      <c r="A158" s="1340">
        <v>2004.05</v>
      </c>
      <c r="B158" s="948">
        <f t="shared" si="2"/>
        <v>323.09999999999991</v>
      </c>
      <c r="C158" s="169">
        <v>1438.1</v>
      </c>
      <c r="D158" s="948">
        <f t="shared" si="3"/>
        <v>16.899999999999991</v>
      </c>
      <c r="E158" s="380">
        <v>71.099999999999994</v>
      </c>
    </row>
    <row r="159" spans="1:5">
      <c r="A159" s="1340">
        <v>2004.06</v>
      </c>
      <c r="B159" s="948">
        <f t="shared" si="2"/>
        <v>433.80000000000018</v>
      </c>
      <c r="C159" s="169">
        <v>1871.9</v>
      </c>
      <c r="D159" s="948">
        <f t="shared" si="3"/>
        <v>26</v>
      </c>
      <c r="E159" s="380">
        <v>97.1</v>
      </c>
    </row>
    <row r="160" spans="1:5">
      <c r="A160" s="1340">
        <v>2004.07</v>
      </c>
      <c r="B160" s="948">
        <f t="shared" si="2"/>
        <v>348</v>
      </c>
      <c r="C160" s="169">
        <v>2219.9</v>
      </c>
      <c r="D160" s="948">
        <f t="shared" si="3"/>
        <v>26.700000000000003</v>
      </c>
      <c r="E160" s="380">
        <v>123.8</v>
      </c>
    </row>
    <row r="161" spans="1:5">
      <c r="A161" s="1340">
        <v>2004.08</v>
      </c>
      <c r="B161" s="948">
        <f t="shared" si="2"/>
        <v>348.5</v>
      </c>
      <c r="C161" s="169">
        <v>2568.4</v>
      </c>
      <c r="D161" s="948">
        <f t="shared" si="3"/>
        <v>29.000000000000014</v>
      </c>
      <c r="E161" s="380">
        <v>152.80000000000001</v>
      </c>
    </row>
    <row r="162" spans="1:5">
      <c r="A162" s="1340">
        <v>2004.09</v>
      </c>
      <c r="B162" s="948">
        <f t="shared" si="2"/>
        <v>327.59999999999991</v>
      </c>
      <c r="C162" s="169">
        <v>2896</v>
      </c>
      <c r="D162" s="948">
        <f t="shared" si="3"/>
        <v>31.799999999999983</v>
      </c>
      <c r="E162" s="380">
        <v>184.6</v>
      </c>
    </row>
    <row r="163" spans="1:5">
      <c r="A163" s="1340">
        <v>2004.1</v>
      </c>
      <c r="B163" s="948">
        <f t="shared" si="2"/>
        <v>373.30000000000018</v>
      </c>
      <c r="C163" s="169">
        <v>3269.3</v>
      </c>
      <c r="D163" s="948">
        <f t="shared" si="3"/>
        <v>27.700000000000017</v>
      </c>
      <c r="E163" s="380">
        <v>212.3</v>
      </c>
    </row>
    <row r="164" spans="1:5">
      <c r="A164" s="1340">
        <v>2004.11</v>
      </c>
      <c r="B164" s="948">
        <f t="shared" si="2"/>
        <v>361.5</v>
      </c>
      <c r="C164" s="169">
        <v>3630.8</v>
      </c>
      <c r="D164" s="948">
        <f t="shared" si="3"/>
        <v>36.699999999999989</v>
      </c>
      <c r="E164" s="380">
        <v>249</v>
      </c>
    </row>
    <row r="165" spans="1:5">
      <c r="A165" s="1340">
        <v>2004.12</v>
      </c>
      <c r="B165" s="948">
        <f t="shared" si="2"/>
        <v>633.41581124000004</v>
      </c>
      <c r="C165" s="169">
        <v>4264.2158112400002</v>
      </c>
      <c r="D165" s="948">
        <f t="shared" si="3"/>
        <v>125.41276249000003</v>
      </c>
      <c r="E165" s="380">
        <v>374.41276249000003</v>
      </c>
    </row>
    <row r="166" spans="1:5">
      <c r="A166" s="1340">
        <v>2005.01</v>
      </c>
      <c r="B166" s="2542">
        <f>C166</f>
        <v>316.89999999999998</v>
      </c>
      <c r="C166" s="169">
        <v>316.89999999999998</v>
      </c>
      <c r="D166" s="2542">
        <f>E166</f>
        <v>8.5</v>
      </c>
      <c r="E166" s="380">
        <v>8.5</v>
      </c>
    </row>
    <row r="167" spans="1:5">
      <c r="A167" s="1340">
        <v>2005.02</v>
      </c>
      <c r="B167" s="948">
        <f>(C167-C166)</f>
        <v>350.80000000000007</v>
      </c>
      <c r="C167" s="169">
        <v>667.7</v>
      </c>
      <c r="D167" s="948">
        <f>E167-E166</f>
        <v>16.600000000000001</v>
      </c>
      <c r="E167" s="380">
        <v>25.1</v>
      </c>
    </row>
    <row r="168" spans="1:5">
      <c r="A168" s="1340">
        <v>2005.03</v>
      </c>
      <c r="B168" s="948">
        <f t="shared" ref="B168:B177" si="4">(C168-C167)</f>
        <v>368.20000000000005</v>
      </c>
      <c r="C168" s="169">
        <v>1035.9000000000001</v>
      </c>
      <c r="D168" s="948">
        <f t="shared" ref="D168:D177" si="5">E168-E167</f>
        <v>12.199999999999996</v>
      </c>
      <c r="E168" s="380">
        <v>37.299999999999997</v>
      </c>
    </row>
    <row r="169" spans="1:5">
      <c r="A169" s="1340">
        <v>2005.04</v>
      </c>
      <c r="B169" s="948">
        <f t="shared" si="4"/>
        <v>416.89999999999986</v>
      </c>
      <c r="C169" s="169">
        <v>1452.8</v>
      </c>
      <c r="D169" s="948">
        <f t="shared" si="5"/>
        <v>56.900000000000006</v>
      </c>
      <c r="E169" s="380">
        <v>94.2</v>
      </c>
    </row>
    <row r="170" spans="1:5">
      <c r="A170" s="1340">
        <v>2005.05</v>
      </c>
      <c r="B170" s="948">
        <f t="shared" si="4"/>
        <v>447.40000000000009</v>
      </c>
      <c r="C170" s="169">
        <v>1900.2</v>
      </c>
      <c r="D170" s="948">
        <f t="shared" si="5"/>
        <v>42.600000000000009</v>
      </c>
      <c r="E170" s="380">
        <v>136.80000000000001</v>
      </c>
    </row>
    <row r="171" spans="1:5">
      <c r="A171" s="1340">
        <v>2005.06</v>
      </c>
      <c r="B171" s="948">
        <f t="shared" si="4"/>
        <v>512.20000000000005</v>
      </c>
      <c r="C171" s="169">
        <v>2412.4</v>
      </c>
      <c r="D171" s="948">
        <f t="shared" si="5"/>
        <v>39.299999999999983</v>
      </c>
      <c r="E171" s="380">
        <v>176.1</v>
      </c>
    </row>
    <row r="172" spans="1:5">
      <c r="A172" s="1340">
        <v>2005.07</v>
      </c>
      <c r="B172" s="948">
        <f t="shared" si="4"/>
        <v>458.19999999999982</v>
      </c>
      <c r="C172" s="169">
        <v>2870.6</v>
      </c>
      <c r="D172" s="948">
        <f t="shared" si="5"/>
        <v>62.200000000000017</v>
      </c>
      <c r="E172" s="380">
        <v>238.3</v>
      </c>
    </row>
    <row r="173" spans="1:5">
      <c r="A173" s="1340">
        <v>2005.08</v>
      </c>
      <c r="B173" s="948">
        <f t="shared" si="4"/>
        <v>455.70000000000027</v>
      </c>
      <c r="C173" s="169">
        <v>3326.3</v>
      </c>
      <c r="D173" s="948">
        <f t="shared" si="5"/>
        <v>55.5</v>
      </c>
      <c r="E173" s="380">
        <v>293.8</v>
      </c>
    </row>
    <row r="174" spans="1:5">
      <c r="A174" s="1340">
        <v>2005.09</v>
      </c>
      <c r="B174" s="948">
        <f t="shared" si="4"/>
        <v>441</v>
      </c>
      <c r="C174" s="169">
        <v>3767.3</v>
      </c>
      <c r="D174" s="948">
        <f t="shared" si="5"/>
        <v>22</v>
      </c>
      <c r="E174" s="380">
        <v>315.8</v>
      </c>
    </row>
    <row r="175" spans="1:5">
      <c r="A175" s="1340">
        <v>2005.1</v>
      </c>
      <c r="B175" s="948">
        <f t="shared" si="4"/>
        <v>493.39999999999964</v>
      </c>
      <c r="C175" s="169">
        <v>4260.7</v>
      </c>
      <c r="D175" s="948">
        <f t="shared" si="5"/>
        <v>96.300000000000011</v>
      </c>
      <c r="E175" s="380">
        <v>412.1</v>
      </c>
    </row>
    <row r="176" spans="1:5">
      <c r="A176" s="1340">
        <v>2005.11</v>
      </c>
      <c r="B176" s="948">
        <f t="shared" si="4"/>
        <v>494.5</v>
      </c>
      <c r="C176" s="169">
        <v>4755.2</v>
      </c>
      <c r="D176" s="948">
        <f t="shared" si="5"/>
        <v>47.799999999999955</v>
      </c>
      <c r="E176" s="380">
        <v>459.9</v>
      </c>
    </row>
    <row r="177" spans="1:5">
      <c r="A177" s="1340">
        <v>2005.12</v>
      </c>
      <c r="B177" s="948">
        <f t="shared" si="4"/>
        <v>884.15865059000043</v>
      </c>
      <c r="C177" s="169">
        <v>5639.3586505900003</v>
      </c>
      <c r="D177" s="948">
        <f t="shared" si="5"/>
        <v>295.74761725000008</v>
      </c>
      <c r="E177" s="380">
        <v>755.64761725000005</v>
      </c>
    </row>
    <row r="178" spans="1:5">
      <c r="A178" s="1340">
        <v>2006.01</v>
      </c>
      <c r="B178" s="2542">
        <f>C178</f>
        <v>415</v>
      </c>
      <c r="C178" s="169">
        <v>415</v>
      </c>
      <c r="D178" s="2542">
        <f>E178</f>
        <v>31.4</v>
      </c>
      <c r="E178" s="380">
        <v>31.4</v>
      </c>
    </row>
    <row r="179" spans="1:5">
      <c r="A179" s="1340">
        <v>2006.02</v>
      </c>
      <c r="B179" s="948">
        <f>(C179-C178)</f>
        <v>437.4</v>
      </c>
      <c r="C179" s="169">
        <v>852.4</v>
      </c>
      <c r="D179" s="948">
        <f>E179-E178</f>
        <v>19.100000000000001</v>
      </c>
      <c r="E179" s="380">
        <v>50.5</v>
      </c>
    </row>
    <row r="180" spans="1:5">
      <c r="A180" s="1340">
        <v>2006.03</v>
      </c>
      <c r="B180" s="948">
        <f t="shared" ref="B180:B189" si="6">(C180-C179)</f>
        <v>580.30000000000007</v>
      </c>
      <c r="C180" s="169">
        <v>1432.7</v>
      </c>
      <c r="D180" s="948">
        <f t="shared" ref="D180:D189" si="7">E180-E179</f>
        <v>74</v>
      </c>
      <c r="E180" s="380">
        <v>124.5</v>
      </c>
    </row>
    <row r="181" spans="1:5">
      <c r="A181" s="1340">
        <v>2006.04</v>
      </c>
      <c r="B181" s="948">
        <f t="shared" si="6"/>
        <v>517.09999999999991</v>
      </c>
      <c r="C181" s="169">
        <v>1949.8</v>
      </c>
      <c r="D181" s="948">
        <f t="shared" si="7"/>
        <v>73</v>
      </c>
      <c r="E181" s="380">
        <v>197.5</v>
      </c>
    </row>
    <row r="182" spans="1:5">
      <c r="A182" s="1340">
        <v>2006.05</v>
      </c>
      <c r="B182" s="948">
        <f t="shared" si="6"/>
        <v>601.29999999999995</v>
      </c>
      <c r="C182" s="169">
        <v>2551.1</v>
      </c>
      <c r="D182" s="948">
        <f t="shared" si="7"/>
        <v>86.899999999999977</v>
      </c>
      <c r="E182" s="380">
        <v>284.39999999999998</v>
      </c>
    </row>
    <row r="183" spans="1:5">
      <c r="A183" s="1340">
        <v>2006.06</v>
      </c>
      <c r="B183" s="948">
        <f t="shared" si="6"/>
        <v>730.90000000000009</v>
      </c>
      <c r="C183" s="169">
        <v>3282</v>
      </c>
      <c r="D183" s="948">
        <f t="shared" si="7"/>
        <v>108.60000000000002</v>
      </c>
      <c r="E183" s="380">
        <v>393</v>
      </c>
    </row>
    <row r="184" spans="1:5">
      <c r="A184" s="1340">
        <v>2006.07</v>
      </c>
      <c r="B184" s="948">
        <f t="shared" si="6"/>
        <v>589.30000000000018</v>
      </c>
      <c r="C184" s="169">
        <v>3871.3</v>
      </c>
      <c r="D184" s="948">
        <f t="shared" si="7"/>
        <v>95.899999999999977</v>
      </c>
      <c r="E184" s="380">
        <v>488.9</v>
      </c>
    </row>
    <row r="185" spans="1:5">
      <c r="A185" s="1340">
        <v>2006.08</v>
      </c>
      <c r="B185" s="948">
        <f t="shared" si="6"/>
        <v>599.80000000000018</v>
      </c>
      <c r="C185" s="169">
        <v>4471.1000000000004</v>
      </c>
      <c r="D185" s="948">
        <f t="shared" si="7"/>
        <v>110.70000000000005</v>
      </c>
      <c r="E185" s="380">
        <v>599.6</v>
      </c>
    </row>
    <row r="186" spans="1:5">
      <c r="A186" s="1340">
        <v>2006.09</v>
      </c>
      <c r="B186" s="948">
        <f t="shared" si="6"/>
        <v>622.59999999999945</v>
      </c>
      <c r="C186" s="169">
        <v>5093.7</v>
      </c>
      <c r="D186" s="948">
        <f t="shared" si="7"/>
        <v>116.29999999999995</v>
      </c>
      <c r="E186" s="380">
        <v>715.9</v>
      </c>
    </row>
    <row r="187" spans="1:5">
      <c r="A187" s="1340">
        <v>2006.1</v>
      </c>
      <c r="B187" s="948">
        <f t="shared" si="6"/>
        <v>608.80000000000018</v>
      </c>
      <c r="C187" s="169">
        <v>5702.5</v>
      </c>
      <c r="D187" s="948">
        <f t="shared" si="7"/>
        <v>99.800000000000068</v>
      </c>
      <c r="E187" s="380">
        <v>815.7</v>
      </c>
    </row>
    <row r="188" spans="1:5">
      <c r="A188" s="1340">
        <v>2006.11</v>
      </c>
      <c r="B188" s="948">
        <f t="shared" si="6"/>
        <v>601.60000000000036</v>
      </c>
      <c r="C188" s="169">
        <v>6304.1</v>
      </c>
      <c r="D188" s="948">
        <f t="shared" si="7"/>
        <v>100.79999999999995</v>
      </c>
      <c r="E188" s="380">
        <v>916.5</v>
      </c>
    </row>
    <row r="189" spans="1:5">
      <c r="A189" s="1340">
        <v>2006.12</v>
      </c>
      <c r="B189" s="948">
        <f t="shared" si="6"/>
        <v>1116.7309847899996</v>
      </c>
      <c r="C189" s="169">
        <v>7420.83098479</v>
      </c>
      <c r="D189" s="948">
        <f t="shared" si="7"/>
        <v>310.36418019000007</v>
      </c>
      <c r="E189" s="380">
        <v>1226.8641801900001</v>
      </c>
    </row>
    <row r="190" spans="1:5">
      <c r="A190" s="1340">
        <v>2007.01</v>
      </c>
      <c r="B190" s="2542">
        <f>C190</f>
        <v>537.4</v>
      </c>
      <c r="C190" s="169">
        <v>537.4</v>
      </c>
      <c r="D190" s="2542">
        <f>E190</f>
        <v>39.4</v>
      </c>
      <c r="E190" s="380">
        <v>39.4</v>
      </c>
    </row>
    <row r="191" spans="1:5">
      <c r="A191" s="1340">
        <v>2007.02</v>
      </c>
      <c r="B191" s="948">
        <f>(C191-C190)</f>
        <v>553.30000000000007</v>
      </c>
      <c r="C191" s="169">
        <v>1090.7</v>
      </c>
      <c r="D191" s="948">
        <f>E191-E190</f>
        <v>54.500000000000007</v>
      </c>
      <c r="E191" s="380">
        <v>93.9</v>
      </c>
    </row>
    <row r="192" spans="1:5">
      <c r="A192" s="1340">
        <v>2007.03</v>
      </c>
      <c r="B192" s="948">
        <f t="shared" ref="B192:B201" si="8">(C192-C191)</f>
        <v>737.89999999999986</v>
      </c>
      <c r="C192" s="169">
        <v>1828.6</v>
      </c>
      <c r="D192" s="948">
        <f t="shared" ref="D192:D201" si="9">E192-E191</f>
        <v>73.900000000000006</v>
      </c>
      <c r="E192" s="380">
        <v>167.8</v>
      </c>
    </row>
    <row r="193" spans="1:5">
      <c r="A193" s="1340">
        <v>2007.04</v>
      </c>
      <c r="B193" s="948">
        <f t="shared" si="8"/>
        <v>706.59999999999991</v>
      </c>
      <c r="C193" s="169">
        <v>2535.1999999999998</v>
      </c>
      <c r="D193" s="948">
        <f t="shared" si="9"/>
        <v>71</v>
      </c>
      <c r="E193" s="380">
        <v>238.8</v>
      </c>
    </row>
    <row r="194" spans="1:5">
      <c r="A194" s="1340">
        <v>2007.05</v>
      </c>
      <c r="B194" s="948">
        <f t="shared" si="8"/>
        <v>765.90000000000009</v>
      </c>
      <c r="C194" s="169">
        <v>3301.1</v>
      </c>
      <c r="D194" s="948">
        <f t="shared" si="9"/>
        <v>67.099999999999966</v>
      </c>
      <c r="E194" s="380">
        <v>305.89999999999998</v>
      </c>
    </row>
    <row r="195" spans="1:5">
      <c r="A195" s="1340">
        <v>2007.06</v>
      </c>
      <c r="B195" s="948">
        <f t="shared" si="8"/>
        <v>943.59999999999991</v>
      </c>
      <c r="C195" s="169">
        <v>4244.7</v>
      </c>
      <c r="D195" s="948">
        <f t="shared" si="9"/>
        <v>94.800000000000011</v>
      </c>
      <c r="E195" s="380">
        <v>400.7</v>
      </c>
    </row>
    <row r="196" spans="1:5">
      <c r="A196" s="1340">
        <v>2007.07</v>
      </c>
      <c r="B196" s="948">
        <f t="shared" si="8"/>
        <v>760.60000000000036</v>
      </c>
      <c r="C196" s="169">
        <v>5005.3</v>
      </c>
      <c r="D196" s="948">
        <f t="shared" si="9"/>
        <v>86</v>
      </c>
      <c r="E196" s="380">
        <v>486.7</v>
      </c>
    </row>
    <row r="197" spans="1:5">
      <c r="A197" s="1340">
        <v>2007.08</v>
      </c>
      <c r="B197" s="948">
        <f t="shared" si="8"/>
        <v>796.80000000000018</v>
      </c>
      <c r="C197" s="169">
        <v>5802.1</v>
      </c>
      <c r="D197" s="948">
        <f t="shared" si="9"/>
        <v>93.500000000000057</v>
      </c>
      <c r="E197" s="380">
        <v>580.20000000000005</v>
      </c>
    </row>
    <row r="198" spans="1:5">
      <c r="A198" s="1340">
        <v>2007.09</v>
      </c>
      <c r="B198" s="948">
        <f t="shared" si="8"/>
        <v>907.39999999999964</v>
      </c>
      <c r="C198" s="169">
        <v>6709.5</v>
      </c>
      <c r="D198" s="948">
        <f t="shared" si="9"/>
        <v>110.39999999999998</v>
      </c>
      <c r="E198" s="380">
        <v>690.6</v>
      </c>
    </row>
    <row r="199" spans="1:5">
      <c r="A199" s="1340">
        <v>2007.1</v>
      </c>
      <c r="B199" s="948">
        <f t="shared" si="8"/>
        <v>858.10000000000036</v>
      </c>
      <c r="C199" s="169">
        <v>7567.6</v>
      </c>
      <c r="D199" s="948">
        <f t="shared" si="9"/>
        <v>74.899999999999977</v>
      </c>
      <c r="E199" s="380">
        <v>765.5</v>
      </c>
    </row>
    <row r="200" spans="1:5">
      <c r="A200" s="1340">
        <v>2007.11</v>
      </c>
      <c r="B200" s="948">
        <f t="shared" si="8"/>
        <v>870.69999999999891</v>
      </c>
      <c r="C200" s="169">
        <v>8438.2999999999993</v>
      </c>
      <c r="D200" s="948">
        <f t="shared" si="9"/>
        <v>124</v>
      </c>
      <c r="E200" s="380">
        <v>889.5</v>
      </c>
    </row>
    <row r="201" spans="1:5">
      <c r="A201" s="1340">
        <v>2007.12</v>
      </c>
      <c r="B201" s="948">
        <f t="shared" si="8"/>
        <v>1151.9010730400023</v>
      </c>
      <c r="C201" s="169">
        <v>9590.2010730400016</v>
      </c>
      <c r="D201" s="948">
        <f t="shared" si="9"/>
        <v>156.76506651999989</v>
      </c>
      <c r="E201" s="380">
        <v>1046.2650665199999</v>
      </c>
    </row>
    <row r="202" spans="1:5">
      <c r="A202" s="1340">
        <f t="shared" ref="A202:A233" si="10">A190+1</f>
        <v>2008.01</v>
      </c>
      <c r="B202" s="2542">
        <f>C202</f>
        <v>793.6</v>
      </c>
      <c r="C202" s="169">
        <v>793.6</v>
      </c>
      <c r="D202" s="2542">
        <f>E202</f>
        <v>18.100000000000001</v>
      </c>
      <c r="E202" s="380">
        <v>18.100000000000001</v>
      </c>
    </row>
    <row r="203" spans="1:5">
      <c r="A203" s="1340">
        <f t="shared" si="10"/>
        <v>2008.02</v>
      </c>
      <c r="B203" s="948">
        <f>(C203-C202)</f>
        <v>790.49999999999989</v>
      </c>
      <c r="C203" s="169">
        <v>1584.1</v>
      </c>
      <c r="D203" s="948">
        <f>E203-E202</f>
        <v>44</v>
      </c>
      <c r="E203" s="380">
        <v>62.1</v>
      </c>
    </row>
    <row r="204" spans="1:5">
      <c r="A204" s="1340">
        <f t="shared" si="10"/>
        <v>2008.03</v>
      </c>
      <c r="B204" s="948">
        <f t="shared" ref="B204:B213" si="11">(C204-C203)</f>
        <v>938.90000000000009</v>
      </c>
      <c r="C204" s="169">
        <v>2523</v>
      </c>
      <c r="D204" s="948">
        <f t="shared" ref="D204:D213" si="12">E204-E203</f>
        <v>62.199999999999996</v>
      </c>
      <c r="E204" s="380">
        <v>124.3</v>
      </c>
    </row>
    <row r="205" spans="1:5">
      <c r="A205" s="1340">
        <f t="shared" si="10"/>
        <v>2008.04</v>
      </c>
      <c r="B205" s="948">
        <f t="shared" si="11"/>
        <v>1028.8000000000002</v>
      </c>
      <c r="C205" s="169">
        <v>3551.8</v>
      </c>
      <c r="D205" s="948">
        <f t="shared" si="12"/>
        <v>69.2</v>
      </c>
      <c r="E205" s="380">
        <v>193.5</v>
      </c>
    </row>
    <row r="206" spans="1:5">
      <c r="A206" s="1340">
        <f t="shared" si="10"/>
        <v>2008.05</v>
      </c>
      <c r="B206" s="948">
        <f t="shared" si="11"/>
        <v>1031.0999999999995</v>
      </c>
      <c r="C206" s="169">
        <v>4582.8999999999996</v>
      </c>
      <c r="D206" s="948">
        <f t="shared" si="12"/>
        <v>74.800000000000011</v>
      </c>
      <c r="E206" s="380">
        <v>268.3</v>
      </c>
    </row>
    <row r="207" spans="1:5">
      <c r="A207" s="1340">
        <f t="shared" si="10"/>
        <v>2008.06</v>
      </c>
      <c r="B207" s="948">
        <f t="shared" si="11"/>
        <v>1240.2000000000007</v>
      </c>
      <c r="C207" s="169">
        <v>5823.1</v>
      </c>
      <c r="D207" s="948">
        <f t="shared" si="12"/>
        <v>63.5</v>
      </c>
      <c r="E207" s="380">
        <v>331.8</v>
      </c>
    </row>
    <row r="208" spans="1:5">
      <c r="A208" s="1340">
        <f t="shared" si="10"/>
        <v>2008.07</v>
      </c>
      <c r="B208" s="948">
        <f t="shared" si="11"/>
        <v>1082.1999999999998</v>
      </c>
      <c r="C208" s="169">
        <v>6905.3</v>
      </c>
      <c r="D208" s="948">
        <f t="shared" si="12"/>
        <v>98.099999999999966</v>
      </c>
      <c r="E208" s="380">
        <v>429.9</v>
      </c>
    </row>
    <row r="209" spans="1:5">
      <c r="A209" s="1340">
        <f t="shared" si="10"/>
        <v>2008.08</v>
      </c>
      <c r="B209" s="948">
        <f t="shared" si="11"/>
        <v>1186.3999999999996</v>
      </c>
      <c r="C209" s="169">
        <v>8091.7</v>
      </c>
      <c r="D209" s="948">
        <f t="shared" si="12"/>
        <v>106.39999999999998</v>
      </c>
      <c r="E209" s="380">
        <v>536.29999999999995</v>
      </c>
    </row>
    <row r="210" spans="1:5">
      <c r="A210" s="1340">
        <f t="shared" si="10"/>
        <v>2008.09</v>
      </c>
      <c r="B210" s="948">
        <f t="shared" si="11"/>
        <v>1192.5999999999995</v>
      </c>
      <c r="C210" s="169">
        <v>9284.2999999999993</v>
      </c>
      <c r="D210" s="948">
        <f t="shared" si="12"/>
        <v>94.700000000000045</v>
      </c>
      <c r="E210" s="380">
        <v>631</v>
      </c>
    </row>
    <row r="211" spans="1:5">
      <c r="A211" s="1340">
        <f t="shared" si="10"/>
        <v>2008.1</v>
      </c>
      <c r="B211" s="948">
        <f t="shared" si="11"/>
        <v>1158.6000000000004</v>
      </c>
      <c r="C211" s="169">
        <v>10442.9</v>
      </c>
      <c r="D211" s="948">
        <f t="shared" si="12"/>
        <v>130.79999999999995</v>
      </c>
      <c r="E211" s="380">
        <v>761.8</v>
      </c>
    </row>
    <row r="212" spans="1:5">
      <c r="A212" s="1340">
        <f t="shared" si="10"/>
        <v>2008.11</v>
      </c>
      <c r="B212" s="948">
        <f t="shared" si="11"/>
        <v>1117.1000000000004</v>
      </c>
      <c r="C212" s="169">
        <v>11560</v>
      </c>
      <c r="D212" s="948">
        <f t="shared" si="12"/>
        <v>116.5</v>
      </c>
      <c r="E212" s="380">
        <v>878.3</v>
      </c>
    </row>
    <row r="213" spans="1:5">
      <c r="A213" s="1340">
        <f t="shared" si="10"/>
        <v>2008.12</v>
      </c>
      <c r="B213" s="948">
        <f t="shared" si="11"/>
        <v>2032.2576414599989</v>
      </c>
      <c r="C213" s="169">
        <v>13592.257641459999</v>
      </c>
      <c r="D213" s="948">
        <f t="shared" si="12"/>
        <v>400.7072400699999</v>
      </c>
      <c r="E213" s="380">
        <v>1279.0072400699999</v>
      </c>
    </row>
    <row r="214" spans="1:5">
      <c r="A214" s="1340">
        <f t="shared" si="10"/>
        <v>2009.01</v>
      </c>
      <c r="B214" s="2542">
        <f>C214</f>
        <v>1113.9000000000001</v>
      </c>
      <c r="C214" s="169">
        <v>1113.9000000000001</v>
      </c>
      <c r="D214" s="2542">
        <f>E214</f>
        <v>16</v>
      </c>
      <c r="E214" s="380">
        <v>16</v>
      </c>
    </row>
    <row r="215" spans="1:5">
      <c r="A215" s="1340">
        <f t="shared" si="10"/>
        <v>2009.02</v>
      </c>
      <c r="B215" s="948">
        <f>(C215-C214)</f>
        <v>1087.2999999999997</v>
      </c>
      <c r="C215" s="169">
        <v>2201.1999999999998</v>
      </c>
      <c r="D215" s="948">
        <f>E215-E214</f>
        <v>58.599999999999994</v>
      </c>
      <c r="E215" s="380">
        <v>74.599999999999994</v>
      </c>
    </row>
    <row r="216" spans="1:5">
      <c r="A216" s="1340">
        <f t="shared" si="10"/>
        <v>2009.03</v>
      </c>
      <c r="B216" s="948">
        <f t="shared" ref="B216:B225" si="13">(C216-C215)</f>
        <v>1272.3000000000002</v>
      </c>
      <c r="C216" s="169">
        <v>3473.5</v>
      </c>
      <c r="D216" s="948">
        <f t="shared" ref="D216:D225" si="14">E216-E215</f>
        <v>89.4</v>
      </c>
      <c r="E216" s="380">
        <v>164</v>
      </c>
    </row>
    <row r="217" spans="1:5">
      <c r="A217" s="1340">
        <f t="shared" si="10"/>
        <v>2009.04</v>
      </c>
      <c r="B217" s="948">
        <f t="shared" si="13"/>
        <v>1246.6000000000004</v>
      </c>
      <c r="C217" s="169">
        <v>4720.1000000000004</v>
      </c>
      <c r="D217" s="948">
        <f t="shared" si="14"/>
        <v>80.5</v>
      </c>
      <c r="E217" s="380">
        <v>244.5</v>
      </c>
    </row>
    <row r="218" spans="1:5">
      <c r="A218" s="1340">
        <f t="shared" si="10"/>
        <v>2009.05</v>
      </c>
      <c r="B218" s="948">
        <f t="shared" si="13"/>
        <v>1298.2999999999993</v>
      </c>
      <c r="C218" s="169">
        <v>6018.4</v>
      </c>
      <c r="D218" s="948">
        <f t="shared" si="14"/>
        <v>101</v>
      </c>
      <c r="E218" s="380">
        <v>345.5</v>
      </c>
    </row>
    <row r="219" spans="1:5">
      <c r="A219" s="1340">
        <f t="shared" si="10"/>
        <v>2009.06</v>
      </c>
      <c r="B219" s="948">
        <f t="shared" si="13"/>
        <v>1704.9000000000005</v>
      </c>
      <c r="C219" s="169">
        <v>7723.3</v>
      </c>
      <c r="D219" s="948">
        <f t="shared" si="14"/>
        <v>81.399999999999977</v>
      </c>
      <c r="E219" s="380">
        <v>426.9</v>
      </c>
    </row>
    <row r="220" spans="1:5">
      <c r="A220" s="1340">
        <f t="shared" si="10"/>
        <v>2009.07</v>
      </c>
      <c r="B220" s="948">
        <f t="shared" si="13"/>
        <v>1392.9999999999991</v>
      </c>
      <c r="C220" s="169">
        <v>9116.2999999999993</v>
      </c>
      <c r="D220" s="948">
        <f t="shared" si="14"/>
        <v>135.10000000000002</v>
      </c>
      <c r="E220" s="380">
        <v>562</v>
      </c>
    </row>
    <row r="221" spans="1:5">
      <c r="A221" s="1340">
        <f t="shared" si="10"/>
        <v>2009.08</v>
      </c>
      <c r="B221" s="948">
        <f t="shared" si="13"/>
        <v>1328.6000000000004</v>
      </c>
      <c r="C221" s="169">
        <v>10444.9</v>
      </c>
      <c r="D221" s="948">
        <f t="shared" si="14"/>
        <v>85.299999999999955</v>
      </c>
      <c r="E221" s="380">
        <v>647.29999999999995</v>
      </c>
    </row>
    <row r="222" spans="1:5">
      <c r="A222" s="1340">
        <f t="shared" si="10"/>
        <v>2009.09</v>
      </c>
      <c r="B222" s="948">
        <f t="shared" si="13"/>
        <v>1356.1000000000004</v>
      </c>
      <c r="C222" s="169">
        <v>11801</v>
      </c>
      <c r="D222" s="948">
        <f t="shared" si="14"/>
        <v>107</v>
      </c>
      <c r="E222" s="380">
        <v>754.3</v>
      </c>
    </row>
    <row r="223" spans="1:5">
      <c r="A223" s="1340">
        <f t="shared" si="10"/>
        <v>2009.1</v>
      </c>
      <c r="B223" s="948">
        <f t="shared" si="13"/>
        <v>1297.8999999999996</v>
      </c>
      <c r="C223" s="169">
        <v>13098.9</v>
      </c>
      <c r="D223" s="948">
        <f t="shared" si="14"/>
        <v>92.400000000000091</v>
      </c>
      <c r="E223" s="380">
        <v>846.7</v>
      </c>
    </row>
    <row r="224" spans="1:5">
      <c r="A224" s="1340">
        <f t="shared" si="10"/>
        <v>2009.11</v>
      </c>
      <c r="B224" s="948">
        <f t="shared" si="13"/>
        <v>1491.6000000000004</v>
      </c>
      <c r="C224" s="169">
        <v>14590.5</v>
      </c>
      <c r="D224" s="948">
        <f t="shared" si="14"/>
        <v>87.699999999999932</v>
      </c>
      <c r="E224" s="380">
        <v>934.4</v>
      </c>
    </row>
    <row r="225" spans="1:5">
      <c r="A225" s="1340">
        <f t="shared" si="10"/>
        <v>2009.12</v>
      </c>
      <c r="B225" s="948">
        <f t="shared" si="13"/>
        <v>2103.0670855700009</v>
      </c>
      <c r="C225" s="169">
        <v>16693.567085570001</v>
      </c>
      <c r="D225" s="948">
        <f t="shared" si="14"/>
        <v>286.00035252999999</v>
      </c>
      <c r="E225" s="380">
        <v>1220.40035253</v>
      </c>
    </row>
    <row r="226" spans="1:5">
      <c r="A226" s="1340">
        <f t="shared" si="10"/>
        <v>2010.01</v>
      </c>
      <c r="B226" s="2542">
        <f>C226</f>
        <v>1214.9000000000001</v>
      </c>
      <c r="C226" s="169">
        <v>1214.9000000000001</v>
      </c>
      <c r="D226" s="2542">
        <f>E226</f>
        <v>17</v>
      </c>
      <c r="E226" s="380">
        <v>17</v>
      </c>
    </row>
    <row r="227" spans="1:5">
      <c r="A227" s="1340">
        <f t="shared" si="10"/>
        <v>2010.02</v>
      </c>
      <c r="B227" s="948">
        <f>(C227-C226)</f>
        <v>1328.2999999999997</v>
      </c>
      <c r="C227" s="169">
        <v>2543.1999999999998</v>
      </c>
      <c r="D227" s="948">
        <f>E227-E226</f>
        <v>87.2</v>
      </c>
      <c r="E227" s="380">
        <v>104.2</v>
      </c>
    </row>
    <row r="228" spans="1:5">
      <c r="A228" s="1340">
        <f t="shared" si="10"/>
        <v>2010.03</v>
      </c>
      <c r="B228" s="948">
        <f t="shared" ref="B228:B237" si="15">(C228-C227)</f>
        <v>1344.1000000000004</v>
      </c>
      <c r="C228" s="169">
        <v>3887.3</v>
      </c>
      <c r="D228" s="948">
        <f t="shared" ref="D228:D237" si="16">E228-E227</f>
        <v>78.2</v>
      </c>
      <c r="E228" s="380">
        <v>182.4</v>
      </c>
    </row>
    <row r="229" spans="1:5">
      <c r="A229" s="1340">
        <f t="shared" si="10"/>
        <v>2010.04</v>
      </c>
      <c r="B229" s="948">
        <f t="shared" si="15"/>
        <v>1668.8000000000002</v>
      </c>
      <c r="C229" s="169">
        <v>5556.1</v>
      </c>
      <c r="D229" s="948">
        <f t="shared" si="16"/>
        <v>114.20000000000002</v>
      </c>
      <c r="E229" s="380">
        <v>296.60000000000002</v>
      </c>
    </row>
    <row r="230" spans="1:5">
      <c r="A230" s="1340">
        <f t="shared" si="10"/>
        <v>2010.05</v>
      </c>
      <c r="B230" s="948">
        <f t="shared" si="15"/>
        <v>1618</v>
      </c>
      <c r="C230" s="169">
        <v>7174.1</v>
      </c>
      <c r="D230" s="948">
        <f t="shared" si="16"/>
        <v>112.09999999999997</v>
      </c>
      <c r="E230" s="380">
        <v>408.7</v>
      </c>
    </row>
    <row r="231" spans="1:5">
      <c r="A231" s="1340">
        <f t="shared" si="10"/>
        <v>2010.06</v>
      </c>
      <c r="B231" s="948">
        <f t="shared" si="15"/>
        <v>2087.3999999999996</v>
      </c>
      <c r="C231" s="169">
        <v>9261.5</v>
      </c>
      <c r="D231" s="948">
        <f t="shared" si="16"/>
        <v>139.19999999999999</v>
      </c>
      <c r="E231" s="380">
        <v>547.9</v>
      </c>
    </row>
    <row r="232" spans="1:5">
      <c r="A232" s="1340">
        <f t="shared" si="10"/>
        <v>2010.07</v>
      </c>
      <c r="B232" s="948">
        <f t="shared" si="15"/>
        <v>2459.6000000000004</v>
      </c>
      <c r="C232" s="169">
        <v>11721.1</v>
      </c>
      <c r="D232" s="948">
        <f t="shared" si="16"/>
        <v>149.39999999999998</v>
      </c>
      <c r="E232" s="380">
        <v>697.3</v>
      </c>
    </row>
    <row r="233" spans="1:5">
      <c r="A233" s="1340">
        <f t="shared" si="10"/>
        <v>2010.08</v>
      </c>
      <c r="B233" s="948">
        <f t="shared" si="15"/>
        <v>1077.6000000000004</v>
      </c>
      <c r="C233" s="169">
        <v>12798.7</v>
      </c>
      <c r="D233" s="948">
        <f t="shared" si="16"/>
        <v>169.20000000000005</v>
      </c>
      <c r="E233" s="380">
        <v>866.5</v>
      </c>
    </row>
    <row r="234" spans="1:5">
      <c r="A234" s="1340">
        <f t="shared" ref="A234:A265" si="17">A222+1</f>
        <v>2010.09</v>
      </c>
      <c r="B234" s="948">
        <f t="shared" si="15"/>
        <v>1745.6999999999989</v>
      </c>
      <c r="C234" s="169">
        <v>14544.4</v>
      </c>
      <c r="D234" s="948">
        <f t="shared" si="16"/>
        <v>136.70000000000005</v>
      </c>
      <c r="E234" s="380">
        <v>1003.2</v>
      </c>
    </row>
    <row r="235" spans="1:5">
      <c r="A235" s="1340">
        <f t="shared" si="17"/>
        <v>2010.1</v>
      </c>
      <c r="B235" s="948">
        <f t="shared" si="15"/>
        <v>1752.1000000000004</v>
      </c>
      <c r="C235" s="169">
        <v>16296.5</v>
      </c>
      <c r="D235" s="948">
        <f t="shared" si="16"/>
        <v>100.70000000000005</v>
      </c>
      <c r="E235" s="380">
        <v>1103.9000000000001</v>
      </c>
    </row>
    <row r="236" spans="1:5">
      <c r="A236" s="1340">
        <f t="shared" si="17"/>
        <v>2010.11</v>
      </c>
      <c r="B236" s="948">
        <f t="shared" si="15"/>
        <v>1950.2999999999993</v>
      </c>
      <c r="C236" s="169">
        <v>18246.8</v>
      </c>
      <c r="D236" s="948">
        <f t="shared" si="16"/>
        <v>171.19999999999982</v>
      </c>
      <c r="E236" s="380">
        <v>1275.0999999999999</v>
      </c>
    </row>
    <row r="237" spans="1:5">
      <c r="A237" s="1340">
        <f t="shared" si="17"/>
        <v>2010.12</v>
      </c>
      <c r="B237" s="948">
        <f t="shared" si="15"/>
        <v>2941.7310220400032</v>
      </c>
      <c r="C237" s="169">
        <v>21188.531022040002</v>
      </c>
      <c r="D237" s="948">
        <f t="shared" si="16"/>
        <v>454.78106422000019</v>
      </c>
      <c r="E237" s="380">
        <v>1729.8810642200001</v>
      </c>
    </row>
    <row r="238" spans="1:5">
      <c r="A238" s="1340">
        <f t="shared" si="17"/>
        <v>2011.01</v>
      </c>
      <c r="B238" s="2542">
        <f>C238</f>
        <v>1743.8</v>
      </c>
      <c r="C238" s="169">
        <v>1743.8</v>
      </c>
      <c r="D238" s="2542">
        <f>E238</f>
        <v>67</v>
      </c>
      <c r="E238" s="380">
        <v>67</v>
      </c>
    </row>
    <row r="239" spans="1:5">
      <c r="A239" s="1340">
        <f t="shared" si="17"/>
        <v>2011.02</v>
      </c>
      <c r="B239" s="948">
        <f>(C239-C238)</f>
        <v>1975.8</v>
      </c>
      <c r="C239" s="169">
        <v>3719.6</v>
      </c>
      <c r="D239" s="948">
        <f>E239-E238</f>
        <v>78.699999999999989</v>
      </c>
      <c r="E239" s="380">
        <v>145.69999999999999</v>
      </c>
    </row>
    <row r="240" spans="1:5">
      <c r="A240" s="1340">
        <f t="shared" si="17"/>
        <v>2011.03</v>
      </c>
      <c r="B240" s="948">
        <f t="shared" ref="B240:B248" si="18">(C240-C239)</f>
        <v>2299.4</v>
      </c>
      <c r="C240" s="169">
        <v>6019</v>
      </c>
      <c r="D240" s="948">
        <f t="shared" ref="D240:D249" si="19">E240-E239</f>
        <v>180.7</v>
      </c>
      <c r="E240" s="380">
        <v>326.39999999999998</v>
      </c>
    </row>
    <row r="241" spans="1:5">
      <c r="A241" s="1340">
        <f t="shared" si="17"/>
        <v>2011.04</v>
      </c>
      <c r="B241" s="948">
        <f t="shared" si="18"/>
        <v>2267.8999999999996</v>
      </c>
      <c r="C241" s="169">
        <v>8286.9</v>
      </c>
      <c r="D241" s="948">
        <f t="shared" si="19"/>
        <v>195.80000000000007</v>
      </c>
      <c r="E241" s="380">
        <v>522.20000000000005</v>
      </c>
    </row>
    <row r="242" spans="1:5">
      <c r="A242" s="1340">
        <f t="shared" si="17"/>
        <v>2011.05</v>
      </c>
      <c r="B242" s="948">
        <f t="shared" si="18"/>
        <v>2419</v>
      </c>
      <c r="C242" s="169">
        <v>10705.9</v>
      </c>
      <c r="D242" s="948">
        <f t="shared" si="19"/>
        <v>214.19999999999993</v>
      </c>
      <c r="E242" s="380">
        <v>736.4</v>
      </c>
    </row>
    <row r="243" spans="1:5">
      <c r="A243" s="1340">
        <f t="shared" si="17"/>
        <v>2011.06</v>
      </c>
      <c r="B243" s="948">
        <f t="shared" si="18"/>
        <v>3188</v>
      </c>
      <c r="C243" s="169">
        <v>13893.9</v>
      </c>
      <c r="D243" s="948">
        <f t="shared" si="19"/>
        <v>215</v>
      </c>
      <c r="E243" s="380">
        <v>951.4</v>
      </c>
    </row>
    <row r="244" spans="1:5">
      <c r="A244" s="1340">
        <f t="shared" si="17"/>
        <v>2011.07</v>
      </c>
      <c r="B244" s="948">
        <f t="shared" si="18"/>
        <v>2443.2000000000007</v>
      </c>
      <c r="C244" s="169">
        <v>16337.1</v>
      </c>
      <c r="D244" s="948">
        <f t="shared" si="19"/>
        <v>172.39999999999998</v>
      </c>
      <c r="E244" s="380">
        <v>1123.8</v>
      </c>
    </row>
    <row r="245" spans="1:5">
      <c r="A245" s="1340">
        <f t="shared" si="17"/>
        <v>2011.08</v>
      </c>
      <c r="B245" s="948">
        <f t="shared" si="18"/>
        <v>2476.4999999999982</v>
      </c>
      <c r="C245" s="169">
        <v>18813.599999999999</v>
      </c>
      <c r="D245" s="948">
        <f t="shared" si="19"/>
        <v>210.60000000000014</v>
      </c>
      <c r="E245" s="380">
        <v>1334.4</v>
      </c>
    </row>
    <row r="246" spans="1:5">
      <c r="A246" s="1340">
        <f t="shared" si="17"/>
        <v>2011.09</v>
      </c>
      <c r="B246" s="948">
        <f t="shared" si="18"/>
        <v>1695.5</v>
      </c>
      <c r="C246" s="169">
        <v>20509.099999999999</v>
      </c>
      <c r="D246" s="948">
        <f t="shared" si="19"/>
        <v>176.09999999999991</v>
      </c>
      <c r="E246" s="380">
        <v>1510.5</v>
      </c>
    </row>
    <row r="247" spans="1:5">
      <c r="A247" s="1340">
        <f t="shared" si="17"/>
        <v>2011.1</v>
      </c>
      <c r="B247" s="948">
        <f t="shared" si="18"/>
        <v>3191.2000000000007</v>
      </c>
      <c r="C247" s="169">
        <v>23700.3</v>
      </c>
      <c r="D247" s="948">
        <f t="shared" si="19"/>
        <v>208.59999999999991</v>
      </c>
      <c r="E247" s="380">
        <v>1719.1</v>
      </c>
    </row>
    <row r="248" spans="1:5">
      <c r="A248" s="1340">
        <f t="shared" si="17"/>
        <v>2011.11</v>
      </c>
      <c r="B248" s="948">
        <f t="shared" si="18"/>
        <v>2678.6000000000022</v>
      </c>
      <c r="C248" s="169">
        <v>26378.9</v>
      </c>
      <c r="D248" s="948">
        <f t="shared" si="19"/>
        <v>173</v>
      </c>
      <c r="E248" s="380">
        <v>1892.1</v>
      </c>
    </row>
    <row r="249" spans="1:5">
      <c r="A249" s="1340">
        <f t="shared" si="17"/>
        <v>2011.12</v>
      </c>
      <c r="B249" s="948">
        <f>(C249-C248)</f>
        <v>3948.0544749699984</v>
      </c>
      <c r="C249" s="169">
        <v>30326.95447497</v>
      </c>
      <c r="D249" s="948">
        <f t="shared" si="19"/>
        <v>425.96129078000013</v>
      </c>
      <c r="E249" s="380">
        <v>2318.06129078</v>
      </c>
    </row>
    <row r="250" spans="1:5">
      <c r="A250" s="1340">
        <f t="shared" si="17"/>
        <v>2012.01</v>
      </c>
      <c r="B250" s="2542">
        <f>C250</f>
        <v>2271.94</v>
      </c>
      <c r="C250" s="169">
        <v>2271.94</v>
      </c>
      <c r="D250" s="2542">
        <f>E250</f>
        <v>89.8</v>
      </c>
      <c r="E250" s="380">
        <v>89.8</v>
      </c>
    </row>
    <row r="251" spans="1:5">
      <c r="A251" s="1340">
        <f t="shared" si="17"/>
        <v>2012.02</v>
      </c>
      <c r="B251" s="948">
        <f>(C251-C250)</f>
        <v>2307.7999999999997</v>
      </c>
      <c r="C251" s="169">
        <v>4579.74</v>
      </c>
      <c r="D251" s="948">
        <f>E251-E250</f>
        <v>83.95</v>
      </c>
      <c r="E251" s="380">
        <v>173.75</v>
      </c>
    </row>
    <row r="252" spans="1:5">
      <c r="A252" s="1340">
        <f t="shared" si="17"/>
        <v>2012.03</v>
      </c>
      <c r="B252" s="948">
        <f t="shared" ref="B252:B261" si="20">(C252-C251)</f>
        <v>2603.38</v>
      </c>
      <c r="C252" s="169">
        <v>7183.12</v>
      </c>
      <c r="D252" s="948">
        <f t="shared" ref="D252:D261" si="21">E252-E251</f>
        <v>128.12</v>
      </c>
      <c r="E252" s="380">
        <v>301.87</v>
      </c>
    </row>
    <row r="253" spans="1:5">
      <c r="A253" s="1340">
        <f t="shared" si="17"/>
        <v>2012.04</v>
      </c>
      <c r="B253" s="948">
        <f>(C253-C252)</f>
        <v>2825.0199999999995</v>
      </c>
      <c r="C253" s="169">
        <v>10008.14</v>
      </c>
      <c r="D253" s="948">
        <f t="shared" si="21"/>
        <v>117.46999999999997</v>
      </c>
      <c r="E253" s="380">
        <v>419.34</v>
      </c>
    </row>
    <row r="254" spans="1:5">
      <c r="A254" s="1340">
        <f t="shared" si="17"/>
        <v>2012.05</v>
      </c>
      <c r="B254" s="948">
        <f>(C254-C253)</f>
        <v>2880.9300000000003</v>
      </c>
      <c r="C254" s="169">
        <v>12889.07</v>
      </c>
      <c r="D254" s="948">
        <f t="shared" si="21"/>
        <v>171.49000000000007</v>
      </c>
      <c r="E254" s="380">
        <v>590.83000000000004</v>
      </c>
    </row>
    <row r="255" spans="1:5">
      <c r="A255" s="1340">
        <f t="shared" si="17"/>
        <v>2012.06</v>
      </c>
      <c r="B255" s="948">
        <f t="shared" si="20"/>
        <v>3643.0699999999997</v>
      </c>
      <c r="C255" s="169">
        <v>16532.14</v>
      </c>
      <c r="D255" s="948">
        <f t="shared" si="21"/>
        <v>173.33999999999992</v>
      </c>
      <c r="E255" s="380">
        <v>764.17</v>
      </c>
    </row>
    <row r="256" spans="1:5">
      <c r="A256" s="1340">
        <f t="shared" si="17"/>
        <v>2012.07</v>
      </c>
      <c r="B256" s="948">
        <f t="shared" si="20"/>
        <v>2959.4300000000003</v>
      </c>
      <c r="C256" s="169">
        <v>19491.57</v>
      </c>
      <c r="D256" s="948">
        <f t="shared" si="21"/>
        <v>136.72000000000003</v>
      </c>
      <c r="E256" s="380">
        <v>900.89</v>
      </c>
    </row>
    <row r="257" spans="1:5">
      <c r="A257" s="1340">
        <f t="shared" si="17"/>
        <v>2012.08</v>
      </c>
      <c r="B257" s="948">
        <f t="shared" si="20"/>
        <v>2946.4399999999987</v>
      </c>
      <c r="C257" s="169">
        <v>22438.01</v>
      </c>
      <c r="D257" s="948">
        <f t="shared" si="21"/>
        <v>148.84000000000003</v>
      </c>
      <c r="E257" s="380">
        <v>1049.73</v>
      </c>
    </row>
    <row r="258" spans="1:5">
      <c r="A258" s="1340">
        <f t="shared" si="17"/>
        <v>2012.09</v>
      </c>
      <c r="B258" s="948">
        <f t="shared" si="20"/>
        <v>3054.16</v>
      </c>
      <c r="C258" s="169">
        <v>25492.17</v>
      </c>
      <c r="D258" s="948">
        <f t="shared" si="21"/>
        <v>120.48000000000002</v>
      </c>
      <c r="E258" s="380">
        <v>1170.21</v>
      </c>
    </row>
    <row r="259" spans="1:5">
      <c r="A259" s="1340">
        <f t="shared" si="17"/>
        <v>2012.1</v>
      </c>
      <c r="B259" s="948">
        <f t="shared" si="20"/>
        <v>3037.6200000000026</v>
      </c>
      <c r="C259" s="169">
        <v>28529.79</v>
      </c>
      <c r="D259" s="948">
        <f t="shared" si="21"/>
        <v>174.75</v>
      </c>
      <c r="E259" s="380">
        <v>1344.96</v>
      </c>
    </row>
    <row r="260" spans="1:5">
      <c r="A260" s="1340">
        <f t="shared" si="17"/>
        <v>2012.11</v>
      </c>
      <c r="B260" s="948">
        <f t="shared" si="20"/>
        <v>3038.1800000000003</v>
      </c>
      <c r="C260" s="169">
        <v>31567.97</v>
      </c>
      <c r="D260" s="948">
        <f t="shared" si="21"/>
        <v>93.139999999999873</v>
      </c>
      <c r="E260" s="380">
        <v>1438.1</v>
      </c>
    </row>
    <row r="261" spans="1:5">
      <c r="A261" s="1340">
        <f t="shared" si="17"/>
        <v>2012.12</v>
      </c>
      <c r="B261" s="948">
        <f t="shared" si="20"/>
        <v>4652.4327891799985</v>
      </c>
      <c r="C261" s="169">
        <v>36220.40278918</v>
      </c>
      <c r="D261" s="948">
        <f t="shared" si="21"/>
        <v>222.80603122000002</v>
      </c>
      <c r="E261" s="380">
        <v>1660.9060312199999</v>
      </c>
    </row>
    <row r="262" spans="1:5">
      <c r="A262" s="1340">
        <f t="shared" si="17"/>
        <v>2013.01</v>
      </c>
      <c r="B262" s="2542">
        <f>C262</f>
        <v>2867.3</v>
      </c>
      <c r="C262" s="169">
        <v>2867.3</v>
      </c>
      <c r="D262" s="2542">
        <f>E262</f>
        <v>90.04</v>
      </c>
      <c r="E262" s="380">
        <v>90.04</v>
      </c>
    </row>
    <row r="263" spans="1:5">
      <c r="A263" s="1340">
        <f t="shared" si="17"/>
        <v>2013.02</v>
      </c>
      <c r="B263" s="948">
        <f>(C263-C262)</f>
        <v>2838.42</v>
      </c>
      <c r="C263" s="169">
        <v>5705.72</v>
      </c>
      <c r="D263" s="948">
        <f>E263-E262</f>
        <v>59.84999999999998</v>
      </c>
      <c r="E263" s="380">
        <v>149.88999999999999</v>
      </c>
    </row>
    <row r="264" spans="1:5">
      <c r="A264" s="1340">
        <f t="shared" si="17"/>
        <v>2013.03</v>
      </c>
      <c r="B264" s="948">
        <f t="shared" ref="B264:B273" si="22">(C264-C263)</f>
        <v>3387.12</v>
      </c>
      <c r="C264" s="169">
        <v>9092.84</v>
      </c>
      <c r="D264" s="948">
        <f t="shared" ref="D264:D273" si="23">E264-E263</f>
        <v>141.42000000000002</v>
      </c>
      <c r="E264" s="380">
        <v>291.31</v>
      </c>
    </row>
    <row r="265" spans="1:5">
      <c r="A265" s="1340">
        <f t="shared" si="17"/>
        <v>2013.04</v>
      </c>
      <c r="B265" s="948">
        <f t="shared" si="22"/>
        <v>3499.74</v>
      </c>
      <c r="C265" s="169">
        <v>12592.58</v>
      </c>
      <c r="D265" s="948">
        <f t="shared" si="23"/>
        <v>151.88</v>
      </c>
      <c r="E265" s="380">
        <v>443.19</v>
      </c>
    </row>
    <row r="266" spans="1:5">
      <c r="A266" s="1340">
        <f t="shared" ref="A266:A329" si="24">A254+1</f>
        <v>2013.05</v>
      </c>
      <c r="B266" s="948">
        <f t="shared" si="22"/>
        <v>3636.58</v>
      </c>
      <c r="C266" s="169">
        <v>16229.16</v>
      </c>
      <c r="D266" s="948">
        <f t="shared" si="23"/>
        <v>245.98999999999995</v>
      </c>
      <c r="E266" s="380">
        <v>689.18</v>
      </c>
    </row>
    <row r="267" spans="1:5">
      <c r="A267" s="1340">
        <f t="shared" si="24"/>
        <v>2013.06</v>
      </c>
      <c r="B267" s="948">
        <f t="shared" si="22"/>
        <v>4594.93</v>
      </c>
      <c r="C267" s="169">
        <v>20824.09</v>
      </c>
      <c r="D267" s="948">
        <f t="shared" si="23"/>
        <v>189.73000000000002</v>
      </c>
      <c r="E267" s="380">
        <v>878.91</v>
      </c>
    </row>
    <row r="268" spans="1:5">
      <c r="A268" s="1340">
        <f t="shared" si="24"/>
        <v>2013.07</v>
      </c>
      <c r="B268" s="948">
        <f t="shared" si="22"/>
        <v>3910.7999999999993</v>
      </c>
      <c r="C268" s="169">
        <v>24734.89</v>
      </c>
      <c r="D268" s="948">
        <f t="shared" si="23"/>
        <v>229.65999999999997</v>
      </c>
      <c r="E268" s="380">
        <v>1108.57</v>
      </c>
    </row>
    <row r="269" spans="1:5">
      <c r="A269" s="1340">
        <f t="shared" si="24"/>
        <v>2013.08</v>
      </c>
      <c r="B269" s="948">
        <f t="shared" si="22"/>
        <v>4045.7799999999988</v>
      </c>
      <c r="C269" s="169">
        <v>28780.67</v>
      </c>
      <c r="D269" s="948">
        <f t="shared" si="23"/>
        <v>305.75</v>
      </c>
      <c r="E269" s="380">
        <v>1414.32</v>
      </c>
    </row>
    <row r="270" spans="1:5">
      <c r="A270" s="1340">
        <f t="shared" si="24"/>
        <v>2013.09</v>
      </c>
      <c r="B270" s="948">
        <f t="shared" si="22"/>
        <v>4024.2200000000012</v>
      </c>
      <c r="C270" s="169">
        <v>32804.89</v>
      </c>
      <c r="D270" s="948">
        <f t="shared" si="23"/>
        <v>230.06000000000017</v>
      </c>
      <c r="E270" s="380">
        <v>1644.38</v>
      </c>
    </row>
    <row r="271" spans="1:5">
      <c r="A271" s="1340">
        <f t="shared" si="24"/>
        <v>2013.1</v>
      </c>
      <c r="B271" s="948">
        <f t="shared" si="22"/>
        <v>4162.0200000000041</v>
      </c>
      <c r="C271" s="169">
        <v>36966.910000000003</v>
      </c>
      <c r="D271" s="948">
        <f t="shared" si="23"/>
        <v>246.03999999999996</v>
      </c>
      <c r="E271" s="380">
        <v>1890.42</v>
      </c>
    </row>
    <row r="272" spans="1:5">
      <c r="A272" s="1340">
        <f t="shared" si="24"/>
        <v>2013.11</v>
      </c>
      <c r="B272" s="948">
        <f t="shared" si="22"/>
        <v>4053.8099999999977</v>
      </c>
      <c r="C272" s="169">
        <v>41020.720000000001</v>
      </c>
      <c r="D272" s="948">
        <f t="shared" si="23"/>
        <v>229.05000000000018</v>
      </c>
      <c r="E272" s="380">
        <v>2119.4700000000003</v>
      </c>
    </row>
    <row r="273" spans="1:5">
      <c r="A273" s="1340">
        <f t="shared" si="24"/>
        <v>2013.12</v>
      </c>
      <c r="B273" s="948">
        <f t="shared" si="22"/>
        <v>6476.4723696900037</v>
      </c>
      <c r="C273" s="169">
        <v>47497.192369690005</v>
      </c>
      <c r="D273" s="948">
        <f t="shared" si="23"/>
        <v>556.3636004</v>
      </c>
      <c r="E273" s="380">
        <v>2675.8336004000003</v>
      </c>
    </row>
    <row r="274" spans="1:5">
      <c r="A274" s="1340">
        <f t="shared" si="24"/>
        <v>2014.01</v>
      </c>
      <c r="B274" s="2542">
        <f>C274</f>
        <v>3809.65</v>
      </c>
      <c r="C274" s="169">
        <v>3809.65</v>
      </c>
      <c r="D274" s="2542">
        <f>E274</f>
        <v>95.75</v>
      </c>
      <c r="E274" s="380">
        <v>95.75</v>
      </c>
    </row>
    <row r="275" spans="1:5">
      <c r="A275" s="1340">
        <f t="shared" si="24"/>
        <v>2014.02</v>
      </c>
      <c r="B275" s="948">
        <f t="shared" ref="B275:B285" si="25">(C275-C274)</f>
        <v>4138.6399999999994</v>
      </c>
      <c r="C275" s="169">
        <v>7948.29</v>
      </c>
      <c r="D275" s="948">
        <f>E275-E274</f>
        <v>189.97000000000003</v>
      </c>
      <c r="E275" s="380">
        <v>285.72000000000003</v>
      </c>
    </row>
    <row r="276" spans="1:5">
      <c r="A276" s="1340">
        <f t="shared" si="24"/>
        <v>2014.03</v>
      </c>
      <c r="B276" s="948">
        <f t="shared" si="25"/>
        <v>4897.54</v>
      </c>
      <c r="C276" s="169">
        <v>12845.83</v>
      </c>
      <c r="D276" s="948">
        <f t="shared" ref="D276:D285" si="26">E276-E275</f>
        <v>196.97500000000002</v>
      </c>
      <c r="E276" s="380">
        <v>482.69500000000005</v>
      </c>
    </row>
    <row r="277" spans="1:5">
      <c r="A277" s="1340">
        <f t="shared" si="24"/>
        <v>2014.04</v>
      </c>
      <c r="B277" s="948">
        <f t="shared" si="25"/>
        <v>4718.1999999999989</v>
      </c>
      <c r="C277" s="169">
        <v>17564.03</v>
      </c>
      <c r="D277" s="948">
        <f t="shared" si="26"/>
        <v>288.18999999999994</v>
      </c>
      <c r="E277" s="380">
        <v>770.88499999999999</v>
      </c>
    </row>
    <row r="278" spans="1:5">
      <c r="A278" s="1340">
        <f t="shared" si="24"/>
        <v>2014.05</v>
      </c>
      <c r="B278" s="948">
        <f t="shared" si="25"/>
        <v>5185.260000000002</v>
      </c>
      <c r="C278" s="169">
        <v>22749.29</v>
      </c>
      <c r="D278" s="948">
        <f t="shared" si="26"/>
        <v>338.09699999999998</v>
      </c>
      <c r="E278" s="380">
        <v>1108.982</v>
      </c>
    </row>
    <row r="279" spans="1:5">
      <c r="A279" s="1340">
        <f t="shared" si="24"/>
        <v>2014.06</v>
      </c>
      <c r="B279" s="948">
        <f t="shared" si="25"/>
        <v>6390.98</v>
      </c>
      <c r="C279" s="169">
        <v>29140.27</v>
      </c>
      <c r="D279" s="948">
        <f t="shared" si="26"/>
        <v>365.45000000000005</v>
      </c>
      <c r="E279" s="380">
        <v>1474.432</v>
      </c>
    </row>
    <row r="280" spans="1:5">
      <c r="A280" s="1340">
        <f t="shared" si="24"/>
        <v>2014.07</v>
      </c>
      <c r="B280" s="948">
        <f t="shared" si="25"/>
        <v>5492.7199999999975</v>
      </c>
      <c r="C280" s="169">
        <v>34632.99</v>
      </c>
      <c r="D280" s="948">
        <f t="shared" si="26"/>
        <v>439.23700000000008</v>
      </c>
      <c r="E280" s="380">
        <v>1913.6690000000001</v>
      </c>
    </row>
    <row r="281" spans="1:5">
      <c r="A281" s="1340">
        <f t="shared" si="24"/>
        <v>2014.08</v>
      </c>
      <c r="B281" s="948">
        <f t="shared" si="25"/>
        <v>5365.7700000000041</v>
      </c>
      <c r="C281" s="169">
        <v>39998.76</v>
      </c>
      <c r="D281" s="948">
        <f t="shared" si="26"/>
        <v>351.8309999999999</v>
      </c>
      <c r="E281" s="380">
        <v>2265.5</v>
      </c>
    </row>
    <row r="282" spans="1:5">
      <c r="A282" s="1340">
        <f t="shared" si="24"/>
        <v>2014.09</v>
      </c>
      <c r="B282" s="948">
        <f t="shared" si="25"/>
        <v>5464.2599999999948</v>
      </c>
      <c r="C282" s="169">
        <v>45463.02</v>
      </c>
      <c r="D282" s="948">
        <f t="shared" si="26"/>
        <v>417.20899999999983</v>
      </c>
      <c r="E282" s="380">
        <v>2682.7089999999998</v>
      </c>
    </row>
    <row r="283" spans="1:5">
      <c r="A283" s="1340">
        <f t="shared" si="24"/>
        <v>2014.1</v>
      </c>
      <c r="B283" s="948">
        <f t="shared" si="25"/>
        <v>5817.8800000000047</v>
      </c>
      <c r="C283" s="169">
        <v>51280.9</v>
      </c>
      <c r="D283" s="948">
        <f t="shared" si="26"/>
        <v>482.79300000000012</v>
      </c>
      <c r="E283" s="380">
        <v>3165.502</v>
      </c>
    </row>
    <row r="284" spans="1:5">
      <c r="A284" s="1340">
        <f t="shared" si="24"/>
        <v>2014.11</v>
      </c>
      <c r="B284" s="948">
        <f t="shared" si="25"/>
        <v>5698.3899999999994</v>
      </c>
      <c r="C284" s="169">
        <v>56979.29</v>
      </c>
      <c r="D284" s="948">
        <f t="shared" si="26"/>
        <v>356.82900000000018</v>
      </c>
      <c r="E284" s="380">
        <v>3522.3310000000001</v>
      </c>
    </row>
    <row r="285" spans="1:5">
      <c r="A285" s="1340">
        <f t="shared" si="24"/>
        <v>2014.12</v>
      </c>
      <c r="B285" s="948">
        <f t="shared" si="25"/>
        <v>8808.4075939999966</v>
      </c>
      <c r="C285" s="169">
        <v>65787.697593999997</v>
      </c>
      <c r="D285" s="948">
        <f t="shared" si="26"/>
        <v>822.58662691999962</v>
      </c>
      <c r="E285" s="380">
        <v>4344.9176269199997</v>
      </c>
    </row>
    <row r="286" spans="1:5">
      <c r="A286" s="1340">
        <f t="shared" si="24"/>
        <v>2015.01</v>
      </c>
      <c r="B286" s="2542">
        <f>C286</f>
        <v>5255.94</v>
      </c>
      <c r="C286" s="169">
        <v>5255.94</v>
      </c>
      <c r="D286" s="2542">
        <f>E286</f>
        <v>300.14999999999998</v>
      </c>
      <c r="E286" s="380">
        <v>300.14999999999998</v>
      </c>
    </row>
    <row r="287" spans="1:5">
      <c r="A287" s="1340">
        <f t="shared" si="24"/>
        <v>2015.02</v>
      </c>
      <c r="B287" s="948">
        <f>(C287-C286)</f>
        <v>5370.4900000000007</v>
      </c>
      <c r="C287" s="169">
        <v>10626.43</v>
      </c>
      <c r="D287" s="948">
        <f>E287-E286</f>
        <v>287.99</v>
      </c>
      <c r="E287" s="380">
        <v>588.14</v>
      </c>
    </row>
    <row r="288" spans="1:5">
      <c r="A288" s="1340">
        <f t="shared" si="24"/>
        <v>2015.03</v>
      </c>
      <c r="B288" s="948">
        <f t="shared" ref="B288:B297" si="27">(C288-C287)</f>
        <v>6030.1699999999983</v>
      </c>
      <c r="C288" s="169">
        <v>16656.599999999999</v>
      </c>
      <c r="D288" s="948">
        <f t="shared" ref="D288:D297" si="28">E288-E287</f>
        <v>637.94999999999993</v>
      </c>
      <c r="E288" s="380">
        <v>1226.0899999999999</v>
      </c>
    </row>
    <row r="289" spans="1:5">
      <c r="A289" s="1340">
        <f t="shared" si="24"/>
        <v>2015.04</v>
      </c>
      <c r="B289" s="948">
        <f t="shared" si="27"/>
        <v>7475.9700000000012</v>
      </c>
      <c r="C289" s="169">
        <v>24132.57</v>
      </c>
      <c r="D289" s="948">
        <f t="shared" si="28"/>
        <v>551.98</v>
      </c>
      <c r="E289" s="380">
        <v>1778.07</v>
      </c>
    </row>
    <row r="290" spans="1:5">
      <c r="A290" s="1340">
        <f t="shared" si="24"/>
        <v>2015.05</v>
      </c>
      <c r="B290" s="948">
        <f>(C290-C289)</f>
        <v>7302.98</v>
      </c>
      <c r="C290" s="169">
        <v>31435.55</v>
      </c>
      <c r="D290" s="948">
        <f t="shared" si="28"/>
        <v>638.04999999999995</v>
      </c>
      <c r="E290" s="380">
        <v>2416.12</v>
      </c>
    </row>
    <row r="291" spans="1:5">
      <c r="A291" s="1340">
        <f t="shared" si="24"/>
        <v>2015.06</v>
      </c>
      <c r="B291" s="948">
        <f t="shared" si="27"/>
        <v>8949.73</v>
      </c>
      <c r="C291" s="169">
        <v>40385.279999999999</v>
      </c>
      <c r="D291" s="948">
        <f t="shared" si="28"/>
        <v>587.76000000000022</v>
      </c>
      <c r="E291" s="380">
        <v>3003.88</v>
      </c>
    </row>
    <row r="292" spans="1:5">
      <c r="A292" s="1340">
        <f t="shared" si="24"/>
        <v>2015.07</v>
      </c>
      <c r="B292" s="948">
        <f t="shared" si="27"/>
        <v>7733.7000000000044</v>
      </c>
      <c r="C292" s="169">
        <v>48118.98</v>
      </c>
      <c r="D292" s="948">
        <f t="shared" si="28"/>
        <v>667.36999999999989</v>
      </c>
      <c r="E292" s="380">
        <v>3671.25</v>
      </c>
    </row>
    <row r="293" spans="1:5">
      <c r="A293" s="1340">
        <f t="shared" si="24"/>
        <v>2015.08</v>
      </c>
      <c r="B293" s="948">
        <f>(C293-C292)</f>
        <v>7446.0599999999977</v>
      </c>
      <c r="C293" s="169">
        <v>55565.04</v>
      </c>
      <c r="D293" s="948">
        <f t="shared" si="28"/>
        <v>552.47000000000025</v>
      </c>
      <c r="E293" s="380">
        <v>4223.72</v>
      </c>
    </row>
    <row r="294" spans="1:5">
      <c r="A294" s="1340">
        <f t="shared" si="24"/>
        <v>2015.09</v>
      </c>
      <c r="B294" s="948">
        <f t="shared" si="27"/>
        <v>7791.5169999999998</v>
      </c>
      <c r="C294" s="169">
        <v>63356.557000000001</v>
      </c>
      <c r="D294" s="948">
        <f t="shared" si="28"/>
        <v>685.18599999999969</v>
      </c>
      <c r="E294" s="380">
        <v>4908.9059999999999</v>
      </c>
    </row>
    <row r="295" spans="1:5">
      <c r="A295" s="1340">
        <f t="shared" si="24"/>
        <v>2015.1</v>
      </c>
      <c r="B295" s="948">
        <f t="shared" si="27"/>
        <v>7607.7509999999893</v>
      </c>
      <c r="C295" s="169">
        <v>70964.30799999999</v>
      </c>
      <c r="D295" s="948">
        <f t="shared" si="28"/>
        <v>461.47199999999975</v>
      </c>
      <c r="E295" s="380">
        <v>5370.3779999999997</v>
      </c>
    </row>
    <row r="296" spans="1:5">
      <c r="A296" s="1340">
        <f t="shared" si="24"/>
        <v>2015.11</v>
      </c>
      <c r="B296" s="948">
        <f t="shared" si="27"/>
        <v>7545.9120000000112</v>
      </c>
      <c r="C296" s="169">
        <v>78510.22</v>
      </c>
      <c r="D296" s="948">
        <f>E296-E295</f>
        <v>467.8720000000003</v>
      </c>
      <c r="E296" s="380">
        <v>5838.25</v>
      </c>
    </row>
    <row r="297" spans="1:5">
      <c r="A297" s="1340">
        <f t="shared" si="24"/>
        <v>2015.12</v>
      </c>
      <c r="B297" s="948">
        <f t="shared" si="27"/>
        <v>11917.869999999995</v>
      </c>
      <c r="C297" s="169">
        <v>90428.09</v>
      </c>
      <c r="D297" s="948">
        <f t="shared" si="28"/>
        <v>1171.1400000000003</v>
      </c>
      <c r="E297" s="380">
        <v>7009.39</v>
      </c>
    </row>
    <row r="298" spans="1:5">
      <c r="A298" s="1340">
        <f t="shared" si="24"/>
        <v>2016.01</v>
      </c>
      <c r="B298" s="2542">
        <f>C298</f>
        <v>7549.71</v>
      </c>
      <c r="C298" s="169">
        <v>7549.71</v>
      </c>
      <c r="D298" s="2542">
        <f>E298</f>
        <v>212.96900000000002</v>
      </c>
      <c r="E298" s="380">
        <v>212.96900000000002</v>
      </c>
    </row>
    <row r="299" spans="1:5">
      <c r="A299" s="1340">
        <f t="shared" si="24"/>
        <v>2016.02</v>
      </c>
      <c r="B299" s="948">
        <f>(C299-C298)</f>
        <v>7064.9880000000003</v>
      </c>
      <c r="C299" s="169">
        <v>14614.698</v>
      </c>
      <c r="D299" s="948">
        <f>E299-E298</f>
        <v>348.76400000000001</v>
      </c>
      <c r="E299" s="380">
        <v>561.73300000000006</v>
      </c>
    </row>
    <row r="300" spans="1:5">
      <c r="A300" s="1340">
        <f t="shared" si="24"/>
        <v>2016.03</v>
      </c>
      <c r="B300" s="948">
        <f t="shared" ref="B300:B307" si="29">(C300-C299)</f>
        <v>9040.732</v>
      </c>
      <c r="C300" s="169">
        <v>23655.43</v>
      </c>
      <c r="D300" s="948">
        <f t="shared" ref="D300:D309" si="30">E300-E299</f>
        <v>658.54699999999991</v>
      </c>
      <c r="E300" s="380">
        <v>1220.28</v>
      </c>
    </row>
    <row r="301" spans="1:5">
      <c r="A301" s="1340">
        <f t="shared" si="24"/>
        <v>2016.04</v>
      </c>
      <c r="B301" s="948">
        <f t="shared" si="29"/>
        <v>9210.9499999999971</v>
      </c>
      <c r="C301" s="169">
        <v>32866.379999999997</v>
      </c>
      <c r="D301" s="948">
        <f t="shared" si="30"/>
        <v>565.51</v>
      </c>
      <c r="E301" s="380">
        <v>1785.79</v>
      </c>
    </row>
    <row r="302" spans="1:5">
      <c r="A302" s="1340">
        <f t="shared" si="24"/>
        <v>2016.05</v>
      </c>
      <c r="B302" s="948">
        <f t="shared" si="29"/>
        <v>9412.5</v>
      </c>
      <c r="C302" s="169">
        <v>42278.879999999997</v>
      </c>
      <c r="D302" s="948">
        <f t="shared" si="30"/>
        <v>705.65999999999985</v>
      </c>
      <c r="E302" s="380">
        <v>2491.4499999999998</v>
      </c>
    </row>
    <row r="303" spans="1:5">
      <c r="A303" s="1340">
        <f t="shared" si="24"/>
        <v>2016.06</v>
      </c>
      <c r="B303" s="948">
        <f t="shared" si="29"/>
        <v>12223.170000000006</v>
      </c>
      <c r="C303" s="169">
        <v>54502.05</v>
      </c>
      <c r="D303" s="948">
        <f t="shared" si="30"/>
        <v>846</v>
      </c>
      <c r="E303" s="380">
        <v>3337.45</v>
      </c>
    </row>
    <row r="304" spans="1:5">
      <c r="A304" s="1340">
        <f t="shared" si="24"/>
        <v>2016.07</v>
      </c>
      <c r="B304" s="948">
        <f t="shared" si="29"/>
        <v>10491.830000000002</v>
      </c>
      <c r="C304" s="169">
        <v>64993.880000000005</v>
      </c>
      <c r="D304" s="948">
        <f t="shared" si="30"/>
        <v>916.19599999999991</v>
      </c>
      <c r="E304" s="380">
        <v>4253.6459999999997</v>
      </c>
    </row>
    <row r="305" spans="1:5">
      <c r="A305" s="1340">
        <f t="shared" si="24"/>
        <v>2016.08</v>
      </c>
      <c r="B305" s="948">
        <f t="shared" si="29"/>
        <v>10777.135000000009</v>
      </c>
      <c r="C305" s="169">
        <v>75771.015000000014</v>
      </c>
      <c r="D305" s="948">
        <f t="shared" si="30"/>
        <v>924.71300000000065</v>
      </c>
      <c r="E305" s="380">
        <v>5178.3590000000004</v>
      </c>
    </row>
    <row r="306" spans="1:5">
      <c r="A306" s="1340">
        <f t="shared" si="24"/>
        <v>2016.09</v>
      </c>
      <c r="B306" s="948">
        <f t="shared" si="29"/>
        <v>10368.755999999994</v>
      </c>
      <c r="C306" s="169">
        <v>86139.771000000008</v>
      </c>
      <c r="D306" s="948">
        <f t="shared" si="30"/>
        <v>970.26000000000022</v>
      </c>
      <c r="E306" s="380">
        <v>6148.6190000000006</v>
      </c>
    </row>
    <row r="307" spans="1:5">
      <c r="A307" s="1340">
        <f t="shared" si="24"/>
        <v>2016.1</v>
      </c>
      <c r="B307" s="948">
        <f t="shared" si="29"/>
        <v>10451.448999999993</v>
      </c>
      <c r="C307" s="169">
        <v>96591.22</v>
      </c>
      <c r="D307" s="948">
        <f t="shared" si="30"/>
        <v>882.18099999999959</v>
      </c>
      <c r="E307" s="380">
        <v>7030.8</v>
      </c>
    </row>
    <row r="308" spans="1:5">
      <c r="A308" s="1340">
        <f t="shared" si="24"/>
        <v>2016.11</v>
      </c>
      <c r="B308" s="948">
        <f t="shared" ref="B308:B330" si="31">(C308-C307)</f>
        <v>11535.613000000012</v>
      </c>
      <c r="C308" s="169">
        <v>108126.83300000001</v>
      </c>
      <c r="D308" s="948">
        <f t="shared" si="30"/>
        <v>1266.6559999999999</v>
      </c>
      <c r="E308" s="380">
        <v>8297.4560000000001</v>
      </c>
    </row>
    <row r="309" spans="1:5">
      <c r="A309" s="1340">
        <f t="shared" si="24"/>
        <v>2016.12</v>
      </c>
      <c r="B309" s="948">
        <f t="shared" si="31"/>
        <v>15985.57699999999</v>
      </c>
      <c r="C309" s="169">
        <v>124112.41</v>
      </c>
      <c r="D309" s="948">
        <f t="shared" si="30"/>
        <v>2298.7839999999997</v>
      </c>
      <c r="E309" s="380">
        <v>10596.24</v>
      </c>
    </row>
    <row r="310" spans="1:5">
      <c r="A310" s="1340">
        <f t="shared" si="24"/>
        <v>2017.01</v>
      </c>
      <c r="B310" s="2542">
        <f>C310</f>
        <v>10735.600175</v>
      </c>
      <c r="C310" s="169">
        <v>10735.600175</v>
      </c>
      <c r="D310" s="2542">
        <f>E310</f>
        <v>624.64</v>
      </c>
      <c r="E310" s="380">
        <v>624.64</v>
      </c>
    </row>
    <row r="311" spans="1:5">
      <c r="A311" s="1340">
        <f t="shared" si="24"/>
        <v>2017.02</v>
      </c>
      <c r="B311" s="948">
        <f>(C311-C310)</f>
        <v>10258.581229000003</v>
      </c>
      <c r="C311" s="169">
        <v>20994.181404000003</v>
      </c>
      <c r="D311" s="948">
        <f>E311-E310</f>
        <v>798.30000000000007</v>
      </c>
      <c r="E311" s="380">
        <v>1422.94</v>
      </c>
    </row>
    <row r="312" spans="1:5">
      <c r="A312" s="1340">
        <f t="shared" si="24"/>
        <v>2017.03</v>
      </c>
      <c r="B312" s="948">
        <f>(C312-C311)</f>
        <v>11467.029264999997</v>
      </c>
      <c r="C312" s="169">
        <v>32461.210669</v>
      </c>
      <c r="D312" s="948">
        <f t="shared" ref="D312:D321" si="32">E312-E311</f>
        <v>1259.3682849999996</v>
      </c>
      <c r="E312" s="380">
        <v>2682.3082849999996</v>
      </c>
    </row>
    <row r="313" spans="1:5">
      <c r="A313" s="1340">
        <f t="shared" si="24"/>
        <v>2017.04</v>
      </c>
      <c r="B313" s="948">
        <f>(C313-C312)</f>
        <v>12253.179330999999</v>
      </c>
      <c r="C313" s="169">
        <v>44714.39</v>
      </c>
      <c r="D313" s="948">
        <f t="shared" si="32"/>
        <v>1235.4117150000002</v>
      </c>
      <c r="E313" s="380">
        <v>3917.72</v>
      </c>
    </row>
    <row r="314" spans="1:5">
      <c r="A314" s="1340">
        <f t="shared" si="24"/>
        <v>2017.05</v>
      </c>
      <c r="B314" s="948">
        <f t="shared" si="31"/>
        <v>14093.910000000003</v>
      </c>
      <c r="C314" s="169">
        <v>58808.3</v>
      </c>
      <c r="D314" s="948">
        <f t="shared" si="32"/>
        <v>1572.2100000000005</v>
      </c>
      <c r="E314" s="380">
        <v>5489.93</v>
      </c>
    </row>
    <row r="315" spans="1:5">
      <c r="A315" s="1340">
        <f t="shared" si="24"/>
        <v>2017.06</v>
      </c>
      <c r="B315" s="948">
        <f t="shared" si="31"/>
        <v>16703.146519999995</v>
      </c>
      <c r="C315" s="169">
        <v>75511.446519999998</v>
      </c>
      <c r="D315" s="948">
        <f t="shared" si="32"/>
        <v>1740.856628999999</v>
      </c>
      <c r="E315" s="380">
        <v>7230.7866289999993</v>
      </c>
    </row>
    <row r="316" spans="1:5">
      <c r="A316" s="1340">
        <f t="shared" si="24"/>
        <v>2017.07</v>
      </c>
      <c r="B316" s="948">
        <f t="shared" si="31"/>
        <v>13719.269656000019</v>
      </c>
      <c r="C316" s="169">
        <v>89230.716176000016</v>
      </c>
      <c r="D316" s="948">
        <f t="shared" si="32"/>
        <v>1768.4519549999995</v>
      </c>
      <c r="E316" s="380">
        <v>8999.2385839999988</v>
      </c>
    </row>
    <row r="317" spans="1:5">
      <c r="A317" s="1340">
        <f t="shared" si="24"/>
        <v>2017.08</v>
      </c>
      <c r="B317" s="948">
        <f t="shared" si="31"/>
        <v>14284.213566999999</v>
      </c>
      <c r="C317" s="169">
        <v>103514.92974300002</v>
      </c>
      <c r="D317" s="948">
        <f t="shared" si="32"/>
        <v>1778.3077110000013</v>
      </c>
      <c r="E317" s="380">
        <v>10777.546295</v>
      </c>
    </row>
    <row r="318" spans="1:5">
      <c r="A318" s="1340">
        <f t="shared" si="24"/>
        <v>2017.09</v>
      </c>
      <c r="B318" s="948">
        <f t="shared" si="31"/>
        <v>14553.372788999957</v>
      </c>
      <c r="C318" s="169">
        <v>118068.30253199997</v>
      </c>
      <c r="D318" s="948">
        <f t="shared" si="32"/>
        <v>1899.4708810000011</v>
      </c>
      <c r="E318" s="380">
        <v>12677.017176000001</v>
      </c>
    </row>
    <row r="319" spans="1:5">
      <c r="A319" s="1340">
        <f t="shared" si="24"/>
        <v>2017.1</v>
      </c>
      <c r="B319" s="948">
        <f t="shared" si="31"/>
        <v>14659.732977000007</v>
      </c>
      <c r="C319" s="169">
        <v>132728.03550899998</v>
      </c>
      <c r="D319" s="948">
        <f t="shared" si="32"/>
        <v>1626.4897859999983</v>
      </c>
      <c r="E319" s="380">
        <v>14303.506961999999</v>
      </c>
    </row>
    <row r="320" spans="1:5">
      <c r="A320" s="1340">
        <f t="shared" si="24"/>
        <v>2017.11</v>
      </c>
      <c r="B320" s="948">
        <f t="shared" si="31"/>
        <v>13703.004491000029</v>
      </c>
      <c r="C320" s="169">
        <v>146431.04000000001</v>
      </c>
      <c r="D320" s="948">
        <f t="shared" si="32"/>
        <v>1663.3330380000007</v>
      </c>
      <c r="E320" s="380">
        <v>15966.84</v>
      </c>
    </row>
    <row r="321" spans="1:5">
      <c r="A321" s="1340">
        <f t="shared" si="24"/>
        <v>2017.12</v>
      </c>
      <c r="B321" s="948">
        <f t="shared" si="31"/>
        <v>21710.104500999994</v>
      </c>
      <c r="C321" s="169">
        <v>168141.144501</v>
      </c>
      <c r="D321" s="948">
        <f t="shared" si="32"/>
        <v>3474.2190139999984</v>
      </c>
      <c r="E321" s="380">
        <v>19441.059013999999</v>
      </c>
    </row>
    <row r="322" spans="1:5">
      <c r="A322" s="1340">
        <f t="shared" si="24"/>
        <v>2018.01</v>
      </c>
      <c r="B322" s="2542">
        <f>C322</f>
        <v>13142.64</v>
      </c>
      <c r="C322" s="169">
        <v>13142.64</v>
      </c>
      <c r="D322" s="2542">
        <f>E322</f>
        <v>615.47</v>
      </c>
      <c r="E322" s="380">
        <v>615.47</v>
      </c>
    </row>
    <row r="323" spans="1:5">
      <c r="A323" s="1340">
        <f t="shared" si="24"/>
        <v>2018.02</v>
      </c>
      <c r="B323" s="948">
        <f t="shared" si="31"/>
        <v>13770.760000000002</v>
      </c>
      <c r="C323" s="169">
        <v>26913.4</v>
      </c>
      <c r="D323" s="948">
        <f>E323-E322</f>
        <v>1507.22</v>
      </c>
      <c r="E323" s="380">
        <v>2122.69</v>
      </c>
    </row>
    <row r="324" spans="1:5">
      <c r="A324" s="1340">
        <f t="shared" si="24"/>
        <v>2018.03</v>
      </c>
      <c r="B324" s="948">
        <f>(C324-C323)</f>
        <v>15256.470000000001</v>
      </c>
      <c r="C324" s="169">
        <v>42169.87</v>
      </c>
      <c r="D324" s="948">
        <f t="shared" ref="D324:D333" si="33">E324-E323</f>
        <v>1933.52</v>
      </c>
      <c r="E324" s="380">
        <v>4056.21</v>
      </c>
    </row>
    <row r="325" spans="1:5">
      <c r="A325" s="1340">
        <f t="shared" si="24"/>
        <v>2018.04</v>
      </c>
      <c r="B325" s="948">
        <f t="shared" si="31"/>
        <v>14796.82</v>
      </c>
      <c r="C325" s="169">
        <v>56966.69</v>
      </c>
      <c r="D325" s="948">
        <f t="shared" si="33"/>
        <v>1825.2200000000003</v>
      </c>
      <c r="E325" s="380">
        <v>5881.43</v>
      </c>
    </row>
    <row r="326" spans="1:5">
      <c r="A326" s="1340">
        <f t="shared" si="24"/>
        <v>2018.05</v>
      </c>
      <c r="B326" s="948">
        <f t="shared" si="31"/>
        <v>17430.839999999997</v>
      </c>
      <c r="C326" s="169">
        <v>74397.53</v>
      </c>
      <c r="D326" s="948">
        <f t="shared" si="33"/>
        <v>1920.4799999999996</v>
      </c>
      <c r="E326" s="380">
        <v>7801.91</v>
      </c>
    </row>
    <row r="327" spans="1:5">
      <c r="A327" s="1340">
        <f t="shared" si="24"/>
        <v>2018.06</v>
      </c>
      <c r="B327" s="948">
        <f t="shared" si="31"/>
        <v>19688.009999999995</v>
      </c>
      <c r="C327" s="169">
        <v>94085.54</v>
      </c>
      <c r="D327" s="948">
        <f t="shared" si="33"/>
        <v>1788</v>
      </c>
      <c r="E327" s="380">
        <v>9589.91</v>
      </c>
    </row>
    <row r="328" spans="1:5">
      <c r="A328" s="1340">
        <f t="shared" si="24"/>
        <v>2018.07</v>
      </c>
      <c r="B328" s="948">
        <f t="shared" si="31"/>
        <v>17413.330000000002</v>
      </c>
      <c r="C328" s="169">
        <v>111498.87</v>
      </c>
      <c r="D328" s="948">
        <f t="shared" si="33"/>
        <v>2595.6900000000005</v>
      </c>
      <c r="E328" s="380">
        <v>12185.6</v>
      </c>
    </row>
    <row r="329" spans="1:5">
      <c r="A329" s="1340">
        <f t="shared" si="24"/>
        <v>2018.08</v>
      </c>
      <c r="B329" s="948">
        <f t="shared" si="31"/>
        <v>16981.270000000004</v>
      </c>
      <c r="C329" s="169">
        <v>128480.14</v>
      </c>
      <c r="D329" s="948">
        <f>E329-E328</f>
        <v>1808.5699999999997</v>
      </c>
      <c r="E329" s="380">
        <v>13994.17</v>
      </c>
    </row>
    <row r="330" spans="1:5">
      <c r="A330" s="1340">
        <f t="shared" ref="A330:A393" si="34">A318+1</f>
        <v>2018.09</v>
      </c>
      <c r="B330" s="948">
        <f t="shared" si="31"/>
        <v>18329.150000000009</v>
      </c>
      <c r="C330" s="169">
        <v>146809.29</v>
      </c>
      <c r="D330" s="948">
        <f t="shared" si="33"/>
        <v>2340.7999999999993</v>
      </c>
      <c r="E330" s="380">
        <v>16334.97</v>
      </c>
    </row>
    <row r="331" spans="1:5">
      <c r="A331" s="1340">
        <f t="shared" si="34"/>
        <v>2018.1</v>
      </c>
      <c r="B331" s="948">
        <f t="shared" ref="B331:B341" si="35">(C331-C330)</f>
        <v>17862.181815999997</v>
      </c>
      <c r="C331" s="169">
        <v>164671.471816</v>
      </c>
      <c r="D331" s="948">
        <f t="shared" si="33"/>
        <v>2075.533214000001</v>
      </c>
      <c r="E331" s="380">
        <v>18410.503214</v>
      </c>
    </row>
    <row r="332" spans="1:5">
      <c r="A332" s="1340">
        <f t="shared" si="34"/>
        <v>2018.11</v>
      </c>
      <c r="B332" s="948">
        <f t="shared" si="35"/>
        <v>18617.098184000002</v>
      </c>
      <c r="C332" s="169">
        <v>183288.57</v>
      </c>
      <c r="D332" s="948">
        <f t="shared" si="33"/>
        <v>1766.166785999998</v>
      </c>
      <c r="E332" s="380">
        <v>20176.669999999998</v>
      </c>
    </row>
    <row r="333" spans="1:5">
      <c r="A333" s="1340">
        <f t="shared" si="34"/>
        <v>2018.12</v>
      </c>
      <c r="B333" s="948">
        <f>(C333-C332)</f>
        <v>30552.398900999979</v>
      </c>
      <c r="C333" s="169">
        <v>213840.96890099999</v>
      </c>
      <c r="D333" s="948">
        <f t="shared" si="33"/>
        <v>5431.3951370000032</v>
      </c>
      <c r="E333" s="380">
        <v>25608.065137000001</v>
      </c>
    </row>
    <row r="334" spans="1:5">
      <c r="A334" s="1340">
        <f t="shared" si="34"/>
        <v>2019.01</v>
      </c>
      <c r="B334" s="2542">
        <f>C334</f>
        <v>21720.41</v>
      </c>
      <c r="C334" s="169">
        <v>21720.41</v>
      </c>
      <c r="D334" s="2542">
        <f>E334</f>
        <v>2152.7600000000002</v>
      </c>
      <c r="E334" s="380">
        <v>2152.7600000000002</v>
      </c>
    </row>
    <row r="335" spans="1:5">
      <c r="A335" s="1340">
        <f t="shared" si="34"/>
        <v>2019.02</v>
      </c>
      <c r="B335" s="948">
        <f t="shared" si="35"/>
        <v>20661.070000000003</v>
      </c>
      <c r="C335" s="169">
        <v>42381.48</v>
      </c>
      <c r="D335" s="948">
        <f>E335-E334</f>
        <v>2043.2699999999995</v>
      </c>
      <c r="E335" s="380">
        <v>4196.03</v>
      </c>
    </row>
    <row r="336" spans="1:5">
      <c r="A336" s="1340">
        <f t="shared" si="34"/>
        <v>2019.03</v>
      </c>
      <c r="B336" s="948">
        <f t="shared" si="35"/>
        <v>20941.339999999997</v>
      </c>
      <c r="C336" s="169">
        <v>63322.82</v>
      </c>
      <c r="D336" s="948">
        <f t="shared" ref="D336:D345" si="36">E336-E335</f>
        <v>2270.5100000000002</v>
      </c>
      <c r="E336" s="380">
        <v>6466.54</v>
      </c>
    </row>
    <row r="337" spans="1:5">
      <c r="A337" s="1340">
        <f t="shared" si="34"/>
        <v>2019.04</v>
      </c>
      <c r="B337" s="948">
        <f t="shared" si="35"/>
        <v>25295.030000000006</v>
      </c>
      <c r="C337" s="169">
        <v>88617.85</v>
      </c>
      <c r="D337" s="948">
        <f>E337-E336</f>
        <v>2801.8399999999992</v>
      </c>
      <c r="E337" s="380">
        <v>9268.3799999999992</v>
      </c>
    </row>
    <row r="338" spans="1:5">
      <c r="A338" s="1340">
        <f t="shared" si="34"/>
        <v>2019.05</v>
      </c>
      <c r="B338" s="948">
        <f t="shared" si="35"/>
        <v>25935.78</v>
      </c>
      <c r="C338" s="169">
        <v>114553.63</v>
      </c>
      <c r="D338" s="948">
        <f t="shared" si="36"/>
        <v>3456.83</v>
      </c>
      <c r="E338" s="380">
        <v>12725.21</v>
      </c>
    </row>
    <row r="339" spans="1:5">
      <c r="A339" s="1340">
        <f t="shared" si="34"/>
        <v>2019.06</v>
      </c>
      <c r="B339" s="948">
        <f t="shared" si="35"/>
        <v>31075.484333</v>
      </c>
      <c r="C339" s="169">
        <v>145629.114333</v>
      </c>
      <c r="D339" s="948">
        <f t="shared" si="36"/>
        <v>2860.3336780000009</v>
      </c>
      <c r="E339" s="380">
        <v>15585.543678</v>
      </c>
    </row>
    <row r="340" spans="1:5">
      <c r="A340" s="1340">
        <f t="shared" si="34"/>
        <v>2019.07</v>
      </c>
      <c r="B340" s="948">
        <f t="shared" si="35"/>
        <v>25434.295270800008</v>
      </c>
      <c r="C340" s="169">
        <v>171063.40960380001</v>
      </c>
      <c r="D340" s="948">
        <f t="shared" si="36"/>
        <v>3095.4609020000007</v>
      </c>
      <c r="E340" s="380">
        <v>18681.004580000001</v>
      </c>
    </row>
    <row r="341" spans="1:5">
      <c r="A341" s="1340">
        <f t="shared" si="34"/>
        <v>2019.08</v>
      </c>
      <c r="B341" s="948">
        <f t="shared" si="35"/>
        <v>25196.789570199966</v>
      </c>
      <c r="C341" s="169">
        <v>196260.19917399998</v>
      </c>
      <c r="D341" s="948">
        <f t="shared" si="36"/>
        <v>2570.6730239999961</v>
      </c>
      <c r="E341" s="380">
        <v>21251.677603999997</v>
      </c>
    </row>
    <row r="342" spans="1:5">
      <c r="A342" s="1340">
        <f t="shared" si="34"/>
        <v>2019.09</v>
      </c>
      <c r="B342" s="948">
        <f t="shared" ref="B342:B357" si="37">(C342-C341)</f>
        <v>26566.502377000026</v>
      </c>
      <c r="C342" s="169">
        <v>222826.70155100001</v>
      </c>
      <c r="D342" s="948">
        <f t="shared" si="36"/>
        <v>2942.6155740000031</v>
      </c>
      <c r="E342" s="380">
        <v>24194.293178</v>
      </c>
    </row>
    <row r="343" spans="1:5">
      <c r="A343" s="1340">
        <f t="shared" si="34"/>
        <v>2019.1</v>
      </c>
      <c r="B343" s="948">
        <f t="shared" si="37"/>
        <v>26162.206175369996</v>
      </c>
      <c r="C343" s="169">
        <v>248988.90772637</v>
      </c>
      <c r="D343" s="948">
        <f t="shared" si="36"/>
        <v>2016.9665998900018</v>
      </c>
      <c r="E343" s="380">
        <v>26211.259777890002</v>
      </c>
    </row>
    <row r="344" spans="1:5">
      <c r="A344" s="1340">
        <f t="shared" si="34"/>
        <v>2019.11</v>
      </c>
      <c r="B344" s="948">
        <f t="shared" si="37"/>
        <v>27026.124670219986</v>
      </c>
      <c r="C344" s="169">
        <v>276015.03239658999</v>
      </c>
      <c r="D344" s="948">
        <f t="shared" si="36"/>
        <v>2049.7220939099971</v>
      </c>
      <c r="E344" s="380">
        <v>28260.981871799999</v>
      </c>
    </row>
    <row r="345" spans="1:5">
      <c r="A345" s="1340">
        <f t="shared" si="34"/>
        <v>2019.12</v>
      </c>
      <c r="B345" s="948">
        <f t="shared" si="37"/>
        <v>42102.481071860006</v>
      </c>
      <c r="C345" s="169">
        <v>318117.51346844999</v>
      </c>
      <c r="D345" s="948">
        <f t="shared" si="36"/>
        <v>5102.5390907599976</v>
      </c>
      <c r="E345" s="380">
        <v>33363.520962559996</v>
      </c>
    </row>
    <row r="346" spans="1:5">
      <c r="A346" s="1340">
        <f t="shared" si="34"/>
        <v>2020.01</v>
      </c>
      <c r="B346" s="2542">
        <f>C346</f>
        <v>24186.799999999999</v>
      </c>
      <c r="C346" s="169">
        <v>24186.799999999999</v>
      </c>
      <c r="D346" s="2542">
        <f>E346</f>
        <v>287</v>
      </c>
      <c r="E346" s="380">
        <v>287</v>
      </c>
    </row>
    <row r="347" spans="1:5">
      <c r="A347" s="1340">
        <f t="shared" si="34"/>
        <v>2020.02</v>
      </c>
      <c r="B347" s="948">
        <f t="shared" si="37"/>
        <v>27446.710000000003</v>
      </c>
      <c r="C347" s="169">
        <v>51633.51</v>
      </c>
      <c r="D347" s="948">
        <f>E347-E346</f>
        <v>849.23</v>
      </c>
      <c r="E347" s="380">
        <v>1136.23</v>
      </c>
    </row>
    <row r="348" spans="1:5">
      <c r="A348" s="1340">
        <f t="shared" si="34"/>
        <v>2020.03</v>
      </c>
      <c r="B348" s="948">
        <f t="shared" si="37"/>
        <v>27312.29</v>
      </c>
      <c r="C348" s="169">
        <v>78945.8</v>
      </c>
      <c r="D348" s="948">
        <f t="shared" ref="D348:D357" si="38">E348-E347</f>
        <v>977.2199999999998</v>
      </c>
      <c r="E348" s="380">
        <v>2113.4499999999998</v>
      </c>
    </row>
    <row r="349" spans="1:5">
      <c r="A349" s="1340">
        <f t="shared" si="34"/>
        <v>2020.04</v>
      </c>
      <c r="B349" s="948">
        <f t="shared" si="37"/>
        <v>26245.239999999991</v>
      </c>
      <c r="C349" s="169">
        <v>105191.03999999999</v>
      </c>
      <c r="D349" s="948">
        <f t="shared" si="38"/>
        <v>520.55000000000018</v>
      </c>
      <c r="E349" s="380">
        <v>2634</v>
      </c>
    </row>
    <row r="350" spans="1:5">
      <c r="A350" s="1340">
        <f t="shared" si="34"/>
        <v>2020.05</v>
      </c>
      <c r="B350" s="948">
        <f t="shared" si="37"/>
        <v>27786.069999999992</v>
      </c>
      <c r="C350" s="169">
        <v>132977.10999999999</v>
      </c>
      <c r="D350" s="948">
        <f t="shared" si="38"/>
        <v>1017.5900000000001</v>
      </c>
      <c r="E350" s="380">
        <v>3651.59</v>
      </c>
    </row>
    <row r="351" spans="1:5">
      <c r="A351" s="1340">
        <f t="shared" si="34"/>
        <v>2020.06</v>
      </c>
      <c r="B351" s="948">
        <f t="shared" si="37"/>
        <v>38235.830000000016</v>
      </c>
      <c r="C351" s="169">
        <v>171212.94</v>
      </c>
      <c r="D351" s="948">
        <f t="shared" si="38"/>
        <v>1271.29</v>
      </c>
      <c r="E351" s="380">
        <v>4922.88</v>
      </c>
    </row>
    <row r="352" spans="1:5">
      <c r="A352" s="1340">
        <f t="shared" si="34"/>
        <v>2020.07</v>
      </c>
      <c r="B352" s="948">
        <f t="shared" si="37"/>
        <v>28934.510000000009</v>
      </c>
      <c r="C352" s="169">
        <v>200147.45</v>
      </c>
      <c r="D352" s="948">
        <f t="shared" si="38"/>
        <v>1248.1300000000001</v>
      </c>
      <c r="E352" s="380">
        <v>6171.01</v>
      </c>
    </row>
    <row r="353" spans="1:5">
      <c r="A353" s="1340">
        <f t="shared" si="34"/>
        <v>2020.08</v>
      </c>
      <c r="B353" s="948">
        <f t="shared" si="37"/>
        <v>30667.22</v>
      </c>
      <c r="C353" s="169">
        <v>230814.67</v>
      </c>
      <c r="D353" s="948">
        <f t="shared" si="38"/>
        <v>1500.1999999999998</v>
      </c>
      <c r="E353" s="380">
        <v>7671.21</v>
      </c>
    </row>
    <row r="354" spans="1:5">
      <c r="A354" s="1340">
        <f t="shared" si="34"/>
        <v>2020.09</v>
      </c>
      <c r="B354" s="948">
        <f t="shared" si="37"/>
        <v>33368.22</v>
      </c>
      <c r="C354" s="169">
        <v>264182.89</v>
      </c>
      <c r="D354" s="948">
        <f t="shared" si="38"/>
        <v>1914.9100000000008</v>
      </c>
      <c r="E354" s="380">
        <v>9586.1200000000008</v>
      </c>
    </row>
    <row r="355" spans="1:5">
      <c r="A355" s="1340">
        <f t="shared" si="34"/>
        <v>2020.1</v>
      </c>
      <c r="B355" s="948">
        <f t="shared" si="37"/>
        <v>33512.640000000014</v>
      </c>
      <c r="C355" s="169">
        <v>297695.53000000003</v>
      </c>
      <c r="D355" s="948">
        <f t="shared" si="38"/>
        <v>2015.1299999999992</v>
      </c>
      <c r="E355" s="380">
        <v>11601.25</v>
      </c>
    </row>
    <row r="356" spans="1:5">
      <c r="A356" s="1340">
        <f t="shared" si="34"/>
        <v>2020.11</v>
      </c>
      <c r="B356" s="948">
        <f t="shared" si="37"/>
        <v>35812.159999999974</v>
      </c>
      <c r="C356" s="169">
        <v>333507.69</v>
      </c>
      <c r="D356" s="948">
        <f t="shared" si="38"/>
        <v>2270.42</v>
      </c>
      <c r="E356" s="380">
        <v>13871.67</v>
      </c>
    </row>
    <row r="357" spans="1:5">
      <c r="A357" s="1340">
        <f t="shared" si="34"/>
        <v>2020.12</v>
      </c>
      <c r="B357" s="948">
        <f t="shared" si="37"/>
        <v>64681.989999999991</v>
      </c>
      <c r="C357" s="169">
        <v>398189.68</v>
      </c>
      <c r="D357" s="948">
        <f t="shared" si="38"/>
        <v>8009.4800000000014</v>
      </c>
      <c r="E357" s="380">
        <v>21881.15</v>
      </c>
    </row>
    <row r="358" spans="1:5">
      <c r="A358" s="1340">
        <f t="shared" si="34"/>
        <v>2021.01</v>
      </c>
      <c r="B358" s="2542">
        <f>C358</f>
        <v>34764.480000000003</v>
      </c>
      <c r="C358" s="169">
        <v>34764.480000000003</v>
      </c>
      <c r="D358" s="2542">
        <f>E358</f>
        <v>890.69</v>
      </c>
      <c r="E358" s="380">
        <v>890.69</v>
      </c>
    </row>
    <row r="359" spans="1:5">
      <c r="A359" s="1340">
        <f t="shared" si="34"/>
        <v>2021.02</v>
      </c>
      <c r="B359" s="948">
        <f>(C359-C358)</f>
        <v>36600.94999999999</v>
      </c>
      <c r="C359" s="169">
        <v>71365.429999999993</v>
      </c>
      <c r="D359" s="948">
        <f t="shared" ref="D359:D417" si="39">E359-E358</f>
        <v>1164.19</v>
      </c>
      <c r="E359" s="380">
        <v>2054.88</v>
      </c>
    </row>
    <row r="360" spans="1:5">
      <c r="A360" s="1340">
        <f t="shared" si="34"/>
        <v>2021.03</v>
      </c>
      <c r="B360" s="948">
        <f t="shared" ref="B360:B417" si="40">(C360-C359)</f>
        <v>43484.3</v>
      </c>
      <c r="C360" s="169">
        <v>114849.73</v>
      </c>
      <c r="D360" s="948">
        <f t="shared" si="39"/>
        <v>2783.74</v>
      </c>
      <c r="E360" s="380">
        <v>4838.62</v>
      </c>
    </row>
    <row r="361" spans="1:5">
      <c r="A361" s="1340">
        <f t="shared" si="34"/>
        <v>2021.04</v>
      </c>
      <c r="B361" s="948">
        <f t="shared" si="40"/>
        <v>44757.270000000004</v>
      </c>
      <c r="C361" s="169">
        <v>159607</v>
      </c>
      <c r="D361" s="948">
        <f t="shared" si="39"/>
        <v>2656.09</v>
      </c>
      <c r="E361" s="380">
        <v>7494.71</v>
      </c>
    </row>
    <row r="362" spans="1:5">
      <c r="A362" s="1340">
        <f t="shared" si="34"/>
        <v>2021.05</v>
      </c>
      <c r="B362" s="948">
        <f t="shared" si="40"/>
        <v>44201.279999999999</v>
      </c>
      <c r="C362" s="169">
        <v>203808.28</v>
      </c>
      <c r="D362" s="948">
        <f t="shared" si="39"/>
        <v>2649.4800000000005</v>
      </c>
      <c r="E362" s="380">
        <v>10144.19</v>
      </c>
    </row>
    <row r="363" spans="1:5">
      <c r="A363" s="1340">
        <f t="shared" si="34"/>
        <v>2021.06</v>
      </c>
      <c r="B363" s="948">
        <f t="shared" si="40"/>
        <v>65841.139999999985</v>
      </c>
      <c r="C363" s="169">
        <v>269649.42</v>
      </c>
      <c r="D363" s="948">
        <f t="shared" si="39"/>
        <v>3578.9799999999996</v>
      </c>
      <c r="E363" s="380">
        <v>13723.17</v>
      </c>
    </row>
    <row r="364" spans="1:5">
      <c r="A364" s="1340">
        <f t="shared" si="34"/>
        <v>2021.07</v>
      </c>
      <c r="B364" s="948">
        <f t="shared" si="40"/>
        <v>51374.660000000033</v>
      </c>
      <c r="C364" s="169">
        <v>321024.08</v>
      </c>
      <c r="D364" s="948">
        <f t="shared" si="39"/>
        <v>3584.6499999999996</v>
      </c>
      <c r="E364" s="380">
        <v>17307.82</v>
      </c>
    </row>
    <row r="365" spans="1:5">
      <c r="A365" s="1340">
        <f t="shared" si="34"/>
        <v>2021.08</v>
      </c>
      <c r="B365" s="948">
        <f t="shared" si="40"/>
        <v>55056.76999999996</v>
      </c>
      <c r="C365" s="169">
        <v>376080.85</v>
      </c>
      <c r="D365" s="948">
        <f t="shared" si="39"/>
        <v>4267.68</v>
      </c>
      <c r="E365" s="380">
        <v>21575.5</v>
      </c>
    </row>
    <row r="366" spans="1:5">
      <c r="A366" s="1340">
        <f t="shared" si="34"/>
        <v>2021.09</v>
      </c>
      <c r="B366" s="948">
        <f t="shared" si="40"/>
        <v>60700.23000000004</v>
      </c>
      <c r="C366" s="169">
        <v>436781.08</v>
      </c>
      <c r="D366" s="948">
        <f t="shared" si="39"/>
        <v>5871.1100000000006</v>
      </c>
      <c r="E366" s="380">
        <v>27446.61</v>
      </c>
    </row>
    <row r="367" spans="1:5">
      <c r="A367" s="1340">
        <f t="shared" si="34"/>
        <v>2021.1</v>
      </c>
      <c r="B367" s="948">
        <f t="shared" si="40"/>
        <v>58682.839999999967</v>
      </c>
      <c r="C367" s="169">
        <v>495463.92</v>
      </c>
      <c r="D367" s="948">
        <f t="shared" si="39"/>
        <v>3971.0699999999997</v>
      </c>
      <c r="E367" s="380">
        <v>31417.68</v>
      </c>
    </row>
    <row r="368" spans="1:5">
      <c r="A368" s="1340">
        <f t="shared" si="34"/>
        <v>2021.11</v>
      </c>
      <c r="B368" s="948">
        <f t="shared" si="40"/>
        <v>66496.590000000026</v>
      </c>
      <c r="C368" s="169">
        <v>561960.51</v>
      </c>
      <c r="D368" s="948">
        <f t="shared" si="39"/>
        <v>5533.4099999999962</v>
      </c>
      <c r="E368" s="380">
        <v>36951.089999999997</v>
      </c>
    </row>
    <row r="369" spans="1:5">
      <c r="A369" s="1340">
        <f t="shared" si="34"/>
        <v>2021.12</v>
      </c>
      <c r="B369" s="948">
        <f t="shared" si="40"/>
        <v>90958.699999999953</v>
      </c>
      <c r="C369" s="169">
        <v>652919.21</v>
      </c>
      <c r="D369" s="948">
        <f t="shared" si="39"/>
        <v>8306.1200000000026</v>
      </c>
      <c r="E369" s="380">
        <v>45257.21</v>
      </c>
    </row>
    <row r="370" spans="1:5">
      <c r="A370" s="1340">
        <f t="shared" si="34"/>
        <v>2022.01</v>
      </c>
      <c r="B370" s="2542">
        <f>C370</f>
        <v>56729.61</v>
      </c>
      <c r="C370" s="169">
        <v>56729.61</v>
      </c>
      <c r="D370" s="2542">
        <f>E370</f>
        <v>1659.06</v>
      </c>
      <c r="E370" s="380">
        <v>1659.06</v>
      </c>
    </row>
    <row r="371" spans="1:5">
      <c r="A371" s="1340">
        <f t="shared" si="34"/>
        <v>2022.02</v>
      </c>
      <c r="B371" s="948">
        <f>(C371-C370)</f>
        <v>63879.149999999994</v>
      </c>
      <c r="C371" s="169">
        <v>120608.76</v>
      </c>
      <c r="D371" s="948">
        <f>E371-E370</f>
        <v>3882.9900000000002</v>
      </c>
      <c r="E371" s="380">
        <v>5542.05</v>
      </c>
    </row>
    <row r="372" spans="1:5">
      <c r="A372" s="1340">
        <f t="shared" si="34"/>
        <v>2022.03</v>
      </c>
      <c r="B372" s="948">
        <f>(C372-C371)</f>
        <v>76482.690000000017</v>
      </c>
      <c r="C372" s="169">
        <v>197091.45</v>
      </c>
      <c r="D372" s="948">
        <f>E372-E371</f>
        <v>5738.56</v>
      </c>
      <c r="E372" s="380">
        <v>11280.61</v>
      </c>
    </row>
    <row r="373" spans="1:5">
      <c r="A373" s="1340">
        <f t="shared" si="34"/>
        <v>2022.04</v>
      </c>
      <c r="B373" s="948">
        <f>(C373-C372)</f>
        <v>78900.700000000012</v>
      </c>
      <c r="C373" s="169">
        <v>275992.15000000002</v>
      </c>
      <c r="D373" s="948">
        <f t="shared" si="39"/>
        <v>5091.2099999999991</v>
      </c>
      <c r="E373" s="380">
        <v>16371.82</v>
      </c>
    </row>
    <row r="374" spans="1:5">
      <c r="A374" s="1340">
        <f t="shared" si="34"/>
        <v>2022.05</v>
      </c>
      <c r="B374" s="948">
        <f>(C374-C373)</f>
        <v>83225.299999999988</v>
      </c>
      <c r="C374" s="169">
        <v>359217.45</v>
      </c>
      <c r="D374" s="948">
        <f t="shared" si="39"/>
        <v>6957.23</v>
      </c>
      <c r="E374" s="380">
        <v>23329.05</v>
      </c>
    </row>
    <row r="375" spans="1:5">
      <c r="A375" s="1340">
        <f t="shared" si="34"/>
        <v>2022.06</v>
      </c>
      <c r="B375" s="948">
        <f t="shared" si="40"/>
        <v>114054.96999999997</v>
      </c>
      <c r="C375" s="169">
        <v>473272.42</v>
      </c>
      <c r="D375" s="948">
        <f t="shared" si="39"/>
        <v>7917.369999999999</v>
      </c>
      <c r="E375" s="380">
        <v>31246.42</v>
      </c>
    </row>
    <row r="376" spans="1:5">
      <c r="A376" s="1340">
        <f t="shared" si="34"/>
        <v>2022.07</v>
      </c>
      <c r="B376" s="948">
        <f t="shared" si="40"/>
        <v>89215.710000000021</v>
      </c>
      <c r="C376" s="169">
        <v>562488.13</v>
      </c>
      <c r="D376" s="948">
        <f t="shared" si="39"/>
        <v>9489.4100000000035</v>
      </c>
      <c r="E376" s="380">
        <v>40735.83</v>
      </c>
    </row>
    <row r="377" spans="1:5">
      <c r="A377" s="1340">
        <f t="shared" si="34"/>
        <v>2022.08</v>
      </c>
      <c r="B377" s="948">
        <f t="shared" si="40"/>
        <v>95085.62</v>
      </c>
      <c r="C377" s="169">
        <v>657573.75</v>
      </c>
      <c r="D377" s="948">
        <f t="shared" si="39"/>
        <v>5770.82</v>
      </c>
      <c r="E377" s="380">
        <v>46506.65</v>
      </c>
    </row>
    <row r="378" spans="1:5">
      <c r="A378" s="1340">
        <f t="shared" si="34"/>
        <v>2022.09</v>
      </c>
      <c r="B378" s="948">
        <f t="shared" si="40"/>
        <v>108727.37</v>
      </c>
      <c r="C378" s="169">
        <v>766301.12</v>
      </c>
      <c r="D378" s="948">
        <f t="shared" si="39"/>
        <v>9769.9099999999962</v>
      </c>
      <c r="E378" s="380">
        <v>56276.56</v>
      </c>
    </row>
    <row r="379" spans="1:5">
      <c r="A379" s="1340">
        <f t="shared" si="34"/>
        <v>2022.1</v>
      </c>
      <c r="B379" s="948">
        <f t="shared" si="40"/>
        <v>123295.39000000001</v>
      </c>
      <c r="C379" s="169">
        <v>889596.51</v>
      </c>
      <c r="D379" s="948">
        <f t="shared" si="39"/>
        <v>8493.82</v>
      </c>
      <c r="E379" s="380">
        <v>64770.38</v>
      </c>
    </row>
    <row r="380" spans="1:5">
      <c r="A380" s="1340">
        <f t="shared" si="34"/>
        <v>2022.11</v>
      </c>
      <c r="B380" s="948">
        <f>(C380-C379)</f>
        <v>139411.05000000005</v>
      </c>
      <c r="C380" s="169">
        <v>1029007.56</v>
      </c>
      <c r="D380" s="948">
        <f t="shared" si="39"/>
        <v>12142.79</v>
      </c>
      <c r="E380" s="380">
        <v>76913.17</v>
      </c>
    </row>
    <row r="381" spans="1:5">
      <c r="A381" s="1340">
        <f t="shared" si="34"/>
        <v>2022.12</v>
      </c>
      <c r="B381" s="948">
        <f>(C381-C380)</f>
        <v>149194.40999999992</v>
      </c>
      <c r="C381" s="169">
        <v>1178201.97</v>
      </c>
      <c r="D381" s="948">
        <f t="shared" si="39"/>
        <v>13838.949999999997</v>
      </c>
      <c r="E381" s="380">
        <v>90752.12</v>
      </c>
    </row>
    <row r="382" spans="1:5">
      <c r="A382" s="1340">
        <f t="shared" si="34"/>
        <v>2023.01</v>
      </c>
      <c r="B382" s="2542">
        <f>C382</f>
        <v>138313.60000000001</v>
      </c>
      <c r="C382" s="169">
        <v>138313.60000000001</v>
      </c>
      <c r="D382" s="2542">
        <f>E382</f>
        <v>13511.67</v>
      </c>
      <c r="E382" s="380">
        <v>13511.67</v>
      </c>
    </row>
    <row r="383" spans="1:5">
      <c r="A383" s="1340">
        <f t="shared" si="34"/>
        <v>2023.02</v>
      </c>
      <c r="B383" s="948">
        <f t="shared" si="40"/>
        <v>130684.79000000001</v>
      </c>
      <c r="C383" s="169">
        <v>268998.39</v>
      </c>
      <c r="D383" s="948">
        <f t="shared" si="39"/>
        <v>6843.9400000000005</v>
      </c>
      <c r="E383" s="380">
        <v>20355.61</v>
      </c>
    </row>
    <row r="384" spans="1:5">
      <c r="A384" s="1340">
        <f t="shared" si="34"/>
        <v>2023.03</v>
      </c>
      <c r="B384" s="948">
        <f t="shared" si="40"/>
        <v>168836.27999999997</v>
      </c>
      <c r="C384" s="169">
        <v>437834.67</v>
      </c>
      <c r="D384" s="948">
        <f t="shared" si="39"/>
        <v>15333.479999999996</v>
      </c>
      <c r="E384" s="380">
        <v>35689.089999999997</v>
      </c>
    </row>
    <row r="385" spans="1:5">
      <c r="A385" s="1340">
        <f t="shared" si="34"/>
        <v>2023.04</v>
      </c>
      <c r="B385" s="948">
        <f t="shared" si="40"/>
        <v>158783.01000000007</v>
      </c>
      <c r="C385" s="169">
        <v>596617.68000000005</v>
      </c>
      <c r="D385" s="948">
        <f t="shared" si="39"/>
        <v>12403.270000000004</v>
      </c>
      <c r="E385" s="380">
        <v>48092.36</v>
      </c>
    </row>
    <row r="386" spans="1:5">
      <c r="A386" s="1340">
        <f t="shared" si="34"/>
        <v>2023.05</v>
      </c>
      <c r="B386" s="948">
        <f t="shared" si="40"/>
        <v>176244.58999999997</v>
      </c>
      <c r="C386" s="169">
        <v>772862.27</v>
      </c>
      <c r="D386" s="948">
        <f t="shared" si="39"/>
        <v>8760.1599999999962</v>
      </c>
      <c r="E386" s="380">
        <v>56852.52</v>
      </c>
    </row>
    <row r="387" spans="1:5">
      <c r="A387" s="1340">
        <f t="shared" si="34"/>
        <v>2023.06</v>
      </c>
      <c r="B387" s="948">
        <f t="shared" si="40"/>
        <v>233662.83999999997</v>
      </c>
      <c r="C387" s="169">
        <v>1006525.11</v>
      </c>
      <c r="D387" s="948">
        <f t="shared" si="39"/>
        <v>12180.80000000001</v>
      </c>
      <c r="E387" s="380">
        <v>69033.320000000007</v>
      </c>
    </row>
    <row r="388" spans="1:5">
      <c r="A388" s="1340">
        <f t="shared" si="34"/>
        <v>2023.07</v>
      </c>
      <c r="B388" s="948">
        <f t="shared" si="40"/>
        <v>211097.4800000001</v>
      </c>
      <c r="C388" s="169">
        <v>1217622.5900000001</v>
      </c>
      <c r="D388" s="948">
        <f t="shared" si="39"/>
        <v>10112.369999999995</v>
      </c>
      <c r="E388" s="380">
        <v>79145.69</v>
      </c>
    </row>
    <row r="389" spans="1:5">
      <c r="A389" s="1340">
        <f t="shared" si="34"/>
        <v>2023.08</v>
      </c>
      <c r="B389" s="948">
        <f t="shared" si="40"/>
        <v>244067.69999999995</v>
      </c>
      <c r="C389" s="169">
        <v>1461690.29</v>
      </c>
      <c r="D389" s="948">
        <f t="shared" si="39"/>
        <v>14883.5</v>
      </c>
      <c r="E389" s="380">
        <v>94029.19</v>
      </c>
    </row>
    <row r="390" spans="1:5">
      <c r="A390" s="1340">
        <f t="shared" si="34"/>
        <v>2023.09</v>
      </c>
      <c r="B390" s="948">
        <f t="shared" si="40"/>
        <v>253970</v>
      </c>
      <c r="C390" s="169">
        <v>1715660.29</v>
      </c>
      <c r="D390" s="948">
        <f t="shared" si="39"/>
        <v>10529.759999999995</v>
      </c>
      <c r="E390" s="380">
        <v>104558.95</v>
      </c>
    </row>
    <row r="391" spans="1:5">
      <c r="A391" s="1340">
        <f t="shared" si="34"/>
        <v>2023.1</v>
      </c>
      <c r="B391" s="948">
        <f t="shared" si="40"/>
        <v>280565.18999999994</v>
      </c>
      <c r="C391" s="169">
        <v>1996225.48</v>
      </c>
      <c r="D391" s="948">
        <f t="shared" si="39"/>
        <v>14092.270000000004</v>
      </c>
      <c r="E391" s="380">
        <v>118651.22</v>
      </c>
    </row>
    <row r="392" spans="1:5">
      <c r="A392" s="1340">
        <f t="shared" si="34"/>
        <v>2023.11</v>
      </c>
      <c r="B392" s="948">
        <f t="shared" si="40"/>
        <v>295982.31999999983</v>
      </c>
      <c r="C392" s="169">
        <v>2292207.7999999998</v>
      </c>
      <c r="D392" s="948">
        <f t="shared" si="39"/>
        <v>10152.899999999994</v>
      </c>
      <c r="E392" s="380">
        <v>128804.12</v>
      </c>
    </row>
    <row r="393" spans="1:5">
      <c r="A393" s="1340">
        <f t="shared" si="34"/>
        <v>2023.12</v>
      </c>
      <c r="B393" s="948">
        <f t="shared" si="40"/>
        <v>476502.41000000015</v>
      </c>
      <c r="C393" s="169">
        <v>2768710.21</v>
      </c>
      <c r="D393" s="948">
        <f t="shared" si="39"/>
        <v>36367.739999999991</v>
      </c>
      <c r="E393" s="380">
        <v>165171.85999999999</v>
      </c>
    </row>
    <row r="394" spans="1:5">
      <c r="A394" s="1340">
        <f t="shared" ref="A394:A457" si="41">A382+1</f>
        <v>2024.01</v>
      </c>
      <c r="B394" s="2542">
        <f>C394</f>
        <v>315504.78000000003</v>
      </c>
      <c r="C394" s="169">
        <v>315504.78000000003</v>
      </c>
      <c r="D394" s="2542">
        <f>E394</f>
        <v>3689.07</v>
      </c>
      <c r="E394" s="380">
        <v>3689.07</v>
      </c>
    </row>
    <row r="395" spans="1:5">
      <c r="A395" s="1340">
        <f t="shared" si="41"/>
        <v>2024.02</v>
      </c>
      <c r="B395" s="948">
        <f t="shared" si="40"/>
        <v>391212.53999999992</v>
      </c>
      <c r="C395" s="169">
        <v>706717.32</v>
      </c>
      <c r="D395" s="948">
        <f t="shared" si="39"/>
        <v>9698.56</v>
      </c>
      <c r="E395" s="380">
        <v>13387.63</v>
      </c>
    </row>
    <row r="396" spans="1:5">
      <c r="A396" s="1340">
        <f t="shared" si="41"/>
        <v>2024.03</v>
      </c>
      <c r="B396" s="948">
        <f t="shared" si="40"/>
        <v>461541.20000000007</v>
      </c>
      <c r="C396" s="169">
        <v>1168258.52</v>
      </c>
      <c r="D396" s="948">
        <f t="shared" si="39"/>
        <v>40014.670000000006</v>
      </c>
      <c r="E396" s="380">
        <v>53402.3</v>
      </c>
    </row>
    <row r="397" spans="1:5">
      <c r="A397" s="1340">
        <f t="shared" si="41"/>
        <v>2024.04</v>
      </c>
      <c r="B397" s="948">
        <f t="shared" si="40"/>
        <v>504483.75</v>
      </c>
      <c r="C397" s="169">
        <v>1672742.27</v>
      </c>
      <c r="D397" s="948">
        <f t="shared" si="39"/>
        <v>31378.12999999999</v>
      </c>
      <c r="E397" s="380">
        <v>84780.43</v>
      </c>
    </row>
    <row r="398" spans="1:5">
      <c r="A398" s="1340">
        <f t="shared" si="41"/>
        <v>2024.05</v>
      </c>
      <c r="B398" s="948">
        <f t="shared" si="40"/>
        <v>606112.58999999985</v>
      </c>
      <c r="C398" s="169">
        <v>2278854.86</v>
      </c>
      <c r="D398" s="948">
        <f t="shared" si="39"/>
        <v>42577.100000000006</v>
      </c>
      <c r="E398" s="380">
        <v>127357.53</v>
      </c>
    </row>
    <row r="399" spans="1:5">
      <c r="A399" s="1340">
        <f t="shared" si="41"/>
        <v>2024.06</v>
      </c>
      <c r="B399" s="948">
        <f t="shared" si="40"/>
        <v>728296.34000000032</v>
      </c>
      <c r="C399" s="169">
        <v>3007151.2</v>
      </c>
      <c r="D399" s="948">
        <f t="shared" si="39"/>
        <v>32108.040000000008</v>
      </c>
      <c r="E399" s="380">
        <v>159465.57</v>
      </c>
    </row>
    <row r="400" spans="1:5">
      <c r="A400" s="1340">
        <f t="shared" si="41"/>
        <v>2024.07</v>
      </c>
      <c r="B400" s="948">
        <f t="shared" si="40"/>
        <v>649886.89999999991</v>
      </c>
      <c r="C400" s="169">
        <v>3657038.1</v>
      </c>
      <c r="D400" s="948">
        <f t="shared" si="39"/>
        <v>70110.429999999993</v>
      </c>
      <c r="E400" s="380">
        <v>229576</v>
      </c>
    </row>
    <row r="401" spans="1:5">
      <c r="A401" s="1340">
        <f t="shared" si="41"/>
        <v>2024.08</v>
      </c>
      <c r="B401" s="948">
        <f t="shared" si="40"/>
        <v>687355.34000000032</v>
      </c>
      <c r="C401" s="169">
        <v>4344393.4400000004</v>
      </c>
      <c r="D401" s="948">
        <f t="shared" si="39"/>
        <v>71266.349999999977</v>
      </c>
      <c r="E401" s="380">
        <v>300842.34999999998</v>
      </c>
    </row>
    <row r="402" spans="1:5">
      <c r="A402" s="1340">
        <f t="shared" si="41"/>
        <v>2024.09</v>
      </c>
      <c r="B402" s="948">
        <f t="shared" si="40"/>
        <v>693179.06999999937</v>
      </c>
      <c r="C402" s="169">
        <v>5037572.51</v>
      </c>
      <c r="D402" s="948">
        <f t="shared" si="39"/>
        <v>71041.650000000023</v>
      </c>
      <c r="E402" s="380">
        <v>371884</v>
      </c>
    </row>
    <row r="403" spans="1:5">
      <c r="A403" s="1340">
        <f t="shared" si="41"/>
        <v>2024.1</v>
      </c>
      <c r="B403" s="948">
        <f t="shared" si="40"/>
        <v>750862.35000000056</v>
      </c>
      <c r="C403" s="169">
        <v>5788434.8600000003</v>
      </c>
      <c r="D403" s="948">
        <f t="shared" si="39"/>
        <v>73149.039999999979</v>
      </c>
      <c r="E403" s="380">
        <v>445033.04</v>
      </c>
    </row>
    <row r="404" spans="1:5">
      <c r="A404" s="1340">
        <f t="shared" si="41"/>
        <v>2024.11</v>
      </c>
      <c r="B404" s="948">
        <f t="shared" si="40"/>
        <v>748234.47999999952</v>
      </c>
      <c r="C404" s="169">
        <v>6536669.3399999999</v>
      </c>
      <c r="D404" s="948">
        <f t="shared" si="39"/>
        <v>80798.919999999984</v>
      </c>
      <c r="E404" s="380">
        <v>525831.96</v>
      </c>
    </row>
    <row r="405" spans="1:5">
      <c r="A405" s="1340">
        <f t="shared" si="41"/>
        <v>2024.12</v>
      </c>
      <c r="B405" s="948">
        <f t="shared" si="40"/>
        <v>1131359.9500000002</v>
      </c>
      <c r="C405" s="169">
        <v>7668029.29</v>
      </c>
      <c r="D405" s="948">
        <f t="shared" si="39"/>
        <v>143712.47000000009</v>
      </c>
      <c r="E405" s="380">
        <v>669544.43000000005</v>
      </c>
    </row>
    <row r="406" spans="1:5">
      <c r="A406" s="1340">
        <f t="shared" si="41"/>
        <v>2025.01</v>
      </c>
      <c r="B406" s="2542">
        <f>C406</f>
        <v>758788.59</v>
      </c>
      <c r="C406" s="169">
        <v>758788.59</v>
      </c>
      <c r="D406" s="2542">
        <f>E406</f>
        <v>72885.399999999994</v>
      </c>
      <c r="E406" s="380">
        <v>72885.399999999994</v>
      </c>
    </row>
    <row r="407" spans="1:5">
      <c r="A407" s="1340">
        <f t="shared" si="41"/>
        <v>2025.02</v>
      </c>
      <c r="B407" s="948">
        <f t="shared" si="40"/>
        <v>821309.14</v>
      </c>
      <c r="C407" s="169">
        <v>1580097.73</v>
      </c>
      <c r="D407" s="948">
        <f t="shared" si="39"/>
        <v>68097.279999999999</v>
      </c>
      <c r="E407" s="380">
        <v>140982.68</v>
      </c>
    </row>
    <row r="408" spans="1:5">
      <c r="A408" s="1340">
        <f t="shared" si="41"/>
        <v>2025.03</v>
      </c>
      <c r="B408" s="948">
        <f t="shared" si="40"/>
        <v>579115.93000000017</v>
      </c>
      <c r="C408" s="169">
        <v>2159213.66</v>
      </c>
      <c r="D408" s="948">
        <f t="shared" si="39"/>
        <v>87392.260000000009</v>
      </c>
      <c r="E408" s="380">
        <v>228374.94</v>
      </c>
    </row>
    <row r="409" spans="1:5">
      <c r="A409" s="1340">
        <f t="shared" si="41"/>
        <v>2025.04</v>
      </c>
      <c r="B409" s="948" t="e">
        <f t="shared" si="40"/>
        <v>#N/A</v>
      </c>
      <c r="C409" s="169" t="e">
        <v>#N/A</v>
      </c>
      <c r="D409" s="948" t="e">
        <f t="shared" si="39"/>
        <v>#N/A</v>
      </c>
      <c r="E409" s="380" t="e">
        <v>#N/A</v>
      </c>
    </row>
    <row r="410" spans="1:5">
      <c r="A410" s="1340">
        <f t="shared" si="41"/>
        <v>2025.05</v>
      </c>
      <c r="B410" s="948" t="e">
        <f t="shared" si="40"/>
        <v>#N/A</v>
      </c>
      <c r="C410" s="169" t="e">
        <v>#N/A</v>
      </c>
      <c r="D410" s="948" t="e">
        <f t="shared" si="39"/>
        <v>#N/A</v>
      </c>
      <c r="E410" s="380" t="e">
        <v>#N/A</v>
      </c>
    </row>
    <row r="411" spans="1:5">
      <c r="A411" s="1340">
        <f t="shared" si="41"/>
        <v>2025.06</v>
      </c>
      <c r="B411" s="948" t="e">
        <f t="shared" si="40"/>
        <v>#N/A</v>
      </c>
      <c r="C411" s="169" t="e">
        <v>#N/A</v>
      </c>
      <c r="D411" s="948" t="e">
        <f t="shared" si="39"/>
        <v>#N/A</v>
      </c>
      <c r="E411" s="380" t="e">
        <v>#N/A</v>
      </c>
    </row>
    <row r="412" spans="1:5">
      <c r="A412" s="1340">
        <f t="shared" si="41"/>
        <v>2025.07</v>
      </c>
      <c r="B412" s="948" t="e">
        <f t="shared" si="40"/>
        <v>#N/A</v>
      </c>
      <c r="C412" s="169" t="e">
        <v>#N/A</v>
      </c>
      <c r="D412" s="948" t="e">
        <f t="shared" si="39"/>
        <v>#N/A</v>
      </c>
      <c r="E412" s="380" t="e">
        <v>#N/A</v>
      </c>
    </row>
    <row r="413" spans="1:5">
      <c r="A413" s="1340">
        <f t="shared" si="41"/>
        <v>2025.08</v>
      </c>
      <c r="B413" s="948" t="e">
        <f t="shared" si="40"/>
        <v>#N/A</v>
      </c>
      <c r="C413" s="169" t="e">
        <v>#N/A</v>
      </c>
      <c r="D413" s="948" t="e">
        <f t="shared" si="39"/>
        <v>#N/A</v>
      </c>
      <c r="E413" s="380" t="e">
        <v>#N/A</v>
      </c>
    </row>
    <row r="414" spans="1:5">
      <c r="A414" s="1340">
        <f t="shared" si="41"/>
        <v>2025.09</v>
      </c>
      <c r="B414" s="948" t="e">
        <f t="shared" si="40"/>
        <v>#N/A</v>
      </c>
      <c r="C414" s="169" t="e">
        <v>#N/A</v>
      </c>
      <c r="D414" s="948" t="e">
        <f t="shared" si="39"/>
        <v>#N/A</v>
      </c>
      <c r="E414" s="380" t="e">
        <v>#N/A</v>
      </c>
    </row>
    <row r="415" spans="1:5">
      <c r="A415" s="1340">
        <f t="shared" si="41"/>
        <v>2025.1</v>
      </c>
      <c r="B415" s="948" t="e">
        <f t="shared" si="40"/>
        <v>#N/A</v>
      </c>
      <c r="C415" s="169" t="e">
        <v>#N/A</v>
      </c>
      <c r="D415" s="948" t="e">
        <f t="shared" si="39"/>
        <v>#N/A</v>
      </c>
      <c r="E415" s="380" t="e">
        <v>#N/A</v>
      </c>
    </row>
    <row r="416" spans="1:5">
      <c r="A416" s="1340">
        <f t="shared" si="41"/>
        <v>2025.11</v>
      </c>
      <c r="B416" s="948" t="e">
        <f t="shared" si="40"/>
        <v>#N/A</v>
      </c>
      <c r="C416" s="169" t="e">
        <v>#N/A</v>
      </c>
      <c r="D416" s="948" t="e">
        <f t="shared" si="39"/>
        <v>#N/A</v>
      </c>
      <c r="E416" s="380" t="e">
        <v>#N/A</v>
      </c>
    </row>
    <row r="417" spans="1:5">
      <c r="A417" s="1340">
        <f t="shared" si="41"/>
        <v>2025.12</v>
      </c>
      <c r="B417" s="948" t="e">
        <f t="shared" si="40"/>
        <v>#N/A</v>
      </c>
      <c r="C417" s="169" t="e">
        <v>#N/A</v>
      </c>
      <c r="D417" s="948" t="e">
        <f t="shared" si="39"/>
        <v>#N/A</v>
      </c>
      <c r="E417" s="380" t="e">
        <v>#N/A</v>
      </c>
    </row>
    <row r="418" spans="1:5">
      <c r="A418" s="1340">
        <f t="shared" si="41"/>
        <v>2026.01</v>
      </c>
      <c r="B418" s="948" t="e">
        <f t="shared" ref="B418:B477" si="42">(C418-C417)</f>
        <v>#N/A</v>
      </c>
      <c r="C418" s="169" t="e">
        <v>#N/A</v>
      </c>
      <c r="D418" s="948" t="e">
        <f t="shared" ref="D418:D477" si="43">E418-E417</f>
        <v>#N/A</v>
      </c>
      <c r="E418" s="380" t="e">
        <v>#N/A</v>
      </c>
    </row>
    <row r="419" spans="1:5">
      <c r="A419" s="1340">
        <f t="shared" si="41"/>
        <v>2026.02</v>
      </c>
      <c r="B419" s="948" t="e">
        <f t="shared" si="42"/>
        <v>#N/A</v>
      </c>
      <c r="C419" s="169" t="e">
        <v>#N/A</v>
      </c>
      <c r="D419" s="948" t="e">
        <f t="shared" si="43"/>
        <v>#N/A</v>
      </c>
      <c r="E419" s="380" t="e">
        <v>#N/A</v>
      </c>
    </row>
    <row r="420" spans="1:5">
      <c r="A420" s="1340">
        <f t="shared" si="41"/>
        <v>2026.03</v>
      </c>
      <c r="B420" s="948" t="e">
        <f t="shared" si="42"/>
        <v>#N/A</v>
      </c>
      <c r="C420" s="169" t="e">
        <v>#N/A</v>
      </c>
      <c r="D420" s="948" t="e">
        <f t="shared" si="43"/>
        <v>#N/A</v>
      </c>
      <c r="E420" s="380" t="e">
        <v>#N/A</v>
      </c>
    </row>
    <row r="421" spans="1:5">
      <c r="A421" s="1340">
        <f t="shared" si="41"/>
        <v>2026.04</v>
      </c>
      <c r="B421" s="948" t="e">
        <f t="shared" si="42"/>
        <v>#N/A</v>
      </c>
      <c r="C421" s="169" t="e">
        <v>#N/A</v>
      </c>
      <c r="D421" s="948" t="e">
        <f t="shared" si="43"/>
        <v>#N/A</v>
      </c>
      <c r="E421" s="380" t="e">
        <v>#N/A</v>
      </c>
    </row>
    <row r="422" spans="1:5">
      <c r="A422" s="1340">
        <f t="shared" si="41"/>
        <v>2026.05</v>
      </c>
      <c r="B422" s="948" t="e">
        <f t="shared" si="42"/>
        <v>#N/A</v>
      </c>
      <c r="C422" s="169" t="e">
        <v>#N/A</v>
      </c>
      <c r="D422" s="948" t="e">
        <f t="shared" si="43"/>
        <v>#N/A</v>
      </c>
      <c r="E422" s="380" t="e">
        <v>#N/A</v>
      </c>
    </row>
    <row r="423" spans="1:5">
      <c r="A423" s="1340">
        <f t="shared" si="41"/>
        <v>2026.06</v>
      </c>
      <c r="B423" s="948" t="e">
        <f t="shared" si="42"/>
        <v>#N/A</v>
      </c>
      <c r="C423" s="169" t="e">
        <v>#N/A</v>
      </c>
      <c r="D423" s="948" t="e">
        <f t="shared" si="43"/>
        <v>#N/A</v>
      </c>
      <c r="E423" s="380" t="e">
        <v>#N/A</v>
      </c>
    </row>
    <row r="424" spans="1:5">
      <c r="A424" s="1340">
        <f t="shared" si="41"/>
        <v>2026.07</v>
      </c>
      <c r="B424" s="948" t="e">
        <f t="shared" si="42"/>
        <v>#N/A</v>
      </c>
      <c r="C424" s="169" t="e">
        <v>#N/A</v>
      </c>
      <c r="D424" s="948" t="e">
        <f t="shared" si="43"/>
        <v>#N/A</v>
      </c>
      <c r="E424" s="380" t="e">
        <v>#N/A</v>
      </c>
    </row>
    <row r="425" spans="1:5">
      <c r="A425" s="1340">
        <f t="shared" si="41"/>
        <v>2026.08</v>
      </c>
      <c r="B425" s="948" t="e">
        <f t="shared" si="42"/>
        <v>#N/A</v>
      </c>
      <c r="C425" s="169" t="e">
        <v>#N/A</v>
      </c>
      <c r="D425" s="948" t="e">
        <f t="shared" si="43"/>
        <v>#N/A</v>
      </c>
      <c r="E425" s="380" t="e">
        <v>#N/A</v>
      </c>
    </row>
    <row r="426" spans="1:5">
      <c r="A426" s="1340">
        <f t="shared" si="41"/>
        <v>2026.09</v>
      </c>
      <c r="B426" s="948" t="e">
        <f t="shared" si="42"/>
        <v>#N/A</v>
      </c>
      <c r="C426" s="169" t="e">
        <v>#N/A</v>
      </c>
      <c r="D426" s="948" t="e">
        <f t="shared" si="43"/>
        <v>#N/A</v>
      </c>
      <c r="E426" s="380" t="e">
        <v>#N/A</v>
      </c>
    </row>
    <row r="427" spans="1:5">
      <c r="A427" s="1340">
        <f t="shared" si="41"/>
        <v>2026.1</v>
      </c>
      <c r="B427" s="948" t="e">
        <f t="shared" si="42"/>
        <v>#N/A</v>
      </c>
      <c r="C427" s="169" t="e">
        <v>#N/A</v>
      </c>
      <c r="D427" s="948" t="e">
        <f t="shared" si="43"/>
        <v>#N/A</v>
      </c>
      <c r="E427" s="380" t="e">
        <v>#N/A</v>
      </c>
    </row>
    <row r="428" spans="1:5">
      <c r="A428" s="1340">
        <f t="shared" si="41"/>
        <v>2026.11</v>
      </c>
      <c r="B428" s="948" t="e">
        <f t="shared" si="42"/>
        <v>#N/A</v>
      </c>
      <c r="C428" s="169" t="e">
        <v>#N/A</v>
      </c>
      <c r="D428" s="948" t="e">
        <f t="shared" si="43"/>
        <v>#N/A</v>
      </c>
      <c r="E428" s="380" t="e">
        <v>#N/A</v>
      </c>
    </row>
    <row r="429" spans="1:5">
      <c r="A429" s="1340">
        <f t="shared" si="41"/>
        <v>2026.12</v>
      </c>
      <c r="B429" s="948" t="e">
        <f t="shared" si="42"/>
        <v>#N/A</v>
      </c>
      <c r="C429" s="169" t="e">
        <v>#N/A</v>
      </c>
      <c r="D429" s="948" t="e">
        <f t="shared" si="43"/>
        <v>#N/A</v>
      </c>
      <c r="E429" s="380" t="e">
        <v>#N/A</v>
      </c>
    </row>
    <row r="430" spans="1:5">
      <c r="A430" s="1340">
        <f t="shared" si="41"/>
        <v>2027.01</v>
      </c>
      <c r="B430" s="948" t="e">
        <f t="shared" si="42"/>
        <v>#N/A</v>
      </c>
      <c r="C430" s="169" t="e">
        <v>#N/A</v>
      </c>
      <c r="D430" s="948" t="e">
        <f t="shared" si="43"/>
        <v>#N/A</v>
      </c>
      <c r="E430" s="380" t="e">
        <v>#N/A</v>
      </c>
    </row>
    <row r="431" spans="1:5">
      <c r="A431" s="1340">
        <f t="shared" si="41"/>
        <v>2027.02</v>
      </c>
      <c r="B431" s="948" t="e">
        <f t="shared" si="42"/>
        <v>#N/A</v>
      </c>
      <c r="C431" s="169" t="e">
        <v>#N/A</v>
      </c>
      <c r="D431" s="948" t="e">
        <f t="shared" si="43"/>
        <v>#N/A</v>
      </c>
      <c r="E431" s="380" t="e">
        <v>#N/A</v>
      </c>
    </row>
    <row r="432" spans="1:5">
      <c r="A432" s="1340">
        <f t="shared" si="41"/>
        <v>2027.03</v>
      </c>
      <c r="B432" s="948" t="e">
        <f t="shared" si="42"/>
        <v>#N/A</v>
      </c>
      <c r="C432" s="169" t="e">
        <v>#N/A</v>
      </c>
      <c r="D432" s="948" t="e">
        <f t="shared" si="43"/>
        <v>#N/A</v>
      </c>
      <c r="E432" s="380" t="e">
        <v>#N/A</v>
      </c>
    </row>
    <row r="433" spans="1:5">
      <c r="A433" s="1340">
        <f t="shared" si="41"/>
        <v>2027.04</v>
      </c>
      <c r="B433" s="948" t="e">
        <f t="shared" si="42"/>
        <v>#N/A</v>
      </c>
      <c r="C433" s="169" t="e">
        <v>#N/A</v>
      </c>
      <c r="D433" s="948" t="e">
        <f t="shared" si="43"/>
        <v>#N/A</v>
      </c>
      <c r="E433" s="380" t="e">
        <v>#N/A</v>
      </c>
    </row>
    <row r="434" spans="1:5">
      <c r="A434" s="1340">
        <f t="shared" si="41"/>
        <v>2027.05</v>
      </c>
      <c r="B434" s="948" t="e">
        <f t="shared" si="42"/>
        <v>#N/A</v>
      </c>
      <c r="C434" s="169" t="e">
        <v>#N/A</v>
      </c>
      <c r="D434" s="948" t="e">
        <f t="shared" si="43"/>
        <v>#N/A</v>
      </c>
      <c r="E434" s="380" t="e">
        <v>#N/A</v>
      </c>
    </row>
    <row r="435" spans="1:5">
      <c r="A435" s="1340">
        <f t="shared" si="41"/>
        <v>2027.06</v>
      </c>
      <c r="B435" s="948" t="e">
        <f t="shared" si="42"/>
        <v>#N/A</v>
      </c>
      <c r="C435" s="169" t="e">
        <v>#N/A</v>
      </c>
      <c r="D435" s="948" t="e">
        <f t="shared" si="43"/>
        <v>#N/A</v>
      </c>
      <c r="E435" s="380" t="e">
        <v>#N/A</v>
      </c>
    </row>
    <row r="436" spans="1:5">
      <c r="A436" s="1340">
        <f t="shared" si="41"/>
        <v>2027.07</v>
      </c>
      <c r="B436" s="948" t="e">
        <f t="shared" si="42"/>
        <v>#N/A</v>
      </c>
      <c r="C436" s="169" t="e">
        <v>#N/A</v>
      </c>
      <c r="D436" s="948" t="e">
        <f t="shared" si="43"/>
        <v>#N/A</v>
      </c>
      <c r="E436" s="380" t="e">
        <v>#N/A</v>
      </c>
    </row>
    <row r="437" spans="1:5">
      <c r="A437" s="1340">
        <f t="shared" si="41"/>
        <v>2027.08</v>
      </c>
      <c r="B437" s="948" t="e">
        <f t="shared" si="42"/>
        <v>#N/A</v>
      </c>
      <c r="C437" s="169" t="e">
        <v>#N/A</v>
      </c>
      <c r="D437" s="948" t="e">
        <f t="shared" si="43"/>
        <v>#N/A</v>
      </c>
      <c r="E437" s="380" t="e">
        <v>#N/A</v>
      </c>
    </row>
    <row r="438" spans="1:5">
      <c r="A438" s="1340">
        <f t="shared" si="41"/>
        <v>2027.09</v>
      </c>
      <c r="B438" s="948" t="e">
        <f t="shared" si="42"/>
        <v>#N/A</v>
      </c>
      <c r="C438" s="169" t="e">
        <v>#N/A</v>
      </c>
      <c r="D438" s="948" t="e">
        <f t="shared" si="43"/>
        <v>#N/A</v>
      </c>
      <c r="E438" s="380" t="e">
        <v>#N/A</v>
      </c>
    </row>
    <row r="439" spans="1:5">
      <c r="A439" s="1340">
        <f t="shared" si="41"/>
        <v>2027.1</v>
      </c>
      <c r="B439" s="948" t="e">
        <f t="shared" si="42"/>
        <v>#N/A</v>
      </c>
      <c r="C439" s="169" t="e">
        <v>#N/A</v>
      </c>
      <c r="D439" s="948" t="e">
        <f t="shared" si="43"/>
        <v>#N/A</v>
      </c>
      <c r="E439" s="380" t="e">
        <v>#N/A</v>
      </c>
    </row>
    <row r="440" spans="1:5">
      <c r="A440" s="1340">
        <f t="shared" si="41"/>
        <v>2027.11</v>
      </c>
      <c r="B440" s="948" t="e">
        <f t="shared" si="42"/>
        <v>#N/A</v>
      </c>
      <c r="C440" s="169" t="e">
        <v>#N/A</v>
      </c>
      <c r="D440" s="948" t="e">
        <f t="shared" si="43"/>
        <v>#N/A</v>
      </c>
      <c r="E440" s="380" t="e">
        <v>#N/A</v>
      </c>
    </row>
    <row r="441" spans="1:5">
      <c r="A441" s="1340">
        <f t="shared" si="41"/>
        <v>2027.12</v>
      </c>
      <c r="B441" s="948" t="e">
        <f t="shared" si="42"/>
        <v>#N/A</v>
      </c>
      <c r="C441" s="169" t="e">
        <v>#N/A</v>
      </c>
      <c r="D441" s="948" t="e">
        <f t="shared" si="43"/>
        <v>#N/A</v>
      </c>
      <c r="E441" s="380" t="e">
        <v>#N/A</v>
      </c>
    </row>
    <row r="442" spans="1:5">
      <c r="A442" s="1340">
        <f t="shared" si="41"/>
        <v>2028.01</v>
      </c>
      <c r="B442" s="948" t="e">
        <f t="shared" si="42"/>
        <v>#N/A</v>
      </c>
      <c r="C442" s="169" t="e">
        <v>#N/A</v>
      </c>
      <c r="D442" s="948" t="e">
        <f t="shared" si="43"/>
        <v>#N/A</v>
      </c>
      <c r="E442" s="380" t="e">
        <v>#N/A</v>
      </c>
    </row>
    <row r="443" spans="1:5">
      <c r="A443" s="1340">
        <f t="shared" si="41"/>
        <v>2028.02</v>
      </c>
      <c r="B443" s="948" t="e">
        <f t="shared" si="42"/>
        <v>#N/A</v>
      </c>
      <c r="C443" s="169" t="e">
        <v>#N/A</v>
      </c>
      <c r="D443" s="948" t="e">
        <f t="shared" si="43"/>
        <v>#N/A</v>
      </c>
      <c r="E443" s="380" t="e">
        <v>#N/A</v>
      </c>
    </row>
    <row r="444" spans="1:5">
      <c r="A444" s="1340">
        <f t="shared" si="41"/>
        <v>2028.03</v>
      </c>
      <c r="B444" s="948" t="e">
        <f t="shared" si="42"/>
        <v>#N/A</v>
      </c>
      <c r="C444" s="169" t="e">
        <v>#N/A</v>
      </c>
      <c r="D444" s="948" t="e">
        <f t="shared" si="43"/>
        <v>#N/A</v>
      </c>
      <c r="E444" s="380" t="e">
        <v>#N/A</v>
      </c>
    </row>
    <row r="445" spans="1:5">
      <c r="A445" s="1340">
        <f t="shared" si="41"/>
        <v>2028.04</v>
      </c>
      <c r="B445" s="948" t="e">
        <f t="shared" si="42"/>
        <v>#N/A</v>
      </c>
      <c r="C445" s="169" t="e">
        <v>#N/A</v>
      </c>
      <c r="D445" s="948" t="e">
        <f t="shared" si="43"/>
        <v>#N/A</v>
      </c>
      <c r="E445" s="380" t="e">
        <v>#N/A</v>
      </c>
    </row>
    <row r="446" spans="1:5">
      <c r="A446" s="1340">
        <f t="shared" si="41"/>
        <v>2028.05</v>
      </c>
      <c r="B446" s="948" t="e">
        <f t="shared" si="42"/>
        <v>#N/A</v>
      </c>
      <c r="C446" s="169" t="e">
        <v>#N/A</v>
      </c>
      <c r="D446" s="948" t="e">
        <f t="shared" si="43"/>
        <v>#N/A</v>
      </c>
      <c r="E446" s="380" t="e">
        <v>#N/A</v>
      </c>
    </row>
    <row r="447" spans="1:5">
      <c r="A447" s="1340">
        <f t="shared" si="41"/>
        <v>2028.06</v>
      </c>
      <c r="B447" s="948" t="e">
        <f t="shared" si="42"/>
        <v>#N/A</v>
      </c>
      <c r="C447" s="169" t="e">
        <v>#N/A</v>
      </c>
      <c r="D447" s="948" t="e">
        <f t="shared" si="43"/>
        <v>#N/A</v>
      </c>
      <c r="E447" s="380" t="e">
        <v>#N/A</v>
      </c>
    </row>
    <row r="448" spans="1:5">
      <c r="A448" s="1340">
        <f t="shared" si="41"/>
        <v>2028.07</v>
      </c>
      <c r="B448" s="948" t="e">
        <f t="shared" si="42"/>
        <v>#N/A</v>
      </c>
      <c r="C448" s="169" t="e">
        <v>#N/A</v>
      </c>
      <c r="D448" s="948" t="e">
        <f t="shared" si="43"/>
        <v>#N/A</v>
      </c>
      <c r="E448" s="380" t="e">
        <v>#N/A</v>
      </c>
    </row>
    <row r="449" spans="1:5">
      <c r="A449" s="1340">
        <f t="shared" si="41"/>
        <v>2028.08</v>
      </c>
      <c r="B449" s="948" t="e">
        <f t="shared" si="42"/>
        <v>#N/A</v>
      </c>
      <c r="C449" s="169" t="e">
        <v>#N/A</v>
      </c>
      <c r="D449" s="948" t="e">
        <f t="shared" si="43"/>
        <v>#N/A</v>
      </c>
      <c r="E449" s="380" t="e">
        <v>#N/A</v>
      </c>
    </row>
    <row r="450" spans="1:5">
      <c r="A450" s="1340">
        <f t="shared" si="41"/>
        <v>2028.09</v>
      </c>
      <c r="B450" s="948" t="e">
        <f t="shared" si="42"/>
        <v>#N/A</v>
      </c>
      <c r="C450" s="169" t="e">
        <v>#N/A</v>
      </c>
      <c r="D450" s="948" t="e">
        <f t="shared" si="43"/>
        <v>#N/A</v>
      </c>
      <c r="E450" s="380" t="e">
        <v>#N/A</v>
      </c>
    </row>
    <row r="451" spans="1:5">
      <c r="A451" s="1340">
        <f t="shared" si="41"/>
        <v>2028.1</v>
      </c>
      <c r="B451" s="948" t="e">
        <f t="shared" si="42"/>
        <v>#N/A</v>
      </c>
      <c r="C451" s="169" t="e">
        <v>#N/A</v>
      </c>
      <c r="D451" s="948" t="e">
        <f t="shared" si="43"/>
        <v>#N/A</v>
      </c>
      <c r="E451" s="380" t="e">
        <v>#N/A</v>
      </c>
    </row>
    <row r="452" spans="1:5">
      <c r="A452" s="1340">
        <f t="shared" si="41"/>
        <v>2028.11</v>
      </c>
      <c r="B452" s="948" t="e">
        <f t="shared" si="42"/>
        <v>#N/A</v>
      </c>
      <c r="C452" s="169" t="e">
        <v>#N/A</v>
      </c>
      <c r="D452" s="948" t="e">
        <f t="shared" si="43"/>
        <v>#N/A</v>
      </c>
      <c r="E452" s="380" t="e">
        <v>#N/A</v>
      </c>
    </row>
    <row r="453" spans="1:5">
      <c r="A453" s="1340">
        <f t="shared" si="41"/>
        <v>2028.12</v>
      </c>
      <c r="B453" s="948" t="e">
        <f t="shared" si="42"/>
        <v>#N/A</v>
      </c>
      <c r="C453" s="169" t="e">
        <v>#N/A</v>
      </c>
      <c r="D453" s="948" t="e">
        <f t="shared" si="43"/>
        <v>#N/A</v>
      </c>
      <c r="E453" s="380" t="e">
        <v>#N/A</v>
      </c>
    </row>
    <row r="454" spans="1:5">
      <c r="A454" s="1340">
        <f t="shared" si="41"/>
        <v>2029.01</v>
      </c>
      <c r="B454" s="948" t="e">
        <f t="shared" si="42"/>
        <v>#N/A</v>
      </c>
      <c r="C454" s="169" t="e">
        <v>#N/A</v>
      </c>
      <c r="D454" s="948" t="e">
        <f t="shared" si="43"/>
        <v>#N/A</v>
      </c>
      <c r="E454" s="380" t="e">
        <v>#N/A</v>
      </c>
    </row>
    <row r="455" spans="1:5">
      <c r="A455" s="1340">
        <f t="shared" si="41"/>
        <v>2029.02</v>
      </c>
      <c r="B455" s="948" t="e">
        <f t="shared" si="42"/>
        <v>#N/A</v>
      </c>
      <c r="C455" s="169" t="e">
        <v>#N/A</v>
      </c>
      <c r="D455" s="948" t="e">
        <f t="shared" si="43"/>
        <v>#N/A</v>
      </c>
      <c r="E455" s="380" t="e">
        <v>#N/A</v>
      </c>
    </row>
    <row r="456" spans="1:5">
      <c r="A456" s="1340">
        <f t="shared" si="41"/>
        <v>2029.03</v>
      </c>
      <c r="B456" s="948" t="e">
        <f t="shared" si="42"/>
        <v>#N/A</v>
      </c>
      <c r="C456" s="169" t="e">
        <v>#N/A</v>
      </c>
      <c r="D456" s="948" t="e">
        <f t="shared" si="43"/>
        <v>#N/A</v>
      </c>
      <c r="E456" s="380" t="e">
        <v>#N/A</v>
      </c>
    </row>
    <row r="457" spans="1:5">
      <c r="A457" s="1340">
        <f t="shared" si="41"/>
        <v>2029.04</v>
      </c>
      <c r="B457" s="948" t="e">
        <f t="shared" si="42"/>
        <v>#N/A</v>
      </c>
      <c r="C457" s="169" t="e">
        <v>#N/A</v>
      </c>
      <c r="D457" s="948" t="e">
        <f t="shared" si="43"/>
        <v>#N/A</v>
      </c>
      <c r="E457" s="380" t="e">
        <v>#N/A</v>
      </c>
    </row>
    <row r="458" spans="1:5">
      <c r="A458" s="1340">
        <f t="shared" ref="A458:A477" si="44">A446+1</f>
        <v>2029.05</v>
      </c>
      <c r="B458" s="948" t="e">
        <f t="shared" si="42"/>
        <v>#N/A</v>
      </c>
      <c r="C458" s="169" t="e">
        <v>#N/A</v>
      </c>
      <c r="D458" s="948" t="e">
        <f t="shared" si="43"/>
        <v>#N/A</v>
      </c>
      <c r="E458" s="380" t="e">
        <v>#N/A</v>
      </c>
    </row>
    <row r="459" spans="1:5">
      <c r="A459" s="1340">
        <f t="shared" si="44"/>
        <v>2029.06</v>
      </c>
      <c r="B459" s="948" t="e">
        <f t="shared" si="42"/>
        <v>#N/A</v>
      </c>
      <c r="C459" s="169" t="e">
        <v>#N/A</v>
      </c>
      <c r="D459" s="948" t="e">
        <f t="shared" si="43"/>
        <v>#N/A</v>
      </c>
      <c r="E459" s="380" t="e">
        <v>#N/A</v>
      </c>
    </row>
    <row r="460" spans="1:5">
      <c r="A460" s="1340">
        <f t="shared" si="44"/>
        <v>2029.07</v>
      </c>
      <c r="B460" s="948" t="e">
        <f t="shared" si="42"/>
        <v>#N/A</v>
      </c>
      <c r="C460" s="169" t="e">
        <v>#N/A</v>
      </c>
      <c r="D460" s="948" t="e">
        <f t="shared" si="43"/>
        <v>#N/A</v>
      </c>
      <c r="E460" s="380" t="e">
        <v>#N/A</v>
      </c>
    </row>
    <row r="461" spans="1:5">
      <c r="A461" s="1340">
        <f t="shared" si="44"/>
        <v>2029.08</v>
      </c>
      <c r="B461" s="948" t="e">
        <f t="shared" si="42"/>
        <v>#N/A</v>
      </c>
      <c r="C461" s="169" t="e">
        <v>#N/A</v>
      </c>
      <c r="D461" s="948" t="e">
        <f t="shared" si="43"/>
        <v>#N/A</v>
      </c>
      <c r="E461" s="380" t="e">
        <v>#N/A</v>
      </c>
    </row>
    <row r="462" spans="1:5">
      <c r="A462" s="1340">
        <f t="shared" si="44"/>
        <v>2029.09</v>
      </c>
      <c r="B462" s="948" t="e">
        <f t="shared" si="42"/>
        <v>#N/A</v>
      </c>
      <c r="C462" s="169" t="e">
        <v>#N/A</v>
      </c>
      <c r="D462" s="948" t="e">
        <f t="shared" si="43"/>
        <v>#N/A</v>
      </c>
      <c r="E462" s="380" t="e">
        <v>#N/A</v>
      </c>
    </row>
    <row r="463" spans="1:5">
      <c r="A463" s="1340">
        <f t="shared" si="44"/>
        <v>2029.1</v>
      </c>
      <c r="B463" s="948" t="e">
        <f t="shared" si="42"/>
        <v>#N/A</v>
      </c>
      <c r="C463" s="169" t="e">
        <v>#N/A</v>
      </c>
      <c r="D463" s="948" t="e">
        <f t="shared" si="43"/>
        <v>#N/A</v>
      </c>
      <c r="E463" s="380" t="e">
        <v>#N/A</v>
      </c>
    </row>
    <row r="464" spans="1:5">
      <c r="A464" s="1340">
        <f t="shared" si="44"/>
        <v>2029.11</v>
      </c>
      <c r="B464" s="948" t="e">
        <f t="shared" si="42"/>
        <v>#N/A</v>
      </c>
      <c r="C464" s="169" t="e">
        <v>#N/A</v>
      </c>
      <c r="D464" s="948" t="e">
        <f t="shared" si="43"/>
        <v>#N/A</v>
      </c>
      <c r="E464" s="380" t="e">
        <v>#N/A</v>
      </c>
    </row>
    <row r="465" spans="1:5">
      <c r="A465" s="1340">
        <f t="shared" si="44"/>
        <v>2029.12</v>
      </c>
      <c r="B465" s="948" t="e">
        <f t="shared" si="42"/>
        <v>#N/A</v>
      </c>
      <c r="C465" s="169" t="e">
        <v>#N/A</v>
      </c>
      <c r="D465" s="948" t="e">
        <f t="shared" si="43"/>
        <v>#N/A</v>
      </c>
      <c r="E465" s="380" t="e">
        <v>#N/A</v>
      </c>
    </row>
    <row r="466" spans="1:5">
      <c r="A466" s="1340">
        <f t="shared" si="44"/>
        <v>2030.01</v>
      </c>
      <c r="B466" s="948" t="e">
        <f t="shared" si="42"/>
        <v>#N/A</v>
      </c>
      <c r="C466" s="169" t="e">
        <v>#N/A</v>
      </c>
      <c r="D466" s="948" t="e">
        <f t="shared" si="43"/>
        <v>#N/A</v>
      </c>
      <c r="E466" s="380" t="e">
        <v>#N/A</v>
      </c>
    </row>
    <row r="467" spans="1:5">
      <c r="A467" s="1340">
        <f t="shared" si="44"/>
        <v>2030.02</v>
      </c>
      <c r="B467" s="948" t="e">
        <f t="shared" si="42"/>
        <v>#N/A</v>
      </c>
      <c r="C467" s="169" t="e">
        <v>#N/A</v>
      </c>
      <c r="D467" s="948" t="e">
        <f t="shared" si="43"/>
        <v>#N/A</v>
      </c>
      <c r="E467" s="380" t="e">
        <v>#N/A</v>
      </c>
    </row>
    <row r="468" spans="1:5">
      <c r="A468" s="1340">
        <f t="shared" si="44"/>
        <v>2030.03</v>
      </c>
      <c r="B468" s="948" t="e">
        <f t="shared" si="42"/>
        <v>#N/A</v>
      </c>
      <c r="C468" s="169" t="e">
        <v>#N/A</v>
      </c>
      <c r="D468" s="948" t="e">
        <f t="shared" si="43"/>
        <v>#N/A</v>
      </c>
      <c r="E468" s="380" t="e">
        <v>#N/A</v>
      </c>
    </row>
    <row r="469" spans="1:5">
      <c r="A469" s="1340">
        <f t="shared" si="44"/>
        <v>2030.04</v>
      </c>
      <c r="B469" s="948" t="e">
        <f t="shared" si="42"/>
        <v>#N/A</v>
      </c>
      <c r="C469" s="169" t="e">
        <v>#N/A</v>
      </c>
      <c r="D469" s="948" t="e">
        <f t="shared" si="43"/>
        <v>#N/A</v>
      </c>
      <c r="E469" s="380" t="e">
        <v>#N/A</v>
      </c>
    </row>
    <row r="470" spans="1:5">
      <c r="A470" s="1340">
        <f t="shared" si="44"/>
        <v>2030.05</v>
      </c>
      <c r="B470" s="948" t="e">
        <f t="shared" si="42"/>
        <v>#N/A</v>
      </c>
      <c r="C470" s="169" t="e">
        <v>#N/A</v>
      </c>
      <c r="D470" s="948" t="e">
        <f t="shared" si="43"/>
        <v>#N/A</v>
      </c>
      <c r="E470" s="380" t="e">
        <v>#N/A</v>
      </c>
    </row>
    <row r="471" spans="1:5">
      <c r="A471" s="1340">
        <f t="shared" si="44"/>
        <v>2030.06</v>
      </c>
      <c r="B471" s="948" t="e">
        <f t="shared" si="42"/>
        <v>#N/A</v>
      </c>
      <c r="C471" s="169" t="e">
        <v>#N/A</v>
      </c>
      <c r="D471" s="948" t="e">
        <f t="shared" si="43"/>
        <v>#N/A</v>
      </c>
      <c r="E471" s="380" t="e">
        <v>#N/A</v>
      </c>
    </row>
    <row r="472" spans="1:5">
      <c r="A472" s="1340">
        <f t="shared" si="44"/>
        <v>2030.07</v>
      </c>
      <c r="B472" s="948" t="e">
        <f t="shared" si="42"/>
        <v>#N/A</v>
      </c>
      <c r="C472" s="169" t="e">
        <v>#N/A</v>
      </c>
      <c r="D472" s="948" t="e">
        <f t="shared" si="43"/>
        <v>#N/A</v>
      </c>
      <c r="E472" s="380" t="e">
        <v>#N/A</v>
      </c>
    </row>
    <row r="473" spans="1:5">
      <c r="A473" s="1340">
        <f t="shared" si="44"/>
        <v>2030.08</v>
      </c>
      <c r="B473" s="948" t="e">
        <f t="shared" si="42"/>
        <v>#N/A</v>
      </c>
      <c r="C473" s="169" t="e">
        <v>#N/A</v>
      </c>
      <c r="D473" s="948" t="e">
        <f t="shared" si="43"/>
        <v>#N/A</v>
      </c>
      <c r="E473" s="380" t="e">
        <v>#N/A</v>
      </c>
    </row>
    <row r="474" spans="1:5">
      <c r="A474" s="1340">
        <f t="shared" si="44"/>
        <v>2030.09</v>
      </c>
      <c r="B474" s="948" t="e">
        <f t="shared" si="42"/>
        <v>#N/A</v>
      </c>
      <c r="C474" s="169" t="e">
        <v>#N/A</v>
      </c>
      <c r="D474" s="948" t="e">
        <f t="shared" si="43"/>
        <v>#N/A</v>
      </c>
      <c r="E474" s="380" t="e">
        <v>#N/A</v>
      </c>
    </row>
    <row r="475" spans="1:5">
      <c r="A475" s="1340">
        <f t="shared" si="44"/>
        <v>2030.1</v>
      </c>
      <c r="B475" s="948" t="e">
        <f t="shared" si="42"/>
        <v>#N/A</v>
      </c>
      <c r="C475" s="169" t="e">
        <v>#N/A</v>
      </c>
      <c r="D475" s="948" t="e">
        <f t="shared" si="43"/>
        <v>#N/A</v>
      </c>
      <c r="E475" s="380" t="e">
        <v>#N/A</v>
      </c>
    </row>
    <row r="476" spans="1:5">
      <c r="A476" s="1340">
        <f t="shared" si="44"/>
        <v>2030.11</v>
      </c>
      <c r="B476" s="948" t="e">
        <f t="shared" si="42"/>
        <v>#N/A</v>
      </c>
      <c r="C476" s="169" t="e">
        <v>#N/A</v>
      </c>
      <c r="D476" s="948" t="e">
        <f t="shared" si="43"/>
        <v>#N/A</v>
      </c>
      <c r="E476" s="380" t="e">
        <v>#N/A</v>
      </c>
    </row>
    <row r="477" spans="1:5">
      <c r="A477" s="1340">
        <f t="shared" si="44"/>
        <v>2030.12</v>
      </c>
      <c r="B477" s="948" t="e">
        <f t="shared" si="42"/>
        <v>#N/A</v>
      </c>
      <c r="C477" s="169" t="e">
        <v>#N/A</v>
      </c>
      <c r="D477" s="948" t="e">
        <f t="shared" si="43"/>
        <v>#N/A</v>
      </c>
      <c r="E477" s="380" t="e">
        <v>#N/A</v>
      </c>
    </row>
  </sheetData>
  <phoneticPr fontId="0" type="noConversion"/>
  <hyperlinks>
    <hyperlink ref="A5" location="INDICE!A13" display="VOLVER AL INDICE" xr:uid="{00000000-0004-0000-3000-000000000000}"/>
  </hyperlinks>
  <pageMargins left="0.75" right="0.75" top="1" bottom="1" header="0" footer="0"/>
  <pageSetup paperSize="9" orientation="portrait" horizontalDpi="300" verticalDpi="300" r:id="rId1"/>
  <headerFooter alignWithMargins="0"/>
  <ignoredErrors>
    <ignoredError sqref="D370"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6">
    <pageSetUpPr autoPageBreaks="0"/>
  </sheetPr>
  <dimension ref="A1:G453"/>
  <sheetViews>
    <sheetView zoomScale="130" zoomScaleNormal="130" workbookViewId="0">
      <pane xSplit="1" ySplit="9" topLeftCell="B374"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7" style="24" customWidth="1"/>
    <col min="3" max="3" width="26.42578125" style="24" customWidth="1"/>
    <col min="4" max="16384" width="11.42578125" style="9"/>
  </cols>
  <sheetData>
    <row r="1" spans="1:4" ht="3.75" customHeight="1">
      <c r="A1" s="2373"/>
      <c r="B1" s="111"/>
      <c r="C1" s="2216"/>
      <c r="D1" s="15"/>
    </row>
    <row r="2" spans="1:4" ht="33.75">
      <c r="A2" s="2373" t="s">
        <v>105</v>
      </c>
      <c r="B2" s="383" t="s">
        <v>1389</v>
      </c>
      <c r="C2" s="1882" t="s">
        <v>1390</v>
      </c>
      <c r="D2" s="1926" t="s">
        <v>5</v>
      </c>
    </row>
    <row r="3" spans="1:4">
      <c r="A3" s="2373" t="s">
        <v>109</v>
      </c>
      <c r="B3" s="2217" t="s">
        <v>1391</v>
      </c>
      <c r="C3" s="2218"/>
      <c r="D3" s="1926" t="s">
        <v>5</v>
      </c>
    </row>
    <row r="4" spans="1:4" ht="3" hidden="1" customHeight="1">
      <c r="A4" s="104"/>
      <c r="B4" s="383"/>
      <c r="C4" s="2136"/>
      <c r="D4" s="1926" t="s">
        <v>5</v>
      </c>
    </row>
    <row r="5" spans="1:4" s="24" customFormat="1" ht="22.5">
      <c r="A5" s="2390" t="s">
        <v>137</v>
      </c>
      <c r="B5" s="176"/>
      <c r="C5" s="1884"/>
      <c r="D5" s="2135" t="s">
        <v>5</v>
      </c>
    </row>
    <row r="6" spans="1:4" s="24" customFormat="1" ht="3" hidden="1" customHeight="1">
      <c r="A6" s="104"/>
      <c r="B6" s="116"/>
      <c r="C6" s="2136"/>
      <c r="D6" s="137"/>
    </row>
    <row r="7" spans="1:4" s="24" customFormat="1" ht="22.5">
      <c r="A7" s="2373" t="s">
        <v>123</v>
      </c>
      <c r="B7" s="176" t="s">
        <v>259</v>
      </c>
      <c r="C7" s="1884" t="s">
        <v>259</v>
      </c>
      <c r="D7" s="2135" t="s">
        <v>5</v>
      </c>
    </row>
    <row r="8" spans="1:4" s="24" customFormat="1" ht="13.5" customHeight="1" thickBot="1">
      <c r="A8" s="105" t="s">
        <v>141</v>
      </c>
      <c r="B8" s="149" t="s">
        <v>1392</v>
      </c>
      <c r="C8" s="1979" t="s">
        <v>1393</v>
      </c>
      <c r="D8" s="2210" t="s">
        <v>5</v>
      </c>
    </row>
    <row r="9" spans="1:4" ht="13.5" hidden="1" thickBot="1">
      <c r="A9" s="72"/>
      <c r="B9" s="1793"/>
      <c r="C9" s="2093"/>
      <c r="D9" s="2211" t="s">
        <v>5</v>
      </c>
    </row>
    <row r="10" spans="1:4">
      <c r="A10" s="1338">
        <v>1994.01</v>
      </c>
      <c r="B10" s="2660">
        <v>101502.326514179</v>
      </c>
      <c r="C10" s="2661"/>
      <c r="D10" s="1321"/>
    </row>
    <row r="11" spans="1:4">
      <c r="A11" s="1340">
        <v>1994.02</v>
      </c>
      <c r="B11" s="222">
        <v>89826.435423328207</v>
      </c>
      <c r="C11" s="2219"/>
      <c r="D11" s="1321"/>
    </row>
    <row r="12" spans="1:4">
      <c r="A12" s="1340">
        <v>1994.03</v>
      </c>
      <c r="B12" s="222">
        <v>95419.858465009893</v>
      </c>
      <c r="C12" s="2219"/>
      <c r="D12" s="1321"/>
    </row>
    <row r="13" spans="1:4">
      <c r="A13" s="1340">
        <v>1994.04</v>
      </c>
      <c r="B13" s="222">
        <v>84582.241096539699</v>
      </c>
      <c r="C13" s="2219"/>
      <c r="D13" s="1321"/>
    </row>
    <row r="14" spans="1:4">
      <c r="A14" s="1340">
        <v>1994.05</v>
      </c>
      <c r="B14" s="222">
        <v>97698.537419735207</v>
      </c>
      <c r="C14" s="2219"/>
      <c r="D14" s="1321"/>
    </row>
    <row r="15" spans="1:4">
      <c r="A15" s="1340">
        <v>1994.06</v>
      </c>
      <c r="B15" s="222">
        <v>92990.988217492195</v>
      </c>
      <c r="C15" s="2219"/>
      <c r="D15" s="1321"/>
    </row>
    <row r="16" spans="1:4">
      <c r="A16" s="1340">
        <v>1994.07</v>
      </c>
      <c r="B16" s="222">
        <v>90392.373347513494</v>
      </c>
      <c r="C16" s="2219"/>
      <c r="D16" s="1321"/>
    </row>
    <row r="17" spans="1:4">
      <c r="A17" s="1340">
        <v>1994.08</v>
      </c>
      <c r="B17" s="222">
        <v>93247.387389744297</v>
      </c>
      <c r="C17" s="2219"/>
      <c r="D17" s="1321"/>
    </row>
    <row r="18" spans="1:4">
      <c r="A18" s="1340">
        <v>1994.09</v>
      </c>
      <c r="B18" s="222">
        <v>85676.482979536799</v>
      </c>
      <c r="C18" s="2219"/>
      <c r="D18" s="1321"/>
    </row>
    <row r="19" spans="1:4">
      <c r="A19" s="1340">
        <v>1994.1</v>
      </c>
      <c r="B19" s="222">
        <v>87042.299022756692</v>
      </c>
      <c r="C19" s="2219"/>
      <c r="D19" s="1321"/>
    </row>
    <row r="20" spans="1:4">
      <c r="A20" s="1340">
        <v>1994.11</v>
      </c>
      <c r="B20" s="222">
        <v>83693.091995603099</v>
      </c>
      <c r="C20" s="2219"/>
      <c r="D20" s="1321"/>
    </row>
    <row r="21" spans="1:4">
      <c r="A21" s="1340">
        <v>1994.12</v>
      </c>
      <c r="B21" s="222">
        <v>77341.213677086504</v>
      </c>
      <c r="C21" s="2219"/>
      <c r="D21" s="1321"/>
    </row>
    <row r="22" spans="1:4">
      <c r="A22" s="1340">
        <v>1995.01</v>
      </c>
      <c r="B22" s="222">
        <v>98821.545516689599</v>
      </c>
      <c r="C22" s="2219"/>
      <c r="D22" s="1321"/>
    </row>
    <row r="23" spans="1:4">
      <c r="A23" s="1340">
        <v>1995.02</v>
      </c>
      <c r="B23" s="222">
        <v>87454.026736504704</v>
      </c>
      <c r="C23" s="2219"/>
      <c r="D23" s="1321"/>
    </row>
    <row r="24" spans="1:4">
      <c r="A24" s="1340">
        <v>1995.03</v>
      </c>
      <c r="B24" s="222">
        <v>92899.721714052299</v>
      </c>
      <c r="C24" s="2219"/>
      <c r="D24" s="1321"/>
    </row>
    <row r="25" spans="1:4">
      <c r="A25" s="1340">
        <v>1995.04</v>
      </c>
      <c r="B25" s="222">
        <v>82348.336983760906</v>
      </c>
      <c r="C25" s="2219"/>
      <c r="D25" s="1321"/>
    </row>
    <row r="26" spans="1:4">
      <c r="A26" s="1340">
        <v>1995.05</v>
      </c>
      <c r="B26" s="222">
        <v>95118.218410389993</v>
      </c>
      <c r="C26" s="2219"/>
      <c r="D26" s="1321"/>
    </row>
    <row r="27" spans="1:4">
      <c r="A27" s="1340">
        <v>1995.06</v>
      </c>
      <c r="B27" s="222">
        <v>90535.000431671811</v>
      </c>
      <c r="C27" s="2219"/>
      <c r="D27" s="1321"/>
    </row>
    <row r="28" spans="1:4">
      <c r="A28" s="1340">
        <v>1995.07</v>
      </c>
      <c r="B28" s="222">
        <v>88005.017657158009</v>
      </c>
      <c r="C28" s="2219"/>
      <c r="D28" s="1321"/>
    </row>
    <row r="29" spans="1:4">
      <c r="A29" s="1340">
        <v>1995.08</v>
      </c>
      <c r="B29" s="222">
        <v>90784.627837676104</v>
      </c>
      <c r="C29" s="2219"/>
      <c r="D29" s="1321"/>
    </row>
    <row r="30" spans="1:4">
      <c r="A30" s="1340">
        <v>1995.09</v>
      </c>
      <c r="B30" s="222">
        <v>83413.678811485006</v>
      </c>
      <c r="C30" s="2219"/>
      <c r="D30" s="1321"/>
    </row>
    <row r="31" spans="1:4">
      <c r="A31" s="1340">
        <v>1995.1</v>
      </c>
      <c r="B31" s="222">
        <v>84743.422246120608</v>
      </c>
      <c r="C31" s="2219"/>
      <c r="D31" s="1321"/>
    </row>
    <row r="32" spans="1:4">
      <c r="A32" s="1340">
        <v>1995.11</v>
      </c>
      <c r="B32" s="222">
        <v>81482.671226463499</v>
      </c>
      <c r="C32" s="2219"/>
      <c r="D32" s="1321"/>
    </row>
    <row r="33" spans="1:5">
      <c r="A33" s="1340">
        <v>1995.12</v>
      </c>
      <c r="B33" s="222">
        <v>75298.552557202493</v>
      </c>
      <c r="C33" s="2219"/>
      <c r="D33" s="1321"/>
      <c r="E33" s="201"/>
    </row>
    <row r="34" spans="1:5">
      <c r="A34" s="1340">
        <v>1996.01</v>
      </c>
      <c r="B34" s="260">
        <v>92442.506955294797</v>
      </c>
      <c r="C34" s="2220">
        <v>1681804.3830000001</v>
      </c>
      <c r="D34" s="1147"/>
      <c r="E34" s="1147"/>
    </row>
    <row r="35" spans="1:5">
      <c r="A35" s="1340">
        <v>1996.02</v>
      </c>
      <c r="B35" s="260">
        <v>87390.448967887496</v>
      </c>
      <c r="C35" s="1222">
        <v>1634886.1880000001</v>
      </c>
      <c r="D35" s="1147"/>
      <c r="E35" s="1147"/>
    </row>
    <row r="36" spans="1:5">
      <c r="A36" s="1340">
        <v>1996.03</v>
      </c>
      <c r="B36" s="260">
        <v>100106.60416868031</v>
      </c>
      <c r="C36" s="1222">
        <v>1705176.5359999998</v>
      </c>
      <c r="D36" s="1147"/>
      <c r="E36" s="1147"/>
    </row>
    <row r="37" spans="1:5">
      <c r="A37" s="1340">
        <v>1996.04</v>
      </c>
      <c r="B37" s="260">
        <v>76400.409875402882</v>
      </c>
      <c r="C37" s="1222">
        <v>1573778.32972</v>
      </c>
      <c r="D37" s="1147"/>
      <c r="E37" s="1147"/>
    </row>
    <row r="38" spans="1:5">
      <c r="A38" s="1340">
        <v>1996.05</v>
      </c>
      <c r="B38" s="260">
        <v>99173.510537193477</v>
      </c>
      <c r="C38" s="1222">
        <v>1685070.5119999996</v>
      </c>
      <c r="D38" s="1147"/>
      <c r="E38" s="1147"/>
    </row>
    <row r="39" spans="1:5">
      <c r="A39" s="1340">
        <v>1996.06</v>
      </c>
      <c r="B39" s="260">
        <v>88592.521071340569</v>
      </c>
      <c r="C39" s="1222">
        <v>1602537.1251700001</v>
      </c>
      <c r="D39" s="1147"/>
      <c r="E39" s="1147"/>
    </row>
    <row r="40" spans="1:5">
      <c r="A40" s="1340">
        <v>1996.07</v>
      </c>
      <c r="B40" s="260">
        <v>80360.776777878928</v>
      </c>
      <c r="C40" s="1222">
        <v>1700189.3160000001</v>
      </c>
      <c r="D40" s="1147"/>
      <c r="E40" s="1147"/>
    </row>
    <row r="41" spans="1:5">
      <c r="A41" s="1340">
        <v>1996.08</v>
      </c>
      <c r="B41" s="260">
        <v>86336.211892516483</v>
      </c>
      <c r="C41" s="1222">
        <v>1800893.997</v>
      </c>
      <c r="D41" s="1147"/>
      <c r="E41" s="1147"/>
    </row>
    <row r="42" spans="1:5">
      <c r="A42" s="1340">
        <v>1996.09</v>
      </c>
      <c r="B42" s="260">
        <v>70195.117046728963</v>
      </c>
      <c r="C42" s="1222">
        <v>1571447.1659999997</v>
      </c>
      <c r="D42" s="1147"/>
      <c r="E42" s="1147"/>
    </row>
    <row r="43" spans="1:5">
      <c r="A43" s="1340">
        <v>1996.1</v>
      </c>
      <c r="B43" s="260">
        <v>83169.193089555483</v>
      </c>
      <c r="C43" s="1222">
        <v>1781489.4750000001</v>
      </c>
      <c r="D43" s="1147"/>
      <c r="E43" s="1147"/>
    </row>
    <row r="44" spans="1:5">
      <c r="A44" s="1340">
        <v>1996.11</v>
      </c>
      <c r="B44" s="260">
        <v>76911.572410581284</v>
      </c>
      <c r="C44" s="1222">
        <v>1789509.2489999998</v>
      </c>
      <c r="D44" s="1147"/>
      <c r="E44" s="1147"/>
    </row>
    <row r="45" spans="1:5">
      <c r="A45" s="1340">
        <v>1996.12</v>
      </c>
      <c r="B45" s="260">
        <v>65868.398626546696</v>
      </c>
      <c r="C45" s="1222">
        <v>1624639.1150000002</v>
      </c>
      <c r="D45" s="1147"/>
      <c r="E45" s="1147"/>
    </row>
    <row r="46" spans="1:5">
      <c r="A46" s="1340">
        <v>1997.01</v>
      </c>
      <c r="B46" s="260">
        <v>100054.61499338708</v>
      </c>
      <c r="C46" s="1222">
        <v>1934474.0979999998</v>
      </c>
      <c r="D46" s="1147"/>
      <c r="E46" s="1147"/>
    </row>
    <row r="47" spans="1:5">
      <c r="A47" s="1340">
        <v>1997.02</v>
      </c>
      <c r="B47" s="260">
        <v>83294.936162635582</v>
      </c>
      <c r="C47" s="1222">
        <v>1702168.8709999998</v>
      </c>
      <c r="D47" s="1147"/>
      <c r="E47" s="1147"/>
    </row>
    <row r="48" spans="1:5">
      <c r="A48" s="1340">
        <v>1997.03</v>
      </c>
      <c r="B48" s="260">
        <v>88229.606297174672</v>
      </c>
      <c r="C48" s="1222">
        <v>1699710.2659999998</v>
      </c>
      <c r="D48" s="1147"/>
      <c r="E48" s="1147"/>
    </row>
    <row r="49" spans="1:5">
      <c r="A49" s="1340">
        <v>1997.04</v>
      </c>
      <c r="B49" s="260">
        <v>83143.086816911615</v>
      </c>
      <c r="C49" s="1222">
        <v>1808992.8230000001</v>
      </c>
      <c r="D49" s="1147"/>
      <c r="E49" s="1147"/>
    </row>
    <row r="50" spans="1:5">
      <c r="A50" s="1340">
        <v>1997.05</v>
      </c>
      <c r="B50" s="260">
        <v>92596.317354727886</v>
      </c>
      <c r="C50" s="1222">
        <v>1884623.2650000001</v>
      </c>
      <c r="D50" s="1147"/>
      <c r="E50" s="1147"/>
    </row>
    <row r="51" spans="1:5">
      <c r="A51" s="1340">
        <v>1997.06</v>
      </c>
      <c r="B51" s="260">
        <v>83141.584989484749</v>
      </c>
      <c r="C51" s="1222">
        <v>1774658</v>
      </c>
      <c r="D51" s="1147"/>
      <c r="E51" s="1147"/>
    </row>
    <row r="52" spans="1:5">
      <c r="A52" s="1340">
        <v>1997.07</v>
      </c>
      <c r="B52" s="260">
        <v>77689.576499975825</v>
      </c>
      <c r="C52" s="1222">
        <v>1829115.5153199998</v>
      </c>
      <c r="D52" s="1147"/>
      <c r="E52" s="1147"/>
    </row>
    <row r="53" spans="1:5">
      <c r="A53" s="1340">
        <v>1997.08</v>
      </c>
      <c r="B53" s="260">
        <v>90006.659898069629</v>
      </c>
      <c r="C53" s="1222">
        <v>1913992.1202200002</v>
      </c>
      <c r="D53" s="1147"/>
      <c r="E53" s="1147"/>
    </row>
    <row r="54" spans="1:5">
      <c r="A54" s="1340">
        <v>1997.09</v>
      </c>
      <c r="B54" s="260">
        <v>87943.99994226612</v>
      </c>
      <c r="C54" s="1222">
        <v>2036527.07593</v>
      </c>
      <c r="D54" s="1147"/>
      <c r="E54" s="1147"/>
    </row>
    <row r="55" spans="1:5">
      <c r="A55" s="1340">
        <v>1997.1</v>
      </c>
      <c r="B55" s="260">
        <v>79438.776515631049</v>
      </c>
      <c r="C55" s="1222">
        <v>1973309.7508799995</v>
      </c>
      <c r="D55" s="1147"/>
      <c r="E55" s="1147"/>
    </row>
    <row r="56" spans="1:5">
      <c r="A56" s="1340">
        <v>1997.11</v>
      </c>
      <c r="B56" s="260">
        <v>82610.768334254259</v>
      </c>
      <c r="C56" s="1222">
        <v>1873869.9154499993</v>
      </c>
      <c r="D56" s="1147"/>
      <c r="E56" s="1147"/>
    </row>
    <row r="57" spans="1:5">
      <c r="A57" s="1340">
        <v>1997.12</v>
      </c>
      <c r="B57" s="260">
        <v>74712.241863817762</v>
      </c>
      <c r="C57" s="1222">
        <v>1905676.5446000001</v>
      </c>
      <c r="D57" s="1147"/>
      <c r="E57" s="1147"/>
    </row>
    <row r="58" spans="1:5">
      <c r="A58" s="1340">
        <v>1998.01</v>
      </c>
      <c r="B58" s="260">
        <v>91117</v>
      </c>
      <c r="C58" s="1222">
        <v>2001649</v>
      </c>
      <c r="D58" s="1147"/>
      <c r="E58" s="1147"/>
    </row>
    <row r="59" spans="1:5">
      <c r="A59" s="1340">
        <v>1998.02</v>
      </c>
      <c r="B59" s="260">
        <v>71040</v>
      </c>
      <c r="C59" s="1222">
        <v>1792678</v>
      </c>
      <c r="D59" s="1147"/>
      <c r="E59" s="1147"/>
    </row>
    <row r="60" spans="1:5">
      <c r="A60" s="1340">
        <v>1998.03</v>
      </c>
      <c r="B60" s="260">
        <v>74686</v>
      </c>
      <c r="C60" s="1222">
        <v>1869131</v>
      </c>
      <c r="D60" s="1147"/>
      <c r="E60" s="1147"/>
    </row>
    <row r="61" spans="1:5">
      <c r="A61" s="1340">
        <v>1998.04</v>
      </c>
      <c r="B61" s="260">
        <v>77125</v>
      </c>
      <c r="C61" s="1222">
        <v>1913600</v>
      </c>
      <c r="D61" s="1147"/>
      <c r="E61" s="1147"/>
    </row>
    <row r="62" spans="1:5">
      <c r="A62" s="1340">
        <v>1998.05</v>
      </c>
      <c r="B62" s="260">
        <v>77454</v>
      </c>
      <c r="C62" s="1222">
        <v>1807181</v>
      </c>
      <c r="D62" s="1147"/>
      <c r="E62" s="1147"/>
    </row>
    <row r="63" spans="1:5">
      <c r="A63" s="1340">
        <v>1998.06</v>
      </c>
      <c r="B63" s="260">
        <v>86020</v>
      </c>
      <c r="C63" s="1222">
        <v>1922010</v>
      </c>
      <c r="D63" s="1147"/>
      <c r="E63" s="1147"/>
    </row>
    <row r="64" spans="1:5">
      <c r="A64" s="1340">
        <v>1998.07</v>
      </c>
      <c r="B64" s="260">
        <v>82110</v>
      </c>
      <c r="C64" s="1222">
        <v>2005247</v>
      </c>
      <c r="D64" s="1147"/>
      <c r="E64" s="1147"/>
    </row>
    <row r="65" spans="1:5">
      <c r="A65" s="1340">
        <v>1998.08</v>
      </c>
      <c r="B65" s="260">
        <v>78710</v>
      </c>
      <c r="C65" s="1222">
        <v>1908841</v>
      </c>
      <c r="D65" s="1147"/>
      <c r="E65" s="1147"/>
    </row>
    <row r="66" spans="1:5">
      <c r="A66" s="1340">
        <v>1998.09</v>
      </c>
      <c r="B66" s="260">
        <v>79892</v>
      </c>
      <c r="C66" s="1222">
        <v>1921579</v>
      </c>
      <c r="D66" s="1147"/>
      <c r="E66" s="1147"/>
    </row>
    <row r="67" spans="1:5">
      <c r="A67" s="1340">
        <v>1998.1</v>
      </c>
      <c r="B67" s="260">
        <v>74688</v>
      </c>
      <c r="C67" s="1222">
        <v>1846888</v>
      </c>
      <c r="D67" s="1147"/>
      <c r="E67" s="1147"/>
    </row>
    <row r="68" spans="1:5">
      <c r="A68" s="1340">
        <v>1998.11</v>
      </c>
      <c r="B68" s="260">
        <v>67172</v>
      </c>
      <c r="C68" s="1222">
        <v>1822638</v>
      </c>
      <c r="D68" s="1147"/>
      <c r="E68" s="1147"/>
    </row>
    <row r="69" spans="1:5">
      <c r="A69" s="1340">
        <v>1998.12</v>
      </c>
      <c r="B69" s="260">
        <v>70827</v>
      </c>
      <c r="C69" s="1222">
        <v>1778506</v>
      </c>
      <c r="D69" s="1147"/>
      <c r="E69" s="1147"/>
    </row>
    <row r="70" spans="1:5">
      <c r="A70" s="1340">
        <v>1999.01</v>
      </c>
      <c r="B70" s="260">
        <v>84864</v>
      </c>
      <c r="C70" s="1222">
        <v>1864139</v>
      </c>
      <c r="D70" s="1147"/>
      <c r="E70" s="1147"/>
    </row>
    <row r="71" spans="1:5">
      <c r="A71" s="1340">
        <v>1999.02</v>
      </c>
      <c r="B71" s="260">
        <v>73241</v>
      </c>
      <c r="C71" s="1222">
        <v>1650342</v>
      </c>
      <c r="D71" s="1147"/>
      <c r="E71" s="1147"/>
    </row>
    <row r="72" spans="1:5">
      <c r="A72" s="1340">
        <v>1999.03</v>
      </c>
      <c r="B72" s="260">
        <v>70836</v>
      </c>
      <c r="C72" s="1222">
        <v>1761852</v>
      </c>
      <c r="D72" s="1147"/>
      <c r="E72" s="1147"/>
    </row>
    <row r="73" spans="1:5">
      <c r="A73" s="1340">
        <v>1999.04</v>
      </c>
      <c r="B73" s="260">
        <v>61831</v>
      </c>
      <c r="C73" s="1222">
        <v>1780781</v>
      </c>
      <c r="D73" s="1147"/>
      <c r="E73" s="1147"/>
    </row>
    <row r="74" spans="1:5">
      <c r="A74" s="1340">
        <v>1999.05</v>
      </c>
      <c r="B74" s="260">
        <v>70458</v>
      </c>
      <c r="C74" s="1222">
        <v>1638032</v>
      </c>
      <c r="D74" s="1147"/>
      <c r="E74" s="1147"/>
    </row>
    <row r="75" spans="1:5">
      <c r="A75" s="1340">
        <v>1999.06</v>
      </c>
      <c r="B75" s="260">
        <v>60314</v>
      </c>
      <c r="C75" s="1222">
        <v>1660095</v>
      </c>
      <c r="D75" s="1147"/>
      <c r="E75" s="1147"/>
    </row>
    <row r="76" spans="1:5">
      <c r="A76" s="1340">
        <v>1999.07</v>
      </c>
      <c r="B76" s="260">
        <v>72755</v>
      </c>
      <c r="C76" s="1222">
        <v>1722734</v>
      </c>
      <c r="D76" s="1147"/>
      <c r="E76" s="1147"/>
    </row>
    <row r="77" spans="1:5">
      <c r="A77" s="1340">
        <v>1999.08</v>
      </c>
      <c r="B77" s="260">
        <v>63340</v>
      </c>
      <c r="C77" s="1222">
        <v>1715936</v>
      </c>
      <c r="D77" s="1147"/>
      <c r="E77" s="1147"/>
    </row>
    <row r="78" spans="1:5">
      <c r="A78" s="1340">
        <v>1999.09</v>
      </c>
      <c r="B78" s="260">
        <v>59703</v>
      </c>
      <c r="C78" s="1222">
        <v>1743672</v>
      </c>
      <c r="D78" s="1147"/>
      <c r="E78" s="1147"/>
    </row>
    <row r="79" spans="1:5">
      <c r="A79" s="1340">
        <v>1999.1</v>
      </c>
      <c r="B79" s="260">
        <v>62265</v>
      </c>
      <c r="C79" s="1222">
        <v>1739610</v>
      </c>
      <c r="D79" s="1147"/>
      <c r="E79" s="1147"/>
    </row>
    <row r="80" spans="1:5">
      <c r="A80" s="1340">
        <v>1999.11</v>
      </c>
      <c r="B80" s="260">
        <v>62115</v>
      </c>
      <c r="C80" s="1222">
        <v>1708376</v>
      </c>
      <c r="D80" s="1147"/>
      <c r="E80" s="1147"/>
    </row>
    <row r="81" spans="1:5">
      <c r="A81" s="1340">
        <v>1999.12</v>
      </c>
      <c r="B81" s="260">
        <v>64503</v>
      </c>
      <c r="C81" s="1222">
        <v>1753302</v>
      </c>
      <c r="D81" s="1147"/>
      <c r="E81" s="1147"/>
    </row>
    <row r="82" spans="1:5">
      <c r="A82" s="1340">
        <v>2000.01</v>
      </c>
      <c r="B82" s="260">
        <v>69888</v>
      </c>
      <c r="C82" s="1222">
        <v>1755562</v>
      </c>
      <c r="D82" s="1147"/>
      <c r="E82" s="1147"/>
    </row>
    <row r="83" spans="1:5">
      <c r="A83" s="1340">
        <v>2000.02</v>
      </c>
      <c r="B83" s="260">
        <v>66743</v>
      </c>
      <c r="C83" s="1222">
        <v>1550481</v>
      </c>
      <c r="D83" s="1147"/>
      <c r="E83" s="1147"/>
    </row>
    <row r="84" spans="1:5">
      <c r="A84" s="1340">
        <v>2000.03</v>
      </c>
      <c r="B84" s="260">
        <v>71062</v>
      </c>
      <c r="C84" s="1222">
        <v>1713715</v>
      </c>
      <c r="D84" s="1147"/>
      <c r="E84" s="1147"/>
    </row>
    <row r="85" spans="1:5">
      <c r="A85" s="1340">
        <v>2000.04</v>
      </c>
      <c r="B85" s="260">
        <v>65530</v>
      </c>
      <c r="C85" s="1222">
        <v>1680348</v>
      </c>
      <c r="D85" s="1147"/>
      <c r="E85" s="1147"/>
    </row>
    <row r="86" spans="1:5">
      <c r="A86" s="1340">
        <v>2000.05</v>
      </c>
      <c r="B86" s="260">
        <v>60721</v>
      </c>
      <c r="C86" s="1222">
        <v>1665493</v>
      </c>
      <c r="D86" s="1147"/>
      <c r="E86" s="1147"/>
    </row>
    <row r="87" spans="1:5">
      <c r="A87" s="1340">
        <v>2000.06</v>
      </c>
      <c r="B87" s="260">
        <v>76385.926000000007</v>
      </c>
      <c r="C87" s="1222">
        <v>1771128.797</v>
      </c>
      <c r="D87" s="1147"/>
      <c r="E87" s="1147"/>
    </row>
    <row r="88" spans="1:5">
      <c r="A88" s="1340">
        <v>2000.07</v>
      </c>
      <c r="B88" s="260">
        <v>76501.849000000002</v>
      </c>
      <c r="C88" s="1222">
        <v>1752142.19</v>
      </c>
      <c r="D88" s="1147"/>
      <c r="E88" s="1147"/>
    </row>
    <row r="89" spans="1:5">
      <c r="A89" s="1340">
        <v>2000.08</v>
      </c>
      <c r="B89" s="260">
        <v>77832.728000000003</v>
      </c>
      <c r="C89" s="1222">
        <v>1798108.9380000001</v>
      </c>
      <c r="D89" s="1147"/>
      <c r="E89" s="1147"/>
    </row>
    <row r="90" spans="1:5">
      <c r="A90" s="1340">
        <v>2000.09</v>
      </c>
      <c r="B90" s="260">
        <v>71112.695000000007</v>
      </c>
      <c r="C90" s="1222">
        <v>1727158.4879999999</v>
      </c>
      <c r="D90" s="1147"/>
      <c r="E90" s="1147"/>
    </row>
    <row r="91" spans="1:5">
      <c r="A91" s="1340">
        <v>2000.1</v>
      </c>
      <c r="B91" s="260">
        <v>68664.298999999999</v>
      </c>
      <c r="C91" s="1222">
        <v>1701493.4350000001</v>
      </c>
      <c r="D91" s="1147"/>
      <c r="E91" s="1147"/>
    </row>
    <row r="92" spans="1:5">
      <c r="A92" s="1340">
        <v>2000.11</v>
      </c>
      <c r="B92" s="260">
        <v>58323.599000000002</v>
      </c>
      <c r="C92" s="1222">
        <v>1641345.807</v>
      </c>
      <c r="D92" s="1147"/>
      <c r="E92" s="1147"/>
    </row>
    <row r="93" spans="1:5">
      <c r="A93" s="1340">
        <v>2000.12</v>
      </c>
      <c r="B93" s="260">
        <v>62061.279000000002</v>
      </c>
      <c r="C93" s="1222">
        <v>1718306.993</v>
      </c>
      <c r="D93" s="1147"/>
      <c r="E93" s="1147"/>
    </row>
    <row r="94" spans="1:5">
      <c r="A94" s="1340">
        <v>2001.01</v>
      </c>
      <c r="B94" s="260">
        <v>70943.884000000005</v>
      </c>
      <c r="C94" s="1222">
        <v>1753266.1629999999</v>
      </c>
      <c r="D94" s="1147"/>
      <c r="E94" s="1147"/>
    </row>
    <row r="95" spans="1:5">
      <c r="A95" s="1340">
        <v>2001.02</v>
      </c>
      <c r="B95" s="260">
        <v>61198.245000000003</v>
      </c>
      <c r="C95" s="1222">
        <v>1491999.4950000001</v>
      </c>
      <c r="D95" s="1147"/>
      <c r="E95" s="1147"/>
    </row>
    <row r="96" spans="1:5">
      <c r="A96" s="1340">
        <v>2001.03</v>
      </c>
      <c r="B96" s="260">
        <v>69510.298999999999</v>
      </c>
      <c r="C96" s="1222">
        <v>1597805.0690000001</v>
      </c>
      <c r="D96" s="1147"/>
      <c r="E96" s="1147"/>
    </row>
    <row r="97" spans="1:5">
      <c r="A97" s="1340">
        <v>2001.04</v>
      </c>
      <c r="B97" s="260">
        <v>58606.982000000004</v>
      </c>
      <c r="C97" s="1222">
        <v>1534756.0949999997</v>
      </c>
      <c r="D97" s="1147"/>
      <c r="E97" s="1147"/>
    </row>
    <row r="98" spans="1:5">
      <c r="A98" s="1340">
        <v>2001.05</v>
      </c>
      <c r="B98" s="260">
        <v>62165.805999999997</v>
      </c>
      <c r="C98" s="1222">
        <v>1569749.4079999998</v>
      </c>
      <c r="D98" s="1147"/>
      <c r="E98" s="1147"/>
    </row>
    <row r="99" spans="1:5">
      <c r="A99" s="1340">
        <v>2001.06</v>
      </c>
      <c r="B99" s="260">
        <v>65290.398000000001</v>
      </c>
      <c r="C99" s="1222">
        <v>1505731.4080000001</v>
      </c>
      <c r="D99" s="1147"/>
      <c r="E99" s="1147"/>
    </row>
    <row r="100" spans="1:5">
      <c r="A100" s="1340">
        <v>2001.07</v>
      </c>
      <c r="B100" s="260">
        <v>56129.709000000003</v>
      </c>
      <c r="C100" s="1222">
        <v>1449151.882</v>
      </c>
      <c r="D100" s="1147"/>
      <c r="E100" s="1147"/>
    </row>
    <row r="101" spans="1:5">
      <c r="A101" s="1340">
        <v>2001.08</v>
      </c>
      <c r="B101" s="260">
        <v>54407.586000000003</v>
      </c>
      <c r="C101" s="1222">
        <v>1460379.5359999998</v>
      </c>
      <c r="D101" s="1147"/>
      <c r="E101" s="1147"/>
    </row>
    <row r="102" spans="1:5">
      <c r="A102" s="1340">
        <v>2001.09</v>
      </c>
      <c r="B102" s="260">
        <v>48067.95</v>
      </c>
      <c r="C102" s="1222">
        <v>1291631.2220000001</v>
      </c>
      <c r="D102" s="1147"/>
      <c r="E102" s="1147"/>
    </row>
    <row r="103" spans="1:5">
      <c r="A103" s="1340">
        <v>2001.1</v>
      </c>
      <c r="B103" s="260">
        <v>50836.838000000003</v>
      </c>
      <c r="C103" s="1222">
        <v>1267669.3740000001</v>
      </c>
      <c r="D103" s="1147"/>
      <c r="E103" s="1147"/>
    </row>
    <row r="104" spans="1:5">
      <c r="A104" s="1340">
        <v>2001.11</v>
      </c>
      <c r="B104" s="260">
        <v>47448.855000000003</v>
      </c>
      <c r="C104" s="1222">
        <v>1230102.1129999999</v>
      </c>
      <c r="D104" s="1147"/>
      <c r="E104" s="1147"/>
    </row>
    <row r="105" spans="1:5">
      <c r="A105" s="1340">
        <v>2001.12</v>
      </c>
      <c r="B105" s="260">
        <v>24154.411</v>
      </c>
      <c r="C105" s="1222">
        <v>971871.87800000003</v>
      </c>
      <c r="D105" s="1147"/>
      <c r="E105" s="1147"/>
    </row>
    <row r="106" spans="1:5">
      <c r="A106" s="1340">
        <v>2002.01</v>
      </c>
      <c r="B106" s="260">
        <v>45317.245999999999</v>
      </c>
      <c r="C106" s="1222">
        <v>1081020.1540000001</v>
      </c>
      <c r="D106" s="1147"/>
      <c r="E106" s="1147"/>
    </row>
    <row r="107" spans="1:5">
      <c r="A107" s="1340">
        <v>2002.02</v>
      </c>
      <c r="B107" s="260">
        <v>57593.883000000002</v>
      </c>
      <c r="C107" s="1222">
        <v>1081019.0830000001</v>
      </c>
      <c r="D107" s="1147"/>
      <c r="E107" s="1147"/>
    </row>
    <row r="108" spans="1:5">
      <c r="A108" s="1340">
        <v>2002.03</v>
      </c>
      <c r="B108" s="260">
        <v>48866.641000000003</v>
      </c>
      <c r="C108" s="1222">
        <v>1074977.7590000001</v>
      </c>
      <c r="D108" s="1147"/>
      <c r="E108" s="1147"/>
    </row>
    <row r="109" spans="1:5">
      <c r="A109" s="1340">
        <v>2002.04</v>
      </c>
      <c r="B109" s="260">
        <v>44121.593000000001</v>
      </c>
      <c r="C109" s="1222">
        <v>1041022.9580000001</v>
      </c>
      <c r="D109" s="1147"/>
      <c r="E109" s="1147"/>
    </row>
    <row r="110" spans="1:5">
      <c r="A110" s="1340">
        <v>2002.05</v>
      </c>
      <c r="B110" s="260">
        <v>83532.581000000006</v>
      </c>
      <c r="C110" s="1222">
        <v>1687373.0449999999</v>
      </c>
      <c r="D110" s="1147"/>
      <c r="E110" s="1147"/>
    </row>
    <row r="111" spans="1:5">
      <c r="A111" s="1340">
        <v>2002.06</v>
      </c>
      <c r="B111" s="260">
        <v>71281.23</v>
      </c>
      <c r="C111" s="1222">
        <v>1587142.689</v>
      </c>
      <c r="D111" s="1147"/>
      <c r="E111" s="1147"/>
    </row>
    <row r="112" spans="1:5">
      <c r="A112" s="1340">
        <v>2002.07</v>
      </c>
      <c r="B112" s="260">
        <v>79546.97</v>
      </c>
      <c r="C112" s="1222">
        <v>1758151.892</v>
      </c>
      <c r="D112" s="1147"/>
      <c r="E112" s="1147"/>
    </row>
    <row r="113" spans="1:5">
      <c r="A113" s="1340">
        <v>2002.08</v>
      </c>
      <c r="B113" s="260">
        <v>71058.316000000006</v>
      </c>
      <c r="C113" s="1222">
        <v>1740259.774</v>
      </c>
      <c r="D113" s="1147"/>
      <c r="E113" s="1147"/>
    </row>
    <row r="114" spans="1:5">
      <c r="A114" s="1340">
        <v>2002.09</v>
      </c>
      <c r="B114" s="260">
        <v>85165.362999999998</v>
      </c>
      <c r="C114" s="1222">
        <v>1754739.33</v>
      </c>
      <c r="D114" s="1147"/>
      <c r="E114" s="1147"/>
    </row>
    <row r="115" spans="1:5">
      <c r="A115" s="1340">
        <v>2002.1</v>
      </c>
      <c r="B115" s="260">
        <v>74005.45</v>
      </c>
      <c r="C115" s="1222">
        <v>1776972.0589999999</v>
      </c>
      <c r="D115" s="1147"/>
      <c r="E115" s="1147"/>
    </row>
    <row r="116" spans="1:5">
      <c r="A116" s="1340">
        <v>2002.11</v>
      </c>
      <c r="B116" s="260">
        <v>75149.376000000004</v>
      </c>
      <c r="C116" s="1222">
        <v>1851190.1159999999</v>
      </c>
      <c r="D116" s="1147"/>
      <c r="E116" s="1147"/>
    </row>
    <row r="117" spans="1:5">
      <c r="A117" s="1340">
        <v>2002.12</v>
      </c>
      <c r="B117" s="260">
        <v>72195.347999999998</v>
      </c>
      <c r="C117" s="1222">
        <v>1718447.365</v>
      </c>
      <c r="D117" s="1147"/>
      <c r="E117" s="1147"/>
    </row>
    <row r="118" spans="1:5">
      <c r="A118" s="1340">
        <v>2003.01</v>
      </c>
      <c r="B118" s="260">
        <v>84996.67</v>
      </c>
      <c r="C118" s="1222">
        <v>1959983.0179999999</v>
      </c>
      <c r="D118" s="1147"/>
      <c r="E118" s="1147"/>
    </row>
    <row r="119" spans="1:5">
      <c r="A119" s="1340">
        <v>2003.02</v>
      </c>
      <c r="B119" s="260">
        <v>72146.081000000006</v>
      </c>
      <c r="C119" s="1222">
        <v>1703525.7990000001</v>
      </c>
      <c r="D119" s="1147"/>
      <c r="E119" s="1147"/>
    </row>
    <row r="120" spans="1:5">
      <c r="A120" s="1340">
        <v>2003.03</v>
      </c>
      <c r="B120" s="260">
        <v>78260.941999999995</v>
      </c>
      <c r="C120" s="1222">
        <v>1798045.9279999998</v>
      </c>
      <c r="D120" s="1147"/>
      <c r="E120" s="1147"/>
    </row>
    <row r="121" spans="1:5">
      <c r="A121" s="1340">
        <v>2003.04</v>
      </c>
      <c r="B121" s="260">
        <v>66033.745999999999</v>
      </c>
      <c r="C121" s="1222">
        <v>1998731.93</v>
      </c>
      <c r="D121" s="1147"/>
      <c r="E121" s="1147"/>
    </row>
    <row r="122" spans="1:5">
      <c r="A122" s="1340">
        <v>2003.05</v>
      </c>
      <c r="B122" s="260">
        <v>74814.323999999993</v>
      </c>
      <c r="C122" s="1222">
        <v>1891354.6459999997</v>
      </c>
      <c r="D122" s="1147"/>
      <c r="E122" s="1147"/>
    </row>
    <row r="123" spans="1:5">
      <c r="A123" s="1340">
        <v>2003.06</v>
      </c>
      <c r="B123" s="260">
        <v>65043.860999999997</v>
      </c>
      <c r="C123" s="1222">
        <v>1983170.9050000003</v>
      </c>
      <c r="D123" s="1147"/>
      <c r="E123" s="1147"/>
    </row>
    <row r="124" spans="1:5">
      <c r="A124" s="1340">
        <v>2003.07</v>
      </c>
      <c r="B124" s="260">
        <v>82447.740000000005</v>
      </c>
      <c r="C124" s="1222">
        <v>2180792.5499999998</v>
      </c>
      <c r="D124" s="1147"/>
      <c r="E124" s="1147"/>
    </row>
    <row r="125" spans="1:5">
      <c r="A125" s="1340">
        <v>2003.08</v>
      </c>
      <c r="B125" s="260">
        <v>88420.088000000003</v>
      </c>
      <c r="C125" s="1222">
        <v>2165557.9579999996</v>
      </c>
      <c r="D125" s="1147"/>
      <c r="E125" s="1147"/>
    </row>
    <row r="126" spans="1:5">
      <c r="A126" s="1340">
        <v>2003.09</v>
      </c>
      <c r="B126" s="260">
        <v>69575.392999999996</v>
      </c>
      <c r="C126" s="1222">
        <v>2400516.9730000002</v>
      </c>
      <c r="D126" s="1147"/>
      <c r="E126" s="1147"/>
    </row>
    <row r="127" spans="1:5">
      <c r="A127" s="1340">
        <v>2003.1</v>
      </c>
      <c r="B127" s="260">
        <v>76432.356</v>
      </c>
      <c r="C127" s="1222">
        <v>2413488.2050000001</v>
      </c>
      <c r="D127" s="1147"/>
      <c r="E127" s="1147"/>
    </row>
    <row r="128" spans="1:5">
      <c r="A128" s="1340">
        <v>2003.11</v>
      </c>
      <c r="B128" s="260">
        <v>81328.652000000002</v>
      </c>
      <c r="C128" s="1222">
        <v>2363176.2939999998</v>
      </c>
      <c r="D128" s="1147"/>
      <c r="E128" s="1147"/>
    </row>
    <row r="129" spans="1:5">
      <c r="A129" s="1340">
        <v>2003.12</v>
      </c>
      <c r="B129" s="260">
        <v>80980.114000000001</v>
      </c>
      <c r="C129" s="1222">
        <v>2429331.73</v>
      </c>
      <c r="D129" s="1147"/>
      <c r="E129" s="1147"/>
    </row>
    <row r="130" spans="1:5">
      <c r="A130" s="1340">
        <v>2004.01</v>
      </c>
      <c r="B130" s="260">
        <v>116174.08</v>
      </c>
      <c r="C130" s="1222">
        <v>2706482.35</v>
      </c>
      <c r="D130" s="1147"/>
      <c r="E130" s="1147"/>
    </row>
    <row r="131" spans="1:5">
      <c r="A131" s="1340">
        <v>2004.02</v>
      </c>
      <c r="B131" s="260">
        <v>95753.668000000005</v>
      </c>
      <c r="C131" s="1222">
        <v>2350249.7179999999</v>
      </c>
      <c r="D131" s="1147"/>
      <c r="E131" s="1147"/>
    </row>
    <row r="132" spans="1:5">
      <c r="A132" s="1340">
        <v>2004.03</v>
      </c>
      <c r="B132" s="260">
        <v>83286.915999999997</v>
      </c>
      <c r="C132" s="1222">
        <v>2488662.7400000002</v>
      </c>
      <c r="D132" s="1147"/>
      <c r="E132" s="1147"/>
    </row>
    <row r="133" spans="1:5">
      <c r="A133" s="1340">
        <v>2004.04</v>
      </c>
      <c r="B133" s="260">
        <v>95793.668999999994</v>
      </c>
      <c r="C133" s="1222">
        <v>2492794.3820000002</v>
      </c>
      <c r="D133" s="1147"/>
      <c r="E133" s="1147"/>
    </row>
    <row r="134" spans="1:5">
      <c r="A134" s="1340">
        <v>2004.05</v>
      </c>
      <c r="B134" s="260">
        <v>103491.36199999999</v>
      </c>
      <c r="C134" s="1222">
        <v>2667247.9010000001</v>
      </c>
      <c r="D134" s="1147"/>
      <c r="E134" s="1147"/>
    </row>
    <row r="135" spans="1:5">
      <c r="A135" s="1340">
        <v>2004.06</v>
      </c>
      <c r="B135" s="260">
        <v>107494.236</v>
      </c>
      <c r="C135" s="1222">
        <v>2994594.1289999997</v>
      </c>
      <c r="D135" s="1147"/>
      <c r="E135" s="1147"/>
    </row>
    <row r="136" spans="1:5">
      <c r="A136" s="1340">
        <v>2004.07</v>
      </c>
      <c r="B136" s="260">
        <v>106827.31</v>
      </c>
      <c r="C136" s="1222">
        <v>2906505.9110000003</v>
      </c>
      <c r="D136" s="1147"/>
      <c r="E136" s="1147"/>
    </row>
    <row r="137" spans="1:5">
      <c r="A137" s="1340">
        <v>2004.08</v>
      </c>
      <c r="B137" s="260">
        <v>100006.193</v>
      </c>
      <c r="C137" s="1222">
        <v>2998925.085</v>
      </c>
      <c r="D137" s="1147"/>
      <c r="E137" s="1147"/>
    </row>
    <row r="138" spans="1:5">
      <c r="A138" s="1340">
        <v>2004.09</v>
      </c>
      <c r="B138" s="260">
        <v>105173.299</v>
      </c>
      <c r="C138" s="1222">
        <v>2910187.7709999997</v>
      </c>
      <c r="D138" s="1147"/>
      <c r="E138" s="1147"/>
    </row>
    <row r="139" spans="1:5">
      <c r="A139" s="1340">
        <v>2004.1</v>
      </c>
      <c r="B139" s="260">
        <v>88176.171000000002</v>
      </c>
      <c r="C139" s="1222">
        <v>2768945.2609999999</v>
      </c>
      <c r="D139" s="1147"/>
      <c r="E139" s="1147"/>
    </row>
    <row r="140" spans="1:5">
      <c r="A140" s="1340">
        <v>2004.11</v>
      </c>
      <c r="B140" s="260">
        <v>91634.456000000006</v>
      </c>
      <c r="C140" s="1222">
        <v>2952060.9019999998</v>
      </c>
      <c r="D140" s="1147"/>
      <c r="E140" s="1147"/>
    </row>
    <row r="141" spans="1:5">
      <c r="A141" s="1340">
        <v>2004.12</v>
      </c>
      <c r="B141" s="260">
        <v>88854.014999999999</v>
      </c>
      <c r="C141" s="1222">
        <v>3010540.1269999999</v>
      </c>
      <c r="D141" s="1147"/>
      <c r="E141" s="1147"/>
    </row>
    <row r="142" spans="1:5">
      <c r="A142" s="1340">
        <v>2005.01</v>
      </c>
      <c r="B142" s="260">
        <v>122565.317</v>
      </c>
      <c r="C142" s="1222">
        <v>3187514.156</v>
      </c>
      <c r="D142" s="1147"/>
      <c r="E142" s="1147"/>
    </row>
    <row r="143" spans="1:5">
      <c r="A143" s="1340">
        <v>2005.02</v>
      </c>
      <c r="B143" s="260">
        <v>89844.645999999993</v>
      </c>
      <c r="C143" s="1222">
        <v>2742460.06</v>
      </c>
      <c r="D143" s="1147"/>
      <c r="E143" s="1147"/>
    </row>
    <row r="144" spans="1:5">
      <c r="A144" s="1340">
        <v>2005.03</v>
      </c>
      <c r="B144" s="260">
        <v>89424.712</v>
      </c>
      <c r="C144" s="1222">
        <v>2927573.0760000004</v>
      </c>
      <c r="D144" s="1147"/>
      <c r="E144" s="1147"/>
    </row>
    <row r="145" spans="1:5">
      <c r="A145" s="1340">
        <v>2005.04</v>
      </c>
      <c r="B145" s="260">
        <v>108043.992</v>
      </c>
      <c r="C145" s="1222">
        <v>3231142.7749999999</v>
      </c>
      <c r="D145" s="1147"/>
      <c r="E145" s="1147"/>
    </row>
    <row r="146" spans="1:5">
      <c r="A146" s="1340">
        <v>2005.05</v>
      </c>
      <c r="B146" s="260">
        <v>121493.329</v>
      </c>
      <c r="C146" s="1222">
        <v>3370670.5480000004</v>
      </c>
      <c r="D146" s="1147"/>
      <c r="E146" s="1147"/>
    </row>
    <row r="147" spans="1:5">
      <c r="A147" s="1340">
        <v>2005.06</v>
      </c>
      <c r="B147" s="260">
        <v>106948.376</v>
      </c>
      <c r="C147" s="1222">
        <v>3300920.102</v>
      </c>
      <c r="D147" s="1147"/>
      <c r="E147" s="1147"/>
    </row>
    <row r="148" spans="1:5">
      <c r="A148" s="1340">
        <v>2005.07</v>
      </c>
      <c r="B148" s="260">
        <v>105927.893</v>
      </c>
      <c r="C148" s="1222">
        <v>3210417.9</v>
      </c>
      <c r="D148" s="1147"/>
      <c r="E148" s="1147"/>
    </row>
    <row r="149" spans="1:5">
      <c r="A149" s="1340">
        <v>2005.08</v>
      </c>
      <c r="B149" s="260">
        <v>118546.113</v>
      </c>
      <c r="C149" s="1222">
        <v>3487163.7340000002</v>
      </c>
      <c r="D149" s="1147"/>
      <c r="E149" s="1147"/>
    </row>
    <row r="150" spans="1:5">
      <c r="A150" s="1340">
        <v>2005.09</v>
      </c>
      <c r="B150" s="260">
        <v>138865.01300000001</v>
      </c>
      <c r="C150" s="1222">
        <v>3602807.2989999996</v>
      </c>
      <c r="D150" s="1147"/>
      <c r="E150" s="1147"/>
    </row>
    <row r="151" spans="1:5">
      <c r="A151" s="1340">
        <v>2005.1</v>
      </c>
      <c r="B151" s="260">
        <v>98074.982000000004</v>
      </c>
      <c r="C151" s="1222">
        <v>3328225.5959999999</v>
      </c>
      <c r="D151" s="1147"/>
      <c r="E151" s="1147"/>
    </row>
    <row r="152" spans="1:5">
      <c r="A152" s="1340">
        <v>2005.11</v>
      </c>
      <c r="B152" s="260">
        <v>108832.814</v>
      </c>
      <c r="C152" s="1222">
        <v>3591547.5049999999</v>
      </c>
      <c r="D152" s="1147"/>
      <c r="E152" s="1147"/>
    </row>
    <row r="153" spans="1:5">
      <c r="A153" s="1340">
        <v>2005.12</v>
      </c>
      <c r="B153" s="260">
        <v>127697.758</v>
      </c>
      <c r="C153" s="1222">
        <v>3674502.7019999996</v>
      </c>
      <c r="D153" s="1147"/>
      <c r="E153" s="1147"/>
    </row>
    <row r="154" spans="1:5">
      <c r="A154" s="1340">
        <v>2006.01</v>
      </c>
      <c r="B154" s="260">
        <v>141392.69899999999</v>
      </c>
      <c r="C154" s="1222">
        <v>3873893.1359999999</v>
      </c>
      <c r="D154" s="1147"/>
      <c r="E154" s="1147"/>
    </row>
    <row r="155" spans="1:5">
      <c r="A155" s="1340">
        <v>2006.02</v>
      </c>
      <c r="B155" s="260">
        <v>138860.902</v>
      </c>
      <c r="C155" s="1222">
        <v>3524882.2759999996</v>
      </c>
      <c r="D155" s="1147"/>
      <c r="E155" s="1147"/>
    </row>
    <row r="156" spans="1:5">
      <c r="A156" s="1340">
        <v>2006.03</v>
      </c>
      <c r="B156" s="260">
        <v>112870.27</v>
      </c>
      <c r="C156" s="1222">
        <v>3802490.0210000002</v>
      </c>
      <c r="D156" s="1147"/>
      <c r="E156" s="1147"/>
    </row>
    <row r="157" spans="1:5">
      <c r="A157" s="1340">
        <v>2006.04</v>
      </c>
      <c r="B157" s="260">
        <v>136261.83199999999</v>
      </c>
      <c r="C157" s="1222">
        <v>3839123.8319999995</v>
      </c>
      <c r="D157" s="1147"/>
      <c r="E157" s="1147"/>
    </row>
    <row r="158" spans="1:5">
      <c r="A158" s="1340">
        <v>2006.05</v>
      </c>
      <c r="B158" s="260">
        <v>131472.45800000001</v>
      </c>
      <c r="C158" s="1222">
        <v>4019026.7479999997</v>
      </c>
      <c r="D158" s="1147"/>
      <c r="E158" s="1147"/>
    </row>
    <row r="159" spans="1:5">
      <c r="A159" s="1340">
        <v>2006.06</v>
      </c>
      <c r="B159" s="260">
        <v>127661.95</v>
      </c>
      <c r="C159" s="1222">
        <v>4044385.84</v>
      </c>
      <c r="D159" s="1147"/>
      <c r="E159" s="1147"/>
    </row>
    <row r="160" spans="1:5">
      <c r="A160" s="1340">
        <v>2006.07</v>
      </c>
      <c r="B160" s="260">
        <v>143069.519</v>
      </c>
      <c r="C160" s="1222">
        <v>4032546.7529999996</v>
      </c>
      <c r="D160" s="1147"/>
      <c r="E160" s="1147"/>
    </row>
    <row r="161" spans="1:5">
      <c r="A161" s="1340">
        <v>2006.08</v>
      </c>
      <c r="B161" s="260">
        <v>145272.64300000001</v>
      </c>
      <c r="C161" s="1222">
        <v>4475838.2539999997</v>
      </c>
      <c r="D161" s="1147"/>
      <c r="E161" s="1147"/>
    </row>
    <row r="162" spans="1:5">
      <c r="A162" s="1340">
        <v>2006.09</v>
      </c>
      <c r="B162" s="260">
        <v>144895.30300000001</v>
      </c>
      <c r="C162" s="1222">
        <v>4451242.05</v>
      </c>
      <c r="D162" s="1147"/>
      <c r="E162" s="1147"/>
    </row>
    <row r="163" spans="1:5">
      <c r="A163" s="1340">
        <v>2006.1</v>
      </c>
      <c r="B163" s="260">
        <v>136087.209</v>
      </c>
      <c r="C163" s="1222">
        <v>4597714.125</v>
      </c>
      <c r="D163" s="1147"/>
      <c r="E163" s="1147"/>
    </row>
    <row r="164" spans="1:5">
      <c r="A164" s="1340">
        <v>2006.11</v>
      </c>
      <c r="B164" s="260">
        <v>160480.69399999999</v>
      </c>
      <c r="C164" s="1222">
        <v>4692320.1689999998</v>
      </c>
      <c r="D164" s="1147"/>
      <c r="E164" s="1147"/>
    </row>
    <row r="165" spans="1:5">
      <c r="A165" s="1340">
        <v>2006.12</v>
      </c>
      <c r="B165" s="260">
        <v>240419.15</v>
      </c>
      <c r="C165" s="1222">
        <v>5014025.5530000003</v>
      </c>
      <c r="D165" s="1147"/>
      <c r="E165" s="1147"/>
    </row>
    <row r="166" spans="1:5">
      <c r="A166" s="1340">
        <v>2007.01</v>
      </c>
      <c r="B166" s="260">
        <v>165747.712</v>
      </c>
      <c r="C166" s="1222">
        <v>5072572.7060000002</v>
      </c>
      <c r="D166" s="1147"/>
      <c r="E166" s="1147"/>
    </row>
    <row r="167" spans="1:5">
      <c r="A167" s="1340">
        <v>2007.02</v>
      </c>
      <c r="B167" s="260">
        <v>163902.527</v>
      </c>
      <c r="C167" s="1222">
        <v>4619096.96</v>
      </c>
      <c r="D167" s="1147"/>
      <c r="E167" s="1147"/>
    </row>
    <row r="168" spans="1:5">
      <c r="A168" s="1340">
        <v>2007.03</v>
      </c>
      <c r="B168" s="260">
        <v>161050.23499999999</v>
      </c>
      <c r="C168" s="1222">
        <v>4905129.1119999997</v>
      </c>
      <c r="D168" s="1147"/>
      <c r="E168" s="1147"/>
    </row>
    <row r="169" spans="1:5">
      <c r="A169" s="1340">
        <v>2007.04</v>
      </c>
      <c r="B169" s="260">
        <v>153167.14499999999</v>
      </c>
      <c r="C169" s="1222">
        <v>4718833.8859999999</v>
      </c>
      <c r="D169" s="1147"/>
      <c r="E169" s="1147"/>
    </row>
    <row r="170" spans="1:5">
      <c r="A170" s="1340">
        <v>2007.05</v>
      </c>
      <c r="B170" s="260">
        <v>186920.93100000001</v>
      </c>
      <c r="C170" s="1222">
        <v>5272135.1140000001</v>
      </c>
      <c r="D170" s="1147"/>
      <c r="E170" s="1147"/>
    </row>
    <row r="171" spans="1:5">
      <c r="A171" s="1340">
        <v>2007.06</v>
      </c>
      <c r="B171" s="260">
        <v>192051.79500000001</v>
      </c>
      <c r="C171" s="1222">
        <v>5335845.8279999997</v>
      </c>
      <c r="D171" s="1147"/>
      <c r="E171" s="1147"/>
    </row>
    <row r="172" spans="1:5">
      <c r="A172" s="1340">
        <v>2007.07</v>
      </c>
      <c r="B172" s="260">
        <v>209335.11499999999</v>
      </c>
      <c r="C172" s="1222">
        <v>5905471.3010000009</v>
      </c>
      <c r="D172" s="1147"/>
      <c r="E172" s="1147"/>
    </row>
    <row r="173" spans="1:5">
      <c r="A173" s="1340">
        <v>2007.08</v>
      </c>
      <c r="B173" s="260">
        <v>209864.361</v>
      </c>
      <c r="C173" s="1222">
        <v>6264907.1239999998</v>
      </c>
      <c r="D173" s="1147"/>
      <c r="E173" s="1147"/>
    </row>
    <row r="174" spans="1:5">
      <c r="A174" s="1340">
        <v>2007.09</v>
      </c>
      <c r="B174" s="260">
        <v>152642.117</v>
      </c>
      <c r="C174" s="1222">
        <v>5403689.7929999996</v>
      </c>
      <c r="D174" s="1147"/>
      <c r="E174" s="1147"/>
    </row>
    <row r="175" spans="1:5">
      <c r="A175" s="1340">
        <v>2007.1</v>
      </c>
      <c r="B175" s="260">
        <v>177383.80100000001</v>
      </c>
      <c r="C175" s="1222">
        <v>6148738.4979999997</v>
      </c>
      <c r="D175" s="1147"/>
      <c r="E175" s="1147"/>
    </row>
    <row r="176" spans="1:5">
      <c r="A176" s="1340">
        <v>2007.11</v>
      </c>
      <c r="B176" s="260">
        <v>212996.571</v>
      </c>
      <c r="C176" s="1222">
        <v>6474203.0209999997</v>
      </c>
      <c r="D176" s="1147"/>
      <c r="E176" s="1147"/>
    </row>
    <row r="177" spans="1:5">
      <c r="A177" s="1340">
        <v>2007.12</v>
      </c>
      <c r="B177" s="260">
        <v>305217.76899999997</v>
      </c>
      <c r="C177" s="1222">
        <v>6538389.4130000006</v>
      </c>
      <c r="D177" s="1147"/>
      <c r="E177" s="1147"/>
    </row>
    <row r="178" spans="1:5">
      <c r="A178" s="1340">
        <f t="shared" ref="A178:A209" si="0">A166+1</f>
        <v>2008.01</v>
      </c>
      <c r="B178" s="260">
        <v>268662.68</v>
      </c>
      <c r="C178" s="1222">
        <v>7078351.102</v>
      </c>
      <c r="D178" s="1147"/>
      <c r="E178" s="1147"/>
    </row>
    <row r="179" spans="1:5">
      <c r="A179" s="1340">
        <f t="shared" si="0"/>
        <v>2008.02</v>
      </c>
      <c r="B179" s="260">
        <v>235309.48</v>
      </c>
      <c r="C179" s="1222">
        <v>6366205.6890000002</v>
      </c>
      <c r="D179" s="1147"/>
      <c r="E179" s="1147"/>
    </row>
    <row r="180" spans="1:5">
      <c r="A180" s="1340">
        <f t="shared" si="0"/>
        <v>2008.03</v>
      </c>
      <c r="B180" s="260">
        <v>255120.334</v>
      </c>
      <c r="C180" s="1222">
        <v>6230795.7139999997</v>
      </c>
      <c r="D180" s="1147"/>
      <c r="E180" s="1147"/>
    </row>
    <row r="181" spans="1:5">
      <c r="A181" s="1340">
        <f t="shared" si="0"/>
        <v>2008.04</v>
      </c>
      <c r="B181" s="260">
        <v>227162.06599999999</v>
      </c>
      <c r="C181" s="1222">
        <v>7056288.9740000004</v>
      </c>
      <c r="D181" s="1147"/>
      <c r="E181" s="1147"/>
    </row>
    <row r="182" spans="1:5">
      <c r="A182" s="1340">
        <f t="shared" si="0"/>
        <v>2008.05</v>
      </c>
      <c r="B182" s="260">
        <v>259374.503</v>
      </c>
      <c r="C182" s="1222">
        <v>7311320.6969999997</v>
      </c>
      <c r="D182" s="1147"/>
      <c r="E182" s="1147"/>
    </row>
    <row r="183" spans="1:5">
      <c r="A183" s="1340">
        <f t="shared" si="0"/>
        <v>2008.06</v>
      </c>
      <c r="B183" s="260">
        <v>264937.09000000003</v>
      </c>
      <c r="C183" s="1222">
        <v>7229561.1809999999</v>
      </c>
      <c r="D183" s="1147"/>
      <c r="E183" s="1147"/>
    </row>
    <row r="184" spans="1:5">
      <c r="A184" s="1340">
        <f t="shared" si="0"/>
        <v>2008.07</v>
      </c>
      <c r="B184" s="260">
        <v>229211.98699999999</v>
      </c>
      <c r="C184" s="1222">
        <v>7437815.2209999999</v>
      </c>
      <c r="D184" s="1147"/>
      <c r="E184" s="1147"/>
    </row>
    <row r="185" spans="1:5">
      <c r="A185" s="1340">
        <f t="shared" si="0"/>
        <v>2008.08</v>
      </c>
      <c r="B185" s="260">
        <v>288439.815</v>
      </c>
      <c r="C185" s="1222">
        <v>7587465.7089999998</v>
      </c>
      <c r="D185" s="1147"/>
      <c r="E185" s="1147"/>
    </row>
    <row r="186" spans="1:5">
      <c r="A186" s="1340">
        <f t="shared" si="0"/>
        <v>2008.09</v>
      </c>
      <c r="B186" s="260">
        <v>271895.55626039952</v>
      </c>
      <c r="C186" s="1222">
        <v>7695943.06996</v>
      </c>
      <c r="D186" s="1147"/>
      <c r="E186" s="1147"/>
    </row>
    <row r="187" spans="1:5">
      <c r="A187" s="1340">
        <f t="shared" si="0"/>
        <v>2008.1</v>
      </c>
      <c r="B187" s="260">
        <v>296266.59208741988</v>
      </c>
      <c r="C187" s="1222">
        <v>7659386.681309999</v>
      </c>
      <c r="D187" s="1147"/>
      <c r="E187" s="1147"/>
    </row>
    <row r="188" spans="1:5">
      <c r="A188" s="1340">
        <f t="shared" si="0"/>
        <v>2008.11</v>
      </c>
      <c r="B188" s="260">
        <v>270966.64164470765</v>
      </c>
      <c r="C188" s="1222">
        <v>7304315.2562800013</v>
      </c>
      <c r="D188" s="1147"/>
      <c r="E188" s="1147"/>
    </row>
    <row r="189" spans="1:5">
      <c r="A189" s="1340">
        <f t="shared" si="0"/>
        <v>2008.12</v>
      </c>
      <c r="B189" s="260">
        <v>285622.49603268894</v>
      </c>
      <c r="C189" s="1222">
        <v>7157560.7691400005</v>
      </c>
      <c r="D189" s="1147"/>
      <c r="E189" s="1147"/>
    </row>
    <row r="190" spans="1:5">
      <c r="A190" s="1340">
        <f t="shared" si="0"/>
        <v>2009.01</v>
      </c>
      <c r="B190" s="260">
        <v>305077.89299999998</v>
      </c>
      <c r="C190" s="1222">
        <v>7256199.3820000002</v>
      </c>
      <c r="D190" s="1147"/>
      <c r="E190" s="1147"/>
    </row>
    <row r="191" spans="1:5">
      <c r="A191" s="1340">
        <f t="shared" si="0"/>
        <v>2009.02</v>
      </c>
      <c r="B191" s="260">
        <v>319765.40399999998</v>
      </c>
      <c r="C191" s="1222">
        <v>6855113.4380000001</v>
      </c>
      <c r="D191" s="1147"/>
      <c r="E191" s="1147"/>
    </row>
    <row r="192" spans="1:5">
      <c r="A192" s="1340">
        <f t="shared" si="0"/>
        <v>2009.03</v>
      </c>
      <c r="B192" s="260">
        <v>294141.06</v>
      </c>
      <c r="C192" s="1222">
        <v>6818073.3849999998</v>
      </c>
      <c r="D192" s="1147"/>
      <c r="E192" s="1147"/>
    </row>
    <row r="193" spans="1:5">
      <c r="A193" s="1340">
        <f t="shared" si="0"/>
        <v>2009.04</v>
      </c>
      <c r="B193" s="260">
        <v>306680.46600000001</v>
      </c>
      <c r="C193" s="1222">
        <v>7038124.0970000001</v>
      </c>
      <c r="D193" s="1147"/>
      <c r="E193" s="1147"/>
    </row>
    <row r="194" spans="1:5">
      <c r="A194" s="1340">
        <f t="shared" si="0"/>
        <v>2009.05</v>
      </c>
      <c r="B194" s="260">
        <v>352403.32799999998</v>
      </c>
      <c r="C194" s="1222">
        <v>7101002.5980000002</v>
      </c>
      <c r="D194" s="1147"/>
      <c r="E194" s="1147"/>
    </row>
    <row r="195" spans="1:5">
      <c r="A195" s="1340">
        <f t="shared" si="0"/>
        <v>2009.06</v>
      </c>
      <c r="B195" s="260">
        <v>366208.14261525025</v>
      </c>
      <c r="C195" s="1222">
        <v>7750127.5775700007</v>
      </c>
      <c r="D195" s="1147"/>
      <c r="E195" s="1147"/>
    </row>
    <row r="196" spans="1:5">
      <c r="A196" s="1340">
        <f t="shared" si="0"/>
        <v>2009.07</v>
      </c>
      <c r="B196" s="260">
        <v>353321.01469838823</v>
      </c>
      <c r="C196" s="1222">
        <v>8145793.8440699996</v>
      </c>
      <c r="D196" s="1147"/>
      <c r="E196" s="1147"/>
    </row>
    <row r="197" spans="1:5">
      <c r="A197" s="1340">
        <f t="shared" si="0"/>
        <v>2009.08</v>
      </c>
      <c r="B197" s="260">
        <v>305720.09827233508</v>
      </c>
      <c r="C197" s="1222">
        <v>7790148.8728200011</v>
      </c>
      <c r="D197" s="1147"/>
      <c r="E197" s="1147"/>
    </row>
    <row r="198" spans="1:5">
      <c r="A198" s="1340">
        <f t="shared" si="0"/>
        <v>2009.09</v>
      </c>
      <c r="B198" s="260">
        <v>328260.15532465768</v>
      </c>
      <c r="C198" s="1222">
        <v>8203535.7506799996</v>
      </c>
      <c r="D198" s="1147"/>
      <c r="E198" s="1147"/>
    </row>
    <row r="199" spans="1:5">
      <c r="A199" s="1340">
        <f t="shared" si="0"/>
        <v>2009.1</v>
      </c>
      <c r="B199" s="260">
        <v>348777.86854087346</v>
      </c>
      <c r="C199" s="1222">
        <v>8033578.0747099994</v>
      </c>
      <c r="D199" s="1147"/>
      <c r="E199" s="1147"/>
    </row>
    <row r="200" spans="1:5">
      <c r="A200" s="1340">
        <f t="shared" si="0"/>
        <v>2009.11</v>
      </c>
      <c r="B200" s="260">
        <v>269288.42029942095</v>
      </c>
      <c r="C200" s="1222">
        <v>7787121.0458000023</v>
      </c>
      <c r="D200" s="1147"/>
      <c r="E200" s="1147"/>
    </row>
    <row r="201" spans="1:5">
      <c r="A201" s="1340">
        <f t="shared" si="0"/>
        <v>2009.12</v>
      </c>
      <c r="B201" s="260">
        <v>320033</v>
      </c>
      <c r="C201" s="1222">
        <v>8337915.409239999</v>
      </c>
      <c r="D201" s="1147"/>
      <c r="E201" s="1147"/>
    </row>
    <row r="202" spans="1:5">
      <c r="A202" s="1340">
        <f t="shared" si="0"/>
        <v>2010.01</v>
      </c>
      <c r="B202" s="260">
        <v>353617.08670340932</v>
      </c>
      <c r="C202" s="1222">
        <v>8672321.4771899991</v>
      </c>
      <c r="D202" s="1147"/>
      <c r="E202" s="1147"/>
    </row>
    <row r="203" spans="1:5">
      <c r="A203" s="1340">
        <f t="shared" si="0"/>
        <v>2010.02</v>
      </c>
      <c r="B203" s="260">
        <v>356407.36543735384</v>
      </c>
      <c r="C203" s="1222">
        <v>8439566.6124500018</v>
      </c>
      <c r="D203" s="1147"/>
      <c r="E203" s="1147"/>
    </row>
    <row r="204" spans="1:5">
      <c r="A204" s="1340">
        <f t="shared" si="0"/>
        <v>2010.03</v>
      </c>
      <c r="B204" s="260">
        <v>304702.47214297287</v>
      </c>
      <c r="C204" s="1222">
        <v>8799260.9700900018</v>
      </c>
      <c r="D204" s="1147"/>
      <c r="E204" s="1147"/>
    </row>
    <row r="205" spans="1:5">
      <c r="A205" s="1340">
        <f t="shared" si="0"/>
        <v>2010.04</v>
      </c>
      <c r="B205" s="260">
        <v>378178.80230368045</v>
      </c>
      <c r="C205" s="1222">
        <v>9102471.6975500006</v>
      </c>
      <c r="D205" s="1147"/>
      <c r="E205" s="1147"/>
    </row>
    <row r="206" spans="1:5">
      <c r="A206" s="1340">
        <f t="shared" si="0"/>
        <v>2010.05</v>
      </c>
      <c r="B206" s="260">
        <v>348029.39651321527</v>
      </c>
      <c r="C206" s="1222">
        <v>9273236.2382199969</v>
      </c>
      <c r="D206" s="1147"/>
      <c r="E206" s="1147"/>
    </row>
    <row r="207" spans="1:5">
      <c r="A207" s="1340">
        <f t="shared" si="0"/>
        <v>2010.06</v>
      </c>
      <c r="B207" s="260">
        <v>398819.19938639342</v>
      </c>
      <c r="C207" s="1222">
        <v>10153015.35231</v>
      </c>
      <c r="D207" s="1147"/>
      <c r="E207" s="1147"/>
    </row>
    <row r="208" spans="1:5">
      <c r="A208" s="1340">
        <f t="shared" si="0"/>
        <v>2010.07</v>
      </c>
      <c r="B208" s="260">
        <v>456325.34790554637</v>
      </c>
      <c r="C208" s="1222">
        <v>10480767.639310002</v>
      </c>
      <c r="D208" s="1147"/>
      <c r="E208" s="1147"/>
    </row>
    <row r="209" spans="1:5">
      <c r="A209" s="1340">
        <f t="shared" si="0"/>
        <v>2010.08</v>
      </c>
      <c r="B209" s="260">
        <v>415599.31247855071</v>
      </c>
      <c r="C209" s="1222">
        <v>10587782.008950001</v>
      </c>
      <c r="D209" s="1147"/>
      <c r="E209" s="1147"/>
    </row>
    <row r="210" spans="1:5">
      <c r="A210" s="1340">
        <f t="shared" ref="A210:A241" si="1">A198+1</f>
        <v>2010.09</v>
      </c>
      <c r="B210" s="260">
        <v>516808.07456059934</v>
      </c>
      <c r="C210" s="1222">
        <v>11023051.713760003</v>
      </c>
      <c r="D210" s="1147"/>
      <c r="E210" s="1147"/>
    </row>
    <row r="211" spans="1:5">
      <c r="A211" s="1340">
        <f t="shared" si="1"/>
        <v>2010.1</v>
      </c>
      <c r="B211" s="260">
        <v>425214.16445190943</v>
      </c>
      <c r="C211" s="1222">
        <v>10523142.935489997</v>
      </c>
      <c r="D211" s="1147"/>
      <c r="E211" s="1147"/>
    </row>
    <row r="212" spans="1:5">
      <c r="A212" s="1340">
        <f t="shared" si="1"/>
        <v>2010.11</v>
      </c>
      <c r="B212" s="260">
        <v>367727.30071905721</v>
      </c>
      <c r="C212" s="1222">
        <v>10984620.120829996</v>
      </c>
      <c r="D212" s="1147"/>
      <c r="E212" s="1147"/>
    </row>
    <row r="213" spans="1:5">
      <c r="A213" s="1340">
        <f t="shared" si="1"/>
        <v>2010.12</v>
      </c>
      <c r="B213" s="260">
        <v>530947.03556530445</v>
      </c>
      <c r="C213" s="1222">
        <v>12011750.396059997</v>
      </c>
      <c r="D213" s="1147"/>
      <c r="E213" s="1147"/>
    </row>
    <row r="214" spans="1:5">
      <c r="A214" s="1340">
        <f t="shared" si="1"/>
        <v>2011.01</v>
      </c>
      <c r="B214" s="260">
        <v>526613.94122865156</v>
      </c>
      <c r="C214" s="1222">
        <v>12337260.542970002</v>
      </c>
      <c r="D214" s="1147"/>
      <c r="E214" s="1147"/>
    </row>
    <row r="215" spans="1:5">
      <c r="A215" s="1340">
        <f t="shared" si="1"/>
        <v>2011.02</v>
      </c>
      <c r="B215" s="260">
        <v>461355.37899474136</v>
      </c>
      <c r="C215" s="1222">
        <v>11041598.515590001</v>
      </c>
      <c r="D215" s="1147"/>
      <c r="E215" s="1147"/>
    </row>
    <row r="216" spans="1:5">
      <c r="A216" s="1340">
        <f t="shared" si="1"/>
        <v>2011.03</v>
      </c>
      <c r="B216" s="260">
        <v>478239.12480864464</v>
      </c>
      <c r="C216" s="1222">
        <v>11938206.668679997</v>
      </c>
      <c r="D216" s="1147"/>
      <c r="E216" s="1147"/>
    </row>
    <row r="217" spans="1:5">
      <c r="A217" s="1340">
        <f t="shared" si="1"/>
        <v>2011.04</v>
      </c>
      <c r="B217" s="260">
        <v>425018.03240006609</v>
      </c>
      <c r="C217" s="1222">
        <v>11858092.23043</v>
      </c>
      <c r="D217" s="1147"/>
      <c r="E217" s="1147"/>
    </row>
    <row r="218" spans="1:5">
      <c r="A218" s="1340">
        <f t="shared" si="1"/>
        <v>2011.05</v>
      </c>
      <c r="B218" s="260">
        <v>637905.35903075931</v>
      </c>
      <c r="C218" s="1222">
        <v>13362289.419970002</v>
      </c>
      <c r="D218" s="1147"/>
      <c r="E218" s="1147"/>
    </row>
    <row r="219" spans="1:5">
      <c r="A219" s="1340">
        <f t="shared" si="1"/>
        <v>2011.06</v>
      </c>
      <c r="B219" s="260">
        <v>511932.10050067253</v>
      </c>
      <c r="C219" s="1222">
        <v>12550735.664889999</v>
      </c>
      <c r="D219" s="1147"/>
      <c r="E219" s="1147"/>
    </row>
    <row r="220" spans="1:5">
      <c r="A220" s="1340">
        <f t="shared" si="1"/>
        <v>2011.07</v>
      </c>
      <c r="B220" s="260">
        <v>665070.2544692267</v>
      </c>
      <c r="C220" s="1222">
        <v>13539158.240899999</v>
      </c>
      <c r="D220" s="1147"/>
      <c r="E220" s="1147"/>
    </row>
    <row r="221" spans="1:5">
      <c r="A221" s="1340">
        <f t="shared" si="1"/>
        <v>2011.08</v>
      </c>
      <c r="B221" s="260">
        <v>476275.03685957484</v>
      </c>
      <c r="C221" s="1222">
        <v>13869314.510959998</v>
      </c>
      <c r="D221" s="1147"/>
      <c r="E221" s="1147"/>
    </row>
    <row r="222" spans="1:5">
      <c r="A222" s="1340">
        <f t="shared" si="1"/>
        <v>2011.09</v>
      </c>
      <c r="B222" s="260">
        <v>688221.04347957333</v>
      </c>
      <c r="C222" s="1222">
        <v>14622532.241959997</v>
      </c>
      <c r="D222" s="1147"/>
      <c r="E222" s="1147"/>
    </row>
    <row r="223" spans="1:5">
      <c r="A223" s="1340">
        <f t="shared" si="1"/>
        <v>2011.1</v>
      </c>
      <c r="B223" s="260">
        <v>579240.07668478834</v>
      </c>
      <c r="C223" s="1222">
        <v>13638505.876140004</v>
      </c>
      <c r="D223" s="1147"/>
      <c r="E223" s="1147"/>
    </row>
    <row r="224" spans="1:5">
      <c r="A224" s="1340">
        <f t="shared" si="1"/>
        <v>2011.11</v>
      </c>
      <c r="B224" s="260">
        <v>627084.93157096498</v>
      </c>
      <c r="C224" s="1222">
        <v>15103992.758399999</v>
      </c>
      <c r="D224" s="1147"/>
      <c r="E224" s="1147"/>
    </row>
    <row r="225" spans="1:5">
      <c r="A225" s="1340">
        <f t="shared" si="1"/>
        <v>2011.12</v>
      </c>
      <c r="B225" s="260">
        <v>563958.7032941496</v>
      </c>
      <c r="C225" s="1222">
        <v>14204179.691590002</v>
      </c>
      <c r="D225" s="1147"/>
      <c r="E225" s="1147"/>
    </row>
    <row r="226" spans="1:5">
      <c r="A226" s="1340">
        <f t="shared" si="1"/>
        <v>2012.01</v>
      </c>
      <c r="B226" s="260">
        <v>712290.52329397132</v>
      </c>
      <c r="C226" s="1222">
        <v>15483217.502960002</v>
      </c>
      <c r="D226" s="1147"/>
      <c r="E226" s="1147"/>
    </row>
    <row r="227" spans="1:5">
      <c r="A227" s="1340">
        <f t="shared" si="1"/>
        <v>2012.02</v>
      </c>
      <c r="B227" s="260">
        <v>652149.38854511536</v>
      </c>
      <c r="C227" s="1222">
        <v>13881134.193549998</v>
      </c>
      <c r="D227" s="1147"/>
      <c r="E227" s="1147"/>
    </row>
    <row r="228" spans="1:5">
      <c r="A228" s="1340">
        <f t="shared" si="1"/>
        <v>2012.03</v>
      </c>
      <c r="B228" s="260">
        <v>608351.6481087649</v>
      </c>
      <c r="C228" s="1222">
        <v>13971798.31405</v>
      </c>
      <c r="D228" s="1147"/>
      <c r="E228" s="1147"/>
    </row>
    <row r="229" spans="1:5">
      <c r="A229" s="1340">
        <f t="shared" si="1"/>
        <v>2012.04</v>
      </c>
      <c r="B229" s="260">
        <v>659931.94307542779</v>
      </c>
      <c r="C229" s="1222">
        <v>14016190.505290002</v>
      </c>
      <c r="D229" s="1147"/>
      <c r="E229" s="1147"/>
    </row>
    <row r="230" spans="1:5">
      <c r="A230" s="1340">
        <f t="shared" si="1"/>
        <v>2012.05</v>
      </c>
      <c r="B230" s="260">
        <v>742955.15124297573</v>
      </c>
      <c r="C230" s="1222">
        <v>15799455.049350008</v>
      </c>
      <c r="D230" s="1147"/>
      <c r="E230" s="1147"/>
    </row>
    <row r="231" spans="1:5">
      <c r="A231" s="1340">
        <f t="shared" si="1"/>
        <v>2012.06</v>
      </c>
      <c r="B231" s="260">
        <v>753664.12423823169</v>
      </c>
      <c r="C231" s="1222">
        <v>15566930.27413</v>
      </c>
      <c r="D231" s="1147"/>
      <c r="E231" s="1147"/>
    </row>
    <row r="232" spans="1:5">
      <c r="A232" s="1340">
        <f t="shared" si="1"/>
        <v>2012.07</v>
      </c>
      <c r="B232" s="260">
        <v>660441.80304936576</v>
      </c>
      <c r="C232" s="1222">
        <v>16050791.315179996</v>
      </c>
      <c r="D232" s="1147"/>
      <c r="E232" s="1147"/>
    </row>
    <row r="233" spans="1:5">
      <c r="A233" s="1340">
        <f t="shared" si="1"/>
        <v>2012.08</v>
      </c>
      <c r="B233" s="260">
        <v>726360.65429370117</v>
      </c>
      <c r="C233" s="1222">
        <v>16913365.376869999</v>
      </c>
      <c r="D233" s="1147"/>
      <c r="E233" s="1147"/>
    </row>
    <row r="234" spans="1:5">
      <c r="A234" s="1340">
        <f t="shared" si="1"/>
        <v>2012.09</v>
      </c>
      <c r="B234" s="260">
        <v>731974.50089665561</v>
      </c>
      <c r="C234" s="1222">
        <v>16796656.162410002</v>
      </c>
      <c r="D234" s="1147"/>
      <c r="E234" s="1147"/>
    </row>
    <row r="235" spans="1:5">
      <c r="A235" s="1340">
        <f t="shared" si="1"/>
        <v>2012.1</v>
      </c>
      <c r="B235" s="260">
        <v>654052.85250227503</v>
      </c>
      <c r="C235" s="1222">
        <v>17558288.979480002</v>
      </c>
      <c r="D235" s="1147"/>
      <c r="E235" s="1147"/>
    </row>
    <row r="236" spans="1:5">
      <c r="A236" s="1340">
        <f t="shared" si="1"/>
        <v>2012.11</v>
      </c>
      <c r="B236" s="260">
        <v>806816.43283936172</v>
      </c>
      <c r="C236" s="1222">
        <v>18351709.746259995</v>
      </c>
      <c r="D236" s="1147"/>
      <c r="E236" s="1147"/>
    </row>
    <row r="237" spans="1:5">
      <c r="A237" s="1340">
        <f t="shared" si="1"/>
        <v>2012.12</v>
      </c>
      <c r="B237" s="260">
        <v>777414.88557838683</v>
      </c>
      <c r="C237" s="1222">
        <v>18677747.933599997</v>
      </c>
      <c r="D237" s="1147"/>
      <c r="E237" s="1147"/>
    </row>
    <row r="238" spans="1:5">
      <c r="A238" s="1340">
        <f t="shared" si="1"/>
        <v>2013.01</v>
      </c>
      <c r="B238" s="260">
        <v>791114.02834099461</v>
      </c>
      <c r="C238" s="1222">
        <v>19170968.226550005</v>
      </c>
      <c r="D238" s="1147"/>
      <c r="E238" s="1147"/>
    </row>
    <row r="239" spans="1:5">
      <c r="A239" s="1340">
        <f t="shared" si="1"/>
        <v>2013.02</v>
      </c>
      <c r="B239" s="260">
        <v>790746.04570014158</v>
      </c>
      <c r="C239" s="1222">
        <v>18591773.801009994</v>
      </c>
      <c r="D239" s="1147"/>
      <c r="E239" s="1147"/>
    </row>
    <row r="240" spans="1:5">
      <c r="A240" s="1340">
        <f t="shared" si="1"/>
        <v>2013.03</v>
      </c>
      <c r="B240" s="260">
        <v>856454.48099339684</v>
      </c>
      <c r="C240" s="1222">
        <v>18620205.241159998</v>
      </c>
      <c r="D240" s="1147"/>
      <c r="E240" s="1147"/>
    </row>
    <row r="241" spans="1:5">
      <c r="A241" s="1340">
        <f t="shared" si="1"/>
        <v>2013.04</v>
      </c>
      <c r="B241" s="260">
        <v>675870.66886715079</v>
      </c>
      <c r="C241" s="1222">
        <v>18881155.513529997</v>
      </c>
      <c r="D241" s="1147"/>
      <c r="E241" s="1147"/>
    </row>
    <row r="242" spans="1:5">
      <c r="A242" s="1340">
        <f t="shared" ref="A242:A305" si="2">A230+1</f>
        <v>2013.05</v>
      </c>
      <c r="B242" s="260">
        <v>923648.56558830512</v>
      </c>
      <c r="C242" s="1222">
        <v>20673850.166280009</v>
      </c>
      <c r="D242" s="1147"/>
      <c r="E242" s="1147"/>
    </row>
    <row r="243" spans="1:5">
      <c r="A243" s="1340">
        <f t="shared" si="2"/>
        <v>2013.06</v>
      </c>
      <c r="B243" s="260">
        <v>879432.43312478799</v>
      </c>
      <c r="C243" s="1222">
        <v>19989981.066889994</v>
      </c>
      <c r="D243" s="1147"/>
      <c r="E243" s="1147"/>
    </row>
    <row r="244" spans="1:5">
      <c r="A244" s="1340">
        <f t="shared" si="2"/>
        <v>2013.07</v>
      </c>
      <c r="B244" s="260">
        <v>986853.26294556947</v>
      </c>
      <c r="C244" s="1222">
        <v>21765773.478030004</v>
      </c>
      <c r="D244" s="1147"/>
      <c r="E244" s="1147"/>
    </row>
    <row r="245" spans="1:5">
      <c r="A245" s="1340">
        <f t="shared" si="2"/>
        <v>2013.08</v>
      </c>
      <c r="B245" s="260">
        <v>984447.22981698101</v>
      </c>
      <c r="C245" s="1222">
        <v>22521219.405159999</v>
      </c>
      <c r="D245" s="1147"/>
      <c r="E245" s="1147"/>
    </row>
    <row r="246" spans="1:5">
      <c r="A246" s="1340">
        <f t="shared" si="2"/>
        <v>2013.09</v>
      </c>
      <c r="B246" s="260">
        <v>1003322.3977201461</v>
      </c>
      <c r="C246" s="1222">
        <v>22307359.346119996</v>
      </c>
      <c r="D246" s="1147"/>
      <c r="E246" s="1147"/>
    </row>
    <row r="247" spans="1:5">
      <c r="A247" s="1340">
        <f t="shared" si="2"/>
        <v>2013.1</v>
      </c>
      <c r="B247" s="260">
        <v>924108.85528680636</v>
      </c>
      <c r="C247" s="1222">
        <v>23178258.397160016</v>
      </c>
      <c r="D247" s="1147"/>
      <c r="E247" s="1147"/>
    </row>
    <row r="248" spans="1:5">
      <c r="A248" s="1340">
        <f t="shared" si="2"/>
        <v>2013.11</v>
      </c>
      <c r="B248" s="260">
        <v>1072668.6449811633</v>
      </c>
      <c r="C248" s="1222">
        <v>23363035.748709988</v>
      </c>
      <c r="D248" s="1147"/>
      <c r="E248" s="1147"/>
    </row>
    <row r="249" spans="1:5">
      <c r="A249" s="1340">
        <f t="shared" si="2"/>
        <v>2013.12</v>
      </c>
      <c r="B249" s="260">
        <v>883651.00703631947</v>
      </c>
      <c r="C249" s="1222">
        <v>22679670.760849997</v>
      </c>
      <c r="D249" s="1147"/>
      <c r="E249" s="1147"/>
    </row>
    <row r="250" spans="1:5">
      <c r="A250" s="1340">
        <f t="shared" si="2"/>
        <v>2014.01</v>
      </c>
      <c r="B250" s="260">
        <v>1183345.22317128</v>
      </c>
      <c r="C250" s="1222">
        <v>27521455.082100023</v>
      </c>
      <c r="D250" s="1147"/>
      <c r="E250" s="1147"/>
    </row>
    <row r="251" spans="1:5">
      <c r="A251" s="1340">
        <f t="shared" si="2"/>
        <v>2014.02</v>
      </c>
      <c r="B251" s="260">
        <v>1084650.1214769101</v>
      </c>
      <c r="C251" s="1222">
        <v>25821979.758289997</v>
      </c>
      <c r="D251" s="1147"/>
      <c r="E251" s="1147"/>
    </row>
    <row r="252" spans="1:5">
      <c r="A252" s="1340">
        <f t="shared" si="2"/>
        <v>2014.03</v>
      </c>
      <c r="B252" s="260">
        <v>1086284.2641266179</v>
      </c>
      <c r="C252" s="1222">
        <v>25535161.399130002</v>
      </c>
      <c r="D252" s="1147"/>
      <c r="E252" s="1147"/>
    </row>
    <row r="253" spans="1:5">
      <c r="A253" s="1340">
        <f t="shared" si="2"/>
        <v>2014.04</v>
      </c>
      <c r="B253" s="260">
        <v>1074961.3031645999</v>
      </c>
      <c r="C253" s="1222">
        <v>27516350.326919992</v>
      </c>
      <c r="D253" s="1147"/>
      <c r="E253" s="1147"/>
    </row>
    <row r="254" spans="1:5">
      <c r="A254" s="1340">
        <f t="shared" si="2"/>
        <v>2014.05</v>
      </c>
      <c r="B254" s="260">
        <v>1131228.7169237065</v>
      </c>
      <c r="C254" s="1222">
        <v>25973889.012629997</v>
      </c>
      <c r="D254" s="1147"/>
      <c r="E254" s="1147"/>
    </row>
    <row r="255" spans="1:5">
      <c r="A255" s="1340">
        <f t="shared" si="2"/>
        <v>2014.06</v>
      </c>
      <c r="B255" s="260">
        <v>1009582.5152862375</v>
      </c>
      <c r="C255" s="1222">
        <v>25544295.391009983</v>
      </c>
      <c r="D255" s="1147"/>
      <c r="E255" s="1147"/>
    </row>
    <row r="256" spans="1:5">
      <c r="A256" s="1340">
        <f t="shared" si="2"/>
        <v>2014.07</v>
      </c>
      <c r="B256" s="260">
        <v>1197475.0261068502</v>
      </c>
      <c r="C256" s="1222">
        <v>28399698.135249998</v>
      </c>
      <c r="D256" s="1147"/>
      <c r="E256" s="1147"/>
    </row>
    <row r="257" spans="1:5">
      <c r="A257" s="1340">
        <f t="shared" si="2"/>
        <v>2014.08</v>
      </c>
      <c r="B257" s="260">
        <v>1235753.1217445692</v>
      </c>
      <c r="C257" s="1222">
        <v>28431303.250450011</v>
      </c>
      <c r="D257" s="1147"/>
      <c r="E257" s="1147"/>
    </row>
    <row r="258" spans="1:5">
      <c r="A258" s="1340">
        <f t="shared" si="2"/>
        <v>2014.09</v>
      </c>
      <c r="B258" s="260">
        <v>1204225</v>
      </c>
      <c r="C258" s="1222">
        <v>29956038</v>
      </c>
      <c r="D258" s="1147"/>
      <c r="E258" s="1147"/>
    </row>
    <row r="259" spans="1:5">
      <c r="A259" s="1340">
        <f t="shared" si="2"/>
        <v>2014.1</v>
      </c>
      <c r="B259" s="260">
        <v>1209378</v>
      </c>
      <c r="C259" s="1222">
        <v>30139781</v>
      </c>
      <c r="D259" s="1147"/>
      <c r="E259" s="1147"/>
    </row>
    <row r="260" spans="1:5">
      <c r="A260" s="1340">
        <f t="shared" si="2"/>
        <v>2014.11</v>
      </c>
      <c r="B260" s="260">
        <v>1155366.3495061579</v>
      </c>
      <c r="C260" s="1222">
        <v>30255623.018920004</v>
      </c>
      <c r="D260" s="1147"/>
      <c r="E260" s="1147"/>
    </row>
    <row r="261" spans="1:5">
      <c r="A261" s="1340">
        <f t="shared" si="2"/>
        <v>2014.12</v>
      </c>
      <c r="B261" s="260">
        <v>1342615</v>
      </c>
      <c r="C261" s="1222">
        <v>31130255</v>
      </c>
      <c r="D261" s="1147"/>
      <c r="E261" s="1147"/>
    </row>
    <row r="262" spans="1:5">
      <c r="A262" s="1340">
        <f t="shared" si="2"/>
        <v>2015.01</v>
      </c>
      <c r="B262" s="260">
        <v>1596712</v>
      </c>
      <c r="C262" s="1222">
        <v>35013637</v>
      </c>
      <c r="D262" s="1147"/>
      <c r="E262" s="1147"/>
    </row>
    <row r="263" spans="1:5">
      <c r="A263" s="1340">
        <f t="shared" si="2"/>
        <v>2015.02</v>
      </c>
      <c r="B263" s="260">
        <v>1410713.9250275875</v>
      </c>
      <c r="C263" s="1222">
        <v>31048172.527569979</v>
      </c>
      <c r="D263" s="1147"/>
      <c r="E263" s="1147"/>
    </row>
    <row r="264" spans="1:5">
      <c r="A264" s="1340">
        <f t="shared" si="2"/>
        <v>2015.03</v>
      </c>
      <c r="B264" s="260">
        <v>1436140.8886259273</v>
      </c>
      <c r="C264" s="1222">
        <v>33909006.200119987</v>
      </c>
      <c r="D264" s="1147"/>
      <c r="E264" s="1147"/>
    </row>
    <row r="265" spans="1:5">
      <c r="A265" s="1340">
        <f t="shared" si="2"/>
        <v>2015.04</v>
      </c>
      <c r="B265" s="260">
        <v>1504868.4941285299</v>
      </c>
      <c r="C265" s="1222">
        <v>33601669.528570011</v>
      </c>
      <c r="D265" s="1147"/>
      <c r="E265" s="1147"/>
    </row>
    <row r="266" spans="1:5">
      <c r="A266" s="1340">
        <f t="shared" si="2"/>
        <v>2015.05</v>
      </c>
      <c r="B266" s="260">
        <v>1385917.3790078857</v>
      </c>
      <c r="C266" s="1222">
        <v>33103205.727949992</v>
      </c>
      <c r="D266" s="1147"/>
      <c r="E266" s="1147"/>
    </row>
    <row r="267" spans="1:5">
      <c r="A267" s="1340">
        <f t="shared" si="2"/>
        <v>2015.06</v>
      </c>
      <c r="B267" s="260">
        <v>1476159.3407018268</v>
      </c>
      <c r="C267" s="1222">
        <v>34554052.08986</v>
      </c>
      <c r="D267" s="1147"/>
      <c r="E267" s="1147"/>
    </row>
    <row r="268" spans="1:5">
      <c r="A268" s="1340">
        <f t="shared" si="2"/>
        <v>2015.07</v>
      </c>
      <c r="B268" s="260">
        <v>1483797.9346590568</v>
      </c>
      <c r="C268" s="1222">
        <v>36418399.595909998</v>
      </c>
      <c r="D268" s="1147"/>
      <c r="E268" s="1147"/>
    </row>
    <row r="269" spans="1:5">
      <c r="A269" s="1340">
        <f t="shared" si="2"/>
        <v>2015.08</v>
      </c>
      <c r="B269" s="260">
        <v>1862938.510850701</v>
      </c>
      <c r="C269" s="1222">
        <v>39546152.747199997</v>
      </c>
      <c r="D269" s="1147"/>
      <c r="E269" s="1147"/>
    </row>
    <row r="270" spans="1:5">
      <c r="A270" s="1340">
        <f t="shared" si="2"/>
        <v>2015.09</v>
      </c>
      <c r="B270" s="260">
        <v>1746233.2801121883</v>
      </c>
      <c r="C270" s="1222">
        <v>38921755.438949987</v>
      </c>
      <c r="D270" s="1147"/>
      <c r="E270" s="1147"/>
    </row>
    <row r="271" spans="1:5">
      <c r="A271" s="1340">
        <f t="shared" si="2"/>
        <v>2015.1</v>
      </c>
      <c r="B271" s="260">
        <v>1794266.8528832393</v>
      </c>
      <c r="C271" s="1222">
        <v>39583541.375179999</v>
      </c>
      <c r="D271" s="1147"/>
      <c r="E271" s="1147"/>
    </row>
    <row r="272" spans="1:5">
      <c r="A272" s="1340">
        <f t="shared" si="2"/>
        <v>2015.11</v>
      </c>
      <c r="B272" s="260">
        <v>1752459.2720913056</v>
      </c>
      <c r="C272" s="1222">
        <v>39497824.544650011</v>
      </c>
      <c r="D272" s="1147"/>
      <c r="E272" s="1147"/>
    </row>
    <row r="273" spans="1:5">
      <c r="A273" s="1340">
        <f t="shared" si="2"/>
        <v>2015.12</v>
      </c>
      <c r="B273" s="260">
        <v>1909608.4780226597</v>
      </c>
      <c r="C273" s="1222">
        <v>43302224.641310006</v>
      </c>
      <c r="D273" s="1147"/>
      <c r="E273" s="1147"/>
    </row>
    <row r="274" spans="1:5">
      <c r="A274" s="1340">
        <f t="shared" si="2"/>
        <v>2016.01</v>
      </c>
      <c r="B274" s="260">
        <v>1952491.5378782726</v>
      </c>
      <c r="C274" s="1222">
        <v>45804223.762259997</v>
      </c>
      <c r="D274" s="1147"/>
      <c r="E274" s="1147"/>
    </row>
    <row r="275" spans="1:5">
      <c r="A275" s="1340">
        <f t="shared" si="2"/>
        <v>2016.02</v>
      </c>
      <c r="B275" s="260">
        <v>1755558.6400742247</v>
      </c>
      <c r="C275" s="1222">
        <v>41706760.194700003</v>
      </c>
      <c r="D275" s="1147"/>
      <c r="E275" s="1147"/>
    </row>
    <row r="276" spans="1:5">
      <c r="A276" s="1340">
        <f t="shared" si="2"/>
        <v>2016.03</v>
      </c>
      <c r="B276" s="260">
        <v>1882216.5295963632</v>
      </c>
      <c r="C276" s="1222">
        <v>45969824.433670007</v>
      </c>
      <c r="D276" s="1147"/>
      <c r="E276" s="1147"/>
    </row>
    <row r="277" spans="1:5">
      <c r="A277" s="1340">
        <f t="shared" si="2"/>
        <v>2016.04</v>
      </c>
      <c r="B277" s="260">
        <v>2088757.4073039235</v>
      </c>
      <c r="C277" s="1222">
        <v>48164144.067330003</v>
      </c>
      <c r="D277" s="1147"/>
      <c r="E277" s="1147"/>
    </row>
    <row r="278" spans="1:5">
      <c r="A278" s="1340">
        <f t="shared" si="2"/>
        <v>2016.05</v>
      </c>
      <c r="B278" s="260">
        <v>1964449.3556033149</v>
      </c>
      <c r="C278" s="1222">
        <v>45947683.453890026</v>
      </c>
      <c r="D278" s="1147"/>
      <c r="E278" s="1147"/>
    </row>
    <row r="279" spans="1:5">
      <c r="A279" s="1340">
        <f t="shared" si="2"/>
        <v>2016.06</v>
      </c>
      <c r="B279" s="260">
        <v>2144603.9642165117</v>
      </c>
      <c r="C279" s="1222">
        <v>48131748.99957002</v>
      </c>
      <c r="D279" s="1147"/>
      <c r="E279" s="1147"/>
    </row>
    <row r="280" spans="1:5">
      <c r="A280" s="1340">
        <f t="shared" si="2"/>
        <v>2016.07</v>
      </c>
      <c r="B280" s="260">
        <v>2245806.3211617717</v>
      </c>
      <c r="C280" s="1222">
        <v>48391607.947460033</v>
      </c>
      <c r="D280" s="1147"/>
      <c r="E280" s="1147"/>
    </row>
    <row r="281" spans="1:5">
      <c r="A281" s="1340">
        <f t="shared" si="2"/>
        <v>2016.08</v>
      </c>
      <c r="B281" s="260">
        <v>2239866.7418558127</v>
      </c>
      <c r="C281" s="1222">
        <v>51185588.771250017</v>
      </c>
      <c r="D281" s="1147"/>
      <c r="E281" s="1147"/>
    </row>
    <row r="282" spans="1:5">
      <c r="A282" s="1340">
        <f t="shared" si="2"/>
        <v>2016.09</v>
      </c>
      <c r="B282" s="260">
        <v>2456597.0854229424</v>
      </c>
      <c r="C282" s="1222">
        <v>54259674.233749993</v>
      </c>
      <c r="D282" s="1147"/>
      <c r="E282" s="1147"/>
    </row>
    <row r="283" spans="1:5">
      <c r="A283" s="1340">
        <f t="shared" si="2"/>
        <v>2016.1</v>
      </c>
      <c r="B283" s="260">
        <v>2250939.0132525489</v>
      </c>
      <c r="C283" s="1222">
        <v>49819415.454100005</v>
      </c>
      <c r="D283" s="1147"/>
      <c r="E283" s="1147"/>
    </row>
    <row r="284" spans="1:5">
      <c r="A284" s="1340">
        <f t="shared" si="2"/>
        <v>2016.11</v>
      </c>
      <c r="B284" s="260">
        <v>2245783.9085090887</v>
      </c>
      <c r="C284" s="1222">
        <v>53034705.938280001</v>
      </c>
      <c r="D284" s="1147"/>
      <c r="E284" s="1147"/>
    </row>
    <row r="285" spans="1:5">
      <c r="A285" s="1340">
        <f t="shared" si="2"/>
        <v>2016.12</v>
      </c>
      <c r="B285" s="260">
        <v>2671712.5695256041</v>
      </c>
      <c r="C285" s="1222">
        <v>56733559.089410007</v>
      </c>
      <c r="D285" s="1147"/>
      <c r="E285" s="1147"/>
    </row>
    <row r="286" spans="1:5">
      <c r="A286" s="1340">
        <f t="shared" si="2"/>
        <v>2017.01</v>
      </c>
      <c r="B286" s="260">
        <v>2840657.346652267</v>
      </c>
      <c r="C286" s="1222">
        <v>60306880.283729978</v>
      </c>
      <c r="D286" s="1147"/>
      <c r="E286" s="1147"/>
    </row>
    <row r="287" spans="1:5">
      <c r="A287" s="1340">
        <f t="shared" si="2"/>
        <v>2017.02</v>
      </c>
      <c r="B287" s="260">
        <v>2541737.4531153012</v>
      </c>
      <c r="C287" s="1222">
        <v>54796923.400220007</v>
      </c>
      <c r="D287" s="1147"/>
      <c r="E287" s="1147"/>
    </row>
    <row r="288" spans="1:5">
      <c r="A288" s="1340">
        <f t="shared" si="2"/>
        <v>2017.03</v>
      </c>
      <c r="B288" s="260">
        <v>2168000.6516107651</v>
      </c>
      <c r="C288" s="1222">
        <v>55805705.655850023</v>
      </c>
      <c r="D288" s="1147"/>
      <c r="E288" s="1147"/>
    </row>
    <row r="289" spans="1:6">
      <c r="A289" s="1340">
        <f t="shared" si="2"/>
        <v>2017.04</v>
      </c>
      <c r="B289" s="260">
        <v>2931818.99564924</v>
      </c>
      <c r="C289" s="1222">
        <v>61099746.823979989</v>
      </c>
      <c r="D289" s="1147"/>
      <c r="E289" s="1147"/>
      <c r="F289" s="201"/>
    </row>
    <row r="290" spans="1:6">
      <c r="A290" s="1340">
        <f t="shared" si="2"/>
        <v>2017.05</v>
      </c>
      <c r="B290" s="260">
        <v>2689033.2095434647</v>
      </c>
      <c r="C290" s="1222">
        <v>61134883.937700003</v>
      </c>
      <c r="D290" s="1147"/>
      <c r="E290" s="1147"/>
      <c r="F290" s="201"/>
    </row>
    <row r="291" spans="1:6">
      <c r="A291" s="1340">
        <f t="shared" si="2"/>
        <v>2017.06</v>
      </c>
      <c r="B291" s="260">
        <v>2803745.3905092222</v>
      </c>
      <c r="C291" s="1222">
        <v>63209041.701160014</v>
      </c>
      <c r="D291" s="1147"/>
      <c r="E291" s="1147"/>
      <c r="F291" s="201"/>
    </row>
    <row r="292" spans="1:6">
      <c r="A292" s="1340">
        <f t="shared" si="2"/>
        <v>2017.07</v>
      </c>
      <c r="B292" s="260">
        <v>2887459.1677492401</v>
      </c>
      <c r="C292" s="1222">
        <v>65569982.520900033</v>
      </c>
      <c r="D292" s="1147"/>
      <c r="E292" s="1147"/>
      <c r="F292" s="201"/>
    </row>
    <row r="293" spans="1:6">
      <c r="A293" s="1340">
        <f t="shared" si="2"/>
        <v>2017.08</v>
      </c>
      <c r="B293" s="260">
        <v>2942408.6725843977</v>
      </c>
      <c r="C293" s="1222">
        <v>71834068.013550013</v>
      </c>
      <c r="D293" s="1147"/>
      <c r="E293" s="1147"/>
      <c r="F293" s="201"/>
    </row>
    <row r="294" spans="1:6">
      <c r="A294" s="1340">
        <f t="shared" si="2"/>
        <v>2017.09</v>
      </c>
      <c r="B294" s="260">
        <v>3058064.9818491065</v>
      </c>
      <c r="C294" s="1222">
        <v>70421049.339450002</v>
      </c>
      <c r="D294" s="1147"/>
      <c r="E294" s="1147"/>
      <c r="F294" s="201"/>
    </row>
    <row r="295" spans="1:6">
      <c r="A295" s="1340">
        <f t="shared" si="2"/>
        <v>2017.1</v>
      </c>
      <c r="B295" s="260">
        <v>2928124.3088689586</v>
      </c>
      <c r="C295" s="1222">
        <v>71361998.186090037</v>
      </c>
      <c r="D295" s="1147"/>
      <c r="E295" s="1147"/>
      <c r="F295" s="201"/>
    </row>
    <row r="296" spans="1:6">
      <c r="A296" s="1340">
        <f t="shared" si="2"/>
        <v>2017.11</v>
      </c>
      <c r="B296" s="260">
        <v>3268769.3051175876</v>
      </c>
      <c r="C296" s="1222">
        <v>76363736.207150042</v>
      </c>
      <c r="D296" s="1147"/>
      <c r="E296" s="1147"/>
      <c r="F296" s="201"/>
    </row>
    <row r="297" spans="1:6">
      <c r="A297" s="1340">
        <f t="shared" si="2"/>
        <v>2017.12</v>
      </c>
      <c r="B297" s="260">
        <v>3445467.4459292684</v>
      </c>
      <c r="C297" s="1222">
        <v>73938270.801269978</v>
      </c>
      <c r="D297" s="1147"/>
      <c r="E297" s="1147"/>
      <c r="F297" s="201"/>
    </row>
    <row r="298" spans="1:6">
      <c r="A298" s="1340">
        <f t="shared" si="2"/>
        <v>2018.01</v>
      </c>
      <c r="B298" s="260">
        <v>3995300.3578029368</v>
      </c>
      <c r="C298" s="1222">
        <v>86722325.981790036</v>
      </c>
      <c r="D298" s="1147"/>
      <c r="E298" s="1147"/>
      <c r="F298" s="1321"/>
    </row>
    <row r="299" spans="1:6">
      <c r="A299" s="1340">
        <f t="shared" si="2"/>
        <v>2018.02</v>
      </c>
      <c r="B299" s="260">
        <v>3712631.5206083064</v>
      </c>
      <c r="C299" s="1222">
        <v>79205215.508919999</v>
      </c>
      <c r="D299" s="1147"/>
      <c r="E299" s="1147"/>
      <c r="F299" s="1321"/>
    </row>
    <row r="300" spans="1:6">
      <c r="A300" s="1340">
        <f t="shared" si="2"/>
        <v>2018.03</v>
      </c>
      <c r="B300" s="260">
        <v>4004638.249864338</v>
      </c>
      <c r="C300" s="1222">
        <v>82164981.008299991</v>
      </c>
      <c r="D300" s="1147"/>
      <c r="E300" s="1147"/>
      <c r="F300" s="1321"/>
    </row>
    <row r="301" spans="1:6">
      <c r="A301" s="1340">
        <f t="shared" si="2"/>
        <v>2018.04</v>
      </c>
      <c r="B301" s="260">
        <v>3536929.1979365246</v>
      </c>
      <c r="C301" s="1222">
        <v>84381470.512839988</v>
      </c>
      <c r="D301" s="1147"/>
      <c r="E301" s="1147"/>
      <c r="F301" s="1321"/>
    </row>
    <row r="302" spans="1:6">
      <c r="A302" s="1340">
        <f t="shared" si="2"/>
        <v>2018.05</v>
      </c>
      <c r="B302" s="260">
        <v>3729041.42853997</v>
      </c>
      <c r="C302" s="1222">
        <v>88674238.896830007</v>
      </c>
      <c r="D302" s="1147"/>
      <c r="E302" s="1147"/>
      <c r="F302" s="1321"/>
    </row>
    <row r="303" spans="1:6">
      <c r="A303" s="1340">
        <f t="shared" si="2"/>
        <v>2018.06</v>
      </c>
      <c r="B303" s="260">
        <v>4127723.928457994</v>
      </c>
      <c r="C303" s="1222">
        <v>93127480.642420009</v>
      </c>
      <c r="D303" s="1147"/>
      <c r="E303" s="1147"/>
      <c r="F303" s="1321"/>
    </row>
    <row r="304" spans="1:6">
      <c r="A304" s="1340">
        <f t="shared" si="2"/>
        <v>2018.07</v>
      </c>
      <c r="B304" s="260">
        <v>3760233.8393195486</v>
      </c>
      <c r="C304" s="1222">
        <v>94304076.495229989</v>
      </c>
      <c r="D304" s="1147"/>
      <c r="E304" s="1147"/>
      <c r="F304" s="1321"/>
    </row>
    <row r="305" spans="1:6">
      <c r="A305" s="1340">
        <f t="shared" si="2"/>
        <v>2018.08</v>
      </c>
      <c r="B305" s="260">
        <v>3783891.2771547055</v>
      </c>
      <c r="C305" s="1222">
        <v>100066100.89686996</v>
      </c>
      <c r="D305" s="1147"/>
      <c r="E305" s="1147"/>
      <c r="F305" s="1321"/>
    </row>
    <row r="306" spans="1:6">
      <c r="A306" s="1340">
        <f t="shared" ref="A306:A369" si="3">A294+1</f>
        <v>2018.09</v>
      </c>
      <c r="B306" s="260">
        <v>3881393.0712391445</v>
      </c>
      <c r="C306" s="1222">
        <v>105070008.35066997</v>
      </c>
      <c r="D306" s="1147"/>
      <c r="E306" s="1147"/>
      <c r="F306" s="1321"/>
    </row>
    <row r="307" spans="1:6">
      <c r="A307" s="1340">
        <f t="shared" si="3"/>
        <v>2018.1</v>
      </c>
      <c r="B307" s="260">
        <v>4242505.6821978567</v>
      </c>
      <c r="C307" s="1222">
        <v>113262412.26611003</v>
      </c>
      <c r="D307" s="1147"/>
      <c r="E307" s="1147"/>
      <c r="F307" s="1321"/>
    </row>
    <row r="308" spans="1:6">
      <c r="A308" s="1340">
        <f t="shared" si="3"/>
        <v>2018.11</v>
      </c>
      <c r="B308" s="260">
        <v>4426409.093512292</v>
      </c>
      <c r="C308" s="1222">
        <v>99292039.965099975</v>
      </c>
      <c r="D308" s="1147"/>
      <c r="E308" s="1147"/>
      <c r="F308" s="201"/>
    </row>
    <row r="309" spans="1:6">
      <c r="A309" s="1340">
        <f t="shared" si="3"/>
        <v>2018.12</v>
      </c>
      <c r="B309" s="260">
        <v>4826470.0430500293</v>
      </c>
      <c r="C309" s="1222">
        <v>101709939.24901995</v>
      </c>
      <c r="D309" s="1147"/>
      <c r="E309" s="1147"/>
      <c r="F309" s="201"/>
    </row>
    <row r="310" spans="1:6">
      <c r="A310" s="1340">
        <f t="shared" si="3"/>
        <v>2019.01</v>
      </c>
      <c r="B310" s="260">
        <v>5697074.7607128695</v>
      </c>
      <c r="C310" s="1222">
        <v>117242433.45116006</v>
      </c>
      <c r="D310" s="1147"/>
      <c r="E310" s="1147"/>
      <c r="F310" s="201"/>
    </row>
    <row r="311" spans="1:6">
      <c r="A311" s="1340">
        <f t="shared" si="3"/>
        <v>2019.02</v>
      </c>
      <c r="B311" s="260">
        <v>5062660.3900669077</v>
      </c>
      <c r="C311" s="1222">
        <v>105831778.59849997</v>
      </c>
      <c r="D311" s="1147"/>
      <c r="E311" s="1147"/>
      <c r="F311" s="201"/>
    </row>
    <row r="312" spans="1:6">
      <c r="A312" s="1340">
        <f t="shared" si="3"/>
        <v>2019.03</v>
      </c>
      <c r="B312" s="260">
        <v>5485310.6206486225</v>
      </c>
      <c r="C312" s="1222">
        <v>108896949.98287997</v>
      </c>
      <c r="D312" s="1147"/>
      <c r="E312" s="1147"/>
      <c r="F312" s="201"/>
    </row>
    <row r="313" spans="1:6">
      <c r="A313" s="1340">
        <f t="shared" si="3"/>
        <v>2019.04</v>
      </c>
      <c r="B313" s="260">
        <v>5992958.5154703232</v>
      </c>
      <c r="C313" s="1222">
        <v>120500063.04147001</v>
      </c>
      <c r="D313" s="1147"/>
      <c r="E313" s="1147"/>
      <c r="F313" s="201"/>
    </row>
    <row r="314" spans="1:6">
      <c r="A314" s="1340">
        <f t="shared" si="3"/>
        <v>2019.05</v>
      </c>
      <c r="B314" s="260">
        <v>5996761.5631110901</v>
      </c>
      <c r="C314" s="1222">
        <v>131473438.82780004</v>
      </c>
      <c r="D314" s="1147"/>
      <c r="E314" s="1147"/>
      <c r="F314" s="201"/>
    </row>
    <row r="315" spans="1:6">
      <c r="A315" s="1340">
        <f t="shared" si="3"/>
        <v>2019.06</v>
      </c>
      <c r="B315" s="260">
        <v>4928337.6428525094</v>
      </c>
      <c r="C315" s="1222">
        <v>129908147.49959004</v>
      </c>
      <c r="D315" s="1147"/>
      <c r="E315" s="1147"/>
      <c r="F315" s="201"/>
    </row>
    <row r="316" spans="1:6">
      <c r="A316" s="1340">
        <f t="shared" si="3"/>
        <v>2019.07</v>
      </c>
      <c r="B316" s="260">
        <v>4726160.1696465025</v>
      </c>
      <c r="C316" s="1222">
        <v>135164455.26111996</v>
      </c>
      <c r="D316" s="1147"/>
      <c r="E316" s="1147"/>
      <c r="F316" s="201"/>
    </row>
    <row r="317" spans="1:6">
      <c r="A317" s="1340">
        <f t="shared" si="3"/>
        <v>2019.08</v>
      </c>
      <c r="B317" s="260">
        <v>4770336.7448024014</v>
      </c>
      <c r="C317" s="1222">
        <v>146244871.50939006</v>
      </c>
      <c r="D317" s="1147"/>
      <c r="E317" s="1147"/>
      <c r="F317" s="201"/>
    </row>
    <row r="318" spans="1:6">
      <c r="A318" s="1340">
        <f t="shared" si="3"/>
        <v>2019.09</v>
      </c>
      <c r="B318" s="260">
        <v>4455664.2280919841</v>
      </c>
      <c r="C318" s="1222">
        <v>142020069.07955003</v>
      </c>
      <c r="D318" s="1147"/>
      <c r="E318" s="1147"/>
      <c r="F318" s="201"/>
    </row>
    <row r="319" spans="1:6">
      <c r="A319" s="1340">
        <f t="shared" si="3"/>
        <v>2019.1</v>
      </c>
      <c r="B319" s="260">
        <v>4571147.46660899</v>
      </c>
      <c r="C319" s="1222">
        <v>150650959.29567009</v>
      </c>
      <c r="D319" s="1147"/>
      <c r="E319" s="1147"/>
      <c r="F319" s="201"/>
    </row>
    <row r="320" spans="1:6">
      <c r="A320" s="1340">
        <f t="shared" si="3"/>
        <v>2019.11</v>
      </c>
      <c r="B320" s="260">
        <v>5317637.2257117853</v>
      </c>
      <c r="C320" s="1222">
        <v>148741877.97114998</v>
      </c>
      <c r="D320" s="1147"/>
      <c r="E320" s="1147"/>
      <c r="F320" s="201"/>
    </row>
    <row r="321" spans="1:5">
      <c r="A321" s="1340">
        <f t="shared" si="3"/>
        <v>2019.12</v>
      </c>
      <c r="B321" s="260">
        <v>4055030.4010797921</v>
      </c>
      <c r="C321" s="1222">
        <v>141621857.84172988</v>
      </c>
      <c r="D321" s="1147"/>
      <c r="E321" s="1147"/>
    </row>
    <row r="322" spans="1:5">
      <c r="A322" s="1340">
        <f t="shared" si="3"/>
        <v>2020.01</v>
      </c>
      <c r="B322" s="260">
        <v>6132817.0810474502</v>
      </c>
      <c r="C322" s="1222">
        <v>172578561.11151001</v>
      </c>
      <c r="D322" s="1147"/>
      <c r="E322" s="1147"/>
    </row>
    <row r="323" spans="1:5">
      <c r="A323" s="1340">
        <f t="shared" si="3"/>
        <v>2020.02</v>
      </c>
      <c r="B323" s="260">
        <v>5000187.236482705</v>
      </c>
      <c r="C323" s="1222">
        <v>146187328.63857007</v>
      </c>
      <c r="D323" s="1147"/>
      <c r="E323" s="1147"/>
    </row>
    <row r="324" spans="1:5">
      <c r="A324" s="1340">
        <f t="shared" si="3"/>
        <v>2020.03</v>
      </c>
      <c r="B324" s="260">
        <v>4451048.5862721344</v>
      </c>
      <c r="C324" s="1222">
        <v>143160775.87969005</v>
      </c>
      <c r="D324" s="1147"/>
      <c r="E324" s="1147"/>
    </row>
    <row r="325" spans="1:5">
      <c r="A325" s="1340">
        <f t="shared" si="3"/>
        <v>2020.04</v>
      </c>
      <c r="B325" s="260">
        <v>4355459.4389209356</v>
      </c>
      <c r="C325" s="1222">
        <v>128527223.7046001</v>
      </c>
      <c r="D325" s="1147"/>
      <c r="E325" s="1147"/>
    </row>
    <row r="326" spans="1:5">
      <c r="A326" s="1340">
        <f t="shared" si="3"/>
        <v>2020.05</v>
      </c>
      <c r="B326" s="260">
        <v>4621673.5050042579</v>
      </c>
      <c r="C326" s="1222">
        <v>134165877.03122</v>
      </c>
      <c r="D326" s="1147"/>
      <c r="E326" s="1147"/>
    </row>
    <row r="327" spans="1:5">
      <c r="A327" s="1340">
        <f t="shared" si="3"/>
        <v>2020.06</v>
      </c>
      <c r="B327" s="260">
        <v>5507823.0351317767</v>
      </c>
      <c r="C327" s="1222">
        <v>143809983.25011</v>
      </c>
      <c r="D327" s="1147"/>
      <c r="E327" s="1147"/>
    </row>
    <row r="328" spans="1:5">
      <c r="A328" s="1340">
        <f t="shared" si="3"/>
        <v>2020.07</v>
      </c>
      <c r="B328" s="260">
        <v>4079872.8565926859</v>
      </c>
      <c r="C328" s="1222">
        <v>147234895.77259997</v>
      </c>
      <c r="D328" s="1147"/>
      <c r="E328" s="1147"/>
    </row>
    <row r="329" spans="1:5">
      <c r="A329" s="1340">
        <f t="shared" si="3"/>
        <v>2020.08</v>
      </c>
      <c r="B329" s="260">
        <v>5500774.3505221484</v>
      </c>
      <c r="C329" s="1222">
        <v>163276708.91206998</v>
      </c>
      <c r="D329" s="1147"/>
      <c r="E329" s="1147"/>
    </row>
    <row r="330" spans="1:5">
      <c r="A330" s="1340">
        <f t="shared" si="3"/>
        <v>2020.09</v>
      </c>
      <c r="B330" s="260">
        <v>5183255.8208788047</v>
      </c>
      <c r="C330" s="1222">
        <v>175809169.13049003</v>
      </c>
      <c r="D330" s="1147"/>
      <c r="E330" s="1147"/>
    </row>
    <row r="331" spans="1:5">
      <c r="A331" s="1340">
        <f t="shared" si="3"/>
        <v>2020.1</v>
      </c>
      <c r="B331" s="260">
        <v>5680773.7497521657</v>
      </c>
      <c r="C331" s="1222">
        <v>191755738.45756003</v>
      </c>
      <c r="D331" s="1147"/>
      <c r="E331" s="1147"/>
    </row>
    <row r="332" spans="1:5">
      <c r="A332" s="1340">
        <f t="shared" si="3"/>
        <v>2020.11</v>
      </c>
      <c r="B332" s="260">
        <v>6032109.9484681729</v>
      </c>
      <c r="C332" s="1222">
        <v>194969680.72033998</v>
      </c>
      <c r="D332" s="1147"/>
      <c r="E332" s="1147"/>
    </row>
    <row r="333" spans="1:5">
      <c r="A333" s="1340">
        <f t="shared" si="3"/>
        <v>2020.12</v>
      </c>
      <c r="B333" s="260">
        <v>5992847.5870268345</v>
      </c>
      <c r="C333" s="1222">
        <v>210084850.81001997</v>
      </c>
      <c r="D333" s="1147"/>
      <c r="E333" s="1147"/>
    </row>
    <row r="334" spans="1:5">
      <c r="A334" s="1340">
        <f t="shared" si="3"/>
        <v>2021.01</v>
      </c>
      <c r="B334" s="260">
        <v>8225192.8263453832</v>
      </c>
      <c r="C334" s="1222">
        <v>240331605.17126992</v>
      </c>
      <c r="D334" s="1147"/>
      <c r="E334" s="1147"/>
    </row>
    <row r="335" spans="1:5">
      <c r="A335" s="1340">
        <f t="shared" si="3"/>
        <v>2021.02</v>
      </c>
      <c r="B335" s="260">
        <v>6673030.3342328677</v>
      </c>
      <c r="C335" s="1222">
        <v>215643376.50199008</v>
      </c>
      <c r="D335" s="1147"/>
      <c r="E335" s="1147"/>
    </row>
    <row r="336" spans="1:5">
      <c r="A336" s="1340">
        <f t="shared" si="3"/>
        <v>2021.03</v>
      </c>
      <c r="B336" s="260">
        <v>7175667.0007483382</v>
      </c>
      <c r="C336" s="1222">
        <v>250590150.44751015</v>
      </c>
      <c r="D336" s="1147"/>
      <c r="E336" s="1147"/>
    </row>
    <row r="337" spans="1:7">
      <c r="A337" s="1340">
        <f t="shared" si="3"/>
        <v>2021.04</v>
      </c>
      <c r="B337" s="260">
        <v>8058468.3506312901</v>
      </c>
      <c r="C337" s="1222">
        <v>252298331.02387002</v>
      </c>
      <c r="D337" s="1147"/>
      <c r="E337" s="1147"/>
      <c r="F337" s="201"/>
      <c r="G337" s="201"/>
    </row>
    <row r="338" spans="1:7">
      <c r="A338" s="1340">
        <f t="shared" si="3"/>
        <v>2021.05</v>
      </c>
      <c r="B338" s="260">
        <v>7525060.9006018005</v>
      </c>
      <c r="C338" s="1222">
        <v>242393841.17235002</v>
      </c>
      <c r="D338" s="1147"/>
      <c r="E338" s="1147"/>
      <c r="F338" s="201"/>
      <c r="G338" s="201"/>
    </row>
    <row r="339" spans="1:7">
      <c r="A339" s="1340">
        <f t="shared" si="3"/>
        <v>2021.06</v>
      </c>
      <c r="B339" s="260">
        <v>7312631.9111868264</v>
      </c>
      <c r="C339" s="1222">
        <v>264725497.82702011</v>
      </c>
      <c r="D339" s="1147"/>
      <c r="E339" s="1147"/>
      <c r="F339" s="201"/>
      <c r="G339" s="201"/>
    </row>
    <row r="340" spans="1:7">
      <c r="A340" s="1340">
        <f t="shared" si="3"/>
        <v>2021.07</v>
      </c>
      <c r="B340" s="260">
        <v>7754570.2380068433</v>
      </c>
      <c r="C340" s="1222">
        <v>273528160.72521007</v>
      </c>
      <c r="D340" s="1147"/>
      <c r="E340" s="1147"/>
      <c r="F340" s="201"/>
      <c r="G340" s="201"/>
    </row>
    <row r="341" spans="1:7">
      <c r="A341" s="1340">
        <f t="shared" si="3"/>
        <v>2021.08</v>
      </c>
      <c r="B341" s="260">
        <v>8512087.4925274104</v>
      </c>
      <c r="C341" s="1222">
        <v>283858709.76090997</v>
      </c>
      <c r="D341" s="1147"/>
      <c r="E341" s="1147"/>
      <c r="F341" s="201"/>
      <c r="G341" s="201"/>
    </row>
    <row r="342" spans="1:7">
      <c r="A342" s="1340">
        <f t="shared" si="3"/>
        <v>2021.09</v>
      </c>
      <c r="B342" s="260">
        <v>9025720.7312490866</v>
      </c>
      <c r="C342" s="1222">
        <v>310774648.87630022</v>
      </c>
      <c r="D342" s="1147"/>
      <c r="E342" s="1147"/>
      <c r="F342" s="201"/>
      <c r="G342" s="201"/>
    </row>
    <row r="343" spans="1:7">
      <c r="A343" s="1340">
        <f t="shared" si="3"/>
        <v>2021.1</v>
      </c>
      <c r="B343" s="260">
        <v>8532998.4819051344</v>
      </c>
      <c r="C343" s="1222">
        <v>295669262.75247014</v>
      </c>
      <c r="D343" s="1147"/>
      <c r="E343" s="1147"/>
      <c r="F343" s="201"/>
      <c r="G343" s="201"/>
    </row>
    <row r="344" spans="1:7">
      <c r="A344" s="1340">
        <f t="shared" si="3"/>
        <v>2021.11</v>
      </c>
      <c r="B344" s="260">
        <v>8481577.3777925987</v>
      </c>
      <c r="C344" s="1222">
        <v>319196210.68517011</v>
      </c>
      <c r="D344" s="1147"/>
      <c r="E344" s="1147"/>
      <c r="F344" s="201"/>
      <c r="G344" s="201"/>
    </row>
    <row r="345" spans="1:7">
      <c r="A345" s="1340">
        <f t="shared" si="3"/>
        <v>2021.12</v>
      </c>
      <c r="B345" s="260">
        <v>9451286.774998121</v>
      </c>
      <c r="C345" s="1222">
        <v>356998415.63072985</v>
      </c>
      <c r="D345" s="1147"/>
      <c r="E345" s="1147"/>
      <c r="F345" s="201"/>
      <c r="G345" s="201"/>
    </row>
    <row r="346" spans="1:7">
      <c r="A346" s="1340">
        <f t="shared" si="3"/>
        <v>2022.01</v>
      </c>
      <c r="B346" s="260">
        <v>11694202.317274114</v>
      </c>
      <c r="C346" s="1222">
        <v>360213571.52697998</v>
      </c>
      <c r="D346" s="1147"/>
      <c r="E346" s="1147"/>
      <c r="F346" s="201"/>
      <c r="G346" s="201"/>
    </row>
    <row r="347" spans="1:7">
      <c r="A347" s="1340">
        <f t="shared" si="3"/>
        <v>2022.02</v>
      </c>
      <c r="B347" s="260">
        <v>10582252.037603714</v>
      </c>
      <c r="C347" s="1222">
        <v>344725231.35604012</v>
      </c>
      <c r="D347" s="1147"/>
      <c r="E347" s="1147"/>
      <c r="F347" s="201"/>
      <c r="G347" s="201"/>
    </row>
    <row r="348" spans="1:7">
      <c r="A348" s="1340">
        <f t="shared" si="3"/>
        <v>2022.03</v>
      </c>
      <c r="B348" s="260">
        <v>11957343.743706303</v>
      </c>
      <c r="C348" s="1222">
        <v>393314164.98055005</v>
      </c>
      <c r="D348" s="1147"/>
      <c r="E348" s="1147"/>
      <c r="F348" s="1983"/>
      <c r="G348" s="1983"/>
    </row>
    <row r="349" spans="1:7">
      <c r="A349" s="1340">
        <f t="shared" si="3"/>
        <v>2022.04</v>
      </c>
      <c r="B349" s="260">
        <v>13990354.818309119</v>
      </c>
      <c r="C349" s="1222">
        <v>430495165.64349997</v>
      </c>
      <c r="D349" s="1147"/>
      <c r="E349" s="1147"/>
      <c r="F349" s="1983"/>
      <c r="G349" s="1983"/>
    </row>
    <row r="350" spans="1:7">
      <c r="A350" s="1340">
        <f t="shared" si="3"/>
        <v>2022.05</v>
      </c>
      <c r="B350" s="260">
        <v>13300523.586166717</v>
      </c>
      <c r="C350" s="1222">
        <v>422164371.60333991</v>
      </c>
      <c r="D350" s="1147"/>
      <c r="E350" s="1147"/>
      <c r="F350" s="1983"/>
      <c r="G350" s="1983"/>
    </row>
    <row r="351" spans="1:7">
      <c r="A351" s="1340">
        <f t="shared" si="3"/>
        <v>2022.06</v>
      </c>
      <c r="B351" s="260">
        <v>15046629.519501658</v>
      </c>
      <c r="C351" s="1222">
        <v>467773316.30771005</v>
      </c>
      <c r="D351" s="1147"/>
      <c r="E351" s="1147"/>
      <c r="F351" s="1983"/>
      <c r="G351" s="1983"/>
    </row>
    <row r="352" spans="1:7">
      <c r="A352" s="1340">
        <f t="shared" si="3"/>
        <v>2022.07</v>
      </c>
      <c r="B352" s="260">
        <v>16444256.898102744</v>
      </c>
      <c r="C352" s="1222">
        <v>498455634.3886199</v>
      </c>
      <c r="D352" s="1147"/>
      <c r="E352" s="1147"/>
      <c r="F352" s="1983"/>
      <c r="G352" s="1983"/>
    </row>
    <row r="353" spans="1:7">
      <c r="A353" s="1340">
        <f t="shared" si="3"/>
        <v>2022.08</v>
      </c>
      <c r="B353" s="260">
        <v>15797290.006663993</v>
      </c>
      <c r="C353" s="1222">
        <v>526606303.34205019</v>
      </c>
      <c r="D353" s="1147"/>
      <c r="E353" s="1147"/>
      <c r="F353" s="1983"/>
      <c r="G353" s="1983"/>
    </row>
    <row r="354" spans="1:7">
      <c r="A354" s="1340">
        <f t="shared" si="3"/>
        <v>2022.09</v>
      </c>
      <c r="B354" s="260">
        <v>17256325.738441672</v>
      </c>
      <c r="C354" s="1222">
        <v>577215806.78640985</v>
      </c>
      <c r="D354" s="1147"/>
      <c r="E354" s="1147"/>
      <c r="F354" s="1983"/>
      <c r="G354" s="1983"/>
    </row>
    <row r="355" spans="1:7">
      <c r="A355" s="1340">
        <f t="shared" si="3"/>
        <v>2022.1</v>
      </c>
      <c r="B355" s="260">
        <v>19682221.186875854</v>
      </c>
      <c r="C355" s="1222">
        <v>611050607.39254022</v>
      </c>
      <c r="D355" s="1147"/>
      <c r="E355" s="1147"/>
      <c r="F355" s="1983"/>
      <c r="G355" s="1983"/>
    </row>
    <row r="356" spans="1:7">
      <c r="A356" s="1340">
        <f t="shared" si="3"/>
        <v>2022.11</v>
      </c>
      <c r="B356" s="260">
        <v>21966469.139622636</v>
      </c>
      <c r="C356" s="1222">
        <v>620189719.52856004</v>
      </c>
      <c r="D356" s="1147"/>
      <c r="E356" s="1147"/>
      <c r="F356" s="1983"/>
      <c r="G356" s="1983"/>
    </row>
    <row r="357" spans="1:7">
      <c r="A357" s="1340">
        <f t="shared" si="3"/>
        <v>2022.12</v>
      </c>
      <c r="B357" s="260">
        <v>25377605.605375387</v>
      </c>
      <c r="C357" s="1222">
        <v>672835712.24432039</v>
      </c>
      <c r="D357" s="1147"/>
      <c r="E357" s="1147"/>
      <c r="F357" s="1983"/>
      <c r="G357" s="1983"/>
    </row>
    <row r="358" spans="1:7">
      <c r="A358" s="1340">
        <f t="shared" si="3"/>
        <v>2023.01</v>
      </c>
      <c r="B358" s="260">
        <v>30608339.534620419</v>
      </c>
      <c r="C358" s="1222">
        <v>749871100.35302997</v>
      </c>
      <c r="D358" s="1147"/>
      <c r="E358" s="1147"/>
      <c r="F358" s="1983"/>
      <c r="G358" s="1983"/>
    </row>
    <row r="359" spans="1:7">
      <c r="A359" s="1340">
        <f t="shared" si="3"/>
        <v>2023.02</v>
      </c>
      <c r="B359" s="260">
        <v>29764458.707368139</v>
      </c>
      <c r="C359" s="1222">
        <v>702567039.34895992</v>
      </c>
      <c r="D359" s="1147"/>
      <c r="E359" s="1147"/>
      <c r="F359" s="1983"/>
      <c r="G359" s="1983"/>
    </row>
    <row r="360" spans="1:7">
      <c r="A360" s="1340">
        <f t="shared" si="3"/>
        <v>2023.03</v>
      </c>
      <c r="B360" s="260">
        <v>34236746.93272128</v>
      </c>
      <c r="C360" s="1222">
        <v>859637475.62596965</v>
      </c>
      <c r="D360" s="1147"/>
      <c r="E360" s="1147"/>
      <c r="F360" s="1983"/>
      <c r="G360" s="1983"/>
    </row>
    <row r="361" spans="1:7">
      <c r="A361" s="1340">
        <f t="shared" si="3"/>
        <v>2023.04</v>
      </c>
      <c r="B361" s="260">
        <v>34310969.142374411</v>
      </c>
      <c r="C361" s="1222">
        <v>939091023.01429999</v>
      </c>
      <c r="D361" s="1147"/>
      <c r="E361" s="1147"/>
      <c r="F361" s="1983"/>
      <c r="G361" s="1983"/>
    </row>
    <row r="362" spans="1:7">
      <c r="A362" s="1340">
        <f t="shared" si="3"/>
        <v>2023.05</v>
      </c>
      <c r="B362" s="260">
        <v>32295860.884981275</v>
      </c>
      <c r="C362" s="1222">
        <v>1034321561.5014801</v>
      </c>
      <c r="D362" s="1147"/>
      <c r="E362" s="1147"/>
      <c r="F362" s="201"/>
      <c r="G362" s="201"/>
    </row>
    <row r="363" spans="1:7">
      <c r="A363" s="1340">
        <f t="shared" si="3"/>
        <v>2023.06</v>
      </c>
      <c r="B363" s="260">
        <v>41554828.0656638</v>
      </c>
      <c r="C363" s="1222">
        <v>1170173566.9061394</v>
      </c>
      <c r="D363" s="201"/>
      <c r="E363" s="1147"/>
      <c r="F363" s="201"/>
      <c r="G363" s="201"/>
    </row>
    <row r="364" spans="1:7">
      <c r="A364" s="1340">
        <f t="shared" si="3"/>
        <v>2023.07</v>
      </c>
      <c r="B364" s="260">
        <v>39172807.256702051</v>
      </c>
      <c r="C364" s="1222">
        <v>1195300976.3478498</v>
      </c>
      <c r="D364" s="201"/>
      <c r="E364" s="1147"/>
      <c r="F364" s="201"/>
      <c r="G364" s="201"/>
    </row>
    <row r="365" spans="1:7">
      <c r="A365" s="1340">
        <f t="shared" si="3"/>
        <v>2023.08</v>
      </c>
      <c r="B365" s="260">
        <v>40404446.8526465</v>
      </c>
      <c r="C365" s="1222">
        <v>1396544966.7014799</v>
      </c>
      <c r="D365" s="201"/>
      <c r="E365" s="1147"/>
      <c r="F365" s="201"/>
      <c r="G365" s="201"/>
    </row>
    <row r="366" spans="1:7">
      <c r="A366" s="1340">
        <f t="shared" si="3"/>
        <v>2023.09</v>
      </c>
      <c r="B366" s="260">
        <v>48622757.9932907</v>
      </c>
      <c r="C366" s="1222">
        <v>1628390418.5153701</v>
      </c>
      <c r="D366" s="201"/>
      <c r="E366" s="1147"/>
      <c r="F366" s="201"/>
      <c r="G366" s="201"/>
    </row>
    <row r="367" spans="1:7">
      <c r="A367" s="1340">
        <f t="shared" si="3"/>
        <v>2023.1</v>
      </c>
      <c r="B367" s="260">
        <v>41205584.553429402</v>
      </c>
      <c r="C367" s="1222">
        <v>1538544212.5231304</v>
      </c>
      <c r="D367" s="201"/>
      <c r="E367" s="1147"/>
      <c r="F367" s="201"/>
      <c r="G367" s="201"/>
    </row>
    <row r="368" spans="1:7">
      <c r="A368" s="1340">
        <f t="shared" si="3"/>
        <v>2023.11</v>
      </c>
      <c r="B368" s="260">
        <v>46251965.790678225</v>
      </c>
      <c r="C368" s="1222">
        <v>1675739934.7130604</v>
      </c>
      <c r="D368" s="201"/>
      <c r="E368" s="1147"/>
      <c r="F368" s="201"/>
      <c r="G368" s="201"/>
    </row>
    <row r="369" spans="1:5">
      <c r="A369" s="1340">
        <f t="shared" si="3"/>
        <v>2023.12</v>
      </c>
      <c r="B369" s="260">
        <v>63724020.919121496</v>
      </c>
      <c r="C369" s="1222">
        <v>2097128037.9071383</v>
      </c>
      <c r="D369" s="201"/>
      <c r="E369" s="1147"/>
    </row>
    <row r="370" spans="1:5">
      <c r="A370" s="1340">
        <f t="shared" ref="A370:A433" si="4">A358+1</f>
        <v>2024.01</v>
      </c>
      <c r="B370" s="260">
        <v>74679578.483714566</v>
      </c>
      <c r="C370" s="1222">
        <v>2875797258.0764503</v>
      </c>
      <c r="D370" s="201"/>
      <c r="E370" s="201"/>
    </row>
    <row r="371" spans="1:5">
      <c r="A371" s="1340">
        <f t="shared" si="4"/>
        <v>2024.02</v>
      </c>
      <c r="B371" s="260">
        <v>88518578.543651849</v>
      </c>
      <c r="C371" s="1222">
        <v>2693177702.3151379</v>
      </c>
      <c r="D371" s="201"/>
      <c r="E371" s="201"/>
    </row>
    <row r="372" spans="1:5">
      <c r="A372" s="1340">
        <f t="shared" si="4"/>
        <v>2024.03</v>
      </c>
      <c r="B372" s="260">
        <v>82536931.66475004</v>
      </c>
      <c r="C372" s="1222">
        <v>2834322110.6570697</v>
      </c>
      <c r="D372" s="201"/>
      <c r="E372" s="201"/>
    </row>
    <row r="373" spans="1:5">
      <c r="A373" s="1340">
        <f t="shared" si="4"/>
        <v>2024.04</v>
      </c>
      <c r="B373" s="260">
        <v>106800997.15505858</v>
      </c>
      <c r="C373" s="1222">
        <v>3326468826.6649208</v>
      </c>
      <c r="D373" s="201"/>
      <c r="E373" s="201"/>
    </row>
    <row r="374" spans="1:5">
      <c r="A374" s="1340">
        <f t="shared" si="4"/>
        <v>2024.05</v>
      </c>
      <c r="B374" s="260">
        <v>92130061.150262341</v>
      </c>
      <c r="C374" s="1222">
        <v>3187295537.2332001</v>
      </c>
      <c r="D374" s="201"/>
      <c r="E374" s="201"/>
    </row>
    <row r="375" spans="1:5">
      <c r="A375" s="1340">
        <f t="shared" si="4"/>
        <v>2024.06</v>
      </c>
      <c r="B375" s="260">
        <v>126893075.96314034</v>
      </c>
      <c r="C375" s="1222">
        <v>3411161925.9518795</v>
      </c>
      <c r="D375" s="201"/>
      <c r="E375" s="201"/>
    </row>
    <row r="376" spans="1:5">
      <c r="A376" s="1340">
        <f t="shared" si="4"/>
        <v>2024.07</v>
      </c>
      <c r="B376" s="260">
        <v>119863025.53140177</v>
      </c>
      <c r="C376" s="1222">
        <v>3776331870.7703185</v>
      </c>
      <c r="D376" s="201"/>
      <c r="E376" s="201"/>
    </row>
    <row r="377" spans="1:5">
      <c r="A377" s="1340">
        <f t="shared" si="4"/>
        <v>2024.08</v>
      </c>
      <c r="B377" s="260">
        <v>134373983.12512872</v>
      </c>
      <c r="C377" s="1222">
        <v>3955618909.0964088</v>
      </c>
      <c r="D377" s="201"/>
      <c r="E377" s="201"/>
    </row>
    <row r="378" spans="1:5">
      <c r="A378" s="1340">
        <f t="shared" si="4"/>
        <v>2024.09</v>
      </c>
      <c r="B378" s="260">
        <v>133402465.02125141</v>
      </c>
      <c r="C378" s="1222">
        <v>4209790606.1973586</v>
      </c>
      <c r="D378" s="201"/>
      <c r="E378" s="201"/>
    </row>
    <row r="379" spans="1:5">
      <c r="A379" s="1340">
        <f t="shared" si="4"/>
        <v>2024.1</v>
      </c>
      <c r="B379" s="260">
        <v>129085325.25392111</v>
      </c>
      <c r="C379" s="1222">
        <v>4458271893.8083611</v>
      </c>
      <c r="D379" s="201"/>
      <c r="E379" s="201"/>
    </row>
    <row r="380" spans="1:5">
      <c r="A380" s="1340">
        <f t="shared" si="4"/>
        <v>2024.11</v>
      </c>
      <c r="B380" s="260">
        <v>138911482.66976461</v>
      </c>
      <c r="C380" s="1222">
        <v>4333832656.7598486</v>
      </c>
      <c r="D380" s="201"/>
      <c r="E380" s="201"/>
    </row>
    <row r="381" spans="1:5">
      <c r="A381" s="1340">
        <f t="shared" si="4"/>
        <v>2024.12</v>
      </c>
      <c r="B381" s="260">
        <v>145963783.90570083</v>
      </c>
      <c r="C381" s="1222">
        <v>4586623186.1312227</v>
      </c>
      <c r="D381" s="201"/>
      <c r="E381" s="201"/>
    </row>
    <row r="382" spans="1:5">
      <c r="A382" s="1340">
        <f t="shared" si="4"/>
        <v>2025.01</v>
      </c>
      <c r="B382" s="260">
        <v>182347181.80314422</v>
      </c>
      <c r="C382" s="1222">
        <v>5406719165.9588003</v>
      </c>
      <c r="D382" s="201"/>
      <c r="E382" s="201"/>
    </row>
    <row r="383" spans="1:5">
      <c r="A383" s="1340">
        <f t="shared" si="4"/>
        <v>2025.02</v>
      </c>
      <c r="B383" s="260">
        <v>141139041.87011495</v>
      </c>
      <c r="C383" s="1222">
        <v>4805088234.0298605</v>
      </c>
      <c r="D383" s="201"/>
      <c r="E383" s="201"/>
    </row>
    <row r="384" spans="1:5">
      <c r="A384" s="1340">
        <f t="shared" si="4"/>
        <v>2025.03</v>
      </c>
      <c r="B384" s="260">
        <v>148808056.91976786</v>
      </c>
      <c r="C384" s="1222">
        <v>4429980508.5285788</v>
      </c>
      <c r="D384" s="201"/>
      <c r="E384" s="201"/>
    </row>
    <row r="385" spans="1:3">
      <c r="A385" s="1340">
        <f t="shared" si="4"/>
        <v>2025.04</v>
      </c>
      <c r="B385" s="260">
        <v>153397906.04215711</v>
      </c>
      <c r="C385" s="1222">
        <v>4774092505.1223507</v>
      </c>
    </row>
    <row r="386" spans="1:3">
      <c r="A386" s="1340">
        <f t="shared" si="4"/>
        <v>2025.05</v>
      </c>
      <c r="B386" s="260" t="e">
        <v>#N/A</v>
      </c>
      <c r="C386" s="1222" t="e">
        <v>#N/A</v>
      </c>
    </row>
    <row r="387" spans="1:3">
      <c r="A387" s="1340">
        <f t="shared" si="4"/>
        <v>2025.06</v>
      </c>
      <c r="B387" s="260" t="e">
        <v>#N/A</v>
      </c>
      <c r="C387" s="1222" t="e">
        <v>#N/A</v>
      </c>
    </row>
    <row r="388" spans="1:3">
      <c r="A388" s="1340">
        <f t="shared" si="4"/>
        <v>2025.07</v>
      </c>
      <c r="B388" s="260" t="e">
        <v>#N/A</v>
      </c>
      <c r="C388" s="1222" t="e">
        <v>#N/A</v>
      </c>
    </row>
    <row r="389" spans="1:3">
      <c r="A389" s="1340">
        <f t="shared" si="4"/>
        <v>2025.08</v>
      </c>
      <c r="B389" s="260" t="e">
        <v>#N/A</v>
      </c>
      <c r="C389" s="1222" t="e">
        <v>#N/A</v>
      </c>
    </row>
    <row r="390" spans="1:3">
      <c r="A390" s="1340">
        <f t="shared" si="4"/>
        <v>2025.09</v>
      </c>
      <c r="B390" s="260" t="e">
        <v>#N/A</v>
      </c>
      <c r="C390" s="1222" t="e">
        <v>#N/A</v>
      </c>
    </row>
    <row r="391" spans="1:3">
      <c r="A391" s="1340">
        <f t="shared" si="4"/>
        <v>2025.1</v>
      </c>
      <c r="B391" s="260" t="e">
        <v>#N/A</v>
      </c>
      <c r="C391" s="1222" t="e">
        <v>#N/A</v>
      </c>
    </row>
    <row r="392" spans="1:3">
      <c r="A392" s="1340">
        <f t="shared" si="4"/>
        <v>2025.11</v>
      </c>
      <c r="B392" s="260" t="e">
        <v>#N/A</v>
      </c>
      <c r="C392" s="1222" t="e">
        <v>#N/A</v>
      </c>
    </row>
    <row r="393" spans="1:3">
      <c r="A393" s="1340">
        <f t="shared" si="4"/>
        <v>2025.12</v>
      </c>
      <c r="B393" s="260" t="e">
        <v>#N/A</v>
      </c>
      <c r="C393" s="1222" t="e">
        <v>#N/A</v>
      </c>
    </row>
    <row r="394" spans="1:3">
      <c r="A394" s="1340">
        <f t="shared" si="4"/>
        <v>2026.01</v>
      </c>
      <c r="B394" s="260" t="e">
        <v>#N/A</v>
      </c>
      <c r="C394" s="1222" t="e">
        <v>#N/A</v>
      </c>
    </row>
    <row r="395" spans="1:3">
      <c r="A395" s="1340">
        <f t="shared" si="4"/>
        <v>2026.02</v>
      </c>
      <c r="B395" s="260" t="e">
        <v>#N/A</v>
      </c>
      <c r="C395" s="1222" t="e">
        <v>#N/A</v>
      </c>
    </row>
    <row r="396" spans="1:3">
      <c r="A396" s="1340">
        <f t="shared" si="4"/>
        <v>2026.03</v>
      </c>
      <c r="B396" s="260" t="e">
        <v>#N/A</v>
      </c>
      <c r="C396" s="1222" t="e">
        <v>#N/A</v>
      </c>
    </row>
    <row r="397" spans="1:3">
      <c r="A397" s="1340">
        <f t="shared" si="4"/>
        <v>2026.04</v>
      </c>
      <c r="B397" s="260" t="e">
        <v>#N/A</v>
      </c>
      <c r="C397" s="1222" t="e">
        <v>#N/A</v>
      </c>
    </row>
    <row r="398" spans="1:3">
      <c r="A398" s="1340">
        <f t="shared" si="4"/>
        <v>2026.05</v>
      </c>
      <c r="B398" s="260" t="e">
        <v>#N/A</v>
      </c>
      <c r="C398" s="1222" t="e">
        <v>#N/A</v>
      </c>
    </row>
    <row r="399" spans="1:3">
      <c r="A399" s="1340">
        <f t="shared" si="4"/>
        <v>2026.06</v>
      </c>
      <c r="B399" s="260" t="e">
        <v>#N/A</v>
      </c>
      <c r="C399" s="1222" t="e">
        <v>#N/A</v>
      </c>
    </row>
    <row r="400" spans="1:3">
      <c r="A400" s="1340">
        <f t="shared" si="4"/>
        <v>2026.07</v>
      </c>
      <c r="B400" s="260" t="e">
        <v>#N/A</v>
      </c>
      <c r="C400" s="1222" t="e">
        <v>#N/A</v>
      </c>
    </row>
    <row r="401" spans="1:3">
      <c r="A401" s="1340">
        <f t="shared" si="4"/>
        <v>2026.08</v>
      </c>
      <c r="B401" s="260" t="e">
        <v>#N/A</v>
      </c>
      <c r="C401" s="1222" t="e">
        <v>#N/A</v>
      </c>
    </row>
    <row r="402" spans="1:3">
      <c r="A402" s="1340">
        <f t="shared" si="4"/>
        <v>2026.09</v>
      </c>
      <c r="B402" s="260" t="e">
        <v>#N/A</v>
      </c>
      <c r="C402" s="1222" t="e">
        <v>#N/A</v>
      </c>
    </row>
    <row r="403" spans="1:3">
      <c r="A403" s="1340">
        <f t="shared" si="4"/>
        <v>2026.1</v>
      </c>
      <c r="B403" s="260" t="e">
        <v>#N/A</v>
      </c>
      <c r="C403" s="1222" t="e">
        <v>#N/A</v>
      </c>
    </row>
    <row r="404" spans="1:3">
      <c r="A404" s="1340">
        <f t="shared" si="4"/>
        <v>2026.11</v>
      </c>
      <c r="B404" s="260" t="e">
        <v>#N/A</v>
      </c>
      <c r="C404" s="1222" t="e">
        <v>#N/A</v>
      </c>
    </row>
    <row r="405" spans="1:3">
      <c r="A405" s="1340">
        <f t="shared" si="4"/>
        <v>2026.12</v>
      </c>
      <c r="B405" s="260" t="e">
        <v>#N/A</v>
      </c>
      <c r="C405" s="1222" t="e">
        <v>#N/A</v>
      </c>
    </row>
    <row r="406" spans="1:3">
      <c r="A406" s="1340">
        <f t="shared" si="4"/>
        <v>2027.01</v>
      </c>
      <c r="B406" s="260" t="e">
        <v>#N/A</v>
      </c>
      <c r="C406" s="1222" t="e">
        <v>#N/A</v>
      </c>
    </row>
    <row r="407" spans="1:3">
      <c r="A407" s="1340">
        <f t="shared" si="4"/>
        <v>2027.02</v>
      </c>
      <c r="B407" s="260" t="e">
        <v>#N/A</v>
      </c>
      <c r="C407" s="1222" t="e">
        <v>#N/A</v>
      </c>
    </row>
    <row r="408" spans="1:3">
      <c r="A408" s="1340">
        <f t="shared" si="4"/>
        <v>2027.03</v>
      </c>
      <c r="B408" s="260" t="e">
        <v>#N/A</v>
      </c>
      <c r="C408" s="1222" t="e">
        <v>#N/A</v>
      </c>
    </row>
    <row r="409" spans="1:3">
      <c r="A409" s="1340">
        <f t="shared" si="4"/>
        <v>2027.04</v>
      </c>
      <c r="B409" s="260" t="e">
        <v>#N/A</v>
      </c>
      <c r="C409" s="1222" t="e">
        <v>#N/A</v>
      </c>
    </row>
    <row r="410" spans="1:3">
      <c r="A410" s="1340">
        <f t="shared" si="4"/>
        <v>2027.05</v>
      </c>
      <c r="B410" s="260" t="e">
        <v>#N/A</v>
      </c>
      <c r="C410" s="1222" t="e">
        <v>#N/A</v>
      </c>
    </row>
    <row r="411" spans="1:3">
      <c r="A411" s="1340">
        <f t="shared" si="4"/>
        <v>2027.06</v>
      </c>
      <c r="B411" s="260" t="e">
        <v>#N/A</v>
      </c>
      <c r="C411" s="1222" t="e">
        <v>#N/A</v>
      </c>
    </row>
    <row r="412" spans="1:3">
      <c r="A412" s="1340">
        <f t="shared" si="4"/>
        <v>2027.07</v>
      </c>
      <c r="B412" s="260" t="e">
        <v>#N/A</v>
      </c>
      <c r="C412" s="1222" t="e">
        <v>#N/A</v>
      </c>
    </row>
    <row r="413" spans="1:3">
      <c r="A413" s="1340">
        <f t="shared" si="4"/>
        <v>2027.08</v>
      </c>
      <c r="B413" s="260" t="e">
        <v>#N/A</v>
      </c>
      <c r="C413" s="1222" t="e">
        <v>#N/A</v>
      </c>
    </row>
    <row r="414" spans="1:3">
      <c r="A414" s="1340">
        <f t="shared" si="4"/>
        <v>2027.09</v>
      </c>
      <c r="B414" s="260" t="e">
        <v>#N/A</v>
      </c>
      <c r="C414" s="1222" t="e">
        <v>#N/A</v>
      </c>
    </row>
    <row r="415" spans="1:3">
      <c r="A415" s="1340">
        <f t="shared" si="4"/>
        <v>2027.1</v>
      </c>
      <c r="B415" s="260" t="e">
        <v>#N/A</v>
      </c>
      <c r="C415" s="1222" t="e">
        <v>#N/A</v>
      </c>
    </row>
    <row r="416" spans="1:3">
      <c r="A416" s="1340">
        <f t="shared" si="4"/>
        <v>2027.11</v>
      </c>
      <c r="B416" s="260" t="e">
        <v>#N/A</v>
      </c>
      <c r="C416" s="1222" t="e">
        <v>#N/A</v>
      </c>
    </row>
    <row r="417" spans="1:3">
      <c r="A417" s="1340">
        <f t="shared" si="4"/>
        <v>2027.12</v>
      </c>
      <c r="B417" s="260" t="e">
        <v>#N/A</v>
      </c>
      <c r="C417" s="1222" t="e">
        <v>#N/A</v>
      </c>
    </row>
    <row r="418" spans="1:3">
      <c r="A418" s="1340">
        <f t="shared" si="4"/>
        <v>2028.01</v>
      </c>
      <c r="B418" s="260" t="e">
        <v>#N/A</v>
      </c>
      <c r="C418" s="1222" t="e">
        <v>#N/A</v>
      </c>
    </row>
    <row r="419" spans="1:3">
      <c r="A419" s="1340">
        <f t="shared" si="4"/>
        <v>2028.02</v>
      </c>
      <c r="B419" s="260" t="e">
        <v>#N/A</v>
      </c>
      <c r="C419" s="1222" t="e">
        <v>#N/A</v>
      </c>
    </row>
    <row r="420" spans="1:3">
      <c r="A420" s="1340">
        <f t="shared" si="4"/>
        <v>2028.03</v>
      </c>
      <c r="B420" s="260" t="e">
        <v>#N/A</v>
      </c>
      <c r="C420" s="1222" t="e">
        <v>#N/A</v>
      </c>
    </row>
    <row r="421" spans="1:3">
      <c r="A421" s="1340">
        <f t="shared" si="4"/>
        <v>2028.04</v>
      </c>
      <c r="B421" s="260" t="e">
        <v>#N/A</v>
      </c>
      <c r="C421" s="1222" t="e">
        <v>#N/A</v>
      </c>
    </row>
    <row r="422" spans="1:3">
      <c r="A422" s="1340">
        <f t="shared" si="4"/>
        <v>2028.05</v>
      </c>
      <c r="B422" s="260" t="e">
        <v>#N/A</v>
      </c>
      <c r="C422" s="1222" t="e">
        <v>#N/A</v>
      </c>
    </row>
    <row r="423" spans="1:3">
      <c r="A423" s="1340">
        <f t="shared" si="4"/>
        <v>2028.06</v>
      </c>
      <c r="B423" s="260" t="e">
        <v>#N/A</v>
      </c>
      <c r="C423" s="1222" t="e">
        <v>#N/A</v>
      </c>
    </row>
    <row r="424" spans="1:3">
      <c r="A424" s="1340">
        <f t="shared" si="4"/>
        <v>2028.07</v>
      </c>
      <c r="B424" s="260" t="e">
        <v>#N/A</v>
      </c>
      <c r="C424" s="1222" t="e">
        <v>#N/A</v>
      </c>
    </row>
    <row r="425" spans="1:3">
      <c r="A425" s="1340">
        <f t="shared" si="4"/>
        <v>2028.08</v>
      </c>
      <c r="B425" s="260" t="e">
        <v>#N/A</v>
      </c>
      <c r="C425" s="1222" t="e">
        <v>#N/A</v>
      </c>
    </row>
    <row r="426" spans="1:3">
      <c r="A426" s="1340">
        <f t="shared" si="4"/>
        <v>2028.09</v>
      </c>
      <c r="B426" s="260" t="e">
        <v>#N/A</v>
      </c>
      <c r="C426" s="1222" t="e">
        <v>#N/A</v>
      </c>
    </row>
    <row r="427" spans="1:3">
      <c r="A427" s="1340">
        <f t="shared" si="4"/>
        <v>2028.1</v>
      </c>
      <c r="B427" s="260" t="e">
        <v>#N/A</v>
      </c>
      <c r="C427" s="1222" t="e">
        <v>#N/A</v>
      </c>
    </row>
    <row r="428" spans="1:3">
      <c r="A428" s="1340">
        <f t="shared" si="4"/>
        <v>2028.11</v>
      </c>
      <c r="B428" s="260" t="e">
        <v>#N/A</v>
      </c>
      <c r="C428" s="1222" t="e">
        <v>#N/A</v>
      </c>
    </row>
    <row r="429" spans="1:3">
      <c r="A429" s="1340">
        <f t="shared" si="4"/>
        <v>2028.12</v>
      </c>
      <c r="B429" s="260" t="e">
        <v>#N/A</v>
      </c>
      <c r="C429" s="1222" t="e">
        <v>#N/A</v>
      </c>
    </row>
    <row r="430" spans="1:3">
      <c r="A430" s="1340">
        <f t="shared" si="4"/>
        <v>2029.01</v>
      </c>
      <c r="B430" s="260" t="e">
        <v>#N/A</v>
      </c>
      <c r="C430" s="1222" t="e">
        <v>#N/A</v>
      </c>
    </row>
    <row r="431" spans="1:3">
      <c r="A431" s="1340">
        <f t="shared" si="4"/>
        <v>2029.02</v>
      </c>
      <c r="B431" s="260" t="e">
        <v>#N/A</v>
      </c>
      <c r="C431" s="1222" t="e">
        <v>#N/A</v>
      </c>
    </row>
    <row r="432" spans="1:3">
      <c r="A432" s="1340">
        <f t="shared" si="4"/>
        <v>2029.03</v>
      </c>
      <c r="B432" s="260" t="e">
        <v>#N/A</v>
      </c>
      <c r="C432" s="1222" t="e">
        <v>#N/A</v>
      </c>
    </row>
    <row r="433" spans="1:3">
      <c r="A433" s="1340">
        <f t="shared" si="4"/>
        <v>2029.04</v>
      </c>
      <c r="B433" s="260" t="e">
        <v>#N/A</v>
      </c>
      <c r="C433" s="1222" t="e">
        <v>#N/A</v>
      </c>
    </row>
    <row r="434" spans="1:3">
      <c r="A434" s="1340">
        <f t="shared" ref="A434:A453" si="5">A422+1</f>
        <v>2029.05</v>
      </c>
      <c r="B434" s="260" t="e">
        <v>#N/A</v>
      </c>
      <c r="C434" s="1222" t="e">
        <v>#N/A</v>
      </c>
    </row>
    <row r="435" spans="1:3">
      <c r="A435" s="1340">
        <f t="shared" si="5"/>
        <v>2029.06</v>
      </c>
      <c r="B435" s="260" t="e">
        <v>#N/A</v>
      </c>
      <c r="C435" s="1222" t="e">
        <v>#N/A</v>
      </c>
    </row>
    <row r="436" spans="1:3">
      <c r="A436" s="1340">
        <f t="shared" si="5"/>
        <v>2029.07</v>
      </c>
      <c r="B436" s="260" t="e">
        <v>#N/A</v>
      </c>
      <c r="C436" s="1222" t="e">
        <v>#N/A</v>
      </c>
    </row>
    <row r="437" spans="1:3">
      <c r="A437" s="1340">
        <f t="shared" si="5"/>
        <v>2029.08</v>
      </c>
      <c r="B437" s="260" t="e">
        <v>#N/A</v>
      </c>
      <c r="C437" s="1222" t="e">
        <v>#N/A</v>
      </c>
    </row>
    <row r="438" spans="1:3">
      <c r="A438" s="1340">
        <f t="shared" si="5"/>
        <v>2029.09</v>
      </c>
      <c r="B438" s="260" t="e">
        <v>#N/A</v>
      </c>
      <c r="C438" s="1222" t="e">
        <v>#N/A</v>
      </c>
    </row>
    <row r="439" spans="1:3">
      <c r="A439" s="1340">
        <f t="shared" si="5"/>
        <v>2029.1</v>
      </c>
      <c r="B439" s="260" t="e">
        <v>#N/A</v>
      </c>
      <c r="C439" s="1222" t="e">
        <v>#N/A</v>
      </c>
    </row>
    <row r="440" spans="1:3">
      <c r="A440" s="1340">
        <f t="shared" si="5"/>
        <v>2029.11</v>
      </c>
      <c r="B440" s="260" t="e">
        <v>#N/A</v>
      </c>
      <c r="C440" s="1222" t="e">
        <v>#N/A</v>
      </c>
    </row>
    <row r="441" spans="1:3">
      <c r="A441" s="1340">
        <f t="shared" si="5"/>
        <v>2029.12</v>
      </c>
      <c r="B441" s="260" t="e">
        <v>#N/A</v>
      </c>
      <c r="C441" s="1222" t="e">
        <v>#N/A</v>
      </c>
    </row>
    <row r="442" spans="1:3">
      <c r="A442" s="1340">
        <f t="shared" si="5"/>
        <v>2030.01</v>
      </c>
      <c r="B442" s="260" t="e">
        <v>#N/A</v>
      </c>
      <c r="C442" s="1222" t="e">
        <v>#N/A</v>
      </c>
    </row>
    <row r="443" spans="1:3">
      <c r="A443" s="1340">
        <f t="shared" si="5"/>
        <v>2030.02</v>
      </c>
      <c r="B443" s="260" t="e">
        <v>#N/A</v>
      </c>
      <c r="C443" s="1222" t="e">
        <v>#N/A</v>
      </c>
    </row>
    <row r="444" spans="1:3">
      <c r="A444" s="1340">
        <f t="shared" si="5"/>
        <v>2030.03</v>
      </c>
      <c r="B444" s="260" t="e">
        <v>#N/A</v>
      </c>
      <c r="C444" s="1222" t="e">
        <v>#N/A</v>
      </c>
    </row>
    <row r="445" spans="1:3">
      <c r="A445" s="1340">
        <f t="shared" si="5"/>
        <v>2030.04</v>
      </c>
      <c r="B445" s="260" t="e">
        <v>#N/A</v>
      </c>
      <c r="C445" s="1222" t="e">
        <v>#N/A</v>
      </c>
    </row>
    <row r="446" spans="1:3">
      <c r="A446" s="1340">
        <f t="shared" si="5"/>
        <v>2030.05</v>
      </c>
      <c r="B446" s="260" t="e">
        <v>#N/A</v>
      </c>
      <c r="C446" s="1222" t="e">
        <v>#N/A</v>
      </c>
    </row>
    <row r="447" spans="1:3">
      <c r="A447" s="1340">
        <f t="shared" si="5"/>
        <v>2030.06</v>
      </c>
      <c r="B447" s="260" t="e">
        <v>#N/A</v>
      </c>
      <c r="C447" s="1222" t="e">
        <v>#N/A</v>
      </c>
    </row>
    <row r="448" spans="1:3">
      <c r="A448" s="1340">
        <f t="shared" si="5"/>
        <v>2030.07</v>
      </c>
      <c r="B448" s="260" t="e">
        <v>#N/A</v>
      </c>
      <c r="C448" s="1222" t="e">
        <v>#N/A</v>
      </c>
    </row>
    <row r="449" spans="1:3">
      <c r="A449" s="1340">
        <f t="shared" si="5"/>
        <v>2030.08</v>
      </c>
      <c r="B449" s="260" t="e">
        <v>#N/A</v>
      </c>
      <c r="C449" s="1222" t="e">
        <v>#N/A</v>
      </c>
    </row>
    <row r="450" spans="1:3">
      <c r="A450" s="1340">
        <f t="shared" si="5"/>
        <v>2030.09</v>
      </c>
      <c r="B450" s="260" t="e">
        <v>#N/A</v>
      </c>
      <c r="C450" s="1222" t="e">
        <v>#N/A</v>
      </c>
    </row>
    <row r="451" spans="1:3">
      <c r="A451" s="1340">
        <f t="shared" si="5"/>
        <v>2030.1</v>
      </c>
      <c r="B451" s="260" t="e">
        <v>#N/A</v>
      </c>
      <c r="C451" s="1222" t="e">
        <v>#N/A</v>
      </c>
    </row>
    <row r="452" spans="1:3">
      <c r="A452" s="1340">
        <f t="shared" si="5"/>
        <v>2030.11</v>
      </c>
      <c r="B452" s="260" t="e">
        <v>#N/A</v>
      </c>
      <c r="C452" s="1222" t="e">
        <v>#N/A</v>
      </c>
    </row>
    <row r="453" spans="1:3">
      <c r="A453" s="1340">
        <f t="shared" si="5"/>
        <v>2030.12</v>
      </c>
      <c r="B453" s="260" t="e">
        <v>#N/A</v>
      </c>
      <c r="C453" s="1222" t="e">
        <v>#N/A</v>
      </c>
    </row>
  </sheetData>
  <phoneticPr fontId="0" type="noConversion"/>
  <hyperlinks>
    <hyperlink ref="A5" location="INDICE!A13" display="VOLVER AL INDICE" xr:uid="{00000000-0004-0000-3100-000000000000}"/>
  </hyperlinks>
  <pageMargins left="0.75" right="0.75" top="1" bottom="1" header="0" footer="0"/>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4">
    <pageSetUpPr autoPageBreaks="0"/>
  </sheetPr>
  <dimension ref="A1:L477"/>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9.5703125" defaultRowHeight="12.75"/>
  <cols>
    <col min="1" max="1" width="12.28515625" style="24" customWidth="1"/>
    <col min="2" max="12" width="12.7109375" style="24" customWidth="1"/>
    <col min="13" max="16384" width="19.5703125" style="9"/>
  </cols>
  <sheetData>
    <row r="1" spans="1:12" ht="3" customHeight="1">
      <c r="A1" s="34"/>
      <c r="B1" s="101" t="s">
        <v>5</v>
      </c>
      <c r="C1" s="82"/>
      <c r="D1" s="82"/>
      <c r="E1" s="82"/>
      <c r="F1" s="82"/>
      <c r="G1" s="82"/>
      <c r="H1" s="82"/>
      <c r="I1" s="98"/>
      <c r="J1" s="62"/>
      <c r="K1" s="62"/>
      <c r="L1" s="1989"/>
    </row>
    <row r="2" spans="1:12">
      <c r="A2" s="94" t="s">
        <v>105</v>
      </c>
      <c r="B2" s="2221" t="s">
        <v>1394</v>
      </c>
      <c r="C2" s="1788"/>
      <c r="D2" s="1788"/>
      <c r="E2" s="1788"/>
      <c r="F2" s="1788"/>
      <c r="G2" s="1788"/>
      <c r="H2" s="2379"/>
      <c r="I2" s="102"/>
      <c r="J2" s="2222"/>
      <c r="K2" s="2222"/>
      <c r="L2" s="2223"/>
    </row>
    <row r="3" spans="1:12">
      <c r="A3" s="94" t="s">
        <v>109</v>
      </c>
      <c r="B3" s="1788" t="s">
        <v>1395</v>
      </c>
      <c r="C3" s="1788"/>
      <c r="D3" s="1788"/>
      <c r="E3" s="1788"/>
      <c r="F3" s="1788"/>
      <c r="G3" s="1788"/>
      <c r="H3" s="2379"/>
      <c r="I3" s="102"/>
      <c r="J3" s="2222"/>
      <c r="K3" s="2222"/>
      <c r="L3" s="2223"/>
    </row>
    <row r="4" spans="1:12" ht="33.75">
      <c r="A4" s="95"/>
      <c r="B4" s="959" t="s">
        <v>1396</v>
      </c>
      <c r="C4" s="667" t="s">
        <v>1397</v>
      </c>
      <c r="D4" s="326" t="s">
        <v>1398</v>
      </c>
      <c r="E4" s="983" t="s">
        <v>1399</v>
      </c>
      <c r="F4" s="318" t="s">
        <v>1400</v>
      </c>
      <c r="G4" s="983" t="s">
        <v>1401</v>
      </c>
      <c r="H4" s="318" t="s">
        <v>1402</v>
      </c>
      <c r="I4" s="699" t="s">
        <v>1403</v>
      </c>
      <c r="J4" s="318" t="s">
        <v>1404</v>
      </c>
      <c r="K4" s="986" t="s">
        <v>1405</v>
      </c>
      <c r="L4" s="2064" t="s">
        <v>1406</v>
      </c>
    </row>
    <row r="5" spans="1:12" ht="22.5">
      <c r="A5" s="2390" t="s">
        <v>137</v>
      </c>
      <c r="B5" s="781"/>
      <c r="C5" s="2224"/>
      <c r="D5" s="70"/>
      <c r="E5" s="870"/>
      <c r="F5" s="70"/>
      <c r="G5" s="870"/>
      <c r="H5" s="70"/>
      <c r="I5" s="870"/>
      <c r="J5" s="70"/>
      <c r="K5" s="874"/>
      <c r="L5" s="2225"/>
    </row>
    <row r="6" spans="1:12">
      <c r="A6" s="100" t="s">
        <v>1407</v>
      </c>
      <c r="B6" s="958"/>
      <c r="C6" s="2226">
        <v>0.32440000000000002</v>
      </c>
      <c r="D6" s="2227">
        <v>8.4900000000000003E-2</v>
      </c>
      <c r="E6" s="2228">
        <v>0.1022</v>
      </c>
      <c r="F6" s="2227">
        <v>7.5399999999999995E-2</v>
      </c>
      <c r="G6" s="2228">
        <v>5.9200000000000003E-2</v>
      </c>
      <c r="H6" s="2227">
        <v>0.1885</v>
      </c>
      <c r="I6" s="2228">
        <v>8.7599999999999997E-2</v>
      </c>
      <c r="J6" s="2227">
        <v>2.5600000000000001E-2</v>
      </c>
      <c r="K6" s="2229">
        <v>5.2200000000000003E-2</v>
      </c>
      <c r="L6" s="2230"/>
    </row>
    <row r="7" spans="1:12" ht="22.5">
      <c r="A7" s="1900" t="s">
        <v>123</v>
      </c>
      <c r="B7" s="959" t="s">
        <v>1408</v>
      </c>
      <c r="C7" s="2231" t="s">
        <v>1408</v>
      </c>
      <c r="D7" s="1090" t="s">
        <v>1408</v>
      </c>
      <c r="E7" s="1089" t="s">
        <v>1408</v>
      </c>
      <c r="F7" s="1090" t="s">
        <v>1408</v>
      </c>
      <c r="G7" s="1089" t="s">
        <v>1408</v>
      </c>
      <c r="H7" s="1090" t="s">
        <v>1408</v>
      </c>
      <c r="I7" s="1089" t="s">
        <v>1408</v>
      </c>
      <c r="J7" s="1090" t="s">
        <v>1408</v>
      </c>
      <c r="K7" s="2232" t="s">
        <v>1408</v>
      </c>
      <c r="L7" s="2064" t="s">
        <v>1406</v>
      </c>
    </row>
    <row r="8" spans="1:12" ht="14.25" customHeight="1">
      <c r="A8" s="105" t="s">
        <v>141</v>
      </c>
      <c r="B8" s="773" t="s">
        <v>1409</v>
      </c>
      <c r="C8" s="881" t="s">
        <v>1410</v>
      </c>
      <c r="D8" s="150" t="s">
        <v>1411</v>
      </c>
      <c r="E8" s="639" t="s">
        <v>1412</v>
      </c>
      <c r="F8" s="150" t="s">
        <v>1413</v>
      </c>
      <c r="G8" s="639" t="s">
        <v>1414</v>
      </c>
      <c r="H8" s="150" t="s">
        <v>1415</v>
      </c>
      <c r="I8" s="639" t="s">
        <v>1416</v>
      </c>
      <c r="J8" s="150" t="s">
        <v>1417</v>
      </c>
      <c r="K8" s="735" t="s">
        <v>1418</v>
      </c>
      <c r="L8" s="1979" t="s">
        <v>1419</v>
      </c>
    </row>
    <row r="9" spans="1:12" ht="13.5" thickBot="1">
      <c r="A9" s="93" t="s">
        <v>517</v>
      </c>
      <c r="B9" s="2233" t="s">
        <v>1420</v>
      </c>
      <c r="C9" s="2234" t="s">
        <v>1421</v>
      </c>
      <c r="D9" s="580"/>
      <c r="E9" s="1794"/>
      <c r="F9" s="580"/>
      <c r="G9" s="2026"/>
      <c r="H9" s="580"/>
      <c r="I9" s="2026"/>
      <c r="J9" s="1946"/>
      <c r="K9" s="2235"/>
      <c r="L9" s="2093" t="str">
        <f>"Dif. "&amp;B9</f>
        <v>Dif. SFE-IPC</v>
      </c>
    </row>
    <row r="10" spans="1:12">
      <c r="A10" s="99">
        <v>1992.01</v>
      </c>
      <c r="B10" s="960">
        <v>9.9714277414267869</v>
      </c>
      <c r="C10" s="956"/>
      <c r="D10" s="885"/>
      <c r="E10" s="3235"/>
      <c r="F10" s="885"/>
      <c r="G10" s="3235"/>
      <c r="H10" s="885"/>
      <c r="I10" s="3235"/>
      <c r="J10" s="885"/>
      <c r="K10" s="2236"/>
      <c r="L10" s="306"/>
    </row>
    <row r="11" spans="1:12">
      <c r="A11" s="99">
        <v>1992.02</v>
      </c>
      <c r="B11" s="960">
        <v>10.1011547039456</v>
      </c>
      <c r="C11" s="2237"/>
      <c r="D11" s="2238"/>
      <c r="E11" s="3236"/>
      <c r="F11" s="2238"/>
      <c r="G11" s="3236"/>
      <c r="H11" s="2238"/>
      <c r="I11" s="3236"/>
      <c r="J11" s="2238"/>
      <c r="K11" s="2239"/>
      <c r="L11" s="2240"/>
    </row>
    <row r="12" spans="1:12">
      <c r="A12" s="99">
        <v>1992.03</v>
      </c>
      <c r="B12" s="960">
        <v>10.385911404266654</v>
      </c>
      <c r="C12" s="2237"/>
      <c r="D12" s="2238"/>
      <c r="E12" s="3236"/>
      <c r="F12" s="2238"/>
      <c r="G12" s="3236"/>
      <c r="H12" s="2238"/>
      <c r="I12" s="3236"/>
      <c r="J12" s="2238"/>
      <c r="K12" s="2239"/>
      <c r="L12" s="2240"/>
    </row>
    <row r="13" spans="1:12">
      <c r="A13" s="99">
        <v>1992.04</v>
      </c>
      <c r="B13" s="960">
        <v>10.61082683295481</v>
      </c>
      <c r="C13" s="2237"/>
      <c r="D13" s="2238"/>
      <c r="E13" s="3236"/>
      <c r="F13" s="2238"/>
      <c r="G13" s="3236"/>
      <c r="H13" s="2238"/>
      <c r="I13" s="3236"/>
      <c r="J13" s="2238"/>
      <c r="K13" s="2239"/>
      <c r="L13" s="2240"/>
    </row>
    <row r="14" spans="1:12">
      <c r="A14" s="99">
        <v>1992.05</v>
      </c>
      <c r="B14" s="960">
        <v>10.522842128143735</v>
      </c>
      <c r="C14" s="2237"/>
      <c r="D14" s="2238"/>
      <c r="E14" s="3236"/>
      <c r="F14" s="2238"/>
      <c r="G14" s="3236"/>
      <c r="H14" s="2238"/>
      <c r="I14" s="3236"/>
      <c r="J14" s="2238"/>
      <c r="K14" s="2239"/>
      <c r="L14" s="2240"/>
    </row>
    <row r="15" spans="1:12">
      <c r="A15" s="99">
        <v>1992.06</v>
      </c>
      <c r="B15" s="960">
        <v>10.520247126782898</v>
      </c>
      <c r="C15" s="2237"/>
      <c r="D15" s="2238"/>
      <c r="E15" s="3236"/>
      <c r="F15" s="2238"/>
      <c r="G15" s="3236"/>
      <c r="H15" s="2238"/>
      <c r="I15" s="3236"/>
      <c r="J15" s="2238"/>
      <c r="K15" s="2239"/>
      <c r="L15" s="2240"/>
    </row>
    <row r="16" spans="1:12">
      <c r="A16" s="99">
        <v>1992.07</v>
      </c>
      <c r="B16" s="960">
        <v>10.56891805333407</v>
      </c>
      <c r="C16" s="2237"/>
      <c r="D16" s="2238"/>
      <c r="E16" s="3236"/>
      <c r="F16" s="2238"/>
      <c r="G16" s="3236"/>
      <c r="H16" s="2238"/>
      <c r="I16" s="3236"/>
      <c r="J16" s="2238"/>
      <c r="K16" s="2239"/>
      <c r="L16" s="2240"/>
    </row>
    <row r="17" spans="1:12">
      <c r="A17" s="99">
        <v>1992.08</v>
      </c>
      <c r="B17" s="960">
        <v>10.737066917064899</v>
      </c>
      <c r="C17" s="2237"/>
      <c r="D17" s="2238"/>
      <c r="E17" s="3236"/>
      <c r="F17" s="2238"/>
      <c r="G17" s="3236"/>
      <c r="H17" s="2238"/>
      <c r="I17" s="3236"/>
      <c r="J17" s="2238"/>
      <c r="K17" s="2239"/>
      <c r="L17" s="2240"/>
    </row>
    <row r="18" spans="1:12">
      <c r="A18" s="99">
        <v>1992.09</v>
      </c>
      <c r="B18" s="960">
        <v>10.857684180997014</v>
      </c>
      <c r="C18" s="2237"/>
      <c r="D18" s="2238"/>
      <c r="E18" s="3236"/>
      <c r="F18" s="2238"/>
      <c r="G18" s="3236"/>
      <c r="H18" s="2238"/>
      <c r="I18" s="3236"/>
      <c r="J18" s="2238"/>
      <c r="K18" s="2239"/>
      <c r="L18" s="2240"/>
    </row>
    <row r="19" spans="1:12">
      <c r="A19" s="99">
        <v>1992.1</v>
      </c>
      <c r="B19" s="960">
        <v>10.984584424180683</v>
      </c>
      <c r="C19" s="2237"/>
      <c r="D19" s="2238"/>
      <c r="E19" s="3236"/>
      <c r="F19" s="2238"/>
      <c r="G19" s="3236"/>
      <c r="H19" s="2238"/>
      <c r="I19" s="3236"/>
      <c r="J19" s="2238"/>
      <c r="K19" s="2239"/>
      <c r="L19" s="2240"/>
    </row>
    <row r="20" spans="1:12">
      <c r="A20" s="99">
        <v>1992.11</v>
      </c>
      <c r="B20" s="960">
        <v>11.084130273152716</v>
      </c>
      <c r="C20" s="2237"/>
      <c r="D20" s="2238"/>
      <c r="E20" s="3236"/>
      <c r="F20" s="2238"/>
      <c r="G20" s="3236"/>
      <c r="H20" s="2238"/>
      <c r="I20" s="3236"/>
      <c r="J20" s="2238"/>
      <c r="K20" s="2239"/>
      <c r="L20" s="2240"/>
    </row>
    <row r="21" spans="1:12">
      <c r="A21" s="99">
        <v>1992.12</v>
      </c>
      <c r="B21" s="960">
        <v>11.066841596855951</v>
      </c>
      <c r="C21" s="2237"/>
      <c r="D21" s="2238"/>
      <c r="E21" s="3236"/>
      <c r="F21" s="2238"/>
      <c r="G21" s="3236"/>
      <c r="H21" s="2238"/>
      <c r="I21" s="3236"/>
      <c r="J21" s="2238"/>
      <c r="K21" s="2239"/>
      <c r="L21" s="2240"/>
    </row>
    <row r="22" spans="1:12">
      <c r="A22" s="99">
        <v>1993.01</v>
      </c>
      <c r="B22" s="960">
        <v>11.098906710789104</v>
      </c>
      <c r="C22" s="2237"/>
      <c r="D22" s="2238"/>
      <c r="E22" s="3236"/>
      <c r="F22" s="2238"/>
      <c r="G22" s="3236"/>
      <c r="H22" s="2238"/>
      <c r="I22" s="3236"/>
      <c r="J22" s="2238"/>
      <c r="K22" s="2239"/>
      <c r="L22" s="2240"/>
    </row>
    <row r="23" spans="1:12">
      <c r="A23" s="99">
        <v>1993.02</v>
      </c>
      <c r="B23" s="960">
        <v>11.256117595482541</v>
      </c>
      <c r="C23" s="2237"/>
      <c r="D23" s="2238"/>
      <c r="E23" s="3236"/>
      <c r="F23" s="2238"/>
      <c r="G23" s="3236"/>
      <c r="H23" s="2238"/>
      <c r="I23" s="3236"/>
      <c r="J23" s="2238"/>
      <c r="K23" s="2239"/>
      <c r="L23" s="2240"/>
    </row>
    <row r="24" spans="1:12">
      <c r="A24" s="99">
        <v>1993.03</v>
      </c>
      <c r="B24" s="960">
        <v>11.372121619754706</v>
      </c>
      <c r="C24" s="2237"/>
      <c r="D24" s="2238"/>
      <c r="E24" s="3236"/>
      <c r="F24" s="2238"/>
      <c r="G24" s="3236"/>
      <c r="H24" s="2238"/>
      <c r="I24" s="3236"/>
      <c r="J24" s="2238"/>
      <c r="K24" s="2239"/>
      <c r="L24" s="2240"/>
    </row>
    <row r="25" spans="1:12">
      <c r="A25" s="99">
        <v>1993.04</v>
      </c>
      <c r="B25" s="960">
        <v>11.53507917195342</v>
      </c>
      <c r="C25" s="2237"/>
      <c r="D25" s="2238"/>
      <c r="E25" s="3236"/>
      <c r="F25" s="2238"/>
      <c r="G25" s="3236"/>
      <c r="H25" s="2238"/>
      <c r="I25" s="3236"/>
      <c r="J25" s="2238"/>
      <c r="K25" s="2239"/>
      <c r="L25" s="2240"/>
    </row>
    <row r="26" spans="1:12">
      <c r="A26" s="99">
        <v>1993.05</v>
      </c>
      <c r="B26" s="960">
        <v>11.837458260597751</v>
      </c>
      <c r="C26" s="2237"/>
      <c r="D26" s="2238"/>
      <c r="E26" s="3236"/>
      <c r="F26" s="2238"/>
      <c r="G26" s="3236"/>
      <c r="H26" s="2238"/>
      <c r="I26" s="3236"/>
      <c r="J26" s="2238"/>
      <c r="K26" s="2239"/>
      <c r="L26" s="2240"/>
    </row>
    <row r="27" spans="1:12">
      <c r="A27" s="99">
        <v>1993.06</v>
      </c>
      <c r="B27" s="960">
        <v>11.871382742845226</v>
      </c>
      <c r="C27" s="2237"/>
      <c r="D27" s="2238"/>
      <c r="E27" s="3236"/>
      <c r="F27" s="2238"/>
      <c r="G27" s="3236"/>
      <c r="H27" s="2238"/>
      <c r="I27" s="3236"/>
      <c r="J27" s="2238"/>
      <c r="K27" s="2239"/>
      <c r="L27" s="2240"/>
    </row>
    <row r="28" spans="1:12">
      <c r="A28" s="99">
        <v>1993.07</v>
      </c>
      <c r="B28" s="960">
        <v>11.99541196847724</v>
      </c>
      <c r="C28" s="2237"/>
      <c r="D28" s="2238"/>
      <c r="E28" s="3236"/>
      <c r="F28" s="2238"/>
      <c r="G28" s="3236"/>
      <c r="H28" s="2238"/>
      <c r="I28" s="3236"/>
      <c r="J28" s="2238"/>
      <c r="K28" s="2239"/>
      <c r="L28" s="2240"/>
    </row>
    <row r="29" spans="1:12">
      <c r="A29" s="99">
        <v>1993.08</v>
      </c>
      <c r="B29" s="960">
        <v>11.987504245103889</v>
      </c>
      <c r="C29" s="2237"/>
      <c r="D29" s="2238"/>
      <c r="E29" s="3236"/>
      <c r="F29" s="2238"/>
      <c r="G29" s="3236"/>
      <c r="H29" s="2238"/>
      <c r="I29" s="3236"/>
      <c r="J29" s="2238"/>
      <c r="K29" s="2239"/>
      <c r="L29" s="2240"/>
    </row>
    <row r="30" spans="1:12">
      <c r="A30" s="99">
        <v>1993.09</v>
      </c>
      <c r="B30" s="960">
        <v>11.997071750666672</v>
      </c>
      <c r="C30" s="2237"/>
      <c r="D30" s="2238"/>
      <c r="E30" s="3236"/>
      <c r="F30" s="2238"/>
      <c r="G30" s="3236"/>
      <c r="H30" s="2238"/>
      <c r="I30" s="3236"/>
      <c r="J30" s="2238"/>
      <c r="K30" s="2239"/>
      <c r="L30" s="2240"/>
    </row>
    <row r="31" spans="1:12">
      <c r="A31" s="99">
        <v>1993.1</v>
      </c>
      <c r="B31" s="960">
        <v>12.159354918214202</v>
      </c>
      <c r="C31" s="2237"/>
      <c r="D31" s="2238"/>
      <c r="E31" s="3236"/>
      <c r="F31" s="2238"/>
      <c r="G31" s="3236"/>
      <c r="H31" s="2238"/>
      <c r="I31" s="3236"/>
      <c r="J31" s="2238"/>
      <c r="K31" s="2239"/>
      <c r="L31" s="2240"/>
    </row>
    <row r="32" spans="1:12">
      <c r="A32" s="99">
        <v>1993.11</v>
      </c>
      <c r="B32" s="960">
        <v>12.037735304470463</v>
      </c>
      <c r="C32" s="2237"/>
      <c r="D32" s="2238"/>
      <c r="E32" s="3236"/>
      <c r="F32" s="2238"/>
      <c r="G32" s="3236"/>
      <c r="H32" s="2238"/>
      <c r="I32" s="3236"/>
      <c r="J32" s="2238"/>
      <c r="K32" s="2239"/>
      <c r="L32" s="2240"/>
    </row>
    <row r="33" spans="1:12">
      <c r="A33" s="99">
        <v>1993.12</v>
      </c>
      <c r="B33" s="960">
        <v>11.925633608950507</v>
      </c>
      <c r="C33" s="2237"/>
      <c r="D33" s="2238"/>
      <c r="E33" s="3236"/>
      <c r="F33" s="2238"/>
      <c r="G33" s="3236"/>
      <c r="H33" s="2238"/>
      <c r="I33" s="3236"/>
      <c r="J33" s="2238"/>
      <c r="K33" s="2239"/>
      <c r="L33" s="2240"/>
    </row>
    <row r="34" spans="1:12">
      <c r="A34" s="99">
        <v>1994.01</v>
      </c>
      <c r="B34" s="960">
        <v>11.952600055742399</v>
      </c>
      <c r="C34" s="2237"/>
      <c r="D34" s="2238"/>
      <c r="E34" s="3236"/>
      <c r="F34" s="2238"/>
      <c r="G34" s="3236"/>
      <c r="H34" s="2238"/>
      <c r="I34" s="3236"/>
      <c r="J34" s="2238"/>
      <c r="K34" s="2239"/>
      <c r="L34" s="2240"/>
    </row>
    <row r="35" spans="1:12">
      <c r="A35" s="99">
        <v>1994.02</v>
      </c>
      <c r="B35" s="960">
        <v>11.8608765730113</v>
      </c>
      <c r="C35" s="2237"/>
      <c r="D35" s="2238"/>
      <c r="E35" s="3236"/>
      <c r="F35" s="2238"/>
      <c r="G35" s="3236"/>
      <c r="H35" s="2238"/>
      <c r="I35" s="3236"/>
      <c r="J35" s="2238"/>
      <c r="K35" s="2239"/>
      <c r="L35" s="2240"/>
    </row>
    <row r="36" spans="1:12">
      <c r="A36" s="99">
        <v>1994.03</v>
      </c>
      <c r="B36" s="960">
        <v>11.882266482681931</v>
      </c>
      <c r="C36" s="2237"/>
      <c r="D36" s="2238"/>
      <c r="E36" s="3236"/>
      <c r="F36" s="2238"/>
      <c r="G36" s="3236"/>
      <c r="H36" s="2238"/>
      <c r="I36" s="3236"/>
      <c r="J36" s="2238"/>
      <c r="K36" s="2239"/>
      <c r="L36" s="2240"/>
    </row>
    <row r="37" spans="1:12">
      <c r="A37" s="99">
        <v>1994.04</v>
      </c>
      <c r="B37" s="960">
        <v>11.953503366490779</v>
      </c>
      <c r="C37" s="2237"/>
      <c r="D37" s="2238"/>
      <c r="E37" s="3236"/>
      <c r="F37" s="2238"/>
      <c r="G37" s="3236"/>
      <c r="H37" s="2238"/>
      <c r="I37" s="3236"/>
      <c r="J37" s="2238"/>
      <c r="K37" s="2239"/>
      <c r="L37" s="2240"/>
    </row>
    <row r="38" spans="1:12">
      <c r="A38" s="99">
        <v>1994.05</v>
      </c>
      <c r="B38" s="960">
        <v>11.89657560128239</v>
      </c>
      <c r="C38" s="2237"/>
      <c r="D38" s="2238"/>
      <c r="E38" s="3236"/>
      <c r="F38" s="2238"/>
      <c r="G38" s="3236"/>
      <c r="H38" s="2238"/>
      <c r="I38" s="3236"/>
      <c r="J38" s="2238"/>
      <c r="K38" s="2239"/>
      <c r="L38" s="2240"/>
    </row>
    <row r="39" spans="1:12">
      <c r="A39" s="99">
        <v>1994.06</v>
      </c>
      <c r="B39" s="960">
        <v>11.856353206935266</v>
      </c>
      <c r="C39" s="2237"/>
      <c r="D39" s="2238"/>
      <c r="E39" s="3236"/>
      <c r="F39" s="2238"/>
      <c r="G39" s="3236"/>
      <c r="H39" s="2238"/>
      <c r="I39" s="3236"/>
      <c r="J39" s="2238"/>
      <c r="K39" s="2239"/>
      <c r="L39" s="2240"/>
    </row>
    <row r="40" spans="1:12">
      <c r="A40" s="99">
        <v>1994.07</v>
      </c>
      <c r="B40" s="960">
        <v>11.900464794956441</v>
      </c>
      <c r="C40" s="2237"/>
      <c r="D40" s="2238"/>
      <c r="E40" s="3236"/>
      <c r="F40" s="2238"/>
      <c r="G40" s="3236"/>
      <c r="H40" s="2238"/>
      <c r="I40" s="3236"/>
      <c r="J40" s="2238"/>
      <c r="K40" s="2239"/>
      <c r="L40" s="2240"/>
    </row>
    <row r="41" spans="1:12">
      <c r="A41" s="99">
        <v>1994.08</v>
      </c>
      <c r="B41" s="960">
        <v>11.973210772628649</v>
      </c>
      <c r="C41" s="2237"/>
      <c r="D41" s="2238"/>
      <c r="E41" s="3236"/>
      <c r="F41" s="2238"/>
      <c r="G41" s="3236"/>
      <c r="H41" s="2238"/>
      <c r="I41" s="3236"/>
      <c r="J41" s="2238"/>
      <c r="K41" s="2239"/>
      <c r="L41" s="2240"/>
    </row>
    <row r="42" spans="1:12">
      <c r="A42" s="99">
        <v>1994.09</v>
      </c>
      <c r="B42" s="960">
        <v>12.103580885925002</v>
      </c>
      <c r="C42" s="2237"/>
      <c r="D42" s="2238"/>
      <c r="E42" s="3236"/>
      <c r="F42" s="2238"/>
      <c r="G42" s="3236"/>
      <c r="H42" s="2238"/>
      <c r="I42" s="3236"/>
      <c r="J42" s="2238"/>
      <c r="K42" s="2239"/>
      <c r="L42" s="2240"/>
    </row>
    <row r="43" spans="1:12">
      <c r="A43" s="99">
        <v>1994.1</v>
      </c>
      <c r="B43" s="960">
        <v>12.145362991928693</v>
      </c>
      <c r="C43" s="2237"/>
      <c r="D43" s="2238"/>
      <c r="E43" s="3236"/>
      <c r="F43" s="2238"/>
      <c r="G43" s="3236"/>
      <c r="H43" s="2238"/>
      <c r="I43" s="3236"/>
      <c r="J43" s="2238"/>
      <c r="K43" s="2239"/>
      <c r="L43" s="2240"/>
    </row>
    <row r="44" spans="1:12">
      <c r="A44" s="99">
        <v>1994.11</v>
      </c>
      <c r="B44" s="960">
        <v>12.202337103133791</v>
      </c>
      <c r="C44" s="2237"/>
      <c r="D44" s="2238"/>
      <c r="E44" s="3236"/>
      <c r="F44" s="2238"/>
      <c r="G44" s="3236"/>
      <c r="H44" s="2238"/>
      <c r="I44" s="3236"/>
      <c r="J44" s="2238"/>
      <c r="K44" s="2239"/>
      <c r="L44" s="2240"/>
    </row>
    <row r="45" spans="1:12">
      <c r="A45" s="99">
        <v>1994.12</v>
      </c>
      <c r="B45" s="960">
        <v>12.257710206170039</v>
      </c>
      <c r="C45" s="2237"/>
      <c r="D45" s="2238"/>
      <c r="E45" s="3236"/>
      <c r="F45" s="2238"/>
      <c r="G45" s="3236"/>
      <c r="H45" s="2238"/>
      <c r="I45" s="3236"/>
      <c r="J45" s="2238"/>
      <c r="K45" s="2239"/>
      <c r="L45" s="2240"/>
    </row>
    <row r="46" spans="1:12">
      <c r="A46" s="99">
        <v>1995.01</v>
      </c>
      <c r="B46" s="960">
        <v>12.288721345726465</v>
      </c>
      <c r="C46" s="2237"/>
      <c r="D46" s="2238"/>
      <c r="E46" s="3236"/>
      <c r="F46" s="2238"/>
      <c r="G46" s="3236"/>
      <c r="H46" s="2238"/>
      <c r="I46" s="3236"/>
      <c r="J46" s="2238"/>
      <c r="K46" s="2239"/>
      <c r="L46" s="2240"/>
    </row>
    <row r="47" spans="1:12">
      <c r="A47" s="99">
        <v>1995.02</v>
      </c>
      <c r="B47" s="960">
        <v>12.296405245389741</v>
      </c>
      <c r="C47" s="2237"/>
      <c r="D47" s="2238"/>
      <c r="E47" s="3236"/>
      <c r="F47" s="2238"/>
      <c r="G47" s="3236"/>
      <c r="H47" s="2238"/>
      <c r="I47" s="3236"/>
      <c r="J47" s="2238"/>
      <c r="K47" s="2239"/>
      <c r="L47" s="2240"/>
    </row>
    <row r="48" spans="1:12">
      <c r="A48" s="99">
        <v>1995.03</v>
      </c>
      <c r="B48" s="960">
        <v>12.309002802649951</v>
      </c>
      <c r="C48" s="2237"/>
      <c r="D48" s="2238"/>
      <c r="E48" s="3236"/>
      <c r="F48" s="2238"/>
      <c r="G48" s="3236"/>
      <c r="H48" s="2238"/>
      <c r="I48" s="3236"/>
      <c r="J48" s="2238"/>
      <c r="K48" s="2239"/>
      <c r="L48" s="2240"/>
    </row>
    <row r="49" spans="1:12">
      <c r="A49" s="99">
        <v>1995.04</v>
      </c>
      <c r="B49" s="960">
        <v>12.370353487904975</v>
      </c>
      <c r="C49" s="2237"/>
      <c r="D49" s="2238"/>
      <c r="E49" s="3236"/>
      <c r="F49" s="2238"/>
      <c r="G49" s="3236"/>
      <c r="H49" s="2238"/>
      <c r="I49" s="3236"/>
      <c r="J49" s="2238"/>
      <c r="K49" s="2239"/>
      <c r="L49" s="2240"/>
    </row>
    <row r="50" spans="1:12">
      <c r="A50" s="99">
        <v>1995.05</v>
      </c>
      <c r="B50" s="960">
        <v>12.50244617070163</v>
      </c>
      <c r="C50" s="2237"/>
      <c r="D50" s="2238"/>
      <c r="E50" s="3236"/>
      <c r="F50" s="2238"/>
      <c r="G50" s="3236"/>
      <c r="H50" s="2238"/>
      <c r="I50" s="3236"/>
      <c r="J50" s="2238"/>
      <c r="K50" s="2239"/>
      <c r="L50" s="2240"/>
    </row>
    <row r="51" spans="1:12">
      <c r="A51" s="99">
        <v>1995.06</v>
      </c>
      <c r="B51" s="960">
        <v>12.638755891864669</v>
      </c>
      <c r="C51" s="2237"/>
      <c r="D51" s="2238"/>
      <c r="E51" s="3236"/>
      <c r="F51" s="2238"/>
      <c r="G51" s="3236"/>
      <c r="H51" s="2238"/>
      <c r="I51" s="3236"/>
      <c r="J51" s="2238"/>
      <c r="K51" s="2239"/>
      <c r="L51" s="2240"/>
    </row>
    <row r="52" spans="1:12">
      <c r="A52" s="99">
        <v>1995.07</v>
      </c>
      <c r="B52" s="960">
        <v>12.810406635992894</v>
      </c>
      <c r="C52" s="2237"/>
      <c r="D52" s="2238"/>
      <c r="E52" s="3236"/>
      <c r="F52" s="2238"/>
      <c r="G52" s="3236"/>
      <c r="H52" s="2238"/>
      <c r="I52" s="3236"/>
      <c r="J52" s="2238"/>
      <c r="K52" s="2239"/>
      <c r="L52" s="2240"/>
    </row>
    <row r="53" spans="1:12">
      <c r="A53" s="99">
        <v>1995.08</v>
      </c>
      <c r="B53" s="960">
        <v>12.938028100706038</v>
      </c>
      <c r="C53" s="2237"/>
      <c r="D53" s="2238"/>
      <c r="E53" s="3236"/>
      <c r="F53" s="2238"/>
      <c r="G53" s="3236"/>
      <c r="H53" s="2238"/>
      <c r="I53" s="3236"/>
      <c r="J53" s="2238"/>
      <c r="K53" s="2239"/>
      <c r="L53" s="2240"/>
    </row>
    <row r="54" spans="1:12">
      <c r="A54" s="99">
        <v>1995.09</v>
      </c>
      <c r="B54" s="960">
        <v>13.007596431136729</v>
      </c>
      <c r="C54" s="2237"/>
      <c r="D54" s="2238"/>
      <c r="E54" s="3236"/>
      <c r="F54" s="2238"/>
      <c r="G54" s="3236"/>
      <c r="H54" s="2238"/>
      <c r="I54" s="3236"/>
      <c r="J54" s="2238"/>
      <c r="K54" s="2239"/>
      <c r="L54" s="2240"/>
    </row>
    <row r="55" spans="1:12">
      <c r="A55" s="99">
        <v>1995.1</v>
      </c>
      <c r="B55" s="960">
        <v>12.869131331546573</v>
      </c>
      <c r="C55" s="2237"/>
      <c r="D55" s="2238"/>
      <c r="E55" s="3236"/>
      <c r="F55" s="2238"/>
      <c r="G55" s="3236"/>
      <c r="H55" s="2238"/>
      <c r="I55" s="3236"/>
      <c r="J55" s="2238"/>
      <c r="K55" s="2239"/>
      <c r="L55" s="2240"/>
    </row>
    <row r="56" spans="1:12">
      <c r="A56" s="99">
        <v>1995.11</v>
      </c>
      <c r="B56" s="960">
        <v>12.854394445496826</v>
      </c>
      <c r="C56" s="2237"/>
      <c r="D56" s="2238"/>
      <c r="E56" s="3236"/>
      <c r="F56" s="2238"/>
      <c r="G56" s="3236"/>
      <c r="H56" s="2238"/>
      <c r="I56" s="3236"/>
      <c r="J56" s="2238"/>
      <c r="K56" s="2239"/>
      <c r="L56" s="2240"/>
    </row>
    <row r="57" spans="1:12">
      <c r="A57" s="99">
        <v>1995.12</v>
      </c>
      <c r="B57" s="960">
        <v>12.830542866107619</v>
      </c>
      <c r="C57" s="2237"/>
      <c r="D57" s="2238"/>
      <c r="E57" s="3236"/>
      <c r="F57" s="2238"/>
      <c r="G57" s="3236"/>
      <c r="H57" s="2238"/>
      <c r="I57" s="3236"/>
      <c r="J57" s="2238"/>
      <c r="K57" s="2239"/>
      <c r="L57" s="2240"/>
    </row>
    <row r="58" spans="1:12">
      <c r="A58" s="99">
        <v>1996.01</v>
      </c>
      <c r="B58" s="960">
        <v>12.770381512986109</v>
      </c>
      <c r="C58" s="2237"/>
      <c r="D58" s="2238"/>
      <c r="E58" s="3236"/>
      <c r="F58" s="2238"/>
      <c r="G58" s="3236"/>
      <c r="H58" s="2238"/>
      <c r="I58" s="3236"/>
      <c r="J58" s="2238"/>
      <c r="K58" s="2239"/>
      <c r="L58" s="2240"/>
    </row>
    <row r="59" spans="1:12">
      <c r="A59" s="99">
        <v>1996.02</v>
      </c>
      <c r="B59" s="960">
        <v>12.78529429711082</v>
      </c>
      <c r="C59" s="2237"/>
      <c r="D59" s="2238"/>
      <c r="E59" s="3236"/>
      <c r="F59" s="2238"/>
      <c r="G59" s="3236"/>
      <c r="H59" s="2238"/>
      <c r="I59" s="3236"/>
      <c r="J59" s="2238"/>
      <c r="K59" s="2239"/>
      <c r="L59" s="2240"/>
    </row>
    <row r="60" spans="1:12">
      <c r="A60" s="99">
        <v>1996.03</v>
      </c>
      <c r="B60" s="960">
        <v>12.726513174771123</v>
      </c>
      <c r="C60" s="2237"/>
      <c r="D60" s="2238"/>
      <c r="E60" s="3236"/>
      <c r="F60" s="2238"/>
      <c r="G60" s="3236"/>
      <c r="H60" s="2238"/>
      <c r="I60" s="3236"/>
      <c r="J60" s="2238"/>
      <c r="K60" s="2239"/>
      <c r="L60" s="2240"/>
    </row>
    <row r="61" spans="1:12">
      <c r="A61" s="99">
        <v>1996.04</v>
      </c>
      <c r="B61" s="960">
        <v>12.696945459688575</v>
      </c>
      <c r="C61" s="2237"/>
      <c r="D61" s="2238"/>
      <c r="E61" s="3236"/>
      <c r="F61" s="2238"/>
      <c r="G61" s="3236"/>
      <c r="H61" s="2238"/>
      <c r="I61" s="3236"/>
      <c r="J61" s="2238"/>
      <c r="K61" s="2239"/>
      <c r="L61" s="2240"/>
    </row>
    <row r="62" spans="1:12">
      <c r="A62" s="99">
        <v>1996.05</v>
      </c>
      <c r="B62" s="960">
        <v>12.701955036229</v>
      </c>
      <c r="C62" s="2237"/>
      <c r="D62" s="2238"/>
      <c r="E62" s="3236"/>
      <c r="F62" s="2238"/>
      <c r="G62" s="3236"/>
      <c r="H62" s="2238"/>
      <c r="I62" s="3236"/>
      <c r="J62" s="2238"/>
      <c r="K62" s="2239"/>
      <c r="L62" s="2240"/>
    </row>
    <row r="63" spans="1:12">
      <c r="A63" s="99">
        <v>1996.06</v>
      </c>
      <c r="B63" s="960">
        <v>12.7205629089078</v>
      </c>
      <c r="C63" s="2237"/>
      <c r="D63" s="2238"/>
      <c r="E63" s="3236"/>
      <c r="F63" s="2238"/>
      <c r="G63" s="3236"/>
      <c r="H63" s="2238"/>
      <c r="I63" s="3236"/>
      <c r="J63" s="2238"/>
      <c r="K63" s="2239"/>
      <c r="L63" s="2240"/>
    </row>
    <row r="64" spans="1:12">
      <c r="A64" s="99">
        <v>1996.07</v>
      </c>
      <c r="B64" s="960">
        <v>12.707111934690101</v>
      </c>
      <c r="C64" s="2237"/>
      <c r="D64" s="2238"/>
      <c r="E64" s="3236"/>
      <c r="F64" s="2238"/>
      <c r="G64" s="3236"/>
      <c r="H64" s="2238"/>
      <c r="I64" s="3236"/>
      <c r="J64" s="2238"/>
      <c r="K64" s="2239"/>
      <c r="L64" s="2240"/>
    </row>
    <row r="65" spans="1:12">
      <c r="A65" s="99">
        <v>1996.08</v>
      </c>
      <c r="B65" s="960">
        <v>12.70234372238431</v>
      </c>
      <c r="C65" s="2237"/>
      <c r="D65" s="2238"/>
      <c r="E65" s="3236"/>
      <c r="F65" s="2238"/>
      <c r="G65" s="3236"/>
      <c r="H65" s="2238"/>
      <c r="I65" s="3236"/>
      <c r="J65" s="2238"/>
      <c r="K65" s="2239"/>
      <c r="L65" s="2240"/>
    </row>
    <row r="66" spans="1:12">
      <c r="A66" s="99">
        <v>1996.09</v>
      </c>
      <c r="B66" s="960">
        <v>12.738447495326998</v>
      </c>
      <c r="C66" s="2237"/>
      <c r="D66" s="2238"/>
      <c r="E66" s="3236"/>
      <c r="F66" s="2238"/>
      <c r="G66" s="3236"/>
      <c r="H66" s="2238"/>
      <c r="I66" s="3236"/>
      <c r="J66" s="2238"/>
      <c r="K66" s="2239"/>
      <c r="L66" s="2240"/>
    </row>
    <row r="67" spans="1:12">
      <c r="A67" s="99">
        <v>1996.1</v>
      </c>
      <c r="B67" s="960">
        <v>12.732039869152228</v>
      </c>
      <c r="C67" s="2237"/>
      <c r="D67" s="2238"/>
      <c r="E67" s="3236"/>
      <c r="F67" s="2238"/>
      <c r="G67" s="3236"/>
      <c r="H67" s="2238"/>
      <c r="I67" s="3236"/>
      <c r="J67" s="2238"/>
      <c r="K67" s="2239"/>
      <c r="L67" s="2240"/>
    </row>
    <row r="68" spans="1:12">
      <c r="A68" s="99">
        <v>1996.11</v>
      </c>
      <c r="B68" s="960">
        <v>12.69211040112094</v>
      </c>
      <c r="C68" s="2237"/>
      <c r="D68" s="2238"/>
      <c r="E68" s="3236"/>
      <c r="F68" s="2238"/>
      <c r="G68" s="3236"/>
      <c r="H68" s="2238"/>
      <c r="I68" s="3236"/>
      <c r="J68" s="2238"/>
      <c r="K68" s="2239"/>
      <c r="L68" s="2240"/>
    </row>
    <row r="69" spans="1:12">
      <c r="A69" s="99">
        <v>1996.12</v>
      </c>
      <c r="B69" s="960">
        <v>12.580711815359379</v>
      </c>
      <c r="C69" s="2237"/>
      <c r="D69" s="2238"/>
      <c r="E69" s="3236"/>
      <c r="F69" s="2238"/>
      <c r="G69" s="3236"/>
      <c r="H69" s="2238"/>
      <c r="I69" s="3236"/>
      <c r="J69" s="2238"/>
      <c r="K69" s="2239"/>
      <c r="L69" s="2240"/>
    </row>
    <row r="70" spans="1:12">
      <c r="A70" s="99">
        <v>1997.01</v>
      </c>
      <c r="B70" s="960">
        <v>12.406581351219151</v>
      </c>
      <c r="C70" s="2237"/>
      <c r="D70" s="2238"/>
      <c r="E70" s="3236"/>
      <c r="F70" s="2238"/>
      <c r="G70" s="3236"/>
      <c r="H70" s="2238"/>
      <c r="I70" s="3236"/>
      <c r="J70" s="2238"/>
      <c r="K70" s="2239"/>
      <c r="L70" s="2240"/>
    </row>
    <row r="71" spans="1:12">
      <c r="A71" s="99">
        <v>1997.02</v>
      </c>
      <c r="B71" s="960">
        <v>12.273733321295737</v>
      </c>
      <c r="C71" s="2237"/>
      <c r="D71" s="2238"/>
      <c r="E71" s="3236"/>
      <c r="F71" s="2238"/>
      <c r="G71" s="3236"/>
      <c r="H71" s="2238"/>
      <c r="I71" s="3236"/>
      <c r="J71" s="2238"/>
      <c r="K71" s="2239"/>
      <c r="L71" s="2240"/>
    </row>
    <row r="72" spans="1:12">
      <c r="A72" s="99">
        <v>1997.03</v>
      </c>
      <c r="B72" s="960">
        <v>12.137522059591822</v>
      </c>
      <c r="C72" s="2237"/>
      <c r="D72" s="2238"/>
      <c r="E72" s="3236"/>
      <c r="F72" s="2238"/>
      <c r="G72" s="3236"/>
      <c r="H72" s="2238"/>
      <c r="I72" s="3236"/>
      <c r="J72" s="2238"/>
      <c r="K72" s="2239"/>
      <c r="L72" s="2240"/>
    </row>
    <row r="73" spans="1:12">
      <c r="A73" s="99">
        <v>1997.04</v>
      </c>
      <c r="B73" s="960">
        <v>12.153440629380551</v>
      </c>
      <c r="C73" s="2237"/>
      <c r="D73" s="2238"/>
      <c r="E73" s="3236"/>
      <c r="F73" s="2238"/>
      <c r="G73" s="3236"/>
      <c r="H73" s="2238"/>
      <c r="I73" s="3236"/>
      <c r="J73" s="2238"/>
      <c r="K73" s="2239"/>
      <c r="L73" s="2240"/>
    </row>
    <row r="74" spans="1:12">
      <c r="A74" s="99">
        <v>1997.05</v>
      </c>
      <c r="B74" s="960">
        <v>12.119294789034143</v>
      </c>
      <c r="C74" s="2237"/>
      <c r="D74" s="2238"/>
      <c r="E74" s="3236"/>
      <c r="F74" s="2238"/>
      <c r="G74" s="3236"/>
      <c r="H74" s="2238"/>
      <c r="I74" s="3236"/>
      <c r="J74" s="2238"/>
      <c r="K74" s="2239"/>
      <c r="L74" s="2240"/>
    </row>
    <row r="75" spans="1:12">
      <c r="A75" s="99">
        <v>1997.06</v>
      </c>
      <c r="B75" s="960">
        <v>12.001508922643634</v>
      </c>
      <c r="C75" s="2237"/>
      <c r="D75" s="2238"/>
      <c r="E75" s="3236"/>
      <c r="F75" s="2238"/>
      <c r="G75" s="3236"/>
      <c r="H75" s="2238"/>
      <c r="I75" s="3236"/>
      <c r="J75" s="2238"/>
      <c r="K75" s="2239"/>
      <c r="L75" s="2240"/>
    </row>
    <row r="76" spans="1:12">
      <c r="A76" s="99">
        <v>1997.07</v>
      </c>
      <c r="B76" s="960">
        <v>12.060631057480418</v>
      </c>
      <c r="C76" s="2237"/>
      <c r="D76" s="2238"/>
      <c r="E76" s="3236"/>
      <c r="F76" s="2238"/>
      <c r="G76" s="3236"/>
      <c r="H76" s="2238"/>
      <c r="I76" s="3236"/>
      <c r="J76" s="2238"/>
      <c r="K76" s="2239"/>
      <c r="L76" s="2240"/>
    </row>
    <row r="77" spans="1:12">
      <c r="A77" s="99">
        <v>1997.08</v>
      </c>
      <c r="B77" s="960">
        <v>12.103780717487322</v>
      </c>
      <c r="C77" s="2237"/>
      <c r="D77" s="2238"/>
      <c r="E77" s="3236"/>
      <c r="F77" s="2238"/>
      <c r="G77" s="3236"/>
      <c r="H77" s="2238"/>
      <c r="I77" s="3236"/>
      <c r="J77" s="2238"/>
      <c r="K77" s="2239"/>
      <c r="L77" s="2240"/>
    </row>
    <row r="78" spans="1:12">
      <c r="A78" s="99">
        <v>1997.09</v>
      </c>
      <c r="B78" s="960">
        <v>12.089592256068086</v>
      </c>
      <c r="C78" s="2237"/>
      <c r="D78" s="2238"/>
      <c r="E78" s="3236"/>
      <c r="F78" s="2238"/>
      <c r="G78" s="3236"/>
      <c r="H78" s="2238"/>
      <c r="I78" s="3236"/>
      <c r="J78" s="2238"/>
      <c r="K78" s="2239"/>
      <c r="L78" s="2240"/>
    </row>
    <row r="79" spans="1:12">
      <c r="A79" s="99">
        <v>1997.1</v>
      </c>
      <c r="B79" s="960">
        <v>11.919727429893957</v>
      </c>
      <c r="C79" s="2237"/>
      <c r="D79" s="2238"/>
      <c r="E79" s="3236"/>
      <c r="F79" s="2238"/>
      <c r="G79" s="3236"/>
      <c r="H79" s="2238"/>
      <c r="I79" s="3236"/>
      <c r="J79" s="2238"/>
      <c r="K79" s="2239"/>
      <c r="L79" s="2240"/>
    </row>
    <row r="80" spans="1:12">
      <c r="A80" s="99">
        <v>1997.11</v>
      </c>
      <c r="B80" s="960">
        <v>11.870223788812076</v>
      </c>
      <c r="C80" s="2237"/>
      <c r="D80" s="2238"/>
      <c r="E80" s="3236"/>
      <c r="F80" s="2238"/>
      <c r="G80" s="3236"/>
      <c r="H80" s="2238"/>
      <c r="I80" s="3236"/>
      <c r="J80" s="2238"/>
      <c r="K80" s="2239"/>
      <c r="L80" s="2240"/>
    </row>
    <row r="81" spans="1:12">
      <c r="A81" s="99">
        <v>1997.12</v>
      </c>
      <c r="B81" s="960">
        <v>11.760614153080356</v>
      </c>
      <c r="C81" s="2237"/>
      <c r="D81" s="2238"/>
      <c r="E81" s="3236"/>
      <c r="F81" s="2238"/>
      <c r="G81" s="3236"/>
      <c r="H81" s="2238"/>
      <c r="I81" s="3236"/>
      <c r="J81" s="2238"/>
      <c r="K81" s="2239"/>
      <c r="L81" s="2240"/>
    </row>
    <row r="82" spans="1:12">
      <c r="A82" s="99">
        <v>1998.01</v>
      </c>
      <c r="B82" s="960">
        <v>11.779205830479173</v>
      </c>
      <c r="C82" s="2237"/>
      <c r="D82" s="2238"/>
      <c r="E82" s="3236"/>
      <c r="F82" s="2238"/>
      <c r="G82" s="3236"/>
      <c r="H82" s="2238"/>
      <c r="I82" s="3236"/>
      <c r="J82" s="2238"/>
      <c r="K82" s="2239"/>
      <c r="L82" s="2240"/>
    </row>
    <row r="83" spans="1:12">
      <c r="A83" s="99">
        <v>1998.02</v>
      </c>
      <c r="B83" s="960">
        <v>11.751331444031718</v>
      </c>
      <c r="C83" s="2237"/>
      <c r="D83" s="2238"/>
      <c r="E83" s="3236"/>
      <c r="F83" s="2238"/>
      <c r="G83" s="3236"/>
      <c r="H83" s="2238"/>
      <c r="I83" s="3236"/>
      <c r="J83" s="2238"/>
      <c r="K83" s="2239"/>
      <c r="L83" s="2240"/>
    </row>
    <row r="84" spans="1:12">
      <c r="A84" s="99">
        <v>1998.03</v>
      </c>
      <c r="B84" s="960">
        <v>11.699719085909846</v>
      </c>
      <c r="C84" s="2237"/>
      <c r="D84" s="2238"/>
      <c r="E84" s="3236"/>
      <c r="F84" s="2238"/>
      <c r="G84" s="3236"/>
      <c r="H84" s="2238"/>
      <c r="I84" s="3236"/>
      <c r="J84" s="2238"/>
      <c r="K84" s="2239"/>
      <c r="L84" s="2240"/>
    </row>
    <row r="85" spans="1:12">
      <c r="A85" s="99">
        <v>1998.04</v>
      </c>
      <c r="B85" s="960">
        <v>11.673914166619159</v>
      </c>
      <c r="C85" s="2237"/>
      <c r="D85" s="2238"/>
      <c r="E85" s="3236"/>
      <c r="F85" s="2238"/>
      <c r="G85" s="3236"/>
      <c r="H85" s="2238"/>
      <c r="I85" s="3236"/>
      <c r="J85" s="2238"/>
      <c r="K85" s="2239"/>
      <c r="L85" s="2240"/>
    </row>
    <row r="86" spans="1:12">
      <c r="A86" s="99">
        <v>1998.05</v>
      </c>
      <c r="B86" s="960">
        <v>11.678696191491497</v>
      </c>
      <c r="C86" s="2237"/>
      <c r="D86" s="2238"/>
      <c r="E86" s="3236"/>
      <c r="F86" s="2238"/>
      <c r="G86" s="3236"/>
      <c r="H86" s="2238"/>
      <c r="I86" s="3236"/>
      <c r="J86" s="2238"/>
      <c r="K86" s="2239"/>
      <c r="L86" s="2240"/>
    </row>
    <row r="87" spans="1:12">
      <c r="A87" s="99">
        <v>1998.06</v>
      </c>
      <c r="B87" s="960">
        <v>11.679340484677287</v>
      </c>
      <c r="C87" s="2237"/>
      <c r="D87" s="2238"/>
      <c r="E87" s="3236"/>
      <c r="F87" s="2238"/>
      <c r="G87" s="3236"/>
      <c r="H87" s="2238"/>
      <c r="I87" s="3236"/>
      <c r="J87" s="2238"/>
      <c r="K87" s="2239"/>
      <c r="L87" s="2240"/>
    </row>
    <row r="88" spans="1:12">
      <c r="A88" s="99">
        <v>1998.07</v>
      </c>
      <c r="B88" s="960">
        <v>11.633284424681397</v>
      </c>
      <c r="C88" s="2237"/>
      <c r="D88" s="2238"/>
      <c r="E88" s="3236"/>
      <c r="F88" s="2238"/>
      <c r="G88" s="3236"/>
      <c r="H88" s="2238"/>
      <c r="I88" s="3236"/>
      <c r="J88" s="2238"/>
      <c r="K88" s="2239"/>
      <c r="L88" s="2240"/>
    </row>
    <row r="89" spans="1:12">
      <c r="A89" s="99">
        <v>1998.08</v>
      </c>
      <c r="B89" s="960">
        <v>11.556879838632145</v>
      </c>
      <c r="C89" s="2237"/>
      <c r="D89" s="2238"/>
      <c r="E89" s="3236"/>
      <c r="F89" s="2238"/>
      <c r="G89" s="3236"/>
      <c r="H89" s="2238"/>
      <c r="I89" s="3236"/>
      <c r="J89" s="2238"/>
      <c r="K89" s="2239"/>
      <c r="L89" s="2240"/>
    </row>
    <row r="90" spans="1:12">
      <c r="A90" s="99">
        <v>1998.09</v>
      </c>
      <c r="B90" s="960">
        <v>11.525583552386609</v>
      </c>
      <c r="C90" s="2237"/>
      <c r="D90" s="2238"/>
      <c r="E90" s="3236"/>
      <c r="F90" s="2238"/>
      <c r="G90" s="3236"/>
      <c r="H90" s="2238"/>
      <c r="I90" s="3236"/>
      <c r="J90" s="2238"/>
      <c r="K90" s="2239"/>
      <c r="L90" s="2240"/>
    </row>
    <row r="91" spans="1:12">
      <c r="A91" s="99">
        <v>1998.1</v>
      </c>
      <c r="B91" s="960">
        <v>11.508302603015931</v>
      </c>
      <c r="C91" s="2237"/>
      <c r="D91" s="2238"/>
      <c r="E91" s="3236"/>
      <c r="F91" s="2238"/>
      <c r="G91" s="3236"/>
      <c r="H91" s="2238"/>
      <c r="I91" s="3236"/>
      <c r="J91" s="2238"/>
      <c r="K91" s="2239"/>
      <c r="L91" s="2240"/>
    </row>
    <row r="92" spans="1:12">
      <c r="A92" s="99">
        <v>1998.11</v>
      </c>
      <c r="B92" s="960">
        <v>11.536757829266573</v>
      </c>
      <c r="C92" s="2237"/>
      <c r="D92" s="2238"/>
      <c r="E92" s="3236"/>
      <c r="F92" s="2238"/>
      <c r="G92" s="3236"/>
      <c r="H92" s="2238"/>
      <c r="I92" s="3236"/>
      <c r="J92" s="2238"/>
      <c r="K92" s="2239"/>
      <c r="L92" s="2240"/>
    </row>
    <row r="93" spans="1:12">
      <c r="A93" s="99">
        <v>1998.12</v>
      </c>
      <c r="B93" s="960">
        <v>11.474267417737712</v>
      </c>
      <c r="C93" s="2237"/>
      <c r="D93" s="2238"/>
      <c r="E93" s="3236"/>
      <c r="F93" s="2238"/>
      <c r="G93" s="3236"/>
      <c r="H93" s="2238"/>
      <c r="I93" s="3236"/>
      <c r="J93" s="2238"/>
      <c r="K93" s="2239"/>
      <c r="L93" s="2240"/>
    </row>
    <row r="94" spans="1:12">
      <c r="A94" s="99">
        <v>1999.01</v>
      </c>
      <c r="B94" s="960">
        <v>11.348669190527209</v>
      </c>
      <c r="C94" s="2237"/>
      <c r="D94" s="2238"/>
      <c r="E94" s="3236"/>
      <c r="F94" s="2238"/>
      <c r="G94" s="3236"/>
      <c r="H94" s="2238"/>
      <c r="I94" s="3236"/>
      <c r="J94" s="2238"/>
      <c r="K94" s="2239"/>
      <c r="L94" s="2240"/>
    </row>
    <row r="95" spans="1:12">
      <c r="A95" s="99">
        <v>1999.02</v>
      </c>
      <c r="B95" s="960">
        <v>11.252080971343243</v>
      </c>
      <c r="C95" s="2237"/>
      <c r="D95" s="2238"/>
      <c r="E95" s="3236"/>
      <c r="F95" s="2238"/>
      <c r="G95" s="3236"/>
      <c r="H95" s="2238"/>
      <c r="I95" s="3236"/>
      <c r="J95" s="2238"/>
      <c r="K95" s="2239"/>
      <c r="L95" s="2240"/>
    </row>
    <row r="96" spans="1:12">
      <c r="A96" s="99">
        <v>1999.03</v>
      </c>
      <c r="B96" s="960">
        <v>11.204331315120381</v>
      </c>
      <c r="C96" s="2237"/>
      <c r="D96" s="2238"/>
      <c r="E96" s="3236"/>
      <c r="F96" s="2238"/>
      <c r="G96" s="3236"/>
      <c r="H96" s="2238"/>
      <c r="I96" s="3236"/>
      <c r="J96" s="2238"/>
      <c r="K96" s="2239"/>
      <c r="L96" s="2240"/>
    </row>
    <row r="97" spans="1:12">
      <c r="A97" s="99">
        <v>1999.04</v>
      </c>
      <c r="B97" s="960">
        <v>11.241457976968611</v>
      </c>
      <c r="C97" s="2237"/>
      <c r="D97" s="2238"/>
      <c r="E97" s="3236"/>
      <c r="F97" s="2238"/>
      <c r="G97" s="3236"/>
      <c r="H97" s="2238"/>
      <c r="I97" s="3236"/>
      <c r="J97" s="2238"/>
      <c r="K97" s="2239"/>
      <c r="L97" s="2240"/>
    </row>
    <row r="98" spans="1:12">
      <c r="A98" s="99">
        <v>1999.05</v>
      </c>
      <c r="B98" s="960">
        <v>11.190345368272263</v>
      </c>
      <c r="C98" s="2237"/>
      <c r="D98" s="2238"/>
      <c r="E98" s="3236"/>
      <c r="F98" s="2238"/>
      <c r="G98" s="3236"/>
      <c r="H98" s="2238"/>
      <c r="I98" s="3236"/>
      <c r="J98" s="2238"/>
      <c r="K98" s="2239"/>
      <c r="L98" s="2240"/>
    </row>
    <row r="99" spans="1:12">
      <c r="A99" s="99">
        <v>1999.06</v>
      </c>
      <c r="B99" s="960">
        <v>11.133367099889341</v>
      </c>
      <c r="C99" s="2237"/>
      <c r="D99" s="2238"/>
      <c r="E99" s="3236"/>
      <c r="F99" s="2238"/>
      <c r="G99" s="3236"/>
      <c r="H99" s="2238"/>
      <c r="I99" s="3236"/>
      <c r="J99" s="2238"/>
      <c r="K99" s="2239"/>
      <c r="L99" s="2240"/>
    </row>
    <row r="100" spans="1:12">
      <c r="A100" s="99">
        <v>1999.07</v>
      </c>
      <c r="B100" s="960">
        <v>11.134658050243694</v>
      </c>
      <c r="C100" s="2237"/>
      <c r="D100" s="2238"/>
      <c r="E100" s="3236"/>
      <c r="F100" s="2238"/>
      <c r="G100" s="3236"/>
      <c r="H100" s="2238"/>
      <c r="I100" s="3236"/>
      <c r="J100" s="2238"/>
      <c r="K100" s="2239"/>
      <c r="L100" s="2240"/>
    </row>
    <row r="101" spans="1:12">
      <c r="A101" s="99">
        <v>1999.08</v>
      </c>
      <c r="B101" s="960">
        <v>11.094555450580176</v>
      </c>
      <c r="C101" s="2237"/>
      <c r="D101" s="2238"/>
      <c r="E101" s="3236"/>
      <c r="F101" s="2238"/>
      <c r="G101" s="3236"/>
      <c r="H101" s="2238"/>
      <c r="I101" s="3236"/>
      <c r="J101" s="2238"/>
      <c r="K101" s="2239"/>
      <c r="L101" s="2240"/>
    </row>
    <row r="102" spans="1:12">
      <c r="A102" s="99">
        <v>1999.09</v>
      </c>
      <c r="B102" s="960">
        <v>11.036141439056282</v>
      </c>
      <c r="C102" s="2237"/>
      <c r="D102" s="2238"/>
      <c r="E102" s="3236"/>
      <c r="F102" s="2238"/>
      <c r="G102" s="3236"/>
      <c r="H102" s="2238"/>
      <c r="I102" s="3236"/>
      <c r="J102" s="2238"/>
      <c r="K102" s="2239"/>
      <c r="L102" s="2240"/>
    </row>
    <row r="103" spans="1:12">
      <c r="A103" s="99">
        <v>1999.1</v>
      </c>
      <c r="B103" s="960">
        <v>10.872974198387267</v>
      </c>
      <c r="C103" s="2237"/>
      <c r="D103" s="2238"/>
      <c r="E103" s="3236"/>
      <c r="F103" s="2238"/>
      <c r="G103" s="3236"/>
      <c r="H103" s="2238"/>
      <c r="I103" s="3236"/>
      <c r="J103" s="2238"/>
      <c r="K103" s="2239"/>
      <c r="L103" s="2240"/>
    </row>
    <row r="104" spans="1:12">
      <c r="A104" s="99">
        <v>1999.11</v>
      </c>
      <c r="B104" s="960">
        <v>10.850860386665181</v>
      </c>
      <c r="C104" s="2237"/>
      <c r="D104" s="2238"/>
      <c r="E104" s="3236"/>
      <c r="F104" s="2238"/>
      <c r="G104" s="3236"/>
      <c r="H104" s="2238"/>
      <c r="I104" s="3236"/>
      <c r="J104" s="2238"/>
      <c r="K104" s="2239"/>
      <c r="L104" s="2240"/>
    </row>
    <row r="105" spans="1:12">
      <c r="A105" s="99">
        <v>1999.12</v>
      </c>
      <c r="B105" s="960">
        <v>10.749077257250727</v>
      </c>
      <c r="C105" s="2237"/>
      <c r="D105" s="2238"/>
      <c r="E105" s="3236"/>
      <c r="F105" s="2238"/>
      <c r="G105" s="3236"/>
      <c r="H105" s="2238"/>
      <c r="I105" s="3236"/>
      <c r="J105" s="2238"/>
      <c r="K105" s="2239"/>
      <c r="L105" s="2240"/>
    </row>
    <row r="106" spans="1:12">
      <c r="A106" s="99">
        <v>2000.01</v>
      </c>
      <c r="B106" s="960">
        <v>10.688332600214917</v>
      </c>
      <c r="C106" s="2237"/>
      <c r="D106" s="2238"/>
      <c r="E106" s="3236"/>
      <c r="F106" s="2238"/>
      <c r="G106" s="3236"/>
      <c r="H106" s="2238"/>
      <c r="I106" s="3236"/>
      <c r="J106" s="2238"/>
      <c r="K106" s="2239"/>
      <c r="L106" s="2240"/>
    </row>
    <row r="107" spans="1:12">
      <c r="A107" s="99">
        <v>2000.02</v>
      </c>
      <c r="B107" s="960">
        <v>10.713920153757694</v>
      </c>
      <c r="C107" s="2237"/>
      <c r="D107" s="2238"/>
      <c r="E107" s="3236"/>
      <c r="F107" s="2238"/>
      <c r="G107" s="3236"/>
      <c r="H107" s="2238"/>
      <c r="I107" s="3236"/>
      <c r="J107" s="2238"/>
      <c r="K107" s="2239"/>
      <c r="L107" s="2240"/>
    </row>
    <row r="108" spans="1:12">
      <c r="A108" s="99">
        <v>2000.03</v>
      </c>
      <c r="B108" s="960">
        <v>10.838571871696409</v>
      </c>
      <c r="C108" s="2237"/>
      <c r="D108" s="2238"/>
      <c r="E108" s="3236"/>
      <c r="F108" s="2238"/>
      <c r="G108" s="3236"/>
      <c r="H108" s="2238"/>
      <c r="I108" s="3236"/>
      <c r="J108" s="2238"/>
      <c r="K108" s="2239"/>
      <c r="L108" s="2240"/>
    </row>
    <row r="109" spans="1:12">
      <c r="A109" s="99">
        <v>2000.04</v>
      </c>
      <c r="B109" s="960">
        <v>10.700488173195421</v>
      </c>
      <c r="C109" s="2237"/>
      <c r="D109" s="2238"/>
      <c r="E109" s="3236"/>
      <c r="F109" s="2238"/>
      <c r="G109" s="3236"/>
      <c r="H109" s="2238"/>
      <c r="I109" s="3236"/>
      <c r="J109" s="2238"/>
      <c r="K109" s="2239"/>
      <c r="L109" s="2240"/>
    </row>
    <row r="110" spans="1:12">
      <c r="A110" s="99">
        <v>2000.05</v>
      </c>
      <c r="B110" s="960">
        <v>10.564897487822407</v>
      </c>
      <c r="C110" s="2237"/>
      <c r="D110" s="2238"/>
      <c r="E110" s="3236"/>
      <c r="F110" s="2238"/>
      <c r="G110" s="3236"/>
      <c r="H110" s="2238"/>
      <c r="I110" s="3236"/>
      <c r="J110" s="2238"/>
      <c r="K110" s="2239"/>
      <c r="L110" s="2240"/>
    </row>
    <row r="111" spans="1:12">
      <c r="A111" s="99">
        <v>2000.06</v>
      </c>
      <c r="B111" s="960">
        <v>10.595294665851672</v>
      </c>
      <c r="C111" s="2237"/>
      <c r="D111" s="2238"/>
      <c r="E111" s="3236"/>
      <c r="F111" s="2238"/>
      <c r="G111" s="3236"/>
      <c r="H111" s="2238"/>
      <c r="I111" s="3236"/>
      <c r="J111" s="2238"/>
      <c r="K111" s="2239"/>
      <c r="L111" s="2240"/>
    </row>
    <row r="112" spans="1:12">
      <c r="A112" s="99">
        <v>2000.07</v>
      </c>
      <c r="B112" s="960">
        <v>10.52234604967092</v>
      </c>
      <c r="C112" s="2237"/>
      <c r="D112" s="2238"/>
      <c r="E112" s="3236"/>
      <c r="F112" s="2238"/>
      <c r="G112" s="3236"/>
      <c r="H112" s="2238"/>
      <c r="I112" s="3236"/>
      <c r="J112" s="2238"/>
      <c r="K112" s="2239"/>
      <c r="L112" s="2240"/>
    </row>
    <row r="113" spans="1:12">
      <c r="A113" s="99">
        <v>2000.08</v>
      </c>
      <c r="B113" s="960">
        <v>10.54944268865037</v>
      </c>
      <c r="C113" s="2237"/>
      <c r="D113" s="2238"/>
      <c r="E113" s="3236"/>
      <c r="F113" s="2238"/>
      <c r="G113" s="3236"/>
      <c r="H113" s="2238"/>
      <c r="I113" s="3236"/>
      <c r="J113" s="2238"/>
      <c r="K113" s="2239"/>
      <c r="L113" s="2240"/>
    </row>
    <row r="114" spans="1:12">
      <c r="A114" s="99">
        <v>2000.09</v>
      </c>
      <c r="B114" s="960">
        <v>10.53271376632549</v>
      </c>
      <c r="C114" s="2237"/>
      <c r="D114" s="2238"/>
      <c r="E114" s="3236"/>
      <c r="F114" s="2238"/>
      <c r="G114" s="3236"/>
      <c r="H114" s="2238"/>
      <c r="I114" s="3236"/>
      <c r="J114" s="2238"/>
      <c r="K114" s="2239"/>
      <c r="L114" s="2240"/>
    </row>
    <row r="115" spans="1:12">
      <c r="A115" s="99">
        <v>2000.1</v>
      </c>
      <c r="B115" s="960">
        <v>10.510130724820421</v>
      </c>
      <c r="C115" s="2237"/>
      <c r="D115" s="2238"/>
      <c r="E115" s="3236"/>
      <c r="F115" s="2238"/>
      <c r="G115" s="3236"/>
      <c r="H115" s="2238"/>
      <c r="I115" s="3236"/>
      <c r="J115" s="2238"/>
      <c r="K115" s="2239"/>
      <c r="L115" s="2240"/>
    </row>
    <row r="116" spans="1:12">
      <c r="A116" s="99">
        <v>2000.11</v>
      </c>
      <c r="B116" s="960">
        <v>10.431758882474554</v>
      </c>
      <c r="C116" s="2237"/>
      <c r="D116" s="2238"/>
      <c r="E116" s="3236"/>
      <c r="F116" s="2238"/>
      <c r="G116" s="3236"/>
      <c r="H116" s="2238"/>
      <c r="I116" s="3236"/>
      <c r="J116" s="2238"/>
      <c r="K116" s="2239"/>
      <c r="L116" s="2240"/>
    </row>
    <row r="117" spans="1:12">
      <c r="A117" s="99">
        <v>2000.12</v>
      </c>
      <c r="B117" s="960">
        <v>10.307124893640184</v>
      </c>
      <c r="C117" s="2237"/>
      <c r="D117" s="2238"/>
      <c r="E117" s="3236"/>
      <c r="F117" s="2238"/>
      <c r="G117" s="3236"/>
      <c r="H117" s="2238"/>
      <c r="I117" s="3236"/>
      <c r="J117" s="2238"/>
      <c r="K117" s="2239"/>
      <c r="L117" s="2240"/>
    </row>
    <row r="118" spans="1:12">
      <c r="A118" s="99">
        <v>2001.01</v>
      </c>
      <c r="B118" s="960">
        <v>10.257665199451367</v>
      </c>
      <c r="C118" s="2237"/>
      <c r="D118" s="2238"/>
      <c r="E118" s="3236"/>
      <c r="F118" s="2238"/>
      <c r="G118" s="3236"/>
      <c r="H118" s="2238"/>
      <c r="I118" s="3236"/>
      <c r="J118" s="2238"/>
      <c r="K118" s="2239"/>
      <c r="L118" s="2240"/>
    </row>
    <row r="119" spans="1:12">
      <c r="A119" s="99">
        <v>2001.02</v>
      </c>
      <c r="B119" s="960">
        <v>10.25811818550426</v>
      </c>
      <c r="C119" s="2237"/>
      <c r="D119" s="2238"/>
      <c r="E119" s="3236"/>
      <c r="F119" s="2238"/>
      <c r="G119" s="3236"/>
      <c r="H119" s="2238"/>
      <c r="I119" s="3236"/>
      <c r="J119" s="2238"/>
      <c r="K119" s="2239"/>
      <c r="L119" s="2240"/>
    </row>
    <row r="120" spans="1:12">
      <c r="A120" s="99">
        <v>2001.03</v>
      </c>
      <c r="B120" s="960">
        <v>10.33654206620948</v>
      </c>
      <c r="C120" s="2237"/>
      <c r="D120" s="2238"/>
      <c r="E120" s="3236"/>
      <c r="F120" s="2238"/>
      <c r="G120" s="3236"/>
      <c r="H120" s="2238"/>
      <c r="I120" s="3236"/>
      <c r="J120" s="2238"/>
      <c r="K120" s="2239"/>
      <c r="L120" s="2240"/>
    </row>
    <row r="121" spans="1:12">
      <c r="A121" s="99">
        <v>2001.04</v>
      </c>
      <c r="B121" s="960">
        <v>10.377743120499458</v>
      </c>
      <c r="C121" s="2237"/>
      <c r="D121" s="2238"/>
      <c r="E121" s="3236"/>
      <c r="F121" s="2238"/>
      <c r="G121" s="3236"/>
      <c r="H121" s="2238"/>
      <c r="I121" s="3236"/>
      <c r="J121" s="2238"/>
      <c r="K121" s="2239"/>
      <c r="L121" s="2240"/>
    </row>
    <row r="122" spans="1:12">
      <c r="A122" s="99">
        <v>2001.05</v>
      </c>
      <c r="B122" s="960">
        <v>10.343274999253543</v>
      </c>
      <c r="C122" s="2237"/>
      <c r="D122" s="2238"/>
      <c r="E122" s="3236"/>
      <c r="F122" s="2238"/>
      <c r="G122" s="3236"/>
      <c r="H122" s="2238"/>
      <c r="I122" s="3236"/>
      <c r="J122" s="2238"/>
      <c r="K122" s="2239"/>
      <c r="L122" s="2240"/>
    </row>
    <row r="123" spans="1:12">
      <c r="A123" s="99">
        <v>2001.06</v>
      </c>
      <c r="B123" s="960">
        <v>10.234360691938173</v>
      </c>
      <c r="C123" s="2237"/>
      <c r="D123" s="2238"/>
      <c r="E123" s="3236"/>
      <c r="F123" s="2238"/>
      <c r="G123" s="3236"/>
      <c r="H123" s="2238"/>
      <c r="I123" s="3236"/>
      <c r="J123" s="2238"/>
      <c r="K123" s="2239"/>
      <c r="L123" s="2240"/>
    </row>
    <row r="124" spans="1:12">
      <c r="A124" s="99">
        <v>2001.07</v>
      </c>
      <c r="B124" s="960">
        <v>10.210183497528773</v>
      </c>
      <c r="C124" s="2237"/>
      <c r="D124" s="2238"/>
      <c r="E124" s="3236"/>
      <c r="F124" s="2238"/>
      <c r="G124" s="3236"/>
      <c r="H124" s="2238"/>
      <c r="I124" s="3236"/>
      <c r="J124" s="2238"/>
      <c r="K124" s="2239"/>
      <c r="L124" s="2240"/>
    </row>
    <row r="125" spans="1:12">
      <c r="A125" s="99">
        <v>2001.08</v>
      </c>
      <c r="B125" s="960">
        <v>10.20172629796258</v>
      </c>
      <c r="C125" s="2237"/>
      <c r="D125" s="2238"/>
      <c r="E125" s="3236"/>
      <c r="F125" s="2238"/>
      <c r="G125" s="3236"/>
      <c r="H125" s="2238"/>
      <c r="I125" s="3236"/>
      <c r="J125" s="2238"/>
      <c r="K125" s="2239"/>
      <c r="L125" s="2240"/>
    </row>
    <row r="126" spans="1:12">
      <c r="A126" s="99">
        <v>2001.09</v>
      </c>
      <c r="B126" s="960">
        <v>10.242924504364204</v>
      </c>
      <c r="C126" s="2241"/>
      <c r="D126" s="2242"/>
      <c r="E126" s="3237"/>
      <c r="F126" s="2242"/>
      <c r="G126" s="3237"/>
      <c r="H126" s="2242"/>
      <c r="I126" s="3237"/>
      <c r="J126" s="2242"/>
      <c r="K126" s="2243"/>
      <c r="L126" s="308"/>
    </row>
    <row r="127" spans="1:12">
      <c r="A127" s="99">
        <v>2001.1</v>
      </c>
      <c r="B127" s="960">
        <v>10.198397224469424</v>
      </c>
      <c r="C127" s="2241"/>
      <c r="D127" s="2242"/>
      <c r="E127" s="3237"/>
      <c r="F127" s="2242"/>
      <c r="G127" s="3237"/>
      <c r="H127" s="2242"/>
      <c r="I127" s="3237"/>
      <c r="J127" s="2242"/>
      <c r="K127" s="2243"/>
      <c r="L127" s="308"/>
    </row>
    <row r="128" spans="1:12">
      <c r="A128" s="99">
        <v>2001.11</v>
      </c>
      <c r="B128" s="960">
        <v>10.248588781031389</v>
      </c>
      <c r="C128" s="2241"/>
      <c r="D128" s="2242"/>
      <c r="E128" s="3237"/>
      <c r="F128" s="2242"/>
      <c r="G128" s="3237"/>
      <c r="H128" s="2242"/>
      <c r="I128" s="3237"/>
      <c r="J128" s="2242"/>
      <c r="K128" s="2243"/>
      <c r="L128" s="308"/>
    </row>
    <row r="129" spans="1:12">
      <c r="A129" s="99">
        <v>2001.12</v>
      </c>
      <c r="B129" s="960">
        <v>10.22379364870889</v>
      </c>
      <c r="C129" s="2241"/>
      <c r="D129" s="2242"/>
      <c r="E129" s="3237"/>
      <c r="F129" s="2242"/>
      <c r="G129" s="3237"/>
      <c r="H129" s="2242"/>
      <c r="I129" s="3237"/>
      <c r="J129" s="2242"/>
      <c r="K129" s="2243"/>
      <c r="L129" s="308"/>
    </row>
    <row r="130" spans="1:12">
      <c r="A130" s="99">
        <v>2002.01</v>
      </c>
      <c r="B130" s="960">
        <v>10.806141486390064</v>
      </c>
      <c r="C130" s="2241"/>
      <c r="D130" s="2242"/>
      <c r="E130" s="3237"/>
      <c r="F130" s="2242"/>
      <c r="G130" s="3237"/>
      <c r="H130" s="2242"/>
      <c r="I130" s="3237"/>
      <c r="J130" s="2242"/>
      <c r="K130" s="2243"/>
      <c r="L130" s="308"/>
    </row>
    <row r="131" spans="1:12">
      <c r="A131" s="99">
        <v>2002.02</v>
      </c>
      <c r="B131" s="960">
        <v>11.384849288703805</v>
      </c>
      <c r="C131" s="2241"/>
      <c r="D131" s="2242"/>
      <c r="E131" s="3237"/>
      <c r="F131" s="2242"/>
      <c r="G131" s="3237"/>
      <c r="H131" s="2242"/>
      <c r="I131" s="3237"/>
      <c r="J131" s="2242"/>
      <c r="K131" s="2243"/>
      <c r="L131" s="308"/>
    </row>
    <row r="132" spans="1:12">
      <c r="A132" s="99">
        <v>2002.03</v>
      </c>
      <c r="B132" s="960">
        <v>12.52752998806621</v>
      </c>
      <c r="C132" s="2241"/>
      <c r="D132" s="2242"/>
      <c r="E132" s="3237"/>
      <c r="F132" s="2242"/>
      <c r="G132" s="3237"/>
      <c r="H132" s="2242"/>
      <c r="I132" s="3237"/>
      <c r="J132" s="2242"/>
      <c r="K132" s="2243"/>
      <c r="L132" s="308"/>
    </row>
    <row r="133" spans="1:12">
      <c r="A133" s="99">
        <v>2002.04</v>
      </c>
      <c r="B133" s="960">
        <v>14.60459469592492</v>
      </c>
      <c r="C133" s="2241"/>
      <c r="D133" s="2242"/>
      <c r="E133" s="3237"/>
      <c r="F133" s="2242"/>
      <c r="G133" s="3237"/>
      <c r="H133" s="2242"/>
      <c r="I133" s="3237"/>
      <c r="J133" s="2242"/>
      <c r="K133" s="2243"/>
      <c r="L133" s="308"/>
    </row>
    <row r="134" spans="1:12">
      <c r="A134" s="99">
        <v>2002.05</v>
      </c>
      <c r="B134" s="960">
        <v>15.711973924706044</v>
      </c>
      <c r="C134" s="2241"/>
      <c r="D134" s="2242"/>
      <c r="E134" s="3237"/>
      <c r="F134" s="2242"/>
      <c r="G134" s="3237"/>
      <c r="H134" s="2242"/>
      <c r="I134" s="3237"/>
      <c r="J134" s="2242"/>
      <c r="K134" s="2243"/>
      <c r="L134" s="308"/>
    </row>
    <row r="135" spans="1:12">
      <c r="A135" s="99">
        <v>2002.06</v>
      </c>
      <c r="B135" s="960">
        <v>16.780136502816131</v>
      </c>
      <c r="C135" s="2241"/>
      <c r="D135" s="2242"/>
      <c r="E135" s="3237"/>
      <c r="F135" s="2242"/>
      <c r="G135" s="3237"/>
      <c r="H135" s="2242"/>
      <c r="I135" s="3237"/>
      <c r="J135" s="2242"/>
      <c r="K135" s="2243"/>
      <c r="L135" s="308"/>
    </row>
    <row r="136" spans="1:12">
      <c r="A136" s="99">
        <v>2002.07</v>
      </c>
      <c r="B136" s="960">
        <v>17.643613394902555</v>
      </c>
      <c r="C136" s="2241"/>
      <c r="D136" s="2242"/>
      <c r="E136" s="3237"/>
      <c r="F136" s="2242"/>
      <c r="G136" s="3237"/>
      <c r="H136" s="2242"/>
      <c r="I136" s="3237"/>
      <c r="J136" s="2242"/>
      <c r="K136" s="2243"/>
      <c r="L136" s="308"/>
    </row>
    <row r="137" spans="1:12">
      <c r="A137" s="99">
        <v>2002.08</v>
      </c>
      <c r="B137" s="960">
        <v>18.319342434223842</v>
      </c>
      <c r="C137" s="2241"/>
      <c r="D137" s="2242"/>
      <c r="E137" s="3237"/>
      <c r="F137" s="2242"/>
      <c r="G137" s="3237"/>
      <c r="H137" s="2242"/>
      <c r="I137" s="3237"/>
      <c r="J137" s="2242"/>
      <c r="K137" s="2243"/>
      <c r="L137" s="308"/>
    </row>
    <row r="138" spans="1:12">
      <c r="A138" s="99">
        <v>2002.09</v>
      </c>
      <c r="B138" s="960">
        <v>18.577661167473249</v>
      </c>
      <c r="C138" s="2241"/>
      <c r="D138" s="2242"/>
      <c r="E138" s="3237"/>
      <c r="F138" s="2242"/>
      <c r="G138" s="3237"/>
      <c r="H138" s="2242"/>
      <c r="I138" s="3237"/>
      <c r="J138" s="2242"/>
      <c r="K138" s="2243"/>
      <c r="L138" s="308"/>
    </row>
    <row r="139" spans="1:12">
      <c r="A139" s="99">
        <v>2002.1</v>
      </c>
      <c r="B139" s="960">
        <v>18.81512152552564</v>
      </c>
      <c r="C139" s="2241"/>
      <c r="D139" s="2242"/>
      <c r="E139" s="3237"/>
      <c r="F139" s="2242"/>
      <c r="G139" s="3237"/>
      <c r="H139" s="2242"/>
      <c r="I139" s="3237"/>
      <c r="J139" s="2242"/>
      <c r="K139" s="2243"/>
      <c r="L139" s="308"/>
    </row>
    <row r="140" spans="1:12">
      <c r="A140" s="99">
        <v>2002.11</v>
      </c>
      <c r="B140" s="960">
        <v>18.78764085658257</v>
      </c>
      <c r="C140" s="2241"/>
      <c r="D140" s="2242"/>
      <c r="E140" s="3237"/>
      <c r="F140" s="2242"/>
      <c r="G140" s="3237"/>
      <c r="H140" s="2242"/>
      <c r="I140" s="3237"/>
      <c r="J140" s="2242"/>
      <c r="K140" s="2243"/>
      <c r="L140" s="308"/>
    </row>
    <row r="141" spans="1:12">
      <c r="A141" s="99">
        <v>2002.12</v>
      </c>
      <c r="B141" s="960">
        <v>18.898856162877212</v>
      </c>
      <c r="C141" s="2241"/>
      <c r="D141" s="2242"/>
      <c r="E141" s="3237"/>
      <c r="F141" s="2242"/>
      <c r="G141" s="3237"/>
      <c r="H141" s="2242"/>
      <c r="I141" s="3237"/>
      <c r="J141" s="2242"/>
      <c r="K141" s="2243"/>
      <c r="L141" s="308"/>
    </row>
    <row r="142" spans="1:12">
      <c r="A142" s="99">
        <v>2003.01</v>
      </c>
      <c r="B142" s="960">
        <v>19.397058395074893</v>
      </c>
      <c r="C142" s="2241"/>
      <c r="D142" s="2242"/>
      <c r="E142" s="3237"/>
      <c r="F142" s="2242"/>
      <c r="G142" s="3237"/>
      <c r="H142" s="2242"/>
      <c r="I142" s="3237"/>
      <c r="J142" s="2242"/>
      <c r="K142" s="2243"/>
      <c r="L142" s="308"/>
    </row>
    <row r="143" spans="1:12">
      <c r="A143" s="99">
        <v>2003.02</v>
      </c>
      <c r="B143" s="960">
        <v>19.719181510814295</v>
      </c>
      <c r="C143" s="2241"/>
      <c r="D143" s="2242"/>
      <c r="E143" s="3237"/>
      <c r="F143" s="2242"/>
      <c r="G143" s="3237"/>
      <c r="H143" s="2242"/>
      <c r="I143" s="3237"/>
      <c r="J143" s="2242"/>
      <c r="K143" s="2243"/>
      <c r="L143" s="308"/>
    </row>
    <row r="144" spans="1:12">
      <c r="A144" s="99">
        <v>2003.03</v>
      </c>
      <c r="B144" s="960">
        <v>19.890623544215448</v>
      </c>
      <c r="C144" s="2241"/>
      <c r="D144" s="2242"/>
      <c r="E144" s="3237"/>
      <c r="F144" s="2242"/>
      <c r="G144" s="3237"/>
      <c r="H144" s="2242"/>
      <c r="I144" s="3237"/>
      <c r="J144" s="2242"/>
      <c r="K144" s="2243"/>
      <c r="L144" s="308"/>
    </row>
    <row r="145" spans="1:12">
      <c r="A145" s="99">
        <v>2003.04</v>
      </c>
      <c r="B145" s="960">
        <v>19.696456540245084</v>
      </c>
      <c r="C145" s="2241"/>
      <c r="D145" s="2242"/>
      <c r="E145" s="3237"/>
      <c r="F145" s="2242"/>
      <c r="G145" s="3237"/>
      <c r="H145" s="2242"/>
      <c r="I145" s="3237"/>
      <c r="J145" s="2242"/>
      <c r="K145" s="2243"/>
      <c r="L145" s="308"/>
    </row>
    <row r="146" spans="1:12">
      <c r="A146" s="99">
        <v>2003.05</v>
      </c>
      <c r="B146" s="960">
        <v>19.615957830262218</v>
      </c>
      <c r="C146" s="2241"/>
      <c r="D146" s="2242"/>
      <c r="E146" s="3237"/>
      <c r="F146" s="2242"/>
      <c r="G146" s="3237"/>
      <c r="H146" s="2242"/>
      <c r="I146" s="3237"/>
      <c r="J146" s="2242"/>
      <c r="K146" s="2243"/>
      <c r="L146" s="308"/>
    </row>
    <row r="147" spans="1:12">
      <c r="A147" s="99">
        <v>2003.06</v>
      </c>
      <c r="B147" s="960">
        <v>19.450655770860099</v>
      </c>
      <c r="C147" s="2241"/>
      <c r="D147" s="2242"/>
      <c r="E147" s="3237"/>
      <c r="F147" s="2242"/>
      <c r="G147" s="3237"/>
      <c r="H147" s="2242"/>
      <c r="I147" s="3237"/>
      <c r="J147" s="2242"/>
      <c r="K147" s="2243"/>
      <c r="L147" s="308"/>
    </row>
    <row r="148" spans="1:12">
      <c r="A148" s="99">
        <v>2003.07</v>
      </c>
      <c r="B148" s="960">
        <v>19.252432020473293</v>
      </c>
      <c r="C148" s="2241"/>
      <c r="D148" s="2242"/>
      <c r="E148" s="3237"/>
      <c r="F148" s="2242"/>
      <c r="G148" s="3237"/>
      <c r="H148" s="2242"/>
      <c r="I148" s="3237"/>
      <c r="J148" s="2242"/>
      <c r="K148" s="2243"/>
      <c r="L148" s="308"/>
    </row>
    <row r="149" spans="1:12">
      <c r="A149" s="99">
        <v>2003.08</v>
      </c>
      <c r="B149" s="960">
        <v>19.098570482827249</v>
      </c>
      <c r="C149" s="2241"/>
      <c r="D149" s="2242"/>
      <c r="E149" s="3237"/>
      <c r="F149" s="2242"/>
      <c r="G149" s="3237"/>
      <c r="H149" s="2242"/>
      <c r="I149" s="3237"/>
      <c r="J149" s="2242"/>
      <c r="K149" s="2243"/>
      <c r="L149" s="308"/>
    </row>
    <row r="150" spans="1:12">
      <c r="A150" s="99">
        <v>2003.09</v>
      </c>
      <c r="B150" s="960">
        <v>19.020012628413841</v>
      </c>
      <c r="C150" s="2241"/>
      <c r="D150" s="2242"/>
      <c r="E150" s="3237"/>
      <c r="F150" s="2242"/>
      <c r="G150" s="3237"/>
      <c r="H150" s="2242"/>
      <c r="I150" s="3237"/>
      <c r="J150" s="2242"/>
      <c r="K150" s="2243"/>
      <c r="L150" s="308"/>
    </row>
    <row r="151" spans="1:12">
      <c r="A151" s="99">
        <v>2003.1</v>
      </c>
      <c r="B151" s="960">
        <v>19.086612522098349</v>
      </c>
      <c r="C151" s="2241"/>
      <c r="D151" s="2242"/>
      <c r="E151" s="3237"/>
      <c r="F151" s="2242"/>
      <c r="G151" s="3237"/>
      <c r="H151" s="2242"/>
      <c r="I151" s="3237"/>
      <c r="J151" s="2242"/>
      <c r="K151" s="2243"/>
      <c r="L151" s="308"/>
    </row>
    <row r="152" spans="1:12">
      <c r="A152" s="99">
        <v>2003.11</v>
      </c>
      <c r="B152" s="960">
        <v>19.225894699916218</v>
      </c>
      <c r="C152" s="2241"/>
      <c r="D152" s="2242"/>
      <c r="E152" s="3237"/>
      <c r="F152" s="2242"/>
      <c r="G152" s="3237"/>
      <c r="H152" s="2242"/>
      <c r="I152" s="3237"/>
      <c r="J152" s="2242"/>
      <c r="K152" s="2243"/>
      <c r="L152" s="308"/>
    </row>
    <row r="153" spans="1:12">
      <c r="A153" s="99">
        <v>2003.12</v>
      </c>
      <c r="B153" s="960">
        <v>19.471699771918196</v>
      </c>
      <c r="C153" s="2241"/>
      <c r="D153" s="2242"/>
      <c r="E153" s="3237"/>
      <c r="F153" s="2242"/>
      <c r="G153" s="3237"/>
      <c r="H153" s="2242"/>
      <c r="I153" s="3237"/>
      <c r="J153" s="2242"/>
      <c r="K153" s="2243"/>
      <c r="L153" s="308"/>
    </row>
    <row r="154" spans="1:12">
      <c r="A154" s="99">
        <v>2004.01</v>
      </c>
      <c r="B154" s="960">
        <v>19.492646058850863</v>
      </c>
      <c r="C154" s="2241"/>
      <c r="D154" s="2242"/>
      <c r="E154" s="3237"/>
      <c r="F154" s="2242"/>
      <c r="G154" s="3237"/>
      <c r="H154" s="2242"/>
      <c r="I154" s="3237"/>
      <c r="J154" s="2242"/>
      <c r="K154" s="2243"/>
      <c r="L154" s="308"/>
    </row>
    <row r="155" spans="1:12">
      <c r="A155" s="99">
        <v>2004.02</v>
      </c>
      <c r="B155" s="960">
        <v>19.686204026685076</v>
      </c>
      <c r="C155" s="2241"/>
      <c r="D155" s="2242"/>
      <c r="E155" s="3237"/>
      <c r="F155" s="2242"/>
      <c r="G155" s="3237"/>
      <c r="H155" s="2242"/>
      <c r="I155" s="3237"/>
      <c r="J155" s="2242"/>
      <c r="K155" s="2243"/>
      <c r="L155" s="308"/>
    </row>
    <row r="156" spans="1:12">
      <c r="A156" s="99">
        <v>2004.03</v>
      </c>
      <c r="B156" s="960">
        <v>19.856469407130298</v>
      </c>
      <c r="C156" s="2241"/>
      <c r="D156" s="2242"/>
      <c r="E156" s="3237"/>
      <c r="F156" s="2242"/>
      <c r="G156" s="3237"/>
      <c r="H156" s="2242"/>
      <c r="I156" s="3237"/>
      <c r="J156" s="2242"/>
      <c r="K156" s="2243"/>
      <c r="L156" s="308"/>
    </row>
    <row r="157" spans="1:12">
      <c r="A157" s="99">
        <v>2004.04</v>
      </c>
      <c r="B157" s="960">
        <v>19.929153512275327</v>
      </c>
      <c r="C157" s="2241"/>
      <c r="D157" s="2242"/>
      <c r="E157" s="3237"/>
      <c r="F157" s="2242"/>
      <c r="G157" s="3237"/>
      <c r="H157" s="2242"/>
      <c r="I157" s="3237"/>
      <c r="J157" s="2242"/>
      <c r="K157" s="2243"/>
      <c r="L157" s="308"/>
    </row>
    <row r="158" spans="1:12">
      <c r="A158" s="99">
        <v>2004.05</v>
      </c>
      <c r="B158" s="960">
        <v>20.02016992419026</v>
      </c>
      <c r="C158" s="2241"/>
      <c r="D158" s="2242"/>
      <c r="E158" s="3237"/>
      <c r="F158" s="2242"/>
      <c r="G158" s="3237"/>
      <c r="H158" s="2242"/>
      <c r="I158" s="3237"/>
      <c r="J158" s="2242"/>
      <c r="K158" s="2243"/>
      <c r="L158" s="308"/>
    </row>
    <row r="159" spans="1:12">
      <c r="A159" s="99">
        <v>2004.06</v>
      </c>
      <c r="B159" s="960">
        <v>20.14610730226385</v>
      </c>
      <c r="C159" s="2241"/>
      <c r="D159" s="2242"/>
      <c r="E159" s="3237"/>
      <c r="F159" s="2242"/>
      <c r="G159" s="3237"/>
      <c r="H159" s="2242"/>
      <c r="I159" s="3237"/>
      <c r="J159" s="2242"/>
      <c r="K159" s="2243"/>
      <c r="L159" s="308"/>
    </row>
    <row r="160" spans="1:12">
      <c r="A160" s="99">
        <v>2004.07</v>
      </c>
      <c r="B160" s="960">
        <v>20.245417675280859</v>
      </c>
      <c r="C160" s="2241"/>
      <c r="D160" s="2242"/>
      <c r="E160" s="3237"/>
      <c r="F160" s="2242"/>
      <c r="G160" s="3237"/>
      <c r="H160" s="2242"/>
      <c r="I160" s="3237"/>
      <c r="J160" s="2242"/>
      <c r="K160" s="2243"/>
      <c r="L160" s="308"/>
    </row>
    <row r="161" spans="1:12">
      <c r="A161" s="99">
        <v>2004.08</v>
      </c>
      <c r="B161" s="960">
        <v>20.565933582209777</v>
      </c>
      <c r="C161" s="2241"/>
      <c r="D161" s="2242"/>
      <c r="E161" s="3237"/>
      <c r="F161" s="2242"/>
      <c r="G161" s="3237"/>
      <c r="H161" s="2242"/>
      <c r="I161" s="3237"/>
      <c r="J161" s="2242"/>
      <c r="K161" s="2243"/>
      <c r="L161" s="308"/>
    </row>
    <row r="162" spans="1:12">
      <c r="A162" s="99">
        <v>2004.09</v>
      </c>
      <c r="B162" s="960">
        <v>20.669869434893201</v>
      </c>
      <c r="C162" s="2241"/>
      <c r="D162" s="2242"/>
      <c r="E162" s="3237"/>
      <c r="F162" s="2242"/>
      <c r="G162" s="3237"/>
      <c r="H162" s="2242"/>
      <c r="I162" s="3237"/>
      <c r="J162" s="2242"/>
      <c r="K162" s="2243"/>
      <c r="L162" s="308"/>
    </row>
    <row r="163" spans="1:12">
      <c r="A163" s="99">
        <v>2004.1</v>
      </c>
      <c r="B163" s="960">
        <v>20.556058689557101</v>
      </c>
      <c r="C163" s="2241"/>
      <c r="D163" s="2242"/>
      <c r="E163" s="3237"/>
      <c r="F163" s="2242"/>
      <c r="G163" s="3237"/>
      <c r="H163" s="2242"/>
      <c r="I163" s="3237"/>
      <c r="J163" s="2242"/>
      <c r="K163" s="2243"/>
      <c r="L163" s="308"/>
    </row>
    <row r="164" spans="1:12">
      <c r="A164" s="99">
        <v>2004.11</v>
      </c>
      <c r="B164" s="960">
        <v>20.391921665006649</v>
      </c>
      <c r="C164" s="2241"/>
      <c r="D164" s="2242"/>
      <c r="E164" s="3237"/>
      <c r="F164" s="2242"/>
      <c r="G164" s="3237"/>
      <c r="H164" s="2242"/>
      <c r="I164" s="3237"/>
      <c r="J164" s="2242"/>
      <c r="K164" s="2243"/>
      <c r="L164" s="308"/>
    </row>
    <row r="165" spans="1:12">
      <c r="A165" s="99">
        <v>2004.12</v>
      </c>
      <c r="B165" s="960">
        <v>20.426251425069367</v>
      </c>
      <c r="C165" s="2241"/>
      <c r="D165" s="2242"/>
      <c r="E165" s="3237"/>
      <c r="F165" s="2242"/>
      <c r="G165" s="3237"/>
      <c r="H165" s="2242"/>
      <c r="I165" s="3237"/>
      <c r="J165" s="2242"/>
      <c r="K165" s="2243"/>
      <c r="L165" s="308"/>
    </row>
    <row r="166" spans="1:12">
      <c r="A166" s="99">
        <v>2005.01</v>
      </c>
      <c r="B166" s="960">
        <v>20.497117584640222</v>
      </c>
      <c r="C166" s="2241"/>
      <c r="D166" s="2242"/>
      <c r="E166" s="3237"/>
      <c r="F166" s="2242"/>
      <c r="G166" s="3237"/>
      <c r="H166" s="2242"/>
      <c r="I166" s="3237"/>
      <c r="J166" s="2242"/>
      <c r="K166" s="2243"/>
      <c r="L166" s="308"/>
    </row>
    <row r="167" spans="1:12">
      <c r="A167" s="99">
        <v>2005.02</v>
      </c>
      <c r="B167" s="960">
        <v>20.914463134190665</v>
      </c>
      <c r="C167" s="2241"/>
      <c r="D167" s="2242"/>
      <c r="E167" s="3237"/>
      <c r="F167" s="2242"/>
      <c r="G167" s="3237"/>
      <c r="H167" s="2242"/>
      <c r="I167" s="3237"/>
      <c r="J167" s="2242"/>
      <c r="K167" s="2243"/>
      <c r="L167" s="308"/>
    </row>
    <row r="168" spans="1:12">
      <c r="A168" s="99">
        <v>2005.03</v>
      </c>
      <c r="B168" s="960">
        <v>21.487103597799955</v>
      </c>
      <c r="C168" s="2241"/>
      <c r="D168" s="2242"/>
      <c r="E168" s="3237"/>
      <c r="F168" s="2242"/>
      <c r="G168" s="3237"/>
      <c r="H168" s="2242"/>
      <c r="I168" s="3237"/>
      <c r="J168" s="2242"/>
      <c r="K168" s="2243"/>
      <c r="L168" s="308"/>
    </row>
    <row r="169" spans="1:12">
      <c r="A169" s="99">
        <v>2005.04</v>
      </c>
      <c r="B169" s="960">
        <v>21.552195897890812</v>
      </c>
      <c r="C169" s="2241"/>
      <c r="D169" s="2242"/>
      <c r="E169" s="3237"/>
      <c r="F169" s="2242"/>
      <c r="G169" s="3237"/>
      <c r="H169" s="2242"/>
      <c r="I169" s="3237"/>
      <c r="J169" s="2242"/>
      <c r="K169" s="2243"/>
      <c r="L169" s="308"/>
    </row>
    <row r="170" spans="1:12">
      <c r="A170" s="99">
        <v>2005.05</v>
      </c>
      <c r="B170" s="960">
        <v>21.447195572610667</v>
      </c>
      <c r="C170" s="2241"/>
      <c r="D170" s="2242"/>
      <c r="E170" s="3237"/>
      <c r="F170" s="2242"/>
      <c r="G170" s="3237"/>
      <c r="H170" s="2242"/>
      <c r="I170" s="3237"/>
      <c r="J170" s="2242"/>
      <c r="K170" s="2243"/>
      <c r="L170" s="308"/>
    </row>
    <row r="171" spans="1:12">
      <c r="A171" s="99">
        <v>2005.06</v>
      </c>
      <c r="B171" s="960">
        <v>21.560438426808055</v>
      </c>
      <c r="C171" s="2241"/>
      <c r="D171" s="2242"/>
      <c r="E171" s="3237"/>
      <c r="F171" s="2242"/>
      <c r="G171" s="3237"/>
      <c r="H171" s="2242"/>
      <c r="I171" s="3237"/>
      <c r="J171" s="2242"/>
      <c r="K171" s="2243"/>
      <c r="L171" s="308"/>
    </row>
    <row r="172" spans="1:12">
      <c r="A172" s="99">
        <v>2005.07</v>
      </c>
      <c r="B172" s="960">
        <v>21.856117073290431</v>
      </c>
      <c r="C172" s="2241"/>
      <c r="D172" s="2242"/>
      <c r="E172" s="3237"/>
      <c r="F172" s="2242"/>
      <c r="G172" s="3237"/>
      <c r="H172" s="2242"/>
      <c r="I172" s="3237"/>
      <c r="J172" s="2242"/>
      <c r="K172" s="2243"/>
      <c r="L172" s="308"/>
    </row>
    <row r="173" spans="1:12">
      <c r="A173" s="99">
        <v>2005.08</v>
      </c>
      <c r="B173" s="960">
        <v>22.138620647499852</v>
      </c>
      <c r="C173" s="2241"/>
      <c r="D173" s="2242"/>
      <c r="E173" s="3237"/>
      <c r="F173" s="2242"/>
      <c r="G173" s="3237"/>
      <c r="H173" s="2242"/>
      <c r="I173" s="3237"/>
      <c r="J173" s="2242"/>
      <c r="K173" s="2243"/>
      <c r="L173" s="308"/>
    </row>
    <row r="174" spans="1:12">
      <c r="A174" s="99">
        <v>2005.09</v>
      </c>
      <c r="B174" s="960">
        <v>22.360793097572273</v>
      </c>
      <c r="C174" s="2241"/>
      <c r="D174" s="2242"/>
      <c r="E174" s="3237"/>
      <c r="F174" s="2242"/>
      <c r="G174" s="3237"/>
      <c r="H174" s="2242"/>
      <c r="I174" s="3237"/>
      <c r="J174" s="2242"/>
      <c r="K174" s="2243"/>
      <c r="L174" s="308"/>
    </row>
    <row r="175" spans="1:12">
      <c r="A175" s="99">
        <v>2005.1</v>
      </c>
      <c r="B175" s="960">
        <v>22.448949856335187</v>
      </c>
      <c r="C175" s="2241"/>
      <c r="D175" s="2242"/>
      <c r="E175" s="3237"/>
      <c r="F175" s="2242"/>
      <c r="G175" s="3237"/>
      <c r="H175" s="2242"/>
      <c r="I175" s="3237"/>
      <c r="J175" s="2242"/>
      <c r="K175" s="2243"/>
      <c r="L175" s="308"/>
    </row>
    <row r="176" spans="1:12">
      <c r="A176" s="99">
        <v>2005.11</v>
      </c>
      <c r="B176" s="960">
        <v>22.71038650477341</v>
      </c>
      <c r="C176" s="2241"/>
      <c r="D176" s="2242"/>
      <c r="E176" s="3237"/>
      <c r="F176" s="2242"/>
      <c r="G176" s="3237"/>
      <c r="H176" s="2242"/>
      <c r="I176" s="3237"/>
      <c r="J176" s="2242"/>
      <c r="K176" s="2243"/>
      <c r="L176" s="308"/>
    </row>
    <row r="177" spans="1:12">
      <c r="A177" s="99">
        <v>2005.12</v>
      </c>
      <c r="B177" s="960">
        <v>22.88147372323666</v>
      </c>
      <c r="C177" s="2241"/>
      <c r="D177" s="2242"/>
      <c r="E177" s="3237"/>
      <c r="F177" s="2242"/>
      <c r="G177" s="3237"/>
      <c r="H177" s="2242"/>
      <c r="I177" s="3237"/>
      <c r="J177" s="2242"/>
      <c r="K177" s="2243"/>
      <c r="L177" s="308"/>
    </row>
    <row r="178" spans="1:12">
      <c r="A178" s="99">
        <v>2006.01</v>
      </c>
      <c r="B178" s="960">
        <v>23.417803318194487</v>
      </c>
      <c r="C178" s="2241"/>
      <c r="D178" s="2242"/>
      <c r="E178" s="3237"/>
      <c r="F178" s="2242"/>
      <c r="G178" s="3237"/>
      <c r="H178" s="2242"/>
      <c r="I178" s="3237"/>
      <c r="J178" s="2242"/>
      <c r="K178" s="2243"/>
      <c r="L178" s="308"/>
    </row>
    <row r="179" spans="1:12">
      <c r="A179" s="99">
        <v>2006.02</v>
      </c>
      <c r="B179" s="960">
        <v>23.452405227546606</v>
      </c>
      <c r="C179" s="2241"/>
      <c r="D179" s="2242"/>
      <c r="E179" s="3237"/>
      <c r="F179" s="2242"/>
      <c r="G179" s="3237"/>
      <c r="H179" s="2242"/>
      <c r="I179" s="3237"/>
      <c r="J179" s="2242"/>
      <c r="K179" s="2243"/>
      <c r="L179" s="308"/>
    </row>
    <row r="180" spans="1:12">
      <c r="A180" s="99">
        <v>2006.03</v>
      </c>
      <c r="B180" s="960">
        <v>23.654249698767295</v>
      </c>
      <c r="C180" s="2241"/>
      <c r="D180" s="2242"/>
      <c r="E180" s="3237"/>
      <c r="F180" s="2242"/>
      <c r="G180" s="3237"/>
      <c r="H180" s="2242"/>
      <c r="I180" s="3237"/>
      <c r="J180" s="2242"/>
      <c r="K180" s="2243"/>
      <c r="L180" s="308"/>
    </row>
    <row r="181" spans="1:12">
      <c r="A181" s="99">
        <v>2006.04</v>
      </c>
      <c r="B181" s="960">
        <v>23.904152377421479</v>
      </c>
      <c r="C181" s="2241"/>
      <c r="D181" s="2242"/>
      <c r="E181" s="3237"/>
      <c r="F181" s="2242"/>
      <c r="G181" s="3237"/>
      <c r="H181" s="2242"/>
      <c r="I181" s="3237"/>
      <c r="J181" s="2242"/>
      <c r="K181" s="2243"/>
      <c r="L181" s="308"/>
    </row>
    <row r="182" spans="1:12">
      <c r="A182" s="99">
        <v>2006.05</v>
      </c>
      <c r="B182" s="960">
        <v>24.002191120585813</v>
      </c>
      <c r="C182" s="2241"/>
      <c r="D182" s="2242"/>
      <c r="E182" s="3237"/>
      <c r="F182" s="2242"/>
      <c r="G182" s="3237"/>
      <c r="H182" s="2242"/>
      <c r="I182" s="3237"/>
      <c r="J182" s="2242"/>
      <c r="K182" s="2243"/>
      <c r="L182" s="308"/>
    </row>
    <row r="183" spans="1:12">
      <c r="A183" s="99">
        <v>2006.06</v>
      </c>
      <c r="B183" s="960">
        <v>24.050249328019309</v>
      </c>
      <c r="C183" s="2241"/>
      <c r="D183" s="2242"/>
      <c r="E183" s="3237"/>
      <c r="F183" s="2242"/>
      <c r="G183" s="3237"/>
      <c r="H183" s="2242"/>
      <c r="I183" s="3237"/>
      <c r="J183" s="2242"/>
      <c r="K183" s="2243"/>
      <c r="L183" s="308"/>
    </row>
    <row r="184" spans="1:12">
      <c r="A184" s="99">
        <v>2006.07</v>
      </c>
      <c r="B184" s="960">
        <v>24.125220131615563</v>
      </c>
      <c r="C184" s="2241"/>
      <c r="D184" s="2242"/>
      <c r="E184" s="3237"/>
      <c r="F184" s="2242"/>
      <c r="G184" s="3237"/>
      <c r="H184" s="2242"/>
      <c r="I184" s="3237"/>
      <c r="J184" s="2242"/>
      <c r="K184" s="2243"/>
      <c r="L184" s="308"/>
    </row>
    <row r="185" spans="1:12">
      <c r="A185" s="99">
        <v>2006.08</v>
      </c>
      <c r="B185" s="960">
        <v>24.265550097321377</v>
      </c>
      <c r="C185" s="2241"/>
      <c r="D185" s="2242"/>
      <c r="E185" s="3237"/>
      <c r="F185" s="2242"/>
      <c r="G185" s="3237"/>
      <c r="H185" s="2242"/>
      <c r="I185" s="3237"/>
      <c r="J185" s="2242"/>
      <c r="K185" s="2243"/>
      <c r="L185" s="308"/>
    </row>
    <row r="186" spans="1:12">
      <c r="A186" s="99">
        <v>2006.09</v>
      </c>
      <c r="B186" s="960">
        <v>24.434714987487286</v>
      </c>
      <c r="C186" s="2241"/>
      <c r="D186" s="2242"/>
      <c r="E186" s="3237"/>
      <c r="F186" s="2242"/>
      <c r="G186" s="3237"/>
      <c r="H186" s="2242"/>
      <c r="I186" s="3237"/>
      <c r="J186" s="2242"/>
      <c r="K186" s="2243"/>
      <c r="L186" s="308"/>
    </row>
    <row r="187" spans="1:12">
      <c r="A187" s="99">
        <v>2006.1</v>
      </c>
      <c r="B187" s="960">
        <v>24.790345722495164</v>
      </c>
      <c r="C187" s="2241"/>
      <c r="D187" s="2242"/>
      <c r="E187" s="3237"/>
      <c r="F187" s="2242"/>
      <c r="G187" s="3237"/>
      <c r="H187" s="2242"/>
      <c r="I187" s="3237"/>
      <c r="J187" s="2242"/>
      <c r="K187" s="2243"/>
      <c r="L187" s="308"/>
    </row>
    <row r="188" spans="1:12">
      <c r="A188" s="99">
        <v>2006.11</v>
      </c>
      <c r="B188" s="960">
        <v>25.042170729446688</v>
      </c>
      <c r="C188" s="2241"/>
      <c r="D188" s="2242"/>
      <c r="E188" s="3237"/>
      <c r="F188" s="2242"/>
      <c r="G188" s="3237"/>
      <c r="H188" s="2242"/>
      <c r="I188" s="3237"/>
      <c r="J188" s="2242"/>
      <c r="K188" s="2243"/>
      <c r="L188" s="308"/>
    </row>
    <row r="189" spans="1:12">
      <c r="A189" s="99">
        <v>2006.12</v>
      </c>
      <c r="B189" s="960">
        <v>25.342053943831708</v>
      </c>
      <c r="C189" s="2241"/>
      <c r="D189" s="2242"/>
      <c r="E189" s="3237"/>
      <c r="F189" s="2242"/>
      <c r="G189" s="3237"/>
      <c r="H189" s="2242"/>
      <c r="I189" s="3237"/>
      <c r="J189" s="2242"/>
      <c r="K189" s="2243"/>
      <c r="L189" s="308"/>
    </row>
    <row r="190" spans="1:12">
      <c r="A190" s="99">
        <v>2007.01</v>
      </c>
      <c r="B190" s="960">
        <v>25.665005097784807</v>
      </c>
      <c r="C190" s="2241"/>
      <c r="D190" s="2242"/>
      <c r="E190" s="3237"/>
      <c r="F190" s="2242"/>
      <c r="G190" s="3237"/>
      <c r="H190" s="2242"/>
      <c r="I190" s="3237"/>
      <c r="J190" s="2242"/>
      <c r="K190" s="2243"/>
      <c r="L190" s="308"/>
    </row>
    <row r="191" spans="1:12">
      <c r="A191" s="99">
        <v>2007.02</v>
      </c>
      <c r="B191" s="960">
        <v>25.884150523681555</v>
      </c>
      <c r="C191" s="2241"/>
      <c r="D191" s="2242"/>
      <c r="E191" s="3237"/>
      <c r="F191" s="2242"/>
      <c r="G191" s="3237"/>
      <c r="H191" s="2242"/>
      <c r="I191" s="3237"/>
      <c r="J191" s="2242"/>
      <c r="K191" s="2243"/>
      <c r="L191" s="308"/>
    </row>
    <row r="192" spans="1:12">
      <c r="A192" s="99">
        <v>2007.03</v>
      </c>
      <c r="B192" s="960">
        <v>26.24170358698677</v>
      </c>
      <c r="C192" s="2241"/>
      <c r="D192" s="2242"/>
      <c r="E192" s="3237"/>
      <c r="F192" s="2242"/>
      <c r="G192" s="3237"/>
      <c r="H192" s="2242"/>
      <c r="I192" s="3237"/>
      <c r="J192" s="2242"/>
      <c r="K192" s="2243"/>
      <c r="L192" s="308"/>
    </row>
    <row r="193" spans="1:12">
      <c r="A193" s="99">
        <v>2007.04</v>
      </c>
      <c r="B193" s="960">
        <v>26.699217721753659</v>
      </c>
      <c r="C193" s="2241"/>
      <c r="D193" s="2242"/>
      <c r="E193" s="3237"/>
      <c r="F193" s="2242"/>
      <c r="G193" s="3237"/>
      <c r="H193" s="2242"/>
      <c r="I193" s="3237"/>
      <c r="J193" s="2242"/>
      <c r="K193" s="2243"/>
      <c r="L193" s="308"/>
    </row>
    <row r="194" spans="1:12">
      <c r="A194" s="99">
        <v>2007.05</v>
      </c>
      <c r="B194" s="960">
        <v>26.893372879784991</v>
      </c>
      <c r="C194" s="2241"/>
      <c r="D194" s="2242"/>
      <c r="E194" s="3237"/>
      <c r="F194" s="2242"/>
      <c r="G194" s="3237"/>
      <c r="H194" s="2242"/>
      <c r="I194" s="3237"/>
      <c r="J194" s="2242"/>
      <c r="K194" s="2243"/>
      <c r="L194" s="308"/>
    </row>
    <row r="195" spans="1:12">
      <c r="A195" s="99">
        <v>2007.06</v>
      </c>
      <c r="B195" s="960">
        <v>27.120207618871099</v>
      </c>
      <c r="C195" s="2241"/>
      <c r="D195" s="2242"/>
      <c r="E195" s="3237"/>
      <c r="F195" s="2242"/>
      <c r="G195" s="3237"/>
      <c r="H195" s="2242"/>
      <c r="I195" s="3237"/>
      <c r="J195" s="2242"/>
      <c r="K195" s="2243"/>
      <c r="L195" s="308"/>
    </row>
    <row r="196" spans="1:12">
      <c r="A196" s="99">
        <v>2007.07</v>
      </c>
      <c r="B196" s="960">
        <v>27.379721939011983</v>
      </c>
      <c r="C196" s="2241"/>
      <c r="D196" s="2242"/>
      <c r="E196" s="3237"/>
      <c r="F196" s="2242"/>
      <c r="G196" s="3237"/>
      <c r="H196" s="2242"/>
      <c r="I196" s="3237"/>
      <c r="J196" s="2242"/>
      <c r="K196" s="2243"/>
      <c r="L196" s="308"/>
    </row>
    <row r="197" spans="1:12">
      <c r="A197" s="99">
        <v>2007.08</v>
      </c>
      <c r="B197" s="960">
        <v>27.677682825099662</v>
      </c>
      <c r="C197" s="2241"/>
      <c r="D197" s="2242"/>
      <c r="E197" s="3237"/>
      <c r="F197" s="2242"/>
      <c r="G197" s="3237"/>
      <c r="H197" s="2242"/>
      <c r="I197" s="3237"/>
      <c r="J197" s="2242"/>
      <c r="K197" s="2243"/>
      <c r="L197" s="308"/>
    </row>
    <row r="198" spans="1:12">
      <c r="A198" s="99">
        <v>2007.09</v>
      </c>
      <c r="B198" s="960">
        <v>27.958342756511289</v>
      </c>
      <c r="C198" s="2241"/>
      <c r="D198" s="2242"/>
      <c r="E198" s="3237"/>
      <c r="F198" s="2242"/>
      <c r="G198" s="3237"/>
      <c r="H198" s="2242"/>
      <c r="I198" s="3237"/>
      <c r="J198" s="2242"/>
      <c r="K198" s="2243"/>
      <c r="L198" s="308"/>
    </row>
    <row r="199" spans="1:12">
      <c r="A199" s="99">
        <v>2007.1</v>
      </c>
      <c r="B199" s="960">
        <v>28.227468718138873</v>
      </c>
      <c r="C199" s="2241"/>
      <c r="D199" s="2242"/>
      <c r="E199" s="3237"/>
      <c r="F199" s="2242"/>
      <c r="G199" s="3237"/>
      <c r="H199" s="2242"/>
      <c r="I199" s="3237"/>
      <c r="J199" s="2242"/>
      <c r="K199" s="2243"/>
      <c r="L199" s="308"/>
    </row>
    <row r="200" spans="1:12">
      <c r="A200" s="99">
        <v>2007.11</v>
      </c>
      <c r="B200" s="960">
        <v>28.089061080730399</v>
      </c>
      <c r="C200" s="2241"/>
      <c r="D200" s="2242"/>
      <c r="E200" s="3237"/>
      <c r="F200" s="2242"/>
      <c r="G200" s="3237"/>
      <c r="H200" s="2242"/>
      <c r="I200" s="3237"/>
      <c r="J200" s="2242"/>
      <c r="K200" s="2243"/>
      <c r="L200" s="308"/>
    </row>
    <row r="201" spans="1:12">
      <c r="A201" s="99">
        <v>2007.12</v>
      </c>
      <c r="B201" s="960">
        <v>28.506206321253149</v>
      </c>
      <c r="C201" s="2241"/>
      <c r="D201" s="2242"/>
      <c r="E201" s="3237"/>
      <c r="F201" s="2242"/>
      <c r="G201" s="3237"/>
      <c r="H201" s="2242"/>
      <c r="I201" s="3237"/>
      <c r="J201" s="2242"/>
      <c r="K201" s="2243"/>
      <c r="L201" s="308"/>
    </row>
    <row r="202" spans="1:12">
      <c r="A202" s="99">
        <v>2008.01</v>
      </c>
      <c r="B202" s="960">
        <v>28.890671980721123</v>
      </c>
      <c r="C202" s="2241"/>
      <c r="D202" s="2242"/>
      <c r="E202" s="3237"/>
      <c r="F202" s="2242"/>
      <c r="G202" s="3237"/>
      <c r="H202" s="2242"/>
      <c r="I202" s="3237"/>
      <c r="J202" s="2242"/>
      <c r="K202" s="2243"/>
      <c r="L202" s="308"/>
    </row>
    <row r="203" spans="1:12">
      <c r="A203" s="99">
        <v>2008.02</v>
      </c>
      <c r="B203" s="960">
        <v>29.284749281675804</v>
      </c>
      <c r="C203" s="2241"/>
      <c r="D203" s="2242"/>
      <c r="E203" s="3237"/>
      <c r="F203" s="2242"/>
      <c r="G203" s="3237"/>
      <c r="H203" s="2242"/>
      <c r="I203" s="3237"/>
      <c r="J203" s="2242"/>
      <c r="K203" s="2243"/>
      <c r="L203" s="308"/>
    </row>
    <row r="204" spans="1:12">
      <c r="A204" s="99">
        <v>2008.03</v>
      </c>
      <c r="B204" s="960">
        <v>30.528495690054708</v>
      </c>
      <c r="C204" s="2241"/>
      <c r="D204" s="2242"/>
      <c r="E204" s="3237"/>
      <c r="F204" s="2242"/>
      <c r="G204" s="3237"/>
      <c r="H204" s="2242"/>
      <c r="I204" s="3237"/>
      <c r="J204" s="2242"/>
      <c r="K204" s="2243"/>
      <c r="L204" s="308"/>
    </row>
    <row r="205" spans="1:12">
      <c r="A205" s="99">
        <v>2008.04</v>
      </c>
      <c r="B205" s="960">
        <v>31.58385392529431</v>
      </c>
      <c r="C205" s="2241"/>
      <c r="D205" s="2242"/>
      <c r="E205" s="3237"/>
      <c r="F205" s="2242"/>
      <c r="G205" s="3237"/>
      <c r="H205" s="2242"/>
      <c r="I205" s="3237"/>
      <c r="J205" s="2242"/>
      <c r="K205" s="2243"/>
      <c r="L205" s="308"/>
    </row>
    <row r="206" spans="1:12">
      <c r="A206" s="99">
        <v>2008.05</v>
      </c>
      <c r="B206" s="960">
        <v>32.129795161738834</v>
      </c>
      <c r="C206" s="2241"/>
      <c r="D206" s="2242"/>
      <c r="E206" s="3237"/>
      <c r="F206" s="2242"/>
      <c r="G206" s="3237"/>
      <c r="H206" s="2242"/>
      <c r="I206" s="3237"/>
      <c r="J206" s="2242"/>
      <c r="K206" s="2243"/>
      <c r="L206" s="308"/>
    </row>
    <row r="207" spans="1:12">
      <c r="A207" s="99">
        <v>2008.06</v>
      </c>
      <c r="B207" s="960">
        <v>32.83144499026789</v>
      </c>
      <c r="C207" s="2241"/>
      <c r="D207" s="2242"/>
      <c r="E207" s="3237"/>
      <c r="F207" s="2242"/>
      <c r="G207" s="3237"/>
      <c r="H207" s="2242"/>
      <c r="I207" s="3237"/>
      <c r="J207" s="2242"/>
      <c r="K207" s="2243"/>
      <c r="L207" s="308"/>
    </row>
    <row r="208" spans="1:12">
      <c r="A208" s="99">
        <v>2008.07</v>
      </c>
      <c r="B208" s="960">
        <v>33.325483362684245</v>
      </c>
      <c r="C208" s="2241"/>
      <c r="D208" s="2242"/>
      <c r="E208" s="3237"/>
      <c r="F208" s="2242"/>
      <c r="G208" s="3237"/>
      <c r="H208" s="2242"/>
      <c r="I208" s="3237"/>
      <c r="J208" s="2242"/>
      <c r="K208" s="2243"/>
      <c r="L208" s="308"/>
    </row>
    <row r="209" spans="1:12">
      <c r="A209" s="99">
        <v>2008.08</v>
      </c>
      <c r="B209" s="960">
        <v>33.650356844934684</v>
      </c>
      <c r="C209" s="2241"/>
      <c r="D209" s="2242"/>
      <c r="E209" s="3237"/>
      <c r="F209" s="2242"/>
      <c r="G209" s="3237"/>
      <c r="H209" s="2242"/>
      <c r="I209" s="3237"/>
      <c r="J209" s="2242"/>
      <c r="K209" s="2243"/>
      <c r="L209" s="308"/>
    </row>
    <row r="210" spans="1:12">
      <c r="A210" s="99">
        <v>2008.09</v>
      </c>
      <c r="B210" s="960">
        <v>34.223210677541971</v>
      </c>
      <c r="C210" s="2241"/>
      <c r="D210" s="2242"/>
      <c r="E210" s="3237"/>
      <c r="F210" s="2242"/>
      <c r="G210" s="3237"/>
      <c r="H210" s="2242"/>
      <c r="I210" s="3237"/>
      <c r="J210" s="2242"/>
      <c r="K210" s="2243"/>
      <c r="L210" s="308"/>
    </row>
    <row r="211" spans="1:12">
      <c r="A211" s="99">
        <v>2008.1</v>
      </c>
      <c r="B211" s="960">
        <v>34.455812401520099</v>
      </c>
      <c r="C211" s="2241"/>
      <c r="D211" s="2242"/>
      <c r="E211" s="3237"/>
      <c r="F211" s="2242"/>
      <c r="G211" s="3237"/>
      <c r="H211" s="2242"/>
      <c r="I211" s="3237"/>
      <c r="J211" s="2242"/>
      <c r="K211" s="2243"/>
      <c r="L211" s="308"/>
    </row>
    <row r="212" spans="1:12">
      <c r="A212" s="99">
        <v>2008.11</v>
      </c>
      <c r="B212" s="960">
        <v>34.755695615905118</v>
      </c>
      <c r="C212" s="2241"/>
      <c r="D212" s="2242"/>
      <c r="E212" s="3237"/>
      <c r="F212" s="2242"/>
      <c r="G212" s="3237"/>
      <c r="H212" s="2242"/>
      <c r="I212" s="3237"/>
      <c r="J212" s="2242"/>
      <c r="K212" s="2243"/>
      <c r="L212" s="308"/>
    </row>
    <row r="213" spans="1:12">
      <c r="A213" s="99">
        <v>2008.12</v>
      </c>
      <c r="B213" s="960">
        <v>34.919093521179008</v>
      </c>
      <c r="C213" s="2241"/>
      <c r="D213" s="2242"/>
      <c r="E213" s="3237"/>
      <c r="F213" s="2242"/>
      <c r="G213" s="3237"/>
      <c r="H213" s="2242"/>
      <c r="I213" s="3237"/>
      <c r="J213" s="2242"/>
      <c r="K213" s="2243"/>
      <c r="L213" s="308"/>
    </row>
    <row r="214" spans="1:12">
      <c r="A214" s="99">
        <f t="shared" ref="A214:A277" si="0">A202+1</f>
        <v>2009.01</v>
      </c>
      <c r="B214" s="960">
        <v>35.193986467698615</v>
      </c>
      <c r="C214" s="2241"/>
      <c r="D214" s="2242"/>
      <c r="E214" s="3237"/>
      <c r="F214" s="2242"/>
      <c r="G214" s="3237"/>
      <c r="H214" s="2242"/>
      <c r="I214" s="3237"/>
      <c r="J214" s="2242"/>
      <c r="K214" s="2243"/>
      <c r="L214" s="308"/>
    </row>
    <row r="215" spans="1:12">
      <c r="A215" s="99">
        <f t="shared" si="0"/>
        <v>2009.02</v>
      </c>
      <c r="B215" s="960">
        <v>35.313170822133685</v>
      </c>
      <c r="C215" s="2241"/>
      <c r="D215" s="2242"/>
      <c r="E215" s="3237"/>
      <c r="F215" s="2242"/>
      <c r="G215" s="3237"/>
      <c r="H215" s="2242"/>
      <c r="I215" s="3237"/>
      <c r="J215" s="2242"/>
      <c r="K215" s="2243"/>
      <c r="L215" s="308"/>
    </row>
    <row r="216" spans="1:12">
      <c r="A216" s="99">
        <f t="shared" si="0"/>
        <v>2009.03</v>
      </c>
      <c r="B216" s="960">
        <v>35.891791639632991</v>
      </c>
      <c r="C216" s="2241"/>
      <c r="D216" s="2242"/>
      <c r="E216" s="3237"/>
      <c r="F216" s="2242"/>
      <c r="G216" s="3237"/>
      <c r="H216" s="2242"/>
      <c r="I216" s="3237"/>
      <c r="J216" s="2242"/>
      <c r="K216" s="2243"/>
      <c r="L216" s="308"/>
    </row>
    <row r="217" spans="1:12">
      <c r="A217" s="99">
        <f t="shared" si="0"/>
        <v>2009.04</v>
      </c>
      <c r="B217" s="960">
        <v>36.48963574010569</v>
      </c>
      <c r="C217" s="2241"/>
      <c r="D217" s="2242"/>
      <c r="E217" s="3237"/>
      <c r="F217" s="2242"/>
      <c r="G217" s="3237"/>
      <c r="H217" s="2242"/>
      <c r="I217" s="3237"/>
      <c r="J217" s="2242"/>
      <c r="K217" s="2243"/>
      <c r="L217" s="308"/>
    </row>
    <row r="218" spans="1:12">
      <c r="A218" s="99">
        <f t="shared" si="0"/>
        <v>2009.05</v>
      </c>
      <c r="B218" s="960">
        <v>36.691480211326379</v>
      </c>
      <c r="C218" s="2241"/>
      <c r="D218" s="2242"/>
      <c r="E218" s="3237"/>
      <c r="F218" s="2242"/>
      <c r="G218" s="3237"/>
      <c r="H218" s="2242"/>
      <c r="I218" s="3237"/>
      <c r="J218" s="2242"/>
      <c r="K218" s="2243"/>
      <c r="L218" s="308"/>
    </row>
    <row r="219" spans="1:12">
      <c r="A219" s="99">
        <f t="shared" si="0"/>
        <v>2009.06</v>
      </c>
      <c r="B219" s="960">
        <v>36.829887848734849</v>
      </c>
      <c r="C219" s="2241"/>
      <c r="D219" s="2242"/>
      <c r="E219" s="3237"/>
      <c r="F219" s="2242"/>
      <c r="G219" s="3237"/>
      <c r="H219" s="2242"/>
      <c r="I219" s="3237"/>
      <c r="J219" s="2242"/>
      <c r="K219" s="2243"/>
      <c r="L219" s="308"/>
    </row>
    <row r="220" spans="1:12">
      <c r="A220" s="99">
        <f t="shared" si="0"/>
        <v>2009.07</v>
      </c>
      <c r="B220" s="960">
        <v>37.106703123551789</v>
      </c>
      <c r="C220" s="2241"/>
      <c r="D220" s="2242"/>
      <c r="E220" s="3237"/>
      <c r="F220" s="2242"/>
      <c r="G220" s="3237"/>
      <c r="H220" s="2242"/>
      <c r="I220" s="3237"/>
      <c r="J220" s="2242"/>
      <c r="K220" s="2243"/>
      <c r="L220" s="308"/>
    </row>
    <row r="221" spans="1:12">
      <c r="A221" s="99">
        <f t="shared" si="0"/>
        <v>2009.08</v>
      </c>
      <c r="B221" s="960">
        <v>37.654566688293656</v>
      </c>
      <c r="C221" s="2241"/>
      <c r="D221" s="2242"/>
      <c r="E221" s="3237"/>
      <c r="F221" s="2242"/>
      <c r="G221" s="3237"/>
      <c r="H221" s="2242"/>
      <c r="I221" s="3237"/>
      <c r="J221" s="2242"/>
      <c r="K221" s="2243"/>
      <c r="L221" s="308"/>
    </row>
    <row r="222" spans="1:12">
      <c r="A222" s="99">
        <f t="shared" si="0"/>
        <v>2009.09</v>
      </c>
      <c r="B222" s="960">
        <v>37.962139215868035</v>
      </c>
      <c r="C222" s="2241"/>
      <c r="D222" s="2242"/>
      <c r="E222" s="3237"/>
      <c r="F222" s="2242"/>
      <c r="G222" s="3237"/>
      <c r="H222" s="2242"/>
      <c r="I222" s="3237"/>
      <c r="J222" s="2242"/>
      <c r="K222" s="2243"/>
      <c r="L222" s="308"/>
    </row>
    <row r="223" spans="1:12">
      <c r="A223" s="99">
        <f t="shared" si="0"/>
        <v>2009.1</v>
      </c>
      <c r="B223" s="960">
        <v>38.502313467420542</v>
      </c>
      <c r="C223" s="2241"/>
      <c r="D223" s="2242"/>
      <c r="E223" s="3237"/>
      <c r="F223" s="2242"/>
      <c r="G223" s="3237"/>
      <c r="H223" s="2242"/>
      <c r="I223" s="3237"/>
      <c r="J223" s="2242"/>
      <c r="K223" s="2243"/>
      <c r="L223" s="308"/>
    </row>
    <row r="224" spans="1:12">
      <c r="A224" s="99">
        <f t="shared" si="0"/>
        <v>2009.11</v>
      </c>
      <c r="B224" s="960">
        <v>39.02903142089167</v>
      </c>
      <c r="C224" s="2241"/>
      <c r="D224" s="2242"/>
      <c r="E224" s="3237"/>
      <c r="F224" s="2242"/>
      <c r="G224" s="3237"/>
      <c r="H224" s="2242"/>
      <c r="I224" s="3237"/>
      <c r="J224" s="2242"/>
      <c r="K224" s="2243"/>
      <c r="L224" s="308"/>
    </row>
    <row r="225" spans="1:12">
      <c r="A225" s="99">
        <f t="shared" si="0"/>
        <v>2009.12</v>
      </c>
      <c r="B225" s="960">
        <v>39.903690796181316</v>
      </c>
      <c r="C225" s="2241"/>
      <c r="D225" s="2242"/>
      <c r="E225" s="3237"/>
      <c r="F225" s="2242"/>
      <c r="G225" s="3237"/>
      <c r="H225" s="2242"/>
      <c r="I225" s="3237"/>
      <c r="J225" s="2242"/>
      <c r="K225" s="2243"/>
      <c r="L225" s="308"/>
    </row>
    <row r="226" spans="1:12">
      <c r="A226" s="99">
        <f t="shared" si="0"/>
        <v>2010.01</v>
      </c>
      <c r="B226" s="960">
        <v>40.880233571229972</v>
      </c>
      <c r="C226" s="2241"/>
      <c r="D226" s="2242"/>
      <c r="E226" s="3237"/>
      <c r="F226" s="2242"/>
      <c r="G226" s="3237"/>
      <c r="H226" s="2242"/>
      <c r="I226" s="3237"/>
      <c r="J226" s="2242"/>
      <c r="K226" s="2243"/>
      <c r="L226" s="308"/>
    </row>
    <row r="227" spans="1:12">
      <c r="A227" s="99">
        <f t="shared" si="0"/>
        <v>2010.02</v>
      </c>
      <c r="B227" s="960">
        <v>42.346970062100304</v>
      </c>
      <c r="C227" s="2241"/>
      <c r="D227" s="2242"/>
      <c r="E227" s="3237"/>
      <c r="F227" s="2242"/>
      <c r="G227" s="3237"/>
      <c r="H227" s="2242"/>
      <c r="I227" s="3237"/>
      <c r="J227" s="2242"/>
      <c r="K227" s="2243"/>
      <c r="L227" s="308"/>
    </row>
    <row r="228" spans="1:12">
      <c r="A228" s="99">
        <f t="shared" si="0"/>
        <v>2010.03</v>
      </c>
      <c r="B228" s="960">
        <v>43.306211882472908</v>
      </c>
      <c r="C228" s="2241"/>
      <c r="D228" s="2242"/>
      <c r="E228" s="3237"/>
      <c r="F228" s="2242"/>
      <c r="G228" s="3237"/>
      <c r="H228" s="2242"/>
      <c r="I228" s="3237"/>
      <c r="J228" s="2242"/>
      <c r="K228" s="2243"/>
      <c r="L228" s="308"/>
    </row>
    <row r="229" spans="1:12">
      <c r="A229" s="99">
        <f t="shared" si="0"/>
        <v>2010.04</v>
      </c>
      <c r="B229" s="960">
        <v>44.223162480304033</v>
      </c>
      <c r="C229" s="2241"/>
      <c r="D229" s="2242"/>
      <c r="E229" s="3237"/>
      <c r="F229" s="2242"/>
      <c r="G229" s="3237"/>
      <c r="H229" s="2242"/>
      <c r="I229" s="3237"/>
      <c r="J229" s="2242"/>
      <c r="K229" s="2243"/>
      <c r="L229" s="308"/>
    </row>
    <row r="230" spans="1:12">
      <c r="A230" s="99">
        <f t="shared" si="0"/>
        <v>2010.05</v>
      </c>
      <c r="B230" s="960">
        <v>44.92865696542777</v>
      </c>
      <c r="C230" s="2241"/>
      <c r="D230" s="2242"/>
      <c r="E230" s="3237"/>
      <c r="F230" s="2242"/>
      <c r="G230" s="3237"/>
      <c r="H230" s="2242"/>
      <c r="I230" s="3237"/>
      <c r="J230" s="2242"/>
      <c r="K230" s="2243"/>
      <c r="L230" s="308"/>
    </row>
    <row r="231" spans="1:12">
      <c r="A231" s="99">
        <f t="shared" si="0"/>
        <v>2010.06</v>
      </c>
      <c r="B231" s="960">
        <v>45.376559458707966</v>
      </c>
      <c r="C231" s="2241"/>
      <c r="D231" s="2242"/>
      <c r="E231" s="3237"/>
      <c r="F231" s="2242"/>
      <c r="G231" s="3237"/>
      <c r="H231" s="2242"/>
      <c r="I231" s="3237"/>
      <c r="J231" s="2242"/>
      <c r="K231" s="2243"/>
      <c r="L231" s="308"/>
    </row>
    <row r="232" spans="1:12">
      <c r="A232" s="99">
        <f t="shared" si="0"/>
        <v>2010.07</v>
      </c>
      <c r="B232" s="960">
        <v>45.926345351747173</v>
      </c>
      <c r="C232" s="2241"/>
      <c r="D232" s="2242"/>
      <c r="E232" s="3237"/>
      <c r="F232" s="2242"/>
      <c r="G232" s="3237"/>
      <c r="H232" s="2242"/>
      <c r="I232" s="3237"/>
      <c r="J232" s="2242"/>
      <c r="K232" s="2243"/>
      <c r="L232" s="308"/>
    </row>
    <row r="233" spans="1:12">
      <c r="A233" s="99">
        <f t="shared" si="0"/>
        <v>2010.08</v>
      </c>
      <c r="B233" s="960">
        <v>46.47420891648904</v>
      </c>
      <c r="C233" s="2241"/>
      <c r="D233" s="2242"/>
      <c r="E233" s="3237"/>
      <c r="F233" s="2242"/>
      <c r="G233" s="3237"/>
      <c r="H233" s="2242"/>
      <c r="I233" s="3237"/>
      <c r="J233" s="2242"/>
      <c r="K233" s="2243"/>
      <c r="L233" s="308"/>
    </row>
    <row r="234" spans="1:12">
      <c r="A234" s="99">
        <f t="shared" si="0"/>
        <v>2010.09</v>
      </c>
      <c r="B234" s="960">
        <v>46.895198813606477</v>
      </c>
      <c r="C234" s="2241"/>
      <c r="D234" s="2242"/>
      <c r="E234" s="3237"/>
      <c r="F234" s="2242"/>
      <c r="G234" s="3237"/>
      <c r="H234" s="2242"/>
      <c r="I234" s="3237"/>
      <c r="J234" s="2242"/>
      <c r="K234" s="2243"/>
      <c r="L234" s="308"/>
    </row>
    <row r="235" spans="1:12">
      <c r="A235" s="99">
        <f t="shared" si="0"/>
        <v>2010.1</v>
      </c>
      <c r="B235" s="960">
        <v>48.246595606636411</v>
      </c>
      <c r="C235" s="2241"/>
      <c r="D235" s="2242"/>
      <c r="E235" s="3237"/>
      <c r="F235" s="2242"/>
      <c r="G235" s="3237"/>
      <c r="H235" s="2242"/>
      <c r="I235" s="3237"/>
      <c r="J235" s="2242"/>
      <c r="K235" s="2243"/>
      <c r="L235" s="308"/>
    </row>
    <row r="236" spans="1:12">
      <c r="A236" s="99">
        <f t="shared" si="0"/>
        <v>2010.11</v>
      </c>
      <c r="B236" s="960">
        <v>49.251973306145167</v>
      </c>
      <c r="C236" s="2241"/>
      <c r="D236" s="2242"/>
      <c r="E236" s="3237"/>
      <c r="F236" s="2242"/>
      <c r="G236" s="3237"/>
      <c r="H236" s="2242"/>
      <c r="I236" s="3237"/>
      <c r="J236" s="2242"/>
      <c r="K236" s="2243"/>
      <c r="L236" s="308"/>
    </row>
    <row r="237" spans="1:12">
      <c r="A237" s="99">
        <f t="shared" si="0"/>
        <v>2010.12</v>
      </c>
      <c r="B237" s="960">
        <v>50.12855500973216</v>
      </c>
      <c r="C237" s="2241"/>
      <c r="D237" s="2242"/>
      <c r="E237" s="3237"/>
      <c r="F237" s="2242"/>
      <c r="G237" s="3237"/>
      <c r="H237" s="2242"/>
      <c r="I237" s="3237"/>
      <c r="J237" s="2242"/>
      <c r="K237" s="2243"/>
      <c r="L237" s="308"/>
    </row>
    <row r="238" spans="1:12">
      <c r="A238" s="99">
        <f t="shared" si="0"/>
        <v>2011.01</v>
      </c>
      <c r="B238" s="960">
        <v>50.655272963203288</v>
      </c>
      <c r="C238" s="2241"/>
      <c r="D238" s="2242"/>
      <c r="E238" s="3237"/>
      <c r="F238" s="2242"/>
      <c r="G238" s="3237"/>
      <c r="H238" s="2242"/>
      <c r="I238" s="3237"/>
      <c r="J238" s="2242"/>
      <c r="K238" s="2243"/>
      <c r="L238" s="308"/>
    </row>
    <row r="239" spans="1:12">
      <c r="A239" s="99">
        <f t="shared" si="0"/>
        <v>2011.02</v>
      </c>
      <c r="B239" s="960">
        <v>51.333854852164272</v>
      </c>
      <c r="C239" s="2241"/>
      <c r="D239" s="2242"/>
      <c r="E239" s="3237"/>
      <c r="F239" s="2242"/>
      <c r="G239" s="3237"/>
      <c r="H239" s="2242"/>
      <c r="I239" s="3237"/>
      <c r="J239" s="2242"/>
      <c r="K239" s="2243"/>
      <c r="L239" s="308"/>
    </row>
    <row r="240" spans="1:12">
      <c r="A240" s="99">
        <f t="shared" si="0"/>
        <v>2011.03</v>
      </c>
      <c r="B240" s="960">
        <v>52.714086569654306</v>
      </c>
      <c r="C240" s="2241"/>
      <c r="D240" s="2242"/>
      <c r="E240" s="3237"/>
      <c r="F240" s="2242"/>
      <c r="G240" s="3237"/>
      <c r="H240" s="2242"/>
      <c r="I240" s="3237"/>
      <c r="J240" s="2242"/>
      <c r="K240" s="2243"/>
      <c r="L240" s="308"/>
    </row>
    <row r="241" spans="1:12">
      <c r="A241" s="99">
        <f t="shared" si="0"/>
        <v>2011.04</v>
      </c>
      <c r="B241" s="960">
        <v>53.857871906571532</v>
      </c>
      <c r="C241" s="2241"/>
      <c r="D241" s="2242"/>
      <c r="E241" s="3237"/>
      <c r="F241" s="2242"/>
      <c r="G241" s="3237"/>
      <c r="H241" s="2242"/>
      <c r="I241" s="3237"/>
      <c r="J241" s="2242"/>
      <c r="K241" s="2243"/>
      <c r="L241" s="308"/>
    </row>
    <row r="242" spans="1:12">
      <c r="A242" s="99">
        <f t="shared" si="0"/>
        <v>2011.05</v>
      </c>
      <c r="B242" s="960">
        <v>54.47686161831497</v>
      </c>
      <c r="C242" s="2241"/>
      <c r="D242" s="2242"/>
      <c r="E242" s="3237"/>
      <c r="F242" s="2242"/>
      <c r="G242" s="3237"/>
      <c r="H242" s="2242"/>
      <c r="I242" s="3237"/>
      <c r="J242" s="2242"/>
      <c r="K242" s="2243"/>
      <c r="L242" s="308"/>
    </row>
    <row r="243" spans="1:12">
      <c r="A243" s="99">
        <f t="shared" si="0"/>
        <v>2011.06</v>
      </c>
      <c r="B243" s="960">
        <v>55.141987209194575</v>
      </c>
      <c r="C243" s="2241"/>
      <c r="D243" s="2242"/>
      <c r="E243" s="3237"/>
      <c r="F243" s="2242"/>
      <c r="G243" s="3237"/>
      <c r="H243" s="2242"/>
      <c r="I243" s="3237"/>
      <c r="J243" s="2242"/>
      <c r="K243" s="2243"/>
      <c r="L243" s="308"/>
    </row>
    <row r="244" spans="1:12">
      <c r="A244" s="99">
        <f t="shared" si="0"/>
        <v>2011.07</v>
      </c>
      <c r="B244" s="960">
        <v>55.991656316618794</v>
      </c>
      <c r="C244" s="2241"/>
      <c r="D244" s="2242"/>
      <c r="E244" s="3237"/>
      <c r="F244" s="2242"/>
      <c r="G244" s="3237"/>
      <c r="H244" s="2242"/>
      <c r="I244" s="3237"/>
      <c r="J244" s="2242"/>
      <c r="K244" s="2243"/>
      <c r="L244" s="308"/>
    </row>
    <row r="245" spans="1:12">
      <c r="A245" s="99">
        <f t="shared" si="0"/>
        <v>2011.08</v>
      </c>
      <c r="B245" s="960">
        <v>57.004723329316917</v>
      </c>
      <c r="C245" s="2241"/>
      <c r="D245" s="2242"/>
      <c r="E245" s="3237"/>
      <c r="F245" s="2242"/>
      <c r="G245" s="3237"/>
      <c r="H245" s="2242"/>
      <c r="I245" s="3237"/>
      <c r="J245" s="2242"/>
      <c r="K245" s="2243"/>
      <c r="L245" s="308"/>
    </row>
    <row r="246" spans="1:12">
      <c r="A246" s="99">
        <f t="shared" si="0"/>
        <v>2011.09</v>
      </c>
      <c r="B246" s="960">
        <v>58.067770877745865</v>
      </c>
      <c r="C246" s="2241"/>
      <c r="D246" s="2242"/>
      <c r="E246" s="3237"/>
      <c r="F246" s="2242"/>
      <c r="G246" s="3237"/>
      <c r="H246" s="2242"/>
      <c r="I246" s="3237"/>
      <c r="J246" s="2242"/>
      <c r="K246" s="2243"/>
      <c r="L246" s="308"/>
    </row>
    <row r="247" spans="1:12">
      <c r="A247" s="99">
        <f t="shared" si="0"/>
        <v>2011.1</v>
      </c>
      <c r="B247" s="960">
        <v>58.477226805079255</v>
      </c>
      <c r="C247" s="2241"/>
      <c r="D247" s="2242"/>
      <c r="E247" s="3237"/>
      <c r="F247" s="2242"/>
      <c r="G247" s="3237"/>
      <c r="H247" s="2242"/>
      <c r="I247" s="3237"/>
      <c r="J247" s="2242"/>
      <c r="K247" s="2243"/>
      <c r="L247" s="308"/>
    </row>
    <row r="248" spans="1:12">
      <c r="A248" s="99">
        <f t="shared" si="0"/>
        <v>2011.11</v>
      </c>
      <c r="B248" s="960">
        <v>59.53450736861619</v>
      </c>
      <c r="C248" s="2241"/>
      <c r="D248" s="2242"/>
      <c r="E248" s="3237"/>
      <c r="F248" s="2242"/>
      <c r="G248" s="3237"/>
      <c r="H248" s="2242"/>
      <c r="I248" s="3237"/>
      <c r="J248" s="2242"/>
      <c r="K248" s="2243"/>
      <c r="L248" s="308"/>
    </row>
    <row r="249" spans="1:12">
      <c r="A249" s="99">
        <f t="shared" si="0"/>
        <v>2011.12</v>
      </c>
      <c r="B249" s="960">
        <v>60.68021503383077</v>
      </c>
      <c r="C249" s="2241"/>
      <c r="D249" s="2242"/>
      <c r="E249" s="3237"/>
      <c r="F249" s="2242"/>
      <c r="G249" s="3237"/>
      <c r="H249" s="2242"/>
      <c r="I249" s="3237"/>
      <c r="J249" s="2242"/>
      <c r="K249" s="2243"/>
      <c r="L249" s="308"/>
    </row>
    <row r="250" spans="1:12">
      <c r="A250" s="99">
        <f t="shared" si="0"/>
        <v>2012.01</v>
      </c>
      <c r="B250" s="960">
        <v>61.364563907683767</v>
      </c>
      <c r="C250" s="2241"/>
      <c r="D250" s="2242"/>
      <c r="E250" s="3237"/>
      <c r="F250" s="2242"/>
      <c r="G250" s="3237"/>
      <c r="H250" s="2242"/>
      <c r="I250" s="3237"/>
      <c r="J250" s="2242"/>
      <c r="K250" s="2243"/>
      <c r="L250" s="308"/>
    </row>
    <row r="251" spans="1:12">
      <c r="A251" s="99">
        <f t="shared" si="0"/>
        <v>2012.02</v>
      </c>
      <c r="B251" s="960">
        <v>61.910505144128287</v>
      </c>
      <c r="C251" s="2241"/>
      <c r="D251" s="2242"/>
      <c r="E251" s="3237"/>
      <c r="F251" s="2242"/>
      <c r="G251" s="3237"/>
      <c r="H251" s="2242"/>
      <c r="I251" s="3237"/>
      <c r="J251" s="2242"/>
      <c r="K251" s="2243"/>
      <c r="L251" s="308"/>
    </row>
    <row r="252" spans="1:12">
      <c r="A252" s="99">
        <f t="shared" si="0"/>
        <v>2012.03</v>
      </c>
      <c r="B252" s="960">
        <v>64.082736120122362</v>
      </c>
      <c r="C252" s="2241"/>
      <c r="D252" s="2242"/>
      <c r="E252" s="3237"/>
      <c r="F252" s="2242"/>
      <c r="G252" s="3237"/>
      <c r="H252" s="2242"/>
      <c r="I252" s="3237"/>
      <c r="J252" s="2242"/>
      <c r="K252" s="2243"/>
      <c r="L252" s="308"/>
    </row>
    <row r="253" spans="1:12">
      <c r="A253" s="99">
        <f t="shared" si="0"/>
        <v>2012.04</v>
      </c>
      <c r="B253" s="960">
        <v>65.974307164704797</v>
      </c>
      <c r="C253" s="2241"/>
      <c r="D253" s="2242"/>
      <c r="E253" s="3237"/>
      <c r="F253" s="2242"/>
      <c r="G253" s="3237"/>
      <c r="H253" s="2242"/>
      <c r="I253" s="3237"/>
      <c r="J253" s="2242"/>
      <c r="K253" s="2243"/>
      <c r="L253" s="308"/>
    </row>
    <row r="254" spans="1:12">
      <c r="A254" s="99">
        <f t="shared" si="0"/>
        <v>2012.05</v>
      </c>
      <c r="B254" s="960">
        <v>66.549083325609416</v>
      </c>
      <c r="C254" s="2241"/>
      <c r="D254" s="2242"/>
      <c r="E254" s="3237"/>
      <c r="F254" s="2242"/>
      <c r="G254" s="3237"/>
      <c r="H254" s="2242"/>
      <c r="I254" s="3237"/>
      <c r="J254" s="2242"/>
      <c r="K254" s="2243"/>
      <c r="L254" s="308"/>
    </row>
    <row r="255" spans="1:12">
      <c r="A255" s="99">
        <f t="shared" si="0"/>
        <v>2012.06</v>
      </c>
      <c r="B255" s="960">
        <v>67.168073037352855</v>
      </c>
      <c r="C255" s="2241"/>
      <c r="D255" s="2242"/>
      <c r="E255" s="3237"/>
      <c r="F255" s="2242"/>
      <c r="G255" s="3237"/>
      <c r="H255" s="2242"/>
      <c r="I255" s="3237"/>
      <c r="J255" s="2242"/>
      <c r="K255" s="2243"/>
      <c r="L255" s="308"/>
    </row>
    <row r="256" spans="1:12">
      <c r="A256" s="99">
        <f t="shared" si="0"/>
        <v>2012.07</v>
      </c>
      <c r="B256" s="960">
        <v>67.719781258689395</v>
      </c>
      <c r="C256" s="2241"/>
      <c r="D256" s="2242"/>
      <c r="E256" s="3237"/>
      <c r="F256" s="2242"/>
      <c r="G256" s="3237"/>
      <c r="H256" s="2242"/>
      <c r="I256" s="3237"/>
      <c r="J256" s="2242"/>
      <c r="K256" s="2243"/>
      <c r="L256" s="308"/>
    </row>
    <row r="257" spans="1:12">
      <c r="A257" s="99">
        <f t="shared" si="0"/>
        <v>2012.08</v>
      </c>
      <c r="B257" s="960">
        <v>68.419508758921125</v>
      </c>
      <c r="C257" s="2241"/>
      <c r="D257" s="2242"/>
      <c r="E257" s="3237"/>
      <c r="F257" s="2242"/>
      <c r="G257" s="3237"/>
      <c r="H257" s="2242"/>
      <c r="I257" s="3237"/>
      <c r="J257" s="2242"/>
      <c r="K257" s="2243"/>
      <c r="L257" s="308"/>
    </row>
    <row r="258" spans="1:12">
      <c r="A258" s="99">
        <f t="shared" si="0"/>
        <v>2012.09</v>
      </c>
      <c r="B258" s="960">
        <v>69.336459356752243</v>
      </c>
      <c r="C258" s="2241"/>
      <c r="D258" s="2242"/>
      <c r="E258" s="3237"/>
      <c r="F258" s="2242"/>
      <c r="G258" s="3237"/>
      <c r="H258" s="2242"/>
      <c r="I258" s="3237"/>
      <c r="J258" s="2242"/>
      <c r="K258" s="2243"/>
      <c r="L258" s="308"/>
    </row>
    <row r="259" spans="1:12">
      <c r="A259" s="99">
        <f t="shared" si="0"/>
        <v>2012.1</v>
      </c>
      <c r="B259" s="960">
        <v>70.05925479655204</v>
      </c>
      <c r="C259" s="2241"/>
      <c r="D259" s="2242"/>
      <c r="E259" s="3237"/>
      <c r="F259" s="2242"/>
      <c r="G259" s="3237"/>
      <c r="H259" s="2242"/>
      <c r="I259" s="3237"/>
      <c r="J259" s="2242"/>
      <c r="K259" s="2243"/>
      <c r="L259" s="308"/>
    </row>
    <row r="260" spans="1:12">
      <c r="A260" s="99">
        <f t="shared" si="0"/>
        <v>2012.11</v>
      </c>
      <c r="B260" s="960">
        <v>70.807040504217255</v>
      </c>
      <c r="C260" s="2241"/>
      <c r="D260" s="2242"/>
      <c r="E260" s="3237"/>
      <c r="F260" s="2242"/>
      <c r="G260" s="3237"/>
      <c r="H260" s="2242"/>
      <c r="I260" s="3237"/>
      <c r="J260" s="2242"/>
      <c r="K260" s="2243"/>
      <c r="L260" s="308"/>
    </row>
    <row r="261" spans="1:12">
      <c r="A261" s="99">
        <f t="shared" si="0"/>
        <v>2012.12</v>
      </c>
      <c r="B261" s="960">
        <v>71.449098155528787</v>
      </c>
      <c r="C261" s="2241"/>
      <c r="D261" s="2242"/>
      <c r="E261" s="3237"/>
      <c r="F261" s="2242"/>
      <c r="G261" s="3237"/>
      <c r="H261" s="2242"/>
      <c r="I261" s="3237"/>
      <c r="J261" s="2242"/>
      <c r="K261" s="2243"/>
      <c r="L261" s="308"/>
    </row>
    <row r="262" spans="1:12">
      <c r="A262" s="99">
        <f t="shared" si="0"/>
        <v>2013.01</v>
      </c>
      <c r="B262" s="960">
        <v>72.296844934655667</v>
      </c>
      <c r="C262" s="2241"/>
      <c r="D262" s="2242"/>
      <c r="E262" s="3237"/>
      <c r="F262" s="2242"/>
      <c r="G262" s="3237"/>
      <c r="H262" s="2242"/>
      <c r="I262" s="3237"/>
      <c r="J262" s="2242"/>
      <c r="K262" s="2243"/>
      <c r="L262" s="308"/>
    </row>
    <row r="263" spans="1:12">
      <c r="A263" s="99">
        <f t="shared" si="0"/>
        <v>2013.02</v>
      </c>
      <c r="B263" s="960">
        <v>72.913912318101779</v>
      </c>
      <c r="C263" s="2241"/>
      <c r="D263" s="2242"/>
      <c r="E263" s="3237"/>
      <c r="F263" s="2242"/>
      <c r="G263" s="3237"/>
      <c r="H263" s="2242"/>
      <c r="I263" s="3237"/>
      <c r="J263" s="2242"/>
      <c r="K263" s="2243"/>
      <c r="L263" s="308"/>
    </row>
    <row r="264" spans="1:12">
      <c r="A264" s="99">
        <f t="shared" si="0"/>
        <v>2013.03</v>
      </c>
      <c r="B264" s="960">
        <v>73.778960051904718</v>
      </c>
      <c r="C264" s="2241"/>
      <c r="D264" s="2242"/>
      <c r="E264" s="3237"/>
      <c r="F264" s="2242"/>
      <c r="G264" s="3237"/>
      <c r="H264" s="2242"/>
      <c r="I264" s="3237"/>
      <c r="J264" s="2242"/>
      <c r="K264" s="2243"/>
      <c r="L264" s="308"/>
    </row>
    <row r="265" spans="1:12">
      <c r="A265" s="99">
        <f t="shared" si="0"/>
        <v>2013.04</v>
      </c>
      <c r="B265" s="960">
        <v>74.569036982111413</v>
      </c>
      <c r="C265" s="2241"/>
      <c r="D265" s="2242"/>
      <c r="E265" s="3237"/>
      <c r="F265" s="2242"/>
      <c r="G265" s="3237"/>
      <c r="H265" s="2242"/>
      <c r="I265" s="3237"/>
      <c r="J265" s="2242"/>
      <c r="K265" s="2243"/>
      <c r="L265" s="308"/>
    </row>
    <row r="266" spans="1:12">
      <c r="A266" s="99">
        <f t="shared" si="0"/>
        <v>2013.05</v>
      </c>
      <c r="B266" s="960">
        <v>75.143813143016033</v>
      </c>
      <c r="C266" s="2241"/>
      <c r="D266" s="2242"/>
      <c r="E266" s="3237"/>
      <c r="F266" s="2242"/>
      <c r="G266" s="3237"/>
      <c r="H266" s="2242"/>
      <c r="I266" s="3237"/>
      <c r="J266" s="2242"/>
      <c r="K266" s="2243"/>
      <c r="L266" s="308"/>
    </row>
    <row r="267" spans="1:12">
      <c r="A267" s="99">
        <f t="shared" si="0"/>
        <v>2013.06</v>
      </c>
      <c r="B267" s="960">
        <v>76.072297710631204</v>
      </c>
      <c r="C267" s="2241"/>
      <c r="D267" s="2242"/>
      <c r="E267" s="3237"/>
      <c r="F267" s="2242"/>
      <c r="G267" s="3237"/>
      <c r="H267" s="2242"/>
      <c r="I267" s="3237"/>
      <c r="J267" s="2242"/>
      <c r="K267" s="2243"/>
      <c r="L267" s="308"/>
    </row>
    <row r="268" spans="1:12">
      <c r="A268" s="99">
        <f t="shared" si="0"/>
        <v>2013.07</v>
      </c>
      <c r="B268" s="960">
        <v>76.941190101028823</v>
      </c>
      <c r="C268" s="2241"/>
      <c r="D268" s="2242"/>
      <c r="E268" s="3237"/>
      <c r="F268" s="2242"/>
      <c r="G268" s="3237"/>
      <c r="H268" s="2242"/>
      <c r="I268" s="3237"/>
      <c r="J268" s="2242"/>
      <c r="K268" s="2243"/>
      <c r="L268" s="308"/>
    </row>
    <row r="269" spans="1:12">
      <c r="A269" s="99">
        <f t="shared" si="0"/>
        <v>2013.08</v>
      </c>
      <c r="B269" s="960">
        <v>77.936956159050879</v>
      </c>
      <c r="C269" s="2241"/>
      <c r="D269" s="2242"/>
      <c r="E269" s="3237"/>
      <c r="F269" s="2242"/>
      <c r="G269" s="3237"/>
      <c r="H269" s="2242"/>
      <c r="I269" s="3237"/>
      <c r="J269" s="2242"/>
      <c r="K269" s="2243"/>
      <c r="L269" s="308"/>
    </row>
    <row r="270" spans="1:12">
      <c r="A270" s="99">
        <f t="shared" si="0"/>
        <v>2013.09</v>
      </c>
      <c r="B270" s="960">
        <v>78.882741681342111</v>
      </c>
      <c r="C270" s="2241"/>
      <c r="D270" s="2242"/>
      <c r="E270" s="3237"/>
      <c r="F270" s="2242"/>
      <c r="G270" s="3237"/>
      <c r="H270" s="2242"/>
      <c r="I270" s="3237"/>
      <c r="J270" s="2242"/>
      <c r="K270" s="2243"/>
      <c r="L270" s="308"/>
    </row>
    <row r="271" spans="1:12">
      <c r="A271" s="99">
        <f t="shared" si="0"/>
        <v>2013.1</v>
      </c>
      <c r="B271" s="960">
        <v>79.980391139123185</v>
      </c>
      <c r="C271" s="2241"/>
      <c r="D271" s="2242"/>
      <c r="E271" s="3237"/>
      <c r="F271" s="2242"/>
      <c r="G271" s="3237"/>
      <c r="H271" s="2242"/>
      <c r="I271" s="3237"/>
      <c r="J271" s="2242"/>
      <c r="K271" s="2243"/>
      <c r="L271" s="308"/>
    </row>
    <row r="272" spans="1:12">
      <c r="A272" s="99">
        <f t="shared" si="0"/>
        <v>2013.11</v>
      </c>
      <c r="B272" s="960">
        <v>81.487496524237642</v>
      </c>
      <c r="C272" s="2241"/>
      <c r="D272" s="2242"/>
      <c r="E272" s="3237"/>
      <c r="F272" s="2242"/>
      <c r="G272" s="3237"/>
      <c r="H272" s="2242"/>
      <c r="I272" s="3237"/>
      <c r="J272" s="2242"/>
      <c r="K272" s="2243"/>
      <c r="L272" s="308"/>
    </row>
    <row r="273" spans="1:12">
      <c r="A273" s="99">
        <f t="shared" si="0"/>
        <v>2013.12</v>
      </c>
      <c r="B273" s="961">
        <v>82.96</v>
      </c>
      <c r="C273" s="2241"/>
      <c r="D273" s="2242"/>
      <c r="E273" s="3237"/>
      <c r="F273" s="2242"/>
      <c r="G273" s="3237"/>
      <c r="H273" s="2242"/>
      <c r="I273" s="3237"/>
      <c r="J273" s="2242"/>
      <c r="K273" s="2243"/>
      <c r="L273" s="308"/>
    </row>
    <row r="274" spans="1:12">
      <c r="A274" s="99">
        <f t="shared" si="0"/>
        <v>2014.01</v>
      </c>
      <c r="B274" s="957">
        <v>85.24</v>
      </c>
      <c r="C274" s="2241"/>
      <c r="D274" s="2242"/>
      <c r="E274" s="3237"/>
      <c r="F274" s="2242"/>
      <c r="G274" s="3237"/>
      <c r="H274" s="2242"/>
      <c r="I274" s="3237"/>
      <c r="J274" s="2242"/>
      <c r="K274" s="2243"/>
      <c r="L274" s="308"/>
    </row>
    <row r="275" spans="1:12">
      <c r="A275" s="99">
        <f t="shared" si="0"/>
        <v>2014.02</v>
      </c>
      <c r="B275" s="957">
        <v>90.29</v>
      </c>
      <c r="C275" s="2241"/>
      <c r="D275" s="2242"/>
      <c r="E275" s="3237"/>
      <c r="F275" s="2242"/>
      <c r="G275" s="3237"/>
      <c r="H275" s="2242"/>
      <c r="I275" s="3237"/>
      <c r="J275" s="2242"/>
      <c r="K275" s="2243"/>
      <c r="L275" s="308"/>
    </row>
    <row r="276" spans="1:12">
      <c r="A276" s="99">
        <f t="shared" si="0"/>
        <v>2014.03</v>
      </c>
      <c r="B276" s="957">
        <v>93.38</v>
      </c>
      <c r="C276" s="2241"/>
      <c r="D276" s="2242"/>
      <c r="E276" s="3237"/>
      <c r="F276" s="2242"/>
      <c r="G276" s="3237"/>
      <c r="H276" s="2242"/>
      <c r="I276" s="3237"/>
      <c r="J276" s="2242"/>
      <c r="K276" s="2243"/>
      <c r="L276" s="308"/>
    </row>
    <row r="277" spans="1:12">
      <c r="A277" s="99">
        <f t="shared" si="0"/>
        <v>2014.04</v>
      </c>
      <c r="B277" s="957">
        <v>95.22</v>
      </c>
      <c r="C277" s="2241"/>
      <c r="D277" s="2242"/>
      <c r="E277" s="3237"/>
      <c r="F277" s="2242"/>
      <c r="G277" s="3237"/>
      <c r="H277" s="2242"/>
      <c r="I277" s="3237"/>
      <c r="J277" s="2242"/>
      <c r="K277" s="2243"/>
      <c r="L277" s="308"/>
    </row>
    <row r="278" spans="1:12">
      <c r="A278" s="99">
        <f t="shared" ref="A278:A341" si="1">A266+1</f>
        <v>2014.05</v>
      </c>
      <c r="B278" s="957">
        <v>96.98</v>
      </c>
      <c r="C278" s="2241"/>
      <c r="D278" s="2242"/>
      <c r="E278" s="3237"/>
      <c r="F278" s="2242"/>
      <c r="G278" s="3237"/>
      <c r="H278" s="2242"/>
      <c r="I278" s="3237"/>
      <c r="J278" s="2242"/>
      <c r="K278" s="2243"/>
      <c r="L278" s="308"/>
    </row>
    <row r="279" spans="1:12">
      <c r="A279" s="99">
        <f t="shared" si="1"/>
        <v>2014.06</v>
      </c>
      <c r="B279" s="957">
        <v>99.06</v>
      </c>
      <c r="C279" s="2241"/>
      <c r="D279" s="2242"/>
      <c r="E279" s="3237"/>
      <c r="F279" s="2242"/>
      <c r="G279" s="3237"/>
      <c r="H279" s="2242"/>
      <c r="I279" s="3237"/>
      <c r="J279" s="2242"/>
      <c r="K279" s="2243"/>
      <c r="L279" s="308"/>
    </row>
    <row r="280" spans="1:12">
      <c r="A280" s="99">
        <f t="shared" si="1"/>
        <v>2014.07</v>
      </c>
      <c r="B280" s="957">
        <v>100.69</v>
      </c>
      <c r="C280" s="2241"/>
      <c r="D280" s="2242"/>
      <c r="E280" s="3237"/>
      <c r="F280" s="2242"/>
      <c r="G280" s="3237"/>
      <c r="H280" s="2242"/>
      <c r="I280" s="3237"/>
      <c r="J280" s="2242"/>
      <c r="K280" s="2243"/>
      <c r="L280" s="308"/>
    </row>
    <row r="281" spans="1:12">
      <c r="A281" s="99">
        <f t="shared" si="1"/>
        <v>2014.08</v>
      </c>
      <c r="B281" s="957">
        <v>102.79</v>
      </c>
      <c r="C281" s="2241"/>
      <c r="D281" s="2242"/>
      <c r="E281" s="3237"/>
      <c r="F281" s="2242"/>
      <c r="G281" s="3237"/>
      <c r="H281" s="2242"/>
      <c r="I281" s="3237"/>
      <c r="J281" s="2242"/>
      <c r="K281" s="2243"/>
      <c r="L281" s="308"/>
    </row>
    <row r="282" spans="1:12">
      <c r="A282" s="99">
        <f t="shared" si="1"/>
        <v>2014.09</v>
      </c>
      <c r="B282" s="957">
        <v>105.74</v>
      </c>
      <c r="C282" s="2241"/>
      <c r="D282" s="2242"/>
      <c r="E282" s="3237"/>
      <c r="F282" s="2242"/>
      <c r="G282" s="3237"/>
      <c r="H282" s="2242"/>
      <c r="I282" s="3237"/>
      <c r="J282" s="2242"/>
      <c r="K282" s="2243"/>
      <c r="L282" s="308"/>
    </row>
    <row r="283" spans="1:12">
      <c r="A283" s="99">
        <f t="shared" si="1"/>
        <v>2014.1</v>
      </c>
      <c r="B283" s="957">
        <v>108.08</v>
      </c>
      <c r="C283" s="2241"/>
      <c r="D283" s="2242"/>
      <c r="E283" s="3237"/>
      <c r="F283" s="2242"/>
      <c r="G283" s="3237"/>
      <c r="H283" s="2242"/>
      <c r="I283" s="3237"/>
      <c r="J283" s="2242"/>
      <c r="K283" s="2243"/>
      <c r="L283" s="308"/>
    </row>
    <row r="284" spans="1:12">
      <c r="A284" s="99">
        <f t="shared" si="1"/>
        <v>2014.11</v>
      </c>
      <c r="B284" s="957">
        <v>110.39</v>
      </c>
      <c r="C284" s="2241"/>
      <c r="D284" s="2242"/>
      <c r="E284" s="3237"/>
      <c r="F284" s="2242"/>
      <c r="G284" s="3237"/>
      <c r="H284" s="2242"/>
      <c r="I284" s="3237"/>
      <c r="J284" s="2242"/>
      <c r="K284" s="2243"/>
      <c r="L284" s="308"/>
    </row>
    <row r="285" spans="1:12">
      <c r="A285" s="99">
        <f t="shared" si="1"/>
        <v>2014.12</v>
      </c>
      <c r="B285" s="957">
        <v>112.15</v>
      </c>
      <c r="C285" s="2241"/>
      <c r="D285" s="2242"/>
      <c r="E285" s="3237"/>
      <c r="F285" s="2242"/>
      <c r="G285" s="3237"/>
      <c r="H285" s="2242"/>
      <c r="I285" s="3237"/>
      <c r="J285" s="2242"/>
      <c r="K285" s="2243"/>
      <c r="L285" s="308"/>
    </row>
    <row r="286" spans="1:12">
      <c r="A286" s="99">
        <f t="shared" si="1"/>
        <v>2015.01</v>
      </c>
      <c r="B286" s="957">
        <v>113.47</v>
      </c>
      <c r="C286" s="2241"/>
      <c r="D286" s="2242"/>
      <c r="E286" s="3237"/>
      <c r="F286" s="2242"/>
      <c r="G286" s="3237"/>
      <c r="H286" s="2242"/>
      <c r="I286" s="3237"/>
      <c r="J286" s="2242"/>
      <c r="K286" s="2243"/>
      <c r="L286" s="308"/>
    </row>
    <row r="287" spans="1:12">
      <c r="A287" s="99">
        <f t="shared" si="1"/>
        <v>2015.02</v>
      </c>
      <c r="B287" s="957">
        <v>115.42</v>
      </c>
      <c r="C287" s="2241"/>
      <c r="D287" s="2242"/>
      <c r="E287" s="3237"/>
      <c r="F287" s="2242"/>
      <c r="G287" s="3237"/>
      <c r="H287" s="2242"/>
      <c r="I287" s="3237"/>
      <c r="J287" s="2242"/>
      <c r="K287" s="2243"/>
      <c r="L287" s="308"/>
    </row>
    <row r="288" spans="1:12">
      <c r="A288" s="99">
        <f t="shared" si="1"/>
        <v>2015.03</v>
      </c>
      <c r="B288" s="957">
        <v>117.34</v>
      </c>
      <c r="C288" s="2241"/>
      <c r="D288" s="2242"/>
      <c r="E288" s="3237"/>
      <c r="F288" s="2242"/>
      <c r="G288" s="3237"/>
      <c r="H288" s="2242"/>
      <c r="I288" s="3237"/>
      <c r="J288" s="2242"/>
      <c r="K288" s="2243"/>
      <c r="L288" s="308"/>
    </row>
    <row r="289" spans="1:12">
      <c r="A289" s="99">
        <f t="shared" si="1"/>
        <v>2015.04</v>
      </c>
      <c r="B289" s="957">
        <v>120.17</v>
      </c>
      <c r="C289" s="2241"/>
      <c r="D289" s="2242"/>
      <c r="E289" s="3237"/>
      <c r="F289" s="2242"/>
      <c r="G289" s="3237"/>
      <c r="H289" s="2242"/>
      <c r="I289" s="3237"/>
      <c r="J289" s="2242"/>
      <c r="K289" s="2243"/>
      <c r="L289" s="308"/>
    </row>
    <row r="290" spans="1:12">
      <c r="A290" s="99">
        <f t="shared" si="1"/>
        <v>2015.05</v>
      </c>
      <c r="B290" s="957">
        <v>122.29</v>
      </c>
      <c r="C290" s="2241"/>
      <c r="D290" s="2242"/>
      <c r="E290" s="3237"/>
      <c r="F290" s="2242"/>
      <c r="G290" s="3237"/>
      <c r="H290" s="2242"/>
      <c r="I290" s="3237"/>
      <c r="J290" s="2242"/>
      <c r="K290" s="2243"/>
      <c r="L290" s="308"/>
    </row>
    <row r="291" spans="1:12">
      <c r="A291" s="99">
        <f t="shared" si="1"/>
        <v>2015.06</v>
      </c>
      <c r="B291" s="957">
        <v>123.72</v>
      </c>
      <c r="C291" s="2241"/>
      <c r="D291" s="2242"/>
      <c r="E291" s="3237"/>
      <c r="F291" s="2242"/>
      <c r="G291" s="3237"/>
      <c r="H291" s="2242"/>
      <c r="I291" s="3237"/>
      <c r="J291" s="2242"/>
      <c r="K291" s="2243"/>
      <c r="L291" s="308"/>
    </row>
    <row r="292" spans="1:12">
      <c r="A292" s="99">
        <f t="shared" si="1"/>
        <v>2015.07</v>
      </c>
      <c r="B292" s="957">
        <v>126.38</v>
      </c>
      <c r="C292" s="2241"/>
      <c r="D292" s="2242"/>
      <c r="E292" s="3237"/>
      <c r="F292" s="2242"/>
      <c r="G292" s="3237"/>
      <c r="H292" s="2242"/>
      <c r="I292" s="3237"/>
      <c r="J292" s="2242"/>
      <c r="K292" s="2243"/>
      <c r="L292" s="308"/>
    </row>
    <row r="293" spans="1:12">
      <c r="A293" s="99">
        <f t="shared" si="1"/>
        <v>2015.08</v>
      </c>
      <c r="B293" s="957">
        <v>129.51</v>
      </c>
      <c r="C293" s="2241"/>
      <c r="D293" s="2242"/>
      <c r="E293" s="3237"/>
      <c r="F293" s="2242"/>
      <c r="G293" s="3237"/>
      <c r="H293" s="2242"/>
      <c r="I293" s="3237"/>
      <c r="J293" s="2242"/>
      <c r="K293" s="2243"/>
      <c r="L293" s="308"/>
    </row>
    <row r="294" spans="1:12">
      <c r="A294" s="99">
        <f t="shared" si="1"/>
        <v>2015.09</v>
      </c>
      <c r="B294" s="957">
        <v>131.77000000000001</v>
      </c>
      <c r="C294" s="2241"/>
      <c r="D294" s="2242"/>
      <c r="E294" s="3237"/>
      <c r="F294" s="2242"/>
      <c r="G294" s="3237"/>
      <c r="H294" s="2242"/>
      <c r="I294" s="3237"/>
      <c r="J294" s="2242"/>
      <c r="K294" s="2243"/>
      <c r="L294" s="308"/>
    </row>
    <row r="295" spans="1:12">
      <c r="A295" s="99">
        <f t="shared" si="1"/>
        <v>2015.1</v>
      </c>
      <c r="B295" s="962">
        <v>133.87</v>
      </c>
      <c r="C295" s="2241"/>
      <c r="D295" s="2242"/>
      <c r="E295" s="3237"/>
      <c r="F295" s="2242"/>
      <c r="G295" s="3237"/>
      <c r="H295" s="2242"/>
      <c r="I295" s="3237"/>
      <c r="J295" s="2242"/>
      <c r="K295" s="2243"/>
      <c r="L295" s="308"/>
    </row>
    <row r="296" spans="1:12">
      <c r="A296" s="99">
        <f t="shared" si="1"/>
        <v>2015.11</v>
      </c>
      <c r="B296" s="2495">
        <v>136.29</v>
      </c>
      <c r="C296" s="2496">
        <f>C308/(1+0.385)</f>
        <v>132.56317689530687</v>
      </c>
      <c r="D296" s="2497">
        <f>D308/(1+0.302)</f>
        <v>141.62826420890937</v>
      </c>
      <c r="E296" s="3238">
        <f>E308/(1+0.413)</f>
        <v>129.59660297239915</v>
      </c>
      <c r="F296" s="2497">
        <f>F308/(1+0.295)</f>
        <v>138.16988416988417</v>
      </c>
      <c r="G296" s="3238">
        <f>G308/(1+0.476)</f>
        <v>143.8821138211382</v>
      </c>
      <c r="H296" s="2497">
        <f>H308/(1+0.435)</f>
        <v>132.94773519163763</v>
      </c>
      <c r="I296" s="3238">
        <f>I308/(1+0.308)</f>
        <v>143.13455657492355</v>
      </c>
      <c r="J296" s="2497">
        <f>J308/(1+0.343)</f>
        <v>150.83395383469843</v>
      </c>
      <c r="K296" s="2498">
        <f>K308/(1+0.477)</f>
        <v>145.89031821259309</v>
      </c>
      <c r="L296" s="379">
        <f t="shared" ref="L296:L302" si="2">(C296*C$6+D296*D$6+E296*E$6+F296*F$6+G296*G$6+H296*H$6+I296*I$6+J296*J$6+K296*K$6)/B296-1</f>
        <v>-4.1114439603529007E-5</v>
      </c>
    </row>
    <row r="297" spans="1:12">
      <c r="A297" s="99">
        <f t="shared" si="1"/>
        <v>2015.12</v>
      </c>
      <c r="B297" s="2495">
        <v>144.36000000000001</v>
      </c>
      <c r="C297" s="2499">
        <f>C309/(1+0.285)</f>
        <v>146.00778210116732</v>
      </c>
      <c r="D297" s="2500">
        <f>D309/(1+0.261)</f>
        <v>146.25693893735129</v>
      </c>
      <c r="E297" s="3239">
        <f>E309/(1+0.336)</f>
        <v>140.62874251497004</v>
      </c>
      <c r="F297" s="2500">
        <f>F309/(1+0.238)</f>
        <v>147.77867528271403</v>
      </c>
      <c r="G297" s="3239">
        <f>G309/(1+0.362)</f>
        <v>157.09985315712186</v>
      </c>
      <c r="H297" s="2500">
        <f>H309/(1+0.345)</f>
        <v>142.52044609665427</v>
      </c>
      <c r="I297" s="3239">
        <f>I309/(1+0.262)</f>
        <v>152.71790808240885</v>
      </c>
      <c r="J297" s="2500">
        <f>J309/(1+0.349)</f>
        <v>150.51148999258709</v>
      </c>
      <c r="K297" s="2501">
        <f>K309/(1+0.431)</f>
        <v>153.22152341020265</v>
      </c>
      <c r="L297" s="307">
        <f t="shared" si="2"/>
        <v>1.615177362641429E-2</v>
      </c>
    </row>
    <row r="298" spans="1:12">
      <c r="A298" s="99">
        <f t="shared" si="1"/>
        <v>2016.01</v>
      </c>
      <c r="B298" s="2495">
        <v>149.93</v>
      </c>
      <c r="C298" s="2499">
        <f>C310/(1+0.286)</f>
        <v>148.37480559875584</v>
      </c>
      <c r="D298" s="2500">
        <f>D310/(1+0.223)</f>
        <v>151.10384300899426</v>
      </c>
      <c r="E298" s="3239">
        <f>E310/(1+0.427)</f>
        <v>139.60756832515767</v>
      </c>
      <c r="F298" s="2500">
        <f>F310/(1+0.202)</f>
        <v>153.41098169717139</v>
      </c>
      <c r="G298" s="3239">
        <f>G310/(1+0.357)</f>
        <v>160.44952100221076</v>
      </c>
      <c r="H298" s="2500">
        <f>H310/(1+0.329)</f>
        <v>146.41083521444696</v>
      </c>
      <c r="I298" s="3239">
        <f>I310/(1+0.252)</f>
        <v>158.77795527156547</v>
      </c>
      <c r="J298" s="2500">
        <f>J310/(1+0.387)</f>
        <v>151.32660418168709</v>
      </c>
      <c r="K298" s="2501">
        <f>K310/(1+0.407)</f>
        <v>158.10234541577825</v>
      </c>
      <c r="L298" s="307">
        <f t="shared" si="2"/>
        <v>-3.3937751221513324E-6</v>
      </c>
    </row>
    <row r="299" spans="1:12">
      <c r="A299" s="99">
        <f t="shared" si="1"/>
        <v>2016.02</v>
      </c>
      <c r="B299" s="2495">
        <v>154.84</v>
      </c>
      <c r="C299" s="2499">
        <f>C311/(1+0.267)</f>
        <v>152.42304656669299</v>
      </c>
      <c r="D299" s="2500">
        <f>D311/(1+0.211)</f>
        <v>150.60280759702724</v>
      </c>
      <c r="E299" s="3239">
        <f>E311/(1+0.425)</f>
        <v>157.19298245614036</v>
      </c>
      <c r="F299" s="2500">
        <f>F311/(1+0.172)</f>
        <v>159.21501706484642</v>
      </c>
      <c r="G299" s="3239">
        <f>G311/(1+0.367)</f>
        <v>164.19166057059252</v>
      </c>
      <c r="H299" s="2500">
        <f>H311/(1+0.343)</f>
        <v>148.89054355919583</v>
      </c>
      <c r="I299" s="3239">
        <f>I311/(1+0.255)</f>
        <v>161.49003984063745</v>
      </c>
      <c r="J299" s="2500">
        <f>J311/(1+0.367)</f>
        <v>155.04023408924652</v>
      </c>
      <c r="K299" s="2501">
        <f>K311/(1+0.372)</f>
        <v>165.24052478134112</v>
      </c>
      <c r="L299" s="307">
        <f t="shared" si="2"/>
        <v>-6.9255954999847269E-5</v>
      </c>
    </row>
    <row r="300" spans="1:12">
      <c r="A300" s="99">
        <f t="shared" si="1"/>
        <v>2016.03</v>
      </c>
      <c r="B300" s="2495">
        <v>158.72</v>
      </c>
      <c r="C300" s="2499">
        <f>C312/(1+0.271)</f>
        <v>156.42800944138475</v>
      </c>
      <c r="D300" s="2500">
        <f>D312/(1+0.199)</f>
        <v>154.67889908256882</v>
      </c>
      <c r="E300" s="3239">
        <f>E312/(1+0.534)</f>
        <v>159.3024771838331</v>
      </c>
      <c r="F300" s="2500">
        <f>F312/(1+0.133)</f>
        <v>163.75992939099734</v>
      </c>
      <c r="G300" s="3239">
        <f>G312/(1+0.386)</f>
        <v>168.19624819624818</v>
      </c>
      <c r="H300" s="2500">
        <f>H312/(1+0.329)</f>
        <v>153.28066215199399</v>
      </c>
      <c r="I300" s="3239">
        <f>I312/(1+0.244)</f>
        <v>161.92926045016077</v>
      </c>
      <c r="J300" s="2500">
        <f>J312/(1+0.278)</f>
        <v>173.34115805946792</v>
      </c>
      <c r="K300" s="2501">
        <f>K312/(1+0.374)</f>
        <v>167.72925764192138</v>
      </c>
      <c r="L300" s="307">
        <f t="shared" si="2"/>
        <v>9.0243565384229285E-5</v>
      </c>
    </row>
    <row r="301" spans="1:12">
      <c r="A301" s="99">
        <f t="shared" si="1"/>
        <v>2016.04</v>
      </c>
      <c r="B301" s="2495">
        <v>165.74</v>
      </c>
      <c r="C301" s="2499">
        <f>C313/(1+0.276)</f>
        <v>159.08307210031347</v>
      </c>
      <c r="D301" s="2500">
        <f>D313/(1+0.146)</f>
        <v>169.52006980802796</v>
      </c>
      <c r="E301" s="3239">
        <f>E313/(1+0.385)</f>
        <v>185.09747292418774</v>
      </c>
      <c r="F301" s="2500">
        <f>F313/(1+0.111)</f>
        <v>168.28082808280828</v>
      </c>
      <c r="G301" s="3239">
        <f>G313/(1+0.388)</f>
        <v>170.18731988472624</v>
      </c>
      <c r="H301" s="2500">
        <f>H313/(1+0.306)</f>
        <v>159.15007656967839</v>
      </c>
      <c r="I301" s="3239">
        <f>I313/(1+0.255)</f>
        <v>162.9163346613546</v>
      </c>
      <c r="J301" s="2500">
        <f>J313/(1+0.253)</f>
        <v>180.03990422984836</v>
      </c>
      <c r="K301" s="2501">
        <f>K313/(1+0.335)</f>
        <v>175.4307116104869</v>
      </c>
      <c r="L301" s="307">
        <f t="shared" si="2"/>
        <v>-1.3881339697496831E-4</v>
      </c>
    </row>
    <row r="302" spans="1:12">
      <c r="A302" s="99">
        <f t="shared" si="1"/>
        <v>2016.05</v>
      </c>
      <c r="B302" s="2495">
        <v>171.96</v>
      </c>
      <c r="C302" s="2499">
        <f>C314/(1+0.241)</f>
        <v>165.18936341659949</v>
      </c>
      <c r="D302" s="2500">
        <f>D314/(1+0.158)</f>
        <v>172.81519861830745</v>
      </c>
      <c r="E302" s="3239">
        <f>E314/(1+0.388)</f>
        <v>184.94956772334294</v>
      </c>
      <c r="F302" s="2500">
        <f>F314/(1+0.094)</f>
        <v>172.21206581352834</v>
      </c>
      <c r="G302" s="3239">
        <f>G314/(1+0.365)</f>
        <v>176.35164835164835</v>
      </c>
      <c r="H302" s="2500">
        <f>H314/(1+0.282)</f>
        <v>170.05460218408734</v>
      </c>
      <c r="I302" s="3239">
        <f>I314/(1+0.271)</f>
        <v>162.39968528717546</v>
      </c>
      <c r="J302" s="2500">
        <f>J314/(1+0.301)</f>
        <v>181.29131437355883</v>
      </c>
      <c r="K302" s="2501">
        <f>K314/(1+0.181)</f>
        <v>200.22861981371719</v>
      </c>
      <c r="L302" s="307">
        <f t="shared" si="2"/>
        <v>3.4285079006934893E-6</v>
      </c>
    </row>
    <row r="303" spans="1:12">
      <c r="A303" s="99">
        <f t="shared" si="1"/>
        <v>2016.06</v>
      </c>
      <c r="B303" s="2495">
        <v>177.22</v>
      </c>
      <c r="C303" s="2499">
        <f>C315/(1+0.215)</f>
        <v>169.75308641975309</v>
      </c>
      <c r="D303" s="2500">
        <f>D315/(1+0.148)</f>
        <v>176.08885017421605</v>
      </c>
      <c r="E303" s="3239">
        <f>E315/(1+0.401)</f>
        <v>187.88722341184868</v>
      </c>
      <c r="F303" s="2500">
        <f>F315/(1+0.114)</f>
        <v>171.02333931777378</v>
      </c>
      <c r="G303" s="3239">
        <f>G315/(1+0.262)</f>
        <v>192.24247226624408</v>
      </c>
      <c r="H303" s="2500">
        <f>H315/(1+0.223)</f>
        <v>180.52330335241209</v>
      </c>
      <c r="I303" s="3239">
        <f>I315/(1+0.278)</f>
        <v>164.81220657276995</v>
      </c>
      <c r="J303" s="2500">
        <f>J315/(1+0.307)</f>
        <v>187.04667176740628</v>
      </c>
      <c r="K303" s="2501">
        <f>K315/(1+0.193)</f>
        <v>200.70410729253982</v>
      </c>
      <c r="L303" s="307">
        <f t="shared" ref="L303:L308" si="3">(C303*C$6+D303*D$6+E303*E$6+F303*F$6+G303*G$6+H303*H$6+I303*I$6+J303*J$6+K303*K$6)/B303-1</f>
        <v>4.0481691638172279E-5</v>
      </c>
    </row>
    <row r="304" spans="1:12">
      <c r="A304" s="99">
        <f t="shared" si="1"/>
        <v>2016.07</v>
      </c>
      <c r="B304" s="2495">
        <v>180.85</v>
      </c>
      <c r="C304" s="2499">
        <f>C316/(1+0.197)</f>
        <v>174.47786131996656</v>
      </c>
      <c r="D304" s="2500">
        <f>D316/(1+0.135)</f>
        <v>175.66519823788545</v>
      </c>
      <c r="E304" s="3239">
        <f>E316/(1+0.391)</f>
        <v>192.65995686556434</v>
      </c>
      <c r="F304" s="2500">
        <f>F316/(1+0.104)</f>
        <v>175.32608695652172</v>
      </c>
      <c r="G304" s="3239">
        <f>G316/(1+0.29)</f>
        <v>194.62015503875969</v>
      </c>
      <c r="H304" s="2500">
        <f>H316/(1+0.271)</f>
        <v>180.40912667191191</v>
      </c>
      <c r="I304" s="3239">
        <f>I316/(1+0.243)</f>
        <v>176.38777152051489</v>
      </c>
      <c r="J304" s="2500">
        <f>J316/(1+0.3)</f>
        <v>190.37692307692308</v>
      </c>
      <c r="K304" s="2501">
        <f>K316/(1+0.192)</f>
        <v>203.3053691275168</v>
      </c>
      <c r="L304" s="307">
        <f t="shared" si="3"/>
        <v>2.2349975752677942E-4</v>
      </c>
    </row>
    <row r="305" spans="1:12">
      <c r="A305" s="99">
        <f t="shared" si="1"/>
        <v>2016.08</v>
      </c>
      <c r="B305" s="2495">
        <v>181.5</v>
      </c>
      <c r="C305" s="2499">
        <f>C317/(1+0.209)</f>
        <v>175.66583953680725</v>
      </c>
      <c r="D305" s="2500">
        <f>D317/(1+0.16)</f>
        <v>167.37068965517244</v>
      </c>
      <c r="E305" s="3239">
        <f>E317/(1+0.466)</f>
        <v>187.31241473397</v>
      </c>
      <c r="F305" s="2500">
        <f>F317/(1+0.12)</f>
        <v>175.66071428571428</v>
      </c>
      <c r="G305" s="3239">
        <f>G317/(1+0.332)</f>
        <v>196.41141141141139</v>
      </c>
      <c r="H305" s="2500">
        <f>H317/(1+0.28)</f>
        <v>181.3125</v>
      </c>
      <c r="I305" s="3239">
        <f>I317/(1+0.215)</f>
        <v>179.62139917695472</v>
      </c>
      <c r="J305" s="2500">
        <f>J317/(1+0.283)</f>
        <v>196.76539360872954</v>
      </c>
      <c r="K305" s="2501">
        <f>K317/(1+0.201)</f>
        <v>206.35303913405497</v>
      </c>
      <c r="L305" s="307">
        <f t="shared" si="3"/>
        <v>-3.126525437702643E-3</v>
      </c>
    </row>
    <row r="306" spans="1:12">
      <c r="A306" s="99">
        <f t="shared" si="1"/>
        <v>2016.09</v>
      </c>
      <c r="B306" s="2495">
        <v>182.75</v>
      </c>
      <c r="C306" s="2499">
        <f>C318/(1+0.202)</f>
        <v>178.91846921797006</v>
      </c>
      <c r="D306" s="2500">
        <f>D318/(1+0.131)</f>
        <v>173.71352785145888</v>
      </c>
      <c r="E306" s="3239">
        <f>E318/(1+0.561)</f>
        <v>178.35361947469573</v>
      </c>
      <c r="F306" s="2500">
        <f>F318/(1+0.115)</f>
        <v>178.97757847533632</v>
      </c>
      <c r="G306" s="3239">
        <f>G318/(1+0.343)</f>
        <v>199.49367088607596</v>
      </c>
      <c r="H306" s="2500">
        <f>H318/(1+0.309)</f>
        <v>181.45148968678382</v>
      </c>
      <c r="I306" s="3239">
        <f>I318/(1+0.192)</f>
        <v>184.86577181208057</v>
      </c>
      <c r="J306" s="2500">
        <f>J318/(1+0.303)</f>
        <v>197.36761320030701</v>
      </c>
      <c r="K306" s="2501">
        <f>K318/(1+0.191)</f>
        <v>209.87405541561714</v>
      </c>
      <c r="L306" s="307">
        <f t="shared" si="3"/>
        <v>-1.2044552652068496E-4</v>
      </c>
    </row>
    <row r="307" spans="1:12">
      <c r="A307" s="99">
        <f t="shared" si="1"/>
        <v>2016.1</v>
      </c>
      <c r="B307" s="2502">
        <v>187.34</v>
      </c>
      <c r="C307" s="2495">
        <v>181.66</v>
      </c>
      <c r="D307" s="2503">
        <v>184.65</v>
      </c>
      <c r="E307" s="3240">
        <v>179.64</v>
      </c>
      <c r="F307" s="2503">
        <v>178.88</v>
      </c>
      <c r="G307" s="3240">
        <v>210.77</v>
      </c>
      <c r="H307" s="2503">
        <v>188.48</v>
      </c>
      <c r="I307" s="3240">
        <v>189.87</v>
      </c>
      <c r="J307" s="2503">
        <v>202.76</v>
      </c>
      <c r="K307" s="2504">
        <v>211.8</v>
      </c>
      <c r="L307" s="307">
        <f t="shared" si="3"/>
        <v>-3.5176684104465394E-6</v>
      </c>
    </row>
    <row r="308" spans="1:12">
      <c r="A308" s="99">
        <f t="shared" si="1"/>
        <v>2016.11</v>
      </c>
      <c r="B308" s="2502">
        <v>188.79</v>
      </c>
      <c r="C308" s="2495">
        <v>183.6</v>
      </c>
      <c r="D308" s="2505">
        <v>184.4</v>
      </c>
      <c r="E308" s="3241">
        <v>183.12</v>
      </c>
      <c r="F308" s="2505">
        <v>178.93</v>
      </c>
      <c r="G308" s="3241">
        <v>212.37</v>
      </c>
      <c r="H308" s="2505">
        <v>190.78</v>
      </c>
      <c r="I308" s="3241">
        <v>187.22</v>
      </c>
      <c r="J308" s="2505">
        <v>202.57</v>
      </c>
      <c r="K308" s="2506">
        <v>215.48</v>
      </c>
      <c r="L308" s="307">
        <f t="shared" si="3"/>
        <v>1.2712537740267038E-6</v>
      </c>
    </row>
    <row r="309" spans="1:12">
      <c r="A309" s="99">
        <f t="shared" si="1"/>
        <v>2016.12</v>
      </c>
      <c r="B309" s="2502">
        <v>191.84</v>
      </c>
      <c r="C309" s="2495">
        <v>187.62</v>
      </c>
      <c r="D309" s="2505">
        <v>184.43</v>
      </c>
      <c r="E309" s="3241">
        <v>187.88</v>
      </c>
      <c r="F309" s="2505">
        <v>182.95</v>
      </c>
      <c r="G309" s="3241">
        <v>213.97</v>
      </c>
      <c r="H309" s="2505">
        <v>191.69</v>
      </c>
      <c r="I309" s="3241">
        <v>192.73</v>
      </c>
      <c r="J309" s="2505">
        <v>203.04</v>
      </c>
      <c r="K309" s="2506">
        <v>219.26</v>
      </c>
      <c r="L309" s="307">
        <f t="shared" ref="L309:L357" si="4">(C309*C$6+D309*D$6+E309*E$6+F309*F$6+G309*G$6+H309*H$6+I309*I$6+J309*J$6+K309*K$6)/B309-1</f>
        <v>2.4676814011748149E-5</v>
      </c>
    </row>
    <row r="310" spans="1:12">
      <c r="A310" s="99">
        <f t="shared" si="1"/>
        <v>2017.01</v>
      </c>
      <c r="B310" s="2502">
        <v>195.82</v>
      </c>
      <c r="C310" s="2495">
        <v>190.81</v>
      </c>
      <c r="D310" s="2505">
        <v>184.8</v>
      </c>
      <c r="E310" s="3241">
        <v>199.22</v>
      </c>
      <c r="F310" s="2505">
        <v>184.4</v>
      </c>
      <c r="G310" s="3241">
        <v>217.73</v>
      </c>
      <c r="H310" s="2505">
        <v>194.58</v>
      </c>
      <c r="I310" s="3241">
        <v>198.79</v>
      </c>
      <c r="J310" s="2505">
        <v>209.89</v>
      </c>
      <c r="K310" s="2506">
        <v>222.45</v>
      </c>
      <c r="L310" s="307">
        <f t="shared" si="4"/>
        <v>-3.3091614746183495E-6</v>
      </c>
    </row>
    <row r="311" spans="1:12">
      <c r="A311" s="99">
        <f t="shared" si="1"/>
        <v>2017.02</v>
      </c>
      <c r="B311" s="2507">
        <v>201.09</v>
      </c>
      <c r="C311" s="2495">
        <v>193.12</v>
      </c>
      <c r="D311" s="2503">
        <v>182.38</v>
      </c>
      <c r="E311" s="3240">
        <v>224</v>
      </c>
      <c r="F311" s="2503">
        <v>186.6</v>
      </c>
      <c r="G311" s="3240">
        <v>224.45</v>
      </c>
      <c r="H311" s="2503">
        <v>199.96</v>
      </c>
      <c r="I311" s="3240">
        <v>202.67</v>
      </c>
      <c r="J311" s="2503">
        <v>211.94</v>
      </c>
      <c r="K311" s="2504">
        <v>226.71</v>
      </c>
      <c r="L311" s="307">
        <f>(C311*C$6+D311*D$6+E311*E$6+F311*F$6+G311*G$6+H311*H$6+I311*I$6+J311*J$6+K311*K$6)/B311-1</f>
        <v>-8.2152270126645277E-6</v>
      </c>
    </row>
    <row r="312" spans="1:12">
      <c r="A312" s="99">
        <f t="shared" si="1"/>
        <v>2017.03</v>
      </c>
      <c r="B312" s="2507">
        <v>206.76</v>
      </c>
      <c r="C312" s="2495">
        <v>198.82</v>
      </c>
      <c r="D312" s="2503">
        <v>185.46</v>
      </c>
      <c r="E312" s="3240">
        <v>244.37</v>
      </c>
      <c r="F312" s="2503">
        <v>185.54</v>
      </c>
      <c r="G312" s="3240">
        <v>233.12</v>
      </c>
      <c r="H312" s="2503">
        <v>203.71</v>
      </c>
      <c r="I312" s="3240">
        <v>201.44</v>
      </c>
      <c r="J312" s="2503">
        <v>221.53</v>
      </c>
      <c r="K312" s="2504">
        <v>230.46</v>
      </c>
      <c r="L312" s="307">
        <f>(C312*C$6+D312*D$6+E312*E$6+F312*F$6+G312*G$6+H312*H$6+I312*I$6+J312*J$6+K312*K$6)/B312-1</f>
        <v>-2.6818533565453606E-5</v>
      </c>
    </row>
    <row r="313" spans="1:12">
      <c r="A313" s="99">
        <f t="shared" si="1"/>
        <v>2017.04</v>
      </c>
      <c r="B313" s="2507">
        <v>211.72</v>
      </c>
      <c r="C313" s="2495">
        <v>202.99</v>
      </c>
      <c r="D313" s="2503">
        <v>194.27</v>
      </c>
      <c r="E313" s="3240">
        <v>256.36</v>
      </c>
      <c r="F313" s="2503">
        <v>186.96</v>
      </c>
      <c r="G313" s="3240">
        <v>236.22</v>
      </c>
      <c r="H313" s="2503">
        <v>207.85</v>
      </c>
      <c r="I313" s="3240">
        <v>204.46</v>
      </c>
      <c r="J313" s="2503">
        <v>225.59</v>
      </c>
      <c r="K313" s="2504">
        <v>234.2</v>
      </c>
      <c r="L313" s="307">
        <f t="shared" si="4"/>
        <v>-2.246363121105599E-5</v>
      </c>
    </row>
    <row r="314" spans="1:12">
      <c r="A314" s="99">
        <f t="shared" si="1"/>
        <v>2017.05</v>
      </c>
      <c r="B314" s="2507">
        <v>215.74</v>
      </c>
      <c r="C314" s="2495">
        <v>205</v>
      </c>
      <c r="D314" s="2503">
        <v>200.12</v>
      </c>
      <c r="E314" s="3240">
        <v>256.70999999999998</v>
      </c>
      <c r="F314" s="2503">
        <v>188.4</v>
      </c>
      <c r="G314" s="3240">
        <v>240.72</v>
      </c>
      <c r="H314" s="2503">
        <v>218.01</v>
      </c>
      <c r="I314" s="3240">
        <v>206.41</v>
      </c>
      <c r="J314" s="2503">
        <v>235.86</v>
      </c>
      <c r="K314" s="2504">
        <v>236.47</v>
      </c>
      <c r="L314" s="307">
        <f t="shared" si="4"/>
        <v>9.6644108649179827E-6</v>
      </c>
    </row>
    <row r="315" spans="1:12">
      <c r="A315" s="99">
        <f t="shared" si="1"/>
        <v>2017.06</v>
      </c>
      <c r="B315" s="2507">
        <v>218.52</v>
      </c>
      <c r="C315" s="2495">
        <v>206.25</v>
      </c>
      <c r="D315" s="2503">
        <v>202.15</v>
      </c>
      <c r="E315" s="3240">
        <v>263.23</v>
      </c>
      <c r="F315" s="2503">
        <v>190.52</v>
      </c>
      <c r="G315" s="3240">
        <v>242.61</v>
      </c>
      <c r="H315" s="2503">
        <v>220.78</v>
      </c>
      <c r="I315" s="3240">
        <v>210.63</v>
      </c>
      <c r="J315" s="2503">
        <v>244.47</v>
      </c>
      <c r="K315" s="2504">
        <v>239.44</v>
      </c>
      <c r="L315" s="307">
        <f t="shared" si="4"/>
        <v>2.4157971810323531E-5</v>
      </c>
    </row>
    <row r="316" spans="1:12">
      <c r="A316" s="99">
        <f t="shared" si="1"/>
        <v>2017.07</v>
      </c>
      <c r="B316" s="2507">
        <v>222.94</v>
      </c>
      <c r="C316" s="2495">
        <v>208.85</v>
      </c>
      <c r="D316" s="2503">
        <v>199.38</v>
      </c>
      <c r="E316" s="3240">
        <v>267.99</v>
      </c>
      <c r="F316" s="2503">
        <v>193.56</v>
      </c>
      <c r="G316" s="3240">
        <v>251.06</v>
      </c>
      <c r="H316" s="2503">
        <v>229.3</v>
      </c>
      <c r="I316" s="3240">
        <v>219.25</v>
      </c>
      <c r="J316" s="2503">
        <v>247.49</v>
      </c>
      <c r="K316" s="2504">
        <v>242.34</v>
      </c>
      <c r="L316" s="307">
        <f t="shared" si="4"/>
        <v>-3.148829281429677E-6</v>
      </c>
    </row>
    <row r="317" spans="1:12">
      <c r="A317" s="99">
        <f t="shared" si="1"/>
        <v>2017.08</v>
      </c>
      <c r="B317" s="2507">
        <v>226.03</v>
      </c>
      <c r="C317" s="2495">
        <v>212.38</v>
      </c>
      <c r="D317" s="2503">
        <v>194.15</v>
      </c>
      <c r="E317" s="3240">
        <v>274.60000000000002</v>
      </c>
      <c r="F317" s="2503">
        <v>196.74</v>
      </c>
      <c r="G317" s="3240">
        <v>261.62</v>
      </c>
      <c r="H317" s="2503">
        <v>232.08</v>
      </c>
      <c r="I317" s="3240">
        <v>218.24</v>
      </c>
      <c r="J317" s="2503">
        <v>252.45</v>
      </c>
      <c r="K317" s="2504">
        <v>247.83</v>
      </c>
      <c r="L317" s="307">
        <f t="shared" si="4"/>
        <v>-1.017564039695884E-7</v>
      </c>
    </row>
    <row r="318" spans="1:12">
      <c r="A318" s="99">
        <f t="shared" si="1"/>
        <v>2017.09</v>
      </c>
      <c r="B318" s="2507">
        <v>229.52</v>
      </c>
      <c r="C318" s="2495">
        <v>215.06</v>
      </c>
      <c r="D318" s="2503">
        <v>196.47</v>
      </c>
      <c r="E318" s="3240">
        <v>278.41000000000003</v>
      </c>
      <c r="F318" s="2503">
        <v>199.56</v>
      </c>
      <c r="G318" s="3240">
        <v>267.92</v>
      </c>
      <c r="H318" s="2503">
        <v>237.52</v>
      </c>
      <c r="I318" s="3240">
        <v>220.36</v>
      </c>
      <c r="J318" s="2503">
        <v>257.17</v>
      </c>
      <c r="K318" s="2504">
        <v>249.96</v>
      </c>
      <c r="L318" s="307">
        <f t="shared" si="4"/>
        <v>-2.4063262460849444E-5</v>
      </c>
    </row>
    <row r="319" spans="1:12">
      <c r="A319" s="99">
        <f t="shared" si="1"/>
        <v>2017.1</v>
      </c>
      <c r="B319" s="2507">
        <v>232.41</v>
      </c>
      <c r="C319" s="2495">
        <v>218.04</v>
      </c>
      <c r="D319" s="2503">
        <v>201.18</v>
      </c>
      <c r="E319" s="3240">
        <v>281.12</v>
      </c>
      <c r="F319" s="2503">
        <v>201.33</v>
      </c>
      <c r="G319" s="3240">
        <v>270.89</v>
      </c>
      <c r="H319" s="2503">
        <v>240.6</v>
      </c>
      <c r="I319" s="3240">
        <v>221.62</v>
      </c>
      <c r="J319" s="2503">
        <v>258.32</v>
      </c>
      <c r="K319" s="2504">
        <v>254.16</v>
      </c>
      <c r="L319" s="307">
        <f t="shared" si="4"/>
        <v>-1.3131965061696782E-5</v>
      </c>
    </row>
    <row r="320" spans="1:12">
      <c r="A320" s="99">
        <f t="shared" si="1"/>
        <v>2017.11</v>
      </c>
      <c r="B320" s="2507">
        <v>235.93</v>
      </c>
      <c r="C320" s="2495">
        <v>221.34</v>
      </c>
      <c r="D320" s="2503">
        <v>204.08</v>
      </c>
      <c r="E320" s="3240">
        <v>283.94</v>
      </c>
      <c r="F320" s="2503">
        <v>202.71</v>
      </c>
      <c r="G320" s="3240">
        <v>272.70999999999998</v>
      </c>
      <c r="H320" s="2503">
        <v>247.84</v>
      </c>
      <c r="I320" s="3240">
        <v>223.1</v>
      </c>
      <c r="J320" s="2503">
        <v>260.43</v>
      </c>
      <c r="K320" s="2504">
        <v>257.08</v>
      </c>
      <c r="L320" s="307">
        <f t="shared" si="4"/>
        <v>-2.3286568049840639E-5</v>
      </c>
    </row>
    <row r="321" spans="1:12">
      <c r="A321" s="99">
        <f t="shared" si="1"/>
        <v>2017.12</v>
      </c>
      <c r="B321" s="2507">
        <v>241.85</v>
      </c>
      <c r="C321" s="2495">
        <v>223.32</v>
      </c>
      <c r="D321" s="2503">
        <v>205.11</v>
      </c>
      <c r="E321" s="3240">
        <v>308.14</v>
      </c>
      <c r="F321" s="2503">
        <v>204.55</v>
      </c>
      <c r="G321" s="3240">
        <v>279.61</v>
      </c>
      <c r="H321" s="2503">
        <v>256.42</v>
      </c>
      <c r="I321" s="3240">
        <v>228</v>
      </c>
      <c r="J321" s="2503">
        <v>260.62</v>
      </c>
      <c r="K321" s="2504">
        <v>259.38</v>
      </c>
      <c r="L321" s="307">
        <f>(C321*C$6+D321*D$6+E321*E$6+F321*F$6+G321*G$6+H321*H$6+I321*I$6+J321*J$6+K321*K$6)/B321-1</f>
        <v>-1.5650196402705596E-5</v>
      </c>
    </row>
    <row r="322" spans="1:12">
      <c r="A322" s="99">
        <f t="shared" si="1"/>
        <v>2018.01</v>
      </c>
      <c r="B322" s="2507">
        <v>246.14</v>
      </c>
      <c r="C322" s="2495">
        <v>228.27</v>
      </c>
      <c r="D322" s="2503">
        <v>207.05</v>
      </c>
      <c r="E322" s="3240">
        <v>311.05</v>
      </c>
      <c r="F322" s="2503">
        <v>206.25</v>
      </c>
      <c r="G322" s="3240">
        <v>283.68</v>
      </c>
      <c r="H322" s="2503">
        <v>260.06</v>
      </c>
      <c r="I322" s="3240">
        <v>234.09</v>
      </c>
      <c r="J322" s="2503">
        <v>262.43</v>
      </c>
      <c r="K322" s="2504">
        <v>270.69</v>
      </c>
      <c r="L322" s="307">
        <f t="shared" si="4"/>
        <v>-1.7510359956451893E-6</v>
      </c>
    </row>
    <row r="323" spans="1:12">
      <c r="A323" s="99">
        <f t="shared" si="1"/>
        <v>2018.02</v>
      </c>
      <c r="B323" s="2508">
        <v>253.15</v>
      </c>
      <c r="C323" s="2509">
        <v>232.78</v>
      </c>
      <c r="D323" s="2505">
        <v>204.73</v>
      </c>
      <c r="E323" s="3241">
        <v>331.31</v>
      </c>
      <c r="F323" s="2505">
        <v>208.33</v>
      </c>
      <c r="G323" s="3241">
        <v>289.45</v>
      </c>
      <c r="H323" s="2505">
        <v>274.23</v>
      </c>
      <c r="I323" s="3241">
        <v>236.43</v>
      </c>
      <c r="J323" s="2505">
        <v>263.86</v>
      </c>
      <c r="K323" s="2506">
        <v>275.63</v>
      </c>
      <c r="L323" s="307">
        <f t="shared" si="4"/>
        <v>-1.9206004345351246E-5</v>
      </c>
    </row>
    <row r="324" spans="1:12">
      <c r="A324" s="99">
        <f t="shared" si="1"/>
        <v>2018.03</v>
      </c>
      <c r="B324" s="2508">
        <v>258.49</v>
      </c>
      <c r="C324" s="2509">
        <v>239.25</v>
      </c>
      <c r="D324" s="2505">
        <v>207.47</v>
      </c>
      <c r="E324" s="3241">
        <v>335.59</v>
      </c>
      <c r="F324" s="2505">
        <v>212.04</v>
      </c>
      <c r="G324" s="3241">
        <v>294.20999999999998</v>
      </c>
      <c r="H324" s="2505">
        <v>280.14999999999998</v>
      </c>
      <c r="I324" s="3241">
        <v>239.24</v>
      </c>
      <c r="J324" s="2505">
        <v>281.97000000000003</v>
      </c>
      <c r="K324" s="2506">
        <v>279.27999999999997</v>
      </c>
      <c r="L324" s="307">
        <f t="shared" si="4"/>
        <v>6.9480444118141804E-6</v>
      </c>
    </row>
    <row r="325" spans="1:12">
      <c r="A325" s="99">
        <f t="shared" si="1"/>
        <v>2018.04</v>
      </c>
      <c r="B325" s="2508">
        <v>265.58999999999997</v>
      </c>
      <c r="C325" s="2509">
        <v>243.41</v>
      </c>
      <c r="D325" s="2505">
        <v>215.69</v>
      </c>
      <c r="E325" s="3241">
        <v>355.31</v>
      </c>
      <c r="F325" s="2505">
        <v>217.18</v>
      </c>
      <c r="G325" s="3241">
        <v>299.27</v>
      </c>
      <c r="H325" s="2505">
        <v>290.33</v>
      </c>
      <c r="I325" s="3241">
        <v>240.23</v>
      </c>
      <c r="J325" s="2505">
        <v>285.41000000000003</v>
      </c>
      <c r="K325" s="2506">
        <v>284.07</v>
      </c>
      <c r="L325" s="307">
        <f>(C325*C$6+D325*D$6+E325*E$6+F325*F$6+G325*G$6+H325*H$6+I325*I$6+J325*J$6+K325*K$6)/B325-1</f>
        <v>-1.7222033962038807E-5</v>
      </c>
    </row>
    <row r="326" spans="1:12">
      <c r="A326" s="99">
        <f t="shared" si="1"/>
        <v>2018.05</v>
      </c>
      <c r="B326" s="2508">
        <v>272.76</v>
      </c>
      <c r="C326" s="2509">
        <v>251.24</v>
      </c>
      <c r="D326" s="2505">
        <v>221.81</v>
      </c>
      <c r="E326" s="3241">
        <v>362.58</v>
      </c>
      <c r="F326" s="2505">
        <v>223.13</v>
      </c>
      <c r="G326" s="3241">
        <v>303.68</v>
      </c>
      <c r="H326" s="2505">
        <v>295.56</v>
      </c>
      <c r="I326" s="3241">
        <v>253.12</v>
      </c>
      <c r="J326" s="2505">
        <v>292.87</v>
      </c>
      <c r="K326" s="2506">
        <v>290.8</v>
      </c>
      <c r="L326" s="307">
        <f>(C326*C$6+D326*D$6+E326*E$6+F326*F$6+G326*G$6+H326*H$6+I326*I$6+J326*J$6+K326*K$6)/B326-1</f>
        <v>-1.8100161313872043E-5</v>
      </c>
    </row>
    <row r="327" spans="1:12">
      <c r="A327" s="99">
        <f t="shared" si="1"/>
        <v>2018.06</v>
      </c>
      <c r="B327" s="2508">
        <v>282.82</v>
      </c>
      <c r="C327" s="2509">
        <v>263.64</v>
      </c>
      <c r="D327" s="2505">
        <v>227.76</v>
      </c>
      <c r="E327" s="3241">
        <v>368.14</v>
      </c>
      <c r="F327" s="2505">
        <v>234.52</v>
      </c>
      <c r="G327" s="3241">
        <v>316.31</v>
      </c>
      <c r="H327" s="2505">
        <v>305.23</v>
      </c>
      <c r="I327" s="3241">
        <v>260.76</v>
      </c>
      <c r="J327" s="2505">
        <v>308.83</v>
      </c>
      <c r="K327" s="2506">
        <v>299.64</v>
      </c>
      <c r="L327" s="307">
        <f>(C327*C$6+D327*D$6+E327*E$6+F327*F$6+G327*G$6+H327*H$6+I327*I$6+J327*J$6+K327*K$6)/B327-1</f>
        <v>-1.4320062230455122E-6</v>
      </c>
    </row>
    <row r="328" spans="1:12">
      <c r="A328" s="99">
        <f t="shared" si="1"/>
        <v>2018.07</v>
      </c>
      <c r="B328" s="2508">
        <v>292.44</v>
      </c>
      <c r="C328" s="2509">
        <v>272.73</v>
      </c>
      <c r="D328" s="2505">
        <v>230.1</v>
      </c>
      <c r="E328" s="3241">
        <v>372.64</v>
      </c>
      <c r="F328" s="2505">
        <v>244.82</v>
      </c>
      <c r="G328" s="3241">
        <v>325.38</v>
      </c>
      <c r="H328" s="2505">
        <v>319.49</v>
      </c>
      <c r="I328" s="3241">
        <v>274.98</v>
      </c>
      <c r="J328" s="2505">
        <v>313.5</v>
      </c>
      <c r="K328" s="2506">
        <v>312.02</v>
      </c>
      <c r="L328" s="307">
        <f>(C328*C$6+D328*D$6+E328*E$6+F328*F$6+G328*G$6+H328*H$6+I328*I$6+J328*J$6+K328*K$6)/B328-1</f>
        <v>-3.077554366903712E-8</v>
      </c>
    </row>
    <row r="329" spans="1:12">
      <c r="A329" s="99">
        <f t="shared" si="1"/>
        <v>2018.08</v>
      </c>
      <c r="B329" s="2508">
        <v>303.97000000000003</v>
      </c>
      <c r="C329" s="2509">
        <v>282.06</v>
      </c>
      <c r="D329" s="2505">
        <v>231.26</v>
      </c>
      <c r="E329" s="3241">
        <v>389.79</v>
      </c>
      <c r="F329" s="2505">
        <v>253.47</v>
      </c>
      <c r="G329" s="3241">
        <v>338.6</v>
      </c>
      <c r="H329" s="2505">
        <v>339.1</v>
      </c>
      <c r="I329" s="3241">
        <v>280.87</v>
      </c>
      <c r="J329" s="2505">
        <v>318.88</v>
      </c>
      <c r="K329" s="2506">
        <v>328.48</v>
      </c>
      <c r="L329" s="307">
        <f t="shared" si="4"/>
        <v>-2.6055202816066547E-5</v>
      </c>
    </row>
    <row r="330" spans="1:12">
      <c r="A330" s="99">
        <f t="shared" si="1"/>
        <v>2018.09</v>
      </c>
      <c r="B330" s="2508">
        <v>323.05</v>
      </c>
      <c r="C330" s="2509">
        <v>299.24</v>
      </c>
      <c r="D330" s="2505">
        <v>240.05</v>
      </c>
      <c r="E330" s="3241">
        <v>400.15</v>
      </c>
      <c r="F330" s="2505">
        <v>281.16000000000003</v>
      </c>
      <c r="G330" s="3241">
        <v>352.96</v>
      </c>
      <c r="H330" s="2505">
        <v>360.73</v>
      </c>
      <c r="I330" s="3241">
        <v>303.2</v>
      </c>
      <c r="J330" s="2505">
        <v>332.04</v>
      </c>
      <c r="K330" s="2506">
        <v>374.38</v>
      </c>
      <c r="L330" s="307">
        <f>(C330*C$6+D330*D$6+E330*E$6+F330*F$6+G330*G$6+H330*H$6+I330*I$6+J330*J$6+K330*K$6)/B330-1</f>
        <v>-1.6988082340185784E-5</v>
      </c>
    </row>
    <row r="331" spans="1:12">
      <c r="A331" s="99">
        <f t="shared" si="1"/>
        <v>2018.1</v>
      </c>
      <c r="B331" s="2508">
        <v>341.07</v>
      </c>
      <c r="C331" s="2509">
        <v>315.72000000000003</v>
      </c>
      <c r="D331" s="2505">
        <v>256.73</v>
      </c>
      <c r="E331" s="3241">
        <v>416.88</v>
      </c>
      <c r="F331" s="2505">
        <v>301.62</v>
      </c>
      <c r="G331" s="3241">
        <v>376.01</v>
      </c>
      <c r="H331" s="2505">
        <v>381.99</v>
      </c>
      <c r="I331" s="3241">
        <v>319.8</v>
      </c>
      <c r="J331" s="2505">
        <v>341.83</v>
      </c>
      <c r="K331" s="2506">
        <v>392.2</v>
      </c>
      <c r="L331" s="307">
        <f>(C331*C$6+D331*D$6+E331*E$6+F331*F$6+G331*G$6+H331*H$6+I331*I$6+J331*J$6+K331*K$6)/B331-1</f>
        <v>-1.0836485178855604E-5</v>
      </c>
    </row>
    <row r="332" spans="1:12">
      <c r="A332" s="99">
        <f t="shared" si="1"/>
        <v>2018.11</v>
      </c>
      <c r="B332" s="2508">
        <v>351.87</v>
      </c>
      <c r="C332" s="2509">
        <v>327.23</v>
      </c>
      <c r="D332" s="2505">
        <v>265.45</v>
      </c>
      <c r="E332" s="3241">
        <v>420.69</v>
      </c>
      <c r="F332" s="2505">
        <v>313.36</v>
      </c>
      <c r="G332" s="3241">
        <v>387.09</v>
      </c>
      <c r="H332" s="2505">
        <v>398.19</v>
      </c>
      <c r="I332" s="3241">
        <v>325.3</v>
      </c>
      <c r="J332" s="2505">
        <v>347.47</v>
      </c>
      <c r="K332" s="2506">
        <v>405.78</v>
      </c>
      <c r="L332" s="307">
        <f t="shared" si="4"/>
        <v>-2.9130076448669051E-5</v>
      </c>
    </row>
    <row r="333" spans="1:12">
      <c r="A333" s="99">
        <f t="shared" si="1"/>
        <v>2018.12</v>
      </c>
      <c r="B333" s="2508">
        <v>361.06</v>
      </c>
      <c r="C333" s="2509">
        <v>334.09</v>
      </c>
      <c r="D333" s="2505">
        <v>273.66000000000003</v>
      </c>
      <c r="E333" s="3241">
        <v>429.73</v>
      </c>
      <c r="F333" s="2505">
        <v>321.08</v>
      </c>
      <c r="G333" s="3241">
        <v>403.82</v>
      </c>
      <c r="H333" s="2505">
        <v>407.93</v>
      </c>
      <c r="I333" s="3241">
        <v>338.65</v>
      </c>
      <c r="J333" s="2505">
        <v>351.15</v>
      </c>
      <c r="K333" s="2506">
        <v>418.55</v>
      </c>
      <c r="L333" s="307">
        <f t="shared" si="4"/>
        <v>-4.2078878856766089E-5</v>
      </c>
    </row>
    <row r="334" spans="1:12">
      <c r="A334" s="99">
        <f t="shared" si="1"/>
        <v>2019.01</v>
      </c>
      <c r="B334" s="2508">
        <v>373.42</v>
      </c>
      <c r="C334" s="2509">
        <v>344.45</v>
      </c>
      <c r="D334" s="2505">
        <v>273.87</v>
      </c>
      <c r="E334" s="3241">
        <v>459.92</v>
      </c>
      <c r="F334" s="2505">
        <v>333.71</v>
      </c>
      <c r="G334" s="3241">
        <v>415.68</v>
      </c>
      <c r="H334" s="2505">
        <v>419.89</v>
      </c>
      <c r="I334" s="3241">
        <v>353.01</v>
      </c>
      <c r="J334" s="2505">
        <v>352.77</v>
      </c>
      <c r="K334" s="2506">
        <v>431.86</v>
      </c>
      <c r="L334" s="307">
        <f t="shared" si="4"/>
        <v>-2.1686037170010053E-5</v>
      </c>
    </row>
    <row r="335" spans="1:12">
      <c r="A335" s="99">
        <f t="shared" si="1"/>
        <v>2019.02</v>
      </c>
      <c r="B335" s="2508">
        <v>387.85</v>
      </c>
      <c r="C335" s="2509">
        <v>362.04</v>
      </c>
      <c r="D335" s="2505">
        <v>276.2</v>
      </c>
      <c r="E335" s="3241">
        <v>486.02</v>
      </c>
      <c r="F335" s="2505">
        <v>344.95</v>
      </c>
      <c r="G335" s="3241">
        <v>427.06</v>
      </c>
      <c r="H335" s="2505">
        <v>437.46</v>
      </c>
      <c r="I335" s="3241">
        <v>357.11</v>
      </c>
      <c r="J335" s="2505">
        <v>354.45</v>
      </c>
      <c r="K335" s="2506">
        <v>443.76</v>
      </c>
      <c r="L335" s="307">
        <f t="shared" si="4"/>
        <v>-2.624726053901405E-5</v>
      </c>
    </row>
    <row r="336" spans="1:12">
      <c r="A336" s="99">
        <f t="shared" si="1"/>
        <v>2019.03</v>
      </c>
      <c r="B336" s="2508">
        <v>402.8</v>
      </c>
      <c r="C336" s="2509">
        <v>382.49</v>
      </c>
      <c r="D336" s="2505">
        <v>290.66000000000003</v>
      </c>
      <c r="E336" s="3241">
        <v>501.37</v>
      </c>
      <c r="F336" s="2505">
        <v>354.19</v>
      </c>
      <c r="G336" s="3241">
        <v>437.69</v>
      </c>
      <c r="H336" s="2505">
        <v>447.71</v>
      </c>
      <c r="I336" s="3241">
        <v>366.1</v>
      </c>
      <c r="J336" s="2505">
        <v>380.51</v>
      </c>
      <c r="K336" s="2506">
        <v>459.11</v>
      </c>
      <c r="L336" s="307">
        <f t="shared" si="4"/>
        <v>-3.9049155908577049E-5</v>
      </c>
    </row>
    <row r="337" spans="1:12">
      <c r="A337" s="99">
        <f t="shared" si="1"/>
        <v>2019.04</v>
      </c>
      <c r="B337" s="2508">
        <v>416.66</v>
      </c>
      <c r="C337" s="2509">
        <v>397.43</v>
      </c>
      <c r="D337" s="2505">
        <v>310.74</v>
      </c>
      <c r="E337" s="3241">
        <v>518.11</v>
      </c>
      <c r="F337" s="2505">
        <v>367.06</v>
      </c>
      <c r="G337" s="3241">
        <v>453.1</v>
      </c>
      <c r="H337" s="2505">
        <v>459.12</v>
      </c>
      <c r="I337" s="3241">
        <v>374.65</v>
      </c>
      <c r="J337" s="2505">
        <v>388.02</v>
      </c>
      <c r="K337" s="2506">
        <v>471.19</v>
      </c>
      <c r="L337" s="307">
        <f t="shared" si="4"/>
        <v>-1.9934718955560982E-5</v>
      </c>
    </row>
    <row r="338" spans="1:12">
      <c r="A338" s="99">
        <f t="shared" si="1"/>
        <v>2019.05</v>
      </c>
      <c r="B338" s="2508">
        <v>430.02</v>
      </c>
      <c r="C338" s="2509">
        <v>404.23</v>
      </c>
      <c r="D338" s="2505">
        <v>324.94</v>
      </c>
      <c r="E338" s="3241">
        <v>532.87</v>
      </c>
      <c r="F338" s="2505">
        <v>379.92</v>
      </c>
      <c r="G338" s="3241">
        <v>476.59</v>
      </c>
      <c r="H338" s="2505">
        <v>479.56</v>
      </c>
      <c r="I338" s="3241">
        <v>384.74</v>
      </c>
      <c r="J338" s="2505">
        <v>410.12</v>
      </c>
      <c r="K338" s="2506">
        <v>486.02</v>
      </c>
      <c r="L338" s="307">
        <f t="shared" si="4"/>
        <v>-2.6445281614662086E-5</v>
      </c>
    </row>
    <row r="339" spans="1:12">
      <c r="A339" s="99">
        <f t="shared" si="1"/>
        <v>2019.06</v>
      </c>
      <c r="B339" s="2508">
        <v>441.97</v>
      </c>
      <c r="C339" s="2509">
        <v>412.09</v>
      </c>
      <c r="D339" s="2505">
        <v>332.93</v>
      </c>
      <c r="E339" s="3241">
        <v>543.88</v>
      </c>
      <c r="F339" s="2505">
        <v>392.55</v>
      </c>
      <c r="G339" s="3241">
        <v>494.31</v>
      </c>
      <c r="H339" s="2505">
        <v>494.16</v>
      </c>
      <c r="I339" s="3241">
        <v>407.12</v>
      </c>
      <c r="J339" s="2505">
        <v>418.99</v>
      </c>
      <c r="K339" s="2506">
        <v>498.63</v>
      </c>
      <c r="L339" s="307">
        <f t="shared" si="4"/>
        <v>-1.9881439916935584E-5</v>
      </c>
    </row>
    <row r="340" spans="1:12">
      <c r="A340" s="99">
        <f t="shared" si="1"/>
        <v>2019.07</v>
      </c>
      <c r="B340" s="2508">
        <v>452.05</v>
      </c>
      <c r="C340" s="2509">
        <v>420.41</v>
      </c>
      <c r="D340" s="2505">
        <v>340.28</v>
      </c>
      <c r="E340" s="3241">
        <v>551.1</v>
      </c>
      <c r="F340" s="2505">
        <v>402.85</v>
      </c>
      <c r="G340" s="3241">
        <v>515.64</v>
      </c>
      <c r="H340" s="2505">
        <v>504.43</v>
      </c>
      <c r="I340" s="3241">
        <v>420.7</v>
      </c>
      <c r="J340" s="2505">
        <v>435.62</v>
      </c>
      <c r="K340" s="2506">
        <v>506.89</v>
      </c>
      <c r="L340" s="307">
        <f t="shared" si="4"/>
        <v>-1.3540537551204324E-5</v>
      </c>
    </row>
    <row r="341" spans="1:12">
      <c r="A341" s="99">
        <f t="shared" si="1"/>
        <v>2019.08</v>
      </c>
      <c r="B341" s="2508">
        <v>468.85</v>
      </c>
      <c r="C341" s="2509">
        <v>439.99</v>
      </c>
      <c r="D341" s="2505">
        <v>348.98</v>
      </c>
      <c r="E341" s="3241">
        <v>558.80999999999995</v>
      </c>
      <c r="F341" s="2505">
        <v>426.69</v>
      </c>
      <c r="G341" s="3241">
        <v>534.41999999999996</v>
      </c>
      <c r="H341" s="2505">
        <v>524.19000000000005</v>
      </c>
      <c r="I341" s="3241">
        <v>431.43</v>
      </c>
      <c r="J341" s="2505">
        <v>444.52</v>
      </c>
      <c r="K341" s="2506">
        <v>528.20000000000005</v>
      </c>
      <c r="L341" s="307">
        <f t="shared" si="4"/>
        <v>-2.8868508051727026E-5</v>
      </c>
    </row>
    <row r="342" spans="1:12">
      <c r="A342" s="99">
        <f t="shared" ref="A342:A405" si="5">A330+1</f>
        <v>2019.09</v>
      </c>
      <c r="B342" s="2508">
        <v>495.63</v>
      </c>
      <c r="C342" s="2509">
        <v>465.47</v>
      </c>
      <c r="D342" s="2505">
        <v>371.89</v>
      </c>
      <c r="E342" s="3241">
        <v>568.13</v>
      </c>
      <c r="F342" s="2505">
        <v>466.3</v>
      </c>
      <c r="G342" s="3241">
        <v>580.91</v>
      </c>
      <c r="H342" s="2505">
        <v>550.27</v>
      </c>
      <c r="I342" s="3241">
        <v>461.53</v>
      </c>
      <c r="J342" s="2505">
        <v>457.53</v>
      </c>
      <c r="K342" s="2506">
        <v>566.35</v>
      </c>
      <c r="L342" s="307">
        <f t="shared" si="4"/>
        <v>-2.8513205415414689E-5</v>
      </c>
    </row>
    <row r="343" spans="1:12">
      <c r="A343" s="99">
        <f t="shared" si="5"/>
        <v>2019.1</v>
      </c>
      <c r="B343" s="2508">
        <v>511.1</v>
      </c>
      <c r="C343" s="2509">
        <v>476.06</v>
      </c>
      <c r="D343" s="2505">
        <v>393.19</v>
      </c>
      <c r="E343" s="3241">
        <v>576.04999999999995</v>
      </c>
      <c r="F343" s="2505">
        <v>481.72</v>
      </c>
      <c r="G343" s="3241">
        <v>605.49</v>
      </c>
      <c r="H343" s="2505">
        <v>569.44000000000005</v>
      </c>
      <c r="I343" s="3241">
        <v>479.84</v>
      </c>
      <c r="J343" s="2505">
        <v>472.44</v>
      </c>
      <c r="K343" s="2506">
        <v>589.5</v>
      </c>
      <c r="L343" s="307">
        <f t="shared" si="4"/>
        <v>-1.0782625709193638E-5</v>
      </c>
    </row>
    <row r="344" spans="1:12">
      <c r="A344" s="99">
        <f t="shared" si="5"/>
        <v>2019.11</v>
      </c>
      <c r="B344" s="2508">
        <v>532.26</v>
      </c>
      <c r="C344" s="2509">
        <v>500.27</v>
      </c>
      <c r="D344" s="2509">
        <v>410.73</v>
      </c>
      <c r="E344" s="2509">
        <v>586.66</v>
      </c>
      <c r="F344" s="2509">
        <v>505.52</v>
      </c>
      <c r="G344" s="2509">
        <v>636.64</v>
      </c>
      <c r="H344" s="2509">
        <v>592.57000000000005</v>
      </c>
      <c r="I344" s="2509">
        <v>492.77</v>
      </c>
      <c r="J344" s="2509">
        <v>479.94</v>
      </c>
      <c r="K344" s="2509">
        <v>616.38</v>
      </c>
      <c r="L344" s="307">
        <f t="shared" si="4"/>
        <v>-2.2338706646918283E-5</v>
      </c>
    </row>
    <row r="345" spans="1:12">
      <c r="A345" s="99">
        <f t="shared" si="5"/>
        <v>2019.12</v>
      </c>
      <c r="B345" s="2509">
        <v>552.72</v>
      </c>
      <c r="C345" s="2509">
        <v>517.02</v>
      </c>
      <c r="D345" s="2509">
        <v>424.19</v>
      </c>
      <c r="E345" s="2509">
        <v>593.64</v>
      </c>
      <c r="F345" s="2509">
        <v>516.95000000000005</v>
      </c>
      <c r="G345" s="2509">
        <v>675.44</v>
      </c>
      <c r="H345" s="2509">
        <v>626.02</v>
      </c>
      <c r="I345" s="2509">
        <v>523.87</v>
      </c>
      <c r="J345" s="2509">
        <v>483.54</v>
      </c>
      <c r="K345" s="2509">
        <v>633.5</v>
      </c>
      <c r="L345" s="307">
        <f t="shared" si="4"/>
        <v>-1.4092126212172928E-5</v>
      </c>
    </row>
    <row r="346" spans="1:12">
      <c r="A346" s="99">
        <f t="shared" si="5"/>
        <v>2020.01</v>
      </c>
      <c r="B346" s="2509">
        <v>568.46</v>
      </c>
      <c r="C346" s="2509">
        <v>540.5</v>
      </c>
      <c r="D346" s="2509">
        <v>432.15</v>
      </c>
      <c r="E346" s="2509">
        <v>598.74</v>
      </c>
      <c r="F346" s="2509">
        <v>529.59</v>
      </c>
      <c r="G346" s="2509">
        <v>676.84</v>
      </c>
      <c r="H346" s="2509">
        <v>641.79999999999995</v>
      </c>
      <c r="I346" s="2509">
        <v>543.79</v>
      </c>
      <c r="J346" s="2509">
        <v>488.13</v>
      </c>
      <c r="K346" s="2509">
        <v>653.62</v>
      </c>
      <c r="L346" s="307">
        <f>(C346*C$6+D346*D$6+E346*E$6+F346*F$6+G346*G$6+H346*H$6+I346*I$6+J346*J$6+K346*K$6)/B346-1</f>
        <v>-1.8694367237781506E-5</v>
      </c>
    </row>
    <row r="347" spans="1:12">
      <c r="A347" s="99">
        <f t="shared" si="5"/>
        <v>2020.02</v>
      </c>
      <c r="B347" s="2509">
        <v>578.71</v>
      </c>
      <c r="C347" s="2509">
        <v>553.86</v>
      </c>
      <c r="D347" s="2509">
        <v>436.34</v>
      </c>
      <c r="E347" s="2509">
        <v>603.6</v>
      </c>
      <c r="F347" s="2509">
        <v>540.16999999999996</v>
      </c>
      <c r="G347" s="2509">
        <v>681.54</v>
      </c>
      <c r="H347" s="2509">
        <v>652.94000000000005</v>
      </c>
      <c r="I347" s="2509">
        <v>556.5</v>
      </c>
      <c r="J347" s="2509">
        <v>497.29</v>
      </c>
      <c r="K347" s="2509">
        <v>664</v>
      </c>
      <c r="L347" s="307">
        <f t="shared" si="4"/>
        <v>-1.49124777520937E-5</v>
      </c>
    </row>
    <row r="348" spans="1:12">
      <c r="A348" s="99">
        <f t="shared" si="5"/>
        <v>2020.03</v>
      </c>
      <c r="B348" s="2509">
        <v>592.48</v>
      </c>
      <c r="C348" s="2509">
        <v>575.19000000000005</v>
      </c>
      <c r="D348" s="2509">
        <v>444.78</v>
      </c>
      <c r="E348" s="2509">
        <v>610.37</v>
      </c>
      <c r="F348" s="2509">
        <v>545.89</v>
      </c>
      <c r="G348" s="2509">
        <v>700.05</v>
      </c>
      <c r="H348" s="2509">
        <v>659.79</v>
      </c>
      <c r="I348" s="2509">
        <v>563.1</v>
      </c>
      <c r="J348" s="2509">
        <v>549.47</v>
      </c>
      <c r="K348" s="2509">
        <v>677.71</v>
      </c>
      <c r="L348" s="307">
        <f t="shared" si="4"/>
        <v>-4.7140831760383861E-6</v>
      </c>
    </row>
    <row r="349" spans="1:12">
      <c r="A349" s="99">
        <f t="shared" si="5"/>
        <v>2020.04</v>
      </c>
      <c r="B349" s="2509">
        <v>604.75</v>
      </c>
      <c r="C349" s="2509">
        <v>591.95000000000005</v>
      </c>
      <c r="D349" s="2509">
        <v>453.93</v>
      </c>
      <c r="E349" s="2509">
        <v>612.25</v>
      </c>
      <c r="F349" s="2509">
        <v>547.84</v>
      </c>
      <c r="G349" s="2509">
        <v>708.34</v>
      </c>
      <c r="H349" s="2509">
        <v>675.84</v>
      </c>
      <c r="I349" s="2509">
        <v>579.79</v>
      </c>
      <c r="J349" s="2509">
        <v>546.72</v>
      </c>
      <c r="K349" s="2509">
        <v>693.13</v>
      </c>
      <c r="L349" s="307">
        <f t="shared" si="4"/>
        <v>-1.1718892104051193E-5</v>
      </c>
    </row>
    <row r="350" spans="1:12">
      <c r="A350" s="99">
        <f t="shared" si="5"/>
        <v>2020.05</v>
      </c>
      <c r="B350" s="2509">
        <v>614.51</v>
      </c>
      <c r="C350" s="2509">
        <v>595.88</v>
      </c>
      <c r="D350" s="2509">
        <v>492.35</v>
      </c>
      <c r="E350" s="2509">
        <v>619.16999999999996</v>
      </c>
      <c r="F350" s="2509">
        <v>567.57000000000005</v>
      </c>
      <c r="G350" s="2509">
        <v>714.52</v>
      </c>
      <c r="H350" s="2509">
        <v>686.61</v>
      </c>
      <c r="I350" s="2509">
        <v>587.48</v>
      </c>
      <c r="J350" s="2509">
        <v>540.53</v>
      </c>
      <c r="K350" s="2509">
        <v>695.33</v>
      </c>
      <c r="L350" s="307">
        <f t="shared" si="4"/>
        <v>-1.5378106133168146E-5</v>
      </c>
    </row>
    <row r="351" spans="1:12">
      <c r="A351" s="99">
        <f t="shared" si="5"/>
        <v>2020.06</v>
      </c>
      <c r="B351" s="2509">
        <v>625.88</v>
      </c>
      <c r="C351" s="2509">
        <v>598.27</v>
      </c>
      <c r="D351" s="2509">
        <v>518.04</v>
      </c>
      <c r="E351" s="2509">
        <v>626.4</v>
      </c>
      <c r="F351" s="2509">
        <v>590.53</v>
      </c>
      <c r="G351" s="2509">
        <v>732.44</v>
      </c>
      <c r="H351" s="2509">
        <v>696.01</v>
      </c>
      <c r="I351" s="2509">
        <v>613.62</v>
      </c>
      <c r="J351" s="2509">
        <v>543.55999999999995</v>
      </c>
      <c r="K351" s="2509">
        <v>709.66</v>
      </c>
      <c r="L351" s="307">
        <f t="shared" si="4"/>
        <v>-7.5749344922160233E-6</v>
      </c>
    </row>
    <row r="352" spans="1:12">
      <c r="A352" s="99">
        <f t="shared" si="5"/>
        <v>2020.07</v>
      </c>
      <c r="B352" s="2509">
        <v>641.44000000000005</v>
      </c>
      <c r="C352" s="2509">
        <v>610.22</v>
      </c>
      <c r="D352" s="2509">
        <v>542.24</v>
      </c>
      <c r="E352" s="2509">
        <v>633.67999999999995</v>
      </c>
      <c r="F352" s="2509">
        <v>617.03</v>
      </c>
      <c r="G352" s="2509">
        <v>751.85</v>
      </c>
      <c r="H352" s="2509">
        <v>699.46</v>
      </c>
      <c r="I352" s="2509">
        <v>665.85</v>
      </c>
      <c r="J352" s="2509">
        <v>544.23</v>
      </c>
      <c r="K352" s="2509">
        <v>719.1</v>
      </c>
      <c r="L352" s="307">
        <f t="shared" si="4"/>
        <v>-1.0601147418465295E-5</v>
      </c>
    </row>
    <row r="353" spans="1:12">
      <c r="A353" s="99">
        <f t="shared" si="5"/>
        <v>2020.08</v>
      </c>
      <c r="B353" s="2509">
        <v>659.44</v>
      </c>
      <c r="C353" s="2509">
        <v>629.70000000000005</v>
      </c>
      <c r="D353" s="2509">
        <v>547.85</v>
      </c>
      <c r="E353" s="2509">
        <v>647.30999999999995</v>
      </c>
      <c r="F353" s="2509">
        <v>644.39</v>
      </c>
      <c r="G353" s="2509">
        <v>775.86</v>
      </c>
      <c r="H353" s="2509">
        <v>711.71</v>
      </c>
      <c r="I353" s="2509">
        <v>700.01</v>
      </c>
      <c r="J353" s="2509">
        <v>554.11</v>
      </c>
      <c r="K353" s="2509">
        <v>733.95</v>
      </c>
      <c r="L353" s="307">
        <f t="shared" si="4"/>
        <v>-6.4266650492417199E-6</v>
      </c>
    </row>
    <row r="354" spans="1:12">
      <c r="A354" s="99">
        <f t="shared" si="5"/>
        <v>2020.09</v>
      </c>
      <c r="B354" s="2509">
        <v>677.39</v>
      </c>
      <c r="C354" s="2509">
        <v>648.34</v>
      </c>
      <c r="D354" s="2509">
        <v>559.6</v>
      </c>
      <c r="E354" s="2509">
        <v>658.95</v>
      </c>
      <c r="F354" s="2509">
        <v>662.01</v>
      </c>
      <c r="G354" s="2509">
        <v>806.74</v>
      </c>
      <c r="H354" s="2509">
        <v>737.6</v>
      </c>
      <c r="I354" s="2509">
        <v>706.42</v>
      </c>
      <c r="J354" s="2509">
        <v>557.75</v>
      </c>
      <c r="K354" s="2509">
        <v>753.5</v>
      </c>
      <c r="L354" s="307">
        <f t="shared" si="4"/>
        <v>-1.1987186111173109E-5</v>
      </c>
    </row>
    <row r="355" spans="1:12">
      <c r="A355" s="99">
        <f t="shared" si="5"/>
        <v>2020.1</v>
      </c>
      <c r="B355" s="2509">
        <v>702.55</v>
      </c>
      <c r="C355" s="2509">
        <v>671.76</v>
      </c>
      <c r="D355" s="2509">
        <v>599.62</v>
      </c>
      <c r="E355" s="2509">
        <v>676.94</v>
      </c>
      <c r="F355" s="2509">
        <v>683.12</v>
      </c>
      <c r="G355" s="2509">
        <v>840.03</v>
      </c>
      <c r="H355" s="2509">
        <v>766.41</v>
      </c>
      <c r="I355" s="2509">
        <v>733.68</v>
      </c>
      <c r="J355" s="2509">
        <v>566.49</v>
      </c>
      <c r="K355" s="2509">
        <v>767.39</v>
      </c>
      <c r="L355" s="307">
        <f t="shared" si="4"/>
        <v>-6.3639598603115743E-6</v>
      </c>
    </row>
    <row r="356" spans="1:12">
      <c r="A356" s="99">
        <f t="shared" si="5"/>
        <v>2020.11</v>
      </c>
      <c r="B356" s="2509">
        <v>728.13</v>
      </c>
      <c r="C356" s="2509">
        <v>695.92</v>
      </c>
      <c r="D356" s="2509">
        <v>628.45000000000005</v>
      </c>
      <c r="E356" s="2509">
        <v>699.63</v>
      </c>
      <c r="F356" s="2509">
        <v>709.78</v>
      </c>
      <c r="G356" s="2509">
        <v>862.92</v>
      </c>
      <c r="H356" s="2509">
        <v>790.83</v>
      </c>
      <c r="I356" s="2509">
        <v>779.42</v>
      </c>
      <c r="J356" s="2509">
        <v>574.80999999999995</v>
      </c>
      <c r="K356" s="2509">
        <v>782.53</v>
      </c>
      <c r="L356" s="307">
        <f t="shared" si="4"/>
        <v>-2.5215277491552612E-6</v>
      </c>
    </row>
    <row r="357" spans="1:12">
      <c r="A357" s="99">
        <f t="shared" si="5"/>
        <v>2020.12</v>
      </c>
      <c r="B357" s="2509">
        <v>755.18</v>
      </c>
      <c r="C357" s="2509">
        <v>734.23</v>
      </c>
      <c r="D357" s="2509">
        <v>645.54999999999995</v>
      </c>
      <c r="E357" s="2509">
        <v>715.64</v>
      </c>
      <c r="F357" s="2509">
        <v>730.12</v>
      </c>
      <c r="G357" s="2509">
        <v>907.87</v>
      </c>
      <c r="H357" s="2509">
        <v>814.37</v>
      </c>
      <c r="I357" s="2509">
        <v>798.61</v>
      </c>
      <c r="J357" s="2509">
        <v>585.45000000000005</v>
      </c>
      <c r="K357" s="2509">
        <v>800.8</v>
      </c>
      <c r="L357" s="307">
        <f t="shared" si="4"/>
        <v>4.0096400857336789E-6</v>
      </c>
    </row>
    <row r="358" spans="1:12">
      <c r="A358" s="99">
        <f t="shared" si="5"/>
        <v>2021.01</v>
      </c>
      <c r="B358" s="2509">
        <v>791.8</v>
      </c>
      <c r="C358" s="2509">
        <v>771.61</v>
      </c>
      <c r="D358" s="2509">
        <v>654.02</v>
      </c>
      <c r="E358" s="2509">
        <v>736.11</v>
      </c>
      <c r="F358" s="2509">
        <v>755.51</v>
      </c>
      <c r="G358" s="2509">
        <v>927.55</v>
      </c>
      <c r="H358" s="2509">
        <v>880.87</v>
      </c>
      <c r="I358" s="2509">
        <v>850.58</v>
      </c>
      <c r="J358" s="2509">
        <v>590.63</v>
      </c>
      <c r="K358" s="2509">
        <v>827.19</v>
      </c>
      <c r="L358" s="307">
        <f t="shared" ref="L358:L417" si="6">(C358*C$6+D358*D$6+E358*E$6+F358*F$6+G358*G$6+H358*H$6+I358*I$6+J358*J$6+K358*K$6)/B358-1</f>
        <v>-2.9211922202287965E-6</v>
      </c>
    </row>
    <row r="359" spans="1:12">
      <c r="A359" s="99">
        <f t="shared" si="5"/>
        <v>2021.02</v>
      </c>
      <c r="B359" s="2509">
        <v>821.11</v>
      </c>
      <c r="C359" s="2509">
        <v>801.56</v>
      </c>
      <c r="D359" s="2509">
        <v>674.74</v>
      </c>
      <c r="E359" s="2509">
        <v>750.84</v>
      </c>
      <c r="F359" s="2509">
        <v>773.13</v>
      </c>
      <c r="G359" s="2509">
        <v>960.31</v>
      </c>
      <c r="H359" s="2509">
        <v>932.01</v>
      </c>
      <c r="I359" s="2509">
        <v>871.51</v>
      </c>
      <c r="J359" s="2509">
        <v>600.04999999999995</v>
      </c>
      <c r="K359" s="2509">
        <v>852.99</v>
      </c>
      <c r="L359" s="307">
        <f t="shared" si="6"/>
        <v>-3.3966216462788523E-6</v>
      </c>
    </row>
    <row r="360" spans="1:12">
      <c r="A360" s="99">
        <f t="shared" si="5"/>
        <v>2021.03</v>
      </c>
      <c r="B360" s="2509">
        <v>856.2</v>
      </c>
      <c r="C360" s="2509">
        <v>849.89</v>
      </c>
      <c r="D360" s="2509">
        <v>715.1</v>
      </c>
      <c r="E360" s="2509">
        <v>766.09</v>
      </c>
      <c r="F360" s="2509">
        <v>801.34</v>
      </c>
      <c r="G360" s="2509">
        <v>997.86</v>
      </c>
      <c r="H360" s="2509">
        <v>952.69</v>
      </c>
      <c r="I360" s="2509">
        <v>893.7</v>
      </c>
      <c r="J360" s="2509">
        <v>690.61</v>
      </c>
      <c r="K360" s="2509">
        <v>889.81</v>
      </c>
      <c r="L360" s="307">
        <f t="shared" si="6"/>
        <v>3.4279373979373418E-6</v>
      </c>
    </row>
    <row r="361" spans="1:12">
      <c r="A361" s="99">
        <f t="shared" si="5"/>
        <v>2021.04</v>
      </c>
      <c r="B361" s="2509">
        <v>893.23</v>
      </c>
      <c r="C361" s="2509">
        <v>887.8</v>
      </c>
      <c r="D361" s="2509">
        <v>789.53</v>
      </c>
      <c r="E361" s="2509">
        <v>787.04</v>
      </c>
      <c r="F361" s="2509">
        <v>838.99</v>
      </c>
      <c r="G361" s="2509">
        <v>1032.01</v>
      </c>
      <c r="H361" s="2509">
        <v>994.12</v>
      </c>
      <c r="I361" s="2509">
        <v>902.66</v>
      </c>
      <c r="J361" s="2509">
        <v>743.27</v>
      </c>
      <c r="K361" s="2509">
        <v>917.98</v>
      </c>
      <c r="L361" s="307">
        <f t="shared" si="6"/>
        <v>5.2024674492834322E-6</v>
      </c>
    </row>
    <row r="362" spans="1:12">
      <c r="A362" s="99">
        <f t="shared" si="5"/>
        <v>2021.05</v>
      </c>
      <c r="B362" s="2509">
        <v>925.21</v>
      </c>
      <c r="C362" s="2509">
        <v>917.94</v>
      </c>
      <c r="D362" s="2509">
        <v>810.85</v>
      </c>
      <c r="E362" s="2509">
        <v>822.08</v>
      </c>
      <c r="F362" s="2509">
        <v>860.13</v>
      </c>
      <c r="G362" s="2509">
        <v>1076.3800000000001</v>
      </c>
      <c r="H362" s="2509">
        <v>1041.4000000000001</v>
      </c>
      <c r="I362" s="2509">
        <v>929.25</v>
      </c>
      <c r="J362" s="2509">
        <v>759.01</v>
      </c>
      <c r="K362" s="2509">
        <v>936.09</v>
      </c>
      <c r="L362" s="307">
        <f t="shared" si="6"/>
        <v>4.0304363331244986E-6</v>
      </c>
    </row>
    <row r="363" spans="1:12">
      <c r="A363" s="99">
        <f t="shared" si="5"/>
        <v>2021.06</v>
      </c>
      <c r="B363" s="2509">
        <v>954.95</v>
      </c>
      <c r="C363" s="2509">
        <v>947.79</v>
      </c>
      <c r="D363" s="2509">
        <v>840.67</v>
      </c>
      <c r="E363" s="2509">
        <v>839.81</v>
      </c>
      <c r="F363" s="2509">
        <v>890.01</v>
      </c>
      <c r="G363" s="2509">
        <v>1110.6099999999999</v>
      </c>
      <c r="H363" s="2509">
        <v>1079.22</v>
      </c>
      <c r="I363" s="2509">
        <v>951.16</v>
      </c>
      <c r="J363" s="2509">
        <v>773.99</v>
      </c>
      <c r="K363" s="2509">
        <v>974.32</v>
      </c>
      <c r="L363" s="307">
        <f t="shared" si="6"/>
        <v>-2.4702864024339632E-6</v>
      </c>
    </row>
    <row r="364" spans="1:12">
      <c r="A364" s="99">
        <f t="shared" si="5"/>
        <v>2021.07</v>
      </c>
      <c r="B364" s="2509">
        <v>983.49</v>
      </c>
      <c r="C364" s="2509">
        <v>977.21</v>
      </c>
      <c r="D364" s="2509">
        <v>863.86</v>
      </c>
      <c r="E364" s="2509">
        <v>872.85</v>
      </c>
      <c r="F364" s="2509">
        <v>918.96</v>
      </c>
      <c r="G364" s="2509">
        <v>1140.76</v>
      </c>
      <c r="H364" s="2509">
        <v>1100.6600000000001</v>
      </c>
      <c r="I364" s="2509">
        <v>991.31</v>
      </c>
      <c r="J364" s="2509">
        <v>812.03</v>
      </c>
      <c r="K364" s="2509">
        <v>996.43</v>
      </c>
      <c r="L364" s="307">
        <f t="shared" si="6"/>
        <v>1.2852189652523549E-6</v>
      </c>
    </row>
    <row r="365" spans="1:12">
      <c r="A365" s="99">
        <f t="shared" si="5"/>
        <v>2021.08</v>
      </c>
      <c r="B365" s="2509">
        <v>1010.55</v>
      </c>
      <c r="C365" s="2509">
        <v>996.37</v>
      </c>
      <c r="D365" s="2509">
        <v>900.19</v>
      </c>
      <c r="E365" s="2509">
        <v>871.14</v>
      </c>
      <c r="F365" s="2509">
        <v>947.96</v>
      </c>
      <c r="G365" s="2509">
        <v>1195.47</v>
      </c>
      <c r="H365" s="2509">
        <v>1126.56</v>
      </c>
      <c r="I365" s="2509">
        <v>1044.0999999999999</v>
      </c>
      <c r="J365" s="2509">
        <v>873.13</v>
      </c>
      <c r="K365" s="2509">
        <v>1024.0999999999999</v>
      </c>
      <c r="L365" s="307">
        <f t="shared" si="6"/>
        <v>6.8705160556348233E-6</v>
      </c>
    </row>
    <row r="366" spans="1:12">
      <c r="A366" s="99">
        <f t="shared" si="5"/>
        <v>2021.09</v>
      </c>
      <c r="B366" s="2509">
        <v>1041.01</v>
      </c>
      <c r="C366" s="2509">
        <v>1024.79</v>
      </c>
      <c r="D366" s="2509">
        <v>934.41</v>
      </c>
      <c r="E366" s="2509">
        <v>881.89</v>
      </c>
      <c r="F366" s="2509">
        <v>978.03</v>
      </c>
      <c r="G366" s="2509">
        <v>1246.54</v>
      </c>
      <c r="H366" s="2509">
        <v>1164.5999999999999</v>
      </c>
      <c r="I366" s="2509">
        <v>1062.5899999999999</v>
      </c>
      <c r="J366" s="2509">
        <v>920.13</v>
      </c>
      <c r="K366" s="2509">
        <v>1061.58</v>
      </c>
      <c r="L366" s="307">
        <f t="shared" si="6"/>
        <v>1.0433137049847829E-5</v>
      </c>
    </row>
    <row r="367" spans="1:12">
      <c r="A367" s="99">
        <f t="shared" si="5"/>
        <v>2021.1</v>
      </c>
      <c r="B367" s="2509">
        <v>1073.9100000000001</v>
      </c>
      <c r="C367" s="2509">
        <v>1058.4000000000001</v>
      </c>
      <c r="D367" s="2509">
        <v>978.56</v>
      </c>
      <c r="E367" s="2509">
        <v>903.42</v>
      </c>
      <c r="F367" s="2509">
        <v>1010.7</v>
      </c>
      <c r="G367" s="2509">
        <v>1305.1500000000001</v>
      </c>
      <c r="H367" s="2509">
        <v>1194.58</v>
      </c>
      <c r="I367" s="2509">
        <v>1087.23</v>
      </c>
      <c r="J367" s="2509">
        <v>962.88</v>
      </c>
      <c r="K367" s="2509">
        <v>1084.79</v>
      </c>
      <c r="L367" s="307">
        <f t="shared" si="6"/>
        <v>1.055209468181495E-5</v>
      </c>
    </row>
    <row r="368" spans="1:12">
      <c r="A368" s="99">
        <f t="shared" si="5"/>
        <v>2021.11</v>
      </c>
      <c r="B368" s="2509">
        <v>1104.28</v>
      </c>
      <c r="C368" s="2509">
        <v>1087.6400000000001</v>
      </c>
      <c r="D368" s="2509">
        <v>1028.8399999999999</v>
      </c>
      <c r="E368" s="2509">
        <v>933.26</v>
      </c>
      <c r="F368" s="2509">
        <v>1044.69</v>
      </c>
      <c r="G368" s="2509">
        <v>1334.92</v>
      </c>
      <c r="H368" s="2509">
        <v>1228.3800000000001</v>
      </c>
      <c r="I368" s="2509">
        <v>1100.45</v>
      </c>
      <c r="J368" s="2509">
        <v>983.38</v>
      </c>
      <c r="K368" s="2509">
        <v>1107.48</v>
      </c>
      <c r="L368" s="307">
        <f t="shared" si="6"/>
        <v>8.175462745008133E-6</v>
      </c>
    </row>
    <row r="369" spans="1:12">
      <c r="A369" s="99">
        <f t="shared" si="5"/>
        <v>2021.12</v>
      </c>
      <c r="B369" s="2509">
        <v>1138.2</v>
      </c>
      <c r="C369" s="2509">
        <v>1127.3</v>
      </c>
      <c r="D369" s="2509">
        <v>1078.1199999999999</v>
      </c>
      <c r="E369" s="2509">
        <v>946.37</v>
      </c>
      <c r="F369" s="2509">
        <v>1072.47</v>
      </c>
      <c r="G369" s="2509">
        <v>1348.7</v>
      </c>
      <c r="H369" s="2509">
        <v>1257.3699999999999</v>
      </c>
      <c r="I369" s="2509">
        <v>1143.1500000000001</v>
      </c>
      <c r="J369" s="2509">
        <v>1005</v>
      </c>
      <c r="K369" s="2509">
        <v>1162.3599999999999</v>
      </c>
      <c r="L369" s="307">
        <f t="shared" si="6"/>
        <v>1.0698471270220722E-5</v>
      </c>
    </row>
    <row r="370" spans="1:12">
      <c r="A370" s="99">
        <f t="shared" si="5"/>
        <v>2022.01</v>
      </c>
      <c r="B370" s="2509">
        <v>1184.1400000000001</v>
      </c>
      <c r="C370" s="2509">
        <v>1176.75</v>
      </c>
      <c r="D370" s="2509">
        <v>1114.75</v>
      </c>
      <c r="E370" s="2509">
        <v>965.09</v>
      </c>
      <c r="F370" s="2509">
        <v>1113.26</v>
      </c>
      <c r="G370" s="2509">
        <v>1406.55</v>
      </c>
      <c r="H370" s="2509">
        <v>1334.98</v>
      </c>
      <c r="I370" s="2509">
        <v>1169.1099999999999</v>
      </c>
      <c r="J370" s="2509">
        <v>1011.64</v>
      </c>
      <c r="K370" s="2509">
        <v>1187.31</v>
      </c>
      <c r="L370" s="307">
        <f t="shared" si="6"/>
        <v>1.103670174096294E-5</v>
      </c>
    </row>
    <row r="371" spans="1:12">
      <c r="A371" s="99">
        <f t="shared" si="5"/>
        <v>2022.02</v>
      </c>
      <c r="B371" s="2509">
        <v>1242.28</v>
      </c>
      <c r="C371" s="2509">
        <v>1269.05</v>
      </c>
      <c r="D371" s="2509">
        <v>1164.2</v>
      </c>
      <c r="E371" s="2509">
        <v>1035.18</v>
      </c>
      <c r="F371" s="2509">
        <v>1162.9000000000001</v>
      </c>
      <c r="G371" s="2509">
        <v>1440.58</v>
      </c>
      <c r="H371" s="2509">
        <v>1365.83</v>
      </c>
      <c r="I371" s="2509">
        <v>1204.9000000000001</v>
      </c>
      <c r="J371" s="2509">
        <v>1025.92</v>
      </c>
      <c r="K371" s="2509">
        <v>1220.98</v>
      </c>
      <c r="L371" s="307">
        <f>(C371*C$6+D371*D$6+E371*E$6+F371*F$6+G371*G$6+H371*H$6+I371*I$6+J371*J$6+K371*K$6)/B371-1</f>
        <v>6.1942557234573314E-6</v>
      </c>
    </row>
    <row r="372" spans="1:12">
      <c r="A372" s="99">
        <f t="shared" si="5"/>
        <v>2022.03</v>
      </c>
      <c r="B372" s="2509">
        <v>1317.15</v>
      </c>
      <c r="C372" s="2509">
        <v>1365.21</v>
      </c>
      <c r="D372" s="2509">
        <v>1247.33</v>
      </c>
      <c r="E372" s="2509">
        <v>1130.01</v>
      </c>
      <c r="F372" s="2509">
        <v>1221.83</v>
      </c>
      <c r="G372" s="2509">
        <v>1493.58</v>
      </c>
      <c r="H372" s="2509">
        <v>1415.26</v>
      </c>
      <c r="I372" s="2509">
        <v>1229.75</v>
      </c>
      <c r="J372" s="2509">
        <v>1176.99</v>
      </c>
      <c r="K372" s="2509">
        <v>1297.24</v>
      </c>
      <c r="L372" s="307">
        <f t="shared" si="6"/>
        <v>3.692062407578689E-6</v>
      </c>
    </row>
    <row r="373" spans="1:12">
      <c r="A373" s="99">
        <f t="shared" si="5"/>
        <v>2022.04</v>
      </c>
      <c r="B373" s="2509">
        <v>1395.48</v>
      </c>
      <c r="C373" s="2509">
        <v>1456.73</v>
      </c>
      <c r="D373" s="2509">
        <v>1357.12</v>
      </c>
      <c r="E373" s="2509">
        <v>1171.58</v>
      </c>
      <c r="F373" s="2509">
        <v>1280.18</v>
      </c>
      <c r="G373" s="2509">
        <v>1582.26</v>
      </c>
      <c r="H373" s="2509">
        <v>1494.16</v>
      </c>
      <c r="I373" s="2509">
        <v>1301.52</v>
      </c>
      <c r="J373" s="2509">
        <v>1247.83</v>
      </c>
      <c r="K373" s="2509">
        <v>1344.45</v>
      </c>
      <c r="L373" s="307">
        <f t="shared" si="6"/>
        <v>1.4754779717351951E-5</v>
      </c>
    </row>
    <row r="374" spans="1:12">
      <c r="A374" s="99">
        <f t="shared" si="5"/>
        <v>2022.05</v>
      </c>
      <c r="B374" s="2509">
        <v>1468.73</v>
      </c>
      <c r="C374" s="2509">
        <v>1523.77</v>
      </c>
      <c r="D374" s="2509">
        <v>1446.93</v>
      </c>
      <c r="E374" s="2509">
        <v>1217.6300000000001</v>
      </c>
      <c r="F374" s="2509">
        <v>1354.31</v>
      </c>
      <c r="G374" s="2509">
        <v>1680.07</v>
      </c>
      <c r="H374" s="2509">
        <v>1587.64</v>
      </c>
      <c r="I374" s="2509">
        <v>1367.12</v>
      </c>
      <c r="J374" s="2509">
        <v>1304.82</v>
      </c>
      <c r="K374" s="2509">
        <v>1401.16</v>
      </c>
      <c r="L374" s="307">
        <f t="shared" si="6"/>
        <v>1.0924404077128358E-5</v>
      </c>
    </row>
    <row r="375" spans="1:12">
      <c r="A375" s="99">
        <f t="shared" si="5"/>
        <v>2022.06</v>
      </c>
      <c r="B375" s="2509">
        <v>1543.16</v>
      </c>
      <c r="C375" s="2509">
        <v>1602.79</v>
      </c>
      <c r="D375" s="2509">
        <v>1542.25</v>
      </c>
      <c r="E375" s="2509">
        <v>1296.97</v>
      </c>
      <c r="F375" s="2509">
        <v>1432.81</v>
      </c>
      <c r="G375" s="2509">
        <v>1801.95</v>
      </c>
      <c r="H375" s="2509">
        <v>1635.87</v>
      </c>
      <c r="I375" s="2509">
        <v>1425.07</v>
      </c>
      <c r="J375" s="2509">
        <v>1345.64</v>
      </c>
      <c r="K375" s="2509">
        <v>1482.53</v>
      </c>
      <c r="L375" s="307">
        <f t="shared" si="6"/>
        <v>1.0255579460327624E-5</v>
      </c>
    </row>
    <row r="376" spans="1:12">
      <c r="A376" s="99">
        <f t="shared" si="5"/>
        <v>2022.07</v>
      </c>
      <c r="B376" s="2509">
        <v>1655.37</v>
      </c>
      <c r="C376" s="2509">
        <v>1703.56</v>
      </c>
      <c r="D376" s="2509">
        <v>1678.83</v>
      </c>
      <c r="E376" s="2509">
        <v>1356.26</v>
      </c>
      <c r="F376" s="2509">
        <v>1604.87</v>
      </c>
      <c r="G376" s="2509">
        <v>1924.01</v>
      </c>
      <c r="H376" s="2509">
        <v>1732.68</v>
      </c>
      <c r="I376" s="2509">
        <v>1606.35</v>
      </c>
      <c r="J376" s="2509">
        <v>1425.76</v>
      </c>
      <c r="K376" s="2509">
        <v>1587.77</v>
      </c>
      <c r="L376" s="307">
        <f>(C376*C$6+D376*D$6+E376*E$6+F376*F$6+G376*G$6+H376*H$6+I376*I$6+J376*J$6+K376*K$6)/B376-1</f>
        <v>1.4125542930010226E-5</v>
      </c>
    </row>
    <row r="377" spans="1:12">
      <c r="A377" s="99">
        <f t="shared" si="5"/>
        <v>2022.08</v>
      </c>
      <c r="B377" s="2509">
        <v>1765.53</v>
      </c>
      <c r="C377" s="2509">
        <v>1824.49</v>
      </c>
      <c r="D377" s="2509">
        <v>1848.74</v>
      </c>
      <c r="E377" s="2509">
        <v>1410.45</v>
      </c>
      <c r="F377" s="2509">
        <v>1738.6</v>
      </c>
      <c r="G377" s="2509">
        <v>2043.96</v>
      </c>
      <c r="H377" s="2509">
        <v>1816.23</v>
      </c>
      <c r="I377" s="2509">
        <v>1686.93</v>
      </c>
      <c r="J377" s="2509">
        <v>1549.09</v>
      </c>
      <c r="K377" s="2509">
        <v>1737.46</v>
      </c>
      <c r="L377" s="307">
        <f t="shared" si="6"/>
        <v>1.1318414300465207E-5</v>
      </c>
    </row>
    <row r="378" spans="1:12">
      <c r="A378" s="99">
        <f t="shared" si="5"/>
        <v>2022.09</v>
      </c>
      <c r="B378" s="2509">
        <v>1873.76</v>
      </c>
      <c r="C378" s="2509">
        <v>1939.96</v>
      </c>
      <c r="D378" s="2509">
        <v>1966.68</v>
      </c>
      <c r="E378" s="2509">
        <v>1483.01</v>
      </c>
      <c r="F378" s="2509">
        <v>1852.11</v>
      </c>
      <c r="G378" s="2509">
        <v>2125.04</v>
      </c>
      <c r="H378" s="2509">
        <v>1934.87</v>
      </c>
      <c r="I378" s="2509">
        <v>1783.13</v>
      </c>
      <c r="J378" s="2509">
        <v>1644.72</v>
      </c>
      <c r="K378" s="2509">
        <v>1866.68</v>
      </c>
      <c r="L378" s="307">
        <f t="shared" si="6"/>
        <v>1.0647574929523174E-5</v>
      </c>
    </row>
    <row r="379" spans="1:12">
      <c r="A379" s="99">
        <f t="shared" si="5"/>
        <v>2022.1</v>
      </c>
      <c r="B379" s="2509">
        <v>1981.79</v>
      </c>
      <c r="C379" s="2509">
        <v>2053.12</v>
      </c>
      <c r="D379" s="2509">
        <v>2105.2199999999998</v>
      </c>
      <c r="E379" s="2509">
        <v>1555.94</v>
      </c>
      <c r="F379" s="2509">
        <v>1944.65</v>
      </c>
      <c r="G379" s="2509">
        <v>2272.86</v>
      </c>
      <c r="H379" s="2509">
        <v>2039.6</v>
      </c>
      <c r="I379" s="2509">
        <v>1883.62</v>
      </c>
      <c r="J379" s="2509">
        <v>1766.6</v>
      </c>
      <c r="K379" s="2509">
        <v>1957.1</v>
      </c>
      <c r="L379" s="307">
        <f t="shared" si="6"/>
        <v>1.392074841444213E-5</v>
      </c>
    </row>
    <row r="380" spans="1:12">
      <c r="A380" s="99">
        <f t="shared" si="5"/>
        <v>2022.11</v>
      </c>
      <c r="B380" s="2509">
        <v>2079.1799999999998</v>
      </c>
      <c r="C380" s="2509">
        <v>2136.23</v>
      </c>
      <c r="D380" s="2509">
        <v>2244.2800000000002</v>
      </c>
      <c r="E380" s="2509">
        <v>1637.05</v>
      </c>
      <c r="F380" s="2509">
        <v>2044.28</v>
      </c>
      <c r="G380" s="2509">
        <v>2370.06</v>
      </c>
      <c r="H380" s="2509">
        <v>2154.5500000000002</v>
      </c>
      <c r="I380" s="2509">
        <v>1956.04</v>
      </c>
      <c r="J380" s="2509">
        <v>1904.54</v>
      </c>
      <c r="K380" s="2509">
        <v>2062.9499999999998</v>
      </c>
      <c r="L380" s="307">
        <f t="shared" si="6"/>
        <v>1.402043113163387E-5</v>
      </c>
    </row>
    <row r="381" spans="1:12">
      <c r="A381" s="99">
        <f t="shared" si="5"/>
        <v>2022.12</v>
      </c>
      <c r="B381" s="2509">
        <v>2192.67</v>
      </c>
      <c r="C381" s="2509">
        <v>2245.91</v>
      </c>
      <c r="D381" s="2509">
        <v>2378.4299999999998</v>
      </c>
      <c r="E381" s="2509">
        <v>1697.05</v>
      </c>
      <c r="F381" s="2509">
        <v>2173.7199999999998</v>
      </c>
      <c r="G381" s="2509">
        <v>2520.04</v>
      </c>
      <c r="H381" s="2509">
        <v>2281.87</v>
      </c>
      <c r="I381" s="2509">
        <v>2073.3000000000002</v>
      </c>
      <c r="J381" s="2509">
        <v>1969.67</v>
      </c>
      <c r="K381" s="2509">
        <v>2174.2600000000002</v>
      </c>
      <c r="L381" s="307">
        <f t="shared" si="6"/>
        <v>1.3123725868702252E-5</v>
      </c>
    </row>
    <row r="382" spans="1:12">
      <c r="A382" s="99">
        <f t="shared" si="5"/>
        <v>2023.01</v>
      </c>
      <c r="B382" s="2509">
        <v>2317.64</v>
      </c>
      <c r="C382" s="2509">
        <v>2398.88</v>
      </c>
      <c r="D382" s="2509">
        <v>2443.54</v>
      </c>
      <c r="E382" s="2509">
        <v>1769.34</v>
      </c>
      <c r="F382" s="2509">
        <v>2284.79</v>
      </c>
      <c r="G382" s="2509">
        <v>2681.06</v>
      </c>
      <c r="H382" s="2509">
        <v>2415.25</v>
      </c>
      <c r="I382" s="2509">
        <v>2196.5100000000002</v>
      </c>
      <c r="J382" s="2509">
        <v>2014</v>
      </c>
      <c r="K382" s="2509">
        <v>2317.04</v>
      </c>
      <c r="L382" s="307">
        <f t="shared" si="6"/>
        <v>1.2285341985940335E-5</v>
      </c>
    </row>
    <row r="383" spans="1:12">
      <c r="A383" s="99">
        <f t="shared" si="5"/>
        <v>2023.02</v>
      </c>
      <c r="B383" s="2509">
        <v>2467.56</v>
      </c>
      <c r="C383" s="2509">
        <v>2607.73</v>
      </c>
      <c r="D383" s="2509">
        <v>2546.27</v>
      </c>
      <c r="E383" s="2509">
        <v>1896.86</v>
      </c>
      <c r="F383" s="2509">
        <v>2409.61</v>
      </c>
      <c r="G383" s="2509">
        <v>2859.25</v>
      </c>
      <c r="H383" s="2509">
        <v>2545.38</v>
      </c>
      <c r="I383" s="2509">
        <v>2267.6</v>
      </c>
      <c r="J383" s="2509">
        <v>2108.88</v>
      </c>
      <c r="K383" s="2509">
        <v>2456.33</v>
      </c>
      <c r="L383" s="307">
        <f>(C383*C$6+D383*D$6+E383*E$6+F383*F$6+G383*G$6+H383*H$6+I383*I$6+J383*J$6+K383*K$6)/B383-1</f>
        <v>1.2508307802194807E-5</v>
      </c>
    </row>
    <row r="384" spans="1:12">
      <c r="A384" s="99">
        <f t="shared" si="5"/>
        <v>2023.03</v>
      </c>
      <c r="B384" s="2509">
        <v>2658.86</v>
      </c>
      <c r="C384" s="2509">
        <v>2853.14</v>
      </c>
      <c r="D384" s="2509">
        <v>2695.31</v>
      </c>
      <c r="E384" s="2509">
        <v>2142.4299999999998</v>
      </c>
      <c r="F384" s="2509">
        <v>2563.2199999999998</v>
      </c>
      <c r="G384" s="2509">
        <v>3025.86</v>
      </c>
      <c r="H384" s="2509">
        <v>2667.91</v>
      </c>
      <c r="I384" s="2509">
        <v>2368.7800000000002</v>
      </c>
      <c r="J384" s="2509">
        <v>2498.1</v>
      </c>
      <c r="K384" s="2509">
        <v>2658.98</v>
      </c>
      <c r="L384" s="307">
        <f t="shared" si="6"/>
        <v>1.532987821861731E-5</v>
      </c>
    </row>
    <row r="385" spans="1:12">
      <c r="A385" s="99">
        <f t="shared" si="5"/>
        <v>2023.04</v>
      </c>
      <c r="B385" s="2509">
        <v>2884.85</v>
      </c>
      <c r="C385" s="2509">
        <v>3128.18</v>
      </c>
      <c r="D385" s="2509">
        <v>2958.59</v>
      </c>
      <c r="E385" s="2509">
        <v>2391.98</v>
      </c>
      <c r="F385" s="2509">
        <v>2752.38</v>
      </c>
      <c r="G385" s="2509">
        <v>3183.57</v>
      </c>
      <c r="H385" s="2509">
        <v>2847.4</v>
      </c>
      <c r="I385" s="2509">
        <v>2576.56</v>
      </c>
      <c r="J385" s="2509">
        <v>2718.52</v>
      </c>
      <c r="K385" s="2509">
        <v>2805.11</v>
      </c>
      <c r="L385" s="307">
        <f t="shared" si="6"/>
        <v>1.2286600689970228E-5</v>
      </c>
    </row>
    <row r="386" spans="1:12">
      <c r="A386" s="99">
        <f t="shared" si="5"/>
        <v>2023.05</v>
      </c>
      <c r="B386" s="2509">
        <v>3093.98</v>
      </c>
      <c r="C386" s="2509">
        <v>3317.21</v>
      </c>
      <c r="D386" s="2509">
        <v>3206.4</v>
      </c>
      <c r="E386" s="2509">
        <v>2620.94</v>
      </c>
      <c r="F386" s="2509">
        <v>3003.6</v>
      </c>
      <c r="G386" s="2509">
        <v>3445.7</v>
      </c>
      <c r="H386" s="2509">
        <v>3034.3</v>
      </c>
      <c r="I386" s="2509">
        <v>2783.53</v>
      </c>
      <c r="J386" s="2509">
        <v>2865.66</v>
      </c>
      <c r="K386" s="2509">
        <v>3030.85</v>
      </c>
      <c r="L386" s="307">
        <f t="shared" si="6"/>
        <v>1.2047912397505911E-5</v>
      </c>
    </row>
    <row r="387" spans="1:12">
      <c r="A387" s="99">
        <f t="shared" si="5"/>
        <v>2023.06</v>
      </c>
      <c r="B387" s="2509">
        <v>3269.51</v>
      </c>
      <c r="C387" s="2509">
        <v>3480.32</v>
      </c>
      <c r="D387" s="2509">
        <v>3388.48</v>
      </c>
      <c r="E387" s="2509">
        <v>2741.15</v>
      </c>
      <c r="F387" s="2509">
        <v>3251.17</v>
      </c>
      <c r="G387" s="2509">
        <v>3687.87</v>
      </c>
      <c r="H387" s="2509">
        <v>3224.59</v>
      </c>
      <c r="I387" s="2509">
        <v>2934.67</v>
      </c>
      <c r="J387" s="2509">
        <v>3028.55</v>
      </c>
      <c r="K387" s="2509">
        <v>3195.39</v>
      </c>
      <c r="L387" s="307">
        <f t="shared" si="6"/>
        <v>1.0997672434065464E-5</v>
      </c>
    </row>
    <row r="388" spans="1:12">
      <c r="A388" s="99">
        <f t="shared" si="5"/>
        <v>2023.07</v>
      </c>
      <c r="B388" s="2509">
        <v>3495.51</v>
      </c>
      <c r="C388" s="2509">
        <v>3696.78</v>
      </c>
      <c r="D388" s="2509">
        <v>3476.35</v>
      </c>
      <c r="E388" s="2509">
        <v>2846.6</v>
      </c>
      <c r="F388" s="2509">
        <v>3466.6</v>
      </c>
      <c r="G388" s="2509">
        <v>4010.74</v>
      </c>
      <c r="H388" s="2509">
        <v>3509.78</v>
      </c>
      <c r="I388" s="2509">
        <v>3262.71</v>
      </c>
      <c r="J388" s="2509">
        <v>3335.76</v>
      </c>
      <c r="K388" s="2509">
        <v>3422.14</v>
      </c>
      <c r="L388" s="307">
        <f t="shared" si="6"/>
        <v>1.3046737100008698E-5</v>
      </c>
    </row>
    <row r="389" spans="1:12">
      <c r="A389" s="99">
        <f t="shared" si="5"/>
        <v>2023.08</v>
      </c>
      <c r="B389" s="2509">
        <v>3931.68</v>
      </c>
      <c r="C389" s="2509">
        <v>4265.6000000000004</v>
      </c>
      <c r="D389" s="2509">
        <v>3765.94</v>
      </c>
      <c r="E389" s="2509">
        <v>3012.67</v>
      </c>
      <c r="F389" s="2509">
        <v>3946.52</v>
      </c>
      <c r="G389" s="2509">
        <v>4543.88</v>
      </c>
      <c r="H389" s="2509">
        <v>3927.23</v>
      </c>
      <c r="I389" s="2509">
        <v>3724.08</v>
      </c>
      <c r="J389" s="2509">
        <v>3672.84</v>
      </c>
      <c r="K389" s="2509">
        <v>3702.3</v>
      </c>
      <c r="L389" s="307">
        <f t="shared" si="6"/>
        <v>1.6825123102748307E-5</v>
      </c>
    </row>
    <row r="390" spans="1:12">
      <c r="A390" s="99">
        <f t="shared" si="5"/>
        <v>2023.09</v>
      </c>
      <c r="B390" s="2509">
        <v>4424.3100000000004</v>
      </c>
      <c r="C390" s="2509">
        <v>4871.3999999999996</v>
      </c>
      <c r="D390" s="2509">
        <v>4274.8999999999996</v>
      </c>
      <c r="E390" s="2509">
        <v>3170.63</v>
      </c>
      <c r="F390" s="2509">
        <v>4526.62</v>
      </c>
      <c r="G390" s="2509">
        <v>5018.1000000000004</v>
      </c>
      <c r="H390" s="2509">
        <v>4419.51</v>
      </c>
      <c r="I390" s="2509">
        <v>4139.76</v>
      </c>
      <c r="J390" s="2509">
        <v>4230.83</v>
      </c>
      <c r="K390" s="2509">
        <v>4113.55</v>
      </c>
      <c r="L390" s="307">
        <f t="shared" si="6"/>
        <v>1.930086273316256E-5</v>
      </c>
    </row>
    <row r="391" spans="1:12">
      <c r="A391" s="99">
        <f t="shared" si="5"/>
        <v>2023.1</v>
      </c>
      <c r="B391" s="2509">
        <v>4807.5</v>
      </c>
      <c r="C391" s="2509">
        <v>5231.09</v>
      </c>
      <c r="D391" s="2509">
        <v>4815.4399999999996</v>
      </c>
      <c r="E391" s="2509">
        <v>3420.95</v>
      </c>
      <c r="F391" s="2509">
        <v>4960.16</v>
      </c>
      <c r="G391" s="2509">
        <v>5345.32</v>
      </c>
      <c r="H391" s="2509">
        <v>4818.32</v>
      </c>
      <c r="I391" s="2509">
        <v>4570.2</v>
      </c>
      <c r="J391" s="2509">
        <v>4637.55</v>
      </c>
      <c r="K391" s="2509">
        <v>4490.6400000000003</v>
      </c>
      <c r="L391" s="307">
        <f t="shared" si="6"/>
        <v>1.915299011945315E-5</v>
      </c>
    </row>
    <row r="392" spans="1:12">
      <c r="A392" s="99">
        <f t="shared" si="5"/>
        <v>2023.11</v>
      </c>
      <c r="B392" s="2509">
        <v>5407.62</v>
      </c>
      <c r="C392" s="2509">
        <v>5939.08</v>
      </c>
      <c r="D392" s="2509">
        <v>5316.24</v>
      </c>
      <c r="E392" s="2509">
        <v>3687.22</v>
      </c>
      <c r="F392" s="2509">
        <v>5582.47</v>
      </c>
      <c r="G392" s="2509">
        <v>6098.36</v>
      </c>
      <c r="H392" s="2509">
        <v>5474.3</v>
      </c>
      <c r="I392" s="2509">
        <v>5132.5200000000004</v>
      </c>
      <c r="J392" s="2509">
        <v>5070.76</v>
      </c>
      <c r="K392" s="2509">
        <v>4973.88</v>
      </c>
      <c r="L392" s="307">
        <f t="shared" si="6"/>
        <v>1.9168506662836649E-5</v>
      </c>
    </row>
    <row r="393" spans="1:12">
      <c r="A393" s="99">
        <f t="shared" si="5"/>
        <v>2023.12</v>
      </c>
      <c r="B393" s="2509">
        <v>6915.57</v>
      </c>
      <c r="C393" s="2509">
        <v>7773.05</v>
      </c>
      <c r="D393" s="2509">
        <v>6266.38</v>
      </c>
      <c r="E393" s="2509">
        <v>4145.53</v>
      </c>
      <c r="F393" s="2509">
        <v>8085.58</v>
      </c>
      <c r="G393" s="2509">
        <v>7819.55</v>
      </c>
      <c r="H393" s="2509">
        <v>6925</v>
      </c>
      <c r="I393" s="2509">
        <v>6341.14</v>
      </c>
      <c r="J393" s="2509">
        <v>5564.08</v>
      </c>
      <c r="K393" s="2509">
        <v>6944.53</v>
      </c>
      <c r="L393" s="307">
        <f t="shared" si="6"/>
        <v>8.3316342689432332E-6</v>
      </c>
    </row>
    <row r="394" spans="1:12">
      <c r="A394" s="99">
        <f t="shared" si="5"/>
        <v>2024.01</v>
      </c>
      <c r="B394" s="2509">
        <v>8345.61</v>
      </c>
      <c r="C394" s="2509">
        <v>9099.18</v>
      </c>
      <c r="D394" s="2509">
        <v>6966.72</v>
      </c>
      <c r="E394" s="2509">
        <v>4813.7</v>
      </c>
      <c r="F394" s="2509">
        <v>9804.4</v>
      </c>
      <c r="G394" s="2509">
        <v>9335.84</v>
      </c>
      <c r="H394" s="2509">
        <v>8832.75</v>
      </c>
      <c r="I394" s="2509">
        <v>7772.71</v>
      </c>
      <c r="J394" s="2509">
        <v>6076.09</v>
      </c>
      <c r="K394" s="2509">
        <v>9904.4599999999991</v>
      </c>
      <c r="L394" s="307">
        <f>(C394*C$6+D394*D$6+E394*E$6+F394*F$6+G394*G$6+H394*H$6+I394*I$6+J394*J$6+K394*K$6)/B394-1</f>
        <v>-5.3159685151626945E-6</v>
      </c>
    </row>
    <row r="395" spans="1:12">
      <c r="A395" s="99">
        <f t="shared" si="5"/>
        <v>2024.02</v>
      </c>
      <c r="B395" s="2509">
        <v>9373.4699999999993</v>
      </c>
      <c r="C395" s="2509">
        <v>10103.23</v>
      </c>
      <c r="D395" s="2509">
        <v>7490.21</v>
      </c>
      <c r="E395" s="2509">
        <v>5357.6</v>
      </c>
      <c r="F395" s="2509">
        <v>10636.82</v>
      </c>
      <c r="G395" s="2509">
        <v>11006.92</v>
      </c>
      <c r="H395" s="2509">
        <v>10370.59</v>
      </c>
      <c r="I395" s="2509">
        <v>8499.27</v>
      </c>
      <c r="J395" s="2509">
        <v>6677.98</v>
      </c>
      <c r="K395" s="2509">
        <v>11273.52</v>
      </c>
      <c r="L395" s="307">
        <f t="shared" si="6"/>
        <v>-6.8755754273341907E-6</v>
      </c>
    </row>
    <row r="396" spans="1:12">
      <c r="A396" s="99">
        <f t="shared" si="5"/>
        <v>2024.03</v>
      </c>
      <c r="B396" s="2509">
        <v>10535.81</v>
      </c>
      <c r="C396" s="2509">
        <v>11119.19</v>
      </c>
      <c r="D396" s="2509">
        <v>8147.94</v>
      </c>
      <c r="E396" s="2509">
        <v>7154.38</v>
      </c>
      <c r="F396" s="2509">
        <v>11327.32</v>
      </c>
      <c r="G396" s="2509">
        <v>12326.85</v>
      </c>
      <c r="H396" s="2509">
        <v>11884.33</v>
      </c>
      <c r="I396" s="2509">
        <v>9373.59</v>
      </c>
      <c r="J396" s="2509">
        <v>8472.9699999999993</v>
      </c>
      <c r="K396" s="2509">
        <v>12330.5</v>
      </c>
      <c r="L396" s="307">
        <f t="shared" si="6"/>
        <v>-8.993423381675747E-6</v>
      </c>
    </row>
    <row r="397" spans="1:12">
      <c r="A397" s="99">
        <f t="shared" si="5"/>
        <v>2024.04</v>
      </c>
      <c r="B397" s="2509">
        <v>11280.8</v>
      </c>
      <c r="C397" s="2509">
        <v>11882.61</v>
      </c>
      <c r="D397" s="2509">
        <v>9051.01</v>
      </c>
      <c r="E397" s="2509">
        <v>8249.84</v>
      </c>
      <c r="F397" s="2509">
        <v>11807.33</v>
      </c>
      <c r="G397" s="2509">
        <v>13725.26</v>
      </c>
      <c r="H397" s="2509">
        <v>12434.72</v>
      </c>
      <c r="I397" s="2509">
        <v>9868.49</v>
      </c>
      <c r="J397" s="2509">
        <v>8884.82</v>
      </c>
      <c r="K397" s="2509">
        <v>12945.72</v>
      </c>
      <c r="L397" s="307">
        <f t="shared" si="6"/>
        <v>-5.8883235228845976E-6</v>
      </c>
    </row>
    <row r="398" spans="1:12">
      <c r="A398" s="99">
        <f t="shared" si="5"/>
        <v>2024.05</v>
      </c>
      <c r="B398" s="2509">
        <v>11826.08</v>
      </c>
      <c r="C398" s="2509">
        <v>12482.45</v>
      </c>
      <c r="D398" s="2509">
        <v>9357.77</v>
      </c>
      <c r="E398" s="2509">
        <v>8802.08</v>
      </c>
      <c r="F398" s="2509">
        <v>12173.15</v>
      </c>
      <c r="G398" s="2509">
        <v>13846.24</v>
      </c>
      <c r="H398" s="2509">
        <v>13164.75</v>
      </c>
      <c r="I398" s="2509">
        <v>10394.09</v>
      </c>
      <c r="J398" s="2509">
        <v>9454.1299999999992</v>
      </c>
      <c r="K398" s="2509">
        <v>13620.19</v>
      </c>
      <c r="L398" s="307">
        <f t="shared" si="6"/>
        <v>-8.0963429978098134E-6</v>
      </c>
    </row>
    <row r="399" spans="1:12">
      <c r="A399" s="99">
        <f t="shared" si="5"/>
        <v>2024.06</v>
      </c>
      <c r="B399" s="2509">
        <v>12331.8</v>
      </c>
      <c r="C399" s="2509">
        <v>12910.4</v>
      </c>
      <c r="D399" s="2509">
        <v>9720.0400000000009</v>
      </c>
      <c r="E399" s="2509">
        <v>9796.33</v>
      </c>
      <c r="F399" s="2509">
        <v>12395.34</v>
      </c>
      <c r="G399" s="2509">
        <v>14549.35</v>
      </c>
      <c r="H399" s="2509">
        <v>13784.39</v>
      </c>
      <c r="I399" s="2509">
        <v>10745.14</v>
      </c>
      <c r="J399" s="2509">
        <v>10222.42</v>
      </c>
      <c r="K399" s="2509">
        <v>13791.24</v>
      </c>
      <c r="L399" s="307">
        <f t="shared" si="6"/>
        <v>-7.4038664267250809E-6</v>
      </c>
    </row>
    <row r="400" spans="1:12">
      <c r="A400" s="99">
        <f t="shared" si="5"/>
        <v>2024.07</v>
      </c>
      <c r="B400" s="2509">
        <v>12886.62</v>
      </c>
      <c r="C400" s="2509">
        <v>13383.9</v>
      </c>
      <c r="D400" s="2509">
        <v>9930.64</v>
      </c>
      <c r="E400" s="2509">
        <v>10389.469999999999</v>
      </c>
      <c r="F400" s="2509">
        <v>12675.48</v>
      </c>
      <c r="G400" s="2509">
        <v>15516.99</v>
      </c>
      <c r="H400" s="2509">
        <v>14413.44</v>
      </c>
      <c r="I400" s="2509">
        <v>11740.42</v>
      </c>
      <c r="J400" s="2509">
        <v>10687.64</v>
      </c>
      <c r="K400" s="2509">
        <v>14302.2</v>
      </c>
      <c r="L400" s="307">
        <f t="shared" ref="L400" si="7">(C400*C$6+D400*D$6+E400*E$6+F400*F$6+G400*G$6+H400*H$6+I400*I$6+J400*J$6+K400*K$6)/B400-1</f>
        <v>-4.5018786928308074E-6</v>
      </c>
    </row>
    <row r="401" spans="1:12">
      <c r="A401" s="99">
        <f t="shared" si="5"/>
        <v>2024.08</v>
      </c>
      <c r="B401" s="2509">
        <v>13397.73</v>
      </c>
      <c r="C401" s="2509">
        <v>13939.2</v>
      </c>
      <c r="D401" s="2509">
        <v>10222.07</v>
      </c>
      <c r="E401" s="2509">
        <v>10919.93</v>
      </c>
      <c r="F401" s="2509">
        <v>12934.61</v>
      </c>
      <c r="G401" s="2509">
        <v>16396.64</v>
      </c>
      <c r="H401" s="2509">
        <v>15179.85</v>
      </c>
      <c r="I401" s="2509">
        <v>11845.34</v>
      </c>
      <c r="J401" s="2509">
        <v>11056.84</v>
      </c>
      <c r="K401" s="2509">
        <v>14633.33</v>
      </c>
      <c r="L401" s="307">
        <f t="shared" si="6"/>
        <v>-4.7627471220224038E-6</v>
      </c>
    </row>
    <row r="402" spans="1:12">
      <c r="A402" s="99">
        <f t="shared" si="5"/>
        <v>2024.09</v>
      </c>
      <c r="B402" s="2509">
        <v>13832.32</v>
      </c>
      <c r="C402" s="2509">
        <v>14346.44</v>
      </c>
      <c r="D402" s="2509">
        <v>10668.47</v>
      </c>
      <c r="E402" s="2509">
        <v>11543.85</v>
      </c>
      <c r="F402" s="2509">
        <v>13286.65</v>
      </c>
      <c r="G402" s="2509">
        <v>17365.68</v>
      </c>
      <c r="H402" s="2509">
        <v>15516.32</v>
      </c>
      <c r="I402" s="2509">
        <v>12039.42</v>
      </c>
      <c r="J402" s="2509">
        <v>11740.36</v>
      </c>
      <c r="K402" s="2509">
        <v>14997.42</v>
      </c>
      <c r="L402" s="307">
        <f t="shared" si="6"/>
        <v>-2.9332028176343172E-6</v>
      </c>
    </row>
    <row r="403" spans="1:12">
      <c r="A403" s="99">
        <f t="shared" si="5"/>
        <v>2024.1</v>
      </c>
      <c r="B403" s="2509">
        <v>14195.72</v>
      </c>
      <c r="C403" s="2509">
        <v>14724.6</v>
      </c>
      <c r="D403" s="2509">
        <v>11083.12</v>
      </c>
      <c r="E403" s="2509">
        <v>12189.64</v>
      </c>
      <c r="F403" s="2509">
        <v>13416.15</v>
      </c>
      <c r="G403" s="2509">
        <v>17972.02</v>
      </c>
      <c r="H403" s="2509">
        <v>15820.26</v>
      </c>
      <c r="I403" s="2509">
        <v>12242.36</v>
      </c>
      <c r="J403" s="2509">
        <v>11893.98</v>
      </c>
      <c r="K403" s="2509">
        <v>15282.19</v>
      </c>
      <c r="L403" s="307">
        <f t="shared" si="6"/>
        <v>-2.4245335917827404E-6</v>
      </c>
    </row>
    <row r="404" spans="1:12">
      <c r="A404" s="99">
        <f t="shared" si="5"/>
        <v>2024.11</v>
      </c>
      <c r="B404" s="2509">
        <v>14492.47</v>
      </c>
      <c r="C404" s="2509">
        <v>14920.15</v>
      </c>
      <c r="D404" s="2509">
        <v>11251.75</v>
      </c>
      <c r="E404" s="2509">
        <v>12851.06</v>
      </c>
      <c r="F404" s="2509">
        <v>13589.58</v>
      </c>
      <c r="G404" s="2509">
        <v>18646.97</v>
      </c>
      <c r="H404" s="2509">
        <v>16123.36</v>
      </c>
      <c r="I404" s="2509">
        <v>12346.71</v>
      </c>
      <c r="J404" s="2509">
        <v>12455.35</v>
      </c>
      <c r="K404" s="2509">
        <v>15621.66</v>
      </c>
      <c r="L404" s="307">
        <f t="shared" si="6"/>
        <v>-2.3259665191677215E-6</v>
      </c>
    </row>
    <row r="405" spans="1:12">
      <c r="A405" s="99">
        <f t="shared" si="5"/>
        <v>2024.12</v>
      </c>
      <c r="B405" s="2509">
        <v>14839.11</v>
      </c>
      <c r="C405" s="2509">
        <v>15357.89</v>
      </c>
      <c r="D405" s="2509">
        <v>11335.93</v>
      </c>
      <c r="E405" s="2509">
        <v>13372.03</v>
      </c>
      <c r="F405" s="2509">
        <v>13648.71</v>
      </c>
      <c r="G405" s="2509">
        <v>18964.59</v>
      </c>
      <c r="H405" s="2509">
        <v>16371.27</v>
      </c>
      <c r="I405" s="2509">
        <v>12896.2</v>
      </c>
      <c r="J405" s="2509">
        <v>12851.53</v>
      </c>
      <c r="K405" s="2509">
        <v>15927.99</v>
      </c>
      <c r="L405" s="307">
        <f t="shared" si="6"/>
        <v>-1.3705673723718448E-6</v>
      </c>
    </row>
    <row r="406" spans="1:12">
      <c r="A406" s="99">
        <f t="shared" ref="A406:A469" si="8">A394+1</f>
        <v>2025.01</v>
      </c>
      <c r="B406" s="2509">
        <v>15306.31</v>
      </c>
      <c r="C406" s="2509">
        <v>15808.55</v>
      </c>
      <c r="D406" s="2509">
        <v>11497.24</v>
      </c>
      <c r="E406" s="2509">
        <v>14948.28</v>
      </c>
      <c r="F406" s="2509">
        <v>13777.81</v>
      </c>
      <c r="G406" s="2509">
        <v>19487.759999999998</v>
      </c>
      <c r="H406" s="2509">
        <v>16725.61</v>
      </c>
      <c r="I406" s="2509">
        <v>12975.78</v>
      </c>
      <c r="J406" s="2509">
        <v>12978.52</v>
      </c>
      <c r="K406" s="2509">
        <v>16472.79</v>
      </c>
      <c r="L406" s="307">
        <f t="shared" si="6"/>
        <v>-5.1389916968513916E-6</v>
      </c>
    </row>
    <row r="407" spans="1:12">
      <c r="A407" s="99">
        <f t="shared" si="8"/>
        <v>2025.02</v>
      </c>
      <c r="B407" s="2509">
        <v>15699.35</v>
      </c>
      <c r="C407" s="2509">
        <v>16339.47</v>
      </c>
      <c r="D407" s="2509">
        <v>11532.79</v>
      </c>
      <c r="E407" s="2509">
        <v>15575.64</v>
      </c>
      <c r="F407" s="2509">
        <v>13782.51</v>
      </c>
      <c r="G407" s="2509">
        <v>20262.599999999999</v>
      </c>
      <c r="H407" s="2509">
        <v>17117.28</v>
      </c>
      <c r="I407" s="2509">
        <v>13035.21</v>
      </c>
      <c r="J407" s="2509">
        <v>13203.69</v>
      </c>
      <c r="K407" s="2509">
        <v>16906.68</v>
      </c>
      <c r="L407" s="307">
        <f t="shared" ref="L407" si="9">(C407*C$6+D407*D$6+E407*E$6+F407*F$6+G407*G$6+H407*H$6+I407*I$6+J407*J$6+K407*K$6)/B407-1</f>
        <v>-5.0730125770170886E-6</v>
      </c>
    </row>
    <row r="408" spans="1:12">
      <c r="A408" s="99">
        <f t="shared" si="8"/>
        <v>2025.03</v>
      </c>
      <c r="B408" s="2509">
        <v>16252.62</v>
      </c>
      <c r="C408" s="2509">
        <v>17280.310000000001</v>
      </c>
      <c r="D408" s="2509">
        <v>12018.41</v>
      </c>
      <c r="E408" s="2509">
        <v>15907.26</v>
      </c>
      <c r="F408" s="2509">
        <v>13910.71</v>
      </c>
      <c r="G408" s="2509">
        <v>20659.79</v>
      </c>
      <c r="H408" s="2509">
        <v>17445.509999999998</v>
      </c>
      <c r="I408" s="2509">
        <v>12842.35</v>
      </c>
      <c r="J408" s="2509">
        <v>14954.13</v>
      </c>
      <c r="K408" s="2509">
        <v>17864.400000000001</v>
      </c>
      <c r="L408" s="307">
        <f t="shared" si="6"/>
        <v>-3.6578717771407199E-6</v>
      </c>
    </row>
    <row r="409" spans="1:12">
      <c r="A409" s="99">
        <f t="shared" si="8"/>
        <v>2025.04</v>
      </c>
      <c r="B409" s="2509">
        <v>16717.68</v>
      </c>
      <c r="C409" s="2509">
        <v>17803.919999999998</v>
      </c>
      <c r="D409" s="2509">
        <v>12223.58</v>
      </c>
      <c r="E409" s="2509">
        <v>16562.98</v>
      </c>
      <c r="F409" s="2509">
        <v>13973.83</v>
      </c>
      <c r="G409" s="2509">
        <v>21377.69</v>
      </c>
      <c r="H409" s="2509">
        <v>17839.5</v>
      </c>
      <c r="I409" s="2509">
        <v>13188.18</v>
      </c>
      <c r="J409" s="2509">
        <v>16094.72</v>
      </c>
      <c r="K409" s="2509">
        <v>18434.740000000002</v>
      </c>
      <c r="L409" s="307">
        <f>(C409*C$6+D409*D$6+E409*E$6+F409*F$6+G409*G$6+H409*H$6+I409*I$6+J409*J$6+K409*K$6)/B409-1</f>
        <v>-2.1083068943994476E-6</v>
      </c>
    </row>
    <row r="410" spans="1:12">
      <c r="A410" s="99">
        <f t="shared" si="8"/>
        <v>2025.05</v>
      </c>
      <c r="B410" s="2509" t="e">
        <v>#N/A</v>
      </c>
      <c r="C410" s="2509" t="e">
        <v>#N/A</v>
      </c>
      <c r="D410" s="2509" t="e">
        <v>#N/A</v>
      </c>
      <c r="E410" s="2509" t="e">
        <v>#N/A</v>
      </c>
      <c r="F410" s="2509" t="e">
        <v>#N/A</v>
      </c>
      <c r="G410" s="2509" t="e">
        <v>#N/A</v>
      </c>
      <c r="H410" s="2509" t="e">
        <v>#N/A</v>
      </c>
      <c r="I410" s="2509" t="e">
        <v>#N/A</v>
      </c>
      <c r="J410" s="2509" t="e">
        <v>#N/A</v>
      </c>
      <c r="K410" s="2509" t="e">
        <v>#N/A</v>
      </c>
      <c r="L410" s="307" t="e">
        <f t="shared" si="6"/>
        <v>#N/A</v>
      </c>
    </row>
    <row r="411" spans="1:12">
      <c r="A411" s="99">
        <f t="shared" si="8"/>
        <v>2025.06</v>
      </c>
      <c r="B411" s="2509" t="e">
        <v>#N/A</v>
      </c>
      <c r="C411" s="2509" t="e">
        <v>#N/A</v>
      </c>
      <c r="D411" s="2509" t="e">
        <v>#N/A</v>
      </c>
      <c r="E411" s="2509" t="e">
        <v>#N/A</v>
      </c>
      <c r="F411" s="2509" t="e">
        <v>#N/A</v>
      </c>
      <c r="G411" s="2509" t="e">
        <v>#N/A</v>
      </c>
      <c r="H411" s="2509" t="e">
        <v>#N/A</v>
      </c>
      <c r="I411" s="2509" t="e">
        <v>#N/A</v>
      </c>
      <c r="J411" s="2509" t="e">
        <v>#N/A</v>
      </c>
      <c r="K411" s="2509" t="e">
        <v>#N/A</v>
      </c>
      <c r="L411" s="307" t="e">
        <f t="shared" si="6"/>
        <v>#N/A</v>
      </c>
    </row>
    <row r="412" spans="1:12">
      <c r="A412" s="99">
        <f t="shared" si="8"/>
        <v>2025.07</v>
      </c>
      <c r="B412" s="2509" t="e">
        <v>#N/A</v>
      </c>
      <c r="C412" s="2509" t="e">
        <v>#N/A</v>
      </c>
      <c r="D412" s="2509" t="e">
        <v>#N/A</v>
      </c>
      <c r="E412" s="2509" t="e">
        <v>#N/A</v>
      </c>
      <c r="F412" s="2509" t="e">
        <v>#N/A</v>
      </c>
      <c r="G412" s="2509" t="e">
        <v>#N/A</v>
      </c>
      <c r="H412" s="2509" t="e">
        <v>#N/A</v>
      </c>
      <c r="I412" s="2509" t="e">
        <v>#N/A</v>
      </c>
      <c r="J412" s="2509" t="e">
        <v>#N/A</v>
      </c>
      <c r="K412" s="2509" t="e">
        <v>#N/A</v>
      </c>
      <c r="L412" s="307" t="e">
        <f t="shared" si="6"/>
        <v>#N/A</v>
      </c>
    </row>
    <row r="413" spans="1:12">
      <c r="A413" s="99">
        <f t="shared" si="8"/>
        <v>2025.08</v>
      </c>
      <c r="B413" s="2509" t="e">
        <v>#N/A</v>
      </c>
      <c r="C413" s="2509" t="e">
        <v>#N/A</v>
      </c>
      <c r="D413" s="2509" t="e">
        <v>#N/A</v>
      </c>
      <c r="E413" s="2509" t="e">
        <v>#N/A</v>
      </c>
      <c r="F413" s="2509" t="e">
        <v>#N/A</v>
      </c>
      <c r="G413" s="2509" t="e">
        <v>#N/A</v>
      </c>
      <c r="H413" s="2509" t="e">
        <v>#N/A</v>
      </c>
      <c r="I413" s="2509" t="e">
        <v>#N/A</v>
      </c>
      <c r="J413" s="2509" t="e">
        <v>#N/A</v>
      </c>
      <c r="K413" s="2509" t="e">
        <v>#N/A</v>
      </c>
      <c r="L413" s="307" t="e">
        <f t="shared" si="6"/>
        <v>#N/A</v>
      </c>
    </row>
    <row r="414" spans="1:12">
      <c r="A414" s="99">
        <f t="shared" si="8"/>
        <v>2025.09</v>
      </c>
      <c r="B414" s="2509" t="e">
        <v>#N/A</v>
      </c>
      <c r="C414" s="2509" t="e">
        <v>#N/A</v>
      </c>
      <c r="D414" s="2509" t="e">
        <v>#N/A</v>
      </c>
      <c r="E414" s="2509" t="e">
        <v>#N/A</v>
      </c>
      <c r="F414" s="2509" t="e">
        <v>#N/A</v>
      </c>
      <c r="G414" s="2509" t="e">
        <v>#N/A</v>
      </c>
      <c r="H414" s="2509" t="e">
        <v>#N/A</v>
      </c>
      <c r="I414" s="2509" t="e">
        <v>#N/A</v>
      </c>
      <c r="J414" s="2509" t="e">
        <v>#N/A</v>
      </c>
      <c r="K414" s="2509" t="e">
        <v>#N/A</v>
      </c>
      <c r="L414" s="307" t="e">
        <f t="shared" si="6"/>
        <v>#N/A</v>
      </c>
    </row>
    <row r="415" spans="1:12">
      <c r="A415" s="99">
        <f t="shared" si="8"/>
        <v>2025.1</v>
      </c>
      <c r="B415" s="2509" t="e">
        <v>#N/A</v>
      </c>
      <c r="C415" s="2509" t="e">
        <v>#N/A</v>
      </c>
      <c r="D415" s="2509" t="e">
        <v>#N/A</v>
      </c>
      <c r="E415" s="2509" t="e">
        <v>#N/A</v>
      </c>
      <c r="F415" s="2509" t="e">
        <v>#N/A</v>
      </c>
      <c r="G415" s="2509" t="e">
        <v>#N/A</v>
      </c>
      <c r="H415" s="2509" t="e">
        <v>#N/A</v>
      </c>
      <c r="I415" s="2509" t="e">
        <v>#N/A</v>
      </c>
      <c r="J415" s="2509" t="e">
        <v>#N/A</v>
      </c>
      <c r="K415" s="2509" t="e">
        <v>#N/A</v>
      </c>
      <c r="L415" s="307" t="e">
        <f t="shared" si="6"/>
        <v>#N/A</v>
      </c>
    </row>
    <row r="416" spans="1:12">
      <c r="A416" s="99">
        <f t="shared" si="8"/>
        <v>2025.11</v>
      </c>
      <c r="B416" s="2509" t="e">
        <v>#N/A</v>
      </c>
      <c r="C416" s="2509" t="e">
        <v>#N/A</v>
      </c>
      <c r="D416" s="2509" t="e">
        <v>#N/A</v>
      </c>
      <c r="E416" s="2509" t="e">
        <v>#N/A</v>
      </c>
      <c r="F416" s="2509" t="e">
        <v>#N/A</v>
      </c>
      <c r="G416" s="2509" t="e">
        <v>#N/A</v>
      </c>
      <c r="H416" s="2509" t="e">
        <v>#N/A</v>
      </c>
      <c r="I416" s="2509" t="e">
        <v>#N/A</v>
      </c>
      <c r="J416" s="2509" t="e">
        <v>#N/A</v>
      </c>
      <c r="K416" s="2509" t="e">
        <v>#N/A</v>
      </c>
      <c r="L416" s="307" t="e">
        <f t="shared" si="6"/>
        <v>#N/A</v>
      </c>
    </row>
    <row r="417" spans="1:12">
      <c r="A417" s="99">
        <f t="shared" si="8"/>
        <v>2025.12</v>
      </c>
      <c r="B417" s="2509" t="e">
        <v>#N/A</v>
      </c>
      <c r="C417" s="2509" t="e">
        <v>#N/A</v>
      </c>
      <c r="D417" s="2509" t="e">
        <v>#N/A</v>
      </c>
      <c r="E417" s="2509" t="e">
        <v>#N/A</v>
      </c>
      <c r="F417" s="2509" t="e">
        <v>#N/A</v>
      </c>
      <c r="G417" s="2509" t="e">
        <v>#N/A</v>
      </c>
      <c r="H417" s="2509" t="e">
        <v>#N/A</v>
      </c>
      <c r="I417" s="2509" t="e">
        <v>#N/A</v>
      </c>
      <c r="J417" s="2509" t="e">
        <v>#N/A</v>
      </c>
      <c r="K417" s="2509" t="e">
        <v>#N/A</v>
      </c>
      <c r="L417" s="307" t="e">
        <f t="shared" si="6"/>
        <v>#N/A</v>
      </c>
    </row>
    <row r="418" spans="1:12">
      <c r="A418" s="1340">
        <f t="shared" si="8"/>
        <v>2026.01</v>
      </c>
      <c r="B418" s="2509" t="e">
        <v>#N/A</v>
      </c>
      <c r="C418" s="2509" t="e">
        <v>#N/A</v>
      </c>
      <c r="D418" s="2509" t="e">
        <v>#N/A</v>
      </c>
      <c r="E418" s="2509" t="e">
        <v>#N/A</v>
      </c>
      <c r="F418" s="2509" t="e">
        <v>#N/A</v>
      </c>
      <c r="G418" s="2509" t="e">
        <v>#N/A</v>
      </c>
      <c r="H418" s="2509" t="e">
        <v>#N/A</v>
      </c>
      <c r="I418" s="2509" t="e">
        <v>#N/A</v>
      </c>
      <c r="J418" s="2509" t="e">
        <v>#N/A</v>
      </c>
      <c r="K418" s="2509" t="e">
        <v>#N/A</v>
      </c>
      <c r="L418" s="307" t="e">
        <f t="shared" ref="L418:L477" si="10">(C418*C$6+D418*D$6+E418*E$6+F418*F$6+G418*G$6+H418*H$6+I418*I$6+J418*J$6+K418*K$6)/B418-1</f>
        <v>#N/A</v>
      </c>
    </row>
    <row r="419" spans="1:12">
      <c r="A419" s="1340">
        <f t="shared" si="8"/>
        <v>2026.02</v>
      </c>
      <c r="B419" s="2509" t="e">
        <v>#N/A</v>
      </c>
      <c r="C419" s="2509" t="e">
        <v>#N/A</v>
      </c>
      <c r="D419" s="2509" t="e">
        <v>#N/A</v>
      </c>
      <c r="E419" s="2509" t="e">
        <v>#N/A</v>
      </c>
      <c r="F419" s="2509" t="e">
        <v>#N/A</v>
      </c>
      <c r="G419" s="2509" t="e">
        <v>#N/A</v>
      </c>
      <c r="H419" s="2509" t="e">
        <v>#N/A</v>
      </c>
      <c r="I419" s="2509" t="e">
        <v>#N/A</v>
      </c>
      <c r="J419" s="2509" t="e">
        <v>#N/A</v>
      </c>
      <c r="K419" s="2509" t="e">
        <v>#N/A</v>
      </c>
      <c r="L419" s="307" t="e">
        <f t="shared" si="10"/>
        <v>#N/A</v>
      </c>
    </row>
    <row r="420" spans="1:12">
      <c r="A420" s="1340">
        <f t="shared" si="8"/>
        <v>2026.03</v>
      </c>
      <c r="B420" s="2509" t="e">
        <v>#N/A</v>
      </c>
      <c r="C420" s="2509" t="e">
        <v>#N/A</v>
      </c>
      <c r="D420" s="2509" t="e">
        <v>#N/A</v>
      </c>
      <c r="E420" s="2509" t="e">
        <v>#N/A</v>
      </c>
      <c r="F420" s="2509" t="e">
        <v>#N/A</v>
      </c>
      <c r="G420" s="2509" t="e">
        <v>#N/A</v>
      </c>
      <c r="H420" s="2509" t="e">
        <v>#N/A</v>
      </c>
      <c r="I420" s="2509" t="e">
        <v>#N/A</v>
      </c>
      <c r="J420" s="2509" t="e">
        <v>#N/A</v>
      </c>
      <c r="K420" s="2509" t="e">
        <v>#N/A</v>
      </c>
      <c r="L420" s="307" t="e">
        <f t="shared" si="10"/>
        <v>#N/A</v>
      </c>
    </row>
    <row r="421" spans="1:12">
      <c r="A421" s="1340">
        <f t="shared" si="8"/>
        <v>2026.04</v>
      </c>
      <c r="B421" s="2509" t="e">
        <v>#N/A</v>
      </c>
      <c r="C421" s="2509" t="e">
        <v>#N/A</v>
      </c>
      <c r="D421" s="2509" t="e">
        <v>#N/A</v>
      </c>
      <c r="E421" s="2509" t="e">
        <v>#N/A</v>
      </c>
      <c r="F421" s="2509" t="e">
        <v>#N/A</v>
      </c>
      <c r="G421" s="2509" t="e">
        <v>#N/A</v>
      </c>
      <c r="H421" s="2509" t="e">
        <v>#N/A</v>
      </c>
      <c r="I421" s="2509" t="e">
        <v>#N/A</v>
      </c>
      <c r="J421" s="2509" t="e">
        <v>#N/A</v>
      </c>
      <c r="K421" s="2509" t="e">
        <v>#N/A</v>
      </c>
      <c r="L421" s="307" t="e">
        <f t="shared" si="10"/>
        <v>#N/A</v>
      </c>
    </row>
    <row r="422" spans="1:12">
      <c r="A422" s="1340">
        <f t="shared" si="8"/>
        <v>2026.05</v>
      </c>
      <c r="B422" s="2509" t="e">
        <v>#N/A</v>
      </c>
      <c r="C422" s="2509" t="e">
        <v>#N/A</v>
      </c>
      <c r="D422" s="2509" t="e">
        <v>#N/A</v>
      </c>
      <c r="E422" s="2509" t="e">
        <v>#N/A</v>
      </c>
      <c r="F422" s="2509" t="e">
        <v>#N/A</v>
      </c>
      <c r="G422" s="2509" t="e">
        <v>#N/A</v>
      </c>
      <c r="H422" s="2509" t="e">
        <v>#N/A</v>
      </c>
      <c r="I422" s="2509" t="e">
        <v>#N/A</v>
      </c>
      <c r="J422" s="2509" t="e">
        <v>#N/A</v>
      </c>
      <c r="K422" s="2509" t="e">
        <v>#N/A</v>
      </c>
      <c r="L422" s="307" t="e">
        <f t="shared" si="10"/>
        <v>#N/A</v>
      </c>
    </row>
    <row r="423" spans="1:12">
      <c r="A423" s="1340">
        <f t="shared" si="8"/>
        <v>2026.06</v>
      </c>
      <c r="B423" s="2509" t="e">
        <v>#N/A</v>
      </c>
      <c r="C423" s="2509" t="e">
        <v>#N/A</v>
      </c>
      <c r="D423" s="2509" t="e">
        <v>#N/A</v>
      </c>
      <c r="E423" s="2509" t="e">
        <v>#N/A</v>
      </c>
      <c r="F423" s="2509" t="e">
        <v>#N/A</v>
      </c>
      <c r="G423" s="2509" t="e">
        <v>#N/A</v>
      </c>
      <c r="H423" s="2509" t="e">
        <v>#N/A</v>
      </c>
      <c r="I423" s="2509" t="e">
        <v>#N/A</v>
      </c>
      <c r="J423" s="2509" t="e">
        <v>#N/A</v>
      </c>
      <c r="K423" s="2509" t="e">
        <v>#N/A</v>
      </c>
      <c r="L423" s="307" t="e">
        <f t="shared" si="10"/>
        <v>#N/A</v>
      </c>
    </row>
    <row r="424" spans="1:12">
      <c r="A424" s="1340">
        <f t="shared" si="8"/>
        <v>2026.07</v>
      </c>
      <c r="B424" s="2509" t="e">
        <v>#N/A</v>
      </c>
      <c r="C424" s="2509" t="e">
        <v>#N/A</v>
      </c>
      <c r="D424" s="2509" t="e">
        <v>#N/A</v>
      </c>
      <c r="E424" s="2509" t="e">
        <v>#N/A</v>
      </c>
      <c r="F424" s="2509" t="e">
        <v>#N/A</v>
      </c>
      <c r="G424" s="2509" t="e">
        <v>#N/A</v>
      </c>
      <c r="H424" s="2509" t="e">
        <v>#N/A</v>
      </c>
      <c r="I424" s="2509" t="e">
        <v>#N/A</v>
      </c>
      <c r="J424" s="2509" t="e">
        <v>#N/A</v>
      </c>
      <c r="K424" s="2509" t="e">
        <v>#N/A</v>
      </c>
      <c r="L424" s="307" t="e">
        <f t="shared" si="10"/>
        <v>#N/A</v>
      </c>
    </row>
    <row r="425" spans="1:12">
      <c r="A425" s="1340">
        <f t="shared" si="8"/>
        <v>2026.08</v>
      </c>
      <c r="B425" s="2509" t="e">
        <v>#N/A</v>
      </c>
      <c r="C425" s="2509" t="e">
        <v>#N/A</v>
      </c>
      <c r="D425" s="2509" t="e">
        <v>#N/A</v>
      </c>
      <c r="E425" s="2509" t="e">
        <v>#N/A</v>
      </c>
      <c r="F425" s="2509" t="e">
        <v>#N/A</v>
      </c>
      <c r="G425" s="2509" t="e">
        <v>#N/A</v>
      </c>
      <c r="H425" s="2509" t="e">
        <v>#N/A</v>
      </c>
      <c r="I425" s="2509" t="e">
        <v>#N/A</v>
      </c>
      <c r="J425" s="2509" t="e">
        <v>#N/A</v>
      </c>
      <c r="K425" s="2509" t="e">
        <v>#N/A</v>
      </c>
      <c r="L425" s="307" t="e">
        <f t="shared" si="10"/>
        <v>#N/A</v>
      </c>
    </row>
    <row r="426" spans="1:12">
      <c r="A426" s="1340">
        <f t="shared" si="8"/>
        <v>2026.09</v>
      </c>
      <c r="B426" s="2509" t="e">
        <v>#N/A</v>
      </c>
      <c r="C426" s="2509" t="e">
        <v>#N/A</v>
      </c>
      <c r="D426" s="2509" t="e">
        <v>#N/A</v>
      </c>
      <c r="E426" s="2509" t="e">
        <v>#N/A</v>
      </c>
      <c r="F426" s="2509" t="e">
        <v>#N/A</v>
      </c>
      <c r="G426" s="2509" t="e">
        <v>#N/A</v>
      </c>
      <c r="H426" s="2509" t="e">
        <v>#N/A</v>
      </c>
      <c r="I426" s="2509" t="e">
        <v>#N/A</v>
      </c>
      <c r="J426" s="2509" t="e">
        <v>#N/A</v>
      </c>
      <c r="K426" s="2509" t="e">
        <v>#N/A</v>
      </c>
      <c r="L426" s="307" t="e">
        <f t="shared" si="10"/>
        <v>#N/A</v>
      </c>
    </row>
    <row r="427" spans="1:12">
      <c r="A427" s="1340">
        <f t="shared" si="8"/>
        <v>2026.1</v>
      </c>
      <c r="B427" s="2509" t="e">
        <v>#N/A</v>
      </c>
      <c r="C427" s="2509" t="e">
        <v>#N/A</v>
      </c>
      <c r="D427" s="2509" t="e">
        <v>#N/A</v>
      </c>
      <c r="E427" s="2509" t="e">
        <v>#N/A</v>
      </c>
      <c r="F427" s="2509" t="e">
        <v>#N/A</v>
      </c>
      <c r="G427" s="2509" t="e">
        <v>#N/A</v>
      </c>
      <c r="H427" s="2509" t="e">
        <v>#N/A</v>
      </c>
      <c r="I427" s="2509" t="e">
        <v>#N/A</v>
      </c>
      <c r="J427" s="2509" t="e">
        <v>#N/A</v>
      </c>
      <c r="K427" s="2509" t="e">
        <v>#N/A</v>
      </c>
      <c r="L427" s="307" t="e">
        <f t="shared" si="10"/>
        <v>#N/A</v>
      </c>
    </row>
    <row r="428" spans="1:12">
      <c r="A428" s="1340">
        <f t="shared" si="8"/>
        <v>2026.11</v>
      </c>
      <c r="B428" s="2509" t="e">
        <v>#N/A</v>
      </c>
      <c r="C428" s="2509" t="e">
        <v>#N/A</v>
      </c>
      <c r="D428" s="2509" t="e">
        <v>#N/A</v>
      </c>
      <c r="E428" s="2509" t="e">
        <v>#N/A</v>
      </c>
      <c r="F428" s="2509" t="e">
        <v>#N/A</v>
      </c>
      <c r="G428" s="2509" t="e">
        <v>#N/A</v>
      </c>
      <c r="H428" s="2509" t="e">
        <v>#N/A</v>
      </c>
      <c r="I428" s="2509" t="e">
        <v>#N/A</v>
      </c>
      <c r="J428" s="2509" t="e">
        <v>#N/A</v>
      </c>
      <c r="K428" s="2509" t="e">
        <v>#N/A</v>
      </c>
      <c r="L428" s="307" t="e">
        <f t="shared" si="10"/>
        <v>#N/A</v>
      </c>
    </row>
    <row r="429" spans="1:12">
      <c r="A429" s="1340">
        <f t="shared" si="8"/>
        <v>2026.12</v>
      </c>
      <c r="B429" s="2509" t="e">
        <v>#N/A</v>
      </c>
      <c r="C429" s="2509" t="e">
        <v>#N/A</v>
      </c>
      <c r="D429" s="2509" t="e">
        <v>#N/A</v>
      </c>
      <c r="E429" s="2509" t="e">
        <v>#N/A</v>
      </c>
      <c r="F429" s="2509" t="e">
        <v>#N/A</v>
      </c>
      <c r="G429" s="2509" t="e">
        <v>#N/A</v>
      </c>
      <c r="H429" s="2509" t="e">
        <v>#N/A</v>
      </c>
      <c r="I429" s="2509" t="e">
        <v>#N/A</v>
      </c>
      <c r="J429" s="2509" t="e">
        <v>#N/A</v>
      </c>
      <c r="K429" s="2509" t="e">
        <v>#N/A</v>
      </c>
      <c r="L429" s="307" t="e">
        <f t="shared" si="10"/>
        <v>#N/A</v>
      </c>
    </row>
    <row r="430" spans="1:12">
      <c r="A430" s="1340">
        <f t="shared" si="8"/>
        <v>2027.01</v>
      </c>
      <c r="B430" s="2509" t="e">
        <v>#N/A</v>
      </c>
      <c r="C430" s="2509" t="e">
        <v>#N/A</v>
      </c>
      <c r="D430" s="2509" t="e">
        <v>#N/A</v>
      </c>
      <c r="E430" s="2509" t="e">
        <v>#N/A</v>
      </c>
      <c r="F430" s="2509" t="e">
        <v>#N/A</v>
      </c>
      <c r="G430" s="2509" t="e">
        <v>#N/A</v>
      </c>
      <c r="H430" s="2509" t="e">
        <v>#N/A</v>
      </c>
      <c r="I430" s="2509" t="e">
        <v>#N/A</v>
      </c>
      <c r="J430" s="2509" t="e">
        <v>#N/A</v>
      </c>
      <c r="K430" s="2509" t="e">
        <v>#N/A</v>
      </c>
      <c r="L430" s="307" t="e">
        <f t="shared" si="10"/>
        <v>#N/A</v>
      </c>
    </row>
    <row r="431" spans="1:12">
      <c r="A431" s="1340">
        <f t="shared" si="8"/>
        <v>2027.02</v>
      </c>
      <c r="B431" s="2509" t="e">
        <v>#N/A</v>
      </c>
      <c r="C431" s="2509" t="e">
        <v>#N/A</v>
      </c>
      <c r="D431" s="2509" t="e">
        <v>#N/A</v>
      </c>
      <c r="E431" s="2509" t="e">
        <v>#N/A</v>
      </c>
      <c r="F431" s="2509" t="e">
        <v>#N/A</v>
      </c>
      <c r="G431" s="2509" t="e">
        <v>#N/A</v>
      </c>
      <c r="H431" s="2509" t="e">
        <v>#N/A</v>
      </c>
      <c r="I431" s="2509" t="e">
        <v>#N/A</v>
      </c>
      <c r="J431" s="2509" t="e">
        <v>#N/A</v>
      </c>
      <c r="K431" s="2509" t="e">
        <v>#N/A</v>
      </c>
      <c r="L431" s="307" t="e">
        <f t="shared" si="10"/>
        <v>#N/A</v>
      </c>
    </row>
    <row r="432" spans="1:12">
      <c r="A432" s="1340">
        <f t="shared" si="8"/>
        <v>2027.03</v>
      </c>
      <c r="B432" s="2509" t="e">
        <v>#N/A</v>
      </c>
      <c r="C432" s="2509" t="e">
        <v>#N/A</v>
      </c>
      <c r="D432" s="2509" t="e">
        <v>#N/A</v>
      </c>
      <c r="E432" s="2509" t="e">
        <v>#N/A</v>
      </c>
      <c r="F432" s="2509" t="e">
        <v>#N/A</v>
      </c>
      <c r="G432" s="2509" t="e">
        <v>#N/A</v>
      </c>
      <c r="H432" s="2509" t="e">
        <v>#N/A</v>
      </c>
      <c r="I432" s="2509" t="e">
        <v>#N/A</v>
      </c>
      <c r="J432" s="2509" t="e">
        <v>#N/A</v>
      </c>
      <c r="K432" s="2509" t="e">
        <v>#N/A</v>
      </c>
      <c r="L432" s="307" t="e">
        <f t="shared" si="10"/>
        <v>#N/A</v>
      </c>
    </row>
    <row r="433" spans="1:12">
      <c r="A433" s="1340">
        <f t="shared" si="8"/>
        <v>2027.04</v>
      </c>
      <c r="B433" s="2509" t="e">
        <v>#N/A</v>
      </c>
      <c r="C433" s="2509" t="e">
        <v>#N/A</v>
      </c>
      <c r="D433" s="2509" t="e">
        <v>#N/A</v>
      </c>
      <c r="E433" s="2509" t="e">
        <v>#N/A</v>
      </c>
      <c r="F433" s="2509" t="e">
        <v>#N/A</v>
      </c>
      <c r="G433" s="2509" t="e">
        <v>#N/A</v>
      </c>
      <c r="H433" s="2509" t="e">
        <v>#N/A</v>
      </c>
      <c r="I433" s="2509" t="e">
        <v>#N/A</v>
      </c>
      <c r="J433" s="2509" t="e">
        <v>#N/A</v>
      </c>
      <c r="K433" s="2509" t="e">
        <v>#N/A</v>
      </c>
      <c r="L433" s="307" t="e">
        <f t="shared" si="10"/>
        <v>#N/A</v>
      </c>
    </row>
    <row r="434" spans="1:12">
      <c r="A434" s="1340">
        <f t="shared" si="8"/>
        <v>2027.05</v>
      </c>
      <c r="B434" s="2509" t="e">
        <v>#N/A</v>
      </c>
      <c r="C434" s="2509" t="e">
        <v>#N/A</v>
      </c>
      <c r="D434" s="2509" t="e">
        <v>#N/A</v>
      </c>
      <c r="E434" s="2509" t="e">
        <v>#N/A</v>
      </c>
      <c r="F434" s="2509" t="e">
        <v>#N/A</v>
      </c>
      <c r="G434" s="2509" t="e">
        <v>#N/A</v>
      </c>
      <c r="H434" s="2509" t="e">
        <v>#N/A</v>
      </c>
      <c r="I434" s="2509" t="e">
        <v>#N/A</v>
      </c>
      <c r="J434" s="2509" t="e">
        <v>#N/A</v>
      </c>
      <c r="K434" s="2509" t="e">
        <v>#N/A</v>
      </c>
      <c r="L434" s="307" t="e">
        <f t="shared" si="10"/>
        <v>#N/A</v>
      </c>
    </row>
    <row r="435" spans="1:12">
      <c r="A435" s="1340">
        <f t="shared" si="8"/>
        <v>2027.06</v>
      </c>
      <c r="B435" s="2509" t="e">
        <v>#N/A</v>
      </c>
      <c r="C435" s="2509" t="e">
        <v>#N/A</v>
      </c>
      <c r="D435" s="2509" t="e">
        <v>#N/A</v>
      </c>
      <c r="E435" s="2509" t="e">
        <v>#N/A</v>
      </c>
      <c r="F435" s="2509" t="e">
        <v>#N/A</v>
      </c>
      <c r="G435" s="2509" t="e">
        <v>#N/A</v>
      </c>
      <c r="H435" s="2509" t="e">
        <v>#N/A</v>
      </c>
      <c r="I435" s="2509" t="e">
        <v>#N/A</v>
      </c>
      <c r="J435" s="2509" t="e">
        <v>#N/A</v>
      </c>
      <c r="K435" s="2509" t="e">
        <v>#N/A</v>
      </c>
      <c r="L435" s="307" t="e">
        <f t="shared" si="10"/>
        <v>#N/A</v>
      </c>
    </row>
    <row r="436" spans="1:12">
      <c r="A436" s="1340">
        <f t="shared" si="8"/>
        <v>2027.07</v>
      </c>
      <c r="B436" s="2509" t="e">
        <v>#N/A</v>
      </c>
      <c r="C436" s="2509" t="e">
        <v>#N/A</v>
      </c>
      <c r="D436" s="2509" t="e">
        <v>#N/A</v>
      </c>
      <c r="E436" s="2509" t="e">
        <v>#N/A</v>
      </c>
      <c r="F436" s="2509" t="e">
        <v>#N/A</v>
      </c>
      <c r="G436" s="2509" t="e">
        <v>#N/A</v>
      </c>
      <c r="H436" s="2509" t="e">
        <v>#N/A</v>
      </c>
      <c r="I436" s="2509" t="e">
        <v>#N/A</v>
      </c>
      <c r="J436" s="2509" t="e">
        <v>#N/A</v>
      </c>
      <c r="K436" s="2509" t="e">
        <v>#N/A</v>
      </c>
      <c r="L436" s="307" t="e">
        <f t="shared" si="10"/>
        <v>#N/A</v>
      </c>
    </row>
    <row r="437" spans="1:12">
      <c r="A437" s="1340">
        <f t="shared" si="8"/>
        <v>2027.08</v>
      </c>
      <c r="B437" s="2509" t="e">
        <v>#N/A</v>
      </c>
      <c r="C437" s="2509" t="e">
        <v>#N/A</v>
      </c>
      <c r="D437" s="2509" t="e">
        <v>#N/A</v>
      </c>
      <c r="E437" s="2509" t="e">
        <v>#N/A</v>
      </c>
      <c r="F437" s="2509" t="e">
        <v>#N/A</v>
      </c>
      <c r="G437" s="2509" t="e">
        <v>#N/A</v>
      </c>
      <c r="H437" s="2509" t="e">
        <v>#N/A</v>
      </c>
      <c r="I437" s="2509" t="e">
        <v>#N/A</v>
      </c>
      <c r="J437" s="2509" t="e">
        <v>#N/A</v>
      </c>
      <c r="K437" s="2509" t="e">
        <v>#N/A</v>
      </c>
      <c r="L437" s="307" t="e">
        <f t="shared" si="10"/>
        <v>#N/A</v>
      </c>
    </row>
    <row r="438" spans="1:12">
      <c r="A438" s="1340">
        <f t="shared" si="8"/>
        <v>2027.09</v>
      </c>
      <c r="B438" s="2509" t="e">
        <v>#N/A</v>
      </c>
      <c r="C438" s="2509" t="e">
        <v>#N/A</v>
      </c>
      <c r="D438" s="2509" t="e">
        <v>#N/A</v>
      </c>
      <c r="E438" s="2509" t="e">
        <v>#N/A</v>
      </c>
      <c r="F438" s="2509" t="e">
        <v>#N/A</v>
      </c>
      <c r="G438" s="2509" t="e">
        <v>#N/A</v>
      </c>
      <c r="H438" s="2509" t="e">
        <v>#N/A</v>
      </c>
      <c r="I438" s="2509" t="e">
        <v>#N/A</v>
      </c>
      <c r="J438" s="2509" t="e">
        <v>#N/A</v>
      </c>
      <c r="K438" s="2509" t="e">
        <v>#N/A</v>
      </c>
      <c r="L438" s="307" t="e">
        <f t="shared" si="10"/>
        <v>#N/A</v>
      </c>
    </row>
    <row r="439" spans="1:12">
      <c r="A439" s="1340">
        <f t="shared" si="8"/>
        <v>2027.1</v>
      </c>
      <c r="B439" s="2509" t="e">
        <v>#N/A</v>
      </c>
      <c r="C439" s="2509" t="e">
        <v>#N/A</v>
      </c>
      <c r="D439" s="2509" t="e">
        <v>#N/A</v>
      </c>
      <c r="E439" s="2509" t="e">
        <v>#N/A</v>
      </c>
      <c r="F439" s="2509" t="e">
        <v>#N/A</v>
      </c>
      <c r="G439" s="2509" t="e">
        <v>#N/A</v>
      </c>
      <c r="H439" s="2509" t="e">
        <v>#N/A</v>
      </c>
      <c r="I439" s="2509" t="e">
        <v>#N/A</v>
      </c>
      <c r="J439" s="2509" t="e">
        <v>#N/A</v>
      </c>
      <c r="K439" s="2509" t="e">
        <v>#N/A</v>
      </c>
      <c r="L439" s="307" t="e">
        <f t="shared" si="10"/>
        <v>#N/A</v>
      </c>
    </row>
    <row r="440" spans="1:12">
      <c r="A440" s="1340">
        <f t="shared" si="8"/>
        <v>2027.11</v>
      </c>
      <c r="B440" s="2509" t="e">
        <v>#N/A</v>
      </c>
      <c r="C440" s="2509" t="e">
        <v>#N/A</v>
      </c>
      <c r="D440" s="2509" t="e">
        <v>#N/A</v>
      </c>
      <c r="E440" s="2509" t="e">
        <v>#N/A</v>
      </c>
      <c r="F440" s="2509" t="e">
        <v>#N/A</v>
      </c>
      <c r="G440" s="2509" t="e">
        <v>#N/A</v>
      </c>
      <c r="H440" s="2509" t="e">
        <v>#N/A</v>
      </c>
      <c r="I440" s="2509" t="e">
        <v>#N/A</v>
      </c>
      <c r="J440" s="2509" t="e">
        <v>#N/A</v>
      </c>
      <c r="K440" s="2509" t="e">
        <v>#N/A</v>
      </c>
      <c r="L440" s="307" t="e">
        <f t="shared" si="10"/>
        <v>#N/A</v>
      </c>
    </row>
    <row r="441" spans="1:12">
      <c r="A441" s="1340">
        <f t="shared" si="8"/>
        <v>2027.12</v>
      </c>
      <c r="B441" s="2509" t="e">
        <v>#N/A</v>
      </c>
      <c r="C441" s="2509" t="e">
        <v>#N/A</v>
      </c>
      <c r="D441" s="2509" t="e">
        <v>#N/A</v>
      </c>
      <c r="E441" s="2509" t="e">
        <v>#N/A</v>
      </c>
      <c r="F441" s="2509" t="e">
        <v>#N/A</v>
      </c>
      <c r="G441" s="2509" t="e">
        <v>#N/A</v>
      </c>
      <c r="H441" s="2509" t="e">
        <v>#N/A</v>
      </c>
      <c r="I441" s="2509" t="e">
        <v>#N/A</v>
      </c>
      <c r="J441" s="2509" t="e">
        <v>#N/A</v>
      </c>
      <c r="K441" s="2509" t="e">
        <v>#N/A</v>
      </c>
      <c r="L441" s="307" t="e">
        <f t="shared" si="10"/>
        <v>#N/A</v>
      </c>
    </row>
    <row r="442" spans="1:12">
      <c r="A442" s="1340">
        <f t="shared" si="8"/>
        <v>2028.01</v>
      </c>
      <c r="B442" s="2509" t="e">
        <v>#N/A</v>
      </c>
      <c r="C442" s="2509" t="e">
        <v>#N/A</v>
      </c>
      <c r="D442" s="2509" t="e">
        <v>#N/A</v>
      </c>
      <c r="E442" s="2509" t="e">
        <v>#N/A</v>
      </c>
      <c r="F442" s="2509" t="e">
        <v>#N/A</v>
      </c>
      <c r="G442" s="2509" t="e">
        <v>#N/A</v>
      </c>
      <c r="H442" s="2509" t="e">
        <v>#N/A</v>
      </c>
      <c r="I442" s="2509" t="e">
        <v>#N/A</v>
      </c>
      <c r="J442" s="2509" t="e">
        <v>#N/A</v>
      </c>
      <c r="K442" s="2509" t="e">
        <v>#N/A</v>
      </c>
      <c r="L442" s="307" t="e">
        <f t="shared" si="10"/>
        <v>#N/A</v>
      </c>
    </row>
    <row r="443" spans="1:12">
      <c r="A443" s="1340">
        <f t="shared" si="8"/>
        <v>2028.02</v>
      </c>
      <c r="B443" s="2509" t="e">
        <v>#N/A</v>
      </c>
      <c r="C443" s="2509" t="e">
        <v>#N/A</v>
      </c>
      <c r="D443" s="2509" t="e">
        <v>#N/A</v>
      </c>
      <c r="E443" s="2509" t="e">
        <v>#N/A</v>
      </c>
      <c r="F443" s="2509" t="e">
        <v>#N/A</v>
      </c>
      <c r="G443" s="2509" t="e">
        <v>#N/A</v>
      </c>
      <c r="H443" s="2509" t="e">
        <v>#N/A</v>
      </c>
      <c r="I443" s="2509" t="e">
        <v>#N/A</v>
      </c>
      <c r="J443" s="2509" t="e">
        <v>#N/A</v>
      </c>
      <c r="K443" s="2509" t="e">
        <v>#N/A</v>
      </c>
      <c r="L443" s="307" t="e">
        <f t="shared" si="10"/>
        <v>#N/A</v>
      </c>
    </row>
    <row r="444" spans="1:12">
      <c r="A444" s="1340">
        <f t="shared" si="8"/>
        <v>2028.03</v>
      </c>
      <c r="B444" s="2509" t="e">
        <v>#N/A</v>
      </c>
      <c r="C444" s="2509" t="e">
        <v>#N/A</v>
      </c>
      <c r="D444" s="2509" t="e">
        <v>#N/A</v>
      </c>
      <c r="E444" s="2509" t="e">
        <v>#N/A</v>
      </c>
      <c r="F444" s="2509" t="e">
        <v>#N/A</v>
      </c>
      <c r="G444" s="2509" t="e">
        <v>#N/A</v>
      </c>
      <c r="H444" s="2509" t="e">
        <v>#N/A</v>
      </c>
      <c r="I444" s="2509" t="e">
        <v>#N/A</v>
      </c>
      <c r="J444" s="2509" t="e">
        <v>#N/A</v>
      </c>
      <c r="K444" s="2509" t="e">
        <v>#N/A</v>
      </c>
      <c r="L444" s="307" t="e">
        <f t="shared" si="10"/>
        <v>#N/A</v>
      </c>
    </row>
    <row r="445" spans="1:12">
      <c r="A445" s="1340">
        <f t="shared" si="8"/>
        <v>2028.04</v>
      </c>
      <c r="B445" s="2509" t="e">
        <v>#N/A</v>
      </c>
      <c r="C445" s="2509" t="e">
        <v>#N/A</v>
      </c>
      <c r="D445" s="2509" t="e">
        <v>#N/A</v>
      </c>
      <c r="E445" s="2509" t="e">
        <v>#N/A</v>
      </c>
      <c r="F445" s="2509" t="e">
        <v>#N/A</v>
      </c>
      <c r="G445" s="2509" t="e">
        <v>#N/A</v>
      </c>
      <c r="H445" s="2509" t="e">
        <v>#N/A</v>
      </c>
      <c r="I445" s="2509" t="e">
        <v>#N/A</v>
      </c>
      <c r="J445" s="2509" t="e">
        <v>#N/A</v>
      </c>
      <c r="K445" s="2509" t="e">
        <v>#N/A</v>
      </c>
      <c r="L445" s="307" t="e">
        <f t="shared" si="10"/>
        <v>#N/A</v>
      </c>
    </row>
    <row r="446" spans="1:12">
      <c r="A446" s="1340">
        <f t="shared" si="8"/>
        <v>2028.05</v>
      </c>
      <c r="B446" s="2509" t="e">
        <v>#N/A</v>
      </c>
      <c r="C446" s="2509" t="e">
        <v>#N/A</v>
      </c>
      <c r="D446" s="2509" t="e">
        <v>#N/A</v>
      </c>
      <c r="E446" s="2509" t="e">
        <v>#N/A</v>
      </c>
      <c r="F446" s="2509" t="e">
        <v>#N/A</v>
      </c>
      <c r="G446" s="2509" t="e">
        <v>#N/A</v>
      </c>
      <c r="H446" s="2509" t="e">
        <v>#N/A</v>
      </c>
      <c r="I446" s="2509" t="e">
        <v>#N/A</v>
      </c>
      <c r="J446" s="2509" t="e">
        <v>#N/A</v>
      </c>
      <c r="K446" s="2509" t="e">
        <v>#N/A</v>
      </c>
      <c r="L446" s="307" t="e">
        <f t="shared" si="10"/>
        <v>#N/A</v>
      </c>
    </row>
    <row r="447" spans="1:12">
      <c r="A447" s="1340">
        <f t="shared" si="8"/>
        <v>2028.06</v>
      </c>
      <c r="B447" s="2509" t="e">
        <v>#N/A</v>
      </c>
      <c r="C447" s="2509" t="e">
        <v>#N/A</v>
      </c>
      <c r="D447" s="2509" t="e">
        <v>#N/A</v>
      </c>
      <c r="E447" s="2509" t="e">
        <v>#N/A</v>
      </c>
      <c r="F447" s="2509" t="e">
        <v>#N/A</v>
      </c>
      <c r="G447" s="2509" t="e">
        <v>#N/A</v>
      </c>
      <c r="H447" s="2509" t="e">
        <v>#N/A</v>
      </c>
      <c r="I447" s="2509" t="e">
        <v>#N/A</v>
      </c>
      <c r="J447" s="2509" t="e">
        <v>#N/A</v>
      </c>
      <c r="K447" s="2509" t="e">
        <v>#N/A</v>
      </c>
      <c r="L447" s="307" t="e">
        <f t="shared" si="10"/>
        <v>#N/A</v>
      </c>
    </row>
    <row r="448" spans="1:12">
      <c r="A448" s="1340">
        <f t="shared" si="8"/>
        <v>2028.07</v>
      </c>
      <c r="B448" s="2509" t="e">
        <v>#N/A</v>
      </c>
      <c r="C448" s="2509" t="e">
        <v>#N/A</v>
      </c>
      <c r="D448" s="2509" t="e">
        <v>#N/A</v>
      </c>
      <c r="E448" s="2509" t="e">
        <v>#N/A</v>
      </c>
      <c r="F448" s="2509" t="e">
        <v>#N/A</v>
      </c>
      <c r="G448" s="2509" t="e">
        <v>#N/A</v>
      </c>
      <c r="H448" s="2509" t="e">
        <v>#N/A</v>
      </c>
      <c r="I448" s="2509" t="e">
        <v>#N/A</v>
      </c>
      <c r="J448" s="2509" t="e">
        <v>#N/A</v>
      </c>
      <c r="K448" s="2509" t="e">
        <v>#N/A</v>
      </c>
      <c r="L448" s="307" t="e">
        <f t="shared" si="10"/>
        <v>#N/A</v>
      </c>
    </row>
    <row r="449" spans="1:12">
      <c r="A449" s="1340">
        <f t="shared" si="8"/>
        <v>2028.08</v>
      </c>
      <c r="B449" s="2509" t="e">
        <v>#N/A</v>
      </c>
      <c r="C449" s="2509" t="e">
        <v>#N/A</v>
      </c>
      <c r="D449" s="2509" t="e">
        <v>#N/A</v>
      </c>
      <c r="E449" s="2509" t="e">
        <v>#N/A</v>
      </c>
      <c r="F449" s="2509" t="e">
        <v>#N/A</v>
      </c>
      <c r="G449" s="2509" t="e">
        <v>#N/A</v>
      </c>
      <c r="H449" s="2509" t="e">
        <v>#N/A</v>
      </c>
      <c r="I449" s="2509" t="e">
        <v>#N/A</v>
      </c>
      <c r="J449" s="2509" t="e">
        <v>#N/A</v>
      </c>
      <c r="K449" s="2509" t="e">
        <v>#N/A</v>
      </c>
      <c r="L449" s="307" t="e">
        <f t="shared" si="10"/>
        <v>#N/A</v>
      </c>
    </row>
    <row r="450" spans="1:12">
      <c r="A450" s="1340">
        <f t="shared" si="8"/>
        <v>2028.09</v>
      </c>
      <c r="B450" s="2509" t="e">
        <v>#N/A</v>
      </c>
      <c r="C450" s="2509" t="e">
        <v>#N/A</v>
      </c>
      <c r="D450" s="2509" t="e">
        <v>#N/A</v>
      </c>
      <c r="E450" s="2509" t="e">
        <v>#N/A</v>
      </c>
      <c r="F450" s="2509" t="e">
        <v>#N/A</v>
      </c>
      <c r="G450" s="2509" t="e">
        <v>#N/A</v>
      </c>
      <c r="H450" s="2509" t="e">
        <v>#N/A</v>
      </c>
      <c r="I450" s="2509" t="e">
        <v>#N/A</v>
      </c>
      <c r="J450" s="2509" t="e">
        <v>#N/A</v>
      </c>
      <c r="K450" s="2509" t="e">
        <v>#N/A</v>
      </c>
      <c r="L450" s="307" t="e">
        <f t="shared" si="10"/>
        <v>#N/A</v>
      </c>
    </row>
    <row r="451" spans="1:12">
      <c r="A451" s="1340">
        <f t="shared" si="8"/>
        <v>2028.1</v>
      </c>
      <c r="B451" s="2509" t="e">
        <v>#N/A</v>
      </c>
      <c r="C451" s="2509" t="e">
        <v>#N/A</v>
      </c>
      <c r="D451" s="2509" t="e">
        <v>#N/A</v>
      </c>
      <c r="E451" s="2509" t="e">
        <v>#N/A</v>
      </c>
      <c r="F451" s="2509" t="e">
        <v>#N/A</v>
      </c>
      <c r="G451" s="2509" t="e">
        <v>#N/A</v>
      </c>
      <c r="H451" s="2509" t="e">
        <v>#N/A</v>
      </c>
      <c r="I451" s="2509" t="e">
        <v>#N/A</v>
      </c>
      <c r="J451" s="2509" t="e">
        <v>#N/A</v>
      </c>
      <c r="K451" s="2509" t="e">
        <v>#N/A</v>
      </c>
      <c r="L451" s="307" t="e">
        <f t="shared" si="10"/>
        <v>#N/A</v>
      </c>
    </row>
    <row r="452" spans="1:12">
      <c r="A452" s="1340">
        <f t="shared" si="8"/>
        <v>2028.11</v>
      </c>
      <c r="B452" s="2509" t="e">
        <v>#N/A</v>
      </c>
      <c r="C452" s="2509" t="e">
        <v>#N/A</v>
      </c>
      <c r="D452" s="2509" t="e">
        <v>#N/A</v>
      </c>
      <c r="E452" s="2509" t="e">
        <v>#N/A</v>
      </c>
      <c r="F452" s="2509" t="e">
        <v>#N/A</v>
      </c>
      <c r="G452" s="2509" t="e">
        <v>#N/A</v>
      </c>
      <c r="H452" s="2509" t="e">
        <v>#N/A</v>
      </c>
      <c r="I452" s="2509" t="e">
        <v>#N/A</v>
      </c>
      <c r="J452" s="2509" t="e">
        <v>#N/A</v>
      </c>
      <c r="K452" s="2509" t="e">
        <v>#N/A</v>
      </c>
      <c r="L452" s="307" t="e">
        <f t="shared" si="10"/>
        <v>#N/A</v>
      </c>
    </row>
    <row r="453" spans="1:12">
      <c r="A453" s="1340">
        <f t="shared" si="8"/>
        <v>2028.12</v>
      </c>
      <c r="B453" s="2509" t="e">
        <v>#N/A</v>
      </c>
      <c r="C453" s="2509" t="e">
        <v>#N/A</v>
      </c>
      <c r="D453" s="2509" t="e">
        <v>#N/A</v>
      </c>
      <c r="E453" s="2509" t="e">
        <v>#N/A</v>
      </c>
      <c r="F453" s="2509" t="e">
        <v>#N/A</v>
      </c>
      <c r="G453" s="2509" t="e">
        <v>#N/A</v>
      </c>
      <c r="H453" s="2509" t="e">
        <v>#N/A</v>
      </c>
      <c r="I453" s="2509" t="e">
        <v>#N/A</v>
      </c>
      <c r="J453" s="2509" t="e">
        <v>#N/A</v>
      </c>
      <c r="K453" s="2509" t="e">
        <v>#N/A</v>
      </c>
      <c r="L453" s="307" t="e">
        <f t="shared" si="10"/>
        <v>#N/A</v>
      </c>
    </row>
    <row r="454" spans="1:12">
      <c r="A454" s="1340">
        <f t="shared" si="8"/>
        <v>2029.01</v>
      </c>
      <c r="B454" s="2509" t="e">
        <v>#N/A</v>
      </c>
      <c r="C454" s="2509" t="e">
        <v>#N/A</v>
      </c>
      <c r="D454" s="2509" t="e">
        <v>#N/A</v>
      </c>
      <c r="E454" s="2509" t="e">
        <v>#N/A</v>
      </c>
      <c r="F454" s="2509" t="e">
        <v>#N/A</v>
      </c>
      <c r="G454" s="2509" t="e">
        <v>#N/A</v>
      </c>
      <c r="H454" s="2509" t="e">
        <v>#N/A</v>
      </c>
      <c r="I454" s="2509" t="e">
        <v>#N/A</v>
      </c>
      <c r="J454" s="2509" t="e">
        <v>#N/A</v>
      </c>
      <c r="K454" s="2509" t="e">
        <v>#N/A</v>
      </c>
      <c r="L454" s="307" t="e">
        <f t="shared" si="10"/>
        <v>#N/A</v>
      </c>
    </row>
    <row r="455" spans="1:12">
      <c r="A455" s="1340">
        <f t="shared" si="8"/>
        <v>2029.02</v>
      </c>
      <c r="B455" s="2509" t="e">
        <v>#N/A</v>
      </c>
      <c r="C455" s="2509" t="e">
        <v>#N/A</v>
      </c>
      <c r="D455" s="2509" t="e">
        <v>#N/A</v>
      </c>
      <c r="E455" s="2509" t="e">
        <v>#N/A</v>
      </c>
      <c r="F455" s="2509" t="e">
        <v>#N/A</v>
      </c>
      <c r="G455" s="2509" t="e">
        <v>#N/A</v>
      </c>
      <c r="H455" s="2509" t="e">
        <v>#N/A</v>
      </c>
      <c r="I455" s="2509" t="e">
        <v>#N/A</v>
      </c>
      <c r="J455" s="2509" t="e">
        <v>#N/A</v>
      </c>
      <c r="K455" s="2509" t="e">
        <v>#N/A</v>
      </c>
      <c r="L455" s="307" t="e">
        <f t="shared" si="10"/>
        <v>#N/A</v>
      </c>
    </row>
    <row r="456" spans="1:12">
      <c r="A456" s="1340">
        <f t="shared" si="8"/>
        <v>2029.03</v>
      </c>
      <c r="B456" s="2509" t="e">
        <v>#N/A</v>
      </c>
      <c r="C456" s="2509" t="e">
        <v>#N/A</v>
      </c>
      <c r="D456" s="2509" t="e">
        <v>#N/A</v>
      </c>
      <c r="E456" s="2509" t="e">
        <v>#N/A</v>
      </c>
      <c r="F456" s="2509" t="e">
        <v>#N/A</v>
      </c>
      <c r="G456" s="2509" t="e">
        <v>#N/A</v>
      </c>
      <c r="H456" s="2509" t="e">
        <v>#N/A</v>
      </c>
      <c r="I456" s="2509" t="e">
        <v>#N/A</v>
      </c>
      <c r="J456" s="2509" t="e">
        <v>#N/A</v>
      </c>
      <c r="K456" s="2509" t="e">
        <v>#N/A</v>
      </c>
      <c r="L456" s="307" t="e">
        <f t="shared" si="10"/>
        <v>#N/A</v>
      </c>
    </row>
    <row r="457" spans="1:12">
      <c r="A457" s="1340">
        <f t="shared" si="8"/>
        <v>2029.04</v>
      </c>
      <c r="B457" s="2509" t="e">
        <v>#N/A</v>
      </c>
      <c r="C457" s="2509" t="e">
        <v>#N/A</v>
      </c>
      <c r="D457" s="2509" t="e">
        <v>#N/A</v>
      </c>
      <c r="E457" s="2509" t="e">
        <v>#N/A</v>
      </c>
      <c r="F457" s="2509" t="e">
        <v>#N/A</v>
      </c>
      <c r="G457" s="2509" t="e">
        <v>#N/A</v>
      </c>
      <c r="H457" s="2509" t="e">
        <v>#N/A</v>
      </c>
      <c r="I457" s="2509" t="e">
        <v>#N/A</v>
      </c>
      <c r="J457" s="2509" t="e">
        <v>#N/A</v>
      </c>
      <c r="K457" s="2509" t="e">
        <v>#N/A</v>
      </c>
      <c r="L457" s="307" t="e">
        <f t="shared" si="10"/>
        <v>#N/A</v>
      </c>
    </row>
    <row r="458" spans="1:12">
      <c r="A458" s="1340">
        <f t="shared" si="8"/>
        <v>2029.05</v>
      </c>
      <c r="B458" s="2509" t="e">
        <v>#N/A</v>
      </c>
      <c r="C458" s="2509" t="e">
        <v>#N/A</v>
      </c>
      <c r="D458" s="2509" t="e">
        <v>#N/A</v>
      </c>
      <c r="E458" s="2509" t="e">
        <v>#N/A</v>
      </c>
      <c r="F458" s="2509" t="e">
        <v>#N/A</v>
      </c>
      <c r="G458" s="2509" t="e">
        <v>#N/A</v>
      </c>
      <c r="H458" s="2509" t="e">
        <v>#N/A</v>
      </c>
      <c r="I458" s="2509" t="e">
        <v>#N/A</v>
      </c>
      <c r="J458" s="2509" t="e">
        <v>#N/A</v>
      </c>
      <c r="K458" s="2509" t="e">
        <v>#N/A</v>
      </c>
      <c r="L458" s="307" t="e">
        <f t="shared" si="10"/>
        <v>#N/A</v>
      </c>
    </row>
    <row r="459" spans="1:12">
      <c r="A459" s="1340">
        <f t="shared" si="8"/>
        <v>2029.06</v>
      </c>
      <c r="B459" s="2509" t="e">
        <v>#N/A</v>
      </c>
      <c r="C459" s="2509" t="e">
        <v>#N/A</v>
      </c>
      <c r="D459" s="2509" t="e">
        <v>#N/A</v>
      </c>
      <c r="E459" s="2509" t="e">
        <v>#N/A</v>
      </c>
      <c r="F459" s="2509" t="e">
        <v>#N/A</v>
      </c>
      <c r="G459" s="2509" t="e">
        <v>#N/A</v>
      </c>
      <c r="H459" s="2509" t="e">
        <v>#N/A</v>
      </c>
      <c r="I459" s="2509" t="e">
        <v>#N/A</v>
      </c>
      <c r="J459" s="2509" t="e">
        <v>#N/A</v>
      </c>
      <c r="K459" s="2509" t="e">
        <v>#N/A</v>
      </c>
      <c r="L459" s="307" t="e">
        <f t="shared" si="10"/>
        <v>#N/A</v>
      </c>
    </row>
    <row r="460" spans="1:12">
      <c r="A460" s="1340">
        <f t="shared" si="8"/>
        <v>2029.07</v>
      </c>
      <c r="B460" s="2509" t="e">
        <v>#N/A</v>
      </c>
      <c r="C460" s="2509" t="e">
        <v>#N/A</v>
      </c>
      <c r="D460" s="2509" t="e">
        <v>#N/A</v>
      </c>
      <c r="E460" s="2509" t="e">
        <v>#N/A</v>
      </c>
      <c r="F460" s="2509" t="e">
        <v>#N/A</v>
      </c>
      <c r="G460" s="2509" t="e">
        <v>#N/A</v>
      </c>
      <c r="H460" s="2509" t="e">
        <v>#N/A</v>
      </c>
      <c r="I460" s="2509" t="e">
        <v>#N/A</v>
      </c>
      <c r="J460" s="2509" t="e">
        <v>#N/A</v>
      </c>
      <c r="K460" s="2509" t="e">
        <v>#N/A</v>
      </c>
      <c r="L460" s="307" t="e">
        <f t="shared" si="10"/>
        <v>#N/A</v>
      </c>
    </row>
    <row r="461" spans="1:12">
      <c r="A461" s="1340">
        <f t="shared" si="8"/>
        <v>2029.08</v>
      </c>
      <c r="B461" s="2509" t="e">
        <v>#N/A</v>
      </c>
      <c r="C461" s="2509" t="e">
        <v>#N/A</v>
      </c>
      <c r="D461" s="2509" t="e">
        <v>#N/A</v>
      </c>
      <c r="E461" s="2509" t="e">
        <v>#N/A</v>
      </c>
      <c r="F461" s="2509" t="e">
        <v>#N/A</v>
      </c>
      <c r="G461" s="2509" t="e">
        <v>#N/A</v>
      </c>
      <c r="H461" s="2509" t="e">
        <v>#N/A</v>
      </c>
      <c r="I461" s="2509" t="e">
        <v>#N/A</v>
      </c>
      <c r="J461" s="2509" t="e">
        <v>#N/A</v>
      </c>
      <c r="K461" s="2509" t="e">
        <v>#N/A</v>
      </c>
      <c r="L461" s="307" t="e">
        <f t="shared" si="10"/>
        <v>#N/A</v>
      </c>
    </row>
    <row r="462" spans="1:12">
      <c r="A462" s="1340">
        <f t="shared" si="8"/>
        <v>2029.09</v>
      </c>
      <c r="B462" s="2509" t="e">
        <v>#N/A</v>
      </c>
      <c r="C462" s="2509" t="e">
        <v>#N/A</v>
      </c>
      <c r="D462" s="2509" t="e">
        <v>#N/A</v>
      </c>
      <c r="E462" s="2509" t="e">
        <v>#N/A</v>
      </c>
      <c r="F462" s="2509" t="e">
        <v>#N/A</v>
      </c>
      <c r="G462" s="2509" t="e">
        <v>#N/A</v>
      </c>
      <c r="H462" s="2509" t="e">
        <v>#N/A</v>
      </c>
      <c r="I462" s="2509" t="e">
        <v>#N/A</v>
      </c>
      <c r="J462" s="2509" t="e">
        <v>#N/A</v>
      </c>
      <c r="K462" s="2509" t="e">
        <v>#N/A</v>
      </c>
      <c r="L462" s="307" t="e">
        <f t="shared" si="10"/>
        <v>#N/A</v>
      </c>
    </row>
    <row r="463" spans="1:12">
      <c r="A463" s="1340">
        <f t="shared" si="8"/>
        <v>2029.1</v>
      </c>
      <c r="B463" s="2509" t="e">
        <v>#N/A</v>
      </c>
      <c r="C463" s="2509" t="e">
        <v>#N/A</v>
      </c>
      <c r="D463" s="2509" t="e">
        <v>#N/A</v>
      </c>
      <c r="E463" s="2509" t="e">
        <v>#N/A</v>
      </c>
      <c r="F463" s="2509" t="e">
        <v>#N/A</v>
      </c>
      <c r="G463" s="2509" t="e">
        <v>#N/A</v>
      </c>
      <c r="H463" s="2509" t="e">
        <v>#N/A</v>
      </c>
      <c r="I463" s="2509" t="e">
        <v>#N/A</v>
      </c>
      <c r="J463" s="2509" t="e">
        <v>#N/A</v>
      </c>
      <c r="K463" s="2509" t="e">
        <v>#N/A</v>
      </c>
      <c r="L463" s="307" t="e">
        <f t="shared" si="10"/>
        <v>#N/A</v>
      </c>
    </row>
    <row r="464" spans="1:12">
      <c r="A464" s="1340">
        <f t="shared" si="8"/>
        <v>2029.11</v>
      </c>
      <c r="B464" s="2509" t="e">
        <v>#N/A</v>
      </c>
      <c r="C464" s="2509" t="e">
        <v>#N/A</v>
      </c>
      <c r="D464" s="2509" t="e">
        <v>#N/A</v>
      </c>
      <c r="E464" s="2509" t="e">
        <v>#N/A</v>
      </c>
      <c r="F464" s="2509" t="e">
        <v>#N/A</v>
      </c>
      <c r="G464" s="2509" t="e">
        <v>#N/A</v>
      </c>
      <c r="H464" s="2509" t="e">
        <v>#N/A</v>
      </c>
      <c r="I464" s="2509" t="e">
        <v>#N/A</v>
      </c>
      <c r="J464" s="2509" t="e">
        <v>#N/A</v>
      </c>
      <c r="K464" s="2509" t="e">
        <v>#N/A</v>
      </c>
      <c r="L464" s="307" t="e">
        <f t="shared" si="10"/>
        <v>#N/A</v>
      </c>
    </row>
    <row r="465" spans="1:12">
      <c r="A465" s="1340">
        <f t="shared" si="8"/>
        <v>2029.12</v>
      </c>
      <c r="B465" s="2509" t="e">
        <v>#N/A</v>
      </c>
      <c r="C465" s="2509" t="e">
        <v>#N/A</v>
      </c>
      <c r="D465" s="2509" t="e">
        <v>#N/A</v>
      </c>
      <c r="E465" s="2509" t="e">
        <v>#N/A</v>
      </c>
      <c r="F465" s="2509" t="e">
        <v>#N/A</v>
      </c>
      <c r="G465" s="2509" t="e">
        <v>#N/A</v>
      </c>
      <c r="H465" s="2509" t="e">
        <v>#N/A</v>
      </c>
      <c r="I465" s="2509" t="e">
        <v>#N/A</v>
      </c>
      <c r="J465" s="2509" t="e">
        <v>#N/A</v>
      </c>
      <c r="K465" s="2509" t="e">
        <v>#N/A</v>
      </c>
      <c r="L465" s="307" t="e">
        <f t="shared" si="10"/>
        <v>#N/A</v>
      </c>
    </row>
    <row r="466" spans="1:12">
      <c r="A466" s="1340">
        <f t="shared" si="8"/>
        <v>2030.01</v>
      </c>
      <c r="B466" s="2509" t="e">
        <v>#N/A</v>
      </c>
      <c r="C466" s="2509" t="e">
        <v>#N/A</v>
      </c>
      <c r="D466" s="2509" t="e">
        <v>#N/A</v>
      </c>
      <c r="E466" s="2509" t="e">
        <v>#N/A</v>
      </c>
      <c r="F466" s="2509" t="e">
        <v>#N/A</v>
      </c>
      <c r="G466" s="2509" t="e">
        <v>#N/A</v>
      </c>
      <c r="H466" s="2509" t="e">
        <v>#N/A</v>
      </c>
      <c r="I466" s="2509" t="e">
        <v>#N/A</v>
      </c>
      <c r="J466" s="2509" t="e">
        <v>#N/A</v>
      </c>
      <c r="K466" s="2509" t="e">
        <v>#N/A</v>
      </c>
      <c r="L466" s="307" t="e">
        <f t="shared" si="10"/>
        <v>#N/A</v>
      </c>
    </row>
    <row r="467" spans="1:12">
      <c r="A467" s="1340">
        <f t="shared" si="8"/>
        <v>2030.02</v>
      </c>
      <c r="B467" s="2509" t="e">
        <v>#N/A</v>
      </c>
      <c r="C467" s="2509" t="e">
        <v>#N/A</v>
      </c>
      <c r="D467" s="2509" t="e">
        <v>#N/A</v>
      </c>
      <c r="E467" s="2509" t="e">
        <v>#N/A</v>
      </c>
      <c r="F467" s="2509" t="e">
        <v>#N/A</v>
      </c>
      <c r="G467" s="2509" t="e">
        <v>#N/A</v>
      </c>
      <c r="H467" s="2509" t="e">
        <v>#N/A</v>
      </c>
      <c r="I467" s="2509" t="e">
        <v>#N/A</v>
      </c>
      <c r="J467" s="2509" t="e">
        <v>#N/A</v>
      </c>
      <c r="K467" s="2509" t="e">
        <v>#N/A</v>
      </c>
      <c r="L467" s="307" t="e">
        <f t="shared" si="10"/>
        <v>#N/A</v>
      </c>
    </row>
    <row r="468" spans="1:12">
      <c r="A468" s="1340">
        <f t="shared" si="8"/>
        <v>2030.03</v>
      </c>
      <c r="B468" s="2509" t="e">
        <v>#N/A</v>
      </c>
      <c r="C468" s="2509" t="e">
        <v>#N/A</v>
      </c>
      <c r="D468" s="2509" t="e">
        <v>#N/A</v>
      </c>
      <c r="E468" s="2509" t="e">
        <v>#N/A</v>
      </c>
      <c r="F468" s="2509" t="e">
        <v>#N/A</v>
      </c>
      <c r="G468" s="2509" t="e">
        <v>#N/A</v>
      </c>
      <c r="H468" s="2509" t="e">
        <v>#N/A</v>
      </c>
      <c r="I468" s="2509" t="e">
        <v>#N/A</v>
      </c>
      <c r="J468" s="2509" t="e">
        <v>#N/A</v>
      </c>
      <c r="K468" s="2509" t="e">
        <v>#N/A</v>
      </c>
      <c r="L468" s="307" t="e">
        <f t="shared" si="10"/>
        <v>#N/A</v>
      </c>
    </row>
    <row r="469" spans="1:12">
      <c r="A469" s="1340">
        <f t="shared" si="8"/>
        <v>2030.04</v>
      </c>
      <c r="B469" s="2509" t="e">
        <v>#N/A</v>
      </c>
      <c r="C469" s="2509" t="e">
        <v>#N/A</v>
      </c>
      <c r="D469" s="2509" t="e">
        <v>#N/A</v>
      </c>
      <c r="E469" s="2509" t="e">
        <v>#N/A</v>
      </c>
      <c r="F469" s="2509" t="e">
        <v>#N/A</v>
      </c>
      <c r="G469" s="2509" t="e">
        <v>#N/A</v>
      </c>
      <c r="H469" s="2509" t="e">
        <v>#N/A</v>
      </c>
      <c r="I469" s="2509" t="e">
        <v>#N/A</v>
      </c>
      <c r="J469" s="2509" t="e">
        <v>#N/A</v>
      </c>
      <c r="K469" s="2509" t="e">
        <v>#N/A</v>
      </c>
      <c r="L469" s="307" t="e">
        <f t="shared" si="10"/>
        <v>#N/A</v>
      </c>
    </row>
    <row r="470" spans="1:12">
      <c r="A470" s="1340">
        <f t="shared" ref="A470:A477" si="11">A458+1</f>
        <v>2030.05</v>
      </c>
      <c r="B470" s="2509" t="e">
        <v>#N/A</v>
      </c>
      <c r="C470" s="2509" t="e">
        <v>#N/A</v>
      </c>
      <c r="D470" s="2509" t="e">
        <v>#N/A</v>
      </c>
      <c r="E470" s="2509" t="e">
        <v>#N/A</v>
      </c>
      <c r="F470" s="2509" t="e">
        <v>#N/A</v>
      </c>
      <c r="G470" s="2509" t="e">
        <v>#N/A</v>
      </c>
      <c r="H470" s="2509" t="e">
        <v>#N/A</v>
      </c>
      <c r="I470" s="2509" t="e">
        <v>#N/A</v>
      </c>
      <c r="J470" s="2509" t="e">
        <v>#N/A</v>
      </c>
      <c r="K470" s="2509" t="e">
        <v>#N/A</v>
      </c>
      <c r="L470" s="307" t="e">
        <f t="shared" si="10"/>
        <v>#N/A</v>
      </c>
    </row>
    <row r="471" spans="1:12">
      <c r="A471" s="1340">
        <f t="shared" si="11"/>
        <v>2030.06</v>
      </c>
      <c r="B471" s="2509" t="e">
        <v>#N/A</v>
      </c>
      <c r="C471" s="2509" t="e">
        <v>#N/A</v>
      </c>
      <c r="D471" s="2509" t="e">
        <v>#N/A</v>
      </c>
      <c r="E471" s="2509" t="e">
        <v>#N/A</v>
      </c>
      <c r="F471" s="2509" t="e">
        <v>#N/A</v>
      </c>
      <c r="G471" s="2509" t="e">
        <v>#N/A</v>
      </c>
      <c r="H471" s="2509" t="e">
        <v>#N/A</v>
      </c>
      <c r="I471" s="2509" t="e">
        <v>#N/A</v>
      </c>
      <c r="J471" s="2509" t="e">
        <v>#N/A</v>
      </c>
      <c r="K471" s="2509" t="e">
        <v>#N/A</v>
      </c>
      <c r="L471" s="307" t="e">
        <f t="shared" si="10"/>
        <v>#N/A</v>
      </c>
    </row>
    <row r="472" spans="1:12">
      <c r="A472" s="1340">
        <f t="shared" si="11"/>
        <v>2030.07</v>
      </c>
      <c r="B472" s="2509" t="e">
        <v>#N/A</v>
      </c>
      <c r="C472" s="2509" t="e">
        <v>#N/A</v>
      </c>
      <c r="D472" s="2509" t="e">
        <v>#N/A</v>
      </c>
      <c r="E472" s="2509" t="e">
        <v>#N/A</v>
      </c>
      <c r="F472" s="2509" t="e">
        <v>#N/A</v>
      </c>
      <c r="G472" s="2509" t="e">
        <v>#N/A</v>
      </c>
      <c r="H472" s="2509" t="e">
        <v>#N/A</v>
      </c>
      <c r="I472" s="2509" t="e">
        <v>#N/A</v>
      </c>
      <c r="J472" s="2509" t="e">
        <v>#N/A</v>
      </c>
      <c r="K472" s="2509" t="e">
        <v>#N/A</v>
      </c>
      <c r="L472" s="307" t="e">
        <f t="shared" si="10"/>
        <v>#N/A</v>
      </c>
    </row>
    <row r="473" spans="1:12">
      <c r="A473" s="1340">
        <f t="shared" si="11"/>
        <v>2030.08</v>
      </c>
      <c r="B473" s="2509" t="e">
        <v>#N/A</v>
      </c>
      <c r="C473" s="2509" t="e">
        <v>#N/A</v>
      </c>
      <c r="D473" s="2509" t="e">
        <v>#N/A</v>
      </c>
      <c r="E473" s="2509" t="e">
        <v>#N/A</v>
      </c>
      <c r="F473" s="2509" t="e">
        <v>#N/A</v>
      </c>
      <c r="G473" s="2509" t="e">
        <v>#N/A</v>
      </c>
      <c r="H473" s="2509" t="e">
        <v>#N/A</v>
      </c>
      <c r="I473" s="2509" t="e">
        <v>#N/A</v>
      </c>
      <c r="J473" s="2509" t="e">
        <v>#N/A</v>
      </c>
      <c r="K473" s="2509" t="e">
        <v>#N/A</v>
      </c>
      <c r="L473" s="307" t="e">
        <f t="shared" si="10"/>
        <v>#N/A</v>
      </c>
    </row>
    <row r="474" spans="1:12">
      <c r="A474" s="1340">
        <f t="shared" si="11"/>
        <v>2030.09</v>
      </c>
      <c r="B474" s="2509" t="e">
        <v>#N/A</v>
      </c>
      <c r="C474" s="2509" t="e">
        <v>#N/A</v>
      </c>
      <c r="D474" s="2509" t="e">
        <v>#N/A</v>
      </c>
      <c r="E474" s="2509" t="e">
        <v>#N/A</v>
      </c>
      <c r="F474" s="2509" t="e">
        <v>#N/A</v>
      </c>
      <c r="G474" s="2509" t="e">
        <v>#N/A</v>
      </c>
      <c r="H474" s="2509" t="e">
        <v>#N/A</v>
      </c>
      <c r="I474" s="2509" t="e">
        <v>#N/A</v>
      </c>
      <c r="J474" s="2509" t="e">
        <v>#N/A</v>
      </c>
      <c r="K474" s="2509" t="e">
        <v>#N/A</v>
      </c>
      <c r="L474" s="307" t="e">
        <f t="shared" si="10"/>
        <v>#N/A</v>
      </c>
    </row>
    <row r="475" spans="1:12">
      <c r="A475" s="1340">
        <f t="shared" si="11"/>
        <v>2030.1</v>
      </c>
      <c r="B475" s="2509" t="e">
        <v>#N/A</v>
      </c>
      <c r="C475" s="2509" t="e">
        <v>#N/A</v>
      </c>
      <c r="D475" s="2509" t="e">
        <v>#N/A</v>
      </c>
      <c r="E475" s="2509" t="e">
        <v>#N/A</v>
      </c>
      <c r="F475" s="2509" t="e">
        <v>#N/A</v>
      </c>
      <c r="G475" s="2509" t="e">
        <v>#N/A</v>
      </c>
      <c r="H475" s="2509" t="e">
        <v>#N/A</v>
      </c>
      <c r="I475" s="2509" t="e">
        <v>#N/A</v>
      </c>
      <c r="J475" s="2509" t="e">
        <v>#N/A</v>
      </c>
      <c r="K475" s="2509" t="e">
        <v>#N/A</v>
      </c>
      <c r="L475" s="307" t="e">
        <f t="shared" si="10"/>
        <v>#N/A</v>
      </c>
    </row>
    <row r="476" spans="1:12">
      <c r="A476" s="1340">
        <f t="shared" si="11"/>
        <v>2030.11</v>
      </c>
      <c r="B476" s="2509" t="e">
        <v>#N/A</v>
      </c>
      <c r="C476" s="2509" t="e">
        <v>#N/A</v>
      </c>
      <c r="D476" s="2509" t="e">
        <v>#N/A</v>
      </c>
      <c r="E476" s="2509" t="e">
        <v>#N/A</v>
      </c>
      <c r="F476" s="2509" t="e">
        <v>#N/A</v>
      </c>
      <c r="G476" s="2509" t="e">
        <v>#N/A</v>
      </c>
      <c r="H476" s="2509" t="e">
        <v>#N/A</v>
      </c>
      <c r="I476" s="2509" t="e">
        <v>#N/A</v>
      </c>
      <c r="J476" s="2509" t="e">
        <v>#N/A</v>
      </c>
      <c r="K476" s="2509" t="e">
        <v>#N/A</v>
      </c>
      <c r="L476" s="307" t="e">
        <f t="shared" si="10"/>
        <v>#N/A</v>
      </c>
    </row>
    <row r="477" spans="1:12">
      <c r="A477" s="1340">
        <f t="shared" si="11"/>
        <v>2030.12</v>
      </c>
      <c r="B477" s="2508" t="e">
        <v>#N/A</v>
      </c>
      <c r="C477" s="2509" t="e">
        <v>#N/A</v>
      </c>
      <c r="D477" s="2505" t="e">
        <v>#N/A</v>
      </c>
      <c r="E477" s="3241" t="e">
        <v>#N/A</v>
      </c>
      <c r="F477" s="2505" t="e">
        <v>#N/A</v>
      </c>
      <c r="G477" s="3241" t="e">
        <v>#N/A</v>
      </c>
      <c r="H477" s="2505" t="e">
        <v>#N/A</v>
      </c>
      <c r="I477" s="3241" t="e">
        <v>#N/A</v>
      </c>
      <c r="J477" s="2505" t="e">
        <v>#N/A</v>
      </c>
      <c r="K477" s="2506" t="e">
        <v>#N/A</v>
      </c>
      <c r="L477" s="307" t="e">
        <f t="shared" si="10"/>
        <v>#N/A</v>
      </c>
    </row>
  </sheetData>
  <conditionalFormatting sqref="L10:L477">
    <cfRule type="cellIs" dxfId="1" priority="1" stopIfTrue="1" operator="lessThan">
      <formula>-$L$8</formula>
    </cfRule>
    <cfRule type="cellIs" dxfId="0" priority="2" stopIfTrue="1" operator="greaterThan">
      <formula>$L$8</formula>
    </cfRule>
  </conditionalFormatting>
  <hyperlinks>
    <hyperlink ref="A1:A3" location="Indice!A1" display="ÍNDICE" xr:uid="{00000000-0004-0000-3200-000000000000}"/>
    <hyperlink ref="A5" location="INDICE!A13" display="VOLVER AL INDICE" xr:uid="{00000000-0004-0000-32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5"/>
  <dimension ref="A1:O453"/>
  <sheetViews>
    <sheetView zoomScale="130" zoomScaleNormal="130" workbookViewId="0">
      <pane xSplit="1" ySplit="9" topLeftCell="B376"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12.7109375" style="1265" customWidth="1"/>
    <col min="2" max="9" width="13.7109375" style="1266" customWidth="1"/>
    <col min="10" max="11" width="13.7109375" style="1252" customWidth="1"/>
    <col min="12" max="13" width="13.7109375" style="1266" customWidth="1"/>
    <col min="14" max="15" width="13.7109375" style="1252" customWidth="1"/>
    <col min="16" max="16384" width="11.42578125" style="1269"/>
  </cols>
  <sheetData>
    <row r="1" spans="1:15" s="1267" customFormat="1" ht="3.75" customHeight="1">
      <c r="A1" s="34"/>
      <c r="B1" s="218"/>
      <c r="C1" s="217"/>
      <c r="D1" s="217"/>
      <c r="E1" s="217"/>
      <c r="F1" s="217"/>
      <c r="G1" s="217"/>
      <c r="H1" s="217"/>
      <c r="I1" s="217"/>
      <c r="J1" s="216"/>
      <c r="K1" s="216"/>
      <c r="L1" s="217"/>
      <c r="M1" s="217"/>
      <c r="N1" s="216"/>
      <c r="O1" s="1232"/>
    </row>
    <row r="2" spans="1:15" s="1267" customFormat="1">
      <c r="A2" s="59" t="s">
        <v>105</v>
      </c>
      <c r="B2" s="2476" t="s">
        <v>1422</v>
      </c>
      <c r="C2" s="2476"/>
      <c r="D2" s="2476"/>
      <c r="E2" s="2476"/>
      <c r="F2" s="2476"/>
      <c r="G2" s="2476"/>
      <c r="H2" s="2476"/>
      <c r="I2" s="2476"/>
      <c r="J2" s="2476"/>
      <c r="K2" s="2476"/>
      <c r="L2" s="2476"/>
      <c r="M2" s="2476"/>
      <c r="N2" s="2476"/>
      <c r="O2" s="2244"/>
    </row>
    <row r="3" spans="1:15" s="1267" customFormat="1">
      <c r="A3" s="59" t="s">
        <v>109</v>
      </c>
      <c r="B3" s="2596" t="s">
        <v>1423</v>
      </c>
      <c r="C3" s="2477"/>
      <c r="D3" s="2477"/>
      <c r="E3" s="2477"/>
      <c r="F3" s="2477"/>
      <c r="G3" s="2477"/>
      <c r="H3" s="2477"/>
      <c r="I3" s="2477"/>
      <c r="J3" s="1233"/>
      <c r="K3" s="1233"/>
      <c r="L3" s="2477"/>
      <c r="M3" s="2477"/>
      <c r="N3" s="1233"/>
      <c r="O3" s="1234"/>
    </row>
    <row r="4" spans="1:15" s="1267" customFormat="1">
      <c r="A4" s="80"/>
      <c r="B4" s="2478"/>
      <c r="C4" s="2478" t="s">
        <v>1424</v>
      </c>
      <c r="D4" s="2478"/>
      <c r="E4" s="2478"/>
      <c r="F4" s="2478"/>
      <c r="G4" s="2478"/>
      <c r="H4" s="2478"/>
      <c r="I4" s="2478"/>
      <c r="J4" s="2478"/>
      <c r="K4" s="2478"/>
      <c r="L4" s="2478"/>
      <c r="M4" s="2478"/>
      <c r="N4" s="2478"/>
      <c r="O4" s="2245"/>
    </row>
    <row r="5" spans="1:15" s="1267" customFormat="1" ht="33" customHeight="1">
      <c r="A5" s="2390" t="s">
        <v>137</v>
      </c>
      <c r="B5" s="1858" t="s">
        <v>945</v>
      </c>
      <c r="C5" s="2394" t="s">
        <v>1425</v>
      </c>
      <c r="D5" s="699" t="s">
        <v>1426</v>
      </c>
      <c r="E5" s="326" t="s">
        <v>1427</v>
      </c>
      <c r="F5" s="699" t="s">
        <v>1428</v>
      </c>
      <c r="G5" s="326" t="s">
        <v>1429</v>
      </c>
      <c r="H5" s="699" t="s">
        <v>1430</v>
      </c>
      <c r="I5" s="326" t="s">
        <v>1431</v>
      </c>
      <c r="J5" s="699" t="s">
        <v>1432</v>
      </c>
      <c r="K5" s="699" t="s">
        <v>1433</v>
      </c>
      <c r="L5" s="699" t="s">
        <v>1404</v>
      </c>
      <c r="M5" s="326" t="s">
        <v>238</v>
      </c>
      <c r="N5" s="326" t="s">
        <v>1434</v>
      </c>
      <c r="O5" s="1271" t="s">
        <v>1435</v>
      </c>
    </row>
    <row r="6" spans="1:15" s="1267" customFormat="1" ht="20.100000000000001" customHeight="1">
      <c r="A6" s="2373" t="s">
        <v>1407</v>
      </c>
      <c r="B6" s="2478"/>
      <c r="C6" s="2479">
        <v>0.17130000000000001</v>
      </c>
      <c r="D6" s="1235">
        <v>1.6E-2</v>
      </c>
      <c r="E6" s="1236">
        <v>5.3100000000000001E-2</v>
      </c>
      <c r="F6" s="1235">
        <v>0.17430000000000001</v>
      </c>
      <c r="G6" s="1236">
        <v>5.91E-2</v>
      </c>
      <c r="H6" s="1235">
        <v>8.6999999999999994E-2</v>
      </c>
      <c r="I6" s="1236">
        <v>0.1144</v>
      </c>
      <c r="J6" s="1237">
        <v>7.3200000000000001E-2</v>
      </c>
      <c r="K6" s="1237">
        <v>6.1199999999999997E-2</v>
      </c>
      <c r="L6" s="1235">
        <v>4.7300000000000002E-2</v>
      </c>
      <c r="M6" s="1236">
        <v>9.5799999999999996E-2</v>
      </c>
      <c r="N6" s="1237">
        <v>7.6E-3</v>
      </c>
      <c r="O6" s="1238">
        <v>3.9800000000000002E-2</v>
      </c>
    </row>
    <row r="7" spans="1:15" s="1267" customFormat="1" ht="30" customHeight="1">
      <c r="A7" s="2373" t="s">
        <v>123</v>
      </c>
      <c r="B7" s="1239" t="s">
        <v>1436</v>
      </c>
      <c r="C7" s="1240" t="s">
        <v>1436</v>
      </c>
      <c r="D7" s="1241" t="s">
        <v>1436</v>
      </c>
      <c r="E7" s="1241" t="s">
        <v>1436</v>
      </c>
      <c r="F7" s="1241" t="s">
        <v>1436</v>
      </c>
      <c r="G7" s="1241" t="s">
        <v>1436</v>
      </c>
      <c r="H7" s="1241" t="s">
        <v>1436</v>
      </c>
      <c r="I7" s="1241" t="s">
        <v>1436</v>
      </c>
      <c r="J7" s="1241" t="s">
        <v>1436</v>
      </c>
      <c r="K7" s="1241" t="s">
        <v>1436</v>
      </c>
      <c r="L7" s="1241" t="s">
        <v>1436</v>
      </c>
      <c r="M7" s="1241" t="s">
        <v>1436</v>
      </c>
      <c r="N7" s="1241" t="s">
        <v>1436</v>
      </c>
      <c r="O7" s="1242" t="s">
        <v>1436</v>
      </c>
    </row>
    <row r="8" spans="1:15" s="1267" customFormat="1">
      <c r="A8" s="147" t="s">
        <v>141</v>
      </c>
      <c r="B8" s="2480" t="s">
        <v>1437</v>
      </c>
      <c r="C8" s="2480" t="s">
        <v>1438</v>
      </c>
      <c r="D8" s="1243" t="s">
        <v>1439</v>
      </c>
      <c r="E8" s="1244" t="s">
        <v>1440</v>
      </c>
      <c r="F8" s="1243" t="s">
        <v>1441</v>
      </c>
      <c r="G8" s="1244" t="s">
        <v>1442</v>
      </c>
      <c r="H8" s="1243" t="s">
        <v>1443</v>
      </c>
      <c r="I8" s="1244" t="s">
        <v>1444</v>
      </c>
      <c r="J8" s="1243" t="s">
        <v>1445</v>
      </c>
      <c r="K8" s="1244" t="s">
        <v>1446</v>
      </c>
      <c r="L8" s="1243" t="s">
        <v>1447</v>
      </c>
      <c r="M8" s="1244" t="s">
        <v>1448</v>
      </c>
      <c r="N8" s="1243" t="s">
        <v>1449</v>
      </c>
      <c r="O8" s="1245" t="s">
        <v>1450</v>
      </c>
    </row>
    <row r="9" spans="1:15" s="1268" customFormat="1" ht="0.75" customHeight="1" thickBot="1">
      <c r="A9" s="72"/>
      <c r="B9" s="215"/>
      <c r="C9" s="215"/>
      <c r="D9" s="689"/>
      <c r="E9" s="233"/>
      <c r="F9" s="689"/>
      <c r="G9" s="233"/>
      <c r="H9" s="689"/>
      <c r="I9" s="233"/>
      <c r="J9" s="1246"/>
      <c r="K9" s="1246"/>
      <c r="L9" s="689"/>
      <c r="M9" s="233"/>
      <c r="N9" s="1246"/>
      <c r="O9" s="3346"/>
    </row>
    <row r="10" spans="1:15">
      <c r="A10" s="1340">
        <v>1994.01</v>
      </c>
      <c r="B10" s="1247"/>
      <c r="C10" s="1248"/>
      <c r="D10" s="3242"/>
      <c r="E10" s="1249"/>
      <c r="F10" s="3242"/>
      <c r="G10" s="1249"/>
      <c r="H10" s="3242"/>
      <c r="I10" s="1249"/>
      <c r="J10" s="1250"/>
      <c r="K10" s="1250"/>
      <c r="L10" s="3242"/>
      <c r="M10" s="1249"/>
      <c r="N10" s="1250"/>
      <c r="O10" s="1251"/>
    </row>
    <row r="11" spans="1:15">
      <c r="A11" s="1340">
        <v>1994.02</v>
      </c>
      <c r="B11" s="1253"/>
      <c r="C11" s="1253"/>
      <c r="D11" s="3243"/>
      <c r="E11" s="1254"/>
      <c r="F11" s="3243"/>
      <c r="G11" s="1254"/>
      <c r="H11" s="3243"/>
      <c r="I11" s="1254"/>
      <c r="J11" s="3243"/>
      <c r="K11" s="1254"/>
      <c r="L11" s="3243"/>
      <c r="M11" s="1254"/>
      <c r="N11" s="1250"/>
      <c r="O11" s="1255"/>
    </row>
    <row r="12" spans="1:15">
      <c r="A12" s="1340">
        <v>1994.03</v>
      </c>
      <c r="B12" s="1253"/>
      <c r="C12" s="1253"/>
      <c r="D12" s="3243"/>
      <c r="E12" s="1254"/>
      <c r="F12" s="3243"/>
      <c r="G12" s="1254"/>
      <c r="H12" s="3243"/>
      <c r="I12" s="1254"/>
      <c r="J12" s="3243"/>
      <c r="K12" s="1254"/>
      <c r="L12" s="3243"/>
      <c r="M12" s="1254"/>
      <c r="N12" s="1256"/>
      <c r="O12" s="1257"/>
    </row>
    <row r="13" spans="1:15">
      <c r="A13" s="1340">
        <v>1994.04</v>
      </c>
      <c r="B13" s="1253"/>
      <c r="C13" s="1253"/>
      <c r="D13" s="3243"/>
      <c r="E13" s="1254"/>
      <c r="F13" s="3243"/>
      <c r="G13" s="1254"/>
      <c r="H13" s="3243"/>
      <c r="I13" s="1254"/>
      <c r="J13" s="3243"/>
      <c r="K13" s="1254"/>
      <c r="L13" s="3243"/>
      <c r="M13" s="1254"/>
      <c r="N13" s="1256"/>
      <c r="O13" s="1257"/>
    </row>
    <row r="14" spans="1:15">
      <c r="A14" s="1340">
        <v>1994.05</v>
      </c>
      <c r="B14" s="1253"/>
      <c r="C14" s="1253"/>
      <c r="D14" s="3243"/>
      <c r="E14" s="1254"/>
      <c r="F14" s="3243"/>
      <c r="G14" s="1254"/>
      <c r="H14" s="3243"/>
      <c r="I14" s="1254"/>
      <c r="J14" s="3243"/>
      <c r="K14" s="1254"/>
      <c r="L14" s="3243"/>
      <c r="M14" s="1254"/>
      <c r="N14" s="1256"/>
      <c r="O14" s="1257"/>
    </row>
    <row r="15" spans="1:15">
      <c r="A15" s="1340">
        <v>1994.06</v>
      </c>
      <c r="B15" s="1253"/>
      <c r="C15" s="1253"/>
      <c r="D15" s="3243"/>
      <c r="E15" s="1254"/>
      <c r="F15" s="3243"/>
      <c r="G15" s="1254"/>
      <c r="H15" s="3243"/>
      <c r="I15" s="1254"/>
      <c r="J15" s="3243"/>
      <c r="K15" s="1254"/>
      <c r="L15" s="3243"/>
      <c r="M15" s="1254"/>
      <c r="N15" s="1256"/>
      <c r="O15" s="1255"/>
    </row>
    <row r="16" spans="1:15">
      <c r="A16" s="1340">
        <v>1994.07</v>
      </c>
      <c r="B16" s="1253"/>
      <c r="C16" s="1253"/>
      <c r="D16" s="3243"/>
      <c r="E16" s="1254"/>
      <c r="F16" s="3243"/>
      <c r="G16" s="1254"/>
      <c r="H16" s="3243"/>
      <c r="I16" s="1254"/>
      <c r="J16" s="3243"/>
      <c r="K16" s="1254"/>
      <c r="L16" s="3243"/>
      <c r="M16" s="1254"/>
      <c r="N16" s="1256"/>
      <c r="O16" s="1255"/>
    </row>
    <row r="17" spans="1:15">
      <c r="A17" s="1340">
        <v>1994.08</v>
      </c>
      <c r="B17" s="1253"/>
      <c r="C17" s="1253"/>
      <c r="D17" s="3243"/>
      <c r="E17" s="1254"/>
      <c r="F17" s="3243"/>
      <c r="G17" s="1254"/>
      <c r="H17" s="3243"/>
      <c r="I17" s="1254"/>
      <c r="J17" s="3243"/>
      <c r="K17" s="1254"/>
      <c r="L17" s="3243"/>
      <c r="M17" s="1254"/>
      <c r="N17" s="1256"/>
      <c r="O17" s="1257"/>
    </row>
    <row r="18" spans="1:15">
      <c r="A18" s="1340">
        <v>1994.09</v>
      </c>
      <c r="B18" s="1253"/>
      <c r="C18" s="1253"/>
      <c r="D18" s="3243"/>
      <c r="E18" s="1254"/>
      <c r="F18" s="3243"/>
      <c r="G18" s="1254"/>
      <c r="H18" s="3243"/>
      <c r="I18" s="1254"/>
      <c r="J18" s="3243"/>
      <c r="K18" s="1254"/>
      <c r="L18" s="3243"/>
      <c r="M18" s="1254"/>
      <c r="N18" s="1256"/>
      <c r="O18" s="1257"/>
    </row>
    <row r="19" spans="1:15">
      <c r="A19" s="1340">
        <v>1994.1</v>
      </c>
      <c r="B19" s="1253"/>
      <c r="C19" s="1253"/>
      <c r="D19" s="3243"/>
      <c r="E19" s="1254"/>
      <c r="F19" s="3243"/>
      <c r="G19" s="1254"/>
      <c r="H19" s="3243"/>
      <c r="I19" s="1254"/>
      <c r="J19" s="3243"/>
      <c r="K19" s="1254"/>
      <c r="L19" s="3243"/>
      <c r="M19" s="1254"/>
      <c r="N19" s="1256"/>
      <c r="O19" s="1257"/>
    </row>
    <row r="20" spans="1:15">
      <c r="A20" s="1340">
        <v>1994.11</v>
      </c>
      <c r="B20" s="1253"/>
      <c r="C20" s="1253"/>
      <c r="D20" s="3243"/>
      <c r="E20" s="1254"/>
      <c r="F20" s="3243"/>
      <c r="G20" s="1254"/>
      <c r="H20" s="3243"/>
      <c r="I20" s="1254"/>
      <c r="J20" s="3243"/>
      <c r="K20" s="1254"/>
      <c r="L20" s="3243"/>
      <c r="M20" s="1254"/>
      <c r="N20" s="1256"/>
      <c r="O20" s="1257"/>
    </row>
    <row r="21" spans="1:15">
      <c r="A21" s="1340">
        <v>1994.12</v>
      </c>
      <c r="B21" s="1253"/>
      <c r="C21" s="1253"/>
      <c r="D21" s="3243"/>
      <c r="E21" s="1254"/>
      <c r="F21" s="3243"/>
      <c r="G21" s="1254"/>
      <c r="H21" s="3243"/>
      <c r="I21" s="1254"/>
      <c r="J21" s="3243"/>
      <c r="K21" s="1254"/>
      <c r="L21" s="3243"/>
      <c r="M21" s="1254"/>
      <c r="N21" s="1256"/>
      <c r="O21" s="1257"/>
    </row>
    <row r="22" spans="1:15">
      <c r="A22" s="1340">
        <v>1995.01</v>
      </c>
      <c r="B22" s="1253"/>
      <c r="C22" s="1253"/>
      <c r="D22" s="3243"/>
      <c r="E22" s="1254"/>
      <c r="F22" s="3243"/>
      <c r="G22" s="1254"/>
      <c r="H22" s="3243"/>
      <c r="I22" s="1254"/>
      <c r="J22" s="3243"/>
      <c r="K22" s="1254"/>
      <c r="L22" s="3243"/>
      <c r="M22" s="1254"/>
      <c r="N22" s="1256"/>
      <c r="O22" s="1257"/>
    </row>
    <row r="23" spans="1:15">
      <c r="A23" s="1340">
        <v>1995.02</v>
      </c>
      <c r="B23" s="1253"/>
      <c r="C23" s="1253"/>
      <c r="D23" s="3243"/>
      <c r="E23" s="1254"/>
      <c r="F23" s="3243"/>
      <c r="G23" s="1254"/>
      <c r="H23" s="3243"/>
      <c r="I23" s="1254"/>
      <c r="J23" s="3243"/>
      <c r="K23" s="1254"/>
      <c r="L23" s="3243"/>
      <c r="M23" s="1254"/>
      <c r="N23" s="1256"/>
      <c r="O23" s="1257"/>
    </row>
    <row r="24" spans="1:15">
      <c r="A24" s="1340">
        <v>1995.03</v>
      </c>
      <c r="B24" s="1253"/>
      <c r="C24" s="1253"/>
      <c r="D24" s="3243"/>
      <c r="E24" s="1254"/>
      <c r="F24" s="3243"/>
      <c r="G24" s="1254"/>
      <c r="H24" s="3243"/>
      <c r="I24" s="1254"/>
      <c r="J24" s="3243"/>
      <c r="K24" s="3243"/>
      <c r="L24" s="3243"/>
      <c r="M24" s="1254"/>
      <c r="N24" s="3243"/>
      <c r="O24" s="1257"/>
    </row>
    <row r="25" spans="1:15">
      <c r="A25" s="1340">
        <v>1995.04</v>
      </c>
      <c r="B25" s="1253"/>
      <c r="C25" s="1253"/>
      <c r="D25" s="3243"/>
      <c r="E25" s="1254"/>
      <c r="F25" s="3243"/>
      <c r="G25" s="1254"/>
      <c r="H25" s="3243"/>
      <c r="I25" s="1254"/>
      <c r="J25" s="3243"/>
      <c r="K25" s="3243"/>
      <c r="L25" s="3243"/>
      <c r="M25" s="1254"/>
      <c r="N25" s="3243"/>
      <c r="O25" s="1257"/>
    </row>
    <row r="26" spans="1:15">
      <c r="A26" s="1340">
        <v>1995.05</v>
      </c>
      <c r="B26" s="1253"/>
      <c r="C26" s="1253"/>
      <c r="D26" s="3243"/>
      <c r="E26" s="1254"/>
      <c r="F26" s="3243"/>
      <c r="G26" s="1254"/>
      <c r="H26" s="3243"/>
      <c r="I26" s="1254"/>
      <c r="J26" s="3243"/>
      <c r="K26" s="3243"/>
      <c r="L26" s="3243"/>
      <c r="M26" s="1254"/>
      <c r="N26" s="3243"/>
      <c r="O26" s="1257"/>
    </row>
    <row r="27" spans="1:15">
      <c r="A27" s="1340">
        <v>1995.06</v>
      </c>
      <c r="B27" s="1253"/>
      <c r="C27" s="1253"/>
      <c r="D27" s="3243"/>
      <c r="E27" s="1254"/>
      <c r="F27" s="3243"/>
      <c r="G27" s="1254"/>
      <c r="H27" s="3243"/>
      <c r="I27" s="1254"/>
      <c r="J27" s="3243"/>
      <c r="K27" s="3243"/>
      <c r="L27" s="3243"/>
      <c r="M27" s="1254"/>
      <c r="N27" s="3243"/>
      <c r="O27" s="3244"/>
    </row>
    <row r="28" spans="1:15">
      <c r="A28" s="1340">
        <v>1995.07</v>
      </c>
      <c r="B28" s="1253"/>
      <c r="C28" s="1253"/>
      <c r="D28" s="3243"/>
      <c r="E28" s="1254"/>
      <c r="F28" s="3243"/>
      <c r="G28" s="1254"/>
      <c r="H28" s="3243"/>
      <c r="I28" s="1254"/>
      <c r="J28" s="3243"/>
      <c r="K28" s="3243"/>
      <c r="L28" s="3243"/>
      <c r="M28" s="1254"/>
      <c r="N28" s="3243"/>
      <c r="O28" s="3244"/>
    </row>
    <row r="29" spans="1:15">
      <c r="A29" s="1340">
        <v>1995.08</v>
      </c>
      <c r="B29" s="1253"/>
      <c r="C29" s="1253"/>
      <c r="D29" s="3243"/>
      <c r="E29" s="1254"/>
      <c r="F29" s="3243"/>
      <c r="G29" s="1254"/>
      <c r="H29" s="3243"/>
      <c r="I29" s="1254"/>
      <c r="J29" s="3243"/>
      <c r="K29" s="3243"/>
      <c r="L29" s="3243"/>
      <c r="M29" s="1254"/>
      <c r="N29" s="3243"/>
      <c r="O29" s="3244"/>
    </row>
    <row r="30" spans="1:15">
      <c r="A30" s="1340">
        <v>1995.09</v>
      </c>
      <c r="B30" s="1253"/>
      <c r="C30" s="1253"/>
      <c r="D30" s="3243"/>
      <c r="E30" s="1254"/>
      <c r="F30" s="3243"/>
      <c r="G30" s="1254"/>
      <c r="H30" s="3243"/>
      <c r="I30" s="1254"/>
      <c r="J30" s="3243"/>
      <c r="K30" s="3243"/>
      <c r="L30" s="3243"/>
      <c r="M30" s="1254"/>
      <c r="N30" s="3243"/>
      <c r="O30" s="3244"/>
    </row>
    <row r="31" spans="1:15">
      <c r="A31" s="1340">
        <v>1995.1</v>
      </c>
      <c r="B31" s="1253"/>
      <c r="C31" s="1253"/>
      <c r="D31" s="3243"/>
      <c r="E31" s="1254"/>
      <c r="F31" s="3243"/>
      <c r="G31" s="1254"/>
      <c r="H31" s="3243"/>
      <c r="I31" s="1254"/>
      <c r="J31" s="3243"/>
      <c r="K31" s="3243"/>
      <c r="L31" s="3243"/>
      <c r="M31" s="1254"/>
      <c r="N31" s="3243"/>
      <c r="O31" s="3244"/>
    </row>
    <row r="32" spans="1:15">
      <c r="A32" s="1340">
        <v>1995.11</v>
      </c>
      <c r="B32" s="1253"/>
      <c r="C32" s="1253"/>
      <c r="D32" s="3243"/>
      <c r="E32" s="1254"/>
      <c r="F32" s="3243"/>
      <c r="G32" s="1254"/>
      <c r="H32" s="3243"/>
      <c r="I32" s="1254"/>
      <c r="J32" s="3243"/>
      <c r="K32" s="3243"/>
      <c r="L32" s="3243"/>
      <c r="M32" s="1254"/>
      <c r="N32" s="3243"/>
      <c r="O32" s="3244"/>
    </row>
    <row r="33" spans="1:15">
      <c r="A33" s="1340">
        <v>1995.12</v>
      </c>
      <c r="B33" s="1253"/>
      <c r="C33" s="1253"/>
      <c r="D33" s="3243"/>
      <c r="E33" s="1254"/>
      <c r="F33" s="3243"/>
      <c r="G33" s="1254"/>
      <c r="H33" s="3243"/>
      <c r="I33" s="1254"/>
      <c r="J33" s="3243"/>
      <c r="K33" s="3243"/>
      <c r="L33" s="3243"/>
      <c r="M33" s="1254"/>
      <c r="N33" s="3243"/>
      <c r="O33" s="3244"/>
    </row>
    <row r="34" spans="1:15">
      <c r="A34" s="1340">
        <v>1996.01</v>
      </c>
      <c r="B34" s="1253"/>
      <c r="C34" s="1253"/>
      <c r="D34" s="3243"/>
      <c r="E34" s="1254"/>
      <c r="F34" s="3243"/>
      <c r="G34" s="1254"/>
      <c r="H34" s="3243"/>
      <c r="I34" s="1254"/>
      <c r="J34" s="3243"/>
      <c r="K34" s="3243"/>
      <c r="L34" s="3243"/>
      <c r="M34" s="1254"/>
      <c r="N34" s="3243"/>
      <c r="O34" s="3244"/>
    </row>
    <row r="35" spans="1:15">
      <c r="A35" s="1340">
        <v>1996.02</v>
      </c>
      <c r="B35" s="1253"/>
      <c r="C35" s="1253"/>
      <c r="D35" s="3243"/>
      <c r="E35" s="1254"/>
      <c r="F35" s="3243"/>
      <c r="G35" s="1254"/>
      <c r="H35" s="3243"/>
      <c r="I35" s="1254"/>
      <c r="J35" s="3243"/>
      <c r="K35" s="3243"/>
      <c r="L35" s="3243"/>
      <c r="M35" s="1254"/>
      <c r="N35" s="3243"/>
      <c r="O35" s="3244"/>
    </row>
    <row r="36" spans="1:15">
      <c r="A36" s="1340">
        <v>1996.03</v>
      </c>
      <c r="B36" s="1253"/>
      <c r="C36" s="1253"/>
      <c r="D36" s="3243"/>
      <c r="E36" s="1254"/>
      <c r="F36" s="3243"/>
      <c r="G36" s="1254"/>
      <c r="H36" s="3243"/>
      <c r="I36" s="1254"/>
      <c r="J36" s="3243"/>
      <c r="K36" s="3243"/>
      <c r="L36" s="3243"/>
      <c r="M36" s="1254"/>
      <c r="N36" s="3243"/>
      <c r="O36" s="3244"/>
    </row>
    <row r="37" spans="1:15">
      <c r="A37" s="1340">
        <v>1996.04</v>
      </c>
      <c r="B37" s="1253"/>
      <c r="C37" s="1253"/>
      <c r="D37" s="3243"/>
      <c r="E37" s="1254"/>
      <c r="F37" s="3243"/>
      <c r="G37" s="1254"/>
      <c r="H37" s="3243"/>
      <c r="I37" s="1254"/>
      <c r="J37" s="3243"/>
      <c r="K37" s="3243"/>
      <c r="L37" s="3243"/>
      <c r="M37" s="1254"/>
      <c r="N37" s="3243"/>
      <c r="O37" s="3244"/>
    </row>
    <row r="38" spans="1:15">
      <c r="A38" s="1340">
        <v>1996.05</v>
      </c>
      <c r="B38" s="1253"/>
      <c r="C38" s="1253"/>
      <c r="D38" s="3243"/>
      <c r="E38" s="1254"/>
      <c r="F38" s="3243"/>
      <c r="G38" s="1254"/>
      <c r="H38" s="3243"/>
      <c r="I38" s="1254"/>
      <c r="J38" s="3243"/>
      <c r="K38" s="3243"/>
      <c r="L38" s="3243"/>
      <c r="M38" s="1254"/>
      <c r="N38" s="3243"/>
      <c r="O38" s="3244"/>
    </row>
    <row r="39" spans="1:15">
      <c r="A39" s="1340">
        <v>1996.06</v>
      </c>
      <c r="B39" s="1253"/>
      <c r="C39" s="1253"/>
      <c r="D39" s="3243"/>
      <c r="E39" s="1254"/>
      <c r="F39" s="3243"/>
      <c r="G39" s="1254"/>
      <c r="H39" s="3243"/>
      <c r="I39" s="1254"/>
      <c r="J39" s="3243"/>
      <c r="K39" s="3243"/>
      <c r="L39" s="3243"/>
      <c r="M39" s="1254"/>
      <c r="N39" s="3243"/>
      <c r="O39" s="3244"/>
    </row>
    <row r="40" spans="1:15">
      <c r="A40" s="1340">
        <v>1996.07</v>
      </c>
      <c r="B40" s="1253"/>
      <c r="C40" s="1253"/>
      <c r="D40" s="3243"/>
      <c r="E40" s="1254"/>
      <c r="F40" s="3243"/>
      <c r="G40" s="1254"/>
      <c r="H40" s="3243"/>
      <c r="I40" s="1254"/>
      <c r="J40" s="3243"/>
      <c r="K40" s="3243"/>
      <c r="L40" s="3243"/>
      <c r="M40" s="1254"/>
      <c r="N40" s="3243"/>
      <c r="O40" s="3244"/>
    </row>
    <row r="41" spans="1:15">
      <c r="A41" s="1340">
        <v>1996.08</v>
      </c>
      <c r="B41" s="1253"/>
      <c r="C41" s="1253"/>
      <c r="D41" s="3243"/>
      <c r="E41" s="1254"/>
      <c r="F41" s="3243"/>
      <c r="G41" s="1254"/>
      <c r="H41" s="3243"/>
      <c r="I41" s="1254"/>
      <c r="J41" s="3243"/>
      <c r="K41" s="3243"/>
      <c r="L41" s="3243"/>
      <c r="M41" s="1254"/>
      <c r="N41" s="3243"/>
      <c r="O41" s="3244"/>
    </row>
    <row r="42" spans="1:15">
      <c r="A42" s="1340">
        <v>1996.09</v>
      </c>
      <c r="B42" s="1253"/>
      <c r="C42" s="1253"/>
      <c r="D42" s="3243"/>
      <c r="E42" s="1254"/>
      <c r="F42" s="3243"/>
      <c r="G42" s="1254"/>
      <c r="H42" s="3243"/>
      <c r="I42" s="1254"/>
      <c r="J42" s="3243"/>
      <c r="K42" s="3243"/>
      <c r="L42" s="3243"/>
      <c r="M42" s="1254"/>
      <c r="N42" s="3243"/>
      <c r="O42" s="3244"/>
    </row>
    <row r="43" spans="1:15">
      <c r="A43" s="1340">
        <v>1996.1</v>
      </c>
      <c r="B43" s="1253"/>
      <c r="C43" s="1253"/>
      <c r="D43" s="3243"/>
      <c r="E43" s="1254"/>
      <c r="F43" s="3243"/>
      <c r="G43" s="1254"/>
      <c r="H43" s="3243"/>
      <c r="I43" s="1254"/>
      <c r="J43" s="3243"/>
      <c r="K43" s="3243"/>
      <c r="L43" s="3243"/>
      <c r="M43" s="1254"/>
      <c r="N43" s="3243"/>
      <c r="O43" s="3244"/>
    </row>
    <row r="44" spans="1:15">
      <c r="A44" s="1340">
        <v>1996.11</v>
      </c>
      <c r="B44" s="1253"/>
      <c r="C44" s="1253"/>
      <c r="D44" s="3243"/>
      <c r="E44" s="1254"/>
      <c r="F44" s="3243"/>
      <c r="G44" s="1254"/>
      <c r="H44" s="3243"/>
      <c r="I44" s="1254"/>
      <c r="J44" s="3243"/>
      <c r="K44" s="3243"/>
      <c r="L44" s="3243"/>
      <c r="M44" s="1254"/>
      <c r="N44" s="3243"/>
      <c r="O44" s="3244"/>
    </row>
    <row r="45" spans="1:15">
      <c r="A45" s="1340">
        <v>1996.12</v>
      </c>
      <c r="B45" s="1253"/>
      <c r="C45" s="1253"/>
      <c r="D45" s="3243"/>
      <c r="E45" s="1254"/>
      <c r="F45" s="3243"/>
      <c r="G45" s="1254"/>
      <c r="H45" s="3243"/>
      <c r="I45" s="1254"/>
      <c r="J45" s="3243"/>
      <c r="K45" s="3243"/>
      <c r="L45" s="3243"/>
      <c r="M45" s="1254"/>
      <c r="N45" s="3243"/>
      <c r="O45" s="3244"/>
    </row>
    <row r="46" spans="1:15">
      <c r="A46" s="1340">
        <v>1997.01</v>
      </c>
      <c r="B46" s="1253"/>
      <c r="C46" s="1253"/>
      <c r="D46" s="3243"/>
      <c r="E46" s="1254"/>
      <c r="F46" s="3243"/>
      <c r="G46" s="1254"/>
      <c r="H46" s="3243"/>
      <c r="I46" s="1254"/>
      <c r="J46" s="3243"/>
      <c r="K46" s="3243"/>
      <c r="L46" s="3243"/>
      <c r="M46" s="1254"/>
      <c r="N46" s="3243"/>
      <c r="O46" s="3244"/>
    </row>
    <row r="47" spans="1:15">
      <c r="A47" s="1340">
        <v>1997.02</v>
      </c>
      <c r="B47" s="1253"/>
      <c r="C47" s="1253"/>
      <c r="D47" s="3243"/>
      <c r="E47" s="1254"/>
      <c r="F47" s="3243"/>
      <c r="G47" s="1254"/>
      <c r="H47" s="3243"/>
      <c r="I47" s="1254"/>
      <c r="J47" s="3243"/>
      <c r="K47" s="3243"/>
      <c r="L47" s="3243"/>
      <c r="M47" s="1254"/>
      <c r="N47" s="3243"/>
      <c r="O47" s="3244"/>
    </row>
    <row r="48" spans="1:15">
      <c r="A48" s="1340">
        <v>1997.03</v>
      </c>
      <c r="B48" s="1253"/>
      <c r="C48" s="1253"/>
      <c r="D48" s="3243"/>
      <c r="E48" s="1254"/>
      <c r="F48" s="3243"/>
      <c r="G48" s="1254"/>
      <c r="H48" s="3243"/>
      <c r="I48" s="1254"/>
      <c r="J48" s="3243"/>
      <c r="K48" s="3243"/>
      <c r="L48" s="3243"/>
      <c r="M48" s="1254"/>
      <c r="N48" s="3243"/>
      <c r="O48" s="3244"/>
    </row>
    <row r="49" spans="1:15">
      <c r="A49" s="1340">
        <v>1997.04</v>
      </c>
      <c r="B49" s="1253"/>
      <c r="C49" s="1253"/>
      <c r="D49" s="3243"/>
      <c r="E49" s="1254"/>
      <c r="F49" s="3243"/>
      <c r="G49" s="1254"/>
      <c r="H49" s="3243"/>
      <c r="I49" s="1254"/>
      <c r="J49" s="3243"/>
      <c r="K49" s="3243"/>
      <c r="L49" s="3243"/>
      <c r="M49" s="1254"/>
      <c r="N49" s="3243"/>
      <c r="O49" s="3244"/>
    </row>
    <row r="50" spans="1:15">
      <c r="A50" s="1340">
        <v>1997.05</v>
      </c>
      <c r="B50" s="1253"/>
      <c r="C50" s="1253"/>
      <c r="D50" s="3243"/>
      <c r="E50" s="1254"/>
      <c r="F50" s="3243"/>
      <c r="G50" s="1254"/>
      <c r="H50" s="3243"/>
      <c r="I50" s="1254"/>
      <c r="J50" s="3243"/>
      <c r="K50" s="3243"/>
      <c r="L50" s="3243"/>
      <c r="M50" s="1254"/>
      <c r="N50" s="3243"/>
      <c r="O50" s="3244"/>
    </row>
    <row r="51" spans="1:15">
      <c r="A51" s="1340">
        <v>1997.06</v>
      </c>
      <c r="B51" s="1253"/>
      <c r="C51" s="1253"/>
      <c r="D51" s="3243"/>
      <c r="E51" s="1254"/>
      <c r="F51" s="3243"/>
      <c r="G51" s="1254"/>
      <c r="H51" s="3243"/>
      <c r="I51" s="1254"/>
      <c r="J51" s="3243"/>
      <c r="K51" s="3243"/>
      <c r="L51" s="3243"/>
      <c r="M51" s="1254"/>
      <c r="N51" s="3243"/>
      <c r="O51" s="3244"/>
    </row>
    <row r="52" spans="1:15">
      <c r="A52" s="1340">
        <v>1997.07</v>
      </c>
      <c r="B52" s="1253"/>
      <c r="C52" s="1253"/>
      <c r="D52" s="3243"/>
      <c r="E52" s="1254"/>
      <c r="F52" s="3243"/>
      <c r="G52" s="1254"/>
      <c r="H52" s="3243"/>
      <c r="I52" s="1254"/>
      <c r="J52" s="3243"/>
      <c r="K52" s="3243"/>
      <c r="L52" s="3243"/>
      <c r="M52" s="1254"/>
      <c r="N52" s="3243"/>
      <c r="O52" s="3244"/>
    </row>
    <row r="53" spans="1:15">
      <c r="A53" s="1340">
        <v>1997.08</v>
      </c>
      <c r="B53" s="1253"/>
      <c r="C53" s="1253"/>
      <c r="D53" s="3243"/>
      <c r="E53" s="1254"/>
      <c r="F53" s="3243"/>
      <c r="G53" s="1254"/>
      <c r="H53" s="3243"/>
      <c r="I53" s="1254"/>
      <c r="J53" s="3243"/>
      <c r="K53" s="3243"/>
      <c r="L53" s="3243"/>
      <c r="M53" s="1254"/>
      <c r="N53" s="3243"/>
      <c r="O53" s="3244"/>
    </row>
    <row r="54" spans="1:15">
      <c r="A54" s="1340">
        <v>1997.09</v>
      </c>
      <c r="B54" s="1253"/>
      <c r="C54" s="1253"/>
      <c r="D54" s="3243"/>
      <c r="E54" s="1254"/>
      <c r="F54" s="3243"/>
      <c r="G54" s="1254"/>
      <c r="H54" s="3243"/>
      <c r="I54" s="1254"/>
      <c r="J54" s="3243"/>
      <c r="K54" s="3243"/>
      <c r="L54" s="3243"/>
      <c r="M54" s="1254"/>
      <c r="N54" s="3243"/>
      <c r="O54" s="3244"/>
    </row>
    <row r="55" spans="1:15">
      <c r="A55" s="1340">
        <v>1997.1</v>
      </c>
      <c r="B55" s="1253"/>
      <c r="C55" s="1253"/>
      <c r="D55" s="3243"/>
      <c r="E55" s="1254"/>
      <c r="F55" s="3243"/>
      <c r="G55" s="1254"/>
      <c r="H55" s="3243"/>
      <c r="I55" s="1254"/>
      <c r="J55" s="3243"/>
      <c r="K55" s="3243"/>
      <c r="L55" s="3243"/>
      <c r="M55" s="1254"/>
      <c r="N55" s="3243"/>
      <c r="O55" s="3244"/>
    </row>
    <row r="56" spans="1:15">
      <c r="A56" s="1340">
        <v>1997.11</v>
      </c>
      <c r="B56" s="1253"/>
      <c r="C56" s="1253"/>
      <c r="D56" s="3243"/>
      <c r="E56" s="1254"/>
      <c r="F56" s="3243"/>
      <c r="G56" s="1254"/>
      <c r="H56" s="3243"/>
      <c r="I56" s="1254"/>
      <c r="J56" s="3243"/>
      <c r="K56" s="3243"/>
      <c r="L56" s="3243"/>
      <c r="M56" s="1254"/>
      <c r="N56" s="3243"/>
      <c r="O56" s="3244"/>
    </row>
    <row r="57" spans="1:15">
      <c r="A57" s="1340">
        <v>1997.12</v>
      </c>
      <c r="B57" s="1253"/>
      <c r="C57" s="1253"/>
      <c r="D57" s="3243"/>
      <c r="E57" s="1254"/>
      <c r="F57" s="3243"/>
      <c r="G57" s="1254"/>
      <c r="H57" s="3243"/>
      <c r="I57" s="1254"/>
      <c r="J57" s="3243"/>
      <c r="K57" s="3243"/>
      <c r="L57" s="3243"/>
      <c r="M57" s="1254"/>
      <c r="N57" s="3243"/>
      <c r="O57" s="3244"/>
    </row>
    <row r="58" spans="1:15">
      <c r="A58" s="1340">
        <v>1998.01</v>
      </c>
      <c r="B58" s="1253"/>
      <c r="C58" s="1253"/>
      <c r="D58" s="3243"/>
      <c r="E58" s="1254"/>
      <c r="F58" s="3243"/>
      <c r="G58" s="1254"/>
      <c r="H58" s="3243"/>
      <c r="I58" s="1254"/>
      <c r="J58" s="3243"/>
      <c r="K58" s="3243"/>
      <c r="L58" s="3243"/>
      <c r="M58" s="1254"/>
      <c r="N58" s="3243"/>
      <c r="O58" s="3244"/>
    </row>
    <row r="59" spans="1:15">
      <c r="A59" s="1340">
        <v>1998.02</v>
      </c>
      <c r="B59" s="1253"/>
      <c r="C59" s="1253"/>
      <c r="D59" s="3243"/>
      <c r="E59" s="1254"/>
      <c r="F59" s="3243"/>
      <c r="G59" s="1254"/>
      <c r="H59" s="3243"/>
      <c r="I59" s="1254"/>
      <c r="J59" s="3243"/>
      <c r="K59" s="3243"/>
      <c r="L59" s="3243"/>
      <c r="M59" s="1254"/>
      <c r="N59" s="3243"/>
      <c r="O59" s="3244"/>
    </row>
    <row r="60" spans="1:15">
      <c r="A60" s="1340">
        <v>1998.03</v>
      </c>
      <c r="B60" s="1253"/>
      <c r="C60" s="1253"/>
      <c r="D60" s="3243"/>
      <c r="E60" s="1254"/>
      <c r="F60" s="3243"/>
      <c r="G60" s="1254"/>
      <c r="H60" s="3243"/>
      <c r="I60" s="1254"/>
      <c r="J60" s="3243"/>
      <c r="K60" s="3243"/>
      <c r="L60" s="3243"/>
      <c r="M60" s="1254"/>
      <c r="N60" s="3243"/>
      <c r="O60" s="3244"/>
    </row>
    <row r="61" spans="1:15">
      <c r="A61" s="1340">
        <v>1998.04</v>
      </c>
      <c r="B61" s="1253"/>
      <c r="C61" s="1253"/>
      <c r="D61" s="3243"/>
      <c r="E61" s="1254"/>
      <c r="F61" s="3243"/>
      <c r="G61" s="1254"/>
      <c r="H61" s="3243"/>
      <c r="I61" s="1254"/>
      <c r="J61" s="3243"/>
      <c r="K61" s="3243"/>
      <c r="L61" s="3243"/>
      <c r="M61" s="1254"/>
      <c r="N61" s="3243"/>
      <c r="O61" s="3244"/>
    </row>
    <row r="62" spans="1:15">
      <c r="A62" s="1340">
        <v>1998.05</v>
      </c>
      <c r="B62" s="1253"/>
      <c r="C62" s="1253"/>
      <c r="D62" s="3243"/>
      <c r="E62" s="1254"/>
      <c r="F62" s="3243"/>
      <c r="G62" s="1254"/>
      <c r="H62" s="3243"/>
      <c r="I62" s="1254"/>
      <c r="J62" s="3243"/>
      <c r="K62" s="3243"/>
      <c r="L62" s="3243"/>
      <c r="M62" s="1254"/>
      <c r="N62" s="3243"/>
      <c r="O62" s="3244"/>
    </row>
    <row r="63" spans="1:15">
      <c r="A63" s="1340">
        <v>1998.06</v>
      </c>
      <c r="B63" s="1253"/>
      <c r="C63" s="1253"/>
      <c r="D63" s="3243"/>
      <c r="E63" s="1254"/>
      <c r="F63" s="3243"/>
      <c r="G63" s="1254"/>
      <c r="H63" s="3243"/>
      <c r="I63" s="1254"/>
      <c r="J63" s="3243"/>
      <c r="K63" s="3243"/>
      <c r="L63" s="3243"/>
      <c r="M63" s="1254"/>
      <c r="N63" s="3243"/>
      <c r="O63" s="3244"/>
    </row>
    <row r="64" spans="1:15">
      <c r="A64" s="1340">
        <v>1998.07</v>
      </c>
      <c r="B64" s="1253"/>
      <c r="C64" s="1253"/>
      <c r="D64" s="3243"/>
      <c r="E64" s="1254"/>
      <c r="F64" s="3243"/>
      <c r="G64" s="1254"/>
      <c r="H64" s="3243"/>
      <c r="I64" s="1254"/>
      <c r="J64" s="3243"/>
      <c r="K64" s="3243"/>
      <c r="L64" s="3243"/>
      <c r="M64" s="1254"/>
      <c r="N64" s="3243"/>
      <c r="O64" s="3244"/>
    </row>
    <row r="65" spans="1:15">
      <c r="A65" s="1340">
        <v>1998.08</v>
      </c>
      <c r="B65" s="1253"/>
      <c r="C65" s="1253"/>
      <c r="D65" s="3243"/>
      <c r="E65" s="1254"/>
      <c r="F65" s="3243"/>
      <c r="G65" s="1254"/>
      <c r="H65" s="3243"/>
      <c r="I65" s="1254"/>
      <c r="J65" s="3243"/>
      <c r="K65" s="3243"/>
      <c r="L65" s="3243"/>
      <c r="M65" s="1254"/>
      <c r="N65" s="3243"/>
      <c r="O65" s="3244"/>
    </row>
    <row r="66" spans="1:15">
      <c r="A66" s="1340">
        <v>1998.09</v>
      </c>
      <c r="B66" s="1253"/>
      <c r="C66" s="1253"/>
      <c r="D66" s="3243"/>
      <c r="E66" s="1254"/>
      <c r="F66" s="3243"/>
      <c r="G66" s="1254"/>
      <c r="H66" s="3243"/>
      <c r="I66" s="1254"/>
      <c r="J66" s="3243"/>
      <c r="K66" s="3243"/>
      <c r="L66" s="3243"/>
      <c r="M66" s="1254"/>
      <c r="N66" s="3243"/>
      <c r="O66" s="3244"/>
    </row>
    <row r="67" spans="1:15">
      <c r="A67" s="1340">
        <v>1998.1</v>
      </c>
      <c r="B67" s="1253"/>
      <c r="C67" s="1253"/>
      <c r="D67" s="3243"/>
      <c r="E67" s="1254"/>
      <c r="F67" s="3243"/>
      <c r="G67" s="1254"/>
      <c r="H67" s="3243"/>
      <c r="I67" s="1254"/>
      <c r="J67" s="3243"/>
      <c r="K67" s="3243"/>
      <c r="L67" s="3243"/>
      <c r="M67" s="1254"/>
      <c r="N67" s="3243"/>
      <c r="O67" s="3244"/>
    </row>
    <row r="68" spans="1:15">
      <c r="A68" s="1340">
        <v>1998.11</v>
      </c>
      <c r="B68" s="1253"/>
      <c r="C68" s="1253"/>
      <c r="D68" s="3243"/>
      <c r="E68" s="1254"/>
      <c r="F68" s="3243"/>
      <c r="G68" s="1254"/>
      <c r="H68" s="3243"/>
      <c r="I68" s="1254"/>
      <c r="J68" s="3243"/>
      <c r="K68" s="3243"/>
      <c r="L68" s="3243"/>
      <c r="M68" s="1254"/>
      <c r="N68" s="3243"/>
      <c r="O68" s="3244"/>
    </row>
    <row r="69" spans="1:15">
      <c r="A69" s="1340">
        <v>1998.12</v>
      </c>
      <c r="B69" s="1253"/>
      <c r="C69" s="1253"/>
      <c r="D69" s="3243"/>
      <c r="E69" s="1254"/>
      <c r="F69" s="3243"/>
      <c r="G69" s="1254"/>
      <c r="H69" s="3243"/>
      <c r="I69" s="1254"/>
      <c r="J69" s="3243"/>
      <c r="K69" s="3243"/>
      <c r="L69" s="3243"/>
      <c r="M69" s="1254"/>
      <c r="N69" s="3243"/>
      <c r="O69" s="3244"/>
    </row>
    <row r="70" spans="1:15">
      <c r="A70" s="1340">
        <v>1999.01</v>
      </c>
      <c r="B70" s="1253"/>
      <c r="C70" s="1253"/>
      <c r="D70" s="3243"/>
      <c r="E70" s="1254"/>
      <c r="F70" s="3243"/>
      <c r="G70" s="1254"/>
      <c r="H70" s="3243"/>
      <c r="I70" s="1254"/>
      <c r="J70" s="3243"/>
      <c r="K70" s="3243"/>
      <c r="L70" s="3243"/>
      <c r="M70" s="1254"/>
      <c r="N70" s="3243"/>
      <c r="O70" s="3244"/>
    </row>
    <row r="71" spans="1:15">
      <c r="A71" s="1340">
        <v>1999.02</v>
      </c>
      <c r="B71" s="1253"/>
      <c r="C71" s="1253"/>
      <c r="D71" s="3243"/>
      <c r="E71" s="1254"/>
      <c r="F71" s="3243"/>
      <c r="G71" s="1254"/>
      <c r="H71" s="3243"/>
      <c r="I71" s="1254"/>
      <c r="J71" s="3243"/>
      <c r="K71" s="3243"/>
      <c r="L71" s="3243"/>
      <c r="M71" s="1254"/>
      <c r="N71" s="3243"/>
      <c r="O71" s="3244"/>
    </row>
    <row r="72" spans="1:15">
      <c r="A72" s="1340">
        <v>1999.03</v>
      </c>
      <c r="B72" s="1253"/>
      <c r="C72" s="1253"/>
      <c r="D72" s="3243"/>
      <c r="E72" s="1254"/>
      <c r="F72" s="3243"/>
      <c r="G72" s="1254"/>
      <c r="H72" s="3243"/>
      <c r="I72" s="1254"/>
      <c r="J72" s="3243"/>
      <c r="K72" s="3243"/>
      <c r="L72" s="3243"/>
      <c r="M72" s="1254"/>
      <c r="N72" s="3243"/>
      <c r="O72" s="3244"/>
    </row>
    <row r="73" spans="1:15">
      <c r="A73" s="1340">
        <v>1999.04</v>
      </c>
      <c r="B73" s="1253"/>
      <c r="C73" s="1253"/>
      <c r="D73" s="3243"/>
      <c r="E73" s="1254"/>
      <c r="F73" s="3243"/>
      <c r="G73" s="1254"/>
      <c r="H73" s="3243"/>
      <c r="I73" s="1254"/>
      <c r="J73" s="3243"/>
      <c r="K73" s="3243"/>
      <c r="L73" s="3243"/>
      <c r="M73" s="1254"/>
      <c r="N73" s="3243"/>
      <c r="O73" s="3244"/>
    </row>
    <row r="74" spans="1:15">
      <c r="A74" s="1340">
        <v>1999.05</v>
      </c>
      <c r="B74" s="1253"/>
      <c r="C74" s="1253"/>
      <c r="D74" s="3243"/>
      <c r="E74" s="1254"/>
      <c r="F74" s="3243"/>
      <c r="G74" s="1254"/>
      <c r="H74" s="3243"/>
      <c r="I74" s="1254"/>
      <c r="J74" s="3243"/>
      <c r="K74" s="3243"/>
      <c r="L74" s="3243"/>
      <c r="M74" s="1254"/>
      <c r="N74" s="3243"/>
      <c r="O74" s="3244"/>
    </row>
    <row r="75" spans="1:15">
      <c r="A75" s="1340">
        <v>1999.06</v>
      </c>
      <c r="B75" s="1253"/>
      <c r="C75" s="1253"/>
      <c r="D75" s="3243"/>
      <c r="E75" s="1254"/>
      <c r="F75" s="3243"/>
      <c r="G75" s="1254"/>
      <c r="H75" s="3243"/>
      <c r="I75" s="1254"/>
      <c r="J75" s="3243"/>
      <c r="K75" s="3243"/>
      <c r="L75" s="3243"/>
      <c r="M75" s="1254"/>
      <c r="N75" s="3243"/>
      <c r="O75" s="3244"/>
    </row>
    <row r="76" spans="1:15">
      <c r="A76" s="1340">
        <v>1999.07</v>
      </c>
      <c r="B76" s="1253"/>
      <c r="C76" s="1253"/>
      <c r="D76" s="3243"/>
      <c r="E76" s="1254"/>
      <c r="F76" s="3243"/>
      <c r="G76" s="1254"/>
      <c r="H76" s="3243"/>
      <c r="I76" s="1254"/>
      <c r="J76" s="3243"/>
      <c r="K76" s="3243"/>
      <c r="L76" s="3243"/>
      <c r="M76" s="1254"/>
      <c r="N76" s="3243"/>
      <c r="O76" s="3244"/>
    </row>
    <row r="77" spans="1:15">
      <c r="A77" s="1340">
        <v>1999.08</v>
      </c>
      <c r="B77" s="1253"/>
      <c r="C77" s="1253"/>
      <c r="D77" s="3243"/>
      <c r="E77" s="1254"/>
      <c r="F77" s="3243"/>
      <c r="G77" s="1254"/>
      <c r="H77" s="3243"/>
      <c r="I77" s="1254"/>
      <c r="J77" s="3243"/>
      <c r="K77" s="3243"/>
      <c r="L77" s="3243"/>
      <c r="M77" s="1254"/>
      <c r="N77" s="3243"/>
      <c r="O77" s="3244"/>
    </row>
    <row r="78" spans="1:15">
      <c r="A78" s="1340">
        <v>1999.09</v>
      </c>
      <c r="B78" s="1253"/>
      <c r="C78" s="1253"/>
      <c r="D78" s="3243"/>
      <c r="E78" s="1254"/>
      <c r="F78" s="3243"/>
      <c r="G78" s="1254"/>
      <c r="H78" s="3243"/>
      <c r="I78" s="1254"/>
      <c r="J78" s="3243"/>
      <c r="K78" s="3243"/>
      <c r="L78" s="3243"/>
      <c r="M78" s="1254"/>
      <c r="N78" s="3243"/>
      <c r="O78" s="3244"/>
    </row>
    <row r="79" spans="1:15">
      <c r="A79" s="1340">
        <v>1999.1</v>
      </c>
      <c r="B79" s="1253"/>
      <c r="C79" s="1253"/>
      <c r="D79" s="3243"/>
      <c r="E79" s="1254"/>
      <c r="F79" s="3243"/>
      <c r="G79" s="1254"/>
      <c r="H79" s="3243"/>
      <c r="I79" s="1254"/>
      <c r="J79" s="3243"/>
      <c r="K79" s="3243"/>
      <c r="L79" s="3243"/>
      <c r="M79" s="1254"/>
      <c r="N79" s="3243"/>
      <c r="O79" s="3244"/>
    </row>
    <row r="80" spans="1:15">
      <c r="A80" s="1340">
        <v>1999.11</v>
      </c>
      <c r="B80" s="1253"/>
      <c r="C80" s="1253"/>
      <c r="D80" s="3243"/>
      <c r="E80" s="1254"/>
      <c r="F80" s="3243"/>
      <c r="G80" s="1254"/>
      <c r="H80" s="3243"/>
      <c r="I80" s="1254"/>
      <c r="J80" s="3243"/>
      <c r="K80" s="3243"/>
      <c r="L80" s="3243"/>
      <c r="M80" s="1254"/>
      <c r="N80" s="3243"/>
      <c r="O80" s="3244"/>
    </row>
    <row r="81" spans="1:15">
      <c r="A81" s="1340">
        <v>1999.12</v>
      </c>
      <c r="B81" s="1253"/>
      <c r="C81" s="1253"/>
      <c r="D81" s="3243"/>
      <c r="E81" s="1254"/>
      <c r="F81" s="3243"/>
      <c r="G81" s="1254"/>
      <c r="H81" s="3243"/>
      <c r="I81" s="1254"/>
      <c r="J81" s="3243"/>
      <c r="K81" s="3243"/>
      <c r="L81" s="3243"/>
      <c r="M81" s="1254"/>
      <c r="N81" s="3243"/>
      <c r="O81" s="3244"/>
    </row>
    <row r="82" spans="1:15">
      <c r="A82" s="1340">
        <v>2000.01</v>
      </c>
      <c r="B82" s="1253"/>
      <c r="C82" s="1253"/>
      <c r="D82" s="3243"/>
      <c r="E82" s="1254"/>
      <c r="F82" s="3243"/>
      <c r="G82" s="1254"/>
      <c r="H82" s="3243"/>
      <c r="I82" s="1254"/>
      <c r="J82" s="3243"/>
      <c r="K82" s="3243"/>
      <c r="L82" s="3243"/>
      <c r="M82" s="1254"/>
      <c r="N82" s="3243"/>
      <c r="O82" s="3244"/>
    </row>
    <row r="83" spans="1:15">
      <c r="A83" s="1340">
        <v>2000.02</v>
      </c>
      <c r="B83" s="1253"/>
      <c r="C83" s="1253"/>
      <c r="D83" s="3243"/>
      <c r="E83" s="1254"/>
      <c r="F83" s="3243"/>
      <c r="G83" s="1254"/>
      <c r="H83" s="3243"/>
      <c r="I83" s="1254"/>
      <c r="J83" s="3243"/>
      <c r="K83" s="3243"/>
      <c r="L83" s="3243"/>
      <c r="M83" s="1254"/>
      <c r="N83" s="3243"/>
      <c r="O83" s="3244"/>
    </row>
    <row r="84" spans="1:15">
      <c r="A84" s="1340">
        <v>2000.03</v>
      </c>
      <c r="B84" s="1253"/>
      <c r="C84" s="1253"/>
      <c r="D84" s="3243"/>
      <c r="E84" s="1254"/>
      <c r="F84" s="3243"/>
      <c r="G84" s="1254"/>
      <c r="H84" s="3243"/>
      <c r="I84" s="1254"/>
      <c r="J84" s="3243"/>
      <c r="K84" s="3243"/>
      <c r="L84" s="3243"/>
      <c r="M84" s="1254"/>
      <c r="N84" s="3243"/>
      <c r="O84" s="3244"/>
    </row>
    <row r="85" spans="1:15">
      <c r="A85" s="1340">
        <v>2000.04</v>
      </c>
      <c r="B85" s="1253"/>
      <c r="C85" s="1253"/>
      <c r="D85" s="3243"/>
      <c r="E85" s="1254"/>
      <c r="F85" s="3243"/>
      <c r="G85" s="1254"/>
      <c r="H85" s="3243"/>
      <c r="I85" s="1254"/>
      <c r="J85" s="3243"/>
      <c r="K85" s="3243"/>
      <c r="L85" s="3243"/>
      <c r="M85" s="1254"/>
      <c r="N85" s="3243"/>
      <c r="O85" s="3244"/>
    </row>
    <row r="86" spans="1:15">
      <c r="A86" s="1340">
        <v>2000.05</v>
      </c>
      <c r="B86" s="1253"/>
      <c r="C86" s="1253"/>
      <c r="D86" s="3243"/>
      <c r="E86" s="1254"/>
      <c r="F86" s="3243"/>
      <c r="G86" s="1254"/>
      <c r="H86" s="3243"/>
      <c r="I86" s="1254"/>
      <c r="J86" s="3243"/>
      <c r="K86" s="3243"/>
      <c r="L86" s="3243"/>
      <c r="M86" s="1254"/>
      <c r="N86" s="3243"/>
      <c r="O86" s="3244"/>
    </row>
    <row r="87" spans="1:15">
      <c r="A87" s="1340">
        <v>2000.06</v>
      </c>
      <c r="B87" s="1253"/>
      <c r="C87" s="1253"/>
      <c r="D87" s="3243"/>
      <c r="E87" s="1254"/>
      <c r="F87" s="3243"/>
      <c r="G87" s="1254"/>
      <c r="H87" s="3243"/>
      <c r="I87" s="1254"/>
      <c r="J87" s="3243"/>
      <c r="K87" s="3243"/>
      <c r="L87" s="3243"/>
      <c r="M87" s="1254"/>
      <c r="N87" s="3243"/>
      <c r="O87" s="3244"/>
    </row>
    <row r="88" spans="1:15">
      <c r="A88" s="1340">
        <v>2000.07</v>
      </c>
      <c r="B88" s="1253"/>
      <c r="C88" s="1253"/>
      <c r="D88" s="3243"/>
      <c r="E88" s="1254"/>
      <c r="F88" s="3243"/>
      <c r="G88" s="1254"/>
      <c r="H88" s="3243"/>
      <c r="I88" s="1254"/>
      <c r="J88" s="3243"/>
      <c r="K88" s="3243"/>
      <c r="L88" s="3243"/>
      <c r="M88" s="1254"/>
      <c r="N88" s="3243"/>
      <c r="O88" s="3244"/>
    </row>
    <row r="89" spans="1:15">
      <c r="A89" s="1340">
        <v>2000.08</v>
      </c>
      <c r="B89" s="1253"/>
      <c r="C89" s="1253"/>
      <c r="D89" s="3243"/>
      <c r="E89" s="1254"/>
      <c r="F89" s="3243"/>
      <c r="G89" s="1254"/>
      <c r="H89" s="3243"/>
      <c r="I89" s="1254"/>
      <c r="J89" s="3243"/>
      <c r="K89" s="3243"/>
      <c r="L89" s="3243"/>
      <c r="M89" s="1254"/>
      <c r="N89" s="3243"/>
      <c r="O89" s="3244"/>
    </row>
    <row r="90" spans="1:15">
      <c r="A90" s="1340">
        <v>2000.09</v>
      </c>
      <c r="B90" s="1253"/>
      <c r="C90" s="1253"/>
      <c r="D90" s="3243"/>
      <c r="E90" s="1254"/>
      <c r="F90" s="3243"/>
      <c r="G90" s="1254"/>
      <c r="H90" s="3243"/>
      <c r="I90" s="1254"/>
      <c r="J90" s="3243"/>
      <c r="K90" s="3243"/>
      <c r="L90" s="3243"/>
      <c r="M90" s="1254"/>
      <c r="N90" s="3243"/>
      <c r="O90" s="3244"/>
    </row>
    <row r="91" spans="1:15">
      <c r="A91" s="1340">
        <v>2000.1</v>
      </c>
      <c r="B91" s="1253"/>
      <c r="C91" s="1253"/>
      <c r="D91" s="3243"/>
      <c r="E91" s="1254"/>
      <c r="F91" s="3243"/>
      <c r="G91" s="1254"/>
      <c r="H91" s="3243"/>
      <c r="I91" s="1254"/>
      <c r="J91" s="3243"/>
      <c r="K91" s="3243"/>
      <c r="L91" s="3243"/>
      <c r="M91" s="1254"/>
      <c r="N91" s="3243"/>
      <c r="O91" s="3244"/>
    </row>
    <row r="92" spans="1:15">
      <c r="A92" s="1340">
        <v>2000.11</v>
      </c>
      <c r="B92" s="1253"/>
      <c r="C92" s="1253"/>
      <c r="D92" s="3243"/>
      <c r="E92" s="1254"/>
      <c r="F92" s="3243"/>
      <c r="G92" s="1254"/>
      <c r="H92" s="3243"/>
      <c r="I92" s="1254"/>
      <c r="J92" s="3243"/>
      <c r="K92" s="3243"/>
      <c r="L92" s="3243"/>
      <c r="M92" s="1254"/>
      <c r="N92" s="3243"/>
      <c r="O92" s="3244"/>
    </row>
    <row r="93" spans="1:15">
      <c r="A93" s="1340">
        <v>2000.12</v>
      </c>
      <c r="B93" s="1253"/>
      <c r="C93" s="1253"/>
      <c r="D93" s="3243"/>
      <c r="E93" s="1254"/>
      <c r="F93" s="3243"/>
      <c r="G93" s="1254"/>
      <c r="H93" s="3243"/>
      <c r="I93" s="1254"/>
      <c r="J93" s="3243"/>
      <c r="K93" s="3243"/>
      <c r="L93" s="3243"/>
      <c r="M93" s="1254"/>
      <c r="N93" s="3243"/>
      <c r="O93" s="3244"/>
    </row>
    <row r="94" spans="1:15">
      <c r="A94" s="1340">
        <v>2001.01</v>
      </c>
      <c r="B94" s="1253"/>
      <c r="C94" s="1253"/>
      <c r="D94" s="3243"/>
      <c r="E94" s="1254"/>
      <c r="F94" s="3243"/>
      <c r="G94" s="1254"/>
      <c r="H94" s="3243"/>
      <c r="I94" s="1254"/>
      <c r="J94" s="3243"/>
      <c r="K94" s="3243"/>
      <c r="L94" s="3243"/>
      <c r="M94" s="1254"/>
      <c r="N94" s="3243"/>
      <c r="O94" s="3244"/>
    </row>
    <row r="95" spans="1:15">
      <c r="A95" s="1340">
        <v>2001.02</v>
      </c>
      <c r="B95" s="1253"/>
      <c r="C95" s="1253"/>
      <c r="D95" s="3243"/>
      <c r="E95" s="1254"/>
      <c r="F95" s="3243"/>
      <c r="G95" s="1254"/>
      <c r="H95" s="3243"/>
      <c r="I95" s="1254"/>
      <c r="J95" s="3243"/>
      <c r="K95" s="3243"/>
      <c r="L95" s="3243"/>
      <c r="M95" s="1254"/>
      <c r="N95" s="3243"/>
      <c r="O95" s="3244"/>
    </row>
    <row r="96" spans="1:15">
      <c r="A96" s="1340">
        <v>2001.03</v>
      </c>
      <c r="B96" s="1253"/>
      <c r="C96" s="1253"/>
      <c r="D96" s="3243"/>
      <c r="E96" s="1254"/>
      <c r="F96" s="3243"/>
      <c r="G96" s="1254"/>
      <c r="H96" s="3243"/>
      <c r="I96" s="1254"/>
      <c r="J96" s="3243"/>
      <c r="K96" s="3243"/>
      <c r="L96" s="3243"/>
      <c r="M96" s="1254"/>
      <c r="N96" s="3243"/>
      <c r="O96" s="3244"/>
    </row>
    <row r="97" spans="1:15">
      <c r="A97" s="1340">
        <v>2001.04</v>
      </c>
      <c r="B97" s="1253"/>
      <c r="C97" s="1253"/>
      <c r="D97" s="3243"/>
      <c r="E97" s="1254"/>
      <c r="F97" s="3243"/>
      <c r="G97" s="1254"/>
      <c r="H97" s="3243"/>
      <c r="I97" s="1254"/>
      <c r="J97" s="3243"/>
      <c r="K97" s="3243"/>
      <c r="L97" s="3243"/>
      <c r="M97" s="1254"/>
      <c r="N97" s="3243"/>
      <c r="O97" s="3244"/>
    </row>
    <row r="98" spans="1:15">
      <c r="A98" s="1340">
        <v>2001.05</v>
      </c>
      <c r="B98" s="1253"/>
      <c r="C98" s="1253"/>
      <c r="D98" s="3243"/>
      <c r="E98" s="1254"/>
      <c r="F98" s="3243"/>
      <c r="G98" s="1254"/>
      <c r="H98" s="3243"/>
      <c r="I98" s="1254"/>
      <c r="J98" s="3243"/>
      <c r="K98" s="3243"/>
      <c r="L98" s="3243"/>
      <c r="M98" s="1254"/>
      <c r="N98" s="3243"/>
      <c r="O98" s="3244"/>
    </row>
    <row r="99" spans="1:15">
      <c r="A99" s="1340">
        <v>2001.06</v>
      </c>
      <c r="B99" s="1253"/>
      <c r="C99" s="1253"/>
      <c r="D99" s="3243"/>
      <c r="E99" s="1254"/>
      <c r="F99" s="3243"/>
      <c r="G99" s="1254"/>
      <c r="H99" s="3243"/>
      <c r="I99" s="1254"/>
      <c r="J99" s="3243"/>
      <c r="K99" s="3243"/>
      <c r="L99" s="3243"/>
      <c r="M99" s="1254"/>
      <c r="N99" s="3243"/>
      <c r="O99" s="3244"/>
    </row>
    <row r="100" spans="1:15">
      <c r="A100" s="1340">
        <v>2001.07</v>
      </c>
      <c r="B100" s="1253"/>
      <c r="C100" s="1253"/>
      <c r="D100" s="3243"/>
      <c r="E100" s="1254"/>
      <c r="F100" s="3243"/>
      <c r="G100" s="1254"/>
      <c r="H100" s="3243"/>
      <c r="I100" s="1254"/>
      <c r="J100" s="3243"/>
      <c r="K100" s="3243"/>
      <c r="L100" s="3243"/>
      <c r="M100" s="1254"/>
      <c r="N100" s="3243"/>
      <c r="O100" s="3244"/>
    </row>
    <row r="101" spans="1:15">
      <c r="A101" s="1340">
        <v>2001.08</v>
      </c>
      <c r="B101" s="1253"/>
      <c r="C101" s="1253"/>
      <c r="D101" s="3243"/>
      <c r="E101" s="1254"/>
      <c r="F101" s="3243"/>
      <c r="G101" s="1254"/>
      <c r="H101" s="3243"/>
      <c r="I101" s="1254"/>
      <c r="J101" s="3243"/>
      <c r="K101" s="3243"/>
      <c r="L101" s="3243"/>
      <c r="M101" s="1254"/>
      <c r="N101" s="3243"/>
      <c r="O101" s="3244"/>
    </row>
    <row r="102" spans="1:15">
      <c r="A102" s="1340">
        <v>2001.09</v>
      </c>
      <c r="B102" s="1253"/>
      <c r="C102" s="1253"/>
      <c r="D102" s="3243"/>
      <c r="E102" s="1254"/>
      <c r="F102" s="3243"/>
      <c r="G102" s="1254"/>
      <c r="H102" s="3243"/>
      <c r="I102" s="1254"/>
      <c r="J102" s="3243"/>
      <c r="K102" s="3243"/>
      <c r="L102" s="3243"/>
      <c r="M102" s="1254"/>
      <c r="N102" s="3243"/>
      <c r="O102" s="3244"/>
    </row>
    <row r="103" spans="1:15">
      <c r="A103" s="1340">
        <v>2001.1</v>
      </c>
      <c r="B103" s="1253"/>
      <c r="C103" s="1253"/>
      <c r="D103" s="3243"/>
      <c r="E103" s="1254"/>
      <c r="F103" s="3243"/>
      <c r="G103" s="1254"/>
      <c r="H103" s="3243"/>
      <c r="I103" s="1254"/>
      <c r="J103" s="3243"/>
      <c r="K103" s="3243"/>
      <c r="L103" s="3243"/>
      <c r="M103" s="1254"/>
      <c r="N103" s="3243"/>
      <c r="O103" s="3244"/>
    </row>
    <row r="104" spans="1:15">
      <c r="A104" s="1340">
        <v>2001.11</v>
      </c>
      <c r="B104" s="1253"/>
      <c r="C104" s="1253"/>
      <c r="D104" s="3243"/>
      <c r="E104" s="1254"/>
      <c r="F104" s="3243"/>
      <c r="G104" s="1254"/>
      <c r="H104" s="3243"/>
      <c r="I104" s="1254"/>
      <c r="J104" s="3243"/>
      <c r="K104" s="3243"/>
      <c r="L104" s="3243"/>
      <c r="M104" s="1254"/>
      <c r="N104" s="3243"/>
      <c r="O104" s="3244"/>
    </row>
    <row r="105" spans="1:15">
      <c r="A105" s="1340">
        <v>2001.12</v>
      </c>
      <c r="B105" s="1253"/>
      <c r="C105" s="1253"/>
      <c r="D105" s="3243"/>
      <c r="E105" s="1254"/>
      <c r="F105" s="3243"/>
      <c r="G105" s="1254"/>
      <c r="H105" s="3243"/>
      <c r="I105" s="1254"/>
      <c r="J105" s="3243"/>
      <c r="K105" s="3243"/>
      <c r="L105" s="3243"/>
      <c r="M105" s="1254"/>
      <c r="N105" s="3243"/>
      <c r="O105" s="3244"/>
    </row>
    <row r="106" spans="1:15">
      <c r="A106" s="1340">
        <v>2002.01</v>
      </c>
      <c r="B106" s="1253"/>
      <c r="C106" s="1253"/>
      <c r="D106" s="3243"/>
      <c r="E106" s="1254"/>
      <c r="F106" s="3243"/>
      <c r="G106" s="1254"/>
      <c r="H106" s="3243"/>
      <c r="I106" s="1254"/>
      <c r="J106" s="3243"/>
      <c r="K106" s="3243"/>
      <c r="L106" s="3243"/>
      <c r="M106" s="1254"/>
      <c r="N106" s="3243"/>
      <c r="O106" s="3244"/>
    </row>
    <row r="107" spans="1:15">
      <c r="A107" s="1340">
        <v>2002.02</v>
      </c>
      <c r="B107" s="1253"/>
      <c r="C107" s="1253"/>
      <c r="D107" s="3243"/>
      <c r="E107" s="1254"/>
      <c r="F107" s="3243"/>
      <c r="G107" s="1254"/>
      <c r="H107" s="3243"/>
      <c r="I107" s="1254"/>
      <c r="J107" s="3243"/>
      <c r="K107" s="3243"/>
      <c r="L107" s="3243"/>
      <c r="M107" s="1254"/>
      <c r="N107" s="3243"/>
      <c r="O107" s="3244"/>
    </row>
    <row r="108" spans="1:15">
      <c r="A108" s="1340">
        <v>2002.03</v>
      </c>
      <c r="B108" s="1253"/>
      <c r="C108" s="1253"/>
      <c r="D108" s="3243"/>
      <c r="E108" s="1254"/>
      <c r="F108" s="3243"/>
      <c r="G108" s="1254"/>
      <c r="H108" s="3243"/>
      <c r="I108" s="1254"/>
      <c r="J108" s="3243"/>
      <c r="K108" s="3243"/>
      <c r="L108" s="3243"/>
      <c r="M108" s="1254"/>
      <c r="N108" s="3243"/>
      <c r="O108" s="3244"/>
    </row>
    <row r="109" spans="1:15">
      <c r="A109" s="1340">
        <v>2002.04</v>
      </c>
      <c r="B109" s="1253"/>
      <c r="C109" s="1253"/>
      <c r="D109" s="3243"/>
      <c r="E109" s="1254"/>
      <c r="F109" s="3243"/>
      <c r="G109" s="1254"/>
      <c r="H109" s="3243"/>
      <c r="I109" s="1254"/>
      <c r="J109" s="3243"/>
      <c r="K109" s="3243"/>
      <c r="L109" s="3243"/>
      <c r="M109" s="1254"/>
      <c r="N109" s="3243"/>
      <c r="O109" s="3244"/>
    </row>
    <row r="110" spans="1:15">
      <c r="A110" s="1340">
        <v>2002.05</v>
      </c>
      <c r="B110" s="1253"/>
      <c r="C110" s="1253"/>
      <c r="D110" s="3243"/>
      <c r="E110" s="1254"/>
      <c r="F110" s="3243"/>
      <c r="G110" s="1254"/>
      <c r="H110" s="3243"/>
      <c r="I110" s="1254"/>
      <c r="J110" s="3243"/>
      <c r="K110" s="3243"/>
      <c r="L110" s="3243"/>
      <c r="M110" s="1254"/>
      <c r="N110" s="3243"/>
      <c r="O110" s="3244"/>
    </row>
    <row r="111" spans="1:15">
      <c r="A111" s="1340">
        <v>2002.06</v>
      </c>
      <c r="B111" s="1253"/>
      <c r="C111" s="1253"/>
      <c r="D111" s="3243"/>
      <c r="E111" s="1254"/>
      <c r="F111" s="3243"/>
      <c r="G111" s="1254"/>
      <c r="H111" s="3243"/>
      <c r="I111" s="1254"/>
      <c r="J111" s="3243"/>
      <c r="K111" s="3243"/>
      <c r="L111" s="3243"/>
      <c r="M111" s="1254"/>
      <c r="N111" s="3243"/>
      <c r="O111" s="3244"/>
    </row>
    <row r="112" spans="1:15">
      <c r="A112" s="1340">
        <v>2002.07</v>
      </c>
      <c r="B112" s="1253"/>
      <c r="C112" s="1253"/>
      <c r="D112" s="3243"/>
      <c r="E112" s="1254"/>
      <c r="F112" s="3243"/>
      <c r="G112" s="1254"/>
      <c r="H112" s="3243"/>
      <c r="I112" s="1254"/>
      <c r="J112" s="3243"/>
      <c r="K112" s="3243"/>
      <c r="L112" s="3243"/>
      <c r="M112" s="1254"/>
      <c r="N112" s="3243"/>
      <c r="O112" s="3244"/>
    </row>
    <row r="113" spans="1:15">
      <c r="A113" s="1340">
        <v>2002.08</v>
      </c>
      <c r="B113" s="1253"/>
      <c r="C113" s="1253"/>
      <c r="D113" s="3243"/>
      <c r="E113" s="1254"/>
      <c r="F113" s="3243"/>
      <c r="G113" s="1254"/>
      <c r="H113" s="3243"/>
      <c r="I113" s="1254"/>
      <c r="J113" s="3243"/>
      <c r="K113" s="3243"/>
      <c r="L113" s="3243"/>
      <c r="M113" s="1254"/>
      <c r="N113" s="3243"/>
      <c r="O113" s="3244"/>
    </row>
    <row r="114" spans="1:15">
      <c r="A114" s="1340">
        <v>2002.09</v>
      </c>
      <c r="B114" s="1253"/>
      <c r="C114" s="1253"/>
      <c r="D114" s="3243"/>
      <c r="E114" s="1254"/>
      <c r="F114" s="3243"/>
      <c r="G114" s="1254"/>
      <c r="H114" s="3243"/>
      <c r="I114" s="1254"/>
      <c r="J114" s="3243"/>
      <c r="K114" s="3243"/>
      <c r="L114" s="3243"/>
      <c r="M114" s="1254"/>
      <c r="N114" s="3243"/>
      <c r="O114" s="3244"/>
    </row>
    <row r="115" spans="1:15">
      <c r="A115" s="1340">
        <v>2002.1</v>
      </c>
      <c r="B115" s="1253"/>
      <c r="C115" s="1253"/>
      <c r="D115" s="3243"/>
      <c r="E115" s="1254"/>
      <c r="F115" s="3243"/>
      <c r="G115" s="1254"/>
      <c r="H115" s="3243"/>
      <c r="I115" s="1254"/>
      <c r="J115" s="3243"/>
      <c r="K115" s="3243"/>
      <c r="L115" s="3243"/>
      <c r="M115" s="1254"/>
      <c r="N115" s="3243"/>
      <c r="O115" s="3244"/>
    </row>
    <row r="116" spans="1:15">
      <c r="A116" s="1340">
        <v>2002.11</v>
      </c>
      <c r="B116" s="1253"/>
      <c r="C116" s="1253"/>
      <c r="D116" s="3243"/>
      <c r="E116" s="1254"/>
      <c r="F116" s="3243"/>
      <c r="G116" s="1254"/>
      <c r="H116" s="3243"/>
      <c r="I116" s="1254"/>
      <c r="J116" s="3243"/>
      <c r="K116" s="3243"/>
      <c r="L116" s="3243"/>
      <c r="M116" s="1254"/>
      <c r="N116" s="3243"/>
      <c r="O116" s="3244"/>
    </row>
    <row r="117" spans="1:15">
      <c r="A117" s="1340">
        <v>2002.12</v>
      </c>
      <c r="B117" s="1253"/>
      <c r="C117" s="1253"/>
      <c r="D117" s="3243"/>
      <c r="E117" s="1254"/>
      <c r="F117" s="3243"/>
      <c r="G117" s="1254"/>
      <c r="H117" s="3243"/>
      <c r="I117" s="1254"/>
      <c r="J117" s="3243"/>
      <c r="K117" s="3243"/>
      <c r="L117" s="3243"/>
      <c r="M117" s="1254"/>
      <c r="N117" s="3243"/>
      <c r="O117" s="3244"/>
    </row>
    <row r="118" spans="1:15">
      <c r="A118" s="1340">
        <v>2003.01</v>
      </c>
      <c r="B118" s="1253"/>
      <c r="C118" s="1253"/>
      <c r="D118" s="3243"/>
      <c r="E118" s="1254"/>
      <c r="F118" s="3243"/>
      <c r="G118" s="1254"/>
      <c r="H118" s="3243"/>
      <c r="I118" s="1254"/>
      <c r="J118" s="3243"/>
      <c r="K118" s="3243"/>
      <c r="L118" s="3243"/>
      <c r="M118" s="1254"/>
      <c r="N118" s="3243"/>
      <c r="O118" s="3244"/>
    </row>
    <row r="119" spans="1:15">
      <c r="A119" s="1340">
        <v>2003.02</v>
      </c>
      <c r="B119" s="1253"/>
      <c r="C119" s="1253"/>
      <c r="D119" s="3243"/>
      <c r="E119" s="1254"/>
      <c r="F119" s="3243"/>
      <c r="G119" s="1254"/>
      <c r="H119" s="3243"/>
      <c r="I119" s="1254"/>
      <c r="J119" s="3243"/>
      <c r="K119" s="3243"/>
      <c r="L119" s="3243"/>
      <c r="M119" s="1254"/>
      <c r="N119" s="3243"/>
      <c r="O119" s="3244"/>
    </row>
    <row r="120" spans="1:15">
      <c r="A120" s="1340">
        <v>2003.03</v>
      </c>
      <c r="B120" s="1253"/>
      <c r="C120" s="1253"/>
      <c r="D120" s="3243"/>
      <c r="E120" s="1254"/>
      <c r="F120" s="3243"/>
      <c r="G120" s="1254"/>
      <c r="H120" s="3243"/>
      <c r="I120" s="1254"/>
      <c r="J120" s="3243"/>
      <c r="K120" s="3243"/>
      <c r="L120" s="3243"/>
      <c r="M120" s="1254"/>
      <c r="N120" s="3243"/>
      <c r="O120" s="3244"/>
    </row>
    <row r="121" spans="1:15">
      <c r="A121" s="1340">
        <v>2003.04</v>
      </c>
      <c r="B121" s="1253"/>
      <c r="C121" s="1253"/>
      <c r="D121" s="3243"/>
      <c r="E121" s="1254"/>
      <c r="F121" s="3243"/>
      <c r="G121" s="1254"/>
      <c r="H121" s="3243"/>
      <c r="I121" s="1254"/>
      <c r="J121" s="3243"/>
      <c r="K121" s="3243"/>
      <c r="L121" s="3243"/>
      <c r="M121" s="1254"/>
      <c r="N121" s="3243"/>
      <c r="O121" s="3244"/>
    </row>
    <row r="122" spans="1:15">
      <c r="A122" s="1340">
        <v>2003.05</v>
      </c>
      <c r="B122" s="1253"/>
      <c r="C122" s="1253"/>
      <c r="D122" s="3243"/>
      <c r="E122" s="1254"/>
      <c r="F122" s="3243"/>
      <c r="G122" s="1254"/>
      <c r="H122" s="3243"/>
      <c r="I122" s="1254"/>
      <c r="J122" s="3243"/>
      <c r="K122" s="3243"/>
      <c r="L122" s="3243"/>
      <c r="M122" s="1254"/>
      <c r="N122" s="3243"/>
      <c r="O122" s="3244"/>
    </row>
    <row r="123" spans="1:15">
      <c r="A123" s="1340">
        <v>2003.06</v>
      </c>
      <c r="B123" s="1253"/>
      <c r="C123" s="1253"/>
      <c r="D123" s="3243"/>
      <c r="E123" s="1254"/>
      <c r="F123" s="3243"/>
      <c r="G123" s="1254"/>
      <c r="H123" s="3243"/>
      <c r="I123" s="1254"/>
      <c r="J123" s="3243"/>
      <c r="K123" s="3243"/>
      <c r="L123" s="3243"/>
      <c r="M123" s="1254"/>
      <c r="N123" s="3243"/>
      <c r="O123" s="3244"/>
    </row>
    <row r="124" spans="1:15">
      <c r="A124" s="1340">
        <v>2003.07</v>
      </c>
      <c r="B124" s="1253"/>
      <c r="C124" s="1253"/>
      <c r="D124" s="3243"/>
      <c r="E124" s="1254"/>
      <c r="F124" s="3243"/>
      <c r="G124" s="1254"/>
      <c r="H124" s="3243"/>
      <c r="I124" s="1254"/>
      <c r="J124" s="3243"/>
      <c r="K124" s="3243"/>
      <c r="L124" s="3243"/>
      <c r="M124" s="1254"/>
      <c r="N124" s="3243"/>
      <c r="O124" s="3244"/>
    </row>
    <row r="125" spans="1:15">
      <c r="A125" s="1340">
        <v>2003.08</v>
      </c>
      <c r="B125" s="1253"/>
      <c r="C125" s="1253"/>
      <c r="D125" s="3243"/>
      <c r="E125" s="1254"/>
      <c r="F125" s="3243"/>
      <c r="G125" s="1254"/>
      <c r="H125" s="3243"/>
      <c r="I125" s="1254"/>
      <c r="J125" s="3243"/>
      <c r="K125" s="3243"/>
      <c r="L125" s="3243"/>
      <c r="M125" s="1254"/>
      <c r="N125" s="3243"/>
      <c r="O125" s="3244"/>
    </row>
    <row r="126" spans="1:15">
      <c r="A126" s="1340">
        <v>2003.09</v>
      </c>
      <c r="B126" s="1253"/>
      <c r="C126" s="1253"/>
      <c r="D126" s="3243"/>
      <c r="E126" s="1254"/>
      <c r="F126" s="3243"/>
      <c r="G126" s="1254"/>
      <c r="H126" s="3243"/>
      <c r="I126" s="1254"/>
      <c r="J126" s="3243"/>
      <c r="K126" s="3243"/>
      <c r="L126" s="3243"/>
      <c r="M126" s="1254"/>
      <c r="N126" s="3243"/>
      <c r="O126" s="3244"/>
    </row>
    <row r="127" spans="1:15">
      <c r="A127" s="1340">
        <v>2003.1</v>
      </c>
      <c r="B127" s="1253"/>
      <c r="C127" s="1253"/>
      <c r="D127" s="3243"/>
      <c r="E127" s="1254"/>
      <c r="F127" s="3243"/>
      <c r="G127" s="1254"/>
      <c r="H127" s="3243"/>
      <c r="I127" s="1254"/>
      <c r="J127" s="3243"/>
      <c r="K127" s="3243"/>
      <c r="L127" s="3243"/>
      <c r="M127" s="1254"/>
      <c r="N127" s="3243"/>
      <c r="O127" s="3244"/>
    </row>
    <row r="128" spans="1:15">
      <c r="A128" s="1340">
        <v>2003.11</v>
      </c>
      <c r="B128" s="1253"/>
      <c r="C128" s="1253"/>
      <c r="D128" s="3243"/>
      <c r="E128" s="1254"/>
      <c r="F128" s="3243"/>
      <c r="G128" s="1254"/>
      <c r="H128" s="3243"/>
      <c r="I128" s="1254"/>
      <c r="J128" s="3243"/>
      <c r="K128" s="3243"/>
      <c r="L128" s="3243"/>
      <c r="M128" s="1254"/>
      <c r="N128" s="3243"/>
      <c r="O128" s="3244"/>
    </row>
    <row r="129" spans="1:15">
      <c r="A129" s="1340">
        <v>2003.12</v>
      </c>
      <c r="B129" s="1253"/>
      <c r="C129" s="1253"/>
      <c r="D129" s="3243"/>
      <c r="E129" s="1254"/>
      <c r="F129" s="3243"/>
      <c r="G129" s="1254"/>
      <c r="H129" s="3243"/>
      <c r="I129" s="1254"/>
      <c r="J129" s="3243"/>
      <c r="K129" s="3243"/>
      <c r="L129" s="3243"/>
      <c r="M129" s="1254"/>
      <c r="N129" s="3243"/>
      <c r="O129" s="3244"/>
    </row>
    <row r="130" spans="1:15">
      <c r="A130" s="1340">
        <v>2004.01</v>
      </c>
      <c r="B130" s="1253"/>
      <c r="C130" s="1253"/>
      <c r="D130" s="3243"/>
      <c r="E130" s="1254"/>
      <c r="F130" s="3243"/>
      <c r="G130" s="1254"/>
      <c r="H130" s="3243"/>
      <c r="I130" s="1254"/>
      <c r="J130" s="3243"/>
      <c r="K130" s="3243"/>
      <c r="L130" s="3243"/>
      <c r="M130" s="1254"/>
      <c r="N130" s="3243"/>
      <c r="O130" s="3244"/>
    </row>
    <row r="131" spans="1:15">
      <c r="A131" s="1340">
        <v>2004.02</v>
      </c>
      <c r="B131" s="1253"/>
      <c r="C131" s="1253"/>
      <c r="D131" s="3243"/>
      <c r="E131" s="1254"/>
      <c r="F131" s="3243"/>
      <c r="G131" s="1254"/>
      <c r="H131" s="3243"/>
      <c r="I131" s="1254"/>
      <c r="J131" s="3243"/>
      <c r="K131" s="3243"/>
      <c r="L131" s="3243"/>
      <c r="M131" s="1254"/>
      <c r="N131" s="3243"/>
      <c r="O131" s="3244"/>
    </row>
    <row r="132" spans="1:15">
      <c r="A132" s="1340">
        <v>2004.03</v>
      </c>
      <c r="B132" s="1253"/>
      <c r="C132" s="1253"/>
      <c r="D132" s="3243"/>
      <c r="E132" s="1254"/>
      <c r="F132" s="3243"/>
      <c r="G132" s="1254"/>
      <c r="H132" s="3243"/>
      <c r="I132" s="1254"/>
      <c r="J132" s="3243"/>
      <c r="K132" s="3243"/>
      <c r="L132" s="3243"/>
      <c r="M132" s="1254"/>
      <c r="N132" s="3243"/>
      <c r="O132" s="3244"/>
    </row>
    <row r="133" spans="1:15">
      <c r="A133" s="1340">
        <v>2004.04</v>
      </c>
      <c r="B133" s="1253"/>
      <c r="C133" s="1253"/>
      <c r="D133" s="3243"/>
      <c r="E133" s="1254"/>
      <c r="F133" s="3243"/>
      <c r="G133" s="1254"/>
      <c r="H133" s="3243"/>
      <c r="I133" s="1254"/>
      <c r="J133" s="3243"/>
      <c r="K133" s="3243"/>
      <c r="L133" s="3243"/>
      <c r="M133" s="1254"/>
      <c r="N133" s="3243"/>
      <c r="O133" s="3244"/>
    </row>
    <row r="134" spans="1:15">
      <c r="A134" s="1340">
        <v>2004.05</v>
      </c>
      <c r="B134" s="1253"/>
      <c r="C134" s="1253"/>
      <c r="D134" s="3243"/>
      <c r="E134" s="1254"/>
      <c r="F134" s="3243"/>
      <c r="G134" s="1254"/>
      <c r="H134" s="3243"/>
      <c r="I134" s="1254"/>
      <c r="J134" s="3243"/>
      <c r="K134" s="3243"/>
      <c r="L134" s="3243"/>
      <c r="M134" s="1254"/>
      <c r="N134" s="3243"/>
      <c r="O134" s="3244"/>
    </row>
    <row r="135" spans="1:15">
      <c r="A135" s="1340">
        <v>2004.06</v>
      </c>
      <c r="B135" s="1253"/>
      <c r="C135" s="1253"/>
      <c r="D135" s="3243"/>
      <c r="E135" s="1254"/>
      <c r="F135" s="3243"/>
      <c r="G135" s="1254"/>
      <c r="H135" s="3243"/>
      <c r="I135" s="1254"/>
      <c r="J135" s="3243"/>
      <c r="K135" s="3243"/>
      <c r="L135" s="3243"/>
      <c r="M135" s="1254"/>
      <c r="N135" s="3243"/>
      <c r="O135" s="3244"/>
    </row>
    <row r="136" spans="1:15">
      <c r="A136" s="1340">
        <v>2004.07</v>
      </c>
      <c r="B136" s="1253"/>
      <c r="C136" s="1253"/>
      <c r="D136" s="3243"/>
      <c r="E136" s="1254"/>
      <c r="F136" s="3243"/>
      <c r="G136" s="1254"/>
      <c r="H136" s="3243"/>
      <c r="I136" s="1254"/>
      <c r="J136" s="3243"/>
      <c r="K136" s="3243"/>
      <c r="L136" s="3243"/>
      <c r="M136" s="1254"/>
      <c r="N136" s="3243"/>
      <c r="O136" s="3244"/>
    </row>
    <row r="137" spans="1:15">
      <c r="A137" s="1340">
        <v>2004.08</v>
      </c>
      <c r="B137" s="1253"/>
      <c r="C137" s="1253"/>
      <c r="D137" s="3243"/>
      <c r="E137" s="1254"/>
      <c r="F137" s="3243"/>
      <c r="G137" s="1254"/>
      <c r="H137" s="3243"/>
      <c r="I137" s="1254"/>
      <c r="J137" s="3243"/>
      <c r="K137" s="3243"/>
      <c r="L137" s="3243"/>
      <c r="M137" s="1254"/>
      <c r="N137" s="3243"/>
      <c r="O137" s="3244"/>
    </row>
    <row r="138" spans="1:15">
      <c r="A138" s="1340">
        <v>2004.09</v>
      </c>
      <c r="B138" s="1253"/>
      <c r="C138" s="1253"/>
      <c r="D138" s="3243"/>
      <c r="E138" s="1254"/>
      <c r="F138" s="3243"/>
      <c r="G138" s="1254"/>
      <c r="H138" s="3243"/>
      <c r="I138" s="1254"/>
      <c r="J138" s="3243"/>
      <c r="K138" s="3243"/>
      <c r="L138" s="3243"/>
      <c r="M138" s="1254"/>
      <c r="N138" s="3243"/>
      <c r="O138" s="3244"/>
    </row>
    <row r="139" spans="1:15">
      <c r="A139" s="1340">
        <v>2004.1</v>
      </c>
      <c r="B139" s="1253"/>
      <c r="C139" s="1253"/>
      <c r="D139" s="3243"/>
      <c r="E139" s="1254"/>
      <c r="F139" s="3243"/>
      <c r="G139" s="1254"/>
      <c r="H139" s="3243"/>
      <c r="I139" s="1254"/>
      <c r="J139" s="3243"/>
      <c r="K139" s="3243"/>
      <c r="L139" s="3243"/>
      <c r="M139" s="1254"/>
      <c r="N139" s="3243"/>
      <c r="O139" s="3244"/>
    </row>
    <row r="140" spans="1:15">
      <c r="A140" s="1340">
        <v>2004.11</v>
      </c>
      <c r="B140" s="1253"/>
      <c r="C140" s="1253"/>
      <c r="D140" s="3243"/>
      <c r="E140" s="1254"/>
      <c r="F140" s="3243"/>
      <c r="G140" s="1254"/>
      <c r="H140" s="3243"/>
      <c r="I140" s="1254"/>
      <c r="J140" s="3243"/>
      <c r="K140" s="3243"/>
      <c r="L140" s="3243"/>
      <c r="M140" s="1254"/>
      <c r="N140" s="3243"/>
      <c r="O140" s="3244"/>
    </row>
    <row r="141" spans="1:15">
      <c r="A141" s="1340">
        <v>2004.12</v>
      </c>
      <c r="B141" s="1253"/>
      <c r="C141" s="1253"/>
      <c r="D141" s="3243"/>
      <c r="E141" s="1254"/>
      <c r="F141" s="3243"/>
      <c r="G141" s="1254"/>
      <c r="H141" s="3243"/>
      <c r="I141" s="1254"/>
      <c r="J141" s="3243"/>
      <c r="K141" s="3243"/>
      <c r="L141" s="3243"/>
      <c r="M141" s="1254"/>
      <c r="N141" s="3243"/>
      <c r="O141" s="3244"/>
    </row>
    <row r="142" spans="1:15">
      <c r="A142" s="1340">
        <v>2005.01</v>
      </c>
      <c r="B142" s="1253"/>
      <c r="C142" s="1253"/>
      <c r="D142" s="3243"/>
      <c r="E142" s="1254"/>
      <c r="F142" s="3243"/>
      <c r="G142" s="1254"/>
      <c r="H142" s="3243"/>
      <c r="I142" s="1254"/>
      <c r="J142" s="3243"/>
      <c r="K142" s="3243"/>
      <c r="L142" s="3243"/>
      <c r="M142" s="1254"/>
      <c r="N142" s="3243"/>
      <c r="O142" s="3244"/>
    </row>
    <row r="143" spans="1:15">
      <c r="A143" s="1340">
        <v>2005.02</v>
      </c>
      <c r="B143" s="1253"/>
      <c r="C143" s="1253"/>
      <c r="D143" s="3243"/>
      <c r="E143" s="1254"/>
      <c r="F143" s="3243"/>
      <c r="G143" s="1254"/>
      <c r="H143" s="3243"/>
      <c r="I143" s="1254"/>
      <c r="J143" s="3243"/>
      <c r="K143" s="3243"/>
      <c r="L143" s="3243"/>
      <c r="M143" s="1254"/>
      <c r="N143" s="3243"/>
      <c r="O143" s="3244"/>
    </row>
    <row r="144" spans="1:15">
      <c r="A144" s="1340">
        <v>2005.03</v>
      </c>
      <c r="B144" s="1253"/>
      <c r="C144" s="1253"/>
      <c r="D144" s="3243"/>
      <c r="E144" s="1254"/>
      <c r="F144" s="3243"/>
      <c r="G144" s="1254"/>
      <c r="H144" s="3243"/>
      <c r="I144" s="1254"/>
      <c r="J144" s="3243"/>
      <c r="K144" s="3243"/>
      <c r="L144" s="3243"/>
      <c r="M144" s="1254"/>
      <c r="N144" s="3243"/>
      <c r="O144" s="3244"/>
    </row>
    <row r="145" spans="1:15">
      <c r="A145" s="1340">
        <v>2005.04</v>
      </c>
      <c r="B145" s="1253"/>
      <c r="C145" s="1253"/>
      <c r="D145" s="3243"/>
      <c r="E145" s="1254"/>
      <c r="F145" s="3243"/>
      <c r="G145" s="1254"/>
      <c r="H145" s="3243"/>
      <c r="I145" s="1254"/>
      <c r="J145" s="3243"/>
      <c r="K145" s="3243"/>
      <c r="L145" s="3243"/>
      <c r="M145" s="1254"/>
      <c r="N145" s="3243"/>
      <c r="O145" s="3244"/>
    </row>
    <row r="146" spans="1:15">
      <c r="A146" s="1340">
        <v>2005.05</v>
      </c>
      <c r="B146" s="1253"/>
      <c r="C146" s="1253"/>
      <c r="D146" s="3243"/>
      <c r="E146" s="1254"/>
      <c r="F146" s="3243"/>
      <c r="G146" s="1254"/>
      <c r="H146" s="3243"/>
      <c r="I146" s="1254"/>
      <c r="J146" s="3243"/>
      <c r="K146" s="3243"/>
      <c r="L146" s="3243"/>
      <c r="M146" s="1254"/>
      <c r="N146" s="3243"/>
      <c r="O146" s="3244"/>
    </row>
    <row r="147" spans="1:15">
      <c r="A147" s="1340">
        <v>2005.06</v>
      </c>
      <c r="B147" s="1253"/>
      <c r="C147" s="1253"/>
      <c r="D147" s="3243"/>
      <c r="E147" s="1254"/>
      <c r="F147" s="3243"/>
      <c r="G147" s="1254"/>
      <c r="H147" s="3243"/>
      <c r="I147" s="1254"/>
      <c r="J147" s="3243"/>
      <c r="K147" s="3243"/>
      <c r="L147" s="3243"/>
      <c r="M147" s="1254"/>
      <c r="N147" s="3243"/>
      <c r="O147" s="3244"/>
    </row>
    <row r="148" spans="1:15">
      <c r="A148" s="1340">
        <v>2005.07</v>
      </c>
      <c r="B148" s="1253"/>
      <c r="C148" s="1253"/>
      <c r="D148" s="3243"/>
      <c r="E148" s="1254"/>
      <c r="F148" s="3243"/>
      <c r="G148" s="1254"/>
      <c r="H148" s="3243"/>
      <c r="I148" s="1254"/>
      <c r="J148" s="3243"/>
      <c r="K148" s="3243"/>
      <c r="L148" s="3243"/>
      <c r="M148" s="1254"/>
      <c r="N148" s="3243"/>
      <c r="O148" s="3244"/>
    </row>
    <row r="149" spans="1:15">
      <c r="A149" s="1340">
        <v>2005.08</v>
      </c>
      <c r="B149" s="1253"/>
      <c r="C149" s="1253"/>
      <c r="D149" s="3243"/>
      <c r="E149" s="1254"/>
      <c r="F149" s="3243"/>
      <c r="G149" s="1254"/>
      <c r="H149" s="3243"/>
      <c r="I149" s="1254"/>
      <c r="J149" s="3243"/>
      <c r="K149" s="3243"/>
      <c r="L149" s="3243"/>
      <c r="M149" s="1254"/>
      <c r="N149" s="3243"/>
      <c r="O149" s="3244"/>
    </row>
    <row r="150" spans="1:15">
      <c r="A150" s="1340">
        <v>2005.09</v>
      </c>
      <c r="B150" s="1253"/>
      <c r="C150" s="1253"/>
      <c r="D150" s="3243"/>
      <c r="E150" s="1254"/>
      <c r="F150" s="3243"/>
      <c r="G150" s="1254"/>
      <c r="H150" s="3243"/>
      <c r="I150" s="1254"/>
      <c r="J150" s="3243"/>
      <c r="K150" s="3243"/>
      <c r="L150" s="3243"/>
      <c r="M150" s="1254"/>
      <c r="N150" s="3243"/>
      <c r="O150" s="3244"/>
    </row>
    <row r="151" spans="1:15">
      <c r="A151" s="1340">
        <v>2005.1</v>
      </c>
      <c r="B151" s="1253"/>
      <c r="C151" s="1253"/>
      <c r="D151" s="3243"/>
      <c r="E151" s="1254"/>
      <c r="F151" s="3243"/>
      <c r="G151" s="1254"/>
      <c r="H151" s="3243"/>
      <c r="I151" s="1254"/>
      <c r="J151" s="3243"/>
      <c r="K151" s="3243"/>
      <c r="L151" s="3243"/>
      <c r="M151" s="1254"/>
      <c r="N151" s="3243"/>
      <c r="O151" s="3244"/>
    </row>
    <row r="152" spans="1:15">
      <c r="A152" s="1340">
        <v>2005.11</v>
      </c>
      <c r="B152" s="1253"/>
      <c r="C152" s="1253"/>
      <c r="D152" s="3243"/>
      <c r="E152" s="1254"/>
      <c r="F152" s="3243"/>
      <c r="G152" s="1254"/>
      <c r="H152" s="3243"/>
      <c r="I152" s="1254"/>
      <c r="J152" s="3243"/>
      <c r="K152" s="3243"/>
      <c r="L152" s="3243"/>
      <c r="M152" s="1254"/>
      <c r="N152" s="3243"/>
      <c r="O152" s="3244"/>
    </row>
    <row r="153" spans="1:15">
      <c r="A153" s="1340">
        <v>2005.12</v>
      </c>
      <c r="B153" s="1253"/>
      <c r="C153" s="1253"/>
      <c r="D153" s="3243"/>
      <c r="E153" s="1254"/>
      <c r="F153" s="3243"/>
      <c r="G153" s="1254"/>
      <c r="H153" s="3243"/>
      <c r="I153" s="1254"/>
      <c r="J153" s="3243"/>
      <c r="K153" s="3243"/>
      <c r="L153" s="3243"/>
      <c r="M153" s="1254"/>
      <c r="N153" s="3243"/>
      <c r="O153" s="3244"/>
    </row>
    <row r="154" spans="1:15">
      <c r="A154" s="1340">
        <v>2006.01</v>
      </c>
      <c r="B154" s="1253"/>
      <c r="C154" s="1253"/>
      <c r="D154" s="3243"/>
      <c r="E154" s="1254"/>
      <c r="F154" s="3243"/>
      <c r="G154" s="1254"/>
      <c r="H154" s="3243"/>
      <c r="I154" s="1254"/>
      <c r="J154" s="3243"/>
      <c r="K154" s="3243"/>
      <c r="L154" s="3243"/>
      <c r="M154" s="1254"/>
      <c r="N154" s="3243"/>
      <c r="O154" s="3244"/>
    </row>
    <row r="155" spans="1:15">
      <c r="A155" s="1340">
        <v>2006.02</v>
      </c>
      <c r="B155" s="1253"/>
      <c r="C155" s="1253"/>
      <c r="D155" s="3243"/>
      <c r="E155" s="1254"/>
      <c r="F155" s="3243"/>
      <c r="G155" s="1254"/>
      <c r="H155" s="3243"/>
      <c r="I155" s="1254"/>
      <c r="J155" s="3243"/>
      <c r="K155" s="3243"/>
      <c r="L155" s="3243"/>
      <c r="M155" s="1254"/>
      <c r="N155" s="3243"/>
      <c r="O155" s="3244"/>
    </row>
    <row r="156" spans="1:15">
      <c r="A156" s="1340">
        <v>2006.03</v>
      </c>
      <c r="B156" s="1253"/>
      <c r="C156" s="1253"/>
      <c r="D156" s="3243"/>
      <c r="E156" s="1254"/>
      <c r="F156" s="3243"/>
      <c r="G156" s="1254"/>
      <c r="H156" s="3243"/>
      <c r="I156" s="1254"/>
      <c r="J156" s="3243"/>
      <c r="K156" s="3243"/>
      <c r="L156" s="3243"/>
      <c r="M156" s="1254"/>
      <c r="N156" s="3243"/>
      <c r="O156" s="3244"/>
    </row>
    <row r="157" spans="1:15">
      <c r="A157" s="1340">
        <v>2006.04</v>
      </c>
      <c r="B157" s="1253"/>
      <c r="C157" s="1253"/>
      <c r="D157" s="3243"/>
      <c r="E157" s="1254"/>
      <c r="F157" s="3243"/>
      <c r="G157" s="1254"/>
      <c r="H157" s="3243"/>
      <c r="I157" s="1254"/>
      <c r="J157" s="3243"/>
      <c r="K157" s="3243"/>
      <c r="L157" s="3243"/>
      <c r="M157" s="1254"/>
      <c r="N157" s="3243"/>
      <c r="O157" s="3244"/>
    </row>
    <row r="158" spans="1:15">
      <c r="A158" s="1340">
        <v>2006.05</v>
      </c>
      <c r="B158" s="1253"/>
      <c r="C158" s="1253"/>
      <c r="D158" s="3243"/>
      <c r="E158" s="1254"/>
      <c r="F158" s="3243"/>
      <c r="G158" s="1254"/>
      <c r="H158" s="3243"/>
      <c r="I158" s="1254"/>
      <c r="J158" s="3243"/>
      <c r="K158" s="3243"/>
      <c r="L158" s="3243"/>
      <c r="M158" s="1254"/>
      <c r="N158" s="3243"/>
      <c r="O158" s="3244"/>
    </row>
    <row r="159" spans="1:15">
      <c r="A159" s="1340">
        <v>2006.06</v>
      </c>
      <c r="B159" s="1253"/>
      <c r="C159" s="1253"/>
      <c r="D159" s="3243"/>
      <c r="E159" s="1254"/>
      <c r="F159" s="3243"/>
      <c r="G159" s="1254"/>
      <c r="H159" s="3243"/>
      <c r="I159" s="1254"/>
      <c r="J159" s="3243"/>
      <c r="K159" s="3243"/>
      <c r="L159" s="3243"/>
      <c r="M159" s="1254"/>
      <c r="N159" s="3243"/>
      <c r="O159" s="3244"/>
    </row>
    <row r="160" spans="1:15">
      <c r="A160" s="1340">
        <v>2006.07</v>
      </c>
      <c r="B160" s="1253"/>
      <c r="C160" s="1253"/>
      <c r="D160" s="3243"/>
      <c r="E160" s="1254"/>
      <c r="F160" s="3243"/>
      <c r="G160" s="1254"/>
      <c r="H160" s="3243"/>
      <c r="I160" s="1254"/>
      <c r="J160" s="3243"/>
      <c r="K160" s="3243"/>
      <c r="L160" s="3243"/>
      <c r="M160" s="1254"/>
      <c r="N160" s="3243"/>
      <c r="O160" s="3244"/>
    </row>
    <row r="161" spans="1:15">
      <c r="A161" s="1340">
        <v>2006.08</v>
      </c>
      <c r="B161" s="1253"/>
      <c r="C161" s="1253"/>
      <c r="D161" s="3243"/>
      <c r="E161" s="1254"/>
      <c r="F161" s="3243"/>
      <c r="G161" s="1254"/>
      <c r="H161" s="3243"/>
      <c r="I161" s="1254"/>
      <c r="J161" s="3243"/>
      <c r="K161" s="3243"/>
      <c r="L161" s="3243"/>
      <c r="M161" s="1254"/>
      <c r="N161" s="3243"/>
      <c r="O161" s="3244"/>
    </row>
    <row r="162" spans="1:15">
      <c r="A162" s="1340">
        <v>2006.09</v>
      </c>
      <c r="B162" s="1253"/>
      <c r="C162" s="1253"/>
      <c r="D162" s="3243"/>
      <c r="E162" s="1254"/>
      <c r="F162" s="3243"/>
      <c r="G162" s="1254"/>
      <c r="H162" s="3243"/>
      <c r="I162" s="1254"/>
      <c r="J162" s="3243"/>
      <c r="K162" s="3243"/>
      <c r="L162" s="3243"/>
      <c r="M162" s="1254"/>
      <c r="N162" s="3243"/>
      <c r="O162" s="3244"/>
    </row>
    <row r="163" spans="1:15">
      <c r="A163" s="1340">
        <v>2006.1</v>
      </c>
      <c r="B163" s="1253"/>
      <c r="C163" s="1253"/>
      <c r="D163" s="3243"/>
      <c r="E163" s="1254"/>
      <c r="F163" s="3243"/>
      <c r="G163" s="1254"/>
      <c r="H163" s="3243"/>
      <c r="I163" s="1254"/>
      <c r="J163" s="3243"/>
      <c r="K163" s="3243"/>
      <c r="L163" s="3243"/>
      <c r="M163" s="1254"/>
      <c r="N163" s="3243"/>
      <c r="O163" s="3244"/>
    </row>
    <row r="164" spans="1:15">
      <c r="A164" s="1340">
        <v>2006.11</v>
      </c>
      <c r="B164" s="1253"/>
      <c r="C164" s="1253"/>
      <c r="D164" s="3243"/>
      <c r="E164" s="1254"/>
      <c r="F164" s="3243"/>
      <c r="G164" s="1254"/>
      <c r="H164" s="3243"/>
      <c r="I164" s="1254"/>
      <c r="J164" s="3243"/>
      <c r="K164" s="3243"/>
      <c r="L164" s="3243"/>
      <c r="M164" s="1254"/>
      <c r="N164" s="3243"/>
      <c r="O164" s="3244"/>
    </row>
    <row r="165" spans="1:15">
      <c r="A165" s="1340">
        <v>2006.12</v>
      </c>
      <c r="B165" s="1253"/>
      <c r="C165" s="1253"/>
      <c r="D165" s="3243"/>
      <c r="E165" s="1254"/>
      <c r="F165" s="3243"/>
      <c r="G165" s="1254"/>
      <c r="H165" s="3243"/>
      <c r="I165" s="1254"/>
      <c r="J165" s="3243"/>
      <c r="K165" s="3243"/>
      <c r="L165" s="3243"/>
      <c r="M165" s="1254"/>
      <c r="N165" s="3243"/>
      <c r="O165" s="3244"/>
    </row>
    <row r="166" spans="1:15">
      <c r="A166" s="1340">
        <v>2007.01</v>
      </c>
      <c r="B166" s="1253"/>
      <c r="C166" s="1253"/>
      <c r="D166" s="3243"/>
      <c r="E166" s="1254"/>
      <c r="F166" s="3243"/>
      <c r="G166" s="1254"/>
      <c r="H166" s="3243"/>
      <c r="I166" s="1254"/>
      <c r="J166" s="3243"/>
      <c r="K166" s="3243"/>
      <c r="L166" s="3243"/>
      <c r="M166" s="1254"/>
      <c r="N166" s="3243"/>
      <c r="O166" s="3244"/>
    </row>
    <row r="167" spans="1:15">
      <c r="A167" s="1340">
        <v>2007.02</v>
      </c>
      <c r="B167" s="1253"/>
      <c r="C167" s="1253"/>
      <c r="D167" s="3243"/>
      <c r="E167" s="1254"/>
      <c r="F167" s="3243"/>
      <c r="G167" s="1254"/>
      <c r="H167" s="3243"/>
      <c r="I167" s="1254"/>
      <c r="J167" s="3243"/>
      <c r="K167" s="3243"/>
      <c r="L167" s="3243"/>
      <c r="M167" s="1254"/>
      <c r="N167" s="3243"/>
      <c r="O167" s="3244"/>
    </row>
    <row r="168" spans="1:15">
      <c r="A168" s="1340">
        <v>2007.03</v>
      </c>
      <c r="B168" s="1253"/>
      <c r="C168" s="1253"/>
      <c r="D168" s="3243"/>
      <c r="E168" s="1254"/>
      <c r="F168" s="3243"/>
      <c r="G168" s="1254"/>
      <c r="H168" s="3243"/>
      <c r="I168" s="1254"/>
      <c r="J168" s="3243"/>
      <c r="K168" s="3243"/>
      <c r="L168" s="3243"/>
      <c r="M168" s="1254"/>
      <c r="N168" s="3243"/>
      <c r="O168" s="3244"/>
    </row>
    <row r="169" spans="1:15">
      <c r="A169" s="1340">
        <v>2007.04</v>
      </c>
      <c r="B169" s="1253"/>
      <c r="C169" s="1253"/>
      <c r="D169" s="3243"/>
      <c r="E169" s="1254"/>
      <c r="F169" s="3243"/>
      <c r="G169" s="1254"/>
      <c r="H169" s="3243"/>
      <c r="I169" s="1254"/>
      <c r="J169" s="3243"/>
      <c r="K169" s="3243"/>
      <c r="L169" s="3243"/>
      <c r="M169" s="1254"/>
      <c r="N169" s="3243"/>
      <c r="O169" s="3244"/>
    </row>
    <row r="170" spans="1:15">
      <c r="A170" s="1340">
        <v>2007.05</v>
      </c>
      <c r="B170" s="1253"/>
      <c r="C170" s="1253"/>
      <c r="D170" s="3243"/>
      <c r="E170" s="1254"/>
      <c r="F170" s="3243"/>
      <c r="G170" s="1254"/>
      <c r="H170" s="3243"/>
      <c r="I170" s="1254"/>
      <c r="J170" s="3243"/>
      <c r="K170" s="3243"/>
      <c r="L170" s="3243"/>
      <c r="M170" s="1254"/>
      <c r="N170" s="3243"/>
      <c r="O170" s="3244"/>
    </row>
    <row r="171" spans="1:15">
      <c r="A171" s="1340">
        <v>2007.06</v>
      </c>
      <c r="B171" s="1253"/>
      <c r="C171" s="1253"/>
      <c r="D171" s="3243"/>
      <c r="E171" s="1254"/>
      <c r="F171" s="3243"/>
      <c r="G171" s="1254"/>
      <c r="H171" s="3243"/>
      <c r="I171" s="1254"/>
      <c r="J171" s="3243"/>
      <c r="K171" s="3243"/>
      <c r="L171" s="3243"/>
      <c r="M171" s="1254"/>
      <c r="N171" s="3243"/>
      <c r="O171" s="3244"/>
    </row>
    <row r="172" spans="1:15">
      <c r="A172" s="1340">
        <v>2007.07</v>
      </c>
      <c r="B172" s="1253"/>
      <c r="C172" s="1253"/>
      <c r="D172" s="3243"/>
      <c r="E172" s="1254"/>
      <c r="F172" s="3243"/>
      <c r="G172" s="1254"/>
      <c r="H172" s="3243"/>
      <c r="I172" s="1254"/>
      <c r="J172" s="3243"/>
      <c r="K172" s="3243"/>
      <c r="L172" s="3243"/>
      <c r="M172" s="1254"/>
      <c r="N172" s="3243"/>
      <c r="O172" s="3244"/>
    </row>
    <row r="173" spans="1:15">
      <c r="A173" s="1340">
        <v>2007.08</v>
      </c>
      <c r="B173" s="1253"/>
      <c r="C173" s="1253"/>
      <c r="D173" s="3243"/>
      <c r="E173" s="1254"/>
      <c r="F173" s="3243"/>
      <c r="G173" s="1254"/>
      <c r="H173" s="3243"/>
      <c r="I173" s="1254"/>
      <c r="J173" s="3243"/>
      <c r="K173" s="3243"/>
      <c r="L173" s="3243"/>
      <c r="M173" s="1254"/>
      <c r="N173" s="3243"/>
      <c r="O173" s="3244"/>
    </row>
    <row r="174" spans="1:15">
      <c r="A174" s="1340">
        <v>2007.09</v>
      </c>
      <c r="B174" s="1253"/>
      <c r="C174" s="1253"/>
      <c r="D174" s="3243"/>
      <c r="E174" s="1254"/>
      <c r="F174" s="3243"/>
      <c r="G174" s="1254"/>
      <c r="H174" s="3243"/>
      <c r="I174" s="1254"/>
      <c r="J174" s="3243"/>
      <c r="K174" s="3243"/>
      <c r="L174" s="3243"/>
      <c r="M174" s="1254"/>
      <c r="N174" s="3243"/>
      <c r="O174" s="3244"/>
    </row>
    <row r="175" spans="1:15">
      <c r="A175" s="1340">
        <v>2007.1</v>
      </c>
      <c r="B175" s="1253"/>
      <c r="C175" s="1253"/>
      <c r="D175" s="3243"/>
      <c r="E175" s="1254"/>
      <c r="F175" s="3243"/>
      <c r="G175" s="1254"/>
      <c r="H175" s="3243"/>
      <c r="I175" s="1254"/>
      <c r="J175" s="3243"/>
      <c r="K175" s="3243"/>
      <c r="L175" s="3243"/>
      <c r="M175" s="1254"/>
      <c r="N175" s="3243"/>
      <c r="O175" s="3244"/>
    </row>
    <row r="176" spans="1:15">
      <c r="A176" s="1340">
        <v>2007.11</v>
      </c>
      <c r="B176" s="1253"/>
      <c r="C176" s="1253"/>
      <c r="D176" s="3243"/>
      <c r="E176" s="1254"/>
      <c r="F176" s="3243"/>
      <c r="G176" s="1254"/>
      <c r="H176" s="3243"/>
      <c r="I176" s="1254"/>
      <c r="J176" s="3243"/>
      <c r="K176" s="3243"/>
      <c r="L176" s="3243"/>
      <c r="M176" s="1254"/>
      <c r="N176" s="3243"/>
      <c r="O176" s="3244"/>
    </row>
    <row r="177" spans="1:15">
      <c r="A177" s="1340">
        <v>2007.12</v>
      </c>
      <c r="B177" s="1253"/>
      <c r="C177" s="1253"/>
      <c r="D177" s="3243"/>
      <c r="E177" s="1254"/>
      <c r="F177" s="3243"/>
      <c r="G177" s="1254"/>
      <c r="H177" s="3243"/>
      <c r="I177" s="1254"/>
      <c r="J177" s="3243"/>
      <c r="K177" s="3243"/>
      <c r="L177" s="3243"/>
      <c r="M177" s="1254"/>
      <c r="N177" s="3243"/>
      <c r="O177" s="3244"/>
    </row>
    <row r="178" spans="1:15">
      <c r="A178" s="1340">
        <f t="shared" ref="A178:A241" si="0">A166+1</f>
        <v>2008.01</v>
      </c>
      <c r="B178" s="1253"/>
      <c r="C178" s="1253"/>
      <c r="D178" s="3243"/>
      <c r="E178" s="1254"/>
      <c r="F178" s="3243"/>
      <c r="G178" s="1254"/>
      <c r="H178" s="3243"/>
      <c r="I178" s="1254"/>
      <c r="J178" s="3243"/>
      <c r="K178" s="3243"/>
      <c r="L178" s="3243"/>
      <c r="M178" s="1254"/>
      <c r="N178" s="3243"/>
      <c r="O178" s="3244"/>
    </row>
    <row r="179" spans="1:15">
      <c r="A179" s="1340">
        <f t="shared" si="0"/>
        <v>2008.02</v>
      </c>
      <c r="B179" s="1253"/>
      <c r="C179" s="1253"/>
      <c r="D179" s="3243"/>
      <c r="E179" s="1254"/>
      <c r="F179" s="3243"/>
      <c r="G179" s="1254"/>
      <c r="H179" s="3243"/>
      <c r="I179" s="1254"/>
      <c r="J179" s="3243"/>
      <c r="K179" s="3243"/>
      <c r="L179" s="3243"/>
      <c r="M179" s="1254"/>
      <c r="N179" s="3243"/>
      <c r="O179" s="3244"/>
    </row>
    <row r="180" spans="1:15">
      <c r="A180" s="1340">
        <f t="shared" si="0"/>
        <v>2008.03</v>
      </c>
      <c r="B180" s="1253"/>
      <c r="C180" s="1253"/>
      <c r="D180" s="3243"/>
      <c r="E180" s="1254"/>
      <c r="F180" s="3243"/>
      <c r="G180" s="1254"/>
      <c r="H180" s="3243"/>
      <c r="I180" s="1254"/>
      <c r="J180" s="3243"/>
      <c r="K180" s="3243"/>
      <c r="L180" s="3243"/>
      <c r="M180" s="1254"/>
      <c r="N180" s="3243"/>
      <c r="O180" s="3244"/>
    </row>
    <row r="181" spans="1:15">
      <c r="A181" s="1340">
        <f t="shared" si="0"/>
        <v>2008.04</v>
      </c>
      <c r="B181" s="1253"/>
      <c r="C181" s="1253"/>
      <c r="D181" s="3243"/>
      <c r="E181" s="1254"/>
      <c r="F181" s="3243"/>
      <c r="G181" s="1254"/>
      <c r="H181" s="3243"/>
      <c r="I181" s="1254"/>
      <c r="J181" s="3243"/>
      <c r="K181" s="3243"/>
      <c r="L181" s="3243"/>
      <c r="M181" s="1254"/>
      <c r="N181" s="3243"/>
      <c r="O181" s="3244"/>
    </row>
    <row r="182" spans="1:15">
      <c r="A182" s="1340">
        <f t="shared" si="0"/>
        <v>2008.05</v>
      </c>
      <c r="B182" s="1253"/>
      <c r="C182" s="1253"/>
      <c r="D182" s="3243"/>
      <c r="E182" s="1254"/>
      <c r="F182" s="3243"/>
      <c r="G182" s="1254"/>
      <c r="H182" s="3243"/>
      <c r="I182" s="1254"/>
      <c r="J182" s="3243"/>
      <c r="K182" s="3243"/>
      <c r="L182" s="3243"/>
      <c r="M182" s="1254"/>
      <c r="N182" s="3243"/>
      <c r="O182" s="3244"/>
    </row>
    <row r="183" spans="1:15">
      <c r="A183" s="1340">
        <f t="shared" si="0"/>
        <v>2008.06</v>
      </c>
      <c r="B183" s="1253"/>
      <c r="C183" s="1253"/>
      <c r="D183" s="3243"/>
      <c r="E183" s="1254"/>
      <c r="F183" s="3243"/>
      <c r="G183" s="1254"/>
      <c r="H183" s="3243"/>
      <c r="I183" s="1254"/>
      <c r="J183" s="3243"/>
      <c r="K183" s="3243"/>
      <c r="L183" s="3243"/>
      <c r="M183" s="1254"/>
      <c r="N183" s="3243"/>
      <c r="O183" s="3244"/>
    </row>
    <row r="184" spans="1:15">
      <c r="A184" s="1340">
        <f t="shared" si="0"/>
        <v>2008.07</v>
      </c>
      <c r="B184" s="1253"/>
      <c r="C184" s="1253"/>
      <c r="D184" s="3243"/>
      <c r="E184" s="1254"/>
      <c r="F184" s="3243"/>
      <c r="G184" s="1254"/>
      <c r="H184" s="3243"/>
      <c r="I184" s="1254"/>
      <c r="J184" s="3243"/>
      <c r="K184" s="3243"/>
      <c r="L184" s="3243"/>
      <c r="M184" s="1254"/>
      <c r="N184" s="3243"/>
      <c r="O184" s="3244"/>
    </row>
    <row r="185" spans="1:15">
      <c r="A185" s="1340">
        <f t="shared" si="0"/>
        <v>2008.08</v>
      </c>
      <c r="B185" s="1253"/>
      <c r="C185" s="1253"/>
      <c r="D185" s="3243"/>
      <c r="E185" s="1254"/>
      <c r="F185" s="3243"/>
      <c r="G185" s="1254"/>
      <c r="H185" s="3243"/>
      <c r="I185" s="1254"/>
      <c r="J185" s="3243"/>
      <c r="K185" s="3243"/>
      <c r="L185" s="3243"/>
      <c r="M185" s="1254"/>
      <c r="N185" s="3243"/>
      <c r="O185" s="3244"/>
    </row>
    <row r="186" spans="1:15">
      <c r="A186" s="1340">
        <f t="shared" si="0"/>
        <v>2008.09</v>
      </c>
      <c r="B186" s="1253"/>
      <c r="C186" s="1253"/>
      <c r="D186" s="3243"/>
      <c r="E186" s="1254"/>
      <c r="F186" s="3243"/>
      <c r="G186" s="1254"/>
      <c r="H186" s="3243"/>
      <c r="I186" s="1254"/>
      <c r="J186" s="3243"/>
      <c r="K186" s="3243"/>
      <c r="L186" s="3243"/>
      <c r="M186" s="1254"/>
      <c r="N186" s="3243"/>
      <c r="O186" s="3244"/>
    </row>
    <row r="187" spans="1:15">
      <c r="A187" s="1340">
        <f t="shared" si="0"/>
        <v>2008.1</v>
      </c>
      <c r="B187" s="1253"/>
      <c r="C187" s="1253"/>
      <c r="D187" s="3243"/>
      <c r="E187" s="1254"/>
      <c r="F187" s="3243"/>
      <c r="G187" s="1254"/>
      <c r="H187" s="3243"/>
      <c r="I187" s="1254"/>
      <c r="J187" s="3243"/>
      <c r="K187" s="3243"/>
      <c r="L187" s="3243"/>
      <c r="M187" s="1254"/>
      <c r="N187" s="3243"/>
      <c r="O187" s="3244"/>
    </row>
    <row r="188" spans="1:15">
      <c r="A188" s="1340">
        <f t="shared" si="0"/>
        <v>2008.11</v>
      </c>
      <c r="B188" s="1253"/>
      <c r="C188" s="1253"/>
      <c r="D188" s="3243"/>
      <c r="E188" s="1254"/>
      <c r="F188" s="3243"/>
      <c r="G188" s="1254"/>
      <c r="H188" s="3243"/>
      <c r="I188" s="1254"/>
      <c r="J188" s="3243"/>
      <c r="K188" s="3243"/>
      <c r="L188" s="3243"/>
      <c r="M188" s="1254"/>
      <c r="N188" s="3243"/>
      <c r="O188" s="3244"/>
    </row>
    <row r="189" spans="1:15">
      <c r="A189" s="1340">
        <f t="shared" si="0"/>
        <v>2008.12</v>
      </c>
      <c r="B189" s="1253"/>
      <c r="C189" s="1253"/>
      <c r="D189" s="3243"/>
      <c r="E189" s="1254"/>
      <c r="F189" s="3243"/>
      <c r="G189" s="1254"/>
      <c r="H189" s="3243"/>
      <c r="I189" s="1254"/>
      <c r="J189" s="3243"/>
      <c r="K189" s="3243"/>
      <c r="L189" s="3243"/>
      <c r="M189" s="1254"/>
      <c r="N189" s="3243"/>
      <c r="O189" s="3244"/>
    </row>
    <row r="190" spans="1:15">
      <c r="A190" s="1340">
        <f t="shared" si="0"/>
        <v>2009.01</v>
      </c>
      <c r="B190" s="1253"/>
      <c r="C190" s="1253"/>
      <c r="D190" s="3243"/>
      <c r="E190" s="1254"/>
      <c r="F190" s="3243"/>
      <c r="G190" s="1254"/>
      <c r="H190" s="3243"/>
      <c r="I190" s="1254"/>
      <c r="J190" s="3243"/>
      <c r="K190" s="3243"/>
      <c r="L190" s="3243"/>
      <c r="M190" s="1254"/>
      <c r="N190" s="3243"/>
      <c r="O190" s="3244"/>
    </row>
    <row r="191" spans="1:15">
      <c r="A191" s="1340">
        <f t="shared" si="0"/>
        <v>2009.02</v>
      </c>
      <c r="B191" s="1253"/>
      <c r="C191" s="1253"/>
      <c r="D191" s="3243"/>
      <c r="E191" s="1254"/>
      <c r="F191" s="3243"/>
      <c r="G191" s="1254"/>
      <c r="H191" s="3243"/>
      <c r="I191" s="1254"/>
      <c r="J191" s="3243"/>
      <c r="K191" s="3243"/>
      <c r="L191" s="3243"/>
      <c r="M191" s="1254"/>
      <c r="N191" s="3243"/>
      <c r="O191" s="3244"/>
    </row>
    <row r="192" spans="1:15">
      <c r="A192" s="1340">
        <f t="shared" si="0"/>
        <v>2009.03</v>
      </c>
      <c r="B192" s="1253"/>
      <c r="C192" s="1253"/>
      <c r="D192" s="3243"/>
      <c r="E192" s="1254"/>
      <c r="F192" s="3243"/>
      <c r="G192" s="1254"/>
      <c r="H192" s="3243"/>
      <c r="I192" s="1254"/>
      <c r="J192" s="3243"/>
      <c r="K192" s="3243"/>
      <c r="L192" s="3243"/>
      <c r="M192" s="1254"/>
      <c r="N192" s="3243"/>
      <c r="O192" s="3244"/>
    </row>
    <row r="193" spans="1:15">
      <c r="A193" s="1340">
        <f t="shared" si="0"/>
        <v>2009.04</v>
      </c>
      <c r="B193" s="1253"/>
      <c r="C193" s="1253"/>
      <c r="D193" s="3243"/>
      <c r="E193" s="1254"/>
      <c r="F193" s="3243"/>
      <c r="G193" s="1254"/>
      <c r="H193" s="3243"/>
      <c r="I193" s="1254"/>
      <c r="J193" s="3243"/>
      <c r="K193" s="3243"/>
      <c r="L193" s="3243"/>
      <c r="M193" s="1254"/>
      <c r="N193" s="3243"/>
      <c r="O193" s="3244"/>
    </row>
    <row r="194" spans="1:15">
      <c r="A194" s="1340">
        <f t="shared" si="0"/>
        <v>2009.05</v>
      </c>
      <c r="B194" s="1253"/>
      <c r="C194" s="1253"/>
      <c r="D194" s="3243"/>
      <c r="E194" s="1254"/>
      <c r="F194" s="3243"/>
      <c r="G194" s="1254"/>
      <c r="H194" s="3243"/>
      <c r="I194" s="1254"/>
      <c r="J194" s="3243"/>
      <c r="K194" s="3243"/>
      <c r="L194" s="3243"/>
      <c r="M194" s="1254"/>
      <c r="N194" s="3243"/>
      <c r="O194" s="3244"/>
    </row>
    <row r="195" spans="1:15">
      <c r="A195" s="1340">
        <f t="shared" si="0"/>
        <v>2009.06</v>
      </c>
      <c r="B195" s="1253"/>
      <c r="C195" s="1253"/>
      <c r="D195" s="3243"/>
      <c r="E195" s="1254"/>
      <c r="F195" s="3243"/>
      <c r="G195" s="1254"/>
      <c r="H195" s="3243"/>
      <c r="I195" s="1254"/>
      <c r="J195" s="3243"/>
      <c r="K195" s="3243"/>
      <c r="L195" s="3243"/>
      <c r="M195" s="1254"/>
      <c r="N195" s="3243"/>
      <c r="O195" s="3244"/>
    </row>
    <row r="196" spans="1:15">
      <c r="A196" s="1340">
        <f t="shared" si="0"/>
        <v>2009.07</v>
      </c>
      <c r="B196" s="1253"/>
      <c r="C196" s="1253"/>
      <c r="D196" s="3243"/>
      <c r="E196" s="1254"/>
      <c r="F196" s="3243"/>
      <c r="G196" s="1254"/>
      <c r="H196" s="3243"/>
      <c r="I196" s="1254"/>
      <c r="J196" s="3243"/>
      <c r="K196" s="3243"/>
      <c r="L196" s="3243"/>
      <c r="M196" s="1254"/>
      <c r="N196" s="3243"/>
      <c r="O196" s="3244"/>
    </row>
    <row r="197" spans="1:15">
      <c r="A197" s="1340">
        <f t="shared" si="0"/>
        <v>2009.08</v>
      </c>
      <c r="B197" s="1253"/>
      <c r="C197" s="1253"/>
      <c r="D197" s="3243"/>
      <c r="E197" s="1254"/>
      <c r="F197" s="3243"/>
      <c r="G197" s="1254"/>
      <c r="H197" s="3243"/>
      <c r="I197" s="1254"/>
      <c r="J197" s="3243"/>
      <c r="K197" s="3243"/>
      <c r="L197" s="3243"/>
      <c r="M197" s="1254"/>
      <c r="N197" s="3243"/>
      <c r="O197" s="3244"/>
    </row>
    <row r="198" spans="1:15">
      <c r="A198" s="1340">
        <f t="shared" si="0"/>
        <v>2009.09</v>
      </c>
      <c r="B198" s="1253"/>
      <c r="C198" s="1253"/>
      <c r="D198" s="3243"/>
      <c r="E198" s="1254"/>
      <c r="F198" s="3243"/>
      <c r="G198" s="1254"/>
      <c r="H198" s="3243"/>
      <c r="I198" s="1254"/>
      <c r="J198" s="3243"/>
      <c r="K198" s="3243"/>
      <c r="L198" s="3243"/>
      <c r="M198" s="1254"/>
      <c r="N198" s="3243"/>
      <c r="O198" s="3244"/>
    </row>
    <row r="199" spans="1:15">
      <c r="A199" s="1340">
        <f t="shared" si="0"/>
        <v>2009.1</v>
      </c>
      <c r="B199" s="1253"/>
      <c r="C199" s="1253"/>
      <c r="D199" s="3243"/>
      <c r="E199" s="1254"/>
      <c r="F199" s="3243"/>
      <c r="G199" s="1254"/>
      <c r="H199" s="3243"/>
      <c r="I199" s="1254"/>
      <c r="J199" s="3243"/>
      <c r="K199" s="3243"/>
      <c r="L199" s="3243"/>
      <c r="M199" s="1254"/>
      <c r="N199" s="3243"/>
      <c r="O199" s="3244"/>
    </row>
    <row r="200" spans="1:15">
      <c r="A200" s="1340">
        <f t="shared" si="0"/>
        <v>2009.11</v>
      </c>
      <c r="B200" s="1253"/>
      <c r="C200" s="1253"/>
      <c r="D200" s="3243"/>
      <c r="E200" s="1254"/>
      <c r="F200" s="3243"/>
      <c r="G200" s="1254"/>
      <c r="H200" s="3243"/>
      <c r="I200" s="1254"/>
      <c r="J200" s="3243"/>
      <c r="K200" s="3243"/>
      <c r="L200" s="3243"/>
      <c r="M200" s="1254"/>
      <c r="N200" s="3243"/>
      <c r="O200" s="3244"/>
    </row>
    <row r="201" spans="1:15">
      <c r="A201" s="1340">
        <f t="shared" si="0"/>
        <v>2009.12</v>
      </c>
      <c r="B201" s="1253"/>
      <c r="C201" s="1253"/>
      <c r="D201" s="3243"/>
      <c r="E201" s="1254"/>
      <c r="F201" s="3243"/>
      <c r="G201" s="1254"/>
      <c r="H201" s="3243"/>
      <c r="I201" s="1254"/>
      <c r="J201" s="3243"/>
      <c r="K201" s="3243"/>
      <c r="L201" s="3243"/>
      <c r="M201" s="1254"/>
      <c r="N201" s="3243"/>
      <c r="O201" s="3244"/>
    </row>
    <row r="202" spans="1:15">
      <c r="A202" s="1340">
        <f t="shared" si="0"/>
        <v>2010.01</v>
      </c>
      <c r="B202" s="1253"/>
      <c r="C202" s="1253"/>
      <c r="D202" s="3243"/>
      <c r="E202" s="1254"/>
      <c r="F202" s="3243"/>
      <c r="G202" s="1254"/>
      <c r="H202" s="3243"/>
      <c r="I202" s="1254"/>
      <c r="J202" s="3243"/>
      <c r="K202" s="3243"/>
      <c r="L202" s="3243"/>
      <c r="M202" s="1254"/>
      <c r="N202" s="3243"/>
      <c r="O202" s="3244"/>
    </row>
    <row r="203" spans="1:15">
      <c r="A203" s="1340">
        <f t="shared" si="0"/>
        <v>2010.02</v>
      </c>
      <c r="B203" s="1253"/>
      <c r="C203" s="1253"/>
      <c r="D203" s="3243"/>
      <c r="E203" s="1254"/>
      <c r="F203" s="3243"/>
      <c r="G203" s="1254"/>
      <c r="H203" s="3243"/>
      <c r="I203" s="1254"/>
      <c r="J203" s="3243"/>
      <c r="K203" s="3243"/>
      <c r="L203" s="3243"/>
      <c r="M203" s="1254"/>
      <c r="N203" s="3243"/>
      <c r="O203" s="3244"/>
    </row>
    <row r="204" spans="1:15">
      <c r="A204" s="1340">
        <f t="shared" si="0"/>
        <v>2010.03</v>
      </c>
      <c r="B204" s="1253"/>
      <c r="C204" s="1253"/>
      <c r="D204" s="3243"/>
      <c r="E204" s="1254"/>
      <c r="F204" s="3243"/>
      <c r="G204" s="1254"/>
      <c r="H204" s="3243"/>
      <c r="I204" s="1254"/>
      <c r="J204" s="3243"/>
      <c r="K204" s="3243"/>
      <c r="L204" s="3243"/>
      <c r="M204" s="1254"/>
      <c r="N204" s="3243"/>
      <c r="O204" s="3244"/>
    </row>
    <row r="205" spans="1:15">
      <c r="A205" s="1340">
        <f t="shared" si="0"/>
        <v>2010.04</v>
      </c>
      <c r="B205" s="1253"/>
      <c r="C205" s="1253"/>
      <c r="D205" s="3243"/>
      <c r="E205" s="1254"/>
      <c r="F205" s="3243"/>
      <c r="G205" s="1254"/>
      <c r="H205" s="3243"/>
      <c r="I205" s="1254"/>
      <c r="J205" s="3243"/>
      <c r="K205" s="3243"/>
      <c r="L205" s="3243"/>
      <c r="M205" s="1254"/>
      <c r="N205" s="3243"/>
      <c r="O205" s="3244"/>
    </row>
    <row r="206" spans="1:15">
      <c r="A206" s="1340">
        <f t="shared" si="0"/>
        <v>2010.05</v>
      </c>
      <c r="B206" s="1253"/>
      <c r="C206" s="1253"/>
      <c r="D206" s="3243"/>
      <c r="E206" s="1254"/>
      <c r="F206" s="3243"/>
      <c r="G206" s="1254"/>
      <c r="H206" s="3243"/>
      <c r="I206" s="1254"/>
      <c r="J206" s="3243"/>
      <c r="K206" s="3243"/>
      <c r="L206" s="3243"/>
      <c r="M206" s="1254"/>
      <c r="N206" s="3243"/>
      <c r="O206" s="3244"/>
    </row>
    <row r="207" spans="1:15">
      <c r="A207" s="1340">
        <f t="shared" si="0"/>
        <v>2010.06</v>
      </c>
      <c r="B207" s="1253"/>
      <c r="C207" s="1253"/>
      <c r="D207" s="3243"/>
      <c r="E207" s="1254"/>
      <c r="F207" s="3243"/>
      <c r="G207" s="1254"/>
      <c r="H207" s="3243"/>
      <c r="I207" s="1254"/>
      <c r="J207" s="3243"/>
      <c r="K207" s="3243"/>
      <c r="L207" s="3243"/>
      <c r="M207" s="1254"/>
      <c r="N207" s="3243"/>
      <c r="O207" s="3244"/>
    </row>
    <row r="208" spans="1:15">
      <c r="A208" s="1340">
        <f t="shared" si="0"/>
        <v>2010.07</v>
      </c>
      <c r="B208" s="1253"/>
      <c r="C208" s="1253"/>
      <c r="D208" s="3243"/>
      <c r="E208" s="1254"/>
      <c r="F208" s="3243"/>
      <c r="G208" s="1254"/>
      <c r="H208" s="3243"/>
      <c r="I208" s="1254"/>
      <c r="J208" s="3243"/>
      <c r="K208" s="3243"/>
      <c r="L208" s="3243"/>
      <c r="M208" s="1254"/>
      <c r="N208" s="3243"/>
      <c r="O208" s="3244"/>
    </row>
    <row r="209" spans="1:15">
      <c r="A209" s="1340">
        <f t="shared" si="0"/>
        <v>2010.08</v>
      </c>
      <c r="B209" s="1253"/>
      <c r="C209" s="1253"/>
      <c r="D209" s="3243"/>
      <c r="E209" s="1254"/>
      <c r="F209" s="3243"/>
      <c r="G209" s="1254"/>
      <c r="H209" s="3243"/>
      <c r="I209" s="1254"/>
      <c r="J209" s="3243"/>
      <c r="K209" s="3243"/>
      <c r="L209" s="3243"/>
      <c r="M209" s="1254"/>
      <c r="N209" s="3243"/>
      <c r="O209" s="3244"/>
    </row>
    <row r="210" spans="1:15">
      <c r="A210" s="1340">
        <f t="shared" si="0"/>
        <v>2010.09</v>
      </c>
      <c r="B210" s="1253"/>
      <c r="C210" s="1253"/>
      <c r="D210" s="3243"/>
      <c r="E210" s="1254"/>
      <c r="F210" s="3243"/>
      <c r="G210" s="1254"/>
      <c r="H210" s="3243"/>
      <c r="I210" s="1254"/>
      <c r="J210" s="3243"/>
      <c r="K210" s="3243"/>
      <c r="L210" s="3243"/>
      <c r="M210" s="1254"/>
      <c r="N210" s="3243"/>
      <c r="O210" s="3244"/>
    </row>
    <row r="211" spans="1:15">
      <c r="A211" s="1340">
        <f t="shared" si="0"/>
        <v>2010.1</v>
      </c>
      <c r="B211" s="1253"/>
      <c r="C211" s="1253"/>
      <c r="D211" s="3243"/>
      <c r="E211" s="1254"/>
      <c r="F211" s="3243"/>
      <c r="G211" s="1254"/>
      <c r="H211" s="3243"/>
      <c r="I211" s="1254"/>
      <c r="J211" s="3243"/>
      <c r="K211" s="3243"/>
      <c r="L211" s="3243"/>
      <c r="M211" s="1254"/>
      <c r="N211" s="3243"/>
      <c r="O211" s="3244"/>
    </row>
    <row r="212" spans="1:15">
      <c r="A212" s="1340">
        <f t="shared" si="0"/>
        <v>2010.11</v>
      </c>
      <c r="B212" s="1253"/>
      <c r="C212" s="1253"/>
      <c r="D212" s="3243"/>
      <c r="E212" s="1254"/>
      <c r="F212" s="3243"/>
      <c r="G212" s="1254"/>
      <c r="H212" s="3243"/>
      <c r="I212" s="1254"/>
      <c r="J212" s="3243"/>
      <c r="K212" s="3243"/>
      <c r="L212" s="3243"/>
      <c r="M212" s="1254"/>
      <c r="N212" s="3243"/>
      <c r="O212" s="3244"/>
    </row>
    <row r="213" spans="1:15">
      <c r="A213" s="1340">
        <f t="shared" si="0"/>
        <v>2010.12</v>
      </c>
      <c r="B213" s="1253"/>
      <c r="C213" s="1253"/>
      <c r="D213" s="3243"/>
      <c r="E213" s="1254"/>
      <c r="F213" s="3243"/>
      <c r="G213" s="1254"/>
      <c r="H213" s="3243"/>
      <c r="I213" s="1254"/>
      <c r="J213" s="3243"/>
      <c r="K213" s="3243"/>
      <c r="L213" s="3243"/>
      <c r="M213" s="1254"/>
      <c r="N213" s="3243"/>
      <c r="O213" s="3244"/>
    </row>
    <row r="214" spans="1:15">
      <c r="A214" s="1340">
        <f t="shared" si="0"/>
        <v>2011.01</v>
      </c>
      <c r="B214" s="1253"/>
      <c r="C214" s="1253"/>
      <c r="D214" s="3243"/>
      <c r="E214" s="1254"/>
      <c r="F214" s="3243"/>
      <c r="G214" s="1254"/>
      <c r="H214" s="3243"/>
      <c r="I214" s="1254"/>
      <c r="J214" s="3243"/>
      <c r="K214" s="3243"/>
      <c r="L214" s="3243"/>
      <c r="M214" s="1254"/>
      <c r="N214" s="3243"/>
      <c r="O214" s="3244"/>
    </row>
    <row r="215" spans="1:15">
      <c r="A215" s="1340">
        <f t="shared" si="0"/>
        <v>2011.02</v>
      </c>
      <c r="B215" s="1253"/>
      <c r="C215" s="1253"/>
      <c r="D215" s="3243"/>
      <c r="E215" s="1254"/>
      <c r="F215" s="3243"/>
      <c r="G215" s="1254"/>
      <c r="H215" s="3243"/>
      <c r="I215" s="1254"/>
      <c r="J215" s="3243"/>
      <c r="K215" s="3243"/>
      <c r="L215" s="3243"/>
      <c r="M215" s="1254"/>
      <c r="N215" s="3243"/>
      <c r="O215" s="3244"/>
    </row>
    <row r="216" spans="1:15">
      <c r="A216" s="1340">
        <f t="shared" si="0"/>
        <v>2011.03</v>
      </c>
      <c r="B216" s="1253"/>
      <c r="C216" s="1253"/>
      <c r="D216" s="3243"/>
      <c r="E216" s="1254"/>
      <c r="F216" s="3243"/>
      <c r="G216" s="1254"/>
      <c r="H216" s="3243"/>
      <c r="I216" s="1254"/>
      <c r="J216" s="3243"/>
      <c r="K216" s="3243"/>
      <c r="L216" s="3243"/>
      <c r="M216" s="1254"/>
      <c r="N216" s="3243"/>
      <c r="O216" s="3244"/>
    </row>
    <row r="217" spans="1:15">
      <c r="A217" s="1340">
        <f t="shared" si="0"/>
        <v>2011.04</v>
      </c>
      <c r="B217" s="1253"/>
      <c r="C217" s="1253"/>
      <c r="D217" s="3243"/>
      <c r="E217" s="1254"/>
      <c r="F217" s="3243"/>
      <c r="G217" s="1254"/>
      <c r="H217" s="3243"/>
      <c r="I217" s="1254"/>
      <c r="J217" s="3243"/>
      <c r="K217" s="3243"/>
      <c r="L217" s="3243"/>
      <c r="M217" s="1254"/>
      <c r="N217" s="3243"/>
      <c r="O217" s="3244"/>
    </row>
    <row r="218" spans="1:15">
      <c r="A218" s="1340">
        <f t="shared" si="0"/>
        <v>2011.05</v>
      </c>
      <c r="B218" s="1253"/>
      <c r="C218" s="1253"/>
      <c r="D218" s="3243"/>
      <c r="E218" s="1254"/>
      <c r="F218" s="3243"/>
      <c r="G218" s="1254"/>
      <c r="H218" s="3243"/>
      <c r="I218" s="1254"/>
      <c r="J218" s="3243"/>
      <c r="K218" s="3243"/>
      <c r="L218" s="3243"/>
      <c r="M218" s="1254"/>
      <c r="N218" s="3243"/>
      <c r="O218" s="3244"/>
    </row>
    <row r="219" spans="1:15">
      <c r="A219" s="1340">
        <f t="shared" si="0"/>
        <v>2011.06</v>
      </c>
      <c r="B219" s="1253"/>
      <c r="C219" s="1253"/>
      <c r="D219" s="3243"/>
      <c r="E219" s="1254"/>
      <c r="F219" s="3243"/>
      <c r="G219" s="1254"/>
      <c r="H219" s="3243"/>
      <c r="I219" s="1254"/>
      <c r="J219" s="3243"/>
      <c r="K219" s="3243"/>
      <c r="L219" s="3243"/>
      <c r="M219" s="1254"/>
      <c r="N219" s="3243"/>
      <c r="O219" s="3244"/>
    </row>
    <row r="220" spans="1:15">
      <c r="A220" s="1340">
        <f t="shared" si="0"/>
        <v>2011.07</v>
      </c>
      <c r="B220" s="1253"/>
      <c r="C220" s="1253"/>
      <c r="D220" s="3243"/>
      <c r="E220" s="1254"/>
      <c r="F220" s="3243"/>
      <c r="G220" s="1254"/>
      <c r="H220" s="3243"/>
      <c r="I220" s="1254"/>
      <c r="J220" s="3243"/>
      <c r="K220" s="3243"/>
      <c r="L220" s="3243"/>
      <c r="M220" s="1254"/>
      <c r="N220" s="3243"/>
      <c r="O220" s="3244"/>
    </row>
    <row r="221" spans="1:15">
      <c r="A221" s="1340">
        <f t="shared" si="0"/>
        <v>2011.08</v>
      </c>
      <c r="B221" s="1253"/>
      <c r="C221" s="1253"/>
      <c r="D221" s="3243"/>
      <c r="E221" s="1254"/>
      <c r="F221" s="3243"/>
      <c r="G221" s="1254"/>
      <c r="H221" s="3243"/>
      <c r="I221" s="1254"/>
      <c r="J221" s="3243"/>
      <c r="K221" s="3243"/>
      <c r="L221" s="3243"/>
      <c r="M221" s="1254"/>
      <c r="N221" s="3243"/>
      <c r="O221" s="3244"/>
    </row>
    <row r="222" spans="1:15">
      <c r="A222" s="1340">
        <f t="shared" si="0"/>
        <v>2011.09</v>
      </c>
      <c r="B222" s="1253"/>
      <c r="C222" s="1253"/>
      <c r="D222" s="3243"/>
      <c r="E222" s="1254"/>
      <c r="F222" s="3243"/>
      <c r="G222" s="1254"/>
      <c r="H222" s="3243"/>
      <c r="I222" s="1254"/>
      <c r="J222" s="3243"/>
      <c r="K222" s="3243"/>
      <c r="L222" s="3243"/>
      <c r="M222" s="1254"/>
      <c r="N222" s="3243"/>
      <c r="O222" s="3244"/>
    </row>
    <row r="223" spans="1:15">
      <c r="A223" s="1340">
        <f t="shared" si="0"/>
        <v>2011.1</v>
      </c>
      <c r="B223" s="1253"/>
      <c r="C223" s="1253"/>
      <c r="D223" s="3243"/>
      <c r="E223" s="1254"/>
      <c r="F223" s="3243"/>
      <c r="G223" s="1254"/>
      <c r="H223" s="3243"/>
      <c r="I223" s="1254"/>
      <c r="J223" s="3243"/>
      <c r="K223" s="3243"/>
      <c r="L223" s="3243"/>
      <c r="M223" s="1254"/>
      <c r="N223" s="3243"/>
      <c r="O223" s="3244"/>
    </row>
    <row r="224" spans="1:15">
      <c r="A224" s="1340">
        <f t="shared" si="0"/>
        <v>2011.11</v>
      </c>
      <c r="B224" s="1253"/>
      <c r="C224" s="1253"/>
      <c r="D224" s="3243"/>
      <c r="E224" s="1254"/>
      <c r="F224" s="3243"/>
      <c r="G224" s="1254"/>
      <c r="H224" s="3243"/>
      <c r="I224" s="1254"/>
      <c r="J224" s="3243"/>
      <c r="K224" s="3243"/>
      <c r="L224" s="3243"/>
      <c r="M224" s="1254"/>
      <c r="N224" s="3243"/>
      <c r="O224" s="3244"/>
    </row>
    <row r="225" spans="1:15">
      <c r="A225" s="1340">
        <f t="shared" si="0"/>
        <v>2011.12</v>
      </c>
      <c r="B225" s="1253"/>
      <c r="C225" s="1253"/>
      <c r="D225" s="3243"/>
      <c r="E225" s="1254"/>
      <c r="F225" s="3243"/>
      <c r="G225" s="1254"/>
      <c r="H225" s="3243"/>
      <c r="I225" s="1254"/>
      <c r="J225" s="3243"/>
      <c r="K225" s="3243"/>
      <c r="L225" s="3243"/>
      <c r="M225" s="1254"/>
      <c r="N225" s="3243"/>
      <c r="O225" s="3244"/>
    </row>
    <row r="226" spans="1:15">
      <c r="A226" s="1340">
        <f t="shared" si="0"/>
        <v>2012.01</v>
      </c>
      <c r="B226" s="1253"/>
      <c r="C226" s="1253"/>
      <c r="D226" s="3243"/>
      <c r="E226" s="1254"/>
      <c r="F226" s="3243"/>
      <c r="G226" s="1254"/>
      <c r="H226" s="3243"/>
      <c r="I226" s="1254"/>
      <c r="J226" s="3243"/>
      <c r="K226" s="3243"/>
      <c r="L226" s="3243"/>
      <c r="M226" s="1254"/>
      <c r="N226" s="3243"/>
      <c r="O226" s="3244"/>
    </row>
    <row r="227" spans="1:15">
      <c r="A227" s="1340">
        <f t="shared" si="0"/>
        <v>2012.02</v>
      </c>
      <c r="B227" s="1253"/>
      <c r="C227" s="1253"/>
      <c r="D227" s="3243"/>
      <c r="E227" s="1254"/>
      <c r="F227" s="3243"/>
      <c r="G227" s="1254"/>
      <c r="H227" s="3243"/>
      <c r="I227" s="1254"/>
      <c r="J227" s="3243"/>
      <c r="K227" s="3243"/>
      <c r="L227" s="3243"/>
      <c r="M227" s="1254"/>
      <c r="N227" s="3243"/>
      <c r="O227" s="3244"/>
    </row>
    <row r="228" spans="1:15">
      <c r="A228" s="1340">
        <f t="shared" si="0"/>
        <v>2012.03</v>
      </c>
      <c r="B228" s="1253"/>
      <c r="C228" s="1253"/>
      <c r="D228" s="3243"/>
      <c r="E228" s="1254"/>
      <c r="F228" s="3243"/>
      <c r="G228" s="1254"/>
      <c r="H228" s="3243"/>
      <c r="I228" s="1254"/>
      <c r="J228" s="3243"/>
      <c r="K228" s="3243"/>
      <c r="L228" s="3243"/>
      <c r="M228" s="1254"/>
      <c r="N228" s="3243"/>
      <c r="O228" s="3244"/>
    </row>
    <row r="229" spans="1:15">
      <c r="A229" s="1340">
        <f t="shared" si="0"/>
        <v>2012.04</v>
      </c>
      <c r="B229" s="1253"/>
      <c r="C229" s="1253"/>
      <c r="D229" s="3243"/>
      <c r="E229" s="1254"/>
      <c r="F229" s="3243"/>
      <c r="G229" s="1254"/>
      <c r="H229" s="3243"/>
      <c r="I229" s="1254"/>
      <c r="J229" s="3243"/>
      <c r="K229" s="3243"/>
      <c r="L229" s="3243"/>
      <c r="M229" s="1254"/>
      <c r="N229" s="3243"/>
      <c r="O229" s="3244"/>
    </row>
    <row r="230" spans="1:15">
      <c r="A230" s="1340">
        <f t="shared" si="0"/>
        <v>2012.05</v>
      </c>
      <c r="B230" s="1253"/>
      <c r="C230" s="1253"/>
      <c r="D230" s="3243"/>
      <c r="E230" s="1254"/>
      <c r="F230" s="3243"/>
      <c r="G230" s="1254"/>
      <c r="H230" s="3243"/>
      <c r="I230" s="1254"/>
      <c r="J230" s="3243"/>
      <c r="K230" s="3243"/>
      <c r="L230" s="3243"/>
      <c r="M230" s="1254"/>
      <c r="N230" s="3243"/>
      <c r="O230" s="3244"/>
    </row>
    <row r="231" spans="1:15">
      <c r="A231" s="1340">
        <f t="shared" si="0"/>
        <v>2012.06</v>
      </c>
      <c r="B231" s="1253"/>
      <c r="C231" s="1253"/>
      <c r="D231" s="3243"/>
      <c r="E231" s="1254"/>
      <c r="F231" s="3243"/>
      <c r="G231" s="1254"/>
      <c r="H231" s="3243"/>
      <c r="I231" s="1254"/>
      <c r="J231" s="3243"/>
      <c r="K231" s="3243"/>
      <c r="L231" s="3243"/>
      <c r="M231" s="1254"/>
      <c r="N231" s="3243"/>
      <c r="O231" s="3244"/>
    </row>
    <row r="232" spans="1:15">
      <c r="A232" s="1340">
        <f t="shared" si="0"/>
        <v>2012.07</v>
      </c>
      <c r="B232" s="1258">
        <v>6.4363876898803767</v>
      </c>
      <c r="C232" s="1253"/>
      <c r="D232" s="3243"/>
      <c r="E232" s="1254"/>
      <c r="F232" s="3243"/>
      <c r="G232" s="1254"/>
      <c r="H232" s="3243"/>
      <c r="I232" s="1254"/>
      <c r="J232" s="3243"/>
      <c r="K232" s="3243"/>
      <c r="L232" s="3243"/>
      <c r="M232" s="1254"/>
      <c r="N232" s="3243"/>
      <c r="O232" s="3244"/>
    </row>
    <row r="233" spans="1:15">
      <c r="A233" s="1340">
        <f t="shared" si="0"/>
        <v>2012.08</v>
      </c>
      <c r="B233" s="1259">
        <v>6.5850926262096632</v>
      </c>
      <c r="C233" s="1253"/>
      <c r="D233" s="3243"/>
      <c r="E233" s="1254"/>
      <c r="F233" s="3243"/>
      <c r="G233" s="1254"/>
      <c r="H233" s="3243"/>
      <c r="I233" s="1254"/>
      <c r="J233" s="3243"/>
      <c r="K233" s="3243"/>
      <c r="L233" s="3243"/>
      <c r="M233" s="1254"/>
      <c r="N233" s="3243"/>
      <c r="O233" s="3244"/>
    </row>
    <row r="234" spans="1:15">
      <c r="A234" s="1340">
        <f t="shared" si="0"/>
        <v>2012.09</v>
      </c>
      <c r="B234" s="1259">
        <v>6.6836528747069801</v>
      </c>
      <c r="C234" s="1253"/>
      <c r="D234" s="3243"/>
      <c r="E234" s="1254"/>
      <c r="F234" s="3243"/>
      <c r="G234" s="1254"/>
      <c r="H234" s="3243"/>
      <c r="I234" s="1254"/>
      <c r="J234" s="3243"/>
      <c r="K234" s="3243"/>
      <c r="L234" s="3243"/>
      <c r="M234" s="1254"/>
      <c r="N234" s="3243"/>
      <c r="O234" s="3244"/>
    </row>
    <row r="235" spans="1:15">
      <c r="A235" s="1340">
        <f t="shared" si="0"/>
        <v>2012.1</v>
      </c>
      <c r="B235" s="1259">
        <v>6.7822131232042988</v>
      </c>
      <c r="C235" s="1253"/>
      <c r="D235" s="3243"/>
      <c r="E235" s="1254"/>
      <c r="F235" s="3243"/>
      <c r="G235" s="1254"/>
      <c r="H235" s="3243"/>
      <c r="I235" s="1254"/>
      <c r="J235" s="3243"/>
      <c r="K235" s="3243"/>
      <c r="L235" s="3243"/>
      <c r="M235" s="1254"/>
      <c r="N235" s="3243"/>
      <c r="O235" s="3244"/>
    </row>
    <row r="236" spans="1:15">
      <c r="A236" s="1340">
        <f t="shared" si="0"/>
        <v>2012.11</v>
      </c>
      <c r="B236" s="1259">
        <v>6.9228487994226935</v>
      </c>
      <c r="C236" s="1253"/>
      <c r="D236" s="3243"/>
      <c r="E236" s="1254"/>
      <c r="F236" s="3243"/>
      <c r="G236" s="1254"/>
      <c r="H236" s="3243"/>
      <c r="I236" s="1254"/>
      <c r="J236" s="3243"/>
      <c r="K236" s="3243"/>
      <c r="L236" s="3243"/>
      <c r="M236" s="1254"/>
      <c r="N236" s="3243"/>
      <c r="O236" s="3244"/>
    </row>
    <row r="237" spans="1:15">
      <c r="A237" s="1340">
        <f t="shared" si="0"/>
        <v>2012.12</v>
      </c>
      <c r="B237" s="1259">
        <v>7.0594498455856423</v>
      </c>
      <c r="C237" s="1253"/>
      <c r="D237" s="3243"/>
      <c r="E237" s="1254"/>
      <c r="F237" s="3243"/>
      <c r="G237" s="1254"/>
      <c r="H237" s="3243"/>
      <c r="I237" s="1254"/>
      <c r="J237" s="3243"/>
      <c r="K237" s="3243"/>
      <c r="L237" s="3243"/>
      <c r="M237" s="1254"/>
      <c r="N237" s="3243"/>
      <c r="O237" s="3244"/>
    </row>
    <row r="238" spans="1:15">
      <c r="A238" s="1340">
        <f t="shared" si="0"/>
        <v>2013.01</v>
      </c>
      <c r="B238" s="1259">
        <v>7.2214114235256792</v>
      </c>
      <c r="C238" s="1253"/>
      <c r="D238" s="3243"/>
      <c r="E238" s="1254"/>
      <c r="F238" s="3243"/>
      <c r="G238" s="1254"/>
      <c r="H238" s="3243"/>
      <c r="I238" s="1254"/>
      <c r="J238" s="3243"/>
      <c r="K238" s="3243"/>
      <c r="L238" s="3243"/>
      <c r="M238" s="1254"/>
      <c r="N238" s="3243"/>
      <c r="O238" s="3244"/>
    </row>
    <row r="239" spans="1:15">
      <c r="A239" s="1340">
        <f t="shared" si="0"/>
        <v>2013.02</v>
      </c>
      <c r="B239" s="1259">
        <v>7.3003748974679734</v>
      </c>
      <c r="C239" s="1253"/>
      <c r="D239" s="3243"/>
      <c r="E239" s="1254"/>
      <c r="F239" s="3243"/>
      <c r="G239" s="1254"/>
      <c r="H239" s="3243"/>
      <c r="I239" s="1254"/>
      <c r="J239" s="3243"/>
      <c r="K239" s="3243"/>
      <c r="L239" s="3243"/>
      <c r="M239" s="1254"/>
      <c r="N239" s="3243"/>
      <c r="O239" s="3244"/>
    </row>
    <row r="240" spans="1:15">
      <c r="A240" s="1340">
        <f t="shared" si="0"/>
        <v>2013.03</v>
      </c>
      <c r="B240" s="1259">
        <v>7.4133445390204544</v>
      </c>
      <c r="C240" s="1253"/>
      <c r="D240" s="3243"/>
      <c r="E240" s="1254"/>
      <c r="F240" s="3243"/>
      <c r="G240" s="1254"/>
      <c r="H240" s="3243"/>
      <c r="I240" s="1254"/>
      <c r="J240" s="3243"/>
      <c r="K240" s="3243"/>
      <c r="L240" s="3243"/>
      <c r="M240" s="1254"/>
      <c r="N240" s="3243"/>
      <c r="O240" s="3244"/>
    </row>
    <row r="241" spans="1:15">
      <c r="A241" s="1340">
        <f t="shared" si="0"/>
        <v>2013.04</v>
      </c>
      <c r="B241" s="1259">
        <v>7.56204947534974</v>
      </c>
      <c r="C241" s="1253"/>
      <c r="D241" s="3243"/>
      <c r="E241" s="1254"/>
      <c r="F241" s="3243"/>
      <c r="G241" s="1254"/>
      <c r="H241" s="3243"/>
      <c r="I241" s="1254"/>
      <c r="J241" s="3243"/>
      <c r="K241" s="3243"/>
      <c r="L241" s="3243"/>
      <c r="M241" s="1254"/>
      <c r="N241" s="3243"/>
      <c r="O241" s="3244"/>
    </row>
    <row r="242" spans="1:15">
      <c r="A242" s="1340">
        <f t="shared" ref="A242:A305" si="1">A230+1</f>
        <v>2013.05</v>
      </c>
      <c r="B242" s="1259">
        <v>7.6750191169022202</v>
      </c>
      <c r="C242" s="1253"/>
      <c r="D242" s="3243"/>
      <c r="E242" s="1254"/>
      <c r="F242" s="3243"/>
      <c r="G242" s="1254"/>
      <c r="H242" s="3243"/>
      <c r="I242" s="1254"/>
      <c r="J242" s="3243"/>
      <c r="K242" s="3243"/>
      <c r="L242" s="3243"/>
      <c r="M242" s="1254"/>
      <c r="N242" s="3243"/>
      <c r="O242" s="3244"/>
    </row>
    <row r="243" spans="1:15">
      <c r="A243" s="1340">
        <f t="shared" si="1"/>
        <v>2013.06</v>
      </c>
      <c r="B243" s="1259">
        <v>7.8196894231760599</v>
      </c>
      <c r="C243" s="1253"/>
      <c r="D243" s="3243"/>
      <c r="E243" s="1254"/>
      <c r="F243" s="3243"/>
      <c r="G243" s="1254"/>
      <c r="H243" s="3243"/>
      <c r="I243" s="1254"/>
      <c r="J243" s="3243"/>
      <c r="K243" s="3243"/>
      <c r="L243" s="3243"/>
      <c r="M243" s="1254"/>
      <c r="N243" s="3243"/>
      <c r="O243" s="3244"/>
    </row>
    <row r="244" spans="1:15">
      <c r="A244" s="1340">
        <f t="shared" si="1"/>
        <v>2013.07</v>
      </c>
      <c r="B244" s="1259">
        <v>8.0116225386708368</v>
      </c>
      <c r="C244" s="1253"/>
      <c r="D244" s="3243"/>
      <c r="E244" s="1254"/>
      <c r="F244" s="3243"/>
      <c r="G244" s="1254"/>
      <c r="H244" s="3243"/>
      <c r="I244" s="1254"/>
      <c r="J244" s="3243"/>
      <c r="K244" s="3243"/>
      <c r="L244" s="3243"/>
      <c r="M244" s="1254"/>
      <c r="N244" s="3243"/>
      <c r="O244" s="3244"/>
    </row>
    <row r="245" spans="1:15">
      <c r="A245" s="1340">
        <f t="shared" si="1"/>
        <v>2013.08</v>
      </c>
      <c r="B245" s="1259">
        <v>8.1781951223885248</v>
      </c>
      <c r="C245" s="1258">
        <v>7.9689543614280423</v>
      </c>
      <c r="D245" s="3245">
        <v>6.144814069520641</v>
      </c>
      <c r="E245" s="3245">
        <v>7.2294783198657706</v>
      </c>
      <c r="F245" s="3245">
        <v>7.6697924609330466</v>
      </c>
      <c r="G245" s="3245">
        <v>9.4130757800891551</v>
      </c>
      <c r="H245" s="3245">
        <v>8.529432977556505</v>
      </c>
      <c r="I245" s="3245">
        <v>8.0867075941584776</v>
      </c>
      <c r="J245" s="3243"/>
      <c r="K245" s="3243"/>
      <c r="L245" s="3245">
        <v>9.7588850664669788</v>
      </c>
      <c r="M245" s="3245">
        <v>9.219724460261995</v>
      </c>
      <c r="N245" s="3243"/>
      <c r="O245" s="3244"/>
    </row>
    <row r="246" spans="1:15">
      <c r="A246" s="1340">
        <f t="shared" si="1"/>
        <v>2013.09</v>
      </c>
      <c r="B246" s="1259">
        <v>8.3528369662171045</v>
      </c>
      <c r="C246" s="1259">
        <v>8.1357073978652892</v>
      </c>
      <c r="D246" s="3246">
        <v>6.144814069520641</v>
      </c>
      <c r="E246" s="3246">
        <v>7.5850780224824996</v>
      </c>
      <c r="F246" s="3246">
        <v>7.7532717201728287</v>
      </c>
      <c r="G246" s="3246">
        <v>9.524238484398218</v>
      </c>
      <c r="H246" s="3246">
        <v>8.9094572191308057</v>
      </c>
      <c r="I246" s="3246">
        <v>8.1504217194892679</v>
      </c>
      <c r="J246" s="3243"/>
      <c r="K246" s="3243"/>
      <c r="L246" s="3246">
        <v>9.6962821285197123</v>
      </c>
      <c r="M246" s="3246">
        <v>9.5074330553352109</v>
      </c>
      <c r="N246" s="3243"/>
      <c r="O246" s="3244"/>
    </row>
    <row r="247" spans="1:15">
      <c r="A247" s="1340">
        <f t="shared" si="1"/>
        <v>2013.1</v>
      </c>
      <c r="B247" s="1259">
        <v>8.5367008216009914</v>
      </c>
      <c r="C247" s="1259">
        <v>8.3587666543982291</v>
      </c>
      <c r="D247" s="3246">
        <v>6.3917986603081935</v>
      </c>
      <c r="E247" s="3246">
        <v>7.9412022084364207</v>
      </c>
      <c r="F247" s="3246">
        <v>7.8080211044794394</v>
      </c>
      <c r="G247" s="3246">
        <v>9.5996471025260046</v>
      </c>
      <c r="H247" s="3246">
        <v>9.1524128881030933</v>
      </c>
      <c r="I247" s="3246">
        <v>8.2634450374673669</v>
      </c>
      <c r="J247" s="3243"/>
      <c r="K247" s="3243"/>
      <c r="L247" s="3246">
        <v>9.7908386493775605</v>
      </c>
      <c r="M247" s="3246">
        <v>9.8808949681624298</v>
      </c>
      <c r="N247" s="3243"/>
      <c r="O247" s="3244"/>
    </row>
    <row r="248" spans="1:15">
      <c r="A248" s="1340">
        <f t="shared" si="1"/>
        <v>2013.11</v>
      </c>
      <c r="B248" s="1259">
        <v>8.7395850758176898</v>
      </c>
      <c r="C248" s="1259">
        <v>8.6175587044534367</v>
      </c>
      <c r="D248" s="3246">
        <v>6.4495939576040007</v>
      </c>
      <c r="E248" s="3246">
        <v>8.1693524601152951</v>
      </c>
      <c r="F248" s="3246">
        <v>7.9717271842873254</v>
      </c>
      <c r="G248" s="3246">
        <v>9.7758172362555751</v>
      </c>
      <c r="H248" s="3246">
        <v>9.1751493811887368</v>
      </c>
      <c r="I248" s="3246">
        <v>8.6292749240405939</v>
      </c>
      <c r="J248" s="3243"/>
      <c r="K248" s="3243"/>
      <c r="L248" s="3246">
        <v>9.8664838660638416</v>
      </c>
      <c r="M248" s="3246">
        <v>10.229500846858054</v>
      </c>
      <c r="N248" s="3243"/>
      <c r="O248" s="3244"/>
    </row>
    <row r="249" spans="1:15">
      <c r="A249" s="1340">
        <f t="shared" si="1"/>
        <v>2013.12</v>
      </c>
      <c r="B249" s="1259">
        <v>8.9372819485345314</v>
      </c>
      <c r="C249" s="1259">
        <v>8.9624343025395596</v>
      </c>
      <c r="D249" s="3246">
        <v>6.5272563883452417</v>
      </c>
      <c r="E249" s="3246">
        <v>8.2653329108215807</v>
      </c>
      <c r="F249" s="3246">
        <v>8.0627954670943609</v>
      </c>
      <c r="G249" s="3246">
        <v>10.047548291233287</v>
      </c>
      <c r="H249" s="3246">
        <v>9.3511947990804209</v>
      </c>
      <c r="I249" s="3246">
        <v>8.952665662784792</v>
      </c>
      <c r="J249" s="3243"/>
      <c r="K249" s="3243"/>
      <c r="L249" s="3246">
        <v>9.863223296379088</v>
      </c>
      <c r="M249" s="3246">
        <v>10.349431211543001</v>
      </c>
      <c r="N249" s="3243"/>
      <c r="O249" s="3244"/>
    </row>
    <row r="250" spans="1:15">
      <c r="A250" s="1340">
        <f t="shared" si="1"/>
        <v>2014.01</v>
      </c>
      <c r="B250" s="1259">
        <v>9.3661054858561918</v>
      </c>
      <c r="C250" s="1259">
        <v>9.2997302171512644</v>
      </c>
      <c r="D250" s="3246">
        <v>6.5778272734790741</v>
      </c>
      <c r="E250" s="3246">
        <v>8.1620096933945963</v>
      </c>
      <c r="F250" s="3246">
        <v>8.2313802049097671</v>
      </c>
      <c r="G250" s="3246">
        <v>10.261422734026748</v>
      </c>
      <c r="H250" s="3246">
        <v>9.78968430858923</v>
      </c>
      <c r="I250" s="3246">
        <v>10.179301084370628</v>
      </c>
      <c r="J250" s="3243"/>
      <c r="K250" s="3243"/>
      <c r="L250" s="3246">
        <v>9.9114797277134397</v>
      </c>
      <c r="M250" s="3246">
        <v>10.778197800313018</v>
      </c>
      <c r="N250" s="3243"/>
      <c r="O250" s="3244"/>
    </row>
    <row r="251" spans="1:15">
      <c r="A251" s="1340">
        <f t="shared" si="1"/>
        <v>2014.02</v>
      </c>
      <c r="B251" s="1259">
        <v>9.775908624345039</v>
      </c>
      <c r="C251" s="1259">
        <v>9.9142259845417673</v>
      </c>
      <c r="D251" s="3246">
        <v>6.9557543347024398</v>
      </c>
      <c r="E251" s="3246">
        <v>8.4258248120025829</v>
      </c>
      <c r="F251" s="3246">
        <v>8.3961704309415452</v>
      </c>
      <c r="G251" s="3246">
        <v>10.945950965824668</v>
      </c>
      <c r="H251" s="3246">
        <v>10.200890026395268</v>
      </c>
      <c r="I251" s="3246">
        <v>10.542748616692357</v>
      </c>
      <c r="J251" s="3243"/>
      <c r="K251" s="3243"/>
      <c r="L251" s="3246">
        <v>10.082333579194518</v>
      </c>
      <c r="M251" s="3246">
        <v>11.179622751538284</v>
      </c>
      <c r="N251" s="3243"/>
      <c r="O251" s="3244"/>
    </row>
    <row r="252" spans="1:15">
      <c r="A252" s="1340">
        <f t="shared" si="1"/>
        <v>2014.03</v>
      </c>
      <c r="B252" s="1259">
        <v>10.1326851963909</v>
      </c>
      <c r="C252" s="1259">
        <v>10.226617224880377</v>
      </c>
      <c r="D252" s="3246">
        <v>7.1196581856272685</v>
      </c>
      <c r="E252" s="3246">
        <v>8.7950610813863257</v>
      </c>
      <c r="F252" s="3246">
        <v>8.5338570013759938</v>
      </c>
      <c r="G252" s="3246">
        <v>11.482262258543837</v>
      </c>
      <c r="H252" s="3246">
        <v>10.488019453362515</v>
      </c>
      <c r="I252" s="3246">
        <v>10.98708538639057</v>
      </c>
      <c r="J252" s="3243"/>
      <c r="K252" s="3243"/>
      <c r="L252" s="3246">
        <v>11.313524692157408</v>
      </c>
      <c r="M252" s="3246">
        <v>11.757525545097876</v>
      </c>
      <c r="N252" s="3243"/>
      <c r="O252" s="3244"/>
    </row>
    <row r="253" spans="1:15">
      <c r="A253" s="1340">
        <f t="shared" si="1"/>
        <v>2014.04</v>
      </c>
      <c r="B253" s="1259">
        <v>10.449115467882271</v>
      </c>
      <c r="C253" s="1259">
        <v>10.393911667280083</v>
      </c>
      <c r="D253" s="3246">
        <v>7.1986751936488798</v>
      </c>
      <c r="E253" s="3246">
        <v>9.7837121719947824</v>
      </c>
      <c r="F253" s="3246">
        <v>9.0585837737403434</v>
      </c>
      <c r="G253" s="3246">
        <v>11.717589153046067</v>
      </c>
      <c r="H253" s="3246">
        <v>10.539988580415413</v>
      </c>
      <c r="I253" s="3246">
        <v>11.330587627304398</v>
      </c>
      <c r="J253" s="3243"/>
      <c r="K253" s="3243"/>
      <c r="L253" s="3246">
        <v>11.411993896636961</v>
      </c>
      <c r="M253" s="3246">
        <v>12.033427523958585</v>
      </c>
      <c r="N253" s="3243"/>
      <c r="O253" s="3244"/>
    </row>
    <row r="254" spans="1:15">
      <c r="A254" s="1340">
        <f t="shared" si="1"/>
        <v>2014.05</v>
      </c>
      <c r="B254" s="1259">
        <v>10.709637294319624</v>
      </c>
      <c r="C254" s="1259">
        <v>10.52655612808244</v>
      </c>
      <c r="D254" s="3246">
        <v>8.1640372687929119</v>
      </c>
      <c r="E254" s="3246">
        <v>10.024450023766285</v>
      </c>
      <c r="F254" s="3246">
        <v>9.6478172464263423</v>
      </c>
      <c r="G254" s="3246">
        <v>12.017923476968802</v>
      </c>
      <c r="H254" s="3246">
        <v>10.667962555783168</v>
      </c>
      <c r="I254" s="3246">
        <v>11.469650631287257</v>
      </c>
      <c r="J254" s="3243"/>
      <c r="K254" s="3243"/>
      <c r="L254" s="3246">
        <v>12.113668492795895</v>
      </c>
      <c r="M254" s="3246">
        <v>12.286959072100855</v>
      </c>
      <c r="N254" s="3243"/>
      <c r="O254" s="3244"/>
    </row>
    <row r="255" spans="1:15">
      <c r="A255" s="1340">
        <f t="shared" si="1"/>
        <v>2014.06</v>
      </c>
      <c r="B255" s="1259">
        <v>10.959784357757259</v>
      </c>
      <c r="C255" s="1259">
        <v>10.71388259109311</v>
      </c>
      <c r="D255" s="3246">
        <v>8.236281390412671</v>
      </c>
      <c r="E255" s="3246">
        <v>10.295083425757777</v>
      </c>
      <c r="F255" s="3246">
        <v>10.177422676798214</v>
      </c>
      <c r="G255" s="3246">
        <v>12.171991084695399</v>
      </c>
      <c r="H255" s="3246">
        <v>11.01680532112573</v>
      </c>
      <c r="I255" s="3246">
        <v>11.763289643681334</v>
      </c>
      <c r="J255" s="3243"/>
      <c r="K255" s="3243"/>
      <c r="L255" s="3246">
        <v>12.199747532473387</v>
      </c>
      <c r="M255" s="3246">
        <v>12.311815106232451</v>
      </c>
      <c r="N255" s="3243"/>
      <c r="O255" s="3244"/>
    </row>
    <row r="256" spans="1:15">
      <c r="A256" s="1340">
        <f t="shared" si="1"/>
        <v>2014.07</v>
      </c>
      <c r="B256" s="1259">
        <v>11.203591288250623</v>
      </c>
      <c r="C256" s="1259">
        <v>10.886591093117403</v>
      </c>
      <c r="D256" s="3246">
        <v>8.3324563773189748</v>
      </c>
      <c r="E256" s="3246">
        <v>10.333895192710047</v>
      </c>
      <c r="F256" s="3246">
        <v>10.438701916756495</v>
      </c>
      <c r="G256" s="3246">
        <v>12.49767830609213</v>
      </c>
      <c r="H256" s="3246">
        <v>11.107101679380134</v>
      </c>
      <c r="I256" s="3246">
        <v>12.21205870035908</v>
      </c>
      <c r="J256" s="3243"/>
      <c r="K256" s="3243"/>
      <c r="L256" s="3246">
        <v>12.465157904812315</v>
      </c>
      <c r="M256" s="3246">
        <v>12.472757927234531</v>
      </c>
      <c r="N256" s="3243"/>
      <c r="O256" s="3244"/>
    </row>
    <row r="257" spans="1:15">
      <c r="A257" s="1340">
        <f t="shared" si="1"/>
        <v>2014.08</v>
      </c>
      <c r="B257" s="1259">
        <v>11.458349357465911</v>
      </c>
      <c r="C257" s="1259">
        <v>11.131847994111146</v>
      </c>
      <c r="D257" s="3246">
        <v>8.6837434186950553</v>
      </c>
      <c r="E257" s="3246">
        <v>10.351727626174602</v>
      </c>
      <c r="F257" s="3246">
        <v>11.21440853995214</v>
      </c>
      <c r="G257" s="3246">
        <v>12.740806092124821</v>
      </c>
      <c r="H257" s="3246">
        <v>11.194799581281899</v>
      </c>
      <c r="I257" s="3246">
        <v>12.377715426219137</v>
      </c>
      <c r="J257" s="3243"/>
      <c r="K257" s="3243"/>
      <c r="L257" s="3246">
        <v>13.056625245626584</v>
      </c>
      <c r="M257" s="3246">
        <v>12.512527581845083</v>
      </c>
      <c r="N257" s="3243"/>
      <c r="O257" s="3244"/>
    </row>
    <row r="258" spans="1:15">
      <c r="A258" s="1340">
        <f t="shared" si="1"/>
        <v>2014.09</v>
      </c>
      <c r="B258" s="1259">
        <v>11.715989305292233</v>
      </c>
      <c r="C258" s="1259">
        <v>11.378729112992263</v>
      </c>
      <c r="D258" s="3246">
        <v>9.1235295090553397</v>
      </c>
      <c r="E258" s="3246">
        <v>10.822189179636558</v>
      </c>
      <c r="F258" s="3246">
        <v>11.351553037274643</v>
      </c>
      <c r="G258" s="3246">
        <v>13.310271173848445</v>
      </c>
      <c r="H258" s="3246">
        <v>11.344860435647135</v>
      </c>
      <c r="I258" s="3246">
        <v>12.732298384581799</v>
      </c>
      <c r="J258" s="3243"/>
      <c r="K258" s="3243"/>
      <c r="L258" s="3246">
        <v>13.145312741051878</v>
      </c>
      <c r="M258" s="3246">
        <v>12.68030581223335</v>
      </c>
      <c r="N258" s="3243"/>
      <c r="O258" s="3244"/>
    </row>
    <row r="259" spans="1:15">
      <c r="A259" s="1340">
        <f t="shared" si="1"/>
        <v>2014.1</v>
      </c>
      <c r="B259" s="1259">
        <v>11.941928588397193</v>
      </c>
      <c r="C259" s="1259">
        <v>11.642393816709598</v>
      </c>
      <c r="D259" s="3246">
        <v>9.3086550707059708</v>
      </c>
      <c r="E259" s="3246">
        <v>11.183033715625214</v>
      </c>
      <c r="F259" s="3246">
        <v>11.515801190194477</v>
      </c>
      <c r="G259" s="3246">
        <v>13.58915304606241</v>
      </c>
      <c r="H259" s="3246">
        <v>11.819078720004809</v>
      </c>
      <c r="I259" s="3246">
        <v>12.858064527626057</v>
      </c>
      <c r="J259" s="3243"/>
      <c r="K259" s="3243"/>
      <c r="L259" s="3246">
        <v>13.281604553874569</v>
      </c>
      <c r="M259" s="3246">
        <v>12.713240057457712</v>
      </c>
      <c r="N259" s="3243"/>
      <c r="O259" s="3244"/>
    </row>
    <row r="260" spans="1:15">
      <c r="A260" s="1340">
        <f t="shared" si="1"/>
        <v>2014.11</v>
      </c>
      <c r="B260" s="1259">
        <v>12.159798611391263</v>
      </c>
      <c r="C260" s="1259">
        <v>11.830803091645191</v>
      </c>
      <c r="D260" s="3246">
        <v>9.402120903051534</v>
      </c>
      <c r="E260" s="3246">
        <v>11.654019752424363</v>
      </c>
      <c r="F260" s="3246">
        <v>11.771117625921345</v>
      </c>
      <c r="G260" s="3246">
        <v>13.760122585438337</v>
      </c>
      <c r="H260" s="3246">
        <v>11.928863500904052</v>
      </c>
      <c r="I260" s="3246">
        <v>12.982168563052989</v>
      </c>
      <c r="J260" s="3243"/>
      <c r="K260" s="3243"/>
      <c r="L260" s="3246">
        <v>13.493541583383541</v>
      </c>
      <c r="M260" s="3246">
        <v>12.748659906095236</v>
      </c>
      <c r="N260" s="3243"/>
      <c r="O260" s="3244"/>
    </row>
    <row r="261" spans="1:15">
      <c r="A261" s="1340">
        <f t="shared" si="1"/>
        <v>2014.12</v>
      </c>
      <c r="B261" s="1259">
        <v>12.336745958108668</v>
      </c>
      <c r="C261" s="1259">
        <v>11.9731928597718</v>
      </c>
      <c r="D261" s="3246">
        <v>9.691548915290694</v>
      </c>
      <c r="E261" s="3246">
        <v>11.802973020187121</v>
      </c>
      <c r="F261" s="3246">
        <v>11.87085907851953</v>
      </c>
      <c r="G261" s="3246">
        <v>13.868034918276377</v>
      </c>
      <c r="H261" s="3246">
        <v>12.186110679815886</v>
      </c>
      <c r="I261" s="3246">
        <v>13.102948383245272</v>
      </c>
      <c r="J261" s="3243"/>
      <c r="K261" s="3243"/>
      <c r="L261" s="3246">
        <v>13.607661522349911</v>
      </c>
      <c r="M261" s="3246">
        <v>13.004677057650667</v>
      </c>
      <c r="N261" s="3243"/>
      <c r="O261" s="3244"/>
    </row>
    <row r="262" spans="1:15">
      <c r="A262" s="1340">
        <f t="shared" si="1"/>
        <v>2015.01</v>
      </c>
      <c r="B262" s="1259">
        <v>12.578247385713206</v>
      </c>
      <c r="C262" s="1259">
        <v>12.236316157526677</v>
      </c>
      <c r="D262" s="3246">
        <v>10.059542409791343</v>
      </c>
      <c r="E262" s="3246">
        <v>11.708041536155221</v>
      </c>
      <c r="F262" s="3246">
        <v>11.976021262237177</v>
      </c>
      <c r="G262" s="3246">
        <v>13.966846210995545</v>
      </c>
      <c r="H262" s="3246">
        <v>12.389439889410342</v>
      </c>
      <c r="I262" s="3246">
        <v>13.138960714953981</v>
      </c>
      <c r="J262" s="3243"/>
      <c r="K262" s="3243"/>
      <c r="L262" s="3246">
        <v>13.761560411470274</v>
      </c>
      <c r="M262" s="3246">
        <v>13.524789571854299</v>
      </c>
      <c r="N262" s="3243"/>
      <c r="O262" s="3244"/>
    </row>
    <row r="263" spans="1:15">
      <c r="A263" s="1340">
        <f t="shared" si="1"/>
        <v>2015.02</v>
      </c>
      <c r="B263" s="1259">
        <v>12.760958489652678</v>
      </c>
      <c r="C263" s="1259">
        <v>12.36950202429149</v>
      </c>
      <c r="D263" s="3246">
        <v>10.37696501915816</v>
      </c>
      <c r="E263" s="3246">
        <v>11.631466968925071</v>
      </c>
      <c r="F263" s="3246">
        <v>12.163578558970714</v>
      </c>
      <c r="G263" s="3246">
        <v>14.215824665676081</v>
      </c>
      <c r="H263" s="3246">
        <v>12.592119484916637</v>
      </c>
      <c r="I263" s="3246">
        <v>13.284672149406139</v>
      </c>
      <c r="J263" s="3243"/>
      <c r="K263" s="3243"/>
      <c r="L263" s="3246">
        <v>14.002842568142027</v>
      </c>
      <c r="M263" s="3246">
        <v>13.817469373753834</v>
      </c>
      <c r="N263" s="3243"/>
      <c r="O263" s="3244"/>
    </row>
    <row r="264" spans="1:15">
      <c r="A264" s="1340">
        <f t="shared" si="1"/>
        <v>2015.03</v>
      </c>
      <c r="B264" s="1259">
        <v>12.973064755424684</v>
      </c>
      <c r="C264" s="1259">
        <v>12.544917556128077</v>
      </c>
      <c r="D264" s="3246">
        <v>10.553511591366446</v>
      </c>
      <c r="E264" s="3246">
        <v>11.869582404010609</v>
      </c>
      <c r="F264" s="3246">
        <v>12.302349275629053</v>
      </c>
      <c r="G264" s="3246">
        <v>14.325687221396734</v>
      </c>
      <c r="H264" s="3246">
        <v>12.972143726490938</v>
      </c>
      <c r="I264" s="3246">
        <v>13.435923942582711</v>
      </c>
      <c r="J264" s="3243"/>
      <c r="K264" s="3243"/>
      <c r="L264" s="3246">
        <v>15.134260248751465</v>
      </c>
      <c r="M264" s="3246">
        <v>14.033716870698711</v>
      </c>
      <c r="N264" s="3243"/>
      <c r="O264" s="3244"/>
    </row>
    <row r="265" spans="1:15">
      <c r="A265" s="1340">
        <f t="shared" si="1"/>
        <v>2015.04</v>
      </c>
      <c r="B265" s="1259">
        <v>13.280273015360764</v>
      </c>
      <c r="C265" s="1259">
        <v>12.776639308060355</v>
      </c>
      <c r="D265" s="3246">
        <v>11.049286875982045</v>
      </c>
      <c r="E265" s="3246">
        <v>12.834631744445391</v>
      </c>
      <c r="F265" s="3246">
        <v>12.455755966309955</v>
      </c>
      <c r="G265" s="3246">
        <v>15.025167161961368</v>
      </c>
      <c r="H265" s="3246">
        <v>13.076731594684892</v>
      </c>
      <c r="I265" s="3246">
        <v>13.606566991294745</v>
      </c>
      <c r="J265" s="3243"/>
      <c r="K265" s="3243"/>
      <c r="L265" s="3246">
        <v>15.811154515306274</v>
      </c>
      <c r="M265" s="3246">
        <v>14.158618442209978</v>
      </c>
      <c r="N265" s="3243"/>
      <c r="O265" s="3244"/>
    </row>
    <row r="266" spans="1:15">
      <c r="A266" s="1340">
        <f t="shared" si="1"/>
        <v>2015.05</v>
      </c>
      <c r="B266" s="1259">
        <v>13.574224633686097</v>
      </c>
      <c r="C266" s="1259">
        <v>13.022979020979015</v>
      </c>
      <c r="D266" s="3246">
        <v>11.1445588113681</v>
      </c>
      <c r="E266" s="3246">
        <v>12.989878812254462</v>
      </c>
      <c r="F266" s="3246">
        <v>12.875862628068601</v>
      </c>
      <c r="G266" s="3246">
        <v>15.350204309063896</v>
      </c>
      <c r="H266" s="3246">
        <v>13.259273153458187</v>
      </c>
      <c r="I266" s="3246">
        <v>14.007134927070064</v>
      </c>
      <c r="J266" s="3243"/>
      <c r="K266" s="3243"/>
      <c r="L266" s="3246">
        <v>16.294370942586731</v>
      </c>
      <c r="M266" s="3246">
        <v>14.326396672598248</v>
      </c>
      <c r="N266" s="3243"/>
      <c r="O266" s="3244"/>
    </row>
    <row r="267" spans="1:15">
      <c r="A267" s="1340">
        <f t="shared" si="1"/>
        <v>2015.06</v>
      </c>
      <c r="B267" s="1259">
        <v>13.757512113347774</v>
      </c>
      <c r="C267" s="1259">
        <v>13.072788369525206</v>
      </c>
      <c r="D267" s="3246">
        <v>11.87693359428841</v>
      </c>
      <c r="E267" s="3246">
        <v>13.286211897768403</v>
      </c>
      <c r="F267" s="3246">
        <v>13.084018703056113</v>
      </c>
      <c r="G267" s="3246">
        <v>15.449665676077268</v>
      </c>
      <c r="H267" s="3246">
        <v>13.522366859163471</v>
      </c>
      <c r="I267" s="3246">
        <v>14.18885869323093</v>
      </c>
      <c r="J267" s="3243"/>
      <c r="K267" s="3243"/>
      <c r="L267" s="3246">
        <v>16.536957327132388</v>
      </c>
      <c r="M267" s="3246">
        <v>14.374244538301568</v>
      </c>
      <c r="N267" s="3243"/>
      <c r="O267" s="3244"/>
    </row>
    <row r="268" spans="1:15">
      <c r="A268" s="1340">
        <f t="shared" si="1"/>
        <v>2015.07</v>
      </c>
      <c r="B268" s="1259">
        <v>14.038207090062357</v>
      </c>
      <c r="C268" s="1259">
        <v>13.372185866764807</v>
      </c>
      <c r="D268" s="3246">
        <v>11.978075364556069</v>
      </c>
      <c r="E268" s="3246">
        <v>13.429395848822043</v>
      </c>
      <c r="F268" s="3246">
        <v>13.513340607717854</v>
      </c>
      <c r="G268" s="3246">
        <v>15.515973254086186</v>
      </c>
      <c r="H268" s="3246">
        <v>13.66853002899974</v>
      </c>
      <c r="I268" s="3246">
        <v>14.43928290757456</v>
      </c>
      <c r="J268" s="3243"/>
      <c r="K268" s="3243"/>
      <c r="L268" s="3246">
        <v>16.794542332227909</v>
      </c>
      <c r="M268" s="3246">
        <v>14.589249233539867</v>
      </c>
      <c r="N268" s="3243"/>
      <c r="O268" s="3244"/>
    </row>
    <row r="269" spans="1:15">
      <c r="A269" s="1340">
        <f t="shared" si="1"/>
        <v>2015.08</v>
      </c>
      <c r="B269" s="1259">
        <v>14.295270662166473</v>
      </c>
      <c r="C269" s="1259">
        <v>13.725182554287811</v>
      </c>
      <c r="D269" s="3246">
        <v>12.105405628910898</v>
      </c>
      <c r="E269" s="3246">
        <v>13.397926848590473</v>
      </c>
      <c r="F269" s="3246">
        <v>13.653737543712035</v>
      </c>
      <c r="G269" s="3246">
        <v>15.917069093610703</v>
      </c>
      <c r="H269" s="3246">
        <v>14.115464521654644</v>
      </c>
      <c r="I269" s="3246">
        <v>14.583332234409394</v>
      </c>
      <c r="J269" s="3243"/>
      <c r="K269" s="3243"/>
      <c r="L269" s="3246">
        <v>17.978781241730346</v>
      </c>
      <c r="M269" s="3246">
        <v>14.74273524430247</v>
      </c>
      <c r="N269" s="3243"/>
      <c r="O269" s="3244"/>
    </row>
    <row r="270" spans="1:15">
      <c r="A270" s="1340">
        <f t="shared" si="1"/>
        <v>2015.09</v>
      </c>
      <c r="B270" s="1259">
        <v>14.532161083993358</v>
      </c>
      <c r="C270" s="1259">
        <v>13.970439455281557</v>
      </c>
      <c r="D270" s="3246">
        <v>12.564155801196366</v>
      </c>
      <c r="E270" s="3246">
        <v>13.85370286861103</v>
      </c>
      <c r="F270" s="3246">
        <v>13.916643003006159</v>
      </c>
      <c r="G270" s="3246">
        <v>16.084138187221402</v>
      </c>
      <c r="H270" s="3246">
        <v>14.310348748103001</v>
      </c>
      <c r="I270" s="3246">
        <v>14.769488287549787</v>
      </c>
      <c r="J270" s="3243"/>
      <c r="K270" s="3243"/>
      <c r="L270" s="3246">
        <v>18.09681386431842</v>
      </c>
      <c r="M270" s="3246">
        <v>14.944690521621682</v>
      </c>
      <c r="N270" s="3243"/>
      <c r="O270" s="3244"/>
    </row>
    <row r="271" spans="1:15">
      <c r="A271" s="1340">
        <f t="shared" si="1"/>
        <v>2015.1</v>
      </c>
      <c r="B271" s="1259">
        <v>14.779426268819964</v>
      </c>
      <c r="C271" s="1259">
        <v>14.059230033124766</v>
      </c>
      <c r="D271" s="3246">
        <v>12.742056950685022</v>
      </c>
      <c r="E271" s="3246">
        <v>14.317870622026673</v>
      </c>
      <c r="F271" s="3246">
        <v>14.239176504614411</v>
      </c>
      <c r="G271" s="3246">
        <v>16.466381872213972</v>
      </c>
      <c r="H271" s="3246">
        <v>14.877461847067726</v>
      </c>
      <c r="I271" s="3246">
        <v>14.905781112170438</v>
      </c>
      <c r="J271" s="3243"/>
      <c r="K271" s="3243"/>
      <c r="L271" s="3246">
        <v>18.186153473680662</v>
      </c>
      <c r="M271" s="3246">
        <v>15.095690928971125</v>
      </c>
      <c r="N271" s="3243"/>
      <c r="O271" s="3244"/>
    </row>
    <row r="272" spans="1:15">
      <c r="A272" s="1340">
        <f t="shared" si="1"/>
        <v>2015.11</v>
      </c>
      <c r="B272" s="1259">
        <v>15.06819050564544</v>
      </c>
      <c r="C272" s="1259">
        <v>14.326684578579313</v>
      </c>
      <c r="D272" s="3246">
        <v>12.92537640929516</v>
      </c>
      <c r="E272" s="3246">
        <v>14.715428991618825</v>
      </c>
      <c r="F272" s="3246">
        <v>14.433238678691309</v>
      </c>
      <c r="G272" s="3246">
        <v>17.088502971768207</v>
      </c>
      <c r="H272" s="3246">
        <v>15.267230299964444</v>
      </c>
      <c r="I272" s="3246">
        <v>15.110220349101411</v>
      </c>
      <c r="J272" s="3243"/>
      <c r="K272" s="3243"/>
      <c r="L272" s="3246">
        <v>18.200499980293579</v>
      </c>
      <c r="M272" s="3246">
        <v>15.220592500482391</v>
      </c>
      <c r="N272" s="3243"/>
      <c r="O272" s="3244"/>
    </row>
    <row r="273" spans="1:15">
      <c r="A273" s="1340">
        <f t="shared" si="1"/>
        <v>2015.12</v>
      </c>
      <c r="B273" s="1259">
        <v>15.658399245184933</v>
      </c>
      <c r="C273" s="1259">
        <v>15.030512329775485</v>
      </c>
      <c r="D273" s="3246">
        <v>13.09740772390221</v>
      </c>
      <c r="E273" s="3246">
        <v>15.251450962229884</v>
      </c>
      <c r="F273" s="3246">
        <v>14.563336225558507</v>
      </c>
      <c r="G273" s="3246">
        <v>17.9238484398217</v>
      </c>
      <c r="H273" s="3246">
        <v>16.292321331082814</v>
      </c>
      <c r="I273" s="3246">
        <v>15.56674590799334</v>
      </c>
      <c r="J273" s="3243"/>
      <c r="K273" s="3243"/>
      <c r="L273" s="3246">
        <v>18.200499980293579</v>
      </c>
      <c r="M273" s="3246">
        <v>15.97062333040328</v>
      </c>
      <c r="N273" s="3243"/>
      <c r="O273" s="3244"/>
    </row>
    <row r="274" spans="1:15">
      <c r="A274" s="1340">
        <f t="shared" si="1"/>
        <v>2016.01</v>
      </c>
      <c r="B274" s="1259">
        <v>16.306245556945079</v>
      </c>
      <c r="C274" s="1259">
        <v>15.734881486934116</v>
      </c>
      <c r="D274" s="3246">
        <v>13.247765802023334</v>
      </c>
      <c r="E274" s="3246">
        <v>15.612819981555731</v>
      </c>
      <c r="F274" s="3246">
        <v>14.859850217793317</v>
      </c>
      <c r="G274" s="3246">
        <v>18.699387072808324</v>
      </c>
      <c r="H274" s="3246">
        <v>16.567757704463162</v>
      </c>
      <c r="I274" s="3246">
        <v>16.227156667943795</v>
      </c>
      <c r="J274" s="3243"/>
      <c r="K274" s="3243"/>
      <c r="L274" s="3246">
        <v>18.233757791078062</v>
      </c>
      <c r="M274" s="3246">
        <v>17.563273717385247</v>
      </c>
      <c r="N274" s="3243"/>
      <c r="O274" s="3244"/>
    </row>
    <row r="275" spans="1:15">
      <c r="A275" s="1340">
        <f t="shared" si="1"/>
        <v>2016.02</v>
      </c>
      <c r="B275" s="1259">
        <v>16.953515492983016</v>
      </c>
      <c r="C275" s="1259">
        <v>16.325555391976444</v>
      </c>
      <c r="D275" s="3246">
        <v>13.74715329271992</v>
      </c>
      <c r="E275" s="3246">
        <v>15.697261798843774</v>
      </c>
      <c r="F275" s="3246">
        <v>16.638392098090254</v>
      </c>
      <c r="G275" s="3246">
        <v>19.543833580980689</v>
      </c>
      <c r="H275" s="3246">
        <v>17.1296738907226</v>
      </c>
      <c r="I275" s="3246">
        <v>16.540186935873336</v>
      </c>
      <c r="J275" s="3243"/>
      <c r="K275" s="3243"/>
      <c r="L275" s="3246">
        <v>18.304838210205684</v>
      </c>
      <c r="M275" s="3246">
        <v>18.089600240121779</v>
      </c>
      <c r="N275" s="3243"/>
      <c r="O275" s="3244"/>
    </row>
    <row r="276" spans="1:15">
      <c r="A276" s="1340">
        <f t="shared" si="1"/>
        <v>2016.03</v>
      </c>
      <c r="B276" s="1259">
        <v>17.516058197856594</v>
      </c>
      <c r="C276" s="1259">
        <v>16.905942583732056</v>
      </c>
      <c r="D276" s="3246">
        <v>14.139529178267237</v>
      </c>
      <c r="E276" s="3246">
        <v>16.15146436885275</v>
      </c>
      <c r="F276" s="3246">
        <v>17.375069457225738</v>
      </c>
      <c r="G276" s="3246">
        <v>19.991084695393763</v>
      </c>
      <c r="H276" s="3246">
        <v>17.536981923999669</v>
      </c>
      <c r="I276" s="3246">
        <v>17.245474601491566</v>
      </c>
      <c r="J276" s="3243"/>
      <c r="K276" s="3243"/>
      <c r="L276" s="3246">
        <v>20.139886828784906</v>
      </c>
      <c r="M276" s="3246">
        <v>18.538873057050363</v>
      </c>
      <c r="N276" s="3243"/>
      <c r="O276" s="3244"/>
    </row>
    <row r="277" spans="1:15">
      <c r="A277" s="1340">
        <f t="shared" si="1"/>
        <v>2016.04</v>
      </c>
      <c r="B277" s="1259">
        <v>18.662469509325394</v>
      </c>
      <c r="C277" s="1259">
        <v>17.205340080971659</v>
      </c>
      <c r="D277" s="3246">
        <v>14.399608016098371</v>
      </c>
      <c r="E277" s="3246">
        <v>17.488372395357239</v>
      </c>
      <c r="F277" s="3246">
        <v>21.130551976792081</v>
      </c>
      <c r="G277" s="3246">
        <v>20.548198365527494</v>
      </c>
      <c r="H277" s="3246">
        <v>17.945589185453063</v>
      </c>
      <c r="I277" s="3246">
        <v>19.576857552726075</v>
      </c>
      <c r="J277" s="3243"/>
      <c r="K277" s="3243"/>
      <c r="L277" s="3246">
        <v>21.418682259145196</v>
      </c>
      <c r="M277" s="3246">
        <v>18.757606157408404</v>
      </c>
      <c r="N277" s="3243"/>
      <c r="O277" s="3244"/>
    </row>
    <row r="278" spans="1:15">
      <c r="A278" s="1340">
        <f t="shared" si="1"/>
        <v>2016.05</v>
      </c>
      <c r="B278" s="1259">
        <v>19.601961936522045</v>
      </c>
      <c r="C278" s="1259">
        <v>17.866938167096063</v>
      </c>
      <c r="D278" s="3246">
        <v>19.329366265126684</v>
      </c>
      <c r="E278" s="3246">
        <v>18.219502167404023</v>
      </c>
      <c r="F278" s="3246">
        <v>22.984442019649595</v>
      </c>
      <c r="G278" s="3246">
        <v>21.195022288261523</v>
      </c>
      <c r="H278" s="3246">
        <v>18.360042973699908</v>
      </c>
      <c r="I278" s="3246">
        <v>20.590743199294312</v>
      </c>
      <c r="J278" s="3243"/>
      <c r="K278" s="3243"/>
      <c r="L278" s="3246">
        <v>23.022230430106926</v>
      </c>
      <c r="M278" s="3246">
        <v>19.25845524516005</v>
      </c>
      <c r="N278" s="3243"/>
      <c r="O278" s="3244"/>
    </row>
    <row r="279" spans="1:15">
      <c r="A279" s="1340">
        <f t="shared" si="1"/>
        <v>2016.06</v>
      </c>
      <c r="B279" s="1259">
        <v>20.233669728060409</v>
      </c>
      <c r="C279" s="1259">
        <v>18.395891792418105</v>
      </c>
      <c r="D279" s="3246">
        <v>19.933507732171922</v>
      </c>
      <c r="E279" s="3246">
        <v>18.498002819453408</v>
      </c>
      <c r="F279" s="3246">
        <v>23.956921182481874</v>
      </c>
      <c r="G279" s="3246">
        <v>21.729383358098072</v>
      </c>
      <c r="H279" s="3246">
        <v>19.966538613722552</v>
      </c>
      <c r="I279" s="3246">
        <v>20.720387593445661</v>
      </c>
      <c r="J279" s="3243"/>
      <c r="K279" s="3243"/>
      <c r="L279" s="3246">
        <v>23.127220773955983</v>
      </c>
      <c r="M279" s="3246">
        <v>19.833872435306478</v>
      </c>
      <c r="N279" s="3243"/>
      <c r="O279" s="3244"/>
    </row>
    <row r="280" spans="1:15">
      <c r="A280" s="1340">
        <f t="shared" si="1"/>
        <v>2016.07</v>
      </c>
      <c r="B280" s="1259">
        <v>20.669986149770754</v>
      </c>
      <c r="C280" s="1259">
        <v>18.949208686050788</v>
      </c>
      <c r="D280" s="3246">
        <v>20.267636794663304</v>
      </c>
      <c r="E280" s="3246">
        <v>18.319154001470658</v>
      </c>
      <c r="F280" s="3246">
        <v>24.238799200694132</v>
      </c>
      <c r="G280" s="3246">
        <v>22.036218424962858</v>
      </c>
      <c r="H280" s="3246">
        <v>22.020618360488257</v>
      </c>
      <c r="I280" s="3246">
        <v>20.853356202831659</v>
      </c>
      <c r="J280" s="3243"/>
      <c r="K280" s="3243"/>
      <c r="L280" s="3246">
        <v>24.216251048663629</v>
      </c>
      <c r="M280" s="3246">
        <v>20.774673327187362</v>
      </c>
      <c r="N280" s="3243"/>
      <c r="O280" s="3244"/>
    </row>
    <row r="281" spans="1:15">
      <c r="A281" s="1340">
        <f t="shared" si="1"/>
        <v>2016.08</v>
      </c>
      <c r="B281" s="1259">
        <v>20.513211953330575</v>
      </c>
      <c r="C281" s="1259">
        <v>19.125165623849831</v>
      </c>
      <c r="D281" s="3246">
        <v>20.617117732998889</v>
      </c>
      <c r="E281" s="3246">
        <v>18.468631752570612</v>
      </c>
      <c r="F281" s="3246">
        <v>21.93824091359258</v>
      </c>
      <c r="G281" s="3246">
        <v>22.223439821693912</v>
      </c>
      <c r="H281" s="3246">
        <v>20.926668236024799</v>
      </c>
      <c r="I281" s="3246">
        <v>21.006270103625557</v>
      </c>
      <c r="J281" s="3243"/>
      <c r="K281" s="3243"/>
      <c r="L281" s="3246">
        <v>23.710210633589895</v>
      </c>
      <c r="M281" s="3246">
        <v>20.871611860300582</v>
      </c>
      <c r="N281" s="3243"/>
      <c r="O281" s="3244"/>
    </row>
    <row r="282" spans="1:15">
      <c r="A282" s="1340">
        <f t="shared" si="1"/>
        <v>2016.09</v>
      </c>
      <c r="B282" s="1259">
        <v>20.788719548545298</v>
      </c>
      <c r="C282" s="1259">
        <v>19.505232609495764</v>
      </c>
      <c r="D282" s="3246">
        <v>21.425800369380067</v>
      </c>
      <c r="E282" s="3246">
        <v>18.978954039659222</v>
      </c>
      <c r="F282" s="3246">
        <v>22.113872601863292</v>
      </c>
      <c r="G282" s="3246">
        <v>22.513372956909365</v>
      </c>
      <c r="H282" s="3246">
        <v>21.161828535939151</v>
      </c>
      <c r="I282" s="3246">
        <v>21.119293421603654</v>
      </c>
      <c r="J282" s="3243"/>
      <c r="K282" s="3243"/>
      <c r="L282" s="3246">
        <v>23.899323675305599</v>
      </c>
      <c r="M282" s="3246">
        <v>21.065488926527028</v>
      </c>
      <c r="N282" s="3243"/>
      <c r="O282" s="3244"/>
    </row>
    <row r="283" spans="1:15">
      <c r="A283" s="1340">
        <f t="shared" si="1"/>
        <v>2016.1</v>
      </c>
      <c r="B283" s="1259">
        <v>21.391608553973334</v>
      </c>
      <c r="C283" s="1259">
        <v>19.865808980493192</v>
      </c>
      <c r="D283" s="3246">
        <v>21.823143038288741</v>
      </c>
      <c r="E283" s="3246">
        <v>19.863757429503501</v>
      </c>
      <c r="F283" s="3246">
        <v>24.007333981892913</v>
      </c>
      <c r="G283" s="3246">
        <v>22.721396731054977</v>
      </c>
      <c r="H283" s="3246">
        <v>22.175226513470619</v>
      </c>
      <c r="I283" s="3246">
        <v>21.319854407427535</v>
      </c>
      <c r="J283" s="3243"/>
      <c r="K283" s="3243"/>
      <c r="L283" s="3246">
        <v>24.032354918443534</v>
      </c>
      <c r="M283" s="3246">
        <v>21.355061724160112</v>
      </c>
      <c r="N283" s="3243"/>
      <c r="O283" s="3244"/>
    </row>
    <row r="284" spans="1:15">
      <c r="A284" s="1340">
        <f t="shared" si="1"/>
        <v>2016.11</v>
      </c>
      <c r="B284" s="1259">
        <v>21.815244709795138</v>
      </c>
      <c r="C284" s="1259">
        <v>20.067211998527785</v>
      </c>
      <c r="D284" s="3246">
        <v>22.746061691981165</v>
      </c>
      <c r="E284" s="3246">
        <v>20.420234250265079</v>
      </c>
      <c r="F284" s="3246">
        <v>24.731543659453628</v>
      </c>
      <c r="G284" s="3246">
        <v>23.087388558692421</v>
      </c>
      <c r="H284" s="3246">
        <v>22.302550874750214</v>
      </c>
      <c r="I284" s="3246">
        <v>21.893835571277098</v>
      </c>
      <c r="J284" s="3243"/>
      <c r="K284" s="3243"/>
      <c r="L284" s="3246">
        <v>24.103435337571163</v>
      </c>
      <c r="M284" s="3246">
        <v>21.710503012241926</v>
      </c>
      <c r="N284" s="3243"/>
      <c r="O284" s="3244"/>
    </row>
    <row r="285" spans="1:15">
      <c r="A285" s="1340">
        <f t="shared" si="1"/>
        <v>2016.12</v>
      </c>
      <c r="B285" s="1259">
        <v>22.08614129923221</v>
      </c>
      <c r="C285" s="1259">
        <v>20.13218071402282</v>
      </c>
      <c r="D285" s="3246">
        <v>23.093285001516133</v>
      </c>
      <c r="E285" s="3246">
        <v>20.649433468618341</v>
      </c>
      <c r="F285" s="3246">
        <v>24.938073515105302</v>
      </c>
      <c r="G285" s="3246">
        <v>23.307763744427934</v>
      </c>
      <c r="H285" s="3246">
        <v>22.445465974145677</v>
      </c>
      <c r="I285" s="3246">
        <v>22.116003956126203</v>
      </c>
      <c r="J285" s="3243"/>
      <c r="K285" s="3243"/>
      <c r="L285" s="3246">
        <v>24.109304363003716</v>
      </c>
      <c r="M285" s="3246">
        <v>22.351167291983796</v>
      </c>
      <c r="N285" s="3243"/>
      <c r="O285" s="3244"/>
    </row>
    <row r="286" spans="1:15">
      <c r="A286" s="1340">
        <f t="shared" si="1"/>
        <v>2017.01</v>
      </c>
      <c r="B286" s="1259">
        <v>22.50343732210974</v>
      </c>
      <c r="C286" s="1259">
        <v>20.46622819285977</v>
      </c>
      <c r="D286" s="3246">
        <v>23.342075695344178</v>
      </c>
      <c r="E286" s="3246">
        <v>20.383520416661582</v>
      </c>
      <c r="F286" s="3246">
        <v>25.545737473597491</v>
      </c>
      <c r="G286" s="3246">
        <v>23.924684249628527</v>
      </c>
      <c r="H286" s="3246">
        <v>22.671531676825772</v>
      </c>
      <c r="I286" s="3246">
        <v>22.436790726269923</v>
      </c>
      <c r="J286" s="3243"/>
      <c r="K286" s="3243"/>
      <c r="L286" s="3246">
        <v>24.109304363003716</v>
      </c>
      <c r="M286" s="3246">
        <v>23.122325750916545</v>
      </c>
      <c r="N286" s="3243"/>
      <c r="O286" s="3244"/>
    </row>
    <row r="287" spans="1:15">
      <c r="A287" s="1340">
        <f t="shared" si="1"/>
        <v>2017.02</v>
      </c>
      <c r="B287" s="1259">
        <v>22.988169304485435</v>
      </c>
      <c r="C287" s="1259">
        <v>20.911263894000733</v>
      </c>
      <c r="D287" s="3246">
        <v>24.230678391267215</v>
      </c>
      <c r="E287" s="3246">
        <v>20.207294015364795</v>
      </c>
      <c r="F287" s="3246">
        <v>26.861348916291995</v>
      </c>
      <c r="G287" s="3246">
        <v>24.122306835066865</v>
      </c>
      <c r="H287" s="3246">
        <v>23.561502977606608</v>
      </c>
      <c r="I287" s="3246">
        <v>22.71990305708761</v>
      </c>
      <c r="J287" s="3243"/>
      <c r="K287" s="3243"/>
      <c r="L287" s="3246">
        <v>24.109304363003716</v>
      </c>
      <c r="M287" s="3246">
        <v>23.314338614583118</v>
      </c>
      <c r="N287" s="3243"/>
      <c r="O287" s="3244"/>
    </row>
    <row r="288" spans="1:15">
      <c r="A288" s="1340">
        <f t="shared" si="1"/>
        <v>2017.03</v>
      </c>
      <c r="B288" s="1259">
        <v>23.652154136467363</v>
      </c>
      <c r="C288" s="1259">
        <v>21.414230033124763</v>
      </c>
      <c r="D288" s="3246">
        <v>24.780185241337506</v>
      </c>
      <c r="E288" s="3246">
        <v>20.63632138518852</v>
      </c>
      <c r="F288" s="3246">
        <v>28.813354192411854</v>
      </c>
      <c r="G288" s="3246">
        <v>24.656667904903422</v>
      </c>
      <c r="H288" s="3246">
        <v>23.751190291349676</v>
      </c>
      <c r="I288" s="3246">
        <v>22.889992069927203</v>
      </c>
      <c r="J288" s="3243"/>
      <c r="K288" s="3243"/>
      <c r="L288" s="3246">
        <v>27.727884599143056</v>
      </c>
      <c r="M288" s="3246">
        <v>23.585269386617508</v>
      </c>
      <c r="N288" s="3243"/>
      <c r="O288" s="3244"/>
    </row>
    <row r="289" spans="1:15">
      <c r="A289" s="1340">
        <f t="shared" si="1"/>
        <v>2017.04</v>
      </c>
      <c r="B289" s="1259">
        <v>24.152448263342635</v>
      </c>
      <c r="C289" s="1259">
        <v>21.741239234449758</v>
      </c>
      <c r="D289" s="3246">
        <v>25.410063676709782</v>
      </c>
      <c r="E289" s="3246">
        <v>21.559936541985067</v>
      </c>
      <c r="F289" s="3246">
        <v>29.982063821768818</v>
      </c>
      <c r="G289" s="3246">
        <v>25.177377414561668</v>
      </c>
      <c r="H289" s="3246">
        <v>24.032473191523476</v>
      </c>
      <c r="I289" s="3246">
        <v>23.002461352032864</v>
      </c>
      <c r="J289" s="3243"/>
      <c r="K289" s="3243"/>
      <c r="L289" s="3246">
        <v>28.016118959275257</v>
      </c>
      <c r="M289" s="3246">
        <v>26.696623459039948</v>
      </c>
      <c r="N289" s="3243"/>
      <c r="O289" s="3244"/>
    </row>
    <row r="290" spans="1:15">
      <c r="A290" s="1340">
        <f t="shared" si="1"/>
        <v>2017.05</v>
      </c>
      <c r="B290" s="1259">
        <v>24.589341060775183</v>
      </c>
      <c r="C290" s="1259">
        <v>22.081783584836213</v>
      </c>
      <c r="D290" s="3246">
        <v>26.091416048736139</v>
      </c>
      <c r="E290" s="3246">
        <v>22.274282847241683</v>
      </c>
      <c r="F290" s="3246">
        <v>30.627672898097266</v>
      </c>
      <c r="G290" s="3246">
        <v>25.736441307578009</v>
      </c>
      <c r="H290" s="3246">
        <v>24.409898976745129</v>
      </c>
      <c r="I290" s="3246">
        <v>23.159807539806295</v>
      </c>
      <c r="J290" s="3243"/>
      <c r="K290" s="3243"/>
      <c r="L290" s="3246">
        <v>28.267182825001274</v>
      </c>
      <c r="M290" s="3246">
        <v>24.222205261239633</v>
      </c>
      <c r="N290" s="3243"/>
      <c r="O290" s="3244"/>
    </row>
    <row r="291" spans="1:15">
      <c r="A291" s="1340">
        <f t="shared" si="1"/>
        <v>2017.06</v>
      </c>
      <c r="B291" s="1259">
        <v>24.965138031653844</v>
      </c>
      <c r="C291" s="1259">
        <v>22.331371733529629</v>
      </c>
      <c r="D291" s="3246">
        <v>26.395744411059376</v>
      </c>
      <c r="E291" s="3246">
        <v>22.48040479875846</v>
      </c>
      <c r="F291" s="3246">
        <v>31.519925240361445</v>
      </c>
      <c r="G291" s="3246">
        <v>25.868406389301636</v>
      </c>
      <c r="H291" s="3246">
        <v>24.731457950384922</v>
      </c>
      <c r="I291" s="3246">
        <v>23.297762472044269</v>
      </c>
      <c r="J291" s="3243"/>
      <c r="K291" s="3243"/>
      <c r="L291" s="3246">
        <v>29.090150613433035</v>
      </c>
      <c r="M291" s="3246">
        <v>24.711247732778773</v>
      </c>
      <c r="N291" s="3243"/>
      <c r="O291" s="3244"/>
    </row>
    <row r="292" spans="1:15">
      <c r="A292" s="1340">
        <f t="shared" si="1"/>
        <v>2017.07</v>
      </c>
      <c r="B292" s="1259">
        <v>25.405489083419635</v>
      </c>
      <c r="C292" s="1259">
        <v>22.60803018034597</v>
      </c>
      <c r="D292" s="3246">
        <v>27.105542905973504</v>
      </c>
      <c r="E292" s="3246">
        <v>22.185120679918906</v>
      </c>
      <c r="F292" s="3246">
        <v>31.722118511117543</v>
      </c>
      <c r="G292" s="3246">
        <v>26.664097325408619</v>
      </c>
      <c r="H292" s="3246">
        <v>25.567511281848383</v>
      </c>
      <c r="I292" s="3246">
        <v>24.011360675749124</v>
      </c>
      <c r="J292" s="3243"/>
      <c r="K292" s="3243"/>
      <c r="L292" s="3246">
        <v>29.093411183117791</v>
      </c>
      <c r="M292" s="3246">
        <v>25.517204639495748</v>
      </c>
      <c r="N292" s="3243"/>
      <c r="O292" s="3244"/>
    </row>
    <row r="293" spans="1:15">
      <c r="A293" s="1340">
        <f t="shared" si="1"/>
        <v>2017.08</v>
      </c>
      <c r="B293" s="1259">
        <v>25.818174100519514</v>
      </c>
      <c r="C293" s="1259">
        <v>23.12074162679426</v>
      </c>
      <c r="D293" s="3246">
        <v>27.439671968464893</v>
      </c>
      <c r="E293" s="3246">
        <v>22.008894278622119</v>
      </c>
      <c r="F293" s="3246">
        <v>32.476684282947268</v>
      </c>
      <c r="G293" s="3246">
        <v>26.891623328380383</v>
      </c>
      <c r="H293" s="3246">
        <v>26.357442013052403</v>
      </c>
      <c r="I293" s="3246">
        <v>24.45403533783001</v>
      </c>
      <c r="J293" s="3243"/>
      <c r="K293" s="3243"/>
      <c r="L293" s="3246">
        <v>29.707702511725337</v>
      </c>
      <c r="M293" s="3246">
        <v>25.705489098042584</v>
      </c>
      <c r="N293" s="3243"/>
      <c r="O293" s="3244"/>
    </row>
    <row r="294" spans="1:15">
      <c r="A294" s="1340">
        <f t="shared" si="1"/>
        <v>2017.09</v>
      </c>
      <c r="B294" s="1259">
        <v>26.227400863286153</v>
      </c>
      <c r="C294" s="1259">
        <v>23.523547662863454</v>
      </c>
      <c r="D294" s="3246">
        <v>27.655501281803922</v>
      </c>
      <c r="E294" s="3246">
        <v>22.779360300958363</v>
      </c>
      <c r="F294" s="3246">
        <v>33.084348241439457</v>
      </c>
      <c r="G294" s="3246">
        <v>27.185456909361065</v>
      </c>
      <c r="H294" s="3246">
        <v>27.077864036823172</v>
      </c>
      <c r="I294" s="3246">
        <v>24.503344530477317</v>
      </c>
      <c r="J294" s="3243"/>
      <c r="K294" s="3243"/>
      <c r="L294" s="3246">
        <v>29.752046259437986</v>
      </c>
      <c r="M294" s="3246">
        <v>25.957156443624989</v>
      </c>
      <c r="N294" s="3243"/>
      <c r="O294" s="3244"/>
    </row>
    <row r="295" spans="1:15">
      <c r="A295" s="1340">
        <f t="shared" si="1"/>
        <v>2017.1</v>
      </c>
      <c r="B295" s="1259">
        <v>26.629711117386311</v>
      </c>
      <c r="C295" s="1259">
        <v>23.886289657710709</v>
      </c>
      <c r="D295" s="3246">
        <v>28.454250351462381</v>
      </c>
      <c r="E295" s="3246">
        <v>23.469580372704112</v>
      </c>
      <c r="F295" s="3246">
        <v>33.351048212517199</v>
      </c>
      <c r="G295" s="3246">
        <v>27.427284546805346</v>
      </c>
      <c r="H295" s="3246">
        <v>27.270799421007048</v>
      </c>
      <c r="I295" s="3246">
        <v>24.762633318780018</v>
      </c>
      <c r="J295" s="3243"/>
      <c r="K295" s="3243"/>
      <c r="L295" s="3246">
        <v>30.656528289988586</v>
      </c>
      <c r="M295" s="3246">
        <v>26.247350642111364</v>
      </c>
      <c r="N295" s="3243"/>
      <c r="O295" s="3244"/>
    </row>
    <row r="296" spans="1:15">
      <c r="A296" s="1340">
        <f t="shared" si="1"/>
        <v>2017.11</v>
      </c>
      <c r="B296" s="1259">
        <v>26.966314539154926</v>
      </c>
      <c r="C296" s="1259">
        <v>24.234413691571586</v>
      </c>
      <c r="D296" s="3246">
        <v>28.696719684648698</v>
      </c>
      <c r="E296" s="3246">
        <v>23.792662108414884</v>
      </c>
      <c r="F296" s="3246">
        <v>33.630215865169717</v>
      </c>
      <c r="G296" s="3246">
        <v>27.716567607726592</v>
      </c>
      <c r="H296" s="3246">
        <v>27.479325543306793</v>
      </c>
      <c r="I296" s="3246">
        <v>25.211956411330206</v>
      </c>
      <c r="J296" s="3243"/>
      <c r="K296" s="3243"/>
      <c r="L296" s="3246">
        <v>30.645442353060425</v>
      </c>
      <c r="M296" s="3246">
        <v>26.709051476105749</v>
      </c>
      <c r="N296" s="3243"/>
      <c r="O296" s="3244"/>
    </row>
    <row r="297" spans="1:15">
      <c r="A297" s="1340">
        <f t="shared" si="1"/>
        <v>2017.12</v>
      </c>
      <c r="B297" s="1259">
        <v>27.856238654241817</v>
      </c>
      <c r="C297" s="1259">
        <v>24.347026131762973</v>
      </c>
      <c r="D297" s="3246">
        <v>28.965377511922178</v>
      </c>
      <c r="E297" s="3246">
        <v>23.958923326305005</v>
      </c>
      <c r="F297" s="3246">
        <v>37.578134339477117</v>
      </c>
      <c r="G297" s="3246">
        <v>28.250928677563145</v>
      </c>
      <c r="H297" s="3246">
        <v>28.445301692402495</v>
      </c>
      <c r="I297" s="3246">
        <v>25.756019638067915</v>
      </c>
      <c r="J297" s="3243"/>
      <c r="K297" s="3243"/>
      <c r="L297" s="3246">
        <v>30.663701543295044</v>
      </c>
      <c r="M297" s="3246">
        <v>27.418069849709507</v>
      </c>
      <c r="N297" s="3243"/>
      <c r="O297" s="3244"/>
    </row>
    <row r="298" spans="1:15">
      <c r="A298" s="1340">
        <f t="shared" si="1"/>
        <v>2018.01</v>
      </c>
      <c r="B298" s="1259">
        <v>28.306388093285118</v>
      </c>
      <c r="C298" s="1259">
        <v>24.787730585204265</v>
      </c>
      <c r="D298" s="3246">
        <v>29.610607823138647</v>
      </c>
      <c r="E298" s="3246">
        <v>23.355767488533267</v>
      </c>
      <c r="F298" s="3246">
        <v>38.427020832785558</v>
      </c>
      <c r="G298" s="3246">
        <v>28.527860326894498</v>
      </c>
      <c r="H298" s="3246">
        <v>28.628492865263951</v>
      </c>
      <c r="I298" s="3246">
        <v>26.121129278006972</v>
      </c>
      <c r="J298" s="3243"/>
      <c r="K298" s="3243"/>
      <c r="L298" s="3246">
        <v>30.663701543295044</v>
      </c>
      <c r="M298" s="3246">
        <v>28.379376969748954</v>
      </c>
      <c r="N298" s="3243"/>
      <c r="O298" s="3244"/>
    </row>
    <row r="299" spans="1:15">
      <c r="A299" s="1340">
        <f t="shared" si="1"/>
        <v>2018.02</v>
      </c>
      <c r="B299" s="1259">
        <v>29.040114387654036</v>
      </c>
      <c r="C299" s="1259">
        <v>25.278244387191751</v>
      </c>
      <c r="D299" s="3246">
        <v>30.185400115775856</v>
      </c>
      <c r="E299" s="3246">
        <v>22.978663969091631</v>
      </c>
      <c r="F299" s="3246">
        <v>39.906880428399894</v>
      </c>
      <c r="G299" s="3246">
        <v>29.454216196136695</v>
      </c>
      <c r="H299" s="3246">
        <v>29.36580485532691</v>
      </c>
      <c r="I299" s="3246">
        <v>27.52505617877414</v>
      </c>
      <c r="J299" s="3243"/>
      <c r="K299" s="3243"/>
      <c r="L299" s="3246">
        <v>31.266906934974426</v>
      </c>
      <c r="M299" s="3246">
        <v>28.872769247261122</v>
      </c>
      <c r="N299" s="3243"/>
      <c r="O299" s="3244"/>
    </row>
    <row r="300" spans="1:15">
      <c r="A300" s="1340">
        <f t="shared" si="1"/>
        <v>2018.03</v>
      </c>
      <c r="B300" s="1259">
        <v>29.659141913303856</v>
      </c>
      <c r="C300" s="1259">
        <v>25.877580787633416</v>
      </c>
      <c r="D300" s="3246">
        <v>30.49740441602119</v>
      </c>
      <c r="E300" s="3246">
        <v>23.991965776548152</v>
      </c>
      <c r="F300" s="3246">
        <v>40.660904127117675</v>
      </c>
      <c r="G300" s="3246">
        <v>29.931370728083206</v>
      </c>
      <c r="H300" s="3246">
        <v>29.61590627926897</v>
      </c>
      <c r="I300" s="3246">
        <v>28.137819853694616</v>
      </c>
      <c r="J300" s="3243"/>
      <c r="K300" s="3243"/>
      <c r="L300" s="3246">
        <v>34.627250052081294</v>
      </c>
      <c r="M300" s="3246">
        <v>29.108901571511279</v>
      </c>
      <c r="N300" s="3243"/>
      <c r="O300" s="3244"/>
    </row>
    <row r="301" spans="1:15">
      <c r="A301" s="1340">
        <f t="shared" si="1"/>
        <v>2018.04</v>
      </c>
      <c r="B301" s="1259">
        <v>30.559440791390461</v>
      </c>
      <c r="C301" s="1259">
        <v>26.271724328303272</v>
      </c>
      <c r="D301" s="3246">
        <v>30.844176199796035</v>
      </c>
      <c r="E301" s="3246">
        <v>25.269082702612661</v>
      </c>
      <c r="F301" s="3246">
        <v>43.290500793170843</v>
      </c>
      <c r="G301" s="3246">
        <v>30.277860326894494</v>
      </c>
      <c r="H301" s="3246">
        <v>29.886795354032191</v>
      </c>
      <c r="I301" s="3246">
        <v>29.657540251802089</v>
      </c>
      <c r="J301" s="3243"/>
      <c r="K301" s="3243"/>
      <c r="L301" s="3246">
        <v>35.070035415270809</v>
      </c>
      <c r="M301" s="3246">
        <v>29.558795789293157</v>
      </c>
      <c r="N301" s="3243"/>
      <c r="O301" s="3244"/>
    </row>
    <row r="302" spans="1:15">
      <c r="A302" s="1340">
        <f t="shared" si="1"/>
        <v>2018.05</v>
      </c>
      <c r="B302" s="1259">
        <v>31.270112056871113</v>
      </c>
      <c r="C302" s="1259">
        <v>27.11415200588884</v>
      </c>
      <c r="D302" s="3246">
        <v>31.29615348567965</v>
      </c>
      <c r="E302" s="3246">
        <v>26.003883858019794</v>
      </c>
      <c r="F302" s="3246">
        <v>44.257559224883657</v>
      </c>
      <c r="G302" s="3246">
        <v>31.293276374442783</v>
      </c>
      <c r="H302" s="3246">
        <v>30.169377482382313</v>
      </c>
      <c r="I302" s="3246">
        <v>30.030406393955328</v>
      </c>
      <c r="J302" s="3243"/>
      <c r="K302" s="3243"/>
      <c r="L302" s="3246">
        <v>35.178286328804631</v>
      </c>
      <c r="M302" s="3246">
        <v>30.149126599918546</v>
      </c>
      <c r="N302" s="3243"/>
      <c r="O302" s="3244"/>
    </row>
    <row r="303" spans="1:15">
      <c r="A303" s="1340">
        <f t="shared" si="1"/>
        <v>2018.06</v>
      </c>
      <c r="B303" s="1259">
        <v>32.413641489728882</v>
      </c>
      <c r="C303" s="1259">
        <v>28.337188075082803</v>
      </c>
      <c r="D303" s="3246">
        <v>31.579260137277082</v>
      </c>
      <c r="E303" s="3246">
        <v>26.778545747053581</v>
      </c>
      <c r="F303" s="3246">
        <v>45.158484736938973</v>
      </c>
      <c r="G303" s="3246">
        <v>32.328844725111431</v>
      </c>
      <c r="H303" s="3246">
        <v>31.814849967694624</v>
      </c>
      <c r="I303" s="3246">
        <v>31.823820513048986</v>
      </c>
      <c r="J303" s="3243"/>
      <c r="K303" s="3243"/>
      <c r="L303" s="3246">
        <v>35.497822157910463</v>
      </c>
      <c r="M303" s="3246">
        <v>30.897914628132852</v>
      </c>
      <c r="N303" s="3243"/>
      <c r="O303" s="3244"/>
    </row>
    <row r="304" spans="1:15">
      <c r="A304" s="1340">
        <f t="shared" si="1"/>
        <v>2018.07</v>
      </c>
      <c r="B304" s="1259">
        <v>33.285697957427367</v>
      </c>
      <c r="C304" s="1259">
        <v>29.429203901361792</v>
      </c>
      <c r="D304" s="3246">
        <v>32.413679741985298</v>
      </c>
      <c r="E304" s="3246">
        <v>26.679942879661333</v>
      </c>
      <c r="F304" s="3246">
        <v>45.652313341922358</v>
      </c>
      <c r="G304" s="3246">
        <v>33.163540118870714</v>
      </c>
      <c r="H304" s="3246">
        <v>32.209815333296632</v>
      </c>
      <c r="I304" s="3246">
        <v>33.025524320374949</v>
      </c>
      <c r="J304" s="3243"/>
      <c r="K304" s="3243"/>
      <c r="L304" s="3246">
        <v>36.683365295286798</v>
      </c>
      <c r="M304" s="3246">
        <v>32.264375104517306</v>
      </c>
      <c r="N304" s="3243"/>
      <c r="O304" s="3244"/>
    </row>
    <row r="305" spans="1:15">
      <c r="A305" s="1340">
        <f t="shared" si="1"/>
        <v>2018.08</v>
      </c>
      <c r="B305" s="1259">
        <v>34.501274355560952</v>
      </c>
      <c r="C305" s="1259">
        <v>30.575360323886631</v>
      </c>
      <c r="D305" s="3246">
        <v>33.079228712407328</v>
      </c>
      <c r="E305" s="3246">
        <v>26.780119197065165</v>
      </c>
      <c r="F305" s="3246">
        <v>48.022256987353082</v>
      </c>
      <c r="G305" s="3246">
        <v>34.297919762258537</v>
      </c>
      <c r="H305" s="3246">
        <v>33.823456728289038</v>
      </c>
      <c r="I305" s="3246">
        <v>34.61449920253763</v>
      </c>
      <c r="J305" s="3243"/>
      <c r="K305" s="3243"/>
      <c r="L305" s="3246">
        <v>37.001596896518727</v>
      </c>
      <c r="M305" s="3246">
        <v>32.563268914949738</v>
      </c>
      <c r="N305" s="3243"/>
      <c r="O305" s="3244"/>
    </row>
    <row r="306" spans="1:15">
      <c r="A306" s="1340">
        <f t="shared" ref="A306:A369" si="2">A294+1</f>
        <v>2018.09</v>
      </c>
      <c r="B306" s="1259">
        <v>36.57565057978227</v>
      </c>
      <c r="C306" s="1259">
        <v>32.501682738314308</v>
      </c>
      <c r="D306" s="3246">
        <v>34.810830002480934</v>
      </c>
      <c r="E306" s="3246">
        <v>29.16389596460651</v>
      </c>
      <c r="F306" s="3246">
        <v>49.532472677236434</v>
      </c>
      <c r="G306" s="3246">
        <v>37.202451708766702</v>
      </c>
      <c r="H306" s="3246">
        <v>35.267548846271382</v>
      </c>
      <c r="I306" s="3246">
        <v>37.845082374744955</v>
      </c>
      <c r="J306" s="3243"/>
      <c r="K306" s="3243"/>
      <c r="L306" s="3246">
        <v>37.741094101020806</v>
      </c>
      <c r="M306" s="3246">
        <v>34.296355894775225</v>
      </c>
      <c r="N306" s="3243"/>
      <c r="O306" s="3244"/>
    </row>
    <row r="307" spans="1:15">
      <c r="A307" s="1340">
        <f t="shared" si="2"/>
        <v>2018.1</v>
      </c>
      <c r="B307" s="1259">
        <v>38.502474619118708</v>
      </c>
      <c r="C307" s="1259">
        <v>34.690587044534396</v>
      </c>
      <c r="D307" s="3246">
        <v>35.606418391818536</v>
      </c>
      <c r="E307" s="3246">
        <v>31.342599747305474</v>
      </c>
      <c r="F307" s="3246">
        <v>52.330112007993058</v>
      </c>
      <c r="G307" s="3246">
        <v>39.22288261515601</v>
      </c>
      <c r="H307" s="3246">
        <v>37.460646007903584</v>
      </c>
      <c r="I307" s="3246">
        <v>40.067320259108456</v>
      </c>
      <c r="J307" s="3243"/>
      <c r="K307" s="3243"/>
      <c r="L307" s="3246">
        <v>39.172484192627557</v>
      </c>
      <c r="M307" s="3246">
        <v>35.513680166370108</v>
      </c>
      <c r="N307" s="3243"/>
      <c r="O307" s="3244"/>
    </row>
    <row r="308" spans="1:15">
      <c r="A308" s="1340">
        <f t="shared" si="2"/>
        <v>2018.11</v>
      </c>
      <c r="B308" s="1259">
        <v>39.577415341033891</v>
      </c>
      <c r="C308" s="1259">
        <v>35.98563010673535</v>
      </c>
      <c r="D308" s="3246">
        <v>38.061363949609976</v>
      </c>
      <c r="E308" s="3246">
        <v>32.728809207506082</v>
      </c>
      <c r="F308" s="3246">
        <v>53.452203349722609</v>
      </c>
      <c r="G308" s="3246">
        <v>40.354661961367007</v>
      </c>
      <c r="H308" s="3246">
        <v>38.358412677742358</v>
      </c>
      <c r="I308" s="3246">
        <v>40.960980121356847</v>
      </c>
      <c r="J308" s="3243"/>
      <c r="K308" s="3243"/>
      <c r="L308" s="3246">
        <v>39.448328387957694</v>
      </c>
      <c r="M308" s="3246">
        <v>36.440188838625318</v>
      </c>
      <c r="N308" s="3243"/>
      <c r="O308" s="3244"/>
    </row>
    <row r="309" spans="1:15">
      <c r="A309" s="1340">
        <f t="shared" si="2"/>
        <v>2018.12</v>
      </c>
      <c r="B309" s="1259">
        <v>40.519789646841573</v>
      </c>
      <c r="C309" s="1259">
        <v>36.678629738682353</v>
      </c>
      <c r="D309" s="3246">
        <v>38.72917054883262</v>
      </c>
      <c r="E309" s="3246">
        <v>33.247523227989774</v>
      </c>
      <c r="F309" s="3246">
        <v>54.543396524071206</v>
      </c>
      <c r="G309" s="3246">
        <v>40.902674591381874</v>
      </c>
      <c r="H309" s="3246">
        <v>40.547612154845588</v>
      </c>
      <c r="I309" s="3246">
        <v>41.712252764387735</v>
      </c>
      <c r="J309" s="3243"/>
      <c r="K309" s="3243"/>
      <c r="L309" s="3246">
        <v>39.526582060391775</v>
      </c>
      <c r="M309" s="3246">
        <v>37.929686683961172</v>
      </c>
      <c r="N309" s="3243"/>
      <c r="O309" s="3244"/>
    </row>
    <row r="310" spans="1:15">
      <c r="A310" s="1340">
        <f t="shared" si="2"/>
        <v>2019.01</v>
      </c>
      <c r="B310" s="1259">
        <v>42.066782085243915</v>
      </c>
      <c r="C310" s="1259">
        <v>38.012112624217863</v>
      </c>
      <c r="D310" s="3246">
        <v>40.287385947018798</v>
      </c>
      <c r="E310" s="3246">
        <v>32.849440375060432</v>
      </c>
      <c r="F310" s="3246">
        <v>56.603274349468442</v>
      </c>
      <c r="G310" s="3246">
        <v>41.756872213967306</v>
      </c>
      <c r="H310" s="3246">
        <v>41.072500338079841</v>
      </c>
      <c r="I310" s="3246">
        <v>43.803738182855</v>
      </c>
      <c r="J310" s="3243"/>
      <c r="K310" s="3243"/>
      <c r="L310" s="3246">
        <v>40.044360526330621</v>
      </c>
      <c r="M310" s="3246">
        <v>39.824337885642024</v>
      </c>
      <c r="N310" s="3243"/>
      <c r="O310" s="3244"/>
    </row>
    <row r="311" spans="1:15">
      <c r="A311" s="1340">
        <f t="shared" si="2"/>
        <v>2019.02</v>
      </c>
      <c r="B311" s="1259">
        <v>43.484089986149783</v>
      </c>
      <c r="C311" s="1259">
        <v>39.665566433566404</v>
      </c>
      <c r="D311" s="3246">
        <v>41.038273286104172</v>
      </c>
      <c r="E311" s="3246">
        <v>32.794369624655182</v>
      </c>
      <c r="F311" s="3246">
        <v>60.339784310116656</v>
      </c>
      <c r="G311" s="3246">
        <v>42.273031203566113</v>
      </c>
      <c r="H311" s="3246">
        <v>42.717972823392159</v>
      </c>
      <c r="I311" s="3246">
        <v>45.297418894957715</v>
      </c>
      <c r="J311" s="3243"/>
      <c r="K311" s="3243"/>
      <c r="L311" s="3246">
        <v>40.412804900707755</v>
      </c>
      <c r="M311" s="3246">
        <v>40.98076487361449</v>
      </c>
      <c r="N311" s="3243"/>
      <c r="O311" s="3244"/>
    </row>
    <row r="312" spans="1:15">
      <c r="A312" s="1340">
        <f t="shared" si="2"/>
        <v>2019.03</v>
      </c>
      <c r="B312" s="1259">
        <v>45.217251782824832</v>
      </c>
      <c r="C312" s="1259">
        <v>41.557780272359189</v>
      </c>
      <c r="D312" s="3246">
        <v>42.713433856162339</v>
      </c>
      <c r="E312" s="3246">
        <v>34.65838340503845</v>
      </c>
      <c r="F312" s="3246">
        <v>63.116282789507352</v>
      </c>
      <c r="G312" s="3246">
        <v>42.987462852897465</v>
      </c>
      <c r="H312" s="3246">
        <v>43.473474007923635</v>
      </c>
      <c r="I312" s="3246">
        <v>47.4276868244959</v>
      </c>
      <c r="J312" s="3243"/>
      <c r="K312" s="3243"/>
      <c r="L312" s="3246">
        <v>46.567456237648308</v>
      </c>
      <c r="M312" s="3246">
        <v>41.950150204746706</v>
      </c>
      <c r="N312" s="3243"/>
      <c r="O312" s="3244"/>
    </row>
    <row r="313" spans="1:15">
      <c r="A313" s="1340">
        <f t="shared" si="2"/>
        <v>2019.04</v>
      </c>
      <c r="B313" s="1259">
        <v>46.889317752945985</v>
      </c>
      <c r="C313" s="1259">
        <v>42.849033492822933</v>
      </c>
      <c r="D313" s="3246">
        <v>43.039886980731623</v>
      </c>
      <c r="E313" s="3246">
        <v>37.138665106623286</v>
      </c>
      <c r="F313" s="3246">
        <v>66.003906256847117</v>
      </c>
      <c r="G313" s="3246">
        <v>44.764765973254079</v>
      </c>
      <c r="H313" s="3246">
        <v>44.621342101704464</v>
      </c>
      <c r="I313" s="3246">
        <v>49.269302064491974</v>
      </c>
      <c r="J313" s="3243"/>
      <c r="K313" s="3243"/>
      <c r="L313" s="3246">
        <v>48.035364709724298</v>
      </c>
      <c r="M313" s="3246">
        <v>43.451454666295064</v>
      </c>
      <c r="N313" s="3243"/>
      <c r="O313" s="3244"/>
    </row>
    <row r="314" spans="1:15">
      <c r="A314" s="1340">
        <f t="shared" si="2"/>
        <v>2019.05</v>
      </c>
      <c r="B314" s="1259">
        <v>48.361381347461474</v>
      </c>
      <c r="C314" s="1259">
        <v>44.163567169672397</v>
      </c>
      <c r="D314" s="3246">
        <v>44.220175317694434</v>
      </c>
      <c r="E314" s="3246">
        <v>38.040776446594926</v>
      </c>
      <c r="F314" s="3246">
        <v>68.926764476463418</v>
      </c>
      <c r="G314" s="3246">
        <v>46.005757800891523</v>
      </c>
      <c r="H314" s="3246">
        <v>46.81703771968931</v>
      </c>
      <c r="I314" s="3246">
        <v>50.152435245163979</v>
      </c>
      <c r="J314" s="3243"/>
      <c r="K314" s="3243"/>
      <c r="L314" s="3246">
        <v>50.758592510430354</v>
      </c>
      <c r="M314" s="3246">
        <v>44.275432197757446</v>
      </c>
      <c r="N314" s="3243"/>
      <c r="O314" s="3244"/>
    </row>
    <row r="315" spans="1:15">
      <c r="A315" s="1340">
        <f t="shared" si="2"/>
        <v>2019.06</v>
      </c>
      <c r="B315" s="1259">
        <v>49.697996647258428</v>
      </c>
      <c r="C315" s="1259">
        <v>45.474852410747118</v>
      </c>
      <c r="D315" s="3246">
        <v>45.564819031342196</v>
      </c>
      <c r="E315" s="3246">
        <v>38.781871402048374</v>
      </c>
      <c r="F315" s="3246">
        <v>71.214855081990194</v>
      </c>
      <c r="G315" s="3246">
        <v>46.817700594353639</v>
      </c>
      <c r="H315" s="3246">
        <v>48.253984082701869</v>
      </c>
      <c r="I315" s="3246">
        <v>50.880992417424757</v>
      </c>
      <c r="J315" s="3243"/>
      <c r="K315" s="3243"/>
      <c r="L315" s="3246">
        <v>51.303107647784174</v>
      </c>
      <c r="M315" s="3246">
        <v>45.281480179233775</v>
      </c>
      <c r="N315" s="3243"/>
      <c r="O315" s="3244"/>
    </row>
    <row r="316" spans="1:15">
      <c r="A316" s="1340">
        <f t="shared" si="2"/>
        <v>2019.07</v>
      </c>
      <c r="B316" s="1259">
        <v>50.795416022339673</v>
      </c>
      <c r="C316" s="1259">
        <v>46.657283032756688</v>
      </c>
      <c r="D316" s="3246">
        <v>45.806836838768383</v>
      </c>
      <c r="E316" s="3246">
        <v>38.624001917553336</v>
      </c>
      <c r="F316" s="3246">
        <v>71.852875134751386</v>
      </c>
      <c r="G316" s="3246">
        <v>48.09314635958394</v>
      </c>
      <c r="H316" s="3246">
        <v>50.227511682535592</v>
      </c>
      <c r="I316" s="3246">
        <v>52.261095775676928</v>
      </c>
      <c r="J316" s="3243"/>
      <c r="K316" s="3243"/>
      <c r="L316" s="3246">
        <v>51.942179305995836</v>
      </c>
      <c r="M316" s="3246">
        <v>47.287362133653517</v>
      </c>
      <c r="N316" s="3243"/>
      <c r="O316" s="3244"/>
    </row>
    <row r="317" spans="1:15">
      <c r="A317" s="1340">
        <f t="shared" si="2"/>
        <v>2019.08</v>
      </c>
      <c r="B317" s="1259">
        <v>52.519355807459419</v>
      </c>
      <c r="C317" s="1259">
        <v>48.301532940743442</v>
      </c>
      <c r="D317" s="3246">
        <v>48.043695454420167</v>
      </c>
      <c r="E317" s="3246">
        <v>39.536602924268834</v>
      </c>
      <c r="F317" s="3246">
        <v>73.38260545666482</v>
      </c>
      <c r="G317" s="3246">
        <v>50.647938335809798</v>
      </c>
      <c r="H317" s="3246">
        <v>53.211838803548126</v>
      </c>
      <c r="I317" s="3246">
        <v>53.442300255722557</v>
      </c>
      <c r="J317" s="3243"/>
      <c r="K317" s="3243"/>
      <c r="L317" s="3246">
        <v>52.652331383335131</v>
      </c>
      <c r="M317" s="3246">
        <v>48.392212850802927</v>
      </c>
      <c r="N317" s="3243"/>
      <c r="O317" s="3244"/>
    </row>
    <row r="318" spans="1:15">
      <c r="A318" s="1340">
        <f t="shared" si="2"/>
        <v>2019.09</v>
      </c>
      <c r="B318" s="1259">
        <v>55.159732990887555</v>
      </c>
      <c r="C318" s="1259">
        <v>51.042129922708838</v>
      </c>
      <c r="D318" s="3246">
        <v>51.24365851641538</v>
      </c>
      <c r="E318" s="3246">
        <v>43.624950537686829</v>
      </c>
      <c r="F318" s="3246">
        <v>74.468919973005882</v>
      </c>
      <c r="G318" s="3246">
        <v>54.299405646359574</v>
      </c>
      <c r="H318" s="3246">
        <v>56.626860065011535</v>
      </c>
      <c r="I318" s="3246">
        <v>55.132109666669621</v>
      </c>
      <c r="J318" s="3243"/>
      <c r="K318" s="3243"/>
      <c r="L318" s="3246">
        <v>53.457692095469227</v>
      </c>
      <c r="M318" s="3246">
        <v>51.413463799498338</v>
      </c>
      <c r="N318" s="3243"/>
      <c r="O318" s="3244"/>
    </row>
    <row r="319" spans="1:15">
      <c r="A319" s="1340">
        <f t="shared" si="2"/>
        <v>2019.1</v>
      </c>
      <c r="B319" s="1259">
        <v>56.684823151846047</v>
      </c>
      <c r="C319" s="1259">
        <v>52.588926757453038</v>
      </c>
      <c r="D319" s="3246">
        <v>54.7226644981669</v>
      </c>
      <c r="E319" s="3246">
        <v>46.290899340637914</v>
      </c>
      <c r="F319" s="3246">
        <v>75.129707096468849</v>
      </c>
      <c r="G319" s="3246">
        <v>55.453287518573539</v>
      </c>
      <c r="H319" s="3246">
        <v>59.088897459142466</v>
      </c>
      <c r="I319" s="3246">
        <v>56.37702827204604</v>
      </c>
      <c r="J319" s="3243"/>
      <c r="K319" s="3243"/>
      <c r="L319" s="3246">
        <v>54.5369406611226</v>
      </c>
      <c r="M319" s="3246">
        <v>52.500915292755629</v>
      </c>
      <c r="N319" s="3243"/>
      <c r="O319" s="3244"/>
    </row>
    <row r="320" spans="1:15">
      <c r="A320" s="1340">
        <f t="shared" si="2"/>
        <v>2019.11</v>
      </c>
      <c r="B320" s="1259">
        <v>58.954590745895381</v>
      </c>
      <c r="C320" s="1259">
        <v>55.173598822230367</v>
      </c>
      <c r="D320" s="3246">
        <v>57.928948920803833</v>
      </c>
      <c r="E320" s="3246">
        <v>48.569779440740696</v>
      </c>
      <c r="F320" s="3246">
        <v>75.629498505683657</v>
      </c>
      <c r="G320" s="3246">
        <v>58.096489598811281</v>
      </c>
      <c r="H320" s="3246">
        <v>61.732826797958531</v>
      </c>
      <c r="I320" s="3246">
        <v>58.489567053666093</v>
      </c>
      <c r="J320" s="3243"/>
      <c r="K320" s="3243"/>
      <c r="L320" s="3246">
        <v>58.148347643955489</v>
      </c>
      <c r="M320" s="3246">
        <v>54.668982869884033</v>
      </c>
      <c r="N320" s="3243"/>
      <c r="O320" s="3244"/>
    </row>
    <row r="321" spans="1:15">
      <c r="A321" s="1340">
        <f t="shared" si="2"/>
        <v>2019.12</v>
      </c>
      <c r="B321" s="1259">
        <v>61.009370195561679</v>
      </c>
      <c r="C321" s="1259">
        <v>57.208743835112223</v>
      </c>
      <c r="D321" s="3246">
        <v>60.219539101910328</v>
      </c>
      <c r="E321" s="3246">
        <v>49.542171547896174</v>
      </c>
      <c r="F321" s="3246">
        <v>77.274148327329769</v>
      </c>
      <c r="G321" s="3246">
        <v>59.136608469539368</v>
      </c>
      <c r="H321" s="3246">
        <v>65.606475605663746</v>
      </c>
      <c r="I321" s="3246">
        <v>60.699616148835872</v>
      </c>
      <c r="J321" s="3243"/>
      <c r="K321" s="3243"/>
      <c r="L321" s="3246">
        <v>58.829806708068958</v>
      </c>
      <c r="M321" s="3246">
        <v>57.249660613596909</v>
      </c>
      <c r="N321" s="3243"/>
      <c r="O321" s="3244"/>
    </row>
    <row r="322" spans="1:15">
      <c r="A322" s="1340">
        <f t="shared" si="2"/>
        <v>2020.01</v>
      </c>
      <c r="B322" s="1259">
        <v>62.495266807410118</v>
      </c>
      <c r="C322" s="1259">
        <v>59.94555097534041</v>
      </c>
      <c r="D322" s="3246">
        <v>62.785559996692143</v>
      </c>
      <c r="E322" s="3246">
        <v>48.990415077169331</v>
      </c>
      <c r="F322" s="3246">
        <v>78.031424464719237</v>
      </c>
      <c r="G322" s="3246">
        <v>61.678398959881115</v>
      </c>
      <c r="H322" s="3246">
        <v>65.494741982500017</v>
      </c>
      <c r="I322" s="3246">
        <v>62.245930268820558</v>
      </c>
      <c r="J322" s="3243"/>
      <c r="K322" s="3243"/>
      <c r="L322" s="3246">
        <v>58.827198252321153</v>
      </c>
      <c r="M322" s="3246">
        <v>59.541386960529998</v>
      </c>
      <c r="N322" s="3243"/>
      <c r="O322" s="3244"/>
    </row>
    <row r="323" spans="1:15">
      <c r="A323" s="1340">
        <f t="shared" si="2"/>
        <v>2020.02</v>
      </c>
      <c r="B323" s="1259">
        <v>63.649747378989808</v>
      </c>
      <c r="C323" s="1259">
        <v>61.187536253220436</v>
      </c>
      <c r="D323" s="3246">
        <v>63.685902362378393</v>
      </c>
      <c r="E323" s="3246">
        <v>48.976778510402312</v>
      </c>
      <c r="F323" s="3246">
        <v>79.51128406033358</v>
      </c>
      <c r="G323" s="3246">
        <v>62.84593239227339</v>
      </c>
      <c r="H323" s="3246">
        <v>65.895553874895469</v>
      </c>
      <c r="I323" s="3246">
        <v>63.184467036736734</v>
      </c>
      <c r="J323" s="3243"/>
      <c r="K323" s="3243"/>
      <c r="L323" s="3246">
        <v>60.143164177087627</v>
      </c>
      <c r="M323" s="3246">
        <v>61.369548270908844</v>
      </c>
      <c r="N323" s="3243"/>
      <c r="O323" s="3244"/>
    </row>
    <row r="324" spans="1:15">
      <c r="A324" s="1340">
        <f t="shared" si="2"/>
        <v>2020.03</v>
      </c>
      <c r="B324" s="1259">
        <v>65.397318568720024</v>
      </c>
      <c r="C324" s="1259">
        <v>63.405676481413295</v>
      </c>
      <c r="D324" s="3246">
        <v>65.387702952283846</v>
      </c>
      <c r="E324" s="3246">
        <v>50.887471307795735</v>
      </c>
      <c r="F324" s="3246">
        <v>80.198632766281932</v>
      </c>
      <c r="G324" s="3246">
        <v>63.892552005943529</v>
      </c>
      <c r="H324" s="3246">
        <v>66.999248210681344</v>
      </c>
      <c r="I324" s="3246">
        <v>64.509720843617174</v>
      </c>
      <c r="J324" s="3243"/>
      <c r="K324" s="3243"/>
      <c r="L324" s="3246">
        <v>66.355853654416791</v>
      </c>
      <c r="M324" s="3246">
        <v>62.937964024612512</v>
      </c>
      <c r="N324" s="3243"/>
      <c r="O324" s="3244"/>
    </row>
    <row r="325" spans="1:15">
      <c r="A325" s="1340">
        <f t="shared" si="2"/>
        <v>2020.04</v>
      </c>
      <c r="B325" s="1259">
        <v>66.683789180684997</v>
      </c>
      <c r="C325" s="1259">
        <v>64.509603238866362</v>
      </c>
      <c r="D325" s="3246">
        <v>66.780208396504705</v>
      </c>
      <c r="E325" s="3246">
        <v>55.235962656461375</v>
      </c>
      <c r="F325" s="3246">
        <v>81.6557252911945</v>
      </c>
      <c r="G325" s="3246">
        <v>65.095189450222875</v>
      </c>
      <c r="H325" s="3246">
        <v>68.016543872741778</v>
      </c>
      <c r="I325" s="3246">
        <v>65.219994832087394</v>
      </c>
      <c r="J325" s="3243"/>
      <c r="K325" s="3243"/>
      <c r="L325" s="3246">
        <v>70.677412714588968</v>
      </c>
      <c r="M325" s="3246">
        <v>63.579249705207665</v>
      </c>
      <c r="N325" s="3243"/>
      <c r="O325" s="3244"/>
    </row>
    <row r="326" spans="1:15">
      <c r="A326" s="1340">
        <f t="shared" si="2"/>
        <v>2020.05</v>
      </c>
      <c r="B326" s="1259">
        <v>67.324142608056448</v>
      </c>
      <c r="C326" s="1259">
        <v>64.947600662495361</v>
      </c>
      <c r="D326" s="3246">
        <v>67.328812195054752</v>
      </c>
      <c r="E326" s="3246">
        <v>57.134067853762161</v>
      </c>
      <c r="F326" s="3246">
        <v>82.127328898588075</v>
      </c>
      <c r="G326" s="3246">
        <v>66.13075780089153</v>
      </c>
      <c r="H326" s="3246">
        <v>68.114635600054115</v>
      </c>
      <c r="I326" s="3246">
        <v>65.454906042002662</v>
      </c>
      <c r="J326" s="3243"/>
      <c r="K326" s="3243"/>
      <c r="L326" s="3246">
        <v>70.987166834640533</v>
      </c>
      <c r="M326" s="3246">
        <v>64.359107776086475</v>
      </c>
      <c r="N326" s="3243"/>
      <c r="O326" s="3244"/>
    </row>
    <row r="327" spans="1:15">
      <c r="A327" s="1340">
        <f t="shared" si="2"/>
        <v>2020.06</v>
      </c>
      <c r="B327" s="1259">
        <v>68.278044428308249</v>
      </c>
      <c r="C327" s="1259">
        <v>65.728849466323126</v>
      </c>
      <c r="D327" s="3246">
        <v>71.165426578824068</v>
      </c>
      <c r="E327" s="3246">
        <v>58.907870500148277</v>
      </c>
      <c r="F327" s="3246">
        <v>82.899241010000097</v>
      </c>
      <c r="G327" s="3246">
        <v>67.985419762258545</v>
      </c>
      <c r="H327" s="3246">
        <v>69.068269081474753</v>
      </c>
      <c r="I327" s="3246">
        <v>65.146862096925091</v>
      </c>
      <c r="J327" s="3243"/>
      <c r="K327" s="3243"/>
      <c r="L327" s="3246">
        <v>70.878915921106724</v>
      </c>
      <c r="M327" s="3246">
        <v>64.915261539780914</v>
      </c>
      <c r="N327" s="3243"/>
      <c r="O327" s="3244"/>
    </row>
    <row r="328" spans="1:15">
      <c r="A328" s="1340">
        <f t="shared" si="2"/>
        <v>2020.07</v>
      </c>
      <c r="B328" s="1259">
        <v>69.379498433444951</v>
      </c>
      <c r="C328" s="1259">
        <v>66.709877070298106</v>
      </c>
      <c r="D328" s="3246">
        <v>72.7611186151005</v>
      </c>
      <c r="E328" s="3246">
        <v>60.173448792794531</v>
      </c>
      <c r="F328" s="3246">
        <v>83.679826291203256</v>
      </c>
      <c r="G328" s="3246">
        <v>69.74322065378901</v>
      </c>
      <c r="H328" s="3246">
        <v>69.955641925902952</v>
      </c>
      <c r="I328" s="3246">
        <v>66.029441241724655</v>
      </c>
      <c r="J328" s="3243"/>
      <c r="K328" s="3243"/>
      <c r="L328" s="3246">
        <v>71.171062964860639</v>
      </c>
      <c r="M328" s="3246">
        <v>65.515534764058927</v>
      </c>
      <c r="N328" s="3243"/>
      <c r="O328" s="3244"/>
    </row>
    <row r="329" spans="1:15">
      <c r="A329" s="1340">
        <f t="shared" si="2"/>
        <v>2020.08</v>
      </c>
      <c r="B329" s="1259">
        <v>71.051564403566104</v>
      </c>
      <c r="C329" s="1259">
        <v>68.864672800883312</v>
      </c>
      <c r="D329" s="3246">
        <v>73.978883590153572</v>
      </c>
      <c r="E329" s="3246">
        <v>61.284304500968915</v>
      </c>
      <c r="F329" s="3246">
        <v>85.568409013225349</v>
      </c>
      <c r="G329" s="3246">
        <v>72.167997771173859</v>
      </c>
      <c r="H329" s="3246">
        <v>71.013213661429376</v>
      </c>
      <c r="I329" s="3246">
        <v>67.416747066318578</v>
      </c>
      <c r="J329" s="3243"/>
      <c r="K329" s="3243"/>
      <c r="L329" s="3246">
        <v>71.965337740066559</v>
      </c>
      <c r="M329" s="3246">
        <v>66.824826361940723</v>
      </c>
      <c r="N329" s="3243"/>
      <c r="O329" s="3244"/>
    </row>
    <row r="330" spans="1:15">
      <c r="A330" s="1340">
        <f t="shared" si="2"/>
        <v>2020.09</v>
      </c>
      <c r="B330" s="1259">
        <v>72.644090524022758</v>
      </c>
      <c r="C330" s="1259">
        <v>70.51812661023186</v>
      </c>
      <c r="D330" s="3246">
        <v>76.876775918626151</v>
      </c>
      <c r="E330" s="3246">
        <v>64.246586389433944</v>
      </c>
      <c r="F330" s="3246">
        <v>86.352246733100202</v>
      </c>
      <c r="G330" s="3246">
        <v>73.894595096582478</v>
      </c>
      <c r="H330" s="3246">
        <v>72.641146566361328</v>
      </c>
      <c r="I330" s="3246">
        <v>69.351440332884849</v>
      </c>
      <c r="J330" s="3243"/>
      <c r="K330" s="3243"/>
      <c r="L330" s="3246">
        <v>71.988161727859847</v>
      </c>
      <c r="M330" s="3246">
        <v>68.991029736509248</v>
      </c>
      <c r="N330" s="3243"/>
      <c r="O330" s="3244"/>
    </row>
    <row r="331" spans="1:15">
      <c r="A331" s="1340">
        <f t="shared" si="2"/>
        <v>2020.1</v>
      </c>
      <c r="B331" s="1259">
        <v>74.444688280195976</v>
      </c>
      <c r="C331" s="1259">
        <v>73.322609495767381</v>
      </c>
      <c r="D331" s="3246">
        <v>77.669203627642887</v>
      </c>
      <c r="E331" s="3246">
        <v>69.019909241225761</v>
      </c>
      <c r="F331" s="3246">
        <v>87.429346006538168</v>
      </c>
      <c r="G331" s="3246">
        <v>76.167254829123337</v>
      </c>
      <c r="H331" s="3246">
        <v>74.176834270774393</v>
      </c>
      <c r="I331" s="3246">
        <v>70.625722839500668</v>
      </c>
      <c r="J331" s="3243"/>
      <c r="K331" s="3243"/>
      <c r="L331" s="3246">
        <v>71.802961369765839</v>
      </c>
      <c r="M331" s="3246">
        <v>70.0070201316382</v>
      </c>
      <c r="N331" s="3243"/>
      <c r="O331" s="3244"/>
    </row>
    <row r="332" spans="1:15">
      <c r="A332" s="1340">
        <f t="shared" si="2"/>
        <v>2020.11</v>
      </c>
      <c r="B332" s="1259">
        <v>76.715608625689725</v>
      </c>
      <c r="C332" s="1259">
        <v>75.501768494663224</v>
      </c>
      <c r="D332" s="3246">
        <v>79.858200512721581</v>
      </c>
      <c r="E332" s="3246">
        <v>71.467148492567432</v>
      </c>
      <c r="F332" s="3246">
        <v>88.879391580995431</v>
      </c>
      <c r="G332" s="3246">
        <v>79.318164933135222</v>
      </c>
      <c r="H332" s="3246">
        <v>75.969769154099296</v>
      </c>
      <c r="I332" s="3246">
        <v>72.938822606944598</v>
      </c>
      <c r="J332" s="3243"/>
      <c r="K332" s="3243"/>
      <c r="L332" s="3246">
        <v>72.97285377265537</v>
      </c>
      <c r="M332" s="3246">
        <v>72.97855901207042</v>
      </c>
      <c r="N332" s="3243"/>
      <c r="O332" s="3244"/>
    </row>
    <row r="333" spans="1:15">
      <c r="A333" s="1340">
        <f t="shared" si="2"/>
        <v>2020.12</v>
      </c>
      <c r="B333" s="1259">
        <v>79.598639988166809</v>
      </c>
      <c r="C333" s="1259">
        <v>77.913732057416254</v>
      </c>
      <c r="D333" s="3246">
        <v>83.530007994045832</v>
      </c>
      <c r="E333" s="3246">
        <v>74.367541347243701</v>
      </c>
      <c r="F333" s="3246">
        <v>91.292159002269955</v>
      </c>
      <c r="G333" s="3246">
        <v>80.979754829123337</v>
      </c>
      <c r="H333" s="3246">
        <v>80.789256074167227</v>
      </c>
      <c r="I333" s="3246">
        <v>76.547812280029575</v>
      </c>
      <c r="J333" s="3243"/>
      <c r="K333" s="3243"/>
      <c r="L333" s="3246">
        <v>74.099706655706143</v>
      </c>
      <c r="M333" s="3246">
        <v>77.227076646013344</v>
      </c>
      <c r="N333" s="3243"/>
      <c r="O333" s="3244"/>
    </row>
    <row r="334" spans="1:15">
      <c r="A334" s="1340">
        <f t="shared" si="2"/>
        <v>2021.01</v>
      </c>
      <c r="B334" s="1259">
        <v>82.651702188694813</v>
      </c>
      <c r="C334" s="1259">
        <v>81.181117040853877</v>
      </c>
      <c r="D334" s="3246">
        <v>86.940382060258585</v>
      </c>
      <c r="E334" s="3246">
        <v>76.484880579491104</v>
      </c>
      <c r="F334" s="3246">
        <v>92.735699699383872</v>
      </c>
      <c r="G334" s="3246">
        <v>83.2654160475483</v>
      </c>
      <c r="H334" s="3246">
        <v>82.449669683507253</v>
      </c>
      <c r="I334" s="3246">
        <v>79.776733344619572</v>
      </c>
      <c r="J334" s="3243"/>
      <c r="K334" s="3243"/>
      <c r="L334" s="3246">
        <v>74.099706655706143</v>
      </c>
      <c r="M334" s="3246">
        <v>82.94955710395989</v>
      </c>
      <c r="N334" s="3243"/>
      <c r="O334" s="3244"/>
    </row>
    <row r="335" spans="1:15">
      <c r="A335" s="1340">
        <f t="shared" si="2"/>
        <v>2021.02</v>
      </c>
      <c r="B335" s="1259">
        <v>85.007349765352899</v>
      </c>
      <c r="C335" s="1259">
        <v>84.71270813397129</v>
      </c>
      <c r="D335" s="3246">
        <v>89.843241172092519</v>
      </c>
      <c r="E335" s="3246">
        <v>78.248718042470557</v>
      </c>
      <c r="F335" s="3246">
        <v>94.26271965573757</v>
      </c>
      <c r="G335" s="3246">
        <v>86.361719910846972</v>
      </c>
      <c r="H335" s="3246">
        <v>84.176993543927864</v>
      </c>
      <c r="I335" s="3246">
        <v>82.309231317550413</v>
      </c>
      <c r="J335" s="3243"/>
      <c r="K335" s="3243"/>
      <c r="L335" s="3246">
        <v>76.325371522518822</v>
      </c>
      <c r="M335" s="3246">
        <v>84.914426602062491</v>
      </c>
      <c r="N335" s="3243"/>
      <c r="O335" s="3244"/>
    </row>
    <row r="336" spans="1:15">
      <c r="A336" s="1340">
        <f t="shared" si="2"/>
        <v>2021.03</v>
      </c>
      <c r="B336" s="1259">
        <v>88.312864532207385</v>
      </c>
      <c r="C336" s="1259">
        <v>87.594612072138389</v>
      </c>
      <c r="D336" s="3246">
        <v>94.802800121288996</v>
      </c>
      <c r="E336" s="3246">
        <v>83.0414467777385</v>
      </c>
      <c r="F336" s="3246">
        <v>96.432638322859987</v>
      </c>
      <c r="G336" s="3246">
        <v>88.072715453194661</v>
      </c>
      <c r="H336" s="3246">
        <v>87.76935945145928</v>
      </c>
      <c r="I336" s="3246">
        <v>85.962543860430713</v>
      </c>
      <c r="J336" s="3243"/>
      <c r="K336" s="3243"/>
      <c r="L336" s="3246">
        <v>90.109103807845401</v>
      </c>
      <c r="M336" s="3246">
        <v>87.65231876165771</v>
      </c>
      <c r="N336" s="3243"/>
      <c r="O336" s="3244"/>
    </row>
    <row r="337" spans="1:15">
      <c r="A337" s="1340">
        <f t="shared" si="2"/>
        <v>2021.04</v>
      </c>
      <c r="B337" s="1259">
        <v>91.867373611055086</v>
      </c>
      <c r="C337" s="1259">
        <v>91.552289657710702</v>
      </c>
      <c r="D337" s="3246">
        <v>97.659152079830207</v>
      </c>
      <c r="E337" s="3246">
        <v>89.787875944049702</v>
      </c>
      <c r="F337" s="3246">
        <v>98.408494815905499</v>
      </c>
      <c r="G337" s="3246">
        <v>91.863948736998537</v>
      </c>
      <c r="H337" s="3246">
        <v>91.442277505922689</v>
      </c>
      <c r="I337" s="3246">
        <v>90.428072992310504</v>
      </c>
      <c r="J337" s="3243"/>
      <c r="K337" s="3243"/>
      <c r="L337" s="3246">
        <v>94.800411470268628</v>
      </c>
      <c r="M337" s="3246">
        <v>91.295591964496296</v>
      </c>
      <c r="N337" s="3243"/>
      <c r="O337" s="3244"/>
    </row>
    <row r="338" spans="1:15">
      <c r="A338" s="1340">
        <f t="shared" si="2"/>
        <v>2021.05</v>
      </c>
      <c r="B338" s="1259">
        <v>95.178652135131614</v>
      </c>
      <c r="C338" s="1259">
        <v>94.67782627898417</v>
      </c>
      <c r="D338" s="3246">
        <v>99.423263224632692</v>
      </c>
      <c r="E338" s="3246">
        <v>92.397705029921156</v>
      </c>
      <c r="F338" s="3246">
        <v>101.77205847553441</v>
      </c>
      <c r="G338" s="3246">
        <v>94.738577265973277</v>
      </c>
      <c r="H338" s="3246">
        <v>95.811581862894897</v>
      </c>
      <c r="I338" s="3246">
        <v>95.388356158280686</v>
      </c>
      <c r="J338" s="3243"/>
      <c r="K338" s="3243"/>
      <c r="L338" s="3246">
        <v>95.560124206816184</v>
      </c>
      <c r="M338" s="3246">
        <v>93.735833115365665</v>
      </c>
      <c r="N338" s="3243"/>
      <c r="O338" s="3244"/>
    </row>
    <row r="339" spans="1:15">
      <c r="A339" s="1340">
        <f t="shared" si="2"/>
        <v>2021.06</v>
      </c>
      <c r="B339" s="1259">
        <v>98.233443462826258</v>
      </c>
      <c r="C339" s="1259">
        <v>98.219162679425835</v>
      </c>
      <c r="D339" s="3246">
        <v>104.72191801968189</v>
      </c>
      <c r="E339" s="3246">
        <v>95.052115199453993</v>
      </c>
      <c r="F339" s="3246">
        <v>104.43255330896852</v>
      </c>
      <c r="G339" s="3246">
        <v>98.377693164933149</v>
      </c>
      <c r="H339" s="3246">
        <v>98.421081655038407</v>
      </c>
      <c r="I339" s="3246">
        <v>98.334164892052982</v>
      </c>
      <c r="J339" s="3243"/>
      <c r="K339" s="3243"/>
      <c r="L339" s="3246">
        <v>97.082810249596022</v>
      </c>
      <c r="M339" s="3246">
        <v>97.083319512038258</v>
      </c>
      <c r="N339" s="3243"/>
      <c r="O339" s="3244"/>
    </row>
    <row r="340" spans="1:15">
      <c r="A340" s="1340">
        <f t="shared" si="2"/>
        <v>2021.07</v>
      </c>
      <c r="B340" s="1259">
        <v>101.12800233974748</v>
      </c>
      <c r="C340" s="1259">
        <v>101.89422635259477</v>
      </c>
      <c r="D340" s="3246">
        <v>106.87659894699122</v>
      </c>
      <c r="E340" s="3246">
        <v>97.061410864239676</v>
      </c>
      <c r="F340" s="3246">
        <v>106.15363543939911</v>
      </c>
      <c r="G340" s="3246">
        <v>101.59361069836554</v>
      </c>
      <c r="H340" s="3246">
        <v>100.15360242816432</v>
      </c>
      <c r="I340" s="3246">
        <v>100.19904963869162</v>
      </c>
      <c r="J340" s="3243"/>
      <c r="K340" s="3243"/>
      <c r="L340" s="3246">
        <v>100.74443000557413</v>
      </c>
      <c r="M340" s="3246">
        <v>101.97747263254938</v>
      </c>
      <c r="N340" s="3243"/>
      <c r="O340" s="3244"/>
    </row>
    <row r="341" spans="1:15">
      <c r="A341" s="1340">
        <f t="shared" si="2"/>
        <v>2021.08</v>
      </c>
      <c r="B341" s="1259">
        <v>104.07731691027831</v>
      </c>
      <c r="C341" s="1259">
        <v>103.92287449392711</v>
      </c>
      <c r="D341" s="3246">
        <v>108.94368387683657</v>
      </c>
      <c r="E341" s="3246">
        <v>98.543600775146558</v>
      </c>
      <c r="F341" s="3246">
        <v>109.18599242762863</v>
      </c>
      <c r="G341" s="3246">
        <v>106.92812035661218</v>
      </c>
      <c r="H341" s="3246">
        <v>105.49862714555465</v>
      </c>
      <c r="I341" s="3246">
        <v>102.54483752260961</v>
      </c>
      <c r="J341" s="3243"/>
      <c r="K341" s="3243"/>
      <c r="L341" s="3246">
        <v>103.91305162521749</v>
      </c>
      <c r="M341" s="3246">
        <v>105.96127350299082</v>
      </c>
      <c r="N341" s="3243"/>
      <c r="O341" s="3244"/>
    </row>
    <row r="342" spans="1:15">
      <c r="A342" s="1340">
        <f t="shared" si="2"/>
        <v>2021.09</v>
      </c>
      <c r="B342" s="1259">
        <v>107.60127807584904</v>
      </c>
      <c r="C342" s="1259">
        <v>107.14748840633048</v>
      </c>
      <c r="D342" s="3246">
        <v>114.56834027069495</v>
      </c>
      <c r="E342" s="3246">
        <v>104.7828545543923</v>
      </c>
      <c r="F342" s="3246">
        <v>112.32513781891164</v>
      </c>
      <c r="G342" s="3246">
        <v>112.94520802377416</v>
      </c>
      <c r="H342" s="3246">
        <v>111.21263266502052</v>
      </c>
      <c r="I342" s="3246">
        <v>103.61301868467716</v>
      </c>
      <c r="J342" s="3243"/>
      <c r="K342" s="3243"/>
      <c r="L342" s="3246">
        <v>104.88861407489571</v>
      </c>
      <c r="M342" s="3246">
        <v>109.09934781210472</v>
      </c>
      <c r="N342" s="3243"/>
      <c r="O342" s="3244"/>
    </row>
    <row r="343" spans="1:15">
      <c r="A343" s="1340">
        <f t="shared" si="2"/>
        <v>2021.1</v>
      </c>
      <c r="B343" s="1259">
        <v>111.57365955329648</v>
      </c>
      <c r="C343" s="1259">
        <v>111.08621678321676</v>
      </c>
      <c r="D343" s="3246">
        <v>117.58995065744136</v>
      </c>
      <c r="E343" s="3246">
        <v>112.5362917281137</v>
      </c>
      <c r="F343" s="3246">
        <v>113.8434846054742</v>
      </c>
      <c r="G343" s="3246">
        <v>116.092867756315</v>
      </c>
      <c r="H343" s="3246">
        <v>117.16374732666522</v>
      </c>
      <c r="I343" s="3246">
        <v>106.40369737416579</v>
      </c>
      <c r="J343" s="3243"/>
      <c r="K343" s="3243"/>
      <c r="L343" s="3246">
        <v>107.58314886237592</v>
      </c>
      <c r="M343" s="3246">
        <v>115.06914580966063</v>
      </c>
      <c r="N343" s="3243"/>
      <c r="O343" s="3244"/>
    </row>
    <row r="344" spans="1:15">
      <c r="A344" s="1340">
        <f t="shared" si="2"/>
        <v>2021.11</v>
      </c>
      <c r="B344" s="1259">
        <v>114.37311643605362</v>
      </c>
      <c r="C344" s="1259">
        <v>113.3086882591093</v>
      </c>
      <c r="D344" s="3246">
        <v>118.6266538026849</v>
      </c>
      <c r="E344" s="3246">
        <v>116.27375998894971</v>
      </c>
      <c r="F344" s="3246">
        <v>117.16747692793099</v>
      </c>
      <c r="G344" s="3246">
        <v>119.02600297176821</v>
      </c>
      <c r="H344" s="3246">
        <v>119.44973930290448</v>
      </c>
      <c r="I344" s="3246">
        <v>109.40657180279959</v>
      </c>
      <c r="J344" s="3243"/>
      <c r="K344" s="3243"/>
      <c r="L344" s="3246">
        <v>107.63597009126892</v>
      </c>
      <c r="M344" s="3246">
        <v>120.91093523143881</v>
      </c>
      <c r="N344" s="3243"/>
      <c r="O344" s="3244"/>
    </row>
    <row r="345" spans="1:15">
      <c r="A345" s="1340">
        <f t="shared" si="2"/>
        <v>2021.12</v>
      </c>
      <c r="B345" s="1259">
        <v>118.76509943926743</v>
      </c>
      <c r="C345" s="1259">
        <v>117.49104931910195</v>
      </c>
      <c r="D345" s="3246">
        <v>124.54254431182294</v>
      </c>
      <c r="E345" s="3246">
        <v>122.02996461464086</v>
      </c>
      <c r="F345" s="3246">
        <v>118.90753161727973</v>
      </c>
      <c r="G345" s="3246">
        <v>124.91307578008916</v>
      </c>
      <c r="H345" s="3246">
        <v>120.44299924370294</v>
      </c>
      <c r="I345" s="3246">
        <v>116.35861393019752</v>
      </c>
      <c r="J345" s="3243"/>
      <c r="K345" s="3243"/>
      <c r="L345" s="3246">
        <v>107.63597009126892</v>
      </c>
      <c r="M345" s="3246">
        <v>130.07349081319813</v>
      </c>
      <c r="N345" s="3243"/>
      <c r="O345" s="3244"/>
    </row>
    <row r="346" spans="1:15">
      <c r="A346" s="1340">
        <f t="shared" si="2"/>
        <v>2022.01</v>
      </c>
      <c r="B346" s="1259">
        <v>123.54671243069284</v>
      </c>
      <c r="C346" s="1259">
        <v>123.27272359219727</v>
      </c>
      <c r="D346" s="3246">
        <v>127.40205695068502</v>
      </c>
      <c r="E346" s="3246">
        <v>125.25134127167912</v>
      </c>
      <c r="F346" s="3246">
        <v>120.54676070780637</v>
      </c>
      <c r="G346" s="3246">
        <v>128.51448736998515</v>
      </c>
      <c r="H346" s="3246">
        <v>126.80661885133003</v>
      </c>
      <c r="I346" s="3246">
        <v>120.17481301957568</v>
      </c>
      <c r="J346" s="3243"/>
      <c r="K346" s="3243"/>
      <c r="L346" s="3246">
        <v>107.64966448394487</v>
      </c>
      <c r="M346" s="3246">
        <v>138.3045665158759</v>
      </c>
      <c r="N346" s="2246"/>
      <c r="O346" s="3244"/>
    </row>
    <row r="347" spans="1:15">
      <c r="A347" s="1340">
        <f t="shared" si="2"/>
        <v>2022.02</v>
      </c>
      <c r="B347" s="1260">
        <v>128.59</v>
      </c>
      <c r="C347" s="1261">
        <v>132.38999999999999</v>
      </c>
      <c r="D347" s="3247">
        <v>131.04</v>
      </c>
      <c r="E347" s="3247">
        <v>129.1</v>
      </c>
      <c r="F347" s="3247">
        <v>123.7</v>
      </c>
      <c r="G347" s="3247">
        <v>136.5</v>
      </c>
      <c r="H347" s="3247">
        <v>129.69999999999999</v>
      </c>
      <c r="I347" s="3247">
        <v>124.36</v>
      </c>
      <c r="J347" s="2247">
        <v>120.24</v>
      </c>
      <c r="K347" s="2247">
        <v>126.49</v>
      </c>
      <c r="L347" s="3247">
        <v>115.82</v>
      </c>
      <c r="M347" s="2247">
        <v>144.91999999999999</v>
      </c>
      <c r="N347" s="3247">
        <v>124.59</v>
      </c>
      <c r="O347" s="1270">
        <v>125.08</v>
      </c>
    </row>
    <row r="348" spans="1:15">
      <c r="A348" s="1340">
        <f t="shared" si="2"/>
        <v>2022.03</v>
      </c>
      <c r="B348" s="1262">
        <v>136.12</v>
      </c>
      <c r="C348" s="1262">
        <v>139.94999999999999</v>
      </c>
      <c r="D348" s="3248">
        <v>137.36000000000001</v>
      </c>
      <c r="E348" s="1263">
        <v>141.34</v>
      </c>
      <c r="F348" s="3248">
        <v>131.69</v>
      </c>
      <c r="G348" s="1263">
        <v>146.38</v>
      </c>
      <c r="H348" s="3248">
        <v>136.97</v>
      </c>
      <c r="I348" s="1263">
        <v>129.03</v>
      </c>
      <c r="J348" s="3248">
        <v>123.98</v>
      </c>
      <c r="K348" s="3248">
        <v>129.37</v>
      </c>
      <c r="L348" s="3248">
        <v>141.33000000000001</v>
      </c>
      <c r="M348" s="1263">
        <v>149.29</v>
      </c>
      <c r="N348" s="3248">
        <v>133.22999999999999</v>
      </c>
      <c r="O348" s="1264">
        <v>130.32</v>
      </c>
    </row>
    <row r="349" spans="1:15">
      <c r="A349" s="1340">
        <f t="shared" si="2"/>
        <v>2022.04</v>
      </c>
      <c r="B349" s="1262">
        <v>143.28</v>
      </c>
      <c r="C349" s="1262">
        <v>148.57</v>
      </c>
      <c r="D349" s="3248">
        <v>142.52000000000001</v>
      </c>
      <c r="E349" s="1263">
        <v>153.09</v>
      </c>
      <c r="F349" s="3248">
        <v>136.81</v>
      </c>
      <c r="G349" s="1263">
        <v>150.43</v>
      </c>
      <c r="H349" s="3248">
        <v>144.07</v>
      </c>
      <c r="I349" s="1263">
        <v>139.06</v>
      </c>
      <c r="J349" s="3248">
        <v>128.66999999999999</v>
      </c>
      <c r="K349" s="3248">
        <v>136.54</v>
      </c>
      <c r="L349" s="3248">
        <v>149.01</v>
      </c>
      <c r="M349" s="1263">
        <v>155.9</v>
      </c>
      <c r="N349" s="3248">
        <v>138.13</v>
      </c>
      <c r="O349" s="1264">
        <v>137</v>
      </c>
    </row>
    <row r="350" spans="1:15">
      <c r="A350" s="1340">
        <f t="shared" si="2"/>
        <v>2022.05</v>
      </c>
      <c r="B350" s="1262">
        <v>151.18</v>
      </c>
      <c r="C350" s="1262">
        <v>155.91</v>
      </c>
      <c r="D350" s="3248">
        <v>149.34</v>
      </c>
      <c r="E350" s="1263">
        <v>161.15</v>
      </c>
      <c r="F350" s="3248">
        <v>145.72999999999999</v>
      </c>
      <c r="G350" s="1263">
        <v>161.29</v>
      </c>
      <c r="H350" s="3248">
        <v>154.41</v>
      </c>
      <c r="I350" s="1263">
        <v>145.28</v>
      </c>
      <c r="J350" s="3248">
        <v>137.25</v>
      </c>
      <c r="K350" s="3248">
        <v>140.94999999999999</v>
      </c>
      <c r="L350" s="3248">
        <v>151.66</v>
      </c>
      <c r="M350" s="1263">
        <v>165.01</v>
      </c>
      <c r="N350" s="3248">
        <v>141.6</v>
      </c>
      <c r="O350" s="1264">
        <v>146.33000000000001</v>
      </c>
    </row>
    <row r="351" spans="1:15">
      <c r="A351" s="1340">
        <f t="shared" si="2"/>
        <v>2022.06</v>
      </c>
      <c r="B351" s="1262">
        <v>158.91999999999999</v>
      </c>
      <c r="C351" s="1262">
        <v>164.46</v>
      </c>
      <c r="D351" s="3248">
        <v>158.35</v>
      </c>
      <c r="E351" s="1263">
        <v>170.09</v>
      </c>
      <c r="F351" s="3248">
        <v>153.59</v>
      </c>
      <c r="G351" s="1263">
        <v>173.77</v>
      </c>
      <c r="H351" s="3248">
        <v>167.06</v>
      </c>
      <c r="I351" s="1263">
        <v>151.29</v>
      </c>
      <c r="J351" s="3248">
        <v>139.07</v>
      </c>
      <c r="K351" s="3248">
        <v>145.5</v>
      </c>
      <c r="L351" s="3248">
        <v>154.99</v>
      </c>
      <c r="M351" s="1263">
        <v>174.13</v>
      </c>
      <c r="N351" s="3248">
        <v>145.44</v>
      </c>
      <c r="O351" s="1264">
        <v>153.72999999999999</v>
      </c>
    </row>
    <row r="352" spans="1:15">
      <c r="A352" s="1340">
        <f t="shared" si="2"/>
        <v>2022.07</v>
      </c>
      <c r="B352" s="1262">
        <v>171.1</v>
      </c>
      <c r="C352" s="1262">
        <v>177.07</v>
      </c>
      <c r="D352" s="3248">
        <v>171.24</v>
      </c>
      <c r="E352" s="1263">
        <v>186.13</v>
      </c>
      <c r="F352" s="3248">
        <v>164.49</v>
      </c>
      <c r="G352" s="1263">
        <v>184.34</v>
      </c>
      <c r="H352" s="3248">
        <v>175.63</v>
      </c>
      <c r="I352" s="1263">
        <v>156.04</v>
      </c>
      <c r="J352" s="3248">
        <v>149.71</v>
      </c>
      <c r="K352" s="3248">
        <v>164.8</v>
      </c>
      <c r="L352" s="3248">
        <v>163.33000000000001</v>
      </c>
      <c r="M352" s="1263">
        <v>195.6</v>
      </c>
      <c r="N352" s="3248">
        <v>151.63999999999999</v>
      </c>
      <c r="O352" s="1264">
        <v>167.64</v>
      </c>
    </row>
    <row r="353" spans="1:15">
      <c r="A353" s="1340">
        <f t="shared" si="2"/>
        <v>2022.08</v>
      </c>
      <c r="B353" s="1262">
        <v>181.72</v>
      </c>
      <c r="C353" s="1262">
        <v>189.56</v>
      </c>
      <c r="D353" s="3248">
        <v>182.64</v>
      </c>
      <c r="E353" s="1263">
        <v>203.04</v>
      </c>
      <c r="F353" s="3248">
        <v>171.37</v>
      </c>
      <c r="G353" s="1263">
        <v>199.56</v>
      </c>
      <c r="H353" s="3248">
        <v>191.38</v>
      </c>
      <c r="I353" s="1263">
        <v>164.04</v>
      </c>
      <c r="J353" s="3248">
        <v>155.88</v>
      </c>
      <c r="K353" s="3248">
        <v>173.15</v>
      </c>
      <c r="L353" s="3248">
        <v>175.81</v>
      </c>
      <c r="M353" s="1263">
        <v>206.39</v>
      </c>
      <c r="N353" s="3248">
        <v>162.59</v>
      </c>
      <c r="O353" s="1264">
        <v>179.65</v>
      </c>
    </row>
    <row r="354" spans="1:15">
      <c r="A354" s="1340">
        <f t="shared" si="2"/>
        <v>2022.09</v>
      </c>
      <c r="B354" s="1262">
        <v>191.95</v>
      </c>
      <c r="C354" s="1262">
        <v>202.96</v>
      </c>
      <c r="D354" s="3248">
        <v>200.88</v>
      </c>
      <c r="E354" s="1263">
        <v>222.01</v>
      </c>
      <c r="F354" s="3248">
        <v>181.6</v>
      </c>
      <c r="G354" s="1263">
        <v>210.95</v>
      </c>
      <c r="H354" s="3248">
        <v>194.23</v>
      </c>
      <c r="I354" s="1263">
        <v>178.52</v>
      </c>
      <c r="J354" s="3248">
        <v>160.61000000000001</v>
      </c>
      <c r="K354" s="3248">
        <v>182.47</v>
      </c>
      <c r="L354" s="3248">
        <v>177.4</v>
      </c>
      <c r="M354" s="1263">
        <v>214.75</v>
      </c>
      <c r="N354" s="3248">
        <v>171.52</v>
      </c>
      <c r="O354" s="1264">
        <v>190.22</v>
      </c>
    </row>
    <row r="355" spans="1:15">
      <c r="A355" s="1340">
        <f t="shared" si="2"/>
        <v>2022.1</v>
      </c>
      <c r="B355" s="1262">
        <v>205.31</v>
      </c>
      <c r="C355" s="1262">
        <v>217.09</v>
      </c>
      <c r="D355" s="3248">
        <v>213.76</v>
      </c>
      <c r="E355" s="1263">
        <v>235.49</v>
      </c>
      <c r="F355" s="1263">
        <v>192.12</v>
      </c>
      <c r="G355" s="3248">
        <v>224.84</v>
      </c>
      <c r="H355" s="1263">
        <v>211.48</v>
      </c>
      <c r="I355" s="3248">
        <v>185.72</v>
      </c>
      <c r="J355" s="3248">
        <v>172.6</v>
      </c>
      <c r="K355" s="3248">
        <v>193.86</v>
      </c>
      <c r="L355" s="3248">
        <v>201.25</v>
      </c>
      <c r="M355" s="1263">
        <v>234.68</v>
      </c>
      <c r="N355" s="3248">
        <v>179.09</v>
      </c>
      <c r="O355" s="1264">
        <v>199.59</v>
      </c>
    </row>
    <row r="356" spans="1:15">
      <c r="A356" s="1340">
        <f t="shared" si="2"/>
        <v>2022.11</v>
      </c>
      <c r="B356" s="1262">
        <v>217.2</v>
      </c>
      <c r="C356" s="1262">
        <v>226.29</v>
      </c>
      <c r="D356" s="3248">
        <v>227.63</v>
      </c>
      <c r="E356" s="1263">
        <v>243.88</v>
      </c>
      <c r="F356" s="1263">
        <v>215.95</v>
      </c>
      <c r="G356" s="3248">
        <v>237.31</v>
      </c>
      <c r="H356" s="1263">
        <v>215.49</v>
      </c>
      <c r="I356" s="3248">
        <v>196.26</v>
      </c>
      <c r="J356" s="3248">
        <v>179.11</v>
      </c>
      <c r="K356" s="3248">
        <v>207.63</v>
      </c>
      <c r="L356" s="3248">
        <v>203.51</v>
      </c>
      <c r="M356" s="1263">
        <v>248.5</v>
      </c>
      <c r="N356" s="3248">
        <v>193.62</v>
      </c>
      <c r="O356" s="1264">
        <v>208.14</v>
      </c>
    </row>
    <row r="357" spans="1:15">
      <c r="A357" s="1340">
        <f t="shared" si="2"/>
        <v>2022.12</v>
      </c>
      <c r="B357" s="1262">
        <v>229.69</v>
      </c>
      <c r="C357" s="1262">
        <v>236.84</v>
      </c>
      <c r="D357" s="3248">
        <v>244.51</v>
      </c>
      <c r="E357" s="1263">
        <v>259.99</v>
      </c>
      <c r="F357" s="3248">
        <v>229.62</v>
      </c>
      <c r="G357" s="1263">
        <v>253.1</v>
      </c>
      <c r="H357" s="3248">
        <v>228.99</v>
      </c>
      <c r="I357" s="1263">
        <v>203.27</v>
      </c>
      <c r="J357" s="3248">
        <v>182.67</v>
      </c>
      <c r="K357" s="3248">
        <v>215.39</v>
      </c>
      <c r="L357" s="3248">
        <v>221.04</v>
      </c>
      <c r="M357" s="1263">
        <v>270.81</v>
      </c>
      <c r="N357" s="3248">
        <v>207</v>
      </c>
      <c r="O357" s="1264">
        <v>219.84</v>
      </c>
    </row>
    <row r="358" spans="1:15">
      <c r="A358" s="1340">
        <f t="shared" si="2"/>
        <v>2023.01</v>
      </c>
      <c r="B358" s="1262">
        <v>246.41</v>
      </c>
      <c r="C358" s="1262">
        <v>251.38</v>
      </c>
      <c r="D358" s="3248">
        <v>259.81</v>
      </c>
      <c r="E358" s="1263">
        <v>266</v>
      </c>
      <c r="F358" s="3248">
        <v>243.45</v>
      </c>
      <c r="G358" s="1263">
        <v>265.87</v>
      </c>
      <c r="H358" s="3248">
        <v>242.21</v>
      </c>
      <c r="I358" s="1263">
        <v>225.89</v>
      </c>
      <c r="J358" s="3248">
        <v>204.85</v>
      </c>
      <c r="K358" s="3248">
        <v>237.47</v>
      </c>
      <c r="L358" s="3248">
        <v>222.32</v>
      </c>
      <c r="M358" s="1263">
        <v>302.17</v>
      </c>
      <c r="N358" s="3248">
        <v>226</v>
      </c>
      <c r="O358" s="1264">
        <v>234.24</v>
      </c>
    </row>
    <row r="359" spans="1:15">
      <c r="A359" s="1340">
        <f t="shared" si="2"/>
        <v>2023.02</v>
      </c>
      <c r="B359" s="1262">
        <v>261.19</v>
      </c>
      <c r="C359" s="1262">
        <v>270.64</v>
      </c>
      <c r="D359" s="3248">
        <v>274.63</v>
      </c>
      <c r="E359" s="1263">
        <v>276.66000000000003</v>
      </c>
      <c r="F359" s="3248">
        <v>264.18</v>
      </c>
      <c r="G359" s="1263">
        <v>278.52999999999997</v>
      </c>
      <c r="H359" s="3248">
        <v>258.76</v>
      </c>
      <c r="I359" s="1263">
        <v>229.58</v>
      </c>
      <c r="J359" s="3248">
        <v>210.69</v>
      </c>
      <c r="K359" s="3248">
        <v>258.08999999999997</v>
      </c>
      <c r="L359" s="3248">
        <v>231.22</v>
      </c>
      <c r="M359" s="1263">
        <v>319.93</v>
      </c>
      <c r="N359" s="3248">
        <v>249.43</v>
      </c>
      <c r="O359" s="1264">
        <v>246.04</v>
      </c>
    </row>
    <row r="360" spans="1:15">
      <c r="A360" s="1340">
        <f t="shared" si="2"/>
        <v>2023.03</v>
      </c>
      <c r="B360" s="1262">
        <v>279.75</v>
      </c>
      <c r="C360" s="1262">
        <v>295.31</v>
      </c>
      <c r="D360" s="3248">
        <v>296.56</v>
      </c>
      <c r="E360" s="1263">
        <v>304.64999999999998</v>
      </c>
      <c r="F360" s="3248">
        <v>280.94</v>
      </c>
      <c r="G360" s="1263">
        <v>293.57</v>
      </c>
      <c r="H360" s="3248">
        <v>276.52</v>
      </c>
      <c r="I360" s="1263">
        <v>243.98</v>
      </c>
      <c r="J360" s="3248">
        <v>218.61</v>
      </c>
      <c r="K360" s="3248">
        <v>262.56</v>
      </c>
      <c r="L360" s="3248">
        <v>284.86</v>
      </c>
      <c r="M360" s="1263">
        <v>332.78</v>
      </c>
      <c r="N360" s="3248">
        <v>272.72000000000003</v>
      </c>
      <c r="O360" s="1264">
        <v>263.64</v>
      </c>
    </row>
    <row r="361" spans="1:15">
      <c r="A361" s="1340">
        <f t="shared" si="2"/>
        <v>2023.04</v>
      </c>
      <c r="B361" s="1262">
        <v>301.45999999999998</v>
      </c>
      <c r="C361" s="1262">
        <v>326.08999999999997</v>
      </c>
      <c r="D361" s="3248">
        <v>311.39</v>
      </c>
      <c r="E361" s="1263">
        <v>333.33</v>
      </c>
      <c r="F361" s="3248">
        <v>299.04000000000002</v>
      </c>
      <c r="G361" s="1263">
        <v>320.86</v>
      </c>
      <c r="H361" s="3248">
        <v>287.5</v>
      </c>
      <c r="I361" s="1263">
        <v>263.8</v>
      </c>
      <c r="J361" s="3248">
        <v>238.38</v>
      </c>
      <c r="K361" s="3248">
        <v>281.16000000000003</v>
      </c>
      <c r="L361" s="3248">
        <v>299.39999999999998</v>
      </c>
      <c r="M361" s="1263">
        <v>359.92</v>
      </c>
      <c r="N361" s="3248">
        <v>289.18</v>
      </c>
      <c r="O361" s="1264">
        <v>281.10000000000002</v>
      </c>
    </row>
    <row r="362" spans="1:15">
      <c r="A362" s="1340">
        <f t="shared" si="2"/>
        <v>2023.05</v>
      </c>
      <c r="B362" s="1262">
        <v>324.2</v>
      </c>
      <c r="C362" s="1262">
        <v>347.65</v>
      </c>
      <c r="D362" s="3248">
        <v>338.11</v>
      </c>
      <c r="E362" s="1263">
        <v>359.82</v>
      </c>
      <c r="F362" s="3248">
        <v>336.28</v>
      </c>
      <c r="G362" s="1263">
        <v>344.36</v>
      </c>
      <c r="H362" s="3248">
        <v>305.2</v>
      </c>
      <c r="I362" s="1263">
        <v>283.82</v>
      </c>
      <c r="J362" s="3248">
        <v>249.97</v>
      </c>
      <c r="K362" s="3248">
        <v>298.60000000000002</v>
      </c>
      <c r="L362" s="3248">
        <v>306.94</v>
      </c>
      <c r="M362" s="1263">
        <v>383.52</v>
      </c>
      <c r="N362" s="3248">
        <v>305.92</v>
      </c>
      <c r="O362" s="1264">
        <v>302.04000000000002</v>
      </c>
    </row>
    <row r="363" spans="1:15">
      <c r="A363" s="1340">
        <f t="shared" si="2"/>
        <v>2023.06</v>
      </c>
      <c r="B363" s="1262">
        <v>347.38</v>
      </c>
      <c r="C363" s="1353">
        <v>367.66</v>
      </c>
      <c r="D363" s="3248">
        <v>352.11</v>
      </c>
      <c r="E363" s="1263">
        <v>374.43</v>
      </c>
      <c r="F363" s="3248">
        <v>370.6</v>
      </c>
      <c r="G363" s="1263">
        <v>366.32</v>
      </c>
      <c r="H363" s="3248">
        <v>325.77999999999997</v>
      </c>
      <c r="I363" s="1263">
        <v>298.83</v>
      </c>
      <c r="J363" s="3248">
        <v>269.64999999999998</v>
      </c>
      <c r="K363" s="3248">
        <v>319.2</v>
      </c>
      <c r="L363" s="3248">
        <v>334.86</v>
      </c>
      <c r="M363" s="1263">
        <v>414.06</v>
      </c>
      <c r="N363" s="3248">
        <v>331.66</v>
      </c>
      <c r="O363" s="1264">
        <v>322.86</v>
      </c>
    </row>
    <row r="364" spans="1:15">
      <c r="A364" s="1340">
        <f t="shared" si="2"/>
        <v>2023.07</v>
      </c>
      <c r="B364" s="1262">
        <v>372.82</v>
      </c>
      <c r="C364" s="1353">
        <v>388.18</v>
      </c>
      <c r="D364" s="3248">
        <v>377.74</v>
      </c>
      <c r="E364" s="1263">
        <v>387.67</v>
      </c>
      <c r="F364" s="3248">
        <v>396.18</v>
      </c>
      <c r="G364" s="1263">
        <v>385.85</v>
      </c>
      <c r="H364" s="3248">
        <v>351.74</v>
      </c>
      <c r="I364" s="1263">
        <v>315.27</v>
      </c>
      <c r="J364" s="3248">
        <v>287.54000000000002</v>
      </c>
      <c r="K364" s="3248">
        <v>355.86</v>
      </c>
      <c r="L364" s="3248">
        <v>371.58</v>
      </c>
      <c r="M364" s="1263">
        <v>465.2</v>
      </c>
      <c r="N364" s="3248">
        <v>349.79</v>
      </c>
      <c r="O364" s="1264">
        <v>341.35</v>
      </c>
    </row>
    <row r="365" spans="1:15">
      <c r="A365" s="1340">
        <f t="shared" si="2"/>
        <v>2023.08</v>
      </c>
      <c r="B365" s="1262">
        <v>413.08</v>
      </c>
      <c r="C365" s="1353">
        <v>436.53</v>
      </c>
      <c r="D365" s="3248">
        <v>402.96</v>
      </c>
      <c r="E365" s="1263">
        <v>425.97</v>
      </c>
      <c r="F365" s="3248">
        <v>450.99</v>
      </c>
      <c r="G365" s="1263">
        <v>433.16</v>
      </c>
      <c r="H365" s="3248">
        <v>389.89</v>
      </c>
      <c r="I365" s="1263">
        <v>344.18</v>
      </c>
      <c r="J365" s="3248">
        <v>317.23</v>
      </c>
      <c r="K365" s="3248">
        <v>383.7</v>
      </c>
      <c r="L365" s="3248">
        <v>403.21</v>
      </c>
      <c r="M365" s="1263">
        <v>503.62</v>
      </c>
      <c r="N365" s="3248">
        <v>367.32</v>
      </c>
      <c r="O365" s="1264">
        <v>375.99</v>
      </c>
    </row>
    <row r="366" spans="1:15">
      <c r="A366" s="1340">
        <f t="shared" si="2"/>
        <v>2023.09</v>
      </c>
      <c r="B366" s="1262">
        <v>462.47</v>
      </c>
      <c r="C366" s="1353">
        <v>498.14</v>
      </c>
      <c r="D366" s="3248">
        <v>447.87</v>
      </c>
      <c r="E366" s="1263">
        <v>491.64</v>
      </c>
      <c r="F366" s="3248">
        <v>494.1</v>
      </c>
      <c r="G366" s="1263">
        <v>478.57</v>
      </c>
      <c r="H366" s="3248">
        <v>423.81</v>
      </c>
      <c r="I366" s="1263">
        <v>387.7</v>
      </c>
      <c r="J366" s="3248">
        <v>356.02</v>
      </c>
      <c r="K366" s="3248">
        <v>440.35</v>
      </c>
      <c r="L366" s="3248">
        <v>438.08</v>
      </c>
      <c r="M366" s="1263">
        <v>573.11</v>
      </c>
      <c r="N366" s="3248">
        <v>421.63</v>
      </c>
      <c r="O366" s="1264">
        <v>413.13</v>
      </c>
    </row>
    <row r="367" spans="1:15">
      <c r="A367" s="1340">
        <f t="shared" si="2"/>
        <v>2023.1</v>
      </c>
      <c r="B367" s="1262">
        <v>505.82</v>
      </c>
      <c r="C367" s="1353">
        <v>542.75</v>
      </c>
      <c r="D367" s="3248">
        <v>488.64</v>
      </c>
      <c r="E367" s="1263">
        <v>547.45000000000005</v>
      </c>
      <c r="F367" s="3248">
        <v>553.32000000000005</v>
      </c>
      <c r="G367" s="1263">
        <v>529.88</v>
      </c>
      <c r="H367" s="3248">
        <v>449.03</v>
      </c>
      <c r="I367" s="1263">
        <v>408.16</v>
      </c>
      <c r="J367" s="3248">
        <v>383.51</v>
      </c>
      <c r="K367" s="3248">
        <v>481.67</v>
      </c>
      <c r="L367" s="3248">
        <v>504.74</v>
      </c>
      <c r="M367" s="1263">
        <v>620.76</v>
      </c>
      <c r="N367" s="3248">
        <v>468.81</v>
      </c>
      <c r="O367" s="1264">
        <v>453.3</v>
      </c>
    </row>
    <row r="368" spans="1:15">
      <c r="A368" s="1340">
        <f t="shared" si="2"/>
        <v>2023.11</v>
      </c>
      <c r="B368" s="1262">
        <v>565.99</v>
      </c>
      <c r="C368" s="1353">
        <v>619.9</v>
      </c>
      <c r="D368" s="3248">
        <v>549.41</v>
      </c>
      <c r="E368" s="1263">
        <v>601.19000000000005</v>
      </c>
      <c r="F368" s="3248">
        <v>608.83000000000004</v>
      </c>
      <c r="G368" s="1263">
        <v>595.02</v>
      </c>
      <c r="H368" s="3248">
        <v>507.49</v>
      </c>
      <c r="I368" s="1263">
        <v>451.77</v>
      </c>
      <c r="J368" s="3248">
        <v>439.18</v>
      </c>
      <c r="K368" s="3248">
        <v>545.94000000000005</v>
      </c>
      <c r="L368" s="3248">
        <v>547.38</v>
      </c>
      <c r="M368" s="1263">
        <v>697.54</v>
      </c>
      <c r="N368" s="3248">
        <v>516.88</v>
      </c>
      <c r="O368" s="1264">
        <v>498.27</v>
      </c>
    </row>
    <row r="369" spans="1:15">
      <c r="A369" s="1340">
        <f t="shared" si="2"/>
        <v>2023.12</v>
      </c>
      <c r="B369" s="1262">
        <v>685.4</v>
      </c>
      <c r="C369" s="1353">
        <v>808.44</v>
      </c>
      <c r="D369" s="3248">
        <v>677.16</v>
      </c>
      <c r="E369" s="1263">
        <v>698.41</v>
      </c>
      <c r="F369" s="3248">
        <v>679.67</v>
      </c>
      <c r="G369" s="1263">
        <v>725.22</v>
      </c>
      <c r="H369" s="3248">
        <v>606.13</v>
      </c>
      <c r="I369" s="1263">
        <v>589.04</v>
      </c>
      <c r="J369" s="3248">
        <v>536.78</v>
      </c>
      <c r="K369" s="3248">
        <v>632.39</v>
      </c>
      <c r="L369" s="3248">
        <v>634.46</v>
      </c>
      <c r="M369" s="1263">
        <v>835.44</v>
      </c>
      <c r="N369" s="3248">
        <v>581.16</v>
      </c>
      <c r="O369" s="1264">
        <v>632.42999999999995</v>
      </c>
    </row>
    <row r="370" spans="1:15">
      <c r="A370" s="1340">
        <f t="shared" ref="A370:A393" si="3">A358+1</f>
        <v>2024.01</v>
      </c>
      <c r="B370" s="1262">
        <v>834.2</v>
      </c>
      <c r="C370" s="1353">
        <v>1013.41</v>
      </c>
      <c r="D370" s="3248">
        <v>831.04</v>
      </c>
      <c r="E370" s="1263">
        <v>772.56</v>
      </c>
      <c r="F370" s="3248">
        <v>747.54</v>
      </c>
      <c r="G370" s="1263">
        <v>871.91</v>
      </c>
      <c r="H370" s="3248">
        <v>789.71</v>
      </c>
      <c r="I370" s="1263">
        <v>787.26</v>
      </c>
      <c r="J370" s="3248">
        <v>626.28</v>
      </c>
      <c r="K370" s="3248">
        <v>825.58</v>
      </c>
      <c r="L370" s="3248">
        <v>643.97</v>
      </c>
      <c r="M370" s="1263">
        <v>1036.67</v>
      </c>
      <c r="N370" s="3248">
        <v>721.69</v>
      </c>
      <c r="O370" s="1264">
        <v>857.98</v>
      </c>
    </row>
    <row r="371" spans="1:15">
      <c r="A371" s="1340">
        <f t="shared" si="3"/>
        <v>2024.02</v>
      </c>
      <c r="B371" s="1262">
        <v>951.99</v>
      </c>
      <c r="C371" s="1353">
        <v>1161.94</v>
      </c>
      <c r="D371" s="3248">
        <v>1008.2</v>
      </c>
      <c r="E371" s="1263">
        <v>848.47</v>
      </c>
      <c r="F371" s="3248">
        <v>846.22</v>
      </c>
      <c r="G371" s="1263">
        <v>937.2</v>
      </c>
      <c r="H371" s="3248">
        <v>956.24</v>
      </c>
      <c r="I371" s="1263">
        <v>952.97</v>
      </c>
      <c r="J371" s="3248">
        <v>747.85</v>
      </c>
      <c r="K371" s="3248">
        <v>903.43</v>
      </c>
      <c r="L371" s="3248">
        <v>704.55</v>
      </c>
      <c r="M371" s="1263">
        <v>1119.3399999999999</v>
      </c>
      <c r="N371" s="3248">
        <v>938.23</v>
      </c>
      <c r="O371" s="1264">
        <v>981.07</v>
      </c>
    </row>
    <row r="372" spans="1:15">
      <c r="A372" s="1340">
        <f t="shared" si="3"/>
        <v>2024.03</v>
      </c>
      <c r="B372" s="1262">
        <v>1077.95</v>
      </c>
      <c r="C372" s="1353">
        <v>1290.1400000000001</v>
      </c>
      <c r="D372" s="3248">
        <v>1140.57</v>
      </c>
      <c r="E372" s="1263">
        <v>946.25</v>
      </c>
      <c r="F372" s="3248">
        <v>997.95</v>
      </c>
      <c r="G372" s="1263">
        <v>1018.01</v>
      </c>
      <c r="H372" s="3248">
        <v>1118.08</v>
      </c>
      <c r="I372" s="1263">
        <v>1033.81</v>
      </c>
      <c r="J372" s="3248">
        <v>931.42</v>
      </c>
      <c r="K372" s="3248">
        <v>957.98</v>
      </c>
      <c r="L372" s="3248">
        <v>963.53</v>
      </c>
      <c r="M372" s="1263">
        <v>1204.5</v>
      </c>
      <c r="N372" s="3248">
        <v>1078.8599999999999</v>
      </c>
      <c r="O372" s="1264">
        <v>1079.24</v>
      </c>
    </row>
    <row r="373" spans="1:15">
      <c r="A373" s="1340">
        <f t="shared" si="3"/>
        <v>2024.04</v>
      </c>
      <c r="B373" s="1262">
        <v>1183.17</v>
      </c>
      <c r="C373" s="1353">
        <v>1356.48</v>
      </c>
      <c r="D373" s="3248">
        <v>1207.2</v>
      </c>
      <c r="E373" s="1263">
        <v>1004.62</v>
      </c>
      <c r="F373" s="3248">
        <v>1226.76</v>
      </c>
      <c r="G373" s="1263">
        <v>1088.33</v>
      </c>
      <c r="H373" s="3248">
        <v>1263.6099999999999</v>
      </c>
      <c r="I373" s="1263">
        <v>1079.18</v>
      </c>
      <c r="J373" s="3248">
        <v>1040.49</v>
      </c>
      <c r="K373" s="3248">
        <v>992.27</v>
      </c>
      <c r="L373" s="3248">
        <v>1109.0899999999999</v>
      </c>
      <c r="M373" s="1263">
        <v>1278.48</v>
      </c>
      <c r="N373" s="3248">
        <v>1205.24</v>
      </c>
      <c r="O373" s="1264">
        <v>1149.54</v>
      </c>
    </row>
    <row r="374" spans="1:15">
      <c r="A374" s="1340">
        <f t="shared" si="3"/>
        <v>2024.05</v>
      </c>
      <c r="B374" s="1262">
        <v>1234.95</v>
      </c>
      <c r="C374" s="1353">
        <v>1421.06</v>
      </c>
      <c r="D374" s="3248">
        <v>1279.43</v>
      </c>
      <c r="E374" s="1263">
        <v>1027.21</v>
      </c>
      <c r="F374" s="3248">
        <v>1285.19</v>
      </c>
      <c r="G374" s="1263">
        <v>1150.08</v>
      </c>
      <c r="H374" s="3248">
        <v>1210.3900000000001</v>
      </c>
      <c r="I374" s="1263">
        <v>1135.3</v>
      </c>
      <c r="J374" s="3248">
        <v>1120.21</v>
      </c>
      <c r="K374" s="3248">
        <v>1050.6500000000001</v>
      </c>
      <c r="L374" s="3248">
        <v>1177.48</v>
      </c>
      <c r="M374" s="1263">
        <v>1351.13</v>
      </c>
      <c r="N374" s="3248">
        <v>1357.15</v>
      </c>
      <c r="O374" s="1264">
        <v>1199.29</v>
      </c>
    </row>
    <row r="375" spans="1:15">
      <c r="A375" s="1340">
        <f t="shared" si="3"/>
        <v>2024.06</v>
      </c>
      <c r="B375" s="1262">
        <v>1294.53</v>
      </c>
      <c r="C375" s="1262">
        <v>1459.9</v>
      </c>
      <c r="D375" s="3248">
        <v>1319.98</v>
      </c>
      <c r="E375" s="1263">
        <v>1060.79</v>
      </c>
      <c r="F375" s="3248">
        <v>1378.54</v>
      </c>
      <c r="G375" s="1263">
        <v>1185.8599999999999</v>
      </c>
      <c r="H375" s="3248">
        <v>1262.9100000000001</v>
      </c>
      <c r="I375" s="1263">
        <v>1188.1099999999999</v>
      </c>
      <c r="J375" s="3248">
        <v>1174.8599999999999</v>
      </c>
      <c r="K375" s="3248">
        <v>1097.1500000000001</v>
      </c>
      <c r="L375" s="3248">
        <v>1253.73</v>
      </c>
      <c r="M375" s="1263">
        <v>1436.93</v>
      </c>
      <c r="N375" s="3248">
        <v>1516.34</v>
      </c>
      <c r="O375" s="1264">
        <v>1239.93</v>
      </c>
    </row>
    <row r="376" spans="1:15">
      <c r="A376" s="1340">
        <f t="shared" si="3"/>
        <v>2024.07</v>
      </c>
      <c r="B376" s="1262">
        <v>1360.55</v>
      </c>
      <c r="C376" s="1262">
        <v>1514.8</v>
      </c>
      <c r="D376" s="3248">
        <v>1407.37</v>
      </c>
      <c r="E376" s="1263">
        <v>1069.76</v>
      </c>
      <c r="F376" s="3248">
        <v>1457.36</v>
      </c>
      <c r="G376" s="1263">
        <v>1198.22</v>
      </c>
      <c r="H376" s="3248">
        <v>1355.3</v>
      </c>
      <c r="I376" s="1263">
        <v>1230.44</v>
      </c>
      <c r="J376" s="3248">
        <v>1221.19</v>
      </c>
      <c r="K376" s="3248">
        <v>1180.6600000000001</v>
      </c>
      <c r="L376" s="3248">
        <v>1325.88</v>
      </c>
      <c r="M376" s="1263">
        <v>1570.08</v>
      </c>
      <c r="N376" s="3248">
        <v>1618.2</v>
      </c>
      <c r="O376" s="1264">
        <v>1289.02</v>
      </c>
    </row>
    <row r="377" spans="1:15">
      <c r="A377" s="1340">
        <f t="shared" si="3"/>
        <v>2024.08</v>
      </c>
      <c r="B377" s="1262">
        <v>1417.46</v>
      </c>
      <c r="C377" s="1262">
        <v>1562.1</v>
      </c>
      <c r="D377" s="3248">
        <v>1474.77</v>
      </c>
      <c r="E377" s="1263">
        <v>1108.8499999999999</v>
      </c>
      <c r="F377" s="3248">
        <v>1520.94</v>
      </c>
      <c r="G377" s="1263">
        <v>1220.56</v>
      </c>
      <c r="H377" s="3248">
        <v>1428.94</v>
      </c>
      <c r="I377" s="1263">
        <v>1341.52</v>
      </c>
      <c r="J377" s="3248">
        <v>1272.3599999999999</v>
      </c>
      <c r="K377" s="3248">
        <v>1188.21</v>
      </c>
      <c r="L377" s="3248">
        <v>1405.79</v>
      </c>
      <c r="M377" s="1263">
        <v>1606.42</v>
      </c>
      <c r="N377" s="3248">
        <v>1724.28</v>
      </c>
      <c r="O377" s="1264">
        <v>1336.08</v>
      </c>
    </row>
    <row r="378" spans="1:15">
      <c r="A378" s="1340">
        <f t="shared" si="3"/>
        <v>2024.09</v>
      </c>
      <c r="B378" s="1262">
        <v>1474.29</v>
      </c>
      <c r="C378" s="1262">
        <v>1596.88</v>
      </c>
      <c r="D378" s="3248">
        <v>1542.07</v>
      </c>
      <c r="E378" s="1263">
        <v>1171.08</v>
      </c>
      <c r="F378" s="3248">
        <v>1586.67</v>
      </c>
      <c r="G378" s="1263">
        <v>1294.56</v>
      </c>
      <c r="H378" s="3248">
        <v>1500.22</v>
      </c>
      <c r="I378" s="1263">
        <v>1409.82</v>
      </c>
      <c r="J378" s="3248">
        <v>1292.74</v>
      </c>
      <c r="K378" s="3248">
        <v>1249.45</v>
      </c>
      <c r="L378" s="3248">
        <v>1456.05</v>
      </c>
      <c r="M378" s="1263">
        <v>1665.15</v>
      </c>
      <c r="N378" s="3248">
        <v>1843.77</v>
      </c>
      <c r="O378" s="1264">
        <v>1398.63</v>
      </c>
    </row>
    <row r="379" spans="1:15">
      <c r="A379" s="1340">
        <f t="shared" si="3"/>
        <v>2024.1</v>
      </c>
      <c r="B379" s="1262">
        <v>1522.05</v>
      </c>
      <c r="C379" s="1262">
        <v>1624.04</v>
      </c>
      <c r="D379" s="3248">
        <v>1603.07</v>
      </c>
      <c r="E379" s="1263">
        <v>1229.19</v>
      </c>
      <c r="F379" s="3248">
        <v>1655.37</v>
      </c>
      <c r="G379" s="1263">
        <v>1337.24</v>
      </c>
      <c r="H379" s="3248">
        <v>1568.2</v>
      </c>
      <c r="I379" s="1263">
        <v>1412.5</v>
      </c>
      <c r="J379" s="3248">
        <v>1315.21</v>
      </c>
      <c r="K379" s="3248">
        <v>1302.08</v>
      </c>
      <c r="L379" s="3248">
        <v>1517.72</v>
      </c>
      <c r="M379" s="1263">
        <v>1742.89</v>
      </c>
      <c r="N379" s="3248">
        <v>1972.44</v>
      </c>
      <c r="O379" s="1264">
        <v>1452.13</v>
      </c>
    </row>
    <row r="380" spans="1:15">
      <c r="A380" s="1340">
        <f t="shared" si="3"/>
        <v>2024.11</v>
      </c>
      <c r="B380" s="1262">
        <v>1570.26</v>
      </c>
      <c r="C380" s="1262">
        <v>1651.79</v>
      </c>
      <c r="D380" s="3248">
        <v>1665.15</v>
      </c>
      <c r="E380" s="1263">
        <v>1256.76</v>
      </c>
      <c r="F380" s="3248">
        <v>1725.33</v>
      </c>
      <c r="G380" s="1263">
        <v>1381.98</v>
      </c>
      <c r="H380" s="3248">
        <v>1634.54</v>
      </c>
      <c r="I380" s="1263">
        <v>1478.45</v>
      </c>
      <c r="J380" s="3248">
        <v>1330.48</v>
      </c>
      <c r="K380" s="3248">
        <v>1337.96</v>
      </c>
      <c r="L380" s="3248">
        <v>1562.44</v>
      </c>
      <c r="M380" s="1263">
        <v>1796.96</v>
      </c>
      <c r="N380" s="3248">
        <v>2035.85</v>
      </c>
      <c r="O380" s="1264">
        <v>1496.35</v>
      </c>
    </row>
    <row r="381" spans="1:15">
      <c r="A381" s="1340">
        <f t="shared" si="3"/>
        <v>2024.12</v>
      </c>
      <c r="B381" s="1262">
        <v>1622.53</v>
      </c>
      <c r="C381" s="1262">
        <v>1690.39</v>
      </c>
      <c r="D381" s="3248">
        <v>1738.18</v>
      </c>
      <c r="E381" s="1263">
        <v>1262.8599999999999</v>
      </c>
      <c r="F381" s="3248">
        <v>1792.99</v>
      </c>
      <c r="G381" s="1263">
        <v>1389.96</v>
      </c>
      <c r="H381" s="3248">
        <v>1694.55</v>
      </c>
      <c r="I381" s="1263">
        <v>1530.59</v>
      </c>
      <c r="J381" s="3248">
        <v>1387.82</v>
      </c>
      <c r="K381" s="3248">
        <v>1368.92</v>
      </c>
      <c r="L381" s="3248">
        <v>1624.4</v>
      </c>
      <c r="M381" s="1263">
        <v>1890.83</v>
      </c>
      <c r="N381" s="3248">
        <v>2153.27</v>
      </c>
      <c r="O381" s="1264">
        <v>1541.86</v>
      </c>
    </row>
    <row r="382" spans="1:15">
      <c r="A382" s="1340">
        <f t="shared" si="3"/>
        <v>2025.01</v>
      </c>
      <c r="B382" s="1262">
        <v>1673.49</v>
      </c>
      <c r="C382" s="1262">
        <v>1723.28</v>
      </c>
      <c r="D382" s="3248">
        <v>1780.1</v>
      </c>
      <c r="E382" s="1263">
        <v>1250.7</v>
      </c>
      <c r="F382" s="3248">
        <v>1849.06</v>
      </c>
      <c r="G382" s="1263">
        <v>1418.69</v>
      </c>
      <c r="H382" s="3248">
        <v>1748.43</v>
      </c>
      <c r="I382" s="1263">
        <v>1590.27</v>
      </c>
      <c r="J382" s="3248">
        <v>1409.24</v>
      </c>
      <c r="K382" s="3248">
        <v>1473.66</v>
      </c>
      <c r="L382" s="3248">
        <v>1639.41</v>
      </c>
      <c r="M382" s="1263">
        <v>2004.2</v>
      </c>
      <c r="N382" s="3248">
        <v>2303.52</v>
      </c>
      <c r="O382" s="1264">
        <v>1582.58</v>
      </c>
    </row>
    <row r="383" spans="1:15">
      <c r="A383" s="1340">
        <f t="shared" si="3"/>
        <v>2025.02</v>
      </c>
      <c r="B383" s="1262">
        <v>1707.89</v>
      </c>
      <c r="C383" s="1262">
        <v>1767.15</v>
      </c>
      <c r="D383" s="3248">
        <v>1806.36</v>
      </c>
      <c r="E383" s="1263">
        <v>1264.19</v>
      </c>
      <c r="F383" s="3248">
        <v>1906.47</v>
      </c>
      <c r="G383" s="1263">
        <v>1430.42</v>
      </c>
      <c r="H383" s="3248">
        <v>1801.06</v>
      </c>
      <c r="I383" s="1263">
        <v>1567.16</v>
      </c>
      <c r="J383" s="3248">
        <v>1432.22</v>
      </c>
      <c r="K383" s="3248">
        <v>1502.11</v>
      </c>
      <c r="L383" s="3248">
        <v>1678.1</v>
      </c>
      <c r="M383" s="1263">
        <v>2059.0300000000002</v>
      </c>
      <c r="N383" s="3248">
        <v>2377.77</v>
      </c>
      <c r="O383" s="1264">
        <v>1633.91</v>
      </c>
    </row>
    <row r="384" spans="1:15">
      <c r="A384" s="1340">
        <f t="shared" si="3"/>
        <v>2025.03</v>
      </c>
      <c r="B384" s="1262">
        <v>1761.98</v>
      </c>
      <c r="C384" s="1262">
        <v>1850.3</v>
      </c>
      <c r="D384" s="3248">
        <v>1821.27</v>
      </c>
      <c r="E384" s="1263">
        <v>1321.09</v>
      </c>
      <c r="F384" s="3248">
        <v>1958.06</v>
      </c>
      <c r="G384" s="1263">
        <v>1437.88</v>
      </c>
      <c r="H384" s="3248">
        <v>1842.54</v>
      </c>
      <c r="I384" s="1263">
        <v>1599.68</v>
      </c>
      <c r="J384" s="3248">
        <v>1475.2</v>
      </c>
      <c r="K384" s="3248">
        <v>1505.83</v>
      </c>
      <c r="L384" s="3248">
        <v>1918.2</v>
      </c>
      <c r="M384" s="1263">
        <v>2082.89</v>
      </c>
      <c r="N384" s="3248">
        <v>2526.79</v>
      </c>
      <c r="O384" s="1264">
        <v>1676.5</v>
      </c>
    </row>
    <row r="385" spans="1:15">
      <c r="A385" s="1340">
        <f t="shared" si="3"/>
        <v>2025.04</v>
      </c>
      <c r="B385" s="1262">
        <v>1802.79</v>
      </c>
      <c r="C385" s="1262">
        <v>1890.89</v>
      </c>
      <c r="D385" s="3248">
        <v>1884.01</v>
      </c>
      <c r="E385" s="1263">
        <v>1370.46</v>
      </c>
      <c r="F385" s="3248">
        <v>2004.17</v>
      </c>
      <c r="G385" s="1263">
        <v>1461.98</v>
      </c>
      <c r="H385" s="3248">
        <v>1886.64</v>
      </c>
      <c r="I385" s="1263">
        <v>1641.04</v>
      </c>
      <c r="J385" s="3248">
        <v>1504.99</v>
      </c>
      <c r="K385" s="3248">
        <v>1521.7</v>
      </c>
      <c r="L385" s="3248">
        <v>1942.73</v>
      </c>
      <c r="M385" s="1263">
        <v>2137.11</v>
      </c>
      <c r="N385" s="3248">
        <v>2559.14</v>
      </c>
      <c r="O385" s="1264">
        <v>1738</v>
      </c>
    </row>
    <row r="386" spans="1:15">
      <c r="A386" s="1340">
        <f t="shared" si="3"/>
        <v>2025.05</v>
      </c>
      <c r="B386" s="1262">
        <v>1831.11</v>
      </c>
      <c r="C386" s="1262">
        <v>1912.67</v>
      </c>
      <c r="D386" s="3248">
        <v>1888.04</v>
      </c>
      <c r="E386" s="1263">
        <v>1382.66</v>
      </c>
      <c r="F386" s="3248">
        <v>2046.54</v>
      </c>
      <c r="G386" s="1263">
        <v>1461.29</v>
      </c>
      <c r="H386" s="3248">
        <v>1941.37</v>
      </c>
      <c r="I386" s="1263">
        <v>1639.45</v>
      </c>
      <c r="J386" s="3248">
        <v>1561.58</v>
      </c>
      <c r="K386" s="3248">
        <v>1544.86</v>
      </c>
      <c r="L386" s="3248">
        <v>1989.88</v>
      </c>
      <c r="M386" s="1263">
        <v>2157.73</v>
      </c>
      <c r="N386" s="3248">
        <v>2653.07</v>
      </c>
      <c r="O386" s="1264">
        <v>1775.13</v>
      </c>
    </row>
    <row r="387" spans="1:15">
      <c r="A387" s="1340">
        <f t="shared" si="3"/>
        <v>2025.06</v>
      </c>
      <c r="B387" s="1262" t="e">
        <v>#N/A</v>
      </c>
      <c r="C387" s="1262" t="e">
        <v>#N/A</v>
      </c>
      <c r="D387" s="3248" t="e">
        <v>#N/A</v>
      </c>
      <c r="E387" s="1263" t="e">
        <v>#N/A</v>
      </c>
      <c r="F387" s="3248" t="e">
        <v>#N/A</v>
      </c>
      <c r="G387" s="1263" t="e">
        <v>#N/A</v>
      </c>
      <c r="H387" s="3248" t="e">
        <v>#N/A</v>
      </c>
      <c r="I387" s="1263" t="e">
        <v>#N/A</v>
      </c>
      <c r="J387" s="3248" t="e">
        <v>#N/A</v>
      </c>
      <c r="K387" s="3248" t="e">
        <v>#N/A</v>
      </c>
      <c r="L387" s="3248" t="e">
        <v>#N/A</v>
      </c>
      <c r="M387" s="1263" t="e">
        <v>#N/A</v>
      </c>
      <c r="N387" s="3248" t="e">
        <v>#N/A</v>
      </c>
      <c r="O387" s="1264" t="e">
        <v>#N/A</v>
      </c>
    </row>
    <row r="388" spans="1:15">
      <c r="A388" s="1340">
        <f t="shared" si="3"/>
        <v>2025.07</v>
      </c>
      <c r="B388" s="1262" t="e">
        <v>#N/A</v>
      </c>
      <c r="C388" s="1262" t="e">
        <v>#N/A</v>
      </c>
      <c r="D388" s="3248" t="e">
        <v>#N/A</v>
      </c>
      <c r="E388" s="1263" t="e">
        <v>#N/A</v>
      </c>
      <c r="F388" s="3248" t="e">
        <v>#N/A</v>
      </c>
      <c r="G388" s="1263" t="e">
        <v>#N/A</v>
      </c>
      <c r="H388" s="3248" t="e">
        <v>#N/A</v>
      </c>
      <c r="I388" s="1263" t="e">
        <v>#N/A</v>
      </c>
      <c r="J388" s="3248" t="e">
        <v>#N/A</v>
      </c>
      <c r="K388" s="3248" t="e">
        <v>#N/A</v>
      </c>
      <c r="L388" s="3248" t="e">
        <v>#N/A</v>
      </c>
      <c r="M388" s="1263" t="e">
        <v>#N/A</v>
      </c>
      <c r="N388" s="3248" t="e">
        <v>#N/A</v>
      </c>
      <c r="O388" s="1264" t="e">
        <v>#N/A</v>
      </c>
    </row>
    <row r="389" spans="1:15">
      <c r="A389" s="1340">
        <f t="shared" si="3"/>
        <v>2025.08</v>
      </c>
      <c r="B389" s="1262" t="e">
        <v>#N/A</v>
      </c>
      <c r="C389" s="1262" t="e">
        <v>#N/A</v>
      </c>
      <c r="D389" s="3248" t="e">
        <v>#N/A</v>
      </c>
      <c r="E389" s="1263" t="e">
        <v>#N/A</v>
      </c>
      <c r="F389" s="3248" t="e">
        <v>#N/A</v>
      </c>
      <c r="G389" s="1263" t="e">
        <v>#N/A</v>
      </c>
      <c r="H389" s="3248" t="e">
        <v>#N/A</v>
      </c>
      <c r="I389" s="1263" t="e">
        <v>#N/A</v>
      </c>
      <c r="J389" s="3248" t="e">
        <v>#N/A</v>
      </c>
      <c r="K389" s="3248" t="e">
        <v>#N/A</v>
      </c>
      <c r="L389" s="3248" t="e">
        <v>#N/A</v>
      </c>
      <c r="M389" s="1263" t="e">
        <v>#N/A</v>
      </c>
      <c r="N389" s="3248" t="e">
        <v>#N/A</v>
      </c>
      <c r="O389" s="1264" t="e">
        <v>#N/A</v>
      </c>
    </row>
    <row r="390" spans="1:15">
      <c r="A390" s="1340">
        <f t="shared" si="3"/>
        <v>2025.09</v>
      </c>
      <c r="B390" s="1262" t="e">
        <v>#N/A</v>
      </c>
      <c r="C390" s="1262" t="e">
        <v>#N/A</v>
      </c>
      <c r="D390" s="3248" t="e">
        <v>#N/A</v>
      </c>
      <c r="E390" s="1263" t="e">
        <v>#N/A</v>
      </c>
      <c r="F390" s="3248" t="e">
        <v>#N/A</v>
      </c>
      <c r="G390" s="1263" t="e">
        <v>#N/A</v>
      </c>
      <c r="H390" s="3248" t="e">
        <v>#N/A</v>
      </c>
      <c r="I390" s="1263" t="e">
        <v>#N/A</v>
      </c>
      <c r="J390" s="3248" t="e">
        <v>#N/A</v>
      </c>
      <c r="K390" s="3248" t="e">
        <v>#N/A</v>
      </c>
      <c r="L390" s="3248" t="e">
        <v>#N/A</v>
      </c>
      <c r="M390" s="1263" t="e">
        <v>#N/A</v>
      </c>
      <c r="N390" s="3248" t="e">
        <v>#N/A</v>
      </c>
      <c r="O390" s="1264" t="e">
        <v>#N/A</v>
      </c>
    </row>
    <row r="391" spans="1:15">
      <c r="A391" s="1340">
        <f t="shared" si="3"/>
        <v>2025.1</v>
      </c>
      <c r="B391" s="1262" t="e">
        <v>#N/A</v>
      </c>
      <c r="C391" s="1262" t="e">
        <v>#N/A</v>
      </c>
      <c r="D391" s="3248" t="e">
        <v>#N/A</v>
      </c>
      <c r="E391" s="1263" t="e">
        <v>#N/A</v>
      </c>
      <c r="F391" s="3248" t="e">
        <v>#N/A</v>
      </c>
      <c r="G391" s="1263" t="e">
        <v>#N/A</v>
      </c>
      <c r="H391" s="3248" t="e">
        <v>#N/A</v>
      </c>
      <c r="I391" s="1263" t="e">
        <v>#N/A</v>
      </c>
      <c r="J391" s="3248" t="e">
        <v>#N/A</v>
      </c>
      <c r="K391" s="3248" t="e">
        <v>#N/A</v>
      </c>
      <c r="L391" s="3248" t="e">
        <v>#N/A</v>
      </c>
      <c r="M391" s="1263" t="e">
        <v>#N/A</v>
      </c>
      <c r="N391" s="3248" t="e">
        <v>#N/A</v>
      </c>
      <c r="O391" s="1264" t="e">
        <v>#N/A</v>
      </c>
    </row>
    <row r="392" spans="1:15">
      <c r="A392" s="1340">
        <f t="shared" si="3"/>
        <v>2025.11</v>
      </c>
      <c r="B392" s="1262" t="e">
        <v>#N/A</v>
      </c>
      <c r="C392" s="1262" t="e">
        <v>#N/A</v>
      </c>
      <c r="D392" s="3248" t="e">
        <v>#N/A</v>
      </c>
      <c r="E392" s="1263" t="e">
        <v>#N/A</v>
      </c>
      <c r="F392" s="3248" t="e">
        <v>#N/A</v>
      </c>
      <c r="G392" s="1263" t="e">
        <v>#N/A</v>
      </c>
      <c r="H392" s="3248" t="e">
        <v>#N/A</v>
      </c>
      <c r="I392" s="1263" t="e">
        <v>#N/A</v>
      </c>
      <c r="J392" s="3248" t="e">
        <v>#N/A</v>
      </c>
      <c r="K392" s="3248" t="e">
        <v>#N/A</v>
      </c>
      <c r="L392" s="3248" t="e">
        <v>#N/A</v>
      </c>
      <c r="M392" s="1263" t="e">
        <v>#N/A</v>
      </c>
      <c r="N392" s="3248" t="e">
        <v>#N/A</v>
      </c>
      <c r="O392" s="1264" t="e">
        <v>#N/A</v>
      </c>
    </row>
    <row r="393" spans="1:15">
      <c r="A393" s="1340">
        <f t="shared" si="3"/>
        <v>2025.12</v>
      </c>
      <c r="B393" s="1262" t="e">
        <v>#N/A</v>
      </c>
      <c r="C393" s="1262" t="e">
        <v>#N/A</v>
      </c>
      <c r="D393" s="3248" t="e">
        <v>#N/A</v>
      </c>
      <c r="E393" s="1263" t="e">
        <v>#N/A</v>
      </c>
      <c r="F393" s="3248" t="e">
        <v>#N/A</v>
      </c>
      <c r="G393" s="1263" t="e">
        <v>#N/A</v>
      </c>
      <c r="H393" s="3248" t="e">
        <v>#N/A</v>
      </c>
      <c r="I393" s="1263" t="e">
        <v>#N/A</v>
      </c>
      <c r="J393" s="3248" t="e">
        <v>#N/A</v>
      </c>
      <c r="K393" s="3248" t="e">
        <v>#N/A</v>
      </c>
      <c r="L393" s="3248" t="e">
        <v>#N/A</v>
      </c>
      <c r="M393" s="1263" t="e">
        <v>#N/A</v>
      </c>
      <c r="N393" s="3248" t="e">
        <v>#N/A</v>
      </c>
      <c r="O393" s="1264" t="e">
        <v>#N/A</v>
      </c>
    </row>
    <row r="394" spans="1:15">
      <c r="A394" s="1340">
        <v>2026.01</v>
      </c>
      <c r="B394" s="1262" t="e">
        <v>#N/A</v>
      </c>
      <c r="C394" s="1262" t="e">
        <v>#N/A</v>
      </c>
      <c r="D394" s="3248" t="e">
        <v>#N/A</v>
      </c>
      <c r="E394" s="1263" t="e">
        <v>#N/A</v>
      </c>
      <c r="F394" s="3248" t="e">
        <v>#N/A</v>
      </c>
      <c r="G394" s="1263" t="e">
        <v>#N/A</v>
      </c>
      <c r="H394" s="3248" t="e">
        <v>#N/A</v>
      </c>
      <c r="I394" s="1263" t="e">
        <v>#N/A</v>
      </c>
      <c r="J394" s="3248" t="e">
        <v>#N/A</v>
      </c>
      <c r="K394" s="3248" t="e">
        <v>#N/A</v>
      </c>
      <c r="L394" s="3248" t="e">
        <v>#N/A</v>
      </c>
      <c r="M394" s="1263" t="e">
        <v>#N/A</v>
      </c>
      <c r="N394" s="3248" t="e">
        <v>#N/A</v>
      </c>
      <c r="O394" s="1264" t="e">
        <v>#N/A</v>
      </c>
    </row>
    <row r="395" spans="1:15">
      <c r="A395" s="1340">
        <v>2026.02</v>
      </c>
      <c r="B395" s="1262" t="e">
        <v>#N/A</v>
      </c>
      <c r="C395" s="1262" t="e">
        <v>#N/A</v>
      </c>
      <c r="D395" s="3248" t="e">
        <v>#N/A</v>
      </c>
      <c r="E395" s="1263" t="e">
        <v>#N/A</v>
      </c>
      <c r="F395" s="3248" t="e">
        <v>#N/A</v>
      </c>
      <c r="G395" s="1263" t="e">
        <v>#N/A</v>
      </c>
      <c r="H395" s="3248" t="e">
        <v>#N/A</v>
      </c>
      <c r="I395" s="1263" t="e">
        <v>#N/A</v>
      </c>
      <c r="J395" s="3248" t="e">
        <v>#N/A</v>
      </c>
      <c r="K395" s="3248" t="e">
        <v>#N/A</v>
      </c>
      <c r="L395" s="3248" t="e">
        <v>#N/A</v>
      </c>
      <c r="M395" s="1263" t="e">
        <v>#N/A</v>
      </c>
      <c r="N395" s="3248" t="e">
        <v>#N/A</v>
      </c>
      <c r="O395" s="1264" t="e">
        <v>#N/A</v>
      </c>
    </row>
    <row r="396" spans="1:15">
      <c r="A396" s="1340">
        <v>2026.03</v>
      </c>
      <c r="B396" s="1262" t="e">
        <v>#N/A</v>
      </c>
      <c r="C396" s="1262" t="e">
        <v>#N/A</v>
      </c>
      <c r="D396" s="3248" t="e">
        <v>#N/A</v>
      </c>
      <c r="E396" s="1263" t="e">
        <v>#N/A</v>
      </c>
      <c r="F396" s="3248" t="e">
        <v>#N/A</v>
      </c>
      <c r="G396" s="1263" t="e">
        <v>#N/A</v>
      </c>
      <c r="H396" s="3248" t="e">
        <v>#N/A</v>
      </c>
      <c r="I396" s="1263" t="e">
        <v>#N/A</v>
      </c>
      <c r="J396" s="3248" t="e">
        <v>#N/A</v>
      </c>
      <c r="K396" s="3248" t="e">
        <v>#N/A</v>
      </c>
      <c r="L396" s="3248" t="e">
        <v>#N/A</v>
      </c>
      <c r="M396" s="1263" t="e">
        <v>#N/A</v>
      </c>
      <c r="N396" s="3248" t="e">
        <v>#N/A</v>
      </c>
      <c r="O396" s="1264" t="e">
        <v>#N/A</v>
      </c>
    </row>
    <row r="397" spans="1:15">
      <c r="A397" s="1340">
        <v>2026.04</v>
      </c>
      <c r="B397" s="1262" t="e">
        <v>#N/A</v>
      </c>
      <c r="C397" s="1262" t="e">
        <v>#N/A</v>
      </c>
      <c r="D397" s="3248" t="e">
        <v>#N/A</v>
      </c>
      <c r="E397" s="1263" t="e">
        <v>#N/A</v>
      </c>
      <c r="F397" s="3248" t="e">
        <v>#N/A</v>
      </c>
      <c r="G397" s="1263" t="e">
        <v>#N/A</v>
      </c>
      <c r="H397" s="3248" t="e">
        <v>#N/A</v>
      </c>
      <c r="I397" s="1263" t="e">
        <v>#N/A</v>
      </c>
      <c r="J397" s="3248" t="e">
        <v>#N/A</v>
      </c>
      <c r="K397" s="3248" t="e">
        <v>#N/A</v>
      </c>
      <c r="L397" s="3248" t="e">
        <v>#N/A</v>
      </c>
      <c r="M397" s="1263" t="e">
        <v>#N/A</v>
      </c>
      <c r="N397" s="3248" t="e">
        <v>#N/A</v>
      </c>
      <c r="O397" s="1264" t="e">
        <v>#N/A</v>
      </c>
    </row>
    <row r="398" spans="1:15">
      <c r="A398" s="1340">
        <v>2026.05</v>
      </c>
      <c r="B398" s="1262" t="e">
        <v>#N/A</v>
      </c>
      <c r="C398" s="1262" t="e">
        <v>#N/A</v>
      </c>
      <c r="D398" s="3248" t="e">
        <v>#N/A</v>
      </c>
      <c r="E398" s="1263" t="e">
        <v>#N/A</v>
      </c>
      <c r="F398" s="3248" t="e">
        <v>#N/A</v>
      </c>
      <c r="G398" s="1263" t="e">
        <v>#N/A</v>
      </c>
      <c r="H398" s="3248" t="e">
        <v>#N/A</v>
      </c>
      <c r="I398" s="1263" t="e">
        <v>#N/A</v>
      </c>
      <c r="J398" s="3248" t="e">
        <v>#N/A</v>
      </c>
      <c r="K398" s="3248" t="e">
        <v>#N/A</v>
      </c>
      <c r="L398" s="3248" t="e">
        <v>#N/A</v>
      </c>
      <c r="M398" s="1263" t="e">
        <v>#N/A</v>
      </c>
      <c r="N398" s="3248" t="e">
        <v>#N/A</v>
      </c>
      <c r="O398" s="1264" t="e">
        <v>#N/A</v>
      </c>
    </row>
    <row r="399" spans="1:15">
      <c r="A399" s="1340">
        <v>2026.06</v>
      </c>
      <c r="B399" s="1262" t="e">
        <v>#N/A</v>
      </c>
      <c r="C399" s="1262" t="e">
        <v>#N/A</v>
      </c>
      <c r="D399" s="3248" t="e">
        <v>#N/A</v>
      </c>
      <c r="E399" s="1263" t="e">
        <v>#N/A</v>
      </c>
      <c r="F399" s="3248" t="e">
        <v>#N/A</v>
      </c>
      <c r="G399" s="1263" t="e">
        <v>#N/A</v>
      </c>
      <c r="H399" s="3248" t="e">
        <v>#N/A</v>
      </c>
      <c r="I399" s="1263" t="e">
        <v>#N/A</v>
      </c>
      <c r="J399" s="3248" t="e">
        <v>#N/A</v>
      </c>
      <c r="K399" s="3248" t="e">
        <v>#N/A</v>
      </c>
      <c r="L399" s="3248" t="e">
        <v>#N/A</v>
      </c>
      <c r="M399" s="1263" t="e">
        <v>#N/A</v>
      </c>
      <c r="N399" s="3248" t="e">
        <v>#N/A</v>
      </c>
      <c r="O399" s="1264" t="e">
        <v>#N/A</v>
      </c>
    </row>
    <row r="400" spans="1:15">
      <c r="A400" s="1340">
        <v>2026.07</v>
      </c>
      <c r="B400" s="1262" t="e">
        <v>#N/A</v>
      </c>
      <c r="C400" s="1262" t="e">
        <v>#N/A</v>
      </c>
      <c r="D400" s="3248" t="e">
        <v>#N/A</v>
      </c>
      <c r="E400" s="1263" t="e">
        <v>#N/A</v>
      </c>
      <c r="F400" s="3248" t="e">
        <v>#N/A</v>
      </c>
      <c r="G400" s="1263" t="e">
        <v>#N/A</v>
      </c>
      <c r="H400" s="3248" t="e">
        <v>#N/A</v>
      </c>
      <c r="I400" s="1263" t="e">
        <v>#N/A</v>
      </c>
      <c r="J400" s="3248" t="e">
        <v>#N/A</v>
      </c>
      <c r="K400" s="3248" t="e">
        <v>#N/A</v>
      </c>
      <c r="L400" s="3248" t="e">
        <v>#N/A</v>
      </c>
      <c r="M400" s="1263" t="e">
        <v>#N/A</v>
      </c>
      <c r="N400" s="3248" t="e">
        <v>#N/A</v>
      </c>
      <c r="O400" s="1264" t="e">
        <v>#N/A</v>
      </c>
    </row>
    <row r="401" spans="1:15">
      <c r="A401" s="1340">
        <v>2026.08</v>
      </c>
      <c r="B401" s="1262" t="e">
        <v>#N/A</v>
      </c>
      <c r="C401" s="1262" t="e">
        <v>#N/A</v>
      </c>
      <c r="D401" s="3248" t="e">
        <v>#N/A</v>
      </c>
      <c r="E401" s="1263" t="e">
        <v>#N/A</v>
      </c>
      <c r="F401" s="3248" t="e">
        <v>#N/A</v>
      </c>
      <c r="G401" s="1263" t="e">
        <v>#N/A</v>
      </c>
      <c r="H401" s="3248" t="e">
        <v>#N/A</v>
      </c>
      <c r="I401" s="1263" t="e">
        <v>#N/A</v>
      </c>
      <c r="J401" s="3248" t="e">
        <v>#N/A</v>
      </c>
      <c r="K401" s="3248" t="e">
        <v>#N/A</v>
      </c>
      <c r="L401" s="3248" t="e">
        <v>#N/A</v>
      </c>
      <c r="M401" s="1263" t="e">
        <v>#N/A</v>
      </c>
      <c r="N401" s="3248" t="e">
        <v>#N/A</v>
      </c>
      <c r="O401" s="1264" t="e">
        <v>#N/A</v>
      </c>
    </row>
    <row r="402" spans="1:15">
      <c r="A402" s="1340">
        <v>2026.09</v>
      </c>
      <c r="B402" s="1262" t="e">
        <v>#N/A</v>
      </c>
      <c r="C402" s="1262" t="e">
        <v>#N/A</v>
      </c>
      <c r="D402" s="3248" t="e">
        <v>#N/A</v>
      </c>
      <c r="E402" s="1263" t="e">
        <v>#N/A</v>
      </c>
      <c r="F402" s="3248" t="e">
        <v>#N/A</v>
      </c>
      <c r="G402" s="1263" t="e">
        <v>#N/A</v>
      </c>
      <c r="H402" s="3248" t="e">
        <v>#N/A</v>
      </c>
      <c r="I402" s="1263" t="e">
        <v>#N/A</v>
      </c>
      <c r="J402" s="3248" t="e">
        <v>#N/A</v>
      </c>
      <c r="K402" s="3248" t="e">
        <v>#N/A</v>
      </c>
      <c r="L402" s="3248" t="e">
        <v>#N/A</v>
      </c>
      <c r="M402" s="1263" t="e">
        <v>#N/A</v>
      </c>
      <c r="N402" s="3248" t="e">
        <v>#N/A</v>
      </c>
      <c r="O402" s="1264" t="e">
        <v>#N/A</v>
      </c>
    </row>
    <row r="403" spans="1:15">
      <c r="A403" s="1340">
        <v>2026.1</v>
      </c>
      <c r="B403" s="1262" t="e">
        <v>#N/A</v>
      </c>
      <c r="C403" s="1262" t="e">
        <v>#N/A</v>
      </c>
      <c r="D403" s="3248" t="e">
        <v>#N/A</v>
      </c>
      <c r="E403" s="1263" t="e">
        <v>#N/A</v>
      </c>
      <c r="F403" s="3248" t="e">
        <v>#N/A</v>
      </c>
      <c r="G403" s="1263" t="e">
        <v>#N/A</v>
      </c>
      <c r="H403" s="3248" t="e">
        <v>#N/A</v>
      </c>
      <c r="I403" s="1263" t="e">
        <v>#N/A</v>
      </c>
      <c r="J403" s="3248" t="e">
        <v>#N/A</v>
      </c>
      <c r="K403" s="3248" t="e">
        <v>#N/A</v>
      </c>
      <c r="L403" s="3248" t="e">
        <v>#N/A</v>
      </c>
      <c r="M403" s="1263" t="e">
        <v>#N/A</v>
      </c>
      <c r="N403" s="3248" t="e">
        <v>#N/A</v>
      </c>
      <c r="O403" s="1264" t="e">
        <v>#N/A</v>
      </c>
    </row>
    <row r="404" spans="1:15">
      <c r="A404" s="1340">
        <v>2026.11</v>
      </c>
      <c r="B404" s="1262" t="e">
        <v>#N/A</v>
      </c>
      <c r="C404" s="1262" t="e">
        <v>#N/A</v>
      </c>
      <c r="D404" s="3248" t="e">
        <v>#N/A</v>
      </c>
      <c r="E404" s="1263" t="e">
        <v>#N/A</v>
      </c>
      <c r="F404" s="3248" t="e">
        <v>#N/A</v>
      </c>
      <c r="G404" s="1263" t="e">
        <v>#N/A</v>
      </c>
      <c r="H404" s="3248" t="e">
        <v>#N/A</v>
      </c>
      <c r="I404" s="1263" t="e">
        <v>#N/A</v>
      </c>
      <c r="J404" s="3248" t="e">
        <v>#N/A</v>
      </c>
      <c r="K404" s="3248" t="e">
        <v>#N/A</v>
      </c>
      <c r="L404" s="3248" t="e">
        <v>#N/A</v>
      </c>
      <c r="M404" s="1263" t="e">
        <v>#N/A</v>
      </c>
      <c r="N404" s="3248" t="e">
        <v>#N/A</v>
      </c>
      <c r="O404" s="1264" t="e">
        <v>#N/A</v>
      </c>
    </row>
    <row r="405" spans="1:15">
      <c r="A405" s="1340">
        <v>2026.12</v>
      </c>
      <c r="B405" s="1262" t="e">
        <v>#N/A</v>
      </c>
      <c r="C405" s="1262" t="e">
        <v>#N/A</v>
      </c>
      <c r="D405" s="3248" t="e">
        <v>#N/A</v>
      </c>
      <c r="E405" s="1263" t="e">
        <v>#N/A</v>
      </c>
      <c r="F405" s="3248" t="e">
        <v>#N/A</v>
      </c>
      <c r="G405" s="1263" t="e">
        <v>#N/A</v>
      </c>
      <c r="H405" s="3248" t="e">
        <v>#N/A</v>
      </c>
      <c r="I405" s="1263" t="e">
        <v>#N/A</v>
      </c>
      <c r="J405" s="3248" t="e">
        <v>#N/A</v>
      </c>
      <c r="K405" s="3248" t="e">
        <v>#N/A</v>
      </c>
      <c r="L405" s="3248" t="e">
        <v>#N/A</v>
      </c>
      <c r="M405" s="1263" t="e">
        <v>#N/A</v>
      </c>
      <c r="N405" s="3248" t="e">
        <v>#N/A</v>
      </c>
      <c r="O405" s="1264" t="e">
        <v>#N/A</v>
      </c>
    </row>
    <row r="406" spans="1:15">
      <c r="A406" s="1340">
        <v>2027.01</v>
      </c>
      <c r="B406" s="1262" t="e">
        <v>#N/A</v>
      </c>
      <c r="C406" s="1262" t="e">
        <v>#N/A</v>
      </c>
      <c r="D406" s="3248" t="e">
        <v>#N/A</v>
      </c>
      <c r="E406" s="1263" t="e">
        <v>#N/A</v>
      </c>
      <c r="F406" s="3248" t="e">
        <v>#N/A</v>
      </c>
      <c r="G406" s="1263" t="e">
        <v>#N/A</v>
      </c>
      <c r="H406" s="3248" t="e">
        <v>#N/A</v>
      </c>
      <c r="I406" s="1263" t="e">
        <v>#N/A</v>
      </c>
      <c r="J406" s="3248" t="e">
        <v>#N/A</v>
      </c>
      <c r="K406" s="3248" t="e">
        <v>#N/A</v>
      </c>
      <c r="L406" s="3248" t="e">
        <v>#N/A</v>
      </c>
      <c r="M406" s="1263" t="e">
        <v>#N/A</v>
      </c>
      <c r="N406" s="3248" t="e">
        <v>#N/A</v>
      </c>
      <c r="O406" s="1264" t="e">
        <v>#N/A</v>
      </c>
    </row>
    <row r="407" spans="1:15">
      <c r="A407" s="1340">
        <v>2027.02</v>
      </c>
      <c r="B407" s="1262" t="e">
        <v>#N/A</v>
      </c>
      <c r="C407" s="1262" t="e">
        <v>#N/A</v>
      </c>
      <c r="D407" s="3248" t="e">
        <v>#N/A</v>
      </c>
      <c r="E407" s="1263" t="e">
        <v>#N/A</v>
      </c>
      <c r="F407" s="3248" t="e">
        <v>#N/A</v>
      </c>
      <c r="G407" s="1263" t="e">
        <v>#N/A</v>
      </c>
      <c r="H407" s="3248" t="e">
        <v>#N/A</v>
      </c>
      <c r="I407" s="1263" t="e">
        <v>#N/A</v>
      </c>
      <c r="J407" s="3248" t="e">
        <v>#N/A</v>
      </c>
      <c r="K407" s="3248" t="e">
        <v>#N/A</v>
      </c>
      <c r="L407" s="3248" t="e">
        <v>#N/A</v>
      </c>
      <c r="M407" s="1263" t="e">
        <v>#N/A</v>
      </c>
      <c r="N407" s="3248" t="e">
        <v>#N/A</v>
      </c>
      <c r="O407" s="1264" t="e">
        <v>#N/A</v>
      </c>
    </row>
    <row r="408" spans="1:15">
      <c r="A408" s="1340">
        <v>2027.03</v>
      </c>
      <c r="B408" s="1262" t="e">
        <v>#N/A</v>
      </c>
      <c r="C408" s="1262" t="e">
        <v>#N/A</v>
      </c>
      <c r="D408" s="3248" t="e">
        <v>#N/A</v>
      </c>
      <c r="E408" s="1263" t="e">
        <v>#N/A</v>
      </c>
      <c r="F408" s="3248" t="e">
        <v>#N/A</v>
      </c>
      <c r="G408" s="1263" t="e">
        <v>#N/A</v>
      </c>
      <c r="H408" s="3248" t="e">
        <v>#N/A</v>
      </c>
      <c r="I408" s="1263" t="e">
        <v>#N/A</v>
      </c>
      <c r="J408" s="3248" t="e">
        <v>#N/A</v>
      </c>
      <c r="K408" s="3248" t="e">
        <v>#N/A</v>
      </c>
      <c r="L408" s="3248" t="e">
        <v>#N/A</v>
      </c>
      <c r="M408" s="1263" t="e">
        <v>#N/A</v>
      </c>
      <c r="N408" s="3248" t="e">
        <v>#N/A</v>
      </c>
      <c r="O408" s="1264" t="e">
        <v>#N/A</v>
      </c>
    </row>
    <row r="409" spans="1:15">
      <c r="A409" s="1340">
        <v>2027.04</v>
      </c>
      <c r="B409" s="1262" t="e">
        <v>#N/A</v>
      </c>
      <c r="C409" s="1262" t="e">
        <v>#N/A</v>
      </c>
      <c r="D409" s="3248" t="e">
        <v>#N/A</v>
      </c>
      <c r="E409" s="1263" t="e">
        <v>#N/A</v>
      </c>
      <c r="F409" s="3248" t="e">
        <v>#N/A</v>
      </c>
      <c r="G409" s="1263" t="e">
        <v>#N/A</v>
      </c>
      <c r="H409" s="3248" t="e">
        <v>#N/A</v>
      </c>
      <c r="I409" s="1263" t="e">
        <v>#N/A</v>
      </c>
      <c r="J409" s="3248" t="e">
        <v>#N/A</v>
      </c>
      <c r="K409" s="3248" t="e">
        <v>#N/A</v>
      </c>
      <c r="L409" s="3248" t="e">
        <v>#N/A</v>
      </c>
      <c r="M409" s="1263" t="e">
        <v>#N/A</v>
      </c>
      <c r="N409" s="3248" t="e">
        <v>#N/A</v>
      </c>
      <c r="O409" s="1264" t="e">
        <v>#N/A</v>
      </c>
    </row>
    <row r="410" spans="1:15">
      <c r="A410" s="1340">
        <v>2027.05</v>
      </c>
      <c r="B410" s="1262" t="e">
        <v>#N/A</v>
      </c>
      <c r="C410" s="1262" t="e">
        <v>#N/A</v>
      </c>
      <c r="D410" s="3248" t="e">
        <v>#N/A</v>
      </c>
      <c r="E410" s="1263" t="e">
        <v>#N/A</v>
      </c>
      <c r="F410" s="3248" t="e">
        <v>#N/A</v>
      </c>
      <c r="G410" s="1263" t="e">
        <v>#N/A</v>
      </c>
      <c r="H410" s="3248" t="e">
        <v>#N/A</v>
      </c>
      <c r="I410" s="1263" t="e">
        <v>#N/A</v>
      </c>
      <c r="J410" s="3248" t="e">
        <v>#N/A</v>
      </c>
      <c r="K410" s="3248" t="e">
        <v>#N/A</v>
      </c>
      <c r="L410" s="3248" t="e">
        <v>#N/A</v>
      </c>
      <c r="M410" s="1263" t="e">
        <v>#N/A</v>
      </c>
      <c r="N410" s="3248" t="e">
        <v>#N/A</v>
      </c>
      <c r="O410" s="1264" t="e">
        <v>#N/A</v>
      </c>
    </row>
    <row r="411" spans="1:15">
      <c r="A411" s="1340">
        <v>2027.06</v>
      </c>
      <c r="B411" s="1262" t="e">
        <v>#N/A</v>
      </c>
      <c r="C411" s="1262" t="e">
        <v>#N/A</v>
      </c>
      <c r="D411" s="3248" t="e">
        <v>#N/A</v>
      </c>
      <c r="E411" s="1263" t="e">
        <v>#N/A</v>
      </c>
      <c r="F411" s="3248" t="e">
        <v>#N/A</v>
      </c>
      <c r="G411" s="1263" t="e">
        <v>#N/A</v>
      </c>
      <c r="H411" s="3248" t="e">
        <v>#N/A</v>
      </c>
      <c r="I411" s="1263" t="e">
        <v>#N/A</v>
      </c>
      <c r="J411" s="3248" t="e">
        <v>#N/A</v>
      </c>
      <c r="K411" s="3248" t="e">
        <v>#N/A</v>
      </c>
      <c r="L411" s="3248" t="e">
        <v>#N/A</v>
      </c>
      <c r="M411" s="1263" t="e">
        <v>#N/A</v>
      </c>
      <c r="N411" s="3248" t="e">
        <v>#N/A</v>
      </c>
      <c r="O411" s="1264" t="e">
        <v>#N/A</v>
      </c>
    </row>
    <row r="412" spans="1:15">
      <c r="A412" s="1340">
        <v>2027.07</v>
      </c>
      <c r="B412" s="1262" t="e">
        <v>#N/A</v>
      </c>
      <c r="C412" s="1262" t="e">
        <v>#N/A</v>
      </c>
      <c r="D412" s="3248" t="e">
        <v>#N/A</v>
      </c>
      <c r="E412" s="1263" t="e">
        <v>#N/A</v>
      </c>
      <c r="F412" s="3248" t="e">
        <v>#N/A</v>
      </c>
      <c r="G412" s="1263" t="e">
        <v>#N/A</v>
      </c>
      <c r="H412" s="3248" t="e">
        <v>#N/A</v>
      </c>
      <c r="I412" s="1263" t="e">
        <v>#N/A</v>
      </c>
      <c r="J412" s="3248" t="e">
        <v>#N/A</v>
      </c>
      <c r="K412" s="3248" t="e">
        <v>#N/A</v>
      </c>
      <c r="L412" s="3248" t="e">
        <v>#N/A</v>
      </c>
      <c r="M412" s="1263" t="e">
        <v>#N/A</v>
      </c>
      <c r="N412" s="3248" t="e">
        <v>#N/A</v>
      </c>
      <c r="O412" s="1264" t="e">
        <v>#N/A</v>
      </c>
    </row>
    <row r="413" spans="1:15">
      <c r="A413" s="1340">
        <v>2027.08</v>
      </c>
      <c r="B413" s="1262" t="e">
        <v>#N/A</v>
      </c>
      <c r="C413" s="1262" t="e">
        <v>#N/A</v>
      </c>
      <c r="D413" s="3248" t="e">
        <v>#N/A</v>
      </c>
      <c r="E413" s="1263" t="e">
        <v>#N/A</v>
      </c>
      <c r="F413" s="3248" t="e">
        <v>#N/A</v>
      </c>
      <c r="G413" s="1263" t="e">
        <v>#N/A</v>
      </c>
      <c r="H413" s="3248" t="e">
        <v>#N/A</v>
      </c>
      <c r="I413" s="1263" t="e">
        <v>#N/A</v>
      </c>
      <c r="J413" s="3248" t="e">
        <v>#N/A</v>
      </c>
      <c r="K413" s="3248" t="e">
        <v>#N/A</v>
      </c>
      <c r="L413" s="3248" t="e">
        <v>#N/A</v>
      </c>
      <c r="M413" s="1263" t="e">
        <v>#N/A</v>
      </c>
      <c r="N413" s="3248" t="e">
        <v>#N/A</v>
      </c>
      <c r="O413" s="1264" t="e">
        <v>#N/A</v>
      </c>
    </row>
    <row r="414" spans="1:15">
      <c r="A414" s="1340">
        <v>2027.09</v>
      </c>
      <c r="B414" s="1262" t="e">
        <v>#N/A</v>
      </c>
      <c r="C414" s="1262" t="e">
        <v>#N/A</v>
      </c>
      <c r="D414" s="3248" t="e">
        <v>#N/A</v>
      </c>
      <c r="E414" s="1263" t="e">
        <v>#N/A</v>
      </c>
      <c r="F414" s="3248" t="e">
        <v>#N/A</v>
      </c>
      <c r="G414" s="1263" t="e">
        <v>#N/A</v>
      </c>
      <c r="H414" s="3248" t="e">
        <v>#N/A</v>
      </c>
      <c r="I414" s="1263" t="e">
        <v>#N/A</v>
      </c>
      <c r="J414" s="3248" t="e">
        <v>#N/A</v>
      </c>
      <c r="K414" s="3248" t="e">
        <v>#N/A</v>
      </c>
      <c r="L414" s="3248" t="e">
        <v>#N/A</v>
      </c>
      <c r="M414" s="1263" t="e">
        <v>#N/A</v>
      </c>
      <c r="N414" s="3248" t="e">
        <v>#N/A</v>
      </c>
      <c r="O414" s="1264" t="e">
        <v>#N/A</v>
      </c>
    </row>
    <row r="415" spans="1:15">
      <c r="A415" s="1340">
        <v>2027.1</v>
      </c>
      <c r="B415" s="1262" t="e">
        <v>#N/A</v>
      </c>
      <c r="C415" s="1262" t="e">
        <v>#N/A</v>
      </c>
      <c r="D415" s="3248" t="e">
        <v>#N/A</v>
      </c>
      <c r="E415" s="1263" t="e">
        <v>#N/A</v>
      </c>
      <c r="F415" s="3248" t="e">
        <v>#N/A</v>
      </c>
      <c r="G415" s="1263" t="e">
        <v>#N/A</v>
      </c>
      <c r="H415" s="3248" t="e">
        <v>#N/A</v>
      </c>
      <c r="I415" s="1263" t="e">
        <v>#N/A</v>
      </c>
      <c r="J415" s="3248" t="e">
        <v>#N/A</v>
      </c>
      <c r="K415" s="3248" t="e">
        <v>#N/A</v>
      </c>
      <c r="L415" s="3248" t="e">
        <v>#N/A</v>
      </c>
      <c r="M415" s="1263" t="e">
        <v>#N/A</v>
      </c>
      <c r="N415" s="3248" t="e">
        <v>#N/A</v>
      </c>
      <c r="O415" s="1264" t="e">
        <v>#N/A</v>
      </c>
    </row>
    <row r="416" spans="1:15">
      <c r="A416" s="1340">
        <v>2027.11</v>
      </c>
      <c r="B416" s="1262" t="e">
        <v>#N/A</v>
      </c>
      <c r="C416" s="1262" t="e">
        <v>#N/A</v>
      </c>
      <c r="D416" s="3248" t="e">
        <v>#N/A</v>
      </c>
      <c r="E416" s="1263" t="e">
        <v>#N/A</v>
      </c>
      <c r="F416" s="3248" t="e">
        <v>#N/A</v>
      </c>
      <c r="G416" s="1263" t="e">
        <v>#N/A</v>
      </c>
      <c r="H416" s="3248" t="e">
        <v>#N/A</v>
      </c>
      <c r="I416" s="1263" t="e">
        <v>#N/A</v>
      </c>
      <c r="J416" s="3248" t="e">
        <v>#N/A</v>
      </c>
      <c r="K416" s="3248" t="e">
        <v>#N/A</v>
      </c>
      <c r="L416" s="3248" t="e">
        <v>#N/A</v>
      </c>
      <c r="M416" s="1263" t="e">
        <v>#N/A</v>
      </c>
      <c r="N416" s="3248" t="e">
        <v>#N/A</v>
      </c>
      <c r="O416" s="1264" t="e">
        <v>#N/A</v>
      </c>
    </row>
    <row r="417" spans="1:15">
      <c r="A417" s="1340">
        <v>2027.12</v>
      </c>
      <c r="B417" s="1262" t="e">
        <v>#N/A</v>
      </c>
      <c r="C417" s="1262" t="e">
        <v>#N/A</v>
      </c>
      <c r="D417" s="3248" t="e">
        <v>#N/A</v>
      </c>
      <c r="E417" s="1263" t="e">
        <v>#N/A</v>
      </c>
      <c r="F417" s="3248" t="e">
        <v>#N/A</v>
      </c>
      <c r="G417" s="1263" t="e">
        <v>#N/A</v>
      </c>
      <c r="H417" s="3248" t="e">
        <v>#N/A</v>
      </c>
      <c r="I417" s="1263" t="e">
        <v>#N/A</v>
      </c>
      <c r="J417" s="3248" t="e">
        <v>#N/A</v>
      </c>
      <c r="K417" s="3248" t="e">
        <v>#N/A</v>
      </c>
      <c r="L417" s="3248" t="e">
        <v>#N/A</v>
      </c>
      <c r="M417" s="1263" t="e">
        <v>#N/A</v>
      </c>
      <c r="N417" s="3248" t="e">
        <v>#N/A</v>
      </c>
      <c r="O417" s="1264" t="e">
        <v>#N/A</v>
      </c>
    </row>
    <row r="418" spans="1:15">
      <c r="A418" s="1340">
        <v>2028.01</v>
      </c>
      <c r="B418" s="1262" t="e">
        <v>#N/A</v>
      </c>
      <c r="C418" s="1262" t="e">
        <v>#N/A</v>
      </c>
      <c r="D418" s="3248" t="e">
        <v>#N/A</v>
      </c>
      <c r="E418" s="1263" t="e">
        <v>#N/A</v>
      </c>
      <c r="F418" s="3248" t="e">
        <v>#N/A</v>
      </c>
      <c r="G418" s="1263" t="e">
        <v>#N/A</v>
      </c>
      <c r="H418" s="3248" t="e">
        <v>#N/A</v>
      </c>
      <c r="I418" s="1263" t="e">
        <v>#N/A</v>
      </c>
      <c r="J418" s="3248" t="e">
        <v>#N/A</v>
      </c>
      <c r="K418" s="3248" t="e">
        <v>#N/A</v>
      </c>
      <c r="L418" s="3248" t="e">
        <v>#N/A</v>
      </c>
      <c r="M418" s="1263" t="e">
        <v>#N/A</v>
      </c>
      <c r="N418" s="3248" t="e">
        <v>#N/A</v>
      </c>
      <c r="O418" s="1264" t="e">
        <v>#N/A</v>
      </c>
    </row>
    <row r="419" spans="1:15">
      <c r="A419" s="1340">
        <v>2028.02</v>
      </c>
      <c r="B419" s="1262" t="e">
        <v>#N/A</v>
      </c>
      <c r="C419" s="1262" t="e">
        <v>#N/A</v>
      </c>
      <c r="D419" s="3248" t="e">
        <v>#N/A</v>
      </c>
      <c r="E419" s="1263" t="e">
        <v>#N/A</v>
      </c>
      <c r="F419" s="3248" t="e">
        <v>#N/A</v>
      </c>
      <c r="G419" s="1263" t="e">
        <v>#N/A</v>
      </c>
      <c r="H419" s="3248" t="e">
        <v>#N/A</v>
      </c>
      <c r="I419" s="1263" t="e">
        <v>#N/A</v>
      </c>
      <c r="J419" s="3248" t="e">
        <v>#N/A</v>
      </c>
      <c r="K419" s="3248" t="e">
        <v>#N/A</v>
      </c>
      <c r="L419" s="3248" t="e">
        <v>#N/A</v>
      </c>
      <c r="M419" s="1263" t="e">
        <v>#N/A</v>
      </c>
      <c r="N419" s="3248" t="e">
        <v>#N/A</v>
      </c>
      <c r="O419" s="1264" t="e">
        <v>#N/A</v>
      </c>
    </row>
    <row r="420" spans="1:15">
      <c r="A420" s="1340">
        <v>2028.03</v>
      </c>
      <c r="B420" s="1262" t="e">
        <v>#N/A</v>
      </c>
      <c r="C420" s="1262" t="e">
        <v>#N/A</v>
      </c>
      <c r="D420" s="3248" t="e">
        <v>#N/A</v>
      </c>
      <c r="E420" s="1263" t="e">
        <v>#N/A</v>
      </c>
      <c r="F420" s="3248" t="e">
        <v>#N/A</v>
      </c>
      <c r="G420" s="1263" t="e">
        <v>#N/A</v>
      </c>
      <c r="H420" s="3248" t="e">
        <v>#N/A</v>
      </c>
      <c r="I420" s="1263" t="e">
        <v>#N/A</v>
      </c>
      <c r="J420" s="3248" t="e">
        <v>#N/A</v>
      </c>
      <c r="K420" s="3248" t="e">
        <v>#N/A</v>
      </c>
      <c r="L420" s="3248" t="e">
        <v>#N/A</v>
      </c>
      <c r="M420" s="1263" t="e">
        <v>#N/A</v>
      </c>
      <c r="N420" s="3248" t="e">
        <v>#N/A</v>
      </c>
      <c r="O420" s="1264" t="e">
        <v>#N/A</v>
      </c>
    </row>
    <row r="421" spans="1:15">
      <c r="A421" s="1340">
        <v>2028.04</v>
      </c>
      <c r="B421" s="1262" t="e">
        <v>#N/A</v>
      </c>
      <c r="C421" s="1262" t="e">
        <v>#N/A</v>
      </c>
      <c r="D421" s="3248" t="e">
        <v>#N/A</v>
      </c>
      <c r="E421" s="1263" t="e">
        <v>#N/A</v>
      </c>
      <c r="F421" s="3248" t="e">
        <v>#N/A</v>
      </c>
      <c r="G421" s="1263" t="e">
        <v>#N/A</v>
      </c>
      <c r="H421" s="3248" t="e">
        <v>#N/A</v>
      </c>
      <c r="I421" s="1263" t="e">
        <v>#N/A</v>
      </c>
      <c r="J421" s="3248" t="e">
        <v>#N/A</v>
      </c>
      <c r="K421" s="3248" t="e">
        <v>#N/A</v>
      </c>
      <c r="L421" s="3248" t="e">
        <v>#N/A</v>
      </c>
      <c r="M421" s="1263" t="e">
        <v>#N/A</v>
      </c>
      <c r="N421" s="3248" t="e">
        <v>#N/A</v>
      </c>
      <c r="O421" s="1264" t="e">
        <v>#N/A</v>
      </c>
    </row>
    <row r="422" spans="1:15">
      <c r="A422" s="1340">
        <v>2028.05</v>
      </c>
      <c r="B422" s="1262" t="e">
        <v>#N/A</v>
      </c>
      <c r="C422" s="1262" t="e">
        <v>#N/A</v>
      </c>
      <c r="D422" s="3248" t="e">
        <v>#N/A</v>
      </c>
      <c r="E422" s="1263" t="e">
        <v>#N/A</v>
      </c>
      <c r="F422" s="3248" t="e">
        <v>#N/A</v>
      </c>
      <c r="G422" s="1263" t="e">
        <v>#N/A</v>
      </c>
      <c r="H422" s="3248" t="e">
        <v>#N/A</v>
      </c>
      <c r="I422" s="1263" t="e">
        <v>#N/A</v>
      </c>
      <c r="J422" s="3248" t="e">
        <v>#N/A</v>
      </c>
      <c r="K422" s="3248" t="e">
        <v>#N/A</v>
      </c>
      <c r="L422" s="3248" t="e">
        <v>#N/A</v>
      </c>
      <c r="M422" s="1263" t="e">
        <v>#N/A</v>
      </c>
      <c r="N422" s="3248" t="e">
        <v>#N/A</v>
      </c>
      <c r="O422" s="1264" t="e">
        <v>#N/A</v>
      </c>
    </row>
    <row r="423" spans="1:15">
      <c r="A423" s="1340">
        <v>2028.06</v>
      </c>
      <c r="B423" s="1262" t="e">
        <v>#N/A</v>
      </c>
      <c r="C423" s="1262" t="e">
        <v>#N/A</v>
      </c>
      <c r="D423" s="3248" t="e">
        <v>#N/A</v>
      </c>
      <c r="E423" s="1263" t="e">
        <v>#N/A</v>
      </c>
      <c r="F423" s="3248" t="e">
        <v>#N/A</v>
      </c>
      <c r="G423" s="1263" t="e">
        <v>#N/A</v>
      </c>
      <c r="H423" s="3248" t="e">
        <v>#N/A</v>
      </c>
      <c r="I423" s="1263" t="e">
        <v>#N/A</v>
      </c>
      <c r="J423" s="3248" t="e">
        <v>#N/A</v>
      </c>
      <c r="K423" s="3248" t="e">
        <v>#N/A</v>
      </c>
      <c r="L423" s="3248" t="e">
        <v>#N/A</v>
      </c>
      <c r="M423" s="1263" t="e">
        <v>#N/A</v>
      </c>
      <c r="N423" s="3248" t="e">
        <v>#N/A</v>
      </c>
      <c r="O423" s="1264" t="e">
        <v>#N/A</v>
      </c>
    </row>
    <row r="424" spans="1:15">
      <c r="A424" s="1340">
        <v>2028.07</v>
      </c>
      <c r="B424" s="1262" t="e">
        <v>#N/A</v>
      </c>
      <c r="C424" s="1262" t="e">
        <v>#N/A</v>
      </c>
      <c r="D424" s="3248" t="e">
        <v>#N/A</v>
      </c>
      <c r="E424" s="1263" t="e">
        <v>#N/A</v>
      </c>
      <c r="F424" s="3248" t="e">
        <v>#N/A</v>
      </c>
      <c r="G424" s="1263" t="e">
        <v>#N/A</v>
      </c>
      <c r="H424" s="3248" t="e">
        <v>#N/A</v>
      </c>
      <c r="I424" s="1263" t="e">
        <v>#N/A</v>
      </c>
      <c r="J424" s="3248" t="e">
        <v>#N/A</v>
      </c>
      <c r="K424" s="3248" t="e">
        <v>#N/A</v>
      </c>
      <c r="L424" s="3248" t="e">
        <v>#N/A</v>
      </c>
      <c r="M424" s="1263" t="e">
        <v>#N/A</v>
      </c>
      <c r="N424" s="3248" t="e">
        <v>#N/A</v>
      </c>
      <c r="O424" s="1264" t="e">
        <v>#N/A</v>
      </c>
    </row>
    <row r="425" spans="1:15">
      <c r="A425" s="1340">
        <v>2028.08</v>
      </c>
      <c r="B425" s="1262" t="e">
        <v>#N/A</v>
      </c>
      <c r="C425" s="1262" t="e">
        <v>#N/A</v>
      </c>
      <c r="D425" s="3248" t="e">
        <v>#N/A</v>
      </c>
      <c r="E425" s="1263" t="e">
        <v>#N/A</v>
      </c>
      <c r="F425" s="3248" t="e">
        <v>#N/A</v>
      </c>
      <c r="G425" s="1263" t="e">
        <v>#N/A</v>
      </c>
      <c r="H425" s="3248" t="e">
        <v>#N/A</v>
      </c>
      <c r="I425" s="1263" t="e">
        <v>#N/A</v>
      </c>
      <c r="J425" s="3248" t="e">
        <v>#N/A</v>
      </c>
      <c r="K425" s="3248" t="e">
        <v>#N/A</v>
      </c>
      <c r="L425" s="3248" t="e">
        <v>#N/A</v>
      </c>
      <c r="M425" s="1263" t="e">
        <v>#N/A</v>
      </c>
      <c r="N425" s="3248" t="e">
        <v>#N/A</v>
      </c>
      <c r="O425" s="1264" t="e">
        <v>#N/A</v>
      </c>
    </row>
    <row r="426" spans="1:15">
      <c r="A426" s="1340">
        <v>2028.09</v>
      </c>
      <c r="B426" s="1262" t="e">
        <v>#N/A</v>
      </c>
      <c r="C426" s="1262" t="e">
        <v>#N/A</v>
      </c>
      <c r="D426" s="3248" t="e">
        <v>#N/A</v>
      </c>
      <c r="E426" s="1263" t="e">
        <v>#N/A</v>
      </c>
      <c r="F426" s="3248" t="e">
        <v>#N/A</v>
      </c>
      <c r="G426" s="1263" t="e">
        <v>#N/A</v>
      </c>
      <c r="H426" s="3248" t="e">
        <v>#N/A</v>
      </c>
      <c r="I426" s="1263" t="e">
        <v>#N/A</v>
      </c>
      <c r="J426" s="3248" t="e">
        <v>#N/A</v>
      </c>
      <c r="K426" s="3248" t="e">
        <v>#N/A</v>
      </c>
      <c r="L426" s="3248" t="e">
        <v>#N/A</v>
      </c>
      <c r="M426" s="1263" t="e">
        <v>#N/A</v>
      </c>
      <c r="N426" s="3248" t="e">
        <v>#N/A</v>
      </c>
      <c r="O426" s="1264" t="e">
        <v>#N/A</v>
      </c>
    </row>
    <row r="427" spans="1:15">
      <c r="A427" s="1340">
        <v>2028.1</v>
      </c>
      <c r="B427" s="1262" t="e">
        <v>#N/A</v>
      </c>
      <c r="C427" s="1262" t="e">
        <v>#N/A</v>
      </c>
      <c r="D427" s="3248" t="e">
        <v>#N/A</v>
      </c>
      <c r="E427" s="1263" t="e">
        <v>#N/A</v>
      </c>
      <c r="F427" s="3248" t="e">
        <v>#N/A</v>
      </c>
      <c r="G427" s="1263" t="e">
        <v>#N/A</v>
      </c>
      <c r="H427" s="3248" t="e">
        <v>#N/A</v>
      </c>
      <c r="I427" s="1263" t="e">
        <v>#N/A</v>
      </c>
      <c r="J427" s="3248" t="e">
        <v>#N/A</v>
      </c>
      <c r="K427" s="3248" t="e">
        <v>#N/A</v>
      </c>
      <c r="L427" s="3248" t="e">
        <v>#N/A</v>
      </c>
      <c r="M427" s="1263" t="e">
        <v>#N/A</v>
      </c>
      <c r="N427" s="3248" t="e">
        <v>#N/A</v>
      </c>
      <c r="O427" s="1264" t="e">
        <v>#N/A</v>
      </c>
    </row>
    <row r="428" spans="1:15">
      <c r="A428" s="1340">
        <v>2028.11</v>
      </c>
      <c r="B428" s="1262" t="e">
        <v>#N/A</v>
      </c>
      <c r="C428" s="1262" t="e">
        <v>#N/A</v>
      </c>
      <c r="D428" s="3248" t="e">
        <v>#N/A</v>
      </c>
      <c r="E428" s="1263" t="e">
        <v>#N/A</v>
      </c>
      <c r="F428" s="3248" t="e">
        <v>#N/A</v>
      </c>
      <c r="G428" s="1263" t="e">
        <v>#N/A</v>
      </c>
      <c r="H428" s="3248" t="e">
        <v>#N/A</v>
      </c>
      <c r="I428" s="1263" t="e">
        <v>#N/A</v>
      </c>
      <c r="J428" s="3248" t="e">
        <v>#N/A</v>
      </c>
      <c r="K428" s="3248" t="e">
        <v>#N/A</v>
      </c>
      <c r="L428" s="3248" t="e">
        <v>#N/A</v>
      </c>
      <c r="M428" s="1263" t="e">
        <v>#N/A</v>
      </c>
      <c r="N428" s="3248" t="e">
        <v>#N/A</v>
      </c>
      <c r="O428" s="1264" t="e">
        <v>#N/A</v>
      </c>
    </row>
    <row r="429" spans="1:15">
      <c r="A429" s="1340">
        <v>2028.12</v>
      </c>
      <c r="B429" s="1262" t="e">
        <v>#N/A</v>
      </c>
      <c r="C429" s="1262" t="e">
        <v>#N/A</v>
      </c>
      <c r="D429" s="3248" t="e">
        <v>#N/A</v>
      </c>
      <c r="E429" s="1263" t="e">
        <v>#N/A</v>
      </c>
      <c r="F429" s="3248" t="e">
        <v>#N/A</v>
      </c>
      <c r="G429" s="1263" t="e">
        <v>#N/A</v>
      </c>
      <c r="H429" s="3248" t="e">
        <v>#N/A</v>
      </c>
      <c r="I429" s="1263" t="e">
        <v>#N/A</v>
      </c>
      <c r="J429" s="3248" t="e">
        <v>#N/A</v>
      </c>
      <c r="K429" s="3248" t="e">
        <v>#N/A</v>
      </c>
      <c r="L429" s="3248" t="e">
        <v>#N/A</v>
      </c>
      <c r="M429" s="1263" t="e">
        <v>#N/A</v>
      </c>
      <c r="N429" s="3248" t="e">
        <v>#N/A</v>
      </c>
      <c r="O429" s="1264" t="e">
        <v>#N/A</v>
      </c>
    </row>
    <row r="430" spans="1:15">
      <c r="A430" s="1340">
        <v>2029.01</v>
      </c>
      <c r="B430" s="1262" t="e">
        <v>#N/A</v>
      </c>
      <c r="C430" s="1262" t="e">
        <v>#N/A</v>
      </c>
      <c r="D430" s="3248" t="e">
        <v>#N/A</v>
      </c>
      <c r="E430" s="1263" t="e">
        <v>#N/A</v>
      </c>
      <c r="F430" s="3248" t="e">
        <v>#N/A</v>
      </c>
      <c r="G430" s="1263" t="e">
        <v>#N/A</v>
      </c>
      <c r="H430" s="3248" t="e">
        <v>#N/A</v>
      </c>
      <c r="I430" s="1263" t="e">
        <v>#N/A</v>
      </c>
      <c r="J430" s="3248" t="e">
        <v>#N/A</v>
      </c>
      <c r="K430" s="3248" t="e">
        <v>#N/A</v>
      </c>
      <c r="L430" s="3248" t="e">
        <v>#N/A</v>
      </c>
      <c r="M430" s="1263" t="e">
        <v>#N/A</v>
      </c>
      <c r="N430" s="3248" t="e">
        <v>#N/A</v>
      </c>
      <c r="O430" s="1264" t="e">
        <v>#N/A</v>
      </c>
    </row>
    <row r="431" spans="1:15">
      <c r="A431" s="1340">
        <v>2029.02</v>
      </c>
      <c r="B431" s="1262" t="e">
        <v>#N/A</v>
      </c>
      <c r="C431" s="1262" t="e">
        <v>#N/A</v>
      </c>
      <c r="D431" s="3248" t="e">
        <v>#N/A</v>
      </c>
      <c r="E431" s="1263" t="e">
        <v>#N/A</v>
      </c>
      <c r="F431" s="3248" t="e">
        <v>#N/A</v>
      </c>
      <c r="G431" s="1263" t="e">
        <v>#N/A</v>
      </c>
      <c r="H431" s="3248" t="e">
        <v>#N/A</v>
      </c>
      <c r="I431" s="1263" t="e">
        <v>#N/A</v>
      </c>
      <c r="J431" s="3248" t="e">
        <v>#N/A</v>
      </c>
      <c r="K431" s="3248" t="e">
        <v>#N/A</v>
      </c>
      <c r="L431" s="3248" t="e">
        <v>#N/A</v>
      </c>
      <c r="M431" s="1263" t="e">
        <v>#N/A</v>
      </c>
      <c r="N431" s="3248" t="e">
        <v>#N/A</v>
      </c>
      <c r="O431" s="1264" t="e">
        <v>#N/A</v>
      </c>
    </row>
    <row r="432" spans="1:15">
      <c r="A432" s="1340">
        <v>2029.03</v>
      </c>
      <c r="B432" s="1262" t="e">
        <v>#N/A</v>
      </c>
      <c r="C432" s="1262" t="e">
        <v>#N/A</v>
      </c>
      <c r="D432" s="3248" t="e">
        <v>#N/A</v>
      </c>
      <c r="E432" s="1263" t="e">
        <v>#N/A</v>
      </c>
      <c r="F432" s="3248" t="e">
        <v>#N/A</v>
      </c>
      <c r="G432" s="1263" t="e">
        <v>#N/A</v>
      </c>
      <c r="H432" s="3248" t="e">
        <v>#N/A</v>
      </c>
      <c r="I432" s="1263" t="e">
        <v>#N/A</v>
      </c>
      <c r="J432" s="3248" t="e">
        <v>#N/A</v>
      </c>
      <c r="K432" s="3248" t="e">
        <v>#N/A</v>
      </c>
      <c r="L432" s="3248" t="e">
        <v>#N/A</v>
      </c>
      <c r="M432" s="1263" t="e">
        <v>#N/A</v>
      </c>
      <c r="N432" s="3248" t="e">
        <v>#N/A</v>
      </c>
      <c r="O432" s="1264" t="e">
        <v>#N/A</v>
      </c>
    </row>
    <row r="433" spans="1:15">
      <c r="A433" s="1340">
        <v>2029.04</v>
      </c>
      <c r="B433" s="1262" t="e">
        <v>#N/A</v>
      </c>
      <c r="C433" s="1262" t="e">
        <v>#N/A</v>
      </c>
      <c r="D433" s="3248" t="e">
        <v>#N/A</v>
      </c>
      <c r="E433" s="1263" t="e">
        <v>#N/A</v>
      </c>
      <c r="F433" s="3248" t="e">
        <v>#N/A</v>
      </c>
      <c r="G433" s="1263" t="e">
        <v>#N/A</v>
      </c>
      <c r="H433" s="3248" t="e">
        <v>#N/A</v>
      </c>
      <c r="I433" s="1263" t="e">
        <v>#N/A</v>
      </c>
      <c r="J433" s="3248" t="e">
        <v>#N/A</v>
      </c>
      <c r="K433" s="3248" t="e">
        <v>#N/A</v>
      </c>
      <c r="L433" s="3248" t="e">
        <v>#N/A</v>
      </c>
      <c r="M433" s="1263" t="e">
        <v>#N/A</v>
      </c>
      <c r="N433" s="3248" t="e">
        <v>#N/A</v>
      </c>
      <c r="O433" s="1264" t="e">
        <v>#N/A</v>
      </c>
    </row>
    <row r="434" spans="1:15">
      <c r="A434" s="1340">
        <v>2029.05</v>
      </c>
      <c r="B434" s="1262" t="e">
        <v>#N/A</v>
      </c>
      <c r="C434" s="1262" t="e">
        <v>#N/A</v>
      </c>
      <c r="D434" s="3248" t="e">
        <v>#N/A</v>
      </c>
      <c r="E434" s="1263" t="e">
        <v>#N/A</v>
      </c>
      <c r="F434" s="3248" t="e">
        <v>#N/A</v>
      </c>
      <c r="G434" s="1263" t="e">
        <v>#N/A</v>
      </c>
      <c r="H434" s="3248" t="e">
        <v>#N/A</v>
      </c>
      <c r="I434" s="1263" t="e">
        <v>#N/A</v>
      </c>
      <c r="J434" s="3248" t="e">
        <v>#N/A</v>
      </c>
      <c r="K434" s="3248" t="e">
        <v>#N/A</v>
      </c>
      <c r="L434" s="3248" t="e">
        <v>#N/A</v>
      </c>
      <c r="M434" s="1263" t="e">
        <v>#N/A</v>
      </c>
      <c r="N434" s="3248" t="e">
        <v>#N/A</v>
      </c>
      <c r="O434" s="1264" t="e">
        <v>#N/A</v>
      </c>
    </row>
    <row r="435" spans="1:15">
      <c r="A435" s="1340">
        <v>2029.06</v>
      </c>
      <c r="B435" s="1262" t="e">
        <v>#N/A</v>
      </c>
      <c r="C435" s="1262" t="e">
        <v>#N/A</v>
      </c>
      <c r="D435" s="3248" t="e">
        <v>#N/A</v>
      </c>
      <c r="E435" s="1263" t="e">
        <v>#N/A</v>
      </c>
      <c r="F435" s="3248" t="e">
        <v>#N/A</v>
      </c>
      <c r="G435" s="1263" t="e">
        <v>#N/A</v>
      </c>
      <c r="H435" s="3248" t="e">
        <v>#N/A</v>
      </c>
      <c r="I435" s="1263" t="e">
        <v>#N/A</v>
      </c>
      <c r="J435" s="3248" t="e">
        <v>#N/A</v>
      </c>
      <c r="K435" s="3248" t="e">
        <v>#N/A</v>
      </c>
      <c r="L435" s="3248" t="e">
        <v>#N/A</v>
      </c>
      <c r="M435" s="1263" t="e">
        <v>#N/A</v>
      </c>
      <c r="N435" s="3248" t="e">
        <v>#N/A</v>
      </c>
      <c r="O435" s="1264" t="e">
        <v>#N/A</v>
      </c>
    </row>
    <row r="436" spans="1:15">
      <c r="A436" s="1340">
        <v>2029.07</v>
      </c>
      <c r="B436" s="1262" t="e">
        <v>#N/A</v>
      </c>
      <c r="C436" s="1262" t="e">
        <v>#N/A</v>
      </c>
      <c r="D436" s="3248" t="e">
        <v>#N/A</v>
      </c>
      <c r="E436" s="1263" t="e">
        <v>#N/A</v>
      </c>
      <c r="F436" s="3248" t="e">
        <v>#N/A</v>
      </c>
      <c r="G436" s="1263" t="e">
        <v>#N/A</v>
      </c>
      <c r="H436" s="3248" t="e">
        <v>#N/A</v>
      </c>
      <c r="I436" s="1263" t="e">
        <v>#N/A</v>
      </c>
      <c r="J436" s="3248" t="e">
        <v>#N/A</v>
      </c>
      <c r="K436" s="3248" t="e">
        <v>#N/A</v>
      </c>
      <c r="L436" s="3248" t="e">
        <v>#N/A</v>
      </c>
      <c r="M436" s="1263" t="e">
        <v>#N/A</v>
      </c>
      <c r="N436" s="3248" t="e">
        <v>#N/A</v>
      </c>
      <c r="O436" s="1264" t="e">
        <v>#N/A</v>
      </c>
    </row>
    <row r="437" spans="1:15">
      <c r="A437" s="1340">
        <v>2029.08</v>
      </c>
      <c r="B437" s="1262" t="e">
        <v>#N/A</v>
      </c>
      <c r="C437" s="1262" t="e">
        <v>#N/A</v>
      </c>
      <c r="D437" s="3248" t="e">
        <v>#N/A</v>
      </c>
      <c r="E437" s="1263" t="e">
        <v>#N/A</v>
      </c>
      <c r="F437" s="3248" t="e">
        <v>#N/A</v>
      </c>
      <c r="G437" s="1263" t="e">
        <v>#N/A</v>
      </c>
      <c r="H437" s="3248" t="e">
        <v>#N/A</v>
      </c>
      <c r="I437" s="1263" t="e">
        <v>#N/A</v>
      </c>
      <c r="J437" s="3248" t="e">
        <v>#N/A</v>
      </c>
      <c r="K437" s="3248" t="e">
        <v>#N/A</v>
      </c>
      <c r="L437" s="3248" t="e">
        <v>#N/A</v>
      </c>
      <c r="M437" s="1263" t="e">
        <v>#N/A</v>
      </c>
      <c r="N437" s="3248" t="e">
        <v>#N/A</v>
      </c>
      <c r="O437" s="1264" t="e">
        <v>#N/A</v>
      </c>
    </row>
    <row r="438" spans="1:15">
      <c r="A438" s="1340">
        <v>2029.09</v>
      </c>
      <c r="B438" s="1262" t="e">
        <v>#N/A</v>
      </c>
      <c r="C438" s="1262" t="e">
        <v>#N/A</v>
      </c>
      <c r="D438" s="3248" t="e">
        <v>#N/A</v>
      </c>
      <c r="E438" s="1263" t="e">
        <v>#N/A</v>
      </c>
      <c r="F438" s="3248" t="e">
        <v>#N/A</v>
      </c>
      <c r="G438" s="1263" t="e">
        <v>#N/A</v>
      </c>
      <c r="H438" s="3248" t="e">
        <v>#N/A</v>
      </c>
      <c r="I438" s="1263" t="e">
        <v>#N/A</v>
      </c>
      <c r="J438" s="3248" t="e">
        <v>#N/A</v>
      </c>
      <c r="K438" s="3248" t="e">
        <v>#N/A</v>
      </c>
      <c r="L438" s="3248" t="e">
        <v>#N/A</v>
      </c>
      <c r="M438" s="1263" t="e">
        <v>#N/A</v>
      </c>
      <c r="N438" s="3248" t="e">
        <v>#N/A</v>
      </c>
      <c r="O438" s="1264" t="e">
        <v>#N/A</v>
      </c>
    </row>
    <row r="439" spans="1:15">
      <c r="A439" s="1340">
        <v>2029.1</v>
      </c>
      <c r="B439" s="1262" t="e">
        <v>#N/A</v>
      </c>
      <c r="C439" s="1262" t="e">
        <v>#N/A</v>
      </c>
      <c r="D439" s="3248" t="e">
        <v>#N/A</v>
      </c>
      <c r="E439" s="1263" t="e">
        <v>#N/A</v>
      </c>
      <c r="F439" s="3248" t="e">
        <v>#N/A</v>
      </c>
      <c r="G439" s="1263" t="e">
        <v>#N/A</v>
      </c>
      <c r="H439" s="3248" t="e">
        <v>#N/A</v>
      </c>
      <c r="I439" s="1263" t="e">
        <v>#N/A</v>
      </c>
      <c r="J439" s="3248" t="e">
        <v>#N/A</v>
      </c>
      <c r="K439" s="3248" t="e">
        <v>#N/A</v>
      </c>
      <c r="L439" s="3248" t="e">
        <v>#N/A</v>
      </c>
      <c r="M439" s="1263" t="e">
        <v>#N/A</v>
      </c>
      <c r="N439" s="3248" t="e">
        <v>#N/A</v>
      </c>
      <c r="O439" s="1264" t="e">
        <v>#N/A</v>
      </c>
    </row>
    <row r="440" spans="1:15">
      <c r="A440" s="1340">
        <v>2029.11</v>
      </c>
      <c r="B440" s="1262" t="e">
        <v>#N/A</v>
      </c>
      <c r="C440" s="1262" t="e">
        <v>#N/A</v>
      </c>
      <c r="D440" s="3248" t="e">
        <v>#N/A</v>
      </c>
      <c r="E440" s="1263" t="e">
        <v>#N/A</v>
      </c>
      <c r="F440" s="3248" t="e">
        <v>#N/A</v>
      </c>
      <c r="G440" s="1263" t="e">
        <v>#N/A</v>
      </c>
      <c r="H440" s="3248" t="e">
        <v>#N/A</v>
      </c>
      <c r="I440" s="1263" t="e">
        <v>#N/A</v>
      </c>
      <c r="J440" s="3248" t="e">
        <v>#N/A</v>
      </c>
      <c r="K440" s="3248" t="e">
        <v>#N/A</v>
      </c>
      <c r="L440" s="3248" t="e">
        <v>#N/A</v>
      </c>
      <c r="M440" s="1263" t="e">
        <v>#N/A</v>
      </c>
      <c r="N440" s="3248" t="e">
        <v>#N/A</v>
      </c>
      <c r="O440" s="1264" t="e">
        <v>#N/A</v>
      </c>
    </row>
    <row r="441" spans="1:15">
      <c r="A441" s="1340">
        <v>2029.12</v>
      </c>
      <c r="B441" s="1262" t="e">
        <v>#N/A</v>
      </c>
      <c r="C441" s="1262" t="e">
        <v>#N/A</v>
      </c>
      <c r="D441" s="3248" t="e">
        <v>#N/A</v>
      </c>
      <c r="E441" s="1263" t="e">
        <v>#N/A</v>
      </c>
      <c r="F441" s="3248" t="e">
        <v>#N/A</v>
      </c>
      <c r="G441" s="1263" t="e">
        <v>#N/A</v>
      </c>
      <c r="H441" s="3248" t="e">
        <v>#N/A</v>
      </c>
      <c r="I441" s="1263" t="e">
        <v>#N/A</v>
      </c>
      <c r="J441" s="3248" t="e">
        <v>#N/A</v>
      </c>
      <c r="K441" s="3248" t="e">
        <v>#N/A</v>
      </c>
      <c r="L441" s="3248" t="e">
        <v>#N/A</v>
      </c>
      <c r="M441" s="1263" t="e">
        <v>#N/A</v>
      </c>
      <c r="N441" s="3248" t="e">
        <v>#N/A</v>
      </c>
      <c r="O441" s="1264" t="e">
        <v>#N/A</v>
      </c>
    </row>
    <row r="442" spans="1:15">
      <c r="A442" s="1340">
        <v>2030.01</v>
      </c>
      <c r="B442" s="1262" t="e">
        <v>#N/A</v>
      </c>
      <c r="C442" s="1262" t="e">
        <v>#N/A</v>
      </c>
      <c r="D442" s="3248" t="e">
        <v>#N/A</v>
      </c>
      <c r="E442" s="1263" t="e">
        <v>#N/A</v>
      </c>
      <c r="F442" s="3248" t="e">
        <v>#N/A</v>
      </c>
      <c r="G442" s="1263" t="e">
        <v>#N/A</v>
      </c>
      <c r="H442" s="3248" t="e">
        <v>#N/A</v>
      </c>
      <c r="I442" s="1263" t="e">
        <v>#N/A</v>
      </c>
      <c r="J442" s="3248" t="e">
        <v>#N/A</v>
      </c>
      <c r="K442" s="3248" t="e">
        <v>#N/A</v>
      </c>
      <c r="L442" s="3248" t="e">
        <v>#N/A</v>
      </c>
      <c r="M442" s="1263" t="e">
        <v>#N/A</v>
      </c>
      <c r="N442" s="3248" t="e">
        <v>#N/A</v>
      </c>
      <c r="O442" s="1264" t="e">
        <v>#N/A</v>
      </c>
    </row>
    <row r="443" spans="1:15">
      <c r="A443" s="1340">
        <v>2030.02</v>
      </c>
      <c r="B443" s="1262" t="e">
        <v>#N/A</v>
      </c>
      <c r="C443" s="1262" t="e">
        <v>#N/A</v>
      </c>
      <c r="D443" s="3248" t="e">
        <v>#N/A</v>
      </c>
      <c r="E443" s="1263" t="e">
        <v>#N/A</v>
      </c>
      <c r="F443" s="3248" t="e">
        <v>#N/A</v>
      </c>
      <c r="G443" s="1263" t="e">
        <v>#N/A</v>
      </c>
      <c r="H443" s="3248" t="e">
        <v>#N/A</v>
      </c>
      <c r="I443" s="1263" t="e">
        <v>#N/A</v>
      </c>
      <c r="J443" s="3248" t="e">
        <v>#N/A</v>
      </c>
      <c r="K443" s="3248" t="e">
        <v>#N/A</v>
      </c>
      <c r="L443" s="3248" t="e">
        <v>#N/A</v>
      </c>
      <c r="M443" s="1263" t="e">
        <v>#N/A</v>
      </c>
      <c r="N443" s="3248" t="e">
        <v>#N/A</v>
      </c>
      <c r="O443" s="1264" t="e">
        <v>#N/A</v>
      </c>
    </row>
    <row r="444" spans="1:15">
      <c r="A444" s="1340">
        <v>2030.03</v>
      </c>
      <c r="B444" s="1262" t="e">
        <v>#N/A</v>
      </c>
      <c r="C444" s="1262" t="e">
        <v>#N/A</v>
      </c>
      <c r="D444" s="3248" t="e">
        <v>#N/A</v>
      </c>
      <c r="E444" s="1263" t="e">
        <v>#N/A</v>
      </c>
      <c r="F444" s="3248" t="e">
        <v>#N/A</v>
      </c>
      <c r="G444" s="1263" t="e">
        <v>#N/A</v>
      </c>
      <c r="H444" s="3248" t="e">
        <v>#N/A</v>
      </c>
      <c r="I444" s="1263" t="e">
        <v>#N/A</v>
      </c>
      <c r="J444" s="3248" t="e">
        <v>#N/A</v>
      </c>
      <c r="K444" s="3248" t="e">
        <v>#N/A</v>
      </c>
      <c r="L444" s="3248" t="e">
        <v>#N/A</v>
      </c>
      <c r="M444" s="1263" t="e">
        <v>#N/A</v>
      </c>
      <c r="N444" s="3248" t="e">
        <v>#N/A</v>
      </c>
      <c r="O444" s="1264" t="e">
        <v>#N/A</v>
      </c>
    </row>
    <row r="445" spans="1:15">
      <c r="A445" s="1340">
        <v>2030.04</v>
      </c>
      <c r="B445" s="1262" t="e">
        <v>#N/A</v>
      </c>
      <c r="C445" s="1262" t="e">
        <v>#N/A</v>
      </c>
      <c r="D445" s="3248" t="e">
        <v>#N/A</v>
      </c>
      <c r="E445" s="1263" t="e">
        <v>#N/A</v>
      </c>
      <c r="F445" s="3248" t="e">
        <v>#N/A</v>
      </c>
      <c r="G445" s="1263" t="e">
        <v>#N/A</v>
      </c>
      <c r="H445" s="3248" t="e">
        <v>#N/A</v>
      </c>
      <c r="I445" s="1263" t="e">
        <v>#N/A</v>
      </c>
      <c r="J445" s="3248" t="e">
        <v>#N/A</v>
      </c>
      <c r="K445" s="3248" t="e">
        <v>#N/A</v>
      </c>
      <c r="L445" s="3248" t="e">
        <v>#N/A</v>
      </c>
      <c r="M445" s="1263" t="e">
        <v>#N/A</v>
      </c>
      <c r="N445" s="3248" t="e">
        <v>#N/A</v>
      </c>
      <c r="O445" s="1264" t="e">
        <v>#N/A</v>
      </c>
    </row>
    <row r="446" spans="1:15">
      <c r="A446" s="1340">
        <v>2030.05</v>
      </c>
      <c r="B446" s="1262" t="e">
        <v>#N/A</v>
      </c>
      <c r="C446" s="1262" t="e">
        <v>#N/A</v>
      </c>
      <c r="D446" s="3248" t="e">
        <v>#N/A</v>
      </c>
      <c r="E446" s="1263" t="e">
        <v>#N/A</v>
      </c>
      <c r="F446" s="3248" t="e">
        <v>#N/A</v>
      </c>
      <c r="G446" s="1263" t="e">
        <v>#N/A</v>
      </c>
      <c r="H446" s="3248" t="e">
        <v>#N/A</v>
      </c>
      <c r="I446" s="1263" t="e">
        <v>#N/A</v>
      </c>
      <c r="J446" s="3248" t="e">
        <v>#N/A</v>
      </c>
      <c r="K446" s="3248" t="e">
        <v>#N/A</v>
      </c>
      <c r="L446" s="3248" t="e">
        <v>#N/A</v>
      </c>
      <c r="M446" s="1263" t="e">
        <v>#N/A</v>
      </c>
      <c r="N446" s="3248" t="e">
        <v>#N/A</v>
      </c>
      <c r="O446" s="1264" t="e">
        <v>#N/A</v>
      </c>
    </row>
    <row r="447" spans="1:15">
      <c r="A447" s="1340">
        <v>2030.06</v>
      </c>
      <c r="B447" s="1262" t="e">
        <v>#N/A</v>
      </c>
      <c r="C447" s="1262" t="e">
        <v>#N/A</v>
      </c>
      <c r="D447" s="3248" t="e">
        <v>#N/A</v>
      </c>
      <c r="E447" s="1263" t="e">
        <v>#N/A</v>
      </c>
      <c r="F447" s="3248" t="e">
        <v>#N/A</v>
      </c>
      <c r="G447" s="1263" t="e">
        <v>#N/A</v>
      </c>
      <c r="H447" s="3248" t="e">
        <v>#N/A</v>
      </c>
      <c r="I447" s="1263" t="e">
        <v>#N/A</v>
      </c>
      <c r="J447" s="3248" t="e">
        <v>#N/A</v>
      </c>
      <c r="K447" s="3248" t="e">
        <v>#N/A</v>
      </c>
      <c r="L447" s="3248" t="e">
        <v>#N/A</v>
      </c>
      <c r="M447" s="1263" t="e">
        <v>#N/A</v>
      </c>
      <c r="N447" s="3248" t="e">
        <v>#N/A</v>
      </c>
      <c r="O447" s="1264" t="e">
        <v>#N/A</v>
      </c>
    </row>
    <row r="448" spans="1:15">
      <c r="A448" s="1340">
        <v>2030.07</v>
      </c>
      <c r="B448" s="1262" t="e">
        <v>#N/A</v>
      </c>
      <c r="C448" s="1262" t="e">
        <v>#N/A</v>
      </c>
      <c r="D448" s="3248" t="e">
        <v>#N/A</v>
      </c>
      <c r="E448" s="1263" t="e">
        <v>#N/A</v>
      </c>
      <c r="F448" s="3248" t="e">
        <v>#N/A</v>
      </c>
      <c r="G448" s="1263" t="e">
        <v>#N/A</v>
      </c>
      <c r="H448" s="3248" t="e">
        <v>#N/A</v>
      </c>
      <c r="I448" s="1263" t="e">
        <v>#N/A</v>
      </c>
      <c r="J448" s="3248" t="e">
        <v>#N/A</v>
      </c>
      <c r="K448" s="3248" t="e">
        <v>#N/A</v>
      </c>
      <c r="L448" s="3248" t="e">
        <v>#N/A</v>
      </c>
      <c r="M448" s="1263" t="e">
        <v>#N/A</v>
      </c>
      <c r="N448" s="3248" t="e">
        <v>#N/A</v>
      </c>
      <c r="O448" s="1264" t="e">
        <v>#N/A</v>
      </c>
    </row>
    <row r="449" spans="1:15">
      <c r="A449" s="1340">
        <v>2030.08</v>
      </c>
      <c r="B449" s="1262" t="e">
        <v>#N/A</v>
      </c>
      <c r="C449" s="1262" t="e">
        <v>#N/A</v>
      </c>
      <c r="D449" s="3248" t="e">
        <v>#N/A</v>
      </c>
      <c r="E449" s="1263" t="e">
        <v>#N/A</v>
      </c>
      <c r="F449" s="3248" t="e">
        <v>#N/A</v>
      </c>
      <c r="G449" s="1263" t="e">
        <v>#N/A</v>
      </c>
      <c r="H449" s="3248" t="e">
        <v>#N/A</v>
      </c>
      <c r="I449" s="1263" t="e">
        <v>#N/A</v>
      </c>
      <c r="J449" s="3248" t="e">
        <v>#N/A</v>
      </c>
      <c r="K449" s="3248" t="e">
        <v>#N/A</v>
      </c>
      <c r="L449" s="3248" t="e">
        <v>#N/A</v>
      </c>
      <c r="M449" s="1263" t="e">
        <v>#N/A</v>
      </c>
      <c r="N449" s="3248" t="e">
        <v>#N/A</v>
      </c>
      <c r="O449" s="1264" t="e">
        <v>#N/A</v>
      </c>
    </row>
    <row r="450" spans="1:15">
      <c r="A450" s="1340">
        <v>2030.09</v>
      </c>
      <c r="B450" s="1262" t="e">
        <v>#N/A</v>
      </c>
      <c r="C450" s="1262" t="e">
        <v>#N/A</v>
      </c>
      <c r="D450" s="3248" t="e">
        <v>#N/A</v>
      </c>
      <c r="E450" s="1263" t="e">
        <v>#N/A</v>
      </c>
      <c r="F450" s="3248" t="e">
        <v>#N/A</v>
      </c>
      <c r="G450" s="1263" t="e">
        <v>#N/A</v>
      </c>
      <c r="H450" s="3248" t="e">
        <v>#N/A</v>
      </c>
      <c r="I450" s="1263" t="e">
        <v>#N/A</v>
      </c>
      <c r="J450" s="3248" t="e">
        <v>#N/A</v>
      </c>
      <c r="K450" s="3248" t="e">
        <v>#N/A</v>
      </c>
      <c r="L450" s="3248" t="e">
        <v>#N/A</v>
      </c>
      <c r="M450" s="1263" t="e">
        <v>#N/A</v>
      </c>
      <c r="N450" s="3248" t="e">
        <v>#N/A</v>
      </c>
      <c r="O450" s="1264" t="e">
        <v>#N/A</v>
      </c>
    </row>
    <row r="451" spans="1:15">
      <c r="A451" s="1340">
        <v>2030.1</v>
      </c>
      <c r="B451" s="1262" t="e">
        <v>#N/A</v>
      </c>
      <c r="C451" s="1262" t="e">
        <v>#N/A</v>
      </c>
      <c r="D451" s="3248" t="e">
        <v>#N/A</v>
      </c>
      <c r="E451" s="1263" t="e">
        <v>#N/A</v>
      </c>
      <c r="F451" s="3248" t="e">
        <v>#N/A</v>
      </c>
      <c r="G451" s="1263" t="e">
        <v>#N/A</v>
      </c>
      <c r="H451" s="3248" t="e">
        <v>#N/A</v>
      </c>
      <c r="I451" s="1263" t="e">
        <v>#N/A</v>
      </c>
      <c r="J451" s="3248" t="e">
        <v>#N/A</v>
      </c>
      <c r="K451" s="3248" t="e">
        <v>#N/A</v>
      </c>
      <c r="L451" s="3248" t="e">
        <v>#N/A</v>
      </c>
      <c r="M451" s="1263" t="e">
        <v>#N/A</v>
      </c>
      <c r="N451" s="3248" t="e">
        <v>#N/A</v>
      </c>
      <c r="O451" s="1264" t="e">
        <v>#N/A</v>
      </c>
    </row>
    <row r="452" spans="1:15">
      <c r="A452" s="1340">
        <v>2030.11</v>
      </c>
      <c r="B452" s="1262" t="e">
        <v>#N/A</v>
      </c>
      <c r="C452" s="1262" t="e">
        <v>#N/A</v>
      </c>
      <c r="D452" s="3248" t="e">
        <v>#N/A</v>
      </c>
      <c r="E452" s="1263" t="e">
        <v>#N/A</v>
      </c>
      <c r="F452" s="3248" t="e">
        <v>#N/A</v>
      </c>
      <c r="G452" s="1263" t="e">
        <v>#N/A</v>
      </c>
      <c r="H452" s="3248" t="e">
        <v>#N/A</v>
      </c>
      <c r="I452" s="1263" t="e">
        <v>#N/A</v>
      </c>
      <c r="J452" s="3248" t="e">
        <v>#N/A</v>
      </c>
      <c r="K452" s="3248" t="e">
        <v>#N/A</v>
      </c>
      <c r="L452" s="3248" t="e">
        <v>#N/A</v>
      </c>
      <c r="M452" s="1263" t="e">
        <v>#N/A</v>
      </c>
      <c r="N452" s="3248" t="e">
        <v>#N/A</v>
      </c>
      <c r="O452" s="1264" t="e">
        <v>#N/A</v>
      </c>
    </row>
    <row r="453" spans="1:15">
      <c r="A453" s="1340">
        <v>2030.12</v>
      </c>
      <c r="B453" s="1262" t="e">
        <v>#N/A</v>
      </c>
      <c r="C453" s="1262" t="e">
        <v>#N/A</v>
      </c>
      <c r="D453" s="3248" t="e">
        <v>#N/A</v>
      </c>
      <c r="E453" s="1263" t="e">
        <v>#N/A</v>
      </c>
      <c r="F453" s="3248" t="e">
        <v>#N/A</v>
      </c>
      <c r="G453" s="1263" t="e">
        <v>#N/A</v>
      </c>
      <c r="H453" s="3248" t="e">
        <v>#N/A</v>
      </c>
      <c r="I453" s="1263" t="e">
        <v>#N/A</v>
      </c>
      <c r="J453" s="3248" t="e">
        <v>#N/A</v>
      </c>
      <c r="K453" s="3248" t="e">
        <v>#N/A</v>
      </c>
      <c r="L453" s="3248" t="e">
        <v>#N/A</v>
      </c>
      <c r="M453" s="1263" t="e">
        <v>#N/A</v>
      </c>
      <c r="N453" s="3248" t="e">
        <v>#N/A</v>
      </c>
      <c r="O453" s="1264" t="e">
        <v>#N/A</v>
      </c>
    </row>
  </sheetData>
  <hyperlinks>
    <hyperlink ref="A5" location="INDICE!A13" display="VOLVER AL INDICE" xr:uid="{00000000-0004-0000-3300-000000000000}"/>
  </hyperlinks>
  <pageMargins left="0.7" right="0.7" top="0.75" bottom="0.75" header="0.3" footer="0.3"/>
  <pageSetup paperSize="9" orientation="portrait" horizontalDpi="4294967295" verticalDpi="4294967295"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66">
    <pageSetUpPr autoPageBreaks="0"/>
  </sheetPr>
  <dimension ref="A1:Z189"/>
  <sheetViews>
    <sheetView zoomScale="130" zoomScaleNormal="130" workbookViewId="0">
      <pane xSplit="1" ySplit="9" topLeftCell="B1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7109375" style="213" bestFit="1" customWidth="1"/>
    <col min="2" max="8" width="13" style="212" customWidth="1"/>
    <col min="9" max="9" width="13" style="212" bestFit="1" customWidth="1"/>
    <col min="10" max="10" width="13" style="212" customWidth="1"/>
    <col min="11" max="11" width="13" style="212" bestFit="1" customWidth="1"/>
    <col min="12" max="13" width="13" style="213" bestFit="1" customWidth="1"/>
    <col min="14" max="14" width="13" style="212" bestFit="1" customWidth="1"/>
    <col min="15" max="15" width="13" style="212" customWidth="1"/>
    <col min="16" max="18" width="13" style="212" bestFit="1" customWidth="1"/>
    <col min="19" max="19" width="13" style="212" customWidth="1"/>
    <col min="20" max="20" width="13" style="212" bestFit="1" customWidth="1"/>
    <col min="21" max="21" width="13" style="212" customWidth="1"/>
    <col min="22" max="22" width="13.28515625" style="212" customWidth="1"/>
    <col min="23" max="25" width="13" style="212" customWidth="1"/>
    <col min="26" max="16384" width="11.42578125" style="211"/>
  </cols>
  <sheetData>
    <row r="1" spans="1:25" s="216" customFormat="1" ht="3.75" customHeight="1">
      <c r="A1" s="34"/>
      <c r="B1" s="217"/>
      <c r="C1" s="217"/>
      <c r="D1" s="217"/>
      <c r="E1" s="313"/>
      <c r="F1" s="313"/>
      <c r="G1" s="313"/>
      <c r="H1" s="313"/>
      <c r="I1" s="313"/>
      <c r="J1" s="313"/>
      <c r="K1" s="313"/>
      <c r="L1" s="329"/>
      <c r="M1" s="329"/>
      <c r="N1" s="313"/>
      <c r="O1" s="313"/>
      <c r="P1" s="313"/>
      <c r="Q1" s="313"/>
      <c r="R1" s="313"/>
      <c r="S1" s="313"/>
      <c r="T1" s="313"/>
      <c r="U1" s="313"/>
      <c r="V1" s="313"/>
      <c r="W1" s="313"/>
      <c r="X1" s="217"/>
      <c r="Y1" s="219"/>
    </row>
    <row r="2" spans="1:25" s="216" customFormat="1">
      <c r="A2" s="59" t="s">
        <v>105</v>
      </c>
      <c r="B2" s="2476" t="s">
        <v>1451</v>
      </c>
      <c r="C2" s="173"/>
      <c r="D2" s="173"/>
      <c r="E2" s="173"/>
      <c r="F2" s="173"/>
      <c r="G2" s="173"/>
      <c r="H2" s="173"/>
      <c r="I2" s="173"/>
      <c r="J2" s="173"/>
      <c r="K2" s="173"/>
      <c r="L2" s="173"/>
      <c r="M2" s="173"/>
      <c r="N2" s="173"/>
      <c r="O2" s="173"/>
      <c r="P2" s="173"/>
      <c r="Q2" s="173"/>
      <c r="R2" s="173"/>
      <c r="S2" s="173"/>
      <c r="T2" s="173"/>
      <c r="U2" s="314"/>
      <c r="V2" s="173"/>
      <c r="W2" s="314"/>
      <c r="X2" s="173"/>
      <c r="Y2" s="330"/>
    </row>
    <row r="3" spans="1:25" s="216" customFormat="1">
      <c r="A3" s="59" t="s">
        <v>109</v>
      </c>
      <c r="B3" s="2476" t="s">
        <v>132</v>
      </c>
      <c r="C3" s="173"/>
      <c r="D3" s="173"/>
      <c r="E3" s="173"/>
      <c r="F3" s="173"/>
      <c r="G3" s="173"/>
      <c r="H3" s="173"/>
      <c r="I3" s="173"/>
      <c r="J3" s="173"/>
      <c r="K3" s="173"/>
      <c r="L3" s="173"/>
      <c r="M3" s="173"/>
      <c r="N3" s="173"/>
      <c r="O3" s="173"/>
      <c r="P3" s="173"/>
      <c r="Q3" s="173"/>
      <c r="R3" s="173"/>
      <c r="S3" s="173"/>
      <c r="T3" s="173"/>
      <c r="U3" s="314"/>
      <c r="V3" s="173"/>
      <c r="W3" s="314"/>
      <c r="X3" s="173"/>
      <c r="Y3" s="330"/>
    </row>
    <row r="4" spans="1:25" s="216" customFormat="1">
      <c r="A4" s="80"/>
      <c r="B4" s="2597" t="s">
        <v>1452</v>
      </c>
      <c r="C4" s="315"/>
      <c r="D4" s="173"/>
      <c r="E4" s="315"/>
      <c r="F4" s="315"/>
      <c r="G4" s="315"/>
      <c r="H4" s="315"/>
      <c r="I4" s="2478" t="s">
        <v>1453</v>
      </c>
      <c r="J4" s="315"/>
      <c r="K4" s="315"/>
      <c r="L4" s="316"/>
      <c r="M4" s="316"/>
      <c r="N4" s="316"/>
      <c r="O4" s="316"/>
      <c r="P4" s="316"/>
      <c r="Q4" s="316"/>
      <c r="R4" s="316"/>
      <c r="S4" s="316"/>
      <c r="T4" s="316"/>
      <c r="U4" s="317"/>
      <c r="V4" s="2481"/>
      <c r="W4" s="317"/>
      <c r="X4" s="316"/>
      <c r="Y4" s="319"/>
    </row>
    <row r="5" spans="1:25" s="216" customFormat="1" ht="56.25">
      <c r="A5" s="2390" t="s">
        <v>137</v>
      </c>
      <c r="B5" s="326" t="s">
        <v>1454</v>
      </c>
      <c r="C5" s="699" t="s">
        <v>1148</v>
      </c>
      <c r="D5" s="326" t="s">
        <v>1455</v>
      </c>
      <c r="E5" s="699" t="s">
        <v>1456</v>
      </c>
      <c r="F5" s="326" t="s">
        <v>1457</v>
      </c>
      <c r="G5" s="699" t="s">
        <v>1458</v>
      </c>
      <c r="H5" s="326" t="s">
        <v>1459</v>
      </c>
      <c r="I5" s="2394" t="s">
        <v>1460</v>
      </c>
      <c r="J5" s="699" t="s">
        <v>1461</v>
      </c>
      <c r="K5" s="326" t="s">
        <v>1427</v>
      </c>
      <c r="L5" s="983" t="s">
        <v>1462</v>
      </c>
      <c r="M5" s="318" t="s">
        <v>1463</v>
      </c>
      <c r="N5" s="983" t="s">
        <v>1430</v>
      </c>
      <c r="O5" s="318" t="s">
        <v>1431</v>
      </c>
      <c r="P5" s="983" t="s">
        <v>1464</v>
      </c>
      <c r="Q5" s="318" t="s">
        <v>1433</v>
      </c>
      <c r="R5" s="983" t="s">
        <v>1404</v>
      </c>
      <c r="S5" s="318" t="s">
        <v>238</v>
      </c>
      <c r="T5" s="986" t="s">
        <v>1465</v>
      </c>
      <c r="U5" s="992" t="s">
        <v>1466</v>
      </c>
      <c r="V5" s="1000" t="s">
        <v>1467</v>
      </c>
      <c r="W5" s="2392" t="s">
        <v>1468</v>
      </c>
      <c r="X5" s="983" t="s">
        <v>1469</v>
      </c>
      <c r="Y5" s="1004" t="s">
        <v>1470</v>
      </c>
    </row>
    <row r="6" spans="1:25" s="216" customFormat="1" ht="3.75" hidden="1" customHeight="1">
      <c r="A6" s="80"/>
      <c r="B6" s="2478"/>
      <c r="C6" s="970"/>
      <c r="D6" s="315"/>
      <c r="E6" s="970"/>
      <c r="F6" s="315"/>
      <c r="G6" s="970"/>
      <c r="H6" s="315"/>
      <c r="I6" s="2478"/>
      <c r="J6" s="970"/>
      <c r="K6" s="315"/>
      <c r="L6" s="984"/>
      <c r="M6" s="316"/>
      <c r="N6" s="984"/>
      <c r="O6" s="316"/>
      <c r="P6" s="984"/>
      <c r="Q6" s="316"/>
      <c r="R6" s="984"/>
      <c r="S6" s="316"/>
      <c r="T6" s="987"/>
      <c r="U6" s="993"/>
      <c r="V6" s="1001"/>
      <c r="W6" s="2482"/>
      <c r="X6" s="984"/>
      <c r="Y6" s="319"/>
    </row>
    <row r="7" spans="1:25" s="216" customFormat="1" ht="22.5">
      <c r="A7" s="2373" t="s">
        <v>123</v>
      </c>
      <c r="B7" s="322" t="s">
        <v>1471</v>
      </c>
      <c r="C7" s="971"/>
      <c r="D7" s="320"/>
      <c r="E7" s="971"/>
      <c r="F7" s="320"/>
      <c r="G7" s="971"/>
      <c r="H7" s="320"/>
      <c r="I7" s="2483" t="s">
        <v>1471</v>
      </c>
      <c r="J7" s="971"/>
      <c r="K7" s="320"/>
      <c r="L7" s="971"/>
      <c r="M7" s="320"/>
      <c r="N7" s="971"/>
      <c r="O7" s="320"/>
      <c r="P7" s="971"/>
      <c r="Q7" s="320"/>
      <c r="R7" s="971"/>
      <c r="S7" s="320"/>
      <c r="T7" s="988"/>
      <c r="U7" s="994" t="s">
        <v>1471</v>
      </c>
      <c r="V7" s="988"/>
      <c r="W7" s="2483" t="s">
        <v>1471</v>
      </c>
      <c r="X7" s="971"/>
      <c r="Y7" s="321"/>
    </row>
    <row r="8" spans="1:25" s="216" customFormat="1" ht="13.5" thickBot="1">
      <c r="A8" s="147" t="s">
        <v>141</v>
      </c>
      <c r="B8" s="323" t="s">
        <v>1472</v>
      </c>
      <c r="C8" s="972" t="s">
        <v>1473</v>
      </c>
      <c r="D8" s="323" t="s">
        <v>1474</v>
      </c>
      <c r="E8" s="972" t="s">
        <v>1475</v>
      </c>
      <c r="F8" s="323" t="s">
        <v>1476</v>
      </c>
      <c r="G8" s="972" t="s">
        <v>1477</v>
      </c>
      <c r="H8" s="323" t="s">
        <v>1478</v>
      </c>
      <c r="I8" s="2424" t="s">
        <v>1479</v>
      </c>
      <c r="J8" s="972" t="s">
        <v>1480</v>
      </c>
      <c r="K8" s="323" t="s">
        <v>1481</v>
      </c>
      <c r="L8" s="972" t="s">
        <v>1482</v>
      </c>
      <c r="M8" s="323" t="s">
        <v>1483</v>
      </c>
      <c r="N8" s="972" t="s">
        <v>1484</v>
      </c>
      <c r="O8" s="323" t="s">
        <v>1485</v>
      </c>
      <c r="P8" s="972" t="s">
        <v>1486</v>
      </c>
      <c r="Q8" s="323" t="s">
        <v>1487</v>
      </c>
      <c r="R8" s="972" t="s">
        <v>1488</v>
      </c>
      <c r="S8" s="323" t="s">
        <v>1489</v>
      </c>
      <c r="T8" s="989" t="s">
        <v>1490</v>
      </c>
      <c r="U8" s="907" t="s">
        <v>1491</v>
      </c>
      <c r="V8" s="989" t="s">
        <v>1492</v>
      </c>
      <c r="W8" s="2424" t="s">
        <v>1493</v>
      </c>
      <c r="X8" s="972" t="s">
        <v>1494</v>
      </c>
      <c r="Y8" s="419" t="s">
        <v>1495</v>
      </c>
    </row>
    <row r="9" spans="1:25" s="214" customFormat="1" ht="13.5" hidden="1" thickBot="1">
      <c r="A9" s="72" t="s">
        <v>517</v>
      </c>
      <c r="B9" s="233"/>
      <c r="C9" s="689"/>
      <c r="D9" s="233"/>
      <c r="E9" s="689"/>
      <c r="F9" s="233"/>
      <c r="G9" s="689"/>
      <c r="H9" s="233"/>
      <c r="I9" s="215"/>
      <c r="J9" s="689"/>
      <c r="K9" s="233"/>
      <c r="L9" s="985"/>
      <c r="M9" s="327"/>
      <c r="N9" s="985"/>
      <c r="O9" s="232"/>
      <c r="P9" s="985"/>
      <c r="Q9" s="232"/>
      <c r="R9" s="985"/>
      <c r="S9" s="232"/>
      <c r="T9" s="990"/>
      <c r="U9" s="995"/>
      <c r="V9" s="1002"/>
      <c r="W9" s="328"/>
      <c r="X9" s="985"/>
      <c r="Y9" s="300"/>
    </row>
    <row r="10" spans="1:25">
      <c r="A10" s="324">
        <v>2016.01</v>
      </c>
      <c r="B10" s="963"/>
      <c r="C10" s="973"/>
      <c r="D10" s="974"/>
      <c r="E10" s="973"/>
      <c r="F10" s="974"/>
      <c r="G10" s="973"/>
      <c r="H10" s="967"/>
      <c r="I10" s="978"/>
      <c r="J10" s="973"/>
      <c r="K10" s="974"/>
      <c r="L10" s="973"/>
      <c r="M10" s="974"/>
      <c r="N10" s="973"/>
      <c r="O10" s="974"/>
      <c r="P10" s="973"/>
      <c r="Q10" s="974"/>
      <c r="R10" s="973"/>
      <c r="S10" s="974"/>
      <c r="T10" s="991"/>
      <c r="U10" s="996"/>
      <c r="V10" s="991"/>
      <c r="W10" s="978"/>
      <c r="X10" s="973"/>
      <c r="Y10" s="1005"/>
    </row>
    <row r="11" spans="1:25">
      <c r="A11" s="324">
        <v>2016.02</v>
      </c>
      <c r="B11" s="964"/>
      <c r="C11" s="3249"/>
      <c r="D11" s="975"/>
      <c r="E11" s="3249"/>
      <c r="F11" s="975"/>
      <c r="G11" s="3249"/>
      <c r="H11" s="968"/>
      <c r="I11" s="979"/>
      <c r="J11" s="3249"/>
      <c r="K11" s="975"/>
      <c r="L11" s="3249"/>
      <c r="M11" s="975"/>
      <c r="N11" s="3249"/>
      <c r="O11" s="975"/>
      <c r="P11" s="3249"/>
      <c r="Q11" s="975"/>
      <c r="R11" s="3249"/>
      <c r="S11" s="975"/>
      <c r="T11" s="2248"/>
      <c r="U11" s="997"/>
      <c r="V11" s="2248"/>
      <c r="W11" s="979"/>
      <c r="X11" s="3249"/>
      <c r="Y11" s="1006"/>
    </row>
    <row r="12" spans="1:25">
      <c r="A12" s="324">
        <v>2016.03</v>
      </c>
      <c r="B12" s="964"/>
      <c r="C12" s="3249"/>
      <c r="D12" s="975"/>
      <c r="E12" s="3249"/>
      <c r="F12" s="975"/>
      <c r="G12" s="3249"/>
      <c r="H12" s="968"/>
      <c r="I12" s="979"/>
      <c r="J12" s="3249"/>
      <c r="K12" s="975"/>
      <c r="L12" s="3249"/>
      <c r="M12" s="975"/>
      <c r="N12" s="3249"/>
      <c r="O12" s="975"/>
      <c r="P12" s="3249"/>
      <c r="Q12" s="975"/>
      <c r="R12" s="3249"/>
      <c r="S12" s="975"/>
      <c r="T12" s="2248"/>
      <c r="U12" s="997"/>
      <c r="V12" s="2248"/>
      <c r="W12" s="979"/>
      <c r="X12" s="3249"/>
      <c r="Y12" s="1006"/>
    </row>
    <row r="13" spans="1:25">
      <c r="A13" s="324">
        <v>2016.04</v>
      </c>
      <c r="B13" s="964"/>
      <c r="C13" s="3249"/>
      <c r="D13" s="975"/>
      <c r="E13" s="3249"/>
      <c r="F13" s="975"/>
      <c r="G13" s="3249"/>
      <c r="H13" s="968"/>
      <c r="I13" s="979"/>
      <c r="J13" s="3249"/>
      <c r="K13" s="975"/>
      <c r="L13" s="3249"/>
      <c r="M13" s="975"/>
      <c r="N13" s="3249"/>
      <c r="O13" s="975"/>
      <c r="P13" s="3249"/>
      <c r="Q13" s="975"/>
      <c r="R13" s="3249"/>
      <c r="S13" s="975"/>
      <c r="T13" s="2248"/>
      <c r="U13" s="997"/>
      <c r="V13" s="2248"/>
      <c r="W13" s="979"/>
      <c r="X13" s="3249"/>
      <c r="Y13" s="1006"/>
    </row>
    <row r="14" spans="1:25">
      <c r="A14" s="324">
        <v>2016.05</v>
      </c>
      <c r="B14" s="964"/>
      <c r="C14" s="3250">
        <v>4.1933741321291684E-2</v>
      </c>
      <c r="D14" s="975"/>
      <c r="E14" s="3249"/>
      <c r="F14" s="975"/>
      <c r="G14" s="3249"/>
      <c r="H14" s="968"/>
      <c r="I14" s="979"/>
      <c r="J14" s="3249"/>
      <c r="K14" s="975"/>
      <c r="L14" s="3249"/>
      <c r="M14" s="975"/>
      <c r="N14" s="3249"/>
      <c r="O14" s="975"/>
      <c r="P14" s="3249"/>
      <c r="Q14" s="975"/>
      <c r="R14" s="3249"/>
      <c r="S14" s="975"/>
      <c r="T14" s="2248"/>
      <c r="U14" s="997"/>
      <c r="V14" s="2248"/>
      <c r="W14" s="979"/>
      <c r="X14" s="3249"/>
      <c r="Y14" s="1006"/>
    </row>
    <row r="15" spans="1:25">
      <c r="A15" s="324">
        <v>2016.06</v>
      </c>
      <c r="B15" s="964"/>
      <c r="C15" s="3008">
        <v>3.0759113832287133E-2</v>
      </c>
      <c r="D15" s="975"/>
      <c r="E15" s="3249"/>
      <c r="F15" s="975"/>
      <c r="G15" s="3249"/>
      <c r="H15" s="968"/>
      <c r="I15" s="979"/>
      <c r="J15" s="3249"/>
      <c r="K15" s="975"/>
      <c r="L15" s="3249"/>
      <c r="M15" s="975"/>
      <c r="N15" s="3249"/>
      <c r="O15" s="975"/>
      <c r="P15" s="3249"/>
      <c r="Q15" s="975"/>
      <c r="R15" s="3249"/>
      <c r="S15" s="975"/>
      <c r="T15" s="2248"/>
      <c r="U15" s="997"/>
      <c r="V15" s="2248"/>
      <c r="W15" s="979"/>
      <c r="X15" s="3249"/>
      <c r="Y15" s="1006"/>
    </row>
    <row r="16" spans="1:25">
      <c r="A16" s="324">
        <f t="shared" ref="A16:A21" si="0">A15+0.01</f>
        <v>2016.07</v>
      </c>
      <c r="B16" s="964"/>
      <c r="C16" s="3008">
        <v>2.0467530657747979E-2</v>
      </c>
      <c r="D16" s="975"/>
      <c r="E16" s="3249"/>
      <c r="F16" s="975"/>
      <c r="G16" s="3249"/>
      <c r="H16" s="968"/>
      <c r="I16" s="979"/>
      <c r="J16" s="3249"/>
      <c r="K16" s="975"/>
      <c r="L16" s="3249"/>
      <c r="M16" s="975"/>
      <c r="N16" s="3249"/>
      <c r="O16" s="975"/>
      <c r="P16" s="3249"/>
      <c r="Q16" s="975"/>
      <c r="R16" s="3249"/>
      <c r="S16" s="975"/>
      <c r="T16" s="2248"/>
      <c r="U16" s="997"/>
      <c r="V16" s="2248"/>
      <c r="W16" s="979"/>
      <c r="X16" s="3249"/>
      <c r="Y16" s="1006"/>
    </row>
    <row r="17" spans="1:25">
      <c r="A17" s="324">
        <f t="shared" si="0"/>
        <v>2016.08</v>
      </c>
      <c r="B17" s="964"/>
      <c r="C17" s="3008">
        <v>2.0195705238721384E-3</v>
      </c>
      <c r="D17" s="975"/>
      <c r="E17" s="3249"/>
      <c r="F17" s="975"/>
      <c r="G17" s="3249"/>
      <c r="H17" s="968"/>
      <c r="I17" s="979"/>
      <c r="J17" s="3249"/>
      <c r="K17" s="975"/>
      <c r="L17" s="3249"/>
      <c r="M17" s="975"/>
      <c r="N17" s="3249"/>
      <c r="O17" s="975"/>
      <c r="P17" s="3249"/>
      <c r="Q17" s="975"/>
      <c r="R17" s="3249"/>
      <c r="S17" s="975"/>
      <c r="T17" s="2248"/>
      <c r="U17" s="997"/>
      <c r="V17" s="2248"/>
      <c r="W17" s="979"/>
      <c r="X17" s="3249"/>
      <c r="Y17" s="1006"/>
    </row>
    <row r="18" spans="1:25">
      <c r="A18" s="324">
        <f t="shared" si="0"/>
        <v>2016.09</v>
      </c>
      <c r="B18" s="964"/>
      <c r="C18" s="3008">
        <v>1.1491438117333441E-2</v>
      </c>
      <c r="D18" s="975"/>
      <c r="E18" s="3249"/>
      <c r="F18" s="975"/>
      <c r="G18" s="3249"/>
      <c r="H18" s="968"/>
      <c r="I18" s="979"/>
      <c r="J18" s="3249"/>
      <c r="K18" s="975"/>
      <c r="L18" s="3249"/>
      <c r="M18" s="975"/>
      <c r="N18" s="3249"/>
      <c r="O18" s="975"/>
      <c r="P18" s="3249"/>
      <c r="Q18" s="975"/>
      <c r="R18" s="3249"/>
      <c r="S18" s="975"/>
      <c r="T18" s="2248"/>
      <c r="U18" s="997"/>
      <c r="V18" s="2248"/>
      <c r="W18" s="979"/>
      <c r="X18" s="3249"/>
      <c r="Y18" s="1006"/>
    </row>
    <row r="19" spans="1:25">
      <c r="A19" s="324">
        <f t="shared" si="0"/>
        <v>2016.1</v>
      </c>
      <c r="B19" s="964"/>
      <c r="C19" s="3008">
        <v>2.3593336519251329E-2</v>
      </c>
      <c r="D19" s="975"/>
      <c r="E19" s="3249"/>
      <c r="F19" s="975"/>
      <c r="G19" s="3249"/>
      <c r="H19" s="968"/>
      <c r="I19" s="979"/>
      <c r="J19" s="3249"/>
      <c r="K19" s="975"/>
      <c r="L19" s="3249"/>
      <c r="M19" s="975"/>
      <c r="N19" s="3249"/>
      <c r="O19" s="975"/>
      <c r="P19" s="3249"/>
      <c r="Q19" s="975"/>
      <c r="R19" s="3249"/>
      <c r="S19" s="975"/>
      <c r="T19" s="2248"/>
      <c r="U19" s="997"/>
      <c r="V19" s="2248"/>
      <c r="W19" s="979"/>
      <c r="X19" s="3249"/>
      <c r="Y19" s="1006"/>
    </row>
    <row r="20" spans="1:25">
      <c r="A20" s="324">
        <f t="shared" si="0"/>
        <v>2016.11</v>
      </c>
      <c r="B20" s="964"/>
      <c r="C20" s="3008">
        <v>1.6184231634629898E-2</v>
      </c>
      <c r="D20" s="975"/>
      <c r="E20" s="3249"/>
      <c r="F20" s="975"/>
      <c r="G20" s="3249"/>
      <c r="H20" s="968"/>
      <c r="I20" s="979"/>
      <c r="J20" s="3249"/>
      <c r="K20" s="975"/>
      <c r="L20" s="3249"/>
      <c r="M20" s="975"/>
      <c r="N20" s="3249"/>
      <c r="O20" s="975"/>
      <c r="P20" s="3249"/>
      <c r="Q20" s="975"/>
      <c r="R20" s="3249"/>
      <c r="S20" s="975"/>
      <c r="T20" s="2248"/>
      <c r="U20" s="997"/>
      <c r="V20" s="2248"/>
      <c r="W20" s="979"/>
      <c r="X20" s="3249"/>
      <c r="Y20" s="1006"/>
    </row>
    <row r="21" spans="1:25">
      <c r="A21" s="324">
        <f t="shared" si="0"/>
        <v>2016.12</v>
      </c>
      <c r="B21" s="964"/>
      <c r="C21" s="3008">
        <v>1.1975720678509605E-2</v>
      </c>
      <c r="D21" s="975"/>
      <c r="E21" s="3249"/>
      <c r="F21" s="975"/>
      <c r="G21" s="3249"/>
      <c r="H21" s="968"/>
      <c r="I21" s="979"/>
      <c r="J21" s="3249"/>
      <c r="K21" s="975"/>
      <c r="L21" s="3249"/>
      <c r="M21" s="975"/>
      <c r="N21" s="3249"/>
      <c r="O21" s="975"/>
      <c r="P21" s="3249"/>
      <c r="Q21" s="975"/>
      <c r="R21" s="3249"/>
      <c r="S21" s="975"/>
      <c r="T21" s="2248"/>
      <c r="U21" s="997"/>
      <c r="V21" s="2248"/>
      <c r="W21" s="979"/>
      <c r="X21" s="3249"/>
      <c r="Y21" s="1006"/>
    </row>
    <row r="22" spans="1:25">
      <c r="A22" s="324">
        <f>A10+1</f>
        <v>2017.01</v>
      </c>
      <c r="B22" s="965">
        <v>1.5858999999999845E-2</v>
      </c>
      <c r="C22" s="3008">
        <v>1.3130000000000086E-2</v>
      </c>
      <c r="D22" s="969">
        <v>1.7873999999999945E-2</v>
      </c>
      <c r="E22" s="3250">
        <v>1.6013999999999973E-2</v>
      </c>
      <c r="F22" s="969">
        <v>1.6727000000000158E-2</v>
      </c>
      <c r="G22" s="3250">
        <v>1.7074000000000034E-2</v>
      </c>
      <c r="H22" s="977">
        <v>2.5592999999999977E-2</v>
      </c>
      <c r="I22" s="980">
        <v>1.3024000000000147E-2</v>
      </c>
      <c r="J22" s="3006">
        <v>9.2499999999999805E-3</v>
      </c>
      <c r="K22" s="982">
        <v>-9.9339999999998874E-3</v>
      </c>
      <c r="L22" s="3006">
        <v>1.4783999999999908E-2</v>
      </c>
      <c r="M22" s="982">
        <v>8.7730000000001418E-3</v>
      </c>
      <c r="N22" s="3006">
        <v>2.3500999999999994E-2</v>
      </c>
      <c r="O22" s="982">
        <v>2.0755000000000079E-2</v>
      </c>
      <c r="P22" s="3006">
        <v>3.0515999999999988E-2</v>
      </c>
      <c r="Q22" s="982">
        <v>3.190599999999999E-2</v>
      </c>
      <c r="R22" s="3006">
        <v>7.9519999999999591E-3</v>
      </c>
      <c r="S22" s="982">
        <v>3.1001999999999974E-2</v>
      </c>
      <c r="T22" s="2249">
        <v>1.9344999999999946E-2</v>
      </c>
      <c r="U22" s="998">
        <v>1.1902999999999997E-2</v>
      </c>
      <c r="V22" s="2249">
        <v>2.4355000000000127E-2</v>
      </c>
      <c r="W22" s="1003">
        <v>1.5039000000000025E-2</v>
      </c>
      <c r="X22" s="3006">
        <v>1.8182999999999838E-2</v>
      </c>
      <c r="Y22" s="564">
        <v>1.6969000000000012E-2</v>
      </c>
    </row>
    <row r="23" spans="1:25">
      <c r="A23" s="324">
        <f t="shared" ref="A23:A86" si="1">A11+1</f>
        <v>2017.02</v>
      </c>
      <c r="B23" s="966">
        <v>2.0672160211210544E-2</v>
      </c>
      <c r="C23" s="3008">
        <v>2.4631587259285492E-2</v>
      </c>
      <c r="D23" s="976">
        <v>1.7131786449010367E-2</v>
      </c>
      <c r="E23" s="3008">
        <v>2.0768414608460128E-2</v>
      </c>
      <c r="F23" s="976">
        <v>1.7595677108997565E-2</v>
      </c>
      <c r="G23" s="3008">
        <v>1.5316486312696886E-2</v>
      </c>
      <c r="H23" s="485">
        <v>1.6803936844342893E-2</v>
      </c>
      <c r="I23" s="981">
        <v>1.8342112329026605E-2</v>
      </c>
      <c r="J23" s="3008">
        <v>4.2749566509784565E-2</v>
      </c>
      <c r="K23" s="976">
        <v>-1.5584819597885824E-3</v>
      </c>
      <c r="L23" s="3008">
        <v>5.4425375252270536E-2</v>
      </c>
      <c r="M23" s="976">
        <v>4.4658213493025123E-3</v>
      </c>
      <c r="N23" s="3008">
        <v>2.6722983172464021E-2</v>
      </c>
      <c r="O23" s="976">
        <v>1.881156594873401E-2</v>
      </c>
      <c r="P23" s="3008">
        <v>4.0754340543960543E-2</v>
      </c>
      <c r="Q23" s="976">
        <v>5.8677825305792908E-3</v>
      </c>
      <c r="R23" s="3008">
        <v>3.1604679587917017E-2</v>
      </c>
      <c r="S23" s="976">
        <v>1.7346232112061877E-2</v>
      </c>
      <c r="T23" s="1814">
        <v>1.825289769410765E-2</v>
      </c>
      <c r="U23" s="999">
        <v>1.4921390686656766E-2</v>
      </c>
      <c r="V23" s="1814">
        <v>3.0332257859823963E-2</v>
      </c>
      <c r="W23" s="981">
        <v>1.6813147081047974E-2</v>
      </c>
      <c r="X23" s="3008">
        <v>4.03984352518163E-2</v>
      </c>
      <c r="Y23" s="743">
        <v>6.2696109714259762E-3</v>
      </c>
    </row>
    <row r="24" spans="1:25">
      <c r="A24" s="324">
        <f t="shared" si="1"/>
        <v>2017.03</v>
      </c>
      <c r="B24" s="966">
        <v>2.3741897403600554E-2</v>
      </c>
      <c r="C24" s="3008">
        <v>2.3641609309449585E-2</v>
      </c>
      <c r="D24" s="976">
        <v>2.208126632358165E-2</v>
      </c>
      <c r="E24" s="3008">
        <v>3.2238469215082333E-2</v>
      </c>
      <c r="F24" s="976">
        <v>2.4417731392389674E-2</v>
      </c>
      <c r="G24" s="3008">
        <v>2.5745362426064178E-2</v>
      </c>
      <c r="H24" s="485">
        <v>2.1422537007576459E-2</v>
      </c>
      <c r="I24" s="981">
        <v>2.7663689105810851E-2</v>
      </c>
      <c r="J24" s="3008">
        <v>1.9485079271566175E-2</v>
      </c>
      <c r="K24" s="976">
        <v>3.4422062005638576E-2</v>
      </c>
      <c r="L24" s="3008">
        <v>3.5933174706125337E-2</v>
      </c>
      <c r="M24" s="976">
        <v>8.3974980212735417E-3</v>
      </c>
      <c r="N24" s="3008">
        <v>1.9574592806598901E-2</v>
      </c>
      <c r="O24" s="976">
        <v>1.175048583739513E-2</v>
      </c>
      <c r="P24" s="3008">
        <v>3.2091888777209254E-2</v>
      </c>
      <c r="Q24" s="976">
        <v>1.6525669076198346E-2</v>
      </c>
      <c r="R24" s="3008">
        <v>0.1092519003508341</v>
      </c>
      <c r="S24" s="976">
        <v>1.0183184826568326E-2</v>
      </c>
      <c r="T24" s="1814">
        <v>1.7998922877862311E-2</v>
      </c>
      <c r="U24" s="999">
        <v>2.2215146611204384E-2</v>
      </c>
      <c r="V24" s="1814">
        <v>2.9185371594029341E-2</v>
      </c>
      <c r="W24" s="981">
        <v>1.9331366479185652E-2</v>
      </c>
      <c r="X24" s="3008">
        <v>3.845972306658263E-2</v>
      </c>
      <c r="Y24" s="743">
        <v>2.3963570447893767E-2</v>
      </c>
    </row>
    <row r="25" spans="1:25">
      <c r="A25" s="324">
        <f t="shared" si="1"/>
        <v>2017.04</v>
      </c>
      <c r="B25" s="966">
        <v>2.6558301836310916E-2</v>
      </c>
      <c r="C25" s="3008">
        <v>2.633661670557963E-2</v>
      </c>
      <c r="D25" s="976">
        <v>2.7159075122876741E-2</v>
      </c>
      <c r="E25" s="3008">
        <v>2.7159871094297294E-2</v>
      </c>
      <c r="F25" s="976">
        <v>2.2260067177416465E-2</v>
      </c>
      <c r="G25" s="3008">
        <v>3.3295633275996384E-2</v>
      </c>
      <c r="H25" s="485">
        <v>2.0043805337566889E-2</v>
      </c>
      <c r="I25" s="981">
        <v>2.2046082462460204E-2</v>
      </c>
      <c r="J25" s="3008">
        <v>2.3708618036519802E-2</v>
      </c>
      <c r="K25" s="976">
        <v>4.5235929783384643E-2</v>
      </c>
      <c r="L25" s="3008">
        <v>5.9221642941622799E-2</v>
      </c>
      <c r="M25" s="976">
        <v>1.1117776992660922E-2</v>
      </c>
      <c r="N25" s="3008">
        <v>1.7824909326110472E-2</v>
      </c>
      <c r="O25" s="976">
        <v>6.1748165945465505E-3</v>
      </c>
      <c r="P25" s="3008">
        <v>6.8435036266874416E-2</v>
      </c>
      <c r="Q25" s="976">
        <v>2.6316587591483032E-2</v>
      </c>
      <c r="R25" s="3008">
        <v>2.8935095876657657E-2</v>
      </c>
      <c r="S25" s="976">
        <v>1.9090817286684159E-2</v>
      </c>
      <c r="T25" s="1814">
        <v>1.7800882614871893E-2</v>
      </c>
      <c r="U25" s="999">
        <v>2.3910833983446622E-2</v>
      </c>
      <c r="V25" s="1814">
        <v>3.1922366278197334E-2</v>
      </c>
      <c r="W25" s="981">
        <v>2.1113875008673677E-2</v>
      </c>
      <c r="X25" s="3008">
        <v>4.0536081312150252E-2</v>
      </c>
      <c r="Y25" s="743">
        <v>3.244588058801301E-2</v>
      </c>
    </row>
    <row r="26" spans="1:25">
      <c r="A26" s="324">
        <f t="shared" si="1"/>
        <v>2017.05</v>
      </c>
      <c r="B26" s="966">
        <v>1.4347502493881281E-2</v>
      </c>
      <c r="C26" s="3008">
        <v>1.2831315966341794E-2</v>
      </c>
      <c r="D26" s="976">
        <v>1.4806166460578307E-2</v>
      </c>
      <c r="E26" s="3008">
        <v>1.5217901359189323E-2</v>
      </c>
      <c r="F26" s="976">
        <v>1.9251056556093049E-2</v>
      </c>
      <c r="G26" s="3008">
        <v>1.6980263242047267E-2</v>
      </c>
      <c r="H26" s="485">
        <v>1.6916440331812499E-2</v>
      </c>
      <c r="I26" s="981">
        <v>1.3027969155941399E-2</v>
      </c>
      <c r="J26" s="3008">
        <v>1.7156831503599035E-2</v>
      </c>
      <c r="K26" s="976">
        <v>1.7265995886999175E-2</v>
      </c>
      <c r="L26" s="3008">
        <v>1.7970237831613556E-2</v>
      </c>
      <c r="M26" s="976">
        <v>2.7517865318294588E-2</v>
      </c>
      <c r="N26" s="3008">
        <v>1.534680702783997E-2</v>
      </c>
      <c r="O26" s="976">
        <v>9.3522651921176259E-3</v>
      </c>
      <c r="P26" s="3008">
        <v>3.2696759748571669E-3</v>
      </c>
      <c r="Q26" s="976">
        <v>7.320287270715875E-3</v>
      </c>
      <c r="R26" s="3008">
        <v>1.6950866333609538E-2</v>
      </c>
      <c r="S26" s="976">
        <v>1.4582397584726792E-2</v>
      </c>
      <c r="T26" s="1814">
        <v>1.2919339211226566E-2</v>
      </c>
      <c r="U26" s="999">
        <v>1.412106400575297E-2</v>
      </c>
      <c r="V26" s="1814">
        <v>1.4655135497776639E-2</v>
      </c>
      <c r="W26" s="981">
        <v>1.6568460442905497E-2</v>
      </c>
      <c r="X26" s="3008">
        <v>1.040493636040396E-2</v>
      </c>
      <c r="Y26" s="743">
        <v>8.0129997495070882E-3</v>
      </c>
    </row>
    <row r="27" spans="1:25">
      <c r="A27" s="324">
        <f t="shared" si="1"/>
        <v>2017.06</v>
      </c>
      <c r="B27" s="966">
        <v>1.1920734713892323E-2</v>
      </c>
      <c r="C27" s="3008">
        <v>1.3883670844019536E-2</v>
      </c>
      <c r="D27" s="976">
        <v>1.0020806795980164E-2</v>
      </c>
      <c r="E27" s="3008">
        <v>9.4628972732810901E-3</v>
      </c>
      <c r="F27" s="976">
        <v>1.36480819609337E-2</v>
      </c>
      <c r="G27" s="3008">
        <v>1.0068359190757992E-2</v>
      </c>
      <c r="H27" s="485">
        <v>1.1000120373211297E-2</v>
      </c>
      <c r="I27" s="981">
        <v>8.9756940173884026E-3</v>
      </c>
      <c r="J27" s="3008">
        <v>6.6148577402787012E-3</v>
      </c>
      <c r="K27" s="976">
        <v>8.8764416974780325E-3</v>
      </c>
      <c r="L27" s="3008">
        <v>1.7697352843482284E-2</v>
      </c>
      <c r="M27" s="976">
        <v>1.2553964526360151E-2</v>
      </c>
      <c r="N27" s="3008">
        <v>1.4722882513167779E-2</v>
      </c>
      <c r="O27" s="976">
        <v>6.8783192569543683E-3</v>
      </c>
      <c r="P27" s="3008">
        <v>1.2216900551429211E-2</v>
      </c>
      <c r="Q27" s="976">
        <v>2.3273573351130672E-2</v>
      </c>
      <c r="R27" s="3008">
        <v>9.8243433590190499E-3</v>
      </c>
      <c r="S27" s="976">
        <v>1.2718830240036727E-2</v>
      </c>
      <c r="T27" s="1814">
        <v>1.3212635954379603E-2</v>
      </c>
      <c r="U27" s="999">
        <v>1.0198165669508708E-2</v>
      </c>
      <c r="V27" s="1814">
        <v>1.4823301220137308E-2</v>
      </c>
      <c r="W27" s="981">
        <v>1.3354467529066438E-2</v>
      </c>
      <c r="X27" s="3008">
        <v>8.9195622532010077E-3</v>
      </c>
      <c r="Y27" s="743">
        <v>9.383459143026851E-3</v>
      </c>
    </row>
    <row r="28" spans="1:25">
      <c r="A28" s="324">
        <f t="shared" si="1"/>
        <v>2017.07</v>
      </c>
      <c r="B28" s="966">
        <v>1.7322662871029015E-2</v>
      </c>
      <c r="C28" s="3008">
        <v>1.7193732181012722E-2</v>
      </c>
      <c r="D28" s="976">
        <v>1.9500780031201259E-2</v>
      </c>
      <c r="E28" s="3008">
        <v>1.4138486712502285E-2</v>
      </c>
      <c r="F28" s="976">
        <v>1.2808613162551774E-2</v>
      </c>
      <c r="G28" s="3008">
        <v>1.4129705825323802E-2</v>
      </c>
      <c r="H28" s="485">
        <v>1.4980515661326077E-2</v>
      </c>
      <c r="I28" s="981">
        <v>1.1406044155982453E-2</v>
      </c>
      <c r="J28" s="3008">
        <v>2.9671732890379499E-2</v>
      </c>
      <c r="K28" s="976">
        <v>-1.2204271814212797E-2</v>
      </c>
      <c r="L28" s="3008">
        <v>2.0158522278373336E-2</v>
      </c>
      <c r="M28" s="976">
        <v>2.4262631825725967E-2</v>
      </c>
      <c r="N28" s="3008">
        <v>3.3189207855758296E-2</v>
      </c>
      <c r="O28" s="976">
        <v>2.1500569277598247E-2</v>
      </c>
      <c r="P28" s="3008">
        <v>9.3518249463593328E-3</v>
      </c>
      <c r="Q28" s="976">
        <v>3.5741962649895376E-2</v>
      </c>
      <c r="R28" s="3008">
        <v>8.2961574784801151E-3</v>
      </c>
      <c r="S28" s="976">
        <v>2.5503053245904628E-2</v>
      </c>
      <c r="T28" s="1814">
        <v>1.3245099114003622E-2</v>
      </c>
      <c r="U28" s="999">
        <v>1.1796061622843856E-2</v>
      </c>
      <c r="V28" s="1814">
        <v>2.7330855405089283E-2</v>
      </c>
      <c r="W28" s="981">
        <v>1.7647808301247014E-2</v>
      </c>
      <c r="X28" s="3008">
        <v>2.2918478843063861E-2</v>
      </c>
      <c r="Y28" s="743">
        <v>4.6522022331660917E-3</v>
      </c>
    </row>
    <row r="29" spans="1:25">
      <c r="A29" s="324">
        <f t="shared" si="1"/>
        <v>2017.08</v>
      </c>
      <c r="B29" s="966">
        <v>1.4032580687119323E-2</v>
      </c>
      <c r="C29" s="3008">
        <v>1.4775293868762196E-2</v>
      </c>
      <c r="D29" s="976">
        <v>1.3314163004728874E-2</v>
      </c>
      <c r="E29" s="3008">
        <v>1.2712001589000099E-2</v>
      </c>
      <c r="F29" s="976">
        <v>1.1526442106265744E-2</v>
      </c>
      <c r="G29" s="3008">
        <v>1.3585526546592508E-2</v>
      </c>
      <c r="H29" s="485">
        <v>1.697940967643774E-2</v>
      </c>
      <c r="I29" s="981">
        <v>2.08478593715824E-2</v>
      </c>
      <c r="J29" s="3008">
        <v>1.3226937492443414E-2</v>
      </c>
      <c r="K29" s="976">
        <v>-6.2342873808055588E-3</v>
      </c>
      <c r="L29" s="3008">
        <v>2.1572611028150224E-2</v>
      </c>
      <c r="M29" s="976">
        <v>9.5632634080060619E-3</v>
      </c>
      <c r="N29" s="3008">
        <v>2.5134212231058717E-2</v>
      </c>
      <c r="O29" s="976">
        <v>1.0860209379304875E-2</v>
      </c>
      <c r="P29" s="3008">
        <v>1.5045191667608426E-2</v>
      </c>
      <c r="Q29" s="976">
        <v>6.8394329161225453E-3</v>
      </c>
      <c r="R29" s="3008">
        <v>1.978813021414827E-2</v>
      </c>
      <c r="S29" s="976">
        <v>7.170166202308037E-3</v>
      </c>
      <c r="T29" s="1814">
        <v>1.5802773376444534E-2</v>
      </c>
      <c r="U29" s="999">
        <v>1.2930295591924157E-2</v>
      </c>
      <c r="V29" s="1814">
        <v>1.6164657364419632E-2</v>
      </c>
      <c r="W29" s="981">
        <v>1.4320052780054215E-2</v>
      </c>
      <c r="X29" s="3008">
        <v>1.4854836304412311E-2</v>
      </c>
      <c r="Y29" s="743">
        <v>1.0723489677996856E-2</v>
      </c>
    </row>
    <row r="30" spans="1:25">
      <c r="A30" s="324">
        <f t="shared" si="1"/>
        <v>2017.09</v>
      </c>
      <c r="B30" s="966">
        <v>1.8980446673178442E-2</v>
      </c>
      <c r="C30" s="3008">
        <v>2.0436303178720916E-2</v>
      </c>
      <c r="D30" s="976">
        <v>1.915188482107566E-2</v>
      </c>
      <c r="E30" s="3008">
        <v>1.7622485171312929E-2</v>
      </c>
      <c r="F30" s="976">
        <v>1.2986469412081592E-2</v>
      </c>
      <c r="G30" s="3008">
        <v>1.7395043931073939E-2</v>
      </c>
      <c r="H30" s="485">
        <v>1.2930212066232016E-2</v>
      </c>
      <c r="I30" s="981">
        <v>1.7998770406141951E-2</v>
      </c>
      <c r="J30" s="3008">
        <v>6.9268769987114176E-3</v>
      </c>
      <c r="K30" s="976">
        <v>3.7996079010446993E-2</v>
      </c>
      <c r="L30" s="3008">
        <v>1.9727873983945265E-2</v>
      </c>
      <c r="M30" s="976">
        <v>1.0225701363816508E-2</v>
      </c>
      <c r="N30" s="3008">
        <v>2.4328900653347585E-2</v>
      </c>
      <c r="O30" s="976">
        <v>8.0549489916237338E-3</v>
      </c>
      <c r="P30" s="3008">
        <v>1.0511003478204328E-2</v>
      </c>
      <c r="Q30" s="976">
        <v>2.6944227519486885E-2</v>
      </c>
      <c r="R30" s="3008">
        <v>3.7190039778643991E-2</v>
      </c>
      <c r="S30" s="976">
        <v>1.4148358361083746E-2</v>
      </c>
      <c r="T30" s="1814">
        <v>1.6654621701535532E-2</v>
      </c>
      <c r="U30" s="999">
        <v>1.8864764861617811E-2</v>
      </c>
      <c r="V30" s="1814">
        <v>1.9384979027339933E-2</v>
      </c>
      <c r="W30" s="981">
        <v>1.6342323887561294E-2</v>
      </c>
      <c r="X30" s="3008">
        <v>1.7179194435294809E-2</v>
      </c>
      <c r="Y30" s="743">
        <v>3.9714640764608067E-2</v>
      </c>
    </row>
    <row r="31" spans="1:25">
      <c r="A31" s="324">
        <f t="shared" si="1"/>
        <v>2017.1</v>
      </c>
      <c r="B31" s="966">
        <v>1.5147326869770827E-2</v>
      </c>
      <c r="C31" s="3008">
        <v>1.2994466183362086E-2</v>
      </c>
      <c r="D31" s="976">
        <v>1.6857539172699276E-2</v>
      </c>
      <c r="E31" s="3008">
        <v>1.881334475594354E-2</v>
      </c>
      <c r="F31" s="976">
        <v>1.4912602371348394E-2</v>
      </c>
      <c r="G31" s="3008">
        <v>1.7169072026413268E-2</v>
      </c>
      <c r="H31" s="485">
        <v>1.6376627324060644E-2</v>
      </c>
      <c r="I31" s="981">
        <v>1.5117933281101781E-2</v>
      </c>
      <c r="J31" s="3008">
        <v>3.0106239890027142E-2</v>
      </c>
      <c r="K31" s="976">
        <v>2.1202810817388285E-2</v>
      </c>
      <c r="L31" s="3008">
        <v>8.8832605116906382E-3</v>
      </c>
      <c r="M31" s="976">
        <v>7.2082566331725939E-3</v>
      </c>
      <c r="N31" s="3008">
        <v>1.0782812144938037E-2</v>
      </c>
      <c r="O31" s="976">
        <v>1.2835474662549862E-2</v>
      </c>
      <c r="P31" s="3008">
        <v>5.2987886966465947E-2</v>
      </c>
      <c r="Q31" s="976">
        <v>1.251505822513721E-2</v>
      </c>
      <c r="R31" s="3008">
        <v>8.048986337034103E-3</v>
      </c>
      <c r="S31" s="976">
        <v>1.3938928236763015E-2</v>
      </c>
      <c r="T31" s="1814">
        <v>1.3734034898752245E-2</v>
      </c>
      <c r="U31" s="999">
        <v>1.583872726656077E-2</v>
      </c>
      <c r="V31" s="1814">
        <v>1.4229083605330706E-2</v>
      </c>
      <c r="W31" s="981">
        <v>1.3150119985047004E-2</v>
      </c>
      <c r="X31" s="3008">
        <v>1.6758389136466878E-2</v>
      </c>
      <c r="Y31" s="743">
        <v>2.4181251828523154E-2</v>
      </c>
    </row>
    <row r="32" spans="1:25">
      <c r="A32" s="324">
        <f t="shared" si="1"/>
        <v>2017.11</v>
      </c>
      <c r="B32" s="966">
        <v>1.3750829473627713E-2</v>
      </c>
      <c r="C32" s="3008">
        <v>1.1678807683778381E-2</v>
      </c>
      <c r="D32" s="976">
        <v>1.616808639077072E-2</v>
      </c>
      <c r="E32" s="3008">
        <v>1.2601473908256944E-2</v>
      </c>
      <c r="F32" s="976">
        <v>1.5210860489929701E-2</v>
      </c>
      <c r="G32" s="3008">
        <v>1.5641775170490035E-2</v>
      </c>
      <c r="H32" s="485">
        <v>1.4577043346991614E-2</v>
      </c>
      <c r="I32" s="981">
        <v>1.1883423631104506E-2</v>
      </c>
      <c r="J32" s="3008">
        <v>1.1107276387690712E-2</v>
      </c>
      <c r="K32" s="976">
        <v>1.3373284970824795E-2</v>
      </c>
      <c r="L32" s="3008">
        <v>1.2387483236065977E-2</v>
      </c>
      <c r="M32" s="976">
        <v>9.0559191068220191E-3</v>
      </c>
      <c r="N32" s="3008">
        <v>1.3070144896483393E-2</v>
      </c>
      <c r="O32" s="976">
        <v>3.0130880405671023E-2</v>
      </c>
      <c r="P32" s="3008">
        <v>7.2486791075210277E-3</v>
      </c>
      <c r="Q32" s="976">
        <v>6.9444444444444198E-3</v>
      </c>
      <c r="R32" s="3008">
        <v>3.4947449080446891E-3</v>
      </c>
      <c r="S32" s="976">
        <v>1.829353157832192E-2</v>
      </c>
      <c r="T32" s="1814">
        <v>1.2269357013946935E-2</v>
      </c>
      <c r="U32" s="999">
        <v>1.5327244896911063E-2</v>
      </c>
      <c r="V32" s="1814">
        <v>1.1186960961230952E-2</v>
      </c>
      <c r="W32" s="981">
        <v>1.2848513702502506E-2</v>
      </c>
      <c r="X32" s="3008">
        <v>1.4897733730946827E-2</v>
      </c>
      <c r="Y32" s="743">
        <v>1.71158470294277E-2</v>
      </c>
    </row>
    <row r="33" spans="1:26">
      <c r="A33" s="324">
        <f t="shared" si="1"/>
        <v>2017.12</v>
      </c>
      <c r="B33" s="966">
        <v>3.1419739821809234E-2</v>
      </c>
      <c r="C33" s="3008">
        <v>3.4287033031388692E-2</v>
      </c>
      <c r="D33" s="976">
        <v>3.1104682822828966E-2</v>
      </c>
      <c r="E33" s="3008">
        <v>2.3101739831777879E-2</v>
      </c>
      <c r="F33" s="976">
        <v>2.1552098649913143E-2</v>
      </c>
      <c r="G33" s="3008">
        <v>3.3444447097197516E-2</v>
      </c>
      <c r="H33" s="485">
        <v>2.5117571256816795E-2</v>
      </c>
      <c r="I33" s="981">
        <v>6.6171108182067062E-3</v>
      </c>
      <c r="J33" s="3008">
        <v>5.4540268044571683E-3</v>
      </c>
      <c r="K33" s="976">
        <v>8.3612589526249614E-3</v>
      </c>
      <c r="L33" s="3008">
        <v>0.17847161314070936</v>
      </c>
      <c r="M33" s="976">
        <v>2.9043607032855467E-2</v>
      </c>
      <c r="N33" s="3008">
        <v>2.3804201966792782E-2</v>
      </c>
      <c r="O33" s="976">
        <v>3.231247689337402E-2</v>
      </c>
      <c r="P33" s="3008">
        <v>1.708631797960769E-2</v>
      </c>
      <c r="Q33" s="976">
        <v>7.2387125889761261E-3</v>
      </c>
      <c r="R33" s="3008">
        <v>-8.8224198985242808E-5</v>
      </c>
      <c r="S33" s="976">
        <v>1.7888216978804827E-2</v>
      </c>
      <c r="T33" s="1814">
        <v>1.0975659147057559E-2</v>
      </c>
      <c r="U33" s="999">
        <v>1.2496416586566861E-2</v>
      </c>
      <c r="V33" s="1814">
        <v>6.5269371709460788E-2</v>
      </c>
      <c r="W33" s="981">
        <v>1.6707824180473008E-2</v>
      </c>
      <c r="X33" s="3008">
        <v>9.0844312733587618E-2</v>
      </c>
      <c r="Y33" s="743">
        <v>3.3189769819281789E-3</v>
      </c>
    </row>
    <row r="34" spans="1:26">
      <c r="A34" s="324">
        <f t="shared" si="1"/>
        <v>2018.01</v>
      </c>
      <c r="B34" s="966">
        <v>1.7573536246470178E-2</v>
      </c>
      <c r="C34" s="3008">
        <v>1.5799045419356617E-2</v>
      </c>
      <c r="D34" s="976">
        <v>1.8715646837688782E-2</v>
      </c>
      <c r="E34" s="3008">
        <v>1.8782428225527559E-2</v>
      </c>
      <c r="F34" s="976">
        <v>1.9967172545321876E-2</v>
      </c>
      <c r="G34" s="3008">
        <v>1.5014000693064133E-2</v>
      </c>
      <c r="H34" s="485">
        <v>2.5656331831395374E-2</v>
      </c>
      <c r="I34" s="981">
        <v>2.0897308075772836E-2</v>
      </c>
      <c r="J34" s="3008">
        <v>2.2957084590899735E-2</v>
      </c>
      <c r="K34" s="976">
        <v>-7.5974329405006369E-3</v>
      </c>
      <c r="L34" s="3008">
        <v>1.0431709930209143E-2</v>
      </c>
      <c r="M34" s="976">
        <v>1.0369903607071018E-2</v>
      </c>
      <c r="N34" s="3008">
        <v>1.7553277232541742E-2</v>
      </c>
      <c r="O34" s="976">
        <v>2.1695282830384688E-2</v>
      </c>
      <c r="P34" s="3008">
        <v>1.8754747954884854E-2</v>
      </c>
      <c r="Q34" s="976">
        <v>3.4593380131269891E-2</v>
      </c>
      <c r="R34" s="3008">
        <v>6.3610696150346868E-3</v>
      </c>
      <c r="S34" s="976">
        <v>2.9211698434532085E-2</v>
      </c>
      <c r="T34" s="1814">
        <v>2.4214305744731934E-2</v>
      </c>
      <c r="U34" s="999">
        <v>1.6430151868565446E-2</v>
      </c>
      <c r="V34" s="1814">
        <v>2.1331107616868739E-2</v>
      </c>
      <c r="W34" s="981">
        <v>1.4988487223666525E-2</v>
      </c>
      <c r="X34" s="3008">
        <v>2.1314685597031868E-2</v>
      </c>
      <c r="Y34" s="743">
        <v>2.6649223797825305E-2</v>
      </c>
    </row>
    <row r="35" spans="1:26">
      <c r="A35" s="324">
        <f t="shared" si="1"/>
        <v>2018.02</v>
      </c>
      <c r="B35" s="966">
        <v>2.4190341345332378E-2</v>
      </c>
      <c r="C35" s="3008">
        <v>2.5797014046405664E-2</v>
      </c>
      <c r="D35" s="976">
        <v>2.344528125225831E-2</v>
      </c>
      <c r="E35" s="3008">
        <v>2.0435396086314839E-2</v>
      </c>
      <c r="F35" s="976">
        <v>2.0656332887524664E-2</v>
      </c>
      <c r="G35" s="3008">
        <v>2.6361268995135578E-2</v>
      </c>
      <c r="H35" s="485">
        <v>2.0337944394035246E-2</v>
      </c>
      <c r="I35" s="981">
        <v>2.1822141489902025E-2</v>
      </c>
      <c r="J35" s="3008">
        <v>1.723636593498612E-2</v>
      </c>
      <c r="K35" s="976">
        <v>-6.1289692722129585E-3</v>
      </c>
      <c r="L35" s="3008">
        <v>3.7905811113372545E-2</v>
      </c>
      <c r="M35" s="976">
        <v>1.7458353630477985E-2</v>
      </c>
      <c r="N35" s="3008">
        <v>2.3441789644485622E-2</v>
      </c>
      <c r="O35" s="976">
        <v>4.482470710137676E-2</v>
      </c>
      <c r="P35" s="3008">
        <v>9.1184640738106282E-2</v>
      </c>
      <c r="Q35" s="976">
        <v>9.8479384446761298E-3</v>
      </c>
      <c r="R35" s="3008">
        <v>1.9080493303876844E-2</v>
      </c>
      <c r="S35" s="976">
        <v>2.099140996533122E-2</v>
      </c>
      <c r="T35" s="1814">
        <v>1.7531936808429682E-2</v>
      </c>
      <c r="U35" s="999">
        <v>1.7859673873949156E-2</v>
      </c>
      <c r="V35" s="1814">
        <v>3.5284572065662934E-2</v>
      </c>
      <c r="W35" s="981">
        <v>2.0908267163812333E-2</v>
      </c>
      <c r="X35" s="3008">
        <v>4.8168037494149551E-2</v>
      </c>
      <c r="Y35" s="743">
        <v>-6.8099384042195066E-3</v>
      </c>
    </row>
    <row r="36" spans="1:26">
      <c r="A36" s="324">
        <f t="shared" si="1"/>
        <v>2018.03</v>
      </c>
      <c r="B36" s="966">
        <v>2.3410625508416993E-2</v>
      </c>
      <c r="C36" s="3008">
        <v>2.464861429734766E-2</v>
      </c>
      <c r="D36" s="976">
        <v>1.9433742152362932E-2</v>
      </c>
      <c r="E36" s="3008">
        <v>3.1043981553127598E-2</v>
      </c>
      <c r="F36" s="976">
        <v>2.4281698815492359E-2</v>
      </c>
      <c r="G36" s="3008">
        <v>2.1200859504637792E-2</v>
      </c>
      <c r="H36" s="485">
        <v>3.1149554547516001E-2</v>
      </c>
      <c r="I36" s="981">
        <v>2.3195913237535892E-2</v>
      </c>
      <c r="J36" s="3008">
        <v>6.8603706402237119E-3</v>
      </c>
      <c r="K36" s="976">
        <v>4.3748913383636401E-2</v>
      </c>
      <c r="L36" s="3008">
        <v>5.6773263616942682E-3</v>
      </c>
      <c r="M36" s="976">
        <v>4.5200136176924088E-2</v>
      </c>
      <c r="N36" s="3008">
        <v>1.3042011401710019E-2</v>
      </c>
      <c r="O36" s="976">
        <v>1.7812848984130936E-2</v>
      </c>
      <c r="P36" s="3008">
        <v>2.7455017335845877E-2</v>
      </c>
      <c r="Q36" s="976">
        <v>1.2154985618146652E-2</v>
      </c>
      <c r="R36" s="3008">
        <v>0.13797351378452061</v>
      </c>
      <c r="S36" s="976">
        <v>1.7549915265792748E-2</v>
      </c>
      <c r="T36" s="1814">
        <v>1.8568852185946394E-2</v>
      </c>
      <c r="U36" s="999">
        <v>2.1505670613424455E-2</v>
      </c>
      <c r="V36" s="1814">
        <v>2.683187771694695E-2</v>
      </c>
      <c r="W36" s="981">
        <v>2.5764008786389958E-2</v>
      </c>
      <c r="X36" s="3008">
        <v>2.0259662588153038E-2</v>
      </c>
      <c r="Y36" s="743">
        <v>1.6272792527143531E-2</v>
      </c>
      <c r="Z36" s="325"/>
    </row>
    <row r="37" spans="1:26">
      <c r="A37" s="324">
        <f t="shared" si="1"/>
        <v>2018.04</v>
      </c>
      <c r="B37" s="966">
        <v>2.7390323758465174E-2</v>
      </c>
      <c r="C37" s="3008">
        <v>2.5731295523389708E-2</v>
      </c>
      <c r="D37" s="976">
        <v>2.8634432539990318E-2</v>
      </c>
      <c r="E37" s="3008">
        <v>2.8311869596541861E-2</v>
      </c>
      <c r="F37" s="976">
        <v>2.6470978484372854E-2</v>
      </c>
      <c r="G37" s="3008">
        <v>3.3539879666480532E-2</v>
      </c>
      <c r="H37" s="485">
        <v>2.7230271769806302E-2</v>
      </c>
      <c r="I37" s="981">
        <v>1.1573998396500418E-2</v>
      </c>
      <c r="J37" s="3008">
        <v>1.2831095811995707E-2</v>
      </c>
      <c r="K37" s="976">
        <v>4.0449342751274875E-2</v>
      </c>
      <c r="L37" s="3008">
        <v>8.0099060461250149E-2</v>
      </c>
      <c r="M37" s="976">
        <v>1.2474035540698702E-2</v>
      </c>
      <c r="N37" s="3008">
        <v>1.7816957298937064E-2</v>
      </c>
      <c r="O37" s="976">
        <v>4.0184556269136973E-2</v>
      </c>
      <c r="P37" s="3008">
        <v>1.035136145956872E-2</v>
      </c>
      <c r="Q37" s="976">
        <v>1.9218739889131031E-2</v>
      </c>
      <c r="R37" s="3008">
        <v>8.1917050595134988E-3</v>
      </c>
      <c r="S37" s="976">
        <v>2.2878381927625036E-2</v>
      </c>
      <c r="T37" s="1814">
        <v>1.6857576631959859E-2</v>
      </c>
      <c r="U37" s="999">
        <v>2.1911798078620315E-2</v>
      </c>
      <c r="V37" s="1814">
        <v>3.7127739383078229E-2</v>
      </c>
      <c r="W37" s="981">
        <v>2.1300855948922726E-2</v>
      </c>
      <c r="X37" s="3008">
        <v>5.2583285253892331E-2</v>
      </c>
      <c r="Y37" s="743">
        <v>8.7076524852165438E-3</v>
      </c>
    </row>
    <row r="38" spans="1:26">
      <c r="A38" s="324">
        <f t="shared" si="1"/>
        <v>2018.05</v>
      </c>
      <c r="B38" s="966">
        <v>2.0753748413176565E-2</v>
      </c>
      <c r="C38" s="3008">
        <v>1.9293402853846509E-2</v>
      </c>
      <c r="D38" s="976">
        <v>2.2147486450583287E-2</v>
      </c>
      <c r="E38" s="3008">
        <v>2.3043997066132471E-2</v>
      </c>
      <c r="F38" s="976">
        <v>2.5538029090892866E-2</v>
      </c>
      <c r="G38" s="3008">
        <v>1.80888044594949E-2</v>
      </c>
      <c r="H38" s="485">
        <v>1.9874570997886032E-2</v>
      </c>
      <c r="I38" s="981">
        <v>3.2672622020239128E-2</v>
      </c>
      <c r="J38" s="3008">
        <v>1.6163210339579903E-2</v>
      </c>
      <c r="K38" s="976">
        <v>1.9510844071741973E-2</v>
      </c>
      <c r="L38" s="3008">
        <v>-7.3141201334639971E-3</v>
      </c>
      <c r="M38" s="976">
        <v>2.2072527260929231E-2</v>
      </c>
      <c r="N38" s="3008">
        <v>2.2093947739119768E-2</v>
      </c>
      <c r="O38" s="976">
        <v>1.9052732806217998E-2</v>
      </c>
      <c r="P38" s="3008">
        <v>3.9273790512220241E-2</v>
      </c>
      <c r="Q38" s="976">
        <v>2.5171270150318614E-2</v>
      </c>
      <c r="R38" s="3008">
        <v>8.9338468679174277E-3</v>
      </c>
      <c r="S38" s="976">
        <v>2.3999365187258537E-2</v>
      </c>
      <c r="T38" s="1814">
        <v>1.9663164601200434E-2</v>
      </c>
      <c r="U38" s="999">
        <v>2.7234257797078332E-2</v>
      </c>
      <c r="V38" s="1814">
        <v>1.0803184040618419E-2</v>
      </c>
      <c r="W38" s="981">
        <v>2.6549870558923772E-2</v>
      </c>
      <c r="X38" s="3008">
        <v>3.5935804729980703E-3</v>
      </c>
      <c r="Y38" s="743">
        <v>2.5291759837368977E-2</v>
      </c>
    </row>
    <row r="39" spans="1:26">
      <c r="A39" s="324">
        <f t="shared" si="1"/>
        <v>2018.06</v>
      </c>
      <c r="B39" s="966">
        <v>3.7366760919353981E-2</v>
      </c>
      <c r="C39" s="3008">
        <v>3.9247743229688936E-2</v>
      </c>
      <c r="D39" s="976">
        <v>3.7129221548739766E-2</v>
      </c>
      <c r="E39" s="3008">
        <v>3.4002482557890623E-2</v>
      </c>
      <c r="F39" s="976">
        <v>3.0978422423892704E-2</v>
      </c>
      <c r="G39" s="3008">
        <v>3.647774394344494E-2</v>
      </c>
      <c r="H39" s="485">
        <v>3.2703507636931972E-2</v>
      </c>
      <c r="I39" s="981">
        <v>5.1780936037418401E-2</v>
      </c>
      <c r="J39" s="3008">
        <v>9.0624386280262481E-3</v>
      </c>
      <c r="K39" s="976">
        <v>1.9148448369539661E-2</v>
      </c>
      <c r="L39" s="3008">
        <v>2.6546208066164256E-2</v>
      </c>
      <c r="M39" s="976">
        <v>4.0229444920965696E-2</v>
      </c>
      <c r="N39" s="3008">
        <v>4.304092049546937E-2</v>
      </c>
      <c r="O39" s="976">
        <v>5.936758364087491E-2</v>
      </c>
      <c r="P39" s="3008">
        <v>3.7924537567421979E-3</v>
      </c>
      <c r="Q39" s="976">
        <v>3.3505878605885275E-2</v>
      </c>
      <c r="R39" s="3008">
        <v>1.2201216597703901E-2</v>
      </c>
      <c r="S39" s="976">
        <v>2.6569465584120211E-2</v>
      </c>
      <c r="T39" s="1814">
        <v>3.1776748361912022E-2</v>
      </c>
      <c r="U39" s="999">
        <v>4.3170927237024648E-2</v>
      </c>
      <c r="V39" s="1814">
        <v>2.5871438298763927E-2</v>
      </c>
      <c r="W39" s="981">
        <v>4.0739549886871673E-2</v>
      </c>
      <c r="X39" s="3008">
        <v>2.9423711443283374E-2</v>
      </c>
      <c r="Y39" s="743">
        <v>3.3573679415303204E-2</v>
      </c>
    </row>
    <row r="40" spans="1:26">
      <c r="A40" s="324">
        <f t="shared" si="1"/>
        <v>2018.07</v>
      </c>
      <c r="B40" s="966">
        <v>3.1016129934470893E-2</v>
      </c>
      <c r="C40" s="3008">
        <v>2.7986008374569549E-2</v>
      </c>
      <c r="D40" s="976">
        <v>3.3028677002612472E-2</v>
      </c>
      <c r="E40" s="3008">
        <v>3.4235196392547795E-2</v>
      </c>
      <c r="F40" s="976">
        <v>3.4176056761044515E-2</v>
      </c>
      <c r="G40" s="3008">
        <v>3.6410586677945167E-2</v>
      </c>
      <c r="H40" s="485">
        <v>3.2209680664340157E-2</v>
      </c>
      <c r="I40" s="981">
        <v>3.9913284355052259E-2</v>
      </c>
      <c r="J40" s="3008">
        <v>2.603686909806191E-2</v>
      </c>
      <c r="K40" s="976">
        <v>-1.4884254123217477E-3</v>
      </c>
      <c r="L40" s="3008">
        <v>1.0021005355978163E-2</v>
      </c>
      <c r="M40" s="976">
        <v>4.2055820185674664E-2</v>
      </c>
      <c r="N40" s="3008">
        <v>2.8076800034998683E-2</v>
      </c>
      <c r="O40" s="976">
        <v>5.1988185244601803E-2</v>
      </c>
      <c r="P40" s="3008">
        <v>5.9919916870094792E-3</v>
      </c>
      <c r="Q40" s="976">
        <v>5.065540499570198E-2</v>
      </c>
      <c r="R40" s="3008">
        <v>1.7747306760586223E-2</v>
      </c>
      <c r="S40" s="976">
        <v>2.8577939511333694E-2</v>
      </c>
      <c r="T40" s="1814">
        <v>3.9374748744918753E-2</v>
      </c>
      <c r="U40" s="999">
        <v>3.7227401889145195E-2</v>
      </c>
      <c r="V40" s="1814">
        <v>2.0840845632229765E-2</v>
      </c>
      <c r="W40" s="981">
        <v>3.1930887595530644E-2</v>
      </c>
      <c r="X40" s="3008">
        <v>2.5835824746179403E-2</v>
      </c>
      <c r="Y40" s="743">
        <v>3.7754991311379715E-2</v>
      </c>
    </row>
    <row r="41" spans="1:26">
      <c r="A41" s="324">
        <f t="shared" si="1"/>
        <v>2018.08</v>
      </c>
      <c r="B41" s="966">
        <v>3.8894388753662135E-2</v>
      </c>
      <c r="C41" s="3008">
        <v>4.0618222640087298E-2</v>
      </c>
      <c r="D41" s="976">
        <v>3.7373508518312892E-2</v>
      </c>
      <c r="E41" s="3008">
        <v>3.9753419796059841E-2</v>
      </c>
      <c r="F41" s="976">
        <v>3.9854012802921446E-2</v>
      </c>
      <c r="G41" s="3008">
        <v>3.3997282549289354E-2</v>
      </c>
      <c r="H41" s="485">
        <v>3.6458452352307713E-2</v>
      </c>
      <c r="I41" s="981">
        <v>4.0123364272049988E-2</v>
      </c>
      <c r="J41" s="3008">
        <v>1.3536603200942965E-2</v>
      </c>
      <c r="K41" s="976">
        <v>3.4149021205416297E-3</v>
      </c>
      <c r="L41" s="3008">
        <v>6.1597122412577754E-2</v>
      </c>
      <c r="M41" s="976">
        <v>3.1317338955245466E-2</v>
      </c>
      <c r="N41" s="3008">
        <v>4.0746946455761046E-2</v>
      </c>
      <c r="O41" s="976">
        <v>4.0432596944512733E-2</v>
      </c>
      <c r="P41" s="3008">
        <v>0.12404201174762908</v>
      </c>
      <c r="Q41" s="976">
        <v>3.3048979708232062E-2</v>
      </c>
      <c r="R41" s="3008">
        <v>1.9154435865572639E-2</v>
      </c>
      <c r="S41" s="976">
        <v>2.4277188512559222E-2</v>
      </c>
      <c r="T41" s="1814">
        <v>4.8925044811896301E-2</v>
      </c>
      <c r="U41" s="999">
        <v>3.1576208926335392E-2</v>
      </c>
      <c r="V41" s="1814">
        <v>5.030227629366113E-2</v>
      </c>
      <c r="W41" s="981">
        <v>3.3522805662095312E-2</v>
      </c>
      <c r="X41" s="3008">
        <v>6.1974039653585944E-2</v>
      </c>
      <c r="Y41" s="743">
        <v>1.9329840607061E-2</v>
      </c>
    </row>
    <row r="42" spans="1:26">
      <c r="A42" s="324">
        <f t="shared" si="1"/>
        <v>2018.09</v>
      </c>
      <c r="B42" s="966">
        <v>6.5342861600713009E-2</v>
      </c>
      <c r="C42" s="3008">
        <v>6.6477331678424401E-2</v>
      </c>
      <c r="D42" s="976">
        <v>6.3437761529526071E-2</v>
      </c>
      <c r="E42" s="3008">
        <v>5.9741739533791582E-2</v>
      </c>
      <c r="F42" s="976">
        <v>7.3114377695518096E-2</v>
      </c>
      <c r="G42" s="3008">
        <v>6.8387042212372684E-2</v>
      </c>
      <c r="H42" s="485">
        <v>6.564023285085363E-2</v>
      </c>
      <c r="I42" s="981">
        <v>7.019387021915291E-2</v>
      </c>
      <c r="J42" s="3008">
        <v>4.4246257808509659E-2</v>
      </c>
      <c r="K42" s="976">
        <v>9.7846229556097342E-2</v>
      </c>
      <c r="L42" s="3008">
        <v>2.2926371859441685E-2</v>
      </c>
      <c r="M42" s="976">
        <v>9.7155591300100541E-2</v>
      </c>
      <c r="N42" s="3008">
        <v>4.5322445349788909E-2</v>
      </c>
      <c r="O42" s="976">
        <v>0.10404636119267696</v>
      </c>
      <c r="P42" s="3008">
        <v>2.1157127804758202E-2</v>
      </c>
      <c r="Q42" s="976">
        <v>6.7934766534624824E-2</v>
      </c>
      <c r="R42" s="3008">
        <v>1.6308205121007058E-2</v>
      </c>
      <c r="S42" s="976">
        <v>5.7333761427581731E-2</v>
      </c>
      <c r="T42" s="1814">
        <v>7.9262550415015731E-2</v>
      </c>
      <c r="U42" s="999">
        <v>8.6639977242479738E-2</v>
      </c>
      <c r="V42" s="1814">
        <v>2.9834701397032148E-2</v>
      </c>
      <c r="W42" s="981">
        <v>7.6412527799358587E-2</v>
      </c>
      <c r="X42" s="3008">
        <v>4.7030169161724977E-2</v>
      </c>
      <c r="Y42" s="743">
        <v>3.9714760290720408E-2</v>
      </c>
    </row>
    <row r="43" spans="1:26">
      <c r="A43" s="324">
        <f t="shared" si="1"/>
        <v>2018.1</v>
      </c>
      <c r="B43" s="966">
        <v>5.3916071516107333E-2</v>
      </c>
      <c r="C43" s="3008">
        <v>5.0544352146319138E-2</v>
      </c>
      <c r="D43" s="976">
        <v>5.7879613457382684E-2</v>
      </c>
      <c r="E43" s="3008">
        <v>5.3158539656708914E-2</v>
      </c>
      <c r="F43" s="976">
        <v>4.8683404776485029E-2</v>
      </c>
      <c r="G43" s="3008">
        <v>5.9458658808487996E-2</v>
      </c>
      <c r="H43" s="485">
        <v>5.8023144511104574E-2</v>
      </c>
      <c r="I43" s="981">
        <v>5.8813484945018368E-2</v>
      </c>
      <c r="J43" s="3008">
        <v>2.3202695751154634E-2</v>
      </c>
      <c r="K43" s="976">
        <v>5.0437748641228186E-2</v>
      </c>
      <c r="L43" s="3008">
        <v>8.7826381482010607E-2</v>
      </c>
      <c r="M43" s="976">
        <v>4.2971771950276239E-2</v>
      </c>
      <c r="N43" s="3008">
        <v>5.4728748972476149E-2</v>
      </c>
      <c r="O43" s="976">
        <v>7.6180633378523099E-2</v>
      </c>
      <c r="P43" s="3008">
        <v>7.2496684341241124E-3</v>
      </c>
      <c r="Q43" s="976">
        <v>2.7470826555788808E-2</v>
      </c>
      <c r="R43" s="3008">
        <v>2.0814293245968063E-2</v>
      </c>
      <c r="S43" s="976">
        <v>3.0896674819689496E-2</v>
      </c>
      <c r="T43" s="1814">
        <v>6.2097990153764604E-2</v>
      </c>
      <c r="U43" s="999">
        <v>5.8452927411773548E-2</v>
      </c>
      <c r="V43" s="1814">
        <v>4.5967544297710106E-2</v>
      </c>
      <c r="W43" s="981">
        <v>4.5397217123865241E-2</v>
      </c>
      <c r="X43" s="3008">
        <v>7.4437936897789436E-2</v>
      </c>
      <c r="Y43" s="743">
        <v>6.230051488531485E-2</v>
      </c>
    </row>
    <row r="44" spans="1:26">
      <c r="A44" s="324">
        <f t="shared" si="1"/>
        <v>2018.11</v>
      </c>
      <c r="B44" s="966">
        <v>3.1533649961842602E-2</v>
      </c>
      <c r="C44" s="3008">
        <v>2.8886732556862249E-2</v>
      </c>
      <c r="D44" s="976">
        <v>3.2832981420490848E-2</v>
      </c>
      <c r="E44" s="3008">
        <v>3.2707282554084838E-2</v>
      </c>
      <c r="F44" s="976">
        <v>3.0238248175182614E-2</v>
      </c>
      <c r="G44" s="3008">
        <v>3.6610926619094375E-2</v>
      </c>
      <c r="H44" s="485">
        <v>4.1884696303743585E-2</v>
      </c>
      <c r="I44" s="981">
        <v>3.4085411215099226E-2</v>
      </c>
      <c r="J44" s="3008">
        <v>4.6352559709849528E-2</v>
      </c>
      <c r="K44" s="976">
        <v>2.3114831377815115E-2</v>
      </c>
      <c r="L44" s="3008">
        <v>2.1303716352601088E-2</v>
      </c>
      <c r="M44" s="976">
        <v>3.5522349637957751E-2</v>
      </c>
      <c r="N44" s="3008">
        <v>5.6535572961061265E-2</v>
      </c>
      <c r="O44" s="976">
        <v>2.6726920189162229E-2</v>
      </c>
      <c r="P44" s="3008">
        <v>3.0377152045491629E-2</v>
      </c>
      <c r="Q44" s="976">
        <v>2.8052928833827373E-2</v>
      </c>
      <c r="R44" s="3008">
        <v>1.1561703496863807E-2</v>
      </c>
      <c r="S44" s="976">
        <v>2.5732120532613756E-2</v>
      </c>
      <c r="T44" s="1814">
        <v>4.3989254533243649E-2</v>
      </c>
      <c r="U44" s="999">
        <v>3.7050463613177431E-2</v>
      </c>
      <c r="V44" s="1814">
        <v>2.1374957795496474E-2</v>
      </c>
      <c r="W44" s="981">
        <v>3.2986482855487109E-2</v>
      </c>
      <c r="X44" s="3008">
        <v>2.7836652409622076E-2</v>
      </c>
      <c r="Y44" s="743">
        <v>3.017489261649331E-2</v>
      </c>
    </row>
    <row r="45" spans="1:26">
      <c r="A45" s="324">
        <f t="shared" si="1"/>
        <v>2018.12</v>
      </c>
      <c r="B45" s="966">
        <v>2.569823445714392E-2</v>
      </c>
      <c r="C45" s="3008">
        <v>2.829374374570226E-2</v>
      </c>
      <c r="D45" s="976">
        <v>2.3053468721704329E-2</v>
      </c>
      <c r="E45" s="3008">
        <v>2.2655984289267961E-2</v>
      </c>
      <c r="F45" s="976">
        <v>2.461906621556742E-2</v>
      </c>
      <c r="G45" s="3008">
        <v>2.4948754882892388E-2</v>
      </c>
      <c r="H45" s="485">
        <v>2.6248383937748754E-2</v>
      </c>
      <c r="I45" s="981">
        <v>1.6984027166394133E-2</v>
      </c>
      <c r="J45" s="3008">
        <v>1.3809909603682335E-2</v>
      </c>
      <c r="K45" s="976">
        <v>1.1311618570944537E-2</v>
      </c>
      <c r="L45" s="3008">
        <v>2.9992080803968868E-2</v>
      </c>
      <c r="M45" s="976">
        <v>1.856079679902134E-2</v>
      </c>
      <c r="N45" s="3008">
        <v>5.249845063702141E-2</v>
      </c>
      <c r="O45" s="976">
        <v>2.4022093914402909E-2</v>
      </c>
      <c r="P45" s="3008">
        <v>7.6540609588219954E-2</v>
      </c>
      <c r="Q45" s="976">
        <v>2.5917063299930376E-2</v>
      </c>
      <c r="R45" s="3008">
        <v>1.021885670689171E-2</v>
      </c>
      <c r="S45" s="976">
        <v>2.6521836124326015E-2</v>
      </c>
      <c r="T45" s="1814">
        <v>3.4272005065233424E-2</v>
      </c>
      <c r="U45" s="999">
        <v>1.9228947671101393E-2</v>
      </c>
      <c r="V45" s="1814">
        <v>3.6978405277868331E-2</v>
      </c>
      <c r="W45" s="981">
        <v>2.7435393610045544E-2</v>
      </c>
      <c r="X45" s="3008">
        <v>2.5741608532473759E-2</v>
      </c>
      <c r="Y45" s="743">
        <v>1.4398818305154659E-2</v>
      </c>
    </row>
    <row r="46" spans="1:26">
      <c r="A46" s="324">
        <f t="shared" si="1"/>
        <v>2019.01</v>
      </c>
      <c r="B46" s="966">
        <v>2.9062409093474573E-2</v>
      </c>
      <c r="C46" s="3008">
        <v>2.8191549222265744E-2</v>
      </c>
      <c r="D46" s="976">
        <v>2.8708782275023381E-2</v>
      </c>
      <c r="E46" s="3008">
        <v>3.214219619198988E-2</v>
      </c>
      <c r="F46" s="976">
        <v>3.4307895368635988E-2</v>
      </c>
      <c r="G46" s="3008">
        <v>2.9291694302602256E-2</v>
      </c>
      <c r="H46" s="485">
        <v>3.0346128212727974E-2</v>
      </c>
      <c r="I46" s="981">
        <v>3.3527192819009288E-2</v>
      </c>
      <c r="J46" s="3008">
        <v>3.4513922413629938E-2</v>
      </c>
      <c r="K46" s="976">
        <v>-5.6012481013947291E-3</v>
      </c>
      <c r="L46" s="3008">
        <v>3.0969658927045618E-2</v>
      </c>
      <c r="M46" s="976">
        <v>2.6739303427239625E-2</v>
      </c>
      <c r="N46" s="3008">
        <v>2.9089883963540286E-2</v>
      </c>
      <c r="O46" s="976">
        <v>2.4737721708457894E-2</v>
      </c>
      <c r="P46" s="3008">
        <v>7.3805878089405086E-2</v>
      </c>
      <c r="Q46" s="976">
        <v>3.5063547710902476E-2</v>
      </c>
      <c r="R46" s="3008">
        <v>5.7326662971144415E-3</v>
      </c>
      <c r="S46" s="976">
        <v>3.7330529936275614E-2</v>
      </c>
      <c r="T46" s="1814">
        <v>3.6373142782449408E-2</v>
      </c>
      <c r="U46" s="999">
        <v>2.6342385739486884E-2</v>
      </c>
      <c r="V46" s="1814">
        <v>3.5367068926836609E-2</v>
      </c>
      <c r="W46" s="981">
        <v>3.0028066433953393E-2</v>
      </c>
      <c r="X46" s="3008">
        <v>3.4211886304909678E-2</v>
      </c>
      <c r="Y46" s="743">
        <v>1.0984448640823707E-2</v>
      </c>
    </row>
    <row r="47" spans="1:26">
      <c r="A47" s="324">
        <f t="shared" si="1"/>
        <v>2019.02</v>
      </c>
      <c r="B47" s="966">
        <v>3.7656221899571962E-2</v>
      </c>
      <c r="C47" s="3008">
        <v>3.8261221761852982E-2</v>
      </c>
      <c r="D47" s="976">
        <v>3.5962698559047324E-2</v>
      </c>
      <c r="E47" s="3008">
        <v>4.2156783640811657E-2</v>
      </c>
      <c r="F47" s="976">
        <v>4.521758942567855E-2</v>
      </c>
      <c r="G47" s="3008">
        <v>3.7820097429283051E-2</v>
      </c>
      <c r="H47" s="485">
        <v>2.9965554074047551E-2</v>
      </c>
      <c r="I47" s="981">
        <v>5.7149254104406744E-2</v>
      </c>
      <c r="J47" s="3008">
        <v>2.3563405353442146E-2</v>
      </c>
      <c r="K47" s="976">
        <v>9.6351188026739809E-3</v>
      </c>
      <c r="L47" s="3008">
        <v>6.399406811823205E-2</v>
      </c>
      <c r="M47" s="976">
        <v>2.7852837247973383E-2</v>
      </c>
      <c r="N47" s="3008">
        <v>3.1720456514507056E-2</v>
      </c>
      <c r="O47" s="976">
        <v>2.1799180427244602E-2</v>
      </c>
      <c r="P47" s="3008">
        <v>1.087259710374E-2</v>
      </c>
      <c r="Q47" s="976">
        <v>2.2062579593458143E-2</v>
      </c>
      <c r="R47" s="3008">
        <v>1.6749122594144961E-2</v>
      </c>
      <c r="S47" s="976">
        <v>3.6365236398733902E-2</v>
      </c>
      <c r="T47" s="1814">
        <v>3.0969633142463149E-2</v>
      </c>
      <c r="U47" s="999">
        <v>3.6915886087445227E-2</v>
      </c>
      <c r="V47" s="1814">
        <v>3.8206925118559054E-2</v>
      </c>
      <c r="W47" s="981">
        <v>3.8554986934743019E-2</v>
      </c>
      <c r="X47" s="3008">
        <v>4.2194683190085902E-2</v>
      </c>
      <c r="Y47" s="743">
        <v>1.9268032732593365E-2</v>
      </c>
    </row>
    <row r="48" spans="1:26">
      <c r="A48" s="324">
        <f t="shared" si="1"/>
        <v>2019.03</v>
      </c>
      <c r="B48" s="966">
        <v>4.6795401882895993E-2</v>
      </c>
      <c r="C48" s="3008">
        <v>4.7913090109630296E-2</v>
      </c>
      <c r="D48" s="976">
        <v>4.5171943982354801E-2</v>
      </c>
      <c r="E48" s="3008">
        <v>4.8798433333164803E-2</v>
      </c>
      <c r="F48" s="976">
        <v>5.1465448691642157E-2</v>
      </c>
      <c r="G48" s="3008">
        <v>4.4380464396732489E-2</v>
      </c>
      <c r="H48" s="485">
        <v>4.2915274443651397E-2</v>
      </c>
      <c r="I48" s="981">
        <v>5.9593986974662672E-2</v>
      </c>
      <c r="J48" s="3008">
        <v>4.0534709388661216E-2</v>
      </c>
      <c r="K48" s="976">
        <v>6.5684706987861663E-2</v>
      </c>
      <c r="L48" s="3008">
        <v>2.8155018883949001E-2</v>
      </c>
      <c r="M48" s="976">
        <v>3.7983779015984487E-2</v>
      </c>
      <c r="N48" s="3008">
        <v>3.2475248107872279E-2</v>
      </c>
      <c r="O48" s="976">
        <v>4.1704299143664469E-2</v>
      </c>
      <c r="P48" s="3008">
        <v>4.386987793041075E-2</v>
      </c>
      <c r="Q48" s="976">
        <v>1.9827642204844231E-2</v>
      </c>
      <c r="R48" s="3008">
        <v>0.17909550454274248</v>
      </c>
      <c r="S48" s="976">
        <v>4.3289711270445119E-2</v>
      </c>
      <c r="T48" s="1814">
        <v>3.0831967662268589E-2</v>
      </c>
      <c r="U48" s="999">
        <v>4.9997271089926576E-2</v>
      </c>
      <c r="V48" s="1814">
        <v>4.122940750200077E-2</v>
      </c>
      <c r="W48" s="981">
        <v>4.5794531676518924E-2</v>
      </c>
      <c r="X48" s="3008">
        <v>4.9042282203326293E-2</v>
      </c>
      <c r="Y48" s="743">
        <v>4.7661498089771159E-2</v>
      </c>
    </row>
    <row r="49" spans="1:25">
      <c r="A49" s="324">
        <f t="shared" si="1"/>
        <v>2019.04</v>
      </c>
      <c r="B49" s="966">
        <v>3.444697949233122E-2</v>
      </c>
      <c r="C49" s="3008">
        <v>3.2458901509905047E-2</v>
      </c>
      <c r="D49" s="976">
        <v>3.666822212306653E-2</v>
      </c>
      <c r="E49" s="3008">
        <v>3.6248120721565691E-2</v>
      </c>
      <c r="F49" s="976">
        <v>3.5093875008516573E-2</v>
      </c>
      <c r="G49" s="3008">
        <v>3.3479328866239388E-2</v>
      </c>
      <c r="H49" s="485">
        <v>3.5469227666182324E-2</v>
      </c>
      <c r="I49" s="981">
        <v>2.5497559678675286E-2</v>
      </c>
      <c r="J49" s="3008">
        <v>1.0326208194386455E-2</v>
      </c>
      <c r="K49" s="976">
        <v>6.2033670861069146E-2</v>
      </c>
      <c r="L49" s="3008">
        <v>2.9423302642421989E-2</v>
      </c>
      <c r="M49" s="976">
        <v>4.5909622248106574E-2</v>
      </c>
      <c r="N49" s="3008">
        <v>3.5033203561361193E-2</v>
      </c>
      <c r="O49" s="976">
        <v>4.3607098728308591E-2</v>
      </c>
      <c r="P49" s="3008">
        <v>3.4939505376335056E-2</v>
      </c>
      <c r="Q49" s="976">
        <v>3.174838802392177E-2</v>
      </c>
      <c r="R49" s="3008">
        <v>1.5452951758222033E-2</v>
      </c>
      <c r="S49" s="976">
        <v>4.0808739358830781E-2</v>
      </c>
      <c r="T49" s="1814">
        <v>2.970358718694377E-2</v>
      </c>
      <c r="U49" s="999">
        <v>3.7639502740550723E-2</v>
      </c>
      <c r="V49" s="1814">
        <v>2.8550438393060817E-2</v>
      </c>
      <c r="W49" s="981">
        <v>3.7670642645937003E-2</v>
      </c>
      <c r="X49" s="3008">
        <v>3.2864686624975104E-2</v>
      </c>
      <c r="Y49" s="743">
        <v>1.6061738788670565E-2</v>
      </c>
    </row>
    <row r="50" spans="1:25">
      <c r="A50" s="324">
        <f t="shared" si="1"/>
        <v>2019.05</v>
      </c>
      <c r="B50" s="966">
        <v>3.0590696999836187E-2</v>
      </c>
      <c r="C50" s="3008">
        <v>3.0277683505854913E-2</v>
      </c>
      <c r="D50" s="976">
        <v>2.9518575312991402E-2</v>
      </c>
      <c r="E50" s="3008">
        <v>3.8750644866305528E-2</v>
      </c>
      <c r="F50" s="976">
        <v>2.7752585481809033E-2</v>
      </c>
      <c r="G50" s="3008">
        <v>2.8824001796475374E-2</v>
      </c>
      <c r="H50" s="485">
        <v>3.4233133960006601E-2</v>
      </c>
      <c r="I50" s="981">
        <v>2.4353409861642472E-2</v>
      </c>
      <c r="J50" s="3008">
        <v>2.1663648154952364E-2</v>
      </c>
      <c r="K50" s="976">
        <v>3.3545000490556642E-2</v>
      </c>
      <c r="L50" s="3008">
        <v>3.9772994955950214E-2</v>
      </c>
      <c r="M50" s="976">
        <v>3.2151839912570646E-2</v>
      </c>
      <c r="N50" s="3008">
        <v>5.0763552125963729E-2</v>
      </c>
      <c r="O50" s="976">
        <v>3.4919479049884128E-2</v>
      </c>
      <c r="P50" s="3008">
        <v>1.9677442857481964E-2</v>
      </c>
      <c r="Q50" s="976">
        <v>2.3978583662542796E-2</v>
      </c>
      <c r="R50" s="3008">
        <v>3.28535616628991E-2</v>
      </c>
      <c r="S50" s="976">
        <v>2.2169786571091921E-2</v>
      </c>
      <c r="T50" s="1814">
        <v>2.7879078925252765E-2</v>
      </c>
      <c r="U50" s="999">
        <v>3.1260480948825498E-2</v>
      </c>
      <c r="V50" s="1814">
        <v>2.9699501646976101E-2</v>
      </c>
      <c r="W50" s="981">
        <v>3.1775306798306868E-2</v>
      </c>
      <c r="X50" s="3008">
        <v>3.7209959075763299E-2</v>
      </c>
      <c r="Y50" s="743">
        <v>6.1829489131139947E-3</v>
      </c>
    </row>
    <row r="51" spans="1:25">
      <c r="A51" s="324">
        <f t="shared" si="1"/>
        <v>2019.06</v>
      </c>
      <c r="B51" s="966">
        <v>2.7180054023995259E-2</v>
      </c>
      <c r="C51" s="3008">
        <v>2.6184294266291985E-2</v>
      </c>
      <c r="D51" s="976">
        <v>2.8100491570536512E-2</v>
      </c>
      <c r="E51" s="3008">
        <v>2.8238989707560558E-2</v>
      </c>
      <c r="F51" s="976">
        <v>2.9187530478014256E-2</v>
      </c>
      <c r="G51" s="3008">
        <v>2.6252795717275346E-2</v>
      </c>
      <c r="H51" s="485">
        <v>2.7674416810419045E-2</v>
      </c>
      <c r="I51" s="981">
        <v>2.5510849737953922E-2</v>
      </c>
      <c r="J51" s="3008">
        <v>2.717351550603242E-2</v>
      </c>
      <c r="K51" s="976">
        <v>1.8989790134505524E-2</v>
      </c>
      <c r="L51" s="3008">
        <v>2.7054896508379445E-2</v>
      </c>
      <c r="M51" s="976">
        <v>3.4285009409886547E-2</v>
      </c>
      <c r="N51" s="3008">
        <v>3.5509967345900506E-2</v>
      </c>
      <c r="O51" s="976">
        <v>1.5644760542823155E-2</v>
      </c>
      <c r="P51" s="3008">
        <v>7.1247073671229844E-2</v>
      </c>
      <c r="Q51" s="976">
        <v>3.7042407138625499E-2</v>
      </c>
      <c r="R51" s="3008">
        <v>1.7533182542561754E-2</v>
      </c>
      <c r="S51" s="976">
        <v>2.5327545402271889E-2</v>
      </c>
      <c r="T51" s="1814">
        <v>2.1160958398507956E-2</v>
      </c>
      <c r="U51" s="999">
        <v>2.7238758154302323E-2</v>
      </c>
      <c r="V51" s="1814">
        <v>2.737941345924888E-2</v>
      </c>
      <c r="W51" s="981">
        <v>2.7315925572350075E-2</v>
      </c>
      <c r="X51" s="3008">
        <v>2.7867091234180519E-2</v>
      </c>
      <c r="Y51" s="743">
        <v>2.466586359203804E-2</v>
      </c>
    </row>
    <row r="52" spans="1:25">
      <c r="A52" s="324">
        <f t="shared" si="1"/>
        <v>2019.07</v>
      </c>
      <c r="B52" s="966">
        <v>2.1978655386921009E-2</v>
      </c>
      <c r="C52" s="3008">
        <v>2.1450911689346652E-2</v>
      </c>
      <c r="D52" s="976">
        <v>2.2183907587229212E-2</v>
      </c>
      <c r="E52" s="3008">
        <v>1.9774555593432774E-2</v>
      </c>
      <c r="F52" s="976">
        <v>1.8638495941427857E-2</v>
      </c>
      <c r="G52" s="3008">
        <v>2.8020086868046024E-2</v>
      </c>
      <c r="H52" s="485">
        <v>2.5435188317371793E-2</v>
      </c>
      <c r="I52" s="981">
        <v>2.2592002848790704E-2</v>
      </c>
      <c r="J52" s="3008">
        <v>8.5513520803830456E-3</v>
      </c>
      <c r="K52" s="976">
        <v>3.440382410701659E-3</v>
      </c>
      <c r="L52" s="3008">
        <v>2.1882524719504026E-2</v>
      </c>
      <c r="M52" s="976">
        <v>2.5228806456792485E-2</v>
      </c>
      <c r="N52" s="3008">
        <v>4.1087471746374726E-2</v>
      </c>
      <c r="O52" s="976">
        <v>1.1383265971855572E-2</v>
      </c>
      <c r="P52" s="3008">
        <v>2.1647527883794648E-3</v>
      </c>
      <c r="Q52" s="976">
        <v>3.8674585279394602E-2</v>
      </c>
      <c r="R52" s="3008">
        <v>2.0913213452203427E-2</v>
      </c>
      <c r="S52" s="976">
        <v>2.9561416598872681E-2</v>
      </c>
      <c r="T52" s="1814">
        <v>2.6907663779563107E-2</v>
      </c>
      <c r="U52" s="999">
        <v>2.0071894753718622E-2</v>
      </c>
      <c r="V52" s="1814">
        <v>2.5406508854192378E-2</v>
      </c>
      <c r="W52" s="981">
        <v>2.1476796602663883E-2</v>
      </c>
      <c r="X52" s="3008">
        <v>1.8038156186796162E-2</v>
      </c>
      <c r="Y52" s="743">
        <v>3.6401521839298123E-2</v>
      </c>
    </row>
    <row r="53" spans="1:25">
      <c r="A53" s="324">
        <f t="shared" si="1"/>
        <v>2019.08</v>
      </c>
      <c r="B53" s="966">
        <v>3.9539857870486861E-2</v>
      </c>
      <c r="C53" s="3008">
        <v>3.8697442254365999E-2</v>
      </c>
      <c r="D53" s="976">
        <v>3.8582444193978604E-2</v>
      </c>
      <c r="E53" s="3008">
        <v>4.1477010413282667E-2</v>
      </c>
      <c r="F53" s="976">
        <v>4.4618518950020114E-2</v>
      </c>
      <c r="G53" s="3008">
        <v>4.3737120083708447E-2</v>
      </c>
      <c r="H53" s="485">
        <v>4.2206821824809282E-2</v>
      </c>
      <c r="I53" s="981">
        <v>4.5147707511329349E-2</v>
      </c>
      <c r="J53" s="3008">
        <v>4.3865232824598976E-2</v>
      </c>
      <c r="K53" s="976">
        <v>3.1155115511551257E-2</v>
      </c>
      <c r="L53" s="3008">
        <v>2.125447646820855E-2</v>
      </c>
      <c r="M53" s="976">
        <v>6.0715819853225828E-2</v>
      </c>
      <c r="N53" s="3008">
        <v>5.1933746008527182E-2</v>
      </c>
      <c r="O53" s="976">
        <v>3.953818051599467E-2</v>
      </c>
      <c r="P53" s="3008">
        <v>1.1678323927009737E-2</v>
      </c>
      <c r="Q53" s="976">
        <v>4.168817616137388E-2</v>
      </c>
      <c r="R53" s="3008">
        <v>2.5132222967140461E-2</v>
      </c>
      <c r="S53" s="976">
        <v>3.5977052338248994E-2</v>
      </c>
      <c r="T53" s="1814">
        <v>4.4296993239947069E-2</v>
      </c>
      <c r="U53" s="999">
        <v>4.9017742315026203E-2</v>
      </c>
      <c r="V53" s="1814">
        <v>2.2507540184724562E-2</v>
      </c>
      <c r="W53" s="981">
        <v>4.6378608197114257E-2</v>
      </c>
      <c r="X53" s="3008">
        <v>2.1167443301689737E-2</v>
      </c>
      <c r="Y53" s="743">
        <v>3.8542581530785824E-2</v>
      </c>
    </row>
    <row r="54" spans="1:25">
      <c r="A54" s="324">
        <f t="shared" si="1"/>
        <v>2019.09</v>
      </c>
      <c r="B54" s="966">
        <v>5.8856622721223051E-2</v>
      </c>
      <c r="C54" s="3008">
        <v>5.808182641795101E-2</v>
      </c>
      <c r="D54" s="976">
        <v>6.0534542592812324E-2</v>
      </c>
      <c r="E54" s="3008">
        <v>5.8286008402740563E-2</v>
      </c>
      <c r="F54" s="976">
        <v>6.1886981290254273E-2</v>
      </c>
      <c r="G54" s="3008">
        <v>5.8247540832499389E-2</v>
      </c>
      <c r="H54" s="485">
        <v>5.261354954064501E-2</v>
      </c>
      <c r="I54" s="981">
        <v>5.7197147606380172E-2</v>
      </c>
      <c r="J54" s="3008">
        <v>5.6725635555765042E-2</v>
      </c>
      <c r="K54" s="976">
        <v>9.548604063687538E-2</v>
      </c>
      <c r="L54" s="3008">
        <v>1.990597588373455E-2</v>
      </c>
      <c r="M54" s="976">
        <v>7.4114771874289387E-2</v>
      </c>
      <c r="N54" s="3008">
        <v>8.3395802749014036E-2</v>
      </c>
      <c r="O54" s="976">
        <v>4.7111769172241358E-2</v>
      </c>
      <c r="P54" s="3008">
        <v>6.7236087113197396E-2</v>
      </c>
      <c r="Q54" s="976">
        <v>7.5675889303490784E-2</v>
      </c>
      <c r="R54" s="3008">
        <v>1.0133426801197665E-2</v>
      </c>
      <c r="S54" s="976">
        <v>5.2484805212916541E-2</v>
      </c>
      <c r="T54" s="1814">
        <v>8.2231837585870604E-2</v>
      </c>
      <c r="U54" s="999">
        <v>7.1226616791466801E-2</v>
      </c>
      <c r="V54" s="1814">
        <v>3.6100223054767566E-2</v>
      </c>
      <c r="W54" s="981">
        <v>6.4377642281086667E-2</v>
      </c>
      <c r="X54" s="3008">
        <v>3.3540309095258181E-2</v>
      </c>
      <c r="Y54" s="743">
        <v>8.5386174938212323E-2</v>
      </c>
    </row>
    <row r="55" spans="1:25">
      <c r="A55" s="324">
        <f t="shared" si="1"/>
        <v>2019.1</v>
      </c>
      <c r="B55" s="966">
        <v>3.2934820909841234E-2</v>
      </c>
      <c r="C55" s="3008">
        <v>3.1972863577848232E-2</v>
      </c>
      <c r="D55" s="976">
        <v>3.4494208098814871E-2</v>
      </c>
      <c r="E55" s="3008">
        <v>2.8572891299213143E-2</v>
      </c>
      <c r="F55" s="976">
        <v>3.3015361013315481E-2</v>
      </c>
      <c r="G55" s="3008">
        <v>3.7229155265044334E-2</v>
      </c>
      <c r="H55" s="485">
        <v>3.2422726528638091E-2</v>
      </c>
      <c r="I55" s="981">
        <v>2.451324364984675E-2</v>
      </c>
      <c r="J55" s="3008">
        <v>6.1758915322619901E-2</v>
      </c>
      <c r="K55" s="976">
        <v>4.7340999903562109E-2</v>
      </c>
      <c r="L55" s="3008">
        <v>1.8827882661247131E-2</v>
      </c>
      <c r="M55" s="976">
        <v>8.1388668834806221E-2</v>
      </c>
      <c r="N55" s="3008">
        <v>4.6821004189994797E-2</v>
      </c>
      <c r="O55" s="976">
        <v>3.5051712858758632E-2</v>
      </c>
      <c r="P55" s="3008">
        <v>4.6526623895186692E-3</v>
      </c>
      <c r="Q55" s="976">
        <v>1.9918443777148021E-2</v>
      </c>
      <c r="R55" s="3008">
        <v>1.5851018453007626E-2</v>
      </c>
      <c r="S55" s="976">
        <v>2.5407597450964214E-2</v>
      </c>
      <c r="T55" s="1814">
        <v>3.8436460255136584E-2</v>
      </c>
      <c r="U55" s="999">
        <v>3.4846538899298007E-2</v>
      </c>
      <c r="V55" s="1814">
        <v>2.9074050412267516E-2</v>
      </c>
      <c r="W55" s="981">
        <v>3.8046676445154803E-2</v>
      </c>
      <c r="X55" s="3008">
        <v>2.0246330174866767E-2</v>
      </c>
      <c r="Y55" s="743">
        <v>2.8343246604307204E-2</v>
      </c>
    </row>
    <row r="56" spans="1:25">
      <c r="A56" s="324">
        <f t="shared" si="1"/>
        <v>2019.11</v>
      </c>
      <c r="B56" s="966">
        <v>4.2545373094803107E-2</v>
      </c>
      <c r="C56" s="3008">
        <v>4.0704799698397576E-2</v>
      </c>
      <c r="D56" s="976">
        <v>4.4933364858572356E-2</v>
      </c>
      <c r="E56" s="3008">
        <v>3.8583361236549818E-2</v>
      </c>
      <c r="F56" s="976">
        <v>4.29670840187657E-2</v>
      </c>
      <c r="G56" s="3008">
        <v>4.5150648934680016E-2</v>
      </c>
      <c r="H56" s="485">
        <v>4.5470601811979927E-2</v>
      </c>
      <c r="I56" s="981">
        <v>5.3200274270607251E-2</v>
      </c>
      <c r="J56" s="3008">
        <v>5.5917732416610244E-2</v>
      </c>
      <c r="K56" s="976">
        <v>4.4386032154982491E-2</v>
      </c>
      <c r="L56" s="3008">
        <v>1.5242419062685864E-2</v>
      </c>
      <c r="M56" s="976">
        <v>5.5600499353765098E-3</v>
      </c>
      <c r="N56" s="3008">
        <v>6.3167034539241662E-2</v>
      </c>
      <c r="O56" s="976">
        <v>4.5863941977892564E-2</v>
      </c>
      <c r="P56" s="3008">
        <v>7.3952725050318469E-2</v>
      </c>
      <c r="Q56" s="976">
        <v>3.3505651194756902E-2</v>
      </c>
      <c r="R56" s="3008">
        <v>4.4050551287963202E-2</v>
      </c>
      <c r="S56" s="976">
        <v>3.293898221447189E-2</v>
      </c>
      <c r="T56" s="1814">
        <v>4.8850477624734268E-2</v>
      </c>
      <c r="U56" s="999">
        <v>5.188234767072708E-2</v>
      </c>
      <c r="V56" s="1814">
        <v>2.4090844988380766E-2</v>
      </c>
      <c r="W56" s="981">
        <v>3.9781271465371804E-2</v>
      </c>
      <c r="X56" s="3008">
        <v>3.8172129990740711E-2</v>
      </c>
      <c r="Y56" s="743">
        <v>7.3374534072156772E-2</v>
      </c>
    </row>
    <row r="57" spans="1:25">
      <c r="A57" s="324">
        <f t="shared" si="1"/>
        <v>2019.12</v>
      </c>
      <c r="B57" s="966">
        <v>3.7437073551383371E-2</v>
      </c>
      <c r="C57" s="3008">
        <v>3.8314354515238014E-2</v>
      </c>
      <c r="D57" s="976">
        <v>3.6257466342476841E-2</v>
      </c>
      <c r="E57" s="3008">
        <v>3.6890763258673243E-2</v>
      </c>
      <c r="F57" s="976">
        <v>3.9868707134029346E-2</v>
      </c>
      <c r="G57" s="3008">
        <v>3.2678830007014437E-2</v>
      </c>
      <c r="H57" s="485">
        <v>4.1546797520736201E-2</v>
      </c>
      <c r="I57" s="981">
        <v>3.1316118523434966E-2</v>
      </c>
      <c r="J57" s="3008">
        <v>3.1010323654438787E-2</v>
      </c>
      <c r="K57" s="976">
        <v>2.3947986744784933E-2</v>
      </c>
      <c r="L57" s="3008">
        <v>2.1259887812630662E-2</v>
      </c>
      <c r="M57" s="976">
        <v>5.3950747008094879E-2</v>
      </c>
      <c r="N57" s="3008">
        <v>5.5864368205544634E-2</v>
      </c>
      <c r="O57" s="976">
        <v>4.9719900158015751E-2</v>
      </c>
      <c r="P57" s="3008">
        <v>9.5733426457069726E-2</v>
      </c>
      <c r="Q57" s="976">
        <v>2.3918621700879772E-2</v>
      </c>
      <c r="R57" s="3008">
        <v>1.9644502216524806E-2</v>
      </c>
      <c r="S57" s="976">
        <v>3.2857010990932967E-2</v>
      </c>
      <c r="T57" s="1814">
        <v>3.6139698616868943E-2</v>
      </c>
      <c r="U57" s="999">
        <v>3.3373684788006841E-2</v>
      </c>
      <c r="V57" s="1814">
        <v>4.4702730211950481E-2</v>
      </c>
      <c r="W57" s="981">
        <v>3.6823011487841617E-2</v>
      </c>
      <c r="X57" s="3008">
        <v>4.6057642095141738E-2</v>
      </c>
      <c r="Y57" s="743">
        <v>2.1354593447896253E-2</v>
      </c>
    </row>
    <row r="58" spans="1:25">
      <c r="A58" s="324">
        <f t="shared" si="1"/>
        <v>2020.01</v>
      </c>
      <c r="B58" s="966">
        <v>2.2528949260559816E-2</v>
      </c>
      <c r="C58" s="3008">
        <v>1.889838269420574E-2</v>
      </c>
      <c r="D58" s="976">
        <v>2.5070051206209865E-2</v>
      </c>
      <c r="E58" s="3008">
        <v>2.4337542778990473E-2</v>
      </c>
      <c r="F58" s="976">
        <v>3.093417674585841E-2</v>
      </c>
      <c r="G58" s="3008">
        <v>2.5135582594613348E-2</v>
      </c>
      <c r="H58" s="485">
        <v>2.5209514763806951E-2</v>
      </c>
      <c r="I58" s="981">
        <v>4.6804207545119603E-2</v>
      </c>
      <c r="J58" s="3008">
        <v>4.3461607682616643E-2</v>
      </c>
      <c r="K58" s="976">
        <v>1.0575026615711636E-2</v>
      </c>
      <c r="L58" s="3008">
        <v>6.3577168164332676E-3</v>
      </c>
      <c r="M58" s="976">
        <v>-1.2920500374733246E-2</v>
      </c>
      <c r="N58" s="3008">
        <v>-1.9964035310785833E-2</v>
      </c>
      <c r="O58" s="976">
        <v>1.4738394493752693E-2</v>
      </c>
      <c r="P58" s="3008">
        <v>1.3483381724701538E-3</v>
      </c>
      <c r="Q58" s="976">
        <v>4.997510023017937E-2</v>
      </c>
      <c r="R58" s="3008">
        <v>5.3129590341043365E-3</v>
      </c>
      <c r="S58" s="976">
        <v>4.1738887752166276E-2</v>
      </c>
      <c r="T58" s="1814">
        <v>3.0735551021392027E-2</v>
      </c>
      <c r="U58" s="999">
        <v>2.5850443728753447E-2</v>
      </c>
      <c r="V58" s="1814">
        <v>1.5510176303290324E-2</v>
      </c>
      <c r="W58" s="981">
        <v>2.440934291841157E-2</v>
      </c>
      <c r="X58" s="3008">
        <v>1.1331133183050124E-2</v>
      </c>
      <c r="Y58" s="743">
        <v>3.6368592837694447E-2</v>
      </c>
    </row>
    <row r="59" spans="1:25">
      <c r="A59" s="324">
        <f t="shared" si="1"/>
        <v>2020.02</v>
      </c>
      <c r="B59" s="966">
        <v>2.0136293736429556E-2</v>
      </c>
      <c r="C59" s="3008">
        <v>1.8310154619005869E-2</v>
      </c>
      <c r="D59" s="976">
        <v>2.2504107653098071E-2</v>
      </c>
      <c r="E59" s="3008">
        <v>1.8290425624644335E-2</v>
      </c>
      <c r="F59" s="976">
        <v>2.2225544714693957E-2</v>
      </c>
      <c r="G59" s="3008">
        <v>2.2947928231808801E-2</v>
      </c>
      <c r="H59" s="485">
        <v>1.7795919145872308E-2</v>
      </c>
      <c r="I59" s="981">
        <v>2.6680386177670767E-2</v>
      </c>
      <c r="J59" s="3008">
        <v>1.3033191075337847E-2</v>
      </c>
      <c r="K59" s="976">
        <v>2.387136200443063E-2</v>
      </c>
      <c r="L59" s="3008">
        <v>6.1197743893275369E-3</v>
      </c>
      <c r="M59" s="976">
        <v>2.0777918176499321E-2</v>
      </c>
      <c r="N59" s="3008">
        <v>4.4410547821729374E-3</v>
      </c>
      <c r="O59" s="976">
        <v>1.6230918250262016E-2</v>
      </c>
      <c r="P59" s="3008">
        <v>2.3202137820376834E-2</v>
      </c>
      <c r="Q59" s="976">
        <v>2.2083747246498531E-2</v>
      </c>
      <c r="R59" s="3008">
        <v>1.4378705410521997E-2</v>
      </c>
      <c r="S59" s="976">
        <v>3.067640248367165E-2</v>
      </c>
      <c r="T59" s="1814">
        <v>2.4399311620504793E-2</v>
      </c>
      <c r="U59" s="999">
        <v>2.157169433080397E-2</v>
      </c>
      <c r="V59" s="1814">
        <v>1.7185046917530755E-2</v>
      </c>
      <c r="W59" s="981">
        <v>2.3817624687057171E-2</v>
      </c>
      <c r="X59" s="3008">
        <v>7.0263908847161272E-3</v>
      </c>
      <c r="Y59" s="743">
        <v>2.5147698560459064E-2</v>
      </c>
    </row>
    <row r="60" spans="1:25">
      <c r="A60" s="324">
        <f t="shared" si="1"/>
        <v>2020.03</v>
      </c>
      <c r="B60" s="966">
        <v>3.3434686436722538E-2</v>
      </c>
      <c r="C60" s="3008">
        <v>3.5958414599450705E-2</v>
      </c>
      <c r="D60" s="976">
        <v>3.0398913615235168E-2</v>
      </c>
      <c r="E60" s="3008">
        <v>3.787714759415417E-2</v>
      </c>
      <c r="F60" s="976">
        <v>3.4757910693908878E-2</v>
      </c>
      <c r="G60" s="3008">
        <v>3.1250184666598679E-2</v>
      </c>
      <c r="H60" s="485">
        <v>2.598619504303934E-2</v>
      </c>
      <c r="I60" s="981">
        <v>3.9330672478020023E-2</v>
      </c>
      <c r="J60" s="3008">
        <v>2.8675840840233002E-2</v>
      </c>
      <c r="K60" s="976">
        <v>4.1723561625079952E-2</v>
      </c>
      <c r="L60" s="3008">
        <v>1.3728944446371516E-2</v>
      </c>
      <c r="M60" s="976">
        <v>2.8963294009172191E-2</v>
      </c>
      <c r="N60" s="3008">
        <v>2.6599246971787727E-2</v>
      </c>
      <c r="O60" s="976">
        <v>1.6241805771222584E-2</v>
      </c>
      <c r="P60" s="3008">
        <v>8.2561646772925545E-2</v>
      </c>
      <c r="Q60" s="976">
        <v>2.4969669580192866E-2</v>
      </c>
      <c r="R60" s="3008">
        <v>0.17451628028692068</v>
      </c>
      <c r="S60" s="976">
        <v>2.1558802076222294E-2</v>
      </c>
      <c r="T60" s="1814">
        <v>2.040167493026912E-2</v>
      </c>
      <c r="U60" s="999">
        <v>3.228134024552598E-2</v>
      </c>
      <c r="V60" s="1814">
        <v>3.530894284697772E-2</v>
      </c>
      <c r="W60" s="981">
        <v>3.120592995324345E-2</v>
      </c>
      <c r="X60" s="3008">
        <v>3.280254856363185E-2</v>
      </c>
      <c r="Y60" s="743">
        <v>4.9067765541696895E-2</v>
      </c>
    </row>
    <row r="61" spans="1:25">
      <c r="A61" s="324">
        <f t="shared" si="1"/>
        <v>2020.04</v>
      </c>
      <c r="B61" s="966">
        <v>1.4965725908725691E-2</v>
      </c>
      <c r="C61" s="3008">
        <v>1.3965973965299083E-2</v>
      </c>
      <c r="D61" s="976">
        <v>1.4678438501949387E-2</v>
      </c>
      <c r="E61" s="3008">
        <v>2.5915580786387782E-2</v>
      </c>
      <c r="F61" s="976">
        <v>2.1417348187262597E-2</v>
      </c>
      <c r="G61" s="3008">
        <v>1.2942427764508047E-2</v>
      </c>
      <c r="H61" s="485">
        <v>6.1542395691380758E-3</v>
      </c>
      <c r="I61" s="981">
        <v>3.1695973706349578E-2</v>
      </c>
      <c r="J61" s="3008">
        <v>1.4018093039334323E-2</v>
      </c>
      <c r="K61" s="976">
        <v>1.4948337785920751E-2</v>
      </c>
      <c r="L61" s="3008">
        <v>5.0558938311739965E-5</v>
      </c>
      <c r="M61" s="976">
        <v>1.2321138693892397E-2</v>
      </c>
      <c r="N61" s="3008">
        <v>1.1790916141602326E-2</v>
      </c>
      <c r="O61" s="976">
        <v>1.338341500752116E-2</v>
      </c>
      <c r="P61" s="3008">
        <v>-4.0951213908248518E-2</v>
      </c>
      <c r="Q61" s="976">
        <v>2.3078263161536716E-2</v>
      </c>
      <c r="R61" s="3008">
        <v>-1.4692377428760617E-2</v>
      </c>
      <c r="S61" s="976">
        <v>1.5032555945480475E-2</v>
      </c>
      <c r="T61" s="1814">
        <v>1.6713348405066331E-3</v>
      </c>
      <c r="U61" s="999">
        <v>2.3131994879502127E-2</v>
      </c>
      <c r="V61" s="1814">
        <v>-1.8555572600184034E-3</v>
      </c>
      <c r="W61" s="981">
        <v>1.7157568530824063E-2</v>
      </c>
      <c r="X61" s="3008">
        <v>-6.6252785142211224E-3</v>
      </c>
      <c r="Y61" s="743">
        <v>4.8346955456409324E-2</v>
      </c>
    </row>
    <row r="62" spans="1:25">
      <c r="A62" s="324">
        <f t="shared" si="1"/>
        <v>2020.05</v>
      </c>
      <c r="B62" s="966">
        <v>1.5427362512386189E-2</v>
      </c>
      <c r="C62" s="3008">
        <v>1.5153942769465356E-2</v>
      </c>
      <c r="D62" s="976">
        <v>1.5613504087952368E-2</v>
      </c>
      <c r="E62" s="3008">
        <v>1.674404322410239E-2</v>
      </c>
      <c r="F62" s="976">
        <v>1.6471551717072597E-2</v>
      </c>
      <c r="G62" s="3008">
        <v>1.346219240611024E-2</v>
      </c>
      <c r="H62" s="485">
        <v>1.5930122714461703E-2</v>
      </c>
      <c r="I62" s="981">
        <v>6.8012354822470922E-3</v>
      </c>
      <c r="J62" s="3008">
        <v>7.567715645651063E-4</v>
      </c>
      <c r="K62" s="976">
        <v>7.5448800910047575E-2</v>
      </c>
      <c r="L62" s="3008">
        <v>1.079255452459682E-3</v>
      </c>
      <c r="M62" s="976">
        <v>2.8296250055736438E-2</v>
      </c>
      <c r="N62" s="3008">
        <v>1.0640342049484053E-2</v>
      </c>
      <c r="O62" s="976">
        <v>1.0519938174651466E-2</v>
      </c>
      <c r="P62" s="3008">
        <v>3.3333636241219544E-3</v>
      </c>
      <c r="Q62" s="976">
        <v>2.4527291216888791E-2</v>
      </c>
      <c r="R62" s="3008">
        <v>-4.1704216376513559E-3</v>
      </c>
      <c r="S62" s="976">
        <v>1.5432388899157434E-2</v>
      </c>
      <c r="T62" s="1814">
        <v>1.9243467261538694E-2</v>
      </c>
      <c r="U62" s="999">
        <v>2.0237279674395925E-2</v>
      </c>
      <c r="V62" s="1814">
        <v>6.2696177224415006E-3</v>
      </c>
      <c r="W62" s="981">
        <v>1.6056784083697373E-2</v>
      </c>
      <c r="X62" s="3008">
        <v>-8.4816818726185517E-4</v>
      </c>
      <c r="Y62" s="743">
        <v>4.6845224603554447E-2</v>
      </c>
    </row>
    <row r="63" spans="1:25">
      <c r="A63" s="324">
        <f t="shared" si="1"/>
        <v>2020.06</v>
      </c>
      <c r="B63" s="966">
        <v>2.2435391591276943E-2</v>
      </c>
      <c r="C63" s="3008">
        <v>2.0488781139482048E-2</v>
      </c>
      <c r="D63" s="976">
        <v>2.526745055221391E-2</v>
      </c>
      <c r="E63" s="3008">
        <v>2.2102327254348353E-2</v>
      </c>
      <c r="F63" s="976">
        <v>2.3063843221315272E-2</v>
      </c>
      <c r="G63" s="3008">
        <v>2.3283651331019284E-2</v>
      </c>
      <c r="H63" s="485">
        <v>1.9220693189425653E-2</v>
      </c>
      <c r="I63" s="981">
        <v>1.0419479986683466E-2</v>
      </c>
      <c r="J63" s="3008">
        <v>3.785292627075898E-2</v>
      </c>
      <c r="K63" s="976">
        <v>6.6470449966904654E-2</v>
      </c>
      <c r="L63" s="3008">
        <v>9.2051989835570946E-3</v>
      </c>
      <c r="M63" s="976">
        <v>4.0665322761968437E-2</v>
      </c>
      <c r="N63" s="3008">
        <v>2.2352093666809347E-2</v>
      </c>
      <c r="O63" s="976">
        <v>1.8256135342281654E-2</v>
      </c>
      <c r="P63" s="3008">
        <v>4.1036653042674232E-3</v>
      </c>
      <c r="Q63" s="976">
        <v>4.1698458974321451E-2</v>
      </c>
      <c r="R63" s="3008">
        <v>3.694783020978587E-3</v>
      </c>
      <c r="S63" s="976">
        <v>2.2488712476917083E-2</v>
      </c>
      <c r="T63" s="1814">
        <v>3.3353773885991256E-3</v>
      </c>
      <c r="U63" s="999">
        <v>2.8996314722397942E-2</v>
      </c>
      <c r="V63" s="1814">
        <v>9.22711645107821E-3</v>
      </c>
      <c r="W63" s="981">
        <v>2.3151447643699141E-2</v>
      </c>
      <c r="X63" s="3008">
        <v>7.4875824295932425E-3</v>
      </c>
      <c r="Y63" s="743">
        <v>4.7715038943074051E-2</v>
      </c>
    </row>
    <row r="64" spans="1:25">
      <c r="A64" s="324">
        <f t="shared" si="1"/>
        <v>2020.07</v>
      </c>
      <c r="B64" s="966">
        <v>1.9341946456512993E-2</v>
      </c>
      <c r="C64" s="3008">
        <v>1.6420650897843947E-2</v>
      </c>
      <c r="D64" s="976">
        <v>2.1321407749698373E-2</v>
      </c>
      <c r="E64" s="3008">
        <v>1.8938357431879993E-2</v>
      </c>
      <c r="F64" s="976">
        <v>2.2019483822389052E-2</v>
      </c>
      <c r="G64" s="3008">
        <v>2.2655973467418544E-2</v>
      </c>
      <c r="H64" s="485">
        <v>2.7304743719430036E-2</v>
      </c>
      <c r="I64" s="981">
        <v>1.2859994331221758E-2</v>
      </c>
      <c r="J64" s="3008">
        <v>1.3737159419185518E-2</v>
      </c>
      <c r="K64" s="976">
        <v>3.2763050253872494E-2</v>
      </c>
      <c r="L64" s="3008">
        <v>1.0258758971188664E-2</v>
      </c>
      <c r="M64" s="976">
        <v>3.8746327069804076E-2</v>
      </c>
      <c r="N64" s="3008">
        <v>2.1694334766383383E-2</v>
      </c>
      <c r="O64" s="976">
        <v>1.8355701068377028E-2</v>
      </c>
      <c r="P64" s="3008">
        <v>7.2258648569751838E-3</v>
      </c>
      <c r="Q64" s="976">
        <v>3.2888329803665739E-2</v>
      </c>
      <c r="R64" s="3008">
        <v>1.0625236977948038E-3</v>
      </c>
      <c r="S64" s="976">
        <v>1.938610771921101E-2</v>
      </c>
      <c r="T64" s="1814">
        <v>2.3159249393569503E-2</v>
      </c>
      <c r="U64" s="999">
        <v>2.3289660835785098E-2</v>
      </c>
      <c r="V64" s="1814">
        <v>1.0646171739733701E-2</v>
      </c>
      <c r="W64" s="981">
        <v>2.5332739813328065E-2</v>
      </c>
      <c r="X64" s="3008">
        <v>5.1585381068244285E-3</v>
      </c>
      <c r="Y64" s="743">
        <v>9.470177154022652E-3</v>
      </c>
    </row>
    <row r="65" spans="1:25">
      <c r="A65" s="324">
        <f t="shared" si="1"/>
        <v>2020.08</v>
      </c>
      <c r="B65" s="966">
        <v>2.7001103590661213E-2</v>
      </c>
      <c r="C65" s="3008">
        <v>2.7942931537865201E-2</v>
      </c>
      <c r="D65" s="976">
        <v>2.629744067530182E-2</v>
      </c>
      <c r="E65" s="3008">
        <v>2.5544301709592876E-2</v>
      </c>
      <c r="F65" s="976">
        <v>2.3424605000084586E-2</v>
      </c>
      <c r="G65" s="3008">
        <v>2.6915572793070108E-2</v>
      </c>
      <c r="H65" s="485">
        <v>2.90856307128462E-2</v>
      </c>
      <c r="I65" s="981">
        <v>3.4663577797929612E-2</v>
      </c>
      <c r="J65" s="3008">
        <v>1.301763943624934E-2</v>
      </c>
      <c r="K65" s="976">
        <v>2.2156401478315546E-2</v>
      </c>
      <c r="L65" s="3008">
        <v>2.3292633644203864E-2</v>
      </c>
      <c r="M65" s="976">
        <v>3.4581059618981724E-2</v>
      </c>
      <c r="N65" s="3008">
        <v>2.4020976775272374E-2</v>
      </c>
      <c r="O65" s="976">
        <v>2.8456964290136222E-2</v>
      </c>
      <c r="P65" s="3008">
        <v>2.9560700794581951E-3</v>
      </c>
      <c r="Q65" s="976">
        <v>3.3030341430897447E-2</v>
      </c>
      <c r="R65" s="3008">
        <v>7.6547755858389355E-3</v>
      </c>
      <c r="S65" s="976">
        <v>1.8683788677291924E-2</v>
      </c>
      <c r="T65" s="1814">
        <v>3.3274630078236278E-2</v>
      </c>
      <c r="U65" s="999">
        <v>3.2755291293591782E-2</v>
      </c>
      <c r="V65" s="1814">
        <v>1.5076209843526422E-2</v>
      </c>
      <c r="W65" s="981">
        <v>3.0332743829144526E-2</v>
      </c>
      <c r="X65" s="3008">
        <v>1.0069554789386981E-2</v>
      </c>
      <c r="Y65" s="743">
        <v>3.9755753590149379E-2</v>
      </c>
    </row>
    <row r="66" spans="1:25">
      <c r="A66" s="324">
        <f t="shared" si="1"/>
        <v>2020.09</v>
      </c>
      <c r="B66" s="966">
        <v>2.8355216469789557E-2</v>
      </c>
      <c r="C66" s="3008">
        <v>2.7755258811012595E-2</v>
      </c>
      <c r="D66" s="976">
        <v>2.903936100470661E-2</v>
      </c>
      <c r="E66" s="3008">
        <v>2.3186773308560005E-2</v>
      </c>
      <c r="F66" s="976">
        <v>3.3996790666793064E-2</v>
      </c>
      <c r="G66" s="3008">
        <v>3.5660735619181816E-2</v>
      </c>
      <c r="H66" s="485">
        <v>2.2723328644406626E-2</v>
      </c>
      <c r="I66" s="981">
        <v>2.9561698519518398E-2</v>
      </c>
      <c r="J66" s="3008">
        <v>4.2701115024688319E-2</v>
      </c>
      <c r="K66" s="976">
        <v>5.8366415406228001E-2</v>
      </c>
      <c r="L66" s="3008">
        <v>1.5224150378478463E-2</v>
      </c>
      <c r="M66" s="976">
        <v>2.5856473423791382E-2</v>
      </c>
      <c r="N66" s="3008">
        <v>3.4892373914474861E-2</v>
      </c>
      <c r="O66" s="976">
        <v>3.599849614637507E-2</v>
      </c>
      <c r="P66" s="3008">
        <v>1.3780309985271799E-3</v>
      </c>
      <c r="Q66" s="976">
        <v>1.8715402025221151E-2</v>
      </c>
      <c r="R66" s="3008">
        <v>2.9561066342542741E-3</v>
      </c>
      <c r="S66" s="976">
        <v>1.7416655672952697E-2</v>
      </c>
      <c r="T66" s="1814">
        <v>1.8153061126732206E-2</v>
      </c>
      <c r="U66" s="999">
        <v>3.6392626932057137E-2</v>
      </c>
      <c r="V66" s="1814">
        <v>1.1395680135069419E-2</v>
      </c>
      <c r="W66" s="981">
        <v>2.3168947439132337E-2</v>
      </c>
      <c r="X66" s="3008">
        <v>1.9280891232550612E-2</v>
      </c>
      <c r="Y66" s="743">
        <v>7.8742258067652449E-2</v>
      </c>
    </row>
    <row r="67" spans="1:25">
      <c r="A67" s="324">
        <f t="shared" si="1"/>
        <v>2020.1</v>
      </c>
      <c r="B67" s="966">
        <v>3.7609698439821981E-2</v>
      </c>
      <c r="C67" s="3008">
        <v>3.5618447530375352E-2</v>
      </c>
      <c r="D67" s="976">
        <v>4.0147184440501915E-2</v>
      </c>
      <c r="E67" s="3008">
        <v>4.068586643241523E-2</v>
      </c>
      <c r="F67" s="976">
        <v>3.746017580802441E-2</v>
      </c>
      <c r="G67" s="3008">
        <v>3.6607839935713926E-2</v>
      </c>
      <c r="H67" s="485">
        <v>3.4622168183348956E-2</v>
      </c>
      <c r="I67" s="981">
        <v>4.7719229017051168E-2</v>
      </c>
      <c r="J67" s="3008">
        <v>1.9024635894263842E-2</v>
      </c>
      <c r="K67" s="976">
        <v>6.247883923263009E-2</v>
      </c>
      <c r="L67" s="3008">
        <v>2.3266537156161116E-2</v>
      </c>
      <c r="M67" s="976">
        <v>4.4881888000215087E-2</v>
      </c>
      <c r="N67" s="3008">
        <v>3.0858732902316666E-2</v>
      </c>
      <c r="O67" s="976">
        <v>4.1631804786914195E-2</v>
      </c>
      <c r="P67" s="3008">
        <v>-1.3280388311529556E-3</v>
      </c>
      <c r="Q67" s="976">
        <v>2.5753892147849067E-2</v>
      </c>
      <c r="R67" s="3008">
        <v>1.330573382695821E-3</v>
      </c>
      <c r="S67" s="976">
        <v>3.3817848490800717E-2</v>
      </c>
      <c r="T67" s="1814">
        <v>2.1006556315595892E-2</v>
      </c>
      <c r="U67" s="999">
        <v>4.5961267666512429E-2</v>
      </c>
      <c r="V67" s="1814">
        <v>1.8769461625130379E-2</v>
      </c>
      <c r="W67" s="981">
        <v>3.4596015710900874E-2</v>
      </c>
      <c r="X67" s="3008">
        <v>1.4941267531069835E-2</v>
      </c>
      <c r="Y67" s="743">
        <v>9.5631607499263582E-2</v>
      </c>
    </row>
    <row r="68" spans="1:25">
      <c r="A68" s="324">
        <f t="shared" si="1"/>
        <v>2020.11</v>
      </c>
      <c r="B68" s="966">
        <v>3.1597049410966527E-2</v>
      </c>
      <c r="C68" s="3008">
        <v>2.9723456879644505E-2</v>
      </c>
      <c r="D68" s="976">
        <v>3.3760059325991021E-2</v>
      </c>
      <c r="E68" s="3008">
        <v>3.1050664537877193E-2</v>
      </c>
      <c r="F68" s="976">
        <v>3.67810862666762E-2</v>
      </c>
      <c r="G68" s="3008">
        <v>3.1494685166041148E-2</v>
      </c>
      <c r="H68" s="485">
        <v>2.920307815624068E-2</v>
      </c>
      <c r="I68" s="981">
        <v>2.7233756231327177E-2</v>
      </c>
      <c r="J68" s="3008">
        <v>2.9802307210418544E-2</v>
      </c>
      <c r="K68" s="976">
        <v>3.6833011965367923E-2</v>
      </c>
      <c r="L68" s="3008">
        <v>2.5213331113413062E-2</v>
      </c>
      <c r="M68" s="976">
        <v>3.9440530135770757E-2</v>
      </c>
      <c r="N68" s="3008">
        <v>3.669216959011945E-2</v>
      </c>
      <c r="O68" s="976">
        <v>3.6171813695642818E-2</v>
      </c>
      <c r="P68" s="3008">
        <v>-5.7591508296331861E-3</v>
      </c>
      <c r="Q68" s="976">
        <v>5.0893216218192538E-2</v>
      </c>
      <c r="R68" s="3008">
        <v>4.4497622853094665E-3</v>
      </c>
      <c r="S68" s="976">
        <v>3.2186629362153774E-2</v>
      </c>
      <c r="T68" s="1814">
        <v>2.6410289714288826E-2</v>
      </c>
      <c r="U68" s="999">
        <v>3.3699489728449938E-2</v>
      </c>
      <c r="V68" s="1814">
        <v>2.5613197240593077E-2</v>
      </c>
      <c r="W68" s="981">
        <v>3.9376689858741543E-2</v>
      </c>
      <c r="X68" s="3008">
        <v>1.2016279546846587E-2</v>
      </c>
      <c r="Y68" s="743">
        <v>2.0370220407239792E-2</v>
      </c>
    </row>
    <row r="69" spans="1:25">
      <c r="A69" s="324">
        <f t="shared" si="1"/>
        <v>2020.12</v>
      </c>
      <c r="B69" s="966">
        <v>4.0055673383535328E-2</v>
      </c>
      <c r="C69" s="3008">
        <v>3.7169694180610113E-2</v>
      </c>
      <c r="D69" s="976">
        <v>4.1918616128254982E-2</v>
      </c>
      <c r="E69" s="3008">
        <v>4.3102837348282463E-2</v>
      </c>
      <c r="F69" s="976">
        <v>5.548968800844678E-2</v>
      </c>
      <c r="G69" s="3008">
        <v>4.2782916956893624E-2</v>
      </c>
      <c r="H69" s="485">
        <v>3.0236917902687566E-2</v>
      </c>
      <c r="I69" s="981">
        <v>4.3515169429207745E-2</v>
      </c>
      <c r="J69" s="3008">
        <v>3.3933259503956759E-2</v>
      </c>
      <c r="K69" s="976">
        <v>3.6138671512365494E-2</v>
      </c>
      <c r="L69" s="3008">
        <v>2.9596872620128556E-2</v>
      </c>
      <c r="M69" s="976">
        <v>2.3934783309166985E-2</v>
      </c>
      <c r="N69" s="3008">
        <v>5.2411461136113502E-2</v>
      </c>
      <c r="O69" s="976">
        <v>4.8948635985916589E-2</v>
      </c>
      <c r="P69" s="3008">
        <v>-2.8546198443701876E-4</v>
      </c>
      <c r="Q69" s="976">
        <v>5.2035259494090491E-2</v>
      </c>
      <c r="R69" s="3008">
        <v>4.9454597614961848E-4</v>
      </c>
      <c r="S69" s="976">
        <v>4.5925793138877458E-2</v>
      </c>
      <c r="T69" s="1814">
        <v>1.7339008251152421E-2</v>
      </c>
      <c r="U69" s="999">
        <v>3.8896699607055663E-2</v>
      </c>
      <c r="V69" s="1814">
        <v>4.0116646225943464E-2</v>
      </c>
      <c r="W69" s="981">
        <v>4.8710010375309087E-2</v>
      </c>
      <c r="X69" s="3008">
        <v>2.6487878894409178E-2</v>
      </c>
      <c r="Y69" s="743">
        <v>1.3367070773544043E-2</v>
      </c>
    </row>
    <row r="70" spans="1:25">
      <c r="A70" s="324">
        <f t="shared" si="1"/>
        <v>2021.01</v>
      </c>
      <c r="B70" s="966">
        <v>4.0490294198287202E-2</v>
      </c>
      <c r="C70" s="3008">
        <v>3.2872767508454359E-2</v>
      </c>
      <c r="D70" s="976">
        <v>4.6229961258070995E-2</v>
      </c>
      <c r="E70" s="3008">
        <v>5.5123809098887699E-2</v>
      </c>
      <c r="F70" s="976">
        <v>4.3149207565559733E-2</v>
      </c>
      <c r="G70" s="3008">
        <v>4.4594875219063468E-2</v>
      </c>
      <c r="H70" s="485">
        <v>4.1123532928520667E-2</v>
      </c>
      <c r="I70" s="981">
        <v>4.823815019032196E-2</v>
      </c>
      <c r="J70" s="3008">
        <v>4.5008057648049382E-2</v>
      </c>
      <c r="K70" s="976">
        <v>1.3734506499589516E-2</v>
      </c>
      <c r="L70" s="3008">
        <v>1.1390011533745747E-2</v>
      </c>
      <c r="M70" s="976">
        <v>2.9655656637951555E-2</v>
      </c>
      <c r="N70" s="3008">
        <v>3.3910413707612053E-2</v>
      </c>
      <c r="O70" s="976">
        <v>4.5983319894933095E-2</v>
      </c>
      <c r="P70" s="3008">
        <v>0.15129640558173563</v>
      </c>
      <c r="Q70" s="976">
        <v>4.8156321644276856E-2</v>
      </c>
      <c r="R70" s="3008">
        <v>5.7928097864532457E-3</v>
      </c>
      <c r="S70" s="976">
        <v>5.38596961428921E-2</v>
      </c>
      <c r="T70" s="1814">
        <v>2.0420692578678734E-2</v>
      </c>
      <c r="U70" s="999">
        <v>4.1899483653254466E-2</v>
      </c>
      <c r="V70" s="1814">
        <v>3.7998848990346445E-2</v>
      </c>
      <c r="W70" s="981">
        <v>3.9158779370236152E-2</v>
      </c>
      <c r="X70" s="3008">
        <v>5.1413759627029654E-2</v>
      </c>
      <c r="Y70" s="743">
        <v>3.0153622315699291E-2</v>
      </c>
    </row>
    <row r="71" spans="1:25">
      <c r="A71" s="324">
        <f t="shared" si="1"/>
        <v>2021.02</v>
      </c>
      <c r="B71" s="966">
        <v>3.57463168148211E-2</v>
      </c>
      <c r="C71" s="3008">
        <v>3.6051266750101618E-2</v>
      </c>
      <c r="D71" s="976">
        <v>3.4484750490264782E-2</v>
      </c>
      <c r="E71" s="3008">
        <v>3.2923617102607272E-2</v>
      </c>
      <c r="F71" s="976">
        <v>3.7966819709376542E-2</v>
      </c>
      <c r="G71" s="3008">
        <v>4.0820803473944123E-2</v>
      </c>
      <c r="H71" s="485">
        <v>3.8555313439230909E-2</v>
      </c>
      <c r="I71" s="981">
        <v>3.8214149695860122E-2</v>
      </c>
      <c r="J71" s="3008">
        <v>3.5872206959914221E-2</v>
      </c>
      <c r="K71" s="976">
        <v>2.8152212624487305E-2</v>
      </c>
      <c r="L71" s="3008">
        <v>2.0430333884142726E-2</v>
      </c>
      <c r="M71" s="976">
        <v>4.5559857076703292E-2</v>
      </c>
      <c r="N71" s="3008">
        <v>3.4933278346461094E-2</v>
      </c>
      <c r="O71" s="976">
        <v>4.8242906160876897E-2</v>
      </c>
      <c r="P71" s="3008">
        <v>1.8299506349785499E-2</v>
      </c>
      <c r="Q71" s="976">
        <v>2.2957375297134597E-2</v>
      </c>
      <c r="R71" s="3008">
        <v>1.0836622926018169E-3</v>
      </c>
      <c r="S71" s="976">
        <v>5.3988070565885504E-2</v>
      </c>
      <c r="T71" s="1814">
        <v>3.2256939789568451E-2</v>
      </c>
      <c r="U71" s="999">
        <v>4.0075929538888611E-2</v>
      </c>
      <c r="V71" s="1814">
        <v>2.5462879972041108E-2</v>
      </c>
      <c r="W71" s="981">
        <v>4.0697184753073046E-2</v>
      </c>
      <c r="X71" s="3008">
        <v>2.1532687281789586E-2</v>
      </c>
      <c r="Y71" s="743">
        <v>3.1219628041479597E-2</v>
      </c>
    </row>
    <row r="72" spans="1:25">
      <c r="A72" s="324">
        <f t="shared" si="1"/>
        <v>2021.03</v>
      </c>
      <c r="B72" s="966">
        <v>4.8108074962817993E-2</v>
      </c>
      <c r="C72" s="3008">
        <v>5.1968423144926446E-2</v>
      </c>
      <c r="D72" s="976">
        <v>4.8241990041874239E-2</v>
      </c>
      <c r="E72" s="3008">
        <v>4.1850519470913339E-2</v>
      </c>
      <c r="F72" s="976">
        <v>3.3275381484669353E-2</v>
      </c>
      <c r="G72" s="3008">
        <v>4.3388032274635391E-2</v>
      </c>
      <c r="H72" s="485">
        <v>4.050153522722777E-2</v>
      </c>
      <c r="I72" s="981">
        <v>4.5914478400588266E-2</v>
      </c>
      <c r="J72" s="3008">
        <v>6.4266833277262458E-2</v>
      </c>
      <c r="K72" s="976">
        <v>0.10810962719713202</v>
      </c>
      <c r="L72" s="3008">
        <v>1.3172527324641914E-2</v>
      </c>
      <c r="M72" s="976">
        <v>3.1657011664340207E-2</v>
      </c>
      <c r="N72" s="3008">
        <v>3.9869020169266634E-2</v>
      </c>
      <c r="O72" s="976">
        <v>4.1888267725434192E-2</v>
      </c>
      <c r="P72" s="3008">
        <v>6.7542607683335198E-4</v>
      </c>
      <c r="Q72" s="976">
        <v>5.3407960630558859E-2</v>
      </c>
      <c r="R72" s="3008">
        <v>0.28490404841267281</v>
      </c>
      <c r="S72" s="976">
        <v>3.1466112700151871E-2</v>
      </c>
      <c r="T72" s="1814">
        <v>2.2070246171352892E-2</v>
      </c>
      <c r="U72" s="999">
        <v>5.0853331042663097E-2</v>
      </c>
      <c r="V72" s="1814">
        <v>4.3275060832240531E-2</v>
      </c>
      <c r="W72" s="981">
        <v>4.5260548442331849E-2</v>
      </c>
      <c r="X72" s="3008">
        <v>4.513437091453687E-2</v>
      </c>
      <c r="Y72" s="743">
        <v>7.1630731784378954E-2</v>
      </c>
    </row>
    <row r="73" spans="1:25">
      <c r="A73" s="324">
        <f t="shared" si="1"/>
        <v>2021.04</v>
      </c>
      <c r="B73" s="966">
        <v>4.0802935399596674E-2</v>
      </c>
      <c r="C73" s="3008">
        <v>4.1091859445749224E-2</v>
      </c>
      <c r="D73" s="976">
        <v>3.9540988912438957E-2</v>
      </c>
      <c r="E73" s="3008">
        <v>3.9937666118565973E-2</v>
      </c>
      <c r="F73" s="976">
        <v>4.1338639580825509E-2</v>
      </c>
      <c r="G73" s="3008">
        <v>4.169239421379678E-2</v>
      </c>
      <c r="H73" s="485">
        <v>4.7519516701369557E-2</v>
      </c>
      <c r="I73" s="981">
        <v>4.317336326458765E-2</v>
      </c>
      <c r="J73" s="3008">
        <v>3.5823594823242599E-2</v>
      </c>
      <c r="K73" s="976">
        <v>6.0200710347083186E-2</v>
      </c>
      <c r="L73" s="3008">
        <v>3.4646279385549983E-2</v>
      </c>
      <c r="M73" s="976">
        <v>4.2925654797739909E-2</v>
      </c>
      <c r="N73" s="3008">
        <v>3.7275618793036536E-2</v>
      </c>
      <c r="O73" s="976">
        <v>5.651565902892397E-2</v>
      </c>
      <c r="P73" s="3008">
        <v>5.3118227675401641E-3</v>
      </c>
      <c r="Q73" s="976">
        <v>1.4840529666992008E-2</v>
      </c>
      <c r="R73" s="3008">
        <v>2.4769284938201297E-2</v>
      </c>
      <c r="S73" s="976">
        <v>3.875497350975432E-2</v>
      </c>
      <c r="T73" s="1814">
        <v>3.6441012957994401E-2</v>
      </c>
      <c r="U73" s="999">
        <v>4.6964376476232195E-2</v>
      </c>
      <c r="V73" s="1814">
        <v>2.5036618713369707E-2</v>
      </c>
      <c r="W73" s="981">
        <v>4.5589513719098029E-2</v>
      </c>
      <c r="X73" s="3008">
        <v>3.5300491646052201E-2</v>
      </c>
      <c r="Y73" s="743">
        <v>2.1577094795032004E-2</v>
      </c>
    </row>
    <row r="74" spans="1:25">
      <c r="A74" s="324">
        <f t="shared" si="1"/>
        <v>2021.05</v>
      </c>
      <c r="B74" s="966">
        <v>3.3229780736395487E-2</v>
      </c>
      <c r="C74" s="3008">
        <v>3.369597563224791E-2</v>
      </c>
      <c r="D74" s="976">
        <v>3.2301467680478479E-2</v>
      </c>
      <c r="E74" s="3008">
        <v>3.2453268469876617E-2</v>
      </c>
      <c r="F74" s="976">
        <v>3.1457044157977565E-2</v>
      </c>
      <c r="G74" s="3008">
        <v>3.6358526499834287E-2</v>
      </c>
      <c r="H74" s="485">
        <v>3.5144406810333262E-2</v>
      </c>
      <c r="I74" s="981">
        <v>3.1042470015524515E-2</v>
      </c>
      <c r="J74" s="3008">
        <v>1.6118646598065611E-2</v>
      </c>
      <c r="K74" s="976">
        <v>2.1003519781370494E-2</v>
      </c>
      <c r="L74" s="3008">
        <v>2.0318119664584078E-2</v>
      </c>
      <c r="M74" s="976">
        <v>2.3644020663659893E-2</v>
      </c>
      <c r="N74" s="3008">
        <v>4.7524272042602789E-2</v>
      </c>
      <c r="O74" s="976">
        <v>5.9563228538183743E-2</v>
      </c>
      <c r="P74" s="3008">
        <v>9.8898773124369566E-3</v>
      </c>
      <c r="Q74" s="976">
        <v>3.1073125433875193E-2</v>
      </c>
      <c r="R74" s="3008">
        <v>2.2784693774226872E-2</v>
      </c>
      <c r="S74" s="976">
        <v>3.7316310789965002E-2</v>
      </c>
      <c r="T74" s="1814">
        <v>2.9086154329097225E-2</v>
      </c>
      <c r="U74" s="999">
        <v>3.5145655539582821E-2</v>
      </c>
      <c r="V74" s="1814">
        <v>2.7458605250306967E-2</v>
      </c>
      <c r="W74" s="981">
        <v>3.4797506938282874E-2</v>
      </c>
      <c r="X74" s="3008">
        <v>3.7698043955741056E-2</v>
      </c>
      <c r="Y74" s="743">
        <v>1.4887865342208206E-2</v>
      </c>
    </row>
    <row r="75" spans="1:25">
      <c r="A75" s="324">
        <f t="shared" si="1"/>
        <v>2021.06</v>
      </c>
      <c r="B75" s="966">
        <v>3.1745479758920503E-2</v>
      </c>
      <c r="C75" s="3008">
        <v>3.0645449418720716E-2</v>
      </c>
      <c r="D75" s="976">
        <v>3.2431176875069578E-2</v>
      </c>
      <c r="E75" s="3008">
        <v>3.2863347983856483E-2</v>
      </c>
      <c r="F75" s="976">
        <v>2.8534883353045437E-2</v>
      </c>
      <c r="G75" s="3008">
        <v>3.5469228720880874E-2</v>
      </c>
      <c r="H75" s="485">
        <v>3.4460532801019905E-2</v>
      </c>
      <c r="I75" s="981">
        <v>3.2407015524217542E-2</v>
      </c>
      <c r="J75" s="3008">
        <v>5.4925918346491409E-2</v>
      </c>
      <c r="K75" s="976">
        <v>3.4620679624022266E-2</v>
      </c>
      <c r="L75" s="3008">
        <v>2.4833249370768362E-2</v>
      </c>
      <c r="M75" s="976">
        <v>3.2338622181740106E-2</v>
      </c>
      <c r="N75" s="3008">
        <v>3.2084591462923528E-2</v>
      </c>
      <c r="O75" s="976">
        <v>3.2552984133142449E-2</v>
      </c>
      <c r="P75" s="3008">
        <v>7.0420195069754499E-2</v>
      </c>
      <c r="Q75" s="976">
        <v>2.2408617626279215E-2</v>
      </c>
      <c r="R75" s="3008">
        <v>1.1478937459374894E-2</v>
      </c>
      <c r="S75" s="976">
        <v>3.1216791452769233E-2</v>
      </c>
      <c r="T75" s="1814">
        <v>1.965278683492433E-2</v>
      </c>
      <c r="U75" s="999">
        <v>3.3846860437032333E-2</v>
      </c>
      <c r="V75" s="1814">
        <v>2.7394991627992749E-2</v>
      </c>
      <c r="W75" s="981">
        <v>3.6096552356174927E-2</v>
      </c>
      <c r="X75" s="3008">
        <v>3.2181866859289032E-2</v>
      </c>
      <c r="Y75" s="743">
        <v>5.0999784086660505E-3</v>
      </c>
    </row>
    <row r="76" spans="1:25">
      <c r="A76" s="324">
        <f t="shared" si="1"/>
        <v>2021.07</v>
      </c>
      <c r="B76" s="966">
        <v>2.9970333220362466E-2</v>
      </c>
      <c r="C76" s="3008">
        <v>3.0841320010875473E-2</v>
      </c>
      <c r="D76" s="976">
        <v>2.865666252137733E-2</v>
      </c>
      <c r="E76" s="3008">
        <v>2.7529381732412039E-2</v>
      </c>
      <c r="F76" s="976">
        <v>2.9767024352205018E-2</v>
      </c>
      <c r="G76" s="3008">
        <v>3.1686556978792968E-2</v>
      </c>
      <c r="H76" s="485">
        <v>3.3494321087429668E-2</v>
      </c>
      <c r="I76" s="981">
        <v>3.4063608020391101E-2</v>
      </c>
      <c r="J76" s="3008">
        <v>3.1064229315019176E-2</v>
      </c>
      <c r="K76" s="976">
        <v>1.2423493111972217E-2</v>
      </c>
      <c r="L76" s="3008">
        <v>2.8831209866767349E-2</v>
      </c>
      <c r="M76" s="976">
        <v>2.7285878760780591E-2</v>
      </c>
      <c r="N76" s="3008">
        <v>3.8224956560406254E-2</v>
      </c>
      <c r="O76" s="976">
        <v>2.2919855989489646E-2</v>
      </c>
      <c r="P76" s="3008">
        <v>3.6853413258901568E-3</v>
      </c>
      <c r="Q76" s="976">
        <v>3.0939667125280623E-2</v>
      </c>
      <c r="R76" s="3008">
        <v>2.5379486637342685E-2</v>
      </c>
      <c r="S76" s="976">
        <v>4.7620962295101821E-2</v>
      </c>
      <c r="T76" s="1814">
        <v>3.189907851241891E-2</v>
      </c>
      <c r="U76" s="999">
        <v>2.9204880903324071E-2</v>
      </c>
      <c r="V76" s="1814">
        <v>3.0679765830418759E-2</v>
      </c>
      <c r="W76" s="981">
        <v>3.1335013123486855E-2</v>
      </c>
      <c r="X76" s="3008">
        <v>1.44570951083689E-2</v>
      </c>
      <c r="Y76" s="743">
        <v>4.8786897834343534E-2</v>
      </c>
    </row>
    <row r="77" spans="1:25">
      <c r="A77" s="324">
        <f t="shared" si="1"/>
        <v>2021.08</v>
      </c>
      <c r="B77" s="966">
        <v>2.4684866674014705E-2</v>
      </c>
      <c r="C77" s="3008">
        <v>2.6032158014076101E-2</v>
      </c>
      <c r="D77" s="976">
        <v>2.263523047907845E-2</v>
      </c>
      <c r="E77" s="3008">
        <v>2.3828622011282885E-2</v>
      </c>
      <c r="F77" s="976">
        <v>2.7374985767552262E-2</v>
      </c>
      <c r="G77" s="3008">
        <v>1.777637025948664E-2</v>
      </c>
      <c r="H77" s="485">
        <v>3.4057785794644246E-2</v>
      </c>
      <c r="I77" s="981">
        <v>1.4872325110008466E-2</v>
      </c>
      <c r="J77" s="3008">
        <v>2.0196311591219818E-2</v>
      </c>
      <c r="K77" s="976">
        <v>3.4149702606022903E-2</v>
      </c>
      <c r="L77" s="3008">
        <v>1.1487609995259218E-2</v>
      </c>
      <c r="M77" s="976">
        <v>3.27690768889497E-2</v>
      </c>
      <c r="N77" s="3008">
        <v>4.1965036916052911E-2</v>
      </c>
      <c r="O77" s="976">
        <v>2.4458625038247472E-2</v>
      </c>
      <c r="P77" s="3008">
        <v>-5.9334790059544229E-3</v>
      </c>
      <c r="Q77" s="976">
        <v>3.6984813278903239E-2</v>
      </c>
      <c r="R77" s="3008">
        <v>4.2367766531862472E-2</v>
      </c>
      <c r="S77" s="976">
        <v>2.9467585095780846E-2</v>
      </c>
      <c r="T77" s="1814">
        <v>3.3045101616917538E-2</v>
      </c>
      <c r="U77" s="999">
        <v>2.5079495552323694E-2</v>
      </c>
      <c r="V77" s="1814">
        <v>2.3251334934687007E-2</v>
      </c>
      <c r="W77" s="981">
        <v>3.1321874754012713E-2</v>
      </c>
      <c r="X77" s="3008">
        <v>1.1314327683314307E-2</v>
      </c>
      <c r="Y77" s="743">
        <v>5.8809752947082128E-3</v>
      </c>
    </row>
    <row r="78" spans="1:25">
      <c r="A78" s="324">
        <f t="shared" si="1"/>
        <v>2021.09</v>
      </c>
      <c r="B78" s="966">
        <v>3.5467879533113811E-2</v>
      </c>
      <c r="C78" s="3008">
        <v>3.8369103246173042E-2</v>
      </c>
      <c r="D78" s="976">
        <v>3.4100113397051768E-2</v>
      </c>
      <c r="E78" s="3008">
        <v>3.2608142352426484E-2</v>
      </c>
      <c r="F78" s="976">
        <v>2.8305117769801269E-2</v>
      </c>
      <c r="G78" s="3008">
        <v>2.86967506267779E-2</v>
      </c>
      <c r="H78" s="485">
        <v>3.7444097185322267E-2</v>
      </c>
      <c r="I78" s="981">
        <v>2.9484732416185322E-2</v>
      </c>
      <c r="J78" s="3008">
        <v>5.8709684676134577E-2</v>
      </c>
      <c r="K78" s="976">
        <v>6.0318389901968139E-2</v>
      </c>
      <c r="L78" s="3008">
        <v>1.9193945295575388E-2</v>
      </c>
      <c r="M78" s="976">
        <v>3.4814105459458844E-2</v>
      </c>
      <c r="N78" s="3008">
        <v>4.3067019425256037E-2</v>
      </c>
      <c r="O78" s="976">
        <v>3.0420148450867712E-2</v>
      </c>
      <c r="P78" s="3008">
        <v>2.7732583731555627E-2</v>
      </c>
      <c r="Q78" s="976">
        <v>3.7663851634111456E-2</v>
      </c>
      <c r="R78" s="3008">
        <v>3.1182040453434201E-2</v>
      </c>
      <c r="S78" s="976">
        <v>4.0723745915225873E-2</v>
      </c>
      <c r="T78" s="1814">
        <v>2.1651897731393532E-2</v>
      </c>
      <c r="U78" s="999">
        <v>3.4692003651063619E-2</v>
      </c>
      <c r="V78" s="1814">
        <v>3.7329115077274766E-2</v>
      </c>
      <c r="W78" s="981">
        <v>3.2621255553990425E-2</v>
      </c>
      <c r="X78" s="3008">
        <v>2.9577346296094875E-2</v>
      </c>
      <c r="Y78" s="743">
        <v>6.3593951330452203E-2</v>
      </c>
    </row>
    <row r="79" spans="1:25">
      <c r="A79" s="324">
        <f t="shared" si="1"/>
        <v>2021.1</v>
      </c>
      <c r="B79" s="966">
        <v>3.5162748383717801E-2</v>
      </c>
      <c r="C79" s="3008">
        <v>3.7714114410323907E-2</v>
      </c>
      <c r="D79" s="976">
        <v>3.4004334090493638E-2</v>
      </c>
      <c r="E79" s="3008">
        <v>3.199318305058485E-2</v>
      </c>
      <c r="F79" s="976">
        <v>3.521419620767352E-2</v>
      </c>
      <c r="G79" s="3008">
        <v>3.1060585052738787E-2</v>
      </c>
      <c r="H79" s="485">
        <v>2.8660826481141877E-2</v>
      </c>
      <c r="I79" s="981">
        <v>3.4135754854253575E-2</v>
      </c>
      <c r="J79" s="3008">
        <v>2.198159745070849E-2</v>
      </c>
      <c r="K79" s="976">
        <v>5.1218544171072633E-2</v>
      </c>
      <c r="L79" s="3008">
        <v>2.5151693529716912E-2</v>
      </c>
      <c r="M79" s="976">
        <v>2.7543380576194654E-2</v>
      </c>
      <c r="N79" s="3008">
        <v>4.7328720133766655E-2</v>
      </c>
      <c r="O79" s="976">
        <v>3.0886371935010315E-2</v>
      </c>
      <c r="P79" s="3008">
        <v>1.1378081498671033E-2</v>
      </c>
      <c r="Q79" s="976">
        <v>3.994156312849273E-2</v>
      </c>
      <c r="R79" s="3008">
        <v>1.3925628242954513E-2</v>
      </c>
      <c r="S79" s="976">
        <v>4.1294289990623678E-2</v>
      </c>
      <c r="T79" s="1814">
        <v>3.3499229997231428E-2</v>
      </c>
      <c r="U79" s="999">
        <v>3.588306626108384E-2</v>
      </c>
      <c r="V79" s="1814">
        <v>3.2821600617547908E-2</v>
      </c>
      <c r="W79" s="981">
        <v>3.2010124388921923E-2</v>
      </c>
      <c r="X79" s="3008">
        <v>1.9228163692197375E-2</v>
      </c>
      <c r="Y79" s="743">
        <v>8.1336579616591242E-2</v>
      </c>
    </row>
    <row r="80" spans="1:25">
      <c r="A80" s="324">
        <f t="shared" si="1"/>
        <v>2021.11</v>
      </c>
      <c r="B80" s="966">
        <v>2.5294646013509503E-2</v>
      </c>
      <c r="C80" s="3008">
        <v>2.2672956074479167E-2</v>
      </c>
      <c r="D80" s="976">
        <v>2.8087595653764286E-2</v>
      </c>
      <c r="E80" s="3008">
        <v>2.655175559512668E-2</v>
      </c>
      <c r="F80" s="976">
        <v>2.9715411682912585E-2</v>
      </c>
      <c r="G80" s="3008">
        <v>2.6500962735193978E-2</v>
      </c>
      <c r="H80" s="485">
        <v>2.1906232887188404E-2</v>
      </c>
      <c r="I80" s="981">
        <v>2.1215758130852302E-2</v>
      </c>
      <c r="J80" s="3008">
        <v>1.102468924839406E-2</v>
      </c>
      <c r="K80" s="976">
        <v>4.1041151959135824E-2</v>
      </c>
      <c r="L80" s="3008">
        <v>2.1830543635484423E-2</v>
      </c>
      <c r="M80" s="976">
        <v>2.7024395864356343E-2</v>
      </c>
      <c r="N80" s="3008">
        <v>2.4354733211749968E-2</v>
      </c>
      <c r="O80" s="976">
        <v>2.1965814353179569E-2</v>
      </c>
      <c r="P80" s="3008">
        <v>8.2603504004281625E-3</v>
      </c>
      <c r="Q80" s="976">
        <v>1.4649885038980681E-2</v>
      </c>
      <c r="R80" s="3008">
        <v>8.4544865284987836E-3</v>
      </c>
      <c r="S80" s="976">
        <v>4.979748000456885E-2</v>
      </c>
      <c r="T80" s="1814">
        <v>2.0428027982694053E-2</v>
      </c>
      <c r="U80" s="999">
        <v>2.5422973965205653E-2</v>
      </c>
      <c r="V80" s="1814">
        <v>2.4465114291467582E-2</v>
      </c>
      <c r="W80" s="981">
        <v>3.2527366256280388E-2</v>
      </c>
      <c r="X80" s="3008">
        <v>1.0341076637649715E-2</v>
      </c>
      <c r="Y80" s="743">
        <v>5.1205021145996898E-3</v>
      </c>
    </row>
    <row r="81" spans="1:25">
      <c r="A81" s="324">
        <f t="shared" si="1"/>
        <v>2021.12</v>
      </c>
      <c r="B81" s="966">
        <v>3.8399703058412671E-2</v>
      </c>
      <c r="C81" s="3008">
        <v>4.0624208936166806E-2</v>
      </c>
      <c r="D81" s="976">
        <v>3.5218194707665962E-2</v>
      </c>
      <c r="E81" s="3008">
        <v>4.0413704164750985E-2</v>
      </c>
      <c r="F81" s="976">
        <v>4.4130030581145174E-2</v>
      </c>
      <c r="G81" s="3008">
        <v>3.9113286685803494E-2</v>
      </c>
      <c r="H81" s="485">
        <v>3.0915776000872919E-2</v>
      </c>
      <c r="I81" s="981">
        <v>4.2533111526186662E-2</v>
      </c>
      <c r="J81" s="3008">
        <v>5.3750104162717083E-2</v>
      </c>
      <c r="K81" s="976">
        <v>4.7678343616514018E-2</v>
      </c>
      <c r="L81" s="3008">
        <v>2.1088537206253921E-2</v>
      </c>
      <c r="M81" s="976">
        <v>3.3719090301354893E-2</v>
      </c>
      <c r="N81" s="3008">
        <v>4.9942564493048458E-3</v>
      </c>
      <c r="O81" s="976">
        <v>4.9337911031259507E-2</v>
      </c>
      <c r="P81" s="3008">
        <v>1.849748326824141E-2</v>
      </c>
      <c r="Q81" s="976">
        <v>3.9529011985667495E-2</v>
      </c>
      <c r="R81" s="3008">
        <v>1.0013782600868382E-2</v>
      </c>
      <c r="S81" s="976">
        <v>5.883540953570443E-2</v>
      </c>
      <c r="T81" s="1814">
        <v>3.1787899912405049E-2</v>
      </c>
      <c r="U81" s="999">
        <v>3.8627129669278837E-2</v>
      </c>
      <c r="V81" s="1814">
        <v>3.6784278183987329E-2</v>
      </c>
      <c r="W81" s="981">
        <v>4.4232387884627355E-2</v>
      </c>
      <c r="X81" s="3008">
        <v>1.7141608744662085E-2</v>
      </c>
      <c r="Y81" s="743">
        <v>3.7352120324733562E-2</v>
      </c>
    </row>
    <row r="82" spans="1:25">
      <c r="A82" s="324">
        <f t="shared" si="1"/>
        <v>2022.01</v>
      </c>
      <c r="B82" s="966">
        <v>3.875681916706375E-2</v>
      </c>
      <c r="C82" s="3008">
        <v>3.9271234002354882E-2</v>
      </c>
      <c r="D82" s="976">
        <v>3.8482056642328066E-2</v>
      </c>
      <c r="E82" s="3008">
        <v>4.036788721264073E-2</v>
      </c>
      <c r="F82" s="976">
        <v>3.4239414273455449E-2</v>
      </c>
      <c r="G82" s="3008">
        <v>4.0503028221933635E-2</v>
      </c>
      <c r="H82" s="485">
        <v>3.592545642741074E-2</v>
      </c>
      <c r="I82" s="981">
        <v>4.9355596653445133E-2</v>
      </c>
      <c r="J82" s="3008">
        <v>1.7988279137694407E-2</v>
      </c>
      <c r="K82" s="976">
        <v>2.398992745059525E-2</v>
      </c>
      <c r="L82" s="3008">
        <v>1.7597432899365995E-2</v>
      </c>
      <c r="M82" s="976">
        <v>3.3190689942954155E-2</v>
      </c>
      <c r="N82" s="3008">
        <v>4.1121865309325045E-2</v>
      </c>
      <c r="O82" s="976">
        <v>2.7546782929279479E-2</v>
      </c>
      <c r="P82" s="3008">
        <v>7.4830197916484931E-2</v>
      </c>
      <c r="Q82" s="976">
        <v>4.2091108345829298E-2</v>
      </c>
      <c r="R82" s="3008">
        <v>7.6284176454823882E-3</v>
      </c>
      <c r="S82" s="976">
        <v>5.6783444546083306E-2</v>
      </c>
      <c r="T82" s="1814">
        <v>4.2966763814089148E-2</v>
      </c>
      <c r="U82" s="999">
        <v>3.830880197107378E-2</v>
      </c>
      <c r="V82" s="1814">
        <v>4.0289279288908242E-2</v>
      </c>
      <c r="W82" s="981">
        <v>3.3020977867757262E-2</v>
      </c>
      <c r="X82" s="3008">
        <v>2.7565647176321706E-2</v>
      </c>
      <c r="Y82" s="743">
        <v>9.0498617606339149E-2</v>
      </c>
    </row>
    <row r="83" spans="1:25">
      <c r="A83" s="324">
        <f t="shared" si="1"/>
        <v>2022.02</v>
      </c>
      <c r="B83" s="966">
        <v>4.6943656010089985E-2</v>
      </c>
      <c r="C83" s="3008">
        <v>4.563161555042039E-2</v>
      </c>
      <c r="D83" s="976">
        <v>4.6657176953345036E-2</v>
      </c>
      <c r="E83" s="3008">
        <v>4.8523634995495613E-2</v>
      </c>
      <c r="F83" s="976">
        <v>4.9633790775865716E-2</v>
      </c>
      <c r="G83" s="3008">
        <v>5.4047108197206484E-2</v>
      </c>
      <c r="H83" s="485">
        <v>4.8421409942731364E-2</v>
      </c>
      <c r="I83" s="981">
        <v>7.4695693652692796E-2</v>
      </c>
      <c r="J83" s="3008">
        <v>2.6596490359211522E-2</v>
      </c>
      <c r="K83" s="976">
        <v>3.3934596867265965E-2</v>
      </c>
      <c r="L83" s="3008">
        <v>2.8348718963381758E-2</v>
      </c>
      <c r="M83" s="976">
        <v>4.4306128547689783E-2</v>
      </c>
      <c r="N83" s="3008">
        <v>3.6391523314398988E-2</v>
      </c>
      <c r="O83" s="976">
        <v>4.9353323810858996E-2</v>
      </c>
      <c r="P83" s="3008">
        <v>1.4748565963978333E-2</v>
      </c>
      <c r="Q83" s="976">
        <v>2.2922223509299178E-2</v>
      </c>
      <c r="R83" s="3008">
        <v>2.6480447367107418E-2</v>
      </c>
      <c r="S83" s="976">
        <v>4.3167446737482074E-2</v>
      </c>
      <c r="T83" s="1814">
        <v>4.3354098846178912E-2</v>
      </c>
      <c r="U83" s="999">
        <v>5.5047530726756388E-2</v>
      </c>
      <c r="V83" s="1814">
        <v>2.807029674715511E-2</v>
      </c>
      <c r="W83" s="981">
        <v>4.450768875905875E-2</v>
      </c>
      <c r="X83" s="3008">
        <v>3.1015663088439061E-2</v>
      </c>
      <c r="Y83" s="743">
        <v>8.4233403412632413E-2</v>
      </c>
    </row>
    <row r="84" spans="1:25">
      <c r="A84" s="324">
        <f t="shared" si="1"/>
        <v>2022.03</v>
      </c>
      <c r="B84" s="966">
        <v>6.7287978339025445E-2</v>
      </c>
      <c r="C84" s="3008">
        <v>6.6668901421061966E-2</v>
      </c>
      <c r="D84" s="976">
        <v>6.6277816685989199E-2</v>
      </c>
      <c r="E84" s="3008">
        <v>6.7668803239308239E-2</v>
      </c>
      <c r="F84" s="976">
        <v>7.2485125727378419E-2</v>
      </c>
      <c r="G84" s="3008">
        <v>6.793580602898408E-2</v>
      </c>
      <c r="H84" s="485">
        <v>7.4368772068735156E-2</v>
      </c>
      <c r="I84" s="981">
        <v>7.244146900209536E-2</v>
      </c>
      <c r="J84" s="3008">
        <v>5.7490309802321171E-2</v>
      </c>
      <c r="K84" s="976">
        <v>0.10855441544265143</v>
      </c>
      <c r="L84" s="3008">
        <v>7.6591209177075958E-2</v>
      </c>
      <c r="M84" s="976">
        <v>4.3866879444464546E-2</v>
      </c>
      <c r="N84" s="3008">
        <v>4.9526364926770317E-2</v>
      </c>
      <c r="O84" s="976">
        <v>5.4794883350633095E-2</v>
      </c>
      <c r="P84" s="3008">
        <v>3.4423964099289384E-2</v>
      </c>
      <c r="Q84" s="976">
        <v>3.3302635684623549E-2</v>
      </c>
      <c r="R84" s="3008">
        <v>0.23635465103490971</v>
      </c>
      <c r="S84" s="976">
        <v>5.4316615808914337E-2</v>
      </c>
      <c r="T84" s="1814">
        <v>5.5252553667197724E-2</v>
      </c>
      <c r="U84" s="999">
        <v>6.7358328910114507E-2</v>
      </c>
      <c r="V84" s="1814">
        <v>6.6657546947554103E-2</v>
      </c>
      <c r="W84" s="981">
        <v>6.3964374001315161E-2</v>
      </c>
      <c r="X84" s="3008">
        <v>8.429599126050169E-2</v>
      </c>
      <c r="Y84" s="743">
        <v>6.192366470398758E-2</v>
      </c>
    </row>
    <row r="85" spans="1:25">
      <c r="A85" s="324">
        <f t="shared" si="1"/>
        <v>2022.04</v>
      </c>
      <c r="B85" s="966">
        <v>6.0473191149971628E-2</v>
      </c>
      <c r="C85" s="3008">
        <v>6.1885678853573323E-2</v>
      </c>
      <c r="D85" s="976">
        <v>5.8553377006983043E-2</v>
      </c>
      <c r="E85" s="3008">
        <v>6.3651077181514859E-2</v>
      </c>
      <c r="F85" s="976">
        <v>6.0247628239695983E-2</v>
      </c>
      <c r="G85" s="3008">
        <v>5.8474493093167323E-2</v>
      </c>
      <c r="H85" s="485">
        <v>5.8869592940136384E-2</v>
      </c>
      <c r="I85" s="981">
        <v>5.8621191727850519E-2</v>
      </c>
      <c r="J85" s="3008">
        <v>3.344752852396482E-2</v>
      </c>
      <c r="K85" s="976">
        <v>9.8931764337911954E-2</v>
      </c>
      <c r="L85" s="3008">
        <v>4.5768636908079641E-2</v>
      </c>
      <c r="M85" s="976">
        <v>5.4995507605510197E-2</v>
      </c>
      <c r="N85" s="3008">
        <v>6.3930192520533113E-2</v>
      </c>
      <c r="O85" s="976">
        <v>5.3336258090506128E-2</v>
      </c>
      <c r="P85" s="3008">
        <v>3.6576589447467667E-2</v>
      </c>
      <c r="Q85" s="976">
        <v>5.2277541206884992E-2</v>
      </c>
      <c r="R85" s="3008">
        <v>3.7243131470627411E-2</v>
      </c>
      <c r="S85" s="976">
        <v>7.3460498012375419E-2</v>
      </c>
      <c r="T85" s="1814">
        <v>5.2618168140019739E-2</v>
      </c>
      <c r="U85" s="999">
        <v>6.4315312917850198E-2</v>
      </c>
      <c r="V85" s="1814">
        <v>5.0778745172919804E-2</v>
      </c>
      <c r="W85" s="981">
        <v>6.7089743598970353E-2</v>
      </c>
      <c r="X85" s="3008">
        <v>3.9146528137609105E-2</v>
      </c>
      <c r="Y85" s="743">
        <v>5.4274575558687976E-2</v>
      </c>
    </row>
    <row r="86" spans="1:25">
      <c r="A86" s="324">
        <f t="shared" si="1"/>
        <v>2022.05</v>
      </c>
      <c r="B86" s="966">
        <v>5.0502280595626114E-2</v>
      </c>
      <c r="C86" s="3008">
        <v>4.7713882039585709E-2</v>
      </c>
      <c r="D86" s="976">
        <v>5.2773468476936758E-2</v>
      </c>
      <c r="E86" s="3008">
        <v>5.5505178191320059E-2</v>
      </c>
      <c r="F86" s="976">
        <v>5.2642129098058321E-2</v>
      </c>
      <c r="G86" s="3008">
        <v>5.2185573982037603E-2</v>
      </c>
      <c r="H86" s="485">
        <v>4.8683763564224325E-2</v>
      </c>
      <c r="I86" s="981">
        <v>4.4124578267879855E-2</v>
      </c>
      <c r="J86" s="3008">
        <v>5.6560030486974444E-2</v>
      </c>
      <c r="K86" s="976">
        <v>5.7520121057147877E-2</v>
      </c>
      <c r="L86" s="3008">
        <v>3.5536943802895182E-2</v>
      </c>
      <c r="M86" s="976">
        <v>5.3526439717144436E-2</v>
      </c>
      <c r="N86" s="3008">
        <v>6.2105822584896941E-2</v>
      </c>
      <c r="O86" s="976">
        <v>6.1182011274027337E-2</v>
      </c>
      <c r="P86" s="3008">
        <v>3.0682845757788346E-2</v>
      </c>
      <c r="Q86" s="976">
        <v>5.1954476105928515E-2</v>
      </c>
      <c r="R86" s="3008">
        <v>3.2479607011987266E-2</v>
      </c>
      <c r="S86" s="976">
        <v>5.6839168144345642E-2</v>
      </c>
      <c r="T86" s="1814">
        <v>4.5589228756381273E-2</v>
      </c>
      <c r="U86" s="999">
        <v>5.3475935145638198E-2</v>
      </c>
      <c r="V86" s="1814">
        <v>4.3012150717719688E-2</v>
      </c>
      <c r="W86" s="981">
        <v>5.2018433095186056E-2</v>
      </c>
      <c r="X86" s="3008">
        <v>5.675291399532556E-2</v>
      </c>
      <c r="Y86" s="743">
        <v>3.3513101122009337E-2</v>
      </c>
    </row>
    <row r="87" spans="1:25">
      <c r="A87" s="324">
        <f t="shared" ref="A87:A150" si="2">A75+1</f>
        <v>2022.06</v>
      </c>
      <c r="B87" s="966">
        <v>5.2952212516281572E-2</v>
      </c>
      <c r="C87" s="3008">
        <v>5.4737081689388178E-2</v>
      </c>
      <c r="D87" s="976">
        <v>5.1552155378102871E-2</v>
      </c>
      <c r="E87" s="3008">
        <v>5.2392063753733176E-2</v>
      </c>
      <c r="F87" s="976">
        <v>4.9237398089115425E-2</v>
      </c>
      <c r="G87" s="3008">
        <v>5.2963880800524832E-2</v>
      </c>
      <c r="H87" s="485">
        <v>5.0819530731697204E-2</v>
      </c>
      <c r="I87" s="981">
        <v>4.6172989824192934E-2</v>
      </c>
      <c r="J87" s="3008">
        <v>6.7233118353260402E-2</v>
      </c>
      <c r="K87" s="976">
        <v>5.7511489643798042E-2</v>
      </c>
      <c r="L87" s="3008">
        <v>6.8106030730744838E-2</v>
      </c>
      <c r="M87" s="976">
        <v>5.9871595844745773E-2</v>
      </c>
      <c r="N87" s="3008">
        <v>7.4159442298260769E-2</v>
      </c>
      <c r="O87" s="976">
        <v>4.7414282540544361E-2</v>
      </c>
      <c r="P87" s="3008">
        <v>3.8387064690186268E-3</v>
      </c>
      <c r="Q87" s="976">
        <v>4.3362722564666667E-2</v>
      </c>
      <c r="R87" s="3008">
        <v>2.0275974176895861E-2</v>
      </c>
      <c r="S87" s="976">
        <v>6.2117138898562629E-2</v>
      </c>
      <c r="T87" s="1814">
        <v>5.0300425107464353E-2</v>
      </c>
      <c r="U87" s="999">
        <v>5.1577757036185945E-2</v>
      </c>
      <c r="V87" s="1814">
        <v>5.5394793318813473E-2</v>
      </c>
      <c r="W87" s="981">
        <v>5.0833879645356461E-2</v>
      </c>
      <c r="X87" s="3008">
        <v>5.2608501487036108E-2</v>
      </c>
      <c r="Y87" s="743">
        <v>6.600777322789475E-2</v>
      </c>
    </row>
    <row r="88" spans="1:25">
      <c r="A88" s="324">
        <f t="shared" si="2"/>
        <v>2022.07</v>
      </c>
      <c r="B88" s="966">
        <v>7.4061968571593528E-2</v>
      </c>
      <c r="C88" s="3008">
        <v>7.3672592777808799E-2</v>
      </c>
      <c r="D88" s="976">
        <v>7.518262902192796E-2</v>
      </c>
      <c r="E88" s="3008">
        <v>6.7388390429747425E-2</v>
      </c>
      <c r="F88" s="976">
        <v>7.4381759219980692E-2</v>
      </c>
      <c r="G88" s="3008">
        <v>7.3314861451222235E-2</v>
      </c>
      <c r="H88" s="485">
        <v>8.0417238813412339E-2</v>
      </c>
      <c r="I88" s="981">
        <v>6.0175638867075554E-2</v>
      </c>
      <c r="J88" s="3008">
        <v>6.4477943762482282E-2</v>
      </c>
      <c r="K88" s="976">
        <v>8.4702301760077647E-2</v>
      </c>
      <c r="L88" s="3008">
        <v>4.5645733996471316E-2</v>
      </c>
      <c r="M88" s="976">
        <v>0.1032515480665539</v>
      </c>
      <c r="N88" s="3008">
        <v>6.8442869740346746E-2</v>
      </c>
      <c r="O88" s="976">
        <v>5.4996252810392221E-2</v>
      </c>
      <c r="P88" s="3008">
        <v>5.51352476223268E-2</v>
      </c>
      <c r="Q88" s="976">
        <v>0.13189510479465372</v>
      </c>
      <c r="R88" s="3008">
        <v>6.1000679667485791E-2</v>
      </c>
      <c r="S88" s="976">
        <v>9.7595111559937164E-2</v>
      </c>
      <c r="T88" s="1814">
        <v>8.1075924962282775E-2</v>
      </c>
      <c r="U88" s="999">
        <v>7.3123319186765068E-2</v>
      </c>
      <c r="V88" s="1814">
        <v>7.5071352433127903E-2</v>
      </c>
      <c r="W88" s="981">
        <v>7.3288005686861002E-2</v>
      </c>
      <c r="X88" s="3008">
        <v>4.9113433776301729E-2</v>
      </c>
      <c r="Y88" s="743">
        <v>0.11300124750289275</v>
      </c>
    </row>
    <row r="89" spans="1:25">
      <c r="A89" s="324">
        <f t="shared" si="2"/>
        <v>2022.08</v>
      </c>
      <c r="B89" s="966">
        <v>6.9703355753550689E-2</v>
      </c>
      <c r="C89" s="3008">
        <v>6.950753900936979E-2</v>
      </c>
      <c r="D89" s="976">
        <v>6.9256192976226094E-2</v>
      </c>
      <c r="E89" s="3008">
        <v>7.6103321296795645E-2</v>
      </c>
      <c r="F89" s="976">
        <v>7.6225165756825808E-2</v>
      </c>
      <c r="G89" s="3008">
        <v>6.4539428696940737E-2</v>
      </c>
      <c r="H89" s="485">
        <v>6.4400169601499302E-2</v>
      </c>
      <c r="I89" s="981">
        <v>7.0971084636866966E-2</v>
      </c>
      <c r="J89" s="3008">
        <v>7.0206592911200572E-2</v>
      </c>
      <c r="K89" s="976">
        <v>9.8550359245820562E-2</v>
      </c>
      <c r="L89" s="3008">
        <v>5.5426006511417159E-2</v>
      </c>
      <c r="M89" s="976">
        <v>8.4245679582401811E-2</v>
      </c>
      <c r="N89" s="3008">
        <v>5.7251082593750002E-2</v>
      </c>
      <c r="O89" s="976">
        <v>6.8319297564479964E-2</v>
      </c>
      <c r="P89" s="3008">
        <v>4.0544623267902757E-2</v>
      </c>
      <c r="Q89" s="976">
        <v>5.0291562177051441E-2</v>
      </c>
      <c r="R89" s="3008">
        <v>4.9903024377936811E-2</v>
      </c>
      <c r="S89" s="976">
        <v>6.6556396151745245E-2</v>
      </c>
      <c r="T89" s="1814">
        <v>8.6548213576810751E-2</v>
      </c>
      <c r="U89" s="999">
        <v>7.435859434622194E-2</v>
      </c>
      <c r="V89" s="1814">
        <v>5.7633353682869704E-2</v>
      </c>
      <c r="W89" s="981">
        <v>6.8015910630540022E-2</v>
      </c>
      <c r="X89" s="3008">
        <v>6.2911426027354889E-2</v>
      </c>
      <c r="Y89" s="743">
        <v>8.6686745002044763E-2</v>
      </c>
    </row>
    <row r="90" spans="1:25">
      <c r="A90" s="324">
        <f t="shared" si="2"/>
        <v>2022.09</v>
      </c>
      <c r="B90" s="966">
        <v>6.1655198875771644E-2</v>
      </c>
      <c r="C90" s="3008">
        <v>6.0360531075257962E-2</v>
      </c>
      <c r="D90" s="976">
        <v>6.2639722451166335E-2</v>
      </c>
      <c r="E90" s="3008">
        <v>6.1417483490655789E-2</v>
      </c>
      <c r="F90" s="976">
        <v>6.8467264052096466E-2</v>
      </c>
      <c r="G90" s="3008">
        <v>6.0629580850222631E-2</v>
      </c>
      <c r="H90" s="485">
        <v>6.1304199717964192E-2</v>
      </c>
      <c r="I90" s="981">
        <v>6.7411238651460925E-2</v>
      </c>
      <c r="J90" s="3008">
        <v>9.4240593940049022E-2</v>
      </c>
      <c r="K90" s="976">
        <v>0.10625089751988015</v>
      </c>
      <c r="L90" s="3008">
        <v>3.1038824160969813E-2</v>
      </c>
      <c r="M90" s="976">
        <v>6.0471953899791764E-2</v>
      </c>
      <c r="N90" s="3008">
        <v>4.3265704206089772E-2</v>
      </c>
      <c r="O90" s="976">
        <v>5.812281894364979E-2</v>
      </c>
      <c r="P90" s="3008">
        <v>2.4644261247127375E-2</v>
      </c>
      <c r="Q90" s="976">
        <v>5.2390157371816848E-2</v>
      </c>
      <c r="R90" s="3008">
        <v>3.6569156425650728E-2</v>
      </c>
      <c r="S90" s="976">
        <v>4.849037876095541E-2</v>
      </c>
      <c r="T90" s="1814">
        <v>6.7963510475988365E-2</v>
      </c>
      <c r="U90" s="999">
        <v>6.9781777018583568E-2</v>
      </c>
      <c r="V90" s="1814">
        <v>4.1806124020288715E-2</v>
      </c>
      <c r="W90" s="981">
        <v>5.5127813335147158E-2</v>
      </c>
      <c r="X90" s="3008">
        <v>4.5480322980642862E-2</v>
      </c>
      <c r="Y90" s="743">
        <v>0.1173347070762476</v>
      </c>
    </row>
    <row r="91" spans="1:25">
      <c r="A91" s="324">
        <f t="shared" si="2"/>
        <v>2022.1</v>
      </c>
      <c r="B91" s="966">
        <v>6.3473501086934503E-2</v>
      </c>
      <c r="C91" s="3008">
        <v>6.5501717487751909E-2</v>
      </c>
      <c r="D91" s="976">
        <v>6.1396174753997501E-2</v>
      </c>
      <c r="E91" s="3008">
        <v>6.2821457868655228E-2</v>
      </c>
      <c r="F91" s="976">
        <v>6.2240156745021924E-2</v>
      </c>
      <c r="G91" s="3008">
        <v>5.9873107604006215E-2</v>
      </c>
      <c r="H91" s="485">
        <v>6.598064888045907E-2</v>
      </c>
      <c r="I91" s="981">
        <v>6.1677199296712448E-2</v>
      </c>
      <c r="J91" s="3008">
        <v>5.4480592284628093E-2</v>
      </c>
      <c r="K91" s="976">
        <v>6.8290663470597535E-2</v>
      </c>
      <c r="L91" s="3008">
        <v>7.4667325617348901E-2</v>
      </c>
      <c r="M91" s="976">
        <v>4.9272635057683312E-2</v>
      </c>
      <c r="N91" s="3008">
        <v>7.1158072371377834E-2</v>
      </c>
      <c r="O91" s="976">
        <v>4.47233959470692E-2</v>
      </c>
      <c r="P91" s="3008">
        <v>0.12122645198376336</v>
      </c>
      <c r="Q91" s="976">
        <v>5.6327176423298431E-2</v>
      </c>
      <c r="R91" s="3008">
        <v>7.1026112118876439E-2</v>
      </c>
      <c r="S91" s="976">
        <v>7.4161261631870978E-2</v>
      </c>
      <c r="T91" s="1814">
        <v>6.1489529200480453E-2</v>
      </c>
      <c r="U91" s="999">
        <v>5.9124986371043242E-2</v>
      </c>
      <c r="V91" s="1814">
        <v>7.4349335093694124E-2</v>
      </c>
      <c r="W91" s="981">
        <v>5.5491579643453415E-2</v>
      </c>
      <c r="X91" s="3008">
        <v>7.4119455761196829E-2</v>
      </c>
      <c r="Y91" s="743">
        <v>9.0469477478834381E-2</v>
      </c>
    </row>
    <row r="92" spans="1:25">
      <c r="A92" s="324">
        <f t="shared" si="2"/>
        <v>2022.11</v>
      </c>
      <c r="B92" s="966">
        <v>4.9161470818679165E-2</v>
      </c>
      <c r="C92" s="3008">
        <v>4.9993772500254385E-2</v>
      </c>
      <c r="D92" s="976">
        <v>4.9350471642873428E-2</v>
      </c>
      <c r="E92" s="3008">
        <v>4.5620185345912168E-2</v>
      </c>
      <c r="F92" s="976">
        <v>4.5301597604330945E-2</v>
      </c>
      <c r="G92" s="3008">
        <v>4.9251204613318444E-2</v>
      </c>
      <c r="H92" s="485">
        <v>4.9036725435473993E-2</v>
      </c>
      <c r="I92" s="981">
        <v>3.5106117435284689E-2</v>
      </c>
      <c r="J92" s="3008">
        <v>6.3424555147150619E-2</v>
      </c>
      <c r="K92" s="976">
        <v>4.491317958922747E-2</v>
      </c>
      <c r="L92" s="3008">
        <v>8.6523427911380013E-2</v>
      </c>
      <c r="M92" s="976">
        <v>5.4209144728986525E-2</v>
      </c>
      <c r="N92" s="3008">
        <v>4.0936189165932113E-2</v>
      </c>
      <c r="O92" s="976">
        <v>6.0908379942056001E-2</v>
      </c>
      <c r="P92" s="3008">
        <v>6.356342523873959E-2</v>
      </c>
      <c r="Q92" s="976">
        <v>4.1700406635427401E-2</v>
      </c>
      <c r="R92" s="3008">
        <v>3.7631217474952239E-2</v>
      </c>
      <c r="S92" s="976">
        <v>5.5197670546828892E-2</v>
      </c>
      <c r="T92" s="1814">
        <v>5.8404284796654826E-2</v>
      </c>
      <c r="U92" s="999">
        <v>4.5262352233929271E-2</v>
      </c>
      <c r="V92" s="1814">
        <v>5.8410504769681237E-2</v>
      </c>
      <c r="W92" s="981">
        <v>4.7558696888455376E-2</v>
      </c>
      <c r="X92" s="3008">
        <v>6.2316284467599958E-2</v>
      </c>
      <c r="Y92" s="743">
        <v>4.1030028083952619E-2</v>
      </c>
    </row>
    <row r="93" spans="1:25">
      <c r="A93" s="324">
        <f t="shared" si="2"/>
        <v>2022.12</v>
      </c>
      <c r="B93" s="966">
        <v>5.1246077588670946E-2</v>
      </c>
      <c r="C93" s="3008">
        <v>5.3433989670724769E-2</v>
      </c>
      <c r="D93" s="976">
        <v>5.0786373469694945E-2</v>
      </c>
      <c r="E93" s="3008">
        <v>4.659288617966828E-2</v>
      </c>
      <c r="F93" s="976">
        <v>4.7896149376340125E-2</v>
      </c>
      <c r="G93" s="3008">
        <v>5.0036957604143506E-2</v>
      </c>
      <c r="H93" s="485">
        <v>4.5340011207647413E-2</v>
      </c>
      <c r="I93" s="981">
        <v>4.6629210018316991E-2</v>
      </c>
      <c r="J93" s="3008">
        <v>7.1393161234952762E-2</v>
      </c>
      <c r="K93" s="976">
        <v>4.0262060416113465E-2</v>
      </c>
      <c r="L93" s="3008">
        <v>4.1913529481383049E-2</v>
      </c>
      <c r="M93" s="976">
        <v>5.9372551681823094E-2</v>
      </c>
      <c r="N93" s="3008">
        <v>5.6805951922750841E-2</v>
      </c>
      <c r="O93" s="976">
        <v>5.7852996841488702E-2</v>
      </c>
      <c r="P93" s="3008">
        <v>3.3988357378629264E-2</v>
      </c>
      <c r="Q93" s="976">
        <v>4.6117209344136656E-2</v>
      </c>
      <c r="R93" s="3008">
        <v>3.907420162590225E-2</v>
      </c>
      <c r="S93" s="976">
        <v>7.1612744953241769E-2</v>
      </c>
      <c r="T93" s="1814">
        <v>5.7465918926218551E-2</v>
      </c>
      <c r="U93" s="999">
        <v>5.1455795519488312E-2</v>
      </c>
      <c r="V93" s="1814">
        <v>5.1094403169999358E-2</v>
      </c>
      <c r="W93" s="981">
        <v>5.2510802683153113E-2</v>
      </c>
      <c r="X93" s="3008">
        <v>5.1111893761759619E-2</v>
      </c>
      <c r="Y93" s="743">
        <v>4.6418678125194734E-2</v>
      </c>
    </row>
    <row r="94" spans="1:25">
      <c r="A94" s="324">
        <f t="shared" si="2"/>
        <v>2023.01</v>
      </c>
      <c r="B94" s="966">
        <v>6.0278735663842564E-2</v>
      </c>
      <c r="C94" s="3008">
        <v>5.960427115896394E-2</v>
      </c>
      <c r="D94" s="976">
        <v>6.0739233887102007E-2</v>
      </c>
      <c r="E94" s="3008">
        <v>6.3323931661345423E-2</v>
      </c>
      <c r="F94" s="976">
        <v>5.6460189490126877E-2</v>
      </c>
      <c r="G94" s="3008">
        <v>6.3531778947333306E-2</v>
      </c>
      <c r="H94" s="485">
        <v>5.8889839205681804E-2</v>
      </c>
      <c r="I94" s="981">
        <v>6.7692225066022793E-2</v>
      </c>
      <c r="J94" s="3008">
        <v>7.2848866654053879E-2</v>
      </c>
      <c r="K94" s="976">
        <v>2.2976266661844047E-2</v>
      </c>
      <c r="L94" s="3008">
        <v>8.0284001180780384E-2</v>
      </c>
      <c r="M94" s="976">
        <v>5.41216915051832E-2</v>
      </c>
      <c r="N94" s="3008">
        <v>4.8957794002719268E-2</v>
      </c>
      <c r="O94" s="976">
        <v>5.9400072390090708E-2</v>
      </c>
      <c r="P94" s="3008">
        <v>7.967057807818656E-2</v>
      </c>
      <c r="Q94" s="976">
        <v>8.9594358459912371E-2</v>
      </c>
      <c r="R94" s="3008">
        <v>1.0582752703215181E-2</v>
      </c>
      <c r="S94" s="976">
        <v>6.2287315915296348E-2</v>
      </c>
      <c r="T94" s="1814">
        <v>6.8053020085743654E-2</v>
      </c>
      <c r="U94" s="999">
        <v>5.3756244635806638E-2</v>
      </c>
      <c r="V94" s="1814">
        <v>7.6536166043501774E-2</v>
      </c>
      <c r="W94" s="981">
        <v>5.3521433461187762E-2</v>
      </c>
      <c r="X94" s="3008">
        <v>7.1003395711727091E-2</v>
      </c>
      <c r="Y94" s="743">
        <v>7.9180535546872655E-2</v>
      </c>
    </row>
    <row r="95" spans="1:25">
      <c r="A95" s="324">
        <f t="shared" si="2"/>
        <v>2023.02</v>
      </c>
      <c r="B95" s="966">
        <v>6.62772168092709E-2</v>
      </c>
      <c r="C95" s="3008">
        <v>6.6918211939876349E-2</v>
      </c>
      <c r="D95" s="976">
        <v>6.3506936505733247E-2</v>
      </c>
      <c r="E95" s="3008">
        <v>7.291385735253697E-2</v>
      </c>
      <c r="F95" s="976">
        <v>7.7614443200404448E-2</v>
      </c>
      <c r="G95" s="3008">
        <v>6.7219580839784188E-2</v>
      </c>
      <c r="H95" s="485">
        <v>5.75787312029159E-2</v>
      </c>
      <c r="I95" s="981">
        <v>9.7814108773012665E-2</v>
      </c>
      <c r="J95" s="3008">
        <v>5.2296066609966996E-2</v>
      </c>
      <c r="K95" s="976">
        <v>3.914979915813932E-2</v>
      </c>
      <c r="L95" s="3008">
        <v>4.8030370588727278E-2</v>
      </c>
      <c r="M95" s="976">
        <v>5.0552964476696882E-2</v>
      </c>
      <c r="N95" s="3008">
        <v>5.3219086659339165E-2</v>
      </c>
      <c r="O95" s="976">
        <v>4.8578877843998169E-2</v>
      </c>
      <c r="P95" s="3008">
        <v>7.8438314145556687E-2</v>
      </c>
      <c r="Q95" s="976">
        <v>6.1458824316408478E-2</v>
      </c>
      <c r="R95" s="3008">
        <v>3.1503369034239892E-2</v>
      </c>
      <c r="S95" s="976">
        <v>7.5490034909624804E-2</v>
      </c>
      <c r="T95" s="1814">
        <v>6.4876160290257889E-2</v>
      </c>
      <c r="U95" s="999">
        <v>7.016443812241957E-2</v>
      </c>
      <c r="V95" s="1814">
        <v>5.6729331041598385E-2</v>
      </c>
      <c r="W95" s="981">
        <v>7.6902164387894656E-2</v>
      </c>
      <c r="X95" s="3008">
        <v>5.1411914161622052E-2</v>
      </c>
      <c r="Y95" s="743">
        <v>3.3347358603605048E-2</v>
      </c>
    </row>
    <row r="96" spans="1:25">
      <c r="A96" s="324">
        <f t="shared" si="2"/>
        <v>2023.03</v>
      </c>
      <c r="B96" s="966">
        <v>7.675239849783555E-2</v>
      </c>
      <c r="C96" s="3008">
        <v>7.8178313695163038E-2</v>
      </c>
      <c r="D96" s="976">
        <v>7.8215474342873792E-2</v>
      </c>
      <c r="E96" s="3008">
        <v>7.3389077992521701E-2</v>
      </c>
      <c r="F96" s="976">
        <v>6.2482537705801811E-2</v>
      </c>
      <c r="G96" s="3008">
        <v>7.8582275671276403E-2</v>
      </c>
      <c r="H96" s="485">
        <v>6.9633880946788906E-2</v>
      </c>
      <c r="I96" s="981">
        <v>9.3460075657862518E-2</v>
      </c>
      <c r="J96" s="3008">
        <v>8.2852375300471293E-2</v>
      </c>
      <c r="K96" s="976">
        <v>9.4198925328281335E-2</v>
      </c>
      <c r="L96" s="3008">
        <v>6.5151925450874781E-2</v>
      </c>
      <c r="M96" s="976">
        <v>5.8066979810545982E-2</v>
      </c>
      <c r="N96" s="3008">
        <v>5.7196373158526992E-2</v>
      </c>
      <c r="O96" s="976">
        <v>5.309193811200319E-2</v>
      </c>
      <c r="P96" s="3008">
        <v>1.9137043938733944E-2</v>
      </c>
      <c r="Q96" s="976">
        <v>4.3813291515805597E-2</v>
      </c>
      <c r="R96" s="3008">
        <v>0.29085743075560022</v>
      </c>
      <c r="S96" s="976">
        <v>7.8762373863240143E-2</v>
      </c>
      <c r="T96" s="1814">
        <v>6.3147415497193382E-2</v>
      </c>
      <c r="U96" s="999">
        <v>7.7664392147051897E-2</v>
      </c>
      <c r="V96" s="1814">
        <v>7.4458460973622964E-2</v>
      </c>
      <c r="W96" s="981">
        <v>7.2101259586417443E-2</v>
      </c>
      <c r="X96" s="3008">
        <v>8.2873962668984946E-2</v>
      </c>
      <c r="Y96" s="743">
        <v>9.3278678902575463E-2</v>
      </c>
    </row>
    <row r="97" spans="1:25">
      <c r="A97" s="324">
        <f t="shared" si="2"/>
        <v>2023.04</v>
      </c>
      <c r="B97" s="966">
        <v>8.4026898836709663E-2</v>
      </c>
      <c r="C97" s="3008">
        <v>8.5858183974304003E-2</v>
      </c>
      <c r="D97" s="976">
        <v>8.5401514895506292E-2</v>
      </c>
      <c r="E97" s="3008">
        <v>7.6925545164763243E-2</v>
      </c>
      <c r="F97" s="976">
        <v>8.3391165193748895E-2</v>
      </c>
      <c r="G97" s="3008">
        <v>7.2252721148119647E-2</v>
      </c>
      <c r="H97" s="485">
        <v>8.1093918728547987E-2</v>
      </c>
      <c r="I97" s="981">
        <v>0.10148241710511896</v>
      </c>
      <c r="J97" s="3008">
        <v>3.7882486102113422E-2</v>
      </c>
      <c r="K97" s="976">
        <v>0.10846474055538446</v>
      </c>
      <c r="L97" s="3008">
        <v>5.6188070893136599E-2</v>
      </c>
      <c r="M97" s="976">
        <v>8.6416522986146216E-2</v>
      </c>
      <c r="N97" s="3008">
        <v>6.5810002987520821E-2</v>
      </c>
      <c r="O97" s="976">
        <v>6.4505032935179951E-2</v>
      </c>
      <c r="P97" s="3008">
        <v>6.2671667260721264E-2</v>
      </c>
      <c r="Q97" s="976">
        <v>7.543857363411921E-2</v>
      </c>
      <c r="R97" s="3008">
        <v>5.0287405365865956E-2</v>
      </c>
      <c r="S97" s="976">
        <v>9.8884144160287679E-2</v>
      </c>
      <c r="T97" s="1814">
        <v>6.5936572478843658E-2</v>
      </c>
      <c r="U97" s="999">
        <v>9.1007276801094772E-2</v>
      </c>
      <c r="V97" s="1814">
        <v>6.5538621410311082E-2</v>
      </c>
      <c r="W97" s="981">
        <v>8.4006310402771511E-2</v>
      </c>
      <c r="X97" s="3008">
        <v>4.8946895483602315E-2</v>
      </c>
      <c r="Y97" s="743">
        <v>0.12649737412144235</v>
      </c>
    </row>
    <row r="98" spans="1:25">
      <c r="A98" s="324">
        <f t="shared" si="2"/>
        <v>2023.05</v>
      </c>
      <c r="B98" s="966">
        <v>7.7727529658905947E-2</v>
      </c>
      <c r="C98" s="3008">
        <v>7.9525994113905707E-2</v>
      </c>
      <c r="D98" s="976">
        <v>7.6790302504688324E-2</v>
      </c>
      <c r="E98" s="3008">
        <v>7.9573527074891404E-2</v>
      </c>
      <c r="F98" s="976">
        <v>7.2870564981044827E-2</v>
      </c>
      <c r="G98" s="3008">
        <v>7.4666967477925228E-2</v>
      </c>
      <c r="H98" s="485">
        <v>7.2698946476225768E-2</v>
      </c>
      <c r="I98" s="981">
        <v>5.805917685766282E-2</v>
      </c>
      <c r="J98" s="3008">
        <v>8.4388091717272573E-2</v>
      </c>
      <c r="K98" s="976">
        <v>7.6406002002039841E-2</v>
      </c>
      <c r="L98" s="3008">
        <v>0.11853187533968046</v>
      </c>
      <c r="M98" s="976">
        <v>8.7585618821719224E-2</v>
      </c>
      <c r="N98" s="3008">
        <v>9.0469694845678461E-2</v>
      </c>
      <c r="O98" s="976">
        <v>8.1355757402434392E-2</v>
      </c>
      <c r="P98" s="3008">
        <v>6.7291341768928925E-2</v>
      </c>
      <c r="Q98" s="976">
        <v>8.3626331585550329E-2</v>
      </c>
      <c r="R98" s="3008">
        <v>4.9130446879746437E-2</v>
      </c>
      <c r="S98" s="976">
        <v>9.334197707117986E-2</v>
      </c>
      <c r="T98" s="1814">
        <v>7.1061615670421796E-2</v>
      </c>
      <c r="U98" s="999">
        <v>7.4199805984195732E-2</v>
      </c>
      <c r="V98" s="1814">
        <v>8.6405369472773552E-2</v>
      </c>
      <c r="W98" s="981">
        <v>7.8417897296695571E-2</v>
      </c>
      <c r="X98" s="3008">
        <v>9.0324972459066455E-2</v>
      </c>
      <c r="Y98" s="743">
        <v>5.973887908338571E-2</v>
      </c>
    </row>
    <row r="99" spans="1:25">
      <c r="A99" s="324">
        <f t="shared" si="2"/>
        <v>2023.06</v>
      </c>
      <c r="B99" s="966">
        <v>5.9508319805006149E-2</v>
      </c>
      <c r="C99" s="3008">
        <v>5.8219487762752431E-2</v>
      </c>
      <c r="D99" s="976">
        <v>5.8865053264280265E-2</v>
      </c>
      <c r="E99" s="3008">
        <v>6.6211057437000731E-2</v>
      </c>
      <c r="F99" s="976">
        <v>6.6095580125910658E-2</v>
      </c>
      <c r="G99" s="3008">
        <v>5.3054454716255695E-2</v>
      </c>
      <c r="H99" s="485">
        <v>6.7789928256195342E-2</v>
      </c>
      <c r="I99" s="981">
        <v>4.149053554025417E-2</v>
      </c>
      <c r="J99" s="3008">
        <v>4.5062408441152169E-2</v>
      </c>
      <c r="K99" s="976">
        <v>4.2145715464336986E-2</v>
      </c>
      <c r="L99" s="3008">
        <v>8.0945479235625672E-2</v>
      </c>
      <c r="M99" s="976">
        <v>7.9943769623748606E-2</v>
      </c>
      <c r="N99" s="3008">
        <v>8.6014950174658766E-2</v>
      </c>
      <c r="O99" s="976">
        <v>6.4976187943151409E-2</v>
      </c>
      <c r="P99" s="3008">
        <v>0.10476310162240776</v>
      </c>
      <c r="Q99" s="976">
        <v>6.4624790473949867E-2</v>
      </c>
      <c r="R99" s="3008">
        <v>6.5712625406429748E-2</v>
      </c>
      <c r="S99" s="976">
        <v>6.2947523512251857E-2</v>
      </c>
      <c r="T99" s="1814">
        <v>6.5578166094982127E-2</v>
      </c>
      <c r="U99" s="999">
        <v>5.4775440047735158E-2</v>
      </c>
      <c r="V99" s="1814">
        <v>7.247308384520279E-2</v>
      </c>
      <c r="W99" s="981">
        <v>6.4922130899684349E-2</v>
      </c>
      <c r="X99" s="3008">
        <v>7.1844610564055778E-2</v>
      </c>
      <c r="Y99" s="743">
        <v>1.8400477503361712E-2</v>
      </c>
    </row>
    <row r="100" spans="1:25">
      <c r="A100" s="324">
        <f t="shared" si="2"/>
        <v>2023.07</v>
      </c>
      <c r="B100" s="966">
        <v>6.3448508623157984E-2</v>
      </c>
      <c r="C100" s="3008">
        <v>6.1873190529190936E-2</v>
      </c>
      <c r="D100" s="976">
        <v>6.4373705221829169E-2</v>
      </c>
      <c r="E100" s="3008">
        <v>6.0752003200670757E-2</v>
      </c>
      <c r="F100" s="976">
        <v>6.2591028386031144E-2</v>
      </c>
      <c r="G100" s="3008">
        <v>6.3077290324396795E-2</v>
      </c>
      <c r="H100" s="485">
        <v>7.7981483706818455E-2</v>
      </c>
      <c r="I100" s="981">
        <v>5.7616335031210442E-2</v>
      </c>
      <c r="J100" s="3008">
        <v>9.0400694267855464E-2</v>
      </c>
      <c r="K100" s="976">
        <v>3.0418202832588781E-2</v>
      </c>
      <c r="L100" s="3008">
        <v>3.9845880430876557E-2</v>
      </c>
      <c r="M100" s="976">
        <v>6.1559784910507398E-2</v>
      </c>
      <c r="N100" s="3008">
        <v>9.0314721921668673E-2</v>
      </c>
      <c r="O100" s="976">
        <v>5.2885622827319567E-2</v>
      </c>
      <c r="P100" s="3008">
        <v>0.12167753856041141</v>
      </c>
      <c r="Q100" s="976">
        <v>0.11190916556346497</v>
      </c>
      <c r="R100" s="3008">
        <v>6.1315888842773836E-2</v>
      </c>
      <c r="S100" s="976">
        <v>7.4513968597995195E-2</v>
      </c>
      <c r="T100" s="1814">
        <v>6.3172124167140575E-2</v>
      </c>
      <c r="U100" s="999">
        <v>6.0457830369210042E-2</v>
      </c>
      <c r="V100" s="1814">
        <v>7.1530780374620795E-2</v>
      </c>
      <c r="W100" s="981">
        <v>6.4975294003420059E-2</v>
      </c>
      <c r="X100" s="3008">
        <v>6.7197239265089248E-2</v>
      </c>
      <c r="Y100" s="743">
        <v>5.102065562795155E-2</v>
      </c>
    </row>
    <row r="101" spans="1:25">
      <c r="A101" s="324">
        <f t="shared" si="2"/>
        <v>2023.08</v>
      </c>
      <c r="B101" s="966">
        <v>0.12441637728689958</v>
      </c>
      <c r="C101" s="3008">
        <v>0.1225980935243256</v>
      </c>
      <c r="D101" s="976">
        <v>0.12241216390812393</v>
      </c>
      <c r="E101" s="3008">
        <v>0.13680632267064619</v>
      </c>
      <c r="F101" s="976">
        <v>0.14180495639256052</v>
      </c>
      <c r="G101" s="3008">
        <v>0.12326648875119295</v>
      </c>
      <c r="H101" s="485">
        <v>0.12146015126213849</v>
      </c>
      <c r="I101" s="981">
        <v>0.15590776430369946</v>
      </c>
      <c r="J101" s="3008">
        <v>8.4812261554315427E-2</v>
      </c>
      <c r="K101" s="976">
        <v>9.1423354923077849E-2</v>
      </c>
      <c r="L101" s="3008">
        <v>9.136425214477728E-2</v>
      </c>
      <c r="M101" s="976">
        <v>0.14061924861917485</v>
      </c>
      <c r="N101" s="3008">
        <v>0.15264447407955739</v>
      </c>
      <c r="O101" s="976">
        <v>0.10455341600940149</v>
      </c>
      <c r="P101" s="3008">
        <v>4.4903106446473329E-2</v>
      </c>
      <c r="Q101" s="976">
        <v>0.11586390403127922</v>
      </c>
      <c r="R101" s="3008">
        <v>8.6723481717143835E-2</v>
      </c>
      <c r="S101" s="976">
        <v>0.1244549369579282</v>
      </c>
      <c r="T101" s="1814">
        <v>9.3698798687884333E-2</v>
      </c>
      <c r="U101" s="999">
        <v>0.13654775359964932</v>
      </c>
      <c r="V101" s="1814">
        <v>9.0523375703588149E-2</v>
      </c>
      <c r="W101" s="981">
        <v>0.13786681908815779</v>
      </c>
      <c r="X101" s="3008">
        <v>8.27579440421784E-2</v>
      </c>
      <c r="Y101" s="743">
        <v>0.10651780125782051</v>
      </c>
    </row>
    <row r="102" spans="1:25">
      <c r="A102" s="324">
        <f t="shared" si="2"/>
        <v>2023.09</v>
      </c>
      <c r="B102" s="966">
        <v>0.12749750132466953</v>
      </c>
      <c r="C102" s="3008">
        <v>0.12179890371797142</v>
      </c>
      <c r="D102" s="976">
        <v>0.1307483734730237</v>
      </c>
      <c r="E102" s="3008">
        <v>0.13177804233588808</v>
      </c>
      <c r="F102" s="976">
        <v>0.12953542006163632</v>
      </c>
      <c r="G102" s="3008">
        <v>0.13658008573656444</v>
      </c>
      <c r="H102" s="485">
        <v>0.13990105394925623</v>
      </c>
      <c r="I102" s="981">
        <v>0.14347751763939032</v>
      </c>
      <c r="J102" s="3008">
        <v>0.11545670077039838</v>
      </c>
      <c r="K102" s="976">
        <v>0.15712818061115641</v>
      </c>
      <c r="L102" s="3008">
        <v>8.4570560465021538E-2</v>
      </c>
      <c r="M102" s="976">
        <v>0.12654583618268944</v>
      </c>
      <c r="N102" s="3008">
        <v>9.5420994764753519E-2</v>
      </c>
      <c r="O102" s="976">
        <v>0.10845696211607536</v>
      </c>
      <c r="P102" s="3008">
        <v>9.5803602125567711E-2</v>
      </c>
      <c r="Q102" s="976">
        <v>0.15132197180875862</v>
      </c>
      <c r="R102" s="3008">
        <v>8.1420013704336824E-2</v>
      </c>
      <c r="S102" s="976">
        <v>0.13242188172247604</v>
      </c>
      <c r="T102" s="1814">
        <v>0.11678999164466619</v>
      </c>
      <c r="U102" s="999">
        <v>0.13544100533698034</v>
      </c>
      <c r="V102" s="1814">
        <v>0.10545723139068874</v>
      </c>
      <c r="W102" s="981">
        <v>0.13428211442914151</v>
      </c>
      <c r="X102" s="3008">
        <v>8.3170682181786582E-2</v>
      </c>
      <c r="Y102" s="743">
        <v>0.14692786292614879</v>
      </c>
    </row>
    <row r="103" spans="1:25">
      <c r="A103" s="324">
        <f t="shared" si="2"/>
        <v>2023.1</v>
      </c>
      <c r="B103" s="966">
        <v>8.3017393804100115E-2</v>
      </c>
      <c r="C103" s="3008">
        <v>8.612751353074799E-2</v>
      </c>
      <c r="D103" s="976">
        <v>8.3056026132919625E-2</v>
      </c>
      <c r="E103" s="3008">
        <v>7.7189699649289345E-2</v>
      </c>
      <c r="F103" s="976">
        <v>7.3956982684887596E-2</v>
      </c>
      <c r="G103" s="3008">
        <v>7.3826180359703342E-2</v>
      </c>
      <c r="H103" s="485">
        <v>8.175730451777774E-2</v>
      </c>
      <c r="I103" s="981">
        <v>7.7055098226642915E-2</v>
      </c>
      <c r="J103" s="3008">
        <v>9.8420979210334547E-2</v>
      </c>
      <c r="K103" s="976">
        <v>0.1098543383771704</v>
      </c>
      <c r="L103" s="3008">
        <v>7.808115255535597E-2</v>
      </c>
      <c r="M103" s="976">
        <v>0.10694122278820517</v>
      </c>
      <c r="N103" s="3008">
        <v>5.1074062762589856E-2</v>
      </c>
      <c r="O103" s="976">
        <v>7.083367635543425E-2</v>
      </c>
      <c r="P103" s="3008">
        <v>0.12643450178875848</v>
      </c>
      <c r="Q103" s="976">
        <v>9.3010632048224462E-2</v>
      </c>
      <c r="R103" s="3008">
        <v>6.5981555300306027E-2</v>
      </c>
      <c r="S103" s="976">
        <v>8.7853248673965156E-2</v>
      </c>
      <c r="T103" s="1814">
        <v>7.6672127056956141E-2</v>
      </c>
      <c r="U103" s="999">
        <v>8.5447005561218425E-2</v>
      </c>
      <c r="V103" s="1814">
        <v>7.7704378921720663E-2</v>
      </c>
      <c r="W103" s="981">
        <v>8.8110343354632192E-2</v>
      </c>
      <c r="X103" s="3008">
        <v>6.6211758973207191E-2</v>
      </c>
      <c r="Y103" s="743">
        <v>7.6189998640670442E-2</v>
      </c>
    </row>
    <row r="104" spans="1:25">
      <c r="A104" s="324">
        <f t="shared" si="2"/>
        <v>2023.11</v>
      </c>
      <c r="B104" s="966">
        <v>0.1281069017691574</v>
      </c>
      <c r="C104" s="3008">
        <v>0.1290547952761214</v>
      </c>
      <c r="D104" s="976">
        <v>0.13011902206014558</v>
      </c>
      <c r="E104" s="3008">
        <v>0.11811740816823679</v>
      </c>
      <c r="F104" s="976">
        <v>0.12825834239127931</v>
      </c>
      <c r="G104" s="3008">
        <v>0.12757877971198539</v>
      </c>
      <c r="H104" s="485">
        <v>0.1195271825339812</v>
      </c>
      <c r="I104" s="3008">
        <v>0.15666966906161028</v>
      </c>
      <c r="J104" s="3008">
        <v>0.1175875852981707</v>
      </c>
      <c r="K104" s="976">
        <v>0.10014287134077415</v>
      </c>
      <c r="L104" s="3008">
        <v>7.0679108910828958E-2</v>
      </c>
      <c r="M104" s="976">
        <v>0.12445540071905037</v>
      </c>
      <c r="N104" s="3008">
        <v>0.15872080438836478</v>
      </c>
      <c r="O104" s="976">
        <v>0.10388907945616888</v>
      </c>
      <c r="P104" s="3008">
        <v>0.1520739673725422</v>
      </c>
      <c r="Q104" s="976">
        <v>0.13189542734544291</v>
      </c>
      <c r="R104" s="3008">
        <v>8.3100203523217342E-2</v>
      </c>
      <c r="S104" s="976">
        <v>0.12029493159109483</v>
      </c>
      <c r="T104" s="1814">
        <v>0.11514400163206528</v>
      </c>
      <c r="U104" s="999">
        <v>0.13785517734266395</v>
      </c>
      <c r="V104" s="1814">
        <v>0.10188937743270809</v>
      </c>
      <c r="W104" s="981">
        <v>0.134036155012214</v>
      </c>
      <c r="X104" s="3008">
        <v>0.10056235889450726</v>
      </c>
      <c r="Y104" s="743">
        <v>0.12808230560574829</v>
      </c>
    </row>
    <row r="105" spans="1:25">
      <c r="A105" s="324">
        <f t="shared" si="2"/>
        <v>2023.12</v>
      </c>
      <c r="B105" s="966">
        <v>0.25465674984236841</v>
      </c>
      <c r="C105" s="3008">
        <v>0.25084997475967419</v>
      </c>
      <c r="D105" s="976">
        <v>0.25698049898302866</v>
      </c>
      <c r="E105" s="3008">
        <v>0.25228747326784617</v>
      </c>
      <c r="F105" s="976">
        <v>0.28354861333531112</v>
      </c>
      <c r="G105" s="3008">
        <v>0.2584609455383633</v>
      </c>
      <c r="H105" s="485">
        <v>0.24308679453367188</v>
      </c>
      <c r="I105" s="3008">
        <v>0.2968290285561308</v>
      </c>
      <c r="J105" s="3008">
        <v>0.20231166942397705</v>
      </c>
      <c r="K105" s="976">
        <v>0.17244429441946085</v>
      </c>
      <c r="L105" s="3008">
        <v>0.1381655930594774</v>
      </c>
      <c r="M105" s="976">
        <v>0.30678789715516452</v>
      </c>
      <c r="N105" s="3008">
        <v>0.32593997973951128</v>
      </c>
      <c r="O105" s="976">
        <v>0.31656075532420647</v>
      </c>
      <c r="P105" s="3008">
        <v>0.15587821307886496</v>
      </c>
      <c r="Q105" s="976">
        <v>0.20191194140750635</v>
      </c>
      <c r="R105" s="3008">
        <v>6.2175809181906683E-2</v>
      </c>
      <c r="S105" s="976">
        <v>0.21585935246696697</v>
      </c>
      <c r="T105" s="1814">
        <v>0.32709963521289676</v>
      </c>
      <c r="U105" s="999">
        <v>0.29458384810198668</v>
      </c>
      <c r="V105" s="1814">
        <v>0.1405093137826825</v>
      </c>
      <c r="W105" s="981">
        <v>0.28258759870910533</v>
      </c>
      <c r="X105" s="3008">
        <v>0.20679933015519825</v>
      </c>
      <c r="Y105" s="743">
        <v>0.16229288187371593</v>
      </c>
    </row>
    <row r="106" spans="1:25">
      <c r="A106" s="324">
        <f t="shared" si="2"/>
        <v>2024.01</v>
      </c>
      <c r="B106" s="966">
        <v>0.20614225288961063</v>
      </c>
      <c r="C106" s="3008">
        <v>0.19551815973106401</v>
      </c>
      <c r="D106" s="976">
        <v>0.21203681979011701</v>
      </c>
      <c r="E106" s="3008">
        <v>0.21711863705681056</v>
      </c>
      <c r="F106" s="976">
        <v>0.19503902622166902</v>
      </c>
      <c r="G106" s="3008">
        <v>0.22292733205987769</v>
      </c>
      <c r="H106" s="485">
        <v>0.24190884114252698</v>
      </c>
      <c r="I106" s="3008">
        <v>0.20396641243753511</v>
      </c>
      <c r="J106" s="3008">
        <v>0.21019055606826775</v>
      </c>
      <c r="K106" s="976">
        <v>0.11931633869013436</v>
      </c>
      <c r="L106" s="3008">
        <v>0.14008064634734807</v>
      </c>
      <c r="M106" s="976">
        <v>0.22328280027881986</v>
      </c>
      <c r="N106" s="3008">
        <v>0.2045413274534742</v>
      </c>
      <c r="O106" s="976">
        <v>0.26288760634769148</v>
      </c>
      <c r="P106" s="3008">
        <v>0.2510072489062467</v>
      </c>
      <c r="Q106" s="976">
        <v>0.24010468746217795</v>
      </c>
      <c r="R106" s="3008">
        <v>8.6043105031010647E-3</v>
      </c>
      <c r="S106" s="976">
        <v>0.1944866533715397</v>
      </c>
      <c r="T106" s="1814">
        <v>0.44363901300209152</v>
      </c>
      <c r="U106" s="999">
        <v>0.21139807207220285</v>
      </c>
      <c r="V106" s="1814">
        <v>0.18803096867105085</v>
      </c>
      <c r="W106" s="981">
        <v>0.2021648871207129</v>
      </c>
      <c r="X106" s="3008">
        <v>0.26571935959801452</v>
      </c>
      <c r="Y106" s="743">
        <v>0.16207762605895404</v>
      </c>
    </row>
    <row r="107" spans="1:25">
      <c r="A107" s="324">
        <f t="shared" si="2"/>
        <v>2024.02</v>
      </c>
      <c r="B107" s="966">
        <v>0.13240676053524769</v>
      </c>
      <c r="C107" s="3008">
        <v>0.14973905493530637</v>
      </c>
      <c r="D107" s="976">
        <v>0.11889319282549415</v>
      </c>
      <c r="E107" s="3008">
        <v>0.1169122273133536</v>
      </c>
      <c r="F107" s="976">
        <v>0.1089586501875468</v>
      </c>
      <c r="G107" s="3008">
        <v>0.13535663533264719</v>
      </c>
      <c r="H107" s="485">
        <v>0.11310171215911047</v>
      </c>
      <c r="I107" s="3008">
        <v>0.11898023739704788</v>
      </c>
      <c r="J107" s="3008">
        <v>0.17672625792051155</v>
      </c>
      <c r="K107" s="976">
        <v>7.2267035324580009E-2</v>
      </c>
      <c r="L107" s="3008">
        <v>0.20219922770789878</v>
      </c>
      <c r="M107" s="976">
        <v>0.10327709841628274</v>
      </c>
      <c r="N107" s="3008">
        <v>0.13574698040764144</v>
      </c>
      <c r="O107" s="976">
        <v>0.21612286381305124</v>
      </c>
      <c r="P107" s="3008">
        <v>0.24712652969064064</v>
      </c>
      <c r="Q107" s="976">
        <v>8.578353610364986E-2</v>
      </c>
      <c r="R107" s="3008">
        <v>9.9324303085305043E-2</v>
      </c>
      <c r="S107" s="976">
        <v>0.11160883525558996</v>
      </c>
      <c r="T107" s="1814">
        <v>0.16587285130897089</v>
      </c>
      <c r="U107" s="999">
        <v>0.11879766613059828</v>
      </c>
      <c r="V107" s="1814">
        <v>0.17599156647778358</v>
      </c>
      <c r="W107" s="981">
        <v>0.12290140839705677</v>
      </c>
      <c r="X107" s="3008">
        <v>0.21106121889298324</v>
      </c>
      <c r="Y107" s="743">
        <v>8.6935089753514383E-2</v>
      </c>
    </row>
    <row r="108" spans="1:25">
      <c r="A108" s="324">
        <f t="shared" si="2"/>
        <v>2024.03</v>
      </c>
      <c r="B108" s="966">
        <v>0.11009700156540236</v>
      </c>
      <c r="C108" s="3008">
        <v>0.11482187140392397</v>
      </c>
      <c r="D108" s="976">
        <v>0.11279330233265372</v>
      </c>
      <c r="E108" s="3008">
        <v>8.766686708165472E-2</v>
      </c>
      <c r="F108" s="976">
        <v>0.10345253032237367</v>
      </c>
      <c r="G108" s="3008">
        <v>9.3075061656613833E-2</v>
      </c>
      <c r="H108" s="485">
        <v>0.1046066580957834</v>
      </c>
      <c r="I108" s="3008">
        <v>0.10549974664036155</v>
      </c>
      <c r="J108" s="3008">
        <v>0.12306112480294851</v>
      </c>
      <c r="K108" s="976">
        <v>0.1092480938855509</v>
      </c>
      <c r="L108" s="3008">
        <v>0.13253794921283046</v>
      </c>
      <c r="M108" s="976">
        <v>5.0293831338804385E-2</v>
      </c>
      <c r="N108" s="3008">
        <v>0.12210968646283571</v>
      </c>
      <c r="O108" s="976">
        <v>0.12966542296899819</v>
      </c>
      <c r="P108" s="3008">
        <v>0.15944605767396358</v>
      </c>
      <c r="Q108" s="976">
        <v>8.5071819322081632E-2</v>
      </c>
      <c r="R108" s="3008">
        <v>0.52710235382161064</v>
      </c>
      <c r="S108" s="976">
        <v>8.3129993912788969E-2</v>
      </c>
      <c r="T108" s="1814">
        <v>9.5664293859961891E-2</v>
      </c>
      <c r="U108" s="999">
        <v>9.7553547919904338E-2</v>
      </c>
      <c r="V108" s="1814">
        <v>0.15475976203433084</v>
      </c>
      <c r="W108" s="981">
        <v>9.4120479753699193E-2</v>
      </c>
      <c r="X108" s="3008">
        <v>0.18126817923582839</v>
      </c>
      <c r="Y108" s="743">
        <v>0.11142630726486935</v>
      </c>
    </row>
    <row r="109" spans="1:25">
      <c r="A109" s="324">
        <f t="shared" si="2"/>
        <v>2024.04</v>
      </c>
      <c r="B109" s="966">
        <v>8.8319207606050831E-2</v>
      </c>
      <c r="C109" s="3008">
        <v>9.2271810127675602E-2</v>
      </c>
      <c r="D109" s="976">
        <v>8.7635860887988581E-2</v>
      </c>
      <c r="E109" s="3008">
        <v>9.1020858661966964E-2</v>
      </c>
      <c r="F109" s="976">
        <v>6.2869625393418893E-2</v>
      </c>
      <c r="G109" s="3008">
        <v>8.1495061408456415E-2</v>
      </c>
      <c r="H109" s="485">
        <v>8.4532521256315718E-2</v>
      </c>
      <c r="I109" s="3008">
        <v>6.0173726860508037E-2</v>
      </c>
      <c r="J109" s="3008">
        <v>5.4870844822912268E-2</v>
      </c>
      <c r="K109" s="976">
        <v>9.6292658665280362E-2</v>
      </c>
      <c r="L109" s="3008">
        <v>0.356336715699481</v>
      </c>
      <c r="M109" s="976">
        <v>6.4998180253147186E-2</v>
      </c>
      <c r="N109" s="3008">
        <v>9.1328300346209312E-2</v>
      </c>
      <c r="O109" s="976">
        <v>6.2564469822129931E-2</v>
      </c>
      <c r="P109" s="3008">
        <v>0.14168303361914703</v>
      </c>
      <c r="Q109" s="976">
        <v>7.1419950031621271E-2</v>
      </c>
      <c r="R109" s="3008">
        <v>8.5913890354640809E-2</v>
      </c>
      <c r="S109" s="976">
        <v>7.2873111270730817E-2</v>
      </c>
      <c r="T109" s="1814">
        <v>5.6819747908974705E-2</v>
      </c>
      <c r="U109" s="999">
        <v>6.2681747568250623E-2</v>
      </c>
      <c r="V109" s="1814">
        <v>0.16545473479996264</v>
      </c>
      <c r="W109" s="981">
        <v>6.2984383986520287E-2</v>
      </c>
      <c r="X109" s="3008">
        <v>0.18394088937479136</v>
      </c>
      <c r="Y109" s="743">
        <v>9.946923329538615E-2</v>
      </c>
    </row>
    <row r="110" spans="1:25">
      <c r="A110" s="324">
        <f t="shared" si="2"/>
        <v>2024.05</v>
      </c>
      <c r="B110" s="966">
        <v>4.176327882665154E-2</v>
      </c>
      <c r="C110" s="3008">
        <v>4.3005823851510305E-2</v>
      </c>
      <c r="D110" s="976">
        <v>4.0158781762211548E-2</v>
      </c>
      <c r="E110" s="3008">
        <v>4.1700910000279645E-2</v>
      </c>
      <c r="F110" s="976">
        <v>3.7307587374065143E-2</v>
      </c>
      <c r="G110" s="3008">
        <v>4.2669612632195264E-2</v>
      </c>
      <c r="H110" s="485">
        <v>4.520328397786022E-2</v>
      </c>
      <c r="I110" s="3008">
        <v>4.847671450563551E-2</v>
      </c>
      <c r="J110" s="3008">
        <v>6.6823982267512516E-2</v>
      </c>
      <c r="K110" s="976">
        <v>3.5472959535472359E-2</v>
      </c>
      <c r="L110" s="3008">
        <v>2.5278571385486392E-2</v>
      </c>
      <c r="M110" s="976">
        <v>3.2283096834790692E-2</v>
      </c>
      <c r="N110" s="3008">
        <v>6.8613799837740075E-3</v>
      </c>
      <c r="O110" s="976">
        <v>3.9785964289567266E-2</v>
      </c>
      <c r="P110" s="3008">
        <v>8.2130796670246031E-2</v>
      </c>
      <c r="Q110" s="976">
        <v>4.555655275053927E-2</v>
      </c>
      <c r="R110" s="3008">
        <v>7.6396346642114699E-2</v>
      </c>
      <c r="S110" s="976">
        <v>5.5476066423501003E-2</v>
      </c>
      <c r="T110" s="1814">
        <v>4.2997673570636774E-2</v>
      </c>
      <c r="U110" s="999">
        <v>3.9051904218307509E-2</v>
      </c>
      <c r="V110" s="1814">
        <v>4.9566550957512057E-2</v>
      </c>
      <c r="W110" s="981">
        <v>3.7342274649731388E-2</v>
      </c>
      <c r="X110" s="3008">
        <v>4.0183370432795629E-2</v>
      </c>
      <c r="Y110" s="743">
        <v>7.1637622801571155E-2</v>
      </c>
    </row>
    <row r="111" spans="1:25">
      <c r="A111" s="324">
        <f t="shared" si="2"/>
        <v>2024.06</v>
      </c>
      <c r="B111" s="966">
        <v>4.5770657883027477E-2</v>
      </c>
      <c r="C111" s="3008">
        <v>4.3535999562241745E-2</v>
      </c>
      <c r="D111" s="976">
        <v>4.737693199429116E-2</v>
      </c>
      <c r="E111" s="3008">
        <v>4.759406961475765E-2</v>
      </c>
      <c r="F111" s="976">
        <v>4.3818115281907044E-2</v>
      </c>
      <c r="G111" s="3008">
        <v>5.0647807869153016E-2</v>
      </c>
      <c r="H111" s="485">
        <v>4.9534044474444983E-2</v>
      </c>
      <c r="I111" s="3008">
        <v>3.0055444248315188E-2</v>
      </c>
      <c r="J111" s="3008">
        <v>2.0649033748353585E-2</v>
      </c>
      <c r="K111" s="976">
        <v>2.7214281003234531E-2</v>
      </c>
      <c r="L111" s="3008">
        <v>0.14272327903171456</v>
      </c>
      <c r="M111" s="976">
        <v>2.2860236331405437E-2</v>
      </c>
      <c r="N111" s="3008">
        <v>4.7452586346504066E-2</v>
      </c>
      <c r="O111" s="976">
        <v>3.9297759642266561E-2</v>
      </c>
      <c r="P111" s="3008">
        <v>5.31256822633972E-2</v>
      </c>
      <c r="Q111" s="976">
        <v>5.6154872277499157E-2</v>
      </c>
      <c r="R111" s="3008">
        <v>5.7359318663547709E-2</v>
      </c>
      <c r="S111" s="976">
        <v>6.2763661407739813E-2</v>
      </c>
      <c r="T111" s="1814">
        <v>2.7549819971115053E-2</v>
      </c>
      <c r="U111" s="999">
        <v>3.0851847403645882E-2</v>
      </c>
      <c r="V111" s="1814">
        <v>8.6868820779622657E-2</v>
      </c>
      <c r="W111" s="981">
        <v>3.6515891953954771E-2</v>
      </c>
      <c r="X111" s="3008">
        <v>8.0556476107178865E-2</v>
      </c>
      <c r="Y111" s="743">
        <v>4.4462439153231337E-2</v>
      </c>
    </row>
    <row r="112" spans="1:25">
      <c r="A112" s="324">
        <f t="shared" si="2"/>
        <v>2024.07</v>
      </c>
      <c r="B112" s="966">
        <v>4.0309336951463992E-2</v>
      </c>
      <c r="C112" s="3008">
        <v>4.0371942876526123E-2</v>
      </c>
      <c r="D112" s="976">
        <v>3.9323157743564652E-2</v>
      </c>
      <c r="E112" s="3008">
        <v>3.5859446279410845E-2</v>
      </c>
      <c r="F112" s="976">
        <v>4.606758600499572E-2</v>
      </c>
      <c r="G112" s="3008">
        <v>4.5914975417206128E-2</v>
      </c>
      <c r="H112" s="485">
        <v>4.1609773460840715E-2</v>
      </c>
      <c r="I112" s="3008">
        <v>3.2060804275465093E-2</v>
      </c>
      <c r="J112" s="3008">
        <v>6.1170224155821407E-2</v>
      </c>
      <c r="K112" s="976">
        <v>1.631616589836038E-2</v>
      </c>
      <c r="L112" s="3008">
        <v>6.0054960847234051E-2</v>
      </c>
      <c r="M112" s="976">
        <v>3.4534977799788313E-2</v>
      </c>
      <c r="N112" s="3008">
        <v>5.8496463601337201E-2</v>
      </c>
      <c r="O112" s="976">
        <v>2.6097315634777019E-2</v>
      </c>
      <c r="P112" s="3008">
        <v>3.5402533680867432E-2</v>
      </c>
      <c r="Q112" s="976">
        <v>5.6666188787232619E-2</v>
      </c>
      <c r="R112" s="3008">
        <v>4.1933521675908025E-2</v>
      </c>
      <c r="S112" s="976">
        <v>6.4667196878988698E-2</v>
      </c>
      <c r="T112" s="1814">
        <v>3.4543734738871734E-2</v>
      </c>
      <c r="U112" s="999">
        <v>3.1842522580828536E-2</v>
      </c>
      <c r="V112" s="1814">
        <v>6.3995930061153228E-2</v>
      </c>
      <c r="W112" s="981">
        <v>3.7855879288956507E-2</v>
      </c>
      <c r="X112" s="3008">
        <v>4.3322728984726888E-2</v>
      </c>
      <c r="Y112" s="743">
        <v>5.0751391444430638E-2</v>
      </c>
    </row>
    <row r="113" spans="1:25">
      <c r="A113" s="324">
        <f t="shared" si="2"/>
        <v>2024.08</v>
      </c>
      <c r="B113" s="966">
        <v>4.1722732793725292E-2</v>
      </c>
      <c r="C113" s="3008">
        <v>4.1377770776646283E-2</v>
      </c>
      <c r="D113" s="976">
        <v>3.9069410474624977E-2</v>
      </c>
      <c r="E113" s="3008">
        <v>5.0454589804555638E-2</v>
      </c>
      <c r="F113" s="976">
        <v>4.3657400949174807E-2</v>
      </c>
      <c r="G113" s="3008">
        <v>4.5173898717675742E-2</v>
      </c>
      <c r="H113" s="485">
        <v>4.6117444825600984E-2</v>
      </c>
      <c r="I113" s="3008">
        <v>3.6264048591670095E-2</v>
      </c>
      <c r="J113" s="3008">
        <v>3.0414847968530889E-2</v>
      </c>
      <c r="K113" s="976">
        <v>2.0560325493601983E-2</v>
      </c>
      <c r="L113" s="3008">
        <v>7.0491292668431571E-2</v>
      </c>
      <c r="M113" s="976">
        <v>4.2629444849597631E-2</v>
      </c>
      <c r="N113" s="3008">
        <v>4.1391942682814653E-2</v>
      </c>
      <c r="O113" s="976">
        <v>5.1010580414407647E-2</v>
      </c>
      <c r="P113" s="3008">
        <v>4.8527481681217788E-2</v>
      </c>
      <c r="Q113" s="976">
        <v>3.6791723513801333E-2</v>
      </c>
      <c r="R113" s="3008">
        <v>6.5683215487836177E-2</v>
      </c>
      <c r="S113" s="976">
        <v>4.8427728605966225E-2</v>
      </c>
      <c r="T113" s="1814">
        <v>2.2731471386842284E-2</v>
      </c>
      <c r="U113" s="999">
        <v>3.1813685162039196E-2</v>
      </c>
      <c r="V113" s="1814">
        <v>6.514465575812145E-2</v>
      </c>
      <c r="W113" s="981">
        <v>4.1202855730913646E-2</v>
      </c>
      <c r="X113" s="3008">
        <v>5.8897168076665674E-2</v>
      </c>
      <c r="Y113" s="743">
        <v>1.5275183973345818E-2</v>
      </c>
    </row>
    <row r="114" spans="1:25">
      <c r="A114" s="324">
        <f t="shared" si="2"/>
        <v>2024.09</v>
      </c>
      <c r="B114" s="966">
        <v>3.4692081048066425E-2</v>
      </c>
      <c r="C114" s="3008">
        <v>3.7177512181158612E-2</v>
      </c>
      <c r="D114" s="976">
        <v>3.2135128597617024E-2</v>
      </c>
      <c r="E114" s="3008">
        <v>3.4199871840186358E-2</v>
      </c>
      <c r="F114" s="976">
        <v>3.2656876874425755E-2</v>
      </c>
      <c r="G114" s="3008">
        <v>3.031806617753996E-2</v>
      </c>
      <c r="H114" s="485">
        <v>3.7263769835657046E-2</v>
      </c>
      <c r="I114" s="3008">
        <v>2.3038076514363404E-2</v>
      </c>
      <c r="J114" s="3008">
        <v>2.1987023835846609E-2</v>
      </c>
      <c r="K114" s="976">
        <v>6.04151158151498E-2</v>
      </c>
      <c r="L114" s="3008">
        <v>7.3070218577758306E-2</v>
      </c>
      <c r="M114" s="976">
        <v>2.6935796773653653E-2</v>
      </c>
      <c r="N114" s="3008">
        <v>3.3347438900657833E-2</v>
      </c>
      <c r="O114" s="976">
        <v>3.4140365830270802E-2</v>
      </c>
      <c r="P114" s="3008">
        <v>2.9796184203833009E-2</v>
      </c>
      <c r="Q114" s="976">
        <v>2.1321462192295249E-2</v>
      </c>
      <c r="R114" s="3008">
        <v>4.310675577226819E-2</v>
      </c>
      <c r="S114" s="976">
        <v>3.6562967878579711E-2</v>
      </c>
      <c r="T114" s="1814">
        <v>3.3422599219889548E-2</v>
      </c>
      <c r="U114" s="999">
        <v>3.0323439007980069E-2</v>
      </c>
      <c r="V114" s="1814">
        <v>4.5727064519067051E-2</v>
      </c>
      <c r="W114" s="981">
        <v>3.262205751650904E-2</v>
      </c>
      <c r="X114" s="3008">
        <v>4.5316488133862132E-2</v>
      </c>
      <c r="Y114" s="743">
        <v>2.9391660114567397E-2</v>
      </c>
    </row>
    <row r="115" spans="1:25">
      <c r="A115" s="324">
        <f t="shared" si="2"/>
        <v>2024.1</v>
      </c>
      <c r="B115" s="966">
        <v>2.6917380413114644E-2</v>
      </c>
      <c r="C115" s="3008">
        <v>2.8202663042794729E-2</v>
      </c>
      <c r="D115" s="976">
        <v>2.5654479044446621E-2</v>
      </c>
      <c r="E115" s="3008">
        <v>2.5513946084953609E-2</v>
      </c>
      <c r="F115" s="976">
        <v>2.5623967395638658E-2</v>
      </c>
      <c r="G115" s="3008">
        <v>2.2444358129773745E-2</v>
      </c>
      <c r="H115" s="485">
        <v>3.2338033151974921E-2</v>
      </c>
      <c r="I115" s="3008">
        <v>1.1999703973553988E-2</v>
      </c>
      <c r="J115" s="3008">
        <v>2.9969343494420597E-2</v>
      </c>
      <c r="K115" s="976">
        <v>4.4253039837345964E-2</v>
      </c>
      <c r="L115" s="3008">
        <v>5.3945029053238391E-2</v>
      </c>
      <c r="M115" s="976">
        <v>2.6132638058093072E-2</v>
      </c>
      <c r="N115" s="3008">
        <v>3.5631681705929008E-2</v>
      </c>
      <c r="O115" s="976">
        <v>1.2171047817975955E-2</v>
      </c>
      <c r="P115" s="3008">
        <v>2.0599157009209668E-2</v>
      </c>
      <c r="Q115" s="976">
        <v>2.8640043003750781E-2</v>
      </c>
      <c r="R115" s="3008">
        <v>3.4519737480717128E-2</v>
      </c>
      <c r="S115" s="976">
        <v>4.2606311415518405E-2</v>
      </c>
      <c r="T115" s="1814">
        <v>2.8077985294328478E-2</v>
      </c>
      <c r="U115" s="999">
        <v>2.0625902139223884E-2</v>
      </c>
      <c r="V115" s="1814">
        <v>4.2604515547954636E-2</v>
      </c>
      <c r="W115" s="981">
        <v>2.9178168076062105E-2</v>
      </c>
      <c r="X115" s="3008">
        <v>2.6962073534600783E-2</v>
      </c>
      <c r="Y115" s="743">
        <v>1.3624749810563275E-2</v>
      </c>
    </row>
    <row r="116" spans="1:25">
      <c r="A116" s="324">
        <f t="shared" si="2"/>
        <v>2024.11</v>
      </c>
      <c r="B116" s="966">
        <v>2.4265560755083682E-2</v>
      </c>
      <c r="C116" s="3008">
        <v>2.6013303472445681E-2</v>
      </c>
      <c r="D116" s="976">
        <v>2.3137163776276948E-2</v>
      </c>
      <c r="E116" s="3008">
        <v>1.9266449044730294E-2</v>
      </c>
      <c r="F116" s="976">
        <v>1.7763802482029467E-2</v>
      </c>
      <c r="G116" s="3008">
        <v>2.1378599320499792E-2</v>
      </c>
      <c r="H116" s="485">
        <v>3.2889952025316749E-2</v>
      </c>
      <c r="I116" s="3008">
        <v>9.0674988552563729E-3</v>
      </c>
      <c r="J116" s="3008">
        <v>3.9961865256872953E-2</v>
      </c>
      <c r="K116" s="976">
        <v>1.8948908785166418E-2</v>
      </c>
      <c r="L116" s="3008">
        <v>4.4631608481369378E-2</v>
      </c>
      <c r="M116" s="976">
        <v>1.5083364412655786E-2</v>
      </c>
      <c r="N116" s="3008">
        <v>2.9231508354561342E-2</v>
      </c>
      <c r="O116" s="976">
        <v>3.4152097544829951E-2</v>
      </c>
      <c r="P116" s="3008">
        <v>1.5384353804874351E-2</v>
      </c>
      <c r="Q116" s="976">
        <v>3.011949661453972E-2</v>
      </c>
      <c r="R116" s="3008">
        <v>5.111355499672432E-2</v>
      </c>
      <c r="S116" s="976">
        <v>3.6159490830821595E-2</v>
      </c>
      <c r="T116" s="1814">
        <v>2.2834606524661849E-2</v>
      </c>
      <c r="U116" s="999">
        <v>1.5942283759021514E-2</v>
      </c>
      <c r="V116" s="1814">
        <v>4.3887150872877756E-2</v>
      </c>
      <c r="W116" s="981">
        <v>2.7148338562957175E-2</v>
      </c>
      <c r="X116" s="3008">
        <v>3.5436502986155194E-2</v>
      </c>
      <c r="Y116" s="743">
        <v>-1.2019970319950279E-2</v>
      </c>
    </row>
    <row r="117" spans="1:25">
      <c r="A117" s="324">
        <f t="shared" si="2"/>
        <v>2024.12</v>
      </c>
      <c r="B117" s="966">
        <v>2.7041040514633741E-2</v>
      </c>
      <c r="C117" s="3008">
        <v>2.8655273911321277E-2</v>
      </c>
      <c r="D117" s="976">
        <v>2.5251585398556875E-2</v>
      </c>
      <c r="E117" s="3008">
        <v>2.7169856599032816E-2</v>
      </c>
      <c r="F117" s="976">
        <v>2.9301617430987692E-2</v>
      </c>
      <c r="G117" s="3008">
        <v>2.3062593615844174E-2</v>
      </c>
      <c r="H117" s="485">
        <v>2.6495819913852747E-2</v>
      </c>
      <c r="I117" s="3008">
        <v>2.2097718363609964E-2</v>
      </c>
      <c r="J117" s="3008">
        <v>2.5012594802110044E-2</v>
      </c>
      <c r="K117" s="976">
        <v>1.5509065923212884E-2</v>
      </c>
      <c r="L117" s="3008">
        <v>5.2829844513587965E-2</v>
      </c>
      <c r="M117" s="976">
        <v>9.4692618896123903E-3</v>
      </c>
      <c r="N117" s="3008">
        <v>2.1050386604844373E-2</v>
      </c>
      <c r="O117" s="976">
        <v>2.2438671828936441E-2</v>
      </c>
      <c r="P117" s="3008">
        <v>5.0450070044097073E-2</v>
      </c>
      <c r="Q117" s="976">
        <v>2.7912340056739593E-2</v>
      </c>
      <c r="R117" s="3008">
        <v>2.2197879484066263E-2</v>
      </c>
      <c r="S117" s="976">
        <v>4.5830671374142984E-2</v>
      </c>
      <c r="T117" s="1814">
        <v>2.1408186567451803E-2</v>
      </c>
      <c r="U117" s="999">
        <v>1.9213106795857637E-2</v>
      </c>
      <c r="V117" s="1814">
        <v>4.445131088751797E-2</v>
      </c>
      <c r="W117" s="981">
        <v>3.1972815061501292E-2</v>
      </c>
      <c r="X117" s="3008">
        <v>3.3739790036057205E-2</v>
      </c>
      <c r="Y117" s="743">
        <v>-1.4049630005396607E-2</v>
      </c>
    </row>
    <row r="118" spans="1:25">
      <c r="A118" s="324">
        <f t="shared" si="2"/>
        <v>2025.01</v>
      </c>
      <c r="B118" s="966">
        <v>2.2110480136651844E-2</v>
      </c>
      <c r="C118" s="3008">
        <v>2.0234114180589513E-2</v>
      </c>
      <c r="D118" s="976">
        <v>2.3479695538445755E-2</v>
      </c>
      <c r="E118" s="3008">
        <v>2.5850285224909397E-2</v>
      </c>
      <c r="F118" s="976">
        <v>2.4796521174364372E-2</v>
      </c>
      <c r="G118" s="3008">
        <v>1.9666407829216581E-2</v>
      </c>
      <c r="H118" s="485">
        <v>2.5060177814997253E-2</v>
      </c>
      <c r="I118" s="3008">
        <v>1.8498320946717328E-2</v>
      </c>
      <c r="J118" s="3008">
        <v>2.4233449747654623E-2</v>
      </c>
      <c r="K118" s="976">
        <v>-6.5963280913119426E-3</v>
      </c>
      <c r="L118" s="3008">
        <v>4.0308541544919585E-2</v>
      </c>
      <c r="M118" s="976">
        <v>1.6165215649471598E-2</v>
      </c>
      <c r="N118" s="3008">
        <v>2.3775747597429842E-2</v>
      </c>
      <c r="O118" s="976">
        <v>1.2285624409013929E-2</v>
      </c>
      <c r="P118" s="3008">
        <v>2.3472943719745398E-2</v>
      </c>
      <c r="Q118" s="976">
        <v>2.4627517339272265E-2</v>
      </c>
      <c r="R118" s="3008">
        <v>5.4527992862853925E-3</v>
      </c>
      <c r="S118" s="976">
        <v>5.3381630356836851E-2</v>
      </c>
      <c r="T118" s="1814">
        <v>2.4695425295029994E-2</v>
      </c>
      <c r="U118" s="999">
        <v>1.5297125085766083E-2</v>
      </c>
      <c r="V118" s="1814">
        <v>3.7872728367531749E-2</v>
      </c>
      <c r="W118" s="981">
        <v>2.3976894312394359E-2</v>
      </c>
      <c r="X118" s="3008">
        <v>2.6133785432829404E-2</v>
      </c>
      <c r="Y118" s="743">
        <v>3.55954073908471E-3</v>
      </c>
    </row>
    <row r="119" spans="1:25">
      <c r="A119" s="324">
        <f t="shared" si="2"/>
        <v>2025.02</v>
      </c>
      <c r="B119" s="966">
        <v>2.4016274307517849E-2</v>
      </c>
      <c r="C119" s="3008">
        <v>2.2348251105860584E-2</v>
      </c>
      <c r="D119" s="976">
        <v>2.5049293186714339E-2</v>
      </c>
      <c r="E119" s="3008">
        <v>2.5751567315128954E-2</v>
      </c>
      <c r="F119" s="976">
        <v>1.9112393132259653E-2</v>
      </c>
      <c r="G119" s="3008">
        <v>2.6714263653926817E-2</v>
      </c>
      <c r="H119" s="485">
        <v>3.20825549934729E-2</v>
      </c>
      <c r="I119" s="3008">
        <v>3.2439753462222498E-2</v>
      </c>
      <c r="J119" s="3008">
        <v>1.3083664420051822E-2</v>
      </c>
      <c r="K119" s="976">
        <v>4.1975595691727818E-3</v>
      </c>
      <c r="L119" s="3008">
        <v>3.7490861796434904E-2</v>
      </c>
      <c r="M119" s="976">
        <v>1.0126847458599597E-2</v>
      </c>
      <c r="N119" s="3008">
        <v>2.0542075015488548E-2</v>
      </c>
      <c r="O119" s="976">
        <v>1.7282663955849653E-2</v>
      </c>
      <c r="P119" s="3008">
        <v>2.2850494732028714E-2</v>
      </c>
      <c r="Q119" s="976">
        <v>2.9291446319958281E-2</v>
      </c>
      <c r="R119" s="3008">
        <v>2.338242736370888E-2</v>
      </c>
      <c r="S119" s="976">
        <v>2.2590018681321933E-2</v>
      </c>
      <c r="T119" s="1814">
        <v>2.9252586505921441E-2</v>
      </c>
      <c r="U119" s="999">
        <v>2.1147654366139079E-2</v>
      </c>
      <c r="V119" s="1814">
        <v>3.0753683425740919E-2</v>
      </c>
      <c r="W119" s="981">
        <v>2.9203528091388264E-2</v>
      </c>
      <c r="X119" s="3008">
        <v>2.321236815959038E-2</v>
      </c>
      <c r="Y119" s="743">
        <v>-8.1869816980895127E-3</v>
      </c>
    </row>
    <row r="120" spans="1:25">
      <c r="A120" s="324">
        <f t="shared" si="2"/>
        <v>2025.03</v>
      </c>
      <c r="B120" s="966">
        <v>3.7293353066121693E-2</v>
      </c>
      <c r="C120" s="3008">
        <v>3.8542769769347895E-2</v>
      </c>
      <c r="D120" s="976">
        <v>3.6114210637193223E-2</v>
      </c>
      <c r="E120" s="3008">
        <v>4.3292425758025832E-2</v>
      </c>
      <c r="F120" s="976">
        <v>3.1283883387685396E-2</v>
      </c>
      <c r="G120" s="3008">
        <v>3.5226652591624941E-2</v>
      </c>
      <c r="H120" s="485">
        <v>3.3066613772764208E-2</v>
      </c>
      <c r="I120" s="3008">
        <v>5.9043861921788121E-2</v>
      </c>
      <c r="J120" s="3008">
        <v>7.9164366899133753E-3</v>
      </c>
      <c r="K120" s="976">
        <v>4.5877248149159611E-2</v>
      </c>
      <c r="L120" s="3008">
        <v>2.8683670815885964E-2</v>
      </c>
      <c r="M120" s="976">
        <v>1.4816426344097744E-2</v>
      </c>
      <c r="N120" s="3008">
        <v>1.8426132482451507E-2</v>
      </c>
      <c r="O120" s="976">
        <v>1.7066274048031849E-2</v>
      </c>
      <c r="P120" s="3008">
        <v>2.5040267531099225E-2</v>
      </c>
      <c r="Q120" s="976">
        <v>1.6076161771230169E-3</v>
      </c>
      <c r="R120" s="3008">
        <v>0.21643693542347675</v>
      </c>
      <c r="S120" s="976">
        <v>3.8911876282032187E-2</v>
      </c>
      <c r="T120" s="1814">
        <v>3.1568104536440433E-2</v>
      </c>
      <c r="U120" s="999">
        <v>3.6292937115649959E-2</v>
      </c>
      <c r="V120" s="1814">
        <v>3.9653967020208514E-2</v>
      </c>
      <c r="W120" s="981">
        <v>3.1927902426889476E-2</v>
      </c>
      <c r="X120" s="3008">
        <v>3.2077460860083562E-2</v>
      </c>
      <c r="Y120" s="743">
        <v>8.4404358281868097E-2</v>
      </c>
    </row>
    <row r="121" spans="1:25">
      <c r="A121" s="324">
        <f t="shared" si="2"/>
        <v>2025.04</v>
      </c>
      <c r="B121" s="966">
        <v>2.7808358448509596E-2</v>
      </c>
      <c r="C121" s="3008">
        <v>2.7577538869369755E-2</v>
      </c>
      <c r="D121" s="976">
        <v>2.8134614522970391E-2</v>
      </c>
      <c r="E121" s="3008">
        <v>2.8667830962877838E-2</v>
      </c>
      <c r="F121" s="976">
        <v>2.6623690309882653E-2</v>
      </c>
      <c r="G121" s="3008">
        <v>2.8546152344188336E-2</v>
      </c>
      <c r="H121" s="485">
        <v>2.6696144787466736E-2</v>
      </c>
      <c r="I121" s="3008">
        <v>2.9490528977209607E-2</v>
      </c>
      <c r="J121" s="3008">
        <v>2.8444389667211079E-2</v>
      </c>
      <c r="K121" s="976">
        <v>3.83564501973086E-2</v>
      </c>
      <c r="L121" s="3008">
        <v>1.8790333970962303E-2</v>
      </c>
      <c r="M121" s="976">
        <v>9.3478195075853421E-3</v>
      </c>
      <c r="N121" s="3008">
        <v>2.4996892033947393E-2</v>
      </c>
      <c r="O121" s="976">
        <v>1.6703079511570351E-2</v>
      </c>
      <c r="P121" s="3008">
        <v>2.794401759619225E-2</v>
      </c>
      <c r="Q121" s="976">
        <v>3.9825783700731421E-2</v>
      </c>
      <c r="R121" s="3008">
        <v>2.4809020415345939E-2</v>
      </c>
      <c r="S121" s="976">
        <v>4.1189108643339578E-2</v>
      </c>
      <c r="T121" s="1814">
        <v>2.544081497489703E-2</v>
      </c>
      <c r="U121" s="999">
        <v>2.6983243775037691E-2</v>
      </c>
      <c r="V121" s="1814">
        <v>3.0144272596747568E-2</v>
      </c>
      <c r="W121" s="981">
        <v>3.2147159664202674E-2</v>
      </c>
      <c r="X121" s="3008">
        <v>1.7700455867495135E-2</v>
      </c>
      <c r="Y121" s="743">
        <v>1.882175734300362E-2</v>
      </c>
    </row>
    <row r="122" spans="1:25">
      <c r="A122" s="324">
        <f t="shared" si="2"/>
        <v>2025.05</v>
      </c>
      <c r="B122" s="966">
        <v>1.5011086343823088E-2</v>
      </c>
      <c r="C122" s="3008">
        <v>1.5008447859677698E-2</v>
      </c>
      <c r="D122" s="976">
        <v>1.5682934431768381E-2</v>
      </c>
      <c r="E122" s="3008">
        <v>1.2233061689830071E-2</v>
      </c>
      <c r="F122" s="976">
        <v>1.2705034032927554E-2</v>
      </c>
      <c r="G122" s="3008">
        <v>1.631775536262281E-2</v>
      </c>
      <c r="H122" s="485">
        <v>1.5043927495021148E-2</v>
      </c>
      <c r="I122" s="3008">
        <v>5.0549197258318301E-3</v>
      </c>
      <c r="J122" s="3008">
        <v>5.8356086189585987E-3</v>
      </c>
      <c r="K122" s="976">
        <v>9.2546702542282144E-3</v>
      </c>
      <c r="L122" s="3008">
        <v>2.4474886988046674E-2</v>
      </c>
      <c r="M122" s="976">
        <v>1.3903474551592021E-2</v>
      </c>
      <c r="N122" s="3008">
        <v>2.7404137858360933E-2</v>
      </c>
      <c r="O122" s="976">
        <v>3.637293911539885E-3</v>
      </c>
      <c r="P122" s="3008">
        <v>4.1264009516498446E-2</v>
      </c>
      <c r="Q122" s="976">
        <v>1.7086934044031832E-2</v>
      </c>
      <c r="R122" s="3008">
        <v>1.8707402770276715E-2</v>
      </c>
      <c r="S122" s="976">
        <v>3.0117055626946998E-2</v>
      </c>
      <c r="T122" s="1814">
        <v>2.5793265778197849E-2</v>
      </c>
      <c r="U122" s="999">
        <v>9.0440540007123982E-3</v>
      </c>
      <c r="V122" s="1814">
        <v>2.7449616177736669E-2</v>
      </c>
      <c r="W122" s="981">
        <v>2.1972650333935473E-2</v>
      </c>
      <c r="X122" s="3008">
        <v>1.3125263584931934E-2</v>
      </c>
      <c r="Y122" s="743">
        <v>-2.731481117783463E-2</v>
      </c>
    </row>
    <row r="123" spans="1:25">
      <c r="A123" s="324">
        <f t="shared" si="2"/>
        <v>2025.06</v>
      </c>
      <c r="B123" s="966" t="e">
        <v>#N/A</v>
      </c>
      <c r="C123" s="3008" t="e">
        <v>#N/A</v>
      </c>
      <c r="D123" s="976" t="e">
        <v>#N/A</v>
      </c>
      <c r="E123" s="3008" t="e">
        <v>#N/A</v>
      </c>
      <c r="F123" s="976" t="e">
        <v>#N/A</v>
      </c>
      <c r="G123" s="3008" t="e">
        <v>#N/A</v>
      </c>
      <c r="H123" s="485" t="e">
        <v>#N/A</v>
      </c>
      <c r="I123" s="3008" t="e">
        <v>#N/A</v>
      </c>
      <c r="J123" s="3008" t="e">
        <v>#N/A</v>
      </c>
      <c r="K123" s="976" t="e">
        <v>#N/A</v>
      </c>
      <c r="L123" s="3008" t="e">
        <v>#N/A</v>
      </c>
      <c r="M123" s="976" t="e">
        <v>#N/A</v>
      </c>
      <c r="N123" s="3008" t="e">
        <v>#N/A</v>
      </c>
      <c r="O123" s="976" t="e">
        <v>#N/A</v>
      </c>
      <c r="P123" s="3008" t="e">
        <v>#N/A</v>
      </c>
      <c r="Q123" s="976" t="e">
        <v>#N/A</v>
      </c>
      <c r="R123" s="3008" t="e">
        <v>#N/A</v>
      </c>
      <c r="S123" s="976" t="e">
        <v>#N/A</v>
      </c>
      <c r="T123" s="1814" t="e">
        <v>#N/A</v>
      </c>
      <c r="U123" s="999" t="e">
        <v>#N/A</v>
      </c>
      <c r="V123" s="1814" t="e">
        <v>#N/A</v>
      </c>
      <c r="W123" s="981" t="e">
        <v>#N/A</v>
      </c>
      <c r="X123" s="3008" t="e">
        <v>#N/A</v>
      </c>
      <c r="Y123" s="743" t="e">
        <v>#N/A</v>
      </c>
    </row>
    <row r="124" spans="1:25">
      <c r="A124" s="324">
        <f t="shared" si="2"/>
        <v>2025.07</v>
      </c>
      <c r="B124" s="966" t="e">
        <v>#N/A</v>
      </c>
      <c r="C124" s="3008" t="e">
        <v>#N/A</v>
      </c>
      <c r="D124" s="976" t="e">
        <v>#N/A</v>
      </c>
      <c r="E124" s="3008" t="e">
        <v>#N/A</v>
      </c>
      <c r="F124" s="976" t="e">
        <v>#N/A</v>
      </c>
      <c r="G124" s="3008" t="e">
        <v>#N/A</v>
      </c>
      <c r="H124" s="485" t="e">
        <v>#N/A</v>
      </c>
      <c r="I124" s="3008" t="e">
        <v>#N/A</v>
      </c>
      <c r="J124" s="3008" t="e">
        <v>#N/A</v>
      </c>
      <c r="K124" s="976" t="e">
        <v>#N/A</v>
      </c>
      <c r="L124" s="3008" t="e">
        <v>#N/A</v>
      </c>
      <c r="M124" s="976" t="e">
        <v>#N/A</v>
      </c>
      <c r="N124" s="3008" t="e">
        <v>#N/A</v>
      </c>
      <c r="O124" s="976" t="e">
        <v>#N/A</v>
      </c>
      <c r="P124" s="3008" t="e">
        <v>#N/A</v>
      </c>
      <c r="Q124" s="976" t="e">
        <v>#N/A</v>
      </c>
      <c r="R124" s="3008" t="e">
        <v>#N/A</v>
      </c>
      <c r="S124" s="976" t="e">
        <v>#N/A</v>
      </c>
      <c r="T124" s="1814" t="e">
        <v>#N/A</v>
      </c>
      <c r="U124" s="999" t="e">
        <v>#N/A</v>
      </c>
      <c r="V124" s="1814" t="e">
        <v>#N/A</v>
      </c>
      <c r="W124" s="981" t="e">
        <v>#N/A</v>
      </c>
      <c r="X124" s="3008" t="e">
        <v>#N/A</v>
      </c>
      <c r="Y124" s="743" t="e">
        <v>#N/A</v>
      </c>
    </row>
    <row r="125" spans="1:25">
      <c r="A125" s="324">
        <f t="shared" si="2"/>
        <v>2025.08</v>
      </c>
      <c r="B125" s="966" t="e">
        <v>#N/A</v>
      </c>
      <c r="C125" s="3008" t="e">
        <v>#N/A</v>
      </c>
      <c r="D125" s="976" t="e">
        <v>#N/A</v>
      </c>
      <c r="E125" s="3008" t="e">
        <v>#N/A</v>
      </c>
      <c r="F125" s="976" t="e">
        <v>#N/A</v>
      </c>
      <c r="G125" s="3008" t="e">
        <v>#N/A</v>
      </c>
      <c r="H125" s="485" t="e">
        <v>#N/A</v>
      </c>
      <c r="I125" s="3008" t="e">
        <v>#N/A</v>
      </c>
      <c r="J125" s="3008" t="e">
        <v>#N/A</v>
      </c>
      <c r="K125" s="976" t="e">
        <v>#N/A</v>
      </c>
      <c r="L125" s="3008" t="e">
        <v>#N/A</v>
      </c>
      <c r="M125" s="976" t="e">
        <v>#N/A</v>
      </c>
      <c r="N125" s="3008" t="e">
        <v>#N/A</v>
      </c>
      <c r="O125" s="976" t="e">
        <v>#N/A</v>
      </c>
      <c r="P125" s="3008" t="e">
        <v>#N/A</v>
      </c>
      <c r="Q125" s="976" t="e">
        <v>#N/A</v>
      </c>
      <c r="R125" s="3008" t="e">
        <v>#N/A</v>
      </c>
      <c r="S125" s="976" t="e">
        <v>#N/A</v>
      </c>
      <c r="T125" s="1814" t="e">
        <v>#N/A</v>
      </c>
      <c r="U125" s="999" t="e">
        <v>#N/A</v>
      </c>
      <c r="V125" s="1814" t="e">
        <v>#N/A</v>
      </c>
      <c r="W125" s="981" t="e">
        <v>#N/A</v>
      </c>
      <c r="X125" s="3008" t="e">
        <v>#N/A</v>
      </c>
      <c r="Y125" s="743" t="e">
        <v>#N/A</v>
      </c>
    </row>
    <row r="126" spans="1:25">
      <c r="A126" s="324">
        <f t="shared" si="2"/>
        <v>2025.09</v>
      </c>
      <c r="B126" s="966" t="e">
        <v>#N/A</v>
      </c>
      <c r="C126" s="3008" t="e">
        <v>#N/A</v>
      </c>
      <c r="D126" s="976" t="e">
        <v>#N/A</v>
      </c>
      <c r="E126" s="3008" t="e">
        <v>#N/A</v>
      </c>
      <c r="F126" s="976" t="e">
        <v>#N/A</v>
      </c>
      <c r="G126" s="3008" t="e">
        <v>#N/A</v>
      </c>
      <c r="H126" s="485" t="e">
        <v>#N/A</v>
      </c>
      <c r="I126" s="3008" t="e">
        <v>#N/A</v>
      </c>
      <c r="J126" s="3008" t="e">
        <v>#N/A</v>
      </c>
      <c r="K126" s="976" t="e">
        <v>#N/A</v>
      </c>
      <c r="L126" s="3008" t="e">
        <v>#N/A</v>
      </c>
      <c r="M126" s="976" t="e">
        <v>#N/A</v>
      </c>
      <c r="N126" s="3008" t="e">
        <v>#N/A</v>
      </c>
      <c r="O126" s="976" t="e">
        <v>#N/A</v>
      </c>
      <c r="P126" s="3008" t="e">
        <v>#N/A</v>
      </c>
      <c r="Q126" s="976" t="e">
        <v>#N/A</v>
      </c>
      <c r="R126" s="3008" t="e">
        <v>#N/A</v>
      </c>
      <c r="S126" s="976" t="e">
        <v>#N/A</v>
      </c>
      <c r="T126" s="1814" t="e">
        <v>#N/A</v>
      </c>
      <c r="U126" s="999" t="e">
        <v>#N/A</v>
      </c>
      <c r="V126" s="1814" t="e">
        <v>#N/A</v>
      </c>
      <c r="W126" s="981" t="e">
        <v>#N/A</v>
      </c>
      <c r="X126" s="3008" t="e">
        <v>#N/A</v>
      </c>
      <c r="Y126" s="743" t="e">
        <v>#N/A</v>
      </c>
    </row>
    <row r="127" spans="1:25">
      <c r="A127" s="324">
        <f t="shared" si="2"/>
        <v>2025.1</v>
      </c>
      <c r="B127" s="966" t="e">
        <v>#N/A</v>
      </c>
      <c r="C127" s="3008" t="e">
        <v>#N/A</v>
      </c>
      <c r="D127" s="976" t="e">
        <v>#N/A</v>
      </c>
      <c r="E127" s="3008" t="e">
        <v>#N/A</v>
      </c>
      <c r="F127" s="976" t="e">
        <v>#N/A</v>
      </c>
      <c r="G127" s="3008" t="e">
        <v>#N/A</v>
      </c>
      <c r="H127" s="485" t="e">
        <v>#N/A</v>
      </c>
      <c r="I127" s="3008" t="e">
        <v>#N/A</v>
      </c>
      <c r="J127" s="3008" t="e">
        <v>#N/A</v>
      </c>
      <c r="K127" s="976" t="e">
        <v>#N/A</v>
      </c>
      <c r="L127" s="3008" t="e">
        <v>#N/A</v>
      </c>
      <c r="M127" s="976" t="e">
        <v>#N/A</v>
      </c>
      <c r="N127" s="3008" t="e">
        <v>#N/A</v>
      </c>
      <c r="O127" s="976" t="e">
        <v>#N/A</v>
      </c>
      <c r="P127" s="3008" t="e">
        <v>#N/A</v>
      </c>
      <c r="Q127" s="976" t="e">
        <v>#N/A</v>
      </c>
      <c r="R127" s="3008" t="e">
        <v>#N/A</v>
      </c>
      <c r="S127" s="976" t="e">
        <v>#N/A</v>
      </c>
      <c r="T127" s="1814" t="e">
        <v>#N/A</v>
      </c>
      <c r="U127" s="999" t="e">
        <v>#N/A</v>
      </c>
      <c r="V127" s="1814" t="e">
        <v>#N/A</v>
      </c>
      <c r="W127" s="981" t="e">
        <v>#N/A</v>
      </c>
      <c r="X127" s="3008" t="e">
        <v>#N/A</v>
      </c>
      <c r="Y127" s="743" t="e">
        <v>#N/A</v>
      </c>
    </row>
    <row r="128" spans="1:25">
      <c r="A128" s="324">
        <f t="shared" si="2"/>
        <v>2025.11</v>
      </c>
      <c r="B128" s="966" t="e">
        <v>#N/A</v>
      </c>
      <c r="C128" s="3008" t="e">
        <v>#N/A</v>
      </c>
      <c r="D128" s="976" t="e">
        <v>#N/A</v>
      </c>
      <c r="E128" s="3008" t="e">
        <v>#N/A</v>
      </c>
      <c r="F128" s="976" t="e">
        <v>#N/A</v>
      </c>
      <c r="G128" s="3008" t="e">
        <v>#N/A</v>
      </c>
      <c r="H128" s="485" t="e">
        <v>#N/A</v>
      </c>
      <c r="I128" s="3008" t="e">
        <v>#N/A</v>
      </c>
      <c r="J128" s="3008" t="e">
        <v>#N/A</v>
      </c>
      <c r="K128" s="976" t="e">
        <v>#N/A</v>
      </c>
      <c r="L128" s="3008" t="e">
        <v>#N/A</v>
      </c>
      <c r="M128" s="976" t="e">
        <v>#N/A</v>
      </c>
      <c r="N128" s="3008" t="e">
        <v>#N/A</v>
      </c>
      <c r="O128" s="976" t="e">
        <v>#N/A</v>
      </c>
      <c r="P128" s="3008" t="e">
        <v>#N/A</v>
      </c>
      <c r="Q128" s="976" t="e">
        <v>#N/A</v>
      </c>
      <c r="R128" s="3008" t="e">
        <v>#N/A</v>
      </c>
      <c r="S128" s="976" t="e">
        <v>#N/A</v>
      </c>
      <c r="T128" s="1814" t="e">
        <v>#N/A</v>
      </c>
      <c r="U128" s="999" t="e">
        <v>#N/A</v>
      </c>
      <c r="V128" s="1814" t="e">
        <v>#N/A</v>
      </c>
      <c r="W128" s="981" t="e">
        <v>#N/A</v>
      </c>
      <c r="X128" s="3008" t="e">
        <v>#N/A</v>
      </c>
      <c r="Y128" s="743" t="e">
        <v>#N/A</v>
      </c>
    </row>
    <row r="129" spans="1:25">
      <c r="A129" s="324">
        <f t="shared" si="2"/>
        <v>2025.12</v>
      </c>
      <c r="B129" s="966" t="e">
        <v>#N/A</v>
      </c>
      <c r="C129" s="3008" t="e">
        <v>#N/A</v>
      </c>
      <c r="D129" s="976" t="e">
        <v>#N/A</v>
      </c>
      <c r="E129" s="3008" t="e">
        <v>#N/A</v>
      </c>
      <c r="F129" s="976" t="e">
        <v>#N/A</v>
      </c>
      <c r="G129" s="3008" t="e">
        <v>#N/A</v>
      </c>
      <c r="H129" s="485" t="e">
        <v>#N/A</v>
      </c>
      <c r="I129" s="3008" t="e">
        <v>#N/A</v>
      </c>
      <c r="J129" s="3008" t="e">
        <v>#N/A</v>
      </c>
      <c r="K129" s="976" t="e">
        <v>#N/A</v>
      </c>
      <c r="L129" s="3008" t="e">
        <v>#N/A</v>
      </c>
      <c r="M129" s="976" t="e">
        <v>#N/A</v>
      </c>
      <c r="N129" s="3008" t="e">
        <v>#N/A</v>
      </c>
      <c r="O129" s="976" t="e">
        <v>#N/A</v>
      </c>
      <c r="P129" s="3008" t="e">
        <v>#N/A</v>
      </c>
      <c r="Q129" s="976" t="e">
        <v>#N/A</v>
      </c>
      <c r="R129" s="3008" t="e">
        <v>#N/A</v>
      </c>
      <c r="S129" s="976" t="e">
        <v>#N/A</v>
      </c>
      <c r="T129" s="1814" t="e">
        <v>#N/A</v>
      </c>
      <c r="U129" s="999" t="e">
        <v>#N/A</v>
      </c>
      <c r="V129" s="1814" t="e">
        <v>#N/A</v>
      </c>
      <c r="W129" s="981" t="e">
        <v>#N/A</v>
      </c>
      <c r="X129" s="3008" t="e">
        <v>#N/A</v>
      </c>
      <c r="Y129" s="743" t="e">
        <v>#N/A</v>
      </c>
    </row>
    <row r="130" spans="1:25">
      <c r="A130" s="324">
        <f t="shared" si="2"/>
        <v>2026.01</v>
      </c>
      <c r="B130" s="966" t="e">
        <v>#N/A</v>
      </c>
      <c r="C130" s="3008" t="e">
        <v>#N/A</v>
      </c>
      <c r="D130" s="976" t="e">
        <v>#N/A</v>
      </c>
      <c r="E130" s="3008" t="e">
        <v>#N/A</v>
      </c>
      <c r="F130" s="976" t="e">
        <v>#N/A</v>
      </c>
      <c r="G130" s="3008" t="e">
        <v>#N/A</v>
      </c>
      <c r="H130" s="485" t="e">
        <v>#N/A</v>
      </c>
      <c r="I130" s="3008" t="e">
        <v>#N/A</v>
      </c>
      <c r="J130" s="3008" t="e">
        <v>#N/A</v>
      </c>
      <c r="K130" s="976" t="e">
        <v>#N/A</v>
      </c>
      <c r="L130" s="3008" t="e">
        <v>#N/A</v>
      </c>
      <c r="M130" s="976" t="e">
        <v>#N/A</v>
      </c>
      <c r="N130" s="3008" t="e">
        <v>#N/A</v>
      </c>
      <c r="O130" s="976" t="e">
        <v>#N/A</v>
      </c>
      <c r="P130" s="3008" t="e">
        <v>#N/A</v>
      </c>
      <c r="Q130" s="976" t="e">
        <v>#N/A</v>
      </c>
      <c r="R130" s="3008" t="e">
        <v>#N/A</v>
      </c>
      <c r="S130" s="976" t="e">
        <v>#N/A</v>
      </c>
      <c r="T130" s="1814" t="e">
        <v>#N/A</v>
      </c>
      <c r="U130" s="999" t="e">
        <v>#N/A</v>
      </c>
      <c r="V130" s="1814" t="e">
        <v>#N/A</v>
      </c>
      <c r="W130" s="981" t="e">
        <v>#N/A</v>
      </c>
      <c r="X130" s="3008" t="e">
        <v>#N/A</v>
      </c>
      <c r="Y130" s="743" t="e">
        <v>#N/A</v>
      </c>
    </row>
    <row r="131" spans="1:25">
      <c r="A131" s="324">
        <f t="shared" si="2"/>
        <v>2026.02</v>
      </c>
      <c r="B131" s="966" t="e">
        <v>#N/A</v>
      </c>
      <c r="C131" s="3008" t="e">
        <v>#N/A</v>
      </c>
      <c r="D131" s="976" t="e">
        <v>#N/A</v>
      </c>
      <c r="E131" s="3008" t="e">
        <v>#N/A</v>
      </c>
      <c r="F131" s="976" t="e">
        <v>#N/A</v>
      </c>
      <c r="G131" s="3008" t="e">
        <v>#N/A</v>
      </c>
      <c r="H131" s="485" t="e">
        <v>#N/A</v>
      </c>
      <c r="I131" s="3008" t="e">
        <v>#N/A</v>
      </c>
      <c r="J131" s="3008" t="e">
        <v>#N/A</v>
      </c>
      <c r="K131" s="976" t="e">
        <v>#N/A</v>
      </c>
      <c r="L131" s="3008" t="e">
        <v>#N/A</v>
      </c>
      <c r="M131" s="976" t="e">
        <v>#N/A</v>
      </c>
      <c r="N131" s="3008" t="e">
        <v>#N/A</v>
      </c>
      <c r="O131" s="976" t="e">
        <v>#N/A</v>
      </c>
      <c r="P131" s="3008" t="e">
        <v>#N/A</v>
      </c>
      <c r="Q131" s="976" t="e">
        <v>#N/A</v>
      </c>
      <c r="R131" s="3008" t="e">
        <v>#N/A</v>
      </c>
      <c r="S131" s="976" t="e">
        <v>#N/A</v>
      </c>
      <c r="T131" s="1814" t="e">
        <v>#N/A</v>
      </c>
      <c r="U131" s="999" t="e">
        <v>#N/A</v>
      </c>
      <c r="V131" s="1814" t="e">
        <v>#N/A</v>
      </c>
      <c r="W131" s="981" t="e">
        <v>#N/A</v>
      </c>
      <c r="X131" s="3008" t="e">
        <v>#N/A</v>
      </c>
      <c r="Y131" s="743" t="e">
        <v>#N/A</v>
      </c>
    </row>
    <row r="132" spans="1:25">
      <c r="A132" s="324">
        <f t="shared" si="2"/>
        <v>2026.03</v>
      </c>
      <c r="B132" s="966" t="e">
        <v>#N/A</v>
      </c>
      <c r="C132" s="3008" t="e">
        <v>#N/A</v>
      </c>
      <c r="D132" s="976" t="e">
        <v>#N/A</v>
      </c>
      <c r="E132" s="3008" t="e">
        <v>#N/A</v>
      </c>
      <c r="F132" s="976" t="e">
        <v>#N/A</v>
      </c>
      <c r="G132" s="3008" t="e">
        <v>#N/A</v>
      </c>
      <c r="H132" s="485" t="e">
        <v>#N/A</v>
      </c>
      <c r="I132" s="3008" t="e">
        <v>#N/A</v>
      </c>
      <c r="J132" s="3008" t="e">
        <v>#N/A</v>
      </c>
      <c r="K132" s="976" t="e">
        <v>#N/A</v>
      </c>
      <c r="L132" s="3008" t="e">
        <v>#N/A</v>
      </c>
      <c r="M132" s="976" t="e">
        <v>#N/A</v>
      </c>
      <c r="N132" s="3008" t="e">
        <v>#N/A</v>
      </c>
      <c r="O132" s="976" t="e">
        <v>#N/A</v>
      </c>
      <c r="P132" s="3008" t="e">
        <v>#N/A</v>
      </c>
      <c r="Q132" s="976" t="e">
        <v>#N/A</v>
      </c>
      <c r="R132" s="3008" t="e">
        <v>#N/A</v>
      </c>
      <c r="S132" s="976" t="e">
        <v>#N/A</v>
      </c>
      <c r="T132" s="1814" t="e">
        <v>#N/A</v>
      </c>
      <c r="U132" s="999" t="e">
        <v>#N/A</v>
      </c>
      <c r="V132" s="1814" t="e">
        <v>#N/A</v>
      </c>
      <c r="W132" s="981" t="e">
        <v>#N/A</v>
      </c>
      <c r="X132" s="3008" t="e">
        <v>#N/A</v>
      </c>
      <c r="Y132" s="743" t="e">
        <v>#N/A</v>
      </c>
    </row>
    <row r="133" spans="1:25">
      <c r="A133" s="324">
        <f t="shared" si="2"/>
        <v>2026.04</v>
      </c>
      <c r="B133" s="966" t="e">
        <v>#N/A</v>
      </c>
      <c r="C133" s="3008" t="e">
        <v>#N/A</v>
      </c>
      <c r="D133" s="976" t="e">
        <v>#N/A</v>
      </c>
      <c r="E133" s="3008" t="e">
        <v>#N/A</v>
      </c>
      <c r="F133" s="976" t="e">
        <v>#N/A</v>
      </c>
      <c r="G133" s="3008" t="e">
        <v>#N/A</v>
      </c>
      <c r="H133" s="485" t="e">
        <v>#N/A</v>
      </c>
      <c r="I133" s="3008" t="e">
        <v>#N/A</v>
      </c>
      <c r="J133" s="3008" t="e">
        <v>#N/A</v>
      </c>
      <c r="K133" s="976" t="e">
        <v>#N/A</v>
      </c>
      <c r="L133" s="3008" t="e">
        <v>#N/A</v>
      </c>
      <c r="M133" s="976" t="e">
        <v>#N/A</v>
      </c>
      <c r="N133" s="3008" t="e">
        <v>#N/A</v>
      </c>
      <c r="O133" s="976" t="e">
        <v>#N/A</v>
      </c>
      <c r="P133" s="3008" t="e">
        <v>#N/A</v>
      </c>
      <c r="Q133" s="976" t="e">
        <v>#N/A</v>
      </c>
      <c r="R133" s="3008" t="e">
        <v>#N/A</v>
      </c>
      <c r="S133" s="976" t="e">
        <v>#N/A</v>
      </c>
      <c r="T133" s="1814" t="e">
        <v>#N/A</v>
      </c>
      <c r="U133" s="999" t="e">
        <v>#N/A</v>
      </c>
      <c r="V133" s="1814" t="e">
        <v>#N/A</v>
      </c>
      <c r="W133" s="981" t="e">
        <v>#N/A</v>
      </c>
      <c r="X133" s="3008" t="e">
        <v>#N/A</v>
      </c>
      <c r="Y133" s="743" t="e">
        <v>#N/A</v>
      </c>
    </row>
    <row r="134" spans="1:25">
      <c r="A134" s="324">
        <f t="shared" si="2"/>
        <v>2026.05</v>
      </c>
      <c r="B134" s="966" t="e">
        <v>#N/A</v>
      </c>
      <c r="C134" s="3008" t="e">
        <v>#N/A</v>
      </c>
      <c r="D134" s="976" t="e">
        <v>#N/A</v>
      </c>
      <c r="E134" s="3008" t="e">
        <v>#N/A</v>
      </c>
      <c r="F134" s="976" t="e">
        <v>#N/A</v>
      </c>
      <c r="G134" s="3008" t="e">
        <v>#N/A</v>
      </c>
      <c r="H134" s="485" t="e">
        <v>#N/A</v>
      </c>
      <c r="I134" s="3008" t="e">
        <v>#N/A</v>
      </c>
      <c r="J134" s="3008" t="e">
        <v>#N/A</v>
      </c>
      <c r="K134" s="976" t="e">
        <v>#N/A</v>
      </c>
      <c r="L134" s="3008" t="e">
        <v>#N/A</v>
      </c>
      <c r="M134" s="976" t="e">
        <v>#N/A</v>
      </c>
      <c r="N134" s="3008" t="e">
        <v>#N/A</v>
      </c>
      <c r="O134" s="976" t="e">
        <v>#N/A</v>
      </c>
      <c r="P134" s="3008" t="e">
        <v>#N/A</v>
      </c>
      <c r="Q134" s="976" t="e">
        <v>#N/A</v>
      </c>
      <c r="R134" s="3008" t="e">
        <v>#N/A</v>
      </c>
      <c r="S134" s="976" t="e">
        <v>#N/A</v>
      </c>
      <c r="T134" s="1814" t="e">
        <v>#N/A</v>
      </c>
      <c r="U134" s="999" t="e">
        <v>#N/A</v>
      </c>
      <c r="V134" s="1814" t="e">
        <v>#N/A</v>
      </c>
      <c r="W134" s="981" t="e">
        <v>#N/A</v>
      </c>
      <c r="X134" s="3008" t="e">
        <v>#N/A</v>
      </c>
      <c r="Y134" s="743" t="e">
        <v>#N/A</v>
      </c>
    </row>
    <row r="135" spans="1:25">
      <c r="A135" s="324">
        <f t="shared" si="2"/>
        <v>2026.06</v>
      </c>
      <c r="B135" s="966" t="e">
        <v>#N/A</v>
      </c>
      <c r="C135" s="3008" t="e">
        <v>#N/A</v>
      </c>
      <c r="D135" s="976" t="e">
        <v>#N/A</v>
      </c>
      <c r="E135" s="3008" t="e">
        <v>#N/A</v>
      </c>
      <c r="F135" s="976" t="e">
        <v>#N/A</v>
      </c>
      <c r="G135" s="3008" t="e">
        <v>#N/A</v>
      </c>
      <c r="H135" s="485" t="e">
        <v>#N/A</v>
      </c>
      <c r="I135" s="3008" t="e">
        <v>#N/A</v>
      </c>
      <c r="J135" s="3008" t="e">
        <v>#N/A</v>
      </c>
      <c r="K135" s="976" t="e">
        <v>#N/A</v>
      </c>
      <c r="L135" s="3008" t="e">
        <v>#N/A</v>
      </c>
      <c r="M135" s="976" t="e">
        <v>#N/A</v>
      </c>
      <c r="N135" s="3008" t="e">
        <v>#N/A</v>
      </c>
      <c r="O135" s="976" t="e">
        <v>#N/A</v>
      </c>
      <c r="P135" s="3008" t="e">
        <v>#N/A</v>
      </c>
      <c r="Q135" s="976" t="e">
        <v>#N/A</v>
      </c>
      <c r="R135" s="3008" t="e">
        <v>#N/A</v>
      </c>
      <c r="S135" s="976" t="e">
        <v>#N/A</v>
      </c>
      <c r="T135" s="1814" t="e">
        <v>#N/A</v>
      </c>
      <c r="U135" s="999" t="e">
        <v>#N/A</v>
      </c>
      <c r="V135" s="1814" t="e">
        <v>#N/A</v>
      </c>
      <c r="W135" s="981" t="e">
        <v>#N/A</v>
      </c>
      <c r="X135" s="3008" t="e">
        <v>#N/A</v>
      </c>
      <c r="Y135" s="743" t="e">
        <v>#N/A</v>
      </c>
    </row>
    <row r="136" spans="1:25">
      <c r="A136" s="324">
        <f t="shared" si="2"/>
        <v>2026.07</v>
      </c>
      <c r="B136" s="966" t="e">
        <v>#N/A</v>
      </c>
      <c r="C136" s="3008" t="e">
        <v>#N/A</v>
      </c>
      <c r="D136" s="976" t="e">
        <v>#N/A</v>
      </c>
      <c r="E136" s="3008" t="e">
        <v>#N/A</v>
      </c>
      <c r="F136" s="976" t="e">
        <v>#N/A</v>
      </c>
      <c r="G136" s="3008" t="e">
        <v>#N/A</v>
      </c>
      <c r="H136" s="485" t="e">
        <v>#N/A</v>
      </c>
      <c r="I136" s="3008" t="e">
        <v>#N/A</v>
      </c>
      <c r="J136" s="3008" t="e">
        <v>#N/A</v>
      </c>
      <c r="K136" s="976" t="e">
        <v>#N/A</v>
      </c>
      <c r="L136" s="3008" t="e">
        <v>#N/A</v>
      </c>
      <c r="M136" s="976" t="e">
        <v>#N/A</v>
      </c>
      <c r="N136" s="3008" t="e">
        <v>#N/A</v>
      </c>
      <c r="O136" s="976" t="e">
        <v>#N/A</v>
      </c>
      <c r="P136" s="3008" t="e">
        <v>#N/A</v>
      </c>
      <c r="Q136" s="976" t="e">
        <v>#N/A</v>
      </c>
      <c r="R136" s="3008" t="e">
        <v>#N/A</v>
      </c>
      <c r="S136" s="976" t="e">
        <v>#N/A</v>
      </c>
      <c r="T136" s="1814" t="e">
        <v>#N/A</v>
      </c>
      <c r="U136" s="999" t="e">
        <v>#N/A</v>
      </c>
      <c r="V136" s="1814" t="e">
        <v>#N/A</v>
      </c>
      <c r="W136" s="981" t="e">
        <v>#N/A</v>
      </c>
      <c r="X136" s="3008" t="e">
        <v>#N/A</v>
      </c>
      <c r="Y136" s="743" t="e">
        <v>#N/A</v>
      </c>
    </row>
    <row r="137" spans="1:25">
      <c r="A137" s="324">
        <f t="shared" si="2"/>
        <v>2026.08</v>
      </c>
      <c r="B137" s="966" t="e">
        <v>#N/A</v>
      </c>
      <c r="C137" s="3008" t="e">
        <v>#N/A</v>
      </c>
      <c r="D137" s="976" t="e">
        <v>#N/A</v>
      </c>
      <c r="E137" s="3008" t="e">
        <v>#N/A</v>
      </c>
      <c r="F137" s="976" t="e">
        <v>#N/A</v>
      </c>
      <c r="G137" s="3008" t="e">
        <v>#N/A</v>
      </c>
      <c r="H137" s="485" t="e">
        <v>#N/A</v>
      </c>
      <c r="I137" s="3008" t="e">
        <v>#N/A</v>
      </c>
      <c r="J137" s="3008" t="e">
        <v>#N/A</v>
      </c>
      <c r="K137" s="976" t="e">
        <v>#N/A</v>
      </c>
      <c r="L137" s="3008" t="e">
        <v>#N/A</v>
      </c>
      <c r="M137" s="976" t="e">
        <v>#N/A</v>
      </c>
      <c r="N137" s="3008" t="e">
        <v>#N/A</v>
      </c>
      <c r="O137" s="976" t="e">
        <v>#N/A</v>
      </c>
      <c r="P137" s="3008" t="e">
        <v>#N/A</v>
      </c>
      <c r="Q137" s="976" t="e">
        <v>#N/A</v>
      </c>
      <c r="R137" s="3008" t="e">
        <v>#N/A</v>
      </c>
      <c r="S137" s="976" t="e">
        <v>#N/A</v>
      </c>
      <c r="T137" s="1814" t="e">
        <v>#N/A</v>
      </c>
      <c r="U137" s="999" t="e">
        <v>#N/A</v>
      </c>
      <c r="V137" s="1814" t="e">
        <v>#N/A</v>
      </c>
      <c r="W137" s="981" t="e">
        <v>#N/A</v>
      </c>
      <c r="X137" s="3008" t="e">
        <v>#N/A</v>
      </c>
      <c r="Y137" s="743" t="e">
        <v>#N/A</v>
      </c>
    </row>
    <row r="138" spans="1:25">
      <c r="A138" s="324">
        <f t="shared" si="2"/>
        <v>2026.09</v>
      </c>
      <c r="B138" s="966" t="e">
        <v>#N/A</v>
      </c>
      <c r="C138" s="3008" t="e">
        <v>#N/A</v>
      </c>
      <c r="D138" s="976" t="e">
        <v>#N/A</v>
      </c>
      <c r="E138" s="3008" t="e">
        <v>#N/A</v>
      </c>
      <c r="F138" s="976" t="e">
        <v>#N/A</v>
      </c>
      <c r="G138" s="3008" t="e">
        <v>#N/A</v>
      </c>
      <c r="H138" s="485" t="e">
        <v>#N/A</v>
      </c>
      <c r="I138" s="3008" t="e">
        <v>#N/A</v>
      </c>
      <c r="J138" s="3008" t="e">
        <v>#N/A</v>
      </c>
      <c r="K138" s="976" t="e">
        <v>#N/A</v>
      </c>
      <c r="L138" s="3008" t="e">
        <v>#N/A</v>
      </c>
      <c r="M138" s="976" t="e">
        <v>#N/A</v>
      </c>
      <c r="N138" s="3008" t="e">
        <v>#N/A</v>
      </c>
      <c r="O138" s="976" t="e">
        <v>#N/A</v>
      </c>
      <c r="P138" s="3008" t="e">
        <v>#N/A</v>
      </c>
      <c r="Q138" s="976" t="e">
        <v>#N/A</v>
      </c>
      <c r="R138" s="3008" t="e">
        <v>#N/A</v>
      </c>
      <c r="S138" s="976" t="e">
        <v>#N/A</v>
      </c>
      <c r="T138" s="1814" t="e">
        <v>#N/A</v>
      </c>
      <c r="U138" s="999" t="e">
        <v>#N/A</v>
      </c>
      <c r="V138" s="1814" t="e">
        <v>#N/A</v>
      </c>
      <c r="W138" s="981" t="e">
        <v>#N/A</v>
      </c>
      <c r="X138" s="3008" t="e">
        <v>#N/A</v>
      </c>
      <c r="Y138" s="743" t="e">
        <v>#N/A</v>
      </c>
    </row>
    <row r="139" spans="1:25">
      <c r="A139" s="324">
        <f t="shared" si="2"/>
        <v>2026.1</v>
      </c>
      <c r="B139" s="966" t="e">
        <v>#N/A</v>
      </c>
      <c r="C139" s="3008" t="e">
        <v>#N/A</v>
      </c>
      <c r="D139" s="976" t="e">
        <v>#N/A</v>
      </c>
      <c r="E139" s="3008" t="e">
        <v>#N/A</v>
      </c>
      <c r="F139" s="976" t="e">
        <v>#N/A</v>
      </c>
      <c r="G139" s="3008" t="e">
        <v>#N/A</v>
      </c>
      <c r="H139" s="485" t="e">
        <v>#N/A</v>
      </c>
      <c r="I139" s="3008" t="e">
        <v>#N/A</v>
      </c>
      <c r="J139" s="3008" t="e">
        <v>#N/A</v>
      </c>
      <c r="K139" s="976" t="e">
        <v>#N/A</v>
      </c>
      <c r="L139" s="3008" t="e">
        <v>#N/A</v>
      </c>
      <c r="M139" s="976" t="e">
        <v>#N/A</v>
      </c>
      <c r="N139" s="3008" t="e">
        <v>#N/A</v>
      </c>
      <c r="O139" s="976" t="e">
        <v>#N/A</v>
      </c>
      <c r="P139" s="3008" t="e">
        <v>#N/A</v>
      </c>
      <c r="Q139" s="976" t="e">
        <v>#N/A</v>
      </c>
      <c r="R139" s="3008" t="e">
        <v>#N/A</v>
      </c>
      <c r="S139" s="976" t="e">
        <v>#N/A</v>
      </c>
      <c r="T139" s="1814" t="e">
        <v>#N/A</v>
      </c>
      <c r="U139" s="999" t="e">
        <v>#N/A</v>
      </c>
      <c r="V139" s="1814" t="e">
        <v>#N/A</v>
      </c>
      <c r="W139" s="981" t="e">
        <v>#N/A</v>
      </c>
      <c r="X139" s="3008" t="e">
        <v>#N/A</v>
      </c>
      <c r="Y139" s="743" t="e">
        <v>#N/A</v>
      </c>
    </row>
    <row r="140" spans="1:25">
      <c r="A140" s="324">
        <f t="shared" si="2"/>
        <v>2026.11</v>
      </c>
      <c r="B140" s="966" t="e">
        <v>#N/A</v>
      </c>
      <c r="C140" s="3008" t="e">
        <v>#N/A</v>
      </c>
      <c r="D140" s="976" t="e">
        <v>#N/A</v>
      </c>
      <c r="E140" s="3008" t="e">
        <v>#N/A</v>
      </c>
      <c r="F140" s="976" t="e">
        <v>#N/A</v>
      </c>
      <c r="G140" s="3008" t="e">
        <v>#N/A</v>
      </c>
      <c r="H140" s="485" t="e">
        <v>#N/A</v>
      </c>
      <c r="I140" s="3008" t="e">
        <v>#N/A</v>
      </c>
      <c r="J140" s="3008" t="e">
        <v>#N/A</v>
      </c>
      <c r="K140" s="976" t="e">
        <v>#N/A</v>
      </c>
      <c r="L140" s="3008" t="e">
        <v>#N/A</v>
      </c>
      <c r="M140" s="976" t="e">
        <v>#N/A</v>
      </c>
      <c r="N140" s="3008" t="e">
        <v>#N/A</v>
      </c>
      <c r="O140" s="976" t="e">
        <v>#N/A</v>
      </c>
      <c r="P140" s="3008" t="e">
        <v>#N/A</v>
      </c>
      <c r="Q140" s="976" t="e">
        <v>#N/A</v>
      </c>
      <c r="R140" s="3008" t="e">
        <v>#N/A</v>
      </c>
      <c r="S140" s="976" t="e">
        <v>#N/A</v>
      </c>
      <c r="T140" s="1814" t="e">
        <v>#N/A</v>
      </c>
      <c r="U140" s="999" t="e">
        <v>#N/A</v>
      </c>
      <c r="V140" s="1814" t="e">
        <v>#N/A</v>
      </c>
      <c r="W140" s="981" t="e">
        <v>#N/A</v>
      </c>
      <c r="X140" s="3008" t="e">
        <v>#N/A</v>
      </c>
      <c r="Y140" s="743" t="e">
        <v>#N/A</v>
      </c>
    </row>
    <row r="141" spans="1:25">
      <c r="A141" s="324">
        <f t="shared" si="2"/>
        <v>2026.12</v>
      </c>
      <c r="B141" s="966" t="e">
        <v>#N/A</v>
      </c>
      <c r="C141" s="3008" t="e">
        <v>#N/A</v>
      </c>
      <c r="D141" s="976" t="e">
        <v>#N/A</v>
      </c>
      <c r="E141" s="3008" t="e">
        <v>#N/A</v>
      </c>
      <c r="F141" s="976" t="e">
        <v>#N/A</v>
      </c>
      <c r="G141" s="3008" t="e">
        <v>#N/A</v>
      </c>
      <c r="H141" s="485" t="e">
        <v>#N/A</v>
      </c>
      <c r="I141" s="3008" t="e">
        <v>#N/A</v>
      </c>
      <c r="J141" s="3008" t="e">
        <v>#N/A</v>
      </c>
      <c r="K141" s="976" t="e">
        <v>#N/A</v>
      </c>
      <c r="L141" s="3008" t="e">
        <v>#N/A</v>
      </c>
      <c r="M141" s="976" t="e">
        <v>#N/A</v>
      </c>
      <c r="N141" s="3008" t="e">
        <v>#N/A</v>
      </c>
      <c r="O141" s="976" t="e">
        <v>#N/A</v>
      </c>
      <c r="P141" s="3008" t="e">
        <v>#N/A</v>
      </c>
      <c r="Q141" s="976" t="e">
        <v>#N/A</v>
      </c>
      <c r="R141" s="3008" t="e">
        <v>#N/A</v>
      </c>
      <c r="S141" s="976" t="e">
        <v>#N/A</v>
      </c>
      <c r="T141" s="1814" t="e">
        <v>#N/A</v>
      </c>
      <c r="U141" s="999" t="e">
        <v>#N/A</v>
      </c>
      <c r="V141" s="1814" t="e">
        <v>#N/A</v>
      </c>
      <c r="W141" s="981" t="e">
        <v>#N/A</v>
      </c>
      <c r="X141" s="3008" t="e">
        <v>#N/A</v>
      </c>
      <c r="Y141" s="743" t="e">
        <v>#N/A</v>
      </c>
    </row>
    <row r="142" spans="1:25">
      <c r="A142" s="324">
        <f t="shared" si="2"/>
        <v>2027.01</v>
      </c>
      <c r="B142" s="966" t="e">
        <v>#N/A</v>
      </c>
      <c r="C142" s="3008" t="e">
        <v>#N/A</v>
      </c>
      <c r="D142" s="976" t="e">
        <v>#N/A</v>
      </c>
      <c r="E142" s="3008" t="e">
        <v>#N/A</v>
      </c>
      <c r="F142" s="976" t="e">
        <v>#N/A</v>
      </c>
      <c r="G142" s="3008" t="e">
        <v>#N/A</v>
      </c>
      <c r="H142" s="485" t="e">
        <v>#N/A</v>
      </c>
      <c r="I142" s="3008" t="e">
        <v>#N/A</v>
      </c>
      <c r="J142" s="3008" t="e">
        <v>#N/A</v>
      </c>
      <c r="K142" s="976" t="e">
        <v>#N/A</v>
      </c>
      <c r="L142" s="3008" t="e">
        <v>#N/A</v>
      </c>
      <c r="M142" s="976" t="e">
        <v>#N/A</v>
      </c>
      <c r="N142" s="3008" t="e">
        <v>#N/A</v>
      </c>
      <c r="O142" s="976" t="e">
        <v>#N/A</v>
      </c>
      <c r="P142" s="3008" t="e">
        <v>#N/A</v>
      </c>
      <c r="Q142" s="976" t="e">
        <v>#N/A</v>
      </c>
      <c r="R142" s="3008" t="e">
        <v>#N/A</v>
      </c>
      <c r="S142" s="976" t="e">
        <v>#N/A</v>
      </c>
      <c r="T142" s="1814" t="e">
        <v>#N/A</v>
      </c>
      <c r="U142" s="999" t="e">
        <v>#N/A</v>
      </c>
      <c r="V142" s="1814" t="e">
        <v>#N/A</v>
      </c>
      <c r="W142" s="981" t="e">
        <v>#N/A</v>
      </c>
      <c r="X142" s="3008" t="e">
        <v>#N/A</v>
      </c>
      <c r="Y142" s="743" t="e">
        <v>#N/A</v>
      </c>
    </row>
    <row r="143" spans="1:25">
      <c r="A143" s="324">
        <f t="shared" si="2"/>
        <v>2027.02</v>
      </c>
      <c r="B143" s="966" t="e">
        <v>#N/A</v>
      </c>
      <c r="C143" s="3008" t="e">
        <v>#N/A</v>
      </c>
      <c r="D143" s="976" t="e">
        <v>#N/A</v>
      </c>
      <c r="E143" s="3008" t="e">
        <v>#N/A</v>
      </c>
      <c r="F143" s="976" t="e">
        <v>#N/A</v>
      </c>
      <c r="G143" s="3008" t="e">
        <v>#N/A</v>
      </c>
      <c r="H143" s="485" t="e">
        <v>#N/A</v>
      </c>
      <c r="I143" s="3008" t="e">
        <v>#N/A</v>
      </c>
      <c r="J143" s="3008" t="e">
        <v>#N/A</v>
      </c>
      <c r="K143" s="976" t="e">
        <v>#N/A</v>
      </c>
      <c r="L143" s="3008" t="e">
        <v>#N/A</v>
      </c>
      <c r="M143" s="976" t="e">
        <v>#N/A</v>
      </c>
      <c r="N143" s="3008" t="e">
        <v>#N/A</v>
      </c>
      <c r="O143" s="976" t="e">
        <v>#N/A</v>
      </c>
      <c r="P143" s="3008" t="e">
        <v>#N/A</v>
      </c>
      <c r="Q143" s="976" t="e">
        <v>#N/A</v>
      </c>
      <c r="R143" s="3008" t="e">
        <v>#N/A</v>
      </c>
      <c r="S143" s="976" t="e">
        <v>#N/A</v>
      </c>
      <c r="T143" s="1814" t="e">
        <v>#N/A</v>
      </c>
      <c r="U143" s="999" t="e">
        <v>#N/A</v>
      </c>
      <c r="V143" s="1814" t="e">
        <v>#N/A</v>
      </c>
      <c r="W143" s="981" t="e">
        <v>#N/A</v>
      </c>
      <c r="X143" s="3008" t="e">
        <v>#N/A</v>
      </c>
      <c r="Y143" s="743" t="e">
        <v>#N/A</v>
      </c>
    </row>
    <row r="144" spans="1:25">
      <c r="A144" s="324">
        <f t="shared" si="2"/>
        <v>2027.03</v>
      </c>
      <c r="B144" s="966" t="e">
        <v>#N/A</v>
      </c>
      <c r="C144" s="3008" t="e">
        <v>#N/A</v>
      </c>
      <c r="D144" s="976" t="e">
        <v>#N/A</v>
      </c>
      <c r="E144" s="3008" t="e">
        <v>#N/A</v>
      </c>
      <c r="F144" s="976" t="e">
        <v>#N/A</v>
      </c>
      <c r="G144" s="3008" t="e">
        <v>#N/A</v>
      </c>
      <c r="H144" s="485" t="e">
        <v>#N/A</v>
      </c>
      <c r="I144" s="3008" t="e">
        <v>#N/A</v>
      </c>
      <c r="J144" s="3008" t="e">
        <v>#N/A</v>
      </c>
      <c r="K144" s="976" t="e">
        <v>#N/A</v>
      </c>
      <c r="L144" s="3008" t="e">
        <v>#N/A</v>
      </c>
      <c r="M144" s="976" t="e">
        <v>#N/A</v>
      </c>
      <c r="N144" s="3008" t="e">
        <v>#N/A</v>
      </c>
      <c r="O144" s="976" t="e">
        <v>#N/A</v>
      </c>
      <c r="P144" s="3008" t="e">
        <v>#N/A</v>
      </c>
      <c r="Q144" s="976" t="e">
        <v>#N/A</v>
      </c>
      <c r="R144" s="3008" t="e">
        <v>#N/A</v>
      </c>
      <c r="S144" s="976" t="e">
        <v>#N/A</v>
      </c>
      <c r="T144" s="1814" t="e">
        <v>#N/A</v>
      </c>
      <c r="U144" s="999" t="e">
        <v>#N/A</v>
      </c>
      <c r="V144" s="1814" t="e">
        <v>#N/A</v>
      </c>
      <c r="W144" s="981" t="e">
        <v>#N/A</v>
      </c>
      <c r="X144" s="3008" t="e">
        <v>#N/A</v>
      </c>
      <c r="Y144" s="743" t="e">
        <v>#N/A</v>
      </c>
    </row>
    <row r="145" spans="1:25">
      <c r="A145" s="324">
        <f t="shared" si="2"/>
        <v>2027.04</v>
      </c>
      <c r="B145" s="966" t="e">
        <v>#N/A</v>
      </c>
      <c r="C145" s="3008" t="e">
        <v>#N/A</v>
      </c>
      <c r="D145" s="976" t="e">
        <v>#N/A</v>
      </c>
      <c r="E145" s="3008" t="e">
        <v>#N/A</v>
      </c>
      <c r="F145" s="976" t="e">
        <v>#N/A</v>
      </c>
      <c r="G145" s="3008" t="e">
        <v>#N/A</v>
      </c>
      <c r="H145" s="485" t="e">
        <v>#N/A</v>
      </c>
      <c r="I145" s="3008" t="e">
        <v>#N/A</v>
      </c>
      <c r="J145" s="3008" t="e">
        <v>#N/A</v>
      </c>
      <c r="K145" s="976" t="e">
        <v>#N/A</v>
      </c>
      <c r="L145" s="3008" t="e">
        <v>#N/A</v>
      </c>
      <c r="M145" s="976" t="e">
        <v>#N/A</v>
      </c>
      <c r="N145" s="3008" t="e">
        <v>#N/A</v>
      </c>
      <c r="O145" s="976" t="e">
        <v>#N/A</v>
      </c>
      <c r="P145" s="3008" t="e">
        <v>#N/A</v>
      </c>
      <c r="Q145" s="976" t="e">
        <v>#N/A</v>
      </c>
      <c r="R145" s="3008" t="e">
        <v>#N/A</v>
      </c>
      <c r="S145" s="976" t="e">
        <v>#N/A</v>
      </c>
      <c r="T145" s="1814" t="e">
        <v>#N/A</v>
      </c>
      <c r="U145" s="999" t="e">
        <v>#N/A</v>
      </c>
      <c r="V145" s="1814" t="e">
        <v>#N/A</v>
      </c>
      <c r="W145" s="981" t="e">
        <v>#N/A</v>
      </c>
      <c r="X145" s="3008" t="e">
        <v>#N/A</v>
      </c>
      <c r="Y145" s="743" t="e">
        <v>#N/A</v>
      </c>
    </row>
    <row r="146" spans="1:25">
      <c r="A146" s="324">
        <f t="shared" si="2"/>
        <v>2027.05</v>
      </c>
      <c r="B146" s="966" t="e">
        <v>#N/A</v>
      </c>
      <c r="C146" s="3008" t="e">
        <v>#N/A</v>
      </c>
      <c r="D146" s="976" t="e">
        <v>#N/A</v>
      </c>
      <c r="E146" s="3008" t="e">
        <v>#N/A</v>
      </c>
      <c r="F146" s="976" t="e">
        <v>#N/A</v>
      </c>
      <c r="G146" s="3008" t="e">
        <v>#N/A</v>
      </c>
      <c r="H146" s="485" t="e">
        <v>#N/A</v>
      </c>
      <c r="I146" s="3008" t="e">
        <v>#N/A</v>
      </c>
      <c r="J146" s="3008" t="e">
        <v>#N/A</v>
      </c>
      <c r="K146" s="976" t="e">
        <v>#N/A</v>
      </c>
      <c r="L146" s="3008" t="e">
        <v>#N/A</v>
      </c>
      <c r="M146" s="976" t="e">
        <v>#N/A</v>
      </c>
      <c r="N146" s="3008" t="e">
        <v>#N/A</v>
      </c>
      <c r="O146" s="976" t="e">
        <v>#N/A</v>
      </c>
      <c r="P146" s="3008" t="e">
        <v>#N/A</v>
      </c>
      <c r="Q146" s="976" t="e">
        <v>#N/A</v>
      </c>
      <c r="R146" s="3008" t="e">
        <v>#N/A</v>
      </c>
      <c r="S146" s="976" t="e">
        <v>#N/A</v>
      </c>
      <c r="T146" s="1814" t="e">
        <v>#N/A</v>
      </c>
      <c r="U146" s="999" t="e">
        <v>#N/A</v>
      </c>
      <c r="V146" s="1814" t="e">
        <v>#N/A</v>
      </c>
      <c r="W146" s="981" t="e">
        <v>#N/A</v>
      </c>
      <c r="X146" s="3008" t="e">
        <v>#N/A</v>
      </c>
      <c r="Y146" s="743" t="e">
        <v>#N/A</v>
      </c>
    </row>
    <row r="147" spans="1:25">
      <c r="A147" s="324">
        <f t="shared" si="2"/>
        <v>2027.06</v>
      </c>
      <c r="B147" s="966" t="e">
        <v>#N/A</v>
      </c>
      <c r="C147" s="3008" t="e">
        <v>#N/A</v>
      </c>
      <c r="D147" s="976" t="e">
        <v>#N/A</v>
      </c>
      <c r="E147" s="3008" t="e">
        <v>#N/A</v>
      </c>
      <c r="F147" s="976" t="e">
        <v>#N/A</v>
      </c>
      <c r="G147" s="3008" t="e">
        <v>#N/A</v>
      </c>
      <c r="H147" s="485" t="e">
        <v>#N/A</v>
      </c>
      <c r="I147" s="3008" t="e">
        <v>#N/A</v>
      </c>
      <c r="J147" s="3008" t="e">
        <v>#N/A</v>
      </c>
      <c r="K147" s="976" t="e">
        <v>#N/A</v>
      </c>
      <c r="L147" s="3008" t="e">
        <v>#N/A</v>
      </c>
      <c r="M147" s="976" t="e">
        <v>#N/A</v>
      </c>
      <c r="N147" s="3008" t="e">
        <v>#N/A</v>
      </c>
      <c r="O147" s="976" t="e">
        <v>#N/A</v>
      </c>
      <c r="P147" s="3008" t="e">
        <v>#N/A</v>
      </c>
      <c r="Q147" s="976" t="e">
        <v>#N/A</v>
      </c>
      <c r="R147" s="3008" t="e">
        <v>#N/A</v>
      </c>
      <c r="S147" s="976" t="e">
        <v>#N/A</v>
      </c>
      <c r="T147" s="1814" t="e">
        <v>#N/A</v>
      </c>
      <c r="U147" s="999" t="e">
        <v>#N/A</v>
      </c>
      <c r="V147" s="1814" t="e">
        <v>#N/A</v>
      </c>
      <c r="W147" s="981" t="e">
        <v>#N/A</v>
      </c>
      <c r="X147" s="3008" t="e">
        <v>#N/A</v>
      </c>
      <c r="Y147" s="743" t="e">
        <v>#N/A</v>
      </c>
    </row>
    <row r="148" spans="1:25">
      <c r="A148" s="324">
        <f t="shared" si="2"/>
        <v>2027.07</v>
      </c>
      <c r="B148" s="966" t="e">
        <v>#N/A</v>
      </c>
      <c r="C148" s="3008" t="e">
        <v>#N/A</v>
      </c>
      <c r="D148" s="976" t="e">
        <v>#N/A</v>
      </c>
      <c r="E148" s="3008" t="e">
        <v>#N/A</v>
      </c>
      <c r="F148" s="976" t="e">
        <v>#N/A</v>
      </c>
      <c r="G148" s="3008" t="e">
        <v>#N/A</v>
      </c>
      <c r="H148" s="485" t="e">
        <v>#N/A</v>
      </c>
      <c r="I148" s="3008" t="e">
        <v>#N/A</v>
      </c>
      <c r="J148" s="3008" t="e">
        <v>#N/A</v>
      </c>
      <c r="K148" s="976" t="e">
        <v>#N/A</v>
      </c>
      <c r="L148" s="3008" t="e">
        <v>#N/A</v>
      </c>
      <c r="M148" s="976" t="e">
        <v>#N/A</v>
      </c>
      <c r="N148" s="3008" t="e">
        <v>#N/A</v>
      </c>
      <c r="O148" s="976" t="e">
        <v>#N/A</v>
      </c>
      <c r="P148" s="3008" t="e">
        <v>#N/A</v>
      </c>
      <c r="Q148" s="976" t="e">
        <v>#N/A</v>
      </c>
      <c r="R148" s="3008" t="e">
        <v>#N/A</v>
      </c>
      <c r="S148" s="976" t="e">
        <v>#N/A</v>
      </c>
      <c r="T148" s="1814" t="e">
        <v>#N/A</v>
      </c>
      <c r="U148" s="999" t="e">
        <v>#N/A</v>
      </c>
      <c r="V148" s="1814" t="e">
        <v>#N/A</v>
      </c>
      <c r="W148" s="981" t="e">
        <v>#N/A</v>
      </c>
      <c r="X148" s="3008" t="e">
        <v>#N/A</v>
      </c>
      <c r="Y148" s="743" t="e">
        <v>#N/A</v>
      </c>
    </row>
    <row r="149" spans="1:25">
      <c r="A149" s="324">
        <f t="shared" si="2"/>
        <v>2027.08</v>
      </c>
      <c r="B149" s="966" t="e">
        <v>#N/A</v>
      </c>
      <c r="C149" s="3008" t="e">
        <v>#N/A</v>
      </c>
      <c r="D149" s="976" t="e">
        <v>#N/A</v>
      </c>
      <c r="E149" s="3008" t="e">
        <v>#N/A</v>
      </c>
      <c r="F149" s="976" t="e">
        <v>#N/A</v>
      </c>
      <c r="G149" s="3008" t="e">
        <v>#N/A</v>
      </c>
      <c r="H149" s="485" t="e">
        <v>#N/A</v>
      </c>
      <c r="I149" s="3008" t="e">
        <v>#N/A</v>
      </c>
      <c r="J149" s="3008" t="e">
        <v>#N/A</v>
      </c>
      <c r="K149" s="976" t="e">
        <v>#N/A</v>
      </c>
      <c r="L149" s="3008" t="e">
        <v>#N/A</v>
      </c>
      <c r="M149" s="976" t="e">
        <v>#N/A</v>
      </c>
      <c r="N149" s="3008" t="e">
        <v>#N/A</v>
      </c>
      <c r="O149" s="976" t="e">
        <v>#N/A</v>
      </c>
      <c r="P149" s="3008" t="e">
        <v>#N/A</v>
      </c>
      <c r="Q149" s="976" t="e">
        <v>#N/A</v>
      </c>
      <c r="R149" s="3008" t="e">
        <v>#N/A</v>
      </c>
      <c r="S149" s="976" t="e">
        <v>#N/A</v>
      </c>
      <c r="T149" s="1814" t="e">
        <v>#N/A</v>
      </c>
      <c r="U149" s="999" t="e">
        <v>#N/A</v>
      </c>
      <c r="V149" s="1814" t="e">
        <v>#N/A</v>
      </c>
      <c r="W149" s="981" t="e">
        <v>#N/A</v>
      </c>
      <c r="X149" s="3008" t="e">
        <v>#N/A</v>
      </c>
      <c r="Y149" s="743" t="e">
        <v>#N/A</v>
      </c>
    </row>
    <row r="150" spans="1:25">
      <c r="A150" s="324">
        <f t="shared" si="2"/>
        <v>2027.09</v>
      </c>
      <c r="B150" s="966" t="e">
        <v>#N/A</v>
      </c>
      <c r="C150" s="3008" t="e">
        <v>#N/A</v>
      </c>
      <c r="D150" s="976" t="e">
        <v>#N/A</v>
      </c>
      <c r="E150" s="3008" t="e">
        <v>#N/A</v>
      </c>
      <c r="F150" s="976" t="e">
        <v>#N/A</v>
      </c>
      <c r="G150" s="3008" t="e">
        <v>#N/A</v>
      </c>
      <c r="H150" s="485" t="e">
        <v>#N/A</v>
      </c>
      <c r="I150" s="3008" t="e">
        <v>#N/A</v>
      </c>
      <c r="J150" s="3008" t="e">
        <v>#N/A</v>
      </c>
      <c r="K150" s="976" t="e">
        <v>#N/A</v>
      </c>
      <c r="L150" s="3008" t="e">
        <v>#N/A</v>
      </c>
      <c r="M150" s="976" t="e">
        <v>#N/A</v>
      </c>
      <c r="N150" s="3008" t="e">
        <v>#N/A</v>
      </c>
      <c r="O150" s="976" t="e">
        <v>#N/A</v>
      </c>
      <c r="P150" s="3008" t="e">
        <v>#N/A</v>
      </c>
      <c r="Q150" s="976" t="e">
        <v>#N/A</v>
      </c>
      <c r="R150" s="3008" t="e">
        <v>#N/A</v>
      </c>
      <c r="S150" s="976" t="e">
        <v>#N/A</v>
      </c>
      <c r="T150" s="1814" t="e">
        <v>#N/A</v>
      </c>
      <c r="U150" s="999" t="e">
        <v>#N/A</v>
      </c>
      <c r="V150" s="1814" t="e">
        <v>#N/A</v>
      </c>
      <c r="W150" s="981" t="e">
        <v>#N/A</v>
      </c>
      <c r="X150" s="3008" t="e">
        <v>#N/A</v>
      </c>
      <c r="Y150" s="743" t="e">
        <v>#N/A</v>
      </c>
    </row>
    <row r="151" spans="1:25">
      <c r="A151" s="324">
        <f t="shared" ref="A151:A189" si="3">A139+1</f>
        <v>2027.1</v>
      </c>
      <c r="B151" s="966" t="e">
        <v>#N/A</v>
      </c>
      <c r="C151" s="3008" t="e">
        <v>#N/A</v>
      </c>
      <c r="D151" s="976" t="e">
        <v>#N/A</v>
      </c>
      <c r="E151" s="3008" t="e">
        <v>#N/A</v>
      </c>
      <c r="F151" s="976" t="e">
        <v>#N/A</v>
      </c>
      <c r="G151" s="3008" t="e">
        <v>#N/A</v>
      </c>
      <c r="H151" s="485" t="e">
        <v>#N/A</v>
      </c>
      <c r="I151" s="3008" t="e">
        <v>#N/A</v>
      </c>
      <c r="J151" s="3008" t="e">
        <v>#N/A</v>
      </c>
      <c r="K151" s="976" t="e">
        <v>#N/A</v>
      </c>
      <c r="L151" s="3008" t="e">
        <v>#N/A</v>
      </c>
      <c r="M151" s="976" t="e">
        <v>#N/A</v>
      </c>
      <c r="N151" s="3008" t="e">
        <v>#N/A</v>
      </c>
      <c r="O151" s="976" t="e">
        <v>#N/A</v>
      </c>
      <c r="P151" s="3008" t="e">
        <v>#N/A</v>
      </c>
      <c r="Q151" s="976" t="e">
        <v>#N/A</v>
      </c>
      <c r="R151" s="3008" t="e">
        <v>#N/A</v>
      </c>
      <c r="S151" s="976" t="e">
        <v>#N/A</v>
      </c>
      <c r="T151" s="1814" t="e">
        <v>#N/A</v>
      </c>
      <c r="U151" s="999" t="e">
        <v>#N/A</v>
      </c>
      <c r="V151" s="1814" t="e">
        <v>#N/A</v>
      </c>
      <c r="W151" s="981" t="e">
        <v>#N/A</v>
      </c>
      <c r="X151" s="3008" t="e">
        <v>#N/A</v>
      </c>
      <c r="Y151" s="743" t="e">
        <v>#N/A</v>
      </c>
    </row>
    <row r="152" spans="1:25">
      <c r="A152" s="324">
        <f t="shared" si="3"/>
        <v>2027.11</v>
      </c>
      <c r="B152" s="966" t="e">
        <v>#N/A</v>
      </c>
      <c r="C152" s="3008" t="e">
        <v>#N/A</v>
      </c>
      <c r="D152" s="976" t="e">
        <v>#N/A</v>
      </c>
      <c r="E152" s="3008" t="e">
        <v>#N/A</v>
      </c>
      <c r="F152" s="976" t="e">
        <v>#N/A</v>
      </c>
      <c r="G152" s="3008" t="e">
        <v>#N/A</v>
      </c>
      <c r="H152" s="485" t="e">
        <v>#N/A</v>
      </c>
      <c r="I152" s="3008" t="e">
        <v>#N/A</v>
      </c>
      <c r="J152" s="3008" t="e">
        <v>#N/A</v>
      </c>
      <c r="K152" s="976" t="e">
        <v>#N/A</v>
      </c>
      <c r="L152" s="3008" t="e">
        <v>#N/A</v>
      </c>
      <c r="M152" s="976" t="e">
        <v>#N/A</v>
      </c>
      <c r="N152" s="3008" t="e">
        <v>#N/A</v>
      </c>
      <c r="O152" s="976" t="e">
        <v>#N/A</v>
      </c>
      <c r="P152" s="3008" t="e">
        <v>#N/A</v>
      </c>
      <c r="Q152" s="976" t="e">
        <v>#N/A</v>
      </c>
      <c r="R152" s="3008" t="e">
        <v>#N/A</v>
      </c>
      <c r="S152" s="976" t="e">
        <v>#N/A</v>
      </c>
      <c r="T152" s="1814" t="e">
        <v>#N/A</v>
      </c>
      <c r="U152" s="999" t="e">
        <v>#N/A</v>
      </c>
      <c r="V152" s="1814" t="e">
        <v>#N/A</v>
      </c>
      <c r="W152" s="981" t="e">
        <v>#N/A</v>
      </c>
      <c r="X152" s="3008" t="e">
        <v>#N/A</v>
      </c>
      <c r="Y152" s="743" t="e">
        <v>#N/A</v>
      </c>
    </row>
    <row r="153" spans="1:25">
      <c r="A153" s="324">
        <f t="shared" si="3"/>
        <v>2027.12</v>
      </c>
      <c r="B153" s="966" t="e">
        <v>#N/A</v>
      </c>
      <c r="C153" s="3008" t="e">
        <v>#N/A</v>
      </c>
      <c r="D153" s="976" t="e">
        <v>#N/A</v>
      </c>
      <c r="E153" s="3008" t="e">
        <v>#N/A</v>
      </c>
      <c r="F153" s="976" t="e">
        <v>#N/A</v>
      </c>
      <c r="G153" s="3008" t="e">
        <v>#N/A</v>
      </c>
      <c r="H153" s="485" t="e">
        <v>#N/A</v>
      </c>
      <c r="I153" s="3008" t="e">
        <v>#N/A</v>
      </c>
      <c r="J153" s="3008" t="e">
        <v>#N/A</v>
      </c>
      <c r="K153" s="976" t="e">
        <v>#N/A</v>
      </c>
      <c r="L153" s="3008" t="e">
        <v>#N/A</v>
      </c>
      <c r="M153" s="976" t="e">
        <v>#N/A</v>
      </c>
      <c r="N153" s="3008" t="e">
        <v>#N/A</v>
      </c>
      <c r="O153" s="976" t="e">
        <v>#N/A</v>
      </c>
      <c r="P153" s="3008" t="e">
        <v>#N/A</v>
      </c>
      <c r="Q153" s="976" t="e">
        <v>#N/A</v>
      </c>
      <c r="R153" s="3008" t="e">
        <v>#N/A</v>
      </c>
      <c r="S153" s="976" t="e">
        <v>#N/A</v>
      </c>
      <c r="T153" s="1814" t="e">
        <v>#N/A</v>
      </c>
      <c r="U153" s="999" t="e">
        <v>#N/A</v>
      </c>
      <c r="V153" s="1814" t="e">
        <v>#N/A</v>
      </c>
      <c r="W153" s="981" t="e">
        <v>#N/A</v>
      </c>
      <c r="X153" s="3008" t="e">
        <v>#N/A</v>
      </c>
      <c r="Y153" s="743" t="e">
        <v>#N/A</v>
      </c>
    </row>
    <row r="154" spans="1:25">
      <c r="A154" s="324">
        <f t="shared" si="3"/>
        <v>2028.01</v>
      </c>
      <c r="B154" s="966" t="e">
        <v>#N/A</v>
      </c>
      <c r="C154" s="3008" t="e">
        <v>#N/A</v>
      </c>
      <c r="D154" s="976" t="e">
        <v>#N/A</v>
      </c>
      <c r="E154" s="3008" t="e">
        <v>#N/A</v>
      </c>
      <c r="F154" s="976" t="e">
        <v>#N/A</v>
      </c>
      <c r="G154" s="3008" t="e">
        <v>#N/A</v>
      </c>
      <c r="H154" s="485" t="e">
        <v>#N/A</v>
      </c>
      <c r="I154" s="3008" t="e">
        <v>#N/A</v>
      </c>
      <c r="J154" s="3008" t="e">
        <v>#N/A</v>
      </c>
      <c r="K154" s="976" t="e">
        <v>#N/A</v>
      </c>
      <c r="L154" s="3008" t="e">
        <v>#N/A</v>
      </c>
      <c r="M154" s="976" t="e">
        <v>#N/A</v>
      </c>
      <c r="N154" s="3008" t="e">
        <v>#N/A</v>
      </c>
      <c r="O154" s="976" t="e">
        <v>#N/A</v>
      </c>
      <c r="P154" s="3008" t="e">
        <v>#N/A</v>
      </c>
      <c r="Q154" s="976" t="e">
        <v>#N/A</v>
      </c>
      <c r="R154" s="3008" t="e">
        <v>#N/A</v>
      </c>
      <c r="S154" s="976" t="e">
        <v>#N/A</v>
      </c>
      <c r="T154" s="1814" t="e">
        <v>#N/A</v>
      </c>
      <c r="U154" s="999" t="e">
        <v>#N/A</v>
      </c>
      <c r="V154" s="1814" t="e">
        <v>#N/A</v>
      </c>
      <c r="W154" s="981" t="e">
        <v>#N/A</v>
      </c>
      <c r="X154" s="3008" t="e">
        <v>#N/A</v>
      </c>
      <c r="Y154" s="743" t="e">
        <v>#N/A</v>
      </c>
    </row>
    <row r="155" spans="1:25">
      <c r="A155" s="324">
        <f t="shared" si="3"/>
        <v>2028.02</v>
      </c>
      <c r="B155" s="966" t="e">
        <v>#N/A</v>
      </c>
      <c r="C155" s="3008" t="e">
        <v>#N/A</v>
      </c>
      <c r="D155" s="976" t="e">
        <v>#N/A</v>
      </c>
      <c r="E155" s="3008" t="e">
        <v>#N/A</v>
      </c>
      <c r="F155" s="976" t="e">
        <v>#N/A</v>
      </c>
      <c r="G155" s="3008" t="e">
        <v>#N/A</v>
      </c>
      <c r="H155" s="485" t="e">
        <v>#N/A</v>
      </c>
      <c r="I155" s="3008" t="e">
        <v>#N/A</v>
      </c>
      <c r="J155" s="3008" t="e">
        <v>#N/A</v>
      </c>
      <c r="K155" s="976" t="e">
        <v>#N/A</v>
      </c>
      <c r="L155" s="3008" t="e">
        <v>#N/A</v>
      </c>
      <c r="M155" s="976" t="e">
        <v>#N/A</v>
      </c>
      <c r="N155" s="3008" t="e">
        <v>#N/A</v>
      </c>
      <c r="O155" s="976" t="e">
        <v>#N/A</v>
      </c>
      <c r="P155" s="3008" t="e">
        <v>#N/A</v>
      </c>
      <c r="Q155" s="976" t="e">
        <v>#N/A</v>
      </c>
      <c r="R155" s="3008" t="e">
        <v>#N/A</v>
      </c>
      <c r="S155" s="976" t="e">
        <v>#N/A</v>
      </c>
      <c r="T155" s="1814" t="e">
        <v>#N/A</v>
      </c>
      <c r="U155" s="999" t="e">
        <v>#N/A</v>
      </c>
      <c r="V155" s="1814" t="e">
        <v>#N/A</v>
      </c>
      <c r="W155" s="981" t="e">
        <v>#N/A</v>
      </c>
      <c r="X155" s="3008" t="e">
        <v>#N/A</v>
      </c>
      <c r="Y155" s="743" t="e">
        <v>#N/A</v>
      </c>
    </row>
    <row r="156" spans="1:25">
      <c r="A156" s="324">
        <f t="shared" si="3"/>
        <v>2028.03</v>
      </c>
      <c r="B156" s="966" t="e">
        <v>#N/A</v>
      </c>
      <c r="C156" s="3008" t="e">
        <v>#N/A</v>
      </c>
      <c r="D156" s="976" t="e">
        <v>#N/A</v>
      </c>
      <c r="E156" s="3008" t="e">
        <v>#N/A</v>
      </c>
      <c r="F156" s="976" t="e">
        <v>#N/A</v>
      </c>
      <c r="G156" s="3008" t="e">
        <v>#N/A</v>
      </c>
      <c r="H156" s="485" t="e">
        <v>#N/A</v>
      </c>
      <c r="I156" s="3008" t="e">
        <v>#N/A</v>
      </c>
      <c r="J156" s="3008" t="e">
        <v>#N/A</v>
      </c>
      <c r="K156" s="976" t="e">
        <v>#N/A</v>
      </c>
      <c r="L156" s="3008" t="e">
        <v>#N/A</v>
      </c>
      <c r="M156" s="976" t="e">
        <v>#N/A</v>
      </c>
      <c r="N156" s="3008" t="e">
        <v>#N/A</v>
      </c>
      <c r="O156" s="976" t="e">
        <v>#N/A</v>
      </c>
      <c r="P156" s="3008" t="e">
        <v>#N/A</v>
      </c>
      <c r="Q156" s="976" t="e">
        <v>#N/A</v>
      </c>
      <c r="R156" s="3008" t="e">
        <v>#N/A</v>
      </c>
      <c r="S156" s="976" t="e">
        <v>#N/A</v>
      </c>
      <c r="T156" s="1814" t="e">
        <v>#N/A</v>
      </c>
      <c r="U156" s="999" t="e">
        <v>#N/A</v>
      </c>
      <c r="V156" s="1814" t="e">
        <v>#N/A</v>
      </c>
      <c r="W156" s="981" t="e">
        <v>#N/A</v>
      </c>
      <c r="X156" s="3008" t="e">
        <v>#N/A</v>
      </c>
      <c r="Y156" s="743" t="e">
        <v>#N/A</v>
      </c>
    </row>
    <row r="157" spans="1:25">
      <c r="A157" s="324">
        <f t="shared" si="3"/>
        <v>2028.04</v>
      </c>
      <c r="B157" s="966" t="e">
        <v>#N/A</v>
      </c>
      <c r="C157" s="3008" t="e">
        <v>#N/A</v>
      </c>
      <c r="D157" s="976" t="e">
        <v>#N/A</v>
      </c>
      <c r="E157" s="3008" t="e">
        <v>#N/A</v>
      </c>
      <c r="F157" s="976" t="e">
        <v>#N/A</v>
      </c>
      <c r="G157" s="3008" t="e">
        <v>#N/A</v>
      </c>
      <c r="H157" s="485" t="e">
        <v>#N/A</v>
      </c>
      <c r="I157" s="3008" t="e">
        <v>#N/A</v>
      </c>
      <c r="J157" s="3008" t="e">
        <v>#N/A</v>
      </c>
      <c r="K157" s="976" t="e">
        <v>#N/A</v>
      </c>
      <c r="L157" s="3008" t="e">
        <v>#N/A</v>
      </c>
      <c r="M157" s="976" t="e">
        <v>#N/A</v>
      </c>
      <c r="N157" s="3008" t="e">
        <v>#N/A</v>
      </c>
      <c r="O157" s="976" t="e">
        <v>#N/A</v>
      </c>
      <c r="P157" s="3008" t="e">
        <v>#N/A</v>
      </c>
      <c r="Q157" s="976" t="e">
        <v>#N/A</v>
      </c>
      <c r="R157" s="3008" t="e">
        <v>#N/A</v>
      </c>
      <c r="S157" s="976" t="e">
        <v>#N/A</v>
      </c>
      <c r="T157" s="1814" t="e">
        <v>#N/A</v>
      </c>
      <c r="U157" s="999" t="e">
        <v>#N/A</v>
      </c>
      <c r="V157" s="1814" t="e">
        <v>#N/A</v>
      </c>
      <c r="W157" s="981" t="e">
        <v>#N/A</v>
      </c>
      <c r="X157" s="3008" t="e">
        <v>#N/A</v>
      </c>
      <c r="Y157" s="743" t="e">
        <v>#N/A</v>
      </c>
    </row>
    <row r="158" spans="1:25">
      <c r="A158" s="324">
        <f t="shared" si="3"/>
        <v>2028.05</v>
      </c>
      <c r="B158" s="966" t="e">
        <v>#N/A</v>
      </c>
      <c r="C158" s="3008" t="e">
        <v>#N/A</v>
      </c>
      <c r="D158" s="976" t="e">
        <v>#N/A</v>
      </c>
      <c r="E158" s="3008" t="e">
        <v>#N/A</v>
      </c>
      <c r="F158" s="976" t="e">
        <v>#N/A</v>
      </c>
      <c r="G158" s="3008" t="e">
        <v>#N/A</v>
      </c>
      <c r="H158" s="485" t="e">
        <v>#N/A</v>
      </c>
      <c r="I158" s="3008" t="e">
        <v>#N/A</v>
      </c>
      <c r="J158" s="3008" t="e">
        <v>#N/A</v>
      </c>
      <c r="K158" s="976" t="e">
        <v>#N/A</v>
      </c>
      <c r="L158" s="3008" t="e">
        <v>#N/A</v>
      </c>
      <c r="M158" s="976" t="e">
        <v>#N/A</v>
      </c>
      <c r="N158" s="3008" t="e">
        <v>#N/A</v>
      </c>
      <c r="O158" s="976" t="e">
        <v>#N/A</v>
      </c>
      <c r="P158" s="3008" t="e">
        <v>#N/A</v>
      </c>
      <c r="Q158" s="976" t="e">
        <v>#N/A</v>
      </c>
      <c r="R158" s="3008" t="e">
        <v>#N/A</v>
      </c>
      <c r="S158" s="976" t="e">
        <v>#N/A</v>
      </c>
      <c r="T158" s="1814" t="e">
        <v>#N/A</v>
      </c>
      <c r="U158" s="999" t="e">
        <v>#N/A</v>
      </c>
      <c r="V158" s="1814" t="e">
        <v>#N/A</v>
      </c>
      <c r="W158" s="981" t="e">
        <v>#N/A</v>
      </c>
      <c r="X158" s="3008" t="e">
        <v>#N/A</v>
      </c>
      <c r="Y158" s="743" t="e">
        <v>#N/A</v>
      </c>
    </row>
    <row r="159" spans="1:25">
      <c r="A159" s="324">
        <f t="shared" si="3"/>
        <v>2028.06</v>
      </c>
      <c r="B159" s="966" t="e">
        <v>#N/A</v>
      </c>
      <c r="C159" s="3008" t="e">
        <v>#N/A</v>
      </c>
      <c r="D159" s="976" t="e">
        <v>#N/A</v>
      </c>
      <c r="E159" s="3008" t="e">
        <v>#N/A</v>
      </c>
      <c r="F159" s="976" t="e">
        <v>#N/A</v>
      </c>
      <c r="G159" s="3008" t="e">
        <v>#N/A</v>
      </c>
      <c r="H159" s="485" t="e">
        <v>#N/A</v>
      </c>
      <c r="I159" s="3008" t="e">
        <v>#N/A</v>
      </c>
      <c r="J159" s="3008" t="e">
        <v>#N/A</v>
      </c>
      <c r="K159" s="976" t="e">
        <v>#N/A</v>
      </c>
      <c r="L159" s="3008" t="e">
        <v>#N/A</v>
      </c>
      <c r="M159" s="976" t="e">
        <v>#N/A</v>
      </c>
      <c r="N159" s="3008" t="e">
        <v>#N/A</v>
      </c>
      <c r="O159" s="976" t="e">
        <v>#N/A</v>
      </c>
      <c r="P159" s="3008" t="e">
        <v>#N/A</v>
      </c>
      <c r="Q159" s="976" t="e">
        <v>#N/A</v>
      </c>
      <c r="R159" s="3008" t="e">
        <v>#N/A</v>
      </c>
      <c r="S159" s="976" t="e">
        <v>#N/A</v>
      </c>
      <c r="T159" s="1814" t="e">
        <v>#N/A</v>
      </c>
      <c r="U159" s="999" t="e">
        <v>#N/A</v>
      </c>
      <c r="V159" s="1814" t="e">
        <v>#N/A</v>
      </c>
      <c r="W159" s="981" t="e">
        <v>#N/A</v>
      </c>
      <c r="X159" s="3008" t="e">
        <v>#N/A</v>
      </c>
      <c r="Y159" s="743" t="e">
        <v>#N/A</v>
      </c>
    </row>
    <row r="160" spans="1:25">
      <c r="A160" s="324">
        <f t="shared" si="3"/>
        <v>2028.07</v>
      </c>
      <c r="B160" s="966" t="e">
        <v>#N/A</v>
      </c>
      <c r="C160" s="3008" t="e">
        <v>#N/A</v>
      </c>
      <c r="D160" s="976" t="e">
        <v>#N/A</v>
      </c>
      <c r="E160" s="3008" t="e">
        <v>#N/A</v>
      </c>
      <c r="F160" s="976" t="e">
        <v>#N/A</v>
      </c>
      <c r="G160" s="3008" t="e">
        <v>#N/A</v>
      </c>
      <c r="H160" s="485" t="e">
        <v>#N/A</v>
      </c>
      <c r="I160" s="3008" t="e">
        <v>#N/A</v>
      </c>
      <c r="J160" s="3008" t="e">
        <v>#N/A</v>
      </c>
      <c r="K160" s="976" t="e">
        <v>#N/A</v>
      </c>
      <c r="L160" s="3008" t="e">
        <v>#N/A</v>
      </c>
      <c r="M160" s="976" t="e">
        <v>#N/A</v>
      </c>
      <c r="N160" s="3008" t="e">
        <v>#N/A</v>
      </c>
      <c r="O160" s="976" t="e">
        <v>#N/A</v>
      </c>
      <c r="P160" s="3008" t="e">
        <v>#N/A</v>
      </c>
      <c r="Q160" s="976" t="e">
        <v>#N/A</v>
      </c>
      <c r="R160" s="3008" t="e">
        <v>#N/A</v>
      </c>
      <c r="S160" s="976" t="e">
        <v>#N/A</v>
      </c>
      <c r="T160" s="1814" t="e">
        <v>#N/A</v>
      </c>
      <c r="U160" s="999" t="e">
        <v>#N/A</v>
      </c>
      <c r="V160" s="1814" t="e">
        <v>#N/A</v>
      </c>
      <c r="W160" s="981" t="e">
        <v>#N/A</v>
      </c>
      <c r="X160" s="3008" t="e">
        <v>#N/A</v>
      </c>
      <c r="Y160" s="743" t="e">
        <v>#N/A</v>
      </c>
    </row>
    <row r="161" spans="1:25">
      <c r="A161" s="324">
        <f t="shared" si="3"/>
        <v>2028.08</v>
      </c>
      <c r="B161" s="966" t="e">
        <v>#N/A</v>
      </c>
      <c r="C161" s="3008" t="e">
        <v>#N/A</v>
      </c>
      <c r="D161" s="976" t="e">
        <v>#N/A</v>
      </c>
      <c r="E161" s="3008" t="e">
        <v>#N/A</v>
      </c>
      <c r="F161" s="976" t="e">
        <v>#N/A</v>
      </c>
      <c r="G161" s="3008" t="e">
        <v>#N/A</v>
      </c>
      <c r="H161" s="485" t="e">
        <v>#N/A</v>
      </c>
      <c r="I161" s="3008" t="e">
        <v>#N/A</v>
      </c>
      <c r="J161" s="3008" t="e">
        <v>#N/A</v>
      </c>
      <c r="K161" s="976" t="e">
        <v>#N/A</v>
      </c>
      <c r="L161" s="3008" t="e">
        <v>#N/A</v>
      </c>
      <c r="M161" s="976" t="e">
        <v>#N/A</v>
      </c>
      <c r="N161" s="3008" t="e">
        <v>#N/A</v>
      </c>
      <c r="O161" s="976" t="e">
        <v>#N/A</v>
      </c>
      <c r="P161" s="3008" t="e">
        <v>#N/A</v>
      </c>
      <c r="Q161" s="976" t="e">
        <v>#N/A</v>
      </c>
      <c r="R161" s="3008" t="e">
        <v>#N/A</v>
      </c>
      <c r="S161" s="976" t="e">
        <v>#N/A</v>
      </c>
      <c r="T161" s="1814" t="e">
        <v>#N/A</v>
      </c>
      <c r="U161" s="999" t="e">
        <v>#N/A</v>
      </c>
      <c r="V161" s="1814" t="e">
        <v>#N/A</v>
      </c>
      <c r="W161" s="981" t="e">
        <v>#N/A</v>
      </c>
      <c r="X161" s="3008" t="e">
        <v>#N/A</v>
      </c>
      <c r="Y161" s="743" t="e">
        <v>#N/A</v>
      </c>
    </row>
    <row r="162" spans="1:25">
      <c r="A162" s="324">
        <f t="shared" si="3"/>
        <v>2028.09</v>
      </c>
      <c r="B162" s="966" t="e">
        <v>#N/A</v>
      </c>
      <c r="C162" s="3008" t="e">
        <v>#N/A</v>
      </c>
      <c r="D162" s="976" t="e">
        <v>#N/A</v>
      </c>
      <c r="E162" s="3008" t="e">
        <v>#N/A</v>
      </c>
      <c r="F162" s="976" t="e">
        <v>#N/A</v>
      </c>
      <c r="G162" s="3008" t="e">
        <v>#N/A</v>
      </c>
      <c r="H162" s="485" t="e">
        <v>#N/A</v>
      </c>
      <c r="I162" s="3008" t="e">
        <v>#N/A</v>
      </c>
      <c r="J162" s="3008" t="e">
        <v>#N/A</v>
      </c>
      <c r="K162" s="976" t="e">
        <v>#N/A</v>
      </c>
      <c r="L162" s="3008" t="e">
        <v>#N/A</v>
      </c>
      <c r="M162" s="976" t="e">
        <v>#N/A</v>
      </c>
      <c r="N162" s="3008" t="e">
        <v>#N/A</v>
      </c>
      <c r="O162" s="976" t="e">
        <v>#N/A</v>
      </c>
      <c r="P162" s="3008" t="e">
        <v>#N/A</v>
      </c>
      <c r="Q162" s="976" t="e">
        <v>#N/A</v>
      </c>
      <c r="R162" s="3008" t="e">
        <v>#N/A</v>
      </c>
      <c r="S162" s="976" t="e">
        <v>#N/A</v>
      </c>
      <c r="T162" s="1814" t="e">
        <v>#N/A</v>
      </c>
      <c r="U162" s="999" t="e">
        <v>#N/A</v>
      </c>
      <c r="V162" s="1814" t="e">
        <v>#N/A</v>
      </c>
      <c r="W162" s="981" t="e">
        <v>#N/A</v>
      </c>
      <c r="X162" s="3008" t="e">
        <v>#N/A</v>
      </c>
      <c r="Y162" s="743" t="e">
        <v>#N/A</v>
      </c>
    </row>
    <row r="163" spans="1:25">
      <c r="A163" s="324">
        <f t="shared" si="3"/>
        <v>2028.1</v>
      </c>
      <c r="B163" s="966" t="e">
        <v>#N/A</v>
      </c>
      <c r="C163" s="3008" t="e">
        <v>#N/A</v>
      </c>
      <c r="D163" s="976" t="e">
        <v>#N/A</v>
      </c>
      <c r="E163" s="3008" t="e">
        <v>#N/A</v>
      </c>
      <c r="F163" s="976" t="e">
        <v>#N/A</v>
      </c>
      <c r="G163" s="3008" t="e">
        <v>#N/A</v>
      </c>
      <c r="H163" s="485" t="e">
        <v>#N/A</v>
      </c>
      <c r="I163" s="3008" t="e">
        <v>#N/A</v>
      </c>
      <c r="J163" s="3008" t="e">
        <v>#N/A</v>
      </c>
      <c r="K163" s="976" t="e">
        <v>#N/A</v>
      </c>
      <c r="L163" s="3008" t="e">
        <v>#N/A</v>
      </c>
      <c r="M163" s="976" t="e">
        <v>#N/A</v>
      </c>
      <c r="N163" s="3008" t="e">
        <v>#N/A</v>
      </c>
      <c r="O163" s="976" t="e">
        <v>#N/A</v>
      </c>
      <c r="P163" s="3008" t="e">
        <v>#N/A</v>
      </c>
      <c r="Q163" s="976" t="e">
        <v>#N/A</v>
      </c>
      <c r="R163" s="3008" t="e">
        <v>#N/A</v>
      </c>
      <c r="S163" s="976" t="e">
        <v>#N/A</v>
      </c>
      <c r="T163" s="1814" t="e">
        <v>#N/A</v>
      </c>
      <c r="U163" s="999" t="e">
        <v>#N/A</v>
      </c>
      <c r="V163" s="1814" t="e">
        <v>#N/A</v>
      </c>
      <c r="W163" s="981" t="e">
        <v>#N/A</v>
      </c>
      <c r="X163" s="3008" t="e">
        <v>#N/A</v>
      </c>
      <c r="Y163" s="743" t="e">
        <v>#N/A</v>
      </c>
    </row>
    <row r="164" spans="1:25">
      <c r="A164" s="324">
        <f t="shared" si="3"/>
        <v>2028.11</v>
      </c>
      <c r="B164" s="966" t="e">
        <v>#N/A</v>
      </c>
      <c r="C164" s="3008" t="e">
        <v>#N/A</v>
      </c>
      <c r="D164" s="976" t="e">
        <v>#N/A</v>
      </c>
      <c r="E164" s="3008" t="e">
        <v>#N/A</v>
      </c>
      <c r="F164" s="976" t="e">
        <v>#N/A</v>
      </c>
      <c r="G164" s="3008" t="e">
        <v>#N/A</v>
      </c>
      <c r="H164" s="485" t="e">
        <v>#N/A</v>
      </c>
      <c r="I164" s="3008" t="e">
        <v>#N/A</v>
      </c>
      <c r="J164" s="3008" t="e">
        <v>#N/A</v>
      </c>
      <c r="K164" s="976" t="e">
        <v>#N/A</v>
      </c>
      <c r="L164" s="3008" t="e">
        <v>#N/A</v>
      </c>
      <c r="M164" s="976" t="e">
        <v>#N/A</v>
      </c>
      <c r="N164" s="3008" t="e">
        <v>#N/A</v>
      </c>
      <c r="O164" s="976" t="e">
        <v>#N/A</v>
      </c>
      <c r="P164" s="3008" t="e">
        <v>#N/A</v>
      </c>
      <c r="Q164" s="976" t="e">
        <v>#N/A</v>
      </c>
      <c r="R164" s="3008" t="e">
        <v>#N/A</v>
      </c>
      <c r="S164" s="976" t="e">
        <v>#N/A</v>
      </c>
      <c r="T164" s="1814" t="e">
        <v>#N/A</v>
      </c>
      <c r="U164" s="999" t="e">
        <v>#N/A</v>
      </c>
      <c r="V164" s="1814" t="e">
        <v>#N/A</v>
      </c>
      <c r="W164" s="981" t="e">
        <v>#N/A</v>
      </c>
      <c r="X164" s="3008" t="e">
        <v>#N/A</v>
      </c>
      <c r="Y164" s="743" t="e">
        <v>#N/A</v>
      </c>
    </row>
    <row r="165" spans="1:25">
      <c r="A165" s="324">
        <f t="shared" si="3"/>
        <v>2028.12</v>
      </c>
      <c r="B165" s="966" t="e">
        <v>#N/A</v>
      </c>
      <c r="C165" s="3008" t="e">
        <v>#N/A</v>
      </c>
      <c r="D165" s="976" t="e">
        <v>#N/A</v>
      </c>
      <c r="E165" s="3008" t="e">
        <v>#N/A</v>
      </c>
      <c r="F165" s="976" t="e">
        <v>#N/A</v>
      </c>
      <c r="G165" s="3008" t="e">
        <v>#N/A</v>
      </c>
      <c r="H165" s="485" t="e">
        <v>#N/A</v>
      </c>
      <c r="I165" s="3008" t="e">
        <v>#N/A</v>
      </c>
      <c r="J165" s="3008" t="e">
        <v>#N/A</v>
      </c>
      <c r="K165" s="976" t="e">
        <v>#N/A</v>
      </c>
      <c r="L165" s="3008" t="e">
        <v>#N/A</v>
      </c>
      <c r="M165" s="976" t="e">
        <v>#N/A</v>
      </c>
      <c r="N165" s="3008" t="e">
        <v>#N/A</v>
      </c>
      <c r="O165" s="976" t="e">
        <v>#N/A</v>
      </c>
      <c r="P165" s="3008" t="e">
        <v>#N/A</v>
      </c>
      <c r="Q165" s="976" t="e">
        <v>#N/A</v>
      </c>
      <c r="R165" s="3008" t="e">
        <v>#N/A</v>
      </c>
      <c r="S165" s="976" t="e">
        <v>#N/A</v>
      </c>
      <c r="T165" s="1814" t="e">
        <v>#N/A</v>
      </c>
      <c r="U165" s="999" t="e">
        <v>#N/A</v>
      </c>
      <c r="V165" s="1814" t="e">
        <v>#N/A</v>
      </c>
      <c r="W165" s="981" t="e">
        <v>#N/A</v>
      </c>
      <c r="X165" s="3008" t="e">
        <v>#N/A</v>
      </c>
      <c r="Y165" s="743" t="e">
        <v>#N/A</v>
      </c>
    </row>
    <row r="166" spans="1:25">
      <c r="A166" s="324">
        <f t="shared" si="3"/>
        <v>2029.01</v>
      </c>
      <c r="B166" s="966" t="e">
        <v>#N/A</v>
      </c>
      <c r="C166" s="3008" t="e">
        <v>#N/A</v>
      </c>
      <c r="D166" s="976" t="e">
        <v>#N/A</v>
      </c>
      <c r="E166" s="3008" t="e">
        <v>#N/A</v>
      </c>
      <c r="F166" s="976" t="e">
        <v>#N/A</v>
      </c>
      <c r="G166" s="3008" t="e">
        <v>#N/A</v>
      </c>
      <c r="H166" s="485" t="e">
        <v>#N/A</v>
      </c>
      <c r="I166" s="3008" t="e">
        <v>#N/A</v>
      </c>
      <c r="J166" s="3008" t="e">
        <v>#N/A</v>
      </c>
      <c r="K166" s="976" t="e">
        <v>#N/A</v>
      </c>
      <c r="L166" s="3008" t="e">
        <v>#N/A</v>
      </c>
      <c r="M166" s="976" t="e">
        <v>#N/A</v>
      </c>
      <c r="N166" s="3008" t="e">
        <v>#N/A</v>
      </c>
      <c r="O166" s="976" t="e">
        <v>#N/A</v>
      </c>
      <c r="P166" s="3008" t="e">
        <v>#N/A</v>
      </c>
      <c r="Q166" s="976" t="e">
        <v>#N/A</v>
      </c>
      <c r="R166" s="3008" t="e">
        <v>#N/A</v>
      </c>
      <c r="S166" s="976" t="e">
        <v>#N/A</v>
      </c>
      <c r="T166" s="1814" t="e">
        <v>#N/A</v>
      </c>
      <c r="U166" s="999" t="e">
        <v>#N/A</v>
      </c>
      <c r="V166" s="1814" t="e">
        <v>#N/A</v>
      </c>
      <c r="W166" s="981" t="e">
        <v>#N/A</v>
      </c>
      <c r="X166" s="3008" t="e">
        <v>#N/A</v>
      </c>
      <c r="Y166" s="743" t="e">
        <v>#N/A</v>
      </c>
    </row>
    <row r="167" spans="1:25">
      <c r="A167" s="324">
        <f t="shared" si="3"/>
        <v>2029.02</v>
      </c>
      <c r="B167" s="966" t="e">
        <v>#N/A</v>
      </c>
      <c r="C167" s="3008" t="e">
        <v>#N/A</v>
      </c>
      <c r="D167" s="976" t="e">
        <v>#N/A</v>
      </c>
      <c r="E167" s="3008" t="e">
        <v>#N/A</v>
      </c>
      <c r="F167" s="976" t="e">
        <v>#N/A</v>
      </c>
      <c r="G167" s="3008" t="e">
        <v>#N/A</v>
      </c>
      <c r="H167" s="485" t="e">
        <v>#N/A</v>
      </c>
      <c r="I167" s="3008" t="e">
        <v>#N/A</v>
      </c>
      <c r="J167" s="3008" t="e">
        <v>#N/A</v>
      </c>
      <c r="K167" s="976" t="e">
        <v>#N/A</v>
      </c>
      <c r="L167" s="3008" t="e">
        <v>#N/A</v>
      </c>
      <c r="M167" s="976" t="e">
        <v>#N/A</v>
      </c>
      <c r="N167" s="3008" t="e">
        <v>#N/A</v>
      </c>
      <c r="O167" s="976" t="e">
        <v>#N/A</v>
      </c>
      <c r="P167" s="3008" t="e">
        <v>#N/A</v>
      </c>
      <c r="Q167" s="976" t="e">
        <v>#N/A</v>
      </c>
      <c r="R167" s="3008" t="e">
        <v>#N/A</v>
      </c>
      <c r="S167" s="976" t="e">
        <v>#N/A</v>
      </c>
      <c r="T167" s="1814" t="e">
        <v>#N/A</v>
      </c>
      <c r="U167" s="999" t="e">
        <v>#N/A</v>
      </c>
      <c r="V167" s="1814" t="e">
        <v>#N/A</v>
      </c>
      <c r="W167" s="981" t="e">
        <v>#N/A</v>
      </c>
      <c r="X167" s="3008" t="e">
        <v>#N/A</v>
      </c>
      <c r="Y167" s="743" t="e">
        <v>#N/A</v>
      </c>
    </row>
    <row r="168" spans="1:25">
      <c r="A168" s="324">
        <f t="shared" si="3"/>
        <v>2029.03</v>
      </c>
      <c r="B168" s="966" t="e">
        <v>#N/A</v>
      </c>
      <c r="C168" s="3008" t="e">
        <v>#N/A</v>
      </c>
      <c r="D168" s="976" t="e">
        <v>#N/A</v>
      </c>
      <c r="E168" s="3008" t="e">
        <v>#N/A</v>
      </c>
      <c r="F168" s="976" t="e">
        <v>#N/A</v>
      </c>
      <c r="G168" s="3008" t="e">
        <v>#N/A</v>
      </c>
      <c r="H168" s="485" t="e">
        <v>#N/A</v>
      </c>
      <c r="I168" s="3008" t="e">
        <v>#N/A</v>
      </c>
      <c r="J168" s="3008" t="e">
        <v>#N/A</v>
      </c>
      <c r="K168" s="976" t="e">
        <v>#N/A</v>
      </c>
      <c r="L168" s="3008" t="e">
        <v>#N/A</v>
      </c>
      <c r="M168" s="976" t="e">
        <v>#N/A</v>
      </c>
      <c r="N168" s="3008" t="e">
        <v>#N/A</v>
      </c>
      <c r="O168" s="976" t="e">
        <v>#N/A</v>
      </c>
      <c r="P168" s="3008" t="e">
        <v>#N/A</v>
      </c>
      <c r="Q168" s="976" t="e">
        <v>#N/A</v>
      </c>
      <c r="R168" s="3008" t="e">
        <v>#N/A</v>
      </c>
      <c r="S168" s="976" t="e">
        <v>#N/A</v>
      </c>
      <c r="T168" s="1814" t="e">
        <v>#N/A</v>
      </c>
      <c r="U168" s="999" t="e">
        <v>#N/A</v>
      </c>
      <c r="V168" s="1814" t="e">
        <v>#N/A</v>
      </c>
      <c r="W168" s="981" t="e">
        <v>#N/A</v>
      </c>
      <c r="X168" s="3008" t="e">
        <v>#N/A</v>
      </c>
      <c r="Y168" s="743" t="e">
        <v>#N/A</v>
      </c>
    </row>
    <row r="169" spans="1:25">
      <c r="A169" s="324">
        <f t="shared" si="3"/>
        <v>2029.04</v>
      </c>
      <c r="B169" s="966" t="e">
        <v>#N/A</v>
      </c>
      <c r="C169" s="3008" t="e">
        <v>#N/A</v>
      </c>
      <c r="D169" s="976" t="e">
        <v>#N/A</v>
      </c>
      <c r="E169" s="3008" t="e">
        <v>#N/A</v>
      </c>
      <c r="F169" s="976" t="e">
        <v>#N/A</v>
      </c>
      <c r="G169" s="3008" t="e">
        <v>#N/A</v>
      </c>
      <c r="H169" s="485" t="e">
        <v>#N/A</v>
      </c>
      <c r="I169" s="3008" t="e">
        <v>#N/A</v>
      </c>
      <c r="J169" s="3008" t="e">
        <v>#N/A</v>
      </c>
      <c r="K169" s="976" t="e">
        <v>#N/A</v>
      </c>
      <c r="L169" s="3008" t="e">
        <v>#N/A</v>
      </c>
      <c r="M169" s="976" t="e">
        <v>#N/A</v>
      </c>
      <c r="N169" s="3008" t="e">
        <v>#N/A</v>
      </c>
      <c r="O169" s="976" t="e">
        <v>#N/A</v>
      </c>
      <c r="P169" s="3008" t="e">
        <v>#N/A</v>
      </c>
      <c r="Q169" s="976" t="e">
        <v>#N/A</v>
      </c>
      <c r="R169" s="3008" t="e">
        <v>#N/A</v>
      </c>
      <c r="S169" s="976" t="e">
        <v>#N/A</v>
      </c>
      <c r="T169" s="1814" t="e">
        <v>#N/A</v>
      </c>
      <c r="U169" s="999" t="e">
        <v>#N/A</v>
      </c>
      <c r="V169" s="1814" t="e">
        <v>#N/A</v>
      </c>
      <c r="W169" s="981" t="e">
        <v>#N/A</v>
      </c>
      <c r="X169" s="3008" t="e">
        <v>#N/A</v>
      </c>
      <c r="Y169" s="743" t="e">
        <v>#N/A</v>
      </c>
    </row>
    <row r="170" spans="1:25">
      <c r="A170" s="324">
        <f t="shared" si="3"/>
        <v>2029.05</v>
      </c>
      <c r="B170" s="966" t="e">
        <v>#N/A</v>
      </c>
      <c r="C170" s="3008" t="e">
        <v>#N/A</v>
      </c>
      <c r="D170" s="976" t="e">
        <v>#N/A</v>
      </c>
      <c r="E170" s="3008" t="e">
        <v>#N/A</v>
      </c>
      <c r="F170" s="976" t="e">
        <v>#N/A</v>
      </c>
      <c r="G170" s="3008" t="e">
        <v>#N/A</v>
      </c>
      <c r="H170" s="485" t="e">
        <v>#N/A</v>
      </c>
      <c r="I170" s="3008" t="e">
        <v>#N/A</v>
      </c>
      <c r="J170" s="3008" t="e">
        <v>#N/A</v>
      </c>
      <c r="K170" s="976" t="e">
        <v>#N/A</v>
      </c>
      <c r="L170" s="3008" t="e">
        <v>#N/A</v>
      </c>
      <c r="M170" s="976" t="e">
        <v>#N/A</v>
      </c>
      <c r="N170" s="3008" t="e">
        <v>#N/A</v>
      </c>
      <c r="O170" s="976" t="e">
        <v>#N/A</v>
      </c>
      <c r="P170" s="3008" t="e">
        <v>#N/A</v>
      </c>
      <c r="Q170" s="976" t="e">
        <v>#N/A</v>
      </c>
      <c r="R170" s="3008" t="e">
        <v>#N/A</v>
      </c>
      <c r="S170" s="976" t="e">
        <v>#N/A</v>
      </c>
      <c r="T170" s="1814" t="e">
        <v>#N/A</v>
      </c>
      <c r="U170" s="999" t="e">
        <v>#N/A</v>
      </c>
      <c r="V170" s="1814" t="e">
        <v>#N/A</v>
      </c>
      <c r="W170" s="981" t="e">
        <v>#N/A</v>
      </c>
      <c r="X170" s="3008" t="e">
        <v>#N/A</v>
      </c>
      <c r="Y170" s="743" t="e">
        <v>#N/A</v>
      </c>
    </row>
    <row r="171" spans="1:25">
      <c r="A171" s="324">
        <f t="shared" si="3"/>
        <v>2029.06</v>
      </c>
      <c r="B171" s="966" t="e">
        <v>#N/A</v>
      </c>
      <c r="C171" s="3008" t="e">
        <v>#N/A</v>
      </c>
      <c r="D171" s="976" t="e">
        <v>#N/A</v>
      </c>
      <c r="E171" s="3008" t="e">
        <v>#N/A</v>
      </c>
      <c r="F171" s="976" t="e">
        <v>#N/A</v>
      </c>
      <c r="G171" s="3008" t="e">
        <v>#N/A</v>
      </c>
      <c r="H171" s="485" t="e">
        <v>#N/A</v>
      </c>
      <c r="I171" s="3008" t="e">
        <v>#N/A</v>
      </c>
      <c r="J171" s="3008" t="e">
        <v>#N/A</v>
      </c>
      <c r="K171" s="976" t="e">
        <v>#N/A</v>
      </c>
      <c r="L171" s="3008" t="e">
        <v>#N/A</v>
      </c>
      <c r="M171" s="976" t="e">
        <v>#N/A</v>
      </c>
      <c r="N171" s="3008" t="e">
        <v>#N/A</v>
      </c>
      <c r="O171" s="976" t="e">
        <v>#N/A</v>
      </c>
      <c r="P171" s="3008" t="e">
        <v>#N/A</v>
      </c>
      <c r="Q171" s="976" t="e">
        <v>#N/A</v>
      </c>
      <c r="R171" s="3008" t="e">
        <v>#N/A</v>
      </c>
      <c r="S171" s="976" t="e">
        <v>#N/A</v>
      </c>
      <c r="T171" s="1814" t="e">
        <v>#N/A</v>
      </c>
      <c r="U171" s="999" t="e">
        <v>#N/A</v>
      </c>
      <c r="V171" s="1814" t="e">
        <v>#N/A</v>
      </c>
      <c r="W171" s="981" t="e">
        <v>#N/A</v>
      </c>
      <c r="X171" s="3008" t="e">
        <v>#N/A</v>
      </c>
      <c r="Y171" s="743" t="e">
        <v>#N/A</v>
      </c>
    </row>
    <row r="172" spans="1:25">
      <c r="A172" s="324">
        <f t="shared" si="3"/>
        <v>2029.07</v>
      </c>
      <c r="B172" s="966" t="e">
        <v>#N/A</v>
      </c>
      <c r="C172" s="3008" t="e">
        <v>#N/A</v>
      </c>
      <c r="D172" s="976" t="e">
        <v>#N/A</v>
      </c>
      <c r="E172" s="3008" t="e">
        <v>#N/A</v>
      </c>
      <c r="F172" s="976" t="e">
        <v>#N/A</v>
      </c>
      <c r="G172" s="3008" t="e">
        <v>#N/A</v>
      </c>
      <c r="H172" s="485" t="e">
        <v>#N/A</v>
      </c>
      <c r="I172" s="3008" t="e">
        <v>#N/A</v>
      </c>
      <c r="J172" s="3008" t="e">
        <v>#N/A</v>
      </c>
      <c r="K172" s="976" t="e">
        <v>#N/A</v>
      </c>
      <c r="L172" s="3008" t="e">
        <v>#N/A</v>
      </c>
      <c r="M172" s="976" t="e">
        <v>#N/A</v>
      </c>
      <c r="N172" s="3008" t="e">
        <v>#N/A</v>
      </c>
      <c r="O172" s="976" t="e">
        <v>#N/A</v>
      </c>
      <c r="P172" s="3008" t="e">
        <v>#N/A</v>
      </c>
      <c r="Q172" s="976" t="e">
        <v>#N/A</v>
      </c>
      <c r="R172" s="3008" t="e">
        <v>#N/A</v>
      </c>
      <c r="S172" s="976" t="e">
        <v>#N/A</v>
      </c>
      <c r="T172" s="1814" t="e">
        <v>#N/A</v>
      </c>
      <c r="U172" s="999" t="e">
        <v>#N/A</v>
      </c>
      <c r="V172" s="1814" t="e">
        <v>#N/A</v>
      </c>
      <c r="W172" s="981" t="e">
        <v>#N/A</v>
      </c>
      <c r="X172" s="3008" t="e">
        <v>#N/A</v>
      </c>
      <c r="Y172" s="743" t="e">
        <v>#N/A</v>
      </c>
    </row>
    <row r="173" spans="1:25">
      <c r="A173" s="324">
        <f t="shared" si="3"/>
        <v>2029.08</v>
      </c>
      <c r="B173" s="966" t="e">
        <v>#N/A</v>
      </c>
      <c r="C173" s="3008" t="e">
        <v>#N/A</v>
      </c>
      <c r="D173" s="976" t="e">
        <v>#N/A</v>
      </c>
      <c r="E173" s="3008" t="e">
        <v>#N/A</v>
      </c>
      <c r="F173" s="976" t="e">
        <v>#N/A</v>
      </c>
      <c r="G173" s="3008" t="e">
        <v>#N/A</v>
      </c>
      <c r="H173" s="485" t="e">
        <v>#N/A</v>
      </c>
      <c r="I173" s="3008" t="e">
        <v>#N/A</v>
      </c>
      <c r="J173" s="3008" t="e">
        <v>#N/A</v>
      </c>
      <c r="K173" s="976" t="e">
        <v>#N/A</v>
      </c>
      <c r="L173" s="3008" t="e">
        <v>#N/A</v>
      </c>
      <c r="M173" s="976" t="e">
        <v>#N/A</v>
      </c>
      <c r="N173" s="3008" t="e">
        <v>#N/A</v>
      </c>
      <c r="O173" s="976" t="e">
        <v>#N/A</v>
      </c>
      <c r="P173" s="3008" t="e">
        <v>#N/A</v>
      </c>
      <c r="Q173" s="976" t="e">
        <v>#N/A</v>
      </c>
      <c r="R173" s="3008" t="e">
        <v>#N/A</v>
      </c>
      <c r="S173" s="976" t="e">
        <v>#N/A</v>
      </c>
      <c r="T173" s="1814" t="e">
        <v>#N/A</v>
      </c>
      <c r="U173" s="999" t="e">
        <v>#N/A</v>
      </c>
      <c r="V173" s="1814" t="e">
        <v>#N/A</v>
      </c>
      <c r="W173" s="981" t="e">
        <v>#N/A</v>
      </c>
      <c r="X173" s="3008" t="e">
        <v>#N/A</v>
      </c>
      <c r="Y173" s="743" t="e">
        <v>#N/A</v>
      </c>
    </row>
    <row r="174" spans="1:25">
      <c r="A174" s="324">
        <f t="shared" si="3"/>
        <v>2029.09</v>
      </c>
      <c r="B174" s="966" t="e">
        <v>#N/A</v>
      </c>
      <c r="C174" s="3008" t="e">
        <v>#N/A</v>
      </c>
      <c r="D174" s="976" t="e">
        <v>#N/A</v>
      </c>
      <c r="E174" s="3008" t="e">
        <v>#N/A</v>
      </c>
      <c r="F174" s="976" t="e">
        <v>#N/A</v>
      </c>
      <c r="G174" s="3008" t="e">
        <v>#N/A</v>
      </c>
      <c r="H174" s="485" t="e">
        <v>#N/A</v>
      </c>
      <c r="I174" s="3008" t="e">
        <v>#N/A</v>
      </c>
      <c r="J174" s="3008" t="e">
        <v>#N/A</v>
      </c>
      <c r="K174" s="976" t="e">
        <v>#N/A</v>
      </c>
      <c r="L174" s="3008" t="e">
        <v>#N/A</v>
      </c>
      <c r="M174" s="976" t="e">
        <v>#N/A</v>
      </c>
      <c r="N174" s="3008" t="e">
        <v>#N/A</v>
      </c>
      <c r="O174" s="976" t="e">
        <v>#N/A</v>
      </c>
      <c r="P174" s="3008" t="e">
        <v>#N/A</v>
      </c>
      <c r="Q174" s="976" t="e">
        <v>#N/A</v>
      </c>
      <c r="R174" s="3008" t="e">
        <v>#N/A</v>
      </c>
      <c r="S174" s="976" t="e">
        <v>#N/A</v>
      </c>
      <c r="T174" s="1814" t="e">
        <v>#N/A</v>
      </c>
      <c r="U174" s="999" t="e">
        <v>#N/A</v>
      </c>
      <c r="V174" s="1814" t="e">
        <v>#N/A</v>
      </c>
      <c r="W174" s="981" t="e">
        <v>#N/A</v>
      </c>
      <c r="X174" s="3008" t="e">
        <v>#N/A</v>
      </c>
      <c r="Y174" s="743" t="e">
        <v>#N/A</v>
      </c>
    </row>
    <row r="175" spans="1:25">
      <c r="A175" s="324">
        <f t="shared" si="3"/>
        <v>2029.1</v>
      </c>
      <c r="B175" s="966" t="e">
        <v>#N/A</v>
      </c>
      <c r="C175" s="3008" t="e">
        <v>#N/A</v>
      </c>
      <c r="D175" s="976" t="e">
        <v>#N/A</v>
      </c>
      <c r="E175" s="3008" t="e">
        <v>#N/A</v>
      </c>
      <c r="F175" s="976" t="e">
        <v>#N/A</v>
      </c>
      <c r="G175" s="3008" t="e">
        <v>#N/A</v>
      </c>
      <c r="H175" s="485" t="e">
        <v>#N/A</v>
      </c>
      <c r="I175" s="3008" t="e">
        <v>#N/A</v>
      </c>
      <c r="J175" s="3008" t="e">
        <v>#N/A</v>
      </c>
      <c r="K175" s="976" t="e">
        <v>#N/A</v>
      </c>
      <c r="L175" s="3008" t="e">
        <v>#N/A</v>
      </c>
      <c r="M175" s="976" t="e">
        <v>#N/A</v>
      </c>
      <c r="N175" s="3008" t="e">
        <v>#N/A</v>
      </c>
      <c r="O175" s="976" t="e">
        <v>#N/A</v>
      </c>
      <c r="P175" s="3008" t="e">
        <v>#N/A</v>
      </c>
      <c r="Q175" s="976" t="e">
        <v>#N/A</v>
      </c>
      <c r="R175" s="3008" t="e">
        <v>#N/A</v>
      </c>
      <c r="S175" s="976" t="e">
        <v>#N/A</v>
      </c>
      <c r="T175" s="1814" t="e">
        <v>#N/A</v>
      </c>
      <c r="U175" s="999" t="e">
        <v>#N/A</v>
      </c>
      <c r="V175" s="1814" t="e">
        <v>#N/A</v>
      </c>
      <c r="W175" s="981" t="e">
        <v>#N/A</v>
      </c>
      <c r="X175" s="3008" t="e">
        <v>#N/A</v>
      </c>
      <c r="Y175" s="743" t="e">
        <v>#N/A</v>
      </c>
    </row>
    <row r="176" spans="1:25">
      <c r="A176" s="324">
        <f t="shared" si="3"/>
        <v>2029.11</v>
      </c>
      <c r="B176" s="966" t="e">
        <v>#N/A</v>
      </c>
      <c r="C176" s="3008" t="e">
        <v>#N/A</v>
      </c>
      <c r="D176" s="976" t="e">
        <v>#N/A</v>
      </c>
      <c r="E176" s="3008" t="e">
        <v>#N/A</v>
      </c>
      <c r="F176" s="976" t="e">
        <v>#N/A</v>
      </c>
      <c r="G176" s="3008" t="e">
        <v>#N/A</v>
      </c>
      <c r="H176" s="485" t="e">
        <v>#N/A</v>
      </c>
      <c r="I176" s="3008" t="e">
        <v>#N/A</v>
      </c>
      <c r="J176" s="3008" t="e">
        <v>#N/A</v>
      </c>
      <c r="K176" s="976" t="e">
        <v>#N/A</v>
      </c>
      <c r="L176" s="3008" t="e">
        <v>#N/A</v>
      </c>
      <c r="M176" s="976" t="e">
        <v>#N/A</v>
      </c>
      <c r="N176" s="3008" t="e">
        <v>#N/A</v>
      </c>
      <c r="O176" s="976" t="e">
        <v>#N/A</v>
      </c>
      <c r="P176" s="3008" t="e">
        <v>#N/A</v>
      </c>
      <c r="Q176" s="976" t="e">
        <v>#N/A</v>
      </c>
      <c r="R176" s="3008" t="e">
        <v>#N/A</v>
      </c>
      <c r="S176" s="976" t="e">
        <v>#N/A</v>
      </c>
      <c r="T176" s="1814" t="e">
        <v>#N/A</v>
      </c>
      <c r="U176" s="999" t="e">
        <v>#N/A</v>
      </c>
      <c r="V176" s="1814" t="e">
        <v>#N/A</v>
      </c>
      <c r="W176" s="981" t="e">
        <v>#N/A</v>
      </c>
      <c r="X176" s="3008" t="e">
        <v>#N/A</v>
      </c>
      <c r="Y176" s="743" t="e">
        <v>#N/A</v>
      </c>
    </row>
    <row r="177" spans="1:25">
      <c r="A177" s="324">
        <f t="shared" si="3"/>
        <v>2029.12</v>
      </c>
      <c r="B177" s="966" t="e">
        <v>#N/A</v>
      </c>
      <c r="C177" s="3008" t="e">
        <v>#N/A</v>
      </c>
      <c r="D177" s="976" t="e">
        <v>#N/A</v>
      </c>
      <c r="E177" s="3008" t="e">
        <v>#N/A</v>
      </c>
      <c r="F177" s="976" t="e">
        <v>#N/A</v>
      </c>
      <c r="G177" s="3008" t="e">
        <v>#N/A</v>
      </c>
      <c r="H177" s="485" t="e">
        <v>#N/A</v>
      </c>
      <c r="I177" s="3008" t="e">
        <v>#N/A</v>
      </c>
      <c r="J177" s="3008" t="e">
        <v>#N/A</v>
      </c>
      <c r="K177" s="976" t="e">
        <v>#N/A</v>
      </c>
      <c r="L177" s="3008" t="e">
        <v>#N/A</v>
      </c>
      <c r="M177" s="976" t="e">
        <v>#N/A</v>
      </c>
      <c r="N177" s="3008" t="e">
        <v>#N/A</v>
      </c>
      <c r="O177" s="976" t="e">
        <v>#N/A</v>
      </c>
      <c r="P177" s="3008" t="e">
        <v>#N/A</v>
      </c>
      <c r="Q177" s="976" t="e">
        <v>#N/A</v>
      </c>
      <c r="R177" s="3008" t="e">
        <v>#N/A</v>
      </c>
      <c r="S177" s="976" t="e">
        <v>#N/A</v>
      </c>
      <c r="T177" s="1814" t="e">
        <v>#N/A</v>
      </c>
      <c r="U177" s="999" t="e">
        <v>#N/A</v>
      </c>
      <c r="V177" s="1814" t="e">
        <v>#N/A</v>
      </c>
      <c r="W177" s="981" t="e">
        <v>#N/A</v>
      </c>
      <c r="X177" s="3008" t="e">
        <v>#N/A</v>
      </c>
      <c r="Y177" s="743" t="e">
        <v>#N/A</v>
      </c>
    </row>
    <row r="178" spans="1:25">
      <c r="A178" s="324">
        <f t="shared" si="3"/>
        <v>2030.01</v>
      </c>
      <c r="B178" s="966" t="e">
        <v>#N/A</v>
      </c>
      <c r="C178" s="3008" t="e">
        <v>#N/A</v>
      </c>
      <c r="D178" s="976" t="e">
        <v>#N/A</v>
      </c>
      <c r="E178" s="3008" t="e">
        <v>#N/A</v>
      </c>
      <c r="F178" s="976" t="e">
        <v>#N/A</v>
      </c>
      <c r="G178" s="3008" t="e">
        <v>#N/A</v>
      </c>
      <c r="H178" s="485" t="e">
        <v>#N/A</v>
      </c>
      <c r="I178" s="3008" t="e">
        <v>#N/A</v>
      </c>
      <c r="J178" s="3008" t="e">
        <v>#N/A</v>
      </c>
      <c r="K178" s="976" t="e">
        <v>#N/A</v>
      </c>
      <c r="L178" s="3008" t="e">
        <v>#N/A</v>
      </c>
      <c r="M178" s="976" t="e">
        <v>#N/A</v>
      </c>
      <c r="N178" s="3008" t="e">
        <v>#N/A</v>
      </c>
      <c r="O178" s="976" t="e">
        <v>#N/A</v>
      </c>
      <c r="P178" s="3008" t="e">
        <v>#N/A</v>
      </c>
      <c r="Q178" s="976" t="e">
        <v>#N/A</v>
      </c>
      <c r="R178" s="3008" t="e">
        <v>#N/A</v>
      </c>
      <c r="S178" s="976" t="e">
        <v>#N/A</v>
      </c>
      <c r="T178" s="1814" t="e">
        <v>#N/A</v>
      </c>
      <c r="U178" s="999" t="e">
        <v>#N/A</v>
      </c>
      <c r="V178" s="1814" t="e">
        <v>#N/A</v>
      </c>
      <c r="W178" s="981" t="e">
        <v>#N/A</v>
      </c>
      <c r="X178" s="3008" t="e">
        <v>#N/A</v>
      </c>
      <c r="Y178" s="743" t="e">
        <v>#N/A</v>
      </c>
    </row>
    <row r="179" spans="1:25">
      <c r="A179" s="324">
        <f t="shared" si="3"/>
        <v>2030.02</v>
      </c>
      <c r="B179" s="966" t="e">
        <v>#N/A</v>
      </c>
      <c r="C179" s="3008" t="e">
        <v>#N/A</v>
      </c>
      <c r="D179" s="976" t="e">
        <v>#N/A</v>
      </c>
      <c r="E179" s="3008" t="e">
        <v>#N/A</v>
      </c>
      <c r="F179" s="976" t="e">
        <v>#N/A</v>
      </c>
      <c r="G179" s="3008" t="e">
        <v>#N/A</v>
      </c>
      <c r="H179" s="485" t="e">
        <v>#N/A</v>
      </c>
      <c r="I179" s="3008" t="e">
        <v>#N/A</v>
      </c>
      <c r="J179" s="3008" t="e">
        <v>#N/A</v>
      </c>
      <c r="K179" s="976" t="e">
        <v>#N/A</v>
      </c>
      <c r="L179" s="3008" t="e">
        <v>#N/A</v>
      </c>
      <c r="M179" s="976" t="e">
        <v>#N/A</v>
      </c>
      <c r="N179" s="3008" t="e">
        <v>#N/A</v>
      </c>
      <c r="O179" s="976" t="e">
        <v>#N/A</v>
      </c>
      <c r="P179" s="3008" t="e">
        <v>#N/A</v>
      </c>
      <c r="Q179" s="976" t="e">
        <v>#N/A</v>
      </c>
      <c r="R179" s="3008" t="e">
        <v>#N/A</v>
      </c>
      <c r="S179" s="976" t="e">
        <v>#N/A</v>
      </c>
      <c r="T179" s="1814" t="e">
        <v>#N/A</v>
      </c>
      <c r="U179" s="999" t="e">
        <v>#N/A</v>
      </c>
      <c r="V179" s="1814" t="e">
        <v>#N/A</v>
      </c>
      <c r="W179" s="981" t="e">
        <v>#N/A</v>
      </c>
      <c r="X179" s="3008" t="e">
        <v>#N/A</v>
      </c>
      <c r="Y179" s="743" t="e">
        <v>#N/A</v>
      </c>
    </row>
    <row r="180" spans="1:25">
      <c r="A180" s="324">
        <f t="shared" si="3"/>
        <v>2030.03</v>
      </c>
      <c r="B180" s="966" t="e">
        <v>#N/A</v>
      </c>
      <c r="C180" s="3008" t="e">
        <v>#N/A</v>
      </c>
      <c r="D180" s="976" t="e">
        <v>#N/A</v>
      </c>
      <c r="E180" s="3008" t="e">
        <v>#N/A</v>
      </c>
      <c r="F180" s="976" t="e">
        <v>#N/A</v>
      </c>
      <c r="G180" s="3008" t="e">
        <v>#N/A</v>
      </c>
      <c r="H180" s="485" t="e">
        <v>#N/A</v>
      </c>
      <c r="I180" s="3008" t="e">
        <v>#N/A</v>
      </c>
      <c r="J180" s="3008" t="e">
        <v>#N/A</v>
      </c>
      <c r="K180" s="976" t="e">
        <v>#N/A</v>
      </c>
      <c r="L180" s="3008" t="e">
        <v>#N/A</v>
      </c>
      <c r="M180" s="976" t="e">
        <v>#N/A</v>
      </c>
      <c r="N180" s="3008" t="e">
        <v>#N/A</v>
      </c>
      <c r="O180" s="976" t="e">
        <v>#N/A</v>
      </c>
      <c r="P180" s="3008" t="e">
        <v>#N/A</v>
      </c>
      <c r="Q180" s="976" t="e">
        <v>#N/A</v>
      </c>
      <c r="R180" s="3008" t="e">
        <v>#N/A</v>
      </c>
      <c r="S180" s="976" t="e">
        <v>#N/A</v>
      </c>
      <c r="T180" s="1814" t="e">
        <v>#N/A</v>
      </c>
      <c r="U180" s="999" t="e">
        <v>#N/A</v>
      </c>
      <c r="V180" s="1814" t="e">
        <v>#N/A</v>
      </c>
      <c r="W180" s="981" t="e">
        <v>#N/A</v>
      </c>
      <c r="X180" s="3008" t="e">
        <v>#N/A</v>
      </c>
      <c r="Y180" s="743" t="e">
        <v>#N/A</v>
      </c>
    </row>
    <row r="181" spans="1:25">
      <c r="A181" s="324">
        <f t="shared" si="3"/>
        <v>2030.04</v>
      </c>
      <c r="B181" s="966" t="e">
        <v>#N/A</v>
      </c>
      <c r="C181" s="3008" t="e">
        <v>#N/A</v>
      </c>
      <c r="D181" s="976" t="e">
        <v>#N/A</v>
      </c>
      <c r="E181" s="3008" t="e">
        <v>#N/A</v>
      </c>
      <c r="F181" s="976" t="e">
        <v>#N/A</v>
      </c>
      <c r="G181" s="3008" t="e">
        <v>#N/A</v>
      </c>
      <c r="H181" s="485" t="e">
        <v>#N/A</v>
      </c>
      <c r="I181" s="3008" t="e">
        <v>#N/A</v>
      </c>
      <c r="J181" s="3008" t="e">
        <v>#N/A</v>
      </c>
      <c r="K181" s="976" t="e">
        <v>#N/A</v>
      </c>
      <c r="L181" s="3008" t="e">
        <v>#N/A</v>
      </c>
      <c r="M181" s="976" t="e">
        <v>#N/A</v>
      </c>
      <c r="N181" s="3008" t="e">
        <v>#N/A</v>
      </c>
      <c r="O181" s="976" t="e">
        <v>#N/A</v>
      </c>
      <c r="P181" s="3008" t="e">
        <v>#N/A</v>
      </c>
      <c r="Q181" s="976" t="e">
        <v>#N/A</v>
      </c>
      <c r="R181" s="3008" t="e">
        <v>#N/A</v>
      </c>
      <c r="S181" s="976" t="e">
        <v>#N/A</v>
      </c>
      <c r="T181" s="1814" t="e">
        <v>#N/A</v>
      </c>
      <c r="U181" s="999" t="e">
        <v>#N/A</v>
      </c>
      <c r="V181" s="1814" t="e">
        <v>#N/A</v>
      </c>
      <c r="W181" s="981" t="e">
        <v>#N/A</v>
      </c>
      <c r="X181" s="3008" t="e">
        <v>#N/A</v>
      </c>
      <c r="Y181" s="743" t="e">
        <v>#N/A</v>
      </c>
    </row>
    <row r="182" spans="1:25">
      <c r="A182" s="324">
        <f t="shared" si="3"/>
        <v>2030.05</v>
      </c>
      <c r="B182" s="966" t="e">
        <v>#N/A</v>
      </c>
      <c r="C182" s="3008" t="e">
        <v>#N/A</v>
      </c>
      <c r="D182" s="976" t="e">
        <v>#N/A</v>
      </c>
      <c r="E182" s="3008" t="e">
        <v>#N/A</v>
      </c>
      <c r="F182" s="976" t="e">
        <v>#N/A</v>
      </c>
      <c r="G182" s="3008" t="e">
        <v>#N/A</v>
      </c>
      <c r="H182" s="485" t="e">
        <v>#N/A</v>
      </c>
      <c r="I182" s="3008" t="e">
        <v>#N/A</v>
      </c>
      <c r="J182" s="3008" t="e">
        <v>#N/A</v>
      </c>
      <c r="K182" s="976" t="e">
        <v>#N/A</v>
      </c>
      <c r="L182" s="3008" t="e">
        <v>#N/A</v>
      </c>
      <c r="M182" s="976" t="e">
        <v>#N/A</v>
      </c>
      <c r="N182" s="3008" t="e">
        <v>#N/A</v>
      </c>
      <c r="O182" s="976" t="e">
        <v>#N/A</v>
      </c>
      <c r="P182" s="3008" t="e">
        <v>#N/A</v>
      </c>
      <c r="Q182" s="976" t="e">
        <v>#N/A</v>
      </c>
      <c r="R182" s="3008" t="e">
        <v>#N/A</v>
      </c>
      <c r="S182" s="976" t="e">
        <v>#N/A</v>
      </c>
      <c r="T182" s="1814" t="e">
        <v>#N/A</v>
      </c>
      <c r="U182" s="999" t="e">
        <v>#N/A</v>
      </c>
      <c r="V182" s="1814" t="e">
        <v>#N/A</v>
      </c>
      <c r="W182" s="981" t="e">
        <v>#N/A</v>
      </c>
      <c r="X182" s="3008" t="e">
        <v>#N/A</v>
      </c>
      <c r="Y182" s="743" t="e">
        <v>#N/A</v>
      </c>
    </row>
    <row r="183" spans="1:25">
      <c r="A183" s="324">
        <f t="shared" si="3"/>
        <v>2030.06</v>
      </c>
      <c r="B183" s="966" t="e">
        <v>#N/A</v>
      </c>
      <c r="C183" s="3008" t="e">
        <v>#N/A</v>
      </c>
      <c r="D183" s="976" t="e">
        <v>#N/A</v>
      </c>
      <c r="E183" s="3008" t="e">
        <v>#N/A</v>
      </c>
      <c r="F183" s="976" t="e">
        <v>#N/A</v>
      </c>
      <c r="G183" s="3008" t="e">
        <v>#N/A</v>
      </c>
      <c r="H183" s="485" t="e">
        <v>#N/A</v>
      </c>
      <c r="I183" s="3008" t="e">
        <v>#N/A</v>
      </c>
      <c r="J183" s="3008" t="e">
        <v>#N/A</v>
      </c>
      <c r="K183" s="976" t="e">
        <v>#N/A</v>
      </c>
      <c r="L183" s="3008" t="e">
        <v>#N/A</v>
      </c>
      <c r="M183" s="976" t="e">
        <v>#N/A</v>
      </c>
      <c r="N183" s="3008" t="e">
        <v>#N/A</v>
      </c>
      <c r="O183" s="976" t="e">
        <v>#N/A</v>
      </c>
      <c r="P183" s="3008" t="e">
        <v>#N/A</v>
      </c>
      <c r="Q183" s="976" t="e">
        <v>#N/A</v>
      </c>
      <c r="R183" s="3008" t="e">
        <v>#N/A</v>
      </c>
      <c r="S183" s="976" t="e">
        <v>#N/A</v>
      </c>
      <c r="T183" s="1814" t="e">
        <v>#N/A</v>
      </c>
      <c r="U183" s="999" t="e">
        <v>#N/A</v>
      </c>
      <c r="V183" s="1814" t="e">
        <v>#N/A</v>
      </c>
      <c r="W183" s="981" t="e">
        <v>#N/A</v>
      </c>
      <c r="X183" s="3008" t="e">
        <v>#N/A</v>
      </c>
      <c r="Y183" s="743" t="e">
        <v>#N/A</v>
      </c>
    </row>
    <row r="184" spans="1:25">
      <c r="A184" s="324">
        <f t="shared" si="3"/>
        <v>2030.07</v>
      </c>
      <c r="B184" s="966" t="e">
        <v>#N/A</v>
      </c>
      <c r="C184" s="3008" t="e">
        <v>#N/A</v>
      </c>
      <c r="D184" s="976" t="e">
        <v>#N/A</v>
      </c>
      <c r="E184" s="3008" t="e">
        <v>#N/A</v>
      </c>
      <c r="F184" s="976" t="e">
        <v>#N/A</v>
      </c>
      <c r="G184" s="3008" t="e">
        <v>#N/A</v>
      </c>
      <c r="H184" s="485" t="e">
        <v>#N/A</v>
      </c>
      <c r="I184" s="3008" t="e">
        <v>#N/A</v>
      </c>
      <c r="J184" s="3008" t="e">
        <v>#N/A</v>
      </c>
      <c r="K184" s="976" t="e">
        <v>#N/A</v>
      </c>
      <c r="L184" s="3008" t="e">
        <v>#N/A</v>
      </c>
      <c r="M184" s="976" t="e">
        <v>#N/A</v>
      </c>
      <c r="N184" s="3008" t="e">
        <v>#N/A</v>
      </c>
      <c r="O184" s="976" t="e">
        <v>#N/A</v>
      </c>
      <c r="P184" s="3008" t="e">
        <v>#N/A</v>
      </c>
      <c r="Q184" s="976" t="e">
        <v>#N/A</v>
      </c>
      <c r="R184" s="3008" t="e">
        <v>#N/A</v>
      </c>
      <c r="S184" s="976" t="e">
        <v>#N/A</v>
      </c>
      <c r="T184" s="1814" t="e">
        <v>#N/A</v>
      </c>
      <c r="U184" s="999" t="e">
        <v>#N/A</v>
      </c>
      <c r="V184" s="1814" t="e">
        <v>#N/A</v>
      </c>
      <c r="W184" s="981" t="e">
        <v>#N/A</v>
      </c>
      <c r="X184" s="3008" t="e">
        <v>#N/A</v>
      </c>
      <c r="Y184" s="743" t="e">
        <v>#N/A</v>
      </c>
    </row>
    <row r="185" spans="1:25">
      <c r="A185" s="324">
        <f t="shared" si="3"/>
        <v>2030.08</v>
      </c>
      <c r="B185" s="966" t="e">
        <v>#N/A</v>
      </c>
      <c r="C185" s="3008" t="e">
        <v>#N/A</v>
      </c>
      <c r="D185" s="976" t="e">
        <v>#N/A</v>
      </c>
      <c r="E185" s="3008" t="e">
        <v>#N/A</v>
      </c>
      <c r="F185" s="976" t="e">
        <v>#N/A</v>
      </c>
      <c r="G185" s="3008" t="e">
        <v>#N/A</v>
      </c>
      <c r="H185" s="485" t="e">
        <v>#N/A</v>
      </c>
      <c r="I185" s="3008" t="e">
        <v>#N/A</v>
      </c>
      <c r="J185" s="3008" t="e">
        <v>#N/A</v>
      </c>
      <c r="K185" s="976" t="e">
        <v>#N/A</v>
      </c>
      <c r="L185" s="3008" t="e">
        <v>#N/A</v>
      </c>
      <c r="M185" s="976" t="e">
        <v>#N/A</v>
      </c>
      <c r="N185" s="3008" t="e">
        <v>#N/A</v>
      </c>
      <c r="O185" s="976" t="e">
        <v>#N/A</v>
      </c>
      <c r="P185" s="3008" t="e">
        <v>#N/A</v>
      </c>
      <c r="Q185" s="976" t="e">
        <v>#N/A</v>
      </c>
      <c r="R185" s="3008" t="e">
        <v>#N/A</v>
      </c>
      <c r="S185" s="976" t="e">
        <v>#N/A</v>
      </c>
      <c r="T185" s="1814" t="e">
        <v>#N/A</v>
      </c>
      <c r="U185" s="999" t="e">
        <v>#N/A</v>
      </c>
      <c r="V185" s="1814" t="e">
        <v>#N/A</v>
      </c>
      <c r="W185" s="981" t="e">
        <v>#N/A</v>
      </c>
      <c r="X185" s="3008" t="e">
        <v>#N/A</v>
      </c>
      <c r="Y185" s="743" t="e">
        <v>#N/A</v>
      </c>
    </row>
    <row r="186" spans="1:25">
      <c r="A186" s="324">
        <f t="shared" si="3"/>
        <v>2030.09</v>
      </c>
      <c r="B186" s="966" t="e">
        <v>#N/A</v>
      </c>
      <c r="C186" s="3008" t="e">
        <v>#N/A</v>
      </c>
      <c r="D186" s="976" t="e">
        <v>#N/A</v>
      </c>
      <c r="E186" s="3008" t="e">
        <v>#N/A</v>
      </c>
      <c r="F186" s="976" t="e">
        <v>#N/A</v>
      </c>
      <c r="G186" s="3008" t="e">
        <v>#N/A</v>
      </c>
      <c r="H186" s="485" t="e">
        <v>#N/A</v>
      </c>
      <c r="I186" s="3008" t="e">
        <v>#N/A</v>
      </c>
      <c r="J186" s="3008" t="e">
        <v>#N/A</v>
      </c>
      <c r="K186" s="976" t="e">
        <v>#N/A</v>
      </c>
      <c r="L186" s="3008" t="e">
        <v>#N/A</v>
      </c>
      <c r="M186" s="976" t="e">
        <v>#N/A</v>
      </c>
      <c r="N186" s="3008" t="e">
        <v>#N/A</v>
      </c>
      <c r="O186" s="976" t="e">
        <v>#N/A</v>
      </c>
      <c r="P186" s="3008" t="e">
        <v>#N/A</v>
      </c>
      <c r="Q186" s="976" t="e">
        <v>#N/A</v>
      </c>
      <c r="R186" s="3008" t="e">
        <v>#N/A</v>
      </c>
      <c r="S186" s="976" t="e">
        <v>#N/A</v>
      </c>
      <c r="T186" s="1814" t="e">
        <v>#N/A</v>
      </c>
      <c r="U186" s="999" t="e">
        <v>#N/A</v>
      </c>
      <c r="V186" s="1814" t="e">
        <v>#N/A</v>
      </c>
      <c r="W186" s="981" t="e">
        <v>#N/A</v>
      </c>
      <c r="X186" s="3008" t="e">
        <v>#N/A</v>
      </c>
      <c r="Y186" s="743" t="e">
        <v>#N/A</v>
      </c>
    </row>
    <row r="187" spans="1:25">
      <c r="A187" s="324">
        <f t="shared" si="3"/>
        <v>2030.1</v>
      </c>
      <c r="B187" s="966" t="e">
        <v>#N/A</v>
      </c>
      <c r="C187" s="3008" t="e">
        <v>#N/A</v>
      </c>
      <c r="D187" s="976" t="e">
        <v>#N/A</v>
      </c>
      <c r="E187" s="3008" t="e">
        <v>#N/A</v>
      </c>
      <c r="F187" s="976" t="e">
        <v>#N/A</v>
      </c>
      <c r="G187" s="3008" t="e">
        <v>#N/A</v>
      </c>
      <c r="H187" s="485" t="e">
        <v>#N/A</v>
      </c>
      <c r="I187" s="3008" t="e">
        <v>#N/A</v>
      </c>
      <c r="J187" s="3008" t="e">
        <v>#N/A</v>
      </c>
      <c r="K187" s="976" t="e">
        <v>#N/A</v>
      </c>
      <c r="L187" s="3008" t="e">
        <v>#N/A</v>
      </c>
      <c r="M187" s="976" t="e">
        <v>#N/A</v>
      </c>
      <c r="N187" s="3008" t="e">
        <v>#N/A</v>
      </c>
      <c r="O187" s="976" t="e">
        <v>#N/A</v>
      </c>
      <c r="P187" s="3008" t="e">
        <v>#N/A</v>
      </c>
      <c r="Q187" s="976" t="e">
        <v>#N/A</v>
      </c>
      <c r="R187" s="3008" t="e">
        <v>#N/A</v>
      </c>
      <c r="S187" s="976" t="e">
        <v>#N/A</v>
      </c>
      <c r="T187" s="1814" t="e">
        <v>#N/A</v>
      </c>
      <c r="U187" s="999" t="e">
        <v>#N/A</v>
      </c>
      <c r="V187" s="1814" t="e">
        <v>#N/A</v>
      </c>
      <c r="W187" s="981" t="e">
        <v>#N/A</v>
      </c>
      <c r="X187" s="3008" t="e">
        <v>#N/A</v>
      </c>
      <c r="Y187" s="743" t="e">
        <v>#N/A</v>
      </c>
    </row>
    <row r="188" spans="1:25">
      <c r="A188" s="324">
        <f t="shared" si="3"/>
        <v>2030.11</v>
      </c>
      <c r="B188" s="966" t="e">
        <v>#N/A</v>
      </c>
      <c r="C188" s="3008" t="e">
        <v>#N/A</v>
      </c>
      <c r="D188" s="976" t="e">
        <v>#N/A</v>
      </c>
      <c r="E188" s="3008" t="e">
        <v>#N/A</v>
      </c>
      <c r="F188" s="976" t="e">
        <v>#N/A</v>
      </c>
      <c r="G188" s="3008" t="e">
        <v>#N/A</v>
      </c>
      <c r="H188" s="485" t="e">
        <v>#N/A</v>
      </c>
      <c r="I188" s="3008" t="e">
        <v>#N/A</v>
      </c>
      <c r="J188" s="3008" t="e">
        <v>#N/A</v>
      </c>
      <c r="K188" s="976" t="e">
        <v>#N/A</v>
      </c>
      <c r="L188" s="3008" t="e">
        <v>#N/A</v>
      </c>
      <c r="M188" s="976" t="e">
        <v>#N/A</v>
      </c>
      <c r="N188" s="3008" t="e">
        <v>#N/A</v>
      </c>
      <c r="O188" s="976" t="e">
        <v>#N/A</v>
      </c>
      <c r="P188" s="3008" t="e">
        <v>#N/A</v>
      </c>
      <c r="Q188" s="976" t="e">
        <v>#N/A</v>
      </c>
      <c r="R188" s="3008" t="e">
        <v>#N/A</v>
      </c>
      <c r="S188" s="976" t="e">
        <v>#N/A</v>
      </c>
      <c r="T188" s="1814" t="e">
        <v>#N/A</v>
      </c>
      <c r="U188" s="999" t="e">
        <v>#N/A</v>
      </c>
      <c r="V188" s="1814" t="e">
        <v>#N/A</v>
      </c>
      <c r="W188" s="981" t="e">
        <v>#N/A</v>
      </c>
      <c r="X188" s="3008" t="e">
        <v>#N/A</v>
      </c>
      <c r="Y188" s="743" t="e">
        <v>#N/A</v>
      </c>
    </row>
    <row r="189" spans="1:25">
      <c r="A189" s="324">
        <f t="shared" si="3"/>
        <v>2030.12</v>
      </c>
      <c r="B189" s="966" t="e">
        <v>#N/A</v>
      </c>
      <c r="C189" s="3008" t="e">
        <v>#N/A</v>
      </c>
      <c r="D189" s="976" t="e">
        <v>#N/A</v>
      </c>
      <c r="E189" s="3008" t="e">
        <v>#N/A</v>
      </c>
      <c r="F189" s="976" t="e">
        <v>#N/A</v>
      </c>
      <c r="G189" s="3008" t="e">
        <v>#N/A</v>
      </c>
      <c r="H189" s="485" t="e">
        <v>#N/A</v>
      </c>
      <c r="I189" s="3008" t="e">
        <v>#N/A</v>
      </c>
      <c r="J189" s="3008" t="e">
        <v>#N/A</v>
      </c>
      <c r="K189" s="976" t="e">
        <v>#N/A</v>
      </c>
      <c r="L189" s="3008" t="e">
        <v>#N/A</v>
      </c>
      <c r="M189" s="976" t="e">
        <v>#N/A</v>
      </c>
      <c r="N189" s="3008" t="e">
        <v>#N/A</v>
      </c>
      <c r="O189" s="976" t="e">
        <v>#N/A</v>
      </c>
      <c r="P189" s="3008" t="e">
        <v>#N/A</v>
      </c>
      <c r="Q189" s="976" t="e">
        <v>#N/A</v>
      </c>
      <c r="R189" s="3008" t="e">
        <v>#N/A</v>
      </c>
      <c r="S189" s="976" t="e">
        <v>#N/A</v>
      </c>
      <c r="T189" s="1814" t="e">
        <v>#N/A</v>
      </c>
      <c r="U189" s="999" t="e">
        <v>#N/A</v>
      </c>
      <c r="V189" s="1814" t="e">
        <v>#N/A</v>
      </c>
      <c r="W189" s="981" t="e">
        <v>#N/A</v>
      </c>
      <c r="X189" s="3008" t="e">
        <v>#N/A</v>
      </c>
      <c r="Y189" s="743" t="e">
        <v>#N/A</v>
      </c>
    </row>
  </sheetData>
  <hyperlinks>
    <hyperlink ref="A5" location="INDICE!A13" display="VOLVER AL INDICE" xr:uid="{00000000-0004-0000-34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7">
    <pageSetUpPr autoPageBreaks="0"/>
  </sheetPr>
  <dimension ref="A1:F753"/>
  <sheetViews>
    <sheetView zoomScale="130" zoomScaleNormal="130" workbookViewId="0">
      <pane xSplit="1" ySplit="9" topLeftCell="B587" activePane="bottomRight" state="frozen"/>
      <selection pane="topRight" activeCell="A5" sqref="A5"/>
      <selection pane="bottomLeft" activeCell="A5" sqref="A5"/>
      <selection pane="bottomRight" activeCell="A9" sqref="A9:XFD9"/>
    </sheetView>
  </sheetViews>
  <sheetFormatPr baseColWidth="10" defaultColWidth="11.42578125" defaultRowHeight="12.75"/>
  <cols>
    <col min="1" max="1" width="10.7109375" style="96" bestFit="1" customWidth="1"/>
    <col min="2" max="5" width="15.7109375" style="97" customWidth="1"/>
    <col min="6" max="16384" width="11.42578125" style="18"/>
  </cols>
  <sheetData>
    <row r="1" spans="1:5" s="16" customFormat="1" ht="3.75" customHeight="1">
      <c r="A1" s="34"/>
      <c r="B1" s="2250"/>
      <c r="C1" s="2251"/>
      <c r="D1" s="217"/>
      <c r="E1" s="219"/>
    </row>
    <row r="2" spans="1:5" s="16" customFormat="1" ht="51" customHeight="1">
      <c r="A2" s="59" t="s">
        <v>105</v>
      </c>
      <c r="B2" s="2252" t="s">
        <v>1496</v>
      </c>
      <c r="C2" s="2253" t="s">
        <v>1497</v>
      </c>
      <c r="D2" s="2476" t="s">
        <v>1498</v>
      </c>
      <c r="E2" s="2244"/>
    </row>
    <row r="3" spans="1:5" s="16" customFormat="1" ht="42">
      <c r="A3" s="59" t="s">
        <v>212</v>
      </c>
      <c r="B3" s="2252" t="s">
        <v>132</v>
      </c>
      <c r="C3" s="2484" t="s">
        <v>1499</v>
      </c>
      <c r="D3" s="2485" t="s">
        <v>1500</v>
      </c>
      <c r="E3" s="1220" t="s">
        <v>1501</v>
      </c>
    </row>
    <row r="4" spans="1:5" s="16" customFormat="1" ht="3.75" hidden="1" customHeight="1">
      <c r="A4" s="80"/>
      <c r="B4" s="2254"/>
      <c r="C4" s="2478"/>
      <c r="D4" s="2478"/>
      <c r="E4" s="2255"/>
    </row>
    <row r="5" spans="1:5" s="16" customFormat="1" ht="22.5">
      <c r="A5" s="2390" t="s">
        <v>137</v>
      </c>
      <c r="B5" s="2256" t="s">
        <v>945</v>
      </c>
      <c r="C5" s="2394" t="s">
        <v>945</v>
      </c>
      <c r="D5" s="2394" t="s">
        <v>1471</v>
      </c>
      <c r="E5" s="2257" t="s">
        <v>1471</v>
      </c>
    </row>
    <row r="6" spans="1:5" s="16" customFormat="1" ht="3.75" hidden="1" customHeight="1">
      <c r="A6" s="80"/>
      <c r="B6" s="2254"/>
      <c r="C6" s="2478"/>
      <c r="D6" s="2478"/>
      <c r="E6" s="2255"/>
    </row>
    <row r="7" spans="1:5" s="16" customFormat="1" ht="26.1" customHeight="1">
      <c r="A7" s="2373" t="s">
        <v>123</v>
      </c>
      <c r="B7" s="561" t="s">
        <v>1502</v>
      </c>
      <c r="C7" s="2486" t="s">
        <v>1503</v>
      </c>
      <c r="D7" s="6" t="s">
        <v>262</v>
      </c>
      <c r="E7" s="2038" t="s">
        <v>262</v>
      </c>
    </row>
    <row r="8" spans="1:5" s="16" customFormat="1" ht="18" customHeight="1" thickBot="1">
      <c r="A8" s="147" t="s">
        <v>141</v>
      </c>
      <c r="B8" s="1964" t="s">
        <v>1504</v>
      </c>
      <c r="C8" s="2400" t="s">
        <v>1505</v>
      </c>
      <c r="D8" s="2400" t="s">
        <v>1506</v>
      </c>
      <c r="E8" s="642" t="s">
        <v>1507</v>
      </c>
    </row>
    <row r="9" spans="1:5" s="17" customFormat="1" ht="12" hidden="1" customHeight="1" thickBot="1">
      <c r="A9" s="72" t="s">
        <v>517</v>
      </c>
      <c r="B9" s="2258"/>
      <c r="C9" s="215"/>
      <c r="D9" s="215"/>
      <c r="E9" s="2259"/>
    </row>
    <row r="10" spans="1:5" s="17" customFormat="1">
      <c r="A10" s="2260">
        <v>1969.01</v>
      </c>
      <c r="B10" s="737">
        <v>1.9688111954912401E-10</v>
      </c>
      <c r="C10" s="738">
        <f>B10</f>
        <v>1.9688111954912401E-10</v>
      </c>
      <c r="D10" s="2261"/>
      <c r="E10" s="2262"/>
    </row>
    <row r="11" spans="1:5" s="17" customFormat="1">
      <c r="A11" s="2260">
        <v>1969.02</v>
      </c>
      <c r="B11" s="2263">
        <v>1.9423508621101399E-10</v>
      </c>
      <c r="C11" s="420">
        <f>B11</f>
        <v>1.9423508621101399E-10</v>
      </c>
      <c r="D11" s="1253"/>
      <c r="E11" s="3244"/>
    </row>
    <row r="12" spans="1:5" s="17" customFormat="1">
      <c r="A12" s="2260">
        <v>1969.03</v>
      </c>
      <c r="B12" s="2263">
        <v>1.9641782490328127E-10</v>
      </c>
      <c r="C12" s="420">
        <f t="shared" ref="C12:C75" si="0">B12</f>
        <v>1.9641782490328127E-10</v>
      </c>
      <c r="D12" s="1253"/>
      <c r="E12" s="3244"/>
    </row>
    <row r="13" spans="1:5" s="17" customFormat="1">
      <c r="A13" s="2260">
        <v>1969.04</v>
      </c>
      <c r="B13" s="2263">
        <v>1.9661842670869751E-10</v>
      </c>
      <c r="C13" s="420">
        <f t="shared" si="0"/>
        <v>1.9661842670869751E-10</v>
      </c>
      <c r="D13" s="1253"/>
      <c r="E13" s="3244"/>
    </row>
    <row r="14" spans="1:5" s="17" customFormat="1">
      <c r="A14" s="2260">
        <v>1969.05</v>
      </c>
      <c r="B14" s="2263">
        <v>1.9390552610211588E-10</v>
      </c>
      <c r="C14" s="420">
        <f t="shared" si="0"/>
        <v>1.9390552610211588E-10</v>
      </c>
      <c r="D14" s="1253"/>
      <c r="E14" s="3244"/>
    </row>
    <row r="15" spans="1:5" s="17" customFormat="1">
      <c r="A15" s="2260">
        <v>1969.06</v>
      </c>
      <c r="B15" s="2263">
        <v>1.9582079572049479E-10</v>
      </c>
      <c r="C15" s="420">
        <f t="shared" si="0"/>
        <v>1.9582079572049479E-10</v>
      </c>
      <c r="D15" s="1253"/>
      <c r="E15" s="3244"/>
    </row>
    <row r="16" spans="1:5" s="17" customFormat="1">
      <c r="A16" s="2260">
        <v>1969.07</v>
      </c>
      <c r="B16" s="2263">
        <v>1.9843339542436835E-10</v>
      </c>
      <c r="C16" s="420">
        <f t="shared" si="0"/>
        <v>1.9843339542436835E-10</v>
      </c>
      <c r="D16" s="1253"/>
      <c r="E16" s="3244"/>
    </row>
    <row r="17" spans="1:5" s="17" customFormat="1">
      <c r="A17" s="2260">
        <v>1969.08</v>
      </c>
      <c r="B17" s="2263">
        <v>1.9694798681759565E-10</v>
      </c>
      <c r="C17" s="420">
        <f t="shared" si="0"/>
        <v>1.9694798681759565E-10</v>
      </c>
      <c r="D17" s="1253"/>
      <c r="E17" s="3244"/>
    </row>
    <row r="18" spans="1:5" s="17" customFormat="1">
      <c r="A18" s="2260">
        <v>1969.09</v>
      </c>
      <c r="B18" s="2263">
        <v>2.006161341166356E-10</v>
      </c>
      <c r="C18" s="420">
        <f t="shared" si="0"/>
        <v>2.006161341166356E-10</v>
      </c>
      <c r="D18" s="1253"/>
      <c r="E18" s="3244"/>
    </row>
    <row r="19" spans="1:5" s="17" customFormat="1">
      <c r="A19" s="2260">
        <v>1969.1</v>
      </c>
      <c r="B19" s="2263">
        <v>2.0365859483211537E-10</v>
      </c>
      <c r="C19" s="420">
        <f t="shared" si="0"/>
        <v>2.0365859483211537E-10</v>
      </c>
      <c r="D19" s="1253"/>
      <c r="E19" s="3244"/>
    </row>
    <row r="20" spans="1:5" s="17" customFormat="1">
      <c r="A20" s="2260">
        <v>1969.11</v>
      </c>
      <c r="B20" s="2263">
        <v>2.0511056980465205E-10</v>
      </c>
      <c r="C20" s="420">
        <f t="shared" si="0"/>
        <v>2.0511056980465205E-10</v>
      </c>
      <c r="D20" s="1253"/>
      <c r="E20" s="3244"/>
    </row>
    <row r="21" spans="1:5" s="17" customFormat="1">
      <c r="A21" s="2260">
        <v>1969.12</v>
      </c>
      <c r="B21" s="2263">
        <v>2.2015092897740838E-10</v>
      </c>
      <c r="C21" s="420">
        <f t="shared" si="0"/>
        <v>2.2015092897740838E-10</v>
      </c>
      <c r="D21" s="1253"/>
      <c r="E21" s="3244"/>
    </row>
    <row r="22" spans="1:5" s="17" customFormat="1">
      <c r="A22" s="2260">
        <v>1970.01</v>
      </c>
      <c r="B22" s="2263">
        <v>2.0977217366384868E-10</v>
      </c>
      <c r="C22" s="420">
        <f t="shared" si="0"/>
        <v>2.0977217366384868E-10</v>
      </c>
      <c r="D22" s="1253"/>
      <c r="E22" s="3244"/>
    </row>
    <row r="23" spans="1:5" s="17" customFormat="1">
      <c r="A23" s="2260">
        <v>1970.02</v>
      </c>
      <c r="B23" s="2263">
        <v>2.1261403257391221E-10</v>
      </c>
      <c r="C23" s="420">
        <f t="shared" si="0"/>
        <v>2.1261403257391221E-10</v>
      </c>
      <c r="D23" s="1253"/>
      <c r="E23" s="3244"/>
    </row>
    <row r="24" spans="1:5" s="17" customFormat="1">
      <c r="A24" s="2260">
        <v>1970.03</v>
      </c>
      <c r="B24" s="2263">
        <v>2.153603668147299E-10</v>
      </c>
      <c r="C24" s="420">
        <f t="shared" si="0"/>
        <v>2.153603668147299E-10</v>
      </c>
      <c r="D24" s="1253"/>
      <c r="E24" s="3244"/>
    </row>
    <row r="25" spans="1:5" s="17" customFormat="1">
      <c r="A25" s="2260">
        <v>1970.04</v>
      </c>
      <c r="B25" s="2263">
        <v>2.1701294359268283E-10</v>
      </c>
      <c r="C25" s="420">
        <f t="shared" si="0"/>
        <v>2.1701294359268283E-10</v>
      </c>
      <c r="D25" s="1253"/>
      <c r="E25" s="3244"/>
    </row>
    <row r="26" spans="1:5" s="17" customFormat="1">
      <c r="A26" s="2260">
        <v>1970.05</v>
      </c>
      <c r="B26" s="2263">
        <v>2.1861775803601281E-10</v>
      </c>
      <c r="C26" s="420">
        <f t="shared" si="0"/>
        <v>2.1861775803601281E-10</v>
      </c>
      <c r="D26" s="1253"/>
      <c r="E26" s="3244"/>
    </row>
    <row r="27" spans="1:5" s="17" customFormat="1">
      <c r="A27" s="2260">
        <v>1970.06</v>
      </c>
      <c r="B27" s="2263">
        <v>2.2021779624588048E-10</v>
      </c>
      <c r="C27" s="420">
        <f t="shared" si="0"/>
        <v>2.2021779624588048E-10</v>
      </c>
      <c r="D27" s="1253"/>
      <c r="E27" s="3244"/>
    </row>
    <row r="28" spans="1:5" s="17" customFormat="1">
      <c r="A28" s="2260">
        <v>1970.07</v>
      </c>
      <c r="B28" s="2263">
        <v>2.2292592061899985E-10</v>
      </c>
      <c r="C28" s="420">
        <f t="shared" si="0"/>
        <v>2.2292592061899985E-10</v>
      </c>
      <c r="D28" s="1253"/>
      <c r="E28" s="3244"/>
    </row>
    <row r="29" spans="1:5" s="17" customFormat="1">
      <c r="A29" s="2260">
        <v>1970.08</v>
      </c>
      <c r="B29" s="2263">
        <v>2.2544299565362755E-10</v>
      </c>
      <c r="C29" s="420">
        <f t="shared" si="0"/>
        <v>2.2544299565362755E-10</v>
      </c>
      <c r="D29" s="1253"/>
      <c r="E29" s="3244"/>
    </row>
    <row r="30" spans="1:5" s="17" customFormat="1">
      <c r="A30" s="2260">
        <v>1970.09</v>
      </c>
      <c r="B30" s="2263">
        <v>2.3003773224435212E-10</v>
      </c>
      <c r="C30" s="420">
        <f t="shared" si="0"/>
        <v>2.3003773224435212E-10</v>
      </c>
      <c r="D30" s="1253"/>
      <c r="E30" s="3244"/>
    </row>
    <row r="31" spans="1:5" s="17" customFormat="1">
      <c r="A31" s="2260">
        <v>1970.1</v>
      </c>
      <c r="B31" s="2263">
        <v>2.3916033815732914E-10</v>
      </c>
      <c r="C31" s="420">
        <f t="shared" si="0"/>
        <v>2.3916033815732914E-10</v>
      </c>
      <c r="D31" s="1253"/>
      <c r="E31" s="3244"/>
    </row>
    <row r="32" spans="1:5" s="17" customFormat="1">
      <c r="A32" s="2260">
        <v>1970.11</v>
      </c>
      <c r="B32" s="2263">
        <v>2.4534078425753451E-10</v>
      </c>
      <c r="C32" s="420">
        <f t="shared" si="0"/>
        <v>2.4534078425753451E-10</v>
      </c>
      <c r="D32" s="1253"/>
      <c r="E32" s="3244"/>
    </row>
    <row r="33" spans="1:5" s="17" customFormat="1">
      <c r="A33" s="2260">
        <v>1970.12</v>
      </c>
      <c r="B33" s="2263">
        <v>2.6801834073649522E-10</v>
      </c>
      <c r="C33" s="420">
        <f t="shared" si="0"/>
        <v>2.6801834073649522E-10</v>
      </c>
      <c r="D33" s="1253"/>
      <c r="E33" s="3244"/>
    </row>
    <row r="34" spans="1:5" s="17" customFormat="1">
      <c r="A34" s="2260">
        <v>1971.01</v>
      </c>
      <c r="B34" s="2263">
        <v>2.6725891961599082E-10</v>
      </c>
      <c r="C34" s="420">
        <f t="shared" si="0"/>
        <v>2.6725891961599082E-10</v>
      </c>
      <c r="D34" s="1253"/>
      <c r="E34" s="3244"/>
    </row>
    <row r="35" spans="1:5" s="17" customFormat="1">
      <c r="A35" s="2260">
        <v>1971.02</v>
      </c>
      <c r="B35" s="2263">
        <v>2.761809237235516E-10</v>
      </c>
      <c r="C35" s="420">
        <f t="shared" si="0"/>
        <v>2.761809237235516E-10</v>
      </c>
      <c r="D35" s="1253"/>
      <c r="E35" s="3244"/>
    </row>
    <row r="36" spans="1:5" s="17" customFormat="1">
      <c r="A36" s="2260">
        <v>1971.03</v>
      </c>
      <c r="B36" s="2263">
        <v>2.7908964990208721E-10</v>
      </c>
      <c r="C36" s="420">
        <f t="shared" si="0"/>
        <v>2.7908964990208721E-10</v>
      </c>
      <c r="D36" s="1253"/>
      <c r="E36" s="3244"/>
    </row>
    <row r="37" spans="1:5" s="17" customFormat="1">
      <c r="A37" s="2260">
        <v>1971.04</v>
      </c>
      <c r="B37" s="2263">
        <v>2.8160194870325262E-10</v>
      </c>
      <c r="C37" s="420">
        <f t="shared" si="0"/>
        <v>2.8160194870325262E-10</v>
      </c>
      <c r="D37" s="1253"/>
      <c r="E37" s="3244"/>
    </row>
    <row r="38" spans="1:5" s="17" customFormat="1">
      <c r="A38" s="2260">
        <v>1971.05</v>
      </c>
      <c r="B38" s="2263">
        <v>2.8844629125471655E-10</v>
      </c>
      <c r="C38" s="420">
        <f t="shared" si="0"/>
        <v>2.8844629125471655E-10</v>
      </c>
      <c r="D38" s="1253"/>
      <c r="E38" s="3244"/>
    </row>
    <row r="39" spans="1:5" s="17" customFormat="1">
      <c r="A39" s="2260">
        <v>1971.06</v>
      </c>
      <c r="B39" s="2263">
        <v>2.9743516263074936E-10</v>
      </c>
      <c r="C39" s="420">
        <f t="shared" si="0"/>
        <v>2.9743516263074936E-10</v>
      </c>
      <c r="D39" s="1253"/>
      <c r="E39" s="3244"/>
    </row>
    <row r="40" spans="1:5" s="17" customFormat="1">
      <c r="A40" s="2260">
        <v>1971.07</v>
      </c>
      <c r="B40" s="2263">
        <v>3.1023069207622871E-10</v>
      </c>
      <c r="C40" s="420">
        <f t="shared" si="0"/>
        <v>3.1023069207622871E-10</v>
      </c>
      <c r="D40" s="1253"/>
      <c r="E40" s="3244"/>
    </row>
    <row r="41" spans="1:5" s="17" customFormat="1">
      <c r="A41" s="2260">
        <v>1971.08</v>
      </c>
      <c r="B41" s="2263">
        <v>3.183598414290491E-10</v>
      </c>
      <c r="C41" s="420">
        <f t="shared" si="0"/>
        <v>3.183598414290491E-10</v>
      </c>
      <c r="D41" s="1253"/>
      <c r="E41" s="3244"/>
    </row>
    <row r="42" spans="1:5" s="17" customFormat="1">
      <c r="A42" s="2260">
        <v>1971.09</v>
      </c>
      <c r="B42" s="2263">
        <v>3.2123513397334857E-10</v>
      </c>
      <c r="C42" s="420">
        <f t="shared" si="0"/>
        <v>3.2123513397334857E-10</v>
      </c>
      <c r="D42" s="1253"/>
      <c r="E42" s="3244"/>
    </row>
    <row r="43" spans="1:5" s="17" customFormat="1">
      <c r="A43" s="2260">
        <v>1971.1</v>
      </c>
      <c r="B43" s="2263">
        <v>3.2454028752925442E-10</v>
      </c>
      <c r="C43" s="420">
        <f t="shared" si="0"/>
        <v>3.2454028752925442E-10</v>
      </c>
      <c r="D43" s="1253"/>
      <c r="E43" s="3244"/>
    </row>
    <row r="44" spans="1:5" s="17" customFormat="1">
      <c r="A44" s="2260">
        <v>1971.11</v>
      </c>
      <c r="B44" s="2263">
        <v>3.3330467593255956E-10</v>
      </c>
      <c r="C44" s="420">
        <f t="shared" si="0"/>
        <v>3.3330467593255956E-10</v>
      </c>
      <c r="D44" s="1253"/>
      <c r="E44" s="3244"/>
    </row>
    <row r="45" spans="1:5" s="17" customFormat="1">
      <c r="A45" s="2260">
        <v>1971.12</v>
      </c>
      <c r="B45" s="2263">
        <v>3.7287099393418348E-10</v>
      </c>
      <c r="C45" s="420">
        <f t="shared" si="0"/>
        <v>3.7287099393418348E-10</v>
      </c>
      <c r="D45" s="1253"/>
      <c r="E45" s="3244"/>
    </row>
    <row r="46" spans="1:5" s="17" customFormat="1">
      <c r="A46" s="2260">
        <v>1972.01</v>
      </c>
      <c r="B46" s="2263">
        <v>3.9230548789224819E-10</v>
      </c>
      <c r="C46" s="420">
        <f t="shared" si="0"/>
        <v>3.9230548789224819E-10</v>
      </c>
      <c r="D46" s="1253"/>
      <c r="E46" s="3244"/>
    </row>
    <row r="47" spans="1:5" s="17" customFormat="1">
      <c r="A47" s="2260">
        <v>1972.02</v>
      </c>
      <c r="B47" s="2263">
        <v>4.0648134880832974E-10</v>
      </c>
      <c r="C47" s="420">
        <f t="shared" si="0"/>
        <v>4.0648134880832974E-10</v>
      </c>
      <c r="D47" s="1253"/>
      <c r="E47" s="3244"/>
    </row>
    <row r="48" spans="1:5" s="17" customFormat="1">
      <c r="A48" s="2260">
        <v>1972.03</v>
      </c>
      <c r="B48" s="2263">
        <v>4.2367578927257963E-10</v>
      </c>
      <c r="C48" s="420">
        <f t="shared" si="0"/>
        <v>4.2367578927257963E-10</v>
      </c>
      <c r="D48" s="1253"/>
      <c r="E48" s="3244"/>
    </row>
    <row r="49" spans="1:5" s="17" customFormat="1">
      <c r="A49" s="2260">
        <v>1972.04</v>
      </c>
      <c r="B49" s="2263">
        <v>4.443377752304533E-10</v>
      </c>
      <c r="C49" s="420">
        <f t="shared" si="0"/>
        <v>4.443377752304533E-10</v>
      </c>
      <c r="D49" s="1253"/>
      <c r="E49" s="3244"/>
    </row>
    <row r="50" spans="1:5" s="17" customFormat="1">
      <c r="A50" s="2260">
        <v>1972.05</v>
      </c>
      <c r="B50" s="2263">
        <v>4.5147824425657925E-10</v>
      </c>
      <c r="C50" s="420">
        <f t="shared" si="0"/>
        <v>4.5147824425657925E-10</v>
      </c>
      <c r="D50" s="1253"/>
      <c r="E50" s="3244"/>
    </row>
    <row r="51" spans="1:5" s="17" customFormat="1">
      <c r="A51" s="2260">
        <v>1972.06</v>
      </c>
      <c r="B51" s="2263">
        <v>4.7630032956010889E-10</v>
      </c>
      <c r="C51" s="420">
        <f t="shared" si="0"/>
        <v>4.7630032956010889E-10</v>
      </c>
      <c r="D51" s="1253"/>
      <c r="E51" s="3244"/>
    </row>
    <row r="52" spans="1:5" s="17" customFormat="1">
      <c r="A52" s="2260">
        <v>1972.07</v>
      </c>
      <c r="B52" s="2263">
        <v>4.9993790896499029E-10</v>
      </c>
      <c r="C52" s="420">
        <f t="shared" si="0"/>
        <v>4.9993790896499029E-10</v>
      </c>
      <c r="D52" s="1253"/>
      <c r="E52" s="3244"/>
    </row>
    <row r="53" spans="1:5" s="17" customFormat="1">
      <c r="A53" s="2260">
        <v>1972.08</v>
      </c>
      <c r="B53" s="2263">
        <v>4.9930744614796766E-10</v>
      </c>
      <c r="C53" s="420">
        <f t="shared" si="0"/>
        <v>4.9930744614796766E-10</v>
      </c>
      <c r="D53" s="1253"/>
      <c r="E53" s="3244"/>
    </row>
    <row r="54" spans="1:5" s="17" customFormat="1">
      <c r="A54" s="2260">
        <v>1972.09</v>
      </c>
      <c r="B54" s="2263">
        <v>5.1153938004489668E-10</v>
      </c>
      <c r="C54" s="420">
        <f t="shared" si="0"/>
        <v>5.1153938004489668E-10</v>
      </c>
      <c r="D54" s="1253"/>
      <c r="E54" s="3244"/>
    </row>
    <row r="55" spans="1:5" s="17" customFormat="1">
      <c r="A55" s="2260">
        <v>1972.1</v>
      </c>
      <c r="B55" s="2263">
        <v>5.3629937431341632E-10</v>
      </c>
      <c r="C55" s="420">
        <f t="shared" si="0"/>
        <v>5.3629937431341632E-10</v>
      </c>
      <c r="D55" s="1253"/>
      <c r="E55" s="3244"/>
    </row>
    <row r="56" spans="1:5" s="17" customFormat="1">
      <c r="A56" s="2260">
        <v>1972.11</v>
      </c>
      <c r="B56" s="2263">
        <v>5.624444762860009E-10</v>
      </c>
      <c r="C56" s="420">
        <f t="shared" si="0"/>
        <v>5.624444762860009E-10</v>
      </c>
      <c r="D56" s="1253"/>
      <c r="E56" s="3244"/>
    </row>
    <row r="57" spans="1:5" s="17" customFormat="1">
      <c r="A57" s="2260">
        <v>1972.12</v>
      </c>
      <c r="B57" s="2263">
        <v>6.1206476572574871E-10</v>
      </c>
      <c r="C57" s="420">
        <f t="shared" si="0"/>
        <v>6.1206476572574871E-10</v>
      </c>
      <c r="D57" s="1253"/>
      <c r="E57" s="3244"/>
    </row>
    <row r="58" spans="1:5" s="17" customFormat="1">
      <c r="A58" s="2260">
        <v>1973.01</v>
      </c>
      <c r="B58" s="2263">
        <v>6.403591727563644E-10</v>
      </c>
      <c r="C58" s="420">
        <f t="shared" si="0"/>
        <v>6.403591727563644E-10</v>
      </c>
      <c r="D58" s="1253"/>
      <c r="E58" s="3244"/>
    </row>
    <row r="59" spans="1:5" s="17" customFormat="1">
      <c r="A59" s="2260">
        <v>1973.02</v>
      </c>
      <c r="B59" s="2263">
        <v>6.8881883746477529E-10</v>
      </c>
      <c r="C59" s="420">
        <f t="shared" si="0"/>
        <v>6.8881883746477529E-10</v>
      </c>
      <c r="D59" s="1253"/>
      <c r="E59" s="3244"/>
    </row>
    <row r="60" spans="1:5" s="17" customFormat="1">
      <c r="A60" s="2260">
        <v>1973.03</v>
      </c>
      <c r="B60" s="2263">
        <v>7.4799159382910629E-10</v>
      </c>
      <c r="C60" s="420">
        <f t="shared" si="0"/>
        <v>7.4799159382910629E-10</v>
      </c>
      <c r="D60" s="1253"/>
      <c r="E60" s="3244"/>
    </row>
    <row r="61" spans="1:5" s="17" customFormat="1">
      <c r="A61" s="2260">
        <v>1973.04</v>
      </c>
      <c r="B61" s="2263">
        <v>7.814061231312987E-10</v>
      </c>
      <c r="C61" s="420">
        <f t="shared" si="0"/>
        <v>7.814061231312987E-10</v>
      </c>
      <c r="D61" s="1253"/>
      <c r="E61" s="3244"/>
    </row>
    <row r="62" spans="1:5" s="17" customFormat="1">
      <c r="A62" s="2260">
        <v>1973.05</v>
      </c>
      <c r="B62" s="2263">
        <v>8.0844915699479381E-10</v>
      </c>
      <c r="C62" s="420">
        <f t="shared" si="0"/>
        <v>8.0844915699479381E-10</v>
      </c>
      <c r="D62" s="1253"/>
      <c r="E62" s="3244"/>
    </row>
    <row r="63" spans="1:5" s="17" customFormat="1">
      <c r="A63" s="2260">
        <v>1973.06</v>
      </c>
      <c r="B63" s="2263">
        <v>7.8471605292066683E-10</v>
      </c>
      <c r="C63" s="420">
        <f t="shared" si="0"/>
        <v>7.8471605292066683E-10</v>
      </c>
      <c r="D63" s="1253"/>
      <c r="E63" s="3244"/>
    </row>
    <row r="64" spans="1:5" s="17" customFormat="1">
      <c r="A64" s="2260">
        <v>1973.07</v>
      </c>
      <c r="B64" s="2263">
        <v>7.8464918565219455E-10</v>
      </c>
      <c r="C64" s="420">
        <f t="shared" si="0"/>
        <v>7.8464918565219455E-10</v>
      </c>
      <c r="D64" s="1253"/>
      <c r="E64" s="3244"/>
    </row>
    <row r="65" spans="1:5" s="17" customFormat="1">
      <c r="A65" s="2260">
        <v>1973.08</v>
      </c>
      <c r="B65" s="2263">
        <v>7.9092993265510819E-10</v>
      </c>
      <c r="C65" s="420">
        <f t="shared" si="0"/>
        <v>7.9092993265510819E-10</v>
      </c>
      <c r="D65" s="1253"/>
      <c r="E65" s="3244"/>
    </row>
    <row r="66" spans="1:5" s="17" customFormat="1">
      <c r="A66" s="2260">
        <v>1973.09</v>
      </c>
      <c r="B66" s="2263">
        <v>7.9506137459999041E-10</v>
      </c>
      <c r="C66" s="420">
        <f t="shared" si="0"/>
        <v>7.9506137459999041E-10</v>
      </c>
      <c r="D66" s="1253"/>
      <c r="E66" s="3244"/>
    </row>
    <row r="67" spans="1:5" s="17" customFormat="1">
      <c r="A67" s="2260">
        <v>1973.1</v>
      </c>
      <c r="B67" s="2263">
        <v>8.0738883316616511E-10</v>
      </c>
      <c r="C67" s="420">
        <f t="shared" si="0"/>
        <v>8.0738883316616511E-10</v>
      </c>
      <c r="D67" s="1253"/>
      <c r="E67" s="3244"/>
    </row>
    <row r="68" spans="1:5" s="17" customFormat="1">
      <c r="A68" s="2260">
        <v>1973.11</v>
      </c>
      <c r="B68" s="2263">
        <v>8.1380331470602281E-10</v>
      </c>
      <c r="C68" s="420">
        <f t="shared" si="0"/>
        <v>8.1380331470602281E-10</v>
      </c>
      <c r="D68" s="1253"/>
      <c r="E68" s="3244"/>
    </row>
    <row r="69" spans="1:5" s="17" customFormat="1">
      <c r="A69" s="2260">
        <v>1973.12</v>
      </c>
      <c r="B69" s="2263">
        <v>8.7994459569183738E-10</v>
      </c>
      <c r="C69" s="420">
        <f t="shared" si="0"/>
        <v>8.7994459569183738E-10</v>
      </c>
      <c r="D69" s="1253"/>
      <c r="E69" s="3244"/>
    </row>
    <row r="70" spans="1:5">
      <c r="A70" s="2260">
        <v>1974.01</v>
      </c>
      <c r="B70" s="2263">
        <v>8.2960787123274594E-10</v>
      </c>
      <c r="C70" s="420">
        <f t="shared" si="0"/>
        <v>8.2960787123274594E-10</v>
      </c>
      <c r="D70" s="1253"/>
      <c r="E70" s="3244"/>
    </row>
    <row r="71" spans="1:5">
      <c r="A71" s="2260">
        <v>1974.02</v>
      </c>
      <c r="B71" s="2263">
        <v>8.4259445001671686E-10</v>
      </c>
      <c r="C71" s="420">
        <f t="shared" si="0"/>
        <v>8.4259445001671686E-10</v>
      </c>
      <c r="D71" s="1253"/>
      <c r="E71" s="3244"/>
    </row>
    <row r="72" spans="1:5">
      <c r="A72" s="2260">
        <v>1974.03</v>
      </c>
      <c r="B72" s="2263">
        <v>8.5261021158714238E-10</v>
      </c>
      <c r="C72" s="420">
        <f t="shared" si="0"/>
        <v>8.5261021158714238E-10</v>
      </c>
      <c r="D72" s="1253"/>
      <c r="E72" s="3244"/>
    </row>
    <row r="73" spans="1:5">
      <c r="A73" s="2260">
        <v>1974.04</v>
      </c>
      <c r="B73" s="2263">
        <v>8.7680661030711168E-10</v>
      </c>
      <c r="C73" s="420">
        <f t="shared" si="0"/>
        <v>8.7680661030711168E-10</v>
      </c>
      <c r="D73" s="1253"/>
      <c r="E73" s="3244"/>
    </row>
    <row r="74" spans="1:5">
      <c r="A74" s="2260">
        <v>1974.05</v>
      </c>
      <c r="B74" s="2263">
        <v>9.0599417299517598E-10</v>
      </c>
      <c r="C74" s="420">
        <f t="shared" si="0"/>
        <v>9.0599417299517598E-10</v>
      </c>
      <c r="D74" s="1253"/>
      <c r="E74" s="3244"/>
    </row>
    <row r="75" spans="1:5">
      <c r="A75" s="2260">
        <v>1974.06</v>
      </c>
      <c r="B75" s="2263">
        <v>9.4070306156564926E-10</v>
      </c>
      <c r="C75" s="420">
        <f t="shared" si="0"/>
        <v>9.4070306156564926E-10</v>
      </c>
      <c r="D75" s="1253"/>
      <c r="E75" s="3244"/>
    </row>
    <row r="76" spans="1:5">
      <c r="A76" s="2260">
        <v>1974.07</v>
      </c>
      <c r="B76" s="2263">
        <v>9.622964130486699E-10</v>
      </c>
      <c r="C76" s="420">
        <f t="shared" ref="C76:C139" si="1">B76</f>
        <v>9.622964130486699E-10</v>
      </c>
      <c r="D76" s="1253"/>
      <c r="E76" s="3244"/>
    </row>
    <row r="77" spans="1:5">
      <c r="A77" s="2260">
        <v>1974.08</v>
      </c>
      <c r="B77" s="2263">
        <v>9.801738548980275E-10</v>
      </c>
      <c r="C77" s="420">
        <f t="shared" si="1"/>
        <v>9.801738548980275E-10</v>
      </c>
      <c r="D77" s="1253"/>
      <c r="E77" s="3244"/>
    </row>
    <row r="78" spans="1:5">
      <c r="A78" s="2260">
        <v>1974.09</v>
      </c>
      <c r="B78" s="2263">
        <v>1.0125710464727514E-9</v>
      </c>
      <c r="C78" s="420">
        <f t="shared" si="1"/>
        <v>1.0125710464727514E-9</v>
      </c>
      <c r="D78" s="1253"/>
      <c r="E78" s="3244"/>
    </row>
    <row r="79" spans="1:5">
      <c r="A79" s="2260">
        <v>1974.1</v>
      </c>
      <c r="B79" s="2263">
        <v>1.0508477814395567E-9</v>
      </c>
      <c r="C79" s="420">
        <f t="shared" si="1"/>
        <v>1.0508477814395567E-9</v>
      </c>
      <c r="D79" s="1253"/>
      <c r="E79" s="3244"/>
    </row>
    <row r="80" spans="1:5">
      <c r="A80" s="2260">
        <v>1974.11</v>
      </c>
      <c r="B80" s="2263">
        <v>1.094316282179873E-9</v>
      </c>
      <c r="C80" s="420">
        <f t="shared" si="1"/>
        <v>1.094316282179873E-9</v>
      </c>
      <c r="D80" s="1253"/>
      <c r="E80" s="3244"/>
    </row>
    <row r="81" spans="1:5">
      <c r="A81" s="2260">
        <v>1974.12</v>
      </c>
      <c r="B81" s="2263">
        <v>1.2328175001194057E-9</v>
      </c>
      <c r="C81" s="420">
        <f t="shared" si="1"/>
        <v>1.2328175001194057E-9</v>
      </c>
      <c r="D81" s="1253"/>
      <c r="E81" s="3244"/>
    </row>
    <row r="82" spans="1:5">
      <c r="A82" s="2260">
        <v>1975.01</v>
      </c>
      <c r="B82" s="2263">
        <v>1.2684720829154128E-9</v>
      </c>
      <c r="C82" s="420">
        <f t="shared" si="1"/>
        <v>1.2684720829154128E-9</v>
      </c>
      <c r="D82" s="1253"/>
      <c r="E82" s="3244"/>
    </row>
    <row r="83" spans="1:5">
      <c r="A83" s="2260">
        <v>1975.02</v>
      </c>
      <c r="B83" s="2263">
        <v>1.3270287051631083E-9</v>
      </c>
      <c r="C83" s="420">
        <f t="shared" si="1"/>
        <v>1.3270287051631083E-9</v>
      </c>
      <c r="D83" s="1253"/>
      <c r="E83" s="3244"/>
    </row>
    <row r="84" spans="1:5">
      <c r="A84" s="2260">
        <v>1975.03</v>
      </c>
      <c r="B84" s="2263">
        <v>1.4346372450685389E-9</v>
      </c>
      <c r="C84" s="420">
        <f t="shared" si="1"/>
        <v>1.4346372450685389E-9</v>
      </c>
      <c r="D84" s="1253"/>
      <c r="E84" s="3244"/>
    </row>
    <row r="85" spans="1:5">
      <c r="A85" s="2260">
        <v>1975.04</v>
      </c>
      <c r="B85" s="2263">
        <v>1.5737689258250944E-9</v>
      </c>
      <c r="C85" s="420">
        <f t="shared" si="1"/>
        <v>1.5737689258250944E-9</v>
      </c>
      <c r="D85" s="1253"/>
      <c r="E85" s="3244"/>
    </row>
    <row r="86" spans="1:5">
      <c r="A86" s="2260">
        <v>1975.05</v>
      </c>
      <c r="B86" s="2263">
        <v>1.6350002388116732E-9</v>
      </c>
      <c r="C86" s="420">
        <f t="shared" si="1"/>
        <v>1.6350002388116732E-9</v>
      </c>
      <c r="D86" s="1253"/>
      <c r="E86" s="3244"/>
    </row>
    <row r="87" spans="1:5">
      <c r="A87" s="2260">
        <v>1975.06</v>
      </c>
      <c r="B87" s="2263">
        <v>1.980656254477719E-9</v>
      </c>
      <c r="C87" s="420">
        <f t="shared" si="1"/>
        <v>1.980656254477719E-9</v>
      </c>
      <c r="D87" s="1253"/>
      <c r="E87" s="3244"/>
    </row>
    <row r="88" spans="1:5">
      <c r="A88" s="2260">
        <v>1975.07</v>
      </c>
      <c r="B88" s="2263">
        <v>2.6685771600515835E-9</v>
      </c>
      <c r="C88" s="420">
        <f t="shared" si="1"/>
        <v>2.6685771600515835E-9</v>
      </c>
      <c r="D88" s="1253"/>
      <c r="E88" s="3244"/>
    </row>
    <row r="89" spans="1:5">
      <c r="A89" s="2260">
        <v>1975.08</v>
      </c>
      <c r="B89" s="2263">
        <v>3.2682810335769217E-9</v>
      </c>
      <c r="C89" s="420">
        <f t="shared" si="1"/>
        <v>3.2682810335769217E-9</v>
      </c>
      <c r="D89" s="1253"/>
      <c r="E89" s="3244"/>
    </row>
    <row r="90" spans="1:5">
      <c r="A90" s="2260">
        <v>1975.09</v>
      </c>
      <c r="B90" s="2263">
        <v>3.6214834981133872E-9</v>
      </c>
      <c r="C90" s="420">
        <f t="shared" si="1"/>
        <v>3.6214834981133872E-9</v>
      </c>
      <c r="D90" s="1253"/>
      <c r="E90" s="3244"/>
    </row>
    <row r="91" spans="1:5">
      <c r="A91" s="2260">
        <v>1975.1</v>
      </c>
      <c r="B91" s="2263">
        <v>4.1210297559344705E-9</v>
      </c>
      <c r="C91" s="420">
        <f t="shared" si="1"/>
        <v>4.1210297559344705E-9</v>
      </c>
      <c r="D91" s="1253"/>
      <c r="E91" s="3244"/>
    </row>
    <row r="92" spans="1:5">
      <c r="A92" s="2260">
        <v>1975.11</v>
      </c>
      <c r="B92" s="2263">
        <v>4.4899937908964982E-9</v>
      </c>
      <c r="C92" s="420">
        <f t="shared" si="1"/>
        <v>4.4899937908964982E-9</v>
      </c>
      <c r="D92" s="1253"/>
      <c r="E92" s="3244"/>
    </row>
    <row r="93" spans="1:5">
      <c r="A93" s="2260">
        <v>1975.12</v>
      </c>
      <c r="B93" s="2263">
        <v>5.3622773081148207E-9</v>
      </c>
      <c r="C93" s="420">
        <f t="shared" si="1"/>
        <v>5.3622773081148207E-9</v>
      </c>
      <c r="D93" s="1253"/>
      <c r="E93" s="3244"/>
    </row>
    <row r="94" spans="1:5">
      <c r="A94" s="2260">
        <v>1976.01</v>
      </c>
      <c r="B94" s="2263">
        <v>5.8394707933323781E-9</v>
      </c>
      <c r="C94" s="420">
        <f t="shared" si="1"/>
        <v>5.8394707933323781E-9</v>
      </c>
      <c r="D94" s="1253"/>
      <c r="E94" s="3244"/>
    </row>
    <row r="95" spans="1:5">
      <c r="A95" s="2260">
        <v>1976.02</v>
      </c>
      <c r="B95" s="2263">
        <v>6.9481301045995118E-9</v>
      </c>
      <c r="C95" s="420">
        <f t="shared" si="1"/>
        <v>6.9481301045995118E-9</v>
      </c>
      <c r="D95" s="1253"/>
      <c r="E95" s="3244"/>
    </row>
    <row r="96" spans="1:5">
      <c r="A96" s="2260">
        <v>1976.03</v>
      </c>
      <c r="B96" s="2263">
        <v>9.5585805034150069E-9</v>
      </c>
      <c r="C96" s="420">
        <f t="shared" si="1"/>
        <v>9.5585805034150069E-9</v>
      </c>
      <c r="D96" s="1253"/>
      <c r="E96" s="3244"/>
    </row>
    <row r="97" spans="1:5">
      <c r="A97" s="2260">
        <v>1976.04</v>
      </c>
      <c r="B97" s="2263">
        <v>1.28011654009648E-8</v>
      </c>
      <c r="C97" s="420">
        <f t="shared" si="1"/>
        <v>1.28011654009648E-8</v>
      </c>
      <c r="D97" s="1253"/>
      <c r="E97" s="3244"/>
    </row>
    <row r="98" spans="1:5">
      <c r="A98" s="2260">
        <v>1976.05</v>
      </c>
      <c r="B98" s="2263">
        <v>1.4349094903758893E-8</v>
      </c>
      <c r="C98" s="420">
        <f t="shared" si="1"/>
        <v>1.4349094903758893E-8</v>
      </c>
      <c r="D98" s="1253"/>
      <c r="E98" s="3244"/>
    </row>
    <row r="99" spans="1:5">
      <c r="A99" s="2260">
        <v>1976.06</v>
      </c>
      <c r="B99" s="2263">
        <v>1.474108038400917E-8</v>
      </c>
      <c r="C99" s="420">
        <f t="shared" si="1"/>
        <v>1.474108038400917E-8</v>
      </c>
      <c r="D99" s="1253"/>
      <c r="E99" s="3244"/>
    </row>
    <row r="100" spans="1:5">
      <c r="A100" s="2260">
        <v>1976.07</v>
      </c>
      <c r="B100" s="2263">
        <v>1.53661938195539E-8</v>
      </c>
      <c r="C100" s="420">
        <f t="shared" si="1"/>
        <v>1.53661938195539E-8</v>
      </c>
      <c r="D100" s="1253"/>
      <c r="E100" s="3244"/>
    </row>
    <row r="101" spans="1:5">
      <c r="A101" s="2260">
        <v>1976.08</v>
      </c>
      <c r="B101" s="2263">
        <v>1.6213593160433683E-8</v>
      </c>
      <c r="C101" s="420">
        <f t="shared" si="1"/>
        <v>1.6213593160433683E-8</v>
      </c>
      <c r="D101" s="1253"/>
      <c r="E101" s="3244"/>
    </row>
    <row r="102" spans="1:5">
      <c r="A102" s="2260">
        <v>1976.09</v>
      </c>
      <c r="B102" s="2263">
        <v>1.7925060896976646E-8</v>
      </c>
      <c r="C102" s="420">
        <f t="shared" si="1"/>
        <v>1.7925060896976646E-8</v>
      </c>
      <c r="D102" s="1253"/>
      <c r="E102" s="3244"/>
    </row>
    <row r="103" spans="1:5">
      <c r="A103" s="2260">
        <v>1976.1</v>
      </c>
      <c r="B103" s="2263">
        <v>1.9441515021254241E-8</v>
      </c>
      <c r="C103" s="420">
        <f t="shared" si="1"/>
        <v>1.9441515021254241E-8</v>
      </c>
      <c r="D103" s="1253"/>
      <c r="E103" s="3244"/>
    </row>
    <row r="104" spans="1:5">
      <c r="A104" s="2260">
        <v>1976.11</v>
      </c>
      <c r="B104" s="2263">
        <v>2.0987820604671157E-8</v>
      </c>
      <c r="C104" s="420">
        <f t="shared" si="1"/>
        <v>2.0987820604671157E-8</v>
      </c>
      <c r="D104" s="1253"/>
      <c r="E104" s="3244"/>
    </row>
    <row r="105" spans="1:5">
      <c r="A105" s="2260">
        <v>1976.12</v>
      </c>
      <c r="B105" s="2263">
        <v>2.3998805941634427E-8</v>
      </c>
      <c r="C105" s="420">
        <f t="shared" si="1"/>
        <v>2.3998805941634427E-8</v>
      </c>
      <c r="D105" s="1253"/>
      <c r="E105" s="3244"/>
    </row>
    <row r="106" spans="1:5">
      <c r="A106" s="2260">
        <v>1977.01</v>
      </c>
      <c r="B106" s="2263">
        <v>2.5926493767015328E-8</v>
      </c>
      <c r="C106" s="420">
        <f t="shared" si="1"/>
        <v>2.5926493767015328E-8</v>
      </c>
      <c r="D106" s="1253"/>
      <c r="E106" s="3244"/>
    </row>
    <row r="107" spans="1:5">
      <c r="A107" s="2260">
        <v>1977.02</v>
      </c>
      <c r="B107" s="2263">
        <v>2.8066676219133593E-8</v>
      </c>
      <c r="C107" s="420">
        <f t="shared" si="1"/>
        <v>2.8066676219133593E-8</v>
      </c>
      <c r="D107" s="1253"/>
      <c r="E107" s="3244"/>
    </row>
    <row r="108" spans="1:5">
      <c r="A108" s="2260">
        <v>1977.03</v>
      </c>
      <c r="B108" s="2263">
        <v>3.0184649185652191E-8</v>
      </c>
      <c r="C108" s="420">
        <f t="shared" si="1"/>
        <v>3.0184649185652191E-8</v>
      </c>
      <c r="D108" s="1253"/>
      <c r="E108" s="3244"/>
    </row>
    <row r="109" spans="1:5">
      <c r="A109" s="2260">
        <v>1977.04</v>
      </c>
      <c r="B109" s="2263">
        <v>3.1999044753307536E-8</v>
      </c>
      <c r="C109" s="420">
        <f t="shared" si="1"/>
        <v>3.1999044753307536E-8</v>
      </c>
      <c r="D109" s="1253"/>
      <c r="E109" s="3244"/>
    </row>
    <row r="110" spans="1:5">
      <c r="A110" s="2260">
        <v>1977.05</v>
      </c>
      <c r="B110" s="2263">
        <v>3.4077661556096867E-8</v>
      </c>
      <c r="C110" s="420">
        <f t="shared" si="1"/>
        <v>3.4077661556096867E-8</v>
      </c>
      <c r="D110" s="1253"/>
      <c r="E110" s="3244"/>
    </row>
    <row r="111" spans="1:5">
      <c r="A111" s="2260">
        <v>1977.06</v>
      </c>
      <c r="B111" s="2263">
        <v>3.6683670057792423E-8</v>
      </c>
      <c r="C111" s="420">
        <f t="shared" si="1"/>
        <v>3.6683670057792423E-8</v>
      </c>
      <c r="D111" s="1253"/>
      <c r="E111" s="3244"/>
    </row>
    <row r="112" spans="1:5">
      <c r="A112" s="2260">
        <v>1977.07</v>
      </c>
      <c r="B112" s="2263">
        <v>3.9380474757606152E-8</v>
      </c>
      <c r="C112" s="420">
        <f t="shared" si="1"/>
        <v>3.9380474757606152E-8</v>
      </c>
      <c r="D112" s="1253"/>
      <c r="E112" s="3244"/>
    </row>
    <row r="113" spans="1:5">
      <c r="A113" s="2260">
        <v>1977.08</v>
      </c>
      <c r="B113" s="2263">
        <v>4.3845297798156372E-8</v>
      </c>
      <c r="C113" s="420">
        <f t="shared" si="1"/>
        <v>4.3845297798156372E-8</v>
      </c>
      <c r="D113" s="1253"/>
      <c r="E113" s="3244"/>
    </row>
    <row r="114" spans="1:5">
      <c r="A114" s="2260">
        <v>1977.09</v>
      </c>
      <c r="B114" s="2263">
        <v>4.7483163777045419E-8</v>
      </c>
      <c r="C114" s="420">
        <f t="shared" si="1"/>
        <v>4.7483163777045419E-8</v>
      </c>
      <c r="D114" s="1253"/>
      <c r="E114" s="3244"/>
    </row>
    <row r="115" spans="1:5">
      <c r="A115" s="2260">
        <v>1977.1</v>
      </c>
      <c r="B115" s="2263">
        <v>5.3415389024215495E-8</v>
      </c>
      <c r="C115" s="420">
        <f t="shared" si="1"/>
        <v>5.3415389024215495E-8</v>
      </c>
      <c r="D115" s="1253"/>
      <c r="E115" s="3244"/>
    </row>
    <row r="116" spans="1:5">
      <c r="A116" s="2260">
        <v>1977.11</v>
      </c>
      <c r="B116" s="2263">
        <v>5.8243301332569131E-8</v>
      </c>
      <c r="C116" s="420">
        <f t="shared" si="1"/>
        <v>5.8243301332569131E-8</v>
      </c>
      <c r="D116" s="1253"/>
      <c r="E116" s="3244"/>
    </row>
    <row r="117" spans="1:5">
      <c r="A117" s="2260">
        <v>1977.12</v>
      </c>
      <c r="B117" s="2263">
        <v>6.2501313464202122E-8</v>
      </c>
      <c r="C117" s="420">
        <f t="shared" si="1"/>
        <v>6.2501313464202122E-8</v>
      </c>
      <c r="D117" s="1253"/>
      <c r="E117" s="3244"/>
    </row>
    <row r="118" spans="1:5">
      <c r="A118" s="2260">
        <v>1978.01</v>
      </c>
      <c r="B118" s="2263">
        <v>7.0850169556287902E-8</v>
      </c>
      <c r="C118" s="420">
        <f t="shared" si="1"/>
        <v>7.0850169556287902E-8</v>
      </c>
      <c r="D118" s="1253"/>
      <c r="E118" s="3244"/>
    </row>
    <row r="119" spans="1:5">
      <c r="A119" s="2260">
        <v>1978.02</v>
      </c>
      <c r="B119" s="2263">
        <v>7.5245737211634897E-8</v>
      </c>
      <c r="C119" s="420">
        <f t="shared" si="1"/>
        <v>7.5245737211634897E-8</v>
      </c>
      <c r="D119" s="1253"/>
      <c r="E119" s="3244"/>
    </row>
    <row r="120" spans="1:5">
      <c r="A120" s="2260">
        <v>1978.03</v>
      </c>
      <c r="B120" s="2263">
        <v>8.2388116731145824E-8</v>
      </c>
      <c r="C120" s="420">
        <f t="shared" si="1"/>
        <v>8.2388116731145824E-8</v>
      </c>
      <c r="D120" s="1253"/>
      <c r="E120" s="3244"/>
    </row>
    <row r="121" spans="1:5">
      <c r="A121" s="2260">
        <v>1978.04</v>
      </c>
      <c r="B121" s="2263">
        <v>9.1512155514161518E-8</v>
      </c>
      <c r="C121" s="420">
        <f t="shared" si="1"/>
        <v>9.1512155514161518E-8</v>
      </c>
      <c r="D121" s="1253"/>
      <c r="E121" s="3244"/>
    </row>
    <row r="122" spans="1:5">
      <c r="A122" s="2260">
        <v>1978.05</v>
      </c>
      <c r="B122" s="2263">
        <v>9.94660170989158E-8</v>
      </c>
      <c r="C122" s="420">
        <f t="shared" si="1"/>
        <v>9.94660170989158E-8</v>
      </c>
      <c r="D122" s="1253"/>
      <c r="E122" s="3244"/>
    </row>
    <row r="123" spans="1:5">
      <c r="A123" s="2260">
        <v>1978.06</v>
      </c>
      <c r="B123" s="2263">
        <v>1.0592252949324163E-7</v>
      </c>
      <c r="C123" s="420">
        <f t="shared" si="1"/>
        <v>1.0592252949324163E-7</v>
      </c>
      <c r="D123" s="1253"/>
      <c r="E123" s="3244"/>
    </row>
    <row r="124" spans="1:5">
      <c r="A124" s="2260">
        <v>1978.07</v>
      </c>
      <c r="B124" s="2263">
        <v>1.1291111429526675E-7</v>
      </c>
      <c r="C124" s="420">
        <f t="shared" si="1"/>
        <v>1.1291111429526675E-7</v>
      </c>
      <c r="D124" s="1253"/>
      <c r="E124" s="3244"/>
    </row>
    <row r="125" spans="1:5">
      <c r="A125" s="2260">
        <v>1978.08</v>
      </c>
      <c r="B125" s="2263">
        <v>1.2172660839661844E-7</v>
      </c>
      <c r="C125" s="420">
        <f t="shared" si="1"/>
        <v>1.2172660839661844E-7</v>
      </c>
      <c r="D125" s="1253"/>
      <c r="E125" s="3244"/>
    </row>
    <row r="126" spans="1:5">
      <c r="A126" s="2260">
        <v>1978.09</v>
      </c>
      <c r="B126" s="2263">
        <v>1.2950709270669151E-7</v>
      </c>
      <c r="C126" s="420">
        <f t="shared" si="1"/>
        <v>1.2950709270669151E-7</v>
      </c>
      <c r="D126" s="1253"/>
      <c r="E126" s="3244"/>
    </row>
    <row r="127" spans="1:5">
      <c r="A127" s="2260">
        <v>1978.1</v>
      </c>
      <c r="B127" s="2263">
        <v>1.4214309595453025E-7</v>
      </c>
      <c r="C127" s="420">
        <f t="shared" si="1"/>
        <v>1.4214309595453025E-7</v>
      </c>
      <c r="D127" s="1253"/>
      <c r="E127" s="3244"/>
    </row>
    <row r="128" spans="1:5">
      <c r="A128" s="2260">
        <v>1978.11</v>
      </c>
      <c r="B128" s="2263">
        <v>1.5464297654869369E-7</v>
      </c>
      <c r="C128" s="420">
        <f t="shared" si="1"/>
        <v>1.5464297654869369E-7</v>
      </c>
      <c r="D128" s="1253"/>
      <c r="E128" s="3244"/>
    </row>
    <row r="129" spans="1:5">
      <c r="A129" s="2260">
        <v>1978.12</v>
      </c>
      <c r="B129" s="2263">
        <v>1.6865644552705738E-7</v>
      </c>
      <c r="C129" s="420">
        <f t="shared" si="1"/>
        <v>1.6865644552705738E-7</v>
      </c>
      <c r="D129" s="1253"/>
      <c r="E129" s="3244"/>
    </row>
    <row r="130" spans="1:5">
      <c r="A130" s="2260">
        <v>1979.01</v>
      </c>
      <c r="B130" s="2263">
        <v>1.9019534794860774E-7</v>
      </c>
      <c r="C130" s="420">
        <f t="shared" si="1"/>
        <v>1.9019534794860774E-7</v>
      </c>
      <c r="D130" s="1253"/>
      <c r="E130" s="3244"/>
    </row>
    <row r="131" spans="1:5">
      <c r="A131" s="2260">
        <v>1979.02</v>
      </c>
      <c r="B131" s="2263">
        <v>2.0435210393084014E-7</v>
      </c>
      <c r="C131" s="420">
        <f t="shared" si="1"/>
        <v>2.0435210393084014E-7</v>
      </c>
      <c r="D131" s="1253"/>
      <c r="E131" s="3244"/>
    </row>
    <row r="132" spans="1:5">
      <c r="A132" s="2260">
        <v>1979.03</v>
      </c>
      <c r="B132" s="2263">
        <v>2.2018913884510675E-7</v>
      </c>
      <c r="C132" s="420">
        <f t="shared" si="1"/>
        <v>2.2018913884510675E-7</v>
      </c>
      <c r="D132" s="1253"/>
      <c r="E132" s="3244"/>
    </row>
    <row r="133" spans="1:5">
      <c r="A133" s="2260">
        <v>1979.04</v>
      </c>
      <c r="B133" s="2263">
        <v>2.3560586521469168E-7</v>
      </c>
      <c r="C133" s="420">
        <f t="shared" si="1"/>
        <v>2.3560586521469168E-7</v>
      </c>
      <c r="D133" s="1253"/>
      <c r="E133" s="3244"/>
    </row>
    <row r="134" spans="1:5">
      <c r="A134" s="2260">
        <v>1979.05</v>
      </c>
      <c r="B134" s="2263">
        <v>2.5191097100826287E-7</v>
      </c>
      <c r="C134" s="420">
        <f t="shared" si="1"/>
        <v>2.5191097100826287E-7</v>
      </c>
      <c r="D134" s="1253"/>
      <c r="E134" s="3244"/>
    </row>
    <row r="135" spans="1:5">
      <c r="A135" s="2260">
        <v>1979.06</v>
      </c>
      <c r="B135" s="2263">
        <v>2.7633376319434491E-7</v>
      </c>
      <c r="C135" s="420">
        <f t="shared" si="1"/>
        <v>2.7633376319434491E-7</v>
      </c>
      <c r="D135" s="1253"/>
      <c r="E135" s="3244"/>
    </row>
    <row r="136" spans="1:5">
      <c r="A136" s="2260">
        <v>1979.07</v>
      </c>
      <c r="B136" s="2263">
        <v>2.9609686201461525E-7</v>
      </c>
      <c r="C136" s="420">
        <f t="shared" si="1"/>
        <v>2.9609686201461525E-7</v>
      </c>
      <c r="D136" s="1253"/>
      <c r="E136" s="3244"/>
    </row>
    <row r="137" spans="1:5">
      <c r="A137" s="2260">
        <v>1979.08</v>
      </c>
      <c r="B137" s="2263">
        <v>3.3000047762334621E-7</v>
      </c>
      <c r="C137" s="420">
        <f t="shared" si="1"/>
        <v>3.3000047762334621E-7</v>
      </c>
      <c r="D137" s="1253"/>
      <c r="E137" s="3244"/>
    </row>
    <row r="138" spans="1:5">
      <c r="A138" s="2260">
        <v>1979.09</v>
      </c>
      <c r="B138" s="2263">
        <v>3.5259062902994697E-7</v>
      </c>
      <c r="C138" s="420">
        <f t="shared" si="1"/>
        <v>3.5259062902994697E-7</v>
      </c>
      <c r="D138" s="1253"/>
      <c r="E138" s="3244"/>
    </row>
    <row r="139" spans="1:5">
      <c r="A139" s="2260">
        <v>1979.1</v>
      </c>
      <c r="B139" s="2263">
        <v>3.6789511391316807E-7</v>
      </c>
      <c r="C139" s="420">
        <f t="shared" si="1"/>
        <v>3.6789511391316807E-7</v>
      </c>
      <c r="D139" s="1253"/>
      <c r="E139" s="3244"/>
    </row>
    <row r="140" spans="1:5">
      <c r="A140" s="2260">
        <v>1979.11</v>
      </c>
      <c r="B140" s="2263">
        <v>3.8680278932034204E-7</v>
      </c>
      <c r="C140" s="420">
        <f t="shared" ref="C140:C203" si="2">B140</f>
        <v>3.8680278932034204E-7</v>
      </c>
      <c r="D140" s="1253"/>
      <c r="E140" s="3244"/>
    </row>
    <row r="141" spans="1:5">
      <c r="A141" s="2260">
        <v>1979.12</v>
      </c>
      <c r="B141" s="2263">
        <v>4.0432917801022115E-7</v>
      </c>
      <c r="C141" s="420">
        <f t="shared" si="2"/>
        <v>4.0432917801022115E-7</v>
      </c>
      <c r="D141" s="1253"/>
      <c r="E141" s="3244"/>
    </row>
    <row r="142" spans="1:5">
      <c r="A142" s="2260">
        <v>1980.01</v>
      </c>
      <c r="B142" s="2263">
        <v>4.3348044132397189E-7</v>
      </c>
      <c r="C142" s="420">
        <f t="shared" si="2"/>
        <v>4.3348044132397189E-7</v>
      </c>
      <c r="D142" s="1253"/>
      <c r="E142" s="3244"/>
    </row>
    <row r="143" spans="1:5">
      <c r="A143" s="2260">
        <v>1980.02</v>
      </c>
      <c r="B143" s="2263">
        <v>4.5665186034293354E-7</v>
      </c>
      <c r="C143" s="420">
        <f t="shared" si="2"/>
        <v>4.5665186034293354E-7</v>
      </c>
      <c r="D143" s="1253"/>
      <c r="E143" s="3244"/>
    </row>
    <row r="144" spans="1:5">
      <c r="A144" s="2260">
        <v>1980.03</v>
      </c>
      <c r="B144" s="2263">
        <v>4.8311935807422264E-7</v>
      </c>
      <c r="C144" s="420">
        <f t="shared" si="2"/>
        <v>4.8311935807422264E-7</v>
      </c>
      <c r="D144" s="1253"/>
      <c r="E144" s="3244"/>
    </row>
    <row r="145" spans="1:5">
      <c r="A145" s="2260">
        <v>1980.04</v>
      </c>
      <c r="B145" s="2263">
        <v>5.1295648851315853E-7</v>
      </c>
      <c r="C145" s="420">
        <f t="shared" si="2"/>
        <v>5.1295648851315853E-7</v>
      </c>
      <c r="D145" s="1253"/>
      <c r="E145" s="3244"/>
    </row>
    <row r="146" spans="1:5">
      <c r="A146" s="2260">
        <v>1980.05</v>
      </c>
      <c r="B146" s="2263">
        <v>5.4262931652099159E-7</v>
      </c>
      <c r="C146" s="420">
        <f t="shared" si="2"/>
        <v>5.4262931652099159E-7</v>
      </c>
      <c r="D146" s="1253"/>
      <c r="E146" s="3244"/>
    </row>
    <row r="147" spans="1:5">
      <c r="A147" s="2260">
        <v>1980.06</v>
      </c>
      <c r="B147" s="2263">
        <v>5.7376367196828577E-7</v>
      </c>
      <c r="C147" s="420">
        <f t="shared" si="2"/>
        <v>5.7376367196828577E-7</v>
      </c>
      <c r="D147" s="1253"/>
      <c r="E147" s="3244"/>
    </row>
    <row r="148" spans="1:5">
      <c r="A148" s="2260">
        <v>1980.07</v>
      </c>
      <c r="B148" s="2263">
        <v>6.000071643501934E-7</v>
      </c>
      <c r="C148" s="420">
        <f t="shared" si="2"/>
        <v>6.000071643501934E-7</v>
      </c>
      <c r="D148" s="1253"/>
      <c r="E148" s="3244"/>
    </row>
    <row r="149" spans="1:5">
      <c r="A149" s="2260">
        <v>1980.08</v>
      </c>
      <c r="B149" s="2263">
        <v>6.2053971438123893E-7</v>
      </c>
      <c r="C149" s="420">
        <f t="shared" si="2"/>
        <v>6.2053971438123893E-7</v>
      </c>
      <c r="D149" s="1253"/>
      <c r="E149" s="3244"/>
    </row>
    <row r="150" spans="1:5">
      <c r="A150" s="2260">
        <v>1980.09</v>
      </c>
      <c r="B150" s="2263">
        <v>6.4873668624922379E-7</v>
      </c>
      <c r="C150" s="420">
        <f t="shared" si="2"/>
        <v>6.4873668624922379E-7</v>
      </c>
      <c r="D150" s="1253"/>
      <c r="E150" s="3244"/>
    </row>
    <row r="151" spans="1:5">
      <c r="A151" s="2260">
        <v>1980.1</v>
      </c>
      <c r="B151" s="2263">
        <v>6.9813726894970628E-7</v>
      </c>
      <c r="C151" s="420">
        <f t="shared" si="2"/>
        <v>6.9813726894970628E-7</v>
      </c>
      <c r="D151" s="1253"/>
      <c r="E151" s="3244"/>
    </row>
    <row r="152" spans="1:5">
      <c r="A152" s="2260">
        <v>1980.11</v>
      </c>
      <c r="B152" s="2263">
        <v>7.3079237713139412E-7</v>
      </c>
      <c r="C152" s="420">
        <f t="shared" si="2"/>
        <v>7.3079237713139412E-7</v>
      </c>
      <c r="D152" s="1253"/>
      <c r="E152" s="3244"/>
    </row>
    <row r="153" spans="1:5">
      <c r="A153" s="2260">
        <v>1980.12</v>
      </c>
      <c r="B153" s="2263">
        <v>7.5866122176051973E-7</v>
      </c>
      <c r="C153" s="420">
        <f t="shared" si="2"/>
        <v>7.5866122176051973E-7</v>
      </c>
      <c r="D153" s="1253"/>
      <c r="E153" s="3244"/>
    </row>
    <row r="154" spans="1:5">
      <c r="A154" s="2260">
        <v>1981.01</v>
      </c>
      <c r="B154" s="2263">
        <v>7.9581601948703246E-7</v>
      </c>
      <c r="C154" s="420">
        <f t="shared" si="2"/>
        <v>7.9581601948703246E-7</v>
      </c>
      <c r="D154" s="1253"/>
      <c r="E154" s="3244"/>
    </row>
    <row r="155" spans="1:5">
      <c r="A155" s="2260">
        <v>1981.02</v>
      </c>
      <c r="B155" s="2263">
        <v>8.2905860438458229E-7</v>
      </c>
      <c r="C155" s="420">
        <f t="shared" si="2"/>
        <v>8.2905860438458229E-7</v>
      </c>
      <c r="D155" s="1253"/>
      <c r="E155" s="3244"/>
    </row>
    <row r="156" spans="1:5">
      <c r="A156" s="2260">
        <v>1981.03</v>
      </c>
      <c r="B156" s="2263">
        <v>8.7873143239241537E-7</v>
      </c>
      <c r="C156" s="420">
        <f t="shared" si="2"/>
        <v>8.7873143239241537E-7</v>
      </c>
      <c r="D156" s="1253"/>
      <c r="E156" s="3244"/>
    </row>
    <row r="157" spans="1:5">
      <c r="A157" s="2260">
        <v>1981.04</v>
      </c>
      <c r="B157" s="2263">
        <v>9.4803457993026689E-7</v>
      </c>
      <c r="C157" s="420">
        <f t="shared" si="2"/>
        <v>9.4803457993026689E-7</v>
      </c>
      <c r="D157" s="1253"/>
      <c r="E157" s="3244"/>
    </row>
    <row r="158" spans="1:5">
      <c r="A158" s="2260">
        <v>1981.05</v>
      </c>
      <c r="B158" s="2263">
        <v>1.0194870325261499E-6</v>
      </c>
      <c r="C158" s="420">
        <f t="shared" si="2"/>
        <v>1.0194870325261499E-6</v>
      </c>
      <c r="D158" s="1253"/>
      <c r="E158" s="3244"/>
    </row>
    <row r="159" spans="1:5">
      <c r="A159" s="2260">
        <v>1981.06</v>
      </c>
      <c r="B159" s="2263">
        <v>1.1150594641066055E-6</v>
      </c>
      <c r="C159" s="420">
        <f t="shared" si="2"/>
        <v>1.1150594641066055E-6</v>
      </c>
      <c r="D159" s="1253"/>
      <c r="E159" s="3244"/>
    </row>
    <row r="160" spans="1:5">
      <c r="A160" s="2260">
        <v>1981.07</v>
      </c>
      <c r="B160" s="2263">
        <v>1.2292592061899985E-6</v>
      </c>
      <c r="C160" s="420">
        <f t="shared" si="2"/>
        <v>1.2292592061899985E-6</v>
      </c>
      <c r="D160" s="1253"/>
      <c r="E160" s="3244"/>
    </row>
    <row r="161" spans="1:5">
      <c r="A161" s="2260">
        <v>1981.08</v>
      </c>
      <c r="B161" s="2263">
        <v>1.3266466064861249E-6</v>
      </c>
      <c r="C161" s="420">
        <f t="shared" si="2"/>
        <v>1.3266466064861249E-6</v>
      </c>
      <c r="D161" s="1253"/>
      <c r="E161" s="3244"/>
    </row>
    <row r="162" spans="1:5">
      <c r="A162" s="2260">
        <v>1981.09</v>
      </c>
      <c r="B162" s="2263">
        <v>1.4214548407126141E-6</v>
      </c>
      <c r="C162" s="420">
        <f t="shared" si="2"/>
        <v>1.4214548407126141E-6</v>
      </c>
      <c r="D162" s="1253"/>
      <c r="E162" s="3244"/>
    </row>
    <row r="163" spans="1:5">
      <c r="A163" s="2260">
        <v>1981.1</v>
      </c>
      <c r="B163" s="2263">
        <v>1.5042269666141278E-6</v>
      </c>
      <c r="C163" s="420">
        <f t="shared" si="2"/>
        <v>1.5042269666141278E-6</v>
      </c>
      <c r="D163" s="1253"/>
      <c r="E163" s="3244"/>
    </row>
    <row r="164" spans="1:5">
      <c r="A164" s="2260">
        <v>1981.11</v>
      </c>
      <c r="B164" s="2263">
        <v>1.612647466208148E-6</v>
      </c>
      <c r="C164" s="420">
        <f t="shared" si="2"/>
        <v>1.612647466208148E-6</v>
      </c>
      <c r="D164" s="1253"/>
      <c r="E164" s="3244"/>
    </row>
    <row r="165" spans="1:5">
      <c r="A165" s="2260">
        <v>1981.12</v>
      </c>
      <c r="B165" s="2263">
        <v>1.7545971247074555E-6</v>
      </c>
      <c r="C165" s="420">
        <f t="shared" si="2"/>
        <v>1.7545971247074555E-6</v>
      </c>
      <c r="D165" s="1253"/>
      <c r="E165" s="3244"/>
    </row>
    <row r="166" spans="1:5">
      <c r="A166" s="2260">
        <v>1982.01</v>
      </c>
      <c r="B166" s="2263">
        <v>1.9637961503558292E-6</v>
      </c>
      <c r="C166" s="420">
        <f t="shared" si="2"/>
        <v>1.9637961503558292E-6</v>
      </c>
      <c r="D166" s="1253"/>
      <c r="E166" s="3244"/>
    </row>
    <row r="167" spans="1:5">
      <c r="A167" s="2260">
        <v>1982.02</v>
      </c>
      <c r="B167" s="2263">
        <v>2.0675837034914267E-6</v>
      </c>
      <c r="C167" s="420">
        <f t="shared" si="2"/>
        <v>2.0675837034914267E-6</v>
      </c>
      <c r="D167" s="1253"/>
      <c r="E167" s="3244"/>
    </row>
    <row r="168" spans="1:5">
      <c r="A168" s="2260">
        <v>1982.03</v>
      </c>
      <c r="B168" s="2263">
        <v>2.1650666284567988E-6</v>
      </c>
      <c r="C168" s="420">
        <f t="shared" si="2"/>
        <v>2.1650666284567988E-6</v>
      </c>
      <c r="D168" s="1253"/>
      <c r="E168" s="3244"/>
    </row>
    <row r="169" spans="1:5">
      <c r="A169" s="2260">
        <v>1982.04</v>
      </c>
      <c r="B169" s="2263">
        <v>2.255767301905717E-6</v>
      </c>
      <c r="C169" s="420">
        <f t="shared" si="2"/>
        <v>2.255767301905717E-6</v>
      </c>
      <c r="D169" s="1253"/>
      <c r="E169" s="3244"/>
    </row>
    <row r="170" spans="1:5">
      <c r="A170" s="2260">
        <v>1982.05</v>
      </c>
      <c r="B170" s="2263">
        <v>2.3247838754358313E-6</v>
      </c>
      <c r="C170" s="420">
        <f t="shared" si="2"/>
        <v>2.3247838754358313E-6</v>
      </c>
      <c r="D170" s="1253"/>
      <c r="E170" s="3244"/>
    </row>
    <row r="171" spans="1:5">
      <c r="A171" s="2260">
        <v>1982.06</v>
      </c>
      <c r="B171" s="2263">
        <v>2.5083345273916991E-6</v>
      </c>
      <c r="C171" s="420">
        <f t="shared" si="2"/>
        <v>2.5083345273916991E-6</v>
      </c>
      <c r="D171" s="1253"/>
      <c r="E171" s="3244"/>
    </row>
    <row r="172" spans="1:5">
      <c r="A172" s="2260">
        <v>1982.07</v>
      </c>
      <c r="B172" s="2263">
        <v>2.9161771027367817E-6</v>
      </c>
      <c r="C172" s="420">
        <f t="shared" si="2"/>
        <v>2.9161771027367817E-6</v>
      </c>
      <c r="D172" s="1253"/>
      <c r="E172" s="3244"/>
    </row>
    <row r="173" spans="1:5">
      <c r="A173" s="2260">
        <v>1982.08</v>
      </c>
      <c r="B173" s="2263">
        <v>3.3445574819697184E-6</v>
      </c>
      <c r="C173" s="420">
        <f t="shared" si="2"/>
        <v>3.3445574819697184E-6</v>
      </c>
      <c r="D173" s="1253"/>
      <c r="E173" s="3244"/>
    </row>
    <row r="174" spans="1:5">
      <c r="A174" s="2260">
        <v>1982.09</v>
      </c>
      <c r="B174" s="2263">
        <v>3.9153651430481912E-6</v>
      </c>
      <c r="C174" s="420">
        <f t="shared" si="2"/>
        <v>3.9153651430481912E-6</v>
      </c>
      <c r="D174" s="1253"/>
      <c r="E174" s="3244"/>
    </row>
    <row r="175" spans="1:5">
      <c r="A175" s="2260">
        <v>1982.1</v>
      </c>
      <c r="B175" s="2263">
        <v>4.4121889477957677E-6</v>
      </c>
      <c r="C175" s="420">
        <f t="shared" si="2"/>
        <v>4.4121889477957677E-6</v>
      </c>
      <c r="D175" s="1253"/>
      <c r="E175" s="3244"/>
    </row>
    <row r="176" spans="1:5">
      <c r="A176" s="2260">
        <v>1982.11</v>
      </c>
      <c r="B176" s="2263">
        <v>4.9127382146439317E-6</v>
      </c>
      <c r="C176" s="420">
        <f t="shared" si="2"/>
        <v>4.9127382146439317E-6</v>
      </c>
      <c r="D176" s="1253"/>
      <c r="E176" s="3244"/>
    </row>
    <row r="177" spans="1:5">
      <c r="A177" s="2260">
        <v>1982.12</v>
      </c>
      <c r="B177" s="2263">
        <v>5.4344939580646698E-6</v>
      </c>
      <c r="C177" s="420">
        <f t="shared" si="2"/>
        <v>5.4344939580646698E-6</v>
      </c>
      <c r="D177" s="1253"/>
      <c r="E177" s="3244"/>
    </row>
    <row r="178" spans="1:5">
      <c r="A178" s="2260">
        <v>1983.01</v>
      </c>
      <c r="B178" s="2263">
        <v>6.302908726178535E-6</v>
      </c>
      <c r="C178" s="420">
        <f t="shared" si="2"/>
        <v>6.302908726178535E-6</v>
      </c>
      <c r="D178" s="1253"/>
      <c r="E178" s="3244"/>
    </row>
    <row r="179" spans="1:5">
      <c r="A179" s="2260">
        <v>1983.02</v>
      </c>
      <c r="B179" s="2263">
        <v>7.1245164063619428E-6</v>
      </c>
      <c r="C179" s="420">
        <f t="shared" si="2"/>
        <v>7.1245164063619428E-6</v>
      </c>
      <c r="D179" s="1253"/>
      <c r="E179" s="3244"/>
    </row>
    <row r="180" spans="1:5">
      <c r="A180" s="2260">
        <v>1983.03</v>
      </c>
      <c r="B180" s="2263">
        <v>7.9267325786884447E-6</v>
      </c>
      <c r="C180" s="420">
        <f t="shared" si="2"/>
        <v>7.9267325786884447E-6</v>
      </c>
      <c r="D180" s="1253"/>
      <c r="E180" s="3244"/>
    </row>
    <row r="181" spans="1:5">
      <c r="A181" s="2260">
        <v>1983.04</v>
      </c>
      <c r="B181" s="2263">
        <v>8.7408893346706774E-6</v>
      </c>
      <c r="C181" s="420">
        <f t="shared" si="2"/>
        <v>8.7408893346706774E-6</v>
      </c>
      <c r="D181" s="1253"/>
      <c r="E181" s="3244"/>
    </row>
    <row r="182" spans="1:5">
      <c r="A182" s="2260">
        <v>1983.05</v>
      </c>
      <c r="B182" s="2263">
        <v>9.5326455557147613E-6</v>
      </c>
      <c r="C182" s="420">
        <f t="shared" si="2"/>
        <v>9.5326455557147613E-6</v>
      </c>
      <c r="D182" s="1253"/>
      <c r="E182" s="3244"/>
    </row>
    <row r="183" spans="1:5">
      <c r="A183" s="2260">
        <v>1983.06</v>
      </c>
      <c r="B183" s="2263">
        <v>1.1041648755791184E-5</v>
      </c>
      <c r="C183" s="420">
        <f t="shared" si="2"/>
        <v>1.1041648755791184E-5</v>
      </c>
      <c r="D183" s="1253"/>
      <c r="E183" s="3244"/>
    </row>
    <row r="184" spans="1:5">
      <c r="A184" s="2260">
        <v>1983.07</v>
      </c>
      <c r="B184" s="2263">
        <v>1.2416439795577209E-5</v>
      </c>
      <c r="C184" s="420">
        <f t="shared" si="2"/>
        <v>1.2416439795577209E-5</v>
      </c>
      <c r="D184" s="1253"/>
      <c r="E184" s="3244"/>
    </row>
    <row r="185" spans="1:5">
      <c r="A185" s="2260">
        <v>1983.08</v>
      </c>
      <c r="B185" s="2263">
        <v>1.4557673019057173E-5</v>
      </c>
      <c r="C185" s="420">
        <f t="shared" si="2"/>
        <v>1.4557673019057173E-5</v>
      </c>
      <c r="D185" s="1253"/>
      <c r="E185" s="3244"/>
    </row>
    <row r="186" spans="1:5">
      <c r="A186" s="2260">
        <v>1983.09</v>
      </c>
      <c r="B186" s="2263">
        <v>1.7668147299039977E-5</v>
      </c>
      <c r="C186" s="420">
        <f t="shared" si="2"/>
        <v>1.7668147299039977E-5</v>
      </c>
      <c r="D186" s="1253"/>
      <c r="E186" s="3244"/>
    </row>
    <row r="187" spans="1:5">
      <c r="A187" s="2260">
        <v>1983.1</v>
      </c>
      <c r="B187" s="2263">
        <v>2.0666762191335909E-5</v>
      </c>
      <c r="C187" s="420">
        <f t="shared" si="2"/>
        <v>2.0666762191335909E-5</v>
      </c>
      <c r="D187" s="1253"/>
      <c r="E187" s="3244"/>
    </row>
    <row r="188" spans="1:5">
      <c r="A188" s="2260">
        <v>1983.11</v>
      </c>
      <c r="B188" s="2263">
        <v>2.4642069064335867E-5</v>
      </c>
      <c r="C188" s="420">
        <f t="shared" si="2"/>
        <v>2.4642069064335867E-5</v>
      </c>
      <c r="D188" s="1253"/>
      <c r="E188" s="3244"/>
    </row>
    <row r="189" spans="1:5">
      <c r="A189" s="2260">
        <v>1983.12</v>
      </c>
      <c r="B189" s="2263">
        <v>2.9003534412762093E-5</v>
      </c>
      <c r="C189" s="420">
        <f t="shared" si="2"/>
        <v>2.9003534412762093E-5</v>
      </c>
      <c r="D189" s="1253"/>
      <c r="E189" s="3244"/>
    </row>
    <row r="190" spans="1:5">
      <c r="A190" s="2260">
        <v>1984.01</v>
      </c>
      <c r="B190" s="2263">
        <v>3.2640301857954816E-5</v>
      </c>
      <c r="C190" s="420">
        <f t="shared" si="2"/>
        <v>3.2640301857954816E-5</v>
      </c>
      <c r="D190" s="1253"/>
      <c r="E190" s="3244"/>
    </row>
    <row r="191" spans="1:5">
      <c r="A191" s="2260">
        <v>1984.02</v>
      </c>
      <c r="B191" s="2263">
        <v>3.8172613077327213E-5</v>
      </c>
      <c r="C191" s="420">
        <f t="shared" si="2"/>
        <v>3.8172613077327213E-5</v>
      </c>
      <c r="D191" s="1253"/>
      <c r="E191" s="3244"/>
    </row>
    <row r="192" spans="1:5">
      <c r="A192" s="2260">
        <v>1984.03</v>
      </c>
      <c r="B192" s="2263">
        <v>4.5911066532932126E-5</v>
      </c>
      <c r="C192" s="420">
        <f t="shared" si="2"/>
        <v>4.5911066532932126E-5</v>
      </c>
      <c r="D192" s="1253"/>
      <c r="E192" s="3244"/>
    </row>
    <row r="193" spans="1:5">
      <c r="A193" s="2260">
        <v>1984.04</v>
      </c>
      <c r="B193" s="2263">
        <v>5.4410373979080101E-5</v>
      </c>
      <c r="C193" s="420">
        <f t="shared" si="2"/>
        <v>5.4410373979080101E-5</v>
      </c>
      <c r="D193" s="1253"/>
      <c r="E193" s="3244"/>
    </row>
    <row r="194" spans="1:5">
      <c r="A194" s="2260">
        <v>1984.05</v>
      </c>
      <c r="B194" s="2263">
        <v>6.3700148063237333E-5</v>
      </c>
      <c r="C194" s="420">
        <f t="shared" si="2"/>
        <v>6.3700148063237333E-5</v>
      </c>
      <c r="D194" s="1253"/>
      <c r="E194" s="3244"/>
    </row>
    <row r="195" spans="1:5">
      <c r="A195" s="2260">
        <v>1984.06</v>
      </c>
      <c r="B195" s="2263">
        <v>7.510722644122845E-5</v>
      </c>
      <c r="C195" s="420">
        <f t="shared" si="2"/>
        <v>7.510722644122845E-5</v>
      </c>
      <c r="D195" s="1253"/>
      <c r="E195" s="3244"/>
    </row>
    <row r="196" spans="1:5">
      <c r="A196" s="2260">
        <v>1984.07</v>
      </c>
      <c r="B196" s="2263">
        <v>8.8840330515355586E-5</v>
      </c>
      <c r="C196" s="420">
        <f t="shared" si="2"/>
        <v>8.8840330515355586E-5</v>
      </c>
      <c r="D196" s="1253"/>
      <c r="E196" s="3244"/>
    </row>
    <row r="197" spans="1:5">
      <c r="A197" s="2260">
        <v>1984.08</v>
      </c>
      <c r="B197" s="2263">
        <v>1.0913406887328653E-4</v>
      </c>
      <c r="C197" s="420">
        <f t="shared" si="2"/>
        <v>1.0913406887328653E-4</v>
      </c>
      <c r="D197" s="1253"/>
      <c r="E197" s="3244"/>
    </row>
    <row r="198" spans="1:5">
      <c r="A198" s="2260">
        <v>1984.09</v>
      </c>
      <c r="B198" s="2263">
        <v>1.3919520466160388E-4</v>
      </c>
      <c r="C198" s="420">
        <f t="shared" si="2"/>
        <v>1.3919520466160388E-4</v>
      </c>
      <c r="D198" s="1253"/>
      <c r="E198" s="3244"/>
    </row>
    <row r="199" spans="1:5">
      <c r="A199" s="2260">
        <v>1984.1</v>
      </c>
      <c r="B199" s="2263">
        <v>1.6609447389788411E-4</v>
      </c>
      <c r="C199" s="420">
        <f t="shared" si="2"/>
        <v>1.6609447389788411E-4</v>
      </c>
      <c r="D199" s="1253"/>
      <c r="E199" s="3244"/>
    </row>
    <row r="200" spans="1:5">
      <c r="A200" s="2260">
        <v>1984.11</v>
      </c>
      <c r="B200" s="2263">
        <v>1.909662320294216E-4</v>
      </c>
      <c r="C200" s="420">
        <f t="shared" si="2"/>
        <v>1.909662320294216E-4</v>
      </c>
      <c r="D200" s="1253"/>
      <c r="E200" s="3244"/>
    </row>
    <row r="201" spans="1:5">
      <c r="A201" s="2260">
        <v>1984.12</v>
      </c>
      <c r="B201" s="2263">
        <v>2.2854229354730857E-4</v>
      </c>
      <c r="C201" s="420">
        <f t="shared" si="2"/>
        <v>2.2854229354730857E-4</v>
      </c>
      <c r="D201" s="1253"/>
      <c r="E201" s="3244"/>
    </row>
    <row r="202" spans="1:5">
      <c r="A202" s="2260">
        <v>1985.01</v>
      </c>
      <c r="B202" s="2263">
        <v>2.859960834885609E-4</v>
      </c>
      <c r="C202" s="420">
        <f t="shared" si="2"/>
        <v>2.859960834885609E-4</v>
      </c>
      <c r="D202" s="1253"/>
      <c r="E202" s="3244"/>
    </row>
    <row r="203" spans="1:5">
      <c r="A203" s="2260">
        <v>1985.02</v>
      </c>
      <c r="B203" s="2263">
        <v>3.4519272102020342E-4</v>
      </c>
      <c r="C203" s="420">
        <f t="shared" si="2"/>
        <v>3.4519272102020342E-4</v>
      </c>
      <c r="D203" s="1253"/>
      <c r="E203" s="3244"/>
    </row>
    <row r="204" spans="1:5">
      <c r="A204" s="2260">
        <v>1985.03</v>
      </c>
      <c r="B204" s="2263">
        <v>4.3659550078807856E-4</v>
      </c>
      <c r="C204" s="420">
        <f t="shared" ref="C204:C267" si="3">B204</f>
        <v>4.3659550078807856E-4</v>
      </c>
      <c r="D204" s="1253"/>
      <c r="E204" s="3244"/>
    </row>
    <row r="205" spans="1:5">
      <c r="A205" s="2260">
        <v>1985.04</v>
      </c>
      <c r="B205" s="2263">
        <v>5.6528155896260206E-4</v>
      </c>
      <c r="C205" s="420">
        <f t="shared" si="3"/>
        <v>5.6528155896260206E-4</v>
      </c>
      <c r="D205" s="1253"/>
      <c r="E205" s="3244"/>
    </row>
    <row r="206" spans="1:5">
      <c r="A206" s="2260">
        <v>1985.05</v>
      </c>
      <c r="B206" s="2263">
        <v>7.0708315422457859E-4</v>
      </c>
      <c r="C206" s="420">
        <f t="shared" si="3"/>
        <v>7.0708315422457859E-4</v>
      </c>
      <c r="D206" s="1253"/>
      <c r="E206" s="3244"/>
    </row>
    <row r="207" spans="1:5">
      <c r="A207" s="2260">
        <v>1985.06</v>
      </c>
      <c r="B207" s="2263">
        <v>9.2299756412093426E-4</v>
      </c>
      <c r="C207" s="420">
        <f t="shared" si="3"/>
        <v>9.2299756412093426E-4</v>
      </c>
      <c r="D207" s="1253"/>
      <c r="E207" s="3244"/>
    </row>
    <row r="208" spans="1:5">
      <c r="A208" s="2260">
        <v>1985.07</v>
      </c>
      <c r="B208" s="2263">
        <v>9.801069876295553E-4</v>
      </c>
      <c r="C208" s="420">
        <f t="shared" si="3"/>
        <v>9.801069876295553E-4</v>
      </c>
      <c r="D208" s="1253"/>
      <c r="E208" s="3244"/>
    </row>
    <row r="209" spans="1:5">
      <c r="A209" s="2260">
        <v>1985.08</v>
      </c>
      <c r="B209" s="2263">
        <v>1.0102259158427662E-3</v>
      </c>
      <c r="C209" s="420">
        <f t="shared" si="3"/>
        <v>1.0102259158427662E-3</v>
      </c>
      <c r="D209" s="1253"/>
      <c r="E209" s="3244"/>
    </row>
    <row r="210" spans="1:5">
      <c r="A210" s="2260">
        <v>1985.09</v>
      </c>
      <c r="B210" s="2263">
        <v>1.0303577398863256E-3</v>
      </c>
      <c r="C210" s="420">
        <f t="shared" si="3"/>
        <v>1.0303577398863256E-3</v>
      </c>
      <c r="D210" s="1253"/>
      <c r="E210" s="3244"/>
    </row>
    <row r="211" spans="1:5">
      <c r="A211" s="2260">
        <v>1985.1</v>
      </c>
      <c r="B211" s="2263">
        <v>1.0503367244590915E-3</v>
      </c>
      <c r="C211" s="420">
        <f t="shared" si="3"/>
        <v>1.0503367244590915E-3</v>
      </c>
      <c r="D211" s="1253"/>
      <c r="E211" s="3244"/>
    </row>
    <row r="212" spans="1:5">
      <c r="A212" s="2260">
        <v>1985.11</v>
      </c>
      <c r="B212" s="2263">
        <v>1.0752400057314801E-3</v>
      </c>
      <c r="C212" s="420">
        <f t="shared" si="3"/>
        <v>1.0752400057314801E-3</v>
      </c>
      <c r="D212" s="1253"/>
      <c r="E212" s="3244"/>
    </row>
    <row r="213" spans="1:5">
      <c r="A213" s="2260">
        <v>1985.12</v>
      </c>
      <c r="B213" s="2263">
        <v>1.1093852987534029E-3</v>
      </c>
      <c r="C213" s="420">
        <f t="shared" si="3"/>
        <v>1.1093852987534029E-3</v>
      </c>
      <c r="D213" s="1253"/>
      <c r="E213" s="3244"/>
    </row>
    <row r="214" spans="1:5">
      <c r="A214" s="2260">
        <v>1986.01</v>
      </c>
      <c r="B214" s="2263">
        <v>1.1429335625925395E-3</v>
      </c>
      <c r="C214" s="420">
        <f t="shared" si="3"/>
        <v>1.1429335625925395E-3</v>
      </c>
      <c r="D214" s="1253"/>
      <c r="E214" s="3244"/>
    </row>
    <row r="215" spans="1:5">
      <c r="A215" s="2260">
        <v>1986.02</v>
      </c>
      <c r="B215" s="2263">
        <v>1.1623202942159811E-3</v>
      </c>
      <c r="C215" s="420">
        <f t="shared" si="3"/>
        <v>1.1623202942159811E-3</v>
      </c>
      <c r="D215" s="1253"/>
      <c r="E215" s="3244"/>
    </row>
    <row r="216" spans="1:5">
      <c r="A216" s="2260">
        <v>1986.03</v>
      </c>
      <c r="B216" s="2263">
        <v>1.216296508573339E-3</v>
      </c>
      <c r="C216" s="420">
        <f t="shared" si="3"/>
        <v>1.216296508573339E-3</v>
      </c>
      <c r="D216" s="1253"/>
      <c r="E216" s="3244"/>
    </row>
    <row r="217" spans="1:5">
      <c r="A217" s="2260">
        <v>1986.04</v>
      </c>
      <c r="B217" s="2263">
        <v>1.2738548980274157E-3</v>
      </c>
      <c r="C217" s="420">
        <f t="shared" si="3"/>
        <v>1.2738548980274157E-3</v>
      </c>
      <c r="D217" s="1253"/>
      <c r="E217" s="3244"/>
    </row>
    <row r="218" spans="1:5">
      <c r="A218" s="2260">
        <v>1986.05</v>
      </c>
      <c r="B218" s="2263">
        <v>1.3251468691789655E-3</v>
      </c>
      <c r="C218" s="420">
        <f t="shared" si="3"/>
        <v>1.3251468691789655E-3</v>
      </c>
      <c r="D218" s="1253"/>
      <c r="E218" s="3244"/>
    </row>
    <row r="219" spans="1:5">
      <c r="A219" s="2260">
        <v>1986.06</v>
      </c>
      <c r="B219" s="2263">
        <v>1.3853895018388501E-3</v>
      </c>
      <c r="C219" s="420">
        <f t="shared" si="3"/>
        <v>1.3853895018388501E-3</v>
      </c>
      <c r="D219" s="1253"/>
      <c r="E219" s="3244"/>
    </row>
    <row r="220" spans="1:5">
      <c r="A220" s="2260">
        <v>1986.07</v>
      </c>
      <c r="B220" s="2263">
        <v>1.4791803983378708E-3</v>
      </c>
      <c r="C220" s="420">
        <f t="shared" si="3"/>
        <v>1.4791803983378708E-3</v>
      </c>
      <c r="D220" s="1253"/>
      <c r="E220" s="3244"/>
    </row>
    <row r="221" spans="1:5">
      <c r="A221" s="2260">
        <v>1986.08</v>
      </c>
      <c r="B221" s="2263">
        <v>1.6090557386445048E-3</v>
      </c>
      <c r="C221" s="420">
        <f t="shared" si="3"/>
        <v>1.6090557386445048E-3</v>
      </c>
      <c r="D221" s="1253"/>
      <c r="E221" s="3244"/>
    </row>
    <row r="222" spans="1:5">
      <c r="A222" s="2260">
        <v>1986.09</v>
      </c>
      <c r="B222" s="2263">
        <v>1.7253617996847684E-3</v>
      </c>
      <c r="C222" s="420">
        <f t="shared" si="3"/>
        <v>1.7253617996847684E-3</v>
      </c>
      <c r="D222" s="1253"/>
      <c r="E222" s="3244"/>
    </row>
    <row r="223" spans="1:5">
      <c r="A223" s="2260">
        <v>1986.1</v>
      </c>
      <c r="B223" s="2263">
        <v>1.8298896690070211E-3</v>
      </c>
      <c r="C223" s="420">
        <f t="shared" si="3"/>
        <v>1.8298896690070211E-3</v>
      </c>
      <c r="D223" s="1253"/>
      <c r="E223" s="3244"/>
    </row>
    <row r="224" spans="1:5">
      <c r="A224" s="2260">
        <v>1986.11</v>
      </c>
      <c r="B224" s="2263">
        <v>1.9268089984238431E-3</v>
      </c>
      <c r="C224" s="420">
        <f t="shared" si="3"/>
        <v>1.9268089984238431E-3</v>
      </c>
      <c r="D224" s="1253"/>
      <c r="E224" s="3244"/>
    </row>
    <row r="225" spans="1:5">
      <c r="A225" s="2260">
        <v>1986.12</v>
      </c>
      <c r="B225" s="2263">
        <v>2.0180684911878491E-3</v>
      </c>
      <c r="C225" s="420">
        <f t="shared" si="3"/>
        <v>2.0180684911878491E-3</v>
      </c>
      <c r="D225" s="1253"/>
      <c r="E225" s="3244"/>
    </row>
    <row r="226" spans="1:5">
      <c r="A226" s="2260">
        <v>1987.01</v>
      </c>
      <c r="B226" s="2263">
        <v>2.1710369202846635E-3</v>
      </c>
      <c r="C226" s="420">
        <f t="shared" si="3"/>
        <v>2.1710369202846635E-3</v>
      </c>
      <c r="D226" s="1253"/>
      <c r="E226" s="3244"/>
    </row>
    <row r="227" spans="1:5">
      <c r="A227" s="2260">
        <v>1987.02</v>
      </c>
      <c r="B227" s="2263">
        <v>2.3112193724029229E-3</v>
      </c>
      <c r="C227" s="420">
        <f t="shared" si="3"/>
        <v>2.3112193724029229E-3</v>
      </c>
      <c r="D227" s="1253"/>
      <c r="E227" s="3244"/>
    </row>
    <row r="228" spans="1:5">
      <c r="A228" s="2260">
        <v>1987.03</v>
      </c>
      <c r="B228" s="2263">
        <v>2.5020776615560969E-3</v>
      </c>
      <c r="C228" s="420">
        <f t="shared" si="3"/>
        <v>2.5020776615560969E-3</v>
      </c>
      <c r="D228" s="1253"/>
      <c r="E228" s="3244"/>
    </row>
    <row r="229" spans="1:5">
      <c r="A229" s="2260">
        <v>1987.04</v>
      </c>
      <c r="B229" s="2263">
        <v>2.5855662224769545E-3</v>
      </c>
      <c r="C229" s="420">
        <f t="shared" si="3"/>
        <v>2.5855662224769545E-3</v>
      </c>
      <c r="D229" s="1253"/>
      <c r="E229" s="3244"/>
    </row>
    <row r="230" spans="1:5">
      <c r="A230" s="2260">
        <v>1987.05</v>
      </c>
      <c r="B230" s="2263">
        <v>2.6929359507092709E-3</v>
      </c>
      <c r="C230" s="420">
        <f t="shared" si="3"/>
        <v>2.6929359507092709E-3</v>
      </c>
      <c r="D230" s="1253"/>
      <c r="E230" s="3244"/>
    </row>
    <row r="231" spans="1:5">
      <c r="A231" s="2260">
        <v>1987.06</v>
      </c>
      <c r="B231" s="2263">
        <v>2.9091560395472131E-3</v>
      </c>
      <c r="C231" s="420">
        <f t="shared" si="3"/>
        <v>2.9091560395472131E-3</v>
      </c>
      <c r="D231" s="1253"/>
      <c r="E231" s="3244"/>
    </row>
    <row r="232" spans="1:5">
      <c r="A232" s="2260">
        <v>1987.07</v>
      </c>
      <c r="B232" s="2263">
        <v>3.2028943974781485E-3</v>
      </c>
      <c r="C232" s="420">
        <f t="shared" si="3"/>
        <v>3.2028943974781485E-3</v>
      </c>
      <c r="D232" s="1253"/>
      <c r="E232" s="3244"/>
    </row>
    <row r="233" spans="1:5">
      <c r="A233" s="2260">
        <v>1987.08</v>
      </c>
      <c r="B233" s="2263">
        <v>3.6427854993552082E-3</v>
      </c>
      <c r="C233" s="420">
        <f t="shared" si="3"/>
        <v>3.6427854993552082E-3</v>
      </c>
      <c r="D233" s="1253"/>
      <c r="E233" s="3244"/>
    </row>
    <row r="234" spans="1:5">
      <c r="A234" s="2260">
        <v>1987.09</v>
      </c>
      <c r="B234" s="2263">
        <v>4.067726990495295E-3</v>
      </c>
      <c r="C234" s="420">
        <f t="shared" si="3"/>
        <v>4.067726990495295E-3</v>
      </c>
      <c r="D234" s="1253"/>
      <c r="E234" s="3244"/>
    </row>
    <row r="235" spans="1:5">
      <c r="A235" s="2260">
        <v>1987.1</v>
      </c>
      <c r="B235" s="2263">
        <v>4.8640206333285573E-3</v>
      </c>
      <c r="C235" s="420">
        <f t="shared" si="3"/>
        <v>4.8640206333285573E-3</v>
      </c>
      <c r="D235" s="1253"/>
      <c r="E235" s="3244"/>
    </row>
    <row r="236" spans="1:5">
      <c r="A236" s="2260">
        <v>1987.11</v>
      </c>
      <c r="B236" s="2263">
        <v>5.3635191288150157E-3</v>
      </c>
      <c r="C236" s="420">
        <f t="shared" si="3"/>
        <v>5.3635191288150157E-3</v>
      </c>
      <c r="D236" s="1253"/>
      <c r="E236" s="3244"/>
    </row>
    <row r="237" spans="1:5">
      <c r="A237" s="2260">
        <v>1987.12</v>
      </c>
      <c r="B237" s="2263">
        <v>5.5454458613937042E-3</v>
      </c>
      <c r="C237" s="420">
        <f t="shared" si="3"/>
        <v>5.5454458613937042E-3</v>
      </c>
      <c r="D237" s="1253"/>
      <c r="E237" s="3244"/>
    </row>
    <row r="238" spans="1:5">
      <c r="A238" s="2260">
        <v>1988.01</v>
      </c>
      <c r="B238" s="2263">
        <v>6.0495773033385864E-3</v>
      </c>
      <c r="C238" s="420">
        <f t="shared" si="3"/>
        <v>6.0495773033385864E-3</v>
      </c>
      <c r="D238" s="1253"/>
      <c r="E238" s="3244"/>
    </row>
    <row r="239" spans="1:5">
      <c r="A239" s="2260">
        <v>1988.02</v>
      </c>
      <c r="B239" s="2263">
        <v>6.680040120361083E-3</v>
      </c>
      <c r="C239" s="420">
        <f t="shared" si="3"/>
        <v>6.680040120361083E-3</v>
      </c>
      <c r="D239" s="1253"/>
      <c r="E239" s="3244"/>
    </row>
    <row r="240" spans="1:5">
      <c r="A240" s="2260">
        <v>1988.03</v>
      </c>
      <c r="B240" s="2263">
        <v>7.6658547069780765E-3</v>
      </c>
      <c r="C240" s="420">
        <f t="shared" si="3"/>
        <v>7.6658547069780765E-3</v>
      </c>
      <c r="D240" s="1253"/>
      <c r="E240" s="3244"/>
    </row>
    <row r="241" spans="1:5">
      <c r="A241" s="2260">
        <v>1988.04</v>
      </c>
      <c r="B241" s="2263">
        <v>8.986960882647943E-3</v>
      </c>
      <c r="C241" s="420">
        <f t="shared" si="3"/>
        <v>8.986960882647943E-3</v>
      </c>
      <c r="D241" s="1253"/>
      <c r="E241" s="3244"/>
    </row>
    <row r="242" spans="1:5">
      <c r="A242" s="2260">
        <v>1988.05</v>
      </c>
      <c r="B242" s="2263">
        <v>1.0398815494101352E-2</v>
      </c>
      <c r="C242" s="420">
        <f t="shared" si="3"/>
        <v>1.0398815494101352E-2</v>
      </c>
      <c r="D242" s="1253"/>
      <c r="E242" s="3244"/>
    </row>
    <row r="243" spans="1:5">
      <c r="A243" s="2260">
        <v>1988.06</v>
      </c>
      <c r="B243" s="2263">
        <v>1.2267278024549839E-2</v>
      </c>
      <c r="C243" s="420">
        <f t="shared" si="3"/>
        <v>1.2267278024549839E-2</v>
      </c>
      <c r="D243" s="1253"/>
      <c r="E243" s="3244"/>
    </row>
    <row r="244" spans="1:5">
      <c r="A244" s="2260">
        <v>1988.07</v>
      </c>
      <c r="B244" s="2263">
        <v>1.5413383006161342E-2</v>
      </c>
      <c r="C244" s="420">
        <f t="shared" si="3"/>
        <v>1.5413383006161342E-2</v>
      </c>
      <c r="D244" s="1253"/>
      <c r="E244" s="3244"/>
    </row>
    <row r="245" spans="1:5">
      <c r="A245" s="2260">
        <v>1988.08</v>
      </c>
      <c r="B245" s="2263">
        <v>1.9670917514448105E-2</v>
      </c>
      <c r="C245" s="420">
        <f t="shared" si="3"/>
        <v>1.9670917514448105E-2</v>
      </c>
      <c r="D245" s="1253"/>
      <c r="E245" s="3244"/>
    </row>
    <row r="246" spans="1:5">
      <c r="A246" s="2260">
        <v>1988.09</v>
      </c>
      <c r="B246" s="2263">
        <v>2.1971629173233986E-2</v>
      </c>
      <c r="C246" s="420">
        <f t="shared" si="3"/>
        <v>2.1971629173233986E-2</v>
      </c>
      <c r="D246" s="1253"/>
      <c r="E246" s="3244"/>
    </row>
    <row r="247" spans="1:5">
      <c r="A247" s="2260">
        <v>1988.1</v>
      </c>
      <c r="B247" s="2263">
        <v>2.3947079333237808E-2</v>
      </c>
      <c r="C247" s="420">
        <f t="shared" si="3"/>
        <v>2.3947079333237808E-2</v>
      </c>
      <c r="D247" s="1253"/>
      <c r="E247" s="3244"/>
    </row>
    <row r="248" spans="1:5">
      <c r="A248" s="2260">
        <v>1988.11</v>
      </c>
      <c r="B248" s="2263">
        <v>2.5314514973491905E-2</v>
      </c>
      <c r="C248" s="420">
        <f t="shared" si="3"/>
        <v>2.5314514973491905E-2</v>
      </c>
      <c r="D248" s="1253"/>
      <c r="E248" s="3244"/>
    </row>
    <row r="249" spans="1:5">
      <c r="A249" s="2260">
        <v>1988.12</v>
      </c>
      <c r="B249" s="2263">
        <v>2.7047332473611307E-2</v>
      </c>
      <c r="C249" s="420">
        <f t="shared" si="3"/>
        <v>2.7047332473611307E-2</v>
      </c>
      <c r="D249" s="1253"/>
      <c r="E249" s="3244"/>
    </row>
    <row r="250" spans="1:5">
      <c r="A250" s="2260">
        <v>1989.01</v>
      </c>
      <c r="B250" s="2263">
        <v>2.9459807995414814E-2</v>
      </c>
      <c r="C250" s="420">
        <f t="shared" si="3"/>
        <v>2.9459807995414814E-2</v>
      </c>
      <c r="D250" s="1253"/>
      <c r="E250" s="3244"/>
    </row>
    <row r="251" spans="1:5">
      <c r="A251" s="2260">
        <v>1989.02</v>
      </c>
      <c r="B251" s="2263">
        <v>3.2285427711706546E-2</v>
      </c>
      <c r="C251" s="420">
        <f t="shared" si="3"/>
        <v>3.2285427711706546E-2</v>
      </c>
      <c r="D251" s="1253"/>
      <c r="E251" s="3244"/>
    </row>
    <row r="252" spans="1:5">
      <c r="A252" s="2260">
        <v>1989.03</v>
      </c>
      <c r="B252" s="2263">
        <v>3.7775708076610785E-2</v>
      </c>
      <c r="C252" s="420">
        <f t="shared" si="3"/>
        <v>3.7775708076610785E-2</v>
      </c>
      <c r="D252" s="1253"/>
      <c r="E252" s="3244"/>
    </row>
    <row r="253" spans="1:5">
      <c r="A253" s="2260">
        <v>1989.04</v>
      </c>
      <c r="B253" s="2263">
        <v>5.0381621053637103E-2</v>
      </c>
      <c r="C253" s="420">
        <f t="shared" si="3"/>
        <v>5.0381621053637103E-2</v>
      </c>
      <c r="D253" s="1253"/>
      <c r="E253" s="3244"/>
    </row>
    <row r="254" spans="1:5">
      <c r="A254" s="2260">
        <v>1989.05</v>
      </c>
      <c r="B254" s="2263">
        <v>8.991546066771744E-2</v>
      </c>
      <c r="C254" s="420">
        <f t="shared" si="3"/>
        <v>8.991546066771744E-2</v>
      </c>
      <c r="D254" s="1253"/>
      <c r="E254" s="3244"/>
    </row>
    <row r="255" spans="1:5">
      <c r="A255" s="2260">
        <v>1989.06</v>
      </c>
      <c r="B255" s="2263">
        <v>0.19284376940344844</v>
      </c>
      <c r="C255" s="420">
        <f t="shared" si="3"/>
        <v>0.19284376940344844</v>
      </c>
      <c r="D255" s="1253"/>
      <c r="E255" s="3244"/>
    </row>
    <row r="256" spans="1:5">
      <c r="A256" s="2260">
        <v>1989.07</v>
      </c>
      <c r="B256" s="2263">
        <v>0.57203992931174485</v>
      </c>
      <c r="C256" s="420">
        <f t="shared" si="3"/>
        <v>0.57203992931174485</v>
      </c>
      <c r="D256" s="1253"/>
      <c r="E256" s="3244"/>
    </row>
    <row r="257" spans="1:5">
      <c r="A257" s="2260">
        <v>1989.08</v>
      </c>
      <c r="B257" s="2263">
        <v>0.78862205664612883</v>
      </c>
      <c r="C257" s="420">
        <f t="shared" si="3"/>
        <v>0.78862205664612883</v>
      </c>
      <c r="D257" s="1253"/>
      <c r="E257" s="3244"/>
    </row>
    <row r="258" spans="1:5">
      <c r="A258" s="2260">
        <v>1989.09</v>
      </c>
      <c r="B258" s="2263">
        <v>0.86240053493814772</v>
      </c>
      <c r="C258" s="420">
        <f t="shared" si="3"/>
        <v>0.86240053493814772</v>
      </c>
      <c r="D258" s="1253"/>
      <c r="E258" s="3244"/>
    </row>
    <row r="259" spans="1:5">
      <c r="A259" s="2260">
        <v>1989.1</v>
      </c>
      <c r="B259" s="2263">
        <v>0.91065434398433387</v>
      </c>
      <c r="C259" s="420">
        <f t="shared" si="3"/>
        <v>0.91065434398433387</v>
      </c>
      <c r="D259" s="1253"/>
      <c r="E259" s="3244"/>
    </row>
    <row r="260" spans="1:5">
      <c r="A260" s="2260">
        <v>1989.11</v>
      </c>
      <c r="B260" s="2263">
        <v>0.97002006018054154</v>
      </c>
      <c r="C260" s="420">
        <f t="shared" si="3"/>
        <v>0.97002006018054154</v>
      </c>
      <c r="D260" s="1253"/>
      <c r="E260" s="3244"/>
    </row>
    <row r="261" spans="1:5">
      <c r="A261" s="2260">
        <v>1989.12</v>
      </c>
      <c r="B261" s="2263">
        <v>1.3587357310025314</v>
      </c>
      <c r="C261" s="420">
        <f t="shared" si="3"/>
        <v>1.3587357310025314</v>
      </c>
      <c r="D261" s="1253"/>
      <c r="E261" s="3244"/>
    </row>
    <row r="262" spans="1:5">
      <c r="A262" s="2260">
        <v>1990.01</v>
      </c>
      <c r="B262" s="2263">
        <v>2.4349238190762761</v>
      </c>
      <c r="C262" s="420">
        <f t="shared" si="3"/>
        <v>2.4349238190762761</v>
      </c>
      <c r="D262" s="1253"/>
      <c r="E262" s="3244"/>
    </row>
    <row r="263" spans="1:5">
      <c r="A263" s="2260">
        <v>1990.02</v>
      </c>
      <c r="B263" s="2263">
        <v>3.9340879782203757</v>
      </c>
      <c r="C263" s="420">
        <f t="shared" si="3"/>
        <v>3.9340879782203757</v>
      </c>
      <c r="D263" s="1253"/>
      <c r="E263" s="3244"/>
    </row>
    <row r="264" spans="1:5">
      <c r="A264" s="2260">
        <v>1990.03</v>
      </c>
      <c r="B264" s="2263">
        <v>7.6922195156899269</v>
      </c>
      <c r="C264" s="420">
        <f t="shared" si="3"/>
        <v>7.6922195156899269</v>
      </c>
      <c r="D264" s="1253"/>
      <c r="E264" s="3244"/>
    </row>
    <row r="265" spans="1:5">
      <c r="A265" s="2260">
        <v>1990.04</v>
      </c>
      <c r="B265" s="2263">
        <v>8.5669866743086391</v>
      </c>
      <c r="C265" s="420">
        <f t="shared" si="3"/>
        <v>8.5669866743086391</v>
      </c>
      <c r="D265" s="1253"/>
      <c r="E265" s="3244"/>
    </row>
    <row r="266" spans="1:5">
      <c r="A266" s="2260">
        <v>1990.05</v>
      </c>
      <c r="B266" s="2263">
        <v>9.7327697377847819</v>
      </c>
      <c r="C266" s="420">
        <f t="shared" si="3"/>
        <v>9.7327697377847819</v>
      </c>
      <c r="D266" s="1253"/>
      <c r="E266" s="3244"/>
    </row>
    <row r="267" spans="1:5">
      <c r="A267" s="2260">
        <v>1990.06</v>
      </c>
      <c r="B267" s="2263">
        <v>11.085399054305773</v>
      </c>
      <c r="C267" s="420">
        <f t="shared" si="3"/>
        <v>11.085399054305773</v>
      </c>
      <c r="D267" s="1253"/>
      <c r="E267" s="3244"/>
    </row>
    <row r="268" spans="1:5">
      <c r="A268" s="2260">
        <v>1990.07</v>
      </c>
      <c r="B268" s="2263">
        <v>12.285427711706548</v>
      </c>
      <c r="C268" s="420">
        <f t="shared" ref="C268:C331" si="4">B268</f>
        <v>12.285427711706548</v>
      </c>
      <c r="D268" s="1253"/>
      <c r="E268" s="3244"/>
    </row>
    <row r="269" spans="1:5">
      <c r="A269" s="2260">
        <v>1990.08</v>
      </c>
      <c r="B269" s="2263">
        <v>14.169747337249843</v>
      </c>
      <c r="C269" s="420">
        <f t="shared" si="4"/>
        <v>14.169747337249843</v>
      </c>
      <c r="D269" s="1253"/>
      <c r="E269" s="3244"/>
    </row>
    <row r="270" spans="1:5">
      <c r="A270" s="2260">
        <v>1990.09</v>
      </c>
      <c r="B270" s="2263">
        <v>16.391173520561683</v>
      </c>
      <c r="C270" s="420">
        <f t="shared" si="4"/>
        <v>16.391173520561683</v>
      </c>
      <c r="D270" s="1253"/>
      <c r="E270" s="3244"/>
    </row>
    <row r="271" spans="1:5">
      <c r="A271" s="2260">
        <v>1990.1</v>
      </c>
      <c r="B271" s="2263">
        <v>17.651717055929694</v>
      </c>
      <c r="C271" s="420">
        <f t="shared" si="4"/>
        <v>17.651717055929694</v>
      </c>
      <c r="D271" s="1253"/>
      <c r="E271" s="3244"/>
    </row>
    <row r="272" spans="1:5">
      <c r="A272" s="2260">
        <v>1990.11</v>
      </c>
      <c r="B272" s="2263">
        <v>18.742704303386347</v>
      </c>
      <c r="C272" s="420">
        <f t="shared" si="4"/>
        <v>18.742704303386347</v>
      </c>
      <c r="D272" s="1253"/>
      <c r="E272" s="3244"/>
    </row>
    <row r="273" spans="1:6">
      <c r="A273" s="2260">
        <v>1990.12</v>
      </c>
      <c r="B273" s="2263">
        <v>19.61919090605149</v>
      </c>
      <c r="C273" s="420">
        <f t="shared" si="4"/>
        <v>19.61919090605149</v>
      </c>
      <c r="D273" s="1253"/>
      <c r="E273" s="3244"/>
      <c r="F273" s="211"/>
    </row>
    <row r="274" spans="1:6">
      <c r="A274" s="2260">
        <v>1991.01</v>
      </c>
      <c r="B274" s="2263">
        <v>21.12957921383197</v>
      </c>
      <c r="C274" s="420">
        <f t="shared" si="4"/>
        <v>21.12957921383197</v>
      </c>
      <c r="D274" s="1253"/>
      <c r="E274" s="3244"/>
      <c r="F274" s="1147"/>
    </row>
    <row r="275" spans="1:6">
      <c r="A275" s="2260">
        <v>1991.02</v>
      </c>
      <c r="B275" s="2263">
        <v>26.83254525481205</v>
      </c>
      <c r="C275" s="420">
        <f t="shared" si="4"/>
        <v>26.83254525481205</v>
      </c>
      <c r="D275" s="1253"/>
      <c r="E275" s="3244"/>
      <c r="F275" s="1147"/>
    </row>
    <row r="276" spans="1:6">
      <c r="A276" s="2260">
        <v>1991.03</v>
      </c>
      <c r="B276" s="2263">
        <v>29.795481683144676</v>
      </c>
      <c r="C276" s="420">
        <f t="shared" si="4"/>
        <v>29.795481683144676</v>
      </c>
      <c r="D276" s="1253"/>
      <c r="E276" s="3244"/>
      <c r="F276" s="1147"/>
    </row>
    <row r="277" spans="1:6">
      <c r="A277" s="2260">
        <v>1991.04</v>
      </c>
      <c r="B277" s="2263">
        <v>31.437359698142046</v>
      </c>
      <c r="C277" s="420">
        <f t="shared" si="4"/>
        <v>31.437359698142046</v>
      </c>
      <c r="D277" s="1253"/>
      <c r="E277" s="3244"/>
      <c r="F277" s="1147"/>
    </row>
    <row r="278" spans="1:6">
      <c r="A278" s="2260">
        <v>1991.05</v>
      </c>
      <c r="B278" s="2263">
        <v>32.319052395281076</v>
      </c>
      <c r="C278" s="420">
        <f t="shared" si="4"/>
        <v>32.319052395281076</v>
      </c>
      <c r="D278" s="1253"/>
      <c r="E278" s="3244"/>
      <c r="F278" s="1147"/>
    </row>
    <row r="279" spans="1:6">
      <c r="A279" s="2260">
        <v>1991.06</v>
      </c>
      <c r="B279" s="2263">
        <v>33.328604862205665</v>
      </c>
      <c r="C279" s="420">
        <f t="shared" si="4"/>
        <v>33.328604862205665</v>
      </c>
      <c r="D279" s="1253"/>
      <c r="E279" s="3244"/>
      <c r="F279" s="1147"/>
    </row>
    <row r="280" spans="1:6">
      <c r="A280" s="2260">
        <v>1991.07</v>
      </c>
      <c r="B280" s="2263">
        <v>34.192147872187988</v>
      </c>
      <c r="C280" s="420">
        <f t="shared" si="4"/>
        <v>34.192147872187988</v>
      </c>
      <c r="D280" s="1253"/>
      <c r="E280" s="3244"/>
      <c r="F280" s="1147"/>
    </row>
    <row r="281" spans="1:6">
      <c r="A281" s="2260">
        <v>1991.08</v>
      </c>
      <c r="B281" s="2263">
        <v>34.636958494531214</v>
      </c>
      <c r="C281" s="420">
        <f t="shared" si="4"/>
        <v>34.636958494531214</v>
      </c>
      <c r="D281" s="1253"/>
      <c r="E281" s="3244"/>
      <c r="F281" s="1147"/>
    </row>
    <row r="282" spans="1:6">
      <c r="A282" s="2260">
        <v>1991.09</v>
      </c>
      <c r="B282" s="2263">
        <v>35.248794001050769</v>
      </c>
      <c r="C282" s="420">
        <f t="shared" si="4"/>
        <v>35.248794001050769</v>
      </c>
      <c r="D282" s="1253"/>
      <c r="E282" s="3244"/>
      <c r="F282" s="1147"/>
    </row>
    <row r="283" spans="1:6">
      <c r="A283" s="2260">
        <v>1991.1</v>
      </c>
      <c r="B283" s="2263">
        <v>35.724936714906633</v>
      </c>
      <c r="C283" s="420">
        <f t="shared" si="4"/>
        <v>35.724936714906633</v>
      </c>
      <c r="D283" s="1253"/>
      <c r="E283" s="3244"/>
      <c r="F283" s="1147"/>
    </row>
    <row r="284" spans="1:6">
      <c r="A284" s="2260">
        <v>1991.11</v>
      </c>
      <c r="B284" s="2263">
        <v>35.863877346324685</v>
      </c>
      <c r="C284" s="420">
        <f t="shared" si="4"/>
        <v>35.863877346324685</v>
      </c>
      <c r="D284" s="1253"/>
      <c r="E284" s="3244"/>
      <c r="F284" s="1147"/>
    </row>
    <row r="285" spans="1:6">
      <c r="A285" s="2260">
        <v>1991.12</v>
      </c>
      <c r="B285" s="2263">
        <v>36.096718727611403</v>
      </c>
      <c r="C285" s="420">
        <f t="shared" si="4"/>
        <v>36.096718727611403</v>
      </c>
      <c r="D285" s="1253"/>
      <c r="E285" s="3244"/>
      <c r="F285" s="1147"/>
    </row>
    <row r="286" spans="1:6">
      <c r="A286" s="2260">
        <v>1992.01</v>
      </c>
      <c r="B286" s="2263">
        <v>37.19501361226537</v>
      </c>
      <c r="C286" s="420">
        <f t="shared" si="4"/>
        <v>37.19501361226537</v>
      </c>
      <c r="D286" s="1253"/>
      <c r="E286" s="3244"/>
      <c r="F286" s="1147"/>
    </row>
    <row r="287" spans="1:6">
      <c r="A287" s="2260">
        <v>1992.02</v>
      </c>
      <c r="B287" s="2263">
        <v>37.996226775564793</v>
      </c>
      <c r="C287" s="420">
        <f t="shared" si="4"/>
        <v>37.996226775564793</v>
      </c>
      <c r="D287" s="1253"/>
      <c r="E287" s="3244"/>
      <c r="F287" s="1147"/>
    </row>
    <row r="288" spans="1:6">
      <c r="A288" s="2260">
        <v>1992.03</v>
      </c>
      <c r="B288" s="2263">
        <v>38.794001050771357</v>
      </c>
      <c r="C288" s="420">
        <f t="shared" si="4"/>
        <v>38.794001050771357</v>
      </c>
      <c r="D288" s="1253"/>
      <c r="E288" s="3244"/>
      <c r="F288" s="1147"/>
    </row>
    <row r="289" spans="1:6">
      <c r="A289" s="2260">
        <v>1992.04</v>
      </c>
      <c r="B289" s="2263">
        <v>39.293165209915458</v>
      </c>
      <c r="C289" s="420">
        <f t="shared" si="4"/>
        <v>39.293165209915458</v>
      </c>
      <c r="D289" s="1253"/>
      <c r="E289" s="3244"/>
      <c r="F289" s="1147"/>
    </row>
    <row r="290" spans="1:6">
      <c r="A290" s="2260">
        <v>1992.05</v>
      </c>
      <c r="B290" s="2263">
        <v>39.557625256722545</v>
      </c>
      <c r="C290" s="420">
        <f t="shared" si="4"/>
        <v>39.557625256722545</v>
      </c>
      <c r="D290" s="1253"/>
      <c r="E290" s="3244"/>
      <c r="F290" s="1147"/>
    </row>
    <row r="291" spans="1:6">
      <c r="A291" s="2260">
        <v>1992.06</v>
      </c>
      <c r="B291" s="2263">
        <v>39.867793857763765</v>
      </c>
      <c r="C291" s="420">
        <f t="shared" si="4"/>
        <v>39.867793857763765</v>
      </c>
      <c r="D291" s="1253"/>
      <c r="E291" s="3244"/>
      <c r="F291" s="1147"/>
    </row>
    <row r="292" spans="1:6">
      <c r="A292" s="2260">
        <v>1992.07</v>
      </c>
      <c r="B292" s="2263">
        <v>40.557004346372452</v>
      </c>
      <c r="C292" s="420">
        <f t="shared" si="4"/>
        <v>40.557004346372452</v>
      </c>
      <c r="D292" s="1253"/>
      <c r="E292" s="3244"/>
      <c r="F292" s="1147"/>
    </row>
    <row r="293" spans="1:6">
      <c r="A293" s="2260">
        <v>1992.08</v>
      </c>
      <c r="B293" s="2263">
        <v>41.164015857095102</v>
      </c>
      <c r="C293" s="420">
        <f t="shared" si="4"/>
        <v>41.164015857095102</v>
      </c>
      <c r="D293" s="1253"/>
      <c r="E293" s="3244"/>
      <c r="F293" s="1147"/>
    </row>
    <row r="294" spans="1:6">
      <c r="A294" s="2260">
        <v>1992.09</v>
      </c>
      <c r="B294" s="2263">
        <v>41.589578258585277</v>
      </c>
      <c r="C294" s="420">
        <f t="shared" si="4"/>
        <v>41.589578258585277</v>
      </c>
      <c r="D294" s="1253"/>
      <c r="E294" s="3244"/>
      <c r="F294" s="1147"/>
    </row>
    <row r="295" spans="1:6">
      <c r="A295" s="2260">
        <v>1992.1</v>
      </c>
      <c r="B295" s="2263">
        <v>42.116062473133688</v>
      </c>
      <c r="C295" s="420">
        <f t="shared" si="4"/>
        <v>42.116062473133688</v>
      </c>
      <c r="D295" s="1253"/>
      <c r="E295" s="3244"/>
      <c r="F295" s="1147"/>
    </row>
    <row r="296" spans="1:6">
      <c r="A296" s="2260">
        <v>1992.11</v>
      </c>
      <c r="B296" s="2263">
        <v>42.310168601041219</v>
      </c>
      <c r="C296" s="420">
        <f t="shared" si="4"/>
        <v>42.310168601041219</v>
      </c>
      <c r="D296" s="1253"/>
      <c r="E296" s="3244"/>
      <c r="F296" s="1147"/>
    </row>
    <row r="297" spans="1:6">
      <c r="A297" s="2260">
        <v>1992.12</v>
      </c>
      <c r="B297" s="2263">
        <v>42.430195347948604</v>
      </c>
      <c r="C297" s="420">
        <f t="shared" si="4"/>
        <v>42.430195347948604</v>
      </c>
      <c r="D297" s="1253"/>
      <c r="E297" s="3244"/>
      <c r="F297" s="1147"/>
    </row>
    <row r="298" spans="1:6">
      <c r="A298" s="2260">
        <v>1993.01</v>
      </c>
      <c r="B298" s="2263">
        <v>42.78339781248507</v>
      </c>
      <c r="C298" s="420">
        <f t="shared" si="4"/>
        <v>42.78339781248507</v>
      </c>
      <c r="D298" s="1253"/>
      <c r="E298" s="3244"/>
      <c r="F298" s="1147"/>
    </row>
    <row r="299" spans="1:6">
      <c r="A299" s="2260">
        <v>1993.02</v>
      </c>
      <c r="B299" s="2263">
        <v>43.095906767922813</v>
      </c>
      <c r="C299" s="420">
        <f t="shared" si="4"/>
        <v>43.095906767922813</v>
      </c>
      <c r="D299" s="1253"/>
      <c r="E299" s="3244"/>
      <c r="F299" s="1147"/>
    </row>
    <row r="300" spans="1:6">
      <c r="A300" s="2260">
        <v>1993.03</v>
      </c>
      <c r="B300" s="2263">
        <v>43.419926446004681</v>
      </c>
      <c r="C300" s="420">
        <f t="shared" si="4"/>
        <v>43.419926446004681</v>
      </c>
      <c r="D300" s="1253"/>
      <c r="E300" s="3244"/>
      <c r="F300" s="1147"/>
    </row>
    <row r="301" spans="1:6">
      <c r="A301" s="2260">
        <v>1993.04</v>
      </c>
      <c r="B301" s="2263">
        <v>43.873811911926254</v>
      </c>
      <c r="C301" s="420">
        <f t="shared" si="4"/>
        <v>43.873811911926254</v>
      </c>
      <c r="D301" s="1253"/>
      <c r="E301" s="3244"/>
      <c r="F301" s="1147"/>
    </row>
    <row r="302" spans="1:6">
      <c r="A302" s="2260">
        <v>1993.05</v>
      </c>
      <c r="B302" s="2263">
        <v>44.438267182499878</v>
      </c>
      <c r="C302" s="420">
        <f t="shared" si="4"/>
        <v>44.438267182499878</v>
      </c>
      <c r="D302" s="1253"/>
      <c r="E302" s="3244"/>
      <c r="F302" s="1147"/>
    </row>
    <row r="303" spans="1:6">
      <c r="A303" s="2260">
        <v>1993.06</v>
      </c>
      <c r="B303" s="2263">
        <v>44.757892725796431</v>
      </c>
      <c r="C303" s="420">
        <f t="shared" si="4"/>
        <v>44.757892725796431</v>
      </c>
      <c r="D303" s="1253"/>
      <c r="E303" s="3244"/>
      <c r="F303" s="1147"/>
    </row>
    <row r="304" spans="1:6">
      <c r="A304" s="2260">
        <v>1993.07</v>
      </c>
      <c r="B304" s="2263">
        <v>44.90189616468453</v>
      </c>
      <c r="C304" s="420">
        <f t="shared" si="4"/>
        <v>44.90189616468453</v>
      </c>
      <c r="D304" s="1253"/>
      <c r="E304" s="3244"/>
      <c r="F304" s="1147"/>
    </row>
    <row r="305" spans="1:6">
      <c r="A305" s="2260">
        <v>1993.08</v>
      </c>
      <c r="B305" s="2263">
        <v>44.909060514877972</v>
      </c>
      <c r="C305" s="420">
        <f t="shared" si="4"/>
        <v>44.909060514877972</v>
      </c>
      <c r="D305" s="1253"/>
      <c r="E305" s="3244"/>
      <c r="F305" s="1147"/>
    </row>
    <row r="306" spans="1:6">
      <c r="A306" s="2260">
        <v>1993.09</v>
      </c>
      <c r="B306" s="2263">
        <v>45.279170845870951</v>
      </c>
      <c r="C306" s="420">
        <f t="shared" si="4"/>
        <v>45.279170845870951</v>
      </c>
      <c r="D306" s="1253"/>
      <c r="E306" s="3244"/>
      <c r="F306" s="1147"/>
    </row>
    <row r="307" spans="1:6">
      <c r="A307" s="2260">
        <v>1993.1</v>
      </c>
      <c r="B307" s="2263">
        <v>45.535129197115154</v>
      </c>
      <c r="C307" s="420">
        <f t="shared" si="4"/>
        <v>45.535129197115154</v>
      </c>
      <c r="D307" s="1253"/>
      <c r="E307" s="3244"/>
      <c r="F307" s="1147"/>
    </row>
    <row r="308" spans="1:6">
      <c r="A308" s="2260">
        <v>1993.11</v>
      </c>
      <c r="B308" s="2263">
        <v>45.561159669484645</v>
      </c>
      <c r="C308" s="420">
        <f t="shared" si="4"/>
        <v>45.561159669484645</v>
      </c>
      <c r="D308" s="1253"/>
      <c r="E308" s="3244"/>
      <c r="F308" s="1147"/>
    </row>
    <row r="309" spans="1:6">
      <c r="A309" s="2260">
        <v>1993.12</v>
      </c>
      <c r="B309" s="2263">
        <v>45.555189377656781</v>
      </c>
      <c r="C309" s="420">
        <f t="shared" si="4"/>
        <v>45.555189377656781</v>
      </c>
      <c r="D309" s="1253"/>
      <c r="E309" s="3244"/>
      <c r="F309" s="1147"/>
    </row>
    <row r="310" spans="1:6">
      <c r="A310" s="2260">
        <v>1994.01</v>
      </c>
      <c r="B310" s="2263">
        <v>45.601041218894785</v>
      </c>
      <c r="C310" s="420">
        <f t="shared" si="4"/>
        <v>45.601041218894785</v>
      </c>
      <c r="D310" s="1253"/>
      <c r="E310" s="3244"/>
      <c r="F310" s="1147"/>
    </row>
    <row r="311" spans="1:6">
      <c r="A311" s="2260">
        <v>1994.02</v>
      </c>
      <c r="B311" s="2263">
        <v>45.599417299517604</v>
      </c>
      <c r="C311" s="420">
        <f t="shared" si="4"/>
        <v>45.599417299517604</v>
      </c>
      <c r="D311" s="1253"/>
      <c r="E311" s="3244"/>
      <c r="F311" s="1147"/>
    </row>
    <row r="312" spans="1:6">
      <c r="A312" s="2260">
        <v>1994.03</v>
      </c>
      <c r="B312" s="2263">
        <v>45.662988966900706</v>
      </c>
      <c r="C312" s="420">
        <f t="shared" si="4"/>
        <v>45.662988966900706</v>
      </c>
      <c r="D312" s="1253"/>
      <c r="E312" s="3244"/>
      <c r="F312" s="1147"/>
    </row>
    <row r="313" spans="1:6">
      <c r="A313" s="2260">
        <v>1994.04</v>
      </c>
      <c r="B313" s="2263">
        <v>45.774131919568227</v>
      </c>
      <c r="C313" s="420">
        <f t="shared" si="4"/>
        <v>45.774131919568227</v>
      </c>
      <c r="D313" s="1253"/>
      <c r="E313" s="3244"/>
      <c r="F313" s="1147"/>
    </row>
    <row r="314" spans="1:6">
      <c r="A314" s="2260">
        <v>1994.05</v>
      </c>
      <c r="B314" s="2263">
        <v>45.93279839518555</v>
      </c>
      <c r="C314" s="420">
        <f t="shared" si="4"/>
        <v>45.93279839518555</v>
      </c>
      <c r="D314" s="1253"/>
      <c r="E314" s="3244"/>
      <c r="F314" s="1147"/>
    </row>
    <row r="315" spans="1:6">
      <c r="A315" s="2260">
        <v>1994.06</v>
      </c>
      <c r="B315" s="2263">
        <v>46.110569804652052</v>
      </c>
      <c r="C315" s="420">
        <f t="shared" si="4"/>
        <v>46.110569804652052</v>
      </c>
      <c r="D315" s="1253"/>
      <c r="E315" s="3244"/>
      <c r="F315" s="1147"/>
    </row>
    <row r="316" spans="1:6">
      <c r="A316" s="2260">
        <v>1994.07</v>
      </c>
      <c r="B316" s="2263">
        <v>46.536275493146107</v>
      </c>
      <c r="C316" s="420">
        <f t="shared" si="4"/>
        <v>46.536275493146107</v>
      </c>
      <c r="D316" s="1253"/>
      <c r="E316" s="3244"/>
      <c r="F316" s="1147"/>
    </row>
    <row r="317" spans="1:6">
      <c r="A317" s="2260">
        <v>1994.08</v>
      </c>
      <c r="B317" s="2263">
        <v>46.632277785738168</v>
      </c>
      <c r="C317" s="420">
        <f t="shared" si="4"/>
        <v>46.632277785738168</v>
      </c>
      <c r="D317" s="1253"/>
      <c r="E317" s="3244"/>
      <c r="F317" s="1147"/>
    </row>
    <row r="318" spans="1:6">
      <c r="A318" s="2260">
        <v>1994.09</v>
      </c>
      <c r="B318" s="2263">
        <v>46.951425705688493</v>
      </c>
      <c r="C318" s="420">
        <f t="shared" si="4"/>
        <v>46.951425705688493</v>
      </c>
      <c r="D318" s="1253"/>
      <c r="E318" s="3244"/>
      <c r="F318" s="1147"/>
    </row>
    <row r="319" spans="1:6">
      <c r="A319" s="2260">
        <v>1994.1</v>
      </c>
      <c r="B319" s="2263">
        <v>47.101877059750677</v>
      </c>
      <c r="C319" s="420">
        <f t="shared" si="4"/>
        <v>47.101877059750677</v>
      </c>
      <c r="D319" s="1253"/>
      <c r="E319" s="3244"/>
      <c r="F319" s="1147"/>
    </row>
    <row r="320" spans="1:6">
      <c r="A320" s="2260">
        <v>1994.11</v>
      </c>
      <c r="B320" s="2263">
        <v>47.208387065959784</v>
      </c>
      <c r="C320" s="420">
        <f t="shared" si="4"/>
        <v>47.208387065959784</v>
      </c>
      <c r="D320" s="1253"/>
      <c r="E320" s="3244"/>
      <c r="F320" s="1147"/>
    </row>
    <row r="321" spans="1:6">
      <c r="A321" s="2260">
        <v>1994.12</v>
      </c>
      <c r="B321" s="2263">
        <v>47.311028323064427</v>
      </c>
      <c r="C321" s="420">
        <f t="shared" si="4"/>
        <v>47.311028323064427</v>
      </c>
      <c r="D321" s="1253"/>
      <c r="E321" s="3244"/>
      <c r="F321" s="1147"/>
    </row>
    <row r="322" spans="1:6">
      <c r="A322" s="2260">
        <v>1995.01</v>
      </c>
      <c r="B322" s="2263">
        <v>47.900511056980463</v>
      </c>
      <c r="C322" s="420">
        <f t="shared" si="4"/>
        <v>47.900511056980463</v>
      </c>
      <c r="D322" s="1253"/>
      <c r="E322" s="3244"/>
      <c r="F322" s="1147"/>
    </row>
    <row r="323" spans="1:6">
      <c r="A323" s="2260">
        <v>1995.02</v>
      </c>
      <c r="B323" s="2263">
        <v>47.899221473945644</v>
      </c>
      <c r="C323" s="420">
        <f t="shared" si="4"/>
        <v>47.899221473945644</v>
      </c>
      <c r="D323" s="1253"/>
      <c r="E323" s="3244"/>
      <c r="F323" s="1147"/>
    </row>
    <row r="324" spans="1:6">
      <c r="A324" s="2260">
        <v>1995.03</v>
      </c>
      <c r="B324" s="2263">
        <v>47.684004394134782</v>
      </c>
      <c r="C324" s="420">
        <f t="shared" si="4"/>
        <v>47.684004394134782</v>
      </c>
      <c r="D324" s="1253"/>
      <c r="E324" s="3244"/>
      <c r="F324" s="1147"/>
    </row>
    <row r="325" spans="1:6">
      <c r="A325" s="2260">
        <v>1995.04</v>
      </c>
      <c r="B325" s="2263">
        <v>47.902087214023013</v>
      </c>
      <c r="C325" s="420">
        <f t="shared" si="4"/>
        <v>47.902087214023013</v>
      </c>
      <c r="D325" s="1253"/>
      <c r="E325" s="3244"/>
      <c r="F325" s="1147"/>
    </row>
    <row r="326" spans="1:6">
      <c r="A326" s="2260">
        <v>1995.05</v>
      </c>
      <c r="B326" s="2263">
        <v>47.912165066628454</v>
      </c>
      <c r="C326" s="420">
        <f t="shared" si="4"/>
        <v>47.912165066628454</v>
      </c>
      <c r="D326" s="1253"/>
      <c r="E326" s="3244"/>
      <c r="F326" s="1147"/>
    </row>
    <row r="327" spans="1:6">
      <c r="A327" s="2260">
        <v>1995.06</v>
      </c>
      <c r="B327" s="2263">
        <v>47.813488083297514</v>
      </c>
      <c r="C327" s="420">
        <f t="shared" si="4"/>
        <v>47.813488083297514</v>
      </c>
      <c r="D327" s="1253"/>
      <c r="E327" s="3244"/>
      <c r="F327" s="1147"/>
    </row>
    <row r="328" spans="1:6">
      <c r="A328" s="2260">
        <v>1995.07</v>
      </c>
      <c r="B328" s="2263">
        <v>48.007450924201173</v>
      </c>
      <c r="C328" s="420">
        <f t="shared" si="4"/>
        <v>48.007450924201173</v>
      </c>
      <c r="D328" s="1253"/>
      <c r="E328" s="3244"/>
      <c r="F328" s="1147"/>
    </row>
    <row r="329" spans="1:6">
      <c r="A329" s="2260">
        <v>1995.08</v>
      </c>
      <c r="B329" s="2263">
        <v>47.891149639394371</v>
      </c>
      <c r="C329" s="420">
        <f t="shared" si="4"/>
        <v>47.891149639394371</v>
      </c>
      <c r="D329" s="1253"/>
      <c r="E329" s="3244"/>
      <c r="F329" s="1147"/>
    </row>
    <row r="330" spans="1:6">
      <c r="A330" s="2260">
        <v>1995.09</v>
      </c>
      <c r="B330" s="2263">
        <v>47.969861966852939</v>
      </c>
      <c r="C330" s="420">
        <f t="shared" si="4"/>
        <v>47.969861966852939</v>
      </c>
      <c r="D330" s="1253"/>
      <c r="E330" s="3244"/>
      <c r="F330" s="1147"/>
    </row>
    <row r="331" spans="1:6">
      <c r="A331" s="2260">
        <v>1995.1</v>
      </c>
      <c r="B331" s="2263">
        <v>48.132970339590194</v>
      </c>
      <c r="C331" s="420">
        <f t="shared" si="4"/>
        <v>48.132970339590194</v>
      </c>
      <c r="D331" s="1253"/>
      <c r="E331" s="3244"/>
      <c r="F331" s="1147"/>
    </row>
    <row r="332" spans="1:6">
      <c r="A332" s="2260">
        <v>1995.11</v>
      </c>
      <c r="B332" s="2263">
        <v>48.023021445288244</v>
      </c>
      <c r="C332" s="420">
        <f t="shared" ref="C332:C395" si="5">B332</f>
        <v>48.023021445288244</v>
      </c>
      <c r="D332" s="1253"/>
      <c r="E332" s="3244"/>
      <c r="F332" s="1147"/>
    </row>
    <row r="333" spans="1:6">
      <c r="A333" s="2260">
        <v>1995.12</v>
      </c>
      <c r="B333" s="2263">
        <v>48.071691264268992</v>
      </c>
      <c r="C333" s="420">
        <f t="shared" si="5"/>
        <v>48.071691264268992</v>
      </c>
      <c r="D333" s="1253"/>
      <c r="E333" s="3244"/>
      <c r="F333" s="1147"/>
    </row>
    <row r="334" spans="1:6">
      <c r="A334" s="2260">
        <v>1996.01</v>
      </c>
      <c r="B334" s="2263">
        <v>48.215790227826332</v>
      </c>
      <c r="C334" s="420">
        <f t="shared" si="5"/>
        <v>48.215790227826332</v>
      </c>
      <c r="D334" s="1253"/>
      <c r="E334" s="3244"/>
      <c r="F334" s="1147"/>
    </row>
    <row r="335" spans="1:6">
      <c r="A335" s="2260">
        <v>1996.02</v>
      </c>
      <c r="B335" s="2263">
        <v>48.059129770263162</v>
      </c>
      <c r="C335" s="420">
        <f t="shared" si="5"/>
        <v>48.059129770263162</v>
      </c>
      <c r="D335" s="1253"/>
      <c r="E335" s="3244"/>
      <c r="F335" s="1147"/>
    </row>
    <row r="336" spans="1:6">
      <c r="A336" s="2260">
        <v>1996.03</v>
      </c>
      <c r="B336" s="2263">
        <v>47.799828055595363</v>
      </c>
      <c r="C336" s="420">
        <f t="shared" si="5"/>
        <v>47.799828055595363</v>
      </c>
      <c r="D336" s="1253"/>
      <c r="E336" s="3244"/>
      <c r="F336" s="1147"/>
    </row>
    <row r="337" spans="1:6">
      <c r="A337" s="2260">
        <v>1996.04</v>
      </c>
      <c r="B337" s="2263">
        <v>47.800592252949329</v>
      </c>
      <c r="C337" s="420">
        <f t="shared" si="5"/>
        <v>47.800592252949329</v>
      </c>
      <c r="D337" s="1253"/>
      <c r="E337" s="3244"/>
      <c r="F337" s="1147"/>
    </row>
    <row r="338" spans="1:6">
      <c r="A338" s="2260">
        <v>1996.05</v>
      </c>
      <c r="B338" s="2263">
        <v>47.757940488131055</v>
      </c>
      <c r="C338" s="420">
        <f t="shared" si="5"/>
        <v>47.757940488131055</v>
      </c>
      <c r="D338" s="1253"/>
      <c r="E338" s="3244"/>
      <c r="F338" s="1147"/>
    </row>
    <row r="339" spans="1:6">
      <c r="A339" s="2260">
        <v>1996.06</v>
      </c>
      <c r="B339" s="2263">
        <v>47.759182308831249</v>
      </c>
      <c r="C339" s="420">
        <f t="shared" si="5"/>
        <v>47.759182308831249</v>
      </c>
      <c r="D339" s="1253"/>
      <c r="E339" s="3244"/>
      <c r="F339" s="1147"/>
    </row>
    <row r="340" spans="1:6">
      <c r="A340" s="2260">
        <v>1996.07</v>
      </c>
      <c r="B340" s="2263">
        <v>48.018149687156708</v>
      </c>
      <c r="C340" s="420">
        <f t="shared" si="5"/>
        <v>48.018149687156708</v>
      </c>
      <c r="D340" s="1253"/>
      <c r="E340" s="3244"/>
      <c r="F340" s="1147"/>
    </row>
    <row r="341" spans="1:6">
      <c r="A341" s="2260">
        <v>1996.08</v>
      </c>
      <c r="B341" s="2263">
        <v>47.980942828485453</v>
      </c>
      <c r="C341" s="420">
        <f t="shared" si="5"/>
        <v>47.980942828485453</v>
      </c>
      <c r="D341" s="1253"/>
      <c r="E341" s="3244"/>
      <c r="F341" s="1147"/>
    </row>
    <row r="342" spans="1:6">
      <c r="A342" s="2260">
        <v>1996.09</v>
      </c>
      <c r="B342" s="2263">
        <v>48.068061326837658</v>
      </c>
      <c r="C342" s="420">
        <f t="shared" si="5"/>
        <v>48.068061326837658</v>
      </c>
      <c r="D342" s="1253"/>
      <c r="E342" s="3244"/>
      <c r="F342" s="1147"/>
    </row>
    <row r="343" spans="1:6">
      <c r="A343" s="2260">
        <v>1996.1</v>
      </c>
      <c r="B343" s="2263">
        <v>48.310359650379716</v>
      </c>
      <c r="C343" s="420">
        <f t="shared" si="5"/>
        <v>48.310359650379716</v>
      </c>
      <c r="D343" s="1253"/>
      <c r="E343" s="3244"/>
      <c r="F343" s="1147"/>
    </row>
    <row r="344" spans="1:6">
      <c r="A344" s="2260">
        <v>1996.11</v>
      </c>
      <c r="B344" s="2263">
        <v>48.235325022687107</v>
      </c>
      <c r="C344" s="420">
        <f t="shared" si="5"/>
        <v>48.235325022687107</v>
      </c>
      <c r="D344" s="1253"/>
      <c r="E344" s="3244"/>
      <c r="F344" s="1147"/>
    </row>
    <row r="345" spans="1:6">
      <c r="A345" s="2260">
        <v>1996.12</v>
      </c>
      <c r="B345" s="2263">
        <v>48.097817261307732</v>
      </c>
      <c r="C345" s="420">
        <f t="shared" si="5"/>
        <v>48.097817261307732</v>
      </c>
      <c r="D345" s="1253"/>
      <c r="E345" s="3244"/>
      <c r="F345" s="1147"/>
    </row>
    <row r="346" spans="1:6">
      <c r="A346" s="2260">
        <v>1997.01</v>
      </c>
      <c r="B346" s="2263">
        <v>48.322443521039311</v>
      </c>
      <c r="C346" s="420">
        <f t="shared" si="5"/>
        <v>48.322443521039311</v>
      </c>
      <c r="D346" s="1253"/>
      <c r="E346" s="3244"/>
      <c r="F346" s="1147"/>
    </row>
    <row r="347" spans="1:6">
      <c r="A347" s="2260">
        <v>1997.02</v>
      </c>
      <c r="B347" s="2263">
        <v>48.508239002722455</v>
      </c>
      <c r="C347" s="420">
        <f t="shared" si="5"/>
        <v>48.508239002722455</v>
      </c>
      <c r="D347" s="1253"/>
      <c r="E347" s="3244"/>
      <c r="F347" s="1147"/>
    </row>
    <row r="348" spans="1:6">
      <c r="A348" s="2260">
        <v>1997.03</v>
      </c>
      <c r="B348" s="2263">
        <v>48.269140755600134</v>
      </c>
      <c r="C348" s="420">
        <f t="shared" si="5"/>
        <v>48.269140755600134</v>
      </c>
      <c r="D348" s="1253"/>
      <c r="E348" s="3244"/>
      <c r="F348" s="1147"/>
    </row>
    <row r="349" spans="1:6">
      <c r="A349" s="2260">
        <v>1997.04</v>
      </c>
      <c r="B349" s="2263">
        <v>48.109614557959588</v>
      </c>
      <c r="C349" s="420">
        <f t="shared" si="5"/>
        <v>48.109614557959588</v>
      </c>
      <c r="D349" s="1253"/>
      <c r="E349" s="3244"/>
      <c r="F349" s="1147"/>
    </row>
    <row r="350" spans="1:6">
      <c r="A350" s="2260">
        <v>1997.05</v>
      </c>
      <c r="B350" s="2263">
        <v>48.069685246214831</v>
      </c>
      <c r="C350" s="420">
        <f t="shared" si="5"/>
        <v>48.069685246214831</v>
      </c>
      <c r="D350" s="1253"/>
      <c r="E350" s="3244"/>
      <c r="F350" s="1147"/>
    </row>
    <row r="351" spans="1:6">
      <c r="A351" s="2260">
        <v>1997.06</v>
      </c>
      <c r="B351" s="2263">
        <v>48.179108754835937</v>
      </c>
      <c r="C351" s="420">
        <f t="shared" si="5"/>
        <v>48.179108754835937</v>
      </c>
      <c r="D351" s="1253"/>
      <c r="E351" s="3244"/>
      <c r="F351" s="1147"/>
    </row>
    <row r="352" spans="1:6">
      <c r="A352" s="2260">
        <v>1997.07</v>
      </c>
      <c r="B352" s="2263">
        <v>48.28619190906052</v>
      </c>
      <c r="C352" s="420">
        <f t="shared" si="5"/>
        <v>48.28619190906052</v>
      </c>
      <c r="D352" s="1253"/>
      <c r="E352" s="3244"/>
      <c r="F352" s="1147"/>
    </row>
    <row r="353" spans="1:6">
      <c r="A353" s="2260">
        <v>1997.08</v>
      </c>
      <c r="B353" s="2263">
        <v>48.36566843387304</v>
      </c>
      <c r="C353" s="420">
        <f t="shared" si="5"/>
        <v>48.36566843387304</v>
      </c>
      <c r="D353" s="1253"/>
      <c r="E353" s="3244"/>
      <c r="F353" s="1147"/>
    </row>
    <row r="354" spans="1:6">
      <c r="A354" s="2260">
        <v>1997.09</v>
      </c>
      <c r="B354" s="2263">
        <v>48.342503701580931</v>
      </c>
      <c r="C354" s="420">
        <f t="shared" si="5"/>
        <v>48.342503701580931</v>
      </c>
      <c r="D354" s="1253"/>
      <c r="E354" s="3244"/>
      <c r="F354" s="1147"/>
    </row>
    <row r="355" spans="1:6">
      <c r="A355" s="2260">
        <v>1997.1</v>
      </c>
      <c r="B355" s="2263">
        <v>48.266752638868986</v>
      </c>
      <c r="C355" s="420">
        <f t="shared" si="5"/>
        <v>48.266752638868986</v>
      </c>
      <c r="D355" s="1253"/>
      <c r="E355" s="3244"/>
      <c r="F355" s="1147"/>
    </row>
    <row r="356" spans="1:6">
      <c r="A356" s="2260">
        <v>1997.11</v>
      </c>
      <c r="B356" s="2263">
        <v>48.173472799350428</v>
      </c>
      <c r="C356" s="420">
        <f t="shared" si="5"/>
        <v>48.173472799350428</v>
      </c>
      <c r="D356" s="1253"/>
      <c r="E356" s="3244"/>
      <c r="F356" s="1147"/>
    </row>
    <row r="357" spans="1:6">
      <c r="A357" s="2260">
        <v>1997.12</v>
      </c>
      <c r="B357" s="2263">
        <v>48.255576252567231</v>
      </c>
      <c r="C357" s="420">
        <f t="shared" si="5"/>
        <v>48.255576252567231</v>
      </c>
      <c r="D357" s="1253"/>
      <c r="E357" s="3244"/>
      <c r="F357" s="1147"/>
    </row>
    <row r="358" spans="1:6">
      <c r="A358" s="2260">
        <v>1998.01</v>
      </c>
      <c r="B358" s="2263">
        <v>48.55886707742274</v>
      </c>
      <c r="C358" s="420">
        <f t="shared" si="5"/>
        <v>48.55886707742274</v>
      </c>
      <c r="D358" s="1253"/>
      <c r="E358" s="3244"/>
      <c r="F358" s="1147"/>
    </row>
    <row r="359" spans="1:6">
      <c r="A359" s="2260">
        <v>1998.02</v>
      </c>
      <c r="B359" s="2263">
        <v>48.728184553660981</v>
      </c>
      <c r="C359" s="420">
        <f t="shared" si="5"/>
        <v>48.728184553660981</v>
      </c>
      <c r="D359" s="1253"/>
      <c r="E359" s="3244"/>
      <c r="F359" s="1147"/>
    </row>
    <row r="360" spans="1:6">
      <c r="A360" s="2260">
        <v>1998.03</v>
      </c>
      <c r="B360" s="2263">
        <v>48.667001003009027</v>
      </c>
      <c r="C360" s="420">
        <f t="shared" si="5"/>
        <v>48.667001003009027</v>
      </c>
      <c r="D360" s="1253"/>
      <c r="E360" s="3244"/>
      <c r="F360" s="1147"/>
    </row>
    <row r="361" spans="1:6">
      <c r="A361" s="2260">
        <v>1998.04</v>
      </c>
      <c r="B361" s="2263">
        <v>48.672493671490663</v>
      </c>
      <c r="C361" s="420">
        <f t="shared" si="5"/>
        <v>48.672493671490663</v>
      </c>
      <c r="D361" s="1253"/>
      <c r="E361" s="3244"/>
      <c r="F361" s="1147"/>
    </row>
    <row r="362" spans="1:6">
      <c r="A362" s="2260">
        <v>1998.05</v>
      </c>
      <c r="B362" s="2263">
        <v>48.637340593208187</v>
      </c>
      <c r="C362" s="420">
        <f t="shared" si="5"/>
        <v>48.637340593208187</v>
      </c>
      <c r="D362" s="1253"/>
      <c r="E362" s="3244"/>
      <c r="F362" s="1147"/>
    </row>
    <row r="363" spans="1:6">
      <c r="A363" s="2260">
        <v>1998.06</v>
      </c>
      <c r="B363" s="2263">
        <v>48.730190571715141</v>
      </c>
      <c r="C363" s="420">
        <f t="shared" si="5"/>
        <v>48.730190571715141</v>
      </c>
      <c r="D363" s="1253"/>
      <c r="E363" s="3244"/>
      <c r="F363" s="1147"/>
    </row>
    <row r="364" spans="1:6">
      <c r="A364" s="2260">
        <v>1998.07</v>
      </c>
      <c r="B364" s="2263">
        <v>48.882504656827628</v>
      </c>
      <c r="C364" s="420">
        <f t="shared" si="5"/>
        <v>48.882504656827628</v>
      </c>
      <c r="D364" s="1253"/>
      <c r="E364" s="3244"/>
      <c r="F364" s="1147"/>
    </row>
    <row r="365" spans="1:6">
      <c r="A365" s="2260">
        <v>1998.08</v>
      </c>
      <c r="B365" s="2263">
        <v>48.892343697759941</v>
      </c>
      <c r="C365" s="420">
        <f t="shared" si="5"/>
        <v>48.892343697759941</v>
      </c>
      <c r="D365" s="1253"/>
      <c r="E365" s="3244"/>
      <c r="F365" s="1147"/>
    </row>
    <row r="366" spans="1:6">
      <c r="A366" s="2260">
        <v>1998.09</v>
      </c>
      <c r="B366" s="2263">
        <v>48.877250800019098</v>
      </c>
      <c r="C366" s="420">
        <f t="shared" si="5"/>
        <v>48.877250800019098</v>
      </c>
      <c r="D366" s="1253"/>
      <c r="E366" s="3244"/>
      <c r="F366" s="1147"/>
    </row>
    <row r="367" spans="1:6">
      <c r="A367" s="2260">
        <v>1998.1</v>
      </c>
      <c r="B367" s="2263">
        <v>48.698428619190906</v>
      </c>
      <c r="C367" s="420">
        <f t="shared" si="5"/>
        <v>48.698428619190906</v>
      </c>
      <c r="D367" s="1253"/>
      <c r="E367" s="3244"/>
      <c r="F367" s="1147"/>
    </row>
    <row r="368" spans="1:6">
      <c r="A368" s="2260">
        <v>1998.11</v>
      </c>
      <c r="B368" s="2263">
        <v>48.582796007068822</v>
      </c>
      <c r="C368" s="420">
        <f t="shared" si="5"/>
        <v>48.582796007068822</v>
      </c>
      <c r="D368" s="1253"/>
      <c r="E368" s="3244"/>
      <c r="F368" s="1147"/>
    </row>
    <row r="369" spans="1:6">
      <c r="A369" s="2260">
        <v>1998.12</v>
      </c>
      <c r="B369" s="2263">
        <v>48.576204804890857</v>
      </c>
      <c r="C369" s="420">
        <f t="shared" si="5"/>
        <v>48.576204804890857</v>
      </c>
      <c r="D369" s="1253"/>
      <c r="E369" s="3244"/>
      <c r="F369" s="1147"/>
    </row>
    <row r="370" spans="1:6">
      <c r="A370" s="2260">
        <v>1999.01</v>
      </c>
      <c r="B370" s="2263">
        <v>48.805177437073127</v>
      </c>
      <c r="C370" s="420">
        <f t="shared" si="5"/>
        <v>48.805177437073127</v>
      </c>
      <c r="D370" s="1253"/>
      <c r="E370" s="3244"/>
      <c r="F370" s="1147"/>
    </row>
    <row r="371" spans="1:6">
      <c r="A371" s="2260">
        <v>1999.02</v>
      </c>
      <c r="B371" s="2263">
        <v>48.726799445956921</v>
      </c>
      <c r="C371" s="420">
        <f t="shared" si="5"/>
        <v>48.726799445956921</v>
      </c>
      <c r="D371" s="1253"/>
      <c r="E371" s="3244"/>
      <c r="F371" s="1147"/>
    </row>
    <row r="372" spans="1:6">
      <c r="A372" s="2260">
        <v>1999.03</v>
      </c>
      <c r="B372" s="2263">
        <v>48.360939962745377</v>
      </c>
      <c r="C372" s="420">
        <f t="shared" si="5"/>
        <v>48.360939962745377</v>
      </c>
      <c r="D372" s="1253"/>
      <c r="E372" s="3244"/>
      <c r="F372" s="1147"/>
    </row>
    <row r="373" spans="1:6">
      <c r="A373" s="2260">
        <v>1999.04</v>
      </c>
      <c r="B373" s="2263">
        <v>48.313607489134071</v>
      </c>
      <c r="C373" s="420">
        <f t="shared" si="5"/>
        <v>48.313607489134071</v>
      </c>
      <c r="D373" s="1253"/>
      <c r="E373" s="3244"/>
      <c r="F373" s="1147"/>
    </row>
    <row r="374" spans="1:6">
      <c r="A374" s="2260">
        <v>1999.05</v>
      </c>
      <c r="B374" s="2263">
        <v>48.07570330037732</v>
      </c>
      <c r="C374" s="420">
        <f t="shared" si="5"/>
        <v>48.07570330037732</v>
      </c>
      <c r="D374" s="1253"/>
      <c r="E374" s="3244"/>
      <c r="F374" s="1147"/>
    </row>
    <row r="375" spans="1:6">
      <c r="A375" s="2260">
        <v>1999.06</v>
      </c>
      <c r="B375" s="2263">
        <v>48.072789797965328</v>
      </c>
      <c r="C375" s="420">
        <f t="shared" si="5"/>
        <v>48.072789797965328</v>
      </c>
      <c r="D375" s="1253"/>
      <c r="E375" s="3244"/>
      <c r="F375" s="1147"/>
    </row>
    <row r="376" spans="1:6">
      <c r="A376" s="2260">
        <v>1999.07</v>
      </c>
      <c r="B376" s="2263">
        <v>48.162153126044807</v>
      </c>
      <c r="C376" s="420">
        <f t="shared" si="5"/>
        <v>48.162153126044807</v>
      </c>
      <c r="D376" s="1253"/>
      <c r="E376" s="3244"/>
      <c r="F376" s="1147"/>
    </row>
    <row r="377" spans="1:6">
      <c r="A377" s="2260">
        <v>1999.08</v>
      </c>
      <c r="B377" s="2263">
        <v>47.980847303816212</v>
      </c>
      <c r="C377" s="420">
        <f t="shared" si="5"/>
        <v>47.980847303816212</v>
      </c>
      <c r="D377" s="1253"/>
      <c r="E377" s="3244"/>
      <c r="F377" s="1147"/>
    </row>
    <row r="378" spans="1:6">
      <c r="A378" s="2260">
        <v>1999.09</v>
      </c>
      <c r="B378" s="2263">
        <v>47.885274872235755</v>
      </c>
      <c r="C378" s="420">
        <f t="shared" si="5"/>
        <v>47.885274872235755</v>
      </c>
      <c r="D378" s="1253"/>
      <c r="E378" s="3244"/>
      <c r="F378" s="1147"/>
    </row>
    <row r="379" spans="1:6">
      <c r="A379" s="2260">
        <v>1999.1</v>
      </c>
      <c r="B379" s="2263">
        <v>47.877776185699958</v>
      </c>
      <c r="C379" s="420">
        <f t="shared" si="5"/>
        <v>47.877776185699958</v>
      </c>
      <c r="D379" s="1253"/>
      <c r="E379" s="3244"/>
      <c r="F379" s="1147"/>
    </row>
    <row r="380" spans="1:6">
      <c r="A380" s="2260">
        <v>1999.11</v>
      </c>
      <c r="B380" s="2263">
        <v>47.726417347279934</v>
      </c>
      <c r="C380" s="420">
        <f t="shared" si="5"/>
        <v>47.726417347279934</v>
      </c>
      <c r="D380" s="1253"/>
      <c r="E380" s="3244"/>
      <c r="F380" s="1147"/>
    </row>
    <row r="381" spans="1:6">
      <c r="A381" s="2260">
        <v>1999.12</v>
      </c>
      <c r="B381" s="2263">
        <v>47.696756937479108</v>
      </c>
      <c r="C381" s="420">
        <f t="shared" si="5"/>
        <v>47.696756937479108</v>
      </c>
      <c r="D381" s="1253"/>
      <c r="E381" s="3244"/>
      <c r="F381" s="1147"/>
    </row>
    <row r="382" spans="1:6">
      <c r="A382" s="2260">
        <v>2000.01</v>
      </c>
      <c r="B382" s="2263">
        <v>48.099918804031141</v>
      </c>
      <c r="C382" s="420">
        <f t="shared" si="5"/>
        <v>48.099918804031141</v>
      </c>
      <c r="D382" s="1253"/>
      <c r="E382" s="3244"/>
      <c r="F382" s="1147"/>
    </row>
    <row r="383" spans="1:6">
      <c r="A383" s="2260">
        <v>2000.02</v>
      </c>
      <c r="B383" s="2263">
        <v>48.101877059750677</v>
      </c>
      <c r="C383" s="420">
        <f t="shared" si="5"/>
        <v>48.101877059750677</v>
      </c>
      <c r="D383" s="1253"/>
      <c r="E383" s="3244"/>
      <c r="F383" s="1147"/>
    </row>
    <row r="384" spans="1:6">
      <c r="A384" s="2260">
        <v>2000.03</v>
      </c>
      <c r="B384" s="2263">
        <v>47.847733677222138</v>
      </c>
      <c r="C384" s="420">
        <f t="shared" si="5"/>
        <v>47.847733677222138</v>
      </c>
      <c r="D384" s="1253"/>
      <c r="E384" s="3244"/>
      <c r="F384" s="1147"/>
    </row>
    <row r="385" spans="1:6">
      <c r="A385" s="2260">
        <v>2000.04</v>
      </c>
      <c r="B385" s="2263">
        <v>47.793905526102115</v>
      </c>
      <c r="C385" s="420">
        <f t="shared" si="5"/>
        <v>47.793905526102115</v>
      </c>
      <c r="D385" s="1253"/>
      <c r="E385" s="3244"/>
      <c r="F385" s="1147"/>
    </row>
    <row r="386" spans="1:6">
      <c r="A386" s="2260">
        <v>2000.05</v>
      </c>
      <c r="B386" s="2263">
        <v>47.608157806753596</v>
      </c>
      <c r="C386" s="420">
        <f t="shared" si="5"/>
        <v>47.608157806753596</v>
      </c>
      <c r="D386" s="1253"/>
      <c r="E386" s="3244"/>
      <c r="F386" s="1147"/>
    </row>
    <row r="387" spans="1:6">
      <c r="A387" s="2260">
        <v>2000.06</v>
      </c>
      <c r="B387" s="2263">
        <v>47.52013182404356</v>
      </c>
      <c r="C387" s="420">
        <f t="shared" si="5"/>
        <v>47.52013182404356</v>
      </c>
      <c r="D387" s="1253"/>
      <c r="E387" s="3244"/>
      <c r="F387" s="1147"/>
    </row>
    <row r="388" spans="1:6">
      <c r="A388" s="2260">
        <v>2000.07</v>
      </c>
      <c r="B388" s="2263">
        <v>47.726512871949176</v>
      </c>
      <c r="C388" s="420">
        <f t="shared" si="5"/>
        <v>47.726512871949176</v>
      </c>
      <c r="D388" s="1253"/>
      <c r="E388" s="3244"/>
      <c r="F388" s="1147"/>
    </row>
    <row r="389" spans="1:6">
      <c r="A389" s="2260">
        <v>2000.08</v>
      </c>
      <c r="B389" s="2263">
        <v>47.623823852509908</v>
      </c>
      <c r="C389" s="420">
        <f t="shared" si="5"/>
        <v>47.623823852509908</v>
      </c>
      <c r="D389" s="1253"/>
      <c r="E389" s="3244"/>
      <c r="F389" s="1147"/>
    </row>
    <row r="390" spans="1:6">
      <c r="A390" s="2260">
        <v>2000.09</v>
      </c>
      <c r="B390" s="2263">
        <v>47.550699718202225</v>
      </c>
      <c r="C390" s="420">
        <f t="shared" si="5"/>
        <v>47.550699718202225</v>
      </c>
      <c r="D390" s="1253"/>
      <c r="E390" s="3244"/>
      <c r="F390" s="1147"/>
    </row>
    <row r="391" spans="1:6">
      <c r="A391" s="2260">
        <v>2000.1</v>
      </c>
      <c r="B391" s="2263">
        <v>47.638152552896784</v>
      </c>
      <c r="C391" s="420">
        <f t="shared" si="5"/>
        <v>47.638152552896784</v>
      </c>
      <c r="D391" s="1253"/>
      <c r="E391" s="3244"/>
      <c r="F391" s="1147"/>
    </row>
    <row r="392" spans="1:6">
      <c r="A392" s="2260">
        <v>2000.11</v>
      </c>
      <c r="B392" s="2263">
        <v>47.404117113244496</v>
      </c>
      <c r="C392" s="420">
        <f t="shared" si="5"/>
        <v>47.404117113244496</v>
      </c>
      <c r="D392" s="1253"/>
      <c r="E392" s="3244"/>
      <c r="F392" s="1147"/>
    </row>
    <row r="393" spans="1:6">
      <c r="A393" s="2260">
        <v>2000.12</v>
      </c>
      <c r="B393" s="2263">
        <v>47.346802311696997</v>
      </c>
      <c r="C393" s="420">
        <f t="shared" si="5"/>
        <v>47.346802311696997</v>
      </c>
      <c r="D393" s="1253"/>
      <c r="E393" s="3244"/>
      <c r="F393" s="1147"/>
    </row>
    <row r="394" spans="1:6">
      <c r="A394" s="2260">
        <v>2001.01</v>
      </c>
      <c r="B394" s="2263">
        <v>47.385012179395325</v>
      </c>
      <c r="C394" s="420">
        <f t="shared" si="5"/>
        <v>47.385012179395325</v>
      </c>
      <c r="D394" s="1253"/>
      <c r="E394" s="3244"/>
      <c r="F394" s="1147"/>
    </row>
    <row r="395" spans="1:6">
      <c r="A395" s="2260">
        <v>2001.02</v>
      </c>
      <c r="B395" s="2263">
        <v>47.27993504322491</v>
      </c>
      <c r="C395" s="420">
        <f t="shared" si="5"/>
        <v>47.27993504322491</v>
      </c>
      <c r="D395" s="1253"/>
      <c r="E395" s="3244"/>
      <c r="F395" s="1147"/>
    </row>
    <row r="396" spans="1:6">
      <c r="A396" s="2260">
        <v>2001.03</v>
      </c>
      <c r="B396" s="2263">
        <v>47.370683479008456</v>
      </c>
      <c r="C396" s="420">
        <f t="shared" ref="C396:C459" si="6">B396</f>
        <v>47.370683479008456</v>
      </c>
      <c r="D396" s="1253"/>
      <c r="E396" s="3244"/>
      <c r="F396" s="1147"/>
    </row>
    <row r="397" spans="1:6">
      <c r="A397" s="2260">
        <v>2001.04</v>
      </c>
      <c r="B397" s="2263">
        <v>47.685914887519701</v>
      </c>
      <c r="C397" s="420">
        <f t="shared" si="6"/>
        <v>47.685914887519701</v>
      </c>
      <c r="D397" s="1253"/>
      <c r="E397" s="3244"/>
      <c r="F397" s="1147"/>
    </row>
    <row r="398" spans="1:6">
      <c r="A398" s="2260">
        <v>2001.05</v>
      </c>
      <c r="B398" s="2263">
        <v>47.714572288293454</v>
      </c>
      <c r="C398" s="420">
        <f t="shared" si="6"/>
        <v>47.714572288293454</v>
      </c>
      <c r="D398" s="1253"/>
      <c r="E398" s="3244"/>
      <c r="F398" s="1147"/>
    </row>
    <row r="399" spans="1:6">
      <c r="A399" s="2260">
        <v>2001.06</v>
      </c>
      <c r="B399" s="2263">
        <v>47.370683479008456</v>
      </c>
      <c r="C399" s="420">
        <f t="shared" si="6"/>
        <v>47.370683479008456</v>
      </c>
      <c r="D399" s="1253"/>
      <c r="E399" s="3244"/>
      <c r="F399" s="1147"/>
    </row>
    <row r="400" spans="1:6">
      <c r="A400" s="2260">
        <v>2001.07</v>
      </c>
      <c r="B400" s="2263">
        <v>47.217844008215124</v>
      </c>
      <c r="C400" s="420">
        <f t="shared" si="6"/>
        <v>47.217844008215124</v>
      </c>
      <c r="D400" s="1253"/>
      <c r="E400" s="3244"/>
      <c r="F400" s="1147"/>
    </row>
    <row r="401" spans="1:6">
      <c r="A401" s="2260">
        <v>2001.08</v>
      </c>
      <c r="B401" s="2263">
        <v>47.050675837034916</v>
      </c>
      <c r="C401" s="420">
        <f t="shared" si="6"/>
        <v>47.050675837034916</v>
      </c>
      <c r="D401" s="1253"/>
      <c r="E401" s="3244"/>
      <c r="F401" s="1147"/>
    </row>
    <row r="402" spans="1:6">
      <c r="A402" s="2260">
        <v>2001.09</v>
      </c>
      <c r="B402" s="2263">
        <v>47.012465969336581</v>
      </c>
      <c r="C402" s="420">
        <f t="shared" si="6"/>
        <v>47.012465969336581</v>
      </c>
      <c r="D402" s="1253"/>
      <c r="E402" s="3244"/>
      <c r="F402" s="1147"/>
    </row>
    <row r="403" spans="1:6">
      <c r="A403" s="2260">
        <v>2001.1</v>
      </c>
      <c r="B403" s="2263">
        <v>46.807087930458039</v>
      </c>
      <c r="C403" s="420">
        <f t="shared" si="6"/>
        <v>46.807087930458039</v>
      </c>
      <c r="D403" s="1253"/>
      <c r="E403" s="3244"/>
      <c r="F403" s="1147"/>
    </row>
    <row r="404" spans="1:6">
      <c r="A404" s="2260">
        <v>2001.11</v>
      </c>
      <c r="B404" s="2263">
        <v>46.654248459664707</v>
      </c>
      <c r="C404" s="420">
        <f t="shared" si="6"/>
        <v>46.654248459664707</v>
      </c>
      <c r="D404" s="1253"/>
      <c r="E404" s="3244"/>
      <c r="F404" s="1147"/>
    </row>
    <row r="405" spans="1:6">
      <c r="A405" s="2260">
        <v>2001.12</v>
      </c>
      <c r="B405" s="2263">
        <v>46.616038591966372</v>
      </c>
      <c r="C405" s="420">
        <f t="shared" si="6"/>
        <v>46.616038591966372</v>
      </c>
      <c r="D405" s="1253"/>
      <c r="E405" s="3244"/>
      <c r="F405" s="1147"/>
    </row>
    <row r="406" spans="1:6">
      <c r="A406" s="2260">
        <v>2002.01</v>
      </c>
      <c r="B406" s="2263">
        <v>47.685914887519701</v>
      </c>
      <c r="C406" s="420">
        <f t="shared" si="6"/>
        <v>47.685914887519701</v>
      </c>
      <c r="D406" s="1253"/>
      <c r="E406" s="3244"/>
      <c r="F406" s="1147"/>
    </row>
    <row r="407" spans="1:6">
      <c r="A407" s="2260">
        <v>2002.02</v>
      </c>
      <c r="B407" s="2263">
        <v>49.180875961216977</v>
      </c>
      <c r="C407" s="420">
        <f t="shared" si="6"/>
        <v>49.180875961216977</v>
      </c>
      <c r="D407" s="1253"/>
      <c r="E407" s="3244"/>
      <c r="F407" s="1147"/>
    </row>
    <row r="408" spans="1:6">
      <c r="A408" s="2260">
        <v>2002.03</v>
      </c>
      <c r="B408" s="2263">
        <v>51.129579213831967</v>
      </c>
      <c r="C408" s="420">
        <f t="shared" si="6"/>
        <v>51.129579213831967</v>
      </c>
      <c r="D408" s="1253"/>
      <c r="E408" s="3244"/>
      <c r="F408" s="1147"/>
    </row>
    <row r="409" spans="1:6">
      <c r="A409" s="2260">
        <v>2002.04</v>
      </c>
      <c r="B409" s="2263">
        <v>56.440750823900274</v>
      </c>
      <c r="C409" s="420">
        <f t="shared" si="6"/>
        <v>56.440750823900274</v>
      </c>
      <c r="D409" s="1253"/>
      <c r="E409" s="3244"/>
      <c r="F409" s="1147"/>
    </row>
    <row r="410" spans="1:6">
      <c r="A410" s="2260">
        <v>2002.05</v>
      </c>
      <c r="B410" s="2263">
        <v>58.704685485026509</v>
      </c>
      <c r="C410" s="420">
        <f t="shared" si="6"/>
        <v>58.704685485026509</v>
      </c>
      <c r="D410" s="1253"/>
      <c r="E410" s="3244"/>
      <c r="F410" s="1147"/>
    </row>
    <row r="411" spans="1:6">
      <c r="A411" s="2260">
        <v>2002.06</v>
      </c>
      <c r="B411" s="2263">
        <v>60.830109375746289</v>
      </c>
      <c r="C411" s="420">
        <f t="shared" si="6"/>
        <v>60.830109375746289</v>
      </c>
      <c r="D411" s="1253"/>
      <c r="E411" s="3244"/>
      <c r="F411" s="1147"/>
    </row>
    <row r="412" spans="1:6">
      <c r="A412" s="2260">
        <v>2002.07</v>
      </c>
      <c r="B412" s="2263">
        <v>62.769260161436677</v>
      </c>
      <c r="C412" s="420">
        <f t="shared" si="6"/>
        <v>62.769260161436677</v>
      </c>
      <c r="D412" s="1253"/>
      <c r="E412" s="3244"/>
      <c r="F412" s="1147"/>
    </row>
    <row r="413" spans="1:6">
      <c r="A413" s="2260">
        <v>2002.08</v>
      </c>
      <c r="B413" s="2263">
        <v>64.240340067822515</v>
      </c>
      <c r="C413" s="420">
        <f t="shared" si="6"/>
        <v>64.240340067822515</v>
      </c>
      <c r="D413" s="1253"/>
      <c r="E413" s="3244"/>
      <c r="F413" s="1147"/>
    </row>
    <row r="414" spans="1:6">
      <c r="A414" s="2260">
        <v>2002.09</v>
      </c>
      <c r="B414" s="2263">
        <v>65.104838324497308</v>
      </c>
      <c r="C414" s="420">
        <f t="shared" si="6"/>
        <v>65.104838324497308</v>
      </c>
      <c r="D414" s="1253"/>
      <c r="E414" s="3244"/>
      <c r="F414" s="1147"/>
    </row>
    <row r="415" spans="1:6">
      <c r="A415" s="2260">
        <v>2002.1</v>
      </c>
      <c r="B415" s="2263">
        <v>65.248125328366058</v>
      </c>
      <c r="C415" s="420">
        <f t="shared" si="6"/>
        <v>65.248125328366058</v>
      </c>
      <c r="D415" s="1253"/>
      <c r="E415" s="3244"/>
      <c r="F415" s="1147"/>
    </row>
    <row r="416" spans="1:6">
      <c r="A416" s="2260">
        <v>2002.11</v>
      </c>
      <c r="B416" s="2263">
        <v>65.58246167072646</v>
      </c>
      <c r="C416" s="420">
        <f t="shared" si="6"/>
        <v>65.58246167072646</v>
      </c>
      <c r="D416" s="1253"/>
      <c r="E416" s="3244"/>
      <c r="F416" s="1147"/>
    </row>
    <row r="417" spans="1:6">
      <c r="A417" s="2260">
        <v>2002.12</v>
      </c>
      <c r="B417" s="2263">
        <v>65.706643740746046</v>
      </c>
      <c r="C417" s="420">
        <f t="shared" si="6"/>
        <v>65.706643740746046</v>
      </c>
      <c r="D417" s="1253"/>
      <c r="E417" s="3244"/>
      <c r="F417" s="1147"/>
    </row>
    <row r="418" spans="1:6">
      <c r="A418" s="2260">
        <v>2003.01</v>
      </c>
      <c r="B418" s="2263">
        <v>66.571141997420838</v>
      </c>
      <c r="C418" s="420">
        <f t="shared" si="6"/>
        <v>66.571141997420838</v>
      </c>
      <c r="D418" s="1253"/>
      <c r="E418" s="3244"/>
      <c r="F418" s="1147"/>
    </row>
    <row r="419" spans="1:6">
      <c r="A419" s="2260">
        <v>2003.02</v>
      </c>
      <c r="B419" s="2263">
        <v>66.948464440941862</v>
      </c>
      <c r="C419" s="420">
        <f t="shared" si="6"/>
        <v>66.948464440941862</v>
      </c>
      <c r="D419" s="1253"/>
      <c r="E419" s="3244"/>
      <c r="F419" s="1147"/>
    </row>
    <row r="420" spans="1:6">
      <c r="A420" s="2260">
        <v>2003.03</v>
      </c>
      <c r="B420" s="2263">
        <v>67.340115584849798</v>
      </c>
      <c r="C420" s="420">
        <f t="shared" si="6"/>
        <v>67.340115584849798</v>
      </c>
      <c r="D420" s="1253"/>
      <c r="E420" s="3244"/>
      <c r="F420" s="1147"/>
    </row>
    <row r="421" spans="1:6">
      <c r="A421" s="2260">
        <v>2003.04</v>
      </c>
      <c r="B421" s="2263">
        <v>67.378325452548111</v>
      </c>
      <c r="C421" s="420">
        <f t="shared" si="6"/>
        <v>67.378325452548111</v>
      </c>
      <c r="D421" s="1253"/>
      <c r="E421" s="3244"/>
      <c r="F421" s="1147"/>
    </row>
    <row r="422" spans="1:6">
      <c r="A422" s="2260">
        <v>2003.05</v>
      </c>
      <c r="B422" s="2263">
        <v>67.115632612122084</v>
      </c>
      <c r="C422" s="420">
        <f t="shared" si="6"/>
        <v>67.115632612122084</v>
      </c>
      <c r="D422" s="1253"/>
      <c r="E422" s="3244"/>
      <c r="F422" s="1147"/>
    </row>
    <row r="423" spans="1:6">
      <c r="A423" s="2260">
        <v>2003.06</v>
      </c>
      <c r="B423" s="2263">
        <v>67.058317810574579</v>
      </c>
      <c r="C423" s="420">
        <f t="shared" si="6"/>
        <v>67.058317810574579</v>
      </c>
      <c r="D423" s="1253"/>
      <c r="E423" s="3244"/>
      <c r="F423" s="1147"/>
    </row>
    <row r="424" spans="1:6">
      <c r="A424" s="2260">
        <v>2003.07</v>
      </c>
      <c r="B424" s="2263">
        <v>67.359220518698947</v>
      </c>
      <c r="C424" s="420">
        <f t="shared" si="6"/>
        <v>67.359220518698947</v>
      </c>
      <c r="D424" s="1253"/>
      <c r="E424" s="3244"/>
      <c r="F424" s="1147"/>
    </row>
    <row r="425" spans="1:6">
      <c r="A425" s="2260">
        <v>2003.08</v>
      </c>
      <c r="B425" s="2263">
        <v>67.373549219085831</v>
      </c>
      <c r="C425" s="420">
        <f t="shared" si="6"/>
        <v>67.373549219085831</v>
      </c>
      <c r="D425" s="1253"/>
      <c r="E425" s="3244"/>
      <c r="F425" s="1147"/>
    </row>
    <row r="426" spans="1:6">
      <c r="A426" s="2260">
        <v>2003.09</v>
      </c>
      <c r="B426" s="2263">
        <v>67.402206619859584</v>
      </c>
      <c r="C426" s="420">
        <f t="shared" si="6"/>
        <v>67.402206619859584</v>
      </c>
      <c r="D426" s="1253"/>
      <c r="E426" s="3244"/>
      <c r="F426" s="1147"/>
    </row>
    <row r="427" spans="1:6">
      <c r="A427" s="2260">
        <v>2003.1</v>
      </c>
      <c r="B427" s="2263">
        <v>67.798633997229771</v>
      </c>
      <c r="C427" s="420">
        <f t="shared" si="6"/>
        <v>67.798633997229771</v>
      </c>
      <c r="D427" s="1253"/>
      <c r="E427" s="3244"/>
      <c r="F427" s="1147"/>
    </row>
    <row r="428" spans="1:6">
      <c r="A428" s="2260">
        <v>2003.11</v>
      </c>
      <c r="B428" s="2263">
        <v>67.965802168409994</v>
      </c>
      <c r="C428" s="420">
        <f t="shared" si="6"/>
        <v>67.965802168409994</v>
      </c>
      <c r="D428" s="1253"/>
      <c r="E428" s="3244"/>
      <c r="F428" s="1147"/>
    </row>
    <row r="429" spans="1:6">
      <c r="A429" s="2260">
        <v>2003.12</v>
      </c>
      <c r="B429" s="2263">
        <v>68.109089172278743</v>
      </c>
      <c r="C429" s="420">
        <f t="shared" si="6"/>
        <v>68.109089172278743</v>
      </c>
      <c r="D429" s="1253"/>
      <c r="E429" s="3244"/>
      <c r="F429" s="1147"/>
    </row>
    <row r="430" spans="1:6">
      <c r="A430" s="2260">
        <v>2004.01</v>
      </c>
      <c r="B430" s="2263">
        <v>68.395663180016228</v>
      </c>
      <c r="C430" s="420">
        <f t="shared" si="6"/>
        <v>68.395663180016228</v>
      </c>
      <c r="D430" s="1253"/>
      <c r="E430" s="3244"/>
      <c r="F430" s="1147"/>
    </row>
    <row r="431" spans="1:6">
      <c r="A431" s="2260">
        <v>2004.02</v>
      </c>
      <c r="B431" s="2263">
        <v>68.462530448488323</v>
      </c>
      <c r="C431" s="420">
        <f t="shared" si="6"/>
        <v>68.462530448488323</v>
      </c>
      <c r="D431" s="1253"/>
      <c r="E431" s="3244"/>
      <c r="F431" s="1147"/>
    </row>
    <row r="432" spans="1:6">
      <c r="A432" s="2260">
        <v>2004.03</v>
      </c>
      <c r="B432" s="2263">
        <v>68.873286526245394</v>
      </c>
      <c r="C432" s="420">
        <f t="shared" si="6"/>
        <v>68.873286526245394</v>
      </c>
      <c r="D432" s="1253"/>
      <c r="E432" s="3244"/>
      <c r="F432" s="1147"/>
    </row>
    <row r="433" spans="1:6">
      <c r="A433" s="2260">
        <v>2004.04</v>
      </c>
      <c r="B433" s="2263">
        <v>69.460763242107276</v>
      </c>
      <c r="C433" s="420">
        <f t="shared" si="6"/>
        <v>69.460763242107276</v>
      </c>
      <c r="D433" s="1253"/>
      <c r="E433" s="3244"/>
      <c r="F433" s="1147"/>
    </row>
    <row r="434" spans="1:6">
      <c r="A434" s="2260">
        <v>2004.05</v>
      </c>
      <c r="B434" s="2263">
        <v>69.876295553326656</v>
      </c>
      <c r="C434" s="420">
        <f t="shared" si="6"/>
        <v>69.876295553326656</v>
      </c>
      <c r="D434" s="1253"/>
      <c r="E434" s="3244"/>
      <c r="F434" s="1147"/>
    </row>
    <row r="435" spans="1:6">
      <c r="A435" s="2260">
        <v>2004.06</v>
      </c>
      <c r="B435" s="2263">
        <v>70.363471366480397</v>
      </c>
      <c r="C435" s="420">
        <f t="shared" si="6"/>
        <v>70.363471366480397</v>
      </c>
      <c r="D435" s="1253"/>
      <c r="E435" s="3244"/>
      <c r="F435" s="1147"/>
    </row>
    <row r="436" spans="1:6">
      <c r="A436" s="2260">
        <v>2004.07</v>
      </c>
      <c r="B436" s="2263">
        <v>70.688255241916224</v>
      </c>
      <c r="C436" s="420">
        <f t="shared" si="6"/>
        <v>70.688255241916224</v>
      </c>
      <c r="D436" s="1253"/>
      <c r="E436" s="3244"/>
      <c r="F436" s="1147"/>
    </row>
    <row r="437" spans="1:6">
      <c r="A437" s="2260">
        <v>2004.08</v>
      </c>
      <c r="B437" s="2263">
        <v>70.931843148493087</v>
      </c>
      <c r="C437" s="420">
        <f t="shared" si="6"/>
        <v>70.931843148493087</v>
      </c>
      <c r="D437" s="1253"/>
      <c r="E437" s="3244"/>
      <c r="F437" s="1147"/>
    </row>
    <row r="438" spans="1:6">
      <c r="A438" s="2260">
        <v>2004.09</v>
      </c>
      <c r="B438" s="2263">
        <v>71.3808090939485</v>
      </c>
      <c r="C438" s="420">
        <f t="shared" si="6"/>
        <v>71.3808090939485</v>
      </c>
      <c r="D438" s="1253"/>
      <c r="E438" s="3244"/>
      <c r="F438" s="1147"/>
    </row>
    <row r="439" spans="1:6">
      <c r="A439" s="2260">
        <v>2004.1</v>
      </c>
      <c r="B439" s="2263">
        <v>71.662606868223705</v>
      </c>
      <c r="C439" s="420">
        <f t="shared" si="6"/>
        <v>71.662606868223705</v>
      </c>
      <c r="D439" s="1253"/>
      <c r="E439" s="3244"/>
      <c r="F439" s="1147"/>
    </row>
    <row r="440" spans="1:6">
      <c r="A440" s="2260">
        <v>2004.11</v>
      </c>
      <c r="B440" s="2263">
        <v>71.662606868223705</v>
      </c>
      <c r="C440" s="420">
        <f t="shared" si="6"/>
        <v>71.662606868223705</v>
      </c>
      <c r="D440" s="1253"/>
      <c r="E440" s="3244"/>
      <c r="F440" s="1147"/>
    </row>
    <row r="441" spans="1:6">
      <c r="A441" s="2260">
        <v>2004.12</v>
      </c>
      <c r="B441" s="2263">
        <v>72.264412284472471</v>
      </c>
      <c r="C441" s="420">
        <f t="shared" si="6"/>
        <v>72.264412284472471</v>
      </c>
      <c r="D441" s="1253"/>
      <c r="E441" s="3244"/>
      <c r="F441" s="1147"/>
    </row>
    <row r="442" spans="1:6">
      <c r="A442" s="2260">
        <v>2005.01</v>
      </c>
      <c r="B442" s="2263">
        <v>73.334288580025785</v>
      </c>
      <c r="C442" s="420">
        <f t="shared" si="6"/>
        <v>73.334288580025785</v>
      </c>
      <c r="D442" s="1253"/>
      <c r="E442" s="3244"/>
      <c r="F442" s="1147"/>
    </row>
    <row r="443" spans="1:6">
      <c r="A443" s="2260">
        <v>2005.02</v>
      </c>
      <c r="B443" s="2263">
        <v>74.031618665520369</v>
      </c>
      <c r="C443" s="420">
        <f t="shared" si="6"/>
        <v>74.031618665520369</v>
      </c>
      <c r="D443" s="1253"/>
      <c r="E443" s="3244"/>
      <c r="F443" s="1147"/>
    </row>
    <row r="444" spans="1:6">
      <c r="A444" s="2260">
        <v>2005.03</v>
      </c>
      <c r="B444" s="2263">
        <v>75.173138463008058</v>
      </c>
      <c r="C444" s="420">
        <f t="shared" si="6"/>
        <v>75.173138463008058</v>
      </c>
      <c r="D444" s="1253"/>
      <c r="E444" s="3244"/>
      <c r="F444" s="1147"/>
    </row>
    <row r="445" spans="1:6">
      <c r="A445" s="2260">
        <v>2005.04</v>
      </c>
      <c r="B445" s="2263">
        <v>75.540908439604522</v>
      </c>
      <c r="C445" s="420">
        <f t="shared" si="6"/>
        <v>75.540908439604522</v>
      </c>
      <c r="D445" s="1253"/>
      <c r="E445" s="3244"/>
      <c r="F445" s="1147"/>
    </row>
    <row r="446" spans="1:6">
      <c r="A446" s="2260">
        <v>2005.05</v>
      </c>
      <c r="B446" s="2263">
        <v>75.994650618522243</v>
      </c>
      <c r="C446" s="420">
        <f t="shared" si="6"/>
        <v>75.994650618522243</v>
      </c>
      <c r="D446" s="1253"/>
      <c r="E446" s="3244"/>
      <c r="F446" s="1147"/>
    </row>
    <row r="447" spans="1:6">
      <c r="A447" s="2260">
        <v>2005.06</v>
      </c>
      <c r="B447" s="2263">
        <v>76.6919807040168</v>
      </c>
      <c r="C447" s="420">
        <f t="shared" si="6"/>
        <v>76.6919807040168</v>
      </c>
      <c r="D447" s="1253"/>
      <c r="E447" s="3244"/>
      <c r="F447" s="1147"/>
    </row>
    <row r="448" spans="1:6">
      <c r="A448" s="2260">
        <v>2005.07</v>
      </c>
      <c r="B448" s="2263">
        <v>77.460954291445773</v>
      </c>
      <c r="C448" s="420">
        <f t="shared" si="6"/>
        <v>77.460954291445773</v>
      </c>
      <c r="D448" s="1253"/>
      <c r="E448" s="3244"/>
      <c r="F448" s="1147"/>
    </row>
    <row r="449" spans="1:6">
      <c r="A449" s="2260">
        <v>2005.08</v>
      </c>
      <c r="B449" s="2263">
        <v>77.80006686726847</v>
      </c>
      <c r="C449" s="420">
        <f t="shared" si="6"/>
        <v>77.80006686726847</v>
      </c>
      <c r="D449" s="1253"/>
      <c r="E449" s="3244"/>
      <c r="F449" s="1147"/>
    </row>
    <row r="450" spans="1:6">
      <c r="A450" s="2260">
        <v>2005.09</v>
      </c>
      <c r="B450" s="2263">
        <v>78.707551225103884</v>
      </c>
      <c r="C450" s="420">
        <f t="shared" si="6"/>
        <v>78.707551225103884</v>
      </c>
      <c r="D450" s="1253"/>
      <c r="E450" s="3244"/>
      <c r="F450" s="1147"/>
    </row>
    <row r="451" spans="1:6">
      <c r="A451" s="2260">
        <v>2005.1</v>
      </c>
      <c r="B451" s="2263">
        <v>79.318909108277197</v>
      </c>
      <c r="C451" s="420">
        <f t="shared" si="6"/>
        <v>79.318909108277197</v>
      </c>
      <c r="D451" s="1253"/>
      <c r="E451" s="3244"/>
      <c r="F451" s="1147"/>
    </row>
    <row r="452" spans="1:6">
      <c r="A452" s="2260">
        <v>2005.11</v>
      </c>
      <c r="B452" s="2263">
        <v>80.278932034197837</v>
      </c>
      <c r="C452" s="420">
        <f t="shared" si="6"/>
        <v>80.278932034197837</v>
      </c>
      <c r="D452" s="1253"/>
      <c r="E452" s="3244"/>
      <c r="F452" s="1147"/>
    </row>
    <row r="453" spans="1:6">
      <c r="A453" s="2260">
        <v>2005.12</v>
      </c>
      <c r="B453" s="2263">
        <v>81.172087691646354</v>
      </c>
      <c r="C453" s="420">
        <f t="shared" si="6"/>
        <v>81.172087691646354</v>
      </c>
      <c r="D453" s="1253"/>
      <c r="E453" s="3244"/>
      <c r="F453" s="1147"/>
    </row>
    <row r="454" spans="1:6">
      <c r="A454" s="2260">
        <v>2006.01</v>
      </c>
      <c r="B454" s="2263">
        <v>82.208530352963649</v>
      </c>
      <c r="C454" s="420">
        <f t="shared" si="6"/>
        <v>82.208530352963649</v>
      </c>
      <c r="D454" s="1253"/>
      <c r="E454" s="3244"/>
      <c r="F454" s="1147"/>
    </row>
    <row r="455" spans="1:6">
      <c r="A455" s="2260">
        <v>2006.02</v>
      </c>
      <c r="B455" s="2263">
        <v>82.53331422839949</v>
      </c>
      <c r="C455" s="420">
        <f t="shared" si="6"/>
        <v>82.53331422839949</v>
      </c>
      <c r="D455" s="1253"/>
      <c r="E455" s="3244"/>
      <c r="F455" s="1147"/>
    </row>
    <row r="456" spans="1:6">
      <c r="A456" s="2260">
        <v>2006.03</v>
      </c>
      <c r="B456" s="2263">
        <v>83.526770788556135</v>
      </c>
      <c r="C456" s="420">
        <f t="shared" si="6"/>
        <v>83.526770788556135</v>
      </c>
      <c r="D456" s="1253"/>
      <c r="E456" s="3244"/>
      <c r="F456" s="1147"/>
    </row>
    <row r="457" spans="1:6">
      <c r="A457" s="2260">
        <v>2006.04</v>
      </c>
      <c r="B457" s="2263">
        <v>84.338730477145731</v>
      </c>
      <c r="C457" s="420">
        <f t="shared" si="6"/>
        <v>84.338730477145731</v>
      </c>
      <c r="D457" s="1253"/>
      <c r="E457" s="3244"/>
      <c r="F457" s="1147"/>
    </row>
    <row r="458" spans="1:6">
      <c r="A458" s="2260">
        <v>2006.05</v>
      </c>
      <c r="B458" s="2263">
        <v>84.735157854515933</v>
      </c>
      <c r="C458" s="420">
        <f t="shared" si="6"/>
        <v>84.735157854515933</v>
      </c>
      <c r="D458" s="1253"/>
      <c r="E458" s="3244"/>
      <c r="F458" s="1147"/>
    </row>
    <row r="459" spans="1:6">
      <c r="A459" s="2260">
        <v>2006.06</v>
      </c>
      <c r="B459" s="2263">
        <v>85.145913932273004</v>
      </c>
      <c r="C459" s="420">
        <f t="shared" si="6"/>
        <v>85.145913932273004</v>
      </c>
      <c r="D459" s="1253"/>
      <c r="E459" s="3244"/>
      <c r="F459" s="1147"/>
    </row>
    <row r="460" spans="1:6">
      <c r="A460" s="2260">
        <v>2006.07</v>
      </c>
      <c r="B460" s="2263">
        <v>85.671299613125086</v>
      </c>
      <c r="C460" s="420">
        <f>B460</f>
        <v>85.671299613125086</v>
      </c>
      <c r="D460" s="1253"/>
      <c r="E460" s="3244"/>
      <c r="F460" s="1147"/>
    </row>
    <row r="461" spans="1:6">
      <c r="A461" s="2260">
        <v>2006.08</v>
      </c>
      <c r="B461" s="2263">
        <v>86.153699192816546</v>
      </c>
      <c r="C461" s="420">
        <f>B461</f>
        <v>86.153699192816546</v>
      </c>
      <c r="D461" s="1253"/>
      <c r="E461" s="3244"/>
      <c r="F461" s="1147"/>
    </row>
    <row r="462" spans="1:6">
      <c r="A462" s="2260">
        <v>2006.09</v>
      </c>
      <c r="B462" s="2263">
        <v>86.927449013707786</v>
      </c>
      <c r="C462" s="420">
        <f>B462</f>
        <v>86.927449013707786</v>
      </c>
      <c r="D462" s="1253"/>
      <c r="E462" s="3244"/>
      <c r="F462" s="1147"/>
    </row>
    <row r="463" spans="1:6">
      <c r="A463" s="2260">
        <v>2006.1</v>
      </c>
      <c r="B463" s="2263">
        <v>87.672541433825273</v>
      </c>
      <c r="C463" s="421">
        <f>C462*(1+D463)</f>
        <v>87.53594115680373</v>
      </c>
      <c r="D463" s="739">
        <v>6.9999999999999004E-3</v>
      </c>
      <c r="E463" s="3244"/>
      <c r="F463" s="1147"/>
    </row>
    <row r="464" spans="1:6">
      <c r="A464" s="2260">
        <v>2006.11</v>
      </c>
      <c r="B464" s="2263">
        <v>88.293451783923203</v>
      </c>
      <c r="C464" s="420">
        <f t="shared" ref="C464:C494" si="7">C463*(1+D464)</f>
        <v>88.411300568371772</v>
      </c>
      <c r="D464" s="2264">
        <v>0.01</v>
      </c>
      <c r="E464" s="3244"/>
      <c r="F464" s="1147"/>
    </row>
    <row r="465" spans="1:6">
      <c r="A465" s="2260">
        <v>2006.12</v>
      </c>
      <c r="B465" s="2263">
        <v>89.157950040597981</v>
      </c>
      <c r="C465" s="420">
        <f>C464*(1+D465)</f>
        <v>89.82588137746572</v>
      </c>
      <c r="D465" s="2264">
        <v>1.6000000000000014E-2</v>
      </c>
      <c r="E465" s="3244"/>
      <c r="F465" s="1147"/>
    </row>
    <row r="466" spans="1:6">
      <c r="A466" s="2260">
        <v>2007.01</v>
      </c>
      <c r="B466" s="2263">
        <v>90.180064001528393</v>
      </c>
      <c r="C466" s="420">
        <f t="shared" si="7"/>
        <v>91.173269598127703</v>
      </c>
      <c r="D466" s="2264">
        <v>1.4999999999999902E-2</v>
      </c>
      <c r="E466" s="3244"/>
      <c r="F466" s="1147"/>
    </row>
    <row r="467" spans="1:6">
      <c r="A467" s="2260">
        <v>2007.02</v>
      </c>
      <c r="B467" s="2263">
        <v>90.452309308879009</v>
      </c>
      <c r="C467" s="420">
        <f t="shared" si="7"/>
        <v>91.993829024510845</v>
      </c>
      <c r="D467" s="2264">
        <v>8.999999999999897E-3</v>
      </c>
      <c r="E467" s="3244"/>
      <c r="F467" s="1147"/>
    </row>
    <row r="468" spans="1:6">
      <c r="A468" s="2260">
        <v>2007.03</v>
      </c>
      <c r="B468" s="2263">
        <v>91.144863160911299</v>
      </c>
      <c r="C468" s="420">
        <f t="shared" si="7"/>
        <v>93.281742630853998</v>
      </c>
      <c r="D468" s="2264">
        <v>1.4000000000000012E-2</v>
      </c>
      <c r="E468" s="3244"/>
      <c r="F468" s="1147"/>
    </row>
    <row r="469" spans="1:6">
      <c r="A469" s="2260">
        <v>2007.04</v>
      </c>
      <c r="B469" s="2263">
        <v>91.823088312556706</v>
      </c>
      <c r="C469" s="420">
        <f t="shared" si="7"/>
        <v>95.520504453994491</v>
      </c>
      <c r="D469" s="2264">
        <v>2.4000000000000021E-2</v>
      </c>
      <c r="E469" s="3244"/>
      <c r="F469" s="1147"/>
    </row>
    <row r="470" spans="1:6">
      <c r="A470" s="2260">
        <v>2007.05</v>
      </c>
      <c r="B470" s="2263">
        <v>92.205186989540053</v>
      </c>
      <c r="C470" s="420">
        <f t="shared" si="7"/>
        <v>97.43091454307438</v>
      </c>
      <c r="D470" s="2264">
        <v>0.02</v>
      </c>
      <c r="E470" s="3244"/>
      <c r="F470" s="1147"/>
    </row>
    <row r="471" spans="1:6">
      <c r="A471" s="2260">
        <v>2007.06</v>
      </c>
      <c r="B471" s="2263">
        <v>92.61116683383483</v>
      </c>
      <c r="C471" s="420">
        <f t="shared" si="7"/>
        <v>99.866687406651224</v>
      </c>
      <c r="D471" s="2264">
        <v>2.4999999999999911E-2</v>
      </c>
      <c r="E471" s="3244"/>
      <c r="F471" s="1147"/>
    </row>
    <row r="472" spans="1:6">
      <c r="A472" s="2260">
        <v>2007.07</v>
      </c>
      <c r="B472" s="2263">
        <v>93.074461479677126</v>
      </c>
      <c r="C472" s="420">
        <f t="shared" si="7"/>
        <v>101.96388784219089</v>
      </c>
      <c r="D472" s="2264">
        <v>2.0999999999999908E-2</v>
      </c>
      <c r="E472" s="3244"/>
      <c r="F472" s="1147"/>
    </row>
    <row r="473" spans="1:6">
      <c r="A473" s="2260">
        <v>2007.08</v>
      </c>
      <c r="B473" s="2263">
        <v>93.618952094378372</v>
      </c>
      <c r="C473" s="420">
        <f t="shared" si="7"/>
        <v>105.12476836529879</v>
      </c>
      <c r="D473" s="2264">
        <v>3.0999999999999917E-2</v>
      </c>
      <c r="E473" s="3244"/>
      <c r="F473" s="1147"/>
    </row>
    <row r="474" spans="1:6">
      <c r="A474" s="2260">
        <v>2007.09</v>
      </c>
      <c r="B474" s="2263">
        <v>94.368820747958154</v>
      </c>
      <c r="C474" s="420">
        <f t="shared" si="7"/>
        <v>106.91188942750887</v>
      </c>
      <c r="D474" s="2264">
        <v>1.6999999999999904E-2</v>
      </c>
      <c r="E474" s="3244"/>
      <c r="F474" s="1147"/>
    </row>
    <row r="475" spans="1:6">
      <c r="A475" s="2260">
        <v>2007.1</v>
      </c>
      <c r="B475" s="2263">
        <v>95.013612265367527</v>
      </c>
      <c r="C475" s="420">
        <f t="shared" si="7"/>
        <v>108.62247965834901</v>
      </c>
      <c r="D475" s="2264">
        <v>1.6000000000000014E-2</v>
      </c>
      <c r="E475" s="3244"/>
      <c r="F475" s="1147"/>
    </row>
    <row r="476" spans="1:6">
      <c r="A476" s="2260">
        <v>2007.11</v>
      </c>
      <c r="B476" s="2263">
        <v>95.825571953957095</v>
      </c>
      <c r="C476" s="420">
        <f t="shared" si="7"/>
        <v>110.68630677185763</v>
      </c>
      <c r="D476" s="2264">
        <v>1.8999999999999906E-2</v>
      </c>
      <c r="E476" s="3244"/>
      <c r="F476" s="1147"/>
    </row>
    <row r="477" spans="1:6">
      <c r="A477" s="2260">
        <v>2007.12</v>
      </c>
      <c r="B477" s="2263">
        <v>96.713951377943346</v>
      </c>
      <c r="C477" s="420">
        <f t="shared" si="7"/>
        <v>112.90003290729479</v>
      </c>
      <c r="D477" s="2264">
        <v>0.02</v>
      </c>
      <c r="E477" s="3244"/>
      <c r="F477" s="1147"/>
    </row>
    <row r="478" spans="1:6">
      <c r="A478" s="2260">
        <f t="shared" ref="A478:A541" si="8">A466+1</f>
        <v>2008.01</v>
      </c>
      <c r="B478" s="2263">
        <v>97.611883268854186</v>
      </c>
      <c r="C478" s="420">
        <f t="shared" si="7"/>
        <v>115.27093359834797</v>
      </c>
      <c r="D478" s="2264">
        <v>2.0999999999999908E-2</v>
      </c>
      <c r="E478" s="3244"/>
      <c r="F478" s="1147"/>
    </row>
    <row r="479" spans="1:6">
      <c r="A479" s="2260">
        <f t="shared" si="8"/>
        <v>2008.02</v>
      </c>
      <c r="B479" s="2263">
        <v>98.070401681234188</v>
      </c>
      <c r="C479" s="420">
        <f t="shared" si="7"/>
        <v>116.76945573512648</v>
      </c>
      <c r="D479" s="2264">
        <v>1.2999999999999901E-2</v>
      </c>
      <c r="E479" s="3244"/>
      <c r="F479" s="1147"/>
    </row>
    <row r="480" spans="1:6">
      <c r="A480" s="2260">
        <f t="shared" si="8"/>
        <v>2008.03</v>
      </c>
      <c r="B480" s="2263">
        <v>99.178487844485844</v>
      </c>
      <c r="C480" s="420">
        <f t="shared" si="7"/>
        <v>120.50607831865054</v>
      </c>
      <c r="D480" s="2264">
        <v>3.2000000000000028E-2</v>
      </c>
      <c r="E480" s="3244"/>
      <c r="F480" s="1147"/>
    </row>
    <row r="481" spans="1:6">
      <c r="A481" s="2260">
        <f t="shared" si="8"/>
        <v>2008.04</v>
      </c>
      <c r="B481" s="2263">
        <v>100</v>
      </c>
      <c r="C481" s="420">
        <f t="shared" si="7"/>
        <v>123.15721204166086</v>
      </c>
      <c r="D481" s="2264">
        <v>2.200000000000002E-2</v>
      </c>
      <c r="E481" s="3244"/>
      <c r="F481" s="1147"/>
    </row>
    <row r="482" spans="1:6">
      <c r="A482" s="2260">
        <f t="shared" si="8"/>
        <v>2008.05</v>
      </c>
      <c r="B482" s="2263">
        <v>100.56</v>
      </c>
      <c r="C482" s="420">
        <f t="shared" si="7"/>
        <v>125.12772743432743</v>
      </c>
      <c r="D482" s="2264">
        <v>1.6000000000000014E-2</v>
      </c>
      <c r="E482" s="3244"/>
      <c r="F482" s="1147"/>
    </row>
    <row r="483" spans="1:6">
      <c r="A483" s="2260">
        <f t="shared" si="8"/>
        <v>2008.06</v>
      </c>
      <c r="B483" s="2263">
        <v>101.2</v>
      </c>
      <c r="C483" s="420">
        <f t="shared" si="7"/>
        <v>127.75540971044829</v>
      </c>
      <c r="D483" s="2264">
        <v>2.0999999999999908E-2</v>
      </c>
      <c r="E483" s="3244"/>
      <c r="F483" s="1147"/>
    </row>
    <row r="484" spans="1:6">
      <c r="A484" s="2260">
        <f t="shared" si="8"/>
        <v>2008.07</v>
      </c>
      <c r="B484" s="2263">
        <v>101.57</v>
      </c>
      <c r="C484" s="420">
        <f t="shared" si="7"/>
        <v>130.43827331436771</v>
      </c>
      <c r="D484" s="2264">
        <v>2.0999999999999908E-2</v>
      </c>
      <c r="E484" s="3244"/>
      <c r="F484" s="1147"/>
    </row>
    <row r="485" spans="1:6">
      <c r="A485" s="2260">
        <f t="shared" si="8"/>
        <v>2008.08</v>
      </c>
      <c r="B485" s="2263">
        <v>102.05</v>
      </c>
      <c r="C485" s="420">
        <f t="shared" si="7"/>
        <v>133.04703878065507</v>
      </c>
      <c r="D485" s="2264">
        <v>0.02</v>
      </c>
      <c r="E485" s="3244"/>
      <c r="F485" s="1147"/>
    </row>
    <row r="486" spans="1:6">
      <c r="A486" s="2260">
        <f t="shared" si="8"/>
        <v>2008.09</v>
      </c>
      <c r="B486" s="2263">
        <v>102.57</v>
      </c>
      <c r="C486" s="420">
        <f t="shared" si="7"/>
        <v>134.90969732358425</v>
      </c>
      <c r="D486" s="2264">
        <v>1.4000000000000012E-2</v>
      </c>
      <c r="E486" s="3244"/>
      <c r="F486" s="1147"/>
    </row>
    <row r="487" spans="1:6">
      <c r="A487" s="2260">
        <f t="shared" si="8"/>
        <v>2008.1</v>
      </c>
      <c r="B487" s="2263">
        <v>103.01</v>
      </c>
      <c r="C487" s="420">
        <f t="shared" si="7"/>
        <v>136.39370399414366</v>
      </c>
      <c r="D487" s="2264">
        <v>1.0999999999999899E-2</v>
      </c>
      <c r="E487" s="3244"/>
      <c r="F487" s="1147"/>
    </row>
    <row r="488" spans="1:6">
      <c r="A488" s="2260">
        <f t="shared" si="8"/>
        <v>2008.11</v>
      </c>
      <c r="B488" s="2263">
        <v>103.36</v>
      </c>
      <c r="C488" s="420">
        <f t="shared" si="7"/>
        <v>137.34845992210265</v>
      </c>
      <c r="D488" s="2264">
        <v>6.9999999999998952E-3</v>
      </c>
      <c r="E488" s="3244"/>
      <c r="F488" s="1147"/>
    </row>
    <row r="489" spans="1:6">
      <c r="A489" s="2260">
        <f t="shared" si="8"/>
        <v>2008.12</v>
      </c>
      <c r="B489" s="2263">
        <v>103.71</v>
      </c>
      <c r="C489" s="420">
        <f t="shared" si="7"/>
        <v>138.85929298124577</v>
      </c>
      <c r="D489" s="2264">
        <v>1.0999999999999899E-2</v>
      </c>
      <c r="E489" s="3244"/>
      <c r="F489" s="1147"/>
    </row>
    <row r="490" spans="1:6">
      <c r="A490" s="2260">
        <f t="shared" si="8"/>
        <v>2009.01</v>
      </c>
      <c r="B490" s="2263">
        <v>104.26</v>
      </c>
      <c r="C490" s="420">
        <f t="shared" si="7"/>
        <v>140.94218237596445</v>
      </c>
      <c r="D490" s="2264">
        <v>1.4999999999999999E-2</v>
      </c>
      <c r="E490" s="3244"/>
      <c r="F490" s="1147"/>
    </row>
    <row r="491" spans="1:6">
      <c r="A491" s="2260">
        <f t="shared" si="8"/>
        <v>2009.02</v>
      </c>
      <c r="B491" s="2263">
        <v>104.71</v>
      </c>
      <c r="C491" s="420">
        <f t="shared" si="7"/>
        <v>142.21066201734811</v>
      </c>
      <c r="D491" s="2264">
        <v>8.9999999999999993E-3</v>
      </c>
      <c r="E491" s="3244"/>
      <c r="F491" s="1147"/>
    </row>
    <row r="492" spans="1:6">
      <c r="A492" s="2260">
        <f t="shared" si="8"/>
        <v>2009.03</v>
      </c>
      <c r="B492" s="2263">
        <v>105.38</v>
      </c>
      <c r="C492" s="420">
        <f t="shared" si="7"/>
        <v>143.91718996155629</v>
      </c>
      <c r="D492" s="2264">
        <v>1.2E-2</v>
      </c>
      <c r="E492" s="3244"/>
      <c r="F492" s="1147"/>
    </row>
    <row r="493" spans="1:6">
      <c r="A493" s="2260">
        <f t="shared" si="8"/>
        <v>2009.04</v>
      </c>
      <c r="B493" s="2263">
        <v>105.73</v>
      </c>
      <c r="C493" s="420">
        <f t="shared" si="7"/>
        <v>145.64419624109496</v>
      </c>
      <c r="D493" s="2264">
        <v>1.2E-2</v>
      </c>
      <c r="E493" s="3244"/>
      <c r="F493" s="1147"/>
    </row>
    <row r="494" spans="1:6">
      <c r="A494" s="2260">
        <f t="shared" si="8"/>
        <v>2009.05</v>
      </c>
      <c r="B494" s="2263">
        <v>106.08</v>
      </c>
      <c r="C494" s="420">
        <f t="shared" si="7"/>
        <v>146.6637056147826</v>
      </c>
      <c r="D494" s="2264">
        <v>7.0000000000000001E-3</v>
      </c>
      <c r="E494" s="3244"/>
      <c r="F494" s="1147"/>
    </row>
    <row r="495" spans="1:6">
      <c r="A495" s="2260">
        <f t="shared" si="8"/>
        <v>2009.06</v>
      </c>
      <c r="B495" s="2263">
        <v>106.53</v>
      </c>
      <c r="C495" s="420">
        <f t="shared" ref="C495:C512" si="9">C494*(1+D495)</f>
        <v>147.54368784847131</v>
      </c>
      <c r="D495" s="2264">
        <v>6.0000000000000001E-3</v>
      </c>
      <c r="E495" s="3244"/>
      <c r="F495" s="1147"/>
    </row>
    <row r="496" spans="1:6">
      <c r="A496" s="2260">
        <f t="shared" si="8"/>
        <v>2009.07</v>
      </c>
      <c r="B496" s="2263">
        <v>107.19</v>
      </c>
      <c r="C496" s="420">
        <f t="shared" si="9"/>
        <v>149.31421210265296</v>
      </c>
      <c r="D496" s="2264">
        <v>1.2E-2</v>
      </c>
      <c r="E496" s="3244"/>
      <c r="F496" s="1147"/>
    </row>
    <row r="497" spans="1:6">
      <c r="A497" s="2260">
        <f t="shared" si="8"/>
        <v>2009.08</v>
      </c>
      <c r="B497" s="2263">
        <v>108.08</v>
      </c>
      <c r="C497" s="420">
        <f t="shared" si="9"/>
        <v>151.25529685998742</v>
      </c>
      <c r="D497" s="2264">
        <v>1.2999999999999999E-2</v>
      </c>
      <c r="E497" s="3244"/>
      <c r="F497" s="1147"/>
    </row>
    <row r="498" spans="1:6">
      <c r="A498" s="2260">
        <f t="shared" si="8"/>
        <v>2009.09</v>
      </c>
      <c r="B498" s="2263">
        <v>108.88</v>
      </c>
      <c r="C498" s="420">
        <f t="shared" si="9"/>
        <v>153.07036042230729</v>
      </c>
      <c r="D498" s="2264">
        <v>1.2E-2</v>
      </c>
      <c r="E498" s="3244"/>
      <c r="F498" s="1147"/>
    </row>
    <row r="499" spans="1:6">
      <c r="A499" s="2260">
        <f t="shared" si="8"/>
        <v>2009.1</v>
      </c>
      <c r="B499" s="2263">
        <v>109.75</v>
      </c>
      <c r="C499" s="420">
        <f t="shared" si="9"/>
        <v>154.60106402653037</v>
      </c>
      <c r="D499" s="2264">
        <v>0.01</v>
      </c>
      <c r="E499" s="3244"/>
      <c r="F499" s="1147"/>
    </row>
    <row r="500" spans="1:6">
      <c r="A500" s="2260">
        <f t="shared" si="8"/>
        <v>2009.11</v>
      </c>
      <c r="B500" s="2263">
        <v>110.66</v>
      </c>
      <c r="C500" s="420">
        <f t="shared" si="9"/>
        <v>156.61087785887526</v>
      </c>
      <c r="D500" s="2264">
        <v>1.2999999999999999E-2</v>
      </c>
      <c r="E500" s="3244"/>
      <c r="F500" s="1147"/>
    </row>
    <row r="501" spans="1:6">
      <c r="A501" s="2260">
        <f t="shared" si="8"/>
        <v>2009.12</v>
      </c>
      <c r="B501" s="2263">
        <v>111.69</v>
      </c>
      <c r="C501" s="420">
        <f t="shared" si="9"/>
        <v>159.42987366033501</v>
      </c>
      <c r="D501" s="2264">
        <v>1.7999999999999999E-2</v>
      </c>
      <c r="E501" s="3244"/>
      <c r="F501" s="1147"/>
    </row>
    <row r="502" spans="1:6">
      <c r="A502" s="2260">
        <f t="shared" si="8"/>
        <v>2010.01</v>
      </c>
      <c r="B502" s="2263">
        <v>112.85</v>
      </c>
      <c r="C502" s="420">
        <f t="shared" si="9"/>
        <v>163.09676075452271</v>
      </c>
      <c r="D502" s="2264">
        <v>2.3E-2</v>
      </c>
      <c r="E502" s="3244"/>
      <c r="F502" s="1147"/>
    </row>
    <row r="503" spans="1:6">
      <c r="A503" s="324">
        <f t="shared" si="8"/>
        <v>2010.02</v>
      </c>
      <c r="B503" s="2263">
        <v>114.26</v>
      </c>
      <c r="C503" s="420">
        <f t="shared" si="9"/>
        <v>167.82656681640384</v>
      </c>
      <c r="D503" s="2264">
        <v>2.9000000000000001E-2</v>
      </c>
      <c r="E503" s="3244"/>
      <c r="F503" s="1147"/>
    </row>
    <row r="504" spans="1:6">
      <c r="A504" s="324">
        <f t="shared" si="8"/>
        <v>2010.03</v>
      </c>
      <c r="B504" s="2263">
        <v>115.56</v>
      </c>
      <c r="C504" s="420">
        <f t="shared" si="9"/>
        <v>172.69353725407953</v>
      </c>
      <c r="D504" s="2264">
        <v>2.9000000000000001E-2</v>
      </c>
      <c r="E504" s="3244"/>
      <c r="F504" s="1147"/>
    </row>
    <row r="505" spans="1:6">
      <c r="A505" s="324">
        <f t="shared" si="8"/>
        <v>2010.04</v>
      </c>
      <c r="B505" s="2263">
        <v>116.52</v>
      </c>
      <c r="C505" s="420">
        <f t="shared" si="9"/>
        <v>175.80202092465296</v>
      </c>
      <c r="D505" s="2264">
        <v>1.7999999999999999E-2</v>
      </c>
      <c r="E505" s="3244"/>
      <c r="F505" s="1147"/>
    </row>
    <row r="506" spans="1:6">
      <c r="A506" s="324">
        <f t="shared" si="8"/>
        <v>2010.05</v>
      </c>
      <c r="B506" s="2263">
        <v>117.39</v>
      </c>
      <c r="C506" s="420">
        <f t="shared" si="9"/>
        <v>177.91164517574879</v>
      </c>
      <c r="D506" s="2264">
        <v>1.2E-2</v>
      </c>
      <c r="E506" s="3244"/>
      <c r="F506" s="1147"/>
    </row>
    <row r="507" spans="1:6">
      <c r="A507" s="324">
        <f t="shared" si="8"/>
        <v>2010.06</v>
      </c>
      <c r="B507" s="2263">
        <v>118.25</v>
      </c>
      <c r="C507" s="420">
        <f t="shared" si="9"/>
        <v>180.75823149856078</v>
      </c>
      <c r="D507" s="2264">
        <v>1.6E-2</v>
      </c>
      <c r="E507" s="3244"/>
      <c r="F507" s="1147"/>
    </row>
    <row r="508" spans="1:6">
      <c r="A508" s="324">
        <f t="shared" si="8"/>
        <v>2010.07</v>
      </c>
      <c r="B508" s="2263">
        <v>119.2</v>
      </c>
      <c r="C508" s="420">
        <f t="shared" si="9"/>
        <v>184.19263789703342</v>
      </c>
      <c r="D508" s="2264">
        <v>1.9E-2</v>
      </c>
      <c r="E508" s="3244"/>
      <c r="F508" s="1147"/>
    </row>
    <row r="509" spans="1:6">
      <c r="A509" s="324">
        <f t="shared" si="8"/>
        <v>2010.08</v>
      </c>
      <c r="B509" s="2263">
        <v>120.8</v>
      </c>
      <c r="C509" s="420">
        <f t="shared" si="9"/>
        <v>186.9555274654889</v>
      </c>
      <c r="D509" s="2264">
        <v>1.4999999999999999E-2</v>
      </c>
      <c r="E509" s="3244"/>
      <c r="F509" s="1147"/>
    </row>
    <row r="510" spans="1:6">
      <c r="A510" s="324">
        <f t="shared" si="8"/>
        <v>2010.09</v>
      </c>
      <c r="B510" s="2263">
        <v>120.95</v>
      </c>
      <c r="C510" s="420">
        <f t="shared" si="9"/>
        <v>189.57290485000576</v>
      </c>
      <c r="D510" s="2264">
        <v>1.4E-2</v>
      </c>
      <c r="E510" s="3244"/>
      <c r="F510" s="1147"/>
    </row>
    <row r="511" spans="1:6">
      <c r="A511" s="324">
        <f t="shared" si="8"/>
        <v>2010.1</v>
      </c>
      <c r="B511" s="2263">
        <v>121.97</v>
      </c>
      <c r="C511" s="420">
        <f t="shared" si="9"/>
        <v>194.31222747125588</v>
      </c>
      <c r="D511" s="2264">
        <v>2.5000000000000001E-2</v>
      </c>
      <c r="E511" s="3244"/>
      <c r="F511" s="1147"/>
    </row>
    <row r="512" spans="1:6">
      <c r="A512" s="324">
        <f t="shared" si="8"/>
        <v>2010.11</v>
      </c>
      <c r="B512" s="2263">
        <v>122.86</v>
      </c>
      <c r="C512" s="420">
        <f t="shared" si="9"/>
        <v>196.83828642838219</v>
      </c>
      <c r="D512" s="2264">
        <v>1.2999999999999999E-2</v>
      </c>
      <c r="E512" s="3244"/>
      <c r="F512" s="1147"/>
    </row>
    <row r="513" spans="1:6">
      <c r="A513" s="324">
        <f t="shared" si="8"/>
        <v>2010.12</v>
      </c>
      <c r="B513" s="2263">
        <v>123.89</v>
      </c>
      <c r="C513" s="422">
        <v>200.34159459790487</v>
      </c>
      <c r="D513" s="740" t="s">
        <v>356</v>
      </c>
      <c r="E513" s="3244"/>
      <c r="F513" s="1147"/>
    </row>
    <row r="514" spans="1:6">
      <c r="A514" s="2260">
        <f t="shared" si="8"/>
        <v>2011.01</v>
      </c>
      <c r="B514" s="2263">
        <v>124.79</v>
      </c>
      <c r="C514" s="422">
        <v>202.44665257696022</v>
      </c>
      <c r="D514" s="740"/>
      <c r="E514" s="3244"/>
      <c r="F514" s="1147"/>
    </row>
    <row r="515" spans="1:6">
      <c r="A515" s="324">
        <f t="shared" si="8"/>
        <v>2011.02</v>
      </c>
      <c r="B515" s="2263">
        <v>125.71</v>
      </c>
      <c r="C515" s="422">
        <v>205.1586433309987</v>
      </c>
      <c r="D515" s="741"/>
      <c r="E515" s="3244"/>
      <c r="F515" s="1147"/>
    </row>
    <row r="516" spans="1:6">
      <c r="A516" s="324">
        <f t="shared" si="8"/>
        <v>2011.03</v>
      </c>
      <c r="B516" s="2263">
        <v>126.77</v>
      </c>
      <c r="C516" s="422">
        <v>210.67481715932615</v>
      </c>
      <c r="D516" s="741"/>
      <c r="E516" s="3244"/>
      <c r="F516" s="1147"/>
    </row>
    <row r="517" spans="1:6">
      <c r="A517" s="324">
        <f t="shared" si="8"/>
        <v>2011.04</v>
      </c>
      <c r="B517" s="2263">
        <v>127.83</v>
      </c>
      <c r="C517" s="422">
        <v>215.24601970508499</v>
      </c>
      <c r="D517" s="741"/>
      <c r="E517" s="3244"/>
      <c r="F517" s="1147"/>
    </row>
    <row r="518" spans="1:6">
      <c r="A518" s="324">
        <f t="shared" si="8"/>
        <v>2011.05</v>
      </c>
      <c r="B518" s="2263">
        <v>128.77000000000001</v>
      </c>
      <c r="C518" s="421">
        <f t="shared" ref="C518:C549" si="10">C517*(1+E518)</f>
        <v>218.47471000066125</v>
      </c>
      <c r="D518" s="741"/>
      <c r="E518" s="3251">
        <v>1.4999999999999999E-2</v>
      </c>
      <c r="F518" s="1147"/>
    </row>
    <row r="519" spans="1:6">
      <c r="A519" s="324">
        <f t="shared" si="8"/>
        <v>2011.06</v>
      </c>
      <c r="B519" s="2263">
        <v>129.69</v>
      </c>
      <c r="C519" s="420">
        <f t="shared" si="10"/>
        <v>221.75183065067114</v>
      </c>
      <c r="D519" s="741"/>
      <c r="E519" s="3252">
        <v>1.4999999999999999E-2</v>
      </c>
      <c r="F519" s="1147"/>
    </row>
    <row r="520" spans="1:6">
      <c r="A520" s="324">
        <f t="shared" si="8"/>
        <v>2011.07</v>
      </c>
      <c r="B520" s="2263">
        <v>130.72</v>
      </c>
      <c r="C520" s="420">
        <f t="shared" si="10"/>
        <v>225.29985994108188</v>
      </c>
      <c r="D520" s="741"/>
      <c r="E520" s="3252">
        <v>1.6E-2</v>
      </c>
      <c r="F520" s="1147"/>
    </row>
    <row r="521" spans="1:6">
      <c r="A521" s="324">
        <f t="shared" si="8"/>
        <v>2011.08</v>
      </c>
      <c r="B521" s="2263">
        <v>131.81</v>
      </c>
      <c r="C521" s="420">
        <f t="shared" si="10"/>
        <v>229.58055727996242</v>
      </c>
      <c r="D521" s="741"/>
      <c r="E521" s="3252">
        <v>1.9E-2</v>
      </c>
      <c r="F521" s="1147"/>
    </row>
    <row r="522" spans="1:6">
      <c r="A522" s="324">
        <f t="shared" si="8"/>
        <v>2011.09</v>
      </c>
      <c r="B522" s="2263">
        <v>132.91</v>
      </c>
      <c r="C522" s="420">
        <f t="shared" si="10"/>
        <v>233.94258786828169</v>
      </c>
      <c r="D522" s="741"/>
      <c r="E522" s="3252">
        <v>1.9E-2</v>
      </c>
      <c r="F522" s="1147"/>
    </row>
    <row r="523" spans="1:6">
      <c r="A523" s="324">
        <f t="shared" si="8"/>
        <v>2011.1</v>
      </c>
      <c r="B523" s="2263">
        <v>133.75</v>
      </c>
      <c r="C523" s="420">
        <f t="shared" si="10"/>
        <v>237.42833242751908</v>
      </c>
      <c r="D523" s="741"/>
      <c r="E523" s="3252">
        <v>1.49E-2</v>
      </c>
      <c r="F523" s="1147"/>
    </row>
    <row r="524" spans="1:6">
      <c r="A524" s="324">
        <f t="shared" si="8"/>
        <v>2011.11</v>
      </c>
      <c r="B524" s="2263">
        <v>134.54</v>
      </c>
      <c r="C524" s="420">
        <f t="shared" si="10"/>
        <v>240.84730041447534</v>
      </c>
      <c r="D524" s="741"/>
      <c r="E524" s="3252">
        <v>1.44E-2</v>
      </c>
      <c r="F524" s="1147"/>
    </row>
    <row r="525" spans="1:6">
      <c r="A525" s="324">
        <f t="shared" si="8"/>
        <v>2011.12</v>
      </c>
      <c r="B525" s="2263">
        <v>135.66999999999999</v>
      </c>
      <c r="C525" s="420">
        <f t="shared" si="10"/>
        <v>245.42339912235036</v>
      </c>
      <c r="D525" s="741"/>
      <c r="E525" s="3252">
        <v>1.9E-2</v>
      </c>
      <c r="F525" s="1147"/>
    </row>
    <row r="526" spans="1:6">
      <c r="A526" s="2260">
        <f t="shared" si="8"/>
        <v>2012.01</v>
      </c>
      <c r="B526" s="2263">
        <v>136.91</v>
      </c>
      <c r="C526" s="420">
        <f t="shared" si="10"/>
        <v>250.08644370567498</v>
      </c>
      <c r="D526" s="741"/>
      <c r="E526" s="3252">
        <v>1.9E-2</v>
      </c>
      <c r="F526" s="1147"/>
    </row>
    <row r="527" spans="1:6">
      <c r="A527" s="324">
        <f t="shared" si="8"/>
        <v>2012.02</v>
      </c>
      <c r="B527" s="2263">
        <v>137.91999999999999</v>
      </c>
      <c r="C527" s="420">
        <f t="shared" si="10"/>
        <v>254.21287002681862</v>
      </c>
      <c r="D527" s="741"/>
      <c r="E527" s="3252">
        <v>1.6500000000000001E-2</v>
      </c>
      <c r="F527" s="1147"/>
    </row>
    <row r="528" spans="1:6">
      <c r="A528" s="324">
        <f t="shared" si="8"/>
        <v>2012.03</v>
      </c>
      <c r="B528" s="2263">
        <v>139.21</v>
      </c>
      <c r="C528" s="420">
        <f t="shared" si="10"/>
        <v>260.0851873244381</v>
      </c>
      <c r="D528" s="741"/>
      <c r="E528" s="3252">
        <v>2.3099999999999999E-2</v>
      </c>
      <c r="F528" s="1147"/>
    </row>
    <row r="529" spans="1:6">
      <c r="A529" s="324">
        <f t="shared" si="8"/>
        <v>2012.04</v>
      </c>
      <c r="B529" s="2263">
        <v>140.37</v>
      </c>
      <c r="C529" s="420">
        <f t="shared" si="10"/>
        <v>265.703027370646</v>
      </c>
      <c r="D529" s="741"/>
      <c r="E529" s="3252">
        <v>2.1600000000000001E-2</v>
      </c>
      <c r="F529" s="1147"/>
    </row>
    <row r="530" spans="1:6">
      <c r="A530" s="324">
        <f t="shared" si="8"/>
        <v>2012.05</v>
      </c>
      <c r="B530" s="2263">
        <v>141.51</v>
      </c>
      <c r="C530" s="420">
        <f t="shared" si="10"/>
        <v>270.29968974415817</v>
      </c>
      <c r="D530" s="741"/>
      <c r="E530" s="3252">
        <v>1.7299999999999999E-2</v>
      </c>
      <c r="F530" s="1147"/>
    </row>
    <row r="531" spans="1:6">
      <c r="A531" s="324">
        <f t="shared" si="8"/>
        <v>2012.06</v>
      </c>
      <c r="B531" s="2263">
        <v>142.53</v>
      </c>
      <c r="C531" s="420">
        <f t="shared" si="10"/>
        <v>274.70557468698797</v>
      </c>
      <c r="D531" s="741"/>
      <c r="E531" s="3252">
        <v>1.6299999999999999E-2</v>
      </c>
      <c r="F531" s="1147"/>
    </row>
    <row r="532" spans="1:6">
      <c r="A532" s="324">
        <f t="shared" si="8"/>
        <v>2012.07</v>
      </c>
      <c r="B532" s="2263">
        <v>143.66</v>
      </c>
      <c r="C532" s="420">
        <f t="shared" si="10"/>
        <v>279.54039280147896</v>
      </c>
      <c r="D532" s="741"/>
      <c r="E532" s="3252">
        <v>1.7600000000000001E-2</v>
      </c>
      <c r="F532" s="1147"/>
    </row>
    <row r="533" spans="1:6">
      <c r="A533" s="324">
        <f t="shared" si="8"/>
        <v>2012.08</v>
      </c>
      <c r="B533" s="2263">
        <v>144.94</v>
      </c>
      <c r="C533" s="420">
        <f t="shared" si="10"/>
        <v>284.87961430398718</v>
      </c>
      <c r="D533" s="741"/>
      <c r="E533" s="3252">
        <v>1.9099999999999999E-2</v>
      </c>
      <c r="F533" s="1147"/>
    </row>
    <row r="534" spans="1:6">
      <c r="A534" s="324">
        <f t="shared" si="8"/>
        <v>2012.09</v>
      </c>
      <c r="B534" s="2263">
        <v>146.22</v>
      </c>
      <c r="C534" s="420">
        <f t="shared" si="10"/>
        <v>290.37779086005418</v>
      </c>
      <c r="D534" s="741"/>
      <c r="E534" s="3252">
        <v>1.9300000000000001E-2</v>
      </c>
      <c r="F534" s="1147"/>
    </row>
    <row r="535" spans="1:6">
      <c r="A535" s="324">
        <f t="shared" si="8"/>
        <v>2012.1</v>
      </c>
      <c r="B535" s="2263">
        <v>147.44999999999999</v>
      </c>
      <c r="C535" s="420">
        <f t="shared" si="10"/>
        <v>295.66266665370716</v>
      </c>
      <c r="D535" s="741"/>
      <c r="E535" s="3252">
        <v>1.8200000000000001E-2</v>
      </c>
      <c r="F535" s="1147"/>
    </row>
    <row r="536" spans="1:6">
      <c r="A536" s="324">
        <f t="shared" si="8"/>
        <v>2012.11</v>
      </c>
      <c r="B536" s="2263">
        <v>148.83000000000001</v>
      </c>
      <c r="C536" s="420">
        <f t="shared" si="10"/>
        <v>301.01416092013926</v>
      </c>
      <c r="D536" s="741"/>
      <c r="E536" s="3252">
        <v>1.8100000000000002E-2</v>
      </c>
      <c r="F536" s="1147"/>
    </row>
    <row r="537" spans="1:6">
      <c r="A537" s="324">
        <f t="shared" si="8"/>
        <v>2012.12</v>
      </c>
      <c r="B537" s="2263">
        <v>150.38</v>
      </c>
      <c r="C537" s="420">
        <f t="shared" si="10"/>
        <v>307.33545829946218</v>
      </c>
      <c r="D537" s="741"/>
      <c r="E537" s="3252">
        <v>2.1000000000000001E-2</v>
      </c>
      <c r="F537" s="1147"/>
    </row>
    <row r="538" spans="1:6">
      <c r="A538" s="2260">
        <f t="shared" si="8"/>
        <v>2013.01</v>
      </c>
      <c r="B538" s="2263">
        <v>152.09</v>
      </c>
      <c r="C538" s="420">
        <f t="shared" si="10"/>
        <v>315.26471312358831</v>
      </c>
      <c r="D538" s="741"/>
      <c r="E538" s="3252">
        <v>2.58E-2</v>
      </c>
      <c r="F538" s="1147"/>
    </row>
    <row r="539" spans="1:6">
      <c r="A539" s="324">
        <f t="shared" si="8"/>
        <v>2013.02</v>
      </c>
      <c r="B539" s="2263">
        <v>152.84</v>
      </c>
      <c r="C539" s="420">
        <f t="shared" si="10"/>
        <v>319.14246909500844</v>
      </c>
      <c r="D539" s="741"/>
      <c r="E539" s="3252">
        <v>1.23E-2</v>
      </c>
      <c r="F539" s="1147"/>
    </row>
    <row r="540" spans="1:6">
      <c r="A540" s="324">
        <f t="shared" si="8"/>
        <v>2013.03</v>
      </c>
      <c r="B540" s="2263">
        <v>153.94999999999999</v>
      </c>
      <c r="C540" s="420">
        <f t="shared" si="10"/>
        <v>324.05726311907159</v>
      </c>
      <c r="D540" s="741"/>
      <c r="E540" s="3252">
        <v>1.54E-2</v>
      </c>
      <c r="F540" s="1147"/>
    </row>
    <row r="541" spans="1:6">
      <c r="A541" s="324">
        <f t="shared" si="8"/>
        <v>2013.04</v>
      </c>
      <c r="B541" s="2263">
        <v>155.07</v>
      </c>
      <c r="C541" s="420">
        <f t="shared" si="10"/>
        <v>328.9829335184815</v>
      </c>
      <c r="D541" s="741"/>
      <c r="E541" s="3252">
        <v>1.52E-2</v>
      </c>
      <c r="F541" s="1147"/>
    </row>
    <row r="542" spans="1:6">
      <c r="A542" s="324">
        <f t="shared" ref="A542:A605" si="11">A530+1</f>
        <v>2013.05</v>
      </c>
      <c r="B542" s="2263">
        <v>156.13999999999999</v>
      </c>
      <c r="C542" s="420">
        <f t="shared" si="10"/>
        <v>334.1479655747217</v>
      </c>
      <c r="D542" s="741"/>
      <c r="E542" s="3252">
        <v>1.5699999999999999E-2</v>
      </c>
      <c r="F542" s="1147"/>
    </row>
    <row r="543" spans="1:6">
      <c r="A543" s="324">
        <f t="shared" si="11"/>
        <v>2013.06</v>
      </c>
      <c r="B543" s="2263">
        <v>157.44</v>
      </c>
      <c r="C543" s="420">
        <f t="shared" si="10"/>
        <v>340.59702131031383</v>
      </c>
      <c r="D543" s="741"/>
      <c r="E543" s="3252">
        <v>1.9300000000000001E-2</v>
      </c>
      <c r="F543" s="1147"/>
    </row>
    <row r="544" spans="1:6">
      <c r="A544" s="324">
        <f t="shared" si="11"/>
        <v>2013.07</v>
      </c>
      <c r="B544" s="2263">
        <v>158.9</v>
      </c>
      <c r="C544" s="420">
        <f t="shared" si="10"/>
        <v>349.28224535372686</v>
      </c>
      <c r="D544" s="741"/>
      <c r="E544" s="3252">
        <v>2.5499999999999998E-2</v>
      </c>
      <c r="F544" s="1147"/>
    </row>
    <row r="545" spans="1:6">
      <c r="A545" s="324">
        <f t="shared" si="11"/>
        <v>2013.08</v>
      </c>
      <c r="B545" s="2263">
        <v>160.22999999999999</v>
      </c>
      <c r="C545" s="420">
        <f t="shared" si="10"/>
        <v>356.65210073069045</v>
      </c>
      <c r="D545" s="741"/>
      <c r="E545" s="3252">
        <v>2.1100000000000001E-2</v>
      </c>
      <c r="F545" s="1147"/>
    </row>
    <row r="546" spans="1:6">
      <c r="A546" s="324">
        <f t="shared" si="11"/>
        <v>2013.09</v>
      </c>
      <c r="B546" s="2263">
        <v>161.56</v>
      </c>
      <c r="C546" s="420">
        <f t="shared" si="10"/>
        <v>364.17746005610798</v>
      </c>
      <c r="D546" s="741"/>
      <c r="E546" s="3252">
        <v>2.1100000000000001E-2</v>
      </c>
      <c r="F546" s="1147"/>
    </row>
    <row r="547" spans="1:6">
      <c r="A547" s="324">
        <f t="shared" si="11"/>
        <v>2013.1</v>
      </c>
      <c r="B547" s="2263">
        <v>163</v>
      </c>
      <c r="C547" s="420">
        <f t="shared" si="10"/>
        <v>371.46100925723016</v>
      </c>
      <c r="D547" s="741"/>
      <c r="E547" s="3252">
        <v>0.02</v>
      </c>
      <c r="F547" s="1147"/>
    </row>
    <row r="548" spans="1:6">
      <c r="A548" s="324">
        <f t="shared" si="11"/>
        <v>2013.11</v>
      </c>
      <c r="B548" s="2263">
        <v>164.51</v>
      </c>
      <c r="C548" s="420">
        <f t="shared" si="10"/>
        <v>380.37607347940371</v>
      </c>
      <c r="D548" s="741"/>
      <c r="E548" s="3252">
        <v>2.4E-2</v>
      </c>
      <c r="F548" s="1147"/>
    </row>
    <row r="549" spans="1:6">
      <c r="A549" s="324">
        <f t="shared" si="11"/>
        <v>2013.12</v>
      </c>
      <c r="B549" s="2263">
        <v>166.84</v>
      </c>
      <c r="C549" s="420">
        <f t="shared" si="10"/>
        <v>393.2327847630076</v>
      </c>
      <c r="D549" s="741"/>
      <c r="E549" s="3252">
        <v>3.3799999999999997E-2</v>
      </c>
      <c r="F549" s="1147"/>
    </row>
    <row r="550" spans="1:6">
      <c r="A550" s="324">
        <f t="shared" si="11"/>
        <v>2014.01</v>
      </c>
      <c r="B550" s="423" t="s">
        <v>356</v>
      </c>
      <c r="C550" s="420">
        <f t="shared" ref="C550:C581" si="12">C549*(1+E550)</f>
        <v>411.36081614058224</v>
      </c>
      <c r="D550" s="741"/>
      <c r="E550" s="3252">
        <v>4.6100000000000002E-2</v>
      </c>
      <c r="F550" s="1147"/>
    </row>
    <row r="551" spans="1:6">
      <c r="A551" s="324">
        <f t="shared" si="11"/>
        <v>2014.02</v>
      </c>
      <c r="B551" s="424"/>
      <c r="C551" s="420">
        <f t="shared" si="12"/>
        <v>429.04933123462723</v>
      </c>
      <c r="D551" s="741"/>
      <c r="E551" s="3252">
        <v>4.2999999999999997E-2</v>
      </c>
      <c r="F551" s="1147"/>
    </row>
    <row r="552" spans="1:6">
      <c r="A552" s="324">
        <f t="shared" si="11"/>
        <v>2014.03</v>
      </c>
      <c r="B552" s="424"/>
      <c r="C552" s="420">
        <f t="shared" si="12"/>
        <v>443.20795916536991</v>
      </c>
      <c r="D552" s="741"/>
      <c r="E552" s="3252">
        <v>3.3000000000000002E-2</v>
      </c>
      <c r="F552" s="1147"/>
    </row>
    <row r="553" spans="1:6">
      <c r="A553" s="324">
        <f t="shared" si="11"/>
        <v>2014.04</v>
      </c>
      <c r="B553" s="424"/>
      <c r="C553" s="420">
        <f t="shared" si="12"/>
        <v>455.52914043016722</v>
      </c>
      <c r="D553" s="741"/>
      <c r="E553" s="3252">
        <v>2.7799999999999998E-2</v>
      </c>
      <c r="F553" s="1147"/>
    </row>
    <row r="554" spans="1:6">
      <c r="A554" s="324">
        <f t="shared" si="11"/>
        <v>2014.05</v>
      </c>
      <c r="B554" s="424"/>
      <c r="C554" s="420">
        <f t="shared" si="12"/>
        <v>465.91520483197502</v>
      </c>
      <c r="D554" s="741"/>
      <c r="E554" s="3252">
        <v>2.2800000000000001E-2</v>
      </c>
      <c r="F554" s="1147"/>
    </row>
    <row r="555" spans="1:6">
      <c r="A555" s="324">
        <f t="shared" si="11"/>
        <v>2014.06</v>
      </c>
      <c r="B555" s="424"/>
      <c r="C555" s="420">
        <f t="shared" si="12"/>
        <v>476.1653393382785</v>
      </c>
      <c r="D555" s="741"/>
      <c r="E555" s="3252">
        <v>2.1999999999999999E-2</v>
      </c>
      <c r="F555" s="1147"/>
    </row>
    <row r="556" spans="1:6">
      <c r="A556" s="324">
        <f t="shared" si="11"/>
        <v>2014.07</v>
      </c>
      <c r="B556" s="424"/>
      <c r="C556" s="420">
        <f t="shared" si="12"/>
        <v>487.92662321993396</v>
      </c>
      <c r="D556" s="741"/>
      <c r="E556" s="3252">
        <v>2.47E-2</v>
      </c>
      <c r="F556" s="1147"/>
    </row>
    <row r="557" spans="1:6">
      <c r="A557" s="324">
        <f t="shared" si="11"/>
        <v>2014.08</v>
      </c>
      <c r="B557" s="424"/>
      <c r="C557" s="420">
        <f t="shared" si="12"/>
        <v>500.85667873526216</v>
      </c>
      <c r="D557" s="741"/>
      <c r="E557" s="3252">
        <v>2.6499999999999999E-2</v>
      </c>
      <c r="F557" s="1147"/>
    </row>
    <row r="558" spans="1:6">
      <c r="A558" s="324">
        <f t="shared" si="11"/>
        <v>2014.09</v>
      </c>
      <c r="B558" s="424"/>
      <c r="C558" s="420">
        <f t="shared" si="12"/>
        <v>513.27792436789662</v>
      </c>
      <c r="D558" s="741"/>
      <c r="E558" s="3252">
        <v>2.4799999999999999E-2</v>
      </c>
      <c r="F558" s="1147"/>
    </row>
    <row r="559" spans="1:6">
      <c r="A559" s="324">
        <f t="shared" si="11"/>
        <v>2014.1</v>
      </c>
      <c r="B559" s="424"/>
      <c r="C559" s="420">
        <f t="shared" si="12"/>
        <v>524.82667766617431</v>
      </c>
      <c r="D559" s="741"/>
      <c r="E559" s="3252">
        <v>2.2499999999999999E-2</v>
      </c>
      <c r="F559" s="1147"/>
    </row>
    <row r="560" spans="1:6">
      <c r="A560" s="324">
        <f t="shared" si="11"/>
        <v>2014.11</v>
      </c>
      <c r="B560" s="424"/>
      <c r="C560" s="420">
        <f t="shared" si="12"/>
        <v>534.58845387076508</v>
      </c>
      <c r="D560" s="741"/>
      <c r="E560" s="3252">
        <v>1.8599999999999998E-2</v>
      </c>
      <c r="F560" s="1147"/>
    </row>
    <row r="561" spans="1:6">
      <c r="A561" s="324">
        <f t="shared" si="11"/>
        <v>2014.12</v>
      </c>
      <c r="B561" s="424"/>
      <c r="C561" s="420">
        <f t="shared" si="12"/>
        <v>544.5852579581483</v>
      </c>
      <c r="D561" s="741"/>
      <c r="E561" s="3252">
        <v>1.8700000000000001E-2</v>
      </c>
      <c r="F561" s="1147"/>
    </row>
    <row r="562" spans="1:6">
      <c r="A562" s="324">
        <f t="shared" si="11"/>
        <v>2015.01</v>
      </c>
      <c r="B562" s="424"/>
      <c r="C562" s="420">
        <f t="shared" si="12"/>
        <v>555.91263132367772</v>
      </c>
      <c r="D562" s="741"/>
      <c r="E562" s="3252">
        <v>2.0799999999999999E-2</v>
      </c>
      <c r="F562" s="1147"/>
    </row>
    <row r="563" spans="1:6">
      <c r="A563" s="324">
        <f t="shared" si="11"/>
        <v>2015.02</v>
      </c>
      <c r="B563" s="424"/>
      <c r="C563" s="420">
        <f t="shared" si="12"/>
        <v>564.14013826726807</v>
      </c>
      <c r="D563" s="741"/>
      <c r="E563" s="3252">
        <v>1.4800000000000001E-2</v>
      </c>
      <c r="F563" s="211"/>
    </row>
    <row r="564" spans="1:6">
      <c r="A564" s="324">
        <f t="shared" si="11"/>
        <v>2015.03</v>
      </c>
      <c r="B564" s="424"/>
      <c r="C564" s="420">
        <f t="shared" si="12"/>
        <v>576.09990919853419</v>
      </c>
      <c r="D564" s="741"/>
      <c r="E564" s="3252">
        <v>2.12E-2</v>
      </c>
      <c r="F564" s="211"/>
    </row>
    <row r="565" spans="1:6">
      <c r="A565" s="324">
        <f t="shared" si="11"/>
        <v>2015.04</v>
      </c>
      <c r="B565" s="424"/>
      <c r="C565" s="420">
        <f t="shared" si="12"/>
        <v>587.67951737342469</v>
      </c>
      <c r="D565" s="741"/>
      <c r="E565" s="3252">
        <v>2.01E-2</v>
      </c>
      <c r="F565" s="211"/>
    </row>
    <row r="566" spans="1:6">
      <c r="A566" s="324">
        <f t="shared" si="11"/>
        <v>2015.05</v>
      </c>
      <c r="B566" s="424"/>
      <c r="C566" s="420">
        <f t="shared" si="12"/>
        <v>599.55064362436781</v>
      </c>
      <c r="D566" s="741"/>
      <c r="E566" s="3252">
        <v>2.0199999999999999E-2</v>
      </c>
      <c r="F566" s="211"/>
    </row>
    <row r="567" spans="1:6">
      <c r="A567" s="324">
        <f t="shared" si="11"/>
        <v>2015.06</v>
      </c>
      <c r="B567" s="424"/>
      <c r="C567" s="420">
        <f t="shared" si="12"/>
        <v>608.72376847182068</v>
      </c>
      <c r="D567" s="741"/>
      <c r="E567" s="3252">
        <v>1.5299999999999999E-2</v>
      </c>
      <c r="F567" s="211"/>
    </row>
    <row r="568" spans="1:6">
      <c r="A568" s="324">
        <f t="shared" si="11"/>
        <v>2015.07</v>
      </c>
      <c r="B568" s="424"/>
      <c r="C568" s="420">
        <f t="shared" si="12"/>
        <v>620.41126482647974</v>
      </c>
      <c r="D568" s="741"/>
      <c r="E568" s="3252">
        <v>1.9199999999999998E-2</v>
      </c>
      <c r="F568" s="211"/>
    </row>
    <row r="569" spans="1:6">
      <c r="A569" s="324">
        <f t="shared" si="11"/>
        <v>2015.08</v>
      </c>
      <c r="B569" s="424"/>
      <c r="C569" s="420">
        <f t="shared" si="12"/>
        <v>633.87418927321437</v>
      </c>
      <c r="D569" s="741"/>
      <c r="E569" s="3252">
        <v>2.1700000000000001E-2</v>
      </c>
      <c r="F569" s="211"/>
    </row>
    <row r="570" spans="1:6">
      <c r="A570" s="324">
        <f t="shared" si="11"/>
        <v>2015.09</v>
      </c>
      <c r="B570" s="424"/>
      <c r="C570" s="420">
        <f t="shared" si="12"/>
        <v>646.04457370726016</v>
      </c>
      <c r="D570" s="741"/>
      <c r="E570" s="3252">
        <v>1.9199999999999998E-2</v>
      </c>
      <c r="F570" s="211"/>
    </row>
    <row r="571" spans="1:6">
      <c r="A571" s="324">
        <f t="shared" si="11"/>
        <v>2015.1</v>
      </c>
      <c r="B571" s="424"/>
      <c r="C571" s="420">
        <f t="shared" si="12"/>
        <v>655.86445122761063</v>
      </c>
      <c r="D571" s="741"/>
      <c r="E571" s="3252">
        <v>1.52E-2</v>
      </c>
      <c r="F571" s="211"/>
    </row>
    <row r="572" spans="1:6">
      <c r="A572" s="324">
        <f t="shared" si="11"/>
        <v>2015.11</v>
      </c>
      <c r="B572" s="424"/>
      <c r="C572" s="420">
        <f>C571*(1+E572)</f>
        <v>670.29346915461804</v>
      </c>
      <c r="D572" s="741"/>
      <c r="E572" s="3252">
        <v>2.1999999999999999E-2</v>
      </c>
      <c r="F572" s="211"/>
    </row>
    <row r="573" spans="1:6">
      <c r="A573" s="324">
        <f t="shared" si="11"/>
        <v>2015.12</v>
      </c>
      <c r="B573" s="424"/>
      <c r="C573" s="420">
        <f t="shared" si="12"/>
        <v>695.76462098249351</v>
      </c>
      <c r="D573" s="741"/>
      <c r="E573" s="3252">
        <v>3.7999999999999999E-2</v>
      </c>
      <c r="F573" s="211"/>
    </row>
    <row r="574" spans="1:6">
      <c r="A574" s="324">
        <f t="shared" si="11"/>
        <v>2016.01</v>
      </c>
      <c r="B574" s="424"/>
      <c r="C574" s="420">
        <f t="shared" si="12"/>
        <v>720.81214733786328</v>
      </c>
      <c r="D574" s="741"/>
      <c r="E574" s="3252">
        <v>3.5999999999999997E-2</v>
      </c>
      <c r="F574" s="211"/>
    </row>
    <row r="575" spans="1:6">
      <c r="A575" s="324">
        <f t="shared" si="11"/>
        <v>2016.02</v>
      </c>
      <c r="B575" s="424"/>
      <c r="C575" s="420">
        <f t="shared" si="12"/>
        <v>755.41113041008077</v>
      </c>
      <c r="D575" s="741"/>
      <c r="E575" s="3252">
        <v>4.8000000000000001E-2</v>
      </c>
      <c r="F575" s="211"/>
    </row>
    <row r="576" spans="1:6">
      <c r="A576" s="324">
        <f t="shared" si="11"/>
        <v>2016.03</v>
      </c>
      <c r="B576" s="424"/>
      <c r="C576" s="420">
        <f t="shared" si="12"/>
        <v>779.58428658320338</v>
      </c>
      <c r="D576" s="741"/>
      <c r="E576" s="3252">
        <v>3.2000000000000001E-2</v>
      </c>
      <c r="F576" s="211"/>
    </row>
    <row r="577" spans="1:6">
      <c r="A577" s="324">
        <f t="shared" si="11"/>
        <v>2016.04</v>
      </c>
      <c r="B577" s="424"/>
      <c r="C577" s="420">
        <f t="shared" si="12"/>
        <v>831.81643378427793</v>
      </c>
      <c r="D577" s="741"/>
      <c r="E577" s="3252">
        <v>6.7000000000000004E-2</v>
      </c>
      <c r="F577" s="211"/>
    </row>
    <row r="578" spans="1:6">
      <c r="A578" s="324">
        <f t="shared" si="11"/>
        <v>2016.05</v>
      </c>
      <c r="B578" s="424"/>
      <c r="C578" s="420">
        <f t="shared" si="12"/>
        <v>860.93000896672754</v>
      </c>
      <c r="D578" s="741"/>
      <c r="E578" s="3252">
        <v>3.5000000000000003E-2</v>
      </c>
      <c r="F578" s="211"/>
    </row>
    <row r="579" spans="1:6">
      <c r="A579" s="324">
        <f t="shared" si="11"/>
        <v>2016.06</v>
      </c>
      <c r="B579" s="424"/>
      <c r="C579" s="420">
        <f t="shared" si="12"/>
        <v>885.8969792267626</v>
      </c>
      <c r="D579" s="741"/>
      <c r="E579" s="3252">
        <v>2.9000000000000001E-2</v>
      </c>
      <c r="F579" s="211"/>
    </row>
    <row r="580" spans="1:6">
      <c r="A580" s="324">
        <f t="shared" si="11"/>
        <v>2016.07</v>
      </c>
      <c r="B580" s="424"/>
      <c r="C580" s="420">
        <f t="shared" si="12"/>
        <v>907.15850672820488</v>
      </c>
      <c r="D580" s="741"/>
      <c r="E580" s="3252">
        <v>2.4E-2</v>
      </c>
      <c r="F580" s="211"/>
    </row>
    <row r="581" spans="1:6">
      <c r="A581" s="324">
        <f t="shared" si="11"/>
        <v>2016.08</v>
      </c>
      <c r="B581" s="424"/>
      <c r="C581" s="420">
        <f t="shared" si="12"/>
        <v>911.6942992618458</v>
      </c>
      <c r="D581" s="741"/>
      <c r="E581" s="3252">
        <v>5.0000000000000001E-3</v>
      </c>
      <c r="F581" s="211"/>
    </row>
    <row r="582" spans="1:6">
      <c r="A582" s="324">
        <f t="shared" si="11"/>
        <v>2016.09</v>
      </c>
      <c r="B582" s="424"/>
      <c r="C582" s="420">
        <f t="shared" ref="C582:C596" si="13">C581*(1+E582)</f>
        <v>918.98785365594063</v>
      </c>
      <c r="D582" s="741"/>
      <c r="E582" s="3252">
        <v>8.0000000000000002E-3</v>
      </c>
      <c r="F582" s="211"/>
    </row>
    <row r="583" spans="1:6">
      <c r="A583" s="324">
        <f t="shared" si="11"/>
        <v>2016.1</v>
      </c>
      <c r="B583" s="424"/>
      <c r="C583" s="420">
        <f t="shared" si="13"/>
        <v>945.63850141196281</v>
      </c>
      <c r="D583" s="741"/>
      <c r="E583" s="3252">
        <v>2.9000000000000001E-2</v>
      </c>
      <c r="F583" s="211"/>
    </row>
    <row r="584" spans="1:6">
      <c r="A584" s="324">
        <f t="shared" si="11"/>
        <v>2016.11</v>
      </c>
      <c r="B584" s="424"/>
      <c r="C584" s="420">
        <f t="shared" si="13"/>
        <v>963.60563293879</v>
      </c>
      <c r="D584" s="741"/>
      <c r="E584" s="3252">
        <v>1.9E-2</v>
      </c>
      <c r="F584" s="211"/>
    </row>
    <row r="585" spans="1:6">
      <c r="A585" s="324">
        <f t="shared" si="11"/>
        <v>2016.12</v>
      </c>
      <c r="B585" s="424"/>
      <c r="C585" s="420">
        <f t="shared" si="13"/>
        <v>979.0233230658107</v>
      </c>
      <c r="D585" s="741"/>
      <c r="E585" s="3252">
        <v>1.6E-2</v>
      </c>
      <c r="F585" s="211"/>
    </row>
    <row r="586" spans="1:6">
      <c r="A586" s="324">
        <f t="shared" si="11"/>
        <v>2017.01</v>
      </c>
      <c r="B586" s="424"/>
      <c r="C586" s="420">
        <f t="shared" si="13"/>
        <v>994.68769623486367</v>
      </c>
      <c r="D586" s="741"/>
      <c r="E586" s="3252">
        <v>1.6E-2</v>
      </c>
      <c r="F586" s="211"/>
    </row>
    <row r="587" spans="1:6">
      <c r="A587" s="324">
        <f t="shared" si="11"/>
        <v>2017.02</v>
      </c>
      <c r="B587" s="424"/>
      <c r="C587" s="420">
        <f>C586*(1+E587)</f>
        <v>1015.5761378557958</v>
      </c>
      <c r="D587" s="741"/>
      <c r="E587" s="3252">
        <v>2.1000000000000001E-2</v>
      </c>
      <c r="F587" s="325"/>
    </row>
    <row r="588" spans="1:6">
      <c r="A588" s="324">
        <f t="shared" si="11"/>
        <v>2017.03</v>
      </c>
      <c r="B588" s="424"/>
      <c r="C588" s="420">
        <f t="shared" si="13"/>
        <v>1037.9188128886233</v>
      </c>
      <c r="D588" s="741"/>
      <c r="E588" s="3252">
        <v>2.1999999999999999E-2</v>
      </c>
      <c r="F588" s="211"/>
    </row>
    <row r="589" spans="1:6">
      <c r="A589" s="324">
        <f t="shared" si="11"/>
        <v>2017.04</v>
      </c>
      <c r="B589" s="424"/>
      <c r="C589" s="420">
        <f t="shared" si="13"/>
        <v>1059.7151079592843</v>
      </c>
      <c r="D589" s="741"/>
      <c r="E589" s="3252">
        <v>2.1000000000000001E-2</v>
      </c>
      <c r="F589" s="211"/>
    </row>
    <row r="590" spans="1:6">
      <c r="A590" s="324">
        <f t="shared" si="11"/>
        <v>2017.05</v>
      </c>
      <c r="B590" s="424"/>
      <c r="C590" s="420">
        <f t="shared" si="13"/>
        <v>1078.7899799025515</v>
      </c>
      <c r="D590" s="741"/>
      <c r="E590" s="3252">
        <v>1.7999999999999999E-2</v>
      </c>
      <c r="F590" s="211"/>
    </row>
    <row r="591" spans="1:6">
      <c r="A591" s="324">
        <f t="shared" si="11"/>
        <v>2017.06</v>
      </c>
      <c r="B591" s="424"/>
      <c r="C591" s="420">
        <f t="shared" si="13"/>
        <v>1092.8142496412845</v>
      </c>
      <c r="D591" s="741"/>
      <c r="E591" s="3252">
        <v>1.2999999999999999E-2</v>
      </c>
      <c r="F591" s="211"/>
    </row>
    <row r="592" spans="1:6">
      <c r="A592" s="324">
        <f t="shared" si="11"/>
        <v>2017.07</v>
      </c>
      <c r="B592" s="424"/>
      <c r="C592" s="420">
        <f t="shared" si="13"/>
        <v>1115.7633488837514</v>
      </c>
      <c r="D592" s="741"/>
      <c r="E592" s="3252">
        <v>2.1000000000000001E-2</v>
      </c>
      <c r="F592" s="211"/>
    </row>
    <row r="593" spans="1:5">
      <c r="A593" s="324">
        <f t="shared" si="11"/>
        <v>2017.08</v>
      </c>
      <c r="B593" s="424"/>
      <c r="C593" s="420">
        <f t="shared" si="13"/>
        <v>1132.4997991170076</v>
      </c>
      <c r="D593" s="742"/>
      <c r="E593" s="3252">
        <v>1.4999999999999999E-2</v>
      </c>
    </row>
    <row r="594" spans="1:5">
      <c r="A594" s="324">
        <f t="shared" si="11"/>
        <v>2017.09</v>
      </c>
      <c r="B594" s="424"/>
      <c r="C594" s="420">
        <f>C593*(1+E594)</f>
        <v>1150.6197959028798</v>
      </c>
      <c r="D594" s="742"/>
      <c r="E594" s="3252">
        <v>1.6E-2</v>
      </c>
    </row>
    <row r="595" spans="1:5">
      <c r="A595" s="324">
        <f t="shared" si="11"/>
        <v>2017.1</v>
      </c>
      <c r="B595" s="424"/>
      <c r="C595" s="420">
        <f t="shared" si="13"/>
        <v>1167.8790928414228</v>
      </c>
      <c r="D595" s="742"/>
      <c r="E595" s="3252">
        <v>1.4999999999999999E-2</v>
      </c>
    </row>
    <row r="596" spans="1:5">
      <c r="A596" s="324">
        <f t="shared" si="11"/>
        <v>2017.11</v>
      </c>
      <c r="B596" s="424"/>
      <c r="C596" s="420">
        <f t="shared" si="13"/>
        <v>1184.2294001412026</v>
      </c>
      <c r="D596" s="742"/>
      <c r="E596" s="3252">
        <v>1.4E-2</v>
      </c>
    </row>
    <row r="597" spans="1:5">
      <c r="A597" s="324">
        <f t="shared" si="11"/>
        <v>2017.12</v>
      </c>
      <c r="B597" s="424"/>
      <c r="C597" s="420">
        <f>C596*(1+E597)</f>
        <v>1220.9405115455797</v>
      </c>
      <c r="D597" s="742"/>
      <c r="E597" s="3252">
        <v>3.1E-2</v>
      </c>
    </row>
    <row r="598" spans="1:5">
      <c r="A598" s="324">
        <f t="shared" si="11"/>
        <v>2018.01</v>
      </c>
      <c r="B598" s="424"/>
      <c r="C598" s="425" t="s">
        <v>356</v>
      </c>
      <c r="D598" s="742"/>
      <c r="E598" s="3253" t="s">
        <v>356</v>
      </c>
    </row>
    <row r="599" spans="1:5">
      <c r="A599" s="324">
        <f t="shared" si="11"/>
        <v>2018.02</v>
      </c>
      <c r="B599" s="424"/>
      <c r="C599" s="425"/>
      <c r="D599" s="742"/>
      <c r="E599" s="3253"/>
    </row>
    <row r="600" spans="1:5">
      <c r="A600" s="324">
        <f t="shared" si="11"/>
        <v>2018.03</v>
      </c>
      <c r="B600" s="424"/>
      <c r="C600" s="425"/>
      <c r="D600" s="742"/>
      <c r="E600" s="3253"/>
    </row>
    <row r="601" spans="1:5">
      <c r="A601" s="324">
        <f t="shared" si="11"/>
        <v>2018.04</v>
      </c>
      <c r="B601" s="424"/>
      <c r="C601" s="425"/>
      <c r="D601" s="742"/>
      <c r="E601" s="3253"/>
    </row>
    <row r="602" spans="1:5">
      <c r="A602" s="324">
        <f t="shared" si="11"/>
        <v>2018.05</v>
      </c>
      <c r="B602" s="424"/>
      <c r="C602" s="425"/>
      <c r="D602" s="742"/>
      <c r="E602" s="3253"/>
    </row>
    <row r="603" spans="1:5">
      <c r="A603" s="324">
        <f t="shared" si="11"/>
        <v>2018.06</v>
      </c>
      <c r="B603" s="424"/>
      <c r="C603" s="425"/>
      <c r="D603" s="742"/>
      <c r="E603" s="3253"/>
    </row>
    <row r="604" spans="1:5">
      <c r="A604" s="324">
        <f t="shared" si="11"/>
        <v>2018.07</v>
      </c>
      <c r="B604" s="424"/>
      <c r="C604" s="425"/>
      <c r="D604" s="742"/>
      <c r="E604" s="3253"/>
    </row>
    <row r="605" spans="1:5">
      <c r="A605" s="324">
        <f t="shared" si="11"/>
        <v>2018.08</v>
      </c>
      <c r="B605" s="424"/>
      <c r="C605" s="425"/>
      <c r="D605" s="742"/>
      <c r="E605" s="3253"/>
    </row>
    <row r="606" spans="1:5">
      <c r="A606" s="324">
        <f t="shared" ref="A606:A669" si="14">A594+1</f>
        <v>2018.09</v>
      </c>
      <c r="B606" s="424"/>
      <c r="C606" s="425"/>
      <c r="D606" s="742"/>
      <c r="E606" s="3253"/>
    </row>
    <row r="607" spans="1:5">
      <c r="A607" s="324">
        <f t="shared" si="14"/>
        <v>2018.1</v>
      </c>
      <c r="B607" s="424"/>
      <c r="C607" s="425"/>
      <c r="D607" s="742"/>
      <c r="E607" s="3253"/>
    </row>
    <row r="608" spans="1:5">
      <c r="A608" s="324">
        <f t="shared" si="14"/>
        <v>2018.11</v>
      </c>
      <c r="B608" s="424"/>
      <c r="C608" s="425"/>
      <c r="D608" s="742"/>
      <c r="E608" s="3253"/>
    </row>
    <row r="609" spans="1:5">
      <c r="A609" s="324">
        <f t="shared" si="14"/>
        <v>2018.12</v>
      </c>
      <c r="B609" s="424"/>
      <c r="C609" s="425"/>
      <c r="D609" s="742"/>
      <c r="E609" s="3253"/>
    </row>
    <row r="610" spans="1:5">
      <c r="A610" s="324">
        <f t="shared" si="14"/>
        <v>2019.01</v>
      </c>
      <c r="B610" s="424"/>
      <c r="C610" s="425"/>
      <c r="D610" s="742"/>
      <c r="E610" s="3253"/>
    </row>
    <row r="611" spans="1:5">
      <c r="A611" s="324">
        <f t="shared" si="14"/>
        <v>2019.02</v>
      </c>
      <c r="B611" s="424"/>
      <c r="C611" s="425"/>
      <c r="D611" s="742"/>
      <c r="E611" s="3253"/>
    </row>
    <row r="612" spans="1:5">
      <c r="A612" s="324">
        <f t="shared" si="14"/>
        <v>2019.03</v>
      </c>
      <c r="B612" s="424"/>
      <c r="C612" s="425"/>
      <c r="D612" s="742"/>
      <c r="E612" s="3253"/>
    </row>
    <row r="613" spans="1:5">
      <c r="A613" s="324">
        <f t="shared" si="14"/>
        <v>2019.04</v>
      </c>
      <c r="B613" s="424"/>
      <c r="C613" s="425"/>
      <c r="D613" s="742"/>
      <c r="E613" s="3253"/>
    </row>
    <row r="614" spans="1:5">
      <c r="A614" s="324">
        <f t="shared" si="14"/>
        <v>2019.05</v>
      </c>
      <c r="B614" s="424"/>
      <c r="C614" s="425"/>
      <c r="D614" s="742"/>
      <c r="E614" s="3253"/>
    </row>
    <row r="615" spans="1:5">
      <c r="A615" s="324">
        <f t="shared" si="14"/>
        <v>2019.06</v>
      </c>
      <c r="B615" s="424"/>
      <c r="C615" s="425"/>
      <c r="D615" s="742"/>
      <c r="E615" s="3253"/>
    </row>
    <row r="616" spans="1:5">
      <c r="A616" s="324">
        <f t="shared" si="14"/>
        <v>2019.07</v>
      </c>
      <c r="B616" s="424"/>
      <c r="C616" s="425"/>
      <c r="D616" s="742"/>
      <c r="E616" s="3253"/>
    </row>
    <row r="617" spans="1:5">
      <c r="A617" s="324">
        <f t="shared" si="14"/>
        <v>2019.08</v>
      </c>
      <c r="B617" s="424"/>
      <c r="C617" s="425"/>
      <c r="D617" s="742"/>
      <c r="E617" s="3253"/>
    </row>
    <row r="618" spans="1:5">
      <c r="A618" s="324">
        <f t="shared" si="14"/>
        <v>2019.09</v>
      </c>
      <c r="B618" s="424"/>
      <c r="C618" s="425"/>
      <c r="D618" s="742"/>
      <c r="E618" s="3253"/>
    </row>
    <row r="619" spans="1:5">
      <c r="A619" s="324">
        <f t="shared" si="14"/>
        <v>2019.1</v>
      </c>
      <c r="B619" s="424"/>
      <c r="C619" s="425"/>
      <c r="D619" s="742"/>
      <c r="E619" s="3253"/>
    </row>
    <row r="620" spans="1:5">
      <c r="A620" s="324">
        <f t="shared" si="14"/>
        <v>2019.11</v>
      </c>
      <c r="B620" s="424"/>
      <c r="C620" s="425"/>
      <c r="D620" s="742"/>
      <c r="E620" s="3253"/>
    </row>
    <row r="621" spans="1:5">
      <c r="A621" s="324">
        <f t="shared" si="14"/>
        <v>2019.12</v>
      </c>
      <c r="B621" s="424"/>
      <c r="C621" s="425"/>
      <c r="D621" s="742"/>
      <c r="E621" s="3253"/>
    </row>
    <row r="622" spans="1:5">
      <c r="A622" s="324">
        <f t="shared" si="14"/>
        <v>2020.01</v>
      </c>
      <c r="B622" s="424"/>
      <c r="C622" s="425"/>
      <c r="D622" s="742"/>
      <c r="E622" s="3253"/>
    </row>
    <row r="623" spans="1:5">
      <c r="A623" s="324">
        <f t="shared" si="14"/>
        <v>2020.02</v>
      </c>
      <c r="B623" s="424"/>
      <c r="C623" s="425"/>
      <c r="D623" s="742"/>
      <c r="E623" s="3253"/>
    </row>
    <row r="624" spans="1:5">
      <c r="A624" s="324">
        <f t="shared" si="14"/>
        <v>2020.03</v>
      </c>
      <c r="B624" s="424"/>
      <c r="C624" s="425"/>
      <c r="D624" s="742"/>
      <c r="E624" s="3253"/>
    </row>
    <row r="625" spans="1:5">
      <c r="A625" s="324">
        <f t="shared" si="14"/>
        <v>2020.04</v>
      </c>
      <c r="B625" s="424"/>
      <c r="C625" s="425"/>
      <c r="D625" s="742"/>
      <c r="E625" s="3253"/>
    </row>
    <row r="626" spans="1:5">
      <c r="A626" s="324">
        <f t="shared" si="14"/>
        <v>2020.05</v>
      </c>
      <c r="B626" s="424"/>
      <c r="C626" s="425"/>
      <c r="D626" s="742"/>
      <c r="E626" s="3253"/>
    </row>
    <row r="627" spans="1:5">
      <c r="A627" s="324">
        <f t="shared" si="14"/>
        <v>2020.06</v>
      </c>
      <c r="B627" s="424"/>
      <c r="C627" s="425"/>
      <c r="D627" s="742"/>
      <c r="E627" s="3253"/>
    </row>
    <row r="628" spans="1:5">
      <c r="A628" s="324">
        <f t="shared" si="14"/>
        <v>2020.07</v>
      </c>
      <c r="B628" s="424"/>
      <c r="C628" s="425"/>
      <c r="D628" s="742"/>
      <c r="E628" s="3253"/>
    </row>
    <row r="629" spans="1:5">
      <c r="A629" s="324">
        <f t="shared" si="14"/>
        <v>2020.08</v>
      </c>
      <c r="B629" s="424"/>
      <c r="C629" s="425"/>
      <c r="D629" s="742"/>
      <c r="E629" s="3253"/>
    </row>
    <row r="630" spans="1:5">
      <c r="A630" s="324">
        <f t="shared" si="14"/>
        <v>2020.09</v>
      </c>
      <c r="B630" s="424"/>
      <c r="C630" s="425"/>
      <c r="D630" s="742"/>
      <c r="E630" s="3253"/>
    </row>
    <row r="631" spans="1:5">
      <c r="A631" s="324">
        <f t="shared" si="14"/>
        <v>2020.1</v>
      </c>
      <c r="B631" s="424"/>
      <c r="C631" s="425"/>
      <c r="D631" s="742"/>
      <c r="E631" s="3253"/>
    </row>
    <row r="632" spans="1:5">
      <c r="A632" s="324">
        <f t="shared" si="14"/>
        <v>2020.11</v>
      </c>
      <c r="B632" s="424"/>
      <c r="C632" s="425"/>
      <c r="D632" s="742"/>
      <c r="E632" s="3253"/>
    </row>
    <row r="633" spans="1:5">
      <c r="A633" s="324">
        <f t="shared" si="14"/>
        <v>2020.12</v>
      </c>
      <c r="B633" s="424"/>
      <c r="C633" s="425"/>
      <c r="D633" s="742"/>
      <c r="E633" s="3253"/>
    </row>
    <row r="634" spans="1:5">
      <c r="A634" s="324">
        <f t="shared" si="14"/>
        <v>2021.01</v>
      </c>
      <c r="B634" s="424"/>
      <c r="C634" s="425"/>
      <c r="D634" s="742"/>
      <c r="E634" s="3253"/>
    </row>
    <row r="635" spans="1:5">
      <c r="A635" s="324">
        <f t="shared" si="14"/>
        <v>2021.02</v>
      </c>
      <c r="B635" s="424"/>
      <c r="C635" s="425"/>
      <c r="D635" s="742"/>
      <c r="E635" s="3253"/>
    </row>
    <row r="636" spans="1:5">
      <c r="A636" s="324">
        <f t="shared" si="14"/>
        <v>2021.03</v>
      </c>
      <c r="B636" s="424"/>
      <c r="C636" s="425"/>
      <c r="D636" s="742"/>
      <c r="E636" s="3253"/>
    </row>
    <row r="637" spans="1:5">
      <c r="A637" s="324">
        <f t="shared" si="14"/>
        <v>2021.04</v>
      </c>
      <c r="B637" s="424"/>
      <c r="C637" s="425"/>
      <c r="D637" s="742"/>
      <c r="E637" s="3253"/>
    </row>
    <row r="638" spans="1:5">
      <c r="A638" s="324">
        <f t="shared" si="14"/>
        <v>2021.05</v>
      </c>
      <c r="B638" s="424"/>
      <c r="C638" s="425"/>
      <c r="D638" s="742"/>
      <c r="E638" s="3253"/>
    </row>
    <row r="639" spans="1:5">
      <c r="A639" s="324">
        <f t="shared" si="14"/>
        <v>2021.06</v>
      </c>
      <c r="B639" s="424"/>
      <c r="C639" s="425"/>
      <c r="D639" s="742"/>
      <c r="E639" s="3253"/>
    </row>
    <row r="640" spans="1:5">
      <c r="A640" s="324">
        <f t="shared" si="14"/>
        <v>2021.07</v>
      </c>
      <c r="B640" s="424"/>
      <c r="C640" s="425"/>
      <c r="D640" s="742"/>
      <c r="E640" s="3253"/>
    </row>
    <row r="641" spans="1:5">
      <c r="A641" s="324">
        <f t="shared" si="14"/>
        <v>2021.08</v>
      </c>
      <c r="B641" s="424"/>
      <c r="C641" s="425"/>
      <c r="D641" s="742"/>
      <c r="E641" s="3253"/>
    </row>
    <row r="642" spans="1:5">
      <c r="A642" s="324">
        <f t="shared" si="14"/>
        <v>2021.09</v>
      </c>
      <c r="B642" s="424"/>
      <c r="C642" s="425"/>
      <c r="D642" s="742"/>
      <c r="E642" s="3253"/>
    </row>
    <row r="643" spans="1:5">
      <c r="A643" s="324">
        <f t="shared" si="14"/>
        <v>2021.1</v>
      </c>
      <c r="B643" s="424"/>
      <c r="C643" s="425"/>
      <c r="D643" s="742"/>
      <c r="E643" s="3253"/>
    </row>
    <row r="644" spans="1:5">
      <c r="A644" s="324">
        <f t="shared" si="14"/>
        <v>2021.11</v>
      </c>
      <c r="B644" s="424"/>
      <c r="C644" s="425"/>
      <c r="D644" s="742"/>
      <c r="E644" s="3253"/>
    </row>
    <row r="645" spans="1:5">
      <c r="A645" s="324">
        <f t="shared" si="14"/>
        <v>2021.12</v>
      </c>
      <c r="B645" s="424"/>
      <c r="C645" s="425"/>
      <c r="D645" s="742"/>
      <c r="E645" s="3253"/>
    </row>
    <row r="646" spans="1:5">
      <c r="A646" s="324">
        <f t="shared" si="14"/>
        <v>2022.01</v>
      </c>
      <c r="B646" s="424"/>
      <c r="C646" s="425"/>
      <c r="D646" s="742"/>
      <c r="E646" s="3253"/>
    </row>
    <row r="647" spans="1:5">
      <c r="A647" s="324">
        <f t="shared" si="14"/>
        <v>2022.02</v>
      </c>
      <c r="B647" s="424"/>
      <c r="C647" s="425"/>
      <c r="D647" s="742"/>
      <c r="E647" s="3253"/>
    </row>
    <row r="648" spans="1:5">
      <c r="A648" s="324">
        <f t="shared" si="14"/>
        <v>2022.03</v>
      </c>
      <c r="B648" s="424"/>
      <c r="C648" s="425"/>
      <c r="D648" s="742"/>
      <c r="E648" s="3253"/>
    </row>
    <row r="649" spans="1:5">
      <c r="A649" s="324">
        <f t="shared" si="14"/>
        <v>2022.04</v>
      </c>
      <c r="B649" s="424"/>
      <c r="C649" s="425"/>
      <c r="D649" s="742"/>
      <c r="E649" s="3253"/>
    </row>
    <row r="650" spans="1:5">
      <c r="A650" s="324">
        <f t="shared" si="14"/>
        <v>2022.05</v>
      </c>
      <c r="B650" s="424"/>
      <c r="C650" s="425"/>
      <c r="D650" s="742"/>
      <c r="E650" s="3253"/>
    </row>
    <row r="651" spans="1:5">
      <c r="A651" s="324">
        <f t="shared" si="14"/>
        <v>2022.06</v>
      </c>
      <c r="B651" s="424"/>
      <c r="C651" s="425"/>
      <c r="D651" s="742"/>
      <c r="E651" s="3253"/>
    </row>
    <row r="652" spans="1:5">
      <c r="A652" s="324">
        <f t="shared" si="14"/>
        <v>2022.07</v>
      </c>
      <c r="B652" s="424"/>
      <c r="C652" s="425"/>
      <c r="D652" s="742"/>
      <c r="E652" s="3253"/>
    </row>
    <row r="653" spans="1:5">
      <c r="A653" s="324">
        <f t="shared" si="14"/>
        <v>2022.08</v>
      </c>
      <c r="B653" s="424"/>
      <c r="C653" s="425"/>
      <c r="D653" s="742"/>
      <c r="E653" s="3253"/>
    </row>
    <row r="654" spans="1:5">
      <c r="A654" s="324">
        <f t="shared" si="14"/>
        <v>2022.09</v>
      </c>
      <c r="B654" s="424"/>
      <c r="C654" s="425"/>
      <c r="D654" s="742"/>
      <c r="E654" s="3253"/>
    </row>
    <row r="655" spans="1:5">
      <c r="A655" s="324">
        <f t="shared" si="14"/>
        <v>2022.1</v>
      </c>
      <c r="B655" s="424"/>
      <c r="C655" s="425"/>
      <c r="D655" s="742"/>
      <c r="E655" s="3253"/>
    </row>
    <row r="656" spans="1:5">
      <c r="A656" s="324">
        <f t="shared" si="14"/>
        <v>2022.11</v>
      </c>
      <c r="B656" s="424"/>
      <c r="C656" s="425"/>
      <c r="D656" s="742"/>
      <c r="E656" s="3253"/>
    </row>
    <row r="657" spans="1:5">
      <c r="A657" s="324">
        <f t="shared" si="14"/>
        <v>2022.12</v>
      </c>
      <c r="B657" s="424"/>
      <c r="C657" s="425"/>
      <c r="D657" s="742"/>
      <c r="E657" s="3253"/>
    </row>
    <row r="658" spans="1:5">
      <c r="A658" s="324">
        <f t="shared" si="14"/>
        <v>2023.01</v>
      </c>
      <c r="B658" s="424"/>
      <c r="C658" s="425"/>
      <c r="D658" s="742"/>
      <c r="E658" s="3253"/>
    </row>
    <row r="659" spans="1:5">
      <c r="A659" s="324">
        <f t="shared" si="14"/>
        <v>2023.02</v>
      </c>
      <c r="B659" s="424"/>
      <c r="C659" s="425"/>
      <c r="D659" s="742"/>
      <c r="E659" s="3253"/>
    </row>
    <row r="660" spans="1:5">
      <c r="A660" s="324">
        <f t="shared" si="14"/>
        <v>2023.03</v>
      </c>
      <c r="B660" s="424"/>
      <c r="C660" s="425"/>
      <c r="D660" s="742"/>
      <c r="E660" s="3253"/>
    </row>
    <row r="661" spans="1:5">
      <c r="A661" s="324">
        <f t="shared" si="14"/>
        <v>2023.04</v>
      </c>
      <c r="B661" s="424"/>
      <c r="C661" s="425"/>
      <c r="D661" s="742"/>
      <c r="E661" s="3253"/>
    </row>
    <row r="662" spans="1:5">
      <c r="A662" s="324">
        <f t="shared" si="14"/>
        <v>2023.05</v>
      </c>
      <c r="B662" s="424"/>
      <c r="C662" s="425"/>
      <c r="D662" s="742"/>
      <c r="E662" s="3253"/>
    </row>
    <row r="663" spans="1:5">
      <c r="A663" s="324">
        <f t="shared" si="14"/>
        <v>2023.06</v>
      </c>
      <c r="B663" s="424"/>
      <c r="C663" s="425"/>
      <c r="D663" s="742"/>
      <c r="E663" s="3253"/>
    </row>
    <row r="664" spans="1:5">
      <c r="A664" s="324">
        <f t="shared" si="14"/>
        <v>2023.07</v>
      </c>
      <c r="B664" s="424"/>
      <c r="C664" s="425"/>
      <c r="D664" s="742"/>
      <c r="E664" s="3253"/>
    </row>
    <row r="665" spans="1:5">
      <c r="A665" s="324">
        <f t="shared" si="14"/>
        <v>2023.08</v>
      </c>
      <c r="B665" s="424"/>
      <c r="C665" s="425"/>
      <c r="D665" s="742"/>
      <c r="E665" s="3253"/>
    </row>
    <row r="666" spans="1:5">
      <c r="A666" s="324">
        <f t="shared" si="14"/>
        <v>2023.09</v>
      </c>
      <c r="B666" s="424"/>
      <c r="C666" s="425"/>
      <c r="D666" s="742"/>
      <c r="E666" s="3253"/>
    </row>
    <row r="667" spans="1:5">
      <c r="A667" s="324">
        <f t="shared" si="14"/>
        <v>2023.1</v>
      </c>
      <c r="B667" s="424"/>
      <c r="C667" s="425"/>
      <c r="D667" s="742"/>
      <c r="E667" s="3253"/>
    </row>
    <row r="668" spans="1:5">
      <c r="A668" s="324">
        <f t="shared" si="14"/>
        <v>2023.11</v>
      </c>
      <c r="B668" s="424"/>
      <c r="C668" s="425"/>
      <c r="D668" s="742"/>
      <c r="E668" s="3253"/>
    </row>
    <row r="669" spans="1:5">
      <c r="A669" s="324">
        <f t="shared" si="14"/>
        <v>2023.12</v>
      </c>
      <c r="B669" s="424"/>
      <c r="C669" s="425"/>
      <c r="D669" s="742"/>
      <c r="E669" s="3253"/>
    </row>
    <row r="670" spans="1:5">
      <c r="A670" s="324">
        <f t="shared" ref="A670:A693" si="15">A658+1</f>
        <v>2024.01</v>
      </c>
      <c r="B670" s="424"/>
      <c r="C670" s="425"/>
      <c r="D670" s="742"/>
      <c r="E670" s="3253"/>
    </row>
    <row r="671" spans="1:5">
      <c r="A671" s="324">
        <f t="shared" si="15"/>
        <v>2024.02</v>
      </c>
      <c r="B671" s="424"/>
      <c r="C671" s="425"/>
      <c r="D671" s="742"/>
      <c r="E671" s="3253"/>
    </row>
    <row r="672" spans="1:5">
      <c r="A672" s="324">
        <f t="shared" si="15"/>
        <v>2024.03</v>
      </c>
      <c r="B672" s="424"/>
      <c r="C672" s="425"/>
      <c r="D672" s="742"/>
      <c r="E672" s="3253"/>
    </row>
    <row r="673" spans="1:5">
      <c r="A673" s="324">
        <f t="shared" si="15"/>
        <v>2024.04</v>
      </c>
      <c r="B673" s="424"/>
      <c r="C673" s="425"/>
      <c r="D673" s="742"/>
      <c r="E673" s="3253"/>
    </row>
    <row r="674" spans="1:5">
      <c r="A674" s="324">
        <f t="shared" si="15"/>
        <v>2024.05</v>
      </c>
      <c r="B674" s="424"/>
      <c r="C674" s="425"/>
      <c r="D674" s="742"/>
      <c r="E674" s="3253"/>
    </row>
    <row r="675" spans="1:5">
      <c r="A675" s="324">
        <f t="shared" si="15"/>
        <v>2024.06</v>
      </c>
      <c r="B675" s="424"/>
      <c r="C675" s="425"/>
      <c r="D675" s="742"/>
      <c r="E675" s="3253"/>
    </row>
    <row r="676" spans="1:5">
      <c r="A676" s="324">
        <f t="shared" si="15"/>
        <v>2024.07</v>
      </c>
      <c r="B676" s="424"/>
      <c r="C676" s="425"/>
      <c r="D676" s="742"/>
      <c r="E676" s="3253"/>
    </row>
    <row r="677" spans="1:5">
      <c r="A677" s="324">
        <f t="shared" si="15"/>
        <v>2024.08</v>
      </c>
      <c r="B677" s="424"/>
      <c r="C677" s="425"/>
      <c r="D677" s="742"/>
      <c r="E677" s="3253"/>
    </row>
    <row r="678" spans="1:5">
      <c r="A678" s="324">
        <f t="shared" si="15"/>
        <v>2024.09</v>
      </c>
      <c r="B678" s="424"/>
      <c r="C678" s="425"/>
      <c r="D678" s="742"/>
      <c r="E678" s="3253"/>
    </row>
    <row r="679" spans="1:5">
      <c r="A679" s="324">
        <f t="shared" si="15"/>
        <v>2024.1</v>
      </c>
      <c r="B679" s="424"/>
      <c r="C679" s="425"/>
      <c r="D679" s="742"/>
      <c r="E679" s="3253"/>
    </row>
    <row r="680" spans="1:5">
      <c r="A680" s="324">
        <f t="shared" si="15"/>
        <v>2024.11</v>
      </c>
      <c r="B680" s="424"/>
      <c r="C680" s="425"/>
      <c r="D680" s="742"/>
      <c r="E680" s="3253"/>
    </row>
    <row r="681" spans="1:5">
      <c r="A681" s="324">
        <f t="shared" si="15"/>
        <v>2024.12</v>
      </c>
      <c r="B681" s="424"/>
      <c r="C681" s="425"/>
      <c r="D681" s="742"/>
      <c r="E681" s="3253"/>
    </row>
    <row r="682" spans="1:5">
      <c r="A682" s="324">
        <f t="shared" si="15"/>
        <v>2025.01</v>
      </c>
      <c r="B682" s="424"/>
      <c r="C682" s="425"/>
      <c r="D682" s="742"/>
      <c r="E682" s="3253"/>
    </row>
    <row r="683" spans="1:5">
      <c r="A683" s="324">
        <f t="shared" si="15"/>
        <v>2025.02</v>
      </c>
      <c r="B683" s="424"/>
      <c r="C683" s="425"/>
      <c r="D683" s="742"/>
      <c r="E683" s="3253"/>
    </row>
    <row r="684" spans="1:5">
      <c r="A684" s="324">
        <f t="shared" si="15"/>
        <v>2025.03</v>
      </c>
      <c r="B684" s="424"/>
      <c r="C684" s="425"/>
      <c r="D684" s="742"/>
      <c r="E684" s="3253"/>
    </row>
    <row r="685" spans="1:5">
      <c r="A685" s="324">
        <f t="shared" si="15"/>
        <v>2025.04</v>
      </c>
      <c r="B685" s="424"/>
      <c r="C685" s="425"/>
      <c r="D685" s="742"/>
      <c r="E685" s="3253"/>
    </row>
    <row r="686" spans="1:5">
      <c r="A686" s="324">
        <f t="shared" si="15"/>
        <v>2025.05</v>
      </c>
      <c r="B686" s="424"/>
      <c r="C686" s="425"/>
      <c r="D686" s="742"/>
      <c r="E686" s="3253"/>
    </row>
    <row r="687" spans="1:5">
      <c r="A687" s="324">
        <f t="shared" si="15"/>
        <v>2025.06</v>
      </c>
      <c r="B687" s="424"/>
      <c r="C687" s="425"/>
      <c r="D687" s="742"/>
      <c r="E687" s="3253"/>
    </row>
    <row r="688" spans="1:5">
      <c r="A688" s="324">
        <f t="shared" si="15"/>
        <v>2025.07</v>
      </c>
      <c r="B688" s="424"/>
      <c r="C688" s="425"/>
      <c r="D688" s="742"/>
      <c r="E688" s="3253"/>
    </row>
    <row r="689" spans="1:5">
      <c r="A689" s="324">
        <f t="shared" si="15"/>
        <v>2025.08</v>
      </c>
      <c r="B689" s="424"/>
      <c r="C689" s="425"/>
      <c r="D689" s="742"/>
      <c r="E689" s="3253"/>
    </row>
    <row r="690" spans="1:5">
      <c r="A690" s="324">
        <f t="shared" si="15"/>
        <v>2025.09</v>
      </c>
      <c r="B690" s="424"/>
      <c r="C690" s="425"/>
      <c r="D690" s="742"/>
      <c r="E690" s="3253"/>
    </row>
    <row r="691" spans="1:5">
      <c r="A691" s="324">
        <f t="shared" si="15"/>
        <v>2025.1</v>
      </c>
      <c r="B691" s="424"/>
      <c r="C691" s="425"/>
      <c r="D691" s="742"/>
      <c r="E691" s="3253"/>
    </row>
    <row r="692" spans="1:5">
      <c r="A692" s="324">
        <f t="shared" si="15"/>
        <v>2025.11</v>
      </c>
      <c r="B692" s="424"/>
      <c r="C692" s="425"/>
      <c r="D692" s="742"/>
      <c r="E692" s="3253"/>
    </row>
    <row r="693" spans="1:5">
      <c r="A693" s="324">
        <f t="shared" si="15"/>
        <v>2025.12</v>
      </c>
      <c r="B693" s="424"/>
      <c r="C693" s="425"/>
      <c r="D693" s="742"/>
      <c r="E693" s="3253"/>
    </row>
    <row r="694" spans="1:5">
      <c r="A694" s="1340">
        <v>2026.01</v>
      </c>
      <c r="B694" s="424"/>
      <c r="C694" s="425"/>
      <c r="D694" s="742"/>
      <c r="E694" s="3253"/>
    </row>
    <row r="695" spans="1:5">
      <c r="A695" s="1340">
        <v>2026.02</v>
      </c>
      <c r="B695" s="424"/>
      <c r="C695" s="425"/>
      <c r="D695" s="742"/>
      <c r="E695" s="3253"/>
    </row>
    <row r="696" spans="1:5">
      <c r="A696" s="1340">
        <v>2026.03</v>
      </c>
      <c r="B696" s="424"/>
      <c r="C696" s="425"/>
      <c r="D696" s="742"/>
      <c r="E696" s="3253"/>
    </row>
    <row r="697" spans="1:5">
      <c r="A697" s="1340">
        <v>2026.04</v>
      </c>
      <c r="B697" s="424"/>
      <c r="C697" s="425"/>
      <c r="D697" s="742"/>
      <c r="E697" s="3253"/>
    </row>
    <row r="698" spans="1:5">
      <c r="A698" s="1340">
        <v>2026.05</v>
      </c>
      <c r="B698" s="424"/>
      <c r="C698" s="425"/>
      <c r="D698" s="742"/>
      <c r="E698" s="3253"/>
    </row>
    <row r="699" spans="1:5">
      <c r="A699" s="1340">
        <v>2026.06</v>
      </c>
      <c r="B699" s="424"/>
      <c r="C699" s="425"/>
      <c r="D699" s="742"/>
      <c r="E699" s="3253"/>
    </row>
    <row r="700" spans="1:5">
      <c r="A700" s="1340">
        <v>2026.07</v>
      </c>
      <c r="B700" s="424"/>
      <c r="C700" s="425"/>
      <c r="D700" s="742"/>
      <c r="E700" s="3253"/>
    </row>
    <row r="701" spans="1:5">
      <c r="A701" s="1340">
        <v>2026.08</v>
      </c>
      <c r="B701" s="424"/>
      <c r="C701" s="425"/>
      <c r="D701" s="742"/>
      <c r="E701" s="3253"/>
    </row>
    <row r="702" spans="1:5">
      <c r="A702" s="1340">
        <v>2026.09</v>
      </c>
      <c r="B702" s="424"/>
      <c r="C702" s="425"/>
      <c r="D702" s="742"/>
      <c r="E702" s="3253"/>
    </row>
    <row r="703" spans="1:5">
      <c r="A703" s="1340">
        <v>2026.1</v>
      </c>
      <c r="B703" s="424"/>
      <c r="C703" s="425"/>
      <c r="D703" s="742"/>
      <c r="E703" s="3253"/>
    </row>
    <row r="704" spans="1:5">
      <c r="A704" s="1340">
        <v>2026.11</v>
      </c>
      <c r="B704" s="424"/>
      <c r="C704" s="425"/>
      <c r="D704" s="742"/>
      <c r="E704" s="3253"/>
    </row>
    <row r="705" spans="1:5">
      <c r="A705" s="1340">
        <v>2026.12</v>
      </c>
      <c r="B705" s="424"/>
      <c r="C705" s="425"/>
      <c r="D705" s="742"/>
      <c r="E705" s="3253"/>
    </row>
    <row r="706" spans="1:5">
      <c r="A706" s="1340">
        <v>2027.01</v>
      </c>
      <c r="B706" s="424"/>
      <c r="C706" s="425"/>
      <c r="D706" s="742"/>
      <c r="E706" s="3253"/>
    </row>
    <row r="707" spans="1:5">
      <c r="A707" s="1340">
        <v>2027.02</v>
      </c>
      <c r="B707" s="424"/>
      <c r="C707" s="425"/>
      <c r="D707" s="742"/>
      <c r="E707" s="3253"/>
    </row>
    <row r="708" spans="1:5">
      <c r="A708" s="1340">
        <v>2027.03</v>
      </c>
      <c r="B708" s="424"/>
      <c r="C708" s="425"/>
      <c r="D708" s="742"/>
      <c r="E708" s="3253"/>
    </row>
    <row r="709" spans="1:5">
      <c r="A709" s="1340">
        <v>2027.04</v>
      </c>
      <c r="B709" s="424"/>
      <c r="C709" s="425"/>
      <c r="D709" s="742"/>
      <c r="E709" s="3253"/>
    </row>
    <row r="710" spans="1:5">
      <c r="A710" s="1340">
        <v>2027.05</v>
      </c>
      <c r="B710" s="424"/>
      <c r="C710" s="425"/>
      <c r="D710" s="742"/>
      <c r="E710" s="3253"/>
    </row>
    <row r="711" spans="1:5">
      <c r="A711" s="1340">
        <v>2027.06</v>
      </c>
      <c r="B711" s="424"/>
      <c r="C711" s="425"/>
      <c r="D711" s="742"/>
      <c r="E711" s="3253"/>
    </row>
    <row r="712" spans="1:5">
      <c r="A712" s="1340">
        <v>2027.07</v>
      </c>
      <c r="B712" s="424"/>
      <c r="C712" s="425"/>
      <c r="D712" s="742"/>
      <c r="E712" s="3253"/>
    </row>
    <row r="713" spans="1:5">
      <c r="A713" s="1340">
        <v>2027.08</v>
      </c>
      <c r="B713" s="424"/>
      <c r="C713" s="425"/>
      <c r="D713" s="742"/>
      <c r="E713" s="3253"/>
    </row>
    <row r="714" spans="1:5">
      <c r="A714" s="1340">
        <v>2027.09</v>
      </c>
      <c r="B714" s="424"/>
      <c r="C714" s="425"/>
      <c r="D714" s="742"/>
      <c r="E714" s="3253"/>
    </row>
    <row r="715" spans="1:5">
      <c r="A715" s="1340">
        <v>2027.1</v>
      </c>
      <c r="B715" s="424"/>
      <c r="C715" s="425"/>
      <c r="D715" s="742"/>
      <c r="E715" s="3253"/>
    </row>
    <row r="716" spans="1:5">
      <c r="A716" s="1340">
        <v>2027.11</v>
      </c>
      <c r="B716" s="424"/>
      <c r="C716" s="425"/>
      <c r="D716" s="742"/>
      <c r="E716" s="3253"/>
    </row>
    <row r="717" spans="1:5">
      <c r="A717" s="1340">
        <v>2027.12</v>
      </c>
      <c r="B717" s="424"/>
      <c r="C717" s="425"/>
      <c r="D717" s="742"/>
      <c r="E717" s="3253"/>
    </row>
    <row r="718" spans="1:5">
      <c r="A718" s="1340">
        <v>2028.01</v>
      </c>
      <c r="B718" s="424"/>
      <c r="C718" s="425"/>
      <c r="D718" s="742"/>
      <c r="E718" s="3253"/>
    </row>
    <row r="719" spans="1:5">
      <c r="A719" s="1340">
        <v>2028.02</v>
      </c>
      <c r="B719" s="424"/>
      <c r="C719" s="425"/>
      <c r="D719" s="742"/>
      <c r="E719" s="3253"/>
    </row>
    <row r="720" spans="1:5">
      <c r="A720" s="1340">
        <v>2028.03</v>
      </c>
      <c r="B720" s="424"/>
      <c r="C720" s="425"/>
      <c r="D720" s="742"/>
      <c r="E720" s="3253"/>
    </row>
    <row r="721" spans="1:5">
      <c r="A721" s="1340">
        <v>2028.04</v>
      </c>
      <c r="B721" s="424"/>
      <c r="C721" s="425"/>
      <c r="D721" s="742"/>
      <c r="E721" s="3253"/>
    </row>
    <row r="722" spans="1:5">
      <c r="A722" s="1340">
        <v>2028.05</v>
      </c>
      <c r="B722" s="424"/>
      <c r="C722" s="425"/>
      <c r="D722" s="742"/>
      <c r="E722" s="3253"/>
    </row>
    <row r="723" spans="1:5">
      <c r="A723" s="1340">
        <v>2028.06</v>
      </c>
      <c r="B723" s="424"/>
      <c r="C723" s="425"/>
      <c r="D723" s="742"/>
      <c r="E723" s="3253"/>
    </row>
    <row r="724" spans="1:5">
      <c r="A724" s="1340">
        <v>2028.07</v>
      </c>
      <c r="B724" s="424"/>
      <c r="C724" s="425"/>
      <c r="D724" s="742"/>
      <c r="E724" s="3253"/>
    </row>
    <row r="725" spans="1:5">
      <c r="A725" s="1340">
        <v>2028.08</v>
      </c>
      <c r="B725" s="424"/>
      <c r="C725" s="425"/>
      <c r="D725" s="742"/>
      <c r="E725" s="3253"/>
    </row>
    <row r="726" spans="1:5">
      <c r="A726" s="1340">
        <v>2028.09</v>
      </c>
      <c r="B726" s="424"/>
      <c r="C726" s="425"/>
      <c r="D726" s="742"/>
      <c r="E726" s="3253"/>
    </row>
    <row r="727" spans="1:5">
      <c r="A727" s="1340">
        <v>2028.1</v>
      </c>
      <c r="B727" s="424"/>
      <c r="C727" s="425"/>
      <c r="D727" s="742"/>
      <c r="E727" s="3253"/>
    </row>
    <row r="728" spans="1:5">
      <c r="A728" s="1340">
        <v>2028.11</v>
      </c>
      <c r="B728" s="424"/>
      <c r="C728" s="425"/>
      <c r="D728" s="742"/>
      <c r="E728" s="3253"/>
    </row>
    <row r="729" spans="1:5">
      <c r="A729" s="1340">
        <v>2028.12</v>
      </c>
      <c r="B729" s="424"/>
      <c r="C729" s="425"/>
      <c r="D729" s="742"/>
      <c r="E729" s="3253"/>
    </row>
    <row r="730" spans="1:5">
      <c r="A730" s="1340">
        <v>2029.01</v>
      </c>
      <c r="B730" s="424"/>
      <c r="C730" s="425"/>
      <c r="D730" s="742"/>
      <c r="E730" s="3253"/>
    </row>
    <row r="731" spans="1:5">
      <c r="A731" s="1340">
        <v>2029.02</v>
      </c>
      <c r="B731" s="424"/>
      <c r="C731" s="425"/>
      <c r="D731" s="742"/>
      <c r="E731" s="3253"/>
    </row>
    <row r="732" spans="1:5">
      <c r="A732" s="1340">
        <v>2029.03</v>
      </c>
      <c r="B732" s="424"/>
      <c r="C732" s="425"/>
      <c r="D732" s="742"/>
      <c r="E732" s="3253"/>
    </row>
    <row r="733" spans="1:5">
      <c r="A733" s="1340">
        <v>2029.04</v>
      </c>
      <c r="B733" s="424"/>
      <c r="C733" s="425"/>
      <c r="D733" s="742"/>
      <c r="E733" s="3253"/>
    </row>
    <row r="734" spans="1:5">
      <c r="A734" s="1340">
        <v>2029.05</v>
      </c>
      <c r="B734" s="424"/>
      <c r="C734" s="425"/>
      <c r="D734" s="742"/>
      <c r="E734" s="3253"/>
    </row>
    <row r="735" spans="1:5">
      <c r="A735" s="1340">
        <v>2029.06</v>
      </c>
      <c r="B735" s="424"/>
      <c r="C735" s="425"/>
      <c r="D735" s="742"/>
      <c r="E735" s="3253"/>
    </row>
    <row r="736" spans="1:5">
      <c r="A736" s="1340">
        <v>2029.07</v>
      </c>
      <c r="B736" s="424"/>
      <c r="C736" s="425"/>
      <c r="D736" s="742"/>
      <c r="E736" s="3253"/>
    </row>
    <row r="737" spans="1:5">
      <c r="A737" s="1340">
        <v>2029.08</v>
      </c>
      <c r="B737" s="424"/>
      <c r="C737" s="425"/>
      <c r="D737" s="742"/>
      <c r="E737" s="3253"/>
    </row>
    <row r="738" spans="1:5">
      <c r="A738" s="1340">
        <v>2029.09</v>
      </c>
      <c r="B738" s="424"/>
      <c r="C738" s="425"/>
      <c r="D738" s="742"/>
      <c r="E738" s="3253"/>
    </row>
    <row r="739" spans="1:5">
      <c r="A739" s="1340">
        <v>2029.1</v>
      </c>
      <c r="B739" s="424"/>
      <c r="C739" s="425"/>
      <c r="D739" s="742"/>
      <c r="E739" s="3253"/>
    </row>
    <row r="740" spans="1:5">
      <c r="A740" s="1340">
        <v>2029.11</v>
      </c>
      <c r="B740" s="424"/>
      <c r="C740" s="425"/>
      <c r="D740" s="742"/>
      <c r="E740" s="3253"/>
    </row>
    <row r="741" spans="1:5">
      <c r="A741" s="1340">
        <v>2029.12</v>
      </c>
      <c r="B741" s="424"/>
      <c r="C741" s="425"/>
      <c r="D741" s="742"/>
      <c r="E741" s="3253"/>
    </row>
    <row r="742" spans="1:5">
      <c r="A742" s="1340">
        <v>2030.01</v>
      </c>
      <c r="B742" s="424"/>
      <c r="C742" s="425"/>
      <c r="D742" s="742"/>
      <c r="E742" s="3253"/>
    </row>
    <row r="743" spans="1:5">
      <c r="A743" s="1340">
        <v>2030.02</v>
      </c>
      <c r="B743" s="424"/>
      <c r="C743" s="425"/>
      <c r="D743" s="742"/>
      <c r="E743" s="3253"/>
    </row>
    <row r="744" spans="1:5">
      <c r="A744" s="1340">
        <v>2030.03</v>
      </c>
      <c r="B744" s="424"/>
      <c r="C744" s="425"/>
      <c r="D744" s="742"/>
      <c r="E744" s="3253"/>
    </row>
    <row r="745" spans="1:5">
      <c r="A745" s="1340">
        <v>2030.04</v>
      </c>
      <c r="B745" s="424"/>
      <c r="C745" s="425"/>
      <c r="D745" s="742"/>
      <c r="E745" s="3253"/>
    </row>
    <row r="746" spans="1:5">
      <c r="A746" s="1340">
        <v>2030.05</v>
      </c>
      <c r="B746" s="424"/>
      <c r="C746" s="425"/>
      <c r="D746" s="742"/>
      <c r="E746" s="3253"/>
    </row>
    <row r="747" spans="1:5">
      <c r="A747" s="1340">
        <v>2030.06</v>
      </c>
      <c r="B747" s="424"/>
      <c r="C747" s="425"/>
      <c r="D747" s="742"/>
      <c r="E747" s="3253"/>
    </row>
    <row r="748" spans="1:5">
      <c r="A748" s="1340">
        <v>2030.07</v>
      </c>
      <c r="B748" s="424"/>
      <c r="C748" s="425"/>
      <c r="D748" s="742"/>
      <c r="E748" s="3253"/>
    </row>
    <row r="749" spans="1:5">
      <c r="A749" s="1340">
        <v>2030.08</v>
      </c>
      <c r="B749" s="424"/>
      <c r="C749" s="425"/>
      <c r="D749" s="742"/>
      <c r="E749" s="3253"/>
    </row>
    <row r="750" spans="1:5">
      <c r="A750" s="1340">
        <v>2030.09</v>
      </c>
      <c r="B750" s="424"/>
      <c r="C750" s="425"/>
      <c r="D750" s="742"/>
      <c r="E750" s="3253"/>
    </row>
    <row r="751" spans="1:5">
      <c r="A751" s="1340">
        <v>2030.1</v>
      </c>
      <c r="B751" s="424"/>
      <c r="C751" s="425"/>
      <c r="D751" s="742"/>
      <c r="E751" s="3253"/>
    </row>
    <row r="752" spans="1:5">
      <c r="A752" s="1340">
        <v>2030.11</v>
      </c>
      <c r="B752" s="424"/>
      <c r="C752" s="425"/>
      <c r="D752" s="742"/>
      <c r="E752" s="3253"/>
    </row>
    <row r="753" spans="1:5">
      <c r="A753" s="1340">
        <v>2030.12</v>
      </c>
      <c r="B753" s="424"/>
      <c r="C753" s="425"/>
      <c r="D753" s="742"/>
      <c r="E753" s="3253"/>
    </row>
  </sheetData>
  <hyperlinks>
    <hyperlink ref="A5" location="INDICE!A13" display="VOLVER AL INDICE" xr:uid="{00000000-0004-0000-35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37">
    <pageSetUpPr autoPageBreaks="0"/>
  </sheetPr>
  <dimension ref="A1:F429"/>
  <sheetViews>
    <sheetView zoomScale="130" zoomScaleNormal="130" workbookViewId="0">
      <pane xSplit="1" ySplit="9" topLeftCell="B357" activePane="bottomRight" state="frozen"/>
      <selection pane="topRight" activeCell="A5" sqref="A5"/>
      <selection pane="bottomLeft" activeCell="A5" sqref="A5"/>
      <selection pane="bottomRight" activeCell="F368" sqref="F368"/>
    </sheetView>
  </sheetViews>
  <sheetFormatPr baseColWidth="10" defaultColWidth="19.5703125" defaultRowHeight="12.75"/>
  <cols>
    <col min="1" max="1" width="9" style="24" customWidth="1"/>
    <col min="2" max="3" width="16.28515625" style="24" customWidth="1"/>
    <col min="4" max="5" width="16.28515625" style="9" customWidth="1"/>
    <col min="6" max="16384" width="19.5703125" style="9"/>
  </cols>
  <sheetData>
    <row r="1" spans="1:5" ht="6.6" customHeight="1">
      <c r="A1" s="34"/>
      <c r="B1" s="118"/>
      <c r="C1" s="2265"/>
      <c r="D1" s="2266"/>
      <c r="E1" s="2267"/>
    </row>
    <row r="2" spans="1:5">
      <c r="A2" s="94" t="s">
        <v>105</v>
      </c>
      <c r="B2" s="66" t="s">
        <v>1508</v>
      </c>
      <c r="C2" s="2402"/>
      <c r="D2" s="1788" t="s">
        <v>1509</v>
      </c>
      <c r="E2" s="1884"/>
    </row>
    <row r="3" spans="1:5">
      <c r="A3" s="94" t="s">
        <v>109</v>
      </c>
      <c r="B3" s="66" t="s">
        <v>1510</v>
      </c>
      <c r="C3" s="2402"/>
      <c r="D3" s="1788"/>
      <c r="E3" s="1884"/>
    </row>
    <row r="4" spans="1:5" ht="3" hidden="1" customHeight="1">
      <c r="A4" s="34"/>
      <c r="B4" s="81"/>
      <c r="C4" s="82"/>
      <c r="D4" s="2268"/>
      <c r="E4" s="83"/>
    </row>
    <row r="5" spans="1:5" ht="22.5">
      <c r="A5" s="2390" t="s">
        <v>137</v>
      </c>
      <c r="B5" s="2269" t="s">
        <v>1511</v>
      </c>
      <c r="C5" s="2464"/>
      <c r="D5" s="1963" t="s">
        <v>1512</v>
      </c>
      <c r="E5" s="1541"/>
    </row>
    <row r="6" spans="1:5" ht="3" hidden="1" customHeight="1">
      <c r="A6" s="34"/>
      <c r="B6" s="81"/>
      <c r="C6" s="82"/>
      <c r="D6" s="1214"/>
      <c r="E6" s="83"/>
    </row>
    <row r="7" spans="1:5" ht="22.5">
      <c r="A7" s="1900" t="s">
        <v>123</v>
      </c>
      <c r="B7" s="6" t="s">
        <v>1513</v>
      </c>
      <c r="C7" s="1992" t="s">
        <v>1471</v>
      </c>
      <c r="D7" s="6" t="s">
        <v>358</v>
      </c>
      <c r="E7" s="2038" t="s">
        <v>1471</v>
      </c>
    </row>
    <row r="8" spans="1:5" ht="14.25" customHeight="1" thickBot="1">
      <c r="A8" s="105" t="s">
        <v>141</v>
      </c>
      <c r="B8" s="150" t="s">
        <v>1514</v>
      </c>
      <c r="C8" s="735" t="s">
        <v>1515</v>
      </c>
      <c r="D8" s="2400" t="s">
        <v>1516</v>
      </c>
      <c r="E8" s="642" t="s">
        <v>1517</v>
      </c>
    </row>
    <row r="9" spans="1:5" ht="13.5" hidden="1" thickBot="1">
      <c r="A9" s="72"/>
      <c r="B9" s="1972"/>
      <c r="C9" s="2270"/>
      <c r="D9" s="2271"/>
      <c r="E9" s="2272"/>
    </row>
    <row r="10" spans="1:5">
      <c r="A10" s="2662">
        <v>1996.01</v>
      </c>
      <c r="B10" s="2663">
        <v>1.56934914524705</v>
      </c>
      <c r="C10" s="2664"/>
      <c r="D10" s="2665"/>
      <c r="E10" s="2274"/>
    </row>
    <row r="11" spans="1:5">
      <c r="A11" s="99">
        <v>1996.02</v>
      </c>
      <c r="B11" s="1149">
        <v>1.5600821252133916</v>
      </c>
      <c r="C11" s="2275">
        <f>B11/B10-1</f>
        <v>-5.9050084945880821E-3</v>
      </c>
      <c r="D11" s="2273"/>
      <c r="E11" s="3254"/>
    </row>
    <row r="12" spans="1:5">
      <c r="A12" s="99">
        <v>1996.03</v>
      </c>
      <c r="B12" s="1149">
        <v>1.554082885475268</v>
      </c>
      <c r="C12" s="2276">
        <f>B12/B11-1</f>
        <v>-3.8454640567739951E-3</v>
      </c>
      <c r="D12" s="2273"/>
      <c r="E12" s="3254"/>
    </row>
    <row r="13" spans="1:5">
      <c r="A13" s="99">
        <v>1996.04</v>
      </c>
      <c r="B13" s="1149">
        <v>1.5618673938103547</v>
      </c>
      <c r="C13" s="2276">
        <f t="shared" ref="C13:C75" si="0">B13/B12-1</f>
        <v>5.0090689549715517E-3</v>
      </c>
      <c r="D13" s="2273"/>
      <c r="E13" s="3254"/>
    </row>
    <row r="14" spans="1:5">
      <c r="A14" s="99">
        <v>1996.05</v>
      </c>
      <c r="B14" s="1149">
        <v>1.5622364732029572</v>
      </c>
      <c r="C14" s="2276">
        <f t="shared" si="0"/>
        <v>2.3630648419015188E-4</v>
      </c>
      <c r="D14" s="2273"/>
      <c r="E14" s="3254"/>
    </row>
    <row r="15" spans="1:5">
      <c r="A15" s="99">
        <v>1996.06</v>
      </c>
      <c r="B15" s="1149">
        <v>1.5666349085022704</v>
      </c>
      <c r="C15" s="2276">
        <f t="shared" si="0"/>
        <v>2.8154734412872973E-3</v>
      </c>
      <c r="D15" s="2273"/>
      <c r="E15" s="3254"/>
    </row>
    <row r="16" spans="1:5">
      <c r="A16" s="99">
        <v>1996.07</v>
      </c>
      <c r="B16" s="1149">
        <v>1.5628599650790398</v>
      </c>
      <c r="C16" s="2276">
        <f t="shared" si="0"/>
        <v>-2.4095872004024077E-3</v>
      </c>
      <c r="D16" s="2273"/>
      <c r="E16" s="3254"/>
    </row>
    <row r="17" spans="1:5">
      <c r="A17" s="99">
        <v>1996.08</v>
      </c>
      <c r="B17" s="1149">
        <v>1.5596343350702593</v>
      </c>
      <c r="C17" s="2276">
        <f t="shared" si="0"/>
        <v>-2.0639277227997299E-3</v>
      </c>
      <c r="D17" s="2273"/>
      <c r="E17" s="3254"/>
    </row>
    <row r="18" spans="1:5">
      <c r="A18" s="99">
        <v>1996.09</v>
      </c>
      <c r="B18" s="1149">
        <v>1.5646209103922493</v>
      </c>
      <c r="C18" s="2276">
        <f t="shared" si="0"/>
        <v>3.1972720847834868E-3</v>
      </c>
      <c r="D18" s="2273"/>
      <c r="E18" s="3254"/>
    </row>
    <row r="19" spans="1:5">
      <c r="A19" s="99">
        <v>1996.1</v>
      </c>
      <c r="B19" s="1149">
        <v>1.5626951408394449</v>
      </c>
      <c r="C19" s="2276">
        <f t="shared" si="0"/>
        <v>-1.2308218176130259E-3</v>
      </c>
      <c r="D19" s="2273"/>
      <c r="E19" s="3254"/>
    </row>
    <row r="20" spans="1:5">
      <c r="A20" s="99">
        <v>1996.11</v>
      </c>
      <c r="B20" s="1149">
        <v>1.5674529866483784</v>
      </c>
      <c r="C20" s="2276">
        <f t="shared" si="0"/>
        <v>3.0446410720761374E-3</v>
      </c>
      <c r="D20" s="2273"/>
      <c r="E20" s="3254"/>
    </row>
    <row r="21" spans="1:5">
      <c r="A21" s="99">
        <v>1996.12</v>
      </c>
      <c r="B21" s="1149">
        <v>1.5656634879151106</v>
      </c>
      <c r="C21" s="2276">
        <f t="shared" si="0"/>
        <v>-1.1416602274587628E-3</v>
      </c>
      <c r="D21" s="2273"/>
      <c r="E21" s="3254"/>
    </row>
    <row r="22" spans="1:5">
      <c r="A22" s="99">
        <v>1997.01</v>
      </c>
      <c r="B22" s="1149">
        <v>1.5633624448415433</v>
      </c>
      <c r="C22" s="2276">
        <f t="shared" si="0"/>
        <v>-1.4696919812771103E-3</v>
      </c>
      <c r="D22" s="2273"/>
      <c r="E22" s="3254"/>
    </row>
    <row r="23" spans="1:5">
      <c r="A23" s="99">
        <v>1997.02</v>
      </c>
      <c r="B23" s="1149">
        <v>1.5717778477912454</v>
      </c>
      <c r="C23" s="2276">
        <f t="shared" si="0"/>
        <v>5.3828867243610468E-3</v>
      </c>
      <c r="D23" s="2273"/>
      <c r="E23" s="3254"/>
    </row>
    <row r="24" spans="1:5">
      <c r="A24" s="99">
        <v>1997.03</v>
      </c>
      <c r="B24" s="1149">
        <v>1.5812198141763687</v>
      </c>
      <c r="C24" s="2276">
        <f t="shared" si="0"/>
        <v>6.0071888647570404E-3</v>
      </c>
      <c r="D24" s="2273"/>
      <c r="E24" s="3254"/>
    </row>
    <row r="25" spans="1:5">
      <c r="A25" s="99">
        <v>1997.04</v>
      </c>
      <c r="B25" s="1149">
        <v>1.5802156100328455</v>
      </c>
      <c r="C25" s="2276">
        <f t="shared" si="0"/>
        <v>-6.3508193770411836E-4</v>
      </c>
      <c r="D25" s="2273"/>
      <c r="E25" s="3254"/>
    </row>
    <row r="26" spans="1:5">
      <c r="A26" s="99">
        <v>1997.05</v>
      </c>
      <c r="B26" s="1149">
        <v>1.5782765457659398</v>
      </c>
      <c r="C26" s="2276">
        <f t="shared" si="0"/>
        <v>-1.2270884141344363E-3</v>
      </c>
      <c r="D26" s="2273"/>
      <c r="E26" s="3254"/>
    </row>
    <row r="27" spans="1:5">
      <c r="A27" s="99">
        <v>1997.06</v>
      </c>
      <c r="B27" s="1149">
        <v>1.5833478748903249</v>
      </c>
      <c r="C27" s="2276">
        <f t="shared" si="0"/>
        <v>3.213206923710521E-3</v>
      </c>
      <c r="D27" s="2273"/>
      <c r="E27" s="3254"/>
    </row>
    <row r="28" spans="1:5">
      <c r="A28" s="99">
        <v>1997.07</v>
      </c>
      <c r="B28" s="1149">
        <v>1.5616756779899656</v>
      </c>
      <c r="C28" s="2276">
        <f t="shared" si="0"/>
        <v>-1.3687577596843914E-2</v>
      </c>
      <c r="D28" s="2273"/>
      <c r="E28" s="3254"/>
    </row>
    <row r="29" spans="1:5">
      <c r="A29" s="99">
        <v>1997.08</v>
      </c>
      <c r="B29" s="1149">
        <v>1.5600138387273277</v>
      </c>
      <c r="C29" s="2276">
        <f t="shared" si="0"/>
        <v>-1.0641385314887897E-3</v>
      </c>
      <c r="D29" s="2273"/>
      <c r="E29" s="3254"/>
    </row>
    <row r="30" spans="1:5">
      <c r="A30" s="99">
        <v>1997.09</v>
      </c>
      <c r="B30" s="1149">
        <v>1.5538197105665854</v>
      </c>
      <c r="C30" s="2276">
        <f t="shared" si="0"/>
        <v>-3.970559752082381E-3</v>
      </c>
      <c r="D30" s="2273"/>
      <c r="E30" s="3254"/>
    </row>
    <row r="31" spans="1:5">
      <c r="A31" s="99">
        <v>1997.1</v>
      </c>
      <c r="B31" s="1149">
        <v>1.5305124149080866</v>
      </c>
      <c r="C31" s="2276">
        <f t="shared" si="0"/>
        <v>-1.5000000000000013E-2</v>
      </c>
      <c r="D31" s="2273"/>
      <c r="E31" s="3254"/>
    </row>
    <row r="32" spans="1:5">
      <c r="A32" s="99">
        <v>1997.11</v>
      </c>
      <c r="B32" s="1149">
        <v>1.5274513900782705</v>
      </c>
      <c r="C32" s="2276">
        <f t="shared" si="0"/>
        <v>-2.0000000000000018E-3</v>
      </c>
      <c r="D32" s="2273"/>
      <c r="E32" s="3254"/>
    </row>
    <row r="33" spans="1:5">
      <c r="A33" s="99">
        <v>1997.12</v>
      </c>
      <c r="B33" s="1149">
        <v>1.5752725446842766</v>
      </c>
      <c r="C33" s="2276">
        <f t="shared" si="0"/>
        <v>3.1307807840323942E-2</v>
      </c>
      <c r="D33" s="2273"/>
      <c r="E33" s="3254"/>
    </row>
    <row r="34" spans="1:5">
      <c r="A34" s="99">
        <v>1998.01</v>
      </c>
      <c r="B34" s="1149">
        <v>1.5727042476420179</v>
      </c>
      <c r="C34" s="2276">
        <f t="shared" si="0"/>
        <v>-1.6303826604008309E-3</v>
      </c>
      <c r="D34" s="2273"/>
      <c r="E34" s="3254"/>
    </row>
    <row r="35" spans="1:5">
      <c r="A35" s="99">
        <v>1998.02</v>
      </c>
      <c r="B35" s="1149">
        <v>1.5727042476420179</v>
      </c>
      <c r="C35" s="2276">
        <f t="shared" si="0"/>
        <v>0</v>
      </c>
      <c r="D35" s="2273"/>
      <c r="E35" s="3254"/>
    </row>
    <row r="36" spans="1:5">
      <c r="A36" s="99">
        <v>1998.03</v>
      </c>
      <c r="B36" s="1149">
        <v>1.5787472995061562</v>
      </c>
      <c r="C36" s="2276">
        <f t="shared" si="0"/>
        <v>3.842459173871271E-3</v>
      </c>
      <c r="D36" s="2273"/>
      <c r="E36" s="3254"/>
    </row>
    <row r="37" spans="1:5">
      <c r="A37" s="99">
        <v>1998.04</v>
      </c>
      <c r="B37" s="1149">
        <v>1.5802580624721907</v>
      </c>
      <c r="C37" s="2276">
        <f t="shared" si="0"/>
        <v>9.5693779904304499E-4</v>
      </c>
      <c r="D37" s="2273"/>
      <c r="E37" s="3254"/>
    </row>
    <row r="38" spans="1:5">
      <c r="A38" s="99">
        <v>1998.05</v>
      </c>
      <c r="B38" s="1149">
        <v>1.5802580624721907</v>
      </c>
      <c r="C38" s="2276">
        <f t="shared" si="0"/>
        <v>0</v>
      </c>
      <c r="D38" s="2273"/>
      <c r="E38" s="3254"/>
    </row>
    <row r="39" spans="1:5">
      <c r="A39" s="99">
        <v>1998.06</v>
      </c>
      <c r="B39" s="1149">
        <v>1.5818383205346627</v>
      </c>
      <c r="C39" s="2276">
        <f t="shared" si="0"/>
        <v>9.9999999999988987E-4</v>
      </c>
      <c r="D39" s="2273"/>
      <c r="E39" s="3254"/>
    </row>
    <row r="40" spans="1:5">
      <c r="A40" s="99">
        <v>1998.07</v>
      </c>
      <c r="B40" s="1149">
        <v>1.583420158855197</v>
      </c>
      <c r="C40" s="2276">
        <f t="shared" si="0"/>
        <v>9.9999999999988987E-4</v>
      </c>
      <c r="D40" s="2273"/>
      <c r="E40" s="3254"/>
    </row>
    <row r="41" spans="1:5">
      <c r="A41" s="99">
        <v>1998.08</v>
      </c>
      <c r="B41" s="1149">
        <v>1.5865869991729078</v>
      </c>
      <c r="C41" s="2276">
        <f t="shared" si="0"/>
        <v>2.0000000000002238E-3</v>
      </c>
      <c r="D41" s="2273"/>
      <c r="E41" s="3254"/>
    </row>
    <row r="42" spans="1:5">
      <c r="A42" s="99">
        <v>1998.09</v>
      </c>
      <c r="B42" s="1149">
        <v>1.5876348565157115</v>
      </c>
      <c r="C42" s="2276">
        <f t="shared" si="0"/>
        <v>6.6044745314930431E-4</v>
      </c>
      <c r="D42" s="2273"/>
      <c r="E42" s="3254"/>
    </row>
    <row r="43" spans="1:5">
      <c r="A43" s="99">
        <v>1998.1</v>
      </c>
      <c r="B43" s="1149">
        <v>1.5876348565157115</v>
      </c>
      <c r="C43" s="2276">
        <f t="shared" si="0"/>
        <v>0</v>
      </c>
      <c r="D43" s="2273"/>
      <c r="E43" s="3254"/>
    </row>
    <row r="44" spans="1:5">
      <c r="A44" s="99">
        <v>1998.11</v>
      </c>
      <c r="B44" s="1149">
        <v>1.5861940526693561</v>
      </c>
      <c r="C44" s="2276">
        <f t="shared" si="0"/>
        <v>-9.0751588152793161E-4</v>
      </c>
      <c r="D44" s="2273"/>
      <c r="E44" s="3254"/>
    </row>
    <row r="45" spans="1:5">
      <c r="A45" s="99">
        <v>1998.12</v>
      </c>
      <c r="B45" s="1149">
        <v>1.5755844970734671</v>
      </c>
      <c r="C45" s="2276">
        <f t="shared" si="0"/>
        <v>-6.6886870355077344E-3</v>
      </c>
      <c r="D45" s="2273"/>
      <c r="E45" s="3254"/>
    </row>
    <row r="46" spans="1:5">
      <c r="A46" s="99">
        <v>1999.01</v>
      </c>
      <c r="B46" s="1149">
        <v>1.5755844970734671</v>
      </c>
      <c r="C46" s="2276">
        <f t="shared" si="0"/>
        <v>0</v>
      </c>
      <c r="D46" s="2273"/>
      <c r="E46" s="3254"/>
    </row>
    <row r="47" spans="1:5">
      <c r="A47" s="99">
        <v>1999.02</v>
      </c>
      <c r="B47" s="1149">
        <v>1.5861940526693561</v>
      </c>
      <c r="C47" s="2276">
        <f t="shared" si="0"/>
        <v>6.7337268268350403E-3</v>
      </c>
      <c r="D47" s="2273"/>
      <c r="E47" s="3254"/>
    </row>
    <row r="48" spans="1:5">
      <c r="A48" s="99">
        <v>1999.03</v>
      </c>
      <c r="B48" s="1149">
        <v>1.5885517316906648</v>
      </c>
      <c r="C48" s="2276">
        <f t="shared" si="0"/>
        <v>1.4863748967794965E-3</v>
      </c>
      <c r="D48" s="2273"/>
      <c r="E48" s="3254"/>
    </row>
    <row r="49" spans="1:5">
      <c r="A49" s="99">
        <v>1999.04</v>
      </c>
      <c r="B49" s="1149">
        <v>1.5834696235780661</v>
      </c>
      <c r="C49" s="2276">
        <f t="shared" si="0"/>
        <v>-3.1992084432717061E-3</v>
      </c>
      <c r="D49" s="2273"/>
      <c r="E49" s="3254"/>
    </row>
    <row r="50" spans="1:5">
      <c r="A50" s="99">
        <v>1999.05</v>
      </c>
      <c r="B50" s="1149">
        <v>1.5774182474233738</v>
      </c>
      <c r="C50" s="2276">
        <f t="shared" si="0"/>
        <v>-3.8215928266551735E-3</v>
      </c>
      <c r="D50" s="2273"/>
      <c r="E50" s="3254"/>
    </row>
    <row r="51" spans="1:5">
      <c r="A51" s="99">
        <v>1999.06</v>
      </c>
      <c r="B51" s="1149">
        <v>1.5744056575628127</v>
      </c>
      <c r="C51" s="2276">
        <f t="shared" si="0"/>
        <v>-1.9098231337706384E-3</v>
      </c>
      <c r="D51" s="2273"/>
      <c r="E51" s="3254"/>
    </row>
    <row r="52" spans="1:5">
      <c r="A52" s="99">
        <v>1999.07</v>
      </c>
      <c r="B52" s="1149">
        <v>1.5730958358843079</v>
      </c>
      <c r="C52" s="2276">
        <f t="shared" si="0"/>
        <v>-8.3194675540765317E-4</v>
      </c>
      <c r="D52" s="2273"/>
      <c r="E52" s="3254"/>
    </row>
    <row r="53" spans="1:5">
      <c r="A53" s="99">
        <v>1999.08</v>
      </c>
      <c r="B53" s="1149">
        <v>1.5730958358843079</v>
      </c>
      <c r="C53" s="2276">
        <f t="shared" si="0"/>
        <v>0</v>
      </c>
      <c r="D53" s="2273"/>
      <c r="E53" s="3254"/>
    </row>
    <row r="54" spans="1:5">
      <c r="A54" s="99">
        <v>1999.09</v>
      </c>
      <c r="B54" s="1149">
        <v>1.5740127110592614</v>
      </c>
      <c r="C54" s="2276">
        <f t="shared" si="0"/>
        <v>5.8284762697757841E-4</v>
      </c>
      <c r="D54" s="2273"/>
      <c r="E54" s="3254"/>
    </row>
    <row r="55" spans="1:5">
      <c r="A55" s="99">
        <v>1999.1</v>
      </c>
      <c r="B55" s="1149">
        <v>1.5704761925272981</v>
      </c>
      <c r="C55" s="2276">
        <f t="shared" si="0"/>
        <v>-2.2468170092371231E-3</v>
      </c>
      <c r="D55" s="2273"/>
      <c r="E55" s="3254"/>
    </row>
    <row r="56" spans="1:5">
      <c r="A56" s="99">
        <v>1999.11</v>
      </c>
      <c r="B56" s="1149">
        <v>1.5691663708487933</v>
      </c>
      <c r="C56" s="2276">
        <f t="shared" si="0"/>
        <v>-8.3402835696411159E-4</v>
      </c>
      <c r="D56" s="2273"/>
      <c r="E56" s="3254"/>
    </row>
    <row r="57" spans="1:5">
      <c r="A57" s="99">
        <v>1999.12</v>
      </c>
      <c r="B57" s="1149">
        <v>1.5683804778416903</v>
      </c>
      <c r="C57" s="2276">
        <f t="shared" si="0"/>
        <v>-5.0083472454098832E-4</v>
      </c>
      <c r="D57" s="2273"/>
      <c r="E57" s="3254"/>
    </row>
    <row r="58" spans="1:5">
      <c r="A58" s="99">
        <v>2000.01</v>
      </c>
      <c r="B58" s="1149">
        <v>1.5844912844873</v>
      </c>
      <c r="C58" s="2276">
        <f t="shared" si="0"/>
        <v>1.0272256555871273E-2</v>
      </c>
      <c r="D58" s="2273"/>
      <c r="E58" s="3254"/>
    </row>
    <row r="59" spans="1:5">
      <c r="A59" s="99">
        <v>2000.02</v>
      </c>
      <c r="B59" s="1149">
        <v>1.5861940526693561</v>
      </c>
      <c r="C59" s="2276">
        <f t="shared" si="0"/>
        <v>1.0746466065965077E-3</v>
      </c>
      <c r="D59" s="2273"/>
      <c r="E59" s="3254"/>
    </row>
    <row r="60" spans="1:5">
      <c r="A60" s="99">
        <v>2000.03</v>
      </c>
      <c r="B60" s="1149">
        <v>1.5827885163052435</v>
      </c>
      <c r="C60" s="2276">
        <f t="shared" si="0"/>
        <v>-2.1469859620149023E-3</v>
      </c>
      <c r="D60" s="2273"/>
      <c r="E60" s="3254"/>
    </row>
    <row r="61" spans="1:5">
      <c r="A61" s="99">
        <v>2000.04</v>
      </c>
      <c r="B61" s="1149">
        <v>1.5848842309908513</v>
      </c>
      <c r="C61" s="2276">
        <f t="shared" si="0"/>
        <v>1.324064879179021E-3</v>
      </c>
      <c r="D61" s="2273"/>
      <c r="E61" s="3254"/>
    </row>
    <row r="62" spans="1:5">
      <c r="A62" s="99">
        <v>2000.05</v>
      </c>
      <c r="B62" s="1149">
        <v>1.5822645876338415</v>
      </c>
      <c r="C62" s="2276">
        <f t="shared" si="0"/>
        <v>-1.6528925619835322E-3</v>
      </c>
      <c r="D62" s="2273"/>
      <c r="E62" s="3254"/>
    </row>
    <row r="63" spans="1:5">
      <c r="A63" s="99">
        <v>2000.06</v>
      </c>
      <c r="B63" s="1149">
        <v>1.5767633365841214</v>
      </c>
      <c r="C63" s="2276">
        <f t="shared" si="0"/>
        <v>-3.4768211920528369E-3</v>
      </c>
      <c r="D63" s="2273"/>
      <c r="E63" s="3254"/>
    </row>
    <row r="64" spans="1:5">
      <c r="A64" s="99">
        <v>2000.07</v>
      </c>
      <c r="B64" s="1149">
        <v>1.5729648537164576</v>
      </c>
      <c r="C64" s="2276">
        <f t="shared" si="0"/>
        <v>-2.4090380461869731E-3</v>
      </c>
      <c r="D64" s="2273"/>
      <c r="E64" s="3254"/>
    </row>
    <row r="65" spans="1:5">
      <c r="A65" s="99">
        <v>2000.08</v>
      </c>
      <c r="B65" s="1149">
        <v>1.5730958358843079</v>
      </c>
      <c r="C65" s="2276">
        <f t="shared" si="0"/>
        <v>8.3270880173014206E-5</v>
      </c>
      <c r="D65" s="2273"/>
      <c r="E65" s="3254"/>
    </row>
    <row r="66" spans="1:5">
      <c r="A66" s="99">
        <v>2000.09</v>
      </c>
      <c r="B66" s="1149">
        <v>1.5744056575628127</v>
      </c>
      <c r="C66" s="2276">
        <f t="shared" si="0"/>
        <v>8.3263946711076287E-4</v>
      </c>
      <c r="D66" s="2273"/>
      <c r="E66" s="3254"/>
    </row>
    <row r="67" spans="1:5">
      <c r="A67" s="99">
        <v>2000.1</v>
      </c>
      <c r="B67" s="1149">
        <v>1.5728312519052501</v>
      </c>
      <c r="C67" s="2276">
        <f t="shared" si="0"/>
        <v>-9.9999999999988987E-4</v>
      </c>
      <c r="D67" s="2273"/>
      <c r="E67" s="3254"/>
    </row>
    <row r="68" spans="1:5">
      <c r="A68" s="99">
        <v>2000.11</v>
      </c>
      <c r="B68" s="1149">
        <v>1.5784661047661777</v>
      </c>
      <c r="C68" s="2276">
        <f t="shared" si="0"/>
        <v>3.582617559322987E-3</v>
      </c>
      <c r="D68" s="2273"/>
      <c r="E68" s="3254"/>
    </row>
    <row r="69" spans="1:5">
      <c r="A69" s="99">
        <v>2000.12</v>
      </c>
      <c r="B69" s="1149">
        <v>1.5689960940305878</v>
      </c>
      <c r="C69" s="2276">
        <f t="shared" si="0"/>
        <v>-5.9995021160068607E-3</v>
      </c>
      <c r="D69" s="2273"/>
      <c r="E69" s="3254"/>
    </row>
    <row r="70" spans="1:5">
      <c r="A70" s="99">
        <v>2001.01</v>
      </c>
      <c r="B70" s="1149">
        <v>1.5666425998895419</v>
      </c>
      <c r="C70" s="2276">
        <f t="shared" si="0"/>
        <v>-1.5000000000000568E-3</v>
      </c>
      <c r="D70" s="2273"/>
      <c r="E70" s="3254"/>
    </row>
    <row r="71" spans="1:5">
      <c r="A71" s="99">
        <v>2001.02</v>
      </c>
      <c r="B71" s="1149">
        <v>1.5662847631560828</v>
      </c>
      <c r="C71" s="2276">
        <f t="shared" si="0"/>
        <v>-2.2840993439365853E-4</v>
      </c>
      <c r="D71" s="2273"/>
      <c r="E71" s="3254"/>
    </row>
    <row r="72" spans="1:5">
      <c r="A72" s="99">
        <v>2001.03</v>
      </c>
      <c r="B72" s="1149">
        <v>1.5647184783929267</v>
      </c>
      <c r="C72" s="2276">
        <f t="shared" si="0"/>
        <v>-1.0000000000000009E-3</v>
      </c>
      <c r="D72" s="2273"/>
      <c r="E72" s="3254"/>
    </row>
    <row r="73" spans="1:5">
      <c r="A73" s="99">
        <v>2001.04</v>
      </c>
      <c r="B73" s="1149">
        <v>1.5617455132839801</v>
      </c>
      <c r="C73" s="2276">
        <f t="shared" si="0"/>
        <v>-1.9000000000000128E-3</v>
      </c>
      <c r="D73" s="2273"/>
      <c r="E73" s="3254"/>
    </row>
    <row r="74" spans="1:5">
      <c r="A74" s="99">
        <v>2001.05</v>
      </c>
      <c r="B74" s="1149">
        <v>1.5653375279645332</v>
      </c>
      <c r="C74" s="2276">
        <f t="shared" si="0"/>
        <v>2.2999999999999687E-3</v>
      </c>
      <c r="D74" s="2273"/>
      <c r="E74" s="3254"/>
    </row>
    <row r="75" spans="1:5">
      <c r="A75" s="99">
        <v>2001.06</v>
      </c>
      <c r="B75" s="1149">
        <v>1.5640852579421616</v>
      </c>
      <c r="C75" s="2276">
        <f t="shared" si="0"/>
        <v>-8.0000000000002292E-4</v>
      </c>
      <c r="D75" s="2273"/>
      <c r="E75" s="3254"/>
    </row>
    <row r="76" spans="1:5">
      <c r="A76" s="99">
        <v>2001.07</v>
      </c>
      <c r="B76" s="1149">
        <v>1.5561084231266564</v>
      </c>
      <c r="C76" s="2276">
        <f t="shared" ref="C76:C139" si="1">B76/B75-1</f>
        <v>-5.1000000000001044E-3</v>
      </c>
      <c r="D76" s="2273"/>
      <c r="E76" s="3254"/>
    </row>
    <row r="77" spans="1:5">
      <c r="A77" s="99">
        <v>2001.08</v>
      </c>
      <c r="B77" s="1149">
        <v>1.5553303689150932</v>
      </c>
      <c r="C77" s="2276">
        <f t="shared" si="1"/>
        <v>-4.9999999999994493E-4</v>
      </c>
      <c r="D77" s="2273"/>
      <c r="E77" s="3254"/>
    </row>
    <row r="78" spans="1:5">
      <c r="A78" s="99">
        <v>2001.09</v>
      </c>
      <c r="B78" s="1149">
        <v>1.5503533117345649</v>
      </c>
      <c r="C78" s="2276">
        <f t="shared" si="1"/>
        <v>-3.1999999999999806E-3</v>
      </c>
      <c r="D78" s="2273"/>
      <c r="E78" s="3254"/>
    </row>
    <row r="79" spans="1:5">
      <c r="A79" s="99">
        <v>2001.1</v>
      </c>
      <c r="B79" s="1149">
        <v>1.5452371458058405</v>
      </c>
      <c r="C79" s="2276">
        <f t="shared" si="1"/>
        <v>-3.3000000000001917E-3</v>
      </c>
      <c r="D79" s="2273"/>
      <c r="E79" s="3254"/>
    </row>
    <row r="80" spans="1:5">
      <c r="A80" s="99">
        <v>2001.11</v>
      </c>
      <c r="B80" s="1149">
        <v>1.545855240664163</v>
      </c>
      <c r="C80" s="2276">
        <f t="shared" si="1"/>
        <v>4.0000000000017799E-4</v>
      </c>
      <c r="D80" s="2273"/>
      <c r="E80" s="3254"/>
    </row>
    <row r="81" spans="1:5">
      <c r="A81" s="99">
        <v>2001.12</v>
      </c>
      <c r="B81" s="1149">
        <v>1.5426089446587683</v>
      </c>
      <c r="C81" s="2276">
        <f t="shared" si="1"/>
        <v>-2.0999999999999908E-3</v>
      </c>
      <c r="D81" s="2273"/>
      <c r="E81" s="3254"/>
    </row>
    <row r="82" spans="1:5">
      <c r="A82" s="99">
        <v>2002.01</v>
      </c>
      <c r="B82" s="1149">
        <v>1.5586520776832196</v>
      </c>
      <c r="C82" s="2276">
        <f t="shared" si="1"/>
        <v>1.0399999999999965E-2</v>
      </c>
      <c r="D82" s="2273"/>
      <c r="E82" s="3254"/>
    </row>
    <row r="83" spans="1:5">
      <c r="A83" s="99">
        <v>2002.02</v>
      </c>
      <c r="B83" s="1149">
        <v>1.612113843947754</v>
      </c>
      <c r="C83" s="2276">
        <f t="shared" si="1"/>
        <v>3.4299999999999997E-2</v>
      </c>
      <c r="D83" s="2273"/>
      <c r="E83" s="3254"/>
    </row>
    <row r="84" spans="1:5">
      <c r="A84" s="99">
        <v>2002.03</v>
      </c>
      <c r="B84" s="1149">
        <v>1.6943316499890893</v>
      </c>
      <c r="C84" s="2276">
        <f t="shared" si="1"/>
        <v>5.0999999999999934E-2</v>
      </c>
      <c r="D84" s="2273"/>
      <c r="E84" s="3254"/>
    </row>
    <row r="85" spans="1:5">
      <c r="A85" s="99">
        <v>2002.04</v>
      </c>
      <c r="B85" s="1149">
        <v>1.8369943749181705</v>
      </c>
      <c r="C85" s="2276">
        <f t="shared" si="1"/>
        <v>8.4200000000000053E-2</v>
      </c>
      <c r="D85" s="2273"/>
      <c r="E85" s="3254"/>
    </row>
    <row r="86" spans="1:5">
      <c r="A86" s="99">
        <v>2002.05</v>
      </c>
      <c r="B86" s="1149">
        <v>1.9242516077267839</v>
      </c>
      <c r="C86" s="2276">
        <f t="shared" si="1"/>
        <v>4.7500000000000098E-2</v>
      </c>
      <c r="D86" s="2273"/>
      <c r="E86" s="3254"/>
    </row>
    <row r="87" spans="1:5">
      <c r="A87" s="99">
        <v>2002.06</v>
      </c>
      <c r="B87" s="1149">
        <v>1.9916004139972212</v>
      </c>
      <c r="C87" s="2276">
        <f t="shared" si="1"/>
        <v>3.499999999999992E-2</v>
      </c>
      <c r="D87" s="2273"/>
      <c r="E87" s="3254"/>
    </row>
    <row r="88" spans="1:5">
      <c r="A88" s="99">
        <v>2002.07</v>
      </c>
      <c r="B88" s="1149">
        <v>2.0632980289011211</v>
      </c>
      <c r="C88" s="2276">
        <f t="shared" si="1"/>
        <v>3.6000000000000032E-2</v>
      </c>
      <c r="D88" s="2273"/>
      <c r="E88" s="3254"/>
    </row>
    <row r="89" spans="1:5">
      <c r="A89" s="99">
        <v>2002.08</v>
      </c>
      <c r="B89" s="1149">
        <v>2.1169437776525508</v>
      </c>
      <c r="C89" s="2276">
        <f t="shared" si="1"/>
        <v>2.6000000000000245E-2</v>
      </c>
      <c r="D89" s="2273"/>
      <c r="E89" s="3254"/>
    </row>
    <row r="90" spans="1:5">
      <c r="A90" s="99">
        <v>2002.09</v>
      </c>
      <c r="B90" s="1149">
        <v>2.1379015210513108</v>
      </c>
      <c r="C90" s="2276">
        <f t="shared" si="1"/>
        <v>9.8999999999997979E-3</v>
      </c>
      <c r="D90" s="2273"/>
      <c r="E90" s="3254"/>
    </row>
    <row r="91" spans="1:5">
      <c r="A91" s="99">
        <v>2002.1</v>
      </c>
      <c r="B91" s="1149">
        <v>2.1663356112812933</v>
      </c>
      <c r="C91" s="2276">
        <f t="shared" si="1"/>
        <v>1.330000000000009E-2</v>
      </c>
      <c r="D91" s="2273"/>
      <c r="E91" s="3254"/>
    </row>
    <row r="92" spans="1:5">
      <c r="A92" s="99">
        <v>2002.11</v>
      </c>
      <c r="B92" s="1149">
        <v>2.1860492653439532</v>
      </c>
      <c r="C92" s="2276">
        <f t="shared" si="1"/>
        <v>9.100000000000108E-3</v>
      </c>
      <c r="D92" s="2273"/>
      <c r="E92" s="3254"/>
    </row>
    <row r="93" spans="1:5">
      <c r="A93" s="99">
        <v>2002.12</v>
      </c>
      <c r="B93" s="1149">
        <v>2.1891097343154349</v>
      </c>
      <c r="C93" s="2276">
        <f t="shared" si="1"/>
        <v>1.4000000000000679E-3</v>
      </c>
      <c r="D93" s="2273"/>
      <c r="E93" s="3254"/>
    </row>
    <row r="94" spans="1:5">
      <c r="A94" s="99">
        <v>2003.01</v>
      </c>
      <c r="B94" s="1149">
        <v>2.214941229180357</v>
      </c>
      <c r="C94" s="2276">
        <f t="shared" si="1"/>
        <v>1.1800000000000033E-2</v>
      </c>
      <c r="D94" s="2273"/>
      <c r="E94" s="3254"/>
    </row>
    <row r="95" spans="1:5">
      <c r="A95" s="99">
        <v>2003.02</v>
      </c>
      <c r="B95" s="1149">
        <v>2.2404130533159314</v>
      </c>
      <c r="C95" s="2276">
        <f t="shared" si="1"/>
        <v>1.1500000000000066E-2</v>
      </c>
      <c r="D95" s="2273"/>
      <c r="E95" s="3254"/>
    </row>
    <row r="96" spans="1:5">
      <c r="A96" s="99">
        <v>2003.03</v>
      </c>
      <c r="B96" s="1149">
        <v>2.2424294250639147</v>
      </c>
      <c r="C96" s="2276">
        <f t="shared" si="1"/>
        <v>8.9999999999945679E-4</v>
      </c>
      <c r="D96" s="2273"/>
      <c r="E96" s="3254"/>
    </row>
    <row r="97" spans="1:5">
      <c r="A97" s="99">
        <v>2003.04</v>
      </c>
      <c r="B97" s="1149">
        <v>2.2464657980290301</v>
      </c>
      <c r="C97" s="2276">
        <f t="shared" si="1"/>
        <v>1.8000000000002458E-3</v>
      </c>
      <c r="D97" s="2273"/>
      <c r="E97" s="3254"/>
    </row>
    <row r="98" spans="1:5">
      <c r="A98" s="99">
        <v>2003.05</v>
      </c>
      <c r="B98" s="1149">
        <v>2.2365813485177028</v>
      </c>
      <c r="C98" s="2276">
        <f t="shared" si="1"/>
        <v>-4.3999999999998485E-3</v>
      </c>
      <c r="D98" s="2273"/>
      <c r="E98" s="3254"/>
    </row>
    <row r="99" spans="1:5">
      <c r="A99" s="99">
        <v>2003.06</v>
      </c>
      <c r="B99" s="1149">
        <v>2.2298716044721494</v>
      </c>
      <c r="C99" s="2276">
        <f t="shared" si="1"/>
        <v>-3.0000000000001137E-3</v>
      </c>
      <c r="D99" s="2273"/>
      <c r="E99" s="3254"/>
    </row>
    <row r="100" spans="1:5">
      <c r="A100" s="99">
        <v>2003.07</v>
      </c>
      <c r="B100" s="1149">
        <v>2.2341083605206467</v>
      </c>
      <c r="C100" s="2276">
        <f t="shared" si="1"/>
        <v>1.9000000000000128E-3</v>
      </c>
      <c r="D100" s="2273"/>
      <c r="E100" s="3254"/>
    </row>
    <row r="101" spans="1:5">
      <c r="A101" s="99">
        <v>2003.08</v>
      </c>
      <c r="B101" s="1149">
        <v>2.2363424688811673</v>
      </c>
      <c r="C101" s="2276">
        <f t="shared" si="1"/>
        <v>9.9999999999988987E-4</v>
      </c>
      <c r="D101" s="2273"/>
      <c r="E101" s="3254"/>
    </row>
    <row r="102" spans="1:5">
      <c r="A102" s="99">
        <v>2003.09</v>
      </c>
      <c r="B102" s="1149">
        <v>2.2278443674994186</v>
      </c>
      <c r="C102" s="2276">
        <f t="shared" si="1"/>
        <v>-3.8000000000001366E-3</v>
      </c>
      <c r="D102" s="2273"/>
      <c r="E102" s="3254"/>
    </row>
    <row r="103" spans="1:5">
      <c r="A103" s="99">
        <v>2003.1</v>
      </c>
      <c r="B103" s="1149">
        <v>2.2351962539121661</v>
      </c>
      <c r="C103" s="2276">
        <f t="shared" si="1"/>
        <v>3.2999999999998586E-3</v>
      </c>
      <c r="D103" s="2273"/>
      <c r="E103" s="3254"/>
    </row>
    <row r="104" spans="1:5">
      <c r="A104" s="99">
        <v>2003.11</v>
      </c>
      <c r="B104" s="1149">
        <v>2.2394431267945998</v>
      </c>
      <c r="C104" s="2276">
        <f t="shared" si="1"/>
        <v>1.9000000000002348E-3</v>
      </c>
      <c r="D104" s="2273"/>
      <c r="E104" s="3254"/>
    </row>
    <row r="105" spans="1:5">
      <c r="A105" s="99">
        <v>2003.12</v>
      </c>
      <c r="B105" s="1149">
        <v>2.2439220130481887</v>
      </c>
      <c r="C105" s="2276">
        <f t="shared" si="1"/>
        <v>1.9999999999997797E-3</v>
      </c>
      <c r="D105" s="2273"/>
      <c r="E105" s="3254"/>
    </row>
    <row r="106" spans="1:5">
      <c r="A106" s="99">
        <v>2004.01</v>
      </c>
      <c r="B106" s="1149">
        <v>2.2564879763212584</v>
      </c>
      <c r="C106" s="2276">
        <f t="shared" si="1"/>
        <v>5.5999999999998273E-3</v>
      </c>
      <c r="D106" s="2273"/>
      <c r="E106" s="3254"/>
    </row>
    <row r="107" spans="1:5">
      <c r="A107" s="99">
        <v>2004.02</v>
      </c>
      <c r="B107" s="1149">
        <v>2.2576162203094188</v>
      </c>
      <c r="C107" s="2276">
        <f t="shared" si="1"/>
        <v>4.9999999999994493E-4</v>
      </c>
      <c r="D107" s="2273"/>
      <c r="E107" s="3254"/>
    </row>
    <row r="108" spans="1:5">
      <c r="A108" s="99">
        <v>2004.03</v>
      </c>
      <c r="B108" s="1149">
        <v>2.2643890689703472</v>
      </c>
      <c r="C108" s="2276">
        <f t="shared" si="1"/>
        <v>3.0000000000001137E-3</v>
      </c>
      <c r="D108" s="2273"/>
      <c r="E108" s="3254"/>
    </row>
    <row r="109" spans="1:5">
      <c r="A109" s="99">
        <v>2004.04</v>
      </c>
      <c r="B109" s="1149">
        <v>2.2790897205984142</v>
      </c>
      <c r="C109" s="2276">
        <f t="shared" si="1"/>
        <v>6.4921050138930791E-3</v>
      </c>
      <c r="D109" s="2273"/>
      <c r="E109" s="3254"/>
    </row>
    <row r="110" spans="1:5">
      <c r="A110" s="99">
        <v>2004.05</v>
      </c>
      <c r="B110" s="1149">
        <v>2.2950613511040845</v>
      </c>
      <c r="C110" s="2276">
        <f t="shared" si="1"/>
        <v>7.007898970066373E-3</v>
      </c>
      <c r="D110" s="2273"/>
      <c r="E110" s="3254"/>
    </row>
    <row r="111" spans="1:5">
      <c r="A111" s="99">
        <v>2004.06</v>
      </c>
      <c r="B111" s="1149">
        <v>2.3049301149138324</v>
      </c>
      <c r="C111" s="2276">
        <f t="shared" si="1"/>
        <v>4.3000000000001926E-3</v>
      </c>
      <c r="D111" s="2273"/>
      <c r="E111" s="3254"/>
    </row>
    <row r="112" spans="1:5">
      <c r="A112" s="99">
        <v>2004.07</v>
      </c>
      <c r="B112" s="1149">
        <v>2.3118449052585732</v>
      </c>
      <c r="C112" s="2276">
        <f t="shared" si="1"/>
        <v>2.9999999999996696E-3</v>
      </c>
      <c r="D112" s="2273"/>
      <c r="E112" s="3254"/>
    </row>
    <row r="113" spans="1:5">
      <c r="A113" s="99">
        <v>2004.08</v>
      </c>
      <c r="B113" s="1149">
        <v>2.3166997795596167</v>
      </c>
      <c r="C113" s="2276">
        <f t="shared" si="1"/>
        <v>2.1000000000002128E-3</v>
      </c>
      <c r="D113" s="2273"/>
      <c r="E113" s="3254"/>
    </row>
    <row r="114" spans="1:5">
      <c r="A114" s="99">
        <v>2004.09</v>
      </c>
      <c r="B114" s="1149">
        <v>2.3206381691848685</v>
      </c>
      <c r="C114" s="2276">
        <f t="shared" si="1"/>
        <v>1.7000000000002569E-3</v>
      </c>
      <c r="D114" s="2273"/>
      <c r="E114" s="3254"/>
    </row>
    <row r="115" spans="1:5">
      <c r="A115" s="99">
        <v>2004.1</v>
      </c>
      <c r="B115" s="1149">
        <v>2.3412918488906129</v>
      </c>
      <c r="C115" s="2276">
        <f t="shared" si="1"/>
        <v>8.8999999999996859E-3</v>
      </c>
      <c r="D115" s="2273"/>
      <c r="E115" s="3254"/>
    </row>
    <row r="116" spans="1:5">
      <c r="A116" s="99">
        <v>2004.11</v>
      </c>
      <c r="B116" s="1149">
        <v>2.3436331407395037</v>
      </c>
      <c r="C116" s="2276">
        <f t="shared" si="1"/>
        <v>1.0000000000001119E-3</v>
      </c>
      <c r="D116" s="2273"/>
      <c r="E116" s="3254"/>
    </row>
    <row r="117" spans="1:5">
      <c r="A117" s="99">
        <v>2004.12</v>
      </c>
      <c r="B117" s="1149">
        <v>2.3569918496417182</v>
      </c>
      <c r="C117" s="2276">
        <f t="shared" si="1"/>
        <v>5.6999999999995943E-3</v>
      </c>
      <c r="D117" s="2273"/>
      <c r="E117" s="3254"/>
    </row>
    <row r="118" spans="1:5">
      <c r="A118" s="99">
        <v>2005.01</v>
      </c>
      <c r="B118" s="1149">
        <v>2.3758477844388524</v>
      </c>
      <c r="C118" s="2276">
        <f t="shared" si="1"/>
        <v>8.0000000000002292E-3</v>
      </c>
      <c r="D118" s="2273"/>
      <c r="E118" s="3254"/>
    </row>
    <row r="119" spans="1:5">
      <c r="A119" s="99">
        <v>2005.02</v>
      </c>
      <c r="B119" s="1149">
        <v>2.4019821100676793</v>
      </c>
      <c r="C119" s="2276">
        <f t="shared" si="1"/>
        <v>1.0999999999999899E-2</v>
      </c>
      <c r="D119" s="2273"/>
      <c r="E119" s="3254"/>
    </row>
    <row r="120" spans="1:5">
      <c r="A120" s="99">
        <v>2005.03</v>
      </c>
      <c r="B120" s="1149">
        <v>2.461311068186351</v>
      </c>
      <c r="C120" s="2276">
        <f t="shared" si="1"/>
        <v>2.4699999999999944E-2</v>
      </c>
      <c r="D120" s="2273"/>
      <c r="E120" s="3254"/>
    </row>
    <row r="121" spans="1:5">
      <c r="A121" s="99">
        <v>2005.04</v>
      </c>
      <c r="B121" s="1149">
        <v>2.4741098857409205</v>
      </c>
      <c r="C121" s="2276">
        <f t="shared" si="1"/>
        <v>5.2000000000000934E-3</v>
      </c>
      <c r="D121" s="2273"/>
      <c r="E121" s="3254"/>
    </row>
    <row r="122" spans="1:5">
      <c r="A122" s="99">
        <v>2005.05</v>
      </c>
      <c r="B122" s="1149">
        <v>2.4780684615581059</v>
      </c>
      <c r="C122" s="2276">
        <f t="shared" si="1"/>
        <v>1.6000000000000458E-3</v>
      </c>
      <c r="D122" s="2273"/>
      <c r="E122" s="3254"/>
    </row>
    <row r="123" spans="1:5">
      <c r="A123" s="99">
        <v>2005.06</v>
      </c>
      <c r="B123" s="1149">
        <v>2.485998280635092</v>
      </c>
      <c r="C123" s="2276">
        <f t="shared" si="1"/>
        <v>3.2000000000000917E-3</v>
      </c>
      <c r="D123" s="2273"/>
      <c r="E123" s="3254"/>
    </row>
    <row r="124" spans="1:5">
      <c r="A124" s="99">
        <v>2005.07</v>
      </c>
      <c r="B124" s="1149">
        <v>2.5125984622378876</v>
      </c>
      <c r="C124" s="2276">
        <f t="shared" si="1"/>
        <v>1.0700000000000154E-2</v>
      </c>
      <c r="D124" s="2273"/>
      <c r="E124" s="3254"/>
    </row>
    <row r="125" spans="1:5">
      <c r="A125" s="99">
        <v>2005.08</v>
      </c>
      <c r="B125" s="1149">
        <v>2.5274227931650914</v>
      </c>
      <c r="C125" s="2276">
        <f t="shared" si="1"/>
        <v>5.9000000000000163E-3</v>
      </c>
      <c r="D125" s="2273"/>
      <c r="E125" s="3254"/>
    </row>
    <row r="126" spans="1:5">
      <c r="A126" s="99">
        <v>2005.09</v>
      </c>
      <c r="B126" s="1149">
        <v>2.5526970210967423</v>
      </c>
      <c r="C126" s="2276">
        <f t="shared" si="1"/>
        <v>1.0000000000000009E-2</v>
      </c>
      <c r="D126" s="2273"/>
      <c r="E126" s="3254"/>
    </row>
    <row r="127" spans="1:5">
      <c r="A127" s="99">
        <v>2005.1</v>
      </c>
      <c r="B127" s="1149">
        <v>2.5680132032233227</v>
      </c>
      <c r="C127" s="2276">
        <f t="shared" si="1"/>
        <v>6.0000000000000053E-3</v>
      </c>
      <c r="D127" s="2273"/>
      <c r="E127" s="3254"/>
    </row>
    <row r="128" spans="1:5">
      <c r="A128" s="99">
        <v>2005.11</v>
      </c>
      <c r="B128" s="1149">
        <v>2.5993429643026476</v>
      </c>
      <c r="C128" s="2276">
        <f t="shared" si="1"/>
        <v>1.2200000000000211E-2</v>
      </c>
      <c r="D128" s="2273"/>
      <c r="E128" s="3254"/>
    </row>
    <row r="129" spans="1:5">
      <c r="A129" s="99">
        <v>2005.12</v>
      </c>
      <c r="B129" s="1149">
        <v>2.6214373794992194</v>
      </c>
      <c r="C129" s="2276">
        <f t="shared" si="1"/>
        <v>8.49999999999973E-3</v>
      </c>
      <c r="D129" s="2273"/>
      <c r="E129" s="3254"/>
    </row>
    <row r="130" spans="1:5">
      <c r="A130" s="99">
        <v>2006.01</v>
      </c>
      <c r="B130" s="1149">
        <v>2.6549917779568091</v>
      </c>
      <c r="C130" s="2276">
        <f t="shared" si="1"/>
        <v>1.2799999999999923E-2</v>
      </c>
      <c r="D130" s="2273"/>
      <c r="E130" s="3254"/>
    </row>
    <row r="131" spans="1:5">
      <c r="A131" s="99">
        <v>2006.02</v>
      </c>
      <c r="B131" s="1149">
        <v>2.6823381932697643</v>
      </c>
      <c r="C131" s="2276">
        <f t="shared" si="1"/>
        <v>1.0299999999999976E-2</v>
      </c>
      <c r="D131" s="2273"/>
      <c r="E131" s="3254"/>
    </row>
    <row r="132" spans="1:5">
      <c r="A132" s="99">
        <v>2006.03</v>
      </c>
      <c r="B132" s="1149">
        <v>2.7110392119377509</v>
      </c>
      <c r="C132" s="2276">
        <f t="shared" si="1"/>
        <v>1.0699999999999932E-2</v>
      </c>
      <c r="D132" s="2273"/>
      <c r="E132" s="3254"/>
    </row>
    <row r="133" spans="1:5">
      <c r="A133" s="99">
        <v>2006.04</v>
      </c>
      <c r="B133" s="1149">
        <v>2.7408606432690661</v>
      </c>
      <c r="C133" s="2276">
        <f t="shared" si="1"/>
        <v>1.0999999999999899E-2</v>
      </c>
      <c r="D133" s="2273"/>
      <c r="E133" s="3254"/>
    </row>
    <row r="134" spans="1:5">
      <c r="A134" s="99">
        <v>2006.05</v>
      </c>
      <c r="B134" s="1149">
        <v>2.7600466677719488</v>
      </c>
      <c r="C134" s="2276">
        <f t="shared" si="1"/>
        <v>6.9999999999996732E-3</v>
      </c>
      <c r="D134" s="2273"/>
      <c r="E134" s="3254"/>
    </row>
    <row r="135" spans="1:5">
      <c r="A135" s="99">
        <v>2006.06</v>
      </c>
      <c r="B135" s="1149">
        <v>2.782127041114125</v>
      </c>
      <c r="C135" s="2276">
        <f t="shared" si="1"/>
        <v>8.0000000000002292E-3</v>
      </c>
      <c r="D135" s="2273"/>
      <c r="E135" s="3254"/>
    </row>
    <row r="136" spans="1:5">
      <c r="A136" s="99">
        <v>2006.07</v>
      </c>
      <c r="B136" s="1149">
        <v>2.8002108668813666</v>
      </c>
      <c r="C136" s="2276">
        <f t="shared" si="1"/>
        <v>6.4999999999999503E-3</v>
      </c>
      <c r="D136" s="2273"/>
      <c r="E136" s="3254"/>
    </row>
    <row r="137" spans="1:5">
      <c r="A137" s="99">
        <v>2006.08</v>
      </c>
      <c r="B137" s="1149">
        <v>2.8114117103488923</v>
      </c>
      <c r="C137" s="2276">
        <f t="shared" si="1"/>
        <v>4.0000000000000036E-3</v>
      </c>
      <c r="D137" s="2273"/>
      <c r="E137" s="3254"/>
    </row>
    <row r="138" spans="1:5">
      <c r="A138" s="99">
        <v>2006.09</v>
      </c>
      <c r="B138" s="1149">
        <v>2.8226573571902875</v>
      </c>
      <c r="C138" s="2276">
        <f t="shared" si="1"/>
        <v>4.0000000000000036E-3</v>
      </c>
      <c r="D138" s="2273"/>
      <c r="E138" s="3254"/>
    </row>
    <row r="139" spans="1:5">
      <c r="A139" s="99">
        <v>2006.1</v>
      </c>
      <c r="B139" s="1149">
        <v>2.8494726020835954</v>
      </c>
      <c r="C139" s="2276">
        <f t="shared" si="1"/>
        <v>9.5000000000000639E-3</v>
      </c>
      <c r="D139" s="2273"/>
      <c r="E139" s="3254"/>
    </row>
    <row r="140" spans="1:5">
      <c r="A140" s="99">
        <v>2006.11</v>
      </c>
      <c r="B140" s="1149">
        <v>2.8836662733085996</v>
      </c>
      <c r="C140" s="2276">
        <f t="shared" ref="C140:C163" si="2">B140/B139-1</f>
        <v>1.2000000000000455E-2</v>
      </c>
      <c r="D140" s="2273"/>
      <c r="E140" s="3254"/>
    </row>
    <row r="141" spans="1:5">
      <c r="A141" s="99">
        <v>2006.12</v>
      </c>
      <c r="B141" s="1149">
        <v>2.9093309031410457</v>
      </c>
      <c r="C141" s="2276">
        <f t="shared" si="2"/>
        <v>8.899999999999908E-3</v>
      </c>
      <c r="D141" s="2273"/>
      <c r="E141" s="3254"/>
    </row>
    <row r="142" spans="1:5">
      <c r="A142" s="99">
        <v>2007.01</v>
      </c>
      <c r="B142" s="1149">
        <v>2.9471522048818781</v>
      </c>
      <c r="C142" s="2276">
        <f t="shared" si="2"/>
        <v>1.2999999999999678E-2</v>
      </c>
      <c r="D142" s="2273"/>
      <c r="E142" s="3254"/>
    </row>
    <row r="143" spans="1:5">
      <c r="A143" s="99">
        <v>2007.02</v>
      </c>
      <c r="B143" s="1149">
        <v>2.9722029986233744</v>
      </c>
      <c r="C143" s="2276">
        <f t="shared" si="2"/>
        <v>8.5000000000001741E-3</v>
      </c>
      <c r="D143" s="2273"/>
      <c r="E143" s="3254"/>
    </row>
    <row r="144" spans="1:5">
      <c r="A144" s="99">
        <v>2007.03</v>
      </c>
      <c r="B144" s="1149">
        <v>3.0084638752065791</v>
      </c>
      <c r="C144" s="2276">
        <f t="shared" si="2"/>
        <v>1.2199999999999767E-2</v>
      </c>
      <c r="D144" s="2273"/>
      <c r="E144" s="3254"/>
    </row>
    <row r="145" spans="1:5">
      <c r="A145" s="99">
        <v>2007.04</v>
      </c>
      <c r="B145" s="1149">
        <v>3.0445654417090586</v>
      </c>
      <c r="C145" s="2276">
        <f t="shared" si="2"/>
        <v>1.2000000000000233E-2</v>
      </c>
      <c r="D145" s="2273"/>
      <c r="E145" s="3254"/>
    </row>
    <row r="146" spans="1:5">
      <c r="A146" s="99">
        <v>2007.05</v>
      </c>
      <c r="B146" s="1149">
        <v>3.0899294667905233</v>
      </c>
      <c r="C146" s="2276">
        <f t="shared" si="2"/>
        <v>1.4899999999999913E-2</v>
      </c>
      <c r="D146" s="2273"/>
      <c r="E146" s="3254"/>
    </row>
    <row r="147" spans="1:5">
      <c r="A147" s="99">
        <v>2007.06</v>
      </c>
      <c r="B147" s="1149">
        <v>3.1282445921787252</v>
      </c>
      <c r="C147" s="2276">
        <f t="shared" si="2"/>
        <v>1.2399999999999745E-2</v>
      </c>
      <c r="D147" s="2273"/>
      <c r="E147" s="3254"/>
    </row>
    <row r="148" spans="1:5">
      <c r="A148" s="99">
        <v>2007.07</v>
      </c>
      <c r="B148" s="1149">
        <v>3.1767323833574959</v>
      </c>
      <c r="C148" s="2276">
        <f t="shared" si="2"/>
        <v>1.5500000000000069E-2</v>
      </c>
      <c r="D148" s="2273"/>
      <c r="E148" s="3254"/>
    </row>
    <row r="149" spans="1:5">
      <c r="A149" s="99">
        <v>2007.08</v>
      </c>
      <c r="B149" s="1149">
        <v>3.2240656958695229</v>
      </c>
      <c r="C149" s="2276">
        <f t="shared" si="2"/>
        <v>1.4900000000000135E-2</v>
      </c>
      <c r="D149" s="2273"/>
      <c r="E149" s="3254"/>
    </row>
    <row r="150" spans="1:5">
      <c r="A150" s="99">
        <v>2007.09</v>
      </c>
      <c r="B150" s="1149">
        <v>3.2756507470034348</v>
      </c>
      <c r="C150" s="2276">
        <f t="shared" si="2"/>
        <v>1.5999999999999792E-2</v>
      </c>
      <c r="D150" s="2273"/>
      <c r="E150" s="3254"/>
    </row>
    <row r="151" spans="1:5">
      <c r="A151" s="99">
        <v>2007.1</v>
      </c>
      <c r="B151" s="1149">
        <v>3.3182342067144788</v>
      </c>
      <c r="C151" s="2276">
        <f t="shared" si="2"/>
        <v>1.2999999999999678E-2</v>
      </c>
      <c r="D151" s="2273"/>
      <c r="E151" s="3254"/>
    </row>
    <row r="152" spans="1:5">
      <c r="A152" s="99">
        <v>2007.11</v>
      </c>
      <c r="B152" s="1149">
        <v>3.3381436119547656</v>
      </c>
      <c r="C152" s="2276">
        <f t="shared" si="2"/>
        <v>6.0000000000000053E-3</v>
      </c>
      <c r="D152" s="2273"/>
      <c r="E152" s="3254"/>
    </row>
    <row r="153" spans="1:5">
      <c r="A153" s="99">
        <v>2007.12</v>
      </c>
      <c r="B153" s="1149">
        <v>3.3681869044623585</v>
      </c>
      <c r="C153" s="2276">
        <f t="shared" si="2"/>
        <v>8.999999999999897E-3</v>
      </c>
      <c r="D153" s="2273"/>
      <c r="E153" s="3254"/>
    </row>
    <row r="154" spans="1:5">
      <c r="A154" s="99">
        <v>2008.01</v>
      </c>
      <c r="B154" s="1149">
        <v>3.4153415211248319</v>
      </c>
      <c r="C154" s="2276">
        <f t="shared" si="2"/>
        <v>1.4000000000000234E-2</v>
      </c>
      <c r="D154" s="2273"/>
      <c r="E154" s="3254"/>
    </row>
    <row r="155" spans="1:5">
      <c r="A155" s="99">
        <v>2008.02</v>
      </c>
      <c r="B155" s="1149">
        <v>3.4836483515473282</v>
      </c>
      <c r="C155" s="2276">
        <f t="shared" si="2"/>
        <v>1.9999999999999796E-2</v>
      </c>
      <c r="D155" s="2273"/>
      <c r="E155" s="3254"/>
    </row>
    <row r="156" spans="1:5">
      <c r="A156" s="99">
        <v>2008.03</v>
      </c>
      <c r="B156" s="1149">
        <v>3.5428703735236322</v>
      </c>
      <c r="C156" s="2276">
        <f t="shared" si="2"/>
        <v>1.6999999999999904E-2</v>
      </c>
      <c r="D156" s="2273"/>
      <c r="E156" s="3254"/>
    </row>
    <row r="157" spans="1:5">
      <c r="A157" s="99">
        <v>2008.04</v>
      </c>
      <c r="B157" s="1149">
        <v>3.6119563458073443</v>
      </c>
      <c r="C157" s="2276">
        <f t="shared" si="2"/>
        <v>1.9500000000000295E-2</v>
      </c>
      <c r="D157" s="2273"/>
      <c r="E157" s="3254"/>
    </row>
    <row r="158" spans="1:5">
      <c r="A158" s="99">
        <v>2008.05</v>
      </c>
      <c r="B158" s="1149">
        <v>3.6726372124169071</v>
      </c>
      <c r="C158" s="2276">
        <f t="shared" si="2"/>
        <v>1.6799999999999926E-2</v>
      </c>
      <c r="D158" s="2273"/>
      <c r="E158" s="3254"/>
    </row>
    <row r="159" spans="1:5">
      <c r="A159" s="99">
        <v>2008.06</v>
      </c>
      <c r="B159" s="1149">
        <v>3.7431518468953122</v>
      </c>
      <c r="C159" s="2276">
        <f t="shared" si="2"/>
        <v>1.9200000000000106E-2</v>
      </c>
      <c r="D159" s="2273"/>
      <c r="E159" s="3254"/>
    </row>
    <row r="160" spans="1:5">
      <c r="A160" s="99">
        <v>2008.07</v>
      </c>
      <c r="B160" s="1149">
        <v>3.8142717319863224</v>
      </c>
      <c r="C160" s="2276">
        <f t="shared" si="2"/>
        <v>1.8999999999999906E-2</v>
      </c>
      <c r="D160" s="2273"/>
      <c r="E160" s="3254"/>
    </row>
    <row r="161" spans="1:5">
      <c r="A161" s="99">
        <v>2008.08</v>
      </c>
      <c r="B161" s="1149">
        <v>3.8627129829825488</v>
      </c>
      <c r="C161" s="2276">
        <f t="shared" si="2"/>
        <v>1.2699999999999934E-2</v>
      </c>
      <c r="D161" s="2273"/>
      <c r="E161" s="3254"/>
    </row>
    <row r="162" spans="1:5">
      <c r="A162" s="99">
        <v>2008.09</v>
      </c>
      <c r="B162" s="1149">
        <v>3.8858892608804445</v>
      </c>
      <c r="C162" s="2276">
        <f t="shared" si="2"/>
        <v>6.0000000000000053E-3</v>
      </c>
      <c r="D162" s="2273"/>
      <c r="E162" s="3254"/>
    </row>
    <row r="163" spans="1:5">
      <c r="A163" s="99">
        <v>2008.1</v>
      </c>
      <c r="B163" s="1149">
        <v>3.9364058212718893</v>
      </c>
      <c r="C163" s="2276">
        <f t="shared" si="2"/>
        <v>1.2999999999999678E-2</v>
      </c>
      <c r="D163" s="2273"/>
      <c r="E163" s="3254"/>
    </row>
    <row r="164" spans="1:5">
      <c r="A164" s="99">
        <v>2008.11</v>
      </c>
      <c r="B164" s="1149">
        <v>3.9639606620207921</v>
      </c>
      <c r="C164" s="2276">
        <f>B164/B163-1</f>
        <v>6.9999999999998952E-3</v>
      </c>
      <c r="D164" s="2273"/>
      <c r="E164" s="3254"/>
    </row>
    <row r="165" spans="1:5">
      <c r="A165" s="99">
        <v>2008.12</v>
      </c>
      <c r="B165" s="1149">
        <v>4.0088531438012405</v>
      </c>
      <c r="C165" s="2276">
        <f t="shared" ref="C165:C201" si="3">B165/B164-1</f>
        <v>1.132515824654079E-2</v>
      </c>
      <c r="D165" s="2273"/>
      <c r="E165" s="3254"/>
    </row>
    <row r="166" spans="1:5">
      <c r="A166" s="99">
        <f t="shared" ref="A166:A229" si="4">A154+1</f>
        <v>2009.01</v>
      </c>
      <c r="B166" s="1149">
        <v>4.0852270956077188</v>
      </c>
      <c r="C166" s="2276">
        <f t="shared" si="3"/>
        <v>1.9051321928460485E-2</v>
      </c>
      <c r="D166" s="2273"/>
      <c r="E166" s="3254"/>
    </row>
    <row r="167" spans="1:5">
      <c r="A167" s="99">
        <f t="shared" si="4"/>
        <v>2009.02</v>
      </c>
      <c r="B167" s="1149">
        <v>4.125752049627482</v>
      </c>
      <c r="C167" s="2276">
        <f t="shared" si="3"/>
        <v>9.9198779091949074E-3</v>
      </c>
      <c r="D167" s="2273"/>
      <c r="E167" s="3254"/>
    </row>
    <row r="168" spans="1:5">
      <c r="A168" s="99">
        <f t="shared" si="4"/>
        <v>2009.03</v>
      </c>
      <c r="B168" s="1149">
        <v>4.1647183515695625</v>
      </c>
      <c r="C168" s="2276">
        <f t="shared" si="3"/>
        <v>9.4446543256516691E-3</v>
      </c>
      <c r="D168" s="2273"/>
      <c r="E168" s="3254"/>
    </row>
    <row r="169" spans="1:5">
      <c r="A169" s="99">
        <f t="shared" si="4"/>
        <v>2009.04</v>
      </c>
      <c r="B169" s="1149">
        <v>4.2457682596090898</v>
      </c>
      <c r="C169" s="2276">
        <f t="shared" si="3"/>
        <v>1.9461077844311392E-2</v>
      </c>
      <c r="D169" s="2273"/>
      <c r="E169" s="3254"/>
    </row>
    <row r="170" spans="1:5">
      <c r="A170" s="99">
        <f t="shared" si="4"/>
        <v>2009.05</v>
      </c>
      <c r="B170" s="1149">
        <v>4.2753826490850715</v>
      </c>
      <c r="C170" s="2276">
        <f t="shared" si="3"/>
        <v>6.9750367107197508E-3</v>
      </c>
      <c r="D170" s="2273"/>
      <c r="E170" s="3254"/>
    </row>
    <row r="171" spans="1:5">
      <c r="A171" s="99">
        <f t="shared" si="4"/>
        <v>2009.06</v>
      </c>
      <c r="B171" s="1149">
        <v>4.3112316468717857</v>
      </c>
      <c r="C171" s="2276">
        <f t="shared" si="3"/>
        <v>8.3849799489610355E-3</v>
      </c>
      <c r="D171" s="2273"/>
      <c r="E171" s="3254"/>
    </row>
    <row r="172" spans="1:5">
      <c r="A172" s="99">
        <f t="shared" si="4"/>
        <v>2009.07</v>
      </c>
      <c r="B172" s="1149">
        <v>4.3689017737460647</v>
      </c>
      <c r="C172" s="2276">
        <f t="shared" si="3"/>
        <v>1.3376717281272654E-2</v>
      </c>
      <c r="D172" s="2273"/>
      <c r="E172" s="3254"/>
    </row>
    <row r="173" spans="1:5">
      <c r="A173" s="99">
        <f t="shared" si="4"/>
        <v>2009.08</v>
      </c>
      <c r="B173" s="1149">
        <v>4.4218959443872929</v>
      </c>
      <c r="C173" s="2276">
        <f t="shared" si="3"/>
        <v>1.2129860863360431E-2</v>
      </c>
      <c r="D173" s="2273"/>
      <c r="E173" s="3254"/>
    </row>
    <row r="174" spans="1:5">
      <c r="A174" s="99">
        <f t="shared" si="4"/>
        <v>2009.09</v>
      </c>
      <c r="B174" s="1149">
        <v>4.4717728108731567</v>
      </c>
      <c r="C174" s="2276">
        <f t="shared" si="3"/>
        <v>1.127952062037374E-2</v>
      </c>
      <c r="D174" s="2273"/>
      <c r="E174" s="3254"/>
    </row>
    <row r="175" spans="1:5">
      <c r="A175" s="99">
        <f t="shared" si="4"/>
        <v>2009.1</v>
      </c>
      <c r="B175" s="1149">
        <v>4.5200910252813369</v>
      </c>
      <c r="C175" s="2276">
        <f t="shared" si="3"/>
        <v>1.0805158591843833E-2</v>
      </c>
      <c r="D175" s="2273"/>
      <c r="E175" s="3254"/>
    </row>
    <row r="176" spans="1:5">
      <c r="A176" s="99">
        <f t="shared" si="4"/>
        <v>2009.11</v>
      </c>
      <c r="B176" s="1149">
        <v>4.5886717166993982</v>
      </c>
      <c r="C176" s="2276">
        <f t="shared" si="3"/>
        <v>1.5172413793103301E-2</v>
      </c>
      <c r="D176" s="2273"/>
      <c r="E176" s="3254"/>
    </row>
    <row r="177" spans="1:5">
      <c r="A177" s="99">
        <f t="shared" si="4"/>
        <v>2009.12</v>
      </c>
      <c r="B177" s="1149">
        <v>4.6572524081174596</v>
      </c>
      <c r="C177" s="2276">
        <f t="shared" si="3"/>
        <v>1.4945652173913082E-2</v>
      </c>
      <c r="D177" s="2273"/>
      <c r="E177" s="3254"/>
    </row>
    <row r="178" spans="1:5">
      <c r="A178" s="99">
        <f t="shared" si="4"/>
        <v>2010.01</v>
      </c>
      <c r="B178" s="1149">
        <v>4.7273917516132054</v>
      </c>
      <c r="C178" s="2276">
        <f t="shared" si="3"/>
        <v>1.5060240963855609E-2</v>
      </c>
      <c r="D178" s="2273"/>
      <c r="E178" s="3254"/>
    </row>
    <row r="179" spans="1:5">
      <c r="A179" s="99">
        <f t="shared" si="4"/>
        <v>2010.02</v>
      </c>
      <c r="B179" s="1149">
        <v>4.8598771782162782</v>
      </c>
      <c r="C179" s="2276">
        <f t="shared" si="3"/>
        <v>2.8025057698648048E-2</v>
      </c>
      <c r="D179" s="2273"/>
      <c r="E179" s="3254"/>
    </row>
    <row r="180" spans="1:5">
      <c r="A180" s="99">
        <f t="shared" si="4"/>
        <v>2010.03</v>
      </c>
      <c r="B180" s="1149">
        <v>4.9908039527416692</v>
      </c>
      <c r="C180" s="2276">
        <f t="shared" si="3"/>
        <v>2.6940346375882163E-2</v>
      </c>
      <c r="D180" s="2273"/>
      <c r="E180" s="3254"/>
    </row>
    <row r="181" spans="1:5">
      <c r="A181" s="99">
        <f t="shared" si="4"/>
        <v>2010.04</v>
      </c>
      <c r="B181" s="1149">
        <v>5.0609432962374132</v>
      </c>
      <c r="C181" s="2276">
        <f t="shared" si="3"/>
        <v>1.4053716427232743E-2</v>
      </c>
      <c r="D181" s="2273"/>
      <c r="E181" s="3254"/>
    </row>
    <row r="182" spans="1:5">
      <c r="A182" s="99">
        <f t="shared" si="4"/>
        <v>2010.05</v>
      </c>
      <c r="B182" s="1149">
        <v>5.106144206490228</v>
      </c>
      <c r="C182" s="2276">
        <f t="shared" si="3"/>
        <v>8.9313212195876179E-3</v>
      </c>
      <c r="D182" s="2273"/>
      <c r="E182" s="3254"/>
    </row>
    <row r="183" spans="1:5">
      <c r="A183" s="99">
        <f t="shared" si="4"/>
        <v>2010.06</v>
      </c>
      <c r="B183" s="1149">
        <v>5.1591383771314563</v>
      </c>
      <c r="C183" s="2276">
        <f t="shared" si="3"/>
        <v>1.037851037851012E-2</v>
      </c>
      <c r="D183" s="2273"/>
      <c r="E183" s="3254"/>
    </row>
    <row r="184" spans="1:5">
      <c r="A184" s="99">
        <f t="shared" si="4"/>
        <v>2010.07</v>
      </c>
      <c r="B184" s="1149">
        <v>5.2107297609027716</v>
      </c>
      <c r="C184" s="2276">
        <f t="shared" si="3"/>
        <v>1.0000000000000231E-2</v>
      </c>
      <c r="D184" s="2273"/>
      <c r="E184" s="3254"/>
    </row>
    <row r="185" spans="1:5">
      <c r="A185" s="99">
        <f t="shared" si="4"/>
        <v>2010.08</v>
      </c>
      <c r="B185" s="1149">
        <v>5.3352660619096604</v>
      </c>
      <c r="C185" s="2276">
        <f t="shared" si="3"/>
        <v>2.38999730788787E-2</v>
      </c>
      <c r="D185" s="2273"/>
      <c r="E185" s="3254"/>
    </row>
    <row r="186" spans="1:5">
      <c r="A186" s="99">
        <f t="shared" si="4"/>
        <v>2010.09</v>
      </c>
      <c r="B186" s="1149">
        <v>5.4054054054054053</v>
      </c>
      <c r="C186" s="2276">
        <f t="shared" si="3"/>
        <v>1.3146362839614456E-2</v>
      </c>
      <c r="D186" s="2273"/>
      <c r="E186" s="3254"/>
    </row>
    <row r="187" spans="1:5">
      <c r="A187" s="99">
        <f t="shared" si="4"/>
        <v>2010.1</v>
      </c>
      <c r="B187" s="1149">
        <v>5.5176283549985969</v>
      </c>
      <c r="C187" s="2276">
        <f t="shared" si="3"/>
        <v>2.0761245674740358E-2</v>
      </c>
      <c r="D187" s="2273"/>
      <c r="E187" s="3254"/>
    </row>
    <row r="188" spans="1:5">
      <c r="A188" s="99">
        <f t="shared" si="4"/>
        <v>2010.11</v>
      </c>
      <c r="B188" s="1149">
        <v>5.6002369151158078</v>
      </c>
      <c r="C188" s="2276">
        <f t="shared" si="3"/>
        <v>1.4971751412429457E-2</v>
      </c>
      <c r="D188" s="2273"/>
      <c r="E188" s="3254"/>
    </row>
    <row r="189" spans="1:5">
      <c r="A189" s="99">
        <f t="shared" si="4"/>
        <v>2010.12</v>
      </c>
      <c r="B189" s="1149">
        <v>5.6968733439321673</v>
      </c>
      <c r="C189" s="2276">
        <f t="shared" si="3"/>
        <v>1.7255775118285577E-2</v>
      </c>
      <c r="D189" s="2273"/>
      <c r="E189" s="3254"/>
    </row>
    <row r="190" spans="1:5">
      <c r="A190" s="99">
        <f t="shared" si="4"/>
        <v>2011.01</v>
      </c>
      <c r="B190" s="1149">
        <v>5.862090464166589</v>
      </c>
      <c r="C190" s="2276">
        <f t="shared" si="3"/>
        <v>2.900136798905617E-2</v>
      </c>
      <c r="D190" s="2273"/>
      <c r="E190" s="3254"/>
    </row>
    <row r="191" spans="1:5">
      <c r="A191" s="99">
        <f t="shared" si="4"/>
        <v>2011.02</v>
      </c>
      <c r="B191" s="1149">
        <v>5.9665201533713645</v>
      </c>
      <c r="C191" s="2276">
        <f t="shared" si="3"/>
        <v>1.7814411060887991E-2</v>
      </c>
      <c r="D191" s="2273"/>
      <c r="E191" s="3254"/>
    </row>
    <row r="192" spans="1:5">
      <c r="A192" s="99">
        <f t="shared" si="4"/>
        <v>2011.03</v>
      </c>
      <c r="B192" s="1149">
        <v>6.063156582187724</v>
      </c>
      <c r="C192" s="2276">
        <f t="shared" si="3"/>
        <v>1.6196447230929945E-2</v>
      </c>
      <c r="D192" s="2273"/>
      <c r="E192" s="3254"/>
    </row>
    <row r="193" spans="1:5">
      <c r="A193" s="99">
        <f t="shared" si="4"/>
        <v>2011.04</v>
      </c>
      <c r="B193" s="1149">
        <v>6.1410891860718841</v>
      </c>
      <c r="C193" s="2276">
        <f t="shared" si="3"/>
        <v>1.2853470437017789E-2</v>
      </c>
      <c r="D193" s="2273"/>
      <c r="E193" s="3254"/>
    </row>
    <row r="194" spans="1:5">
      <c r="A194" s="99">
        <f t="shared" si="4"/>
        <v>2011.05</v>
      </c>
      <c r="B194" s="1149">
        <v>6.2455188752766597</v>
      </c>
      <c r="C194" s="2276">
        <f t="shared" si="3"/>
        <v>1.700507614213187E-2</v>
      </c>
      <c r="D194" s="2273"/>
      <c r="E194" s="3254"/>
    </row>
    <row r="195" spans="1:5">
      <c r="A195" s="99">
        <f t="shared" si="4"/>
        <v>2011.06</v>
      </c>
      <c r="B195" s="1149">
        <v>6.4076186913557152</v>
      </c>
      <c r="C195" s="2276">
        <f t="shared" si="3"/>
        <v>2.5954579485899743E-2</v>
      </c>
      <c r="D195" s="2273"/>
      <c r="E195" s="3254"/>
    </row>
    <row r="196" spans="1:5">
      <c r="A196" s="99">
        <f t="shared" si="4"/>
        <v>2011.07</v>
      </c>
      <c r="B196" s="1149">
        <v>6.5572492908133038</v>
      </c>
      <c r="C196" s="2276">
        <f t="shared" si="3"/>
        <v>2.3351982486013112E-2</v>
      </c>
      <c r="D196" s="2273"/>
      <c r="E196" s="3254"/>
    </row>
    <row r="197" spans="1:5">
      <c r="A197" s="99">
        <f t="shared" si="4"/>
        <v>2011.08</v>
      </c>
      <c r="B197" s="1149">
        <v>6.7115558465039431</v>
      </c>
      <c r="C197" s="2276">
        <f t="shared" si="3"/>
        <v>2.3532208224388063E-2</v>
      </c>
      <c r="D197" s="2273"/>
      <c r="E197" s="3254"/>
    </row>
    <row r="198" spans="1:5">
      <c r="A198" s="99">
        <f t="shared" si="4"/>
        <v>2011.09</v>
      </c>
      <c r="B198" s="1149">
        <v>6.8191028398640858</v>
      </c>
      <c r="C198" s="2276">
        <f t="shared" si="3"/>
        <v>1.6024152345564424E-2</v>
      </c>
      <c r="D198" s="2273"/>
      <c r="E198" s="3254"/>
    </row>
    <row r="199" spans="1:5">
      <c r="A199" s="99">
        <f t="shared" si="4"/>
        <v>2011.1</v>
      </c>
      <c r="B199" s="1149">
        <v>6.9048287041366621</v>
      </c>
      <c r="C199" s="2276">
        <f t="shared" si="3"/>
        <v>1.2571428571428456E-2</v>
      </c>
      <c r="D199" s="2273"/>
      <c r="E199" s="3254"/>
    </row>
    <row r="200" spans="1:5">
      <c r="A200" s="99">
        <f t="shared" si="4"/>
        <v>2011.11</v>
      </c>
      <c r="B200" s="1149">
        <v>7.0186103058075382</v>
      </c>
      <c r="C200" s="2276">
        <f t="shared" si="3"/>
        <v>1.6478555304740627E-2</v>
      </c>
      <c r="D200" s="2273"/>
      <c r="E200" s="3254"/>
    </row>
    <row r="201" spans="1:5">
      <c r="A201" s="99">
        <f t="shared" si="4"/>
        <v>2011.12</v>
      </c>
      <c r="B201" s="1149">
        <v>7.1370678637114615</v>
      </c>
      <c r="C201" s="2276">
        <f t="shared" si="3"/>
        <v>1.6877637130801482E-2</v>
      </c>
      <c r="D201" s="2273"/>
      <c r="E201" s="3254"/>
    </row>
    <row r="202" spans="1:5">
      <c r="A202" s="99">
        <f t="shared" si="4"/>
        <v>2012.01</v>
      </c>
      <c r="B202" s="1149">
        <v>7.2446148570716042</v>
      </c>
      <c r="C202" s="2276">
        <f t="shared" ref="C202:C249" si="5">B202/B201-1</f>
        <v>1.5068792312732171E-2</v>
      </c>
      <c r="D202" s="2273"/>
      <c r="E202" s="3254"/>
    </row>
    <row r="203" spans="1:5">
      <c r="A203" s="99">
        <f t="shared" si="4"/>
        <v>2012.02</v>
      </c>
      <c r="B203" s="1149">
        <v>7.3459272421210144</v>
      </c>
      <c r="C203" s="2276">
        <f t="shared" si="5"/>
        <v>1.3984509466437256E-2</v>
      </c>
      <c r="D203" s="2273"/>
      <c r="E203" s="3254"/>
    </row>
    <row r="204" spans="1:5">
      <c r="A204" s="99">
        <f t="shared" si="4"/>
        <v>2012.03</v>
      </c>
      <c r="B204" s="1149">
        <v>7.4706194083356712</v>
      </c>
      <c r="C204" s="2276">
        <f t="shared" si="5"/>
        <v>1.6974326331423706E-2</v>
      </c>
      <c r="D204" s="2273"/>
      <c r="E204" s="3254"/>
    </row>
    <row r="205" spans="1:5">
      <c r="A205" s="99">
        <f t="shared" si="4"/>
        <v>2012.04</v>
      </c>
      <c r="B205" s="1149">
        <v>7.6576576576576567</v>
      </c>
      <c r="C205" s="2276">
        <f t="shared" si="5"/>
        <v>2.5036511579386467E-2</v>
      </c>
      <c r="D205" s="2273"/>
      <c r="E205" s="3254"/>
    </row>
    <row r="206" spans="1:5">
      <c r="A206" s="99">
        <f t="shared" si="4"/>
        <v>2012.05</v>
      </c>
      <c r="B206" s="1149">
        <v>7.8104055612706125</v>
      </c>
      <c r="C206" s="2276">
        <f t="shared" si="5"/>
        <v>1.9947079177691895E-2</v>
      </c>
      <c r="D206" s="2273"/>
      <c r="E206" s="3254"/>
    </row>
    <row r="207" spans="1:5">
      <c r="A207" s="99">
        <f t="shared" si="4"/>
        <v>2012.06</v>
      </c>
      <c r="B207" s="1149">
        <v>8.0052370709810159</v>
      </c>
      <c r="C207" s="2276">
        <f t="shared" si="5"/>
        <v>2.4945120734384485E-2</v>
      </c>
      <c r="D207" s="2273"/>
      <c r="E207" s="3254"/>
    </row>
    <row r="208" spans="1:5">
      <c r="A208" s="99">
        <f t="shared" si="4"/>
        <v>2012.07</v>
      </c>
      <c r="B208" s="1149">
        <v>8.2328002743227664</v>
      </c>
      <c r="C208" s="2276">
        <f t="shared" si="5"/>
        <v>2.8426791277258667E-2</v>
      </c>
      <c r="D208" s="2273"/>
      <c r="E208" s="3254"/>
    </row>
    <row r="209" spans="1:5">
      <c r="A209" s="99">
        <f t="shared" si="4"/>
        <v>2012.08</v>
      </c>
      <c r="B209" s="1149">
        <v>8.3154088344399764</v>
      </c>
      <c r="C209" s="2276">
        <f t="shared" si="5"/>
        <v>1.0034078000757285E-2</v>
      </c>
      <c r="D209" s="2273"/>
      <c r="E209" s="3254"/>
    </row>
    <row r="210" spans="1:5">
      <c r="A210" s="99">
        <f t="shared" si="4"/>
        <v>2012.09</v>
      </c>
      <c r="B210" s="1149">
        <v>8.4806259546743981</v>
      </c>
      <c r="C210" s="2276">
        <f t="shared" si="5"/>
        <v>1.9868791002811692E-2</v>
      </c>
      <c r="D210" s="2273"/>
      <c r="E210" s="3254"/>
    </row>
    <row r="211" spans="1:5">
      <c r="A211" s="99">
        <f t="shared" si="4"/>
        <v>2012.1</v>
      </c>
      <c r="B211" s="1149">
        <v>8.5741450793353913</v>
      </c>
      <c r="C211" s="2276">
        <f t="shared" si="5"/>
        <v>1.1027384671935314E-2</v>
      </c>
      <c r="D211" s="2273"/>
      <c r="E211" s="3254"/>
    </row>
    <row r="212" spans="1:5">
      <c r="A212" s="99">
        <f t="shared" si="4"/>
        <v>2012.11</v>
      </c>
      <c r="B212" s="1149">
        <v>8.7549487203466452</v>
      </c>
      <c r="C212" s="2276">
        <f t="shared" si="5"/>
        <v>2.108707507725871E-2</v>
      </c>
      <c r="D212" s="2273"/>
      <c r="E212" s="3254"/>
    </row>
    <row r="213" spans="1:5">
      <c r="A213" s="99">
        <f t="shared" si="4"/>
        <v>2012.12</v>
      </c>
      <c r="B213" s="1149">
        <v>9.0308301380965741</v>
      </c>
      <c r="C213" s="2276">
        <f t="shared" si="5"/>
        <v>3.1511482998041629E-2</v>
      </c>
      <c r="D213" s="2273"/>
      <c r="E213" s="3254"/>
    </row>
    <row r="214" spans="1:5">
      <c r="A214" s="99">
        <f t="shared" si="4"/>
        <v>2013.01</v>
      </c>
      <c r="B214" s="1149">
        <v>9.183578041709529</v>
      </c>
      <c r="C214" s="2276">
        <f t="shared" si="5"/>
        <v>1.691404901622362E-2</v>
      </c>
      <c r="D214" s="2273"/>
      <c r="E214" s="3254"/>
    </row>
    <row r="215" spans="1:5">
      <c r="A215" s="99">
        <f t="shared" si="4"/>
        <v>2013.02</v>
      </c>
      <c r="B215" s="1149">
        <v>9.256834689360641</v>
      </c>
      <c r="C215" s="2276">
        <f t="shared" si="5"/>
        <v>7.976917854718435E-3</v>
      </c>
      <c r="D215" s="2273"/>
      <c r="E215" s="3254"/>
    </row>
    <row r="216" spans="1:5">
      <c r="A216" s="99">
        <f t="shared" si="4"/>
        <v>2013.03</v>
      </c>
      <c r="B216" s="1149">
        <v>9.3690576389538336</v>
      </c>
      <c r="C216" s="2276">
        <f t="shared" si="5"/>
        <v>1.2123253072908069E-2</v>
      </c>
      <c r="D216" s="2273"/>
      <c r="E216" s="3254"/>
    </row>
    <row r="217" spans="1:5">
      <c r="A217" s="99">
        <f t="shared" si="4"/>
        <v>2013.04</v>
      </c>
      <c r="B217" s="1149">
        <v>9.482839240624708</v>
      </c>
      <c r="C217" s="2276">
        <f t="shared" si="5"/>
        <v>1.2144401929795379E-2</v>
      </c>
      <c r="D217" s="2273"/>
      <c r="E217" s="3254"/>
    </row>
    <row r="218" spans="1:5">
      <c r="A218" s="99">
        <f t="shared" si="4"/>
        <v>2013.05</v>
      </c>
      <c r="B218" s="1149">
        <v>9.6527323170921768</v>
      </c>
      <c r="C218" s="2276">
        <f t="shared" si="5"/>
        <v>1.7915844838921613E-2</v>
      </c>
      <c r="D218" s="2273"/>
      <c r="E218" s="3254"/>
    </row>
    <row r="219" spans="1:5">
      <c r="A219" s="99">
        <f t="shared" si="4"/>
        <v>2013.06</v>
      </c>
      <c r="B219" s="1149">
        <v>9.9629040805511391</v>
      </c>
      <c r="C219" s="2276">
        <f t="shared" si="5"/>
        <v>3.2133053447440885E-2</v>
      </c>
      <c r="D219" s="2273"/>
      <c r="E219" s="3254"/>
    </row>
    <row r="220" spans="1:5">
      <c r="A220" s="99">
        <f t="shared" si="4"/>
        <v>2013.07</v>
      </c>
      <c r="B220" s="1149">
        <v>10.210729760902773</v>
      </c>
      <c r="C220" s="2276">
        <f t="shared" si="5"/>
        <v>2.4874843554443249E-2</v>
      </c>
      <c r="D220" s="2273"/>
      <c r="E220" s="3254"/>
    </row>
    <row r="221" spans="1:5">
      <c r="A221" s="99">
        <f t="shared" si="4"/>
        <v>2013.08</v>
      </c>
      <c r="B221" s="1149">
        <v>10.39465070606939</v>
      </c>
      <c r="C221" s="2276">
        <f t="shared" si="5"/>
        <v>1.8012517172950382E-2</v>
      </c>
      <c r="D221" s="2273"/>
      <c r="E221" s="3254"/>
    </row>
    <row r="222" spans="1:5">
      <c r="A222" s="99">
        <f t="shared" si="4"/>
        <v>2013.09</v>
      </c>
      <c r="B222" s="1149">
        <v>10.561426478381495</v>
      </c>
      <c r="C222" s="2276">
        <f t="shared" si="5"/>
        <v>1.6044384465437211E-2</v>
      </c>
      <c r="D222" s="2273"/>
      <c r="E222" s="3254"/>
    </row>
    <row r="223" spans="1:5">
      <c r="A223" s="99">
        <f t="shared" si="4"/>
        <v>2013.1</v>
      </c>
      <c r="B223" s="1149">
        <v>10.667414819663954</v>
      </c>
      <c r="C223" s="2276">
        <f t="shared" si="5"/>
        <v>1.0035419126328105E-2</v>
      </c>
      <c r="D223" s="2273"/>
      <c r="E223" s="3254"/>
    </row>
    <row r="224" spans="1:5">
      <c r="A224" s="99">
        <f t="shared" si="4"/>
        <v>2013.11</v>
      </c>
      <c r="B224" s="1149">
        <v>10.923033760404001</v>
      </c>
      <c r="C224" s="2276">
        <f t="shared" si="5"/>
        <v>2.396259497369968E-2</v>
      </c>
      <c r="D224" s="2273"/>
      <c r="E224" s="3254"/>
    </row>
    <row r="225" spans="1:5">
      <c r="A225" s="99">
        <f t="shared" si="4"/>
        <v>2013.12</v>
      </c>
      <c r="B225" s="1149">
        <v>11.30490351943639</v>
      </c>
      <c r="C225" s="2276">
        <f t="shared" si="5"/>
        <v>3.4960045662100425E-2</v>
      </c>
      <c r="D225" s="2273"/>
      <c r="E225" s="3254"/>
    </row>
    <row r="226" spans="1:5">
      <c r="A226" s="99">
        <f t="shared" si="4"/>
        <v>2014.01</v>
      </c>
      <c r="B226" s="1149">
        <v>11.828610617537953</v>
      </c>
      <c r="C226" s="2276">
        <f t="shared" si="5"/>
        <v>4.6325658348269627E-2</v>
      </c>
      <c r="D226" s="2273"/>
      <c r="E226" s="3254"/>
    </row>
    <row r="227" spans="1:5">
      <c r="A227" s="99">
        <f t="shared" si="4"/>
        <v>2014.02</v>
      </c>
      <c r="B227" s="1149">
        <v>12.455188752766608</v>
      </c>
      <c r="C227" s="2276">
        <f t="shared" si="5"/>
        <v>5.2971405982342956E-2</v>
      </c>
      <c r="D227" s="2273"/>
      <c r="E227" s="3254"/>
    </row>
    <row r="228" spans="1:5">
      <c r="A228" s="99">
        <f t="shared" si="4"/>
        <v>2014.03</v>
      </c>
      <c r="B228" s="1149">
        <v>12.927460332304621</v>
      </c>
      <c r="C228" s="2276">
        <f t="shared" si="5"/>
        <v>3.7917657364535007E-2</v>
      </c>
      <c r="D228" s="2273"/>
      <c r="E228" s="3254"/>
    </row>
    <row r="229" spans="1:5">
      <c r="A229" s="99">
        <f t="shared" si="4"/>
        <v>2014.04</v>
      </c>
      <c r="B229" s="1149">
        <v>13.165934100190155</v>
      </c>
      <c r="C229" s="2276">
        <f>B229/B228-1</f>
        <v>1.844707017120828E-2</v>
      </c>
      <c r="D229" s="2273"/>
      <c r="E229" s="3254"/>
    </row>
    <row r="230" spans="1:5">
      <c r="A230" s="99">
        <f t="shared" ref="A230:A293" si="6">A218+1</f>
        <v>2014.05</v>
      </c>
      <c r="B230" s="1149">
        <v>13.560273075844009</v>
      </c>
      <c r="C230" s="2276">
        <f t="shared" si="5"/>
        <v>2.9951462057535183E-2</v>
      </c>
      <c r="D230" s="2273"/>
      <c r="E230" s="3254"/>
    </row>
    <row r="231" spans="1:5">
      <c r="A231" s="99">
        <f t="shared" si="6"/>
        <v>2014.06</v>
      </c>
      <c r="B231" s="1149">
        <v>13.914087097478101</v>
      </c>
      <c r="C231" s="2276">
        <f t="shared" si="5"/>
        <v>2.6091954022988473E-2</v>
      </c>
      <c r="D231" s="2273"/>
      <c r="E231" s="3254"/>
    </row>
    <row r="232" spans="1:5">
      <c r="A232" s="99">
        <f t="shared" si="6"/>
        <v>2014.07</v>
      </c>
      <c r="B232" s="1149">
        <v>14.261666510801458</v>
      </c>
      <c r="C232" s="2276">
        <f t="shared" si="5"/>
        <v>2.4980396549792783E-2</v>
      </c>
      <c r="D232" s="2273"/>
      <c r="E232" s="3254"/>
    </row>
    <row r="233" spans="1:5">
      <c r="A233" s="99">
        <f t="shared" si="6"/>
        <v>2014.08</v>
      </c>
      <c r="B233" s="1149">
        <v>14.503257582842357</v>
      </c>
      <c r="C233" s="2276">
        <f t="shared" si="5"/>
        <v>1.6939890710382599E-2</v>
      </c>
      <c r="D233" s="2273"/>
      <c r="E233" s="3254"/>
    </row>
    <row r="234" spans="1:5">
      <c r="A234" s="99">
        <f t="shared" si="6"/>
        <v>2014.09</v>
      </c>
      <c r="B234" s="1149">
        <v>14.841485083699618</v>
      </c>
      <c r="C234" s="2276">
        <f t="shared" si="5"/>
        <v>2.3320795271359662E-2</v>
      </c>
      <c r="D234" s="2273"/>
      <c r="E234" s="3254"/>
    </row>
    <row r="235" spans="1:5">
      <c r="A235" s="99">
        <f t="shared" si="6"/>
        <v>2014.1</v>
      </c>
      <c r="B235" s="1149">
        <v>15.153215499236261</v>
      </c>
      <c r="C235" s="2276">
        <f t="shared" si="5"/>
        <v>2.1003990758243996E-2</v>
      </c>
      <c r="D235" s="2273"/>
      <c r="E235" s="3254"/>
    </row>
    <row r="236" spans="1:5">
      <c r="A236" s="99">
        <f t="shared" si="6"/>
        <v>2014.11</v>
      </c>
      <c r="B236" s="1149">
        <v>15.471180523083639</v>
      </c>
      <c r="C236" s="2276">
        <f t="shared" si="5"/>
        <v>2.0983336761983162E-2</v>
      </c>
      <c r="D236" s="2273"/>
      <c r="E236" s="3254"/>
    </row>
    <row r="237" spans="1:5">
      <c r="A237" s="99">
        <f t="shared" si="6"/>
        <v>2014.12</v>
      </c>
      <c r="B237" s="1149">
        <v>15.703419682658437</v>
      </c>
      <c r="C237" s="2276">
        <f t="shared" si="5"/>
        <v>1.5011082006850529E-2</v>
      </c>
      <c r="D237" s="2273"/>
      <c r="E237" s="3254"/>
    </row>
    <row r="238" spans="1:5">
      <c r="A238" s="99">
        <f t="shared" si="6"/>
        <v>2015.01</v>
      </c>
      <c r="B238" s="1149">
        <v>15.9948876211852</v>
      </c>
      <c r="C238" s="2276">
        <f t="shared" si="5"/>
        <v>1.8560794044665041E-2</v>
      </c>
      <c r="D238" s="2273"/>
      <c r="E238" s="3254"/>
    </row>
    <row r="239" spans="1:5">
      <c r="A239" s="99">
        <f t="shared" si="6"/>
        <v>2015.02</v>
      </c>
      <c r="B239" s="1149">
        <v>16.234920041148413</v>
      </c>
      <c r="C239" s="2276">
        <f t="shared" si="5"/>
        <v>1.5006821282401051E-2</v>
      </c>
      <c r="D239" s="2273"/>
      <c r="E239" s="3254"/>
    </row>
    <row r="240" spans="1:5">
      <c r="A240" s="99">
        <f t="shared" si="6"/>
        <v>2015.03</v>
      </c>
      <c r="B240" s="1149">
        <v>16.551326412918112</v>
      </c>
      <c r="C240" s="2276">
        <f t="shared" si="5"/>
        <v>1.9489247311828217E-2</v>
      </c>
      <c r="D240" s="2273"/>
      <c r="E240" s="3254"/>
    </row>
    <row r="241" spans="1:6">
      <c r="A241" s="99">
        <f t="shared" si="6"/>
        <v>2015.04</v>
      </c>
      <c r="B241" s="1149">
        <v>16.831883786901088</v>
      </c>
      <c r="C241" s="2276">
        <f t="shared" si="5"/>
        <v>1.6950748658065562E-2</v>
      </c>
      <c r="D241" s="2273"/>
      <c r="E241" s="3254"/>
      <c r="F241" s="201"/>
    </row>
    <row r="242" spans="1:6">
      <c r="A242" s="99">
        <f t="shared" si="6"/>
        <v>2015.05</v>
      </c>
      <c r="B242" s="1149">
        <v>17.185697808535178</v>
      </c>
      <c r="C242" s="2276">
        <f t="shared" si="5"/>
        <v>2.1020464857857135E-2</v>
      </c>
      <c r="D242" s="2273"/>
      <c r="E242" s="3254"/>
      <c r="F242" s="201"/>
    </row>
    <row r="243" spans="1:6">
      <c r="A243" s="99">
        <f t="shared" si="6"/>
        <v>2015.06</v>
      </c>
      <c r="B243" s="1149">
        <v>17.500545528227189</v>
      </c>
      <c r="C243" s="2276">
        <f t="shared" si="5"/>
        <v>1.832033375657538E-2</v>
      </c>
      <c r="D243" s="2273"/>
      <c r="E243" s="3254"/>
      <c r="F243" s="201"/>
    </row>
    <row r="244" spans="1:6">
      <c r="A244" s="99">
        <f t="shared" si="6"/>
        <v>2015.07</v>
      </c>
      <c r="B244" s="1149">
        <v>17.885532591414943</v>
      </c>
      <c r="C244" s="2276">
        <f t="shared" si="5"/>
        <v>2.1998574991093589E-2</v>
      </c>
      <c r="D244" s="2273"/>
      <c r="E244" s="3254"/>
      <c r="F244" s="201"/>
    </row>
    <row r="245" spans="1:6">
      <c r="A245" s="99">
        <f t="shared" si="6"/>
        <v>2015.08</v>
      </c>
      <c r="B245" s="1149">
        <v>18.261167742136596</v>
      </c>
      <c r="C245" s="2276">
        <f t="shared" si="5"/>
        <v>2.1002178649237369E-2</v>
      </c>
      <c r="D245" s="2273"/>
      <c r="E245" s="3254"/>
      <c r="F245" s="201"/>
    </row>
    <row r="246" spans="1:6">
      <c r="A246" s="99">
        <f t="shared" si="6"/>
        <v>2015.09</v>
      </c>
      <c r="B246" s="1149">
        <v>18.580691418061658</v>
      </c>
      <c r="C246" s="2276">
        <f t="shared" si="5"/>
        <v>1.7497439399112524E-2</v>
      </c>
      <c r="D246" s="2273"/>
      <c r="E246" s="3254"/>
      <c r="F246" s="201"/>
    </row>
    <row r="247" spans="1:6">
      <c r="A247" s="99">
        <f t="shared" si="6"/>
        <v>2015.1</v>
      </c>
      <c r="B247" s="1149">
        <v>18.859690139966958</v>
      </c>
      <c r="C247" s="2276">
        <f t="shared" si="5"/>
        <v>1.5015518832312891E-2</v>
      </c>
      <c r="D247" s="2273"/>
      <c r="E247" s="3254"/>
      <c r="F247" s="201"/>
    </row>
    <row r="248" spans="1:6">
      <c r="A248" s="99">
        <f t="shared" si="6"/>
        <v>2015.11</v>
      </c>
      <c r="B248" s="1149">
        <v>19.321051154961189</v>
      </c>
      <c r="C248" s="2276">
        <f t="shared" si="5"/>
        <v>2.4462809917355388E-2</v>
      </c>
      <c r="D248" s="2273"/>
      <c r="E248" s="3254"/>
      <c r="F248" s="201"/>
    </row>
    <row r="249" spans="1:6">
      <c r="A249" s="99">
        <f t="shared" si="6"/>
        <v>2015.12</v>
      </c>
      <c r="B249" s="1149">
        <v>20.112846410424265</v>
      </c>
      <c r="C249" s="2276">
        <f t="shared" si="5"/>
        <v>4.0980961600516341E-2</v>
      </c>
      <c r="D249" s="2273"/>
      <c r="E249" s="3254"/>
      <c r="F249" s="201"/>
    </row>
    <row r="250" spans="1:6">
      <c r="A250" s="99">
        <f t="shared" si="6"/>
        <v>2016.01</v>
      </c>
      <c r="B250" s="1149">
        <v>21.079210698587861</v>
      </c>
      <c r="C250" s="2276">
        <f t="shared" ref="C250:C262" si="7">B250/B249-1</f>
        <v>4.8047117172969722E-2</v>
      </c>
      <c r="D250" s="2273"/>
      <c r="E250" s="3254"/>
      <c r="F250" s="2133"/>
    </row>
    <row r="251" spans="1:6">
      <c r="A251" s="99">
        <f t="shared" si="6"/>
        <v>2016.02</v>
      </c>
      <c r="B251" s="1149">
        <v>21.774369525234576</v>
      </c>
      <c r="C251" s="2276">
        <f t="shared" si="7"/>
        <v>3.2978408754806177E-2</v>
      </c>
      <c r="D251" s="2273"/>
      <c r="E251" s="3254"/>
      <c r="F251" s="2133"/>
    </row>
    <row r="252" spans="1:6">
      <c r="A252" s="99">
        <f t="shared" si="6"/>
        <v>2016.03</v>
      </c>
      <c r="B252" s="1149">
        <v>22.580192649396803</v>
      </c>
      <c r="C252" s="2276">
        <f t="shared" si="7"/>
        <v>3.7007874015748232E-2</v>
      </c>
      <c r="D252" s="2273"/>
      <c r="E252" s="3254"/>
      <c r="F252" s="2133"/>
    </row>
    <row r="253" spans="1:6">
      <c r="A253" s="99">
        <f t="shared" si="6"/>
        <v>2016.04</v>
      </c>
      <c r="B253" s="1149">
        <v>23.577729979114061</v>
      </c>
      <c r="C253" s="2276">
        <f t="shared" si="7"/>
        <v>4.4177538482777612E-2</v>
      </c>
      <c r="D253" s="2273"/>
      <c r="E253" s="3254"/>
      <c r="F253" s="2133"/>
    </row>
    <row r="254" spans="1:6">
      <c r="A254" s="99">
        <f t="shared" si="6"/>
        <v>2016.05</v>
      </c>
      <c r="B254" s="1149">
        <v>24.592412481685837</v>
      </c>
      <c r="C254" s="2276">
        <f t="shared" si="7"/>
        <v>4.3035631652013073E-2</v>
      </c>
      <c r="D254" s="2273"/>
      <c r="E254" s="3254"/>
      <c r="F254" s="2133"/>
    </row>
    <row r="255" spans="1:6">
      <c r="A255" s="99">
        <f t="shared" si="6"/>
        <v>2016.06</v>
      </c>
      <c r="B255" s="1149">
        <v>25.070918669534585</v>
      </c>
      <c r="C255" s="2276">
        <f t="shared" si="7"/>
        <v>1.945747242996565E-2</v>
      </c>
      <c r="D255" s="2273"/>
      <c r="E255" s="3254"/>
      <c r="F255" s="2133"/>
    </row>
    <row r="256" spans="1:6">
      <c r="A256" s="99">
        <f t="shared" si="6"/>
        <v>2016.07</v>
      </c>
      <c r="B256" s="1149">
        <v>25.622681505034446</v>
      </c>
      <c r="C256" s="2276">
        <f t="shared" si="7"/>
        <v>2.2008082064034928E-2</v>
      </c>
      <c r="D256" s="2273"/>
      <c r="E256" s="3254"/>
      <c r="F256" s="2133"/>
    </row>
    <row r="257" spans="1:6">
      <c r="A257" s="99">
        <f t="shared" si="6"/>
        <v>2016.08</v>
      </c>
      <c r="B257" s="1149">
        <v>26.032607001465134</v>
      </c>
      <c r="C257" s="2276">
        <f t="shared" si="7"/>
        <v>1.5998540057181154E-2</v>
      </c>
      <c r="D257" s="2273"/>
      <c r="E257" s="3254"/>
      <c r="F257" s="2133"/>
    </row>
    <row r="258" spans="1:6">
      <c r="A258" s="99">
        <f t="shared" si="6"/>
        <v>2016.09</v>
      </c>
      <c r="B258" s="1149">
        <v>26.292901898438231</v>
      </c>
      <c r="C258" s="2276">
        <f t="shared" si="7"/>
        <v>9.9988025386181789E-3</v>
      </c>
      <c r="D258" s="2273"/>
      <c r="E258" s="3254"/>
      <c r="F258" s="2133"/>
    </row>
    <row r="259" spans="1:6">
      <c r="A259" s="99">
        <f t="shared" si="6"/>
        <v>2016.1</v>
      </c>
      <c r="B259" s="1149">
        <v>26.740235044733314</v>
      </c>
      <c r="C259" s="2276">
        <f t="shared" si="7"/>
        <v>1.7013456636433721E-2</v>
      </c>
      <c r="D259" s="2273"/>
      <c r="E259" s="3254"/>
      <c r="F259" s="2133"/>
    </row>
    <row r="260" spans="1:6">
      <c r="A260" s="99">
        <f t="shared" si="6"/>
        <v>2016.11</v>
      </c>
      <c r="B260" s="1149">
        <v>27.114311543377283</v>
      </c>
      <c r="C260" s="2276">
        <f>B260/B259-1</f>
        <v>1.3989274889251391E-2</v>
      </c>
      <c r="D260" s="2273"/>
      <c r="E260" s="3254"/>
      <c r="F260" s="201"/>
    </row>
    <row r="261" spans="1:6">
      <c r="A261" s="99">
        <f t="shared" si="6"/>
        <v>2016.12</v>
      </c>
      <c r="B261" s="1149">
        <v>27.630225381090433</v>
      </c>
      <c r="C261" s="2276">
        <f>B261/B260-1</f>
        <v>1.9027362612094922E-2</v>
      </c>
      <c r="D261" s="2273"/>
      <c r="E261" s="3254"/>
      <c r="F261" s="201"/>
    </row>
    <row r="262" spans="1:6">
      <c r="A262" s="99">
        <f t="shared" si="6"/>
        <v>2017.01</v>
      </c>
      <c r="B262" s="1149">
        <v>28.431372549019606</v>
      </c>
      <c r="C262" s="2276">
        <f t="shared" si="7"/>
        <v>2.89953178766853E-2</v>
      </c>
      <c r="D262" s="736">
        <v>13808</v>
      </c>
      <c r="E262" s="3254"/>
      <c r="F262" s="201"/>
    </row>
    <row r="263" spans="1:6">
      <c r="A263" s="99">
        <f t="shared" si="6"/>
        <v>2017.02</v>
      </c>
      <c r="B263" s="1149">
        <v>28.886498955703104</v>
      </c>
      <c r="C263" s="2276">
        <f t="shared" ref="C263:C280" si="8">B263/B262-1</f>
        <v>1.600789430404026E-2</v>
      </c>
      <c r="D263" s="2277">
        <v>14116</v>
      </c>
      <c r="E263" s="3255">
        <f>D263/D262-1</f>
        <v>2.2305909617613029E-2</v>
      </c>
      <c r="F263" s="201"/>
    </row>
    <row r="264" spans="1:6">
      <c r="A264" s="99">
        <f t="shared" si="6"/>
        <v>2017.03</v>
      </c>
      <c r="B264" s="1149">
        <v>29.377474360173323</v>
      </c>
      <c r="C264" s="2276">
        <f t="shared" si="8"/>
        <v>1.6996708573895347E-2</v>
      </c>
      <c r="D264" s="2277">
        <v>14686</v>
      </c>
      <c r="E264" s="3256">
        <f t="shared" ref="E264:E309" si="9">D264/D263-1</f>
        <v>4.0379710966279347E-2</v>
      </c>
      <c r="F264" s="201"/>
    </row>
    <row r="265" spans="1:6">
      <c r="A265" s="99">
        <f t="shared" si="6"/>
        <v>2017.04</v>
      </c>
      <c r="B265" s="1149">
        <v>29.905857414507935</v>
      </c>
      <c r="C265" s="2276">
        <f t="shared" si="8"/>
        <v>1.7985993208828432E-2</v>
      </c>
      <c r="D265" s="2277">
        <v>15146</v>
      </c>
      <c r="E265" s="3256">
        <f t="shared" si="9"/>
        <v>3.1322347814244811E-2</v>
      </c>
      <c r="F265" s="201"/>
    </row>
    <row r="266" spans="1:6">
      <c r="A266" s="99">
        <f t="shared" si="6"/>
        <v>2017.05</v>
      </c>
      <c r="B266" s="1149">
        <v>30.413977991832663</v>
      </c>
      <c r="C266" s="2276">
        <f t="shared" si="8"/>
        <v>1.6990670766664939E-2</v>
      </c>
      <c r="D266" s="2277">
        <v>15144</v>
      </c>
      <c r="E266" s="3256">
        <f t="shared" si="9"/>
        <v>-1.3204806549582671E-4</v>
      </c>
      <c r="F266" s="201"/>
    </row>
    <row r="267" spans="1:6">
      <c r="A267" s="99">
        <f t="shared" si="6"/>
        <v>2017.06</v>
      </c>
      <c r="B267" s="1149">
        <v>30.74908818853455</v>
      </c>
      <c r="C267" s="2276">
        <f t="shared" si="8"/>
        <v>1.1018295495310637E-2</v>
      </c>
      <c r="D267" s="2277">
        <v>15465</v>
      </c>
      <c r="E267" s="3256">
        <f t="shared" si="9"/>
        <v>2.1196513470681522E-2</v>
      </c>
      <c r="F267" s="201"/>
    </row>
    <row r="268" spans="1:6">
      <c r="A268" s="99">
        <f t="shared" si="6"/>
        <v>2017.07</v>
      </c>
      <c r="B268" s="1149">
        <v>31.302409676112099</v>
      </c>
      <c r="C268" s="2276">
        <f t="shared" si="8"/>
        <v>1.7994728304947527E-2</v>
      </c>
      <c r="D268" s="2277">
        <v>15419</v>
      </c>
      <c r="E268" s="3256">
        <f t="shared" si="9"/>
        <v>-2.9744584545748909E-3</v>
      </c>
      <c r="F268" s="201"/>
    </row>
    <row r="269" spans="1:6">
      <c r="A269" s="99">
        <f t="shared" si="6"/>
        <v>2017.08</v>
      </c>
      <c r="B269" s="1149">
        <v>31.833910034602077</v>
      </c>
      <c r="C269" s="2276">
        <f t="shared" si="8"/>
        <v>1.6979534930040341E-2</v>
      </c>
      <c r="D269" s="2277">
        <v>16184</v>
      </c>
      <c r="E269" s="3256">
        <f t="shared" si="9"/>
        <v>4.961411245865488E-2</v>
      </c>
      <c r="F269" s="201"/>
    </row>
    <row r="270" spans="1:6">
      <c r="A270" s="99">
        <f t="shared" si="6"/>
        <v>2017.09</v>
      </c>
      <c r="B270" s="1149">
        <v>32.151875058449455</v>
      </c>
      <c r="C270" s="2276">
        <f t="shared" si="8"/>
        <v>9.9882491186840117E-3</v>
      </c>
      <c r="D270" s="2277">
        <v>16367</v>
      </c>
      <c r="E270" s="3256">
        <f t="shared" si="9"/>
        <v>1.130746416213535E-2</v>
      </c>
      <c r="F270" s="201"/>
    </row>
    <row r="271" spans="1:6">
      <c r="A271" s="99">
        <f t="shared" si="6"/>
        <v>2017.1</v>
      </c>
      <c r="B271" s="1149">
        <v>32.762866672901275</v>
      </c>
      <c r="C271" s="2276">
        <f t="shared" si="8"/>
        <v>1.9003296490207378E-2</v>
      </c>
      <c r="D271" s="2277">
        <v>16874</v>
      </c>
      <c r="E271" s="3256">
        <f t="shared" si="9"/>
        <v>3.0976965845909366E-2</v>
      </c>
      <c r="F271" s="201"/>
    </row>
    <row r="272" spans="1:6">
      <c r="A272" s="99">
        <f t="shared" si="6"/>
        <v>2017.11</v>
      </c>
      <c r="B272" s="1149">
        <v>33.288132423080519</v>
      </c>
      <c r="C272" s="2276">
        <f t="shared" si="8"/>
        <v>1.6032350142721086E-2</v>
      </c>
      <c r="D272" s="2277">
        <v>16774</v>
      </c>
      <c r="E272" s="3256">
        <f t="shared" si="9"/>
        <v>-5.9262771127177594E-3</v>
      </c>
      <c r="F272" s="201"/>
    </row>
    <row r="273" spans="1:5">
      <c r="A273" s="99">
        <f t="shared" si="6"/>
        <v>2017.12</v>
      </c>
      <c r="B273" s="1149">
        <v>34.001995074659433</v>
      </c>
      <c r="C273" s="2276">
        <f t="shared" si="8"/>
        <v>2.1444959498056804E-2</v>
      </c>
      <c r="D273" s="2277">
        <v>16736</v>
      </c>
      <c r="E273" s="3256">
        <f t="shared" si="9"/>
        <v>-2.2654107547395164E-3</v>
      </c>
    </row>
    <row r="274" spans="1:5">
      <c r="A274" s="99">
        <f t="shared" si="6"/>
        <v>2018.01</v>
      </c>
      <c r="B274" s="1149">
        <v>34.801583590510923</v>
      </c>
      <c r="C274" s="2276">
        <f t="shared" si="8"/>
        <v>2.3515929406371594E-2</v>
      </c>
      <c r="D274" s="2277">
        <v>16934</v>
      </c>
      <c r="E274" s="3256">
        <f t="shared" si="9"/>
        <v>1.1830783938814537E-2</v>
      </c>
    </row>
    <row r="275" spans="1:5">
      <c r="A275" s="99">
        <f t="shared" si="6"/>
        <v>2018.02</v>
      </c>
      <c r="B275" s="1149">
        <v>35.679104710246577</v>
      </c>
      <c r="C275" s="2276">
        <f t="shared" si="8"/>
        <v>2.5214976710856263E-2</v>
      </c>
      <c r="D275" s="2277">
        <v>17461</v>
      </c>
      <c r="E275" s="3256">
        <f t="shared" si="9"/>
        <v>3.1120822014881311E-2</v>
      </c>
    </row>
    <row r="276" spans="1:5">
      <c r="A276" s="99">
        <f t="shared" si="6"/>
        <v>2018.03</v>
      </c>
      <c r="B276" s="1149">
        <v>36.441285576233675</v>
      </c>
      <c r="C276" s="2276">
        <f t="shared" si="8"/>
        <v>2.1362107378445794E-2</v>
      </c>
      <c r="D276" s="2277">
        <v>17657</v>
      </c>
      <c r="E276" s="3256">
        <f t="shared" si="9"/>
        <v>1.1225015749384282E-2</v>
      </c>
    </row>
    <row r="277" spans="1:5">
      <c r="A277" s="99">
        <f t="shared" si="6"/>
        <v>2018.04</v>
      </c>
      <c r="B277" s="1149">
        <v>37.005517628354994</v>
      </c>
      <c r="C277" s="2276">
        <f t="shared" si="8"/>
        <v>1.5483319076133206E-2</v>
      </c>
      <c r="D277" s="2277">
        <v>17538</v>
      </c>
      <c r="E277" s="3256">
        <f t="shared" si="9"/>
        <v>-6.7395367276433804E-3</v>
      </c>
    </row>
    <row r="278" spans="1:5">
      <c r="A278" s="99">
        <f t="shared" si="6"/>
        <v>2018.05</v>
      </c>
      <c r="B278" s="1149">
        <v>37.828485925371737</v>
      </c>
      <c r="C278" s="2276">
        <f t="shared" si="8"/>
        <v>2.2239070002527228E-2</v>
      </c>
      <c r="D278" s="2277">
        <v>18392</v>
      </c>
      <c r="E278" s="3256">
        <f t="shared" si="9"/>
        <v>4.8694263884137223E-2</v>
      </c>
    </row>
    <row r="279" spans="1:5">
      <c r="A279" s="99">
        <f t="shared" si="6"/>
        <v>2018.06</v>
      </c>
      <c r="B279" s="1149">
        <v>39.19074784126687</v>
      </c>
      <c r="C279" s="2276">
        <f t="shared" si="8"/>
        <v>3.6011536876802586E-2</v>
      </c>
      <c r="D279" s="2277">
        <v>19355</v>
      </c>
      <c r="E279" s="3256">
        <f t="shared" si="9"/>
        <v>5.2359721618094879E-2</v>
      </c>
    </row>
    <row r="280" spans="1:5">
      <c r="A280" s="99">
        <f t="shared" si="6"/>
        <v>2018.07</v>
      </c>
      <c r="B280" s="1149">
        <v>40.523395367686028</v>
      </c>
      <c r="C280" s="2276">
        <f t="shared" si="8"/>
        <v>3.4004136175628474E-2</v>
      </c>
      <c r="D280" s="2277">
        <v>20400</v>
      </c>
      <c r="E280" s="3256">
        <f t="shared" si="9"/>
        <v>5.3991216739860404E-2</v>
      </c>
    </row>
    <row r="281" spans="1:5">
      <c r="A281" s="99">
        <f t="shared" si="6"/>
        <v>2018.08</v>
      </c>
      <c r="B281" s="1149">
        <v>42.184918482496336</v>
      </c>
      <c r="C281" s="2276">
        <f t="shared" ref="C281:C291" si="10">B281/B280-1</f>
        <v>4.100157698372997E-2</v>
      </c>
      <c r="D281" s="2277">
        <v>20748</v>
      </c>
      <c r="E281" s="3256">
        <f t="shared" si="9"/>
        <v>1.7058823529411793E-2</v>
      </c>
    </row>
    <row r="282" spans="1:5">
      <c r="A282" s="99">
        <f t="shared" si="6"/>
        <v>2018.09</v>
      </c>
      <c r="B282" s="1149">
        <v>44.420025561894072</v>
      </c>
      <c r="C282" s="2276">
        <f t="shared" si="10"/>
        <v>5.2983558100868189E-2</v>
      </c>
      <c r="D282" s="2277">
        <v>22455</v>
      </c>
      <c r="E282" s="3256">
        <f t="shared" si="9"/>
        <v>8.2272990167727045E-2</v>
      </c>
    </row>
    <row r="283" spans="1:5">
      <c r="A283" s="99">
        <f t="shared" si="6"/>
        <v>2018.1</v>
      </c>
      <c r="B283" s="1149">
        <v>47.085320614732382</v>
      </c>
      <c r="C283" s="2276">
        <f t="shared" si="10"/>
        <v>6.0002105337029432E-2</v>
      </c>
      <c r="D283" s="2277">
        <v>24777</v>
      </c>
      <c r="E283" s="3256">
        <f t="shared" si="9"/>
        <v>0.10340681362725457</v>
      </c>
    </row>
    <row r="284" spans="1:5">
      <c r="A284" s="99">
        <f t="shared" si="6"/>
        <v>2018.11</v>
      </c>
      <c r="B284" s="1149">
        <v>48.262102933383211</v>
      </c>
      <c r="C284" s="2276">
        <f t="shared" si="10"/>
        <v>2.4992551888510128E-2</v>
      </c>
      <c r="D284" s="2277">
        <v>26136</v>
      </c>
      <c r="E284" s="3256">
        <f t="shared" si="9"/>
        <v>5.4849255357791504E-2</v>
      </c>
    </row>
    <row r="285" spans="1:5">
      <c r="A285" s="99">
        <f t="shared" si="6"/>
        <v>2018.12</v>
      </c>
      <c r="B285" s="1149">
        <v>49.323544998285477</v>
      </c>
      <c r="C285" s="2276">
        <f t="shared" si="10"/>
        <v>2.1993282521637791E-2</v>
      </c>
      <c r="D285" s="2277">
        <v>26268</v>
      </c>
      <c r="E285" s="3256">
        <f t="shared" si="9"/>
        <v>5.050505050504972E-3</v>
      </c>
    </row>
    <row r="286" spans="1:5">
      <c r="A286" s="99">
        <f t="shared" si="6"/>
        <v>2019.01</v>
      </c>
      <c r="B286" s="1149">
        <v>50.508120577324732</v>
      </c>
      <c r="C286" s="2276">
        <f t="shared" si="10"/>
        <v>2.4016432295781431E-2</v>
      </c>
      <c r="D286" s="2277">
        <v>27094</v>
      </c>
      <c r="E286" s="3256">
        <f t="shared" si="9"/>
        <v>3.1445104309425931E-2</v>
      </c>
    </row>
    <row r="287" spans="1:5">
      <c r="A287" s="99">
        <f t="shared" si="6"/>
        <v>2019.02</v>
      </c>
      <c r="B287" s="1149">
        <v>52.528133670002177</v>
      </c>
      <c r="C287" s="2276">
        <f t="shared" si="10"/>
        <v>3.9993828112945273E-2</v>
      </c>
      <c r="D287" s="2277">
        <v>28199</v>
      </c>
      <c r="E287" s="3256">
        <f t="shared" si="9"/>
        <v>4.0783937403115145E-2</v>
      </c>
    </row>
    <row r="288" spans="1:5">
      <c r="A288" s="99">
        <f t="shared" si="6"/>
        <v>2019.03</v>
      </c>
      <c r="B288" s="1149">
        <v>54.314348951027149</v>
      </c>
      <c r="C288" s="2276">
        <f t="shared" si="10"/>
        <v>3.4004925669861574E-2</v>
      </c>
      <c r="D288" s="2277">
        <v>29290</v>
      </c>
      <c r="E288" s="3256">
        <f t="shared" si="9"/>
        <v>3.8689315223944032E-2</v>
      </c>
    </row>
    <row r="289" spans="1:5">
      <c r="A289" s="99">
        <f t="shared" si="6"/>
        <v>2019.04</v>
      </c>
      <c r="B289" s="1149">
        <v>55.78104055612706</v>
      </c>
      <c r="C289" s="2276">
        <f t="shared" si="10"/>
        <v>2.7003759290613161E-2</v>
      </c>
      <c r="D289" s="2277">
        <v>30252</v>
      </c>
      <c r="E289" s="3256">
        <f t="shared" si="9"/>
        <v>3.2843974052577662E-2</v>
      </c>
    </row>
    <row r="290" spans="1:5">
      <c r="A290" s="99">
        <f t="shared" si="6"/>
        <v>2019.05</v>
      </c>
      <c r="B290" s="1149">
        <v>57.844695906979638</v>
      </c>
      <c r="C290" s="2276">
        <f t="shared" si="10"/>
        <v>3.6995640996982049E-2</v>
      </c>
      <c r="D290" s="2277">
        <v>31015</v>
      </c>
      <c r="E290" s="3256">
        <f t="shared" si="9"/>
        <v>2.5221472960465396E-2</v>
      </c>
    </row>
    <row r="291" spans="1:5">
      <c r="A291" s="99">
        <f t="shared" si="6"/>
        <v>2019.06</v>
      </c>
      <c r="B291" s="1149">
        <v>59.348795161943947</v>
      </c>
      <c r="C291" s="2276">
        <f t="shared" si="10"/>
        <v>2.6002371200689822E-2</v>
      </c>
      <c r="D291" s="2277">
        <v>31751</v>
      </c>
      <c r="E291" s="3256">
        <f t="shared" si="9"/>
        <v>2.3730453006609808E-2</v>
      </c>
    </row>
    <row r="292" spans="1:5">
      <c r="A292" s="99">
        <f t="shared" si="6"/>
        <v>2019.07</v>
      </c>
      <c r="B292" s="1149">
        <v>60.773403160946415</v>
      </c>
      <c r="C292" s="2276">
        <f t="shared" ref="C292:C301" si="11">B292/B291-1</f>
        <v>2.4003991911127454E-2</v>
      </c>
      <c r="D292" s="2277">
        <v>32778</v>
      </c>
      <c r="E292" s="3256">
        <f t="shared" si="9"/>
        <v>3.2345437938962496E-2</v>
      </c>
    </row>
    <row r="293" spans="1:5">
      <c r="A293" s="99">
        <f t="shared" si="6"/>
        <v>2019.08</v>
      </c>
      <c r="B293" s="1149">
        <v>63.628853767262072</v>
      </c>
      <c r="C293" s="2276">
        <f t="shared" si="11"/>
        <v>4.6985201713215741E-2</v>
      </c>
      <c r="D293" s="2277">
        <v>33876</v>
      </c>
      <c r="E293" s="3256">
        <f t="shared" si="9"/>
        <v>3.349807797913229E-2</v>
      </c>
    </row>
    <row r="294" spans="1:5">
      <c r="A294" s="99">
        <f t="shared" ref="A294:A357" si="12">A282+1</f>
        <v>2019.09</v>
      </c>
      <c r="B294" s="1149">
        <v>67.447551357585951</v>
      </c>
      <c r="C294" s="2276">
        <f t="shared" si="11"/>
        <v>6.0015187516840873E-2</v>
      </c>
      <c r="D294" s="2277">
        <v>35186</v>
      </c>
      <c r="E294" s="3256">
        <f t="shared" si="9"/>
        <v>3.8670445152910515E-2</v>
      </c>
    </row>
    <row r="295" spans="1:5">
      <c r="A295" s="99">
        <f t="shared" si="12"/>
        <v>2019.1</v>
      </c>
      <c r="B295" s="1149">
        <v>69.94295333395678</v>
      </c>
      <c r="C295" s="2276">
        <f t="shared" si="11"/>
        <v>3.6997665981096661E-2</v>
      </c>
      <c r="D295" s="2277">
        <v>36452</v>
      </c>
      <c r="E295" s="3256">
        <f t="shared" si="9"/>
        <v>3.5980219405445268E-2</v>
      </c>
    </row>
    <row r="296" spans="1:5">
      <c r="A296" s="99">
        <f t="shared" si="12"/>
        <v>2019.11</v>
      </c>
      <c r="B296" s="1149">
        <v>73.649427974687484</v>
      </c>
      <c r="C296" s="2276">
        <f t="shared" si="11"/>
        <v>5.2992824352631862E-2</v>
      </c>
      <c r="D296" s="2277">
        <v>38517</v>
      </c>
      <c r="E296" s="3256">
        <f t="shared" si="9"/>
        <v>5.6649840886645375E-2</v>
      </c>
    </row>
    <row r="297" spans="1:5">
      <c r="A297" s="99">
        <f t="shared" si="12"/>
        <v>2019.12</v>
      </c>
      <c r="B297" s="1149">
        <v>76.816608996539784</v>
      </c>
      <c r="C297" s="2276">
        <f t="shared" si="11"/>
        <v>4.3003470752560613E-2</v>
      </c>
      <c r="D297" s="2277">
        <v>40046</v>
      </c>
      <c r="E297" s="3256">
        <f t="shared" si="9"/>
        <v>3.9696757276008077E-2</v>
      </c>
    </row>
    <row r="298" spans="1:5">
      <c r="A298" s="99">
        <f t="shared" si="12"/>
        <v>2020.01</v>
      </c>
      <c r="B298" s="1149">
        <v>78.813242308051983</v>
      </c>
      <c r="C298" s="2276">
        <f t="shared" si="11"/>
        <v>2.5992208424640673E-2</v>
      </c>
      <c r="D298" s="2277">
        <v>41395</v>
      </c>
      <c r="E298" s="3256">
        <f t="shared" si="9"/>
        <v>3.3686260800079859E-2</v>
      </c>
    </row>
    <row r="299" spans="1:5">
      <c r="A299" s="99">
        <f t="shared" si="12"/>
        <v>2020.02</v>
      </c>
      <c r="B299" s="1149">
        <v>80.231615698743724</v>
      </c>
      <c r="C299" s="2276">
        <f t="shared" si="11"/>
        <v>1.7996637990705278E-2</v>
      </c>
      <c r="D299" s="2277">
        <v>42868</v>
      </c>
      <c r="E299" s="3256">
        <f t="shared" si="9"/>
        <v>3.5584007730402156E-2</v>
      </c>
    </row>
    <row r="300" spans="1:5">
      <c r="A300" s="99">
        <f t="shared" si="12"/>
        <v>2020.03</v>
      </c>
      <c r="B300" s="1149">
        <v>81.837027338757437</v>
      </c>
      <c r="C300" s="2276">
        <f t="shared" si="11"/>
        <v>2.0009713453132516E-2</v>
      </c>
      <c r="D300" s="2277">
        <v>44274</v>
      </c>
      <c r="E300" s="3256">
        <f t="shared" si="9"/>
        <v>3.2798357749370233E-2</v>
      </c>
    </row>
    <row r="301" spans="1:5">
      <c r="A301" s="99">
        <f t="shared" si="12"/>
        <v>2020.04</v>
      </c>
      <c r="B301" s="1149">
        <v>82.818978147697862</v>
      </c>
      <c r="C301" s="2276">
        <f t="shared" si="11"/>
        <v>1.1998857251690254E-2</v>
      </c>
      <c r="D301" s="2277">
        <v>44780</v>
      </c>
      <c r="E301" s="3256">
        <f t="shared" si="9"/>
        <v>1.1428829561367815E-2</v>
      </c>
    </row>
    <row r="302" spans="1:5">
      <c r="A302" s="99">
        <f t="shared" si="12"/>
        <v>2020.05</v>
      </c>
      <c r="B302" s="1149">
        <v>83.564013840830455</v>
      </c>
      <c r="C302" s="2276">
        <f t="shared" ref="C302:C309" si="13">B302/B301-1</f>
        <v>8.9959537028325709E-3</v>
      </c>
      <c r="D302" s="2277">
        <v>45483</v>
      </c>
      <c r="E302" s="3256">
        <f t="shared" si="9"/>
        <v>1.5698972755694429E-2</v>
      </c>
    </row>
    <row r="303" spans="1:5">
      <c r="A303" s="99">
        <f t="shared" si="12"/>
        <v>2020.06</v>
      </c>
      <c r="B303" s="1149">
        <v>84.985504535677549</v>
      </c>
      <c r="C303" s="2276">
        <f t="shared" si="13"/>
        <v>1.7010799619495254E-2</v>
      </c>
      <c r="D303" s="2277">
        <v>46168</v>
      </c>
      <c r="E303" s="3256">
        <f t="shared" si="9"/>
        <v>1.5060572081876833E-2</v>
      </c>
    </row>
    <row r="304" spans="1:5">
      <c r="A304" s="99">
        <f t="shared" si="12"/>
        <v>2020.07</v>
      </c>
      <c r="B304" s="1149">
        <v>86.684435300352263</v>
      </c>
      <c r="C304" s="2276">
        <f t="shared" si="13"/>
        <v>1.9990829894543927E-2</v>
      </c>
      <c r="D304" s="2277">
        <v>46662</v>
      </c>
      <c r="E304" s="3256">
        <f t="shared" si="9"/>
        <v>1.0700051984058323E-2</v>
      </c>
    </row>
    <row r="305" spans="1:5">
      <c r="A305" s="99">
        <f t="shared" si="12"/>
        <v>2020.08</v>
      </c>
      <c r="B305" s="1149">
        <v>88.765235824059346</v>
      </c>
      <c r="C305" s="2276">
        <f t="shared" si="13"/>
        <v>2.4004315382540442E-2</v>
      </c>
      <c r="D305" s="2277">
        <v>47212</v>
      </c>
      <c r="E305" s="3256">
        <f t="shared" si="9"/>
        <v>1.1786892975011787E-2</v>
      </c>
    </row>
    <row r="306" spans="1:5">
      <c r="A306" s="99">
        <f t="shared" si="12"/>
        <v>2020.09</v>
      </c>
      <c r="B306" s="1149">
        <v>91.162442719536145</v>
      </c>
      <c r="C306" s="2276">
        <f t="shared" si="13"/>
        <v>2.7006145741878873E-2</v>
      </c>
      <c r="D306" s="2277">
        <v>48588</v>
      </c>
      <c r="E306" s="3256">
        <f t="shared" si="9"/>
        <v>2.9145132593408452E-2</v>
      </c>
    </row>
    <row r="307" spans="1:5">
      <c r="A307" s="99">
        <f t="shared" si="12"/>
        <v>2020.1</v>
      </c>
      <c r="B307" s="1149">
        <v>94.443405343059325</v>
      </c>
      <c r="C307" s="2276">
        <f t="shared" si="13"/>
        <v>3.5990288606209786E-2</v>
      </c>
      <c r="D307" s="2277">
        <v>50953</v>
      </c>
      <c r="E307" s="3256">
        <f t="shared" si="9"/>
        <v>4.8674569852638516E-2</v>
      </c>
    </row>
    <row r="308" spans="1:5">
      <c r="A308" s="99">
        <f t="shared" si="12"/>
        <v>2020.11</v>
      </c>
      <c r="B308" s="1149">
        <v>97.181957043548735</v>
      </c>
      <c r="C308" s="2276">
        <f t="shared" si="13"/>
        <v>2.899674879936609E-2</v>
      </c>
      <c r="D308" s="2277">
        <v>53550</v>
      </c>
      <c r="E308" s="3256">
        <f t="shared" si="9"/>
        <v>5.0968539634565158E-2</v>
      </c>
    </row>
    <row r="309" spans="1:5">
      <c r="A309" s="99">
        <f t="shared" si="12"/>
        <v>2020.12</v>
      </c>
      <c r="B309" s="2278">
        <v>100</v>
      </c>
      <c r="C309" s="2276">
        <f t="shared" si="13"/>
        <v>2.8997594226142676E-2</v>
      </c>
      <c r="D309" s="2277">
        <v>56402</v>
      </c>
      <c r="E309" s="3256">
        <f t="shared" si="9"/>
        <v>5.3258636788048541E-2</v>
      </c>
    </row>
    <row r="310" spans="1:5">
      <c r="A310" s="99">
        <f t="shared" si="12"/>
        <v>2021.01</v>
      </c>
      <c r="B310" s="2278">
        <v>104.2</v>
      </c>
      <c r="C310" s="2276">
        <f t="shared" ref="C310:C369" si="14">B310/B309-1</f>
        <v>4.2000000000000037E-2</v>
      </c>
      <c r="D310" s="2277">
        <v>59971</v>
      </c>
      <c r="E310" s="3256">
        <f t="shared" ref="E310:E369" si="15">D310/D309-1</f>
        <v>6.3277897946881323E-2</v>
      </c>
    </row>
    <row r="311" spans="1:5">
      <c r="A311" s="99">
        <f t="shared" si="12"/>
        <v>2021.02</v>
      </c>
      <c r="B311" s="2278">
        <v>107.2</v>
      </c>
      <c r="C311" s="2276">
        <f t="shared" si="14"/>
        <v>2.8790786948176494E-2</v>
      </c>
      <c r="D311" s="2277">
        <v>61385</v>
      </c>
      <c r="E311" s="3256">
        <f t="shared" si="15"/>
        <v>2.3578062730319704E-2</v>
      </c>
    </row>
    <row r="312" spans="1:5">
      <c r="A312" s="99">
        <f t="shared" si="12"/>
        <v>2021.03</v>
      </c>
      <c r="B312" s="2278">
        <v>111.1</v>
      </c>
      <c r="C312" s="2276">
        <f t="shared" si="14"/>
        <v>3.6380597014925353E-2</v>
      </c>
      <c r="D312" s="2277">
        <v>63781</v>
      </c>
      <c r="E312" s="3256">
        <f t="shared" si="15"/>
        <v>3.9032336890119756E-2</v>
      </c>
    </row>
    <row r="313" spans="1:5">
      <c r="A313" s="99">
        <f t="shared" si="12"/>
        <v>2021.04</v>
      </c>
      <c r="B313" s="2278">
        <v>116.9</v>
      </c>
      <c r="C313" s="2276">
        <f t="shared" si="14"/>
        <v>5.2205220522052231E-2</v>
      </c>
      <c r="D313" s="2277">
        <v>66016</v>
      </c>
      <c r="E313" s="3256">
        <f t="shared" si="15"/>
        <v>3.5041783603267485E-2</v>
      </c>
    </row>
    <row r="314" spans="1:5">
      <c r="A314" s="99">
        <f t="shared" si="12"/>
        <v>2021.05</v>
      </c>
      <c r="B314" s="2278">
        <v>120.6</v>
      </c>
      <c r="C314" s="2276">
        <f t="shared" si="14"/>
        <v>3.1650983746791983E-2</v>
      </c>
      <c r="D314" s="2277">
        <v>68307</v>
      </c>
      <c r="E314" s="3256">
        <f t="shared" si="15"/>
        <v>3.4703708191953453E-2</v>
      </c>
    </row>
    <row r="315" spans="1:5">
      <c r="A315" s="99">
        <f t="shared" si="12"/>
        <v>2021.06</v>
      </c>
      <c r="B315" s="2278">
        <v>125.4</v>
      </c>
      <c r="C315" s="2276">
        <f t="shared" si="14"/>
        <v>3.9800995024875663E-2</v>
      </c>
      <c r="D315" s="2277">
        <v>71529</v>
      </c>
      <c r="E315" s="3256">
        <f t="shared" si="15"/>
        <v>4.7169396987131629E-2</v>
      </c>
    </row>
    <row r="316" spans="1:5">
      <c r="A316" s="99">
        <f t="shared" si="12"/>
        <v>2021.07</v>
      </c>
      <c r="B316" s="2278">
        <v>129</v>
      </c>
      <c r="C316" s="2276">
        <f t="shared" si="14"/>
        <v>2.8708133971291794E-2</v>
      </c>
      <c r="D316" s="2277">
        <v>72935</v>
      </c>
      <c r="E316" s="3256">
        <f t="shared" si="15"/>
        <v>1.9656363153406353E-2</v>
      </c>
    </row>
    <row r="317" spans="1:5">
      <c r="A317" s="99">
        <f t="shared" si="12"/>
        <v>2021.08</v>
      </c>
      <c r="B317" s="2278">
        <v>132.69999999999999</v>
      </c>
      <c r="C317" s="2276">
        <f t="shared" si="14"/>
        <v>2.8682170542635665E-2</v>
      </c>
      <c r="D317" s="2277">
        <v>75074</v>
      </c>
      <c r="E317" s="3256">
        <f t="shared" si="15"/>
        <v>2.932748337560831E-2</v>
      </c>
    </row>
    <row r="318" spans="1:5">
      <c r="A318" s="99">
        <f t="shared" si="12"/>
        <v>2021.09</v>
      </c>
      <c r="B318" s="2278">
        <v>136.30000000000001</v>
      </c>
      <c r="C318" s="2276">
        <f t="shared" si="14"/>
        <v>2.7128862094951245E-2</v>
      </c>
      <c r="D318" s="2277">
        <v>77098</v>
      </c>
      <c r="E318" s="3256">
        <f t="shared" si="15"/>
        <v>2.696006606814616E-2</v>
      </c>
    </row>
    <row r="319" spans="1:5">
      <c r="A319" s="99">
        <f t="shared" si="12"/>
        <v>2021.1</v>
      </c>
      <c r="B319" s="2278">
        <v>139.6</v>
      </c>
      <c r="C319" s="2276">
        <f t="shared" si="14"/>
        <v>2.4211298606016118E-2</v>
      </c>
      <c r="D319" s="2277">
        <v>79623</v>
      </c>
      <c r="E319" s="3256">
        <f t="shared" si="15"/>
        <v>3.2750525305455414E-2</v>
      </c>
    </row>
    <row r="320" spans="1:5">
      <c r="A320" s="99">
        <f t="shared" si="12"/>
        <v>2021.11</v>
      </c>
      <c r="B320" s="2278">
        <v>143.19999999999999</v>
      </c>
      <c r="C320" s="2276">
        <f t="shared" si="14"/>
        <v>2.5787965616045794E-2</v>
      </c>
      <c r="D320" s="2277">
        <v>82157</v>
      </c>
      <c r="E320" s="3256">
        <f t="shared" si="15"/>
        <v>3.1824975195609229E-2</v>
      </c>
    </row>
    <row r="321" spans="1:6">
      <c r="A321" s="99">
        <f t="shared" si="12"/>
        <v>2021.12</v>
      </c>
      <c r="B321" s="2278">
        <v>148.1</v>
      </c>
      <c r="C321" s="2276">
        <f t="shared" si="14"/>
        <v>3.4217877094972149E-2</v>
      </c>
      <c r="D321" s="2277">
        <v>84248</v>
      </c>
      <c r="E321" s="3256">
        <f t="shared" si="15"/>
        <v>2.5451270129142944E-2</v>
      </c>
      <c r="F321" s="201"/>
    </row>
    <row r="322" spans="1:6">
      <c r="A322" s="99">
        <f t="shared" si="12"/>
        <v>2022.01</v>
      </c>
      <c r="B322" s="2278">
        <v>153</v>
      </c>
      <c r="C322" s="2276">
        <f t="shared" si="14"/>
        <v>3.3085752869682628E-2</v>
      </c>
      <c r="D322" s="2277">
        <v>89131</v>
      </c>
      <c r="E322" s="3256">
        <f t="shared" si="15"/>
        <v>5.7959832874370898E-2</v>
      </c>
      <c r="F322" s="201"/>
    </row>
    <row r="323" spans="1:6">
      <c r="A323" s="99">
        <f t="shared" si="12"/>
        <v>2022.02</v>
      </c>
      <c r="B323" s="2278">
        <v>161.1</v>
      </c>
      <c r="C323" s="2276">
        <f t="shared" si="14"/>
        <v>5.2941176470588269E-2</v>
      </c>
      <c r="D323" s="2277">
        <v>95441</v>
      </c>
      <c r="E323" s="3256">
        <f>D323/D322-1</f>
        <v>7.0794673009390685E-2</v>
      </c>
      <c r="F323" s="201"/>
    </row>
    <row r="324" spans="1:6">
      <c r="A324" s="99">
        <f t="shared" si="12"/>
        <v>2022.03</v>
      </c>
      <c r="B324" s="2278">
        <v>169.7</v>
      </c>
      <c r="C324" s="2276">
        <f t="shared" si="14"/>
        <v>5.3382991930478019E-2</v>
      </c>
      <c r="D324" s="2277">
        <v>100749</v>
      </c>
      <c r="E324" s="3256">
        <f t="shared" si="15"/>
        <v>5.5615511153487507E-2</v>
      </c>
      <c r="F324" s="201"/>
    </row>
    <row r="325" spans="1:6">
      <c r="A325" s="99">
        <f t="shared" si="12"/>
        <v>2022.04</v>
      </c>
      <c r="B325" s="2278">
        <v>176.3</v>
      </c>
      <c r="C325" s="2276">
        <f t="shared" si="14"/>
        <v>3.8892162639952987E-2</v>
      </c>
      <c r="D325" s="2277">
        <v>106340</v>
      </c>
      <c r="E325" s="3256">
        <f t="shared" si="15"/>
        <v>5.5494347338435057E-2</v>
      </c>
      <c r="F325" s="201"/>
    </row>
    <row r="326" spans="1:6">
      <c r="A326" s="99">
        <f t="shared" si="12"/>
        <v>2022.05</v>
      </c>
      <c r="B326" s="2278">
        <v>186.5</v>
      </c>
      <c r="C326" s="2276">
        <f t="shared" si="14"/>
        <v>5.7855927396483153E-2</v>
      </c>
      <c r="D326" s="2277">
        <v>112480</v>
      </c>
      <c r="E326" s="3256">
        <f t="shared" si="15"/>
        <v>5.7739326687981984E-2</v>
      </c>
      <c r="F326" s="201"/>
    </row>
    <row r="327" spans="1:6">
      <c r="A327" s="99">
        <f t="shared" si="12"/>
        <v>2022.06</v>
      </c>
      <c r="B327" s="2278">
        <v>196.4</v>
      </c>
      <c r="C327" s="2276">
        <f t="shared" si="14"/>
        <v>5.3083109919570992E-2</v>
      </c>
      <c r="D327" s="2277">
        <v>117202</v>
      </c>
      <c r="E327" s="3256">
        <f t="shared" si="15"/>
        <v>4.1980796586059688E-2</v>
      </c>
      <c r="F327" s="201"/>
    </row>
    <row r="328" spans="1:6">
      <c r="A328" s="99">
        <f t="shared" si="12"/>
        <v>2022.07</v>
      </c>
      <c r="B328" s="2278">
        <v>208.5</v>
      </c>
      <c r="C328" s="2276">
        <f t="shared" si="14"/>
        <v>6.1608961303462273E-2</v>
      </c>
      <c r="D328" s="2277">
        <v>125993</v>
      </c>
      <c r="E328" s="3256">
        <f t="shared" si="15"/>
        <v>7.5007252435965288E-2</v>
      </c>
      <c r="F328" s="201"/>
    </row>
    <row r="329" spans="1:6">
      <c r="A329" s="99">
        <f t="shared" si="12"/>
        <v>2022.08</v>
      </c>
      <c r="B329" s="2278">
        <v>219.6</v>
      </c>
      <c r="C329" s="2276">
        <f t="shared" si="14"/>
        <v>5.3237410071942382E-2</v>
      </c>
      <c r="D329" s="2277">
        <v>133656</v>
      </c>
      <c r="E329" s="3256">
        <f t="shared" si="15"/>
        <v>6.0820839252974324E-2</v>
      </c>
      <c r="F329" s="1983"/>
    </row>
    <row r="330" spans="1:6">
      <c r="A330" s="99">
        <f t="shared" si="12"/>
        <v>2022.09</v>
      </c>
      <c r="B330" s="2278">
        <v>236.1</v>
      </c>
      <c r="C330" s="2276">
        <f t="shared" si="14"/>
        <v>7.5136612021857951E-2</v>
      </c>
      <c r="D330" s="2277">
        <v>145880</v>
      </c>
      <c r="E330" s="3256">
        <f t="shared" si="15"/>
        <v>9.1458670018555122E-2</v>
      </c>
      <c r="F330" s="1983"/>
    </row>
    <row r="331" spans="1:6">
      <c r="A331" s="99">
        <f t="shared" si="12"/>
        <v>2022.1</v>
      </c>
      <c r="B331" s="2278">
        <v>251.9</v>
      </c>
      <c r="C331" s="2276">
        <f t="shared" si="14"/>
        <v>6.6920796272765815E-2</v>
      </c>
      <c r="D331" s="2277">
        <v>154143</v>
      </c>
      <c r="E331" s="3256">
        <f t="shared" si="15"/>
        <v>5.6642445845900724E-2</v>
      </c>
      <c r="F331" s="1983"/>
    </row>
    <row r="332" spans="1:6">
      <c r="A332" s="99">
        <f t="shared" si="12"/>
        <v>2022.11</v>
      </c>
      <c r="B332" s="2278">
        <v>262.5</v>
      </c>
      <c r="C332" s="2276">
        <f t="shared" si="14"/>
        <v>4.2080190551806229E-2</v>
      </c>
      <c r="D332" s="2277">
        <v>160568</v>
      </c>
      <c r="E332" s="3256">
        <f t="shared" si="15"/>
        <v>4.1682074437373151E-2</v>
      </c>
      <c r="F332" s="1983"/>
    </row>
    <row r="333" spans="1:6">
      <c r="A333" s="99">
        <f t="shared" si="12"/>
        <v>2022.12</v>
      </c>
      <c r="B333" s="2278">
        <v>275.10000000000002</v>
      </c>
      <c r="C333" s="2276">
        <f t="shared" si="14"/>
        <v>4.8000000000000043E-2</v>
      </c>
      <c r="D333" s="2277">
        <v>166153</v>
      </c>
      <c r="E333" s="3256">
        <f t="shared" si="15"/>
        <v>3.4782771162373605E-2</v>
      </c>
      <c r="F333" s="1983"/>
    </row>
    <row r="334" spans="1:6">
      <c r="A334" s="99">
        <f t="shared" si="12"/>
        <v>2023.01</v>
      </c>
      <c r="B334" s="2278">
        <v>293</v>
      </c>
      <c r="C334" s="2276">
        <f t="shared" si="14"/>
        <v>6.5067248273354972E-2</v>
      </c>
      <c r="D334" s="2277">
        <v>177443</v>
      </c>
      <c r="E334" s="3256">
        <f t="shared" si="15"/>
        <v>6.7949420112787706E-2</v>
      </c>
      <c r="F334" s="1983"/>
    </row>
    <row r="335" spans="1:6">
      <c r="A335" s="99">
        <f t="shared" si="12"/>
        <v>2023.02</v>
      </c>
      <c r="B335" s="2278">
        <v>311.10000000000002</v>
      </c>
      <c r="C335" s="2276">
        <f t="shared" si="14"/>
        <v>6.1774744027303763E-2</v>
      </c>
      <c r="D335" s="2277">
        <v>189542</v>
      </c>
      <c r="E335" s="3256">
        <f t="shared" si="15"/>
        <v>6.8185276398618155E-2</v>
      </c>
      <c r="F335" s="1983"/>
    </row>
    <row r="336" spans="1:6">
      <c r="A336" s="99">
        <f t="shared" si="12"/>
        <v>2023.03</v>
      </c>
      <c r="B336" s="2278">
        <v>336.3</v>
      </c>
      <c r="C336" s="2276">
        <f t="shared" si="14"/>
        <v>8.1002892960462924E-2</v>
      </c>
      <c r="D336" s="2277">
        <v>203402</v>
      </c>
      <c r="E336" s="3256">
        <f t="shared" si="15"/>
        <v>7.3123634867206189E-2</v>
      </c>
      <c r="F336" s="1983"/>
    </row>
    <row r="337" spans="1:6">
      <c r="A337" s="99">
        <f t="shared" si="12"/>
        <v>2023.04</v>
      </c>
      <c r="B337" s="2278">
        <v>363.6</v>
      </c>
      <c r="C337" s="2276">
        <f t="shared" si="14"/>
        <v>8.1177520071364917E-2</v>
      </c>
      <c r="D337" s="2277">
        <v>222648</v>
      </c>
      <c r="E337" s="3256">
        <f t="shared" si="15"/>
        <v>9.4620505206438388E-2</v>
      </c>
      <c r="F337" s="1983"/>
    </row>
    <row r="338" spans="1:6">
      <c r="A338" s="99">
        <f t="shared" si="12"/>
        <v>2023.05</v>
      </c>
      <c r="B338" s="2278">
        <v>388.3</v>
      </c>
      <c r="C338" s="2276">
        <f t="shared" si="14"/>
        <v>6.7931793179317967E-2</v>
      </c>
      <c r="D338" s="2277">
        <v>238688</v>
      </c>
      <c r="E338" s="3256">
        <f t="shared" si="15"/>
        <v>7.20419675900974E-2</v>
      </c>
      <c r="F338" s="1983"/>
    </row>
    <row r="339" spans="1:6">
      <c r="A339" s="99">
        <f t="shared" si="12"/>
        <v>2023.06</v>
      </c>
      <c r="B339" s="2278">
        <v>412.2</v>
      </c>
      <c r="C339" s="2276">
        <f t="shared" si="14"/>
        <v>6.1550347669327765E-2</v>
      </c>
      <c r="D339" s="2277">
        <v>252889</v>
      </c>
      <c r="E339" s="3256">
        <f t="shared" si="15"/>
        <v>5.9496078562810029E-2</v>
      </c>
      <c r="F339" s="1983"/>
    </row>
    <row r="340" spans="1:6">
      <c r="A340" s="99">
        <f t="shared" si="12"/>
        <v>2023.07</v>
      </c>
      <c r="B340" s="2278">
        <v>437.3</v>
      </c>
      <c r="C340" s="2276">
        <f t="shared" si="14"/>
        <v>6.0892770499757498E-2</v>
      </c>
      <c r="D340" s="2277">
        <v>266154</v>
      </c>
      <c r="E340" s="3256">
        <f t="shared" si="15"/>
        <v>5.2453843385833254E-2</v>
      </c>
      <c r="F340" s="1983"/>
    </row>
    <row r="341" spans="1:6">
      <c r="A341" s="99">
        <f t="shared" si="12"/>
        <v>2023.08</v>
      </c>
      <c r="B341" s="2278">
        <v>482.5</v>
      </c>
      <c r="C341" s="2276">
        <f t="shared" si="14"/>
        <v>0.10336153670249248</v>
      </c>
      <c r="D341" s="2277">
        <v>304398</v>
      </c>
      <c r="E341" s="3256">
        <f t="shared" si="15"/>
        <v>0.14369124642124476</v>
      </c>
      <c r="F341" s="201"/>
    </row>
    <row r="342" spans="1:6">
      <c r="A342" s="99">
        <f t="shared" si="12"/>
        <v>2023.09</v>
      </c>
      <c r="B342" s="2278">
        <v>538.1</v>
      </c>
      <c r="C342" s="2276">
        <f t="shared" si="14"/>
        <v>0.11523316062176181</v>
      </c>
      <c r="D342" s="2277">
        <v>341259</v>
      </c>
      <c r="E342" s="3256">
        <f t="shared" si="15"/>
        <v>0.12109475095105759</v>
      </c>
      <c r="F342" s="201"/>
    </row>
    <row r="343" spans="1:6">
      <c r="A343" s="99">
        <f t="shared" si="12"/>
        <v>2023.1</v>
      </c>
      <c r="B343" s="2278">
        <v>581.9</v>
      </c>
      <c r="C343" s="2276">
        <f t="shared" si="14"/>
        <v>8.139750975655069E-2</v>
      </c>
      <c r="D343" s="2277">
        <v>369439</v>
      </c>
      <c r="E343" s="3256">
        <f t="shared" si="15"/>
        <v>8.2576576734972651E-2</v>
      </c>
      <c r="F343" s="201"/>
    </row>
    <row r="344" spans="1:6">
      <c r="A344" s="99">
        <f t="shared" si="12"/>
        <v>2023.11</v>
      </c>
      <c r="B344" s="2278">
        <v>649.5</v>
      </c>
      <c r="C344" s="2276">
        <f t="shared" si="14"/>
        <v>0.11617116343014278</v>
      </c>
      <c r="D344" s="2277">
        <v>410089</v>
      </c>
      <c r="E344" s="3256">
        <f t="shared" si="15"/>
        <v>0.11003169670771085</v>
      </c>
      <c r="F344" s="201"/>
    </row>
    <row r="345" spans="1:6">
      <c r="A345" s="99">
        <f t="shared" si="12"/>
        <v>2023.12</v>
      </c>
      <c r="B345" s="2278">
        <v>819</v>
      </c>
      <c r="C345" s="2276">
        <f t="shared" si="14"/>
        <v>0.26096997690531176</v>
      </c>
      <c r="D345" s="2277">
        <v>560822</v>
      </c>
      <c r="E345" s="3256">
        <f t="shared" si="15"/>
        <v>0.3675616756362643</v>
      </c>
      <c r="F345" s="201"/>
    </row>
    <row r="346" spans="1:6">
      <c r="A346" s="99">
        <f t="shared" si="12"/>
        <v>2024.01</v>
      </c>
      <c r="B346" s="2278">
        <v>1005.2</v>
      </c>
      <c r="C346" s="2276">
        <f t="shared" si="14"/>
        <v>0.22735042735042743</v>
      </c>
      <c r="D346" s="2277">
        <v>652138</v>
      </c>
      <c r="E346" s="3256">
        <f t="shared" si="15"/>
        <v>0.16282528146185427</v>
      </c>
      <c r="F346" s="201"/>
    </row>
    <row r="347" spans="1:6">
      <c r="A347" s="99">
        <f t="shared" si="12"/>
        <v>2024.02</v>
      </c>
      <c r="B347" s="2278">
        <v>1151.4000000000001</v>
      </c>
      <c r="C347" s="2276">
        <f t="shared" si="14"/>
        <v>0.14544369279745317</v>
      </c>
      <c r="D347" s="2277">
        <v>747764</v>
      </c>
      <c r="E347" s="3256">
        <f t="shared" si="15"/>
        <v>0.14663460801241457</v>
      </c>
      <c r="F347" s="201"/>
    </row>
    <row r="348" spans="1:6">
      <c r="A348" s="99">
        <f t="shared" si="12"/>
        <v>2024.03</v>
      </c>
      <c r="B348" s="2278">
        <v>1306.3</v>
      </c>
      <c r="C348" s="2276">
        <f t="shared" si="14"/>
        <v>0.13453187424005542</v>
      </c>
      <c r="D348" s="2277">
        <v>857312</v>
      </c>
      <c r="E348" s="3256">
        <f t="shared" si="15"/>
        <v>0.14650076762186992</v>
      </c>
      <c r="F348" s="201"/>
    </row>
    <row r="349" spans="1:6">
      <c r="A349" s="99">
        <f t="shared" si="12"/>
        <v>2024.04</v>
      </c>
      <c r="B349" s="2278">
        <v>1422.9</v>
      </c>
      <c r="C349" s="2276">
        <f t="shared" si="14"/>
        <v>8.925974125392333E-2</v>
      </c>
      <c r="D349" s="2277">
        <v>933326</v>
      </c>
      <c r="E349" s="3256">
        <f t="shared" si="15"/>
        <v>8.8665503340674023E-2</v>
      </c>
      <c r="F349" s="201"/>
    </row>
    <row r="350" spans="1:6">
      <c r="A350" s="99">
        <f t="shared" si="12"/>
        <v>2024.05</v>
      </c>
      <c r="B350" s="2278">
        <v>1507.5</v>
      </c>
      <c r="C350" s="2276">
        <f t="shared" si="14"/>
        <v>5.9456040480708294E-2</v>
      </c>
      <c r="D350" s="2277">
        <v>973465</v>
      </c>
      <c r="E350" s="3256">
        <f t="shared" si="15"/>
        <v>4.3006409336073359E-2</v>
      </c>
      <c r="F350" s="201"/>
    </row>
    <row r="351" spans="1:6">
      <c r="A351" s="99">
        <f t="shared" si="12"/>
        <v>2024.06</v>
      </c>
      <c r="B351" s="2278">
        <v>1576</v>
      </c>
      <c r="C351" s="2276">
        <f t="shared" si="14"/>
        <v>4.5439469320066372E-2</v>
      </c>
      <c r="D351" s="2277">
        <v>1014569</v>
      </c>
      <c r="E351" s="3256">
        <f t="shared" si="15"/>
        <v>4.2224425120574338E-2</v>
      </c>
      <c r="F351" s="201"/>
    </row>
    <row r="352" spans="1:6">
      <c r="A352" s="99">
        <f t="shared" si="12"/>
        <v>2024.07</v>
      </c>
      <c r="B352" s="2278">
        <v>1641.6</v>
      </c>
      <c r="C352" s="2276">
        <f t="shared" si="14"/>
        <v>4.1624365482233472E-2</v>
      </c>
      <c r="D352" s="2277">
        <v>1056747</v>
      </c>
      <c r="E352" s="3256">
        <f t="shared" si="15"/>
        <v>4.1572332685110513E-2</v>
      </c>
      <c r="F352" s="201"/>
    </row>
    <row r="353" spans="1:5">
      <c r="A353" s="99">
        <f t="shared" si="12"/>
        <v>2024.08</v>
      </c>
      <c r="B353" s="2278">
        <v>1713.7</v>
      </c>
      <c r="C353" s="2276">
        <f t="shared" si="14"/>
        <v>4.3920565302144388E-2</v>
      </c>
      <c r="D353" s="2277">
        <v>1101520</v>
      </c>
      <c r="E353" s="3256">
        <f t="shared" si="15"/>
        <v>4.2368703199535895E-2</v>
      </c>
    </row>
    <row r="354" spans="1:5">
      <c r="A354" s="99">
        <f t="shared" si="12"/>
        <v>2024.09</v>
      </c>
      <c r="B354" s="2278">
        <v>1767.6</v>
      </c>
      <c r="C354" s="2276">
        <f t="shared" si="14"/>
        <v>3.1452412907743366E-2</v>
      </c>
      <c r="D354" s="2277">
        <v>1124466</v>
      </c>
      <c r="E354" s="3256">
        <f t="shared" si="15"/>
        <v>2.0831215048296992E-2</v>
      </c>
    </row>
    <row r="355" spans="1:5">
      <c r="A355" s="99">
        <f t="shared" si="12"/>
        <v>2024.1</v>
      </c>
      <c r="B355" s="2278">
        <v>1809.6</v>
      </c>
      <c r="C355" s="2276">
        <f t="shared" si="14"/>
        <v>2.3761031907671315E-2</v>
      </c>
      <c r="D355" s="2277">
        <v>1140676</v>
      </c>
      <c r="E355" s="3256">
        <f t="shared" si="15"/>
        <v>1.4415731556134181E-2</v>
      </c>
    </row>
    <row r="356" spans="1:5">
      <c r="A356" s="99">
        <f t="shared" si="12"/>
        <v>2024.11</v>
      </c>
      <c r="B356" s="2278">
        <v>1859.2</v>
      </c>
      <c r="C356" s="2276">
        <f t="shared" si="14"/>
        <v>2.7409372236958607E-2</v>
      </c>
      <c r="D356" s="2277">
        <v>1174867</v>
      </c>
      <c r="E356" s="3256">
        <f t="shared" si="15"/>
        <v>2.9974331010733879E-2</v>
      </c>
    </row>
    <row r="357" spans="1:5">
      <c r="A357" s="99">
        <f t="shared" si="12"/>
        <v>2024.12</v>
      </c>
      <c r="B357" s="2278">
        <v>1907.6</v>
      </c>
      <c r="C357" s="2276">
        <f t="shared" si="14"/>
        <v>2.6032702237521521E-2</v>
      </c>
      <c r="D357" s="2277">
        <v>1199476</v>
      </c>
      <c r="E357" s="3256">
        <f t="shared" si="15"/>
        <v>2.0946200718889862E-2</v>
      </c>
    </row>
    <row r="358" spans="1:5">
      <c r="A358" s="99">
        <f t="shared" ref="A358:A369" si="16">A346+1</f>
        <v>2025.01</v>
      </c>
      <c r="B358" s="2278">
        <v>1950.7</v>
      </c>
      <c r="C358" s="2276">
        <f t="shared" si="14"/>
        <v>2.2593835185573674E-2</v>
      </c>
      <c r="D358" s="2277">
        <v>1216491</v>
      </c>
      <c r="E358" s="3256">
        <f t="shared" si="15"/>
        <v>1.4185360940944136E-2</v>
      </c>
    </row>
    <row r="359" spans="1:5">
      <c r="A359" s="99">
        <f t="shared" si="16"/>
        <v>2025.02</v>
      </c>
      <c r="B359" s="2278">
        <v>1997</v>
      </c>
      <c r="C359" s="2276">
        <f t="shared" si="14"/>
        <v>2.373506946224424E-2</v>
      </c>
      <c r="D359" s="2277">
        <v>1229856</v>
      </c>
      <c r="E359" s="3256">
        <f t="shared" si="15"/>
        <v>1.0986517779416394E-2</v>
      </c>
    </row>
    <row r="360" spans="1:5">
      <c r="A360" s="99">
        <f t="shared" si="16"/>
        <v>2025.03</v>
      </c>
      <c r="B360" s="2278">
        <v>2055.8000000000002</v>
      </c>
      <c r="C360" s="2276">
        <f t="shared" si="14"/>
        <v>2.9444166249374071E-2</v>
      </c>
      <c r="D360" s="2277">
        <v>1267593</v>
      </c>
      <c r="E360" s="3256">
        <f t="shared" si="15"/>
        <v>3.0684080087424848E-2</v>
      </c>
    </row>
    <row r="361" spans="1:5">
      <c r="A361" s="99">
        <f t="shared" si="16"/>
        <v>2025.04</v>
      </c>
      <c r="B361" s="2278">
        <v>2106.5</v>
      </c>
      <c r="C361" s="2276">
        <f t="shared" si="14"/>
        <v>2.4661932094561578E-2</v>
      </c>
      <c r="D361" s="2277">
        <v>1309954</v>
      </c>
      <c r="E361" s="3256">
        <f t="shared" si="15"/>
        <v>3.3418455292826721E-2</v>
      </c>
    </row>
    <row r="362" spans="1:5">
      <c r="A362" s="99">
        <f t="shared" si="16"/>
        <v>2025.05</v>
      </c>
      <c r="B362" s="2278">
        <v>2139.5</v>
      </c>
      <c r="C362" s="2276">
        <f t="shared" si="14"/>
        <v>1.5665796344647598E-2</v>
      </c>
      <c r="D362" s="2277">
        <v>1310975</v>
      </c>
      <c r="E362" s="3256">
        <f t="shared" si="15"/>
        <v>7.7941668180714352E-4</v>
      </c>
    </row>
    <row r="363" spans="1:5">
      <c r="A363" s="99">
        <f t="shared" si="16"/>
        <v>2025.06</v>
      </c>
      <c r="B363" s="2278" t="e">
        <v>#N/A</v>
      </c>
      <c r="C363" s="2276" t="e">
        <f t="shared" si="14"/>
        <v>#N/A</v>
      </c>
      <c r="D363" s="2279" t="e">
        <v>#N/A</v>
      </c>
      <c r="E363" s="3256" t="e">
        <f t="shared" si="15"/>
        <v>#N/A</v>
      </c>
    </row>
    <row r="364" spans="1:5">
      <c r="A364" s="99">
        <f t="shared" si="16"/>
        <v>2025.07</v>
      </c>
      <c r="B364" s="2278" t="e">
        <v>#N/A</v>
      </c>
      <c r="C364" s="2276" t="e">
        <f t="shared" si="14"/>
        <v>#N/A</v>
      </c>
      <c r="D364" s="2279" t="e">
        <v>#N/A</v>
      </c>
      <c r="E364" s="3256" t="e">
        <f t="shared" si="15"/>
        <v>#N/A</v>
      </c>
    </row>
    <row r="365" spans="1:5">
      <c r="A365" s="99">
        <f t="shared" si="16"/>
        <v>2025.08</v>
      </c>
      <c r="B365" s="2278" t="e">
        <v>#N/A</v>
      </c>
      <c r="C365" s="2276" t="e">
        <f t="shared" si="14"/>
        <v>#N/A</v>
      </c>
      <c r="D365" s="2279" t="e">
        <v>#N/A</v>
      </c>
      <c r="E365" s="3256" t="e">
        <f t="shared" si="15"/>
        <v>#N/A</v>
      </c>
    </row>
    <row r="366" spans="1:5">
      <c r="A366" s="99">
        <f t="shared" si="16"/>
        <v>2025.09</v>
      </c>
      <c r="B366" s="2278" t="e">
        <v>#N/A</v>
      </c>
      <c r="C366" s="2276" t="e">
        <f t="shared" si="14"/>
        <v>#N/A</v>
      </c>
      <c r="D366" s="2279" t="e">
        <v>#N/A</v>
      </c>
      <c r="E366" s="3256" t="e">
        <f t="shared" si="15"/>
        <v>#N/A</v>
      </c>
    </row>
    <row r="367" spans="1:5">
      <c r="A367" s="99">
        <f t="shared" si="16"/>
        <v>2025.1</v>
      </c>
      <c r="B367" s="2278" t="e">
        <v>#N/A</v>
      </c>
      <c r="C367" s="2276" t="e">
        <f t="shared" si="14"/>
        <v>#N/A</v>
      </c>
      <c r="D367" s="2279" t="e">
        <v>#N/A</v>
      </c>
      <c r="E367" s="3256" t="e">
        <f t="shared" si="15"/>
        <v>#N/A</v>
      </c>
    </row>
    <row r="368" spans="1:5">
      <c r="A368" s="99">
        <f t="shared" si="16"/>
        <v>2025.11</v>
      </c>
      <c r="B368" s="2278" t="e">
        <v>#N/A</v>
      </c>
      <c r="C368" s="2276" t="e">
        <f t="shared" si="14"/>
        <v>#N/A</v>
      </c>
      <c r="D368" s="2279" t="e">
        <v>#N/A</v>
      </c>
      <c r="E368" s="3256" t="e">
        <f t="shared" si="15"/>
        <v>#N/A</v>
      </c>
    </row>
    <row r="369" spans="1:5">
      <c r="A369" s="99">
        <f t="shared" si="16"/>
        <v>2025.12</v>
      </c>
      <c r="B369" s="2278" t="e">
        <v>#N/A</v>
      </c>
      <c r="C369" s="2276" t="e">
        <f t="shared" si="14"/>
        <v>#N/A</v>
      </c>
      <c r="D369" s="2279" t="e">
        <v>#N/A</v>
      </c>
      <c r="E369" s="3256" t="e">
        <f t="shared" si="15"/>
        <v>#N/A</v>
      </c>
    </row>
    <row r="370" spans="1:5">
      <c r="A370" s="1340">
        <v>2026.01</v>
      </c>
      <c r="B370" s="2278" t="e">
        <v>#N/A</v>
      </c>
      <c r="C370" s="2276" t="e">
        <f t="shared" ref="C370:C429" si="17">B370/B369-1</f>
        <v>#N/A</v>
      </c>
      <c r="D370" s="2279" t="e">
        <v>#N/A</v>
      </c>
      <c r="E370" s="3256" t="e">
        <f t="shared" ref="E370:E429" si="18">D370/D369-1</f>
        <v>#N/A</v>
      </c>
    </row>
    <row r="371" spans="1:5">
      <c r="A371" s="1340">
        <v>2026.02</v>
      </c>
      <c r="B371" s="2278" t="e">
        <v>#N/A</v>
      </c>
      <c r="C371" s="2276" t="e">
        <f t="shared" si="17"/>
        <v>#N/A</v>
      </c>
      <c r="D371" s="2279" t="e">
        <v>#N/A</v>
      </c>
      <c r="E371" s="3256" t="e">
        <f t="shared" si="18"/>
        <v>#N/A</v>
      </c>
    </row>
    <row r="372" spans="1:5">
      <c r="A372" s="1340">
        <v>2026.03</v>
      </c>
      <c r="B372" s="2278" t="e">
        <v>#N/A</v>
      </c>
      <c r="C372" s="2276" t="e">
        <f t="shared" si="17"/>
        <v>#N/A</v>
      </c>
      <c r="D372" s="2279" t="e">
        <v>#N/A</v>
      </c>
      <c r="E372" s="3256" t="e">
        <f t="shared" si="18"/>
        <v>#N/A</v>
      </c>
    </row>
    <row r="373" spans="1:5">
      <c r="A373" s="1340">
        <v>2026.04</v>
      </c>
      <c r="B373" s="2278" t="e">
        <v>#N/A</v>
      </c>
      <c r="C373" s="2276" t="e">
        <f t="shared" si="17"/>
        <v>#N/A</v>
      </c>
      <c r="D373" s="2279" t="e">
        <v>#N/A</v>
      </c>
      <c r="E373" s="3256" t="e">
        <f t="shared" si="18"/>
        <v>#N/A</v>
      </c>
    </row>
    <row r="374" spans="1:5">
      <c r="A374" s="1340">
        <v>2026.05</v>
      </c>
      <c r="B374" s="2278" t="e">
        <v>#N/A</v>
      </c>
      <c r="C374" s="2276" t="e">
        <f t="shared" si="17"/>
        <v>#N/A</v>
      </c>
      <c r="D374" s="2279" t="e">
        <v>#N/A</v>
      </c>
      <c r="E374" s="3256" t="e">
        <f t="shared" si="18"/>
        <v>#N/A</v>
      </c>
    </row>
    <row r="375" spans="1:5">
      <c r="A375" s="1340">
        <v>2026.06</v>
      </c>
      <c r="B375" s="2278" t="e">
        <v>#N/A</v>
      </c>
      <c r="C375" s="2276" t="e">
        <f t="shared" si="17"/>
        <v>#N/A</v>
      </c>
      <c r="D375" s="2279" t="e">
        <v>#N/A</v>
      </c>
      <c r="E375" s="3256" t="e">
        <f t="shared" si="18"/>
        <v>#N/A</v>
      </c>
    </row>
    <row r="376" spans="1:5">
      <c r="A376" s="1340">
        <v>2026.07</v>
      </c>
      <c r="B376" s="2278" t="e">
        <v>#N/A</v>
      </c>
      <c r="C376" s="2276" t="e">
        <f t="shared" si="17"/>
        <v>#N/A</v>
      </c>
      <c r="D376" s="2279" t="e">
        <v>#N/A</v>
      </c>
      <c r="E376" s="3256" t="e">
        <f t="shared" si="18"/>
        <v>#N/A</v>
      </c>
    </row>
    <row r="377" spans="1:5">
      <c r="A377" s="1340">
        <v>2026.08</v>
      </c>
      <c r="B377" s="2278" t="e">
        <v>#N/A</v>
      </c>
      <c r="C377" s="2276" t="e">
        <f t="shared" si="17"/>
        <v>#N/A</v>
      </c>
      <c r="D377" s="2279" t="e">
        <v>#N/A</v>
      </c>
      <c r="E377" s="3256" t="e">
        <f t="shared" si="18"/>
        <v>#N/A</v>
      </c>
    </row>
    <row r="378" spans="1:5">
      <c r="A378" s="1340">
        <v>2026.09</v>
      </c>
      <c r="B378" s="2278" t="e">
        <v>#N/A</v>
      </c>
      <c r="C378" s="2276" t="e">
        <f t="shared" si="17"/>
        <v>#N/A</v>
      </c>
      <c r="D378" s="2279" t="e">
        <v>#N/A</v>
      </c>
      <c r="E378" s="3256" t="e">
        <f t="shared" si="18"/>
        <v>#N/A</v>
      </c>
    </row>
    <row r="379" spans="1:5">
      <c r="A379" s="1340">
        <v>2026.1</v>
      </c>
      <c r="B379" s="2278" t="e">
        <v>#N/A</v>
      </c>
      <c r="C379" s="2276" t="e">
        <f t="shared" si="17"/>
        <v>#N/A</v>
      </c>
      <c r="D379" s="2279" t="e">
        <v>#N/A</v>
      </c>
      <c r="E379" s="3256" t="e">
        <f t="shared" si="18"/>
        <v>#N/A</v>
      </c>
    </row>
    <row r="380" spans="1:5">
      <c r="A380" s="1340">
        <v>2026.11</v>
      </c>
      <c r="B380" s="2278" t="e">
        <v>#N/A</v>
      </c>
      <c r="C380" s="2276" t="e">
        <f t="shared" si="17"/>
        <v>#N/A</v>
      </c>
      <c r="D380" s="2279" t="e">
        <v>#N/A</v>
      </c>
      <c r="E380" s="3256" t="e">
        <f t="shared" si="18"/>
        <v>#N/A</v>
      </c>
    </row>
    <row r="381" spans="1:5">
      <c r="A381" s="1340">
        <v>2026.12</v>
      </c>
      <c r="B381" s="2278" t="e">
        <v>#N/A</v>
      </c>
      <c r="C381" s="2276" t="e">
        <f t="shared" si="17"/>
        <v>#N/A</v>
      </c>
      <c r="D381" s="2279" t="e">
        <v>#N/A</v>
      </c>
      <c r="E381" s="3256" t="e">
        <f t="shared" si="18"/>
        <v>#N/A</v>
      </c>
    </row>
    <row r="382" spans="1:5">
      <c r="A382" s="1340">
        <v>2027.01</v>
      </c>
      <c r="B382" s="2278" t="e">
        <v>#N/A</v>
      </c>
      <c r="C382" s="2276" t="e">
        <f t="shared" si="17"/>
        <v>#N/A</v>
      </c>
      <c r="D382" s="2279" t="e">
        <v>#N/A</v>
      </c>
      <c r="E382" s="3256" t="e">
        <f t="shared" si="18"/>
        <v>#N/A</v>
      </c>
    </row>
    <row r="383" spans="1:5">
      <c r="A383" s="1340">
        <v>2027.02</v>
      </c>
      <c r="B383" s="2278" t="e">
        <v>#N/A</v>
      </c>
      <c r="C383" s="2276" t="e">
        <f t="shared" si="17"/>
        <v>#N/A</v>
      </c>
      <c r="D383" s="2279" t="e">
        <v>#N/A</v>
      </c>
      <c r="E383" s="3256" t="e">
        <f t="shared" si="18"/>
        <v>#N/A</v>
      </c>
    </row>
    <row r="384" spans="1:5">
      <c r="A384" s="1340">
        <v>2027.03</v>
      </c>
      <c r="B384" s="2278" t="e">
        <v>#N/A</v>
      </c>
      <c r="C384" s="2276" t="e">
        <f t="shared" si="17"/>
        <v>#N/A</v>
      </c>
      <c r="D384" s="2279" t="e">
        <v>#N/A</v>
      </c>
      <c r="E384" s="3256" t="e">
        <f t="shared" si="18"/>
        <v>#N/A</v>
      </c>
    </row>
    <row r="385" spans="1:5">
      <c r="A385" s="1340">
        <v>2027.04</v>
      </c>
      <c r="B385" s="2278" t="e">
        <v>#N/A</v>
      </c>
      <c r="C385" s="2276" t="e">
        <f t="shared" si="17"/>
        <v>#N/A</v>
      </c>
      <c r="D385" s="2279" t="e">
        <v>#N/A</v>
      </c>
      <c r="E385" s="3256" t="e">
        <f t="shared" si="18"/>
        <v>#N/A</v>
      </c>
    </row>
    <row r="386" spans="1:5">
      <c r="A386" s="1340">
        <v>2027.05</v>
      </c>
      <c r="B386" s="2278" t="e">
        <v>#N/A</v>
      </c>
      <c r="C386" s="2276" t="e">
        <f t="shared" si="17"/>
        <v>#N/A</v>
      </c>
      <c r="D386" s="2279" t="e">
        <v>#N/A</v>
      </c>
      <c r="E386" s="3256" t="e">
        <f t="shared" si="18"/>
        <v>#N/A</v>
      </c>
    </row>
    <row r="387" spans="1:5">
      <c r="A387" s="1340">
        <v>2027.06</v>
      </c>
      <c r="B387" s="2278" t="e">
        <v>#N/A</v>
      </c>
      <c r="C387" s="2276" t="e">
        <f t="shared" si="17"/>
        <v>#N/A</v>
      </c>
      <c r="D387" s="2279" t="e">
        <v>#N/A</v>
      </c>
      <c r="E387" s="3256" t="e">
        <f t="shared" si="18"/>
        <v>#N/A</v>
      </c>
    </row>
    <row r="388" spans="1:5">
      <c r="A388" s="1340">
        <v>2027.07</v>
      </c>
      <c r="B388" s="2278" t="e">
        <v>#N/A</v>
      </c>
      <c r="C388" s="2276" t="e">
        <f t="shared" si="17"/>
        <v>#N/A</v>
      </c>
      <c r="D388" s="2279" t="e">
        <v>#N/A</v>
      </c>
      <c r="E388" s="3256" t="e">
        <f t="shared" si="18"/>
        <v>#N/A</v>
      </c>
    </row>
    <row r="389" spans="1:5">
      <c r="A389" s="1340">
        <v>2027.08</v>
      </c>
      <c r="B389" s="2278" t="e">
        <v>#N/A</v>
      </c>
      <c r="C389" s="2276" t="e">
        <f t="shared" si="17"/>
        <v>#N/A</v>
      </c>
      <c r="D389" s="2279" t="e">
        <v>#N/A</v>
      </c>
      <c r="E389" s="3256" t="e">
        <f t="shared" si="18"/>
        <v>#N/A</v>
      </c>
    </row>
    <row r="390" spans="1:5">
      <c r="A390" s="1340">
        <v>2027.09</v>
      </c>
      <c r="B390" s="2278" t="e">
        <v>#N/A</v>
      </c>
      <c r="C390" s="2276" t="e">
        <f t="shared" si="17"/>
        <v>#N/A</v>
      </c>
      <c r="D390" s="2279" t="e">
        <v>#N/A</v>
      </c>
      <c r="E390" s="3256" t="e">
        <f t="shared" si="18"/>
        <v>#N/A</v>
      </c>
    </row>
    <row r="391" spans="1:5">
      <c r="A391" s="1340">
        <v>2027.1</v>
      </c>
      <c r="B391" s="2278" t="e">
        <v>#N/A</v>
      </c>
      <c r="C391" s="2276" t="e">
        <f t="shared" si="17"/>
        <v>#N/A</v>
      </c>
      <c r="D391" s="2279" t="e">
        <v>#N/A</v>
      </c>
      <c r="E391" s="3256" t="e">
        <f t="shared" si="18"/>
        <v>#N/A</v>
      </c>
    </row>
    <row r="392" spans="1:5">
      <c r="A392" s="1340">
        <v>2027.11</v>
      </c>
      <c r="B392" s="2278" t="e">
        <v>#N/A</v>
      </c>
      <c r="C392" s="2276" t="e">
        <f t="shared" si="17"/>
        <v>#N/A</v>
      </c>
      <c r="D392" s="2279" t="e">
        <v>#N/A</v>
      </c>
      <c r="E392" s="3256" t="e">
        <f t="shared" si="18"/>
        <v>#N/A</v>
      </c>
    </row>
    <row r="393" spans="1:5">
      <c r="A393" s="1340">
        <v>2027.12</v>
      </c>
      <c r="B393" s="2278" t="e">
        <v>#N/A</v>
      </c>
      <c r="C393" s="2276" t="e">
        <f t="shared" si="17"/>
        <v>#N/A</v>
      </c>
      <c r="D393" s="2279" t="e">
        <v>#N/A</v>
      </c>
      <c r="E393" s="3256" t="e">
        <f t="shared" si="18"/>
        <v>#N/A</v>
      </c>
    </row>
    <row r="394" spans="1:5">
      <c r="A394" s="1340">
        <v>2028.01</v>
      </c>
      <c r="B394" s="2278" t="e">
        <v>#N/A</v>
      </c>
      <c r="C394" s="2276" t="e">
        <f t="shared" si="17"/>
        <v>#N/A</v>
      </c>
      <c r="D394" s="2279" t="e">
        <v>#N/A</v>
      </c>
      <c r="E394" s="3256" t="e">
        <f t="shared" si="18"/>
        <v>#N/A</v>
      </c>
    </row>
    <row r="395" spans="1:5">
      <c r="A395" s="1340">
        <v>2028.02</v>
      </c>
      <c r="B395" s="2278" t="e">
        <v>#N/A</v>
      </c>
      <c r="C395" s="2276" t="e">
        <f t="shared" si="17"/>
        <v>#N/A</v>
      </c>
      <c r="D395" s="2279" t="e">
        <v>#N/A</v>
      </c>
      <c r="E395" s="3256" t="e">
        <f t="shared" si="18"/>
        <v>#N/A</v>
      </c>
    </row>
    <row r="396" spans="1:5">
      <c r="A396" s="1340">
        <v>2028.03</v>
      </c>
      <c r="B396" s="2278" t="e">
        <v>#N/A</v>
      </c>
      <c r="C396" s="2276" t="e">
        <f t="shared" si="17"/>
        <v>#N/A</v>
      </c>
      <c r="D396" s="2279" t="e">
        <v>#N/A</v>
      </c>
      <c r="E396" s="3256" t="e">
        <f t="shared" si="18"/>
        <v>#N/A</v>
      </c>
    </row>
    <row r="397" spans="1:5">
      <c r="A397" s="1340">
        <v>2028.04</v>
      </c>
      <c r="B397" s="2278" t="e">
        <v>#N/A</v>
      </c>
      <c r="C397" s="2276" t="e">
        <f t="shared" si="17"/>
        <v>#N/A</v>
      </c>
      <c r="D397" s="2279" t="e">
        <v>#N/A</v>
      </c>
      <c r="E397" s="3256" t="e">
        <f t="shared" si="18"/>
        <v>#N/A</v>
      </c>
    </row>
    <row r="398" spans="1:5">
      <c r="A398" s="1340">
        <v>2028.05</v>
      </c>
      <c r="B398" s="2278" t="e">
        <v>#N/A</v>
      </c>
      <c r="C398" s="2276" t="e">
        <f t="shared" si="17"/>
        <v>#N/A</v>
      </c>
      <c r="D398" s="2279" t="e">
        <v>#N/A</v>
      </c>
      <c r="E398" s="3256" t="e">
        <f t="shared" si="18"/>
        <v>#N/A</v>
      </c>
    </row>
    <row r="399" spans="1:5">
      <c r="A399" s="1340">
        <v>2028.06</v>
      </c>
      <c r="B399" s="2278" t="e">
        <v>#N/A</v>
      </c>
      <c r="C399" s="2276" t="e">
        <f t="shared" si="17"/>
        <v>#N/A</v>
      </c>
      <c r="D399" s="2279" t="e">
        <v>#N/A</v>
      </c>
      <c r="E399" s="3256" t="e">
        <f t="shared" si="18"/>
        <v>#N/A</v>
      </c>
    </row>
    <row r="400" spans="1:5">
      <c r="A400" s="1340">
        <v>2028.07</v>
      </c>
      <c r="B400" s="2278" t="e">
        <v>#N/A</v>
      </c>
      <c r="C400" s="2276" t="e">
        <f t="shared" si="17"/>
        <v>#N/A</v>
      </c>
      <c r="D400" s="2279" t="e">
        <v>#N/A</v>
      </c>
      <c r="E400" s="3256" t="e">
        <f t="shared" si="18"/>
        <v>#N/A</v>
      </c>
    </row>
    <row r="401" spans="1:5">
      <c r="A401" s="1340">
        <v>2028.08</v>
      </c>
      <c r="B401" s="2278" t="e">
        <v>#N/A</v>
      </c>
      <c r="C401" s="2276" t="e">
        <f t="shared" si="17"/>
        <v>#N/A</v>
      </c>
      <c r="D401" s="2279" t="e">
        <v>#N/A</v>
      </c>
      <c r="E401" s="3256" t="e">
        <f t="shared" si="18"/>
        <v>#N/A</v>
      </c>
    </row>
    <row r="402" spans="1:5">
      <c r="A402" s="1340">
        <v>2028.09</v>
      </c>
      <c r="B402" s="2278" t="e">
        <v>#N/A</v>
      </c>
      <c r="C402" s="2276" t="e">
        <f t="shared" si="17"/>
        <v>#N/A</v>
      </c>
      <c r="D402" s="2279" t="e">
        <v>#N/A</v>
      </c>
      <c r="E402" s="3256" t="e">
        <f t="shared" si="18"/>
        <v>#N/A</v>
      </c>
    </row>
    <row r="403" spans="1:5">
      <c r="A403" s="1340">
        <v>2028.1</v>
      </c>
      <c r="B403" s="2278" t="e">
        <v>#N/A</v>
      </c>
      <c r="C403" s="2276" t="e">
        <f t="shared" si="17"/>
        <v>#N/A</v>
      </c>
      <c r="D403" s="2279" t="e">
        <v>#N/A</v>
      </c>
      <c r="E403" s="3256" t="e">
        <f t="shared" si="18"/>
        <v>#N/A</v>
      </c>
    </row>
    <row r="404" spans="1:5">
      <c r="A404" s="1340">
        <v>2028.11</v>
      </c>
      <c r="B404" s="2278" t="e">
        <v>#N/A</v>
      </c>
      <c r="C404" s="2276" t="e">
        <f t="shared" si="17"/>
        <v>#N/A</v>
      </c>
      <c r="D404" s="2279" t="e">
        <v>#N/A</v>
      </c>
      <c r="E404" s="3256" t="e">
        <f t="shared" si="18"/>
        <v>#N/A</v>
      </c>
    </row>
    <row r="405" spans="1:5">
      <c r="A405" s="1340">
        <v>2028.12</v>
      </c>
      <c r="B405" s="2278" t="e">
        <v>#N/A</v>
      </c>
      <c r="C405" s="2276" t="e">
        <f t="shared" si="17"/>
        <v>#N/A</v>
      </c>
      <c r="D405" s="2279" t="e">
        <v>#N/A</v>
      </c>
      <c r="E405" s="3256" t="e">
        <f t="shared" si="18"/>
        <v>#N/A</v>
      </c>
    </row>
    <row r="406" spans="1:5">
      <c r="A406" s="1340">
        <v>2029.01</v>
      </c>
      <c r="B406" s="2278" t="e">
        <v>#N/A</v>
      </c>
      <c r="C406" s="2276" t="e">
        <f t="shared" si="17"/>
        <v>#N/A</v>
      </c>
      <c r="D406" s="2279" t="e">
        <v>#N/A</v>
      </c>
      <c r="E406" s="3256" t="e">
        <f t="shared" si="18"/>
        <v>#N/A</v>
      </c>
    </row>
    <row r="407" spans="1:5">
      <c r="A407" s="1340">
        <v>2029.02</v>
      </c>
      <c r="B407" s="2278" t="e">
        <v>#N/A</v>
      </c>
      <c r="C407" s="2276" t="e">
        <f t="shared" si="17"/>
        <v>#N/A</v>
      </c>
      <c r="D407" s="2279" t="e">
        <v>#N/A</v>
      </c>
      <c r="E407" s="3256" t="e">
        <f t="shared" si="18"/>
        <v>#N/A</v>
      </c>
    </row>
    <row r="408" spans="1:5">
      <c r="A408" s="1340">
        <v>2029.03</v>
      </c>
      <c r="B408" s="2278" t="e">
        <v>#N/A</v>
      </c>
      <c r="C408" s="2276" t="e">
        <f t="shared" si="17"/>
        <v>#N/A</v>
      </c>
      <c r="D408" s="2279" t="e">
        <v>#N/A</v>
      </c>
      <c r="E408" s="3256" t="e">
        <f t="shared" si="18"/>
        <v>#N/A</v>
      </c>
    </row>
    <row r="409" spans="1:5">
      <c r="A409" s="1340">
        <v>2029.04</v>
      </c>
      <c r="B409" s="2278" t="e">
        <v>#N/A</v>
      </c>
      <c r="C409" s="2276" t="e">
        <f t="shared" si="17"/>
        <v>#N/A</v>
      </c>
      <c r="D409" s="2279" t="e">
        <v>#N/A</v>
      </c>
      <c r="E409" s="3256" t="e">
        <f t="shared" si="18"/>
        <v>#N/A</v>
      </c>
    </row>
    <row r="410" spans="1:5">
      <c r="A410" s="1340">
        <v>2029.05</v>
      </c>
      <c r="B410" s="2278" t="e">
        <v>#N/A</v>
      </c>
      <c r="C410" s="2276" t="e">
        <f t="shared" si="17"/>
        <v>#N/A</v>
      </c>
      <c r="D410" s="2279" t="e">
        <v>#N/A</v>
      </c>
      <c r="E410" s="3256" t="e">
        <f t="shared" si="18"/>
        <v>#N/A</v>
      </c>
    </row>
    <row r="411" spans="1:5">
      <c r="A411" s="1340">
        <v>2029.06</v>
      </c>
      <c r="B411" s="2278" t="e">
        <v>#N/A</v>
      </c>
      <c r="C411" s="2276" t="e">
        <f t="shared" si="17"/>
        <v>#N/A</v>
      </c>
      <c r="D411" s="2279" t="e">
        <v>#N/A</v>
      </c>
      <c r="E411" s="3256" t="e">
        <f t="shared" si="18"/>
        <v>#N/A</v>
      </c>
    </row>
    <row r="412" spans="1:5">
      <c r="A412" s="1340">
        <v>2029.07</v>
      </c>
      <c r="B412" s="2278" t="e">
        <v>#N/A</v>
      </c>
      <c r="C412" s="2276" t="e">
        <f t="shared" si="17"/>
        <v>#N/A</v>
      </c>
      <c r="D412" s="2279" t="e">
        <v>#N/A</v>
      </c>
      <c r="E412" s="3256" t="e">
        <f t="shared" si="18"/>
        <v>#N/A</v>
      </c>
    </row>
    <row r="413" spans="1:5">
      <c r="A413" s="1340">
        <v>2029.08</v>
      </c>
      <c r="B413" s="2278" t="e">
        <v>#N/A</v>
      </c>
      <c r="C413" s="2276" t="e">
        <f t="shared" si="17"/>
        <v>#N/A</v>
      </c>
      <c r="D413" s="2279" t="e">
        <v>#N/A</v>
      </c>
      <c r="E413" s="3256" t="e">
        <f t="shared" si="18"/>
        <v>#N/A</v>
      </c>
    </row>
    <row r="414" spans="1:5">
      <c r="A414" s="1340">
        <v>2029.09</v>
      </c>
      <c r="B414" s="2278" t="e">
        <v>#N/A</v>
      </c>
      <c r="C414" s="2276" t="e">
        <f t="shared" si="17"/>
        <v>#N/A</v>
      </c>
      <c r="D414" s="2279" t="e">
        <v>#N/A</v>
      </c>
      <c r="E414" s="3256" t="e">
        <f t="shared" si="18"/>
        <v>#N/A</v>
      </c>
    </row>
    <row r="415" spans="1:5">
      <c r="A415" s="1340">
        <v>2029.1</v>
      </c>
      <c r="B415" s="2278" t="e">
        <v>#N/A</v>
      </c>
      <c r="C415" s="2276" t="e">
        <f t="shared" si="17"/>
        <v>#N/A</v>
      </c>
      <c r="D415" s="2279" t="e">
        <v>#N/A</v>
      </c>
      <c r="E415" s="3256" t="e">
        <f t="shared" si="18"/>
        <v>#N/A</v>
      </c>
    </row>
    <row r="416" spans="1:5">
      <c r="A416" s="1340">
        <v>2029.11</v>
      </c>
      <c r="B416" s="2278" t="e">
        <v>#N/A</v>
      </c>
      <c r="C416" s="2276" t="e">
        <f t="shared" si="17"/>
        <v>#N/A</v>
      </c>
      <c r="D416" s="2279" t="e">
        <v>#N/A</v>
      </c>
      <c r="E416" s="3256" t="e">
        <f t="shared" si="18"/>
        <v>#N/A</v>
      </c>
    </row>
    <row r="417" spans="1:5">
      <c r="A417" s="1340">
        <v>2029.12</v>
      </c>
      <c r="B417" s="2278" t="e">
        <v>#N/A</v>
      </c>
      <c r="C417" s="2276" t="e">
        <f t="shared" si="17"/>
        <v>#N/A</v>
      </c>
      <c r="D417" s="2279" t="e">
        <v>#N/A</v>
      </c>
      <c r="E417" s="3256" t="e">
        <f t="shared" si="18"/>
        <v>#N/A</v>
      </c>
    </row>
    <row r="418" spans="1:5">
      <c r="A418" s="1340">
        <v>2030.01</v>
      </c>
      <c r="B418" s="2278" t="e">
        <v>#N/A</v>
      </c>
      <c r="C418" s="2276" t="e">
        <f t="shared" si="17"/>
        <v>#N/A</v>
      </c>
      <c r="D418" s="2279" t="e">
        <v>#N/A</v>
      </c>
      <c r="E418" s="3256" t="e">
        <f t="shared" si="18"/>
        <v>#N/A</v>
      </c>
    </row>
    <row r="419" spans="1:5">
      <c r="A419" s="1340">
        <v>2030.02</v>
      </c>
      <c r="B419" s="2278" t="e">
        <v>#N/A</v>
      </c>
      <c r="C419" s="2276" t="e">
        <f t="shared" si="17"/>
        <v>#N/A</v>
      </c>
      <c r="D419" s="2279" t="e">
        <v>#N/A</v>
      </c>
      <c r="E419" s="3256" t="e">
        <f t="shared" si="18"/>
        <v>#N/A</v>
      </c>
    </row>
    <row r="420" spans="1:5">
      <c r="A420" s="1340">
        <v>2030.03</v>
      </c>
      <c r="B420" s="2278" t="e">
        <v>#N/A</v>
      </c>
      <c r="C420" s="2276" t="e">
        <f t="shared" si="17"/>
        <v>#N/A</v>
      </c>
      <c r="D420" s="2279" t="e">
        <v>#N/A</v>
      </c>
      <c r="E420" s="3256" t="e">
        <f t="shared" si="18"/>
        <v>#N/A</v>
      </c>
    </row>
    <row r="421" spans="1:5">
      <c r="A421" s="1340">
        <v>2030.04</v>
      </c>
      <c r="B421" s="2278" t="e">
        <v>#N/A</v>
      </c>
      <c r="C421" s="2276" t="e">
        <f t="shared" si="17"/>
        <v>#N/A</v>
      </c>
      <c r="D421" s="2279" t="e">
        <v>#N/A</v>
      </c>
      <c r="E421" s="3256" t="e">
        <f t="shared" si="18"/>
        <v>#N/A</v>
      </c>
    </row>
    <row r="422" spans="1:5">
      <c r="A422" s="1340">
        <v>2030.05</v>
      </c>
      <c r="B422" s="2278" t="e">
        <v>#N/A</v>
      </c>
      <c r="C422" s="2276" t="e">
        <f t="shared" si="17"/>
        <v>#N/A</v>
      </c>
      <c r="D422" s="2279" t="e">
        <v>#N/A</v>
      </c>
      <c r="E422" s="3256" t="e">
        <f t="shared" si="18"/>
        <v>#N/A</v>
      </c>
    </row>
    <row r="423" spans="1:5">
      <c r="A423" s="1340">
        <v>2030.06</v>
      </c>
      <c r="B423" s="2278" t="e">
        <v>#N/A</v>
      </c>
      <c r="C423" s="2276" t="e">
        <f t="shared" si="17"/>
        <v>#N/A</v>
      </c>
      <c r="D423" s="2279" t="e">
        <v>#N/A</v>
      </c>
      <c r="E423" s="3256" t="e">
        <f t="shared" si="18"/>
        <v>#N/A</v>
      </c>
    </row>
    <row r="424" spans="1:5">
      <c r="A424" s="1340">
        <v>2030.07</v>
      </c>
      <c r="B424" s="2278" t="e">
        <v>#N/A</v>
      </c>
      <c r="C424" s="2276" t="e">
        <f t="shared" si="17"/>
        <v>#N/A</v>
      </c>
      <c r="D424" s="2279" t="e">
        <v>#N/A</v>
      </c>
      <c r="E424" s="3256" t="e">
        <f t="shared" si="18"/>
        <v>#N/A</v>
      </c>
    </row>
    <row r="425" spans="1:5">
      <c r="A425" s="1340">
        <v>2030.08</v>
      </c>
      <c r="B425" s="2278" t="e">
        <v>#N/A</v>
      </c>
      <c r="C425" s="2276" t="e">
        <f t="shared" si="17"/>
        <v>#N/A</v>
      </c>
      <c r="D425" s="2279" t="e">
        <v>#N/A</v>
      </c>
      <c r="E425" s="3256" t="e">
        <f t="shared" si="18"/>
        <v>#N/A</v>
      </c>
    </row>
    <row r="426" spans="1:5">
      <c r="A426" s="1340">
        <v>2030.09</v>
      </c>
      <c r="B426" s="2278" t="e">
        <v>#N/A</v>
      </c>
      <c r="C426" s="2276" t="e">
        <f t="shared" si="17"/>
        <v>#N/A</v>
      </c>
      <c r="D426" s="2279" t="e">
        <v>#N/A</v>
      </c>
      <c r="E426" s="3256" t="e">
        <f t="shared" si="18"/>
        <v>#N/A</v>
      </c>
    </row>
    <row r="427" spans="1:5">
      <c r="A427" s="1340">
        <v>2030.1</v>
      </c>
      <c r="B427" s="2278" t="e">
        <v>#N/A</v>
      </c>
      <c r="C427" s="2276" t="e">
        <f t="shared" si="17"/>
        <v>#N/A</v>
      </c>
      <c r="D427" s="2279" t="e">
        <v>#N/A</v>
      </c>
      <c r="E427" s="3256" t="e">
        <f t="shared" si="18"/>
        <v>#N/A</v>
      </c>
    </row>
    <row r="428" spans="1:5">
      <c r="A428" s="1340">
        <v>2030.11</v>
      </c>
      <c r="B428" s="2278" t="e">
        <v>#N/A</v>
      </c>
      <c r="C428" s="2276" t="e">
        <f t="shared" si="17"/>
        <v>#N/A</v>
      </c>
      <c r="D428" s="2279" t="e">
        <v>#N/A</v>
      </c>
      <c r="E428" s="3256" t="e">
        <f t="shared" si="18"/>
        <v>#N/A</v>
      </c>
    </row>
    <row r="429" spans="1:5">
      <c r="A429" s="1340">
        <v>2030.12</v>
      </c>
      <c r="B429" s="2278" t="e">
        <v>#N/A</v>
      </c>
      <c r="C429" s="2276" t="e">
        <f t="shared" si="17"/>
        <v>#N/A</v>
      </c>
      <c r="D429" s="2279" t="e">
        <v>#N/A</v>
      </c>
      <c r="E429" s="3256" t="e">
        <f t="shared" si="18"/>
        <v>#N/A</v>
      </c>
    </row>
  </sheetData>
  <phoneticPr fontId="62" type="noConversion"/>
  <hyperlinks>
    <hyperlink ref="A1:A3" location="Indice!A1" display="ÍNDICE" xr:uid="{00000000-0004-0000-3600-000000000000}"/>
    <hyperlink ref="A5" location="INDICE!A13" display="VOLVER AL INDICE" xr:uid="{00000000-0004-0000-36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39"/>
  <dimension ref="A1:N465"/>
  <sheetViews>
    <sheetView zoomScale="130" zoomScaleNormal="130" workbookViewId="0">
      <pane xSplit="1" ySplit="9" topLeftCell="B388" activePane="bottomRight" state="frozen"/>
      <selection pane="topRight" activeCell="A5" sqref="A5"/>
      <selection pane="bottomLeft" activeCell="A5" sqref="A5"/>
      <selection pane="bottomRight" activeCell="A5" sqref="A5"/>
    </sheetView>
  </sheetViews>
  <sheetFormatPr baseColWidth="10" defaultColWidth="12.5703125" defaultRowHeight="12.75"/>
  <cols>
    <col min="1" max="1" width="10.7109375" style="103" bestFit="1" customWidth="1"/>
    <col min="2" max="2" width="13.28515625" style="103" bestFit="1" customWidth="1"/>
    <col min="3" max="3" width="11.28515625" style="103" bestFit="1" customWidth="1"/>
    <col min="4" max="4" width="12.5703125" style="103" customWidth="1"/>
    <col min="5" max="5" width="15.5703125" style="103" customWidth="1"/>
    <col min="6" max="7" width="15.5703125" style="103" bestFit="1" customWidth="1"/>
    <col min="8" max="9" width="13.5703125" style="103" customWidth="1"/>
    <col min="10" max="10" width="15.5703125" style="103" bestFit="1" customWidth="1"/>
    <col min="11" max="11" width="15.5703125" style="103" customWidth="1"/>
    <col min="12" max="12" width="15.5703125" style="103" bestFit="1" customWidth="1"/>
    <col min="13" max="13" width="16.42578125" style="103" bestFit="1" customWidth="1"/>
    <col min="14" max="14" width="15.5703125" style="103" bestFit="1" customWidth="1"/>
    <col min="15" max="16384" width="12.5703125" style="21"/>
  </cols>
  <sheetData>
    <row r="1" spans="1:14" s="19" customFormat="1" ht="3" customHeight="1">
      <c r="A1" s="34"/>
      <c r="B1" s="2185"/>
      <c r="C1" s="2187"/>
      <c r="D1" s="2187"/>
      <c r="E1" s="2187"/>
      <c r="F1" s="2187"/>
      <c r="G1" s="2280"/>
      <c r="H1" s="2187"/>
      <c r="I1" s="2187"/>
      <c r="J1" s="2187"/>
      <c r="K1" s="2187"/>
      <c r="L1" s="2280"/>
      <c r="M1" s="2187"/>
      <c r="N1" s="2188"/>
    </row>
    <row r="2" spans="1:14" s="19" customFormat="1">
      <c r="A2" s="59" t="s">
        <v>105</v>
      </c>
      <c r="B2" s="1280" t="s">
        <v>1518</v>
      </c>
      <c r="C2" s="2281"/>
      <c r="D2" s="2281"/>
      <c r="E2" s="2191"/>
      <c r="F2" s="2191"/>
      <c r="G2" s="2191" t="s">
        <v>1519</v>
      </c>
      <c r="H2" s="2191"/>
      <c r="I2" s="2191"/>
      <c r="J2" s="2191"/>
      <c r="K2" s="2191"/>
      <c r="L2" s="2191" t="s">
        <v>1520</v>
      </c>
      <c r="M2" s="2191"/>
      <c r="N2" s="2282"/>
    </row>
    <row r="3" spans="1:14" s="19" customFormat="1">
      <c r="A3" s="59" t="s">
        <v>109</v>
      </c>
      <c r="B3" s="1280" t="s">
        <v>132</v>
      </c>
      <c r="C3" s="2283"/>
      <c r="D3" s="2283"/>
      <c r="E3" s="2283"/>
      <c r="F3" s="2283"/>
      <c r="G3" s="2191"/>
      <c r="H3" s="2283"/>
      <c r="I3" s="2283"/>
      <c r="J3" s="2283"/>
      <c r="K3" s="2283"/>
      <c r="L3" s="2191"/>
      <c r="M3" s="2283"/>
      <c r="N3" s="2284"/>
    </row>
    <row r="4" spans="1:14" s="19" customFormat="1" ht="3" hidden="1" customHeight="1">
      <c r="A4" s="104"/>
      <c r="B4" s="2285"/>
      <c r="C4" s="2286"/>
      <c r="D4" s="2286"/>
      <c r="E4" s="2287"/>
      <c r="F4" s="2287"/>
      <c r="G4" s="3226"/>
      <c r="H4" s="2287"/>
      <c r="I4" s="2287"/>
      <c r="J4" s="2287"/>
      <c r="K4" s="2287"/>
      <c r="L4" s="3226"/>
      <c r="M4" s="2287"/>
      <c r="N4" s="2288"/>
    </row>
    <row r="5" spans="1:14" s="19" customFormat="1" ht="22.5">
      <c r="A5" s="2390" t="s">
        <v>137</v>
      </c>
      <c r="B5" s="2666" t="s">
        <v>945</v>
      </c>
      <c r="C5" s="933" t="s">
        <v>1521</v>
      </c>
      <c r="D5" s="2289"/>
      <c r="E5" s="2670"/>
      <c r="F5" s="2671" t="s">
        <v>1522</v>
      </c>
      <c r="G5" s="2668" t="s">
        <v>945</v>
      </c>
      <c r="H5" s="933" t="s">
        <v>1521</v>
      </c>
      <c r="I5" s="2193"/>
      <c r="J5" s="2487"/>
      <c r="K5" s="3347" t="s">
        <v>1522</v>
      </c>
      <c r="L5" s="3257" t="s">
        <v>945</v>
      </c>
      <c r="M5" s="933" t="s">
        <v>1523</v>
      </c>
      <c r="N5" s="2292"/>
    </row>
    <row r="6" spans="1:14" s="19" customFormat="1" ht="33.75">
      <c r="A6" s="105"/>
      <c r="B6" s="2667"/>
      <c r="C6" s="2293" t="s">
        <v>338</v>
      </c>
      <c r="D6" s="2294" t="s">
        <v>1524</v>
      </c>
      <c r="E6" s="2672" t="s">
        <v>1525</v>
      </c>
      <c r="F6" s="2673"/>
      <c r="G6" s="2669"/>
      <c r="H6" s="2293" t="s">
        <v>338</v>
      </c>
      <c r="I6" s="2294" t="s">
        <v>1524</v>
      </c>
      <c r="J6" s="285" t="s">
        <v>1525</v>
      </c>
      <c r="K6" s="2675"/>
      <c r="L6" s="2674"/>
      <c r="M6" s="2295" t="s">
        <v>1524</v>
      </c>
      <c r="N6" s="2296" t="s">
        <v>1525</v>
      </c>
    </row>
    <row r="7" spans="1:14" s="19" customFormat="1" ht="33.75">
      <c r="A7" s="2373" t="s">
        <v>123</v>
      </c>
      <c r="B7" s="2291" t="s">
        <v>1471</v>
      </c>
      <c r="C7" s="2293" t="s">
        <v>1471</v>
      </c>
      <c r="D7" s="2294" t="s">
        <v>1471</v>
      </c>
      <c r="E7" s="2293" t="s">
        <v>1471</v>
      </c>
      <c r="F7" s="2290" t="s">
        <v>1471</v>
      </c>
      <c r="G7" s="2291" t="s">
        <v>1471</v>
      </c>
      <c r="H7" s="2293" t="s">
        <v>1471</v>
      </c>
      <c r="I7" s="2294" t="s">
        <v>1471</v>
      </c>
      <c r="J7" s="2293" t="s">
        <v>1471</v>
      </c>
      <c r="K7" s="2290" t="s">
        <v>1471</v>
      </c>
      <c r="L7" s="2291" t="s">
        <v>1471</v>
      </c>
      <c r="M7" s="2293" t="s">
        <v>1471</v>
      </c>
      <c r="N7" s="2296" t="s">
        <v>1471</v>
      </c>
    </row>
    <row r="8" spans="1:14" s="19" customFormat="1" ht="12.75" customHeight="1" thickBot="1">
      <c r="A8" s="105" t="s">
        <v>141</v>
      </c>
      <c r="B8" s="1012" t="s">
        <v>1526</v>
      </c>
      <c r="C8" s="1008" t="s">
        <v>1527</v>
      </c>
      <c r="D8" s="1007" t="s">
        <v>1528</v>
      </c>
      <c r="E8" s="1008" t="s">
        <v>1529</v>
      </c>
      <c r="F8" s="1011" t="s">
        <v>1530</v>
      </c>
      <c r="G8" s="1012" t="s">
        <v>1531</v>
      </c>
      <c r="H8" s="1008" t="s">
        <v>1532</v>
      </c>
      <c r="I8" s="1007" t="s">
        <v>1533</v>
      </c>
      <c r="J8" s="1008" t="s">
        <v>1534</v>
      </c>
      <c r="K8" s="1011" t="s">
        <v>1535</v>
      </c>
      <c r="L8" s="1012" t="s">
        <v>1536</v>
      </c>
      <c r="M8" s="1008" t="s">
        <v>1537</v>
      </c>
      <c r="N8" s="1015" t="s">
        <v>1538</v>
      </c>
    </row>
    <row r="9" spans="1:14" s="1565" customFormat="1" ht="13.5" hidden="1" thickBot="1">
      <c r="A9" s="72"/>
      <c r="B9" s="1566"/>
      <c r="C9" s="1567"/>
      <c r="D9" s="1568"/>
      <c r="E9" s="1569"/>
      <c r="F9" s="1570"/>
      <c r="G9" s="1571"/>
      <c r="H9" s="1572"/>
      <c r="I9" s="1573"/>
      <c r="J9" s="1574"/>
      <c r="K9" s="1570"/>
      <c r="L9" s="1571"/>
      <c r="M9" s="1572"/>
      <c r="N9" s="1575"/>
    </row>
    <row r="10" spans="1:14" s="1565" customFormat="1" ht="12.75" customHeight="1">
      <c r="A10" s="2676">
        <v>1993.01</v>
      </c>
      <c r="B10" s="2730">
        <v>99.12318844344</v>
      </c>
      <c r="C10" s="2946">
        <v>98.931905672159999</v>
      </c>
      <c r="D10" s="2947">
        <v>98.529109807929999</v>
      </c>
      <c r="E10" s="2946">
        <v>99.038240073850005</v>
      </c>
      <c r="F10" s="2948">
        <v>101.55718045572</v>
      </c>
      <c r="G10" s="2949">
        <v>98.754718882220004</v>
      </c>
      <c r="H10" s="2946">
        <v>98.542647129019997</v>
      </c>
      <c r="I10" s="2947">
        <v>98.529109807940003</v>
      </c>
      <c r="J10" s="2946">
        <v>98.546374641010004</v>
      </c>
      <c r="K10" s="2948">
        <v>101.3759749383</v>
      </c>
      <c r="L10" s="2949">
        <v>98.782117411049995</v>
      </c>
      <c r="M10" s="2946">
        <v>99.509467080799993</v>
      </c>
      <c r="N10" s="2950">
        <v>98.5808000416</v>
      </c>
    </row>
    <row r="11" spans="1:14" s="20" customFormat="1" ht="12.75" customHeight="1">
      <c r="A11" s="483">
        <v>1993.02</v>
      </c>
      <c r="B11" s="2954">
        <v>99.573635159269998</v>
      </c>
      <c r="C11" s="2951">
        <v>99.427701080679995</v>
      </c>
      <c r="D11" s="2952">
        <v>99.039124697470001</v>
      </c>
      <c r="E11" s="2951">
        <v>99.530281670220006</v>
      </c>
      <c r="F11" s="2953">
        <v>101.43058432018999</v>
      </c>
      <c r="G11" s="2954">
        <v>99.215754248140001</v>
      </c>
      <c r="H11" s="2951">
        <v>99.051602842250006</v>
      </c>
      <c r="I11" s="2952">
        <v>99.039124697480005</v>
      </c>
      <c r="J11" s="2951">
        <v>99.055038709209995</v>
      </c>
      <c r="K11" s="2953">
        <v>101.24470369714</v>
      </c>
      <c r="L11" s="2954">
        <v>99.014899569359997</v>
      </c>
      <c r="M11" s="2951">
        <v>98.912335400000003</v>
      </c>
      <c r="N11" s="2955">
        <v>99.043287495000001</v>
      </c>
    </row>
    <row r="12" spans="1:14" s="20" customFormat="1" ht="12.75" customHeight="1">
      <c r="A12" s="483">
        <v>1993.03</v>
      </c>
      <c r="B12" s="2954">
        <v>99.863767761879998</v>
      </c>
      <c r="C12" s="2951">
        <v>99.739755292270004</v>
      </c>
      <c r="D12" s="2952">
        <v>99.095084377730004</v>
      </c>
      <c r="E12" s="2951">
        <v>99.90994248154</v>
      </c>
      <c r="F12" s="2953">
        <v>101.44177376026001</v>
      </c>
      <c r="G12" s="2954">
        <v>99.516875106170005</v>
      </c>
      <c r="H12" s="2951">
        <v>99.376584874200006</v>
      </c>
      <c r="I12" s="2952">
        <v>99.095084377730004</v>
      </c>
      <c r="J12" s="2951">
        <v>99.454096256949995</v>
      </c>
      <c r="K12" s="2953">
        <v>101.25089491125</v>
      </c>
      <c r="L12" s="2954">
        <v>99.134306727910001</v>
      </c>
      <c r="M12" s="2951">
        <v>98.430734258000001</v>
      </c>
      <c r="N12" s="2955">
        <v>99.329042993000002</v>
      </c>
    </row>
    <row r="13" spans="1:14" s="20" customFormat="1" ht="12.75" customHeight="1">
      <c r="A13" s="483">
        <v>1993.04</v>
      </c>
      <c r="B13" s="2954">
        <v>100.38301244042999</v>
      </c>
      <c r="C13" s="2951">
        <v>100.30597723734</v>
      </c>
      <c r="D13" s="2952">
        <v>100.91737817719</v>
      </c>
      <c r="E13" s="2951">
        <v>100.14457301524</v>
      </c>
      <c r="F13" s="2953">
        <v>101.36325267706</v>
      </c>
      <c r="G13" s="2954">
        <v>100.05430160697</v>
      </c>
      <c r="H13" s="2951">
        <v>99.967971581529994</v>
      </c>
      <c r="I13" s="2952">
        <v>100.91737817719</v>
      </c>
      <c r="J13" s="2951">
        <v>99.706551729910004</v>
      </c>
      <c r="K13" s="2953">
        <v>101.12136074425</v>
      </c>
      <c r="L13" s="2954">
        <v>99.65680168438</v>
      </c>
      <c r="M13" s="2951">
        <v>100.1742559609</v>
      </c>
      <c r="N13" s="2955">
        <v>99.513579602700005</v>
      </c>
    </row>
    <row r="14" spans="1:14" s="20" customFormat="1" ht="12.75" customHeight="1">
      <c r="A14" s="483">
        <v>1993.05</v>
      </c>
      <c r="B14" s="2954">
        <v>100.06457488145</v>
      </c>
      <c r="C14" s="2951">
        <v>100.03914893049</v>
      </c>
      <c r="D14" s="2952">
        <v>101.62355412335999</v>
      </c>
      <c r="E14" s="2951">
        <v>99.620880539040002</v>
      </c>
      <c r="F14" s="2953">
        <v>100.38810930711</v>
      </c>
      <c r="G14" s="2954">
        <v>100.17005775336</v>
      </c>
      <c r="H14" s="2951">
        <v>100.17244245325</v>
      </c>
      <c r="I14" s="2952">
        <v>101.62355412335999</v>
      </c>
      <c r="J14" s="2951">
        <v>99.772877715419995</v>
      </c>
      <c r="K14" s="2953">
        <v>100.14058230963001</v>
      </c>
      <c r="L14" s="2954">
        <v>99.986110312850002</v>
      </c>
      <c r="M14" s="2951">
        <v>101.1557616776</v>
      </c>
      <c r="N14" s="2955">
        <v>99.662371751199998</v>
      </c>
    </row>
    <row r="15" spans="1:14" s="20" customFormat="1" ht="12.75" customHeight="1">
      <c r="A15" s="483">
        <v>1993.06</v>
      </c>
      <c r="B15" s="2954">
        <v>100.25446141597</v>
      </c>
      <c r="C15" s="2951">
        <v>100.32491088863</v>
      </c>
      <c r="D15" s="2952">
        <v>102.16131735246</v>
      </c>
      <c r="E15" s="2951">
        <v>99.840116480519995</v>
      </c>
      <c r="F15" s="2953">
        <v>99.358021801609993</v>
      </c>
      <c r="G15" s="2954">
        <v>100.50078162354001</v>
      </c>
      <c r="H15" s="2951">
        <v>100.58010747976</v>
      </c>
      <c r="I15" s="2952">
        <v>102.16131735246</v>
      </c>
      <c r="J15" s="2951">
        <v>100.14472009969001</v>
      </c>
      <c r="K15" s="2953">
        <v>99.520295642299999</v>
      </c>
      <c r="L15" s="2954">
        <v>100.40346482610001</v>
      </c>
      <c r="M15" s="2951">
        <v>101.736760334</v>
      </c>
      <c r="N15" s="2955">
        <v>100.034432494</v>
      </c>
    </row>
    <row r="16" spans="1:14" s="20" customFormat="1" ht="12.75" customHeight="1">
      <c r="A16" s="483">
        <v>1993.07</v>
      </c>
      <c r="B16" s="2954">
        <v>100.35695307877999</v>
      </c>
      <c r="C16" s="2951">
        <v>100.46731137397001</v>
      </c>
      <c r="D16" s="2952">
        <v>101.94348282350001</v>
      </c>
      <c r="E16" s="2951">
        <v>100.07761569481001</v>
      </c>
      <c r="F16" s="2953">
        <v>98.952690649999994</v>
      </c>
      <c r="G16" s="2954">
        <v>100.61346945925</v>
      </c>
      <c r="H16" s="2951">
        <v>100.73437542288001</v>
      </c>
      <c r="I16" s="2952">
        <v>101.94348282350001</v>
      </c>
      <c r="J16" s="2951">
        <v>100.40144675069</v>
      </c>
      <c r="K16" s="2953">
        <v>99.119043706580001</v>
      </c>
      <c r="L16" s="2954">
        <v>100.7</v>
      </c>
      <c r="M16" s="2951">
        <v>102.040341146</v>
      </c>
      <c r="N16" s="2955">
        <v>100.404470765</v>
      </c>
    </row>
    <row r="17" spans="1:14" s="20" customFormat="1" ht="12.75" customHeight="1">
      <c r="A17" s="483">
        <v>1993.08</v>
      </c>
      <c r="B17" s="2954">
        <v>100.79792896099001</v>
      </c>
      <c r="C17" s="2951">
        <v>100.94344013673</v>
      </c>
      <c r="D17" s="2952">
        <v>103.24248917849999</v>
      </c>
      <c r="E17" s="2951">
        <v>100.33651234521</v>
      </c>
      <c r="F17" s="2953">
        <v>98.946361059340006</v>
      </c>
      <c r="G17" s="2954">
        <v>101.06540865383</v>
      </c>
      <c r="H17" s="2951">
        <v>101.22363011545001</v>
      </c>
      <c r="I17" s="2952">
        <v>103.24248917849</v>
      </c>
      <c r="J17" s="2951">
        <v>100.66773568716</v>
      </c>
      <c r="K17" s="2953">
        <v>99.109754691340001</v>
      </c>
      <c r="L17" s="2954">
        <v>101.25961131439</v>
      </c>
      <c r="M17" s="2951">
        <v>103.3343975314</v>
      </c>
      <c r="N17" s="2955">
        <v>100.685347627</v>
      </c>
    </row>
    <row r="18" spans="1:14" s="20" customFormat="1" ht="12.75" customHeight="1">
      <c r="A18" s="483">
        <v>1993.09</v>
      </c>
      <c r="B18" s="2954">
        <v>100.41217035912</v>
      </c>
      <c r="C18" s="2951">
        <v>100.53522878494999</v>
      </c>
      <c r="D18" s="2952">
        <v>100.79067292148</v>
      </c>
      <c r="E18" s="2951">
        <v>100.46779388346</v>
      </c>
      <c r="F18" s="2953">
        <v>98.846304162729993</v>
      </c>
      <c r="G18" s="2954">
        <v>100.5588467413</v>
      </c>
      <c r="H18" s="2951">
        <v>100.68583317882999</v>
      </c>
      <c r="I18" s="2952">
        <v>100.79067292147001</v>
      </c>
      <c r="J18" s="2951">
        <v>100.65696547336999</v>
      </c>
      <c r="K18" s="2953">
        <v>98.989264921049994</v>
      </c>
      <c r="L18" s="2954">
        <v>100.73860648762</v>
      </c>
      <c r="M18" s="2951">
        <v>100.8391242746</v>
      </c>
      <c r="N18" s="2955">
        <v>100.7107849633</v>
      </c>
    </row>
    <row r="19" spans="1:14" s="20" customFormat="1" ht="12.75" customHeight="1">
      <c r="A19" s="483">
        <v>1993.1</v>
      </c>
      <c r="B19" s="2954">
        <v>100.58159824209</v>
      </c>
      <c r="C19" s="2951">
        <v>100.65688728167</v>
      </c>
      <c r="D19" s="2952">
        <v>101.83463868557</v>
      </c>
      <c r="E19" s="2951">
        <v>100.34597174853999</v>
      </c>
      <c r="F19" s="2953">
        <v>99.623577194269998</v>
      </c>
      <c r="G19" s="2954">
        <v>100.73469759037</v>
      </c>
      <c r="H19" s="2951">
        <v>100.81315137052999</v>
      </c>
      <c r="I19" s="2952">
        <v>101.83463868557</v>
      </c>
      <c r="J19" s="2951">
        <v>100.53188403623</v>
      </c>
      <c r="K19" s="2953">
        <v>99.764990671489997</v>
      </c>
      <c r="L19" s="2954">
        <v>100.82929726566</v>
      </c>
      <c r="M19" s="2951">
        <v>101.7209566993</v>
      </c>
      <c r="N19" s="2955">
        <v>100.5825018946</v>
      </c>
    </row>
    <row r="20" spans="1:14" s="20" customFormat="1" ht="12.75" customHeight="1">
      <c r="A20" s="483">
        <v>1993.11</v>
      </c>
      <c r="B20" s="2954">
        <v>99.707218121940002</v>
      </c>
      <c r="C20" s="2951">
        <v>99.729719069279994</v>
      </c>
      <c r="D20" s="2952">
        <v>97.357291305320004</v>
      </c>
      <c r="E20" s="2951">
        <v>100.35601816824</v>
      </c>
      <c r="F20" s="2953">
        <v>99.420903124809996</v>
      </c>
      <c r="G20" s="2954">
        <v>99.835605003539996</v>
      </c>
      <c r="H20" s="2951">
        <v>99.857843208459997</v>
      </c>
      <c r="I20" s="2952">
        <v>97.35729130531</v>
      </c>
      <c r="J20" s="2951">
        <v>100.54637213850999</v>
      </c>
      <c r="K20" s="2953">
        <v>99.560735632990003</v>
      </c>
      <c r="L20" s="2954">
        <v>100.04851062218</v>
      </c>
      <c r="M20" s="2951">
        <v>97.757677720999993</v>
      </c>
      <c r="N20" s="2955">
        <v>100.68257216400001</v>
      </c>
    </row>
    <row r="21" spans="1:14" s="20" customFormat="1" ht="12.75" customHeight="1">
      <c r="A21" s="483">
        <v>1993.12</v>
      </c>
      <c r="B21" s="2954">
        <v>98.881491134650005</v>
      </c>
      <c r="C21" s="2951">
        <v>98.898014251839996</v>
      </c>
      <c r="D21" s="2952">
        <v>93.465856549519998</v>
      </c>
      <c r="E21" s="2951">
        <v>100.33205389934</v>
      </c>
      <c r="F21" s="2953">
        <v>98.671241486919996</v>
      </c>
      <c r="G21" s="2954">
        <v>98.979483331360001</v>
      </c>
      <c r="H21" s="2951">
        <v>98.993810343869995</v>
      </c>
      <c r="I21" s="2952">
        <v>93.465856549519998</v>
      </c>
      <c r="J21" s="2951">
        <v>100.51593676188</v>
      </c>
      <c r="K21" s="2953">
        <v>98.802398133790007</v>
      </c>
      <c r="L21" s="2954">
        <v>99.3871773961</v>
      </c>
      <c r="M21" s="2951">
        <v>94.388187913400003</v>
      </c>
      <c r="N21" s="2955">
        <v>100.77080820568</v>
      </c>
    </row>
    <row r="22" spans="1:14" s="9" customFormat="1" ht="12.75" customHeight="1">
      <c r="A22" s="483">
        <v>1994.01</v>
      </c>
      <c r="B22" s="2954">
        <v>98.4</v>
      </c>
      <c r="C22" s="2951">
        <v>98.39</v>
      </c>
      <c r="D22" s="2952">
        <v>93.64</v>
      </c>
      <c r="E22" s="2951">
        <v>99.65</v>
      </c>
      <c r="F22" s="2953">
        <v>98.52</v>
      </c>
      <c r="G22" s="2954">
        <v>98.72</v>
      </c>
      <c r="H22" s="2951">
        <v>98.72</v>
      </c>
      <c r="I22" s="2952">
        <v>93.64</v>
      </c>
      <c r="J22" s="2951">
        <v>100.12</v>
      </c>
      <c r="K22" s="2953">
        <v>98.66</v>
      </c>
      <c r="L22" s="2954">
        <v>99.35</v>
      </c>
      <c r="M22" s="2951">
        <v>95.18</v>
      </c>
      <c r="N22" s="2955">
        <v>100.5</v>
      </c>
    </row>
    <row r="23" spans="1:14" s="9" customFormat="1" ht="12.75" customHeight="1">
      <c r="A23" s="483">
        <v>1994.02</v>
      </c>
      <c r="B23" s="2954">
        <v>97.78</v>
      </c>
      <c r="C23" s="2951">
        <v>97.68</v>
      </c>
      <c r="D23" s="2952">
        <v>89.91</v>
      </c>
      <c r="E23" s="2951">
        <v>99.73</v>
      </c>
      <c r="F23" s="2953">
        <v>99.01</v>
      </c>
      <c r="G23" s="2954">
        <v>98.08</v>
      </c>
      <c r="H23" s="2951">
        <v>97.99</v>
      </c>
      <c r="I23" s="2952">
        <v>89.91</v>
      </c>
      <c r="J23" s="2951">
        <v>100.22</v>
      </c>
      <c r="K23" s="2953">
        <v>99.15</v>
      </c>
      <c r="L23" s="2954">
        <v>98.51</v>
      </c>
      <c r="M23" s="2951">
        <v>91.34</v>
      </c>
      <c r="N23" s="2955">
        <v>100.5</v>
      </c>
    </row>
    <row r="24" spans="1:14" s="9" customFormat="1" ht="12.75" customHeight="1">
      <c r="A24" s="483">
        <v>1994.03</v>
      </c>
      <c r="B24" s="2954">
        <v>97.86</v>
      </c>
      <c r="C24" s="2951">
        <v>97.81</v>
      </c>
      <c r="D24" s="2952">
        <v>89.55</v>
      </c>
      <c r="E24" s="2951">
        <v>99.99</v>
      </c>
      <c r="F24" s="2953">
        <v>98.52</v>
      </c>
      <c r="G24" s="2954">
        <v>98.16</v>
      </c>
      <c r="H24" s="2951">
        <v>98.12</v>
      </c>
      <c r="I24" s="2952">
        <v>89.55</v>
      </c>
      <c r="J24" s="2951">
        <v>100.48</v>
      </c>
      <c r="K24" s="2953">
        <v>98.66</v>
      </c>
      <c r="L24" s="2954">
        <v>98.39</v>
      </c>
      <c r="M24" s="2951">
        <v>90.32</v>
      </c>
      <c r="N24" s="2955">
        <v>100.62</v>
      </c>
    </row>
    <row r="25" spans="1:14" s="9" customFormat="1" ht="12.75" customHeight="1">
      <c r="A25" s="483">
        <v>1994.04</v>
      </c>
      <c r="B25" s="2954">
        <v>98.21</v>
      </c>
      <c r="C25" s="2951">
        <v>98.27</v>
      </c>
      <c r="D25" s="2952">
        <v>90.75</v>
      </c>
      <c r="E25" s="2951">
        <v>100.25</v>
      </c>
      <c r="F25" s="2953">
        <v>97.44</v>
      </c>
      <c r="G25" s="2954">
        <v>98.52</v>
      </c>
      <c r="H25" s="2951">
        <v>98.59</v>
      </c>
      <c r="I25" s="2952">
        <v>90.75</v>
      </c>
      <c r="J25" s="2951">
        <v>100.75</v>
      </c>
      <c r="K25" s="2953">
        <v>97.57</v>
      </c>
      <c r="L25" s="2954">
        <v>98.71</v>
      </c>
      <c r="M25" s="2951">
        <v>90.58</v>
      </c>
      <c r="N25" s="2955">
        <v>100.97</v>
      </c>
    </row>
    <row r="26" spans="1:14" s="9" customFormat="1" ht="12.75" customHeight="1">
      <c r="A26" s="483">
        <v>1994.05</v>
      </c>
      <c r="B26" s="2954">
        <v>99.36</v>
      </c>
      <c r="C26" s="2951">
        <v>99.46</v>
      </c>
      <c r="D26" s="2952">
        <v>96.84</v>
      </c>
      <c r="E26" s="2951">
        <v>100.16</v>
      </c>
      <c r="F26" s="2953">
        <v>98.08</v>
      </c>
      <c r="G26" s="2954">
        <v>99.71</v>
      </c>
      <c r="H26" s="2951">
        <v>99.83</v>
      </c>
      <c r="I26" s="2952">
        <v>96.84</v>
      </c>
      <c r="J26" s="2951">
        <v>100.66</v>
      </c>
      <c r="K26" s="2953">
        <v>98.21</v>
      </c>
      <c r="L26" s="2954">
        <v>99.94</v>
      </c>
      <c r="M26" s="2951">
        <v>96.73</v>
      </c>
      <c r="N26" s="2955">
        <v>100.83</v>
      </c>
    </row>
    <row r="27" spans="1:14" s="9" customFormat="1" ht="12.75" customHeight="1">
      <c r="A27" s="483">
        <v>1994.06</v>
      </c>
      <c r="B27" s="2954">
        <v>100.14</v>
      </c>
      <c r="C27" s="2951">
        <v>100.23</v>
      </c>
      <c r="D27" s="2952">
        <v>99.71</v>
      </c>
      <c r="E27" s="2951">
        <v>100.37</v>
      </c>
      <c r="F27" s="2953">
        <v>98.91</v>
      </c>
      <c r="G27" s="2954">
        <v>100.51</v>
      </c>
      <c r="H27" s="2951">
        <v>100.63</v>
      </c>
      <c r="I27" s="2952">
        <v>99.71</v>
      </c>
      <c r="J27" s="2951">
        <v>100.88</v>
      </c>
      <c r="K27" s="2953">
        <v>99.02</v>
      </c>
      <c r="L27" s="2954">
        <v>100.75</v>
      </c>
      <c r="M27" s="2951">
        <v>99.57</v>
      </c>
      <c r="N27" s="2955">
        <v>101.08</v>
      </c>
    </row>
    <row r="28" spans="1:14" s="9" customFormat="1" ht="12.75" customHeight="1">
      <c r="A28" s="483">
        <v>1994.07</v>
      </c>
      <c r="B28" s="2954">
        <v>100.64</v>
      </c>
      <c r="C28" s="2951">
        <v>100.7</v>
      </c>
      <c r="D28" s="2952">
        <v>100.89</v>
      </c>
      <c r="E28" s="2951">
        <v>100.65</v>
      </c>
      <c r="F28" s="2953">
        <v>99.86</v>
      </c>
      <c r="G28" s="2954">
        <v>101.03</v>
      </c>
      <c r="H28" s="2951">
        <v>101.11</v>
      </c>
      <c r="I28" s="2952">
        <v>100.89</v>
      </c>
      <c r="J28" s="2951">
        <v>101.17</v>
      </c>
      <c r="K28" s="2953">
        <v>99.98</v>
      </c>
      <c r="L28" s="2954">
        <v>101.12</v>
      </c>
      <c r="M28" s="2951">
        <v>100.26</v>
      </c>
      <c r="N28" s="2955">
        <v>101.36</v>
      </c>
    </row>
    <row r="29" spans="1:14" s="9" customFormat="1" ht="12.75" customHeight="1">
      <c r="A29" s="483">
        <v>1994.08</v>
      </c>
      <c r="B29" s="2954">
        <v>100.54</v>
      </c>
      <c r="C29" s="2951">
        <v>100.49</v>
      </c>
      <c r="D29" s="2952">
        <v>99.32</v>
      </c>
      <c r="E29" s="2951">
        <v>100.8</v>
      </c>
      <c r="F29" s="2953">
        <v>101.22</v>
      </c>
      <c r="G29" s="2954">
        <v>100.95</v>
      </c>
      <c r="H29" s="2951">
        <v>100.92</v>
      </c>
      <c r="I29" s="2952">
        <v>99.32</v>
      </c>
      <c r="J29" s="2951">
        <v>101.36</v>
      </c>
      <c r="K29" s="2953">
        <v>101.34</v>
      </c>
      <c r="L29" s="2954">
        <v>100.9</v>
      </c>
      <c r="M29" s="2951">
        <v>98.57</v>
      </c>
      <c r="N29" s="2955">
        <v>101.55</v>
      </c>
    </row>
    <row r="30" spans="1:14" s="9" customFormat="1" ht="12.75" customHeight="1">
      <c r="A30" s="483">
        <v>1994.09</v>
      </c>
      <c r="B30" s="2954">
        <v>100.53</v>
      </c>
      <c r="C30" s="2951">
        <v>100.41</v>
      </c>
      <c r="D30" s="2952">
        <v>98.72</v>
      </c>
      <c r="E30" s="2951">
        <v>100.85</v>
      </c>
      <c r="F30" s="2953">
        <v>102.13</v>
      </c>
      <c r="G30" s="2954">
        <v>100.94</v>
      </c>
      <c r="H30" s="2951">
        <v>100.84</v>
      </c>
      <c r="I30" s="2952">
        <v>98.72</v>
      </c>
      <c r="J30" s="2951">
        <v>101.42</v>
      </c>
      <c r="K30" s="2953">
        <v>102.25</v>
      </c>
      <c r="L30" s="2954">
        <v>101.09</v>
      </c>
      <c r="M30" s="2951">
        <v>98.52</v>
      </c>
      <c r="N30" s="2955">
        <v>101.8</v>
      </c>
    </row>
    <row r="31" spans="1:14" s="9" customFormat="1" ht="12.75" customHeight="1">
      <c r="A31" s="483">
        <v>1994.1</v>
      </c>
      <c r="B31" s="2954">
        <v>100.81</v>
      </c>
      <c r="C31" s="2951">
        <v>100.63</v>
      </c>
      <c r="D31" s="2952">
        <v>98.51</v>
      </c>
      <c r="E31" s="2951">
        <v>101.2</v>
      </c>
      <c r="F31" s="2953">
        <v>102.99</v>
      </c>
      <c r="G31" s="2954">
        <v>101.22</v>
      </c>
      <c r="H31" s="2951">
        <v>101.07</v>
      </c>
      <c r="I31" s="2952">
        <v>98.51</v>
      </c>
      <c r="J31" s="2951">
        <v>101.78</v>
      </c>
      <c r="K31" s="2953">
        <v>103.12</v>
      </c>
      <c r="L31" s="2954">
        <v>101.33</v>
      </c>
      <c r="M31" s="2951">
        <v>98.58</v>
      </c>
      <c r="N31" s="2955">
        <v>102.09</v>
      </c>
    </row>
    <row r="32" spans="1:14" s="9" customFormat="1" ht="12.75" customHeight="1">
      <c r="A32" s="483">
        <v>1994.11</v>
      </c>
      <c r="B32" s="2954">
        <v>101.63</v>
      </c>
      <c r="C32" s="2951">
        <v>101.33</v>
      </c>
      <c r="D32" s="2952">
        <v>99.3</v>
      </c>
      <c r="E32" s="2951">
        <v>101.86</v>
      </c>
      <c r="F32" s="2953">
        <v>105.46</v>
      </c>
      <c r="G32" s="2954">
        <v>102.07</v>
      </c>
      <c r="H32" s="2951">
        <v>101.79</v>
      </c>
      <c r="I32" s="2952">
        <v>99.3</v>
      </c>
      <c r="J32" s="2951">
        <v>102.48</v>
      </c>
      <c r="K32" s="2953">
        <v>105.59</v>
      </c>
      <c r="L32" s="2954">
        <v>102.19</v>
      </c>
      <c r="M32" s="2951">
        <v>99.75</v>
      </c>
      <c r="N32" s="2955">
        <v>102.87</v>
      </c>
    </row>
    <row r="33" spans="1:14" s="9" customFormat="1" ht="12.75" customHeight="1">
      <c r="A33" s="483">
        <v>1994.12</v>
      </c>
      <c r="B33" s="2954">
        <v>101.8</v>
      </c>
      <c r="C33" s="2951">
        <v>101.35</v>
      </c>
      <c r="D33" s="2952">
        <v>96.4</v>
      </c>
      <c r="E33" s="2951">
        <v>102.65</v>
      </c>
      <c r="F33" s="2953">
        <v>107.5</v>
      </c>
      <c r="G33" s="2954">
        <v>102.25</v>
      </c>
      <c r="H33" s="2951">
        <v>101.82</v>
      </c>
      <c r="I33" s="2952">
        <v>96.4</v>
      </c>
      <c r="J33" s="2951">
        <v>103.31</v>
      </c>
      <c r="K33" s="2953">
        <v>107.64</v>
      </c>
      <c r="L33" s="2954">
        <v>102.4</v>
      </c>
      <c r="M33" s="2951">
        <v>97.33</v>
      </c>
      <c r="N33" s="2955">
        <v>103.8</v>
      </c>
    </row>
    <row r="34" spans="1:14" s="9" customFormat="1" ht="12.75" customHeight="1">
      <c r="A34" s="483">
        <v>1995.01</v>
      </c>
      <c r="B34" s="2954">
        <v>103.24</v>
      </c>
      <c r="C34" s="2951">
        <v>102.84</v>
      </c>
      <c r="D34" s="2952">
        <v>100.29</v>
      </c>
      <c r="E34" s="2951">
        <v>103.52</v>
      </c>
      <c r="F34" s="2953">
        <v>108.28</v>
      </c>
      <c r="G34" s="2954">
        <v>103.74</v>
      </c>
      <c r="H34" s="2951">
        <v>103.36</v>
      </c>
      <c r="I34" s="2952">
        <v>100.26</v>
      </c>
      <c r="J34" s="2951">
        <v>104.21</v>
      </c>
      <c r="K34" s="2953">
        <v>108.42</v>
      </c>
      <c r="L34" s="2954">
        <v>103.83</v>
      </c>
      <c r="M34" s="2951">
        <v>100.68</v>
      </c>
      <c r="N34" s="2955">
        <v>104.7</v>
      </c>
    </row>
    <row r="35" spans="1:14" s="9" customFormat="1" ht="12.75" customHeight="1">
      <c r="A35" s="483">
        <v>1995.02</v>
      </c>
      <c r="B35" s="2954">
        <v>103.64</v>
      </c>
      <c r="C35" s="2951">
        <v>103.25</v>
      </c>
      <c r="D35" s="2952">
        <v>100.32</v>
      </c>
      <c r="E35" s="2951">
        <v>104.03</v>
      </c>
      <c r="F35" s="2953">
        <v>108.55</v>
      </c>
      <c r="G35" s="2954">
        <v>104.15</v>
      </c>
      <c r="H35" s="2951">
        <v>103.78</v>
      </c>
      <c r="I35" s="2952">
        <v>100.28</v>
      </c>
      <c r="J35" s="2951">
        <v>104.74</v>
      </c>
      <c r="K35" s="2953">
        <v>108.67</v>
      </c>
      <c r="L35" s="2954">
        <v>104.11</v>
      </c>
      <c r="M35" s="2951">
        <v>100.42</v>
      </c>
      <c r="N35" s="2955">
        <v>105.13</v>
      </c>
    </row>
    <row r="36" spans="1:14" s="9" customFormat="1" ht="12.75" customHeight="1">
      <c r="A36" s="483">
        <v>1995.03</v>
      </c>
      <c r="B36" s="2954">
        <v>103.02</v>
      </c>
      <c r="C36" s="2951">
        <v>102.47</v>
      </c>
      <c r="D36" s="2952">
        <v>96.12</v>
      </c>
      <c r="E36" s="2951">
        <v>104.15</v>
      </c>
      <c r="F36" s="2953">
        <v>109.97</v>
      </c>
      <c r="G36" s="2954">
        <v>103.53</v>
      </c>
      <c r="H36" s="2951">
        <v>103</v>
      </c>
      <c r="I36" s="2952">
        <v>96.09</v>
      </c>
      <c r="J36" s="2951">
        <v>104.91</v>
      </c>
      <c r="K36" s="2953">
        <v>110.07</v>
      </c>
      <c r="L36" s="2954">
        <v>103.15</v>
      </c>
      <c r="M36" s="2951">
        <v>95.64</v>
      </c>
      <c r="N36" s="2955">
        <v>105.23</v>
      </c>
    </row>
    <row r="37" spans="1:14" s="9" customFormat="1" ht="12.75" customHeight="1">
      <c r="A37" s="483">
        <v>1995.04</v>
      </c>
      <c r="B37" s="2954">
        <v>106.47</v>
      </c>
      <c r="C37" s="2951">
        <v>105.83</v>
      </c>
      <c r="D37" s="2952">
        <v>101.06</v>
      </c>
      <c r="E37" s="2951">
        <v>107.09</v>
      </c>
      <c r="F37" s="2953">
        <v>114.57</v>
      </c>
      <c r="G37" s="2954">
        <v>104.34</v>
      </c>
      <c r="H37" s="2951">
        <v>103.73</v>
      </c>
      <c r="I37" s="2952">
        <v>98.52</v>
      </c>
      <c r="J37" s="2951">
        <v>105.16</v>
      </c>
      <c r="K37" s="2953">
        <v>111.87</v>
      </c>
      <c r="L37" s="2954">
        <v>103.76</v>
      </c>
      <c r="M37" s="2951">
        <v>97.85</v>
      </c>
      <c r="N37" s="2955">
        <v>105.4</v>
      </c>
    </row>
    <row r="38" spans="1:14" s="9" customFormat="1" ht="12.75" customHeight="1">
      <c r="A38" s="483">
        <v>1995.05</v>
      </c>
      <c r="B38" s="2954">
        <v>106.6</v>
      </c>
      <c r="C38" s="2951">
        <v>106.03</v>
      </c>
      <c r="D38" s="2952">
        <v>101.38</v>
      </c>
      <c r="E38" s="2951">
        <v>107.25</v>
      </c>
      <c r="F38" s="2953">
        <v>113.9</v>
      </c>
      <c r="G38" s="2954">
        <v>104.48</v>
      </c>
      <c r="H38" s="2951">
        <v>103.93</v>
      </c>
      <c r="I38" s="2952">
        <v>98.84</v>
      </c>
      <c r="J38" s="2951">
        <v>105.34</v>
      </c>
      <c r="K38" s="2953">
        <v>111.22</v>
      </c>
      <c r="L38" s="2954">
        <v>103.99</v>
      </c>
      <c r="M38" s="2951">
        <v>98.44</v>
      </c>
      <c r="N38" s="2955">
        <v>105.53</v>
      </c>
    </row>
    <row r="39" spans="1:14" s="9" customFormat="1" ht="12.75" customHeight="1">
      <c r="A39" s="483">
        <v>1995.06</v>
      </c>
      <c r="B39" s="2954">
        <v>106.93</v>
      </c>
      <c r="C39" s="2951">
        <v>106.36</v>
      </c>
      <c r="D39" s="2952">
        <v>101.62</v>
      </c>
      <c r="E39" s="2951">
        <v>107.61</v>
      </c>
      <c r="F39" s="2953">
        <v>114.18</v>
      </c>
      <c r="G39" s="2954">
        <v>104.86</v>
      </c>
      <c r="H39" s="2951">
        <v>104.32</v>
      </c>
      <c r="I39" s="2952">
        <v>99.08</v>
      </c>
      <c r="J39" s="2951">
        <v>105.76</v>
      </c>
      <c r="K39" s="2953">
        <v>111.48</v>
      </c>
      <c r="L39" s="2954">
        <v>104.51</v>
      </c>
      <c r="M39" s="2951">
        <v>99.21</v>
      </c>
      <c r="N39" s="2955">
        <v>105.97</v>
      </c>
    </row>
    <row r="40" spans="1:14" s="9" customFormat="1" ht="12.75" customHeight="1">
      <c r="A40" s="483">
        <v>1995.07</v>
      </c>
      <c r="B40" s="2954">
        <v>107.33</v>
      </c>
      <c r="C40" s="2951">
        <v>106.9</v>
      </c>
      <c r="D40" s="2952">
        <v>102.19</v>
      </c>
      <c r="E40" s="2951">
        <v>108.15</v>
      </c>
      <c r="F40" s="2953">
        <v>112.77</v>
      </c>
      <c r="G40" s="2954">
        <v>105.27</v>
      </c>
      <c r="H40" s="2951">
        <v>104.87</v>
      </c>
      <c r="I40" s="2952">
        <v>99.65</v>
      </c>
      <c r="J40" s="2951">
        <v>106.31</v>
      </c>
      <c r="K40" s="2953">
        <v>110.1</v>
      </c>
      <c r="L40" s="2954">
        <v>105.21</v>
      </c>
      <c r="M40" s="2951">
        <v>100.64</v>
      </c>
      <c r="N40" s="2955">
        <v>106.48</v>
      </c>
    </row>
    <row r="41" spans="1:14" s="9" customFormat="1" ht="12.75" customHeight="1">
      <c r="A41" s="483">
        <v>1995.08</v>
      </c>
      <c r="B41" s="2954">
        <v>107.66</v>
      </c>
      <c r="C41" s="2951">
        <v>107.23</v>
      </c>
      <c r="D41" s="2952">
        <v>103.84</v>
      </c>
      <c r="E41" s="2951">
        <v>108.13</v>
      </c>
      <c r="F41" s="2953">
        <v>113.06</v>
      </c>
      <c r="G41" s="2954">
        <v>105.59</v>
      </c>
      <c r="H41" s="2951">
        <v>105.2</v>
      </c>
      <c r="I41" s="2952">
        <v>101.25</v>
      </c>
      <c r="J41" s="2951">
        <v>106.29</v>
      </c>
      <c r="K41" s="2953">
        <v>110.39</v>
      </c>
      <c r="L41" s="2954">
        <v>105.55</v>
      </c>
      <c r="M41" s="2951">
        <v>102.5</v>
      </c>
      <c r="N41" s="2955">
        <v>106.39</v>
      </c>
    </row>
    <row r="42" spans="1:14" s="9" customFormat="1" ht="12.75" customHeight="1">
      <c r="A42" s="483">
        <v>1995.09</v>
      </c>
      <c r="B42" s="2954">
        <v>107.68</v>
      </c>
      <c r="C42" s="2951">
        <v>107.27</v>
      </c>
      <c r="D42" s="2952">
        <v>106.79</v>
      </c>
      <c r="E42" s="2951">
        <v>107.4</v>
      </c>
      <c r="F42" s="2953">
        <v>112.85</v>
      </c>
      <c r="G42" s="2954">
        <v>105.63</v>
      </c>
      <c r="H42" s="2951">
        <v>105.26</v>
      </c>
      <c r="I42" s="2952">
        <v>104.13</v>
      </c>
      <c r="J42" s="2951">
        <v>105.57</v>
      </c>
      <c r="K42" s="2953">
        <v>110.18</v>
      </c>
      <c r="L42" s="2954">
        <v>105.63</v>
      </c>
      <c r="M42" s="2951">
        <v>105.42</v>
      </c>
      <c r="N42" s="2955">
        <v>105.69</v>
      </c>
    </row>
    <row r="43" spans="1:14" s="9" customFormat="1" ht="12.75" customHeight="1">
      <c r="A43" s="483">
        <v>1995.1</v>
      </c>
      <c r="B43" s="2954">
        <v>107.56</v>
      </c>
      <c r="C43" s="2951">
        <v>107.25</v>
      </c>
      <c r="D43" s="2952">
        <v>106.53</v>
      </c>
      <c r="E43" s="2951">
        <v>107.45</v>
      </c>
      <c r="F43" s="2953">
        <v>111.4</v>
      </c>
      <c r="G43" s="2954">
        <v>105.5</v>
      </c>
      <c r="H43" s="2951">
        <v>105.24</v>
      </c>
      <c r="I43" s="2952">
        <v>103.86</v>
      </c>
      <c r="J43" s="2951">
        <v>105.62</v>
      </c>
      <c r="K43" s="2953">
        <v>108.76</v>
      </c>
      <c r="L43" s="2954">
        <v>105.64</v>
      </c>
      <c r="M43" s="2951">
        <v>105.22</v>
      </c>
      <c r="N43" s="2955">
        <v>105.75</v>
      </c>
    </row>
    <row r="44" spans="1:14" s="9" customFormat="1" ht="12.75" customHeight="1">
      <c r="A44" s="483">
        <v>1995.11</v>
      </c>
      <c r="B44" s="2954">
        <v>107.37</v>
      </c>
      <c r="C44" s="2951">
        <v>107.03</v>
      </c>
      <c r="D44" s="2952">
        <v>106.08</v>
      </c>
      <c r="E44" s="2951">
        <v>107.29</v>
      </c>
      <c r="F44" s="2953">
        <v>111.69</v>
      </c>
      <c r="G44" s="2954">
        <v>105.32</v>
      </c>
      <c r="H44" s="2951">
        <v>105.02</v>
      </c>
      <c r="I44" s="2952">
        <v>103.44</v>
      </c>
      <c r="J44" s="2951">
        <v>105.45</v>
      </c>
      <c r="K44" s="2953">
        <v>109.05</v>
      </c>
      <c r="L44" s="2954">
        <v>105.46</v>
      </c>
      <c r="M44" s="2951">
        <v>104.98</v>
      </c>
      <c r="N44" s="2955">
        <v>105.59</v>
      </c>
    </row>
    <row r="45" spans="1:14" s="9" customFormat="1" ht="12.75" customHeight="1">
      <c r="A45" s="483">
        <v>1995.12</v>
      </c>
      <c r="B45" s="2954">
        <v>107.73</v>
      </c>
      <c r="C45" s="2951">
        <v>107.39</v>
      </c>
      <c r="D45" s="2952">
        <v>106.98</v>
      </c>
      <c r="E45" s="2951">
        <v>107.5</v>
      </c>
      <c r="F45" s="2953">
        <v>112.08</v>
      </c>
      <c r="G45" s="2954">
        <v>105.68</v>
      </c>
      <c r="H45" s="2951">
        <v>105.38</v>
      </c>
      <c r="I45" s="2952">
        <v>104.3</v>
      </c>
      <c r="J45" s="2951">
        <v>105.68</v>
      </c>
      <c r="K45" s="2953">
        <v>109.42</v>
      </c>
      <c r="L45" s="2954">
        <v>105.79</v>
      </c>
      <c r="M45" s="2951">
        <v>105.66</v>
      </c>
      <c r="N45" s="2955">
        <v>105.82</v>
      </c>
    </row>
    <row r="46" spans="1:14" s="9" customFormat="1" ht="12.75" customHeight="1">
      <c r="A46" s="483">
        <v>1996.01</v>
      </c>
      <c r="B46" s="2954">
        <v>107.97</v>
      </c>
      <c r="C46" s="2951">
        <v>107.66</v>
      </c>
      <c r="D46" s="2952">
        <v>108.45</v>
      </c>
      <c r="E46" s="2951">
        <v>107.45</v>
      </c>
      <c r="F46" s="2953">
        <v>111.93</v>
      </c>
      <c r="G46" s="2954">
        <v>105.92</v>
      </c>
      <c r="H46" s="2951">
        <v>105.65</v>
      </c>
      <c r="I46" s="2952">
        <v>105.74</v>
      </c>
      <c r="J46" s="2951">
        <v>105.63</v>
      </c>
      <c r="K46" s="2953">
        <v>109.28</v>
      </c>
      <c r="L46" s="2954">
        <v>106.27</v>
      </c>
      <c r="M46" s="2951">
        <v>107.71</v>
      </c>
      <c r="N46" s="2955">
        <v>105.87</v>
      </c>
    </row>
    <row r="47" spans="1:14" s="9" customFormat="1" ht="12.75" customHeight="1">
      <c r="A47" s="483">
        <v>1996.02</v>
      </c>
      <c r="B47" s="2954">
        <v>107.86</v>
      </c>
      <c r="C47" s="2951">
        <v>107.62</v>
      </c>
      <c r="D47" s="2952">
        <v>107.79</v>
      </c>
      <c r="E47" s="2951">
        <v>107.58</v>
      </c>
      <c r="F47" s="2953">
        <v>110.97</v>
      </c>
      <c r="G47" s="2954">
        <v>105.75</v>
      </c>
      <c r="H47" s="2951">
        <v>105.54</v>
      </c>
      <c r="I47" s="2952">
        <v>105.09</v>
      </c>
      <c r="J47" s="2951">
        <v>105.66</v>
      </c>
      <c r="K47" s="2953">
        <v>108.34</v>
      </c>
      <c r="L47" s="2954">
        <v>106.1</v>
      </c>
      <c r="M47" s="2951">
        <v>107.1</v>
      </c>
      <c r="N47" s="2955">
        <v>105.82</v>
      </c>
    </row>
    <row r="48" spans="1:14" s="9" customFormat="1" ht="12.75" customHeight="1">
      <c r="A48" s="483">
        <v>1996.03</v>
      </c>
      <c r="B48" s="2954">
        <v>108.7</v>
      </c>
      <c r="C48" s="2951">
        <v>108.58</v>
      </c>
      <c r="D48" s="2952">
        <v>112.14</v>
      </c>
      <c r="E48" s="2951">
        <v>107.64</v>
      </c>
      <c r="F48" s="2953">
        <v>110.27</v>
      </c>
      <c r="G48" s="2954">
        <v>106.57</v>
      </c>
      <c r="H48" s="2951">
        <v>106.48</v>
      </c>
      <c r="I48" s="2952">
        <v>109.33</v>
      </c>
      <c r="J48" s="2951">
        <v>105.7</v>
      </c>
      <c r="K48" s="2953">
        <v>107.61</v>
      </c>
      <c r="L48" s="2954">
        <v>106.96</v>
      </c>
      <c r="M48" s="2951">
        <v>111.09</v>
      </c>
      <c r="N48" s="2955">
        <v>105.81</v>
      </c>
    </row>
    <row r="49" spans="1:14" s="9" customFormat="1" ht="12.75" customHeight="1">
      <c r="A49" s="483">
        <v>1996.04</v>
      </c>
      <c r="B49" s="2954">
        <v>110.32</v>
      </c>
      <c r="C49" s="2951">
        <v>110.33</v>
      </c>
      <c r="D49" s="2952">
        <v>119.76</v>
      </c>
      <c r="E49" s="2951">
        <v>107.85</v>
      </c>
      <c r="F49" s="2953">
        <v>110.14</v>
      </c>
      <c r="G49" s="2954">
        <v>108.25</v>
      </c>
      <c r="H49" s="2951">
        <v>108.29</v>
      </c>
      <c r="I49" s="2952">
        <v>116.76</v>
      </c>
      <c r="J49" s="2951">
        <v>105.96</v>
      </c>
      <c r="K49" s="2953">
        <v>107.69</v>
      </c>
      <c r="L49" s="2954">
        <v>109.05</v>
      </c>
      <c r="M49" s="2951">
        <v>119.17</v>
      </c>
      <c r="N49" s="2955">
        <v>106.25</v>
      </c>
    </row>
    <row r="50" spans="1:14" s="9" customFormat="1" ht="12.75" customHeight="1">
      <c r="A50" s="483">
        <v>1996.05</v>
      </c>
      <c r="B50" s="2954">
        <v>110.57</v>
      </c>
      <c r="C50" s="2951">
        <v>110.67</v>
      </c>
      <c r="D50" s="2952">
        <v>118.56</v>
      </c>
      <c r="E50" s="2951">
        <v>108.59</v>
      </c>
      <c r="F50" s="2953">
        <v>109.34</v>
      </c>
      <c r="G50" s="2954">
        <v>108.51</v>
      </c>
      <c r="H50" s="2951">
        <v>108.64</v>
      </c>
      <c r="I50" s="2952">
        <v>115.6</v>
      </c>
      <c r="J50" s="2951">
        <v>106.72</v>
      </c>
      <c r="K50" s="2953">
        <v>106.91</v>
      </c>
      <c r="L50" s="2954">
        <v>109.44</v>
      </c>
      <c r="M50" s="2951">
        <v>118.23</v>
      </c>
      <c r="N50" s="2955">
        <v>107.01</v>
      </c>
    </row>
    <row r="51" spans="1:14" s="9" customFormat="1" ht="12.75" customHeight="1">
      <c r="A51" s="483">
        <v>1996.06</v>
      </c>
      <c r="B51" s="2954">
        <v>109.74</v>
      </c>
      <c r="C51" s="2951">
        <v>109.84</v>
      </c>
      <c r="D51" s="2952">
        <v>117.06</v>
      </c>
      <c r="E51" s="2951">
        <v>107.93</v>
      </c>
      <c r="F51" s="2953">
        <v>108.5</v>
      </c>
      <c r="G51" s="2954">
        <v>107.81</v>
      </c>
      <c r="H51" s="2951">
        <v>107.93</v>
      </c>
      <c r="I51" s="2952">
        <v>114.13</v>
      </c>
      <c r="J51" s="2951">
        <v>106.22</v>
      </c>
      <c r="K51" s="2953">
        <v>106.34</v>
      </c>
      <c r="L51" s="2954">
        <v>108.5</v>
      </c>
      <c r="M51" s="2951">
        <v>115.92</v>
      </c>
      <c r="N51" s="2955">
        <v>106.45</v>
      </c>
    </row>
    <row r="52" spans="1:14" s="9" customFormat="1" ht="12.75" customHeight="1">
      <c r="A52" s="483">
        <v>1996.07</v>
      </c>
      <c r="B52" s="2954">
        <v>109.61</v>
      </c>
      <c r="C52" s="2951">
        <v>109.76</v>
      </c>
      <c r="D52" s="2952">
        <v>118.54</v>
      </c>
      <c r="E52" s="2951">
        <v>107.45</v>
      </c>
      <c r="F52" s="2953">
        <v>107.6</v>
      </c>
      <c r="G52" s="2954">
        <v>107.68</v>
      </c>
      <c r="H52" s="2951">
        <v>107.86</v>
      </c>
      <c r="I52" s="2952">
        <v>115.57</v>
      </c>
      <c r="J52" s="2951">
        <v>105.74</v>
      </c>
      <c r="K52" s="2953">
        <v>105.45</v>
      </c>
      <c r="L52" s="2954">
        <v>108.28</v>
      </c>
      <c r="M52" s="2951">
        <v>116.89</v>
      </c>
      <c r="N52" s="2955">
        <v>105.9</v>
      </c>
    </row>
    <row r="53" spans="1:14" s="9" customFormat="1" ht="12.75" customHeight="1">
      <c r="A53" s="483">
        <v>1996.08</v>
      </c>
      <c r="B53" s="2954">
        <v>109.27</v>
      </c>
      <c r="C53" s="2951">
        <v>109.47</v>
      </c>
      <c r="D53" s="2952">
        <v>118.85</v>
      </c>
      <c r="E53" s="2951">
        <v>106.99</v>
      </c>
      <c r="F53" s="2953">
        <v>106.81</v>
      </c>
      <c r="G53" s="2954">
        <v>107.35</v>
      </c>
      <c r="H53" s="2951">
        <v>107.57</v>
      </c>
      <c r="I53" s="2952">
        <v>115.88</v>
      </c>
      <c r="J53" s="2951">
        <v>105.28</v>
      </c>
      <c r="K53" s="2953">
        <v>104.68</v>
      </c>
      <c r="L53" s="2954">
        <v>108.02</v>
      </c>
      <c r="M53" s="2951">
        <v>117.1</v>
      </c>
      <c r="N53" s="2955">
        <v>105.5</v>
      </c>
    </row>
    <row r="54" spans="1:14" s="9" customFormat="1" ht="12.75" customHeight="1">
      <c r="A54" s="483">
        <v>1996.09</v>
      </c>
      <c r="B54" s="2954">
        <v>110.52</v>
      </c>
      <c r="C54" s="2951">
        <v>110.88</v>
      </c>
      <c r="D54" s="2952">
        <v>122.44</v>
      </c>
      <c r="E54" s="2951">
        <v>107.83</v>
      </c>
      <c r="F54" s="2953">
        <v>105.98</v>
      </c>
      <c r="G54" s="2954">
        <v>108.32</v>
      </c>
      <c r="H54" s="2951">
        <v>108.68</v>
      </c>
      <c r="I54" s="2952">
        <v>119.38</v>
      </c>
      <c r="J54" s="2951">
        <v>105.74</v>
      </c>
      <c r="K54" s="2953">
        <v>103.87</v>
      </c>
      <c r="L54" s="2954">
        <v>109.17</v>
      </c>
      <c r="M54" s="2951">
        <v>120.36</v>
      </c>
      <c r="N54" s="2955">
        <v>106.07</v>
      </c>
    </row>
    <row r="55" spans="1:14" s="9" customFormat="1" ht="12.75" customHeight="1">
      <c r="A55" s="483">
        <v>1996.1</v>
      </c>
      <c r="B55" s="2954">
        <v>110.97</v>
      </c>
      <c r="C55" s="2951">
        <v>111.41</v>
      </c>
      <c r="D55" s="2952">
        <v>117.73</v>
      </c>
      <c r="E55" s="2951">
        <v>109.74</v>
      </c>
      <c r="F55" s="2953">
        <v>105.46</v>
      </c>
      <c r="G55" s="2954">
        <v>107.24</v>
      </c>
      <c r="H55" s="2951">
        <v>107.55</v>
      </c>
      <c r="I55" s="2952">
        <v>114.79</v>
      </c>
      <c r="J55" s="2951">
        <v>105.56</v>
      </c>
      <c r="K55" s="2953">
        <v>103.35</v>
      </c>
      <c r="L55" s="2954">
        <v>107.97</v>
      </c>
      <c r="M55" s="2951">
        <v>115.7</v>
      </c>
      <c r="N55" s="2955">
        <v>105.84</v>
      </c>
    </row>
    <row r="56" spans="1:14" s="9" customFormat="1" ht="12.75" customHeight="1">
      <c r="A56" s="483">
        <v>1996.11</v>
      </c>
      <c r="B56" s="2954">
        <v>110.1</v>
      </c>
      <c r="C56" s="2951">
        <v>110.43</v>
      </c>
      <c r="D56" s="2952">
        <v>113.45</v>
      </c>
      <c r="E56" s="2951">
        <v>109.63</v>
      </c>
      <c r="F56" s="2953">
        <v>106.01</v>
      </c>
      <c r="G56" s="2954">
        <v>106.36</v>
      </c>
      <c r="H56" s="2951">
        <v>106.56</v>
      </c>
      <c r="I56" s="2952">
        <v>110.61</v>
      </c>
      <c r="J56" s="2951">
        <v>105.44</v>
      </c>
      <c r="K56" s="2953">
        <v>103.88</v>
      </c>
      <c r="L56" s="2954">
        <v>106.95</v>
      </c>
      <c r="M56" s="2951">
        <v>111.46</v>
      </c>
      <c r="N56" s="2955">
        <v>105.7</v>
      </c>
    </row>
    <row r="57" spans="1:14" s="9" customFormat="1" ht="12.75" customHeight="1">
      <c r="A57" s="483">
        <v>1996.12</v>
      </c>
      <c r="B57" s="2954">
        <v>109.95</v>
      </c>
      <c r="C57" s="2951">
        <v>110.32</v>
      </c>
      <c r="D57" s="2952">
        <v>113.5</v>
      </c>
      <c r="E57" s="2951">
        <v>109.49</v>
      </c>
      <c r="F57" s="2953">
        <v>105.17</v>
      </c>
      <c r="G57" s="2954">
        <v>106.21</v>
      </c>
      <c r="H57" s="2951">
        <v>106.46</v>
      </c>
      <c r="I57" s="2952">
        <v>110.66</v>
      </c>
      <c r="J57" s="2951">
        <v>105.31</v>
      </c>
      <c r="K57" s="2953">
        <v>103.05</v>
      </c>
      <c r="L57" s="2954">
        <v>106.94</v>
      </c>
      <c r="M57" s="2951">
        <v>111.5</v>
      </c>
      <c r="N57" s="2955">
        <v>105.67</v>
      </c>
    </row>
    <row r="58" spans="1:14" s="9" customFormat="1" ht="12.75" customHeight="1">
      <c r="A58" s="483">
        <v>1997.01</v>
      </c>
      <c r="B58" s="2954">
        <v>110.35</v>
      </c>
      <c r="C58" s="2951">
        <v>110.75</v>
      </c>
      <c r="D58" s="2952">
        <v>114.05</v>
      </c>
      <c r="E58" s="2951">
        <v>109.87</v>
      </c>
      <c r="F58" s="2953">
        <v>105.34</v>
      </c>
      <c r="G58" s="2954">
        <v>106.52</v>
      </c>
      <c r="H58" s="2951">
        <v>106.79</v>
      </c>
      <c r="I58" s="2952">
        <v>111.19</v>
      </c>
      <c r="J58" s="2951">
        <v>105.57</v>
      </c>
      <c r="K58" s="2953">
        <v>103.23</v>
      </c>
      <c r="L58" s="2954">
        <v>107.3</v>
      </c>
      <c r="M58" s="2951">
        <v>112.21</v>
      </c>
      <c r="N58" s="2955">
        <v>105.94</v>
      </c>
    </row>
    <row r="59" spans="1:14" s="9" customFormat="1" ht="12.75" customHeight="1">
      <c r="A59" s="483">
        <v>1997.02</v>
      </c>
      <c r="B59" s="2954">
        <v>110.16</v>
      </c>
      <c r="C59" s="2951">
        <v>110.51</v>
      </c>
      <c r="D59" s="2952">
        <v>112.02</v>
      </c>
      <c r="E59" s="2951">
        <v>110.11</v>
      </c>
      <c r="F59" s="2953">
        <v>105.71</v>
      </c>
      <c r="G59" s="2954">
        <v>106.33</v>
      </c>
      <c r="H59" s="2951">
        <v>106.55</v>
      </c>
      <c r="I59" s="2952">
        <v>109.22</v>
      </c>
      <c r="J59" s="2951">
        <v>105.82</v>
      </c>
      <c r="K59" s="2953">
        <v>103.59</v>
      </c>
      <c r="L59" s="2954">
        <v>106.98</v>
      </c>
      <c r="M59" s="2951">
        <v>110.08</v>
      </c>
      <c r="N59" s="2955">
        <v>106.12</v>
      </c>
    </row>
    <row r="60" spans="1:14" s="9" customFormat="1" ht="12.75" customHeight="1">
      <c r="A60" s="483">
        <v>1997.03</v>
      </c>
      <c r="B60" s="2954">
        <v>109.84</v>
      </c>
      <c r="C60" s="2951">
        <v>110.27</v>
      </c>
      <c r="D60" s="2952">
        <v>110.72</v>
      </c>
      <c r="E60" s="2951">
        <v>110.15</v>
      </c>
      <c r="F60" s="2953">
        <v>104.38</v>
      </c>
      <c r="G60" s="2954">
        <v>106.01</v>
      </c>
      <c r="H60" s="2951">
        <v>106.31</v>
      </c>
      <c r="I60" s="2952">
        <v>107.94</v>
      </c>
      <c r="J60" s="2951">
        <v>105.86</v>
      </c>
      <c r="K60" s="2953">
        <v>102.29</v>
      </c>
      <c r="L60" s="2954">
        <v>106.9</v>
      </c>
      <c r="M60" s="2951">
        <v>109.02</v>
      </c>
      <c r="N60" s="2955">
        <v>106.32</v>
      </c>
    </row>
    <row r="61" spans="1:14" s="9" customFormat="1" ht="12.75" customHeight="1">
      <c r="A61" s="483">
        <v>1997.04</v>
      </c>
      <c r="B61" s="2954">
        <v>109.36</v>
      </c>
      <c r="C61" s="2951">
        <v>109.72</v>
      </c>
      <c r="D61" s="2952">
        <v>108.77</v>
      </c>
      <c r="E61" s="2951">
        <v>109.97</v>
      </c>
      <c r="F61" s="2953">
        <v>104.75</v>
      </c>
      <c r="G61" s="2954">
        <v>105.53</v>
      </c>
      <c r="H61" s="2951">
        <v>105.76</v>
      </c>
      <c r="I61" s="2952">
        <v>106.05</v>
      </c>
      <c r="J61" s="2951">
        <v>105.68</v>
      </c>
      <c r="K61" s="2953">
        <v>102.65</v>
      </c>
      <c r="L61" s="2954">
        <v>106.32</v>
      </c>
      <c r="M61" s="2951">
        <v>107.03</v>
      </c>
      <c r="N61" s="2955">
        <v>106.13</v>
      </c>
    </row>
    <row r="62" spans="1:14" s="9" customFormat="1" ht="12.75" customHeight="1">
      <c r="A62" s="483">
        <v>1997.05</v>
      </c>
      <c r="B62" s="2954">
        <v>110.05</v>
      </c>
      <c r="C62" s="2951">
        <v>110.44</v>
      </c>
      <c r="D62" s="2952">
        <v>112.19</v>
      </c>
      <c r="E62" s="2951">
        <v>109.98</v>
      </c>
      <c r="F62" s="2953">
        <v>105.07</v>
      </c>
      <c r="G62" s="2954">
        <v>106.22</v>
      </c>
      <c r="H62" s="2951">
        <v>106.48</v>
      </c>
      <c r="I62" s="2952">
        <v>109.38</v>
      </c>
      <c r="J62" s="2951">
        <v>105.68</v>
      </c>
      <c r="K62" s="2953">
        <v>102.96</v>
      </c>
      <c r="L62" s="2954">
        <v>107.03</v>
      </c>
      <c r="M62" s="2951">
        <v>110.13</v>
      </c>
      <c r="N62" s="2955">
        <v>106.17</v>
      </c>
    </row>
    <row r="63" spans="1:14" s="9" customFormat="1" ht="12.75" customHeight="1">
      <c r="A63" s="483">
        <v>1997.06</v>
      </c>
      <c r="B63" s="2954">
        <v>109.61</v>
      </c>
      <c r="C63" s="2951">
        <v>110</v>
      </c>
      <c r="D63" s="2952">
        <v>110.99</v>
      </c>
      <c r="E63" s="2951">
        <v>109.74</v>
      </c>
      <c r="F63" s="2953">
        <v>104.69</v>
      </c>
      <c r="G63" s="2954">
        <v>105.78</v>
      </c>
      <c r="H63" s="2951">
        <v>106.04</v>
      </c>
      <c r="I63" s="2952">
        <v>108.21</v>
      </c>
      <c r="J63" s="2951">
        <v>105.44</v>
      </c>
      <c r="K63" s="2953">
        <v>102.59</v>
      </c>
      <c r="L63" s="2954">
        <v>106.36</v>
      </c>
      <c r="M63" s="2951">
        <v>108.21</v>
      </c>
      <c r="N63" s="2955">
        <v>105.85</v>
      </c>
    </row>
    <row r="64" spans="1:14" s="9" customFormat="1" ht="12.75" customHeight="1">
      <c r="A64" s="483">
        <v>1997.07</v>
      </c>
      <c r="B64" s="2954">
        <v>109.13</v>
      </c>
      <c r="C64" s="2951">
        <v>109.53</v>
      </c>
      <c r="D64" s="2952">
        <v>110.45</v>
      </c>
      <c r="E64" s="2951">
        <v>109.28</v>
      </c>
      <c r="F64" s="2953">
        <v>104.1</v>
      </c>
      <c r="G64" s="2954">
        <v>105.3</v>
      </c>
      <c r="H64" s="2951">
        <v>105.56</v>
      </c>
      <c r="I64" s="2952">
        <v>107.68</v>
      </c>
      <c r="J64" s="2951">
        <v>104.98</v>
      </c>
      <c r="K64" s="2953">
        <v>102.01</v>
      </c>
      <c r="L64" s="2954">
        <v>105.72</v>
      </c>
      <c r="M64" s="2951">
        <v>107.39</v>
      </c>
      <c r="N64" s="2955">
        <v>105.25</v>
      </c>
    </row>
    <row r="65" spans="1:14" s="9" customFormat="1" ht="12.75" customHeight="1">
      <c r="A65" s="483">
        <v>1997.08</v>
      </c>
      <c r="B65" s="2954">
        <v>109.88</v>
      </c>
      <c r="C65" s="2951">
        <v>110.33</v>
      </c>
      <c r="D65" s="2952">
        <v>113.63</v>
      </c>
      <c r="E65" s="2951">
        <v>109.46</v>
      </c>
      <c r="F65" s="2953">
        <v>104.07</v>
      </c>
      <c r="G65" s="2954">
        <v>106.04</v>
      </c>
      <c r="H65" s="2951">
        <v>106.37</v>
      </c>
      <c r="I65" s="2952">
        <v>110.78</v>
      </c>
      <c r="J65" s="2951">
        <v>105.16</v>
      </c>
      <c r="K65" s="2953">
        <v>101.96</v>
      </c>
      <c r="L65" s="2954">
        <v>106.5</v>
      </c>
      <c r="M65" s="2951">
        <v>110.42</v>
      </c>
      <c r="N65" s="2955">
        <v>105.41</v>
      </c>
    </row>
    <row r="66" spans="1:14" s="9" customFormat="1" ht="12.75" customHeight="1">
      <c r="A66" s="483">
        <v>1997.09</v>
      </c>
      <c r="B66" s="2954">
        <v>110.02</v>
      </c>
      <c r="C66" s="2951">
        <v>110.54</v>
      </c>
      <c r="D66" s="2952">
        <v>114.25</v>
      </c>
      <c r="E66" s="2951">
        <v>109.57</v>
      </c>
      <c r="F66" s="2953">
        <v>103.28</v>
      </c>
      <c r="G66" s="2954">
        <v>106.18</v>
      </c>
      <c r="H66" s="2951">
        <v>106.59</v>
      </c>
      <c r="I66" s="2952">
        <v>111.39</v>
      </c>
      <c r="J66" s="2951">
        <v>105.27</v>
      </c>
      <c r="K66" s="2953">
        <v>101.18</v>
      </c>
      <c r="L66" s="2954">
        <v>106.9</v>
      </c>
      <c r="M66" s="2951">
        <v>111.1</v>
      </c>
      <c r="N66" s="2955">
        <v>105.73</v>
      </c>
    </row>
    <row r="67" spans="1:14" s="9" customFormat="1" ht="12.75" customHeight="1">
      <c r="A67" s="483">
        <v>1997.1</v>
      </c>
      <c r="B67" s="2954">
        <v>109.89</v>
      </c>
      <c r="C67" s="2951">
        <v>110.45</v>
      </c>
      <c r="D67" s="2952">
        <v>115.18</v>
      </c>
      <c r="E67" s="2951">
        <v>109.21</v>
      </c>
      <c r="F67" s="2953">
        <v>102.74</v>
      </c>
      <c r="G67" s="2954">
        <v>106.05</v>
      </c>
      <c r="H67" s="2951">
        <v>106.49</v>
      </c>
      <c r="I67" s="2952">
        <v>112.3</v>
      </c>
      <c r="J67" s="2951">
        <v>104.89</v>
      </c>
      <c r="K67" s="2953">
        <v>100.65</v>
      </c>
      <c r="L67" s="2954">
        <v>106.93</v>
      </c>
      <c r="M67" s="2951">
        <v>112.37</v>
      </c>
      <c r="N67" s="2955">
        <v>105.43</v>
      </c>
    </row>
    <row r="68" spans="1:14" s="9" customFormat="1" ht="12.75" customHeight="1">
      <c r="A68" s="483">
        <v>1997.11</v>
      </c>
      <c r="B68" s="2954">
        <v>109.66</v>
      </c>
      <c r="C68" s="2951">
        <v>110.28</v>
      </c>
      <c r="D68" s="2952">
        <v>114.55</v>
      </c>
      <c r="E68" s="2951">
        <v>109.15</v>
      </c>
      <c r="F68" s="2953">
        <v>101.73</v>
      </c>
      <c r="G68" s="2954">
        <v>105.81</v>
      </c>
      <c r="H68" s="2951">
        <v>106.31</v>
      </c>
      <c r="I68" s="2952">
        <v>111.68</v>
      </c>
      <c r="J68" s="2951">
        <v>104.83</v>
      </c>
      <c r="K68" s="2953">
        <v>99.66</v>
      </c>
      <c r="L68" s="2954">
        <v>106.95</v>
      </c>
      <c r="M68" s="2951">
        <v>111.95</v>
      </c>
      <c r="N68" s="2955">
        <v>105.56</v>
      </c>
    </row>
    <row r="69" spans="1:14" s="9" customFormat="1" ht="12.75" customHeight="1">
      <c r="A69" s="483">
        <v>1997.12</v>
      </c>
      <c r="B69" s="2954">
        <v>108.94</v>
      </c>
      <c r="C69" s="2951">
        <v>109.51</v>
      </c>
      <c r="D69" s="2952">
        <v>111.39</v>
      </c>
      <c r="E69" s="2951">
        <v>109.01</v>
      </c>
      <c r="F69" s="2953">
        <v>101.64</v>
      </c>
      <c r="G69" s="2954">
        <v>105.08</v>
      </c>
      <c r="H69" s="2951">
        <v>105.53</v>
      </c>
      <c r="I69" s="2952">
        <v>108.6</v>
      </c>
      <c r="J69" s="2951">
        <v>104.68</v>
      </c>
      <c r="K69" s="2953">
        <v>99.58</v>
      </c>
      <c r="L69" s="2954">
        <v>106.03</v>
      </c>
      <c r="M69" s="2951">
        <v>108.43</v>
      </c>
      <c r="N69" s="2955">
        <v>105.37</v>
      </c>
    </row>
    <row r="70" spans="1:14" s="9" customFormat="1" ht="12.75" customHeight="1">
      <c r="A70" s="483">
        <v>1998.01</v>
      </c>
      <c r="B70" s="2954">
        <v>107.56</v>
      </c>
      <c r="C70" s="2951">
        <v>108.04</v>
      </c>
      <c r="D70" s="2952">
        <v>104.99</v>
      </c>
      <c r="E70" s="2951">
        <v>108.84</v>
      </c>
      <c r="F70" s="2953">
        <v>101.48</v>
      </c>
      <c r="G70" s="2954">
        <v>103.7</v>
      </c>
      <c r="H70" s="2951">
        <v>104.05</v>
      </c>
      <c r="I70" s="2952">
        <v>102.36</v>
      </c>
      <c r="J70" s="2951">
        <v>104.51</v>
      </c>
      <c r="K70" s="2953">
        <v>99.42</v>
      </c>
      <c r="L70" s="2954">
        <v>104.42</v>
      </c>
      <c r="M70" s="2951">
        <v>102.11</v>
      </c>
      <c r="N70" s="2955">
        <v>105.06</v>
      </c>
    </row>
    <row r="71" spans="1:14" s="9" customFormat="1" ht="12.75" customHeight="1">
      <c r="A71" s="483">
        <v>1998.02</v>
      </c>
      <c r="B71" s="2954">
        <v>107.94</v>
      </c>
      <c r="C71" s="2951">
        <v>108.45</v>
      </c>
      <c r="D71" s="2952">
        <v>106.6</v>
      </c>
      <c r="E71" s="2951">
        <v>108.94</v>
      </c>
      <c r="F71" s="2953">
        <v>101.39</v>
      </c>
      <c r="G71" s="2954">
        <v>104.08</v>
      </c>
      <c r="H71" s="2951">
        <v>104.46</v>
      </c>
      <c r="I71" s="2952">
        <v>103.92</v>
      </c>
      <c r="J71" s="2951">
        <v>104.61</v>
      </c>
      <c r="K71" s="2953">
        <v>99.33</v>
      </c>
      <c r="L71" s="2954">
        <v>104.73</v>
      </c>
      <c r="M71" s="2951">
        <v>103.24</v>
      </c>
      <c r="N71" s="2955">
        <v>105.14</v>
      </c>
    </row>
    <row r="72" spans="1:14" s="9" customFormat="1" ht="12.75" customHeight="1">
      <c r="A72" s="483">
        <v>1998.03</v>
      </c>
      <c r="B72" s="2954">
        <v>107.66</v>
      </c>
      <c r="C72" s="2951">
        <v>108.16</v>
      </c>
      <c r="D72" s="2952">
        <v>104.77</v>
      </c>
      <c r="E72" s="2951">
        <v>109.05</v>
      </c>
      <c r="F72" s="2953">
        <v>101.3</v>
      </c>
      <c r="G72" s="2954">
        <v>103.81</v>
      </c>
      <c r="H72" s="2951">
        <v>104.17</v>
      </c>
      <c r="I72" s="2952">
        <v>102.14</v>
      </c>
      <c r="J72" s="2951">
        <v>104.73</v>
      </c>
      <c r="K72" s="2953">
        <v>99.25</v>
      </c>
      <c r="L72" s="2954">
        <v>104.26</v>
      </c>
      <c r="M72" s="2951">
        <v>101.14</v>
      </c>
      <c r="N72" s="2955">
        <v>105.12</v>
      </c>
    </row>
    <row r="73" spans="1:14" s="9" customFormat="1" ht="12.75" customHeight="1">
      <c r="A73" s="483">
        <v>1998.04</v>
      </c>
      <c r="B73" s="2954">
        <v>107.75</v>
      </c>
      <c r="C73" s="2951">
        <v>108.29</v>
      </c>
      <c r="D73" s="2952">
        <v>105.89</v>
      </c>
      <c r="E73" s="2951">
        <v>108.92</v>
      </c>
      <c r="F73" s="2953">
        <v>100.94</v>
      </c>
      <c r="G73" s="2954">
        <v>103.9</v>
      </c>
      <c r="H73" s="2951">
        <v>104.3</v>
      </c>
      <c r="I73" s="2952">
        <v>103.24</v>
      </c>
      <c r="J73" s="2951">
        <v>104.59</v>
      </c>
      <c r="K73" s="2953">
        <v>98.9</v>
      </c>
      <c r="L73" s="2954">
        <v>104.1</v>
      </c>
      <c r="M73" s="2951">
        <v>101.79</v>
      </c>
      <c r="N73" s="2955">
        <v>104.73</v>
      </c>
    </row>
    <row r="74" spans="1:14" s="9" customFormat="1" ht="12.75" customHeight="1">
      <c r="A74" s="483">
        <v>1998.05</v>
      </c>
      <c r="B74" s="2954">
        <v>107.53</v>
      </c>
      <c r="C74" s="2951">
        <v>108.12</v>
      </c>
      <c r="D74" s="2952">
        <v>104.51</v>
      </c>
      <c r="E74" s="2951">
        <v>109.07</v>
      </c>
      <c r="F74" s="2953">
        <v>99.99</v>
      </c>
      <c r="G74" s="2954">
        <v>103.67</v>
      </c>
      <c r="H74" s="2951">
        <v>104.13</v>
      </c>
      <c r="I74" s="2952">
        <v>101.89</v>
      </c>
      <c r="J74" s="2951">
        <v>104.75</v>
      </c>
      <c r="K74" s="2953">
        <v>97.97</v>
      </c>
      <c r="L74" s="2954">
        <v>104.05</v>
      </c>
      <c r="M74" s="2951">
        <v>100.58</v>
      </c>
      <c r="N74" s="2955">
        <v>105.01</v>
      </c>
    </row>
    <row r="75" spans="1:14" s="9" customFormat="1" ht="12.75" customHeight="1">
      <c r="A75" s="483">
        <v>1998.06</v>
      </c>
      <c r="B75" s="2954">
        <v>107.53</v>
      </c>
      <c r="C75" s="2951">
        <v>108.15</v>
      </c>
      <c r="D75" s="2952">
        <v>104.52</v>
      </c>
      <c r="E75" s="2951">
        <v>109.1</v>
      </c>
      <c r="F75" s="2953">
        <v>99.75</v>
      </c>
      <c r="G75" s="2954">
        <v>103.68</v>
      </c>
      <c r="H75" s="2951">
        <v>104.16</v>
      </c>
      <c r="I75" s="2952">
        <v>101.89</v>
      </c>
      <c r="J75" s="2951">
        <v>104.78</v>
      </c>
      <c r="K75" s="2953">
        <v>97.73</v>
      </c>
      <c r="L75" s="2954">
        <v>103.92</v>
      </c>
      <c r="M75" s="2951">
        <v>100.2</v>
      </c>
      <c r="N75" s="2955">
        <v>104.95</v>
      </c>
    </row>
    <row r="76" spans="1:14" s="9" customFormat="1" ht="12.75" customHeight="1">
      <c r="A76" s="483">
        <v>1998.07</v>
      </c>
      <c r="B76" s="2954">
        <v>107.21</v>
      </c>
      <c r="C76" s="2951">
        <v>107.85</v>
      </c>
      <c r="D76" s="2952">
        <v>104.9</v>
      </c>
      <c r="E76" s="2951">
        <v>108.63</v>
      </c>
      <c r="F76" s="2953">
        <v>99.04</v>
      </c>
      <c r="G76" s="2954">
        <v>104.2</v>
      </c>
      <c r="H76" s="2951">
        <v>104.77</v>
      </c>
      <c r="I76" s="2952">
        <v>105.14</v>
      </c>
      <c r="J76" s="2951">
        <v>104.66</v>
      </c>
      <c r="K76" s="2953">
        <v>97.22</v>
      </c>
      <c r="L76" s="2954">
        <v>104.42</v>
      </c>
      <c r="M76" s="2951">
        <v>103.06</v>
      </c>
      <c r="N76" s="2955">
        <v>104.79</v>
      </c>
    </row>
    <row r="77" spans="1:14" s="9" customFormat="1" ht="12.75" customHeight="1">
      <c r="A77" s="483">
        <v>1998.08</v>
      </c>
      <c r="B77" s="2954">
        <v>106.53</v>
      </c>
      <c r="C77" s="2951">
        <v>107.15</v>
      </c>
      <c r="D77" s="2952">
        <v>102.3</v>
      </c>
      <c r="E77" s="2951">
        <v>108.44</v>
      </c>
      <c r="F77" s="2953">
        <v>98.64</v>
      </c>
      <c r="G77" s="2954">
        <v>103.54</v>
      </c>
      <c r="H77" s="2951">
        <v>104.08</v>
      </c>
      <c r="I77" s="2952">
        <v>102.64</v>
      </c>
      <c r="J77" s="2951">
        <v>104.47</v>
      </c>
      <c r="K77" s="2953">
        <v>96.84</v>
      </c>
      <c r="L77" s="2954">
        <v>103.54</v>
      </c>
      <c r="M77" s="2951">
        <v>100.36</v>
      </c>
      <c r="N77" s="2955">
        <v>104.43</v>
      </c>
    </row>
    <row r="78" spans="1:14" s="9" customFormat="1" ht="12.75" customHeight="1">
      <c r="A78" s="483">
        <v>1998.09</v>
      </c>
      <c r="B78" s="2954">
        <v>105.41</v>
      </c>
      <c r="C78" s="2951">
        <v>106.02</v>
      </c>
      <c r="D78" s="2952">
        <v>99.43</v>
      </c>
      <c r="E78" s="2951">
        <v>107.75</v>
      </c>
      <c r="F78" s="2953">
        <v>97.71</v>
      </c>
      <c r="G78" s="2954">
        <v>102.37</v>
      </c>
      <c r="H78" s="2951">
        <v>102.9</v>
      </c>
      <c r="I78" s="2952">
        <v>99.51</v>
      </c>
      <c r="J78" s="2951">
        <v>103.83</v>
      </c>
      <c r="K78" s="2953">
        <v>95.86</v>
      </c>
      <c r="L78" s="2954">
        <v>102.49</v>
      </c>
      <c r="M78" s="2951">
        <v>97.83</v>
      </c>
      <c r="N78" s="2955">
        <v>103.78</v>
      </c>
    </row>
    <row r="79" spans="1:14" s="9" customFormat="1" ht="12.75" customHeight="1">
      <c r="A79" s="483">
        <v>1998.1</v>
      </c>
      <c r="B79" s="2954">
        <v>104.27</v>
      </c>
      <c r="C79" s="2951">
        <v>104.84</v>
      </c>
      <c r="D79" s="2952">
        <v>96.65</v>
      </c>
      <c r="E79" s="2951">
        <v>107.01</v>
      </c>
      <c r="F79" s="2953">
        <v>96.92</v>
      </c>
      <c r="G79" s="2954">
        <v>101.17</v>
      </c>
      <c r="H79" s="2951">
        <v>101.65</v>
      </c>
      <c r="I79" s="2952">
        <v>96.64</v>
      </c>
      <c r="J79" s="2951">
        <v>103.04</v>
      </c>
      <c r="K79" s="2953">
        <v>95.12</v>
      </c>
      <c r="L79" s="2954">
        <v>101.4</v>
      </c>
      <c r="M79" s="2951">
        <v>95.76</v>
      </c>
      <c r="N79" s="2955">
        <v>102.97</v>
      </c>
    </row>
    <row r="80" spans="1:14" s="9" customFormat="1" ht="12.75" customHeight="1">
      <c r="A80" s="483">
        <v>1998.11</v>
      </c>
      <c r="B80" s="2954">
        <v>103.3</v>
      </c>
      <c r="C80" s="2951">
        <v>103.87</v>
      </c>
      <c r="D80" s="2952">
        <v>93.39</v>
      </c>
      <c r="E80" s="2951">
        <v>106.64</v>
      </c>
      <c r="F80" s="2953">
        <v>96.09</v>
      </c>
      <c r="G80" s="2954">
        <v>100.17</v>
      </c>
      <c r="H80" s="2951">
        <v>100.64</v>
      </c>
      <c r="I80" s="2952">
        <v>93.34</v>
      </c>
      <c r="J80" s="2951">
        <v>102.65</v>
      </c>
      <c r="K80" s="2953">
        <v>94.29</v>
      </c>
      <c r="L80" s="2954">
        <v>100.5</v>
      </c>
      <c r="M80" s="2951">
        <v>92.89</v>
      </c>
      <c r="N80" s="2955">
        <v>102.61</v>
      </c>
    </row>
    <row r="81" spans="1:14" s="9" customFormat="1" ht="12.75" customHeight="1">
      <c r="A81" s="483">
        <v>1998.12</v>
      </c>
      <c r="B81" s="2954">
        <v>102.12</v>
      </c>
      <c r="C81" s="2951">
        <v>102.6</v>
      </c>
      <c r="D81" s="2952">
        <v>87.93</v>
      </c>
      <c r="E81" s="2951">
        <v>106.47</v>
      </c>
      <c r="F81" s="2953">
        <v>95.96</v>
      </c>
      <c r="G81" s="2954">
        <v>98.93</v>
      </c>
      <c r="H81" s="2951">
        <v>99.32</v>
      </c>
      <c r="I81" s="2952">
        <v>87.82</v>
      </c>
      <c r="J81" s="2951">
        <v>102.48</v>
      </c>
      <c r="K81" s="2953">
        <v>94.15</v>
      </c>
      <c r="L81" s="2954">
        <v>99.15</v>
      </c>
      <c r="M81" s="2951">
        <v>87.62</v>
      </c>
      <c r="N81" s="2955">
        <v>102.34</v>
      </c>
    </row>
    <row r="82" spans="1:14" s="9" customFormat="1" ht="12.75" customHeight="1">
      <c r="A82" s="483">
        <v>1999.01</v>
      </c>
      <c r="B82" s="2954">
        <v>101.66</v>
      </c>
      <c r="C82" s="2951">
        <v>102.14</v>
      </c>
      <c r="D82" s="2952">
        <v>86.88</v>
      </c>
      <c r="E82" s="2951">
        <v>106.17</v>
      </c>
      <c r="F82" s="2953">
        <v>95.48</v>
      </c>
      <c r="G82" s="2954">
        <v>98.44</v>
      </c>
      <c r="H82" s="2951">
        <v>98.83</v>
      </c>
      <c r="I82" s="2952">
        <v>86.67</v>
      </c>
      <c r="J82" s="2951">
        <v>102.18</v>
      </c>
      <c r="K82" s="2953">
        <v>93.63</v>
      </c>
      <c r="L82" s="2954">
        <v>98.56</v>
      </c>
      <c r="M82" s="2951">
        <v>86.33</v>
      </c>
      <c r="N82" s="2955">
        <v>101.95</v>
      </c>
    </row>
    <row r="83" spans="1:14" s="9" customFormat="1" ht="12.75" customHeight="1">
      <c r="A83" s="483">
        <v>1999.02</v>
      </c>
      <c r="B83" s="2954">
        <v>100.82</v>
      </c>
      <c r="C83" s="2951">
        <v>101.27</v>
      </c>
      <c r="D83" s="2952">
        <v>84.45</v>
      </c>
      <c r="E83" s="2951">
        <v>105.71</v>
      </c>
      <c r="F83" s="2953">
        <v>95.01</v>
      </c>
      <c r="G83" s="2954">
        <v>97.58</v>
      </c>
      <c r="H83" s="2951">
        <v>97.94</v>
      </c>
      <c r="I83" s="2952">
        <v>84.31</v>
      </c>
      <c r="J83" s="2951">
        <v>101.69</v>
      </c>
      <c r="K83" s="2953">
        <v>93.18</v>
      </c>
      <c r="L83" s="2954">
        <v>97.44</v>
      </c>
      <c r="M83" s="2951">
        <v>83.43</v>
      </c>
      <c r="N83" s="2955">
        <v>101.31</v>
      </c>
    </row>
    <row r="84" spans="1:14" s="9" customFormat="1" ht="12.75" customHeight="1">
      <c r="A84" s="483">
        <v>1999.03</v>
      </c>
      <c r="B84" s="2954">
        <v>101.03</v>
      </c>
      <c r="C84" s="2951">
        <v>101.55</v>
      </c>
      <c r="D84" s="2952">
        <v>86.87</v>
      </c>
      <c r="E84" s="2951">
        <v>105.42</v>
      </c>
      <c r="F84" s="2953">
        <v>94.47</v>
      </c>
      <c r="G84" s="2954">
        <v>97.81</v>
      </c>
      <c r="H84" s="2951">
        <v>98.22</v>
      </c>
      <c r="I84" s="2952">
        <v>86.71</v>
      </c>
      <c r="J84" s="2951">
        <v>101.39</v>
      </c>
      <c r="K84" s="2953">
        <v>92.7</v>
      </c>
      <c r="L84" s="2954">
        <v>97.5</v>
      </c>
      <c r="M84" s="2951">
        <v>85.66</v>
      </c>
      <c r="N84" s="2955">
        <v>100.78</v>
      </c>
    </row>
    <row r="85" spans="1:14" s="9" customFormat="1" ht="12.75" customHeight="1">
      <c r="A85" s="483">
        <v>1999.04</v>
      </c>
      <c r="B85" s="2954">
        <v>102.01</v>
      </c>
      <c r="C85" s="2951">
        <v>102.64</v>
      </c>
      <c r="D85" s="2952">
        <v>92.45</v>
      </c>
      <c r="E85" s="2951">
        <v>105.32</v>
      </c>
      <c r="F85" s="2953">
        <v>94.04</v>
      </c>
      <c r="G85" s="2954">
        <v>98.81</v>
      </c>
      <c r="H85" s="2951">
        <v>99.34</v>
      </c>
      <c r="I85" s="2952">
        <v>92.33</v>
      </c>
      <c r="J85" s="2951">
        <v>101.28</v>
      </c>
      <c r="K85" s="2953">
        <v>92.24</v>
      </c>
      <c r="L85" s="2954">
        <v>98.58</v>
      </c>
      <c r="M85" s="2951">
        <v>91.23</v>
      </c>
      <c r="N85" s="2955">
        <v>100.61</v>
      </c>
    </row>
    <row r="86" spans="1:14" s="9" customFormat="1" ht="12.75" customHeight="1">
      <c r="A86" s="483">
        <v>1999.05</v>
      </c>
      <c r="B86" s="2954">
        <v>101.97</v>
      </c>
      <c r="C86" s="2951">
        <v>102.66</v>
      </c>
      <c r="D86" s="2952">
        <v>93.43</v>
      </c>
      <c r="E86" s="2951">
        <v>105.1</v>
      </c>
      <c r="F86" s="2953">
        <v>93.13</v>
      </c>
      <c r="G86" s="2954">
        <v>98.75</v>
      </c>
      <c r="H86" s="2951">
        <v>99.35</v>
      </c>
      <c r="I86" s="2952">
        <v>93.13</v>
      </c>
      <c r="J86" s="2951">
        <v>101.07</v>
      </c>
      <c r="K86" s="2953">
        <v>91.36</v>
      </c>
      <c r="L86" s="2954">
        <v>98.63</v>
      </c>
      <c r="M86" s="2951">
        <v>92.08</v>
      </c>
      <c r="N86" s="2955">
        <v>100.44</v>
      </c>
    </row>
    <row r="87" spans="1:14" s="9" customFormat="1" ht="12.75" customHeight="1">
      <c r="A87" s="483">
        <v>1999.06</v>
      </c>
      <c r="B87" s="2954">
        <v>101.88</v>
      </c>
      <c r="C87" s="2951">
        <v>102.58</v>
      </c>
      <c r="D87" s="2952">
        <v>94.23</v>
      </c>
      <c r="E87" s="2951">
        <v>104.78</v>
      </c>
      <c r="F87" s="2953">
        <v>93.02</v>
      </c>
      <c r="G87" s="2954">
        <v>98.68</v>
      </c>
      <c r="H87" s="2951">
        <v>99.29</v>
      </c>
      <c r="I87" s="2952">
        <v>93.98</v>
      </c>
      <c r="J87" s="2951">
        <v>100.75</v>
      </c>
      <c r="K87" s="2953">
        <v>91.25</v>
      </c>
      <c r="L87" s="2954">
        <v>98.49</v>
      </c>
      <c r="M87" s="2951">
        <v>92.94</v>
      </c>
      <c r="N87" s="2955">
        <v>100.03</v>
      </c>
    </row>
    <row r="88" spans="1:14" s="9" customFormat="1" ht="12.75" customHeight="1">
      <c r="A88" s="483">
        <v>1999.07</v>
      </c>
      <c r="B88" s="2954">
        <v>102.07</v>
      </c>
      <c r="C88" s="2951">
        <v>102.79</v>
      </c>
      <c r="D88" s="2952">
        <v>95.75</v>
      </c>
      <c r="E88" s="2951">
        <v>104.64</v>
      </c>
      <c r="F88" s="2953">
        <v>92.96</v>
      </c>
      <c r="G88" s="2954">
        <v>98.88</v>
      </c>
      <c r="H88" s="2951">
        <v>99.5</v>
      </c>
      <c r="I88" s="2952">
        <v>95.49</v>
      </c>
      <c r="J88" s="2951">
        <v>100.61</v>
      </c>
      <c r="K88" s="2953">
        <v>91.19</v>
      </c>
      <c r="L88" s="2954">
        <v>98.65</v>
      </c>
      <c r="M88" s="2951">
        <v>94.38</v>
      </c>
      <c r="N88" s="2955">
        <v>99.83</v>
      </c>
    </row>
    <row r="89" spans="1:14" s="9" customFormat="1" ht="12.75" customHeight="1">
      <c r="A89" s="483">
        <v>1999.08</v>
      </c>
      <c r="B89" s="2954">
        <v>102.33</v>
      </c>
      <c r="C89" s="2951">
        <v>103.1</v>
      </c>
      <c r="D89" s="2952">
        <v>97.83</v>
      </c>
      <c r="E89" s="2951">
        <v>104.5</v>
      </c>
      <c r="F89" s="2953">
        <v>92.48</v>
      </c>
      <c r="G89" s="2954">
        <v>99.12</v>
      </c>
      <c r="H89" s="2951">
        <v>99.8</v>
      </c>
      <c r="I89" s="2952">
        <v>97.45</v>
      </c>
      <c r="J89" s="2951">
        <v>100.45</v>
      </c>
      <c r="K89" s="2953">
        <v>90.71</v>
      </c>
      <c r="L89" s="2954">
        <v>99.17</v>
      </c>
      <c r="M89" s="2951">
        <v>96.62</v>
      </c>
      <c r="N89" s="2955">
        <v>99.88</v>
      </c>
    </row>
    <row r="90" spans="1:14" s="9" customFormat="1" ht="12.75" customHeight="1">
      <c r="A90" s="483">
        <v>1999.09</v>
      </c>
      <c r="B90" s="2954">
        <v>103.19</v>
      </c>
      <c r="C90" s="2951">
        <v>103.99</v>
      </c>
      <c r="D90" s="2952">
        <v>102.59</v>
      </c>
      <c r="E90" s="2951">
        <v>104.37</v>
      </c>
      <c r="F90" s="2953">
        <v>93.01</v>
      </c>
      <c r="G90" s="2954">
        <v>100.03</v>
      </c>
      <c r="H90" s="2951">
        <v>100.74</v>
      </c>
      <c r="I90" s="2952">
        <v>102.22</v>
      </c>
      <c r="J90" s="2951">
        <v>100.33</v>
      </c>
      <c r="K90" s="2953">
        <v>91.27</v>
      </c>
      <c r="L90" s="2954">
        <v>100.21</v>
      </c>
      <c r="M90" s="2951">
        <v>101.44</v>
      </c>
      <c r="N90" s="2955">
        <v>99.86</v>
      </c>
    </row>
    <row r="91" spans="1:14" s="9" customFormat="1" ht="12.75" customHeight="1">
      <c r="A91" s="483">
        <v>1999.1</v>
      </c>
      <c r="B91" s="2954">
        <v>103.07</v>
      </c>
      <c r="C91" s="2951">
        <v>103.85</v>
      </c>
      <c r="D91" s="2952">
        <v>100.54</v>
      </c>
      <c r="E91" s="2951">
        <v>104.72</v>
      </c>
      <c r="F91" s="2953">
        <v>93.21</v>
      </c>
      <c r="G91" s="2954">
        <v>99.9</v>
      </c>
      <c r="H91" s="2951">
        <v>100.58</v>
      </c>
      <c r="I91" s="2952">
        <v>100.19</v>
      </c>
      <c r="J91" s="2951">
        <v>100.69</v>
      </c>
      <c r="K91" s="2953">
        <v>91.44</v>
      </c>
      <c r="L91" s="2954">
        <v>100.08</v>
      </c>
      <c r="M91" s="2951">
        <v>99.55</v>
      </c>
      <c r="N91" s="2955">
        <v>100.22</v>
      </c>
    </row>
    <row r="92" spans="1:14" s="9" customFormat="1" ht="12.75" customHeight="1">
      <c r="A92" s="483">
        <v>1999.11</v>
      </c>
      <c r="B92" s="2954">
        <v>102.85</v>
      </c>
      <c r="C92" s="2951">
        <v>103.57</v>
      </c>
      <c r="D92" s="2952">
        <v>99.56</v>
      </c>
      <c r="E92" s="2951">
        <v>104.62</v>
      </c>
      <c r="F92" s="2953">
        <v>93.66</v>
      </c>
      <c r="G92" s="2954">
        <v>99.63</v>
      </c>
      <c r="H92" s="2951">
        <v>100.25</v>
      </c>
      <c r="I92" s="2952">
        <v>99.05</v>
      </c>
      <c r="J92" s="2951">
        <v>100.58</v>
      </c>
      <c r="K92" s="2953">
        <v>91.89</v>
      </c>
      <c r="L92" s="2954">
        <v>99.66</v>
      </c>
      <c r="M92" s="2951">
        <v>98.43</v>
      </c>
      <c r="N92" s="2955">
        <v>100</v>
      </c>
    </row>
    <row r="93" spans="1:14" s="9" customFormat="1" ht="12.75" customHeight="1">
      <c r="A93" s="483">
        <v>1999.12</v>
      </c>
      <c r="B93" s="2954">
        <v>103.35</v>
      </c>
      <c r="C93" s="2951">
        <v>104.08</v>
      </c>
      <c r="D93" s="2952">
        <v>100.19</v>
      </c>
      <c r="E93" s="2951">
        <v>105.1</v>
      </c>
      <c r="F93" s="2953">
        <v>94.17</v>
      </c>
      <c r="G93" s="2954">
        <v>100.12</v>
      </c>
      <c r="H93" s="2951">
        <v>100.74</v>
      </c>
      <c r="I93" s="2952">
        <v>99.62</v>
      </c>
      <c r="J93" s="2951">
        <v>101.05</v>
      </c>
      <c r="K93" s="2953">
        <v>92.37</v>
      </c>
      <c r="L93" s="2954">
        <v>100.2</v>
      </c>
      <c r="M93" s="2951">
        <v>99.11</v>
      </c>
      <c r="N93" s="2955">
        <v>100.5</v>
      </c>
    </row>
    <row r="94" spans="1:14" s="9" customFormat="1" ht="12.75" customHeight="1">
      <c r="A94" s="483">
        <v>2000.01</v>
      </c>
      <c r="B94" s="2954">
        <v>104.59</v>
      </c>
      <c r="C94" s="2951">
        <v>105.36</v>
      </c>
      <c r="D94" s="2952">
        <v>102.62</v>
      </c>
      <c r="E94" s="2951">
        <v>106.09</v>
      </c>
      <c r="F94" s="2953">
        <v>94.83</v>
      </c>
      <c r="G94" s="2954">
        <v>100.66</v>
      </c>
      <c r="H94" s="2951">
        <v>101.28</v>
      </c>
      <c r="I94" s="2952">
        <v>102.01</v>
      </c>
      <c r="J94" s="2951">
        <v>101.08</v>
      </c>
      <c r="K94" s="2953">
        <v>92.95</v>
      </c>
      <c r="L94" s="2954">
        <v>100.86</v>
      </c>
      <c r="M94" s="2951">
        <v>101.76</v>
      </c>
      <c r="N94" s="2955">
        <v>100.61</v>
      </c>
    </row>
    <row r="95" spans="1:14" s="9" customFormat="1" ht="12.75" customHeight="1">
      <c r="A95" s="483">
        <v>2000.02</v>
      </c>
      <c r="B95" s="2954">
        <v>105.5</v>
      </c>
      <c r="C95" s="2951">
        <v>106.34</v>
      </c>
      <c r="D95" s="2952">
        <v>106.23</v>
      </c>
      <c r="E95" s="2951">
        <v>106.37</v>
      </c>
      <c r="F95" s="2953">
        <v>94.79</v>
      </c>
      <c r="G95" s="2954">
        <v>101.59</v>
      </c>
      <c r="H95" s="2951">
        <v>102.3</v>
      </c>
      <c r="I95" s="2952">
        <v>105.64</v>
      </c>
      <c r="J95" s="2951">
        <v>101.37</v>
      </c>
      <c r="K95" s="2953">
        <v>92.91</v>
      </c>
      <c r="L95" s="2954">
        <v>101.83</v>
      </c>
      <c r="M95" s="2951">
        <v>105.3</v>
      </c>
      <c r="N95" s="2955">
        <v>100.87</v>
      </c>
    </row>
    <row r="96" spans="1:14" s="9" customFormat="1" ht="12.75" customHeight="1">
      <c r="A96" s="483">
        <v>2000.03</v>
      </c>
      <c r="B96" s="2954">
        <v>106.04</v>
      </c>
      <c r="C96" s="2951">
        <v>106.92</v>
      </c>
      <c r="D96" s="2952">
        <v>108.02</v>
      </c>
      <c r="E96" s="2951">
        <v>106.63</v>
      </c>
      <c r="F96" s="2953">
        <v>94.8</v>
      </c>
      <c r="G96" s="2954">
        <v>102.16</v>
      </c>
      <c r="H96" s="2951">
        <v>102.91</v>
      </c>
      <c r="I96" s="2952">
        <v>107.47</v>
      </c>
      <c r="J96" s="2951">
        <v>101.65</v>
      </c>
      <c r="K96" s="2953">
        <v>92.93</v>
      </c>
      <c r="L96" s="2954">
        <v>102.33</v>
      </c>
      <c r="M96" s="2951">
        <v>106.78</v>
      </c>
      <c r="N96" s="2955">
        <v>101.09</v>
      </c>
    </row>
    <row r="97" spans="1:14" s="9" customFormat="1" ht="12.75" customHeight="1">
      <c r="A97" s="483">
        <v>2000.04</v>
      </c>
      <c r="B97" s="2954">
        <v>104.75</v>
      </c>
      <c r="C97" s="2951">
        <v>105.54</v>
      </c>
      <c r="D97" s="2952">
        <v>103.06</v>
      </c>
      <c r="E97" s="2951">
        <v>106.2</v>
      </c>
      <c r="F97" s="2953">
        <v>94.6</v>
      </c>
      <c r="G97" s="2954">
        <v>100.86</v>
      </c>
      <c r="H97" s="2951">
        <v>101.51</v>
      </c>
      <c r="I97" s="2952">
        <v>102.57</v>
      </c>
      <c r="J97" s="2951">
        <v>101.22</v>
      </c>
      <c r="K97" s="2953">
        <v>92.73</v>
      </c>
      <c r="L97" s="2954">
        <v>100.88</v>
      </c>
      <c r="M97" s="2951">
        <v>101.59</v>
      </c>
      <c r="N97" s="2955">
        <v>100.69</v>
      </c>
    </row>
    <row r="98" spans="1:14" s="9" customFormat="1" ht="12.75" customHeight="1">
      <c r="A98" s="483">
        <v>2000.05</v>
      </c>
      <c r="B98" s="2954">
        <v>105.85</v>
      </c>
      <c r="C98" s="2951">
        <v>106.74</v>
      </c>
      <c r="D98" s="2952">
        <v>108.19</v>
      </c>
      <c r="E98" s="2951">
        <v>106.36</v>
      </c>
      <c r="F98" s="2953">
        <v>94.58</v>
      </c>
      <c r="G98" s="2954">
        <v>101.97</v>
      </c>
      <c r="H98" s="2951">
        <v>102.72</v>
      </c>
      <c r="I98" s="2952">
        <v>107.59</v>
      </c>
      <c r="J98" s="2951">
        <v>101.38</v>
      </c>
      <c r="K98" s="2953">
        <v>92.68</v>
      </c>
      <c r="L98" s="2954">
        <v>102.06</v>
      </c>
      <c r="M98" s="2951">
        <v>106.46</v>
      </c>
      <c r="N98" s="2955">
        <v>100.84</v>
      </c>
    </row>
    <row r="99" spans="1:14" s="9" customFormat="1" ht="12.75" customHeight="1">
      <c r="A99" s="483">
        <v>2000.06</v>
      </c>
      <c r="B99" s="2954">
        <v>106.41</v>
      </c>
      <c r="C99" s="2951">
        <v>107.36</v>
      </c>
      <c r="D99" s="2952">
        <v>111.75</v>
      </c>
      <c r="E99" s="2951">
        <v>106.21</v>
      </c>
      <c r="F99" s="2953">
        <v>94.26</v>
      </c>
      <c r="G99" s="2954">
        <v>102.54</v>
      </c>
      <c r="H99" s="2951">
        <v>103.36</v>
      </c>
      <c r="I99" s="2952">
        <v>111.09</v>
      </c>
      <c r="J99" s="2951">
        <v>101.23</v>
      </c>
      <c r="K99" s="2953">
        <v>92.41</v>
      </c>
      <c r="L99" s="2954">
        <v>102.58</v>
      </c>
      <c r="M99" s="2951">
        <v>109.49</v>
      </c>
      <c r="N99" s="2955">
        <v>100.67</v>
      </c>
    </row>
    <row r="100" spans="1:14" s="9" customFormat="1" ht="12.75" customHeight="1">
      <c r="A100" s="483">
        <v>2000.07</v>
      </c>
      <c r="B100" s="2954">
        <v>106.26</v>
      </c>
      <c r="C100" s="2951">
        <v>107.26</v>
      </c>
      <c r="D100" s="2952">
        <v>110.31</v>
      </c>
      <c r="E100" s="2951">
        <v>106.45</v>
      </c>
      <c r="F100" s="2953">
        <v>93.59</v>
      </c>
      <c r="G100" s="2954">
        <v>102.38</v>
      </c>
      <c r="H100" s="2951">
        <v>103.24</v>
      </c>
      <c r="I100" s="2952">
        <v>109.71</v>
      </c>
      <c r="J100" s="2951">
        <v>101.46</v>
      </c>
      <c r="K100" s="2953">
        <v>91.72</v>
      </c>
      <c r="L100" s="2954">
        <v>102.37</v>
      </c>
      <c r="M100" s="2951">
        <v>107.87</v>
      </c>
      <c r="N100" s="2955">
        <v>100.84</v>
      </c>
    </row>
    <row r="101" spans="1:14" s="9" customFormat="1" ht="12.75" customHeight="1">
      <c r="A101" s="483">
        <v>2000.08</v>
      </c>
      <c r="B101" s="2954">
        <v>106.45</v>
      </c>
      <c r="C101" s="2951">
        <v>107.52</v>
      </c>
      <c r="D101" s="2952">
        <v>112.26</v>
      </c>
      <c r="E101" s="2951">
        <v>106.27</v>
      </c>
      <c r="F101" s="2953">
        <v>92.79</v>
      </c>
      <c r="G101" s="2954">
        <v>102.57</v>
      </c>
      <c r="H101" s="2951">
        <v>103.52</v>
      </c>
      <c r="I101" s="2952">
        <v>111.63</v>
      </c>
      <c r="J101" s="2951">
        <v>101.28</v>
      </c>
      <c r="K101" s="2953">
        <v>90.94</v>
      </c>
      <c r="L101" s="2954">
        <v>102.64</v>
      </c>
      <c r="M101" s="2951">
        <v>109.75</v>
      </c>
      <c r="N101" s="2955">
        <v>100.67</v>
      </c>
    </row>
    <row r="102" spans="1:14" s="9" customFormat="1" ht="12.75" customHeight="1">
      <c r="A102" s="483">
        <v>2000.09</v>
      </c>
      <c r="B102" s="2954">
        <v>107.74</v>
      </c>
      <c r="C102" s="2951">
        <v>108.89</v>
      </c>
      <c r="D102" s="2952">
        <v>117.73</v>
      </c>
      <c r="E102" s="2951">
        <v>106.56</v>
      </c>
      <c r="F102" s="2953">
        <v>93.05</v>
      </c>
      <c r="G102" s="2954">
        <v>103.91</v>
      </c>
      <c r="H102" s="2951">
        <v>104.94</v>
      </c>
      <c r="I102" s="2952">
        <v>117.06</v>
      </c>
      <c r="J102" s="2951">
        <v>101.6</v>
      </c>
      <c r="K102" s="2953">
        <v>91.21</v>
      </c>
      <c r="L102" s="2954">
        <v>104.08</v>
      </c>
      <c r="M102" s="2951">
        <v>115.12</v>
      </c>
      <c r="N102" s="2955">
        <v>101.03</v>
      </c>
    </row>
    <row r="103" spans="1:14" s="9" customFormat="1" ht="12.75" customHeight="1">
      <c r="A103" s="483">
        <v>2000.1</v>
      </c>
      <c r="B103" s="2954">
        <v>107.96</v>
      </c>
      <c r="C103" s="2951">
        <v>109.15</v>
      </c>
      <c r="D103" s="2952">
        <v>117.47</v>
      </c>
      <c r="E103" s="2951">
        <v>106.96</v>
      </c>
      <c r="F103" s="2953">
        <v>92.79</v>
      </c>
      <c r="G103" s="2954">
        <v>104.17</v>
      </c>
      <c r="H103" s="2951">
        <v>105.24</v>
      </c>
      <c r="I103" s="2952">
        <v>116.98</v>
      </c>
      <c r="J103" s="2951">
        <v>102</v>
      </c>
      <c r="K103" s="2953">
        <v>90.98</v>
      </c>
      <c r="L103" s="2954">
        <v>104.36</v>
      </c>
      <c r="M103" s="2951">
        <v>115.17</v>
      </c>
      <c r="N103" s="2955">
        <v>101.37</v>
      </c>
    </row>
    <row r="104" spans="1:14" s="9" customFormat="1" ht="12.75" customHeight="1">
      <c r="A104" s="483">
        <v>2000.11</v>
      </c>
      <c r="B104" s="2954">
        <v>107.83</v>
      </c>
      <c r="C104" s="2951">
        <v>109.02</v>
      </c>
      <c r="D104" s="2952">
        <v>117.57</v>
      </c>
      <c r="E104" s="2951">
        <v>106.76</v>
      </c>
      <c r="F104" s="2953">
        <v>92.8</v>
      </c>
      <c r="G104" s="2954">
        <v>104.07</v>
      </c>
      <c r="H104" s="2951">
        <v>105.13</v>
      </c>
      <c r="I104" s="2952">
        <v>116.84</v>
      </c>
      <c r="J104" s="2951">
        <v>101.9</v>
      </c>
      <c r="K104" s="2953">
        <v>90.98</v>
      </c>
      <c r="L104" s="2954">
        <v>104.44</v>
      </c>
      <c r="M104" s="2951">
        <v>115.6</v>
      </c>
      <c r="N104" s="2955">
        <v>101.36</v>
      </c>
    </row>
    <row r="105" spans="1:14" s="9" customFormat="1" ht="12.75" customHeight="1">
      <c r="A105" s="483">
        <v>2000.12</v>
      </c>
      <c r="B105" s="2954">
        <v>105.83</v>
      </c>
      <c r="C105" s="2951">
        <v>106.89</v>
      </c>
      <c r="D105" s="2952">
        <v>107.49</v>
      </c>
      <c r="E105" s="2951">
        <v>106.74</v>
      </c>
      <c r="F105" s="2953">
        <v>92.34</v>
      </c>
      <c r="G105" s="2954">
        <v>102.03</v>
      </c>
      <c r="H105" s="2951">
        <v>102.96</v>
      </c>
      <c r="I105" s="2952">
        <v>106.86</v>
      </c>
      <c r="J105" s="2951">
        <v>101.89</v>
      </c>
      <c r="K105" s="2953">
        <v>90.52</v>
      </c>
      <c r="L105" s="2954">
        <v>102.54</v>
      </c>
      <c r="M105" s="2951">
        <v>106.13</v>
      </c>
      <c r="N105" s="2955">
        <v>101.55</v>
      </c>
    </row>
    <row r="106" spans="1:14" s="9" customFormat="1" ht="12.75" customHeight="1">
      <c r="A106" s="483">
        <v>2001.01</v>
      </c>
      <c r="B106" s="2954">
        <v>105.87</v>
      </c>
      <c r="C106" s="2951">
        <v>106.9</v>
      </c>
      <c r="D106" s="2952">
        <v>108.04</v>
      </c>
      <c r="E106" s="2951">
        <v>106.59</v>
      </c>
      <c r="F106" s="2953">
        <v>92.86</v>
      </c>
      <c r="G106" s="2954">
        <v>102.07</v>
      </c>
      <c r="H106" s="2951">
        <v>102.96</v>
      </c>
      <c r="I106" s="2952">
        <v>107.36</v>
      </c>
      <c r="J106" s="2951">
        <v>101.75</v>
      </c>
      <c r="K106" s="2953">
        <v>91.06</v>
      </c>
      <c r="L106" s="2954">
        <v>102.49</v>
      </c>
      <c r="M106" s="2951">
        <v>106.5</v>
      </c>
      <c r="N106" s="2955">
        <v>101.38</v>
      </c>
    </row>
    <row r="107" spans="1:14" s="9" customFormat="1" ht="12.75" customHeight="1">
      <c r="A107" s="483">
        <v>2001.02</v>
      </c>
      <c r="B107" s="2954">
        <v>105.99</v>
      </c>
      <c r="C107" s="2951">
        <v>107.04</v>
      </c>
      <c r="D107" s="2952">
        <v>107.99</v>
      </c>
      <c r="E107" s="2951">
        <v>106.79</v>
      </c>
      <c r="F107" s="2953">
        <v>92.64</v>
      </c>
      <c r="G107" s="2954">
        <v>102.29</v>
      </c>
      <c r="H107" s="2951">
        <v>103.22</v>
      </c>
      <c r="I107" s="2952">
        <v>107.34</v>
      </c>
      <c r="J107" s="2951">
        <v>102.08</v>
      </c>
      <c r="K107" s="2953">
        <v>90.81</v>
      </c>
      <c r="L107" s="2954">
        <v>102.54</v>
      </c>
      <c r="M107" s="2951">
        <v>106.21</v>
      </c>
      <c r="N107" s="2955">
        <v>101.53</v>
      </c>
    </row>
    <row r="108" spans="1:14" s="9" customFormat="1" ht="12.75" customHeight="1">
      <c r="A108" s="483">
        <v>2001.03</v>
      </c>
      <c r="B108" s="2954">
        <v>105.29</v>
      </c>
      <c r="C108" s="2951">
        <v>106.32</v>
      </c>
      <c r="D108" s="2952">
        <v>104.9</v>
      </c>
      <c r="E108" s="2951">
        <v>106.7</v>
      </c>
      <c r="F108" s="2953">
        <v>92.14</v>
      </c>
      <c r="G108" s="2954">
        <v>101.62</v>
      </c>
      <c r="H108" s="2951">
        <v>102.54</v>
      </c>
      <c r="I108" s="2952">
        <v>104.36</v>
      </c>
      <c r="J108" s="2951">
        <v>102.04</v>
      </c>
      <c r="K108" s="2953">
        <v>90.3</v>
      </c>
      <c r="L108" s="2954">
        <v>101.73</v>
      </c>
      <c r="M108" s="2951">
        <v>102.78</v>
      </c>
      <c r="N108" s="2955">
        <v>101.44</v>
      </c>
    </row>
    <row r="109" spans="1:14" s="9" customFormat="1" ht="12.75" customHeight="1">
      <c r="A109" s="483">
        <v>2001.04</v>
      </c>
      <c r="B109" s="2954">
        <v>105.09</v>
      </c>
      <c r="C109" s="2951">
        <v>106.05</v>
      </c>
      <c r="D109" s="2952">
        <v>104.42</v>
      </c>
      <c r="E109" s="2951">
        <v>106.48</v>
      </c>
      <c r="F109" s="2953">
        <v>92.78</v>
      </c>
      <c r="G109" s="2954">
        <v>101.41</v>
      </c>
      <c r="H109" s="2951">
        <v>102.26</v>
      </c>
      <c r="I109" s="2952">
        <v>103.89</v>
      </c>
      <c r="J109" s="2951">
        <v>101.81</v>
      </c>
      <c r="K109" s="2953">
        <v>90.99</v>
      </c>
      <c r="L109" s="2954">
        <v>101.37</v>
      </c>
      <c r="M109" s="2951">
        <v>102.05</v>
      </c>
      <c r="N109" s="2955">
        <v>101.18</v>
      </c>
    </row>
    <row r="110" spans="1:14" s="9" customFormat="1" ht="12.75" customHeight="1">
      <c r="A110" s="483">
        <v>2001.05</v>
      </c>
      <c r="B110" s="2954">
        <v>105.17</v>
      </c>
      <c r="C110" s="2951">
        <v>106.28</v>
      </c>
      <c r="D110" s="2952">
        <v>107.33</v>
      </c>
      <c r="E110" s="2951">
        <v>106.01</v>
      </c>
      <c r="F110" s="2953">
        <v>91.05</v>
      </c>
      <c r="G110" s="2954">
        <v>101.75</v>
      </c>
      <c r="H110" s="2951">
        <v>102.69</v>
      </c>
      <c r="I110" s="2952">
        <v>106.73</v>
      </c>
      <c r="J110" s="2951">
        <v>101.58</v>
      </c>
      <c r="K110" s="2953">
        <v>90.12</v>
      </c>
      <c r="L110" s="2954">
        <v>101.83</v>
      </c>
      <c r="M110" s="2951">
        <v>104.91</v>
      </c>
      <c r="N110" s="2955">
        <v>100.98</v>
      </c>
    </row>
    <row r="111" spans="1:14" s="9" customFormat="1" ht="12.75" customHeight="1">
      <c r="A111" s="483">
        <v>2001.06</v>
      </c>
      <c r="B111" s="2954">
        <v>104.7</v>
      </c>
      <c r="C111" s="2951">
        <v>105.8</v>
      </c>
      <c r="D111" s="2952">
        <v>106.47</v>
      </c>
      <c r="E111" s="2951">
        <v>105.62</v>
      </c>
      <c r="F111" s="2953">
        <v>90.67</v>
      </c>
      <c r="G111" s="2954">
        <v>101.31</v>
      </c>
      <c r="H111" s="2951">
        <v>102.22</v>
      </c>
      <c r="I111" s="2952">
        <v>105.79</v>
      </c>
      <c r="J111" s="2951">
        <v>101.24</v>
      </c>
      <c r="K111" s="2953">
        <v>89.98</v>
      </c>
      <c r="L111" s="2954">
        <v>101.56</v>
      </c>
      <c r="M111" s="2951">
        <v>104.18</v>
      </c>
      <c r="N111" s="2955">
        <v>100.83</v>
      </c>
    </row>
    <row r="112" spans="1:14" s="9" customFormat="1" ht="12.75" customHeight="1">
      <c r="A112" s="483">
        <v>2001.07</v>
      </c>
      <c r="B112" s="2954">
        <v>104.33</v>
      </c>
      <c r="C112" s="2951">
        <v>105.3</v>
      </c>
      <c r="D112" s="2952">
        <v>105.53</v>
      </c>
      <c r="E112" s="2951">
        <v>105.23</v>
      </c>
      <c r="F112" s="2953">
        <v>92.06</v>
      </c>
      <c r="G112" s="2954">
        <v>101.03</v>
      </c>
      <c r="H112" s="2951">
        <v>101.81</v>
      </c>
      <c r="I112" s="2952">
        <v>104.83</v>
      </c>
      <c r="J112" s="2951">
        <v>100.98</v>
      </c>
      <c r="K112" s="2953">
        <v>91.39</v>
      </c>
      <c r="L112" s="2954">
        <v>101.56</v>
      </c>
      <c r="M112" s="2951">
        <v>103.66</v>
      </c>
      <c r="N112" s="2955">
        <v>100.98</v>
      </c>
    </row>
    <row r="113" spans="1:14" s="9" customFormat="1" ht="12.75" customHeight="1">
      <c r="A113" s="483">
        <v>2001.08</v>
      </c>
      <c r="B113" s="2954">
        <v>103.82</v>
      </c>
      <c r="C113" s="2951">
        <v>104.84</v>
      </c>
      <c r="D113" s="2952">
        <v>104.94</v>
      </c>
      <c r="E113" s="2951">
        <v>104.81</v>
      </c>
      <c r="F113" s="2953">
        <v>90.82</v>
      </c>
      <c r="G113" s="2954">
        <v>100.5</v>
      </c>
      <c r="H113" s="2951">
        <v>101.34</v>
      </c>
      <c r="I113" s="2952">
        <v>104.2</v>
      </c>
      <c r="J113" s="2951">
        <v>100.55</v>
      </c>
      <c r="K113" s="2953">
        <v>90.15</v>
      </c>
      <c r="L113" s="2954">
        <v>101.04</v>
      </c>
      <c r="M113" s="2951">
        <v>103.17</v>
      </c>
      <c r="N113" s="2955">
        <v>100.45</v>
      </c>
    </row>
    <row r="114" spans="1:14" s="9" customFormat="1" ht="12.75" customHeight="1">
      <c r="A114" s="483">
        <v>2001.09</v>
      </c>
      <c r="B114" s="2954">
        <v>103.37</v>
      </c>
      <c r="C114" s="2951">
        <v>104.35</v>
      </c>
      <c r="D114" s="2952">
        <v>100.41</v>
      </c>
      <c r="E114" s="2951">
        <v>105.39</v>
      </c>
      <c r="F114" s="2953">
        <v>90.92</v>
      </c>
      <c r="G114" s="2954">
        <v>99.41</v>
      </c>
      <c r="H114" s="2951">
        <v>100.15</v>
      </c>
      <c r="I114" s="2952">
        <v>99.68</v>
      </c>
      <c r="J114" s="2951">
        <v>100.28</v>
      </c>
      <c r="K114" s="2953">
        <v>90.27</v>
      </c>
      <c r="L114" s="2954">
        <v>99.81</v>
      </c>
      <c r="M114" s="2951">
        <v>98.97</v>
      </c>
      <c r="N114" s="2955">
        <v>100.04</v>
      </c>
    </row>
    <row r="115" spans="1:14" s="9" customFormat="1" ht="12.75" customHeight="1">
      <c r="A115" s="483">
        <v>2001.1</v>
      </c>
      <c r="B115" s="2954">
        <v>101.82</v>
      </c>
      <c r="C115" s="2951">
        <v>102.71</v>
      </c>
      <c r="D115" s="2952">
        <v>94.49</v>
      </c>
      <c r="E115" s="2951">
        <v>104.88</v>
      </c>
      <c r="F115" s="2953">
        <v>90.44</v>
      </c>
      <c r="G115" s="2954">
        <v>97.85</v>
      </c>
      <c r="H115" s="2951">
        <v>98.5</v>
      </c>
      <c r="I115" s="2952">
        <v>93.89</v>
      </c>
      <c r="J115" s="2951">
        <v>99.77</v>
      </c>
      <c r="K115" s="2953">
        <v>89.79</v>
      </c>
      <c r="L115" s="2954">
        <v>98.16</v>
      </c>
      <c r="M115" s="2951">
        <v>93.25</v>
      </c>
      <c r="N115" s="2955">
        <v>99.51</v>
      </c>
    </row>
    <row r="116" spans="1:14" s="9" customFormat="1" ht="12.75" customHeight="1">
      <c r="A116" s="483">
        <v>2001.11</v>
      </c>
      <c r="B116" s="2954">
        <v>100.4</v>
      </c>
      <c r="C116" s="2951">
        <v>101.21</v>
      </c>
      <c r="D116" s="2952">
        <v>89.45</v>
      </c>
      <c r="E116" s="2951">
        <v>104.32</v>
      </c>
      <c r="F116" s="2953">
        <v>90.07</v>
      </c>
      <c r="G116" s="2954">
        <v>96.45</v>
      </c>
      <c r="H116" s="2951">
        <v>96.99</v>
      </c>
      <c r="I116" s="2952">
        <v>88.95</v>
      </c>
      <c r="J116" s="2951">
        <v>99.21</v>
      </c>
      <c r="K116" s="2953">
        <v>89.7</v>
      </c>
      <c r="L116" s="2954">
        <v>96.97</v>
      </c>
      <c r="M116" s="2951">
        <v>88.67</v>
      </c>
      <c r="N116" s="2955">
        <v>99.27</v>
      </c>
    </row>
    <row r="117" spans="1:14" s="9" customFormat="1" ht="12.75" customHeight="1">
      <c r="A117" s="483">
        <v>2001.12</v>
      </c>
      <c r="B117" s="2954">
        <v>100.22</v>
      </c>
      <c r="C117" s="2951">
        <v>101.09</v>
      </c>
      <c r="D117" s="2952">
        <v>89.68</v>
      </c>
      <c r="E117" s="2951">
        <v>104.11</v>
      </c>
      <c r="F117" s="2953">
        <v>89.14</v>
      </c>
      <c r="G117" s="2954">
        <v>96.24</v>
      </c>
      <c r="H117" s="2951">
        <v>96.84</v>
      </c>
      <c r="I117" s="2952">
        <v>89.1</v>
      </c>
      <c r="J117" s="2951">
        <v>98.97</v>
      </c>
      <c r="K117" s="2953">
        <v>88.77</v>
      </c>
      <c r="L117" s="2954">
        <v>96.81</v>
      </c>
      <c r="M117" s="2951">
        <v>89.06</v>
      </c>
      <c r="N117" s="2955">
        <v>98.95</v>
      </c>
    </row>
    <row r="118" spans="1:14" s="9" customFormat="1" ht="12.75" customHeight="1">
      <c r="A118" s="483">
        <v>2002.01</v>
      </c>
      <c r="B118" s="2954">
        <v>106.6</v>
      </c>
      <c r="C118" s="2951">
        <v>106.84</v>
      </c>
      <c r="D118" s="2952">
        <v>103.23</v>
      </c>
      <c r="E118" s="2951">
        <v>107.79</v>
      </c>
      <c r="F118" s="2953">
        <v>103.55</v>
      </c>
      <c r="G118" s="2954">
        <v>102.77</v>
      </c>
      <c r="H118" s="2951">
        <v>102.75</v>
      </c>
      <c r="I118" s="2952">
        <v>102.51</v>
      </c>
      <c r="J118" s="2951">
        <v>102.82</v>
      </c>
      <c r="K118" s="2953">
        <v>103.01</v>
      </c>
      <c r="L118" s="2954">
        <v>103.06</v>
      </c>
      <c r="M118" s="2951">
        <v>103.61</v>
      </c>
      <c r="N118" s="2955">
        <v>102.91</v>
      </c>
    </row>
    <row r="119" spans="1:14" s="9" customFormat="1" ht="12.75" customHeight="1">
      <c r="A119" s="483">
        <v>2002.02</v>
      </c>
      <c r="B119" s="2954">
        <v>119.74</v>
      </c>
      <c r="C119" s="2951">
        <v>117.99</v>
      </c>
      <c r="D119" s="2952">
        <v>118.07</v>
      </c>
      <c r="E119" s="2951">
        <v>117.97</v>
      </c>
      <c r="F119" s="2953">
        <v>141.94</v>
      </c>
      <c r="G119" s="2954">
        <v>116.07</v>
      </c>
      <c r="H119" s="2951">
        <v>114.07</v>
      </c>
      <c r="I119" s="2952">
        <v>117.16</v>
      </c>
      <c r="J119" s="2951">
        <v>113.22</v>
      </c>
      <c r="K119" s="2953">
        <v>140.81</v>
      </c>
      <c r="L119" s="2954">
        <v>114.44</v>
      </c>
      <c r="M119" s="2951">
        <v>118.75</v>
      </c>
      <c r="N119" s="2955">
        <v>113.25</v>
      </c>
    </row>
    <row r="120" spans="1:14" s="9" customFormat="1" ht="12.75" customHeight="1">
      <c r="A120" s="483">
        <v>2002.03</v>
      </c>
      <c r="B120" s="2954">
        <v>134.80000000000001</v>
      </c>
      <c r="C120" s="2951">
        <v>131.55000000000001</v>
      </c>
      <c r="D120" s="2952">
        <v>136.5</v>
      </c>
      <c r="E120" s="2951">
        <v>130.24</v>
      </c>
      <c r="F120" s="2953">
        <v>176.18</v>
      </c>
      <c r="G120" s="2954">
        <v>131.41</v>
      </c>
      <c r="H120" s="2951">
        <v>127.93</v>
      </c>
      <c r="I120" s="2952">
        <v>135.25</v>
      </c>
      <c r="J120" s="2951">
        <v>125.91</v>
      </c>
      <c r="K120" s="2953">
        <v>174.48</v>
      </c>
      <c r="L120" s="2954">
        <v>129.47999999999999</v>
      </c>
      <c r="M120" s="2951">
        <v>137.4</v>
      </c>
      <c r="N120" s="2955">
        <v>127.29</v>
      </c>
    </row>
    <row r="121" spans="1:14" s="9" customFormat="1" ht="12.75" customHeight="1">
      <c r="A121" s="483">
        <v>2002.04</v>
      </c>
      <c r="B121" s="2954">
        <v>161.63999999999999</v>
      </c>
      <c r="C121" s="2951">
        <v>156.76</v>
      </c>
      <c r="D121" s="2952">
        <v>167.76</v>
      </c>
      <c r="E121" s="2951">
        <v>153.86000000000001</v>
      </c>
      <c r="F121" s="2953">
        <v>223.72</v>
      </c>
      <c r="G121" s="2954">
        <v>157.68</v>
      </c>
      <c r="H121" s="2951">
        <v>152.54</v>
      </c>
      <c r="I121" s="2952">
        <v>166.39</v>
      </c>
      <c r="J121" s="2951">
        <v>148.72999999999999</v>
      </c>
      <c r="K121" s="2953">
        <v>221.21</v>
      </c>
      <c r="L121" s="2954">
        <v>154.56</v>
      </c>
      <c r="M121" s="2951">
        <v>168.19</v>
      </c>
      <c r="N121" s="2955">
        <v>150.78</v>
      </c>
    </row>
    <row r="122" spans="1:14" s="9" customFormat="1" ht="12.75" customHeight="1">
      <c r="A122" s="483">
        <v>2002.05</v>
      </c>
      <c r="B122" s="2954">
        <v>181.57</v>
      </c>
      <c r="C122" s="2951">
        <v>175.68</v>
      </c>
      <c r="D122" s="2952">
        <v>198.59</v>
      </c>
      <c r="E122" s="2951">
        <v>169.63</v>
      </c>
      <c r="F122" s="2953">
        <v>256.57</v>
      </c>
      <c r="G122" s="2954">
        <v>177.88</v>
      </c>
      <c r="H122" s="2951">
        <v>171.76</v>
      </c>
      <c r="I122" s="2952">
        <v>196.64</v>
      </c>
      <c r="J122" s="2951">
        <v>164.91</v>
      </c>
      <c r="K122" s="2953">
        <v>253.5</v>
      </c>
      <c r="L122" s="2954">
        <v>174.27</v>
      </c>
      <c r="M122" s="2951">
        <v>199.99</v>
      </c>
      <c r="N122" s="2955">
        <v>167.16</v>
      </c>
    </row>
    <row r="123" spans="1:14" s="9" customFormat="1" ht="12.75" customHeight="1">
      <c r="A123" s="483">
        <v>2002.06</v>
      </c>
      <c r="B123" s="2954">
        <v>197.08</v>
      </c>
      <c r="C123" s="2951">
        <v>191.24</v>
      </c>
      <c r="D123" s="2952">
        <v>217.07</v>
      </c>
      <c r="E123" s="2951">
        <v>184.42</v>
      </c>
      <c r="F123" s="2953">
        <v>271.51</v>
      </c>
      <c r="G123" s="2954">
        <v>193.68</v>
      </c>
      <c r="H123" s="2951">
        <v>187.61</v>
      </c>
      <c r="I123" s="2952">
        <v>215.06</v>
      </c>
      <c r="J123" s="2951">
        <v>180.05</v>
      </c>
      <c r="K123" s="2953">
        <v>268.66000000000003</v>
      </c>
      <c r="L123" s="2954">
        <v>190.84</v>
      </c>
      <c r="M123" s="2951">
        <v>218.93</v>
      </c>
      <c r="N123" s="2955">
        <v>183.07</v>
      </c>
    </row>
    <row r="124" spans="1:14" s="9" customFormat="1" ht="12.75" customHeight="1">
      <c r="A124" s="483">
        <v>2002.07</v>
      </c>
      <c r="B124" s="2954">
        <v>206.24</v>
      </c>
      <c r="C124" s="2951">
        <v>200.78</v>
      </c>
      <c r="D124" s="2952">
        <v>236.88</v>
      </c>
      <c r="E124" s="2951">
        <v>191.25</v>
      </c>
      <c r="F124" s="2953">
        <v>275.75</v>
      </c>
      <c r="G124" s="2954">
        <v>202.81</v>
      </c>
      <c r="H124" s="2951">
        <v>197.15</v>
      </c>
      <c r="I124" s="2952">
        <v>234.76</v>
      </c>
      <c r="J124" s="2951">
        <v>186.79</v>
      </c>
      <c r="K124" s="2953">
        <v>272.87</v>
      </c>
      <c r="L124" s="2954">
        <v>201.18</v>
      </c>
      <c r="M124" s="2951">
        <v>238.12</v>
      </c>
      <c r="N124" s="2955">
        <v>190.96</v>
      </c>
    </row>
    <row r="125" spans="1:14" s="9" customFormat="1" ht="12.75" customHeight="1">
      <c r="A125" s="483">
        <v>2002.08</v>
      </c>
      <c r="B125" s="2954">
        <v>216.64</v>
      </c>
      <c r="C125" s="2951">
        <v>211.23</v>
      </c>
      <c r="D125" s="2952">
        <v>261.45</v>
      </c>
      <c r="E125" s="2951">
        <v>197.98</v>
      </c>
      <c r="F125" s="2953">
        <v>285.45999999999998</v>
      </c>
      <c r="G125" s="2954">
        <v>212.85</v>
      </c>
      <c r="H125" s="2951">
        <v>207.23</v>
      </c>
      <c r="I125" s="2952">
        <v>259.43</v>
      </c>
      <c r="J125" s="2951">
        <v>192.86</v>
      </c>
      <c r="K125" s="2953">
        <v>282.27</v>
      </c>
      <c r="L125" s="2954">
        <v>211.47</v>
      </c>
      <c r="M125" s="2951">
        <v>262.52999999999997</v>
      </c>
      <c r="N125" s="2955">
        <v>197.33</v>
      </c>
    </row>
    <row r="126" spans="1:14" s="9" customFormat="1" ht="12.75" customHeight="1">
      <c r="A126" s="483">
        <v>2002.09</v>
      </c>
      <c r="B126" s="2954">
        <v>221.92</v>
      </c>
      <c r="C126" s="2951">
        <v>217.1</v>
      </c>
      <c r="D126" s="2952">
        <v>280.95</v>
      </c>
      <c r="E126" s="2951">
        <v>200.24</v>
      </c>
      <c r="F126" s="2953">
        <v>283.32</v>
      </c>
      <c r="G126" s="2954">
        <v>218.35</v>
      </c>
      <c r="H126" s="2951">
        <v>213.36</v>
      </c>
      <c r="I126" s="2952">
        <v>278.87</v>
      </c>
      <c r="J126" s="2951">
        <v>195.32</v>
      </c>
      <c r="K126" s="2953">
        <v>280.07</v>
      </c>
      <c r="L126" s="2954">
        <v>217.43</v>
      </c>
      <c r="M126" s="2951">
        <v>281.73</v>
      </c>
      <c r="N126" s="2955">
        <v>199.63</v>
      </c>
    </row>
    <row r="127" spans="1:14" s="9" customFormat="1" ht="12.75" customHeight="1">
      <c r="A127" s="483">
        <v>2002.1</v>
      </c>
      <c r="B127" s="2954">
        <v>223.02</v>
      </c>
      <c r="C127" s="2951">
        <v>218.08</v>
      </c>
      <c r="D127" s="2952">
        <v>275.32</v>
      </c>
      <c r="E127" s="2951">
        <v>202.97</v>
      </c>
      <c r="F127" s="2953">
        <v>285.83999999999997</v>
      </c>
      <c r="G127" s="2954">
        <v>219.4</v>
      </c>
      <c r="H127" s="2951">
        <v>214.31</v>
      </c>
      <c r="I127" s="2952">
        <v>273.11</v>
      </c>
      <c r="J127" s="2951">
        <v>198.12</v>
      </c>
      <c r="K127" s="2953">
        <v>282.26</v>
      </c>
      <c r="L127" s="2954">
        <v>218.32</v>
      </c>
      <c r="M127" s="2951">
        <v>276.02</v>
      </c>
      <c r="N127" s="2955">
        <v>202.35</v>
      </c>
    </row>
    <row r="128" spans="1:14" s="9" customFormat="1" ht="12.75" customHeight="1">
      <c r="A128" s="483">
        <v>2002.11</v>
      </c>
      <c r="B128" s="2954">
        <v>219.32</v>
      </c>
      <c r="C128" s="2951">
        <v>214.96</v>
      </c>
      <c r="D128" s="2952">
        <v>267.04000000000002</v>
      </c>
      <c r="E128" s="2951">
        <v>201.21</v>
      </c>
      <c r="F128" s="2953">
        <v>274.75</v>
      </c>
      <c r="G128" s="2954">
        <v>217.12</v>
      </c>
      <c r="H128" s="2951">
        <v>212.61</v>
      </c>
      <c r="I128" s="2952">
        <v>266.83</v>
      </c>
      <c r="J128" s="2951">
        <v>197.68</v>
      </c>
      <c r="K128" s="2953">
        <v>272.87</v>
      </c>
      <c r="L128" s="2954">
        <v>216.76</v>
      </c>
      <c r="M128" s="2951">
        <v>269.48</v>
      </c>
      <c r="N128" s="2955">
        <v>202.17</v>
      </c>
    </row>
    <row r="129" spans="1:14" s="9" customFormat="1" ht="12.75" customHeight="1">
      <c r="A129" s="483">
        <v>2002.12</v>
      </c>
      <c r="B129" s="2954">
        <v>218.44</v>
      </c>
      <c r="C129" s="2951">
        <v>214.27</v>
      </c>
      <c r="D129" s="2952">
        <v>268.72000000000003</v>
      </c>
      <c r="E129" s="2951">
        <v>199.9</v>
      </c>
      <c r="F129" s="2953">
        <v>271.45999999999998</v>
      </c>
      <c r="G129" s="2954">
        <v>218.17</v>
      </c>
      <c r="H129" s="2951">
        <v>213.82</v>
      </c>
      <c r="I129" s="2952">
        <v>270.81</v>
      </c>
      <c r="J129" s="2951">
        <v>198.13</v>
      </c>
      <c r="K129" s="2953">
        <v>271.83999999999997</v>
      </c>
      <c r="L129" s="2954">
        <v>217.73</v>
      </c>
      <c r="M129" s="2951">
        <v>272.99</v>
      </c>
      <c r="N129" s="2955">
        <v>202.44</v>
      </c>
    </row>
    <row r="130" spans="1:14" s="9" customFormat="1" ht="12.75" customHeight="1">
      <c r="A130" s="483">
        <v>2003.01</v>
      </c>
      <c r="B130" s="2954">
        <v>219.36</v>
      </c>
      <c r="C130" s="2951">
        <v>216</v>
      </c>
      <c r="D130" s="2952">
        <v>271.18</v>
      </c>
      <c r="E130" s="2951">
        <v>201.43</v>
      </c>
      <c r="F130" s="2953">
        <v>262.08999999999997</v>
      </c>
      <c r="G130" s="2954">
        <v>218.29</v>
      </c>
      <c r="H130" s="2951">
        <v>214.83</v>
      </c>
      <c r="I130" s="2952">
        <v>274.20999999999998</v>
      </c>
      <c r="J130" s="2951">
        <v>198.48</v>
      </c>
      <c r="K130" s="2953">
        <v>260.97000000000003</v>
      </c>
      <c r="L130" s="2954">
        <v>217.89</v>
      </c>
      <c r="M130" s="2951">
        <v>275.25</v>
      </c>
      <c r="N130" s="2955">
        <v>202.02</v>
      </c>
    </row>
    <row r="131" spans="1:14" s="9" customFormat="1" ht="12.75" customHeight="1">
      <c r="A131" s="483">
        <v>2003.02</v>
      </c>
      <c r="B131" s="2954">
        <v>220.21</v>
      </c>
      <c r="C131" s="2951">
        <v>217.15</v>
      </c>
      <c r="D131" s="2952">
        <v>267.7</v>
      </c>
      <c r="E131" s="2951">
        <v>203.81</v>
      </c>
      <c r="F131" s="2953">
        <v>259.08999999999997</v>
      </c>
      <c r="G131" s="2954">
        <v>217.42</v>
      </c>
      <c r="H131" s="2951">
        <v>214.33</v>
      </c>
      <c r="I131" s="2952">
        <v>269.95</v>
      </c>
      <c r="J131" s="2951">
        <v>199.01</v>
      </c>
      <c r="K131" s="2953">
        <v>255.62</v>
      </c>
      <c r="L131" s="2954">
        <v>217.32</v>
      </c>
      <c r="M131" s="2951">
        <v>270.70999999999998</v>
      </c>
      <c r="N131" s="2955">
        <v>202.54</v>
      </c>
    </row>
    <row r="132" spans="1:14" s="9" customFormat="1" ht="12.75" customHeight="1">
      <c r="A132" s="483">
        <v>2003.03</v>
      </c>
      <c r="B132" s="2954">
        <v>218.7</v>
      </c>
      <c r="C132" s="2951">
        <v>215.84</v>
      </c>
      <c r="D132" s="2952">
        <v>256.60000000000002</v>
      </c>
      <c r="E132" s="2951">
        <v>205.08</v>
      </c>
      <c r="F132" s="2953">
        <v>255.13</v>
      </c>
      <c r="G132" s="2954">
        <v>215.73</v>
      </c>
      <c r="H132" s="2951">
        <v>212.83</v>
      </c>
      <c r="I132" s="2952">
        <v>258.45</v>
      </c>
      <c r="J132" s="2951">
        <v>200.27</v>
      </c>
      <c r="K132" s="2953">
        <v>251.61</v>
      </c>
      <c r="L132" s="2954">
        <v>215.26</v>
      </c>
      <c r="M132" s="2951">
        <v>257.5</v>
      </c>
      <c r="N132" s="2955">
        <v>203.57</v>
      </c>
    </row>
    <row r="133" spans="1:14" s="9" customFormat="1" ht="12.75" customHeight="1">
      <c r="A133" s="483">
        <v>2003.04</v>
      </c>
      <c r="B133" s="2954">
        <v>214.7</v>
      </c>
      <c r="C133" s="2951">
        <v>212.24</v>
      </c>
      <c r="D133" s="2952">
        <v>242.33</v>
      </c>
      <c r="E133" s="2951">
        <v>204.29</v>
      </c>
      <c r="F133" s="2953">
        <v>245.98</v>
      </c>
      <c r="G133" s="2954">
        <v>211.6</v>
      </c>
      <c r="H133" s="2951">
        <v>209.1</v>
      </c>
      <c r="I133" s="2952">
        <v>244.17</v>
      </c>
      <c r="J133" s="2951">
        <v>199.44</v>
      </c>
      <c r="K133" s="2953">
        <v>242.55</v>
      </c>
      <c r="L133" s="2954">
        <v>211.24</v>
      </c>
      <c r="M133" s="2951">
        <v>243.34</v>
      </c>
      <c r="N133" s="2955">
        <v>202.36</v>
      </c>
    </row>
    <row r="134" spans="1:14" s="9" customFormat="1" ht="12.75" customHeight="1">
      <c r="A134" s="483">
        <v>2003.05</v>
      </c>
      <c r="B134" s="2954">
        <v>213.33</v>
      </c>
      <c r="C134" s="2951">
        <v>211.4</v>
      </c>
      <c r="D134" s="2952">
        <v>240.34</v>
      </c>
      <c r="E134" s="2951">
        <v>203.76</v>
      </c>
      <c r="F134" s="2953">
        <v>237.95</v>
      </c>
      <c r="G134" s="2954">
        <v>210.21</v>
      </c>
      <c r="H134" s="2951">
        <v>208.23</v>
      </c>
      <c r="I134" s="2952">
        <v>242.12</v>
      </c>
      <c r="J134" s="2951">
        <v>198.9</v>
      </c>
      <c r="K134" s="2953">
        <v>234.66</v>
      </c>
      <c r="L134" s="2954">
        <v>210.47</v>
      </c>
      <c r="M134" s="2951">
        <v>241.66</v>
      </c>
      <c r="N134" s="2955">
        <v>201.84</v>
      </c>
    </row>
    <row r="135" spans="1:14" s="9" customFormat="1" ht="12.75" customHeight="1">
      <c r="A135" s="483">
        <v>2003.06</v>
      </c>
      <c r="B135" s="2954">
        <v>213.04</v>
      </c>
      <c r="C135" s="2951">
        <v>211.32</v>
      </c>
      <c r="D135" s="2952">
        <v>243.16</v>
      </c>
      <c r="E135" s="2951">
        <v>202.91</v>
      </c>
      <c r="F135" s="2953">
        <v>234.88</v>
      </c>
      <c r="G135" s="2954">
        <v>209.84</v>
      </c>
      <c r="H135" s="2951">
        <v>208.08</v>
      </c>
      <c r="I135" s="2952">
        <v>244.75</v>
      </c>
      <c r="J135" s="2951">
        <v>197.98</v>
      </c>
      <c r="K135" s="2953">
        <v>231.68</v>
      </c>
      <c r="L135" s="2954">
        <v>210.07</v>
      </c>
      <c r="M135" s="2951">
        <v>243.71</v>
      </c>
      <c r="N135" s="2955">
        <v>200.76</v>
      </c>
    </row>
    <row r="136" spans="1:14" s="9" customFormat="1" ht="12.75" customHeight="1">
      <c r="A136" s="483">
        <v>2003.07</v>
      </c>
      <c r="B136" s="2954">
        <v>212.96</v>
      </c>
      <c r="C136" s="2951">
        <v>211.62</v>
      </c>
      <c r="D136" s="2952">
        <v>242.8</v>
      </c>
      <c r="E136" s="2951">
        <v>203.39</v>
      </c>
      <c r="F136" s="2953">
        <v>230.02</v>
      </c>
      <c r="G136" s="2954">
        <v>209.42</v>
      </c>
      <c r="H136" s="2951">
        <v>208</v>
      </c>
      <c r="I136" s="2952">
        <v>244.37</v>
      </c>
      <c r="J136" s="2951">
        <v>197.98</v>
      </c>
      <c r="K136" s="2953">
        <v>226.95</v>
      </c>
      <c r="L136" s="2954">
        <v>209.62</v>
      </c>
      <c r="M136" s="2951">
        <v>242.27</v>
      </c>
      <c r="N136" s="2955">
        <v>200.58</v>
      </c>
    </row>
    <row r="137" spans="1:14" s="9" customFormat="1" ht="12.75" customHeight="1">
      <c r="A137" s="483">
        <v>2003.08</v>
      </c>
      <c r="B137" s="2954">
        <v>215.87</v>
      </c>
      <c r="C137" s="2951">
        <v>214.32</v>
      </c>
      <c r="D137" s="2952">
        <v>254.1</v>
      </c>
      <c r="E137" s="2951">
        <v>203.81</v>
      </c>
      <c r="F137" s="2953">
        <v>235.67</v>
      </c>
      <c r="G137" s="2954">
        <v>212.42</v>
      </c>
      <c r="H137" s="2951">
        <v>210.78</v>
      </c>
      <c r="I137" s="2952">
        <v>255.82</v>
      </c>
      <c r="J137" s="2951">
        <v>198.38</v>
      </c>
      <c r="K137" s="2953">
        <v>232.61</v>
      </c>
      <c r="L137" s="2954">
        <v>212.36</v>
      </c>
      <c r="M137" s="2951">
        <v>253.97</v>
      </c>
      <c r="N137" s="2955">
        <v>200.84</v>
      </c>
    </row>
    <row r="138" spans="1:14" s="9" customFormat="1" ht="12.75" customHeight="1">
      <c r="A138" s="483">
        <v>2003.09</v>
      </c>
      <c r="B138" s="2954">
        <v>215.5</v>
      </c>
      <c r="C138" s="2951">
        <v>213.81</v>
      </c>
      <c r="D138" s="2952">
        <v>250.72</v>
      </c>
      <c r="E138" s="2951">
        <v>204.07</v>
      </c>
      <c r="F138" s="2953">
        <v>236.92</v>
      </c>
      <c r="G138" s="2954">
        <v>211.98</v>
      </c>
      <c r="H138" s="2951">
        <v>210.22</v>
      </c>
      <c r="I138" s="2952">
        <v>252.66</v>
      </c>
      <c r="J138" s="2951">
        <v>198.53</v>
      </c>
      <c r="K138" s="2953">
        <v>233.8</v>
      </c>
      <c r="L138" s="2954">
        <v>212.36</v>
      </c>
      <c r="M138" s="2951">
        <v>251.57</v>
      </c>
      <c r="N138" s="2955">
        <v>201.5</v>
      </c>
    </row>
    <row r="139" spans="1:14" s="9" customFormat="1" ht="12.75" customHeight="1">
      <c r="A139" s="483">
        <v>2003.1</v>
      </c>
      <c r="B139" s="2954">
        <v>216.65</v>
      </c>
      <c r="C139" s="2951">
        <v>215.25</v>
      </c>
      <c r="D139" s="2952">
        <v>254.85</v>
      </c>
      <c r="E139" s="2951">
        <v>204.8</v>
      </c>
      <c r="F139" s="2953">
        <v>234.46</v>
      </c>
      <c r="G139" s="2954">
        <v>213.27</v>
      </c>
      <c r="H139" s="2951">
        <v>211.81</v>
      </c>
      <c r="I139" s="2952">
        <v>257.32</v>
      </c>
      <c r="J139" s="2951">
        <v>199.28</v>
      </c>
      <c r="K139" s="2953">
        <v>231.39</v>
      </c>
      <c r="L139" s="2954">
        <v>214.74</v>
      </c>
      <c r="M139" s="2951">
        <v>257.35000000000002</v>
      </c>
      <c r="N139" s="2955">
        <v>202.95</v>
      </c>
    </row>
    <row r="140" spans="1:14" s="9" customFormat="1" ht="12.75" customHeight="1">
      <c r="A140" s="483">
        <v>2003.11</v>
      </c>
      <c r="B140" s="2954">
        <v>218.9</v>
      </c>
      <c r="C140" s="2951">
        <v>217.67</v>
      </c>
      <c r="D140" s="2952">
        <v>261.60000000000002</v>
      </c>
      <c r="E140" s="2951">
        <v>206.08</v>
      </c>
      <c r="F140" s="2953">
        <v>234.51</v>
      </c>
      <c r="G140" s="2954">
        <v>215.6</v>
      </c>
      <c r="H140" s="2951">
        <v>214.32</v>
      </c>
      <c r="I140" s="2952">
        <v>264.18</v>
      </c>
      <c r="J140" s="2951">
        <v>200.59</v>
      </c>
      <c r="K140" s="2953">
        <v>231.51</v>
      </c>
      <c r="L140" s="2954">
        <v>217.87</v>
      </c>
      <c r="M140" s="2951">
        <v>265.44</v>
      </c>
      <c r="N140" s="2955">
        <v>204.71</v>
      </c>
    </row>
    <row r="141" spans="1:14" s="9" customFormat="1" ht="12.75" customHeight="1">
      <c r="A141" s="483">
        <v>2003.12</v>
      </c>
      <c r="B141" s="2954">
        <v>222.71</v>
      </c>
      <c r="C141" s="2951">
        <v>221.3</v>
      </c>
      <c r="D141" s="2952">
        <v>272.58</v>
      </c>
      <c r="E141" s="2951">
        <v>207.77</v>
      </c>
      <c r="F141" s="2953">
        <v>240.56</v>
      </c>
      <c r="G141" s="2954">
        <v>219.51</v>
      </c>
      <c r="H141" s="2951">
        <v>218.06</v>
      </c>
      <c r="I141" s="2952">
        <v>275.05</v>
      </c>
      <c r="J141" s="2951">
        <v>202.36</v>
      </c>
      <c r="K141" s="2953">
        <v>237.49</v>
      </c>
      <c r="L141" s="2954">
        <v>221.93</v>
      </c>
      <c r="M141" s="2951">
        <v>277.05</v>
      </c>
      <c r="N141" s="2955">
        <v>206.68</v>
      </c>
    </row>
    <row r="142" spans="1:14" s="9" customFormat="1" ht="12.75" customHeight="1">
      <c r="A142" s="483">
        <v>2004.01</v>
      </c>
      <c r="B142" s="2954">
        <v>221.96</v>
      </c>
      <c r="C142" s="2951">
        <v>220.55</v>
      </c>
      <c r="D142" s="2952">
        <v>265.64999999999998</v>
      </c>
      <c r="E142" s="2951">
        <v>208.65</v>
      </c>
      <c r="F142" s="2953">
        <v>239.93</v>
      </c>
      <c r="G142" s="2954">
        <v>218.74</v>
      </c>
      <c r="H142" s="2951">
        <v>217.27</v>
      </c>
      <c r="I142" s="2952">
        <v>268.18</v>
      </c>
      <c r="J142" s="2951">
        <v>203.25</v>
      </c>
      <c r="K142" s="2953">
        <v>236.87</v>
      </c>
      <c r="L142" s="2954">
        <v>221.21</v>
      </c>
      <c r="M142" s="2951">
        <v>270.57</v>
      </c>
      <c r="N142" s="2955">
        <v>207.55</v>
      </c>
    </row>
    <row r="143" spans="1:14" s="9" customFormat="1" ht="12.75" customHeight="1">
      <c r="A143" s="483">
        <v>2004.02</v>
      </c>
      <c r="B143" s="2954">
        <v>225.05</v>
      </c>
      <c r="C143" s="2951">
        <v>223.71</v>
      </c>
      <c r="D143" s="2952">
        <v>270.32</v>
      </c>
      <c r="E143" s="2951">
        <v>211.41</v>
      </c>
      <c r="F143" s="2953">
        <v>242.06</v>
      </c>
      <c r="G143" s="2954">
        <v>221.87</v>
      </c>
      <c r="H143" s="2951">
        <v>220.48</v>
      </c>
      <c r="I143" s="2952">
        <v>272.85000000000002</v>
      </c>
      <c r="J143" s="2951">
        <v>206.07</v>
      </c>
      <c r="K143" s="2953">
        <v>239.01</v>
      </c>
      <c r="L143" s="2954">
        <v>224.42</v>
      </c>
      <c r="M143" s="2951">
        <v>274.95</v>
      </c>
      <c r="N143" s="2955">
        <v>210.43</v>
      </c>
    </row>
    <row r="144" spans="1:14" s="9" customFormat="1" ht="12.75" customHeight="1">
      <c r="A144" s="483">
        <v>2004.03</v>
      </c>
      <c r="B144" s="2954">
        <v>226.03</v>
      </c>
      <c r="C144" s="2951">
        <v>224.72</v>
      </c>
      <c r="D144" s="2952">
        <v>268.01</v>
      </c>
      <c r="E144" s="2951">
        <v>213.3</v>
      </c>
      <c r="F144" s="2953">
        <v>242.69</v>
      </c>
      <c r="G144" s="2954">
        <v>222.82</v>
      </c>
      <c r="H144" s="2951">
        <v>221.46</v>
      </c>
      <c r="I144" s="2952">
        <v>270.3</v>
      </c>
      <c r="J144" s="2951">
        <v>208.02</v>
      </c>
      <c r="K144" s="2953">
        <v>239.58</v>
      </c>
      <c r="L144" s="2954">
        <v>225.49</v>
      </c>
      <c r="M144" s="2951">
        <v>272.5</v>
      </c>
      <c r="N144" s="2955">
        <v>212.48</v>
      </c>
    </row>
    <row r="145" spans="1:14" s="9" customFormat="1" ht="12.75" customHeight="1">
      <c r="A145" s="483">
        <v>2004.04</v>
      </c>
      <c r="B145" s="2954">
        <v>227.84</v>
      </c>
      <c r="C145" s="2951">
        <v>226.85</v>
      </c>
      <c r="D145" s="2952">
        <v>272.20999999999998</v>
      </c>
      <c r="E145" s="2951">
        <v>214.87</v>
      </c>
      <c r="F145" s="2953">
        <v>240.5</v>
      </c>
      <c r="G145" s="2954">
        <v>224.51</v>
      </c>
      <c r="H145" s="2951">
        <v>223.46</v>
      </c>
      <c r="I145" s="2952">
        <v>274.68</v>
      </c>
      <c r="J145" s="2951">
        <v>209.35</v>
      </c>
      <c r="K145" s="2953">
        <v>237.5</v>
      </c>
      <c r="L145" s="2954">
        <v>227.41</v>
      </c>
      <c r="M145" s="2951">
        <v>277.22000000000003</v>
      </c>
      <c r="N145" s="2955">
        <v>213.62</v>
      </c>
    </row>
    <row r="146" spans="1:14" s="9" customFormat="1" ht="12.75" customHeight="1">
      <c r="A146" s="483">
        <v>2004.05</v>
      </c>
      <c r="B146" s="2954">
        <v>230.77</v>
      </c>
      <c r="C146" s="2951">
        <v>229.58</v>
      </c>
      <c r="D146" s="2952">
        <v>273.77</v>
      </c>
      <c r="E146" s="2951">
        <v>217.92</v>
      </c>
      <c r="F146" s="2953">
        <v>245.81</v>
      </c>
      <c r="G146" s="2954">
        <v>227.45</v>
      </c>
      <c r="H146" s="2951">
        <v>226.21</v>
      </c>
      <c r="I146" s="2952">
        <v>276.06</v>
      </c>
      <c r="J146" s="2951">
        <v>212.48</v>
      </c>
      <c r="K146" s="2953">
        <v>242.76</v>
      </c>
      <c r="L146" s="2954">
        <v>229.88</v>
      </c>
      <c r="M146" s="2951">
        <v>277.48</v>
      </c>
      <c r="N146" s="2955">
        <v>216.7</v>
      </c>
    </row>
    <row r="147" spans="1:14" s="9" customFormat="1" ht="12.75" customHeight="1">
      <c r="A147" s="483">
        <v>2004.06</v>
      </c>
      <c r="B147" s="2954">
        <v>231.29</v>
      </c>
      <c r="C147" s="2951">
        <v>229.79</v>
      </c>
      <c r="D147" s="2952">
        <v>268.27999999999997</v>
      </c>
      <c r="E147" s="2951">
        <v>219.63</v>
      </c>
      <c r="F147" s="2953">
        <v>250.36</v>
      </c>
      <c r="G147" s="2954">
        <v>227.94</v>
      </c>
      <c r="H147" s="2951">
        <v>226.38</v>
      </c>
      <c r="I147" s="2952">
        <v>270.48</v>
      </c>
      <c r="J147" s="2951">
        <v>214.23</v>
      </c>
      <c r="K147" s="2953">
        <v>247.28</v>
      </c>
      <c r="L147" s="2954">
        <v>229.08</v>
      </c>
      <c r="M147" s="2951">
        <v>270.82</v>
      </c>
      <c r="N147" s="2955">
        <v>217.53</v>
      </c>
    </row>
    <row r="148" spans="1:14" s="9" customFormat="1" ht="12.75" customHeight="1">
      <c r="A148" s="483">
        <v>2004.07</v>
      </c>
      <c r="B148" s="2954">
        <v>233.41</v>
      </c>
      <c r="C148" s="2951">
        <v>232.09</v>
      </c>
      <c r="D148" s="2952">
        <v>274.79000000000002</v>
      </c>
      <c r="E148" s="2951">
        <v>220.81</v>
      </c>
      <c r="F148" s="2953">
        <v>250.19</v>
      </c>
      <c r="G148" s="2954">
        <v>229.83</v>
      </c>
      <c r="H148" s="2951">
        <v>228.44</v>
      </c>
      <c r="I148" s="2952">
        <v>276.56</v>
      </c>
      <c r="J148" s="2951">
        <v>215.19</v>
      </c>
      <c r="K148" s="2953">
        <v>247.05</v>
      </c>
      <c r="L148" s="2954">
        <v>230.32</v>
      </c>
      <c r="M148" s="2951">
        <v>275.44</v>
      </c>
      <c r="N148" s="2955">
        <v>217.83</v>
      </c>
    </row>
    <row r="149" spans="1:14" s="9" customFormat="1" ht="12.75" customHeight="1">
      <c r="A149" s="483">
        <v>2004.08</v>
      </c>
      <c r="B149" s="2954">
        <v>239.06</v>
      </c>
      <c r="C149" s="2951">
        <v>237.78</v>
      </c>
      <c r="D149" s="2952">
        <v>294.79000000000002</v>
      </c>
      <c r="E149" s="2951">
        <v>222.72</v>
      </c>
      <c r="F149" s="2953">
        <v>255.45</v>
      </c>
      <c r="G149" s="2954">
        <v>235.53</v>
      </c>
      <c r="H149" s="2951">
        <v>234.18</v>
      </c>
      <c r="I149" s="2952">
        <v>296.32</v>
      </c>
      <c r="J149" s="2951">
        <v>217.02</v>
      </c>
      <c r="K149" s="2953">
        <v>252.23</v>
      </c>
      <c r="L149" s="2954">
        <v>235.63</v>
      </c>
      <c r="M149" s="2951">
        <v>293.89999999999998</v>
      </c>
      <c r="N149" s="2955">
        <v>219.5</v>
      </c>
    </row>
    <row r="150" spans="1:14" s="9" customFormat="1" ht="12.75" customHeight="1">
      <c r="A150" s="483">
        <v>2004.09</v>
      </c>
      <c r="B150" s="2954">
        <v>239.62</v>
      </c>
      <c r="C150" s="2951">
        <v>238.49</v>
      </c>
      <c r="D150" s="2952">
        <v>290.73</v>
      </c>
      <c r="E150" s="2951">
        <v>224.7</v>
      </c>
      <c r="F150" s="2953">
        <v>253.97</v>
      </c>
      <c r="G150" s="2954">
        <v>236.09</v>
      </c>
      <c r="H150" s="2951">
        <v>234.9</v>
      </c>
      <c r="I150" s="2952">
        <v>292.35000000000002</v>
      </c>
      <c r="J150" s="2951">
        <v>219.09</v>
      </c>
      <c r="K150" s="2953">
        <v>250.77</v>
      </c>
      <c r="L150" s="2954">
        <v>236.59</v>
      </c>
      <c r="M150" s="2951">
        <v>290.26</v>
      </c>
      <c r="N150" s="2955">
        <v>221.73</v>
      </c>
    </row>
    <row r="151" spans="1:14" s="9" customFormat="1" ht="12.75" customHeight="1">
      <c r="A151" s="483">
        <v>2004.1</v>
      </c>
      <c r="B151" s="2954">
        <v>241.02</v>
      </c>
      <c r="C151" s="2951">
        <v>240.04</v>
      </c>
      <c r="D151" s="2952">
        <v>292.29000000000002</v>
      </c>
      <c r="E151" s="2951">
        <v>226.25</v>
      </c>
      <c r="F151" s="2953">
        <v>253.49</v>
      </c>
      <c r="G151" s="2954">
        <v>237.43</v>
      </c>
      <c r="H151" s="2951">
        <v>236.39</v>
      </c>
      <c r="I151" s="2952">
        <v>293.51</v>
      </c>
      <c r="J151" s="2951">
        <v>220.66</v>
      </c>
      <c r="K151" s="2953">
        <v>250.28</v>
      </c>
      <c r="L151" s="2954">
        <v>237.96</v>
      </c>
      <c r="M151" s="2951">
        <v>291.26</v>
      </c>
      <c r="N151" s="2955">
        <v>223.21</v>
      </c>
    </row>
    <row r="152" spans="1:14" s="9" customFormat="1" ht="12.75" customHeight="1">
      <c r="A152" s="483">
        <v>2004.11</v>
      </c>
      <c r="B152" s="2954">
        <v>238.15</v>
      </c>
      <c r="C152" s="2951">
        <v>236.85</v>
      </c>
      <c r="D152" s="2952">
        <v>274.60000000000002</v>
      </c>
      <c r="E152" s="2951">
        <v>226.89</v>
      </c>
      <c r="F152" s="2953">
        <v>254.62</v>
      </c>
      <c r="G152" s="2954">
        <v>234.5</v>
      </c>
      <c r="H152" s="2951">
        <v>233.14</v>
      </c>
      <c r="I152" s="2952">
        <v>276.06</v>
      </c>
      <c r="J152" s="2951">
        <v>221.33</v>
      </c>
      <c r="K152" s="2953">
        <v>251.31</v>
      </c>
      <c r="L152" s="2954">
        <v>234.55</v>
      </c>
      <c r="M152" s="2951">
        <v>274</v>
      </c>
      <c r="N152" s="2955">
        <v>223.63</v>
      </c>
    </row>
    <row r="153" spans="1:14" s="9" customFormat="1" ht="12.75" customHeight="1">
      <c r="A153" s="483">
        <v>2004.12</v>
      </c>
      <c r="B153" s="2954">
        <v>240.23</v>
      </c>
      <c r="C153" s="2951">
        <v>238.86</v>
      </c>
      <c r="D153" s="2952">
        <v>276.33</v>
      </c>
      <c r="E153" s="2951">
        <v>228.96</v>
      </c>
      <c r="F153" s="2953">
        <v>257.74</v>
      </c>
      <c r="G153" s="2954">
        <v>236.37</v>
      </c>
      <c r="H153" s="2951">
        <v>234.91</v>
      </c>
      <c r="I153" s="2952">
        <v>277.66000000000003</v>
      </c>
      <c r="J153" s="2951">
        <v>223.14</v>
      </c>
      <c r="K153" s="2953">
        <v>254.38</v>
      </c>
      <c r="L153" s="2954">
        <v>236.89</v>
      </c>
      <c r="M153" s="2951">
        <v>275.73</v>
      </c>
      <c r="N153" s="2955">
        <v>226.14</v>
      </c>
    </row>
    <row r="154" spans="1:14" s="9" customFormat="1" ht="12.75" customHeight="1">
      <c r="A154" s="483">
        <v>2005.01</v>
      </c>
      <c r="B154" s="2954">
        <v>237.93</v>
      </c>
      <c r="C154" s="2951">
        <v>236.47</v>
      </c>
      <c r="D154" s="2952">
        <v>257.98</v>
      </c>
      <c r="E154" s="2951">
        <v>230.79</v>
      </c>
      <c r="F154" s="2953">
        <v>256.58999999999997</v>
      </c>
      <c r="G154" s="2954">
        <v>233.93</v>
      </c>
      <c r="H154" s="2951">
        <v>232.37</v>
      </c>
      <c r="I154" s="2952">
        <v>259.60000000000002</v>
      </c>
      <c r="J154" s="2951">
        <v>224.87</v>
      </c>
      <c r="K154" s="2953">
        <v>253.28</v>
      </c>
      <c r="L154" s="2954">
        <v>233.81</v>
      </c>
      <c r="M154" s="2951">
        <v>257.37</v>
      </c>
      <c r="N154" s="2955">
        <v>227.29</v>
      </c>
    </row>
    <row r="155" spans="1:14" s="9" customFormat="1" ht="12.75" customHeight="1">
      <c r="A155" s="483">
        <v>2005.02</v>
      </c>
      <c r="B155" s="2954">
        <v>240.46</v>
      </c>
      <c r="C155" s="2951">
        <v>239.38</v>
      </c>
      <c r="D155" s="2952">
        <v>268.32</v>
      </c>
      <c r="E155" s="2951">
        <v>231.74</v>
      </c>
      <c r="F155" s="2953">
        <v>254.24</v>
      </c>
      <c r="G155" s="2954">
        <v>236.55</v>
      </c>
      <c r="H155" s="2951">
        <v>235.39</v>
      </c>
      <c r="I155" s="2952">
        <v>269.91000000000003</v>
      </c>
      <c r="J155" s="2951">
        <v>225.89</v>
      </c>
      <c r="K155" s="2953">
        <v>250.88</v>
      </c>
      <c r="L155" s="2954">
        <v>236.7</v>
      </c>
      <c r="M155" s="2951">
        <v>266.72000000000003</v>
      </c>
      <c r="N155" s="2955">
        <v>228.4</v>
      </c>
    </row>
    <row r="156" spans="1:14" s="9" customFormat="1" ht="12.75" customHeight="1">
      <c r="A156" s="483">
        <v>2005.03</v>
      </c>
      <c r="B156" s="2954">
        <v>245.2</v>
      </c>
      <c r="C156" s="2951">
        <v>244.3</v>
      </c>
      <c r="D156" s="2952">
        <v>283.16000000000003</v>
      </c>
      <c r="E156" s="2951">
        <v>234.04</v>
      </c>
      <c r="F156" s="2953">
        <v>256.64999999999998</v>
      </c>
      <c r="G156" s="2954">
        <v>241.44</v>
      </c>
      <c r="H156" s="2951">
        <v>240.48</v>
      </c>
      <c r="I156" s="2952">
        <v>284.77999999999997</v>
      </c>
      <c r="J156" s="2951">
        <v>228.28</v>
      </c>
      <c r="K156" s="2953">
        <v>253.29</v>
      </c>
      <c r="L156" s="2954">
        <v>242.45</v>
      </c>
      <c r="M156" s="2951">
        <v>281.68</v>
      </c>
      <c r="N156" s="2955">
        <v>231.59</v>
      </c>
    </row>
    <row r="157" spans="1:14" s="9" customFormat="1" ht="12.75" customHeight="1">
      <c r="A157" s="483">
        <v>2005.04</v>
      </c>
      <c r="B157" s="2954">
        <v>248.78</v>
      </c>
      <c r="C157" s="2951">
        <v>248.28</v>
      </c>
      <c r="D157" s="2952">
        <v>298.51</v>
      </c>
      <c r="E157" s="2951">
        <v>235.02</v>
      </c>
      <c r="F157" s="2953">
        <v>255.2</v>
      </c>
      <c r="G157" s="2954">
        <v>245.02</v>
      </c>
      <c r="H157" s="2951">
        <v>244.47</v>
      </c>
      <c r="I157" s="2952">
        <v>299.54000000000002</v>
      </c>
      <c r="J157" s="2951">
        <v>229.31</v>
      </c>
      <c r="K157" s="2953">
        <v>251.86</v>
      </c>
      <c r="L157" s="2954">
        <v>245.9</v>
      </c>
      <c r="M157" s="2951">
        <v>295.87</v>
      </c>
      <c r="N157" s="2955">
        <v>232.07</v>
      </c>
    </row>
    <row r="158" spans="1:14" s="9" customFormat="1" ht="12.75" customHeight="1">
      <c r="A158" s="483">
        <v>2005.05</v>
      </c>
      <c r="B158" s="2954">
        <v>248.6</v>
      </c>
      <c r="C158" s="2951">
        <v>248.13</v>
      </c>
      <c r="D158" s="2952">
        <v>293.98</v>
      </c>
      <c r="E158" s="2951">
        <v>236.03</v>
      </c>
      <c r="F158" s="2953">
        <v>254.59</v>
      </c>
      <c r="G158" s="2954">
        <v>244.95</v>
      </c>
      <c r="H158" s="2951">
        <v>244.44</v>
      </c>
      <c r="I158" s="2952">
        <v>295.11</v>
      </c>
      <c r="J158" s="2951">
        <v>230.49</v>
      </c>
      <c r="K158" s="2953">
        <v>251.27</v>
      </c>
      <c r="L158" s="2954">
        <v>245.78</v>
      </c>
      <c r="M158" s="2951">
        <v>291.88</v>
      </c>
      <c r="N158" s="2955">
        <v>233.03</v>
      </c>
    </row>
    <row r="159" spans="1:14" s="9" customFormat="1" ht="12.75" customHeight="1">
      <c r="A159" s="483">
        <v>2005.06</v>
      </c>
      <c r="B159" s="2954">
        <v>249.19</v>
      </c>
      <c r="C159" s="2951">
        <v>249.07</v>
      </c>
      <c r="D159" s="2952">
        <v>296.3</v>
      </c>
      <c r="E159" s="2951">
        <v>236.6</v>
      </c>
      <c r="F159" s="2953">
        <v>250.72</v>
      </c>
      <c r="G159" s="2954">
        <v>245.63</v>
      </c>
      <c r="H159" s="2951">
        <v>245.48</v>
      </c>
      <c r="I159" s="2952">
        <v>297.73</v>
      </c>
      <c r="J159" s="2951">
        <v>231.09</v>
      </c>
      <c r="K159" s="2953">
        <v>247.49</v>
      </c>
      <c r="L159" s="2954">
        <v>246.88</v>
      </c>
      <c r="M159" s="2951">
        <v>294.64</v>
      </c>
      <c r="N159" s="2955">
        <v>233.66</v>
      </c>
    </row>
    <row r="160" spans="1:14" s="9" customFormat="1" ht="12.75" customHeight="1">
      <c r="A160" s="483">
        <v>2005.07</v>
      </c>
      <c r="B160" s="2954">
        <v>252.31</v>
      </c>
      <c r="C160" s="2951">
        <v>252.46</v>
      </c>
      <c r="D160" s="2952">
        <v>308.13</v>
      </c>
      <c r="E160" s="2951">
        <v>237.77</v>
      </c>
      <c r="F160" s="2953">
        <v>250.4</v>
      </c>
      <c r="G160" s="2954">
        <v>248.86</v>
      </c>
      <c r="H160" s="2951">
        <v>248.99</v>
      </c>
      <c r="I160" s="2952">
        <v>309.58</v>
      </c>
      <c r="J160" s="2951">
        <v>232.31</v>
      </c>
      <c r="K160" s="2953">
        <v>247.2</v>
      </c>
      <c r="L160" s="2954">
        <v>250.6</v>
      </c>
      <c r="M160" s="2951">
        <v>306.67</v>
      </c>
      <c r="N160" s="2955">
        <v>235.08</v>
      </c>
    </row>
    <row r="161" spans="1:14" s="9" customFormat="1" ht="12.75" customHeight="1">
      <c r="A161" s="483">
        <v>2005.08</v>
      </c>
      <c r="B161" s="2954">
        <v>255.46</v>
      </c>
      <c r="C161" s="2951">
        <v>255.85</v>
      </c>
      <c r="D161" s="2952">
        <v>318.22000000000003</v>
      </c>
      <c r="E161" s="2951">
        <v>239.39</v>
      </c>
      <c r="F161" s="2953">
        <v>250.42</v>
      </c>
      <c r="G161" s="2954">
        <v>252.06</v>
      </c>
      <c r="H161" s="2951">
        <v>252.45</v>
      </c>
      <c r="I161" s="2952">
        <v>319.45</v>
      </c>
      <c r="J161" s="2951">
        <v>234</v>
      </c>
      <c r="K161" s="2953">
        <v>247.24</v>
      </c>
      <c r="L161" s="2954">
        <v>253.8</v>
      </c>
      <c r="M161" s="2951">
        <v>315.86</v>
      </c>
      <c r="N161" s="2955">
        <v>236.63</v>
      </c>
    </row>
    <row r="162" spans="1:14" s="9" customFormat="1" ht="12.75" customHeight="1">
      <c r="A162" s="483">
        <v>2005.09</v>
      </c>
      <c r="B162" s="2954">
        <v>260.29000000000002</v>
      </c>
      <c r="C162" s="2951">
        <v>261.11</v>
      </c>
      <c r="D162" s="2952">
        <v>338.03</v>
      </c>
      <c r="E162" s="2951">
        <v>240.81</v>
      </c>
      <c r="F162" s="2953">
        <v>249.83</v>
      </c>
      <c r="G162" s="2954">
        <v>256.95</v>
      </c>
      <c r="H162" s="2951">
        <v>257.77</v>
      </c>
      <c r="I162" s="2952">
        <v>338.86</v>
      </c>
      <c r="J162" s="2951">
        <v>235.45</v>
      </c>
      <c r="K162" s="2953">
        <v>246.72</v>
      </c>
      <c r="L162" s="2954">
        <v>258.67</v>
      </c>
      <c r="M162" s="2951">
        <v>334.54</v>
      </c>
      <c r="N162" s="2955">
        <v>237.67</v>
      </c>
    </row>
    <row r="163" spans="1:14" s="9" customFormat="1" ht="12.75" customHeight="1">
      <c r="A163" s="483">
        <v>2005.1</v>
      </c>
      <c r="B163" s="2954">
        <v>263.22000000000003</v>
      </c>
      <c r="C163" s="2951">
        <v>263.92</v>
      </c>
      <c r="D163" s="2952">
        <v>341.51</v>
      </c>
      <c r="E163" s="2951">
        <v>243.43</v>
      </c>
      <c r="F163" s="2953">
        <v>254.4</v>
      </c>
      <c r="G163" s="2954">
        <v>259.98</v>
      </c>
      <c r="H163" s="2951">
        <v>260.67</v>
      </c>
      <c r="I163" s="2952">
        <v>342.35</v>
      </c>
      <c r="J163" s="2951">
        <v>238.18</v>
      </c>
      <c r="K163" s="2953">
        <v>251.5</v>
      </c>
      <c r="L163" s="2954">
        <v>261.56</v>
      </c>
      <c r="M163" s="2951">
        <v>337.76</v>
      </c>
      <c r="N163" s="2955">
        <v>240.46</v>
      </c>
    </row>
    <row r="164" spans="1:14" s="9" customFormat="1" ht="12.75" customHeight="1">
      <c r="A164" s="483">
        <v>2005.11</v>
      </c>
      <c r="B164" s="2954">
        <v>263.43</v>
      </c>
      <c r="C164" s="2951">
        <v>263.88</v>
      </c>
      <c r="D164" s="2952">
        <v>329.93</v>
      </c>
      <c r="E164" s="2951">
        <v>246.44</v>
      </c>
      <c r="F164" s="2953">
        <v>257.73</v>
      </c>
      <c r="G164" s="2954">
        <v>260.25</v>
      </c>
      <c r="H164" s="2951">
        <v>260.69</v>
      </c>
      <c r="I164" s="2952">
        <v>331.16</v>
      </c>
      <c r="J164" s="2951">
        <v>241.29</v>
      </c>
      <c r="K164" s="2953">
        <v>254.79</v>
      </c>
      <c r="L164" s="2954">
        <v>261.48</v>
      </c>
      <c r="M164" s="2951">
        <v>326.23</v>
      </c>
      <c r="N164" s="2955">
        <v>243.56</v>
      </c>
    </row>
    <row r="165" spans="1:14" s="9" customFormat="1" ht="12.75" customHeight="1">
      <c r="A165" s="483">
        <v>2005.12</v>
      </c>
      <c r="B165" s="2954">
        <v>266.02999999999997</v>
      </c>
      <c r="C165" s="2951">
        <v>266.56</v>
      </c>
      <c r="D165" s="2952">
        <v>336.38</v>
      </c>
      <c r="E165" s="2951">
        <v>248.13</v>
      </c>
      <c r="F165" s="2953">
        <v>259.31</v>
      </c>
      <c r="G165" s="2954">
        <v>262.87</v>
      </c>
      <c r="H165" s="2951">
        <v>263.39999999999998</v>
      </c>
      <c r="I165" s="2952">
        <v>337.35</v>
      </c>
      <c r="J165" s="2951">
        <v>243.04</v>
      </c>
      <c r="K165" s="2953">
        <v>256.35000000000002</v>
      </c>
      <c r="L165" s="2954">
        <v>264.45999999999998</v>
      </c>
      <c r="M165" s="2951">
        <v>333.04</v>
      </c>
      <c r="N165" s="2955">
        <v>245.48</v>
      </c>
    </row>
    <row r="166" spans="1:14" s="9" customFormat="1" ht="12.75" customHeight="1">
      <c r="A166" s="483">
        <v>2006.01</v>
      </c>
      <c r="B166" s="2954">
        <v>269.47000000000003</v>
      </c>
      <c r="C166" s="2951">
        <v>270.11</v>
      </c>
      <c r="D166" s="2952">
        <v>351.07</v>
      </c>
      <c r="E166" s="2951">
        <v>248.73</v>
      </c>
      <c r="F166" s="2953">
        <v>261.35000000000002</v>
      </c>
      <c r="G166" s="2954">
        <v>266.39</v>
      </c>
      <c r="H166" s="2951">
        <v>267.04000000000002</v>
      </c>
      <c r="I166" s="2952">
        <v>351.9</v>
      </c>
      <c r="J166" s="2951">
        <v>243.67</v>
      </c>
      <c r="K166" s="2953">
        <v>258.38</v>
      </c>
      <c r="L166" s="2954">
        <v>267.87</v>
      </c>
      <c r="M166" s="2951">
        <v>348.57</v>
      </c>
      <c r="N166" s="2955">
        <v>245.53</v>
      </c>
    </row>
    <row r="167" spans="1:14" s="9" customFormat="1" ht="12.75" customHeight="1">
      <c r="A167" s="483">
        <v>2006.02</v>
      </c>
      <c r="B167" s="2954">
        <v>273.66000000000003</v>
      </c>
      <c r="C167" s="2951">
        <v>274.32</v>
      </c>
      <c r="D167" s="2952">
        <v>364.57</v>
      </c>
      <c r="E167" s="2951">
        <v>250.49</v>
      </c>
      <c r="F167" s="2953">
        <v>265.27</v>
      </c>
      <c r="G167" s="2954">
        <v>270.67</v>
      </c>
      <c r="H167" s="2951">
        <v>271.35000000000002</v>
      </c>
      <c r="I167" s="2952">
        <v>365.33</v>
      </c>
      <c r="J167" s="2951">
        <v>245.48</v>
      </c>
      <c r="K167" s="2953">
        <v>262.2</v>
      </c>
      <c r="L167" s="2954">
        <v>272.45</v>
      </c>
      <c r="M167" s="2951">
        <v>361.83</v>
      </c>
      <c r="N167" s="2955">
        <v>247.71</v>
      </c>
    </row>
    <row r="168" spans="1:14" s="9" customFormat="1" ht="12.75" customHeight="1">
      <c r="A168" s="483">
        <v>2006.03</v>
      </c>
      <c r="B168" s="2954">
        <v>271.95999999999998</v>
      </c>
      <c r="C168" s="2951">
        <v>272.45999999999998</v>
      </c>
      <c r="D168" s="2952">
        <v>349.52</v>
      </c>
      <c r="E168" s="2951">
        <v>252.12</v>
      </c>
      <c r="F168" s="2953">
        <v>265.62</v>
      </c>
      <c r="G168" s="2954">
        <v>268.94</v>
      </c>
      <c r="H168" s="2951">
        <v>269.45999999999998</v>
      </c>
      <c r="I168" s="2952">
        <v>350.61</v>
      </c>
      <c r="J168" s="2951">
        <v>247.12</v>
      </c>
      <c r="K168" s="2953">
        <v>262.56</v>
      </c>
      <c r="L168" s="2954">
        <v>270.43</v>
      </c>
      <c r="M168" s="2951">
        <v>346.82</v>
      </c>
      <c r="N168" s="2955">
        <v>249.29</v>
      </c>
    </row>
    <row r="169" spans="1:14" s="9" customFormat="1" ht="12.75" customHeight="1">
      <c r="A169" s="483">
        <v>2006.04</v>
      </c>
      <c r="B169" s="2954">
        <v>275.89999999999998</v>
      </c>
      <c r="C169" s="2951">
        <v>276.54000000000002</v>
      </c>
      <c r="D169" s="2952">
        <v>362.43</v>
      </c>
      <c r="E169" s="2951">
        <v>253.86</v>
      </c>
      <c r="F169" s="2953">
        <v>267.82</v>
      </c>
      <c r="G169" s="2954">
        <v>272.95</v>
      </c>
      <c r="H169" s="2951">
        <v>273.62</v>
      </c>
      <c r="I169" s="2952">
        <v>362.98</v>
      </c>
      <c r="J169" s="2951">
        <v>249.02</v>
      </c>
      <c r="K169" s="2953">
        <v>264.7</v>
      </c>
      <c r="L169" s="2954">
        <v>274.64999999999998</v>
      </c>
      <c r="M169" s="2951">
        <v>359.81</v>
      </c>
      <c r="N169" s="2955">
        <v>251.07</v>
      </c>
    </row>
    <row r="170" spans="1:14" s="9" customFormat="1" ht="12.75" customHeight="1">
      <c r="A170" s="483">
        <v>2006.05</v>
      </c>
      <c r="B170" s="2954">
        <v>277</v>
      </c>
      <c r="C170" s="2951">
        <v>277.37</v>
      </c>
      <c r="D170" s="2952">
        <v>356.83</v>
      </c>
      <c r="E170" s="2951">
        <v>256.39</v>
      </c>
      <c r="F170" s="2953">
        <v>272.33999999999997</v>
      </c>
      <c r="G170" s="2954">
        <v>274.02999999999997</v>
      </c>
      <c r="H170" s="2951">
        <v>274.44</v>
      </c>
      <c r="I170" s="2952">
        <v>357.43</v>
      </c>
      <c r="J170" s="2951">
        <v>251.58</v>
      </c>
      <c r="K170" s="2953">
        <v>269.07</v>
      </c>
      <c r="L170" s="2954">
        <v>275.61</v>
      </c>
      <c r="M170" s="2951">
        <v>355.08</v>
      </c>
      <c r="N170" s="2955">
        <v>253.62</v>
      </c>
    </row>
    <row r="171" spans="1:14" s="9" customFormat="1" ht="12.75" customHeight="1">
      <c r="A171" s="483">
        <v>2006.06</v>
      </c>
      <c r="B171" s="2954">
        <v>279.23</v>
      </c>
      <c r="C171" s="2951">
        <v>279.26</v>
      </c>
      <c r="D171" s="2952">
        <v>355.6</v>
      </c>
      <c r="E171" s="2951">
        <v>259.11</v>
      </c>
      <c r="F171" s="2953">
        <v>278.85000000000002</v>
      </c>
      <c r="G171" s="2954">
        <v>276.25</v>
      </c>
      <c r="H171" s="2951">
        <v>276.31</v>
      </c>
      <c r="I171" s="2952">
        <v>355.89</v>
      </c>
      <c r="J171" s="2951">
        <v>254.4</v>
      </c>
      <c r="K171" s="2953">
        <v>275.49</v>
      </c>
      <c r="L171" s="2954">
        <v>277.60000000000002</v>
      </c>
      <c r="M171" s="2951">
        <v>353.45</v>
      </c>
      <c r="N171" s="2955">
        <v>256.61</v>
      </c>
    </row>
    <row r="172" spans="1:14" s="9" customFormat="1" ht="12.75" customHeight="1">
      <c r="A172" s="483">
        <v>2006.07</v>
      </c>
      <c r="B172" s="2954">
        <v>281.22000000000003</v>
      </c>
      <c r="C172" s="2951">
        <v>281.36</v>
      </c>
      <c r="D172" s="2952">
        <v>359.93</v>
      </c>
      <c r="E172" s="2951">
        <v>260.62</v>
      </c>
      <c r="F172" s="2953">
        <v>279.5</v>
      </c>
      <c r="G172" s="2954">
        <v>278.31</v>
      </c>
      <c r="H172" s="2951">
        <v>278.48</v>
      </c>
      <c r="I172" s="2952">
        <v>360.32</v>
      </c>
      <c r="J172" s="2951">
        <v>255.95</v>
      </c>
      <c r="K172" s="2953">
        <v>276.11</v>
      </c>
      <c r="L172" s="2954">
        <v>279.58999999999997</v>
      </c>
      <c r="M172" s="2951">
        <v>357.57</v>
      </c>
      <c r="N172" s="2955">
        <v>258.01</v>
      </c>
    </row>
    <row r="173" spans="1:14" s="9" customFormat="1" ht="12.75" customHeight="1">
      <c r="A173" s="483">
        <v>2006.08</v>
      </c>
      <c r="B173" s="2954">
        <v>283.02999999999997</v>
      </c>
      <c r="C173" s="2951">
        <v>283.31</v>
      </c>
      <c r="D173" s="2952">
        <v>360.45</v>
      </c>
      <c r="E173" s="2951">
        <v>262.95</v>
      </c>
      <c r="F173" s="2953">
        <v>279.35000000000002</v>
      </c>
      <c r="G173" s="2954">
        <v>280.14</v>
      </c>
      <c r="H173" s="2951">
        <v>280.47000000000003</v>
      </c>
      <c r="I173" s="2952">
        <v>360.86</v>
      </c>
      <c r="J173" s="2951">
        <v>258.33999999999997</v>
      </c>
      <c r="K173" s="2953">
        <v>276.04000000000002</v>
      </c>
      <c r="L173" s="2954">
        <v>281.55</v>
      </c>
      <c r="M173" s="2951">
        <v>358.08</v>
      </c>
      <c r="N173" s="2955">
        <v>260.37</v>
      </c>
    </row>
    <row r="174" spans="1:14" s="9" customFormat="1" ht="12.75" customHeight="1">
      <c r="A174" s="483">
        <v>2006.09</v>
      </c>
      <c r="B174" s="2954">
        <v>282.29000000000002</v>
      </c>
      <c r="C174" s="2951">
        <v>282.38</v>
      </c>
      <c r="D174" s="2952">
        <v>352.07</v>
      </c>
      <c r="E174" s="2951">
        <v>263.98</v>
      </c>
      <c r="F174" s="2953">
        <v>281.23</v>
      </c>
      <c r="G174" s="2954">
        <v>279.44</v>
      </c>
      <c r="H174" s="2951">
        <v>279.56</v>
      </c>
      <c r="I174" s="2952">
        <v>352.73</v>
      </c>
      <c r="J174" s="2951">
        <v>259.42</v>
      </c>
      <c r="K174" s="2953">
        <v>277.92</v>
      </c>
      <c r="L174" s="2954">
        <v>280.94</v>
      </c>
      <c r="M174" s="2951">
        <v>350.59</v>
      </c>
      <c r="N174" s="2955">
        <v>261.66000000000003</v>
      </c>
    </row>
    <row r="175" spans="1:14" s="9" customFormat="1" ht="12.75" customHeight="1">
      <c r="A175" s="483">
        <v>2006.1</v>
      </c>
      <c r="B175" s="2954">
        <v>283.45999999999998</v>
      </c>
      <c r="C175" s="2951">
        <v>283.56</v>
      </c>
      <c r="D175" s="2952">
        <v>353.09</v>
      </c>
      <c r="E175" s="2951">
        <v>265.2</v>
      </c>
      <c r="F175" s="2953">
        <v>282.19</v>
      </c>
      <c r="G175" s="2954">
        <v>280.79000000000002</v>
      </c>
      <c r="H175" s="2951">
        <v>280.94</v>
      </c>
      <c r="I175" s="2952">
        <v>354.38</v>
      </c>
      <c r="J175" s="2951">
        <v>260.72000000000003</v>
      </c>
      <c r="K175" s="2953">
        <v>278.92</v>
      </c>
      <c r="L175" s="2954">
        <v>282.85000000000002</v>
      </c>
      <c r="M175" s="2951">
        <v>353.53</v>
      </c>
      <c r="N175" s="2955">
        <v>263.27999999999997</v>
      </c>
    </row>
    <row r="176" spans="1:14" s="9" customFormat="1" ht="12.75" customHeight="1">
      <c r="A176" s="483">
        <v>2006.11</v>
      </c>
      <c r="B176" s="2954">
        <v>283.73</v>
      </c>
      <c r="C176" s="2951">
        <v>284.02999999999997</v>
      </c>
      <c r="D176" s="2952">
        <v>353.83</v>
      </c>
      <c r="E176" s="2951">
        <v>265.60000000000002</v>
      </c>
      <c r="F176" s="2953">
        <v>279.89999999999998</v>
      </c>
      <c r="G176" s="2954">
        <v>281.23</v>
      </c>
      <c r="H176" s="2951">
        <v>281.58999999999997</v>
      </c>
      <c r="I176" s="2952">
        <v>355.89</v>
      </c>
      <c r="J176" s="2951">
        <v>261.13</v>
      </c>
      <c r="K176" s="2953">
        <v>276.72000000000003</v>
      </c>
      <c r="L176" s="2954">
        <v>284.13</v>
      </c>
      <c r="M176" s="2951">
        <v>356.35</v>
      </c>
      <c r="N176" s="2955">
        <v>264.14</v>
      </c>
    </row>
    <row r="177" spans="1:14" s="9" customFormat="1" ht="12.75" customHeight="1">
      <c r="A177" s="483">
        <v>2006.12</v>
      </c>
      <c r="B177" s="2954">
        <v>284.85000000000002</v>
      </c>
      <c r="C177" s="2951">
        <v>285.18</v>
      </c>
      <c r="D177" s="2952">
        <v>355.73</v>
      </c>
      <c r="E177" s="2951">
        <v>266.55</v>
      </c>
      <c r="F177" s="2953">
        <v>280.69</v>
      </c>
      <c r="G177" s="2954">
        <v>282.37</v>
      </c>
      <c r="H177" s="2951">
        <v>282.77999999999997</v>
      </c>
      <c r="I177" s="2952">
        <v>357.72</v>
      </c>
      <c r="J177" s="2951">
        <v>262.14</v>
      </c>
      <c r="K177" s="2953">
        <v>277.41000000000003</v>
      </c>
      <c r="L177" s="2954">
        <v>285.66000000000003</v>
      </c>
      <c r="M177" s="2951">
        <v>359.01</v>
      </c>
      <c r="N177" s="2955">
        <v>265.35000000000002</v>
      </c>
    </row>
    <row r="178" spans="1:14" s="9" customFormat="1" ht="12.75" customHeight="1">
      <c r="A178" s="483">
        <v>2007.01</v>
      </c>
      <c r="B178" s="2954">
        <v>285.85000000000002</v>
      </c>
      <c r="C178" s="2951">
        <v>286.16000000000003</v>
      </c>
      <c r="D178" s="2952">
        <v>353.06</v>
      </c>
      <c r="E178" s="2951">
        <v>268.5</v>
      </c>
      <c r="F178" s="2953">
        <v>281.93</v>
      </c>
      <c r="G178" s="2954">
        <v>283.36</v>
      </c>
      <c r="H178" s="2951">
        <v>283.75</v>
      </c>
      <c r="I178" s="2952">
        <v>355.15</v>
      </c>
      <c r="J178" s="2951">
        <v>264.08999999999997</v>
      </c>
      <c r="K178" s="2953">
        <v>278.48</v>
      </c>
      <c r="L178" s="2954">
        <v>286.33</v>
      </c>
      <c r="M178" s="2951">
        <v>355.56</v>
      </c>
      <c r="N178" s="2955">
        <v>267.17</v>
      </c>
    </row>
    <row r="179" spans="1:14" s="9" customFormat="1" ht="12.75" customHeight="1">
      <c r="A179" s="483">
        <v>2007.02</v>
      </c>
      <c r="B179" s="2954">
        <v>288.22000000000003</v>
      </c>
      <c r="C179" s="2951">
        <v>288.52</v>
      </c>
      <c r="D179" s="2952">
        <v>357.81</v>
      </c>
      <c r="E179" s="2951">
        <v>270.22000000000003</v>
      </c>
      <c r="F179" s="2953">
        <v>284.41000000000003</v>
      </c>
      <c r="G179" s="2954">
        <v>285.73</v>
      </c>
      <c r="H179" s="2951">
        <v>286.12</v>
      </c>
      <c r="I179" s="2952">
        <v>359.8</v>
      </c>
      <c r="J179" s="2951">
        <v>265.83</v>
      </c>
      <c r="K179" s="2953">
        <v>280.95999999999998</v>
      </c>
      <c r="L179" s="2954">
        <v>288.52</v>
      </c>
      <c r="M179" s="2951">
        <v>360.42</v>
      </c>
      <c r="N179" s="2955">
        <v>268.62</v>
      </c>
    </row>
    <row r="180" spans="1:14" s="9" customFormat="1" ht="12.75" customHeight="1">
      <c r="A180" s="483">
        <v>2007.03</v>
      </c>
      <c r="B180" s="2954">
        <v>290.02</v>
      </c>
      <c r="C180" s="2951">
        <v>290.29000000000002</v>
      </c>
      <c r="D180" s="2952">
        <v>359.75</v>
      </c>
      <c r="E180" s="2951">
        <v>271.95999999999998</v>
      </c>
      <c r="F180" s="2953">
        <v>286.57</v>
      </c>
      <c r="G180" s="2954">
        <v>287.54000000000002</v>
      </c>
      <c r="H180" s="2951">
        <v>287.89999999999998</v>
      </c>
      <c r="I180" s="2952">
        <v>361.6</v>
      </c>
      <c r="J180" s="2951">
        <v>267.61</v>
      </c>
      <c r="K180" s="2953">
        <v>283.12</v>
      </c>
      <c r="L180" s="2954">
        <v>290.01</v>
      </c>
      <c r="M180" s="2951">
        <v>361.84</v>
      </c>
      <c r="N180" s="2955">
        <v>270.12</v>
      </c>
    </row>
    <row r="181" spans="1:14" s="9" customFormat="1" ht="12.75" customHeight="1">
      <c r="A181" s="483">
        <v>2007.04</v>
      </c>
      <c r="B181" s="2954">
        <v>295.04000000000002</v>
      </c>
      <c r="C181" s="2951">
        <v>295.27999999999997</v>
      </c>
      <c r="D181" s="2952">
        <v>370.1</v>
      </c>
      <c r="E181" s="2951">
        <v>275.52999999999997</v>
      </c>
      <c r="F181" s="2953">
        <v>291.98</v>
      </c>
      <c r="G181" s="2954">
        <v>292.69</v>
      </c>
      <c r="H181" s="2951">
        <v>293.05</v>
      </c>
      <c r="I181" s="2952">
        <v>372.13</v>
      </c>
      <c r="J181" s="2951">
        <v>271.27</v>
      </c>
      <c r="K181" s="2953">
        <v>288.27</v>
      </c>
      <c r="L181" s="2954">
        <v>295.13</v>
      </c>
      <c r="M181" s="2951">
        <v>371.61</v>
      </c>
      <c r="N181" s="2955">
        <v>273.95999999999998</v>
      </c>
    </row>
    <row r="182" spans="1:14" s="9" customFormat="1" ht="12.75" customHeight="1">
      <c r="A182" s="483">
        <v>2007.05</v>
      </c>
      <c r="B182" s="2954">
        <v>299.62</v>
      </c>
      <c r="C182" s="2951">
        <v>299.93</v>
      </c>
      <c r="D182" s="2952">
        <v>379.56</v>
      </c>
      <c r="E182" s="2951">
        <v>278.91000000000003</v>
      </c>
      <c r="F182" s="2953">
        <v>295.7</v>
      </c>
      <c r="G182" s="2954">
        <v>297.35000000000002</v>
      </c>
      <c r="H182" s="2951">
        <v>297.79000000000002</v>
      </c>
      <c r="I182" s="2952">
        <v>381.76</v>
      </c>
      <c r="J182" s="2951">
        <v>274.67</v>
      </c>
      <c r="K182" s="2953">
        <v>291.87</v>
      </c>
      <c r="L182" s="2954">
        <v>299.7</v>
      </c>
      <c r="M182" s="2951">
        <v>380.1</v>
      </c>
      <c r="N182" s="2955">
        <v>277.45</v>
      </c>
    </row>
    <row r="183" spans="1:14" s="9" customFormat="1" ht="12.75" customHeight="1">
      <c r="A183" s="483">
        <v>2007.06</v>
      </c>
      <c r="B183" s="2954">
        <v>305.45</v>
      </c>
      <c r="C183" s="2951">
        <v>305.88</v>
      </c>
      <c r="D183" s="2952">
        <v>392.68</v>
      </c>
      <c r="E183" s="2951">
        <v>282.97000000000003</v>
      </c>
      <c r="F183" s="2953">
        <v>299.98</v>
      </c>
      <c r="G183" s="2954">
        <v>303.25</v>
      </c>
      <c r="H183" s="2951">
        <v>303.83</v>
      </c>
      <c r="I183" s="2952">
        <v>394.92</v>
      </c>
      <c r="J183" s="2951">
        <v>278.75</v>
      </c>
      <c r="K183" s="2953">
        <v>296.07</v>
      </c>
      <c r="L183" s="2954">
        <v>305.85000000000002</v>
      </c>
      <c r="M183" s="2951">
        <v>393.51</v>
      </c>
      <c r="N183" s="2955">
        <v>281.58</v>
      </c>
    </row>
    <row r="184" spans="1:14" s="9" customFormat="1" ht="12.75" customHeight="1">
      <c r="A184" s="483">
        <v>2007.07</v>
      </c>
      <c r="B184" s="2954">
        <v>312.38</v>
      </c>
      <c r="C184" s="2951">
        <v>313.01</v>
      </c>
      <c r="D184" s="2952">
        <v>406.53</v>
      </c>
      <c r="E184" s="2951">
        <v>288.32</v>
      </c>
      <c r="F184" s="2953">
        <v>304.39999999999998</v>
      </c>
      <c r="G184" s="2954">
        <v>310.25</v>
      </c>
      <c r="H184" s="2951">
        <v>311.04000000000002</v>
      </c>
      <c r="I184" s="2952">
        <v>408.6</v>
      </c>
      <c r="J184" s="2951">
        <v>284.18</v>
      </c>
      <c r="K184" s="2953">
        <v>300.5</v>
      </c>
      <c r="L184" s="2954">
        <v>313.52</v>
      </c>
      <c r="M184" s="2951">
        <v>406.95</v>
      </c>
      <c r="N184" s="2955">
        <v>287.66000000000003</v>
      </c>
    </row>
    <row r="185" spans="1:14" s="9" customFormat="1" ht="12.75" customHeight="1">
      <c r="A185" s="483">
        <v>2007.08</v>
      </c>
      <c r="B185" s="2954">
        <v>314.76</v>
      </c>
      <c r="C185" s="2951">
        <v>315.14999999999998</v>
      </c>
      <c r="D185" s="2952">
        <v>397.83</v>
      </c>
      <c r="E185" s="2951">
        <v>293.33</v>
      </c>
      <c r="F185" s="2953">
        <v>309.77999999999997</v>
      </c>
      <c r="G185" s="2954">
        <v>316.62</v>
      </c>
      <c r="H185" s="2951">
        <v>317.49</v>
      </c>
      <c r="I185" s="2952">
        <v>419.96</v>
      </c>
      <c r="J185" s="2951">
        <v>289.27</v>
      </c>
      <c r="K185" s="2953">
        <v>305.86</v>
      </c>
      <c r="L185" s="2954">
        <v>320.82</v>
      </c>
      <c r="M185" s="2951">
        <v>419.4</v>
      </c>
      <c r="N185" s="2955">
        <v>293.52999999999997</v>
      </c>
    </row>
    <row r="186" spans="1:14" s="9" customFormat="1" ht="12.75" customHeight="1">
      <c r="A186" s="483">
        <v>2007.09</v>
      </c>
      <c r="B186" s="2954">
        <v>317.99</v>
      </c>
      <c r="C186" s="2951">
        <v>318.52</v>
      </c>
      <c r="D186" s="2952">
        <v>403.28</v>
      </c>
      <c r="E186" s="2951">
        <v>296.14999999999998</v>
      </c>
      <c r="F186" s="2953">
        <v>311.14</v>
      </c>
      <c r="G186" s="2954">
        <v>320.92</v>
      </c>
      <c r="H186" s="2951">
        <v>322.02999999999997</v>
      </c>
      <c r="I186" s="2952">
        <v>430.68</v>
      </c>
      <c r="J186" s="2951">
        <v>292.12</v>
      </c>
      <c r="K186" s="2953">
        <v>307.12</v>
      </c>
      <c r="L186" s="2954">
        <v>326.17</v>
      </c>
      <c r="M186" s="2951">
        <v>430.51</v>
      </c>
      <c r="N186" s="2955">
        <v>297.29000000000002</v>
      </c>
    </row>
    <row r="187" spans="1:14" s="9" customFormat="1" ht="12.75" customHeight="1">
      <c r="A187" s="483">
        <v>2007.1</v>
      </c>
      <c r="B187" s="2954">
        <v>320.92</v>
      </c>
      <c r="C187" s="2951">
        <v>321.32</v>
      </c>
      <c r="D187" s="2952">
        <v>405.92</v>
      </c>
      <c r="E187" s="2951">
        <v>298.98</v>
      </c>
      <c r="F187" s="2953">
        <v>315.83</v>
      </c>
      <c r="G187" s="2954">
        <v>324.91000000000003</v>
      </c>
      <c r="H187" s="2951">
        <v>325.95999999999998</v>
      </c>
      <c r="I187" s="2952">
        <v>438.39</v>
      </c>
      <c r="J187" s="2951">
        <v>295.01</v>
      </c>
      <c r="K187" s="2953">
        <v>311.88</v>
      </c>
      <c r="L187" s="2954">
        <v>330.78</v>
      </c>
      <c r="M187" s="2951">
        <v>439.88</v>
      </c>
      <c r="N187" s="2955">
        <v>300.58</v>
      </c>
    </row>
    <row r="188" spans="1:14" s="9" customFormat="1" ht="12.75" customHeight="1">
      <c r="A188" s="483">
        <v>2007.11</v>
      </c>
      <c r="B188" s="2954">
        <v>324.27999999999997</v>
      </c>
      <c r="C188" s="2951">
        <v>324.89999999999998</v>
      </c>
      <c r="D188" s="2952">
        <v>407.4</v>
      </c>
      <c r="E188" s="2951">
        <v>303.12</v>
      </c>
      <c r="F188" s="2953">
        <v>316.32</v>
      </c>
      <c r="G188" s="2954">
        <v>327.56</v>
      </c>
      <c r="H188" s="2951">
        <v>328.79</v>
      </c>
      <c r="I188" s="2952">
        <v>436.28</v>
      </c>
      <c r="J188" s="2951">
        <v>299.19</v>
      </c>
      <c r="K188" s="2953">
        <v>312.41000000000003</v>
      </c>
      <c r="L188" s="2954">
        <v>333.8</v>
      </c>
      <c r="M188" s="2951">
        <v>437.24</v>
      </c>
      <c r="N188" s="2955">
        <v>305.17</v>
      </c>
    </row>
    <row r="189" spans="1:14" s="9" customFormat="1" ht="12.75" customHeight="1">
      <c r="A189" s="483">
        <v>2007.12</v>
      </c>
      <c r="B189" s="2954">
        <v>326.32</v>
      </c>
      <c r="C189" s="2951">
        <v>326.98</v>
      </c>
      <c r="D189" s="2952">
        <v>401.71</v>
      </c>
      <c r="E189" s="2951">
        <v>307.25</v>
      </c>
      <c r="F189" s="2953">
        <v>317.87</v>
      </c>
      <c r="G189" s="2954">
        <v>329.28</v>
      </c>
      <c r="H189" s="2951">
        <v>330.52</v>
      </c>
      <c r="I189" s="2952">
        <v>429.36</v>
      </c>
      <c r="J189" s="2951">
        <v>303.3</v>
      </c>
      <c r="K189" s="2953">
        <v>313.98</v>
      </c>
      <c r="L189" s="2954">
        <v>335.9</v>
      </c>
      <c r="M189" s="2951">
        <v>430.71</v>
      </c>
      <c r="N189" s="2955">
        <v>309.66000000000003</v>
      </c>
    </row>
    <row r="190" spans="1:14" s="9" customFormat="1" ht="12.75" customHeight="1">
      <c r="A190" s="483">
        <f t="shared" ref="A190:A253" si="0">A178+1</f>
        <v>2008.01</v>
      </c>
      <c r="B190" s="2954">
        <v>328.9</v>
      </c>
      <c r="C190" s="2951">
        <v>329.57</v>
      </c>
      <c r="D190" s="2952">
        <v>401.54</v>
      </c>
      <c r="E190" s="2951">
        <v>310.58</v>
      </c>
      <c r="F190" s="2953">
        <v>320.27999999999997</v>
      </c>
      <c r="G190" s="2954">
        <v>334.04</v>
      </c>
      <c r="H190" s="2951">
        <v>335.47</v>
      </c>
      <c r="I190" s="2952">
        <v>439.67</v>
      </c>
      <c r="J190" s="2951">
        <v>306.77999999999997</v>
      </c>
      <c r="K190" s="2953">
        <v>316.33999999999997</v>
      </c>
      <c r="L190" s="2954">
        <v>341.48</v>
      </c>
      <c r="M190" s="2951">
        <v>443.98</v>
      </c>
      <c r="N190" s="2955">
        <v>313.12</v>
      </c>
    </row>
    <row r="191" spans="1:14" s="9" customFormat="1" ht="12.75" customHeight="1">
      <c r="A191" s="483">
        <f t="shared" si="0"/>
        <v>2008.02</v>
      </c>
      <c r="B191" s="2954">
        <v>331.95</v>
      </c>
      <c r="C191" s="2951">
        <v>332.21</v>
      </c>
      <c r="D191" s="2952">
        <v>405.96</v>
      </c>
      <c r="E191" s="2951">
        <v>312.74</v>
      </c>
      <c r="F191" s="2953">
        <v>328.64</v>
      </c>
      <c r="G191" s="2954">
        <v>339.05</v>
      </c>
      <c r="H191" s="2951">
        <v>340.23</v>
      </c>
      <c r="I191" s="2952">
        <v>452.6</v>
      </c>
      <c r="J191" s="2951">
        <v>309.29000000000002</v>
      </c>
      <c r="K191" s="2953">
        <v>324.47000000000003</v>
      </c>
      <c r="L191" s="2954">
        <v>346.53</v>
      </c>
      <c r="M191" s="2951">
        <v>458.08</v>
      </c>
      <c r="N191" s="2955">
        <v>315.66000000000003</v>
      </c>
    </row>
    <row r="192" spans="1:14" s="9" customFormat="1" ht="12.75" customHeight="1">
      <c r="A192" s="483">
        <f t="shared" si="0"/>
        <v>2008.03</v>
      </c>
      <c r="B192" s="2954">
        <v>335.66</v>
      </c>
      <c r="C192" s="2951">
        <v>335.75</v>
      </c>
      <c r="D192" s="2952">
        <v>406.78</v>
      </c>
      <c r="E192" s="2951">
        <v>317</v>
      </c>
      <c r="F192" s="2953">
        <v>334.52</v>
      </c>
      <c r="G192" s="2954">
        <v>343.01</v>
      </c>
      <c r="H192" s="2951">
        <v>344.04</v>
      </c>
      <c r="I192" s="2952">
        <v>454.14</v>
      </c>
      <c r="J192" s="2951">
        <v>313.72000000000003</v>
      </c>
      <c r="K192" s="2953">
        <v>330.28</v>
      </c>
      <c r="L192" s="2954">
        <v>350.61</v>
      </c>
      <c r="M192" s="2951">
        <v>458.98</v>
      </c>
      <c r="N192" s="2955">
        <v>320.61</v>
      </c>
    </row>
    <row r="193" spans="1:14" s="9" customFormat="1" ht="12.75" customHeight="1">
      <c r="A193" s="483">
        <f t="shared" si="0"/>
        <v>2008.04</v>
      </c>
      <c r="B193" s="2954">
        <v>339.8</v>
      </c>
      <c r="C193" s="2951">
        <v>339.22</v>
      </c>
      <c r="D193" s="2952">
        <v>401.3</v>
      </c>
      <c r="E193" s="2951">
        <v>322.83</v>
      </c>
      <c r="F193" s="2953">
        <v>347.15</v>
      </c>
      <c r="G193" s="2954">
        <v>345.8</v>
      </c>
      <c r="H193" s="2951">
        <v>346.06</v>
      </c>
      <c r="I193" s="2952">
        <v>442.58</v>
      </c>
      <c r="J193" s="2951">
        <v>319.48</v>
      </c>
      <c r="K193" s="2953">
        <v>342.57</v>
      </c>
      <c r="L193" s="2954">
        <v>353.4</v>
      </c>
      <c r="M193" s="2951">
        <v>446.16</v>
      </c>
      <c r="N193" s="2955">
        <v>327.72</v>
      </c>
    </row>
    <row r="194" spans="1:14" s="9" customFormat="1" ht="12.75" customHeight="1">
      <c r="A194" s="483">
        <f t="shared" si="0"/>
        <v>2008.05</v>
      </c>
      <c r="B194" s="2954">
        <v>343.43</v>
      </c>
      <c r="C194" s="2951">
        <v>342.62</v>
      </c>
      <c r="D194" s="2952">
        <v>403.6</v>
      </c>
      <c r="E194" s="2951">
        <v>326.52</v>
      </c>
      <c r="F194" s="2953">
        <v>353.71</v>
      </c>
      <c r="G194" s="2954">
        <v>349.37</v>
      </c>
      <c r="H194" s="2951">
        <v>349.4</v>
      </c>
      <c r="I194" s="2952">
        <v>445.4</v>
      </c>
      <c r="J194" s="2951">
        <v>322.97000000000003</v>
      </c>
      <c r="K194" s="2953">
        <v>348.95</v>
      </c>
      <c r="L194" s="2954">
        <v>356.62</v>
      </c>
      <c r="M194" s="2951">
        <v>449.33</v>
      </c>
      <c r="N194" s="2955">
        <v>330.95</v>
      </c>
    </row>
    <row r="195" spans="1:14" s="9" customFormat="1" ht="12.75" customHeight="1">
      <c r="A195" s="483">
        <f t="shared" si="0"/>
        <v>2008.06</v>
      </c>
      <c r="B195" s="2954">
        <v>347.54</v>
      </c>
      <c r="C195" s="2951">
        <v>346.86</v>
      </c>
      <c r="D195" s="2952">
        <v>406.02</v>
      </c>
      <c r="E195" s="2951">
        <v>331.24</v>
      </c>
      <c r="F195" s="2953">
        <v>356.28</v>
      </c>
      <c r="G195" s="2954">
        <v>353.3</v>
      </c>
      <c r="H195" s="2951">
        <v>353.45</v>
      </c>
      <c r="I195" s="2952">
        <v>447.09</v>
      </c>
      <c r="J195" s="2951">
        <v>327.66000000000003</v>
      </c>
      <c r="K195" s="2953">
        <v>351.49</v>
      </c>
      <c r="L195" s="2954">
        <v>360.78</v>
      </c>
      <c r="M195" s="2951">
        <v>450.53</v>
      </c>
      <c r="N195" s="2955">
        <v>335.94</v>
      </c>
    </row>
    <row r="196" spans="1:14" s="9" customFormat="1" ht="12.75" customHeight="1">
      <c r="A196" s="483">
        <f t="shared" si="0"/>
        <v>2008.07</v>
      </c>
      <c r="B196" s="2954">
        <v>350.17</v>
      </c>
      <c r="C196" s="2951">
        <v>349.35</v>
      </c>
      <c r="D196" s="2952">
        <v>404.16</v>
      </c>
      <c r="E196" s="2951">
        <v>334.88</v>
      </c>
      <c r="F196" s="2953">
        <v>360.5</v>
      </c>
      <c r="G196" s="2954">
        <v>354.9</v>
      </c>
      <c r="H196" s="2951">
        <v>354.85</v>
      </c>
      <c r="I196" s="2952">
        <v>440.29</v>
      </c>
      <c r="J196" s="2951">
        <v>331.32</v>
      </c>
      <c r="K196" s="2953">
        <v>355.52</v>
      </c>
      <c r="L196" s="2954">
        <v>361.52</v>
      </c>
      <c r="M196" s="2951">
        <v>442.12</v>
      </c>
      <c r="N196" s="2955">
        <v>339.21</v>
      </c>
    </row>
    <row r="197" spans="1:14" s="9" customFormat="1" ht="12.75" customHeight="1">
      <c r="A197" s="483">
        <f t="shared" si="0"/>
        <v>2008.08</v>
      </c>
      <c r="B197" s="2954">
        <v>353.09</v>
      </c>
      <c r="C197" s="2951">
        <v>352.46</v>
      </c>
      <c r="D197" s="2952">
        <v>409.4</v>
      </c>
      <c r="E197" s="2951">
        <v>337.43</v>
      </c>
      <c r="F197" s="2953">
        <v>361.09</v>
      </c>
      <c r="G197" s="2954">
        <v>356.92</v>
      </c>
      <c r="H197" s="2951">
        <v>356.99</v>
      </c>
      <c r="I197" s="2952">
        <v>441.24</v>
      </c>
      <c r="J197" s="2951">
        <v>333.8</v>
      </c>
      <c r="K197" s="2953">
        <v>356.06</v>
      </c>
      <c r="L197" s="2954">
        <v>361.18</v>
      </c>
      <c r="M197" s="2951">
        <v>440.81</v>
      </c>
      <c r="N197" s="2955">
        <v>339.14</v>
      </c>
    </row>
    <row r="198" spans="1:14" s="9" customFormat="1" ht="12.75" customHeight="1">
      <c r="A198" s="483">
        <f t="shared" si="0"/>
        <v>2008.09</v>
      </c>
      <c r="B198" s="2954">
        <v>355.06</v>
      </c>
      <c r="C198" s="2951">
        <v>354.55</v>
      </c>
      <c r="D198" s="2952">
        <v>408.14</v>
      </c>
      <c r="E198" s="2951">
        <v>340.4</v>
      </c>
      <c r="F198" s="2953">
        <v>361.59</v>
      </c>
      <c r="G198" s="2954">
        <v>358.39</v>
      </c>
      <c r="H198" s="2951">
        <v>358.53</v>
      </c>
      <c r="I198" s="2952">
        <v>437.36</v>
      </c>
      <c r="J198" s="2951">
        <v>336.82</v>
      </c>
      <c r="K198" s="2953">
        <v>356.69</v>
      </c>
      <c r="L198" s="2954">
        <v>361.94</v>
      </c>
      <c r="M198" s="2951">
        <v>436.06</v>
      </c>
      <c r="N198" s="2955">
        <v>341.43</v>
      </c>
    </row>
    <row r="199" spans="1:14" s="9" customFormat="1" ht="12.75" customHeight="1">
      <c r="A199" s="483">
        <f t="shared" si="0"/>
        <v>2008.1</v>
      </c>
      <c r="B199" s="2954">
        <v>357.02</v>
      </c>
      <c r="C199" s="2951">
        <v>356.51</v>
      </c>
      <c r="D199" s="2952">
        <v>409.38</v>
      </c>
      <c r="E199" s="2951">
        <v>342.55</v>
      </c>
      <c r="F199" s="2953">
        <v>363.45</v>
      </c>
      <c r="G199" s="2954">
        <v>357.92</v>
      </c>
      <c r="H199" s="2951">
        <v>357.88</v>
      </c>
      <c r="I199" s="2952">
        <v>426.53</v>
      </c>
      <c r="J199" s="2951">
        <v>338.97</v>
      </c>
      <c r="K199" s="2953">
        <v>358.52</v>
      </c>
      <c r="L199" s="2954">
        <v>360.02</v>
      </c>
      <c r="M199" s="2951">
        <v>421.73</v>
      </c>
      <c r="N199" s="2955">
        <v>342.95</v>
      </c>
    </row>
    <row r="200" spans="1:14" s="9" customFormat="1" ht="12.75" customHeight="1">
      <c r="A200" s="483">
        <f t="shared" si="0"/>
        <v>2008.11</v>
      </c>
      <c r="B200" s="2954">
        <v>356.03</v>
      </c>
      <c r="C200" s="2951">
        <v>355.27</v>
      </c>
      <c r="D200" s="2952">
        <v>401.5</v>
      </c>
      <c r="E200" s="2951">
        <v>343.06</v>
      </c>
      <c r="F200" s="2953">
        <v>365.71</v>
      </c>
      <c r="G200" s="2954">
        <v>355.87</v>
      </c>
      <c r="H200" s="2951">
        <v>355.47</v>
      </c>
      <c r="I200" s="2952">
        <v>413.93</v>
      </c>
      <c r="J200" s="2951">
        <v>339.37</v>
      </c>
      <c r="K200" s="2953">
        <v>360.86</v>
      </c>
      <c r="L200" s="2954">
        <v>356.83</v>
      </c>
      <c r="M200" s="2951">
        <v>409.6</v>
      </c>
      <c r="N200" s="2955">
        <v>342.23</v>
      </c>
    </row>
    <row r="201" spans="1:14" s="9" customFormat="1" ht="12.75" customHeight="1">
      <c r="A201" s="483">
        <f t="shared" si="0"/>
        <v>2008.12</v>
      </c>
      <c r="B201" s="2954">
        <v>355.1</v>
      </c>
      <c r="C201" s="2951">
        <v>354.58</v>
      </c>
      <c r="D201" s="2952">
        <v>401.27</v>
      </c>
      <c r="E201" s="2951">
        <v>342.25</v>
      </c>
      <c r="F201" s="2953">
        <v>361.81</v>
      </c>
      <c r="G201" s="2954">
        <v>354.45</v>
      </c>
      <c r="H201" s="2951">
        <v>354.24</v>
      </c>
      <c r="I201" s="2952">
        <v>411.53</v>
      </c>
      <c r="J201" s="2951">
        <v>338.47</v>
      </c>
      <c r="K201" s="2953">
        <v>356.99</v>
      </c>
      <c r="L201" s="2954">
        <v>355.09</v>
      </c>
      <c r="M201" s="2951">
        <v>406.93</v>
      </c>
      <c r="N201" s="2955">
        <v>340.74</v>
      </c>
    </row>
    <row r="202" spans="1:14" s="9" customFormat="1" ht="12.75" customHeight="1">
      <c r="A202" s="483">
        <f t="shared" si="0"/>
        <v>2009.01</v>
      </c>
      <c r="B202" s="2954">
        <v>354.81</v>
      </c>
      <c r="C202" s="2951">
        <v>354.75</v>
      </c>
      <c r="D202" s="2952">
        <v>406.13</v>
      </c>
      <c r="E202" s="2951">
        <v>341.19</v>
      </c>
      <c r="F202" s="2953">
        <v>355.6</v>
      </c>
      <c r="G202" s="2954">
        <v>356.18</v>
      </c>
      <c r="H202" s="2951">
        <v>356.62</v>
      </c>
      <c r="I202" s="2952">
        <v>426.8</v>
      </c>
      <c r="J202" s="2951">
        <v>337.29</v>
      </c>
      <c r="K202" s="2953">
        <v>350.77</v>
      </c>
      <c r="L202" s="2954">
        <v>358.05</v>
      </c>
      <c r="M202" s="2951">
        <v>425.65</v>
      </c>
      <c r="N202" s="2955">
        <v>339.34</v>
      </c>
    </row>
    <row r="203" spans="1:14" s="9" customFormat="1" ht="12.75" customHeight="1">
      <c r="A203" s="483">
        <f t="shared" si="0"/>
        <v>2009.02</v>
      </c>
      <c r="B203" s="2954">
        <v>355.31</v>
      </c>
      <c r="C203" s="2951">
        <v>355.88</v>
      </c>
      <c r="D203" s="2952">
        <v>411.1</v>
      </c>
      <c r="E203" s="2951">
        <v>341.3</v>
      </c>
      <c r="F203" s="2953">
        <v>348.08</v>
      </c>
      <c r="G203" s="2954">
        <v>356.79</v>
      </c>
      <c r="H203" s="2951">
        <v>357.88</v>
      </c>
      <c r="I203" s="2952">
        <v>433.12</v>
      </c>
      <c r="J203" s="2951">
        <v>337.16</v>
      </c>
      <c r="K203" s="2953">
        <v>343.38</v>
      </c>
      <c r="L203" s="2954">
        <v>359.44</v>
      </c>
      <c r="M203" s="2951">
        <v>432.41</v>
      </c>
      <c r="N203" s="2955">
        <v>339.24</v>
      </c>
    </row>
    <row r="204" spans="1:14" s="9" customFormat="1" ht="12.75" customHeight="1">
      <c r="A204" s="483">
        <f t="shared" si="0"/>
        <v>2009.03</v>
      </c>
      <c r="B204" s="2954">
        <v>359.38</v>
      </c>
      <c r="C204" s="2951">
        <v>360.07</v>
      </c>
      <c r="D204" s="2952">
        <v>426.14</v>
      </c>
      <c r="E204" s="2951">
        <v>342.63</v>
      </c>
      <c r="F204" s="2953">
        <v>350.62</v>
      </c>
      <c r="G204" s="2954">
        <v>360.5</v>
      </c>
      <c r="H204" s="2951">
        <v>361.68</v>
      </c>
      <c r="I204" s="2952">
        <v>446.36</v>
      </c>
      <c r="J204" s="2951">
        <v>338.37</v>
      </c>
      <c r="K204" s="2953">
        <v>345.94</v>
      </c>
      <c r="L204" s="2954">
        <v>362.87</v>
      </c>
      <c r="M204" s="2951">
        <v>443.89</v>
      </c>
      <c r="N204" s="2955">
        <v>340.45</v>
      </c>
    </row>
    <row r="205" spans="1:14" s="9" customFormat="1" ht="12.75" customHeight="1">
      <c r="A205" s="483">
        <f t="shared" si="0"/>
        <v>2009.04</v>
      </c>
      <c r="B205" s="2954">
        <v>361.08</v>
      </c>
      <c r="C205" s="2951">
        <v>362.22</v>
      </c>
      <c r="D205" s="2952">
        <v>424.79</v>
      </c>
      <c r="E205" s="2951">
        <v>345.7</v>
      </c>
      <c r="F205" s="2953">
        <v>346.55</v>
      </c>
      <c r="G205" s="2954">
        <v>363.17</v>
      </c>
      <c r="H205" s="2951">
        <v>364.83</v>
      </c>
      <c r="I205" s="2952">
        <v>451.05</v>
      </c>
      <c r="J205" s="2951">
        <v>341.08</v>
      </c>
      <c r="K205" s="2953">
        <v>342.71</v>
      </c>
      <c r="L205" s="2954">
        <v>367.35</v>
      </c>
      <c r="M205" s="2951">
        <v>450.96</v>
      </c>
      <c r="N205" s="2955">
        <v>344.21</v>
      </c>
    </row>
    <row r="206" spans="1:14" s="9" customFormat="1" ht="12.75" customHeight="1">
      <c r="A206" s="483">
        <f t="shared" si="0"/>
        <v>2009.05</v>
      </c>
      <c r="B206" s="2954">
        <v>362.8</v>
      </c>
      <c r="C206" s="2951">
        <v>364.03</v>
      </c>
      <c r="D206" s="2952">
        <v>422.04</v>
      </c>
      <c r="E206" s="2951">
        <v>348.71</v>
      </c>
      <c r="F206" s="2953">
        <v>347.18</v>
      </c>
      <c r="G206" s="2954">
        <v>365.55</v>
      </c>
      <c r="H206" s="2951">
        <v>367.36</v>
      </c>
      <c r="I206" s="2952">
        <v>454.03</v>
      </c>
      <c r="J206" s="2951">
        <v>343.5</v>
      </c>
      <c r="K206" s="2953">
        <v>343.22</v>
      </c>
      <c r="L206" s="2954">
        <v>371.31</v>
      </c>
      <c r="M206" s="2951">
        <v>456.78</v>
      </c>
      <c r="N206" s="2955">
        <v>347.65</v>
      </c>
    </row>
    <row r="207" spans="1:14" s="9" customFormat="1" ht="12.75" customHeight="1">
      <c r="A207" s="483">
        <f t="shared" si="0"/>
        <v>2009.06</v>
      </c>
      <c r="B207" s="2954">
        <v>366.9</v>
      </c>
      <c r="C207" s="2951">
        <v>368.46</v>
      </c>
      <c r="D207" s="2952">
        <v>428.43</v>
      </c>
      <c r="E207" s="2951">
        <v>352.62</v>
      </c>
      <c r="F207" s="2953">
        <v>347.1</v>
      </c>
      <c r="G207" s="2954">
        <v>369.99</v>
      </c>
      <c r="H207" s="2951">
        <v>372.16</v>
      </c>
      <c r="I207" s="2952">
        <v>465.33</v>
      </c>
      <c r="J207" s="2951">
        <v>346.51</v>
      </c>
      <c r="K207" s="2953">
        <v>343.11</v>
      </c>
      <c r="L207" s="2954">
        <v>376.56</v>
      </c>
      <c r="M207" s="2951">
        <v>468.91</v>
      </c>
      <c r="N207" s="2955">
        <v>350.99</v>
      </c>
    </row>
    <row r="208" spans="1:14" s="9" customFormat="1" ht="12.75" customHeight="1">
      <c r="A208" s="483">
        <f t="shared" si="0"/>
        <v>2009.07</v>
      </c>
      <c r="B208" s="2954">
        <v>371.47</v>
      </c>
      <c r="C208" s="2951">
        <v>373.04</v>
      </c>
      <c r="D208" s="2952">
        <v>436.54</v>
      </c>
      <c r="E208" s="2951">
        <v>356.27</v>
      </c>
      <c r="F208" s="2953">
        <v>351.54</v>
      </c>
      <c r="G208" s="2954">
        <v>373.83</v>
      </c>
      <c r="H208" s="2951">
        <v>375.95</v>
      </c>
      <c r="I208" s="2952">
        <v>470.65</v>
      </c>
      <c r="J208" s="2951">
        <v>349.88</v>
      </c>
      <c r="K208" s="2953">
        <v>347.57</v>
      </c>
      <c r="L208" s="2954">
        <v>379.42</v>
      </c>
      <c r="M208" s="2951">
        <v>472.53</v>
      </c>
      <c r="N208" s="2955">
        <v>353.65</v>
      </c>
    </row>
    <row r="209" spans="1:14" s="9" customFormat="1" ht="12.75" customHeight="1">
      <c r="A209" s="483">
        <f t="shared" si="0"/>
        <v>2009.08</v>
      </c>
      <c r="B209" s="2954">
        <v>375.34</v>
      </c>
      <c r="C209" s="2951">
        <v>376.99</v>
      </c>
      <c r="D209" s="2952">
        <v>439.56</v>
      </c>
      <c r="E209" s="2951">
        <v>360.47</v>
      </c>
      <c r="F209" s="2953">
        <v>354.43</v>
      </c>
      <c r="G209" s="2954">
        <v>377.95</v>
      </c>
      <c r="H209" s="2951">
        <v>380.18</v>
      </c>
      <c r="I209" s="2952">
        <v>475.34</v>
      </c>
      <c r="J209" s="2951">
        <v>353.98</v>
      </c>
      <c r="K209" s="2953">
        <v>350.34</v>
      </c>
      <c r="L209" s="2954">
        <v>383.47</v>
      </c>
      <c r="M209" s="2951">
        <v>477.19</v>
      </c>
      <c r="N209" s="2955">
        <v>357.53</v>
      </c>
    </row>
    <row r="210" spans="1:14" s="9" customFormat="1" ht="12.75" customHeight="1">
      <c r="A210" s="483">
        <f t="shared" si="0"/>
        <v>2009.09</v>
      </c>
      <c r="B210" s="2954">
        <v>379.18</v>
      </c>
      <c r="C210" s="2951">
        <v>380.78</v>
      </c>
      <c r="D210" s="2952">
        <v>444.58</v>
      </c>
      <c r="E210" s="2951">
        <v>363.93</v>
      </c>
      <c r="F210" s="2953">
        <v>358.92</v>
      </c>
      <c r="G210" s="2954">
        <v>381.48</v>
      </c>
      <c r="H210" s="2951">
        <v>383.65</v>
      </c>
      <c r="I210" s="2952">
        <v>478.71</v>
      </c>
      <c r="J210" s="2951">
        <v>357.48</v>
      </c>
      <c r="K210" s="2953">
        <v>354.62</v>
      </c>
      <c r="L210" s="2954">
        <v>386.98</v>
      </c>
      <c r="M210" s="2951">
        <v>479.54</v>
      </c>
      <c r="N210" s="2955">
        <v>361.37</v>
      </c>
    </row>
    <row r="211" spans="1:14" s="9" customFormat="1" ht="12.75" customHeight="1">
      <c r="A211" s="483">
        <f t="shared" si="0"/>
        <v>2009.1</v>
      </c>
      <c r="B211" s="2954">
        <v>382.69</v>
      </c>
      <c r="C211" s="2951">
        <v>384.52</v>
      </c>
      <c r="D211" s="2952">
        <v>450.9</v>
      </c>
      <c r="E211" s="2951">
        <v>366.99</v>
      </c>
      <c r="F211" s="2953">
        <v>359.45</v>
      </c>
      <c r="G211" s="2954">
        <v>385.46</v>
      </c>
      <c r="H211" s="2951">
        <v>387.93</v>
      </c>
      <c r="I211" s="2952">
        <v>488.23</v>
      </c>
      <c r="J211" s="2951">
        <v>360.31</v>
      </c>
      <c r="K211" s="2953">
        <v>355.01</v>
      </c>
      <c r="L211" s="2954">
        <v>391.23</v>
      </c>
      <c r="M211" s="2951">
        <v>489.69</v>
      </c>
      <c r="N211" s="2955">
        <v>363.98</v>
      </c>
    </row>
    <row r="212" spans="1:14" s="9" customFormat="1" ht="12.75" customHeight="1">
      <c r="A212" s="483">
        <f t="shared" si="0"/>
        <v>2009.11</v>
      </c>
      <c r="B212" s="2954">
        <v>386.72</v>
      </c>
      <c r="C212" s="2951">
        <v>388.68</v>
      </c>
      <c r="D212" s="2952">
        <v>456.03</v>
      </c>
      <c r="E212" s="2951">
        <v>370.9</v>
      </c>
      <c r="F212" s="2953">
        <v>361.8</v>
      </c>
      <c r="G212" s="2954">
        <v>389.62</v>
      </c>
      <c r="H212" s="2951">
        <v>392.24</v>
      </c>
      <c r="I212" s="2952">
        <v>494.59</v>
      </c>
      <c r="J212" s="2951">
        <v>364.05</v>
      </c>
      <c r="K212" s="2953">
        <v>357.26</v>
      </c>
      <c r="L212" s="2954">
        <v>395.63</v>
      </c>
      <c r="M212" s="2951">
        <v>496.14</v>
      </c>
      <c r="N212" s="2955">
        <v>367.81</v>
      </c>
    </row>
    <row r="213" spans="1:14" s="9" customFormat="1" ht="12.75" customHeight="1">
      <c r="A213" s="483">
        <f t="shared" si="0"/>
        <v>2009.12</v>
      </c>
      <c r="B213" s="2954">
        <v>391.56</v>
      </c>
      <c r="C213" s="2951">
        <v>394.1</v>
      </c>
      <c r="D213" s="2952">
        <v>467.44</v>
      </c>
      <c r="E213" s="2951">
        <v>374.74</v>
      </c>
      <c r="F213" s="2953">
        <v>359.27</v>
      </c>
      <c r="G213" s="2954">
        <v>395.13</v>
      </c>
      <c r="H213" s="2951">
        <v>398.39</v>
      </c>
      <c r="I213" s="2952">
        <v>508.9</v>
      </c>
      <c r="J213" s="2951">
        <v>367.96</v>
      </c>
      <c r="K213" s="2953">
        <v>354.84</v>
      </c>
      <c r="L213" s="2954">
        <v>401.75</v>
      </c>
      <c r="M213" s="2951">
        <v>509.66</v>
      </c>
      <c r="N213" s="2955">
        <v>371.88</v>
      </c>
    </row>
    <row r="214" spans="1:14" s="9" customFormat="1" ht="12.75" customHeight="1">
      <c r="A214" s="483">
        <f t="shared" si="0"/>
        <v>2010.01</v>
      </c>
      <c r="B214" s="2954">
        <v>396.84</v>
      </c>
      <c r="C214" s="2951">
        <v>399.15</v>
      </c>
      <c r="D214" s="2952">
        <v>478.62</v>
      </c>
      <c r="E214" s="2951">
        <v>378.17</v>
      </c>
      <c r="F214" s="2953">
        <v>367.41</v>
      </c>
      <c r="G214" s="2954">
        <v>400.6</v>
      </c>
      <c r="H214" s="2951">
        <v>403.67</v>
      </c>
      <c r="I214" s="2952">
        <v>520.55999999999995</v>
      </c>
      <c r="J214" s="2951">
        <v>371.49</v>
      </c>
      <c r="K214" s="2953">
        <v>362.6</v>
      </c>
      <c r="L214" s="2954">
        <v>406.47</v>
      </c>
      <c r="M214" s="2951">
        <v>519.9</v>
      </c>
      <c r="N214" s="2955">
        <v>375.07</v>
      </c>
    </row>
    <row r="215" spans="1:14" s="9" customFormat="1" ht="12.75" customHeight="1">
      <c r="A215" s="483">
        <f t="shared" si="0"/>
        <v>2010.02</v>
      </c>
      <c r="B215" s="2954">
        <v>402.94</v>
      </c>
      <c r="C215" s="2951">
        <v>405.67</v>
      </c>
      <c r="D215" s="2952">
        <v>490.06</v>
      </c>
      <c r="E215" s="2951">
        <v>383.4</v>
      </c>
      <c r="F215" s="2953">
        <v>368.2</v>
      </c>
      <c r="G215" s="2954">
        <v>406.2</v>
      </c>
      <c r="H215" s="2951">
        <v>409.66</v>
      </c>
      <c r="I215" s="2952">
        <v>528.79999999999995</v>
      </c>
      <c r="J215" s="2951">
        <v>376.85</v>
      </c>
      <c r="K215" s="2953">
        <v>363.4</v>
      </c>
      <c r="L215" s="2954">
        <v>411.61</v>
      </c>
      <c r="M215" s="2951">
        <v>524.88</v>
      </c>
      <c r="N215" s="2955">
        <v>380.26</v>
      </c>
    </row>
    <row r="216" spans="1:14" s="9" customFormat="1" ht="12.75" customHeight="1">
      <c r="A216" s="483">
        <f t="shared" si="0"/>
        <v>2010.03</v>
      </c>
      <c r="B216" s="2954">
        <v>409.06</v>
      </c>
      <c r="C216" s="2951">
        <v>411.49</v>
      </c>
      <c r="D216" s="2952">
        <v>498.56</v>
      </c>
      <c r="E216" s="2951">
        <v>388.51</v>
      </c>
      <c r="F216" s="2953">
        <v>378.05</v>
      </c>
      <c r="G216" s="2954">
        <v>411.58</v>
      </c>
      <c r="H216" s="2951">
        <v>414.69</v>
      </c>
      <c r="I216" s="2952">
        <v>534.28</v>
      </c>
      <c r="J216" s="2951">
        <v>381.77</v>
      </c>
      <c r="K216" s="2953">
        <v>373.13</v>
      </c>
      <c r="L216" s="2954">
        <v>415.36</v>
      </c>
      <c r="M216" s="2951">
        <v>528.02</v>
      </c>
      <c r="N216" s="2955">
        <v>384.18</v>
      </c>
    </row>
    <row r="217" spans="1:14" s="9" customFormat="1" ht="12.75" customHeight="1">
      <c r="A217" s="483">
        <f t="shared" si="0"/>
        <v>2010.04</v>
      </c>
      <c r="B217" s="2954">
        <v>413.79</v>
      </c>
      <c r="C217" s="2951">
        <v>416.28</v>
      </c>
      <c r="D217" s="2952">
        <v>500.92</v>
      </c>
      <c r="E217" s="2951">
        <v>393.93</v>
      </c>
      <c r="F217" s="2953">
        <v>382.1</v>
      </c>
      <c r="G217" s="2954">
        <v>416.09</v>
      </c>
      <c r="H217" s="2951">
        <v>419.24</v>
      </c>
      <c r="I217" s="2952">
        <v>536.79</v>
      </c>
      <c r="J217" s="2951">
        <v>386.87</v>
      </c>
      <c r="K217" s="2953">
        <v>377.16</v>
      </c>
      <c r="L217" s="2954">
        <v>420</v>
      </c>
      <c r="M217" s="2951">
        <v>530.79</v>
      </c>
      <c r="N217" s="2955">
        <v>389.33</v>
      </c>
    </row>
    <row r="218" spans="1:14" s="9" customFormat="1" ht="12.75" customHeight="1">
      <c r="A218" s="483">
        <f t="shared" si="0"/>
        <v>2010.05</v>
      </c>
      <c r="B218" s="2954">
        <v>418.79</v>
      </c>
      <c r="C218" s="2951">
        <v>421.37</v>
      </c>
      <c r="D218" s="2952">
        <v>504.36</v>
      </c>
      <c r="E218" s="2951">
        <v>399.46</v>
      </c>
      <c r="F218" s="2953">
        <v>386.01</v>
      </c>
      <c r="G218" s="2954">
        <v>421.08</v>
      </c>
      <c r="H218" s="2951">
        <v>424.32</v>
      </c>
      <c r="I218" s="2952">
        <v>540.89</v>
      </c>
      <c r="J218" s="2951">
        <v>392.23</v>
      </c>
      <c r="K218" s="2953">
        <v>381.03</v>
      </c>
      <c r="L218" s="2954">
        <v>424.97</v>
      </c>
      <c r="M218" s="2951">
        <v>534.95000000000005</v>
      </c>
      <c r="N218" s="2955">
        <v>394.53</v>
      </c>
    </row>
    <row r="219" spans="1:14" s="9" customFormat="1" ht="12.75" customHeight="1">
      <c r="A219" s="483">
        <f t="shared" si="0"/>
        <v>2010.06</v>
      </c>
      <c r="B219" s="2954">
        <v>423.88</v>
      </c>
      <c r="C219" s="2951">
        <v>426.81</v>
      </c>
      <c r="D219" s="2952">
        <v>512.05999999999995</v>
      </c>
      <c r="E219" s="2951">
        <v>404.31</v>
      </c>
      <c r="F219" s="2953">
        <v>386.64</v>
      </c>
      <c r="G219" s="2954">
        <v>426.1</v>
      </c>
      <c r="H219" s="2951">
        <v>429.68</v>
      </c>
      <c r="I219" s="2952">
        <v>549.48</v>
      </c>
      <c r="J219" s="2951">
        <v>396.69</v>
      </c>
      <c r="K219" s="2953">
        <v>381.79</v>
      </c>
      <c r="L219" s="2954">
        <v>430.19</v>
      </c>
      <c r="M219" s="2951">
        <v>543.41</v>
      </c>
      <c r="N219" s="2955">
        <v>398.85</v>
      </c>
    </row>
    <row r="220" spans="1:14" s="9" customFormat="1" ht="12.75" customHeight="1">
      <c r="A220" s="483">
        <f t="shared" si="0"/>
        <v>2010.07</v>
      </c>
      <c r="B220" s="2954">
        <v>427.98</v>
      </c>
      <c r="C220" s="2951">
        <v>431.21</v>
      </c>
      <c r="D220" s="2952">
        <v>515.92999999999995</v>
      </c>
      <c r="E220" s="2951">
        <v>408.84</v>
      </c>
      <c r="F220" s="2953">
        <v>386.86</v>
      </c>
      <c r="G220" s="2954">
        <v>430.56</v>
      </c>
      <c r="H220" s="2951">
        <v>434.48</v>
      </c>
      <c r="I220" s="2952">
        <v>556.83000000000004</v>
      </c>
      <c r="J220" s="2951">
        <v>400.8</v>
      </c>
      <c r="K220" s="2953">
        <v>382.03</v>
      </c>
      <c r="L220" s="2954">
        <v>435.64</v>
      </c>
      <c r="M220" s="2951">
        <v>551.5</v>
      </c>
      <c r="N220" s="2955">
        <v>403.58</v>
      </c>
    </row>
    <row r="221" spans="1:14" s="9" customFormat="1" ht="12.75" customHeight="1">
      <c r="A221" s="483">
        <f t="shared" si="0"/>
        <v>2010.08</v>
      </c>
      <c r="B221" s="2954">
        <v>432.25</v>
      </c>
      <c r="C221" s="2951">
        <v>435.83</v>
      </c>
      <c r="D221" s="2952">
        <v>528.05999999999995</v>
      </c>
      <c r="E221" s="2951">
        <v>411.48</v>
      </c>
      <c r="F221" s="2953">
        <v>386.81</v>
      </c>
      <c r="G221" s="2954">
        <v>436.62</v>
      </c>
      <c r="H221" s="2951">
        <v>441.04</v>
      </c>
      <c r="I221" s="2952">
        <v>578.25</v>
      </c>
      <c r="J221" s="2951">
        <v>403.26</v>
      </c>
      <c r="K221" s="2953">
        <v>382</v>
      </c>
      <c r="L221" s="2954">
        <v>443.18</v>
      </c>
      <c r="M221" s="2951">
        <v>575.41</v>
      </c>
      <c r="N221" s="2955">
        <v>406.58</v>
      </c>
    </row>
    <row r="222" spans="1:14" s="9" customFormat="1" ht="12.75" customHeight="1">
      <c r="A222" s="483">
        <f t="shared" si="0"/>
        <v>2010.09</v>
      </c>
      <c r="B222" s="2954">
        <v>436.28</v>
      </c>
      <c r="C222" s="2951">
        <v>440.04</v>
      </c>
      <c r="D222" s="2952">
        <v>538.54</v>
      </c>
      <c r="E222" s="2951">
        <v>414.04</v>
      </c>
      <c r="F222" s="2953">
        <v>388.44</v>
      </c>
      <c r="G222" s="2954">
        <v>441.13</v>
      </c>
      <c r="H222" s="2951">
        <v>445.79</v>
      </c>
      <c r="I222" s="2952">
        <v>591.39</v>
      </c>
      <c r="J222" s="2951">
        <v>405.7</v>
      </c>
      <c r="K222" s="2953">
        <v>383.6</v>
      </c>
      <c r="L222" s="2954">
        <v>448.34</v>
      </c>
      <c r="M222" s="2951">
        <v>589.57000000000005</v>
      </c>
      <c r="N222" s="2955">
        <v>409.25</v>
      </c>
    </row>
    <row r="223" spans="1:14" s="9" customFormat="1" ht="12.75" customHeight="1">
      <c r="A223" s="483">
        <f t="shared" si="0"/>
        <v>2010.1</v>
      </c>
      <c r="B223" s="2954">
        <v>440.23</v>
      </c>
      <c r="C223" s="2951">
        <v>443.84</v>
      </c>
      <c r="D223" s="2952">
        <v>543.91999999999996</v>
      </c>
      <c r="E223" s="2951">
        <v>417.42</v>
      </c>
      <c r="F223" s="2953">
        <v>394.26</v>
      </c>
      <c r="G223" s="2954">
        <v>446.26</v>
      </c>
      <c r="H223" s="2951">
        <v>450.86</v>
      </c>
      <c r="I223" s="2952">
        <v>602.48</v>
      </c>
      <c r="J223" s="2951">
        <v>409.11</v>
      </c>
      <c r="K223" s="2953">
        <v>389.43</v>
      </c>
      <c r="L223" s="2954">
        <v>454.32</v>
      </c>
      <c r="M223" s="2951">
        <v>601.64</v>
      </c>
      <c r="N223" s="2955">
        <v>413.55</v>
      </c>
    </row>
    <row r="224" spans="1:14" s="9" customFormat="1" ht="12.75" customHeight="1">
      <c r="A224" s="483">
        <f t="shared" si="0"/>
        <v>2010.11</v>
      </c>
      <c r="B224" s="2954">
        <v>444.38</v>
      </c>
      <c r="C224" s="2951">
        <v>448.04</v>
      </c>
      <c r="D224" s="2952">
        <v>548.91999999999996</v>
      </c>
      <c r="E224" s="2951">
        <v>421.41</v>
      </c>
      <c r="F224" s="2953">
        <v>397.75</v>
      </c>
      <c r="G224" s="2954">
        <v>452.4</v>
      </c>
      <c r="H224" s="2951">
        <v>457.21</v>
      </c>
      <c r="I224" s="2952">
        <v>617.54999999999995</v>
      </c>
      <c r="J224" s="2951">
        <v>413.06</v>
      </c>
      <c r="K224" s="2953">
        <v>392.95</v>
      </c>
      <c r="L224" s="2954">
        <v>461.18</v>
      </c>
      <c r="M224" s="2951">
        <v>619.37</v>
      </c>
      <c r="N224" s="2955">
        <v>417.4</v>
      </c>
    </row>
    <row r="225" spans="1:14" s="9" customFormat="1" ht="12.75" customHeight="1">
      <c r="A225" s="483">
        <f t="shared" si="0"/>
        <v>2010.12</v>
      </c>
      <c r="B225" s="2954">
        <v>448.57</v>
      </c>
      <c r="C225" s="2951">
        <v>452.16</v>
      </c>
      <c r="D225" s="2952">
        <v>552.02</v>
      </c>
      <c r="E225" s="2951">
        <v>425.79</v>
      </c>
      <c r="F225" s="2953">
        <v>402.94</v>
      </c>
      <c r="G225" s="2954">
        <v>457.03</v>
      </c>
      <c r="H225" s="2951">
        <v>461.79</v>
      </c>
      <c r="I225" s="2952">
        <v>623.58000000000004</v>
      </c>
      <c r="J225" s="2951">
        <v>417.24</v>
      </c>
      <c r="K225" s="2953">
        <v>398.15</v>
      </c>
      <c r="L225" s="2954">
        <v>466.17</v>
      </c>
      <c r="M225" s="2951">
        <v>626.83000000000004</v>
      </c>
      <c r="N225" s="2955">
        <v>421.7</v>
      </c>
    </row>
    <row r="226" spans="1:14" s="9" customFormat="1" ht="12.75" customHeight="1">
      <c r="A226" s="483">
        <f t="shared" si="0"/>
        <v>2011.01</v>
      </c>
      <c r="B226" s="2954">
        <v>453.48</v>
      </c>
      <c r="C226" s="2951">
        <v>457.16</v>
      </c>
      <c r="D226" s="2952">
        <v>558.05999999999995</v>
      </c>
      <c r="E226" s="2951">
        <v>430.53</v>
      </c>
      <c r="F226" s="2953">
        <v>406.69</v>
      </c>
      <c r="G226" s="2954">
        <v>462.89</v>
      </c>
      <c r="H226" s="2951">
        <v>467.83</v>
      </c>
      <c r="I226" s="2952">
        <v>636.16</v>
      </c>
      <c r="J226" s="2951">
        <v>421.48</v>
      </c>
      <c r="K226" s="2953">
        <v>401.8</v>
      </c>
      <c r="L226" s="2954">
        <v>473.08</v>
      </c>
      <c r="M226" s="2951">
        <v>642.64</v>
      </c>
      <c r="N226" s="2955">
        <v>426.15</v>
      </c>
    </row>
    <row r="227" spans="1:14" s="9" customFormat="1" ht="12.75" customHeight="1">
      <c r="A227" s="483">
        <f t="shared" si="0"/>
        <v>2011.02</v>
      </c>
      <c r="B227" s="2954">
        <v>457.7</v>
      </c>
      <c r="C227" s="2951">
        <v>461.22</v>
      </c>
      <c r="D227" s="2952">
        <v>561.51</v>
      </c>
      <c r="E227" s="2951">
        <v>434.75</v>
      </c>
      <c r="F227" s="2953">
        <v>412.96</v>
      </c>
      <c r="G227" s="2954">
        <v>467.08</v>
      </c>
      <c r="H227" s="2951">
        <v>471.88</v>
      </c>
      <c r="I227" s="2952">
        <v>639.61</v>
      </c>
      <c r="J227" s="2951">
        <v>425.7</v>
      </c>
      <c r="K227" s="2953">
        <v>407.77</v>
      </c>
      <c r="L227" s="2954">
        <v>477.23</v>
      </c>
      <c r="M227" s="2951">
        <v>646.51</v>
      </c>
      <c r="N227" s="2955">
        <v>430.38</v>
      </c>
    </row>
    <row r="228" spans="1:14" s="9" customFormat="1" ht="12.75" customHeight="1">
      <c r="A228" s="483">
        <f t="shared" si="0"/>
        <v>2011.03</v>
      </c>
      <c r="B228" s="2954">
        <v>462.1</v>
      </c>
      <c r="C228" s="2951">
        <v>465.74</v>
      </c>
      <c r="D228" s="2952">
        <v>573.28</v>
      </c>
      <c r="E228" s="2951">
        <v>437.35</v>
      </c>
      <c r="F228" s="2953">
        <v>415.82</v>
      </c>
      <c r="G228" s="2954">
        <v>469.71</v>
      </c>
      <c r="H228" s="2951">
        <v>474.49</v>
      </c>
      <c r="I228" s="2952">
        <v>642.72</v>
      </c>
      <c r="J228" s="2951">
        <v>428.17</v>
      </c>
      <c r="K228" s="2953">
        <v>410.55</v>
      </c>
      <c r="L228" s="2954">
        <v>478.69</v>
      </c>
      <c r="M228" s="2951">
        <v>646.49</v>
      </c>
      <c r="N228" s="2955">
        <v>432.24</v>
      </c>
    </row>
    <row r="229" spans="1:14" s="9" customFormat="1" ht="12.75" customHeight="1">
      <c r="A229" s="483">
        <f t="shared" si="0"/>
        <v>2011.04</v>
      </c>
      <c r="B229" s="2954">
        <v>466.74</v>
      </c>
      <c r="C229" s="2951">
        <v>470.61</v>
      </c>
      <c r="D229" s="2952">
        <v>573.79999999999995</v>
      </c>
      <c r="E229" s="2951">
        <v>443.37</v>
      </c>
      <c r="F229" s="2953">
        <v>417.49</v>
      </c>
      <c r="G229" s="2954">
        <v>474.19</v>
      </c>
      <c r="H229" s="2951">
        <v>479.21</v>
      </c>
      <c r="I229" s="2952">
        <v>645.27</v>
      </c>
      <c r="J229" s="2951">
        <v>433.49</v>
      </c>
      <c r="K229" s="2953">
        <v>412.19</v>
      </c>
      <c r="L229" s="2954">
        <v>483.43</v>
      </c>
      <c r="M229" s="2951">
        <v>649.9</v>
      </c>
      <c r="N229" s="2955">
        <v>437.35</v>
      </c>
    </row>
    <row r="230" spans="1:14" s="9" customFormat="1" ht="12.75" customHeight="1">
      <c r="A230" s="483">
        <f t="shared" si="0"/>
        <v>2011.05</v>
      </c>
      <c r="B230" s="2954">
        <v>471.54</v>
      </c>
      <c r="C230" s="2951">
        <v>475.52</v>
      </c>
      <c r="D230" s="2952">
        <v>577.70000000000005</v>
      </c>
      <c r="E230" s="2951">
        <v>448.54</v>
      </c>
      <c r="F230" s="2953">
        <v>420.92</v>
      </c>
      <c r="G230" s="2954">
        <v>478.58</v>
      </c>
      <c r="H230" s="2951">
        <v>483.68</v>
      </c>
      <c r="I230" s="2952">
        <v>647.22</v>
      </c>
      <c r="J230" s="2951">
        <v>438.65</v>
      </c>
      <c r="K230" s="2953">
        <v>415.58</v>
      </c>
      <c r="L230" s="2954">
        <v>487.32</v>
      </c>
      <c r="M230" s="2951">
        <v>650.45000000000005</v>
      </c>
      <c r="N230" s="2955">
        <v>442.17</v>
      </c>
    </row>
    <row r="231" spans="1:14" s="9" customFormat="1" ht="12.75" customHeight="1">
      <c r="A231" s="483">
        <f t="shared" si="0"/>
        <v>2011.06</v>
      </c>
      <c r="B231" s="2954">
        <v>476.92</v>
      </c>
      <c r="C231" s="2951">
        <v>481.1</v>
      </c>
      <c r="D231" s="2952">
        <v>582.82000000000005</v>
      </c>
      <c r="E231" s="2951">
        <v>454.24</v>
      </c>
      <c r="F231" s="2953">
        <v>423.8</v>
      </c>
      <c r="G231" s="2954">
        <v>484.04</v>
      </c>
      <c r="H231" s="2951">
        <v>489.34</v>
      </c>
      <c r="I231" s="2952">
        <v>653.29999999999995</v>
      </c>
      <c r="J231" s="2951">
        <v>444.2</v>
      </c>
      <c r="K231" s="2953">
        <v>418.55</v>
      </c>
      <c r="L231" s="2954">
        <v>492.97</v>
      </c>
      <c r="M231" s="2951">
        <v>655.49</v>
      </c>
      <c r="N231" s="2955">
        <v>447.99</v>
      </c>
    </row>
    <row r="232" spans="1:14" s="9" customFormat="1" ht="12.75" customHeight="1">
      <c r="A232" s="483">
        <f t="shared" si="0"/>
        <v>2011.07</v>
      </c>
      <c r="B232" s="2954">
        <v>481.72</v>
      </c>
      <c r="C232" s="2951">
        <v>486.01</v>
      </c>
      <c r="D232" s="2952">
        <v>588.77</v>
      </c>
      <c r="E232" s="2951">
        <v>458.88</v>
      </c>
      <c r="F232" s="2953">
        <v>427.19</v>
      </c>
      <c r="G232" s="2954">
        <v>488.76</v>
      </c>
      <c r="H232" s="2951">
        <v>494.16</v>
      </c>
      <c r="I232" s="2952">
        <v>659.39</v>
      </c>
      <c r="J232" s="2951">
        <v>448.67</v>
      </c>
      <c r="K232" s="2953">
        <v>421.99</v>
      </c>
      <c r="L232" s="2954">
        <v>497.71</v>
      </c>
      <c r="M232" s="2951">
        <v>660.72</v>
      </c>
      <c r="N232" s="2955">
        <v>452.59</v>
      </c>
    </row>
    <row r="233" spans="1:14" s="9" customFormat="1" ht="12.75" customHeight="1">
      <c r="A233" s="483">
        <f t="shared" si="0"/>
        <v>2011.08</v>
      </c>
      <c r="B233" s="2954">
        <v>486.61</v>
      </c>
      <c r="C233" s="2951">
        <v>491.07</v>
      </c>
      <c r="D233" s="2952">
        <v>596.61</v>
      </c>
      <c r="E233" s="2951">
        <v>463.2</v>
      </c>
      <c r="F233" s="2953">
        <v>429.83</v>
      </c>
      <c r="G233" s="2954">
        <v>493.62</v>
      </c>
      <c r="H233" s="2951">
        <v>499.21</v>
      </c>
      <c r="I233" s="2952">
        <v>668.18</v>
      </c>
      <c r="J233" s="2951">
        <v>452.68</v>
      </c>
      <c r="K233" s="2953">
        <v>424.61</v>
      </c>
      <c r="L233" s="2954">
        <v>502.64</v>
      </c>
      <c r="M233" s="2951">
        <v>669.55</v>
      </c>
      <c r="N233" s="2955">
        <v>456.44</v>
      </c>
    </row>
    <row r="234" spans="1:14" s="9" customFormat="1" ht="12.75" customHeight="1">
      <c r="A234" s="483">
        <f t="shared" si="0"/>
        <v>2011.09</v>
      </c>
      <c r="B234" s="2954">
        <v>491.6</v>
      </c>
      <c r="C234" s="2951">
        <v>496.2</v>
      </c>
      <c r="D234" s="2952">
        <v>605.1</v>
      </c>
      <c r="E234" s="2951">
        <v>467.46</v>
      </c>
      <c r="F234" s="2953">
        <v>433.06</v>
      </c>
      <c r="G234" s="2954">
        <v>498.75</v>
      </c>
      <c r="H234" s="2951">
        <v>504.5</v>
      </c>
      <c r="I234" s="2952">
        <v>677.61</v>
      </c>
      <c r="J234" s="2951">
        <v>456.83</v>
      </c>
      <c r="K234" s="2953">
        <v>427.75</v>
      </c>
      <c r="L234" s="2954">
        <v>507.83</v>
      </c>
      <c r="M234" s="2951">
        <v>678.82</v>
      </c>
      <c r="N234" s="2955">
        <v>460.5</v>
      </c>
    </row>
    <row r="235" spans="1:14" s="9" customFormat="1" ht="12.75" customHeight="1">
      <c r="A235" s="483">
        <f t="shared" si="0"/>
        <v>2011.1</v>
      </c>
      <c r="B235" s="2954">
        <v>496.08</v>
      </c>
      <c r="C235" s="2951">
        <v>501.09</v>
      </c>
      <c r="D235" s="2952">
        <v>617.79999999999995</v>
      </c>
      <c r="E235" s="2951">
        <v>470.28</v>
      </c>
      <c r="F235" s="2953">
        <v>432.36</v>
      </c>
      <c r="G235" s="2954">
        <v>502.39</v>
      </c>
      <c r="H235" s="2951">
        <v>508.47</v>
      </c>
      <c r="I235" s="2952">
        <v>685.78</v>
      </c>
      <c r="J235" s="2951">
        <v>459.65</v>
      </c>
      <c r="K235" s="2953">
        <v>427.26</v>
      </c>
      <c r="L235" s="2954">
        <v>511.25</v>
      </c>
      <c r="M235" s="2951">
        <v>686.04</v>
      </c>
      <c r="N235" s="2955">
        <v>462.87</v>
      </c>
    </row>
    <row r="236" spans="1:14" s="9" customFormat="1" ht="12.75" customHeight="1">
      <c r="A236" s="483">
        <f t="shared" si="0"/>
        <v>2011.11</v>
      </c>
      <c r="B236" s="2954">
        <v>500.81</v>
      </c>
      <c r="C236" s="2951">
        <v>505.98</v>
      </c>
      <c r="D236" s="2952">
        <v>625.29999999999995</v>
      </c>
      <c r="E236" s="2951">
        <v>474.48</v>
      </c>
      <c r="F236" s="2953">
        <v>435.06</v>
      </c>
      <c r="G236" s="2954">
        <v>506.87</v>
      </c>
      <c r="H236" s="2951">
        <v>513.08000000000004</v>
      </c>
      <c r="I236" s="2952">
        <v>693.35</v>
      </c>
      <c r="J236" s="2951">
        <v>463.45</v>
      </c>
      <c r="K236" s="2953">
        <v>430.02</v>
      </c>
      <c r="L236" s="2954">
        <v>515.57000000000005</v>
      </c>
      <c r="M236" s="2951">
        <v>693.84</v>
      </c>
      <c r="N236" s="2955">
        <v>466.22</v>
      </c>
    </row>
    <row r="237" spans="1:14" s="9" customFormat="1" ht="12.75" customHeight="1">
      <c r="A237" s="483">
        <f t="shared" si="0"/>
        <v>2011.12</v>
      </c>
      <c r="B237" s="2954">
        <v>505.42</v>
      </c>
      <c r="C237" s="2951">
        <v>510.7</v>
      </c>
      <c r="D237" s="2952">
        <v>628.24</v>
      </c>
      <c r="E237" s="2951">
        <v>479.67</v>
      </c>
      <c r="F237" s="2953">
        <v>438.15</v>
      </c>
      <c r="G237" s="2954">
        <v>510.03</v>
      </c>
      <c r="H237" s="2951">
        <v>516.23</v>
      </c>
      <c r="I237" s="2952">
        <v>689.24</v>
      </c>
      <c r="J237" s="2951">
        <v>468.6</v>
      </c>
      <c r="K237" s="2953">
        <v>433.31</v>
      </c>
      <c r="L237" s="2954">
        <v>517.91999999999996</v>
      </c>
      <c r="M237" s="2951">
        <v>689.76</v>
      </c>
      <c r="N237" s="2955">
        <v>470.36</v>
      </c>
    </row>
    <row r="238" spans="1:14" s="9" customFormat="1" ht="12.75" customHeight="1">
      <c r="A238" s="483">
        <f t="shared" si="0"/>
        <v>2012.01</v>
      </c>
      <c r="B238" s="2954">
        <v>510.26</v>
      </c>
      <c r="C238" s="2951">
        <v>515.70000000000005</v>
      </c>
      <c r="D238" s="2952">
        <v>630.67999999999995</v>
      </c>
      <c r="E238" s="2951">
        <v>485.35</v>
      </c>
      <c r="F238" s="2953">
        <v>441.02</v>
      </c>
      <c r="G238" s="2954">
        <v>516.16999999999996</v>
      </c>
      <c r="H238" s="2951">
        <v>522.65</v>
      </c>
      <c r="I238" s="2952">
        <v>699.35</v>
      </c>
      <c r="J238" s="2951">
        <v>474</v>
      </c>
      <c r="K238" s="2953">
        <v>436.05</v>
      </c>
      <c r="L238" s="2954">
        <v>525.42999999999995</v>
      </c>
      <c r="M238" s="2951">
        <v>703.92</v>
      </c>
      <c r="N238" s="2955">
        <v>476.02</v>
      </c>
    </row>
    <row r="239" spans="1:14" s="9" customFormat="1" ht="12.75" customHeight="1">
      <c r="A239" s="483">
        <f t="shared" si="0"/>
        <v>2012.02</v>
      </c>
      <c r="B239" s="2954">
        <v>515.29999999999995</v>
      </c>
      <c r="C239" s="2951">
        <v>520.99</v>
      </c>
      <c r="D239" s="2952">
        <v>644.29</v>
      </c>
      <c r="E239" s="2951">
        <v>488.44</v>
      </c>
      <c r="F239" s="2953">
        <v>442.96</v>
      </c>
      <c r="G239" s="2954">
        <v>521.71</v>
      </c>
      <c r="H239" s="2951">
        <v>528.49</v>
      </c>
      <c r="I239" s="2952">
        <v>715.11</v>
      </c>
      <c r="J239" s="2951">
        <v>477.11</v>
      </c>
      <c r="K239" s="2953">
        <v>437.92</v>
      </c>
      <c r="L239" s="2954">
        <v>531.88</v>
      </c>
      <c r="M239" s="2951">
        <v>719.32</v>
      </c>
      <c r="N239" s="2955">
        <v>480</v>
      </c>
    </row>
    <row r="240" spans="1:14" s="9" customFormat="1" ht="12.75" customHeight="1">
      <c r="A240" s="483">
        <f t="shared" si="0"/>
        <v>2012.03</v>
      </c>
      <c r="B240" s="2954">
        <v>521.39</v>
      </c>
      <c r="C240" s="2951">
        <v>527.07000000000005</v>
      </c>
      <c r="D240" s="2952">
        <v>655.12</v>
      </c>
      <c r="E240" s="2951">
        <v>493.27</v>
      </c>
      <c r="F240" s="2953">
        <v>449.09</v>
      </c>
      <c r="G240" s="2954">
        <v>527.82000000000005</v>
      </c>
      <c r="H240" s="2951">
        <v>534.61</v>
      </c>
      <c r="I240" s="2952">
        <v>727.88</v>
      </c>
      <c r="J240" s="2951">
        <v>481.39</v>
      </c>
      <c r="K240" s="2953">
        <v>443.96</v>
      </c>
      <c r="L240" s="2954">
        <v>537.83000000000004</v>
      </c>
      <c r="M240" s="2951">
        <v>729.61</v>
      </c>
      <c r="N240" s="2955">
        <v>484.75</v>
      </c>
    </row>
    <row r="241" spans="1:14" s="9" customFormat="1" ht="12.75" customHeight="1">
      <c r="A241" s="483">
        <f t="shared" si="0"/>
        <v>2012.04</v>
      </c>
      <c r="B241" s="2954">
        <v>527.29</v>
      </c>
      <c r="C241" s="2951">
        <v>533.05999999999995</v>
      </c>
      <c r="D241" s="2952">
        <v>655.93</v>
      </c>
      <c r="E241" s="2951">
        <v>500.62</v>
      </c>
      <c r="F241" s="2953">
        <v>453.9</v>
      </c>
      <c r="G241" s="2954">
        <v>534.45000000000005</v>
      </c>
      <c r="H241" s="2951">
        <v>541.4</v>
      </c>
      <c r="I241" s="2952">
        <v>734.81</v>
      </c>
      <c r="J241" s="2951">
        <v>488.14</v>
      </c>
      <c r="K241" s="2953">
        <v>448.53</v>
      </c>
      <c r="L241" s="2954">
        <v>545.29</v>
      </c>
      <c r="M241" s="2951">
        <v>737.46</v>
      </c>
      <c r="N241" s="2955">
        <v>492.1</v>
      </c>
    </row>
    <row r="242" spans="1:14" s="9" customFormat="1" ht="12.75" customHeight="1">
      <c r="A242" s="483">
        <f t="shared" si="0"/>
        <v>2012.05</v>
      </c>
      <c r="B242" s="2954">
        <v>532.66999999999996</v>
      </c>
      <c r="C242" s="2951">
        <v>538.57000000000005</v>
      </c>
      <c r="D242" s="2952">
        <v>658.91</v>
      </c>
      <c r="E242" s="2951">
        <v>506.8</v>
      </c>
      <c r="F242" s="2953">
        <v>457.63</v>
      </c>
      <c r="G242" s="2954">
        <v>539.74</v>
      </c>
      <c r="H242" s="2951">
        <v>546.83000000000004</v>
      </c>
      <c r="I242" s="2952">
        <v>738.27</v>
      </c>
      <c r="J242" s="2951">
        <v>494.12</v>
      </c>
      <c r="K242" s="2953">
        <v>452.13</v>
      </c>
      <c r="L242" s="2954">
        <v>550.66</v>
      </c>
      <c r="M242" s="2951">
        <v>740.77</v>
      </c>
      <c r="N242" s="2955">
        <v>498.04</v>
      </c>
    </row>
    <row r="243" spans="1:14" s="9" customFormat="1" ht="12.75" customHeight="1">
      <c r="A243" s="483">
        <f t="shared" si="0"/>
        <v>2012.06</v>
      </c>
      <c r="B243" s="2954">
        <v>537.95000000000005</v>
      </c>
      <c r="C243" s="2951">
        <v>544.01</v>
      </c>
      <c r="D243" s="2952">
        <v>665.29</v>
      </c>
      <c r="E243" s="2951">
        <v>512</v>
      </c>
      <c r="F243" s="2953">
        <v>460.86</v>
      </c>
      <c r="G243" s="2954">
        <v>545.08000000000004</v>
      </c>
      <c r="H243" s="2951">
        <v>552.32000000000005</v>
      </c>
      <c r="I243" s="2952">
        <v>744.31</v>
      </c>
      <c r="J243" s="2951">
        <v>499.46</v>
      </c>
      <c r="K243" s="2953">
        <v>455.56</v>
      </c>
      <c r="L243" s="2954">
        <v>556.1</v>
      </c>
      <c r="M243" s="2951">
        <v>746.08</v>
      </c>
      <c r="N243" s="2955">
        <v>503.51</v>
      </c>
    </row>
    <row r="244" spans="1:14" s="9" customFormat="1" ht="12.75" customHeight="1">
      <c r="A244" s="483">
        <f t="shared" si="0"/>
        <v>2012.07</v>
      </c>
      <c r="B244" s="2954">
        <v>543.16999999999996</v>
      </c>
      <c r="C244" s="2951">
        <v>549.41</v>
      </c>
      <c r="D244" s="2952">
        <v>667.06</v>
      </c>
      <c r="E244" s="2951">
        <v>518.35</v>
      </c>
      <c r="F244" s="2953">
        <v>463.79</v>
      </c>
      <c r="G244" s="2954">
        <v>551.69000000000005</v>
      </c>
      <c r="H244" s="2951">
        <v>559.22</v>
      </c>
      <c r="I244" s="2952">
        <v>753.6</v>
      </c>
      <c r="J244" s="2951">
        <v>505.7</v>
      </c>
      <c r="K244" s="2953">
        <v>458.55</v>
      </c>
      <c r="L244" s="2954">
        <v>565.13</v>
      </c>
      <c r="M244" s="2951">
        <v>758.76</v>
      </c>
      <c r="N244" s="2955">
        <v>511.54</v>
      </c>
    </row>
    <row r="245" spans="1:14" s="9" customFormat="1" ht="12.75" customHeight="1">
      <c r="A245" s="483">
        <f t="shared" si="0"/>
        <v>2012.08</v>
      </c>
      <c r="B245" s="2954">
        <v>548.79</v>
      </c>
      <c r="C245" s="2951">
        <v>555.22</v>
      </c>
      <c r="D245" s="2952">
        <v>674.26</v>
      </c>
      <c r="E245" s="2951">
        <v>523.79</v>
      </c>
      <c r="F245" s="2953">
        <v>466.95</v>
      </c>
      <c r="G245" s="2954">
        <v>558.38</v>
      </c>
      <c r="H245" s="2951">
        <v>566.19000000000005</v>
      </c>
      <c r="I245" s="2952">
        <v>765.83</v>
      </c>
      <c r="J245" s="2951">
        <v>511.21</v>
      </c>
      <c r="K245" s="2953">
        <v>461.86</v>
      </c>
      <c r="L245" s="2954">
        <v>573.12</v>
      </c>
      <c r="M245" s="2951">
        <v>772.48</v>
      </c>
      <c r="N245" s="2955">
        <v>517.94000000000005</v>
      </c>
    </row>
    <row r="246" spans="1:14" s="9" customFormat="1" ht="12.75" customHeight="1">
      <c r="A246" s="483">
        <f t="shared" si="0"/>
        <v>2012.09</v>
      </c>
      <c r="B246" s="2954">
        <v>554.9</v>
      </c>
      <c r="C246" s="2951">
        <v>561.63</v>
      </c>
      <c r="D246" s="2952">
        <v>685.84</v>
      </c>
      <c r="E246" s="2951">
        <v>528.84</v>
      </c>
      <c r="F246" s="2953">
        <v>469.29</v>
      </c>
      <c r="G246" s="2954">
        <v>565.02</v>
      </c>
      <c r="H246" s="2951">
        <v>573.16999999999996</v>
      </c>
      <c r="I246" s="2952">
        <v>779.48</v>
      </c>
      <c r="J246" s="2951">
        <v>516.37</v>
      </c>
      <c r="K246" s="2953">
        <v>464.25</v>
      </c>
      <c r="L246" s="2954">
        <v>580.4</v>
      </c>
      <c r="M246" s="2951">
        <v>787</v>
      </c>
      <c r="N246" s="2955">
        <v>523.21</v>
      </c>
    </row>
    <row r="247" spans="1:14" s="9" customFormat="1" ht="12.75" customHeight="1">
      <c r="A247" s="483">
        <f t="shared" si="0"/>
        <v>2012.1</v>
      </c>
      <c r="B247" s="2954">
        <v>560.64</v>
      </c>
      <c r="C247" s="2951">
        <v>567.41</v>
      </c>
      <c r="D247" s="2952">
        <v>693.53</v>
      </c>
      <c r="E247" s="2951">
        <v>534.12</v>
      </c>
      <c r="F247" s="2953">
        <v>474.39</v>
      </c>
      <c r="G247" s="2954">
        <v>570.79999999999995</v>
      </c>
      <c r="H247" s="2951">
        <v>579</v>
      </c>
      <c r="I247" s="2952">
        <v>788.09</v>
      </c>
      <c r="J247" s="2951">
        <v>521.41999999999996</v>
      </c>
      <c r="K247" s="2953">
        <v>469.53</v>
      </c>
      <c r="L247" s="2954">
        <v>585.73</v>
      </c>
      <c r="M247" s="2951">
        <v>796.09</v>
      </c>
      <c r="N247" s="2955">
        <v>527.51</v>
      </c>
    </row>
    <row r="248" spans="1:14" s="9" customFormat="1" ht="12.75" customHeight="1">
      <c r="A248" s="483">
        <f t="shared" si="0"/>
        <v>2012.11</v>
      </c>
      <c r="B248" s="2954">
        <v>566.27</v>
      </c>
      <c r="C248" s="2951">
        <v>573.27</v>
      </c>
      <c r="D248" s="2952">
        <v>696.76</v>
      </c>
      <c r="E248" s="2951">
        <v>540.66999999999996</v>
      </c>
      <c r="F248" s="2953">
        <v>477.19</v>
      </c>
      <c r="G248" s="2954">
        <v>576.70000000000005</v>
      </c>
      <c r="H248" s="2951">
        <v>585.15</v>
      </c>
      <c r="I248" s="2952">
        <v>793.21</v>
      </c>
      <c r="J248" s="2951">
        <v>527.86</v>
      </c>
      <c r="K248" s="2953">
        <v>472.26</v>
      </c>
      <c r="L248" s="2954">
        <v>591.9</v>
      </c>
      <c r="M248" s="2951">
        <v>802.49</v>
      </c>
      <c r="N248" s="2955">
        <v>533.61</v>
      </c>
    </row>
    <row r="249" spans="1:14" s="9" customFormat="1" ht="12.75" customHeight="1">
      <c r="A249" s="483">
        <f t="shared" si="0"/>
        <v>2012.12</v>
      </c>
      <c r="B249" s="2954">
        <v>571.77</v>
      </c>
      <c r="C249" s="2951">
        <v>578.91999999999996</v>
      </c>
      <c r="D249" s="2952">
        <v>704.37</v>
      </c>
      <c r="E249" s="2951">
        <v>545.79999999999995</v>
      </c>
      <c r="F249" s="2953">
        <v>480.84</v>
      </c>
      <c r="G249" s="2954">
        <v>582.85</v>
      </c>
      <c r="H249" s="2951">
        <v>591.52</v>
      </c>
      <c r="I249" s="2952">
        <v>803.64</v>
      </c>
      <c r="J249" s="2951">
        <v>533.11</v>
      </c>
      <c r="K249" s="2953">
        <v>475.75</v>
      </c>
      <c r="L249" s="2954">
        <v>599.13</v>
      </c>
      <c r="M249" s="2951">
        <v>813.94</v>
      </c>
      <c r="N249" s="2955">
        <v>539.66999999999996</v>
      </c>
    </row>
    <row r="250" spans="1:14" s="9" customFormat="1" ht="12.75" customHeight="1">
      <c r="A250" s="483">
        <f t="shared" si="0"/>
        <v>2013.01</v>
      </c>
      <c r="B250" s="2954">
        <v>577.58000000000004</v>
      </c>
      <c r="C250" s="2951">
        <v>584.79</v>
      </c>
      <c r="D250" s="2952">
        <v>717.96</v>
      </c>
      <c r="E250" s="2951">
        <v>549.64</v>
      </c>
      <c r="F250" s="2953">
        <v>485.74</v>
      </c>
      <c r="G250" s="2954">
        <v>586.37</v>
      </c>
      <c r="H250" s="2951">
        <v>594.91999999999996</v>
      </c>
      <c r="I250" s="2952">
        <v>806.51</v>
      </c>
      <c r="J250" s="2951">
        <v>536.66</v>
      </c>
      <c r="K250" s="2953">
        <v>480.6</v>
      </c>
      <c r="L250" s="2954">
        <v>601.41</v>
      </c>
      <c r="M250" s="2951">
        <v>813.5</v>
      </c>
      <c r="N250" s="2955">
        <v>542.71</v>
      </c>
    </row>
    <row r="251" spans="1:14" s="9" customFormat="1" ht="12.75" customHeight="1">
      <c r="A251" s="483">
        <f t="shared" si="0"/>
        <v>2013.02</v>
      </c>
      <c r="B251" s="2954">
        <v>583.67999999999995</v>
      </c>
      <c r="C251" s="2951">
        <v>590.74</v>
      </c>
      <c r="D251" s="2952">
        <v>725.41</v>
      </c>
      <c r="E251" s="2951">
        <v>555.19000000000005</v>
      </c>
      <c r="F251" s="2953">
        <v>493.93</v>
      </c>
      <c r="G251" s="2954">
        <v>594.51</v>
      </c>
      <c r="H251" s="2951">
        <v>603.05999999999995</v>
      </c>
      <c r="I251" s="2952">
        <v>824.3</v>
      </c>
      <c r="J251" s="2951">
        <v>542.14</v>
      </c>
      <c r="K251" s="2953">
        <v>488.86</v>
      </c>
      <c r="L251" s="2954">
        <v>609.49</v>
      </c>
      <c r="M251" s="2951">
        <v>833.53</v>
      </c>
      <c r="N251" s="2955">
        <v>547.48</v>
      </c>
    </row>
    <row r="252" spans="1:14" s="9" customFormat="1" ht="12.75" customHeight="1">
      <c r="A252" s="483">
        <f t="shared" si="0"/>
        <v>2013.03</v>
      </c>
      <c r="B252" s="2954">
        <v>589.55999999999995</v>
      </c>
      <c r="C252" s="2951">
        <v>596.82000000000005</v>
      </c>
      <c r="D252" s="2952">
        <v>734.51</v>
      </c>
      <c r="E252" s="2951">
        <v>560.47</v>
      </c>
      <c r="F252" s="2953">
        <v>497.17</v>
      </c>
      <c r="G252" s="2954">
        <v>600.12</v>
      </c>
      <c r="H252" s="2951">
        <v>608.87</v>
      </c>
      <c r="I252" s="2952">
        <v>832.63</v>
      </c>
      <c r="J252" s="2951">
        <v>547.26</v>
      </c>
      <c r="K252" s="2953">
        <v>491.98</v>
      </c>
      <c r="L252" s="2954">
        <v>614.89</v>
      </c>
      <c r="M252" s="2951">
        <v>840.85</v>
      </c>
      <c r="N252" s="2955">
        <v>552.35</v>
      </c>
    </row>
    <row r="253" spans="1:14" s="9" customFormat="1" ht="12.75" customHeight="1">
      <c r="A253" s="483">
        <f t="shared" si="0"/>
        <v>2013.04</v>
      </c>
      <c r="B253" s="2954">
        <v>595.22</v>
      </c>
      <c r="C253" s="2951">
        <v>602.27</v>
      </c>
      <c r="D253" s="2952">
        <v>738.8</v>
      </c>
      <c r="E253" s="2951">
        <v>566.22</v>
      </c>
      <c r="F253" s="2953">
        <v>505.59</v>
      </c>
      <c r="G253" s="2954">
        <v>604.6</v>
      </c>
      <c r="H253" s="2951">
        <v>613.03</v>
      </c>
      <c r="I253" s="2952">
        <v>832.07</v>
      </c>
      <c r="J253" s="2951">
        <v>552.72</v>
      </c>
      <c r="K253" s="2953">
        <v>500.37</v>
      </c>
      <c r="L253" s="2954">
        <v>618.32000000000005</v>
      </c>
      <c r="M253" s="2951">
        <v>838.21</v>
      </c>
      <c r="N253" s="2955">
        <v>557.47</v>
      </c>
    </row>
    <row r="254" spans="1:14" s="9" customFormat="1" ht="12.75" customHeight="1">
      <c r="A254" s="483">
        <f t="shared" ref="A254:A285" si="1">A242+1</f>
        <v>2013.05</v>
      </c>
      <c r="B254" s="2954">
        <v>602.70000000000005</v>
      </c>
      <c r="C254" s="2951">
        <v>609.92999999999995</v>
      </c>
      <c r="D254" s="2952">
        <v>741.64</v>
      </c>
      <c r="E254" s="2951">
        <v>575.16</v>
      </c>
      <c r="F254" s="2953">
        <v>510.7</v>
      </c>
      <c r="G254" s="2954">
        <v>612.32000000000005</v>
      </c>
      <c r="H254" s="2951">
        <v>620.99</v>
      </c>
      <c r="I254" s="2952">
        <v>839.33</v>
      </c>
      <c r="J254" s="2951">
        <v>560.88</v>
      </c>
      <c r="K254" s="2953">
        <v>505.07</v>
      </c>
      <c r="L254" s="2954">
        <v>626.73</v>
      </c>
      <c r="M254" s="2951">
        <v>846.62</v>
      </c>
      <c r="N254" s="2955">
        <v>565.86</v>
      </c>
    </row>
    <row r="255" spans="1:14" s="9" customFormat="1" ht="12.75" customHeight="1">
      <c r="A255" s="483">
        <f t="shared" si="1"/>
        <v>2013.06</v>
      </c>
      <c r="B255" s="2954">
        <v>610.80999999999995</v>
      </c>
      <c r="C255" s="2951">
        <v>618.49</v>
      </c>
      <c r="D255" s="2952">
        <v>749.02</v>
      </c>
      <c r="E255" s="2951">
        <v>584.03</v>
      </c>
      <c r="F255" s="2953">
        <v>513.1</v>
      </c>
      <c r="G255" s="2954">
        <v>630.65</v>
      </c>
      <c r="H255" s="2951">
        <v>640.61</v>
      </c>
      <c r="I255" s="2952">
        <v>897.12</v>
      </c>
      <c r="J255" s="2951">
        <v>569.98</v>
      </c>
      <c r="K255" s="2953">
        <v>507.52</v>
      </c>
      <c r="L255" s="2954">
        <v>649.14</v>
      </c>
      <c r="M255" s="2951">
        <v>917.06</v>
      </c>
      <c r="N255" s="2955">
        <v>574.98</v>
      </c>
    </row>
    <row r="256" spans="1:14" s="9" customFormat="1" ht="12.75" customHeight="1">
      <c r="A256" s="483">
        <f t="shared" si="1"/>
        <v>2013.07</v>
      </c>
      <c r="B256" s="2954">
        <v>617.73</v>
      </c>
      <c r="C256" s="2951">
        <v>625.42999999999995</v>
      </c>
      <c r="D256" s="2952">
        <v>756.58</v>
      </c>
      <c r="E256" s="2951">
        <v>590.79999999999995</v>
      </c>
      <c r="F256" s="2953">
        <v>519.82000000000005</v>
      </c>
      <c r="G256" s="2954">
        <v>636.16</v>
      </c>
      <c r="H256" s="2951">
        <v>646.02</v>
      </c>
      <c r="I256" s="2952">
        <v>898.09</v>
      </c>
      <c r="J256" s="2951">
        <v>576.62</v>
      </c>
      <c r="K256" s="2953">
        <v>514.29999999999995</v>
      </c>
      <c r="L256" s="2954">
        <v>653.79999999999995</v>
      </c>
      <c r="M256" s="2951">
        <v>915.7</v>
      </c>
      <c r="N256" s="2955">
        <v>581.29999999999995</v>
      </c>
    </row>
    <row r="257" spans="1:14" s="9" customFormat="1" ht="12.75" customHeight="1">
      <c r="A257" s="483">
        <f t="shared" si="1"/>
        <v>2013.08</v>
      </c>
      <c r="B257" s="2954">
        <v>624.72</v>
      </c>
      <c r="C257" s="2951">
        <v>632.13</v>
      </c>
      <c r="D257" s="2952">
        <v>769.58</v>
      </c>
      <c r="E257" s="2951">
        <v>595.84</v>
      </c>
      <c r="F257" s="2953">
        <v>530.4</v>
      </c>
      <c r="G257" s="2954">
        <v>642.48</v>
      </c>
      <c r="H257" s="2951">
        <v>652.01</v>
      </c>
      <c r="I257" s="2952">
        <v>907.58</v>
      </c>
      <c r="J257" s="2951">
        <v>581.65</v>
      </c>
      <c r="K257" s="2953">
        <v>524.65</v>
      </c>
      <c r="L257" s="2954">
        <v>658.97</v>
      </c>
      <c r="M257" s="2951">
        <v>923.3</v>
      </c>
      <c r="N257" s="2955">
        <v>585.80999999999995</v>
      </c>
    </row>
    <row r="258" spans="1:14" s="9" customFormat="1" ht="12.75" customHeight="1">
      <c r="A258" s="483">
        <f t="shared" si="1"/>
        <v>2013.09</v>
      </c>
      <c r="B258" s="2954">
        <v>631.54999999999995</v>
      </c>
      <c r="C258" s="2951">
        <v>638.79</v>
      </c>
      <c r="D258" s="2952">
        <v>780.57</v>
      </c>
      <c r="E258" s="2951">
        <v>601.37</v>
      </c>
      <c r="F258" s="2953">
        <v>539.38</v>
      </c>
      <c r="G258" s="2954">
        <v>650.91999999999996</v>
      </c>
      <c r="H258" s="2951">
        <v>660.44</v>
      </c>
      <c r="I258" s="2952">
        <v>926.82</v>
      </c>
      <c r="J258" s="2951">
        <v>587.09</v>
      </c>
      <c r="K258" s="2953">
        <v>533.25</v>
      </c>
      <c r="L258" s="2954">
        <v>668.8</v>
      </c>
      <c r="M258" s="2951">
        <v>944.92</v>
      </c>
      <c r="N258" s="2955">
        <v>592.37</v>
      </c>
    </row>
    <row r="259" spans="1:14" s="9" customFormat="1" ht="12.75" customHeight="1">
      <c r="A259" s="483">
        <f t="shared" si="1"/>
        <v>2013.1</v>
      </c>
      <c r="B259" s="2954">
        <v>638.75</v>
      </c>
      <c r="C259" s="2951">
        <v>645.96</v>
      </c>
      <c r="D259" s="2952">
        <v>794.18</v>
      </c>
      <c r="E259" s="2951">
        <v>606.83000000000004</v>
      </c>
      <c r="F259" s="2953">
        <v>547.03</v>
      </c>
      <c r="G259" s="2954">
        <v>658.61</v>
      </c>
      <c r="H259" s="2951">
        <v>668.14</v>
      </c>
      <c r="I259" s="2952">
        <v>942.99</v>
      </c>
      <c r="J259" s="2951">
        <v>592.45000000000005</v>
      </c>
      <c r="K259" s="2953">
        <v>540.84</v>
      </c>
      <c r="L259" s="2954">
        <v>676.63</v>
      </c>
      <c r="M259" s="2951">
        <v>961.11</v>
      </c>
      <c r="N259" s="2955">
        <v>597.89</v>
      </c>
    </row>
    <row r="260" spans="1:14" s="9" customFormat="1" ht="12.75" customHeight="1">
      <c r="A260" s="483">
        <f t="shared" si="1"/>
        <v>2013.11</v>
      </c>
      <c r="B260" s="2954">
        <v>646.52</v>
      </c>
      <c r="C260" s="2951">
        <v>653.47</v>
      </c>
      <c r="D260" s="2952">
        <v>812.9</v>
      </c>
      <c r="E260" s="2951">
        <v>611.39</v>
      </c>
      <c r="F260" s="2953">
        <v>558</v>
      </c>
      <c r="G260" s="2954">
        <v>662.87</v>
      </c>
      <c r="H260" s="2951">
        <v>671.85</v>
      </c>
      <c r="I260" s="2952">
        <v>943.4</v>
      </c>
      <c r="J260" s="2951">
        <v>597.09</v>
      </c>
      <c r="K260" s="2953">
        <v>551.78</v>
      </c>
      <c r="L260" s="2954">
        <v>679.02</v>
      </c>
      <c r="M260" s="2951">
        <v>955.15</v>
      </c>
      <c r="N260" s="2955">
        <v>602.6</v>
      </c>
    </row>
    <row r="261" spans="1:14" s="9" customFormat="1" ht="12.75" customHeight="1">
      <c r="A261" s="483">
        <f t="shared" si="1"/>
        <v>2013.12</v>
      </c>
      <c r="B261" s="2954">
        <v>656.17</v>
      </c>
      <c r="C261" s="2951">
        <v>662.59</v>
      </c>
      <c r="D261" s="2952">
        <v>817.87</v>
      </c>
      <c r="E261" s="2951">
        <v>621.6</v>
      </c>
      <c r="F261" s="2953">
        <v>574.48</v>
      </c>
      <c r="G261" s="2954">
        <v>673.03</v>
      </c>
      <c r="H261" s="2951">
        <v>681.51</v>
      </c>
      <c r="I261" s="2952">
        <v>951.42</v>
      </c>
      <c r="J261" s="2951">
        <v>607.19000000000005</v>
      </c>
      <c r="K261" s="2953">
        <v>568.22</v>
      </c>
      <c r="L261" s="2954">
        <v>689.46</v>
      </c>
      <c r="M261" s="2951">
        <v>963.89</v>
      </c>
      <c r="N261" s="2955">
        <v>613.5</v>
      </c>
    </row>
    <row r="262" spans="1:14" s="9" customFormat="1" ht="12.75" customHeight="1">
      <c r="A262" s="483">
        <f t="shared" si="1"/>
        <v>2014.01</v>
      </c>
      <c r="B262" s="2954">
        <v>688.67</v>
      </c>
      <c r="C262" s="2951">
        <v>694.87</v>
      </c>
      <c r="D262" s="2952">
        <v>883.28</v>
      </c>
      <c r="E262" s="2951">
        <v>645.13</v>
      </c>
      <c r="F262" s="2953">
        <v>609.75</v>
      </c>
      <c r="G262" s="2954">
        <v>709.09</v>
      </c>
      <c r="H262" s="2951">
        <v>717.7</v>
      </c>
      <c r="I262" s="2952">
        <v>1034.74</v>
      </c>
      <c r="J262" s="2951">
        <v>630.4</v>
      </c>
      <c r="K262" s="2953">
        <v>602.66</v>
      </c>
      <c r="L262" s="2954">
        <v>727.17</v>
      </c>
      <c r="M262" s="2951">
        <v>1052.1400000000001</v>
      </c>
      <c r="N262" s="2955">
        <v>637.22</v>
      </c>
    </row>
    <row r="263" spans="1:14" s="9" customFormat="1" ht="12.75" customHeight="1">
      <c r="A263" s="483">
        <f t="shared" si="1"/>
        <v>2014.02</v>
      </c>
      <c r="B263" s="2954">
        <v>723.94</v>
      </c>
      <c r="C263" s="2951">
        <v>728.4</v>
      </c>
      <c r="D263" s="2952">
        <v>934.45</v>
      </c>
      <c r="E263" s="2951">
        <v>674.01</v>
      </c>
      <c r="F263" s="2953">
        <v>667.1</v>
      </c>
      <c r="G263" s="2954">
        <v>747.23</v>
      </c>
      <c r="H263" s="2951">
        <v>754.31</v>
      </c>
      <c r="I263" s="2952">
        <v>1102.08</v>
      </c>
      <c r="J263" s="2951">
        <v>658.55</v>
      </c>
      <c r="K263" s="2953">
        <v>659.72</v>
      </c>
      <c r="L263" s="2954">
        <v>767.44</v>
      </c>
      <c r="M263" s="2951">
        <v>1121.19</v>
      </c>
      <c r="N263" s="2955">
        <v>669.52</v>
      </c>
    </row>
    <row r="264" spans="1:14" s="9" customFormat="1" ht="12.75" customHeight="1">
      <c r="A264" s="483">
        <f t="shared" si="1"/>
        <v>2014.03</v>
      </c>
      <c r="B264" s="2954">
        <v>741.56</v>
      </c>
      <c r="C264" s="2951">
        <v>746.27</v>
      </c>
      <c r="D264" s="2952">
        <v>948.71</v>
      </c>
      <c r="E264" s="2951">
        <v>692.83</v>
      </c>
      <c r="F264" s="2953">
        <v>681.65</v>
      </c>
      <c r="G264" s="2954">
        <v>765.45</v>
      </c>
      <c r="H264" s="2951">
        <v>772.84</v>
      </c>
      <c r="I264" s="2952">
        <v>1121.4000000000001</v>
      </c>
      <c r="J264" s="2951">
        <v>676.86</v>
      </c>
      <c r="K264" s="2953">
        <v>674.11</v>
      </c>
      <c r="L264" s="2954">
        <v>785.86</v>
      </c>
      <c r="M264" s="2951">
        <v>1141.9000000000001</v>
      </c>
      <c r="N264" s="2955">
        <v>687.32</v>
      </c>
    </row>
    <row r="265" spans="1:14" s="9" customFormat="1" ht="12.75" customHeight="1">
      <c r="A265" s="483">
        <f t="shared" si="1"/>
        <v>2014.04</v>
      </c>
      <c r="B265" s="2954">
        <v>754.31</v>
      </c>
      <c r="C265" s="2951">
        <v>759.2</v>
      </c>
      <c r="D265" s="2952">
        <v>953.27</v>
      </c>
      <c r="E265" s="2951">
        <v>707.97</v>
      </c>
      <c r="F265" s="2953">
        <v>692.1</v>
      </c>
      <c r="G265" s="2954">
        <v>776.92</v>
      </c>
      <c r="H265" s="2951">
        <v>784.4</v>
      </c>
      <c r="I265" s="2952">
        <v>1124.57</v>
      </c>
      <c r="J265" s="2951">
        <v>690.74</v>
      </c>
      <c r="K265" s="2953">
        <v>684.45</v>
      </c>
      <c r="L265" s="2954">
        <v>796.91</v>
      </c>
      <c r="M265" s="2951">
        <v>1143.25</v>
      </c>
      <c r="N265" s="2955">
        <v>701.04</v>
      </c>
    </row>
    <row r="266" spans="1:14" s="9" customFormat="1" ht="12.75" customHeight="1">
      <c r="A266" s="483">
        <f t="shared" si="1"/>
        <v>2014.05</v>
      </c>
      <c r="B266" s="2954">
        <v>768.4</v>
      </c>
      <c r="C266" s="2951">
        <v>774.48</v>
      </c>
      <c r="D266" s="2952">
        <v>975.28</v>
      </c>
      <c r="E266" s="2951">
        <v>721.47</v>
      </c>
      <c r="F266" s="2953">
        <v>691.07</v>
      </c>
      <c r="G266" s="2954">
        <v>790.37</v>
      </c>
      <c r="H266" s="2951">
        <v>799.02</v>
      </c>
      <c r="I266" s="2952">
        <v>1151.32</v>
      </c>
      <c r="J266" s="2951">
        <v>702.02</v>
      </c>
      <c r="K266" s="2953">
        <v>683.37</v>
      </c>
      <c r="L266" s="2954">
        <v>811.19</v>
      </c>
      <c r="M266" s="2951">
        <v>1170.75</v>
      </c>
      <c r="N266" s="2955">
        <v>711.67</v>
      </c>
    </row>
    <row r="267" spans="1:14" s="9" customFormat="1" ht="12.75" customHeight="1">
      <c r="A267" s="483">
        <f t="shared" si="1"/>
        <v>2014.06</v>
      </c>
      <c r="B267" s="2954">
        <v>779.97</v>
      </c>
      <c r="C267" s="2951">
        <v>786.63</v>
      </c>
      <c r="D267" s="2952">
        <v>991.98</v>
      </c>
      <c r="E267" s="2951">
        <v>732.41</v>
      </c>
      <c r="F267" s="2953">
        <v>695.31</v>
      </c>
      <c r="G267" s="2954">
        <v>800.05</v>
      </c>
      <c r="H267" s="2951">
        <v>809.15</v>
      </c>
      <c r="I267" s="2952">
        <v>1160.5899999999999</v>
      </c>
      <c r="J267" s="2951">
        <v>712.38</v>
      </c>
      <c r="K267" s="2953">
        <v>687.61</v>
      </c>
      <c r="L267" s="2954">
        <v>820.08</v>
      </c>
      <c r="M267" s="2951">
        <v>1176.05</v>
      </c>
      <c r="N267" s="2955">
        <v>721.56</v>
      </c>
    </row>
    <row r="268" spans="1:14" s="9" customFormat="1" ht="12.75" customHeight="1">
      <c r="A268" s="483">
        <f t="shared" si="1"/>
        <v>2014.07</v>
      </c>
      <c r="B268" s="2954">
        <v>790.47</v>
      </c>
      <c r="C268" s="2951">
        <v>797.73</v>
      </c>
      <c r="D268" s="2952">
        <v>1002.71</v>
      </c>
      <c r="E268" s="2951">
        <v>743.62</v>
      </c>
      <c r="F268" s="2953">
        <v>698.04</v>
      </c>
      <c r="G268" s="2954">
        <v>808.42</v>
      </c>
      <c r="H268" s="2951">
        <v>818.03</v>
      </c>
      <c r="I268" s="2952">
        <v>1163.6500000000001</v>
      </c>
      <c r="J268" s="2951">
        <v>722.86</v>
      </c>
      <c r="K268" s="2953">
        <v>689.71</v>
      </c>
      <c r="L268" s="2954">
        <v>826.58</v>
      </c>
      <c r="M268" s="2951">
        <v>1174.06</v>
      </c>
      <c r="N268" s="2955">
        <v>730.4</v>
      </c>
    </row>
    <row r="269" spans="1:14" s="9" customFormat="1" ht="12.75" customHeight="1">
      <c r="A269" s="483">
        <f t="shared" si="1"/>
        <v>2014.08</v>
      </c>
      <c r="B269" s="2954">
        <v>803.37</v>
      </c>
      <c r="C269" s="2951">
        <v>810.66</v>
      </c>
      <c r="D269" s="2952">
        <v>1026.28</v>
      </c>
      <c r="E269" s="2951">
        <v>753.74</v>
      </c>
      <c r="F269" s="2953">
        <v>710.59</v>
      </c>
      <c r="G269" s="2954">
        <v>819.94</v>
      </c>
      <c r="H269" s="2951">
        <v>829.45</v>
      </c>
      <c r="I269" s="2952">
        <v>1179</v>
      </c>
      <c r="J269" s="2951">
        <v>733.2</v>
      </c>
      <c r="K269" s="2953">
        <v>702.43</v>
      </c>
      <c r="L269" s="2954">
        <v>837.2</v>
      </c>
      <c r="M269" s="2951">
        <v>1183.79</v>
      </c>
      <c r="N269" s="2955">
        <v>741.27</v>
      </c>
    </row>
    <row r="270" spans="1:14" s="9" customFormat="1" ht="12.75" customHeight="1">
      <c r="A270" s="483">
        <f t="shared" si="1"/>
        <v>2014.09</v>
      </c>
      <c r="B270" s="2954">
        <v>816.18</v>
      </c>
      <c r="C270" s="2951">
        <v>823.71</v>
      </c>
      <c r="D270" s="2952">
        <v>1038.54</v>
      </c>
      <c r="E270" s="2951">
        <v>766.99</v>
      </c>
      <c r="F270" s="2953">
        <v>720.4</v>
      </c>
      <c r="G270" s="2954">
        <v>829.54</v>
      </c>
      <c r="H270" s="2951">
        <v>839.03</v>
      </c>
      <c r="I270" s="2952">
        <v>1182.72</v>
      </c>
      <c r="J270" s="2951">
        <v>744.39</v>
      </c>
      <c r="K270" s="2953">
        <v>712.36</v>
      </c>
      <c r="L270" s="2954">
        <v>844.37</v>
      </c>
      <c r="M270" s="2951">
        <v>1183.33</v>
      </c>
      <c r="N270" s="2955">
        <v>750.55</v>
      </c>
    </row>
    <row r="271" spans="1:14" s="9" customFormat="1" ht="12.75" customHeight="1">
      <c r="A271" s="483">
        <f t="shared" si="1"/>
        <v>2014.1</v>
      </c>
      <c r="B271" s="2954">
        <v>826.18</v>
      </c>
      <c r="C271" s="2951">
        <v>833.6</v>
      </c>
      <c r="D271" s="2952">
        <v>1043.21</v>
      </c>
      <c r="E271" s="2951">
        <v>778.27</v>
      </c>
      <c r="F271" s="2953">
        <v>731.78</v>
      </c>
      <c r="G271" s="2954">
        <v>837.8</v>
      </c>
      <c r="H271" s="2951">
        <v>847.07</v>
      </c>
      <c r="I271" s="2952">
        <v>1178.79</v>
      </c>
      <c r="J271" s="2951">
        <v>755.73</v>
      </c>
      <c r="K271" s="2953">
        <v>723.21</v>
      </c>
      <c r="L271" s="2954">
        <v>851.52</v>
      </c>
      <c r="M271" s="2951">
        <v>1177.03</v>
      </c>
      <c r="N271" s="2955">
        <v>761.42</v>
      </c>
    </row>
    <row r="272" spans="1:14" s="9" customFormat="1" ht="12.75" customHeight="1">
      <c r="A272" s="483">
        <f t="shared" si="1"/>
        <v>2014.11</v>
      </c>
      <c r="B272" s="2954">
        <v>833.72</v>
      </c>
      <c r="C272" s="2951">
        <v>841.47</v>
      </c>
      <c r="D272" s="2952">
        <v>1055.4100000000001</v>
      </c>
      <c r="E272" s="2951">
        <v>784.99</v>
      </c>
      <c r="F272" s="2953">
        <v>735.07</v>
      </c>
      <c r="G272" s="2954">
        <v>846.43</v>
      </c>
      <c r="H272" s="2951">
        <v>856.15</v>
      </c>
      <c r="I272" s="2952">
        <v>1195.46</v>
      </c>
      <c r="J272" s="2951">
        <v>762.71</v>
      </c>
      <c r="K272" s="2953">
        <v>726.41</v>
      </c>
      <c r="L272" s="2954">
        <v>861.2</v>
      </c>
      <c r="M272" s="2951">
        <v>1195.4100000000001</v>
      </c>
      <c r="N272" s="2955">
        <v>768.69</v>
      </c>
    </row>
    <row r="273" spans="1:14" s="9" customFormat="1" ht="12.75" customHeight="1">
      <c r="A273" s="483">
        <f t="shared" si="1"/>
        <v>2014.12</v>
      </c>
      <c r="B273" s="2954">
        <v>841.66</v>
      </c>
      <c r="C273" s="2951">
        <v>850.13</v>
      </c>
      <c r="D273" s="2952">
        <v>1065.82</v>
      </c>
      <c r="E273" s="2951">
        <v>793.19</v>
      </c>
      <c r="F273" s="2953">
        <v>733.81</v>
      </c>
      <c r="G273" s="2954">
        <v>853.06</v>
      </c>
      <c r="H273" s="2951">
        <v>863.42</v>
      </c>
      <c r="I273" s="2952">
        <v>1203.52</v>
      </c>
      <c r="J273" s="2951">
        <v>769.77</v>
      </c>
      <c r="K273" s="2953">
        <v>725.12</v>
      </c>
      <c r="L273" s="2954">
        <v>868.37</v>
      </c>
      <c r="M273" s="2951">
        <v>1204.21</v>
      </c>
      <c r="N273" s="2955">
        <v>775.42</v>
      </c>
    </row>
    <row r="274" spans="1:14" s="9" customFormat="1" ht="12.75" customHeight="1">
      <c r="A274" s="483">
        <f t="shared" si="1"/>
        <v>2015.01</v>
      </c>
      <c r="B274" s="2954">
        <v>843.35</v>
      </c>
      <c r="C274" s="2951">
        <v>851.6</v>
      </c>
      <c r="D274" s="2952">
        <v>1060.53</v>
      </c>
      <c r="E274" s="2951">
        <v>796.45</v>
      </c>
      <c r="F274" s="2953">
        <v>738.27</v>
      </c>
      <c r="G274" s="2954">
        <v>855.37</v>
      </c>
      <c r="H274" s="2951">
        <v>865.54</v>
      </c>
      <c r="I274" s="2952">
        <v>1200.81</v>
      </c>
      <c r="J274" s="2951">
        <v>773.23</v>
      </c>
      <c r="K274" s="2953">
        <v>729.61</v>
      </c>
      <c r="L274" s="2954">
        <v>869.93</v>
      </c>
      <c r="M274" s="2951">
        <v>1203.0999999999999</v>
      </c>
      <c r="N274" s="2955">
        <v>777.71</v>
      </c>
    </row>
    <row r="275" spans="1:14" s="9" customFormat="1" ht="12.75" customHeight="1">
      <c r="A275" s="483">
        <f t="shared" si="1"/>
        <v>2015.02</v>
      </c>
      <c r="B275" s="2954">
        <v>845.45</v>
      </c>
      <c r="C275" s="2951">
        <v>853.29</v>
      </c>
      <c r="D275" s="2952">
        <v>1051</v>
      </c>
      <c r="E275" s="2951">
        <v>801.1</v>
      </c>
      <c r="F275" s="2953">
        <v>745.66</v>
      </c>
      <c r="G275" s="2954">
        <v>856.35</v>
      </c>
      <c r="H275" s="2951">
        <v>866</v>
      </c>
      <c r="I275" s="2952">
        <v>1185.96</v>
      </c>
      <c r="J275" s="2951">
        <v>777.9</v>
      </c>
      <c r="K275" s="2953">
        <v>737.02</v>
      </c>
      <c r="L275" s="2954">
        <v>868.71</v>
      </c>
      <c r="M275" s="2951">
        <v>1183.76</v>
      </c>
      <c r="N275" s="2955">
        <v>781.5</v>
      </c>
    </row>
    <row r="276" spans="1:14" s="9" customFormat="1" ht="12.75" customHeight="1">
      <c r="A276" s="483">
        <f t="shared" si="1"/>
        <v>2015.03</v>
      </c>
      <c r="B276" s="2954">
        <v>853.74</v>
      </c>
      <c r="C276" s="2951">
        <v>861.95</v>
      </c>
      <c r="D276" s="2952">
        <v>1047.18</v>
      </c>
      <c r="E276" s="2951">
        <v>813.06</v>
      </c>
      <c r="F276" s="2953">
        <v>749.28</v>
      </c>
      <c r="G276" s="2954">
        <v>861.28</v>
      </c>
      <c r="H276" s="2951">
        <v>871.05</v>
      </c>
      <c r="I276" s="2952">
        <v>1169.42</v>
      </c>
      <c r="J276" s="2951">
        <v>788.89</v>
      </c>
      <c r="K276" s="2953">
        <v>740.53</v>
      </c>
      <c r="L276" s="2954">
        <v>871.26</v>
      </c>
      <c r="M276" s="2951">
        <v>1162.52</v>
      </c>
      <c r="N276" s="2955">
        <v>790.64</v>
      </c>
    </row>
    <row r="277" spans="1:14" s="9" customFormat="1" ht="12.75" customHeight="1">
      <c r="A277" s="483">
        <f t="shared" si="1"/>
        <v>2015.04</v>
      </c>
      <c r="B277" s="2954">
        <v>860.1</v>
      </c>
      <c r="C277" s="2951">
        <v>868.94</v>
      </c>
      <c r="D277" s="2952">
        <v>1046.8800000000001</v>
      </c>
      <c r="E277" s="2951">
        <v>821.97</v>
      </c>
      <c r="F277" s="2953">
        <v>747.6</v>
      </c>
      <c r="G277" s="2954">
        <v>866.46</v>
      </c>
      <c r="H277" s="2951">
        <v>876.72</v>
      </c>
      <c r="I277" s="2952">
        <v>1165.32</v>
      </c>
      <c r="J277" s="2951">
        <v>797.25</v>
      </c>
      <c r="K277" s="2953">
        <v>739.66</v>
      </c>
      <c r="L277" s="2954">
        <v>875.89</v>
      </c>
      <c r="M277" s="2951">
        <v>1157.01</v>
      </c>
      <c r="N277" s="2955">
        <v>798.08</v>
      </c>
    </row>
    <row r="278" spans="1:14" s="9" customFormat="1" ht="12.75" customHeight="1">
      <c r="A278" s="483">
        <f t="shared" si="1"/>
        <v>2015.05</v>
      </c>
      <c r="B278" s="2954">
        <v>872.85</v>
      </c>
      <c r="C278" s="2951">
        <v>882.17</v>
      </c>
      <c r="D278" s="2952">
        <v>1063.81</v>
      </c>
      <c r="E278" s="2951">
        <v>834.22</v>
      </c>
      <c r="F278" s="2953">
        <v>754.21</v>
      </c>
      <c r="G278" s="2954">
        <v>879.62</v>
      </c>
      <c r="H278" s="2951">
        <v>890.41</v>
      </c>
      <c r="I278" s="2952">
        <v>1184.68</v>
      </c>
      <c r="J278" s="2951">
        <v>809.39</v>
      </c>
      <c r="K278" s="2953">
        <v>746.16</v>
      </c>
      <c r="L278" s="2954">
        <v>889.73</v>
      </c>
      <c r="M278" s="2951">
        <v>1175.82</v>
      </c>
      <c r="N278" s="2955">
        <v>810.54</v>
      </c>
    </row>
    <row r="279" spans="1:14" s="9" customFormat="1" ht="12.75" customHeight="1">
      <c r="A279" s="483">
        <f t="shared" si="1"/>
        <v>2015.06</v>
      </c>
      <c r="B279" s="2954">
        <v>884.33</v>
      </c>
      <c r="C279" s="2951">
        <v>893.59</v>
      </c>
      <c r="D279" s="2952">
        <v>1062.6500000000001</v>
      </c>
      <c r="E279" s="2951">
        <v>848.97</v>
      </c>
      <c r="F279" s="2953">
        <v>766.43</v>
      </c>
      <c r="G279" s="2954">
        <v>889.39</v>
      </c>
      <c r="H279" s="2951">
        <v>899.99</v>
      </c>
      <c r="I279" s="2952">
        <v>1181.3599999999999</v>
      </c>
      <c r="J279" s="2951">
        <v>822.51</v>
      </c>
      <c r="K279" s="2953">
        <v>758.42</v>
      </c>
      <c r="L279" s="2954">
        <v>898.95</v>
      </c>
      <c r="M279" s="2951">
        <v>1171.24</v>
      </c>
      <c r="N279" s="2955">
        <v>823.58</v>
      </c>
    </row>
    <row r="280" spans="1:14" s="9" customFormat="1" ht="12.75" customHeight="1">
      <c r="A280" s="483">
        <f t="shared" si="1"/>
        <v>2015.07</v>
      </c>
      <c r="B280" s="2954">
        <v>897.04</v>
      </c>
      <c r="C280" s="2951">
        <v>907.03</v>
      </c>
      <c r="D280" s="2952">
        <v>1087.22</v>
      </c>
      <c r="E280" s="2951">
        <v>859.46</v>
      </c>
      <c r="F280" s="2953">
        <v>770.02</v>
      </c>
      <c r="G280" s="2954">
        <v>903.59</v>
      </c>
      <c r="H280" s="2951">
        <v>915.04</v>
      </c>
      <c r="I280" s="2952">
        <v>1210.8</v>
      </c>
      <c r="J280" s="2951">
        <v>833.6</v>
      </c>
      <c r="K280" s="2953">
        <v>762.14</v>
      </c>
      <c r="L280" s="2954">
        <v>913.75</v>
      </c>
      <c r="M280" s="2951">
        <v>1199.78</v>
      </c>
      <c r="N280" s="2955">
        <v>834.59</v>
      </c>
    </row>
    <row r="281" spans="1:14" s="9" customFormat="1" ht="12.75" customHeight="1">
      <c r="A281" s="483">
        <f t="shared" si="1"/>
        <v>2015.08</v>
      </c>
      <c r="B281" s="2954">
        <v>909.85</v>
      </c>
      <c r="C281" s="2951">
        <v>920.23</v>
      </c>
      <c r="D281" s="2952">
        <v>1104.51</v>
      </c>
      <c r="E281" s="2951">
        <v>871.58</v>
      </c>
      <c r="F281" s="2953">
        <v>777.83</v>
      </c>
      <c r="G281" s="2954">
        <v>916.72</v>
      </c>
      <c r="H281" s="2951">
        <v>928.59</v>
      </c>
      <c r="I281" s="2952">
        <v>1229.97</v>
      </c>
      <c r="J281" s="2951">
        <v>845.6</v>
      </c>
      <c r="K281" s="2953">
        <v>770.03</v>
      </c>
      <c r="L281" s="2954">
        <v>926.17</v>
      </c>
      <c r="M281" s="2951">
        <v>1218.24</v>
      </c>
      <c r="N281" s="2955">
        <v>845.33</v>
      </c>
    </row>
    <row r="282" spans="1:14" s="9" customFormat="1" ht="12.75" customHeight="1">
      <c r="A282" s="483">
        <f t="shared" si="1"/>
        <v>2015.09</v>
      </c>
      <c r="B282" s="2954">
        <v>922.14</v>
      </c>
      <c r="C282" s="2951">
        <v>933.26</v>
      </c>
      <c r="D282" s="2952">
        <v>1113.8399999999999</v>
      </c>
      <c r="E282" s="2951">
        <v>885.59</v>
      </c>
      <c r="F282" s="2953">
        <v>780.65</v>
      </c>
      <c r="G282" s="2954">
        <v>928.38</v>
      </c>
      <c r="H282" s="2951">
        <v>940.98</v>
      </c>
      <c r="I282" s="2952">
        <v>1240.98</v>
      </c>
      <c r="J282" s="2951">
        <v>858.37</v>
      </c>
      <c r="K282" s="2953">
        <v>772.65</v>
      </c>
      <c r="L282" s="2954">
        <v>938.42</v>
      </c>
      <c r="M282" s="2951">
        <v>1230.1099999999999</v>
      </c>
      <c r="N282" s="2955">
        <v>857.69</v>
      </c>
    </row>
    <row r="283" spans="1:14" s="9" customFormat="1" ht="12.75" customHeight="1">
      <c r="A283" s="483">
        <f t="shared" si="1"/>
        <v>2015.1</v>
      </c>
      <c r="B283" s="2954">
        <v>930.69</v>
      </c>
      <c r="C283" s="2951">
        <v>941.86</v>
      </c>
      <c r="D283" s="2952">
        <v>1115.77</v>
      </c>
      <c r="E283" s="2951">
        <v>895.95</v>
      </c>
      <c r="F283" s="2953">
        <v>788.6</v>
      </c>
      <c r="G283" s="2954">
        <v>938.63</v>
      </c>
      <c r="H283" s="2951">
        <v>951.41</v>
      </c>
      <c r="I283" s="2952">
        <v>1250.69</v>
      </c>
      <c r="J283" s="2951">
        <v>869.01</v>
      </c>
      <c r="K283" s="2953">
        <v>780.61</v>
      </c>
      <c r="L283" s="2954">
        <v>949.61</v>
      </c>
      <c r="M283" s="2951">
        <v>1243.46</v>
      </c>
      <c r="N283" s="2955">
        <v>868.27</v>
      </c>
    </row>
    <row r="284" spans="1:14" s="9" customFormat="1" ht="12.75" customHeight="1">
      <c r="A284" s="2966">
        <f t="shared" si="1"/>
        <v>2015.11</v>
      </c>
      <c r="B284" s="2954" t="e">
        <v>#N/A</v>
      </c>
      <c r="C284" s="2951" t="e">
        <v>#N/A</v>
      </c>
      <c r="D284" s="2952" t="e">
        <v>#N/A</v>
      </c>
      <c r="E284" s="2951" t="e">
        <v>#N/A</v>
      </c>
      <c r="F284" s="2953" t="e">
        <v>#N/A</v>
      </c>
      <c r="G284" s="2954" t="e">
        <v>#N/A</v>
      </c>
      <c r="H284" s="2951" t="e">
        <v>#N/A</v>
      </c>
      <c r="I284" s="2952" t="e">
        <v>#N/A</v>
      </c>
      <c r="J284" s="2951" t="e">
        <v>#N/A</v>
      </c>
      <c r="K284" s="2953" t="e">
        <v>#N/A</v>
      </c>
      <c r="L284" s="2954" t="e">
        <v>#N/A</v>
      </c>
      <c r="M284" s="2951" t="e">
        <v>#N/A</v>
      </c>
      <c r="N284" s="2955" t="e">
        <v>#N/A</v>
      </c>
    </row>
    <row r="285" spans="1:14" s="9" customFormat="1" ht="12.75" customHeight="1">
      <c r="A285" s="2966">
        <f t="shared" si="1"/>
        <v>2015.12</v>
      </c>
      <c r="B285" s="2968">
        <v>100</v>
      </c>
      <c r="C285" s="2946">
        <v>100</v>
      </c>
      <c r="D285" s="2947">
        <v>100</v>
      </c>
      <c r="E285" s="2946">
        <v>100</v>
      </c>
      <c r="F285" s="2948">
        <v>100</v>
      </c>
      <c r="G285" s="2949">
        <v>100</v>
      </c>
      <c r="H285" s="2946">
        <v>100</v>
      </c>
      <c r="I285" s="2947">
        <v>100</v>
      </c>
      <c r="J285" s="2946">
        <v>100</v>
      </c>
      <c r="K285" s="2948">
        <v>100</v>
      </c>
      <c r="L285" s="2949">
        <v>100</v>
      </c>
      <c r="M285" s="2946">
        <v>100</v>
      </c>
      <c r="N285" s="2950">
        <v>100</v>
      </c>
    </row>
    <row r="286" spans="1:14" ht="12.75" customHeight="1">
      <c r="A286" s="2967">
        <v>2016.01</v>
      </c>
      <c r="B286" s="2954">
        <v>108.78717907264219</v>
      </c>
      <c r="C286" s="2951">
        <v>108.0986418490554</v>
      </c>
      <c r="D286" s="2952">
        <v>109.22178107352131</v>
      </c>
      <c r="E286" s="2951">
        <v>107.72969086550523</v>
      </c>
      <c r="F286" s="2953">
        <v>117.40896700065267</v>
      </c>
      <c r="G286" s="2954">
        <v>109.01190453958323</v>
      </c>
      <c r="H286" s="2951">
        <v>108.35403678025716</v>
      </c>
      <c r="I286" s="2952">
        <v>109.12741478829737</v>
      </c>
      <c r="J286" s="2951">
        <v>108.03730354124086</v>
      </c>
      <c r="K286" s="2953">
        <v>117.32495714991174</v>
      </c>
      <c r="L286" s="2954">
        <v>109.10494620714626</v>
      </c>
      <c r="M286" s="2951">
        <v>110.05171098397683</v>
      </c>
      <c r="N286" s="2955">
        <v>108.71062397976698</v>
      </c>
    </row>
    <row r="287" spans="1:14" ht="12.75" customHeight="1">
      <c r="A287" s="2967">
        <v>2016.02</v>
      </c>
      <c r="B287" s="2954">
        <v>114.17088428630503</v>
      </c>
      <c r="C287" s="2951">
        <v>113.15850386946602</v>
      </c>
      <c r="D287" s="2952">
        <v>114.72663147724357</v>
      </c>
      <c r="E287" s="2951">
        <v>112.64337430171706</v>
      </c>
      <c r="F287" s="2953">
        <v>126.84780131772297</v>
      </c>
      <c r="G287" s="2954">
        <v>114.55178790732718</v>
      </c>
      <c r="H287" s="2951">
        <v>113.5737571195419</v>
      </c>
      <c r="I287" s="2952">
        <v>115.28914439054091</v>
      </c>
      <c r="J287" s="2951">
        <v>112.87122852309555</v>
      </c>
      <c r="K287" s="2953">
        <v>126.91053520588339</v>
      </c>
      <c r="L287" s="2954">
        <v>114.57440926480469</v>
      </c>
      <c r="M287" s="2951">
        <v>116.7983218925156</v>
      </c>
      <c r="N287" s="2955">
        <v>113.64816210995079</v>
      </c>
    </row>
    <row r="288" spans="1:14" ht="12.75" customHeight="1">
      <c r="A288" s="2967">
        <v>2016.03</v>
      </c>
      <c r="B288" s="2954">
        <v>117.00064795567658</v>
      </c>
      <c r="C288" s="2951">
        <v>116.21910709194755</v>
      </c>
      <c r="D288" s="2952">
        <v>117.64736984626894</v>
      </c>
      <c r="E288" s="2951">
        <v>115.74992309721682</v>
      </c>
      <c r="F288" s="2953">
        <v>126.78701730987478</v>
      </c>
      <c r="G288" s="2954">
        <v>117.25250483491111</v>
      </c>
      <c r="H288" s="2951">
        <v>116.4927777751265</v>
      </c>
      <c r="I288" s="2952">
        <v>117.70402896573223</v>
      </c>
      <c r="J288" s="2951">
        <v>115.99671568275372</v>
      </c>
      <c r="K288" s="2956">
        <v>126.85268804491022</v>
      </c>
      <c r="L288" s="2954">
        <v>117.42553294389825</v>
      </c>
      <c r="M288" s="2951">
        <v>119.17321898787938</v>
      </c>
      <c r="N288" s="2955">
        <v>116.69763149415392</v>
      </c>
    </row>
    <row r="289" spans="1:14" ht="12.75" customHeight="1">
      <c r="A289" s="2967">
        <v>2016.04</v>
      </c>
      <c r="B289" s="2954">
        <v>118.81257592587166</v>
      </c>
      <c r="C289" s="2951">
        <v>118.3127688611672</v>
      </c>
      <c r="D289" s="2952">
        <v>118.20034923591591</v>
      </c>
      <c r="E289" s="2951">
        <v>118.34969868286937</v>
      </c>
      <c r="F289" s="2953">
        <v>125.07110541299447</v>
      </c>
      <c r="G289" s="2954">
        <v>119.14289506439408</v>
      </c>
      <c r="H289" s="2951">
        <v>118.67036753059958</v>
      </c>
      <c r="I289" s="2952">
        <v>119.08557591839713</v>
      </c>
      <c r="J289" s="2951">
        <v>118.5003209347995</v>
      </c>
      <c r="K289" s="2953">
        <v>125.11392220864339</v>
      </c>
      <c r="L289" s="2954">
        <v>119.51423520831388</v>
      </c>
      <c r="M289" s="2951">
        <v>120.14780323384082</v>
      </c>
      <c r="N289" s="2955">
        <v>119.25035767385558</v>
      </c>
    </row>
    <row r="290" spans="1:14" ht="12.75" customHeight="1">
      <c r="A290" s="2967">
        <v>2016.05</v>
      </c>
      <c r="B290" s="2954">
        <v>123.09935363533172</v>
      </c>
      <c r="C290" s="2951">
        <v>123.01902531578152</v>
      </c>
      <c r="D290" s="2952">
        <v>120.30055308755169</v>
      </c>
      <c r="E290" s="2951">
        <v>123.91204283356531</v>
      </c>
      <c r="F290" s="2957">
        <v>124.10521608116851</v>
      </c>
      <c r="G290" s="2954">
        <v>121.82439220051313</v>
      </c>
      <c r="H290" s="2951">
        <v>121.64171774369647</v>
      </c>
      <c r="I290" s="2952">
        <v>122.78110645455001</v>
      </c>
      <c r="J290" s="2951">
        <v>121.17508658385522</v>
      </c>
      <c r="K290" s="2957">
        <v>124.13273205840444</v>
      </c>
      <c r="L290" s="2954">
        <v>122.67387386683416</v>
      </c>
      <c r="M290" s="2951">
        <v>123.88857272670184</v>
      </c>
      <c r="N290" s="2955">
        <v>122.16795859438254</v>
      </c>
    </row>
    <row r="291" spans="1:14" ht="12.75" customHeight="1">
      <c r="A291" s="2967">
        <v>2016.06</v>
      </c>
      <c r="B291" s="2960">
        <v>126.68192195378121</v>
      </c>
      <c r="C291" s="2969">
        <v>126.9755355401356</v>
      </c>
      <c r="D291" s="2958">
        <v>132.32653743812944</v>
      </c>
      <c r="E291" s="2969">
        <v>125.217732615766</v>
      </c>
      <c r="F291" s="2959">
        <v>123.00532468698303</v>
      </c>
      <c r="G291" s="2960">
        <v>125.78139313624889</v>
      </c>
      <c r="H291" s="2969">
        <v>126.00012546339137</v>
      </c>
      <c r="I291" s="2958">
        <v>134.34803127276294</v>
      </c>
      <c r="J291" s="2969">
        <v>122.58128083822706</v>
      </c>
      <c r="K291" s="2959">
        <v>123.01741311542189</v>
      </c>
      <c r="L291" s="2960">
        <v>127.06750244210113</v>
      </c>
      <c r="M291" s="2969">
        <v>135.34997599978928</v>
      </c>
      <c r="N291" s="2961">
        <v>123.61789858969908</v>
      </c>
    </row>
    <row r="292" spans="1:14" ht="12.75" customHeight="1">
      <c r="A292" s="2967">
        <v>2016.07</v>
      </c>
      <c r="B292" s="2960">
        <v>130.20835210773532</v>
      </c>
      <c r="C292" s="2969">
        <v>130.43407647292986</v>
      </c>
      <c r="D292" s="2958">
        <v>139.6109024897747</v>
      </c>
      <c r="E292" s="2969">
        <v>127.41949118285811</v>
      </c>
      <c r="F292" s="2959">
        <v>127.38185625504583</v>
      </c>
      <c r="G292" s="2960">
        <v>129.48514293846122</v>
      </c>
      <c r="H292" s="2969">
        <v>129.6485227042217</v>
      </c>
      <c r="I292" s="2958">
        <v>140.86020047230102</v>
      </c>
      <c r="J292" s="2969">
        <v>125.05683406376747</v>
      </c>
      <c r="K292" s="2959">
        <v>127.42061770678008</v>
      </c>
      <c r="L292" s="2960">
        <v>130.71192865279744</v>
      </c>
      <c r="M292" s="2969">
        <v>141.56242187816696</v>
      </c>
      <c r="N292" s="2961">
        <v>126.19275899049863</v>
      </c>
    </row>
    <row r="293" spans="1:14" ht="12.75" customHeight="1">
      <c r="A293" s="2967">
        <v>2016.08</v>
      </c>
      <c r="B293" s="2960">
        <v>130.72259035745154</v>
      </c>
      <c r="C293" s="2969">
        <v>130.99097073156591</v>
      </c>
      <c r="D293" s="2958">
        <v>138.62006234546968</v>
      </c>
      <c r="E293" s="2969">
        <v>128.48481584602354</v>
      </c>
      <c r="F293" s="2959">
        <v>127.36196061894886</v>
      </c>
      <c r="G293" s="2960">
        <v>129.92650582706358</v>
      </c>
      <c r="H293" s="2969">
        <v>130.12814371676359</v>
      </c>
      <c r="I293" s="2958">
        <v>138.49261529760508</v>
      </c>
      <c r="J293" s="2969">
        <v>126.7025146596657</v>
      </c>
      <c r="K293" s="2959">
        <v>127.3785372398242</v>
      </c>
      <c r="L293" s="2960">
        <v>131.04242882039952</v>
      </c>
      <c r="M293" s="2969">
        <v>138.7589913451053</v>
      </c>
      <c r="N293" s="2961">
        <v>127.82852374396042</v>
      </c>
    </row>
    <row r="294" spans="1:14" ht="12.75" customHeight="1">
      <c r="A294" s="2967">
        <v>2016.09</v>
      </c>
      <c r="B294" s="2960">
        <v>131.28055342356458</v>
      </c>
      <c r="C294" s="2969">
        <v>131.63185532167157</v>
      </c>
      <c r="D294" s="2958">
        <v>133.22419970542234</v>
      </c>
      <c r="E294" s="2969">
        <v>131.10877054844244</v>
      </c>
      <c r="F294" s="2959">
        <v>126.88158941635369</v>
      </c>
      <c r="G294" s="2960">
        <v>129.81519530086692</v>
      </c>
      <c r="H294" s="2969">
        <v>130.04435795307387</v>
      </c>
      <c r="I294" s="2958">
        <v>133.39750117125052</v>
      </c>
      <c r="J294" s="2969">
        <v>128.67109429501997</v>
      </c>
      <c r="K294" s="2959">
        <v>126.9194139570919</v>
      </c>
      <c r="L294" s="2960">
        <v>130.63933068593482</v>
      </c>
      <c r="M294" s="2969">
        <v>133.43536416130075</v>
      </c>
      <c r="N294" s="2961">
        <v>129.47479840208399</v>
      </c>
    </row>
    <row r="295" spans="1:14" ht="12.75" customHeight="1">
      <c r="A295" s="2967">
        <v>2016.1</v>
      </c>
      <c r="B295" s="2960">
        <v>132.05936685262566</v>
      </c>
      <c r="C295" s="2969">
        <v>132.41333167445094</v>
      </c>
      <c r="D295" s="2958">
        <v>133.03978236941245</v>
      </c>
      <c r="E295" s="2969">
        <v>132.20754276153923</v>
      </c>
      <c r="F295" s="2959">
        <v>127.62705800539553</v>
      </c>
      <c r="G295" s="2960">
        <v>130.79434536463893</v>
      </c>
      <c r="H295" s="2969">
        <v>131.0415106763956</v>
      </c>
      <c r="I295" s="2958">
        <v>133.67188173156379</v>
      </c>
      <c r="J295" s="2969">
        <v>129.9642548772164</v>
      </c>
      <c r="K295" s="2959">
        <v>127.67107596746524</v>
      </c>
      <c r="L295" s="2960">
        <v>131.73537031312119</v>
      </c>
      <c r="M295" s="2969">
        <v>134.24197155198397</v>
      </c>
      <c r="N295" s="2961">
        <v>130.6913849348652</v>
      </c>
    </row>
    <row r="296" spans="1:14" ht="12.75" customHeight="1">
      <c r="A296" s="2967">
        <v>2016.11</v>
      </c>
      <c r="B296" s="2960">
        <v>133.67891885908401</v>
      </c>
      <c r="C296" s="2969">
        <v>134.03901051463092</v>
      </c>
      <c r="D296" s="2958">
        <v>133.01534147292568</v>
      </c>
      <c r="E296" s="2969">
        <v>134.37528556543413</v>
      </c>
      <c r="F296" s="2959">
        <v>129.16989046901912</v>
      </c>
      <c r="G296" s="2960">
        <v>131.94535121944779</v>
      </c>
      <c r="H296" s="2969">
        <v>132.15912532094723</v>
      </c>
      <c r="I296" s="2958">
        <v>133.59474372456222</v>
      </c>
      <c r="J296" s="2969">
        <v>131.57117471691993</v>
      </c>
      <c r="K296" s="2959">
        <v>129.24402511354515</v>
      </c>
      <c r="L296" s="2960">
        <v>132.91599037640216</v>
      </c>
      <c r="M296" s="2969">
        <v>134.3780600780031</v>
      </c>
      <c r="N296" s="2961">
        <v>132.30704653372089</v>
      </c>
    </row>
    <row r="297" spans="1:14" ht="12.75" customHeight="1">
      <c r="A297" s="2967">
        <v>2016.12</v>
      </c>
      <c r="B297" s="2960">
        <v>134.52899147654691</v>
      </c>
      <c r="C297" s="2969">
        <v>134.67694677496462</v>
      </c>
      <c r="D297" s="2958">
        <v>130.37118856729816</v>
      </c>
      <c r="E297" s="2969">
        <v>136.09138738129332</v>
      </c>
      <c r="F297" s="2959">
        <v>132.67631138593825</v>
      </c>
      <c r="G297" s="2960">
        <v>133.03175286523449</v>
      </c>
      <c r="H297" s="2969">
        <v>133.05359849263078</v>
      </c>
      <c r="I297" s="2958">
        <v>131.69353573358103</v>
      </c>
      <c r="J297" s="2969">
        <v>133.61060564626297</v>
      </c>
      <c r="K297" s="2959">
        <v>132.75570369382746</v>
      </c>
      <c r="L297" s="2960">
        <v>134.0117403057501</v>
      </c>
      <c r="M297" s="2969">
        <v>132.9980950890924</v>
      </c>
      <c r="N297" s="2961">
        <v>134.43391786176571</v>
      </c>
    </row>
    <row r="298" spans="1:14" ht="12.75" customHeight="1">
      <c r="A298" s="2967">
        <f t="shared" ref="A298:A329" si="2">A286+1</f>
        <v>2017.01</v>
      </c>
      <c r="B298" s="2960">
        <v>136.54590731224377</v>
      </c>
      <c r="C298" s="2969">
        <v>136.80857538344247</v>
      </c>
      <c r="D298" s="2958">
        <v>132.23023188385346</v>
      </c>
      <c r="E298" s="2969">
        <v>138.31256019708331</v>
      </c>
      <c r="F298" s="2959">
        <v>133.25680640708788</v>
      </c>
      <c r="G298" s="2960">
        <v>135.16188549306599</v>
      </c>
      <c r="H298" s="2969">
        <v>135.30535532846798</v>
      </c>
      <c r="I298" s="2958">
        <v>134.2606277958098</v>
      </c>
      <c r="J298" s="2969">
        <v>135.73321845861781</v>
      </c>
      <c r="K298" s="2959">
        <v>133.34894927177783</v>
      </c>
      <c r="L298" s="2960">
        <v>136.32418678316054</v>
      </c>
      <c r="M298" s="2969">
        <v>135.80061367118867</v>
      </c>
      <c r="N298" s="2961">
        <v>136.54225205212759</v>
      </c>
    </row>
    <row r="299" spans="1:14" ht="12.75" customHeight="1">
      <c r="A299" s="2967">
        <f t="shared" si="2"/>
        <v>2017.02</v>
      </c>
      <c r="B299" s="2960">
        <v>138.82611252136985</v>
      </c>
      <c r="C299" s="2969">
        <v>139.28271401410129</v>
      </c>
      <c r="D299" s="2958">
        <v>134.53868035655049</v>
      </c>
      <c r="E299" s="2969">
        <v>140.84112800750259</v>
      </c>
      <c r="F299" s="2959">
        <v>133.10859848860221</v>
      </c>
      <c r="G299" s="2960">
        <v>136.88981578428923</v>
      </c>
      <c r="H299" s="2969">
        <v>137.18274168843055</v>
      </c>
      <c r="I299" s="2958">
        <v>135.72615025398306</v>
      </c>
      <c r="J299" s="2969">
        <v>137.77928169624124</v>
      </c>
      <c r="K299" s="2959">
        <v>133.18829915341047</v>
      </c>
      <c r="L299" s="2960">
        <v>137.90396980421264</v>
      </c>
      <c r="M299" s="2969">
        <v>136.6717152899287</v>
      </c>
      <c r="N299" s="2961">
        <v>138.41719690841089</v>
      </c>
    </row>
    <row r="300" spans="1:14" ht="12.75" customHeight="1">
      <c r="A300" s="2967">
        <f t="shared" si="2"/>
        <v>2017.03</v>
      </c>
      <c r="B300" s="2960">
        <v>140.10636284742421</v>
      </c>
      <c r="C300" s="2969">
        <v>140.5999496499993</v>
      </c>
      <c r="D300" s="2958">
        <v>134.33739125813531</v>
      </c>
      <c r="E300" s="2969">
        <v>142.65719867833192</v>
      </c>
      <c r="F300" s="2959">
        <v>133.92572280345476</v>
      </c>
      <c r="G300" s="2960">
        <v>137.71296192945303</v>
      </c>
      <c r="H300" s="2969">
        <v>138.00441421330319</v>
      </c>
      <c r="I300" s="2958">
        <v>133.94909484858672</v>
      </c>
      <c r="J300" s="2969">
        <v>139.66525073086746</v>
      </c>
      <c r="K300" s="2959">
        <v>134.03006649232336</v>
      </c>
      <c r="L300" s="2960">
        <v>138.18115922563598</v>
      </c>
      <c r="M300" s="2969">
        <v>133.7972757032941</v>
      </c>
      <c r="N300" s="2961">
        <v>140.00702216160769</v>
      </c>
    </row>
    <row r="301" spans="1:14" ht="12.75" customHeight="1">
      <c r="A301" s="2967">
        <f t="shared" si="2"/>
        <v>2017.04</v>
      </c>
      <c r="B301" s="2960">
        <v>140.75434995069008</v>
      </c>
      <c r="C301" s="2969">
        <v>141.39948525392893</v>
      </c>
      <c r="D301" s="2958">
        <v>133.76092464341039</v>
      </c>
      <c r="E301" s="2969">
        <v>143.90875070273731</v>
      </c>
      <c r="F301" s="2959">
        <v>132.67603612995211</v>
      </c>
      <c r="G301" s="2960">
        <v>138.07025615416546</v>
      </c>
      <c r="H301" s="2969">
        <v>138.48898964760687</v>
      </c>
      <c r="I301" s="2958">
        <v>133.11754963005504</v>
      </c>
      <c r="J301" s="2969">
        <v>140.68883704080454</v>
      </c>
      <c r="K301" s="2959">
        <v>132.77898976916751</v>
      </c>
      <c r="L301" s="2960">
        <v>138.33683636670085</v>
      </c>
      <c r="M301" s="2969">
        <v>132.73885797966432</v>
      </c>
      <c r="N301" s="2961">
        <v>140.66836301451679</v>
      </c>
    </row>
    <row r="302" spans="1:14" ht="12.75" customHeight="1">
      <c r="A302" s="2967">
        <f t="shared" si="2"/>
        <v>2017.05</v>
      </c>
      <c r="B302" s="2960">
        <v>141.96122803498693</v>
      </c>
      <c r="C302" s="2969">
        <v>142.58814544030284</v>
      </c>
      <c r="D302" s="2958">
        <v>134.14479362351798</v>
      </c>
      <c r="E302" s="2969">
        <v>145.36178462002172</v>
      </c>
      <c r="F302" s="2959">
        <v>134.1110367427124</v>
      </c>
      <c r="G302" s="2960">
        <v>139.48061009785104</v>
      </c>
      <c r="H302" s="2969">
        <v>139.89556328068278</v>
      </c>
      <c r="I302" s="2958">
        <v>134.04689295720758</v>
      </c>
      <c r="J302" s="2969">
        <v>142.29085804758466</v>
      </c>
      <c r="K302" s="2959">
        <v>134.23711307156694</v>
      </c>
      <c r="L302" s="2960">
        <v>139.83805141563747</v>
      </c>
      <c r="M302" s="2969">
        <v>134.04359765834621</v>
      </c>
      <c r="N302" s="2961">
        <v>142.25140895484259</v>
      </c>
    </row>
    <row r="303" spans="1:14" ht="12.75" customHeight="1">
      <c r="A303" s="2967">
        <f t="shared" si="2"/>
        <v>2017.06</v>
      </c>
      <c r="B303" s="2960">
        <v>144.61686354956535</v>
      </c>
      <c r="C303" s="2969">
        <v>145.36112279847336</v>
      </c>
      <c r="D303" s="2958">
        <v>138.80272150355779</v>
      </c>
      <c r="E303" s="2969">
        <v>147.51555615416217</v>
      </c>
      <c r="F303" s="2959">
        <v>135.29733050513084</v>
      </c>
      <c r="G303" s="2960">
        <v>142.07581784023415</v>
      </c>
      <c r="H303" s="2969">
        <v>142.59907907252884</v>
      </c>
      <c r="I303" s="2958">
        <v>137.84580077646768</v>
      </c>
      <c r="J303" s="2969">
        <v>144.54576130942726</v>
      </c>
      <c r="K303" s="2959">
        <v>135.463701512358</v>
      </c>
      <c r="L303" s="2960">
        <v>142.40049184716966</v>
      </c>
      <c r="M303" s="2969">
        <v>137.55969775954657</v>
      </c>
      <c r="N303" s="2961">
        <v>144.41665547474267</v>
      </c>
    </row>
    <row r="304" spans="1:14" ht="12.75" customHeight="1">
      <c r="A304" s="2967">
        <f t="shared" si="2"/>
        <v>2017.07</v>
      </c>
      <c r="B304" s="2960">
        <v>148.31134417251701</v>
      </c>
      <c r="C304" s="2969">
        <v>148.93771338313812</v>
      </c>
      <c r="D304" s="2958">
        <v>142.31332673631616</v>
      </c>
      <c r="E304" s="2969">
        <v>151.1138229121413</v>
      </c>
      <c r="F304" s="2959">
        <v>140.4680173143494</v>
      </c>
      <c r="G304" s="2960">
        <v>145.86461052713787</v>
      </c>
      <c r="H304" s="2969">
        <v>146.27480690284341</v>
      </c>
      <c r="I304" s="2958">
        <v>142.40794429447047</v>
      </c>
      <c r="J304" s="2969">
        <v>147.85846186335445</v>
      </c>
      <c r="K304" s="2959">
        <v>140.68122221926447</v>
      </c>
      <c r="L304" s="2960">
        <v>146.27948426013805</v>
      </c>
      <c r="M304" s="2969">
        <v>142.40423417100681</v>
      </c>
      <c r="N304" s="2961">
        <v>147.89350421967981</v>
      </c>
    </row>
    <row r="305" spans="1:14" ht="12.75" customHeight="1">
      <c r="A305" s="2967">
        <f t="shared" si="2"/>
        <v>2017.08</v>
      </c>
      <c r="B305" s="2960">
        <v>151.15729214852485</v>
      </c>
      <c r="C305" s="2969">
        <v>151.82154539401645</v>
      </c>
      <c r="D305" s="2958">
        <v>146.91040149836937</v>
      </c>
      <c r="E305" s="2969">
        <v>153.43485506318419</v>
      </c>
      <c r="F305" s="2959">
        <v>142.83958554250739</v>
      </c>
      <c r="G305" s="2960">
        <v>148.75763546534782</v>
      </c>
      <c r="H305" s="2969">
        <v>149.20830586113476</v>
      </c>
      <c r="I305" s="2958">
        <v>146.56611027795148</v>
      </c>
      <c r="J305" s="2969">
        <v>150.29040433882284</v>
      </c>
      <c r="K305" s="2959">
        <v>143.06280294468428</v>
      </c>
      <c r="L305" s="2960">
        <v>149.16946005506585</v>
      </c>
      <c r="M305" s="2969">
        <v>146.37267913477103</v>
      </c>
      <c r="N305" s="2961">
        <v>150.33430364554312</v>
      </c>
    </row>
    <row r="306" spans="1:14" ht="12.75" customHeight="1">
      <c r="A306" s="2967">
        <f t="shared" si="2"/>
        <v>2017.09</v>
      </c>
      <c r="B306" s="2960">
        <v>152.66860302336491</v>
      </c>
      <c r="C306" s="2969">
        <v>153.40607268851613</v>
      </c>
      <c r="D306" s="2958">
        <v>147.67923621665898</v>
      </c>
      <c r="E306" s="2969">
        <v>155.28733718617798</v>
      </c>
      <c r="F306" s="2959">
        <v>143.43408840533544</v>
      </c>
      <c r="G306" s="2960">
        <v>150.27379000913714</v>
      </c>
      <c r="H306" s="2969">
        <v>150.79991468463317</v>
      </c>
      <c r="I306" s="2958">
        <v>147.32080676468775</v>
      </c>
      <c r="J306" s="2969">
        <v>152.22476657971862</v>
      </c>
      <c r="K306" s="2959">
        <v>143.62549018747737</v>
      </c>
      <c r="L306" s="2960">
        <v>150.75470064812319</v>
      </c>
      <c r="M306" s="2969">
        <v>147.18046687328658</v>
      </c>
      <c r="N306" s="2961">
        <v>152.24334899854429</v>
      </c>
    </row>
    <row r="307" spans="1:14" ht="12.75" customHeight="1">
      <c r="A307" s="2967">
        <f t="shared" si="2"/>
        <v>2017.1</v>
      </c>
      <c r="B307" s="2960">
        <v>154.91056203698489</v>
      </c>
      <c r="C307" s="2969">
        <v>155.67081099203878</v>
      </c>
      <c r="D307" s="2958">
        <v>149.60315235699008</v>
      </c>
      <c r="E307" s="2969">
        <v>157.66403549393323</v>
      </c>
      <c r="F307" s="2959">
        <v>145.39080763820968</v>
      </c>
      <c r="G307" s="2960">
        <v>152.43861457654432</v>
      </c>
      <c r="H307" s="2969">
        <v>152.97807228798058</v>
      </c>
      <c r="I307" s="2958">
        <v>149.53577300529966</v>
      </c>
      <c r="J307" s="2969">
        <v>154.38784938292517</v>
      </c>
      <c r="K307" s="2959">
        <v>145.62183373775622</v>
      </c>
      <c r="L307" s="2960">
        <v>153.15230716553157</v>
      </c>
      <c r="M307" s="2969">
        <v>149.62364608931537</v>
      </c>
      <c r="N307" s="2961">
        <v>154.62197474219823</v>
      </c>
    </row>
    <row r="308" spans="1:14" ht="12.75" customHeight="1">
      <c r="A308" s="2967">
        <f t="shared" si="2"/>
        <v>2017.11</v>
      </c>
      <c r="B308" s="2960">
        <v>157.30286911009856</v>
      </c>
      <c r="C308" s="2969">
        <v>158.0207241691987</v>
      </c>
      <c r="D308" s="2958">
        <v>151.27431716888972</v>
      </c>
      <c r="E308" s="2969">
        <v>160.23691735697847</v>
      </c>
      <c r="F308" s="2959">
        <v>148.31396644719732</v>
      </c>
      <c r="G308" s="2960">
        <v>154.6235947020532</v>
      </c>
      <c r="H308" s="2969">
        <v>155.10410416648546</v>
      </c>
      <c r="I308" s="2958">
        <v>150.9746323154618</v>
      </c>
      <c r="J308" s="2969">
        <v>156.7953094777381</v>
      </c>
      <c r="K308" s="2959">
        <v>148.55170502366087</v>
      </c>
      <c r="L308" s="2960">
        <v>155.26234117223927</v>
      </c>
      <c r="M308" s="2969">
        <v>151.12063941967469</v>
      </c>
      <c r="N308" s="2961">
        <v>156.98733675739044</v>
      </c>
    </row>
    <row r="309" spans="1:14" ht="12.75" customHeight="1">
      <c r="A309" s="2967">
        <f t="shared" si="2"/>
        <v>2017.12</v>
      </c>
      <c r="B309" s="2960">
        <v>159.88571353640413</v>
      </c>
      <c r="C309" s="2969">
        <v>160.74234037628807</v>
      </c>
      <c r="D309" s="2958">
        <v>152.27936486977615</v>
      </c>
      <c r="E309" s="2969">
        <v>163.52242593368479</v>
      </c>
      <c r="F309" s="2959">
        <v>149.15912578790019</v>
      </c>
      <c r="G309" s="2960">
        <v>157.19525439885575</v>
      </c>
      <c r="H309" s="2969">
        <v>157.81808140509818</v>
      </c>
      <c r="I309" s="2958">
        <v>152.52303556805913</v>
      </c>
      <c r="J309" s="2969">
        <v>159.98664192954058</v>
      </c>
      <c r="K309" s="2959">
        <v>149.32498929368433</v>
      </c>
      <c r="L309" s="2960">
        <v>158.00554922249384</v>
      </c>
      <c r="M309" s="2969">
        <v>153.07150023322913</v>
      </c>
      <c r="N309" s="2961">
        <v>160.06055299434468</v>
      </c>
    </row>
    <row r="310" spans="1:14" ht="12.75" customHeight="1">
      <c r="A310" s="2967">
        <f t="shared" si="2"/>
        <v>2018.01</v>
      </c>
      <c r="B310" s="2960">
        <v>167.19086802591019</v>
      </c>
      <c r="C310" s="2969">
        <v>167.7900143030287</v>
      </c>
      <c r="D310" s="2958">
        <v>166.89805515657301</v>
      </c>
      <c r="E310" s="2969">
        <v>168.08302268275781</v>
      </c>
      <c r="F310" s="2959">
        <v>159.68842376841712</v>
      </c>
      <c r="G310" s="2960">
        <v>164.91030461840887</v>
      </c>
      <c r="H310" s="2969">
        <v>165.30210801001772</v>
      </c>
      <c r="I310" s="2958">
        <v>167.3967638356273</v>
      </c>
      <c r="J310" s="2969">
        <v>164.4442518033855</v>
      </c>
      <c r="K310" s="2959">
        <v>159.95933664469547</v>
      </c>
      <c r="L310" s="2960">
        <v>165.95917697425546</v>
      </c>
      <c r="M310" s="2969">
        <v>168.79451940511177</v>
      </c>
      <c r="N310" s="2961">
        <v>164.77827273058489</v>
      </c>
    </row>
    <row r="311" spans="1:14" ht="12.75" customHeight="1">
      <c r="A311" s="2967">
        <f t="shared" si="2"/>
        <v>2018.02</v>
      </c>
      <c r="B311" s="2960">
        <v>175.29547139727555</v>
      </c>
      <c r="C311" s="2969">
        <v>175.99716064287739</v>
      </c>
      <c r="D311" s="2958">
        <v>182.16078403973137</v>
      </c>
      <c r="E311" s="2969">
        <v>173.97241173823505</v>
      </c>
      <c r="F311" s="2959">
        <v>166.50899528575118</v>
      </c>
      <c r="G311" s="2960">
        <v>173.48078360475006</v>
      </c>
      <c r="H311" s="2969">
        <v>174.00505731066656</v>
      </c>
      <c r="I311" s="2958">
        <v>183.29462095785635</v>
      </c>
      <c r="J311" s="2969">
        <v>170.20056125254595</v>
      </c>
      <c r="K311" s="2959">
        <v>166.8558732975861</v>
      </c>
      <c r="L311" s="2960">
        <v>175.23832096362028</v>
      </c>
      <c r="M311" s="2969">
        <v>185.59680980735078</v>
      </c>
      <c r="N311" s="2961">
        <v>170.92406837089959</v>
      </c>
    </row>
    <row r="312" spans="1:14" ht="12.75" customHeight="1">
      <c r="A312" s="2967">
        <f t="shared" si="2"/>
        <v>2018.03</v>
      </c>
      <c r="B312" s="2960">
        <v>178.68843528160892</v>
      </c>
      <c r="C312" s="2969">
        <v>179.23662855118485</v>
      </c>
      <c r="D312" s="2958">
        <v>183.71984041569809</v>
      </c>
      <c r="E312" s="2969">
        <v>177.76389445834818</v>
      </c>
      <c r="F312" s="2959">
        <v>171.82401902068113</v>
      </c>
      <c r="G312" s="2960">
        <v>177.56591567322602</v>
      </c>
      <c r="H312" s="2969">
        <v>177.99170139410595</v>
      </c>
      <c r="I312" s="2958">
        <v>185.68117164346566</v>
      </c>
      <c r="J312" s="2969">
        <v>174.84251588187001</v>
      </c>
      <c r="K312" s="2959">
        <v>172.18553481668283</v>
      </c>
      <c r="L312" s="2960">
        <v>179.47409146202213</v>
      </c>
      <c r="M312" s="2969">
        <v>188.7458902052332</v>
      </c>
      <c r="N312" s="2961">
        <v>175.61243921037209</v>
      </c>
    </row>
    <row r="313" spans="1:14" ht="12.75" customHeight="1">
      <c r="A313" s="2967">
        <f t="shared" si="2"/>
        <v>2018.04</v>
      </c>
      <c r="B313" s="2960">
        <v>181.8925388769282</v>
      </c>
      <c r="C313" s="2969">
        <v>182.67736174338665</v>
      </c>
      <c r="D313" s="2958">
        <v>187.75278198119335</v>
      </c>
      <c r="E313" s="2969">
        <v>181.01008733263274</v>
      </c>
      <c r="F313" s="2959">
        <v>172.06507264292549</v>
      </c>
      <c r="G313" s="2960">
        <v>180.96604391748056</v>
      </c>
      <c r="H313" s="2969">
        <v>181.64906325211803</v>
      </c>
      <c r="I313" s="2958">
        <v>190.58251141366833</v>
      </c>
      <c r="J313" s="2969">
        <v>177.9904125762788</v>
      </c>
      <c r="K313" s="2959">
        <v>172.33516699390913</v>
      </c>
      <c r="L313" s="2960">
        <v>183.14914882107112</v>
      </c>
      <c r="M313" s="2969">
        <v>193.82149636237881</v>
      </c>
      <c r="N313" s="2961">
        <v>178.70417583851381</v>
      </c>
    </row>
    <row r="314" spans="1:14" ht="12.75" customHeight="1">
      <c r="A314" s="2967">
        <f t="shared" si="2"/>
        <v>2018.05</v>
      </c>
      <c r="B314" s="2960">
        <v>195.55041017068828</v>
      </c>
      <c r="C314" s="2969">
        <v>195.31792540065157</v>
      </c>
      <c r="D314" s="2958">
        <v>208.16874425451243</v>
      </c>
      <c r="E314" s="2969">
        <v>191.09643428693528</v>
      </c>
      <c r="F314" s="2959">
        <v>198.46155907459854</v>
      </c>
      <c r="G314" s="2960">
        <v>196.20300276383011</v>
      </c>
      <c r="H314" s="2969">
        <v>195.97177047604026</v>
      </c>
      <c r="I314" s="2958">
        <v>214.3516198746961</v>
      </c>
      <c r="J314" s="2969">
        <v>188.44439166237615</v>
      </c>
      <c r="K314" s="2959">
        <v>199.12493676400968</v>
      </c>
      <c r="L314" s="2960">
        <v>198.48864003566499</v>
      </c>
      <c r="M314" s="2969">
        <v>218.75484010612666</v>
      </c>
      <c r="N314" s="2961">
        <v>190.04788120321211</v>
      </c>
    </row>
    <row r="315" spans="1:14" ht="12.75" customHeight="1">
      <c r="A315" s="2967">
        <f t="shared" si="2"/>
        <v>2018.06</v>
      </c>
      <c r="B315" s="2960">
        <v>208.32434958625137</v>
      </c>
      <c r="C315" s="2969">
        <v>207.39099803574101</v>
      </c>
      <c r="D315" s="2958">
        <v>220.21661731126738</v>
      </c>
      <c r="E315" s="2969">
        <v>203.1777849778606</v>
      </c>
      <c r="F315" s="2959">
        <v>220.01167578315912</v>
      </c>
      <c r="G315" s="2960">
        <v>209.05147408866151</v>
      </c>
      <c r="H315" s="2969">
        <v>208.10868013384911</v>
      </c>
      <c r="I315" s="2958">
        <v>225.36994006102685</v>
      </c>
      <c r="J315" s="2969">
        <v>201.03941425169833</v>
      </c>
      <c r="K315" s="2959">
        <v>220.96495614633818</v>
      </c>
      <c r="L315" s="2960">
        <v>210.63384954274397</v>
      </c>
      <c r="M315" s="2969">
        <v>229.18237313859404</v>
      </c>
      <c r="N315" s="2961">
        <v>202.90849334245522</v>
      </c>
    </row>
    <row r="316" spans="1:14" ht="12.75" customHeight="1">
      <c r="A316" s="2967">
        <f t="shared" si="2"/>
        <v>2018.07</v>
      </c>
      <c r="B316" s="2960">
        <v>218.18092421955836</v>
      </c>
      <c r="C316" s="2969">
        <v>217.05322847943899</v>
      </c>
      <c r="D316" s="2958">
        <v>234.39334917828361</v>
      </c>
      <c r="E316" s="2969">
        <v>211.35700271566611</v>
      </c>
      <c r="F316" s="2959">
        <v>232.30180713707372</v>
      </c>
      <c r="G316" s="2960">
        <v>218.60811297644389</v>
      </c>
      <c r="H316" s="2969">
        <v>217.44149168807419</v>
      </c>
      <c r="I316" s="2958">
        <v>237.76364200938377</v>
      </c>
      <c r="J316" s="2969">
        <v>209.11865288462286</v>
      </c>
      <c r="K316" s="2959">
        <v>233.34995738068025</v>
      </c>
      <c r="L316" s="2960">
        <v>219.7429968386908</v>
      </c>
      <c r="M316" s="2969">
        <v>240.72466247787017</v>
      </c>
      <c r="N316" s="2961">
        <v>211.00425060369218</v>
      </c>
    </row>
    <row r="317" spans="1:14" ht="12.75" customHeight="1">
      <c r="A317" s="2967">
        <f t="shared" si="2"/>
        <v>2018.08</v>
      </c>
      <c r="B317" s="2960">
        <v>228.85916934960517</v>
      </c>
      <c r="C317" s="2969">
        <v>227.48485112405527</v>
      </c>
      <c r="D317" s="2958">
        <v>242.96676136432438</v>
      </c>
      <c r="E317" s="2969">
        <v>222.39904707951271</v>
      </c>
      <c r="F317" s="2959">
        <v>246.06823209940657</v>
      </c>
      <c r="G317" s="2960">
        <v>229.44705641083067</v>
      </c>
      <c r="H317" s="2969">
        <v>228.0283522884917</v>
      </c>
      <c r="I317" s="2958">
        <v>247.638915836032</v>
      </c>
      <c r="J317" s="2969">
        <v>219.99694042161508</v>
      </c>
      <c r="K317" s="2959">
        <v>247.37430978403128</v>
      </c>
      <c r="L317" s="2960">
        <v>230.60829562587031</v>
      </c>
      <c r="M317" s="2969">
        <v>250.9442554904964</v>
      </c>
      <c r="N317" s="2961">
        <v>222.13848222982395</v>
      </c>
    </row>
    <row r="318" spans="1:14" ht="12.75" customHeight="1">
      <c r="A318" s="2967">
        <f t="shared" si="2"/>
        <v>2018.09</v>
      </c>
      <c r="B318" s="2960">
        <v>265.5738589612281</v>
      </c>
      <c r="C318" s="2969">
        <v>262.37524172030373</v>
      </c>
      <c r="D318" s="2958">
        <v>287.01981766178335</v>
      </c>
      <c r="E318" s="2969">
        <v>254.27950404620157</v>
      </c>
      <c r="F318" s="2959">
        <v>305.62659477475648</v>
      </c>
      <c r="G318" s="2960">
        <v>267.42583327869136</v>
      </c>
      <c r="H318" s="2969">
        <v>264.24329671576697</v>
      </c>
      <c r="I318" s="2958">
        <v>292.75208043082864</v>
      </c>
      <c r="J318" s="2969">
        <v>252.56766162836604</v>
      </c>
      <c r="K318" s="2959">
        <v>307.64150505596183</v>
      </c>
      <c r="L318" s="2960">
        <v>268.05808967532295</v>
      </c>
      <c r="M318" s="2969">
        <v>297.32780094435509</v>
      </c>
      <c r="N318" s="2961">
        <v>255.86741885107116</v>
      </c>
    </row>
    <row r="319" spans="1:14" ht="12.75" customHeight="1">
      <c r="A319" s="2967">
        <f t="shared" si="2"/>
        <v>2018.1</v>
      </c>
      <c r="B319" s="2960">
        <v>273.60565836903214</v>
      </c>
      <c r="C319" s="2969">
        <v>271.75603580389355</v>
      </c>
      <c r="D319" s="2958">
        <v>293.31512622028703</v>
      </c>
      <c r="E319" s="2969">
        <v>264.67387943334688</v>
      </c>
      <c r="F319" s="2959">
        <v>296.76643015766535</v>
      </c>
      <c r="G319" s="2960">
        <v>274.08221337635808</v>
      </c>
      <c r="H319" s="2969">
        <v>272.13984037810457</v>
      </c>
      <c r="I319" s="2958">
        <v>296.54740447816795</v>
      </c>
      <c r="J319" s="2969">
        <v>262.1438400347393</v>
      </c>
      <c r="K319" s="2959">
        <v>298.62673420819118</v>
      </c>
      <c r="L319" s="2960">
        <v>275.05178962852523</v>
      </c>
      <c r="M319" s="2969">
        <v>300.36311955160227</v>
      </c>
      <c r="N319" s="2961">
        <v>264.50976246672218</v>
      </c>
    </row>
    <row r="320" spans="1:14" ht="12.75" customHeight="1">
      <c r="A320" s="2967">
        <f t="shared" si="2"/>
        <v>2018.11</v>
      </c>
      <c r="B320" s="2960">
        <v>273.89892907752653</v>
      </c>
      <c r="C320" s="2969">
        <v>272.37657466805251</v>
      </c>
      <c r="D320" s="2958">
        <v>281.80523894694551</v>
      </c>
      <c r="E320" s="2969">
        <v>269.27926056533266</v>
      </c>
      <c r="F320" s="2959">
        <v>292.96168475741626</v>
      </c>
      <c r="G320" s="2960">
        <v>272.94816095666954</v>
      </c>
      <c r="H320" s="2969">
        <v>271.21854165092071</v>
      </c>
      <c r="I320" s="2958">
        <v>283.2620464215039</v>
      </c>
      <c r="J320" s="2969">
        <v>266.28618226722676</v>
      </c>
      <c r="K320" s="2959">
        <v>294.80424993610762</v>
      </c>
      <c r="L320" s="2960">
        <v>273.31885298586951</v>
      </c>
      <c r="M320" s="2969">
        <v>286.18887385058076</v>
      </c>
      <c r="N320" s="2961">
        <v>267.95856137175463</v>
      </c>
    </row>
    <row r="321" spans="1:14" ht="12.75" customHeight="1">
      <c r="A321" s="2967">
        <f t="shared" si="2"/>
        <v>2018.12</v>
      </c>
      <c r="B321" s="2960">
        <v>277.39935294632306</v>
      </c>
      <c r="C321" s="2969">
        <v>275.1531767522041</v>
      </c>
      <c r="D321" s="2958">
        <v>278.24780846275956</v>
      </c>
      <c r="E321" s="2969">
        <v>274.13659092877145</v>
      </c>
      <c r="F321" s="2959">
        <v>305.52572597484084</v>
      </c>
      <c r="G321" s="2960">
        <v>277.3213949274778</v>
      </c>
      <c r="H321" s="2969">
        <v>274.94069728588369</v>
      </c>
      <c r="I321" s="2958">
        <v>283.64034579293258</v>
      </c>
      <c r="J321" s="2969">
        <v>271.37779813269145</v>
      </c>
      <c r="K321" s="2959">
        <v>307.40474293064193</v>
      </c>
      <c r="L321" s="2960">
        <v>277.3748205042728</v>
      </c>
      <c r="M321" s="2969">
        <v>287.64564273113496</v>
      </c>
      <c r="N321" s="2961">
        <v>273.09708056651789</v>
      </c>
    </row>
    <row r="322" spans="1:14" ht="12.75" customHeight="1">
      <c r="A322" s="2967">
        <f t="shared" si="2"/>
        <v>2019.01</v>
      </c>
      <c r="B322" s="2960">
        <v>278.97894979596691</v>
      </c>
      <c r="C322" s="2969">
        <v>277.4444663265287</v>
      </c>
      <c r="D322" s="2958">
        <v>274.53386018965625</v>
      </c>
      <c r="E322" s="2969">
        <v>278.40059979024511</v>
      </c>
      <c r="F322" s="2959">
        <v>298.19358424027979</v>
      </c>
      <c r="G322" s="2960">
        <v>279.1678829493826</v>
      </c>
      <c r="H322" s="2969">
        <v>277.50495023951163</v>
      </c>
      <c r="I322" s="2958">
        <v>281.47422967089267</v>
      </c>
      <c r="J322" s="2969">
        <v>275.87935096232394</v>
      </c>
      <c r="K322" s="2959">
        <v>300.18129622070461</v>
      </c>
      <c r="L322" s="2960">
        <v>279.2786654883156</v>
      </c>
      <c r="M322" s="2969">
        <v>284.91968876816122</v>
      </c>
      <c r="N322" s="2961">
        <v>276.92921088370838</v>
      </c>
    </row>
    <row r="323" spans="1:14" ht="12.75" customHeight="1">
      <c r="A323" s="2967">
        <f t="shared" si="2"/>
        <v>2019.02</v>
      </c>
      <c r="B323" s="2960">
        <v>288.3634789978899</v>
      </c>
      <c r="C323" s="2969">
        <v>286.93580360730789</v>
      </c>
      <c r="D323" s="2958">
        <v>288.97525226184905</v>
      </c>
      <c r="E323" s="2969">
        <v>286.26584518131699</v>
      </c>
      <c r="F323" s="2959">
        <v>306.2406743418174</v>
      </c>
      <c r="G323" s="2960">
        <v>288.40159490099421</v>
      </c>
      <c r="H323" s="2969">
        <v>286.83633405409665</v>
      </c>
      <c r="I323" s="2958">
        <v>293.85785693463851</v>
      </c>
      <c r="J323" s="2969">
        <v>283.9607031702821</v>
      </c>
      <c r="K323" s="2959">
        <v>308.18079153236351</v>
      </c>
      <c r="L323" s="2960">
        <v>288.32665847161252</v>
      </c>
      <c r="M323" s="2969">
        <v>295.91039455025924</v>
      </c>
      <c r="N323" s="2961">
        <v>285.16807486608815</v>
      </c>
    </row>
    <row r="324" spans="1:14" ht="12.75" customHeight="1">
      <c r="A324" s="2967">
        <f t="shared" si="2"/>
        <v>2019.03</v>
      </c>
      <c r="B324" s="2960">
        <v>300.2045079752881</v>
      </c>
      <c r="C324" s="2969">
        <v>298.63942584201567</v>
      </c>
      <c r="D324" s="2958">
        <v>304.08920090964409</v>
      </c>
      <c r="E324" s="2969">
        <v>296.84917595355546</v>
      </c>
      <c r="F324" s="2959">
        <v>319.80229554687043</v>
      </c>
      <c r="G324" s="2960">
        <v>299.92883800649531</v>
      </c>
      <c r="H324" s="2969">
        <v>298.18227928438603</v>
      </c>
      <c r="I324" s="2958">
        <v>307.54122312085553</v>
      </c>
      <c r="J324" s="2969">
        <v>294.34936890384438</v>
      </c>
      <c r="K324" s="2959">
        <v>321.9989795176092</v>
      </c>
      <c r="L324" s="2960">
        <v>299.58256055998663</v>
      </c>
      <c r="M324" s="2969">
        <v>309.32157243932869</v>
      </c>
      <c r="N324" s="2961">
        <v>295.52631665367386</v>
      </c>
    </row>
    <row r="325" spans="1:14" ht="12.75" customHeight="1">
      <c r="A325" s="2967">
        <f t="shared" si="2"/>
        <v>2019.04</v>
      </c>
      <c r="B325" s="2960">
        <v>313.96117537261142</v>
      </c>
      <c r="C325" s="2969">
        <v>312.47105315341287</v>
      </c>
      <c r="D325" s="2958">
        <v>323.80564288815447</v>
      </c>
      <c r="E325" s="2969">
        <v>308.74764296555099</v>
      </c>
      <c r="F325" s="2959">
        <v>332.62032308550937</v>
      </c>
      <c r="G325" s="2960">
        <v>313.46089008014059</v>
      </c>
      <c r="H325" s="2969">
        <v>311.76250949676114</v>
      </c>
      <c r="I325" s="2958">
        <v>324.63642412323281</v>
      </c>
      <c r="J325" s="2969">
        <v>306.49005975539933</v>
      </c>
      <c r="K325" s="2959">
        <v>334.92223537613052</v>
      </c>
      <c r="L325" s="2960">
        <v>312.74400735260332</v>
      </c>
      <c r="M325" s="2969">
        <v>325.68944668551529</v>
      </c>
      <c r="N325" s="2961">
        <v>307.35230436884927</v>
      </c>
    </row>
    <row r="326" spans="1:14" ht="12.75" customHeight="1">
      <c r="A326" s="2967">
        <f t="shared" si="2"/>
        <v>2019.05</v>
      </c>
      <c r="B326" s="2960">
        <v>329.49345594662748</v>
      </c>
      <c r="C326" s="2969">
        <v>328.14615577357034</v>
      </c>
      <c r="D326" s="2958">
        <v>350.59752147689949</v>
      </c>
      <c r="E326" s="2969">
        <v>320.77088717121779</v>
      </c>
      <c r="F326" s="2959">
        <v>346.3642015933886</v>
      </c>
      <c r="G326" s="2960">
        <v>329.29245916643015</v>
      </c>
      <c r="H326" s="2969">
        <v>327.74157189271023</v>
      </c>
      <c r="I326" s="2958">
        <v>350.70197473882001</v>
      </c>
      <c r="J326" s="2969">
        <v>318.33824947214475</v>
      </c>
      <c r="K326" s="2959">
        <v>348.89002617948779</v>
      </c>
      <c r="L326" s="2960">
        <v>329.23979361744102</v>
      </c>
      <c r="M326" s="2969">
        <v>351.95748218988092</v>
      </c>
      <c r="N326" s="2961">
        <v>319.77800355299667</v>
      </c>
    </row>
    <row r="327" spans="1:14" ht="12.75" customHeight="1">
      <c r="A327" s="2967">
        <f t="shared" si="2"/>
        <v>2019.06</v>
      </c>
      <c r="B327" s="2960">
        <v>334.94023434959956</v>
      </c>
      <c r="C327" s="2969">
        <v>334.32239281397096</v>
      </c>
      <c r="D327" s="2958">
        <v>358.75065640949322</v>
      </c>
      <c r="E327" s="2969">
        <v>326.29771369704167</v>
      </c>
      <c r="F327" s="2959">
        <v>342.67677859270202</v>
      </c>
      <c r="G327" s="2960">
        <v>334.90016840917201</v>
      </c>
      <c r="H327" s="2969">
        <v>334.08462354265777</v>
      </c>
      <c r="I327" s="2958">
        <v>360.09398117588222</v>
      </c>
      <c r="J327" s="2969">
        <v>323.43261637117018</v>
      </c>
      <c r="K327" s="2959">
        <v>345.20568541513319</v>
      </c>
      <c r="L327" s="2960">
        <v>335.51967795548507</v>
      </c>
      <c r="M327" s="2969">
        <v>361.80749052215327</v>
      </c>
      <c r="N327" s="2961">
        <v>324.57095124122679</v>
      </c>
    </row>
    <row r="328" spans="1:14" ht="12.75" customHeight="1">
      <c r="A328" s="2967">
        <f t="shared" si="2"/>
        <v>2019.07</v>
      </c>
      <c r="B328" s="2960">
        <v>335.19859720381254</v>
      </c>
      <c r="C328" s="2969">
        <v>335.10341732571419</v>
      </c>
      <c r="D328" s="2958">
        <v>353.68925587373366</v>
      </c>
      <c r="E328" s="2969">
        <v>328.99797352764369</v>
      </c>
      <c r="F328" s="2959">
        <v>336.39042924406613</v>
      </c>
      <c r="G328" s="2960">
        <v>334.59780593314167</v>
      </c>
      <c r="H328" s="2969">
        <v>334.2613140248796</v>
      </c>
      <c r="I328" s="2958">
        <v>354.22792913589495</v>
      </c>
      <c r="J328" s="2969">
        <v>326.08408295473674</v>
      </c>
      <c r="K328" s="2959">
        <v>338.84983819443528</v>
      </c>
      <c r="L328" s="2960">
        <v>334.82830201012837</v>
      </c>
      <c r="M328" s="2969">
        <v>354.67082514357924</v>
      </c>
      <c r="N328" s="2961">
        <v>326.56400224922049</v>
      </c>
    </row>
    <row r="329" spans="1:14" ht="12.75" customHeight="1">
      <c r="A329" s="2967">
        <f t="shared" si="2"/>
        <v>2019.08</v>
      </c>
      <c r="B329" s="2960">
        <v>372.78579027767711</v>
      </c>
      <c r="C329" s="2969">
        <v>368.11961434110202</v>
      </c>
      <c r="D329" s="2958">
        <v>368.81822705151382</v>
      </c>
      <c r="E329" s="2969">
        <v>367.89012022228587</v>
      </c>
      <c r="F329" s="2959">
        <v>431.21513582609418</v>
      </c>
      <c r="G329" s="2960">
        <v>374.55279816594373</v>
      </c>
      <c r="H329" s="2969">
        <v>369.79868843846748</v>
      </c>
      <c r="I329" s="2958">
        <v>377.26622621663898</v>
      </c>
      <c r="J329" s="2969">
        <v>366.74039430109883</v>
      </c>
      <c r="K329" s="2959">
        <v>434.62743128111941</v>
      </c>
      <c r="L329" s="2960">
        <v>372.67591477680531</v>
      </c>
      <c r="M329" s="2969">
        <v>379.98347573850043</v>
      </c>
      <c r="N329" s="2961">
        <v>369.63235656082639</v>
      </c>
    </row>
    <row r="330" spans="1:14" ht="12.75" customHeight="1">
      <c r="A330" s="2967">
        <f t="shared" ref="A330:A393" si="3">A318+1</f>
        <v>2019.09</v>
      </c>
      <c r="B330" s="2960">
        <v>388.32093373494314</v>
      </c>
      <c r="C330" s="2969">
        <v>384.32214653128949</v>
      </c>
      <c r="D330" s="2958">
        <v>377.34231829218317</v>
      </c>
      <c r="E330" s="2969">
        <v>386.61501856915709</v>
      </c>
      <c r="F330" s="2959">
        <v>438.39331045331238</v>
      </c>
      <c r="G330" s="2960">
        <v>390.87435989477143</v>
      </c>
      <c r="H330" s="2969">
        <v>386.83540342434731</v>
      </c>
      <c r="I330" s="2958">
        <v>389.87985647765328</v>
      </c>
      <c r="J330" s="2969">
        <v>385.58856228132106</v>
      </c>
      <c r="K330" s="2959">
        <v>441.91206055568193</v>
      </c>
      <c r="L330" s="2960">
        <v>389.62456323334175</v>
      </c>
      <c r="M330" s="2969">
        <v>394.33100566622028</v>
      </c>
      <c r="N330" s="2961">
        <v>387.66435629249986</v>
      </c>
    </row>
    <row r="331" spans="1:14" ht="12.75" customHeight="1">
      <c r="A331" s="2967">
        <f t="shared" si="3"/>
        <v>2019.1</v>
      </c>
      <c r="B331" s="2960">
        <v>402.34527996059893</v>
      </c>
      <c r="C331" s="2969">
        <v>398.21326479777878</v>
      </c>
      <c r="D331" s="2958">
        <v>388.94194237633059</v>
      </c>
      <c r="E331" s="2969">
        <v>401.2588921355877</v>
      </c>
      <c r="F331" s="2959">
        <v>454.08592262846747</v>
      </c>
      <c r="G331" s="2960">
        <v>404.50347842353125</v>
      </c>
      <c r="H331" s="2969">
        <v>400.29056740643784</v>
      </c>
      <c r="I331" s="2958">
        <v>400.78374997593193</v>
      </c>
      <c r="J331" s="2969">
        <v>400.08858686000633</v>
      </c>
      <c r="K331" s="2959">
        <v>457.73933081373303</v>
      </c>
      <c r="L331" s="2960">
        <v>402.81805564112102</v>
      </c>
      <c r="M331" s="2969">
        <v>404.94141162585441</v>
      </c>
      <c r="N331" s="2961">
        <v>401.93368976491962</v>
      </c>
    </row>
    <row r="332" spans="1:14" ht="12.75" customHeight="1">
      <c r="A332" s="2967">
        <f t="shared" si="3"/>
        <v>2019.11</v>
      </c>
      <c r="B332" s="2960">
        <v>424.02790085164941</v>
      </c>
      <c r="C332" s="2969">
        <v>420.1128134177975</v>
      </c>
      <c r="D332" s="2958">
        <v>412.50252834230986</v>
      </c>
      <c r="E332" s="2969">
        <v>422.61279035968511</v>
      </c>
      <c r="F332" s="2959">
        <v>473.05219818508453</v>
      </c>
      <c r="G332" s="2960">
        <v>424.72053950122296</v>
      </c>
      <c r="H332" s="2969">
        <v>420.57920689385247</v>
      </c>
      <c r="I332" s="2958">
        <v>425.38770271248217</v>
      </c>
      <c r="J332" s="2969">
        <v>418.60991058648671</v>
      </c>
      <c r="K332" s="2959">
        <v>477.0519014716441</v>
      </c>
      <c r="L332" s="2960">
        <v>423.70048281577027</v>
      </c>
      <c r="M332" s="2969">
        <v>430.11172507036162</v>
      </c>
      <c r="N332" s="2961">
        <v>421.03023632164235</v>
      </c>
    </row>
    <row r="333" spans="1:14" ht="12.75" customHeight="1">
      <c r="A333" s="2967">
        <f t="shared" si="3"/>
        <v>2019.12</v>
      </c>
      <c r="B333" s="2960">
        <v>439.65665080461702</v>
      </c>
      <c r="C333" s="2969">
        <v>437.15824982514192</v>
      </c>
      <c r="D333" s="2958">
        <v>433.01300808603725</v>
      </c>
      <c r="E333" s="2969">
        <v>438.51996080751815</v>
      </c>
      <c r="F333" s="2959">
        <v>470.94135505334111</v>
      </c>
      <c r="G333" s="2960">
        <v>438.35460439798965</v>
      </c>
      <c r="H333" s="2969">
        <v>435.45570006789109</v>
      </c>
      <c r="I333" s="2958">
        <v>441.11877097896178</v>
      </c>
      <c r="J333" s="2969">
        <v>433.13641664659264</v>
      </c>
      <c r="K333" s="2959">
        <v>474.9861977034858</v>
      </c>
      <c r="L333" s="2960">
        <v>438.12157502211488</v>
      </c>
      <c r="M333" s="2969">
        <v>444.48655076254437</v>
      </c>
      <c r="N333" s="2961">
        <v>435.47059827202844</v>
      </c>
    </row>
    <row r="334" spans="1:14" ht="12.75" customHeight="1">
      <c r="A334" s="2967">
        <f t="shared" si="3"/>
        <v>2020.01</v>
      </c>
      <c r="B334" s="2960">
        <v>446.27665728632201</v>
      </c>
      <c r="C334" s="2969">
        <v>444.26859676375631</v>
      </c>
      <c r="D334" s="2958">
        <v>440.40899508231297</v>
      </c>
      <c r="E334" s="2969">
        <v>445.53647505120171</v>
      </c>
      <c r="F334" s="2959">
        <v>471.42137187701309</v>
      </c>
      <c r="G334" s="2960">
        <v>445.83086876933731</v>
      </c>
      <c r="H334" s="2969">
        <v>443.49756689928097</v>
      </c>
      <c r="I334" s="2958">
        <v>452.14519868890312</v>
      </c>
      <c r="J334" s="2969">
        <v>439.9559709422266</v>
      </c>
      <c r="K334" s="2959">
        <v>475.31530682939092</v>
      </c>
      <c r="L334" s="2960">
        <v>446.39866077530991</v>
      </c>
      <c r="M334" s="2969">
        <v>457.09844881682011</v>
      </c>
      <c r="N334" s="2961">
        <v>441.94225897809332</v>
      </c>
    </row>
    <row r="335" spans="1:14" ht="12.75" customHeight="1">
      <c r="A335" s="2967">
        <f t="shared" si="3"/>
        <v>2020.02</v>
      </c>
      <c r="B335" s="2960">
        <v>451.26123606663026</v>
      </c>
      <c r="C335" s="2969">
        <v>449.38051017703134</v>
      </c>
      <c r="D335" s="2958">
        <v>443.3172938390594</v>
      </c>
      <c r="E335" s="2969">
        <v>451.37227538533148</v>
      </c>
      <c r="F335" s="2959">
        <v>474.81148028779688</v>
      </c>
      <c r="G335" s="2960">
        <v>450.87292957295438</v>
      </c>
      <c r="H335" s="2969">
        <v>448.66626298067274</v>
      </c>
      <c r="I335" s="2958">
        <v>454.62814738121494</v>
      </c>
      <c r="J335" s="2969">
        <v>446.22460193368863</v>
      </c>
      <c r="K335" s="2959">
        <v>478.7571589109055</v>
      </c>
      <c r="L335" s="2960">
        <v>451.38824625972376</v>
      </c>
      <c r="M335" s="2969">
        <v>459.09913766599141</v>
      </c>
      <c r="N335" s="2961">
        <v>448.17670317235422</v>
      </c>
    </row>
    <row r="336" spans="1:14" ht="12.75" customHeight="1">
      <c r="A336" s="2967">
        <f t="shared" si="3"/>
        <v>2020.03</v>
      </c>
      <c r="B336" s="2960">
        <v>455.58593620713128</v>
      </c>
      <c r="C336" s="2969">
        <v>453.51142267462058</v>
      </c>
      <c r="D336" s="2958">
        <v>437.5610810806744</v>
      </c>
      <c r="E336" s="2969">
        <v>458.75110631387361</v>
      </c>
      <c r="F336" s="2959">
        <v>481.56276813193767</v>
      </c>
      <c r="G336" s="2960">
        <v>453.94623137339192</v>
      </c>
      <c r="H336" s="2969">
        <v>451.44512766745686</v>
      </c>
      <c r="I336" s="2958">
        <v>447.46013698306882</v>
      </c>
      <c r="J336" s="2969">
        <v>453.07716141266008</v>
      </c>
      <c r="K336" s="2959">
        <v>485.55107352680915</v>
      </c>
      <c r="L336" s="2960">
        <v>452.99814796911949</v>
      </c>
      <c r="M336" s="2969">
        <v>450.67915505146294</v>
      </c>
      <c r="N336" s="2961">
        <v>453.96399553225569</v>
      </c>
    </row>
    <row r="337" spans="1:14" ht="12.75" customHeight="1">
      <c r="A337" s="2967">
        <f t="shared" si="3"/>
        <v>2020.04</v>
      </c>
      <c r="B337" s="2960">
        <v>449.68453200359056</v>
      </c>
      <c r="C337" s="2969">
        <v>445.99592789106731</v>
      </c>
      <c r="D337" s="2958">
        <v>396.16359303623005</v>
      </c>
      <c r="E337" s="2969">
        <v>462.36583872381033</v>
      </c>
      <c r="F337" s="2959">
        <v>495.87282991850475</v>
      </c>
      <c r="G337" s="2960">
        <v>448.50840318683436</v>
      </c>
      <c r="H337" s="2969">
        <v>444.45240537058334</v>
      </c>
      <c r="I337" s="2958">
        <v>414.37910166031355</v>
      </c>
      <c r="J337" s="2969">
        <v>456.76878208812985</v>
      </c>
      <c r="K337" s="2959">
        <v>499.76144417555412</v>
      </c>
      <c r="L337" s="2960">
        <v>446.84813214540725</v>
      </c>
      <c r="M337" s="2969">
        <v>420.72108426281028</v>
      </c>
      <c r="N337" s="2961">
        <v>457.72990126908041</v>
      </c>
    </row>
    <row r="338" spans="1:14" ht="12.75" customHeight="1">
      <c r="A338" s="2967">
        <f t="shared" si="3"/>
        <v>2020.05</v>
      </c>
      <c r="B338" s="2960">
        <v>451.32869372994327</v>
      </c>
      <c r="C338" s="2969">
        <v>446.71642055665876</v>
      </c>
      <c r="D338" s="2958">
        <v>377.16537947110891</v>
      </c>
      <c r="E338" s="2969">
        <v>469.5639219673692</v>
      </c>
      <c r="F338" s="2959">
        <v>509.08307476241401</v>
      </c>
      <c r="G338" s="2960">
        <v>450.99340777707232</v>
      </c>
      <c r="H338" s="2969">
        <v>446.07279230401326</v>
      </c>
      <c r="I338" s="2958">
        <v>398.98415930545957</v>
      </c>
      <c r="J338" s="2969">
        <v>465.35771519482284</v>
      </c>
      <c r="K338" s="2959">
        <v>513.17206712446989</v>
      </c>
      <c r="L338" s="2960">
        <v>448.22057774288493</v>
      </c>
      <c r="M338" s="2969">
        <v>405.23524804420407</v>
      </c>
      <c r="N338" s="2961">
        <v>466.12372683144179</v>
      </c>
    </row>
    <row r="339" spans="1:14" ht="12.75" customHeight="1">
      <c r="A339" s="2967">
        <f t="shared" si="3"/>
        <v>2020.06</v>
      </c>
      <c r="B339" s="2960">
        <v>467.84454369481136</v>
      </c>
      <c r="C339" s="2969">
        <v>463.49294100269816</v>
      </c>
      <c r="D339" s="2958">
        <v>412.09582407094894</v>
      </c>
      <c r="E339" s="2969">
        <v>480.37688239705022</v>
      </c>
      <c r="F339" s="2959">
        <v>522.33483742632689</v>
      </c>
      <c r="G339" s="2960">
        <v>467.79255568290785</v>
      </c>
      <c r="H339" s="2969">
        <v>463.14241856988912</v>
      </c>
      <c r="I339" s="2958">
        <v>431.39618033316248</v>
      </c>
      <c r="J339" s="2969">
        <v>476.14393756678578</v>
      </c>
      <c r="K339" s="2959">
        <v>526.55335360587594</v>
      </c>
      <c r="L339" s="2960">
        <v>465.96775419429196</v>
      </c>
      <c r="M339" s="2969">
        <v>438.33836036560672</v>
      </c>
      <c r="N339" s="2961">
        <v>477.47524199091566</v>
      </c>
    </row>
    <row r="340" spans="1:14" ht="12.75" customHeight="1">
      <c r="A340" s="2967">
        <f t="shared" si="3"/>
        <v>2020.07</v>
      </c>
      <c r="B340" s="2960">
        <v>484.3679825340194</v>
      </c>
      <c r="C340" s="2969">
        <v>479.76788144413121</v>
      </c>
      <c r="D340" s="2958">
        <v>437.4215410363534</v>
      </c>
      <c r="E340" s="2969">
        <v>493.67864477857358</v>
      </c>
      <c r="F340" s="2959">
        <v>541.9699460673512</v>
      </c>
      <c r="G340" s="2960">
        <v>485.81311435731158</v>
      </c>
      <c r="H340" s="2969">
        <v>481.01735534767988</v>
      </c>
      <c r="I340" s="2958">
        <v>459.1008034775636</v>
      </c>
      <c r="J340" s="2969">
        <v>489.99317362765879</v>
      </c>
      <c r="K340" s="2959">
        <v>546.41404271774672</v>
      </c>
      <c r="L340" s="2960">
        <v>484.48425135269042</v>
      </c>
      <c r="M340" s="2969">
        <v>467.57048658492403</v>
      </c>
      <c r="N340" s="2961">
        <v>491.52873965622746</v>
      </c>
    </row>
    <row r="341" spans="1:14" ht="12.75" customHeight="1">
      <c r="A341" s="2967">
        <f t="shared" si="3"/>
        <v>2020.08</v>
      </c>
      <c r="B341" s="2960">
        <v>504.24820429004302</v>
      </c>
      <c r="C341" s="2969">
        <v>499.55315821642387</v>
      </c>
      <c r="D341" s="2958">
        <v>469.77538322452608</v>
      </c>
      <c r="E341" s="2969">
        <v>509.3351506282757</v>
      </c>
      <c r="F341" s="2959">
        <v>563.03905854200457</v>
      </c>
      <c r="G341" s="2960">
        <v>506.95066652047285</v>
      </c>
      <c r="H341" s="2969">
        <v>502.13808520228008</v>
      </c>
      <c r="I341" s="2958">
        <v>491.72247318372536</v>
      </c>
      <c r="J341" s="2969">
        <v>506.40374894844717</v>
      </c>
      <c r="K341" s="2959">
        <v>567.76416759648043</v>
      </c>
      <c r="L341" s="2960">
        <v>506.17520498128169</v>
      </c>
      <c r="M341" s="2969">
        <v>500.43876826383047</v>
      </c>
      <c r="N341" s="2961">
        <v>508.5643987483063</v>
      </c>
    </row>
    <row r="342" spans="1:14" ht="12.75" customHeight="1">
      <c r="A342" s="2967">
        <f t="shared" si="3"/>
        <v>2020.09</v>
      </c>
      <c r="B342" s="2960">
        <v>522.8734298547995</v>
      </c>
      <c r="C342" s="2969">
        <v>518.09236268815687</v>
      </c>
      <c r="D342" s="2958">
        <v>485.01409614679233</v>
      </c>
      <c r="E342" s="2969">
        <v>528.95856583439104</v>
      </c>
      <c r="F342" s="2959">
        <v>582.74143084042339</v>
      </c>
      <c r="G342" s="2960">
        <v>527.40850992059586</v>
      </c>
      <c r="H342" s="2969">
        <v>522.63121838891243</v>
      </c>
      <c r="I342" s="2958">
        <v>516.55322509023608</v>
      </c>
      <c r="J342" s="2969">
        <v>525.12043127601135</v>
      </c>
      <c r="K342" s="2959">
        <v>587.77607661587081</v>
      </c>
      <c r="L342" s="2960">
        <v>528.79060307795282</v>
      </c>
      <c r="M342" s="2969">
        <v>529.38290215625761</v>
      </c>
      <c r="N342" s="2961">
        <v>528.54391382889366</v>
      </c>
    </row>
    <row r="343" spans="1:14" ht="12.75" customHeight="1">
      <c r="A343" s="2967">
        <f t="shared" si="3"/>
        <v>2020.1</v>
      </c>
      <c r="B343" s="2960">
        <v>547.26578034077966</v>
      </c>
      <c r="C343" s="2969">
        <v>541.81265965791772</v>
      </c>
      <c r="D343" s="2958">
        <v>509.11559734075041</v>
      </c>
      <c r="E343" s="2969">
        <v>552.55363730192778</v>
      </c>
      <c r="F343" s="2959">
        <v>615.54916207071062</v>
      </c>
      <c r="G343" s="2960">
        <v>556.25505660745591</v>
      </c>
      <c r="H343" s="2969">
        <v>551.15615057791263</v>
      </c>
      <c r="I343" s="2958">
        <v>556.00189071595139</v>
      </c>
      <c r="J343" s="2969">
        <v>549.1716010388817</v>
      </c>
      <c r="K343" s="2959">
        <v>620.6866592781297</v>
      </c>
      <c r="L343" s="2960">
        <v>560.75876380549539</v>
      </c>
      <c r="M343" s="2969">
        <v>574.43859916902784</v>
      </c>
      <c r="N343" s="2961">
        <v>555.06118898782904</v>
      </c>
    </row>
    <row r="344" spans="1:14" ht="12.75" customHeight="1">
      <c r="A344" s="2967">
        <f t="shared" si="3"/>
        <v>2020.11</v>
      </c>
      <c r="B344" s="2960">
        <v>570.09441534688449</v>
      </c>
      <c r="C344" s="2969">
        <v>563.91181325942716</v>
      </c>
      <c r="D344" s="2958">
        <v>528.53785402362473</v>
      </c>
      <c r="E344" s="2969">
        <v>575.53215094133623</v>
      </c>
      <c r="F344" s="2959">
        <v>647.51228356844251</v>
      </c>
      <c r="G344" s="2960">
        <v>581.40514058350675</v>
      </c>
      <c r="H344" s="2969">
        <v>575.75872395742783</v>
      </c>
      <c r="I344" s="2958">
        <v>582.27774123672089</v>
      </c>
      <c r="J344" s="2969">
        <v>573.08889182280689</v>
      </c>
      <c r="K344" s="2959">
        <v>652.75528323306605</v>
      </c>
      <c r="L344" s="2960">
        <v>587.636548819577</v>
      </c>
      <c r="M344" s="2969">
        <v>603.76589295235931</v>
      </c>
      <c r="N344" s="2961">
        <v>580.91876731751427</v>
      </c>
    </row>
    <row r="345" spans="1:14" ht="12.75" customHeight="1">
      <c r="A345" s="2967">
        <f t="shared" si="3"/>
        <v>2020.12</v>
      </c>
      <c r="B345" s="2960">
        <v>595.18972645761346</v>
      </c>
      <c r="C345" s="2969">
        <v>589.00475177033786</v>
      </c>
      <c r="D345" s="2958">
        <v>566.74305880638951</v>
      </c>
      <c r="E345" s="2969">
        <v>596.31771292030771</v>
      </c>
      <c r="F345" s="2959">
        <v>672.63730411503298</v>
      </c>
      <c r="G345" s="2960">
        <v>607.5133591098562</v>
      </c>
      <c r="H345" s="2969">
        <v>601.93786775904425</v>
      </c>
      <c r="I345" s="2958">
        <v>622.54590903669134</v>
      </c>
      <c r="J345" s="2969">
        <v>593.49794369112522</v>
      </c>
      <c r="K345" s="2959">
        <v>677.96726458052467</v>
      </c>
      <c r="L345" s="2960">
        <v>614.8163762512105</v>
      </c>
      <c r="M345" s="2969">
        <v>645.38121210322151</v>
      </c>
      <c r="N345" s="2961">
        <v>602.08629329123983</v>
      </c>
    </row>
    <row r="346" spans="1:14" ht="12.75" customHeight="1">
      <c r="A346" s="2967">
        <f t="shared" si="3"/>
        <v>2021.01</v>
      </c>
      <c r="B346" s="2960">
        <v>628.266822567963</v>
      </c>
      <c r="C346" s="2969">
        <v>622.37150263884075</v>
      </c>
      <c r="D346" s="2958">
        <v>615.71014359582023</v>
      </c>
      <c r="E346" s="2969">
        <v>624.55975759170929</v>
      </c>
      <c r="F346" s="2959">
        <v>702.08737497302354</v>
      </c>
      <c r="G346" s="2960">
        <v>642.40783358081512</v>
      </c>
      <c r="H346" s="2969">
        <v>637.22528894425307</v>
      </c>
      <c r="I346" s="2958">
        <v>677.03820022086632</v>
      </c>
      <c r="J346" s="2969">
        <v>620.92010284867115</v>
      </c>
      <c r="K346" s="2959">
        <v>707.89632364343311</v>
      </c>
      <c r="L346" s="2960">
        <v>654.39548352390818</v>
      </c>
      <c r="M346" s="2969">
        <v>704.98478059460251</v>
      </c>
      <c r="N346" s="2961">
        <v>633.32532460944026</v>
      </c>
    </row>
    <row r="347" spans="1:14" ht="12.75" customHeight="1">
      <c r="A347" s="2967">
        <f t="shared" si="3"/>
        <v>2021.02</v>
      </c>
      <c r="B347" s="2960">
        <v>666.51491767307868</v>
      </c>
      <c r="C347" s="2969">
        <v>659.50691675789301</v>
      </c>
      <c r="D347" s="2958">
        <v>664.96057838791387</v>
      </c>
      <c r="E347" s="2969">
        <v>657.71539013455731</v>
      </c>
      <c r="F347" s="2959">
        <v>754.26833988491887</v>
      </c>
      <c r="G347" s="2960">
        <v>679.21151895620403</v>
      </c>
      <c r="H347" s="2969">
        <v>672.81390157564522</v>
      </c>
      <c r="I347" s="2958">
        <v>719.27419969039875</v>
      </c>
      <c r="J347" s="2969">
        <v>653.78631021077524</v>
      </c>
      <c r="K347" s="2959">
        <v>760.05410336838611</v>
      </c>
      <c r="L347" s="2960">
        <v>689.30391556411519</v>
      </c>
      <c r="M347" s="2969">
        <v>747.21823290350949</v>
      </c>
      <c r="N347" s="2961">
        <v>665.18292673007716</v>
      </c>
    </row>
    <row r="348" spans="1:14" ht="12.75" customHeight="1">
      <c r="A348" s="2967">
        <f t="shared" si="3"/>
        <v>2021.03</v>
      </c>
      <c r="B348" s="2960">
        <v>692.44856230970277</v>
      </c>
      <c r="C348" s="2969">
        <v>684.47057999028448</v>
      </c>
      <c r="D348" s="2958">
        <v>673.99878340505234</v>
      </c>
      <c r="E348" s="2969">
        <v>687.91056282187776</v>
      </c>
      <c r="F348" s="2959">
        <v>792.34798574690581</v>
      </c>
      <c r="G348" s="2960">
        <v>704.06936842499636</v>
      </c>
      <c r="H348" s="2969">
        <v>696.61406247964896</v>
      </c>
      <c r="I348" s="2958">
        <v>729.10067316505763</v>
      </c>
      <c r="J348" s="2969">
        <v>683.30932751163732</v>
      </c>
      <c r="K348" s="2959">
        <v>798.27728433396362</v>
      </c>
      <c r="L348" s="2960">
        <v>712.37999908252289</v>
      </c>
      <c r="M348" s="2969">
        <v>755.119964950802</v>
      </c>
      <c r="N348" s="2961">
        <v>694.57904265521483</v>
      </c>
    </row>
    <row r="349" spans="1:14" ht="12.75" customHeight="1">
      <c r="A349" s="2967">
        <f t="shared" si="3"/>
        <v>2021.04</v>
      </c>
      <c r="B349" s="2960">
        <v>725.4504887411008</v>
      </c>
      <c r="C349" s="2969">
        <v>718.51591402950487</v>
      </c>
      <c r="D349" s="2958">
        <v>707.33882200796563</v>
      </c>
      <c r="E349" s="2969">
        <v>722.18758625387272</v>
      </c>
      <c r="F349" s="2959">
        <v>812.28447604947257</v>
      </c>
      <c r="G349" s="2960">
        <v>737.53831278346286</v>
      </c>
      <c r="H349" s="2969">
        <v>731.14558119645562</v>
      </c>
      <c r="I349" s="2958">
        <v>765.43596034436712</v>
      </c>
      <c r="J349" s="2969">
        <v>717.10212154061401</v>
      </c>
      <c r="K349" s="2959">
        <v>818.31915855856641</v>
      </c>
      <c r="L349" s="2960">
        <v>748.04408660654792</v>
      </c>
      <c r="M349" s="2969">
        <v>792.37389315888061</v>
      </c>
      <c r="N349" s="2961">
        <v>729.58097043792395</v>
      </c>
    </row>
    <row r="350" spans="1:14" ht="12.75" customHeight="1">
      <c r="A350" s="2967">
        <f t="shared" si="3"/>
        <v>2021.05</v>
      </c>
      <c r="B350" s="2960">
        <v>748.8280032300928</v>
      </c>
      <c r="C350" s="2969">
        <v>742.16961131167648</v>
      </c>
      <c r="D350" s="2958">
        <v>710.87635649471815</v>
      </c>
      <c r="E350" s="2969">
        <v>752.44943850645132</v>
      </c>
      <c r="F350" s="2959">
        <v>832.20365976041501</v>
      </c>
      <c r="G350" s="2960">
        <v>761.61996844445036</v>
      </c>
      <c r="H350" s="2969">
        <v>755.56861714637819</v>
      </c>
      <c r="I350" s="2958">
        <v>775.7452915250044</v>
      </c>
      <c r="J350" s="2969">
        <v>747.30535731471923</v>
      </c>
      <c r="K350" s="2959">
        <v>838.0870106293562</v>
      </c>
      <c r="L350" s="2960">
        <v>773.82089845897337</v>
      </c>
      <c r="M350" s="2969">
        <v>803.12202891949107</v>
      </c>
      <c r="N350" s="2961">
        <v>761.61714171742551</v>
      </c>
    </row>
    <row r="351" spans="1:14" ht="12.75" customHeight="1">
      <c r="A351" s="2967">
        <f t="shared" si="3"/>
        <v>2021.06</v>
      </c>
      <c r="B351" s="2960">
        <v>772.26915003951444</v>
      </c>
      <c r="C351" s="2969">
        <v>765.79645737901308</v>
      </c>
      <c r="D351" s="2958">
        <v>715.81958753957633</v>
      </c>
      <c r="E351" s="2969">
        <v>782.21384792180663</v>
      </c>
      <c r="F351" s="2959">
        <v>853.31950073990879</v>
      </c>
      <c r="G351" s="2960">
        <v>779.53294414463824</v>
      </c>
      <c r="H351" s="2969">
        <v>773.1850401937736</v>
      </c>
      <c r="I351" s="2958">
        <v>766.55401057146128</v>
      </c>
      <c r="J351" s="2969">
        <v>775.90074644409162</v>
      </c>
      <c r="K351" s="2959">
        <v>859.7473318552295</v>
      </c>
      <c r="L351" s="2960">
        <v>787.29168591791267</v>
      </c>
      <c r="M351" s="2969">
        <v>788.89658915357359</v>
      </c>
      <c r="N351" s="2961">
        <v>786.62325270820656</v>
      </c>
    </row>
    <row r="352" spans="1:14" ht="12.75" customHeight="1">
      <c r="A352" s="2967">
        <f t="shared" si="3"/>
        <v>2021.07</v>
      </c>
      <c r="B352" s="2960">
        <v>789.53998595621761</v>
      </c>
      <c r="C352" s="2969">
        <v>783.33402670842622</v>
      </c>
      <c r="D352" s="2958">
        <v>730.3466150553146</v>
      </c>
      <c r="E352" s="2969">
        <v>800.74037956237112</v>
      </c>
      <c r="F352" s="2959">
        <v>867.25032998897507</v>
      </c>
      <c r="G352" s="2960">
        <v>796.28470555776255</v>
      </c>
      <c r="H352" s="2969">
        <v>790.15863859747139</v>
      </c>
      <c r="I352" s="2958">
        <v>776.9296472561241</v>
      </c>
      <c r="J352" s="2969">
        <v>795.57650829755448</v>
      </c>
      <c r="K352" s="2959">
        <v>873.6958816085413</v>
      </c>
      <c r="L352" s="2960">
        <v>803.25869656683687</v>
      </c>
      <c r="M352" s="2969">
        <v>797.48722131858301</v>
      </c>
      <c r="N352" s="2961">
        <v>805.66248368571416</v>
      </c>
    </row>
    <row r="353" spans="1:14" ht="12.75" customHeight="1">
      <c r="A353" s="2967">
        <f t="shared" si="3"/>
        <v>2021.08</v>
      </c>
      <c r="B353" s="2960">
        <v>809.37168740717391</v>
      </c>
      <c r="C353" s="2969">
        <v>803.82822826020595</v>
      </c>
      <c r="D353" s="2958">
        <v>736.60639301524031</v>
      </c>
      <c r="E353" s="2969">
        <v>825.91058607424179</v>
      </c>
      <c r="F353" s="2959">
        <v>878.78627752001353</v>
      </c>
      <c r="G353" s="2960">
        <v>818.28486309843299</v>
      </c>
      <c r="H353" s="2969">
        <v>812.97735593884443</v>
      </c>
      <c r="I353" s="2958">
        <v>790.75150796870423</v>
      </c>
      <c r="J353" s="2969">
        <v>822.07984494718528</v>
      </c>
      <c r="K353" s="2959">
        <v>885.35242435507564</v>
      </c>
      <c r="L353" s="2960">
        <v>825.54141864818564</v>
      </c>
      <c r="M353" s="2969">
        <v>811.17439204059735</v>
      </c>
      <c r="N353" s="2961">
        <v>831.52520477051917</v>
      </c>
    </row>
    <row r="354" spans="1:14" ht="12.75" customHeight="1">
      <c r="A354" s="2967">
        <f t="shared" si="3"/>
        <v>2021.09</v>
      </c>
      <c r="B354" s="2960">
        <v>831.99366997019149</v>
      </c>
      <c r="C354" s="2969">
        <v>825.97348405443506</v>
      </c>
      <c r="D354" s="2958">
        <v>762.00998916088747</v>
      </c>
      <c r="E354" s="2969">
        <v>846.98547779320074</v>
      </c>
      <c r="F354" s="2959">
        <v>907.37778062498001</v>
      </c>
      <c r="G354" s="2960">
        <v>841.80746534990362</v>
      </c>
      <c r="H354" s="2969">
        <v>836.08630822480734</v>
      </c>
      <c r="I354" s="2958">
        <v>819.36791468537513</v>
      </c>
      <c r="J354" s="2969">
        <v>842.93324579201578</v>
      </c>
      <c r="K354" s="2959">
        <v>914.10205571198674</v>
      </c>
      <c r="L354" s="2960">
        <v>848.94403751862149</v>
      </c>
      <c r="M354" s="2969">
        <v>840.52051578405928</v>
      </c>
      <c r="N354" s="2961">
        <v>852.45238714677771</v>
      </c>
    </row>
    <row r="355" spans="1:14" ht="12.75" customHeight="1">
      <c r="A355" s="2967">
        <f t="shared" si="3"/>
        <v>2021.1</v>
      </c>
      <c r="B355" s="2960">
        <v>855.68247177400372</v>
      </c>
      <c r="C355" s="2969">
        <v>849.865058428922</v>
      </c>
      <c r="D355" s="2958">
        <v>782.98436019748112</v>
      </c>
      <c r="E355" s="2969">
        <v>871.83535281046102</v>
      </c>
      <c r="F355" s="2959">
        <v>928.52748644082646</v>
      </c>
      <c r="G355" s="2960">
        <v>865.82797072062169</v>
      </c>
      <c r="H355" s="2969">
        <v>860.31897274609639</v>
      </c>
      <c r="I355" s="2958">
        <v>839.56990785475182</v>
      </c>
      <c r="J355" s="2969">
        <v>868.81665235591663</v>
      </c>
      <c r="K355" s="2959">
        <v>935.44164207511005</v>
      </c>
      <c r="L355" s="2960">
        <v>872.75149864570108</v>
      </c>
      <c r="M355" s="2969">
        <v>859.57244865085397</v>
      </c>
      <c r="N355" s="2961">
        <v>878.24049916185879</v>
      </c>
    </row>
    <row r="356" spans="1:14" ht="12.75" customHeight="1">
      <c r="A356" s="2967">
        <f t="shared" si="3"/>
        <v>2021.11</v>
      </c>
      <c r="B356" s="2960">
        <v>880.88864612376449</v>
      </c>
      <c r="C356" s="2969">
        <v>874.5455766038956</v>
      </c>
      <c r="D356" s="2958">
        <v>807.2213809533074</v>
      </c>
      <c r="E356" s="2969">
        <v>896.66155978824008</v>
      </c>
      <c r="F356" s="2959">
        <v>960.31587001153673</v>
      </c>
      <c r="G356" s="2960">
        <v>892.36475420031934</v>
      </c>
      <c r="H356" s="2969">
        <v>886.44193049847172</v>
      </c>
      <c r="I356" s="2958">
        <v>865.14303045516408</v>
      </c>
      <c r="J356" s="2969">
        <v>895.16479244706557</v>
      </c>
      <c r="K356" s="2959">
        <v>967.20767564948528</v>
      </c>
      <c r="L356" s="2960">
        <v>898.59622753081658</v>
      </c>
      <c r="M356" s="2969">
        <v>884.24356981194933</v>
      </c>
      <c r="N356" s="2961">
        <v>904.57402909146799</v>
      </c>
    </row>
    <row r="357" spans="1:14" ht="12.75" customHeight="1">
      <c r="A357" s="2967">
        <f t="shared" si="3"/>
        <v>2021.12</v>
      </c>
      <c r="B357" s="2960">
        <v>900.78036666067555</v>
      </c>
      <c r="C357" s="2969">
        <v>895.06855819524549</v>
      </c>
      <c r="D357" s="2958">
        <v>821.87023154498604</v>
      </c>
      <c r="E357" s="2969">
        <v>919.11419209663109</v>
      </c>
      <c r="F357" s="2959">
        <v>972.30300855616792</v>
      </c>
      <c r="G357" s="2960">
        <v>914.38375270703125</v>
      </c>
      <c r="H357" s="2969">
        <v>909.22945580843873</v>
      </c>
      <c r="I357" s="2958">
        <v>888.18631468909348</v>
      </c>
      <c r="J357" s="2969">
        <v>917.84757292132235</v>
      </c>
      <c r="K357" s="2959">
        <v>979.5152942362231</v>
      </c>
      <c r="L357" s="2960">
        <v>922.05852689647156</v>
      </c>
      <c r="M357" s="2969">
        <v>909.97182662658429</v>
      </c>
      <c r="N357" s="2961">
        <v>927.09256986967489</v>
      </c>
    </row>
    <row r="358" spans="1:14" ht="12.75" customHeight="1">
      <c r="A358" s="2967">
        <f t="shared" si="3"/>
        <v>2022.01</v>
      </c>
      <c r="B358" s="2964">
        <v>934.33619002336945</v>
      </c>
      <c r="C358" s="2970">
        <v>929.60833172378148</v>
      </c>
      <c r="D358" s="2962">
        <v>882.61412524756963</v>
      </c>
      <c r="E358" s="2970">
        <v>945.04591802014909</v>
      </c>
      <c r="F358" s="2963">
        <v>993.53791538595704</v>
      </c>
      <c r="G358" s="2964">
        <v>952.19962997111077</v>
      </c>
      <c r="H358" s="2970">
        <v>948.32080626844231</v>
      </c>
      <c r="I358" s="2962">
        <v>956.01739725910988</v>
      </c>
      <c r="J358" s="2970">
        <v>945.1687044908964</v>
      </c>
      <c r="K358" s="2963">
        <v>1001.2138354088413</v>
      </c>
      <c r="L358" s="2964">
        <v>963.5584122962124</v>
      </c>
      <c r="M358" s="2970">
        <v>981.99360047185155</v>
      </c>
      <c r="N358" s="2965">
        <v>955.88025966372845</v>
      </c>
    </row>
    <row r="359" spans="1:14" ht="12.75" customHeight="1">
      <c r="A359" s="2967">
        <f t="shared" si="3"/>
        <v>2022.02</v>
      </c>
      <c r="B359" s="2964">
        <v>978.60325697028588</v>
      </c>
      <c r="C359" s="2970">
        <v>975.1494866279055</v>
      </c>
      <c r="D359" s="2962">
        <v>928.65143067398162</v>
      </c>
      <c r="E359" s="2970">
        <v>990.42408758888519</v>
      </c>
      <c r="F359" s="2963">
        <v>1021.8509920584715</v>
      </c>
      <c r="G359" s="2964">
        <v>999.59354108728155</v>
      </c>
      <c r="H359" s="2970">
        <v>997.21430435946468</v>
      </c>
      <c r="I359" s="2962">
        <v>1014.5281535663448</v>
      </c>
      <c r="J359" s="2970">
        <v>990.12350079105715</v>
      </c>
      <c r="K359" s="2963">
        <v>1029.6584284607004</v>
      </c>
      <c r="L359" s="2964">
        <v>1014.9647548921288</v>
      </c>
      <c r="M359" s="2970">
        <v>1042.5985153138427</v>
      </c>
      <c r="N359" s="2965">
        <v>1003.455448433962</v>
      </c>
    </row>
    <row r="360" spans="1:14" ht="12.75" customHeight="1">
      <c r="A360" s="2967">
        <f t="shared" si="3"/>
        <v>2022.03</v>
      </c>
      <c r="B360" s="2964">
        <v>1040.5419938330967</v>
      </c>
      <c r="C360" s="2970">
        <v>1037.6018934472129</v>
      </c>
      <c r="D360" s="2962">
        <v>991.92654652707608</v>
      </c>
      <c r="E360" s="2970">
        <v>1052.6062346749568</v>
      </c>
      <c r="F360" s="2963">
        <v>1077.3576098169199</v>
      </c>
      <c r="G360" s="2964">
        <v>1069.3663744617529</v>
      </c>
      <c r="H360" s="2970">
        <v>1068.0985079346738</v>
      </c>
      <c r="I360" s="2962">
        <v>1109.3959130422481</v>
      </c>
      <c r="J360" s="2970">
        <v>1051.1853545391546</v>
      </c>
      <c r="K360" s="2963">
        <v>1085.3875899614152</v>
      </c>
      <c r="L360" s="2964">
        <v>1097.2172689881286</v>
      </c>
      <c r="M360" s="2970">
        <v>1148.8982581276482</v>
      </c>
      <c r="N360" s="2965">
        <v>1075.6924264408024</v>
      </c>
    </row>
    <row r="361" spans="1:14" ht="12.75" customHeight="1">
      <c r="A361" s="2967">
        <f t="shared" si="3"/>
        <v>2022.04</v>
      </c>
      <c r="B361" s="2964">
        <v>1101.9533166314045</v>
      </c>
      <c r="C361" s="2970">
        <v>1098.2628470673901</v>
      </c>
      <c r="D361" s="2962">
        <v>1041.3154383892845</v>
      </c>
      <c r="E361" s="2970">
        <v>1116.970058056638</v>
      </c>
      <c r="F361" s="2963">
        <v>1148.1649735262049</v>
      </c>
      <c r="G361" s="2964">
        <v>1129.8899093707705</v>
      </c>
      <c r="H361" s="2970">
        <v>1127.7731567293354</v>
      </c>
      <c r="I361" s="2962">
        <v>1156.2214941257721</v>
      </c>
      <c r="J361" s="2970">
        <v>1116.1222771406538</v>
      </c>
      <c r="K361" s="2963">
        <v>1156.6379538247108</v>
      </c>
      <c r="L361" s="2964">
        <v>1154.7802413595289</v>
      </c>
      <c r="M361" s="2970">
        <v>1193.7640242904536</v>
      </c>
      <c r="N361" s="2965">
        <v>1138.5437140898589</v>
      </c>
    </row>
    <row r="362" spans="1:14" ht="12.75" customHeight="1">
      <c r="A362" s="2967">
        <f t="shared" si="3"/>
        <v>2022.05</v>
      </c>
      <c r="B362" s="2960">
        <v>1158.9222798841117</v>
      </c>
      <c r="C362" s="2969">
        <v>1155.4697494285519</v>
      </c>
      <c r="D362" s="2958">
        <v>1079.7412232143154</v>
      </c>
      <c r="E362" s="2969">
        <v>1180.3465533197041</v>
      </c>
      <c r="F362" s="2959">
        <v>1202.1544892449222</v>
      </c>
      <c r="G362" s="2960">
        <v>1187.8374143095784</v>
      </c>
      <c r="H362" s="2969">
        <v>1186.0230432330081</v>
      </c>
      <c r="I362" s="2958">
        <v>1200.4950276717102</v>
      </c>
      <c r="J362" s="2969">
        <v>1180.0961116955036</v>
      </c>
      <c r="K362" s="2959">
        <v>1210.7644570173675</v>
      </c>
      <c r="L362" s="2960">
        <v>1213.0152279005529</v>
      </c>
      <c r="M362" s="2969">
        <v>1242.7700163549944</v>
      </c>
      <c r="N362" s="2961">
        <v>1200.6225251451574</v>
      </c>
    </row>
    <row r="363" spans="1:14" ht="12.75" customHeight="1">
      <c r="A363" s="2967">
        <f t="shared" si="3"/>
        <v>2022.06</v>
      </c>
      <c r="B363" s="2960">
        <v>1214.824148470205</v>
      </c>
      <c r="C363" s="2969">
        <v>1213.4015548146576</v>
      </c>
      <c r="D363" s="2958">
        <v>1116.7303446830331</v>
      </c>
      <c r="E363" s="2969">
        <v>1245.1580256795653</v>
      </c>
      <c r="F363" s="2959">
        <v>1232.6377108829495</v>
      </c>
      <c r="G363" s="2960">
        <v>1238.6456594033577</v>
      </c>
      <c r="H363" s="2969">
        <v>1238.4712184262703</v>
      </c>
      <c r="I363" s="2958">
        <v>1226.7118191168281</v>
      </c>
      <c r="J363" s="2969">
        <v>1243.2872237864601</v>
      </c>
      <c r="K363" s="2959">
        <v>1240.8499580626346</v>
      </c>
      <c r="L363" s="2960">
        <v>1262.6658880123737</v>
      </c>
      <c r="M363" s="2969">
        <v>1264.6875092968894</v>
      </c>
      <c r="N363" s="2961">
        <v>1261.8238940690667</v>
      </c>
    </row>
    <row r="364" spans="1:14" ht="12.75" customHeight="1">
      <c r="A364" s="2967">
        <f t="shared" si="3"/>
        <v>2022.07</v>
      </c>
      <c r="B364" s="2960">
        <v>1300.837282675061</v>
      </c>
      <c r="C364" s="2969">
        <v>1297.8250637795456</v>
      </c>
      <c r="D364" s="2958">
        <v>1160.0185074340354</v>
      </c>
      <c r="E364" s="2969">
        <v>1343.0944866575771</v>
      </c>
      <c r="F364" s="2959">
        <v>1338.5559587614139</v>
      </c>
      <c r="G364" s="2960">
        <v>1321.0462357745425</v>
      </c>
      <c r="H364" s="2969">
        <v>1318.9442507538122</v>
      </c>
      <c r="I364" s="2958">
        <v>1256.3184191316986</v>
      </c>
      <c r="J364" s="2969">
        <v>1344.5923585220405</v>
      </c>
      <c r="K364" s="2959">
        <v>1347.6076712844865</v>
      </c>
      <c r="L364" s="2960">
        <v>1336.7336042192569</v>
      </c>
      <c r="M364" s="2969">
        <v>1287.4210446008026</v>
      </c>
      <c r="N364" s="2961">
        <v>1357.272009134984</v>
      </c>
    </row>
    <row r="365" spans="1:14" ht="12.75" customHeight="1">
      <c r="A365" s="2967">
        <f t="shared" si="3"/>
        <v>2022.08</v>
      </c>
      <c r="B365" s="2960">
        <v>1407.1975423211811</v>
      </c>
      <c r="C365" s="2969">
        <v>1402.9584585535881</v>
      </c>
      <c r="D365" s="2958">
        <v>1269.8667865393272</v>
      </c>
      <c r="E365" s="2969">
        <v>1446.6790429853759</v>
      </c>
      <c r="F365" s="2959">
        <v>1460.2788863665244</v>
      </c>
      <c r="G365" s="2960">
        <v>1427.6418210270672</v>
      </c>
      <c r="H365" s="2969">
        <v>1424.3418966071533</v>
      </c>
      <c r="I365" s="2958">
        <v>1360.141844610197</v>
      </c>
      <c r="J365" s="2969">
        <v>1450.6347187492931</v>
      </c>
      <c r="K365" s="2959">
        <v>1469.3408478055139</v>
      </c>
      <c r="L365" s="2960">
        <v>1441.3368187760238</v>
      </c>
      <c r="M365" s="2969">
        <v>1389.1158911672121</v>
      </c>
      <c r="N365" s="2961">
        <v>1463.0865426719879</v>
      </c>
    </row>
    <row r="366" spans="1:14" ht="12.75" customHeight="1">
      <c r="A366" s="2967">
        <f t="shared" si="3"/>
        <v>2022.09</v>
      </c>
      <c r="B366" s="2960">
        <v>1484.3423363897232</v>
      </c>
      <c r="C366" s="2969">
        <v>1478.9880165831412</v>
      </c>
      <c r="D366" s="2958">
        <v>1327.5318713723707</v>
      </c>
      <c r="E366" s="2969">
        <v>1528.7413263446349</v>
      </c>
      <c r="F366" s="2959">
        <v>1551.3885443355894</v>
      </c>
      <c r="G366" s="2960">
        <v>1511.3596056641532</v>
      </c>
      <c r="H366" s="2969">
        <v>1507.470147296088</v>
      </c>
      <c r="I366" s="2958">
        <v>1453.7982438089962</v>
      </c>
      <c r="J366" s="2969">
        <v>1529.451216913963</v>
      </c>
      <c r="K366" s="2959">
        <v>1560.5081945424067</v>
      </c>
      <c r="L366" s="2960">
        <v>1533.3595334397949</v>
      </c>
      <c r="M366" s="2969">
        <v>1497.9758047679736</v>
      </c>
      <c r="N366" s="2961">
        <v>1548.0966582719461</v>
      </c>
    </row>
    <row r="367" spans="1:14" ht="12.75" customHeight="1">
      <c r="A367" s="2967">
        <f t="shared" si="3"/>
        <v>2022.1</v>
      </c>
      <c r="B367" s="2960">
        <v>1555.2267205418964</v>
      </c>
      <c r="C367" s="2969">
        <v>1547.4145171249793</v>
      </c>
      <c r="D367" s="2958">
        <v>1354.5947046006909</v>
      </c>
      <c r="E367" s="2969">
        <v>1610.7557823296602</v>
      </c>
      <c r="F367" s="2959">
        <v>1653.0502786644602</v>
      </c>
      <c r="G367" s="2960">
        <v>1580.4097389919891</v>
      </c>
      <c r="H367" s="2969">
        <v>1573.8796766483338</v>
      </c>
      <c r="I367" s="2958">
        <v>1476.9220181041285</v>
      </c>
      <c r="J367" s="2969">
        <v>1613.5882188087326</v>
      </c>
      <c r="K367" s="2959">
        <v>1662.9259453905711</v>
      </c>
      <c r="L367" s="2960">
        <v>1594.5121482181569</v>
      </c>
      <c r="M367" s="2969">
        <v>1524.5582297124975</v>
      </c>
      <c r="N367" s="2961">
        <v>1623.6475635125062</v>
      </c>
    </row>
    <row r="368" spans="1:14" ht="12.75" customHeight="1">
      <c r="A368" s="2967">
        <f t="shared" si="3"/>
        <v>2022.11</v>
      </c>
      <c r="B368" s="2960">
        <v>1653.1188909161824</v>
      </c>
      <c r="C368" s="2969">
        <v>1642.2902154472806</v>
      </c>
      <c r="D368" s="2958">
        <v>1427.4258420639596</v>
      </c>
      <c r="E368" s="2969">
        <v>1712.8731139541248</v>
      </c>
      <c r="F368" s="2959">
        <v>1788.7143826859628</v>
      </c>
      <c r="G368" s="2960">
        <v>1686.0822234794844</v>
      </c>
      <c r="H368" s="2969">
        <v>1677.1294779621057</v>
      </c>
      <c r="I368" s="2958">
        <v>1592.075852278042</v>
      </c>
      <c r="J368" s="2969">
        <v>1711.9627807881093</v>
      </c>
      <c r="K368" s="2959">
        <v>1799.2123221015909</v>
      </c>
      <c r="L368" s="2960">
        <v>1704.7884832707687</v>
      </c>
      <c r="M368" s="2969">
        <v>1658.1690909246313</v>
      </c>
      <c r="N368" s="2961">
        <v>1724.2051991001335</v>
      </c>
    </row>
    <row r="369" spans="1:14" ht="12.75" customHeight="1">
      <c r="A369" s="2967">
        <f t="shared" si="3"/>
        <v>2022.12</v>
      </c>
      <c r="B369" s="2960">
        <v>1754.575551529618</v>
      </c>
      <c r="C369" s="2969">
        <v>1740.4499998750259</v>
      </c>
      <c r="D369" s="2958">
        <v>1551.0824497223859</v>
      </c>
      <c r="E369" s="2969">
        <v>1802.6571976642483</v>
      </c>
      <c r="F369" s="2959">
        <v>1931.4541668897721</v>
      </c>
      <c r="G369" s="2960">
        <v>1801.7500095134662</v>
      </c>
      <c r="H369" s="2969">
        <v>1790.6163024739676</v>
      </c>
      <c r="I369" s="2958">
        <v>1756.6655818327824</v>
      </c>
      <c r="J369" s="2969">
        <v>1804.520656624004</v>
      </c>
      <c r="K369" s="2959">
        <v>1942.4395190011746</v>
      </c>
      <c r="L369" s="2960">
        <v>1827.8979255324616</v>
      </c>
      <c r="M369" s="2969">
        <v>1841.8318197334847</v>
      </c>
      <c r="N369" s="2961">
        <v>1822.0945366317872</v>
      </c>
    </row>
    <row r="370" spans="1:14" ht="12.75" customHeight="1">
      <c r="A370" s="2967">
        <f t="shared" si="3"/>
        <v>2023.01</v>
      </c>
      <c r="B370" s="2960">
        <v>1868.3020153484315</v>
      </c>
      <c r="C370" s="2969">
        <v>1850.1096898708565</v>
      </c>
      <c r="D370" s="2958">
        <v>1709.399603254496</v>
      </c>
      <c r="E370" s="2969">
        <v>1896.3329217922017</v>
      </c>
      <c r="F370" s="2959">
        <v>2096.1043284431194</v>
      </c>
      <c r="G370" s="2960">
        <v>1920.9732375681815</v>
      </c>
      <c r="H370" s="2969">
        <v>1906.3401783530587</v>
      </c>
      <c r="I370" s="2958">
        <v>1929.7269997959684</v>
      </c>
      <c r="J370" s="2969">
        <v>1896.7622182495852</v>
      </c>
      <c r="K370" s="2959">
        <v>2105.8818143770623</v>
      </c>
      <c r="L370" s="2960">
        <v>1948.4094914245704</v>
      </c>
      <c r="M370" s="2969">
        <v>2029.5723562137082</v>
      </c>
      <c r="N370" s="2961">
        <v>1914.6056127766647</v>
      </c>
    </row>
    <row r="371" spans="1:14" ht="12.75" customHeight="1">
      <c r="A371" s="2967">
        <f t="shared" si="3"/>
        <v>2023.02</v>
      </c>
      <c r="B371" s="2960">
        <v>1999.6036244611848</v>
      </c>
      <c r="C371" s="2969">
        <v>1976.4327932584047</v>
      </c>
      <c r="D371" s="2958">
        <v>1859.736875587867</v>
      </c>
      <c r="E371" s="2969">
        <v>2014.7673760624514</v>
      </c>
      <c r="F371" s="2959">
        <v>2289.7462426122411</v>
      </c>
      <c r="G371" s="2960">
        <v>2052.8135875395778</v>
      </c>
      <c r="H371" s="2969">
        <v>2033.0768702842352</v>
      </c>
      <c r="I371" s="2958">
        <v>2067.8023106223845</v>
      </c>
      <c r="J371" s="2969">
        <v>2018.8552334129602</v>
      </c>
      <c r="K371" s="2959">
        <v>2302.2138151279128</v>
      </c>
      <c r="L371" s="2960">
        <v>2073.4380892348836</v>
      </c>
      <c r="M371" s="2969">
        <v>2164.5102574156208</v>
      </c>
      <c r="N371" s="2961">
        <v>2035.5070412194941</v>
      </c>
    </row>
    <row r="372" spans="1:14" ht="12.75" customHeight="1">
      <c r="A372" s="2967">
        <f t="shared" si="3"/>
        <v>2023.03</v>
      </c>
      <c r="B372" s="2960">
        <v>2100.7589759647108</v>
      </c>
      <c r="C372" s="2969">
        <v>2073.0318711318423</v>
      </c>
      <c r="D372" s="2958">
        <v>1886.8124165436132</v>
      </c>
      <c r="E372" s="2969">
        <v>2134.2049202336211</v>
      </c>
      <c r="F372" s="2959">
        <v>2447.9547549832887</v>
      </c>
      <c r="G372" s="2960">
        <v>2136.7183626392271</v>
      </c>
      <c r="H372" s="2969">
        <v>2111.0276119270666</v>
      </c>
      <c r="I372" s="2958">
        <v>2054.8146596509405</v>
      </c>
      <c r="J372" s="2969">
        <v>2134.0493558401572</v>
      </c>
      <c r="K372" s="2959">
        <v>2461.355889317811</v>
      </c>
      <c r="L372" s="2960">
        <v>2145.581512783288</v>
      </c>
      <c r="M372" s="2969">
        <v>2137.8775217823386</v>
      </c>
      <c r="N372" s="2961">
        <v>2148.7901818904866</v>
      </c>
    </row>
    <row r="373" spans="1:14" ht="12.75" customHeight="1">
      <c r="A373" s="2967">
        <f t="shared" si="3"/>
        <v>2023.04</v>
      </c>
      <c r="B373" s="2960">
        <v>2246.4106498914862</v>
      </c>
      <c r="C373" s="2969">
        <v>2212.3793800169187</v>
      </c>
      <c r="D373" s="2958">
        <v>2035.2714541008029</v>
      </c>
      <c r="E373" s="2969">
        <v>2270.5592939917374</v>
      </c>
      <c r="F373" s="2959">
        <v>2672.5464951704112</v>
      </c>
      <c r="G373" s="2960">
        <v>2288.1823221833511</v>
      </c>
      <c r="H373" s="2969">
        <v>2256.6828804514307</v>
      </c>
      <c r="I373" s="2958">
        <v>2209.9358279178596</v>
      </c>
      <c r="J373" s="2969">
        <v>2275.8279107076846</v>
      </c>
      <c r="K373" s="2959">
        <v>2686.2205488657282</v>
      </c>
      <c r="L373" s="2960">
        <v>2293.1948969571858</v>
      </c>
      <c r="M373" s="2969">
        <v>2292.5472293723192</v>
      </c>
      <c r="N373" s="2961">
        <v>2293.4646468791466</v>
      </c>
    </row>
    <row r="374" spans="1:14" ht="12.75" customHeight="1">
      <c r="A374" s="2967">
        <f t="shared" si="3"/>
        <v>2023.05</v>
      </c>
      <c r="B374" s="2960">
        <v>2405.5159024875934</v>
      </c>
      <c r="C374" s="2969">
        <v>2365.9473538148623</v>
      </c>
      <c r="D374" s="2958">
        <v>2126.8189856892986</v>
      </c>
      <c r="E374" s="2969">
        <v>2444.5009691571454</v>
      </c>
      <c r="F374" s="2959">
        <v>2900.9889482265094</v>
      </c>
      <c r="G374" s="2960">
        <v>2446.4999204810465</v>
      </c>
      <c r="H374" s="2969">
        <v>2409.3967838291928</v>
      </c>
      <c r="I374" s="2958">
        <v>2307.4151872937127</v>
      </c>
      <c r="J374" s="2969">
        <v>2451.1628556013156</v>
      </c>
      <c r="K374" s="2959">
        <v>2915.3484430341514</v>
      </c>
      <c r="L374" s="2960">
        <v>2448.5825560430108</v>
      </c>
      <c r="M374" s="2969">
        <v>2400.6155918559903</v>
      </c>
      <c r="N374" s="2961">
        <v>2468.560527997291</v>
      </c>
    </row>
    <row r="375" spans="1:14" ht="12.75" customHeight="1">
      <c r="A375" s="2967">
        <f t="shared" si="3"/>
        <v>2023.06</v>
      </c>
      <c r="B375" s="2960">
        <v>2585.6667905268096</v>
      </c>
      <c r="C375" s="2969">
        <v>2538.0486039661923</v>
      </c>
      <c r="D375" s="2958">
        <v>2254.7631143210347</v>
      </c>
      <c r="E375" s="2969">
        <v>2631.1078238323653</v>
      </c>
      <c r="F375" s="2959">
        <v>3181.9365229067594</v>
      </c>
      <c r="G375" s="2960">
        <v>2624.4599665117889</v>
      </c>
      <c r="H375" s="2969">
        <v>2579.1221948783736</v>
      </c>
      <c r="I375" s="2958">
        <v>2421.4570690015848</v>
      </c>
      <c r="J375" s="2969">
        <v>2643.693187950043</v>
      </c>
      <c r="K375" s="2959">
        <v>3197.3642857781688</v>
      </c>
      <c r="L375" s="2960">
        <v>2609.1635302293735</v>
      </c>
      <c r="M375" s="2969">
        <v>2504.9749613044423</v>
      </c>
      <c r="N375" s="2961">
        <v>2652.5574856988783</v>
      </c>
    </row>
    <row r="376" spans="1:14" ht="12.75" customHeight="1">
      <c r="A376" s="2967">
        <f t="shared" si="3"/>
        <v>2023.07</v>
      </c>
      <c r="B376" s="2960">
        <v>2767.1062720711398</v>
      </c>
      <c r="C376" s="2969">
        <v>2714.5016254087745</v>
      </c>
      <c r="D376" s="2958">
        <v>2411.5471379912647</v>
      </c>
      <c r="E376" s="2969">
        <v>2814.0221066354829</v>
      </c>
      <c r="F376" s="2959">
        <v>3425.8159133419422</v>
      </c>
      <c r="G376" s="2960">
        <v>2799.5345274863125</v>
      </c>
      <c r="H376" s="2969">
        <v>2748.6387172242489</v>
      </c>
      <c r="I376" s="2958">
        <v>2567.1875141087958</v>
      </c>
      <c r="J376" s="2969">
        <v>2822.9511836879478</v>
      </c>
      <c r="K376" s="2959">
        <v>3442.6722133757603</v>
      </c>
      <c r="L376" s="2960">
        <v>2776.9972224760068</v>
      </c>
      <c r="M376" s="2969">
        <v>2644.9222781193689</v>
      </c>
      <c r="N376" s="2961">
        <v>2832.0056971406193</v>
      </c>
    </row>
    <row r="377" spans="1:14" ht="12.75" customHeight="1">
      <c r="A377" s="2967">
        <f t="shared" si="3"/>
        <v>2023.08</v>
      </c>
      <c r="B377" s="2960">
        <v>3284.8642607873348</v>
      </c>
      <c r="C377" s="2969">
        <v>3190.9667934532522</v>
      </c>
      <c r="D377" s="2958">
        <v>2887.134976512727</v>
      </c>
      <c r="E377" s="2969">
        <v>3290.7754772316671</v>
      </c>
      <c r="F377" s="2959">
        <v>4460.6380934841154</v>
      </c>
      <c r="G377" s="2960">
        <v>3331.3114831017506</v>
      </c>
      <c r="H377" s="2969">
        <v>3239.9231829026012</v>
      </c>
      <c r="I377" s="2958">
        <v>3045.5740760558033</v>
      </c>
      <c r="J377" s="2969">
        <v>3319.5179237300472</v>
      </c>
      <c r="K377" s="2959">
        <v>4486.1267734925041</v>
      </c>
      <c r="L377" s="2960">
        <v>3274.119745282359</v>
      </c>
      <c r="M377" s="2969">
        <v>3114.2771130535675</v>
      </c>
      <c r="N377" s="2961">
        <v>3340.6933064382119</v>
      </c>
    </row>
    <row r="378" spans="1:14" ht="12.75" customHeight="1">
      <c r="A378" s="2967">
        <f t="shared" si="3"/>
        <v>2023.09</v>
      </c>
      <c r="B378" s="2960">
        <v>3587.4863773313264</v>
      </c>
      <c r="C378" s="2969">
        <v>3498.7044056396621</v>
      </c>
      <c r="D378" s="2958">
        <v>3105.6324181232876</v>
      </c>
      <c r="E378" s="2969">
        <v>3627.828465454158</v>
      </c>
      <c r="F378" s="2959">
        <v>4699.2045321872074</v>
      </c>
      <c r="G378" s="2960">
        <v>3660.6599463781426</v>
      </c>
      <c r="H378" s="2969">
        <v>3576.3504651806793</v>
      </c>
      <c r="I378" s="2958">
        <v>3377.8028383636506</v>
      </c>
      <c r="J378" s="2969">
        <v>3657.6646896441007</v>
      </c>
      <c r="K378" s="2959">
        <v>4726.02474471197</v>
      </c>
      <c r="L378" s="2960">
        <v>3624.9112722257123</v>
      </c>
      <c r="M378" s="2969">
        <v>3490.9465046311839</v>
      </c>
      <c r="N378" s="2961">
        <v>3680.706847685321</v>
      </c>
    </row>
    <row r="379" spans="1:14" ht="12.75" customHeight="1">
      <c r="A379" s="2967">
        <f t="shared" si="3"/>
        <v>2023.1</v>
      </c>
      <c r="B379" s="2960">
        <v>3858.6827796859102</v>
      </c>
      <c r="C379" s="2969">
        <v>3756.6143075641335</v>
      </c>
      <c r="D379" s="2958">
        <v>3355.3627736198378</v>
      </c>
      <c r="E379" s="2969">
        <v>3888.4253465472234</v>
      </c>
      <c r="F379" s="2959">
        <v>5136.773042090309</v>
      </c>
      <c r="G379" s="2960">
        <v>3949.5800609168914</v>
      </c>
      <c r="H379" s="2969">
        <v>3853.7509851183304</v>
      </c>
      <c r="I379" s="2958">
        <v>3693.5424437991851</v>
      </c>
      <c r="J379" s="2969">
        <v>3919.3636217366879</v>
      </c>
      <c r="K379" s="2959">
        <v>5160.5105821655934</v>
      </c>
      <c r="L379" s="2960">
        <v>3906.7430692172256</v>
      </c>
      <c r="M379" s="2969">
        <v>3828.3062772591215</v>
      </c>
      <c r="N379" s="2961">
        <v>3939.4115537978441</v>
      </c>
    </row>
    <row r="380" spans="1:14" ht="12.75" customHeight="1">
      <c r="A380" s="2967">
        <f t="shared" si="3"/>
        <v>2023.11</v>
      </c>
      <c r="B380" s="2960">
        <v>4287.0202983057015</v>
      </c>
      <c r="C380" s="2969">
        <v>4174.4202531375822</v>
      </c>
      <c r="D380" s="2958">
        <v>3609.2143755914731</v>
      </c>
      <c r="E380" s="2969">
        <v>4360.0902572528685</v>
      </c>
      <c r="F380" s="2959">
        <v>5696.9857683870714</v>
      </c>
      <c r="G380" s="2960">
        <v>4405.5779824891824</v>
      </c>
      <c r="H380" s="2969">
        <v>4301.8872223749349</v>
      </c>
      <c r="I380" s="2958">
        <v>4052.9331626469661</v>
      </c>
      <c r="J380" s="2969">
        <v>4403.8451587065301</v>
      </c>
      <c r="K380" s="2959">
        <v>5715.851562271584</v>
      </c>
      <c r="L380" s="2960">
        <v>4364.215945382387</v>
      </c>
      <c r="M380" s="2969">
        <v>4220.2352872923302</v>
      </c>
      <c r="N380" s="2961">
        <v>4424.1830831413445</v>
      </c>
    </row>
    <row r="381" spans="1:14" ht="12.75" customHeight="1">
      <c r="A381" s="2967">
        <f t="shared" si="3"/>
        <v>2023.12</v>
      </c>
      <c r="B381" s="2960">
        <v>6603.3692409574605</v>
      </c>
      <c r="C381" s="2969">
        <v>6309.1754734860278</v>
      </c>
      <c r="D381" s="2958">
        <v>5294.0598830674362</v>
      </c>
      <c r="E381" s="2969">
        <v>6642.6407174583628</v>
      </c>
      <c r="F381" s="2959">
        <v>10287.231472349422</v>
      </c>
      <c r="G381" s="2960">
        <v>6748.2630979434853</v>
      </c>
      <c r="H381" s="2969">
        <v>6464.2691128113129</v>
      </c>
      <c r="I381" s="2958">
        <v>5819.0473780282773</v>
      </c>
      <c r="J381" s="2969">
        <v>6728.5165672478815</v>
      </c>
      <c r="K381" s="2959">
        <v>10336.912801406452</v>
      </c>
      <c r="L381" s="2960">
        <v>6585.5559641543123</v>
      </c>
      <c r="M381" s="2969">
        <v>6044.3622311553572</v>
      </c>
      <c r="N381" s="2961">
        <v>6810.9601230985891</v>
      </c>
    </row>
    <row r="382" spans="1:14" ht="12.75" customHeight="1">
      <c r="A382" s="2967">
        <f t="shared" si="3"/>
        <v>2024.01</v>
      </c>
      <c r="B382" s="2960">
        <v>7788.8552670587005</v>
      </c>
      <c r="C382" s="2969">
        <v>7547.806212788264</v>
      </c>
      <c r="D382" s="2958">
        <v>6578.8793624841583</v>
      </c>
      <c r="E382" s="2969">
        <v>7866.0984659835567</v>
      </c>
      <c r="F382" s="2959">
        <v>10807.245202956479</v>
      </c>
      <c r="G382" s="2960">
        <v>7865.2842705855464</v>
      </c>
      <c r="H382" s="2969">
        <v>7628.4577537082914</v>
      </c>
      <c r="I382" s="2958">
        <v>6970.455554536913</v>
      </c>
      <c r="J382" s="2969">
        <v>7897.9393857912082</v>
      </c>
      <c r="K382" s="2959">
        <v>10857.908952999636</v>
      </c>
      <c r="L382" s="2960">
        <v>7734.2357154465853</v>
      </c>
      <c r="M382" s="2969">
        <v>7186.859499756365</v>
      </c>
      <c r="N382" s="2961">
        <v>7962.2148438079867</v>
      </c>
    </row>
    <row r="383" spans="1:14" ht="12.75" customHeight="1">
      <c r="A383" s="2967">
        <f t="shared" si="3"/>
        <v>2024.02</v>
      </c>
      <c r="B383" s="2960">
        <v>8579.885136895673</v>
      </c>
      <c r="C383" s="2969">
        <v>8378.6437830849209</v>
      </c>
      <c r="D383" s="2958">
        <v>7203.5537136290068</v>
      </c>
      <c r="E383" s="2969">
        <v>8764.6606075718755</v>
      </c>
      <c r="F383" s="2959">
        <v>11099.807394492824</v>
      </c>
      <c r="G383" s="2960">
        <v>8562.1294006335884</v>
      </c>
      <c r="H383" s="2969">
        <v>8357.8381147454056</v>
      </c>
      <c r="I383" s="2958">
        <v>7438.9319428786757</v>
      </c>
      <c r="J383" s="2969">
        <v>8734.1717124712868</v>
      </c>
      <c r="K383" s="2959">
        <v>11143.627252362417</v>
      </c>
      <c r="L383" s="2960">
        <v>8409.3691440520106</v>
      </c>
      <c r="M383" s="2969">
        <v>7594.599445370266</v>
      </c>
      <c r="N383" s="2961">
        <v>8748.7161605944129</v>
      </c>
    </row>
    <row r="384" spans="1:14" ht="12.75" customHeight="1">
      <c r="A384" s="2967">
        <f t="shared" si="3"/>
        <v>2024.03</v>
      </c>
      <c r="B384" s="2960">
        <v>9044.9473592558443</v>
      </c>
      <c r="C384" s="2969">
        <v>8896.0893166925471</v>
      </c>
      <c r="D384" s="2958">
        <v>7759.4748005864594</v>
      </c>
      <c r="E384" s="2969">
        <v>9269.4669305261796</v>
      </c>
      <c r="F384" s="2959">
        <v>10908.931513478734</v>
      </c>
      <c r="G384" s="2960">
        <v>8983.9738044008209</v>
      </c>
      <c r="H384" s="2969">
        <v>8828.1093410518279</v>
      </c>
      <c r="I384" s="2958">
        <v>7892.2020641348945</v>
      </c>
      <c r="J384" s="2969">
        <v>9211.4056594827634</v>
      </c>
      <c r="K384" s="2959">
        <v>10953.532983329742</v>
      </c>
      <c r="L384" s="2960">
        <v>8832.7392292791719</v>
      </c>
      <c r="M384" s="2969">
        <v>7982.3173296151999</v>
      </c>
      <c r="N384" s="2961">
        <v>9186.9351878674861</v>
      </c>
    </row>
    <row r="385" spans="1:14" ht="12.75" customHeight="1">
      <c r="A385" s="2967">
        <f t="shared" si="3"/>
        <v>2024.04</v>
      </c>
      <c r="B385" s="2960">
        <v>9356.8880421309059</v>
      </c>
      <c r="C385" s="2969">
        <v>9232.5370178549092</v>
      </c>
      <c r="D385" s="2958">
        <v>7991.2548063678523</v>
      </c>
      <c r="E385" s="2969">
        <v>9640.2979461659033</v>
      </c>
      <c r="F385" s="2959">
        <v>10913.997989437172</v>
      </c>
      <c r="G385" s="2960">
        <v>9240.0773029156771</v>
      </c>
      <c r="H385" s="2969">
        <v>9105.8237391223192</v>
      </c>
      <c r="I385" s="2958">
        <v>8118.8847100797311</v>
      </c>
      <c r="J385" s="2969">
        <v>9510.0198658946119</v>
      </c>
      <c r="K385" s="2959">
        <v>10936.553415504904</v>
      </c>
      <c r="L385" s="2960">
        <v>9096.4411312443008</v>
      </c>
      <c r="M385" s="2969">
        <v>8198.471987978468</v>
      </c>
      <c r="N385" s="2961">
        <v>9470.4402505137386</v>
      </c>
    </row>
    <row r="386" spans="1:14" ht="12.75" customHeight="1">
      <c r="A386" s="2967">
        <f t="shared" si="3"/>
        <v>2024.05</v>
      </c>
      <c r="B386" s="2960">
        <v>9682.8153621046004</v>
      </c>
      <c r="C386" s="2969">
        <v>9602.5276299520683</v>
      </c>
      <c r="D386" s="2958">
        <v>8572.2491955805781</v>
      </c>
      <c r="E386" s="2969">
        <v>9940.9738647650429</v>
      </c>
      <c r="F386" s="2959">
        <v>10688.169576991455</v>
      </c>
      <c r="G386" s="2960">
        <v>9576.2269434515383</v>
      </c>
      <c r="H386" s="2969">
        <v>9486.4742791473273</v>
      </c>
      <c r="I386" s="2958">
        <v>8757.3225930717399</v>
      </c>
      <c r="J386" s="2969">
        <v>9785.0948409738776</v>
      </c>
      <c r="K386" s="2959">
        <v>10710.373752899839</v>
      </c>
      <c r="L386" s="2960">
        <v>9478.0528650996457</v>
      </c>
      <c r="M386" s="2969">
        <v>8847.9576790577757</v>
      </c>
      <c r="N386" s="2961">
        <v>9740.4839813610779</v>
      </c>
    </row>
    <row r="387" spans="1:14" ht="12.75" customHeight="1">
      <c r="A387" s="2967">
        <f t="shared" si="3"/>
        <v>2024.06</v>
      </c>
      <c r="B387" s="2960">
        <v>9940.066614352716</v>
      </c>
      <c r="C387" s="2969">
        <v>9861.598799805266</v>
      </c>
      <c r="D387" s="2958">
        <v>8916.2926998589355</v>
      </c>
      <c r="E387" s="2969">
        <v>10172.13164180127</v>
      </c>
      <c r="F387" s="2959">
        <v>10922.632019717088</v>
      </c>
      <c r="G387" s="2960">
        <v>9816.7703541100982</v>
      </c>
      <c r="H387" s="2969">
        <v>9727.5154166317297</v>
      </c>
      <c r="I387" s="2958">
        <v>9081.5631766631432</v>
      </c>
      <c r="J387" s="2969">
        <v>9992.0620459493293</v>
      </c>
      <c r="K387" s="2959">
        <v>10944.627709135135</v>
      </c>
      <c r="L387" s="2960">
        <v>9726.6650634557573</v>
      </c>
      <c r="M387" s="2969">
        <v>9162.1223386401816</v>
      </c>
      <c r="N387" s="2961">
        <v>9961.7939467301912</v>
      </c>
    </row>
    <row r="388" spans="1:14" ht="12.75" customHeight="1">
      <c r="A388" s="2967">
        <f t="shared" si="3"/>
        <v>2024.07</v>
      </c>
      <c r="B388" s="2960">
        <v>10246.484931852285</v>
      </c>
      <c r="C388" s="2969">
        <v>10183.810984976251</v>
      </c>
      <c r="D388" s="2958">
        <v>9365.1212765585824</v>
      </c>
      <c r="E388" s="2969">
        <v>10452.750370728922</v>
      </c>
      <c r="F388" s="2959">
        <v>11031.281250867834</v>
      </c>
      <c r="G388" s="2960">
        <v>10069.782741355899</v>
      </c>
      <c r="H388" s="2969">
        <v>9991.4999107184904</v>
      </c>
      <c r="I388" s="2958">
        <v>9468.3524197570205</v>
      </c>
      <c r="J388" s="2969">
        <v>10205.752446442417</v>
      </c>
      <c r="K388" s="2959">
        <v>11058.992624876024</v>
      </c>
      <c r="L388" s="2960">
        <v>9976.7756775393318</v>
      </c>
      <c r="M388" s="2969">
        <v>9511.9910624523291</v>
      </c>
      <c r="N388" s="2961">
        <v>10170.355866787624</v>
      </c>
    </row>
    <row r="389" spans="1:14" ht="12.75" customHeight="1">
      <c r="A389" s="2967">
        <f t="shared" si="3"/>
        <v>2024.08</v>
      </c>
      <c r="B389" s="2960">
        <v>10458.627751033107</v>
      </c>
      <c r="C389" s="2969">
        <v>10411.088126347506</v>
      </c>
      <c r="D389" s="2958">
        <v>9570.9203047238952</v>
      </c>
      <c r="E389" s="2969">
        <v>10687.08306747524</v>
      </c>
      <c r="F389" s="2959">
        <v>11053.913740192769</v>
      </c>
      <c r="G389" s="2960">
        <v>10270.774127323502</v>
      </c>
      <c r="H389" s="2969">
        <v>10206.625233885214</v>
      </c>
      <c r="I389" s="2958">
        <v>9668.318532644862</v>
      </c>
      <c r="J389" s="2969">
        <v>10427.086151180183</v>
      </c>
      <c r="K389" s="2959">
        <v>11081.382518580356</v>
      </c>
      <c r="L389" s="2960">
        <v>10183.571088543695</v>
      </c>
      <c r="M389" s="2969">
        <v>9694.5498284696187</v>
      </c>
      <c r="N389" s="2961">
        <v>10387.245704696512</v>
      </c>
    </row>
    <row r="390" spans="1:14" ht="12.75" customHeight="1">
      <c r="A390" s="2967">
        <f t="shared" si="3"/>
        <v>2024.09</v>
      </c>
      <c r="B390" s="2960">
        <v>10665.282497251941</v>
      </c>
      <c r="C390" s="2969">
        <v>10646.384781303625</v>
      </c>
      <c r="D390" s="2958">
        <v>9791.6891390616565</v>
      </c>
      <c r="E390" s="2969">
        <v>10927.152108248907</v>
      </c>
      <c r="F390" s="2959">
        <v>10901.91763279521</v>
      </c>
      <c r="G390" s="2960">
        <v>10443.013678156001</v>
      </c>
      <c r="H390" s="2969">
        <v>10404.132890203513</v>
      </c>
      <c r="I390" s="2958">
        <v>9865.7225873126918</v>
      </c>
      <c r="J390" s="2969">
        <v>10624.636237055543</v>
      </c>
      <c r="K390" s="2959">
        <v>10934.32523917714</v>
      </c>
      <c r="L390" s="2960">
        <v>10381.787122193777</v>
      </c>
      <c r="M390" s="2969">
        <v>9907.5256317858566</v>
      </c>
      <c r="N390" s="2961">
        <v>10579.314376939845</v>
      </c>
    </row>
    <row r="391" spans="1:14" ht="12.75" customHeight="1">
      <c r="A391" s="2967">
        <f t="shared" si="3"/>
        <v>2024.1</v>
      </c>
      <c r="B391" s="2960">
        <v>10791.479398543041</v>
      </c>
      <c r="C391" s="2969">
        <v>10787.095074181121</v>
      </c>
      <c r="D391" s="2958">
        <v>9963.0818167329962</v>
      </c>
      <c r="E391" s="2969">
        <v>11057.783244597333</v>
      </c>
      <c r="F391" s="2959">
        <v>10846.379429450797</v>
      </c>
      <c r="G391" s="2960">
        <v>10565.321731894397</v>
      </c>
      <c r="H391" s="2969">
        <v>10540.047587116085</v>
      </c>
      <c r="I391" s="2958">
        <v>10046.858407454609</v>
      </c>
      <c r="J391" s="2969">
        <v>10742.030840710357</v>
      </c>
      <c r="K391" s="2959">
        <v>10884.69487679232</v>
      </c>
      <c r="L391" s="2960">
        <v>10522.223851458999</v>
      </c>
      <c r="M391" s="2969">
        <v>10115.612316709954</v>
      </c>
      <c r="N391" s="2961">
        <v>10691.575278533508</v>
      </c>
    </row>
    <row r="392" spans="1:14" ht="12.75" customHeight="1">
      <c r="A392" s="2967">
        <f t="shared" si="3"/>
        <v>2024.11</v>
      </c>
      <c r="B392" s="2960">
        <v>10941.223782023582</v>
      </c>
      <c r="C392" s="2969">
        <v>10959.494267798089</v>
      </c>
      <c r="D392" s="2958">
        <v>10026.626030138996</v>
      </c>
      <c r="E392" s="2969">
        <v>11265.941274819977</v>
      </c>
      <c r="F392" s="2959">
        <v>10712.442754225538</v>
      </c>
      <c r="G392" s="2960">
        <v>10691.647557846298</v>
      </c>
      <c r="H392" s="2969">
        <v>10686.794293144396</v>
      </c>
      <c r="I392" s="2958">
        <v>10097.021869247354</v>
      </c>
      <c r="J392" s="2969">
        <v>10928.33274932194</v>
      </c>
      <c r="K392" s="2959">
        <v>10752.975148728126</v>
      </c>
      <c r="L392" s="2960">
        <v>10672.631822966436</v>
      </c>
      <c r="M392" s="2969">
        <v>10172.849610360783</v>
      </c>
      <c r="N392" s="2961">
        <v>10880.788315584041</v>
      </c>
    </row>
    <row r="393" spans="1:14" ht="12.75" customHeight="1">
      <c r="A393" s="2967">
        <f t="shared" si="3"/>
        <v>2024.12</v>
      </c>
      <c r="B393" s="2960">
        <v>11034.043785618949</v>
      </c>
      <c r="C393" s="2969">
        <v>11073.68216150556</v>
      </c>
      <c r="D393" s="2958">
        <v>9960.8191624757455</v>
      </c>
      <c r="E393" s="2969">
        <v>11439.257407302191</v>
      </c>
      <c r="F393" s="2959">
        <v>10537.696371132717</v>
      </c>
      <c r="G393" s="2960">
        <v>10758.519268870443</v>
      </c>
      <c r="H393" s="2969">
        <v>10772.747887768035</v>
      </c>
      <c r="I393" s="2958">
        <v>10043.554127274692</v>
      </c>
      <c r="J393" s="2969">
        <v>11071.38568096977</v>
      </c>
      <c r="K393" s="2959">
        <v>10578.721344755982</v>
      </c>
      <c r="L393" s="2960">
        <v>10754.234169511881</v>
      </c>
      <c r="M393" s="2969">
        <v>10120.580423214577</v>
      </c>
      <c r="N393" s="2961">
        <v>11018.147406190685</v>
      </c>
    </row>
    <row r="394" spans="1:14" ht="12.75" customHeight="1">
      <c r="A394" s="2967">
        <f t="shared" ref="A394:A405" si="4">A382+1</f>
        <v>2025.01</v>
      </c>
      <c r="B394" s="2960">
        <v>11200.301971921785</v>
      </c>
      <c r="C394" s="2969">
        <v>11249.397965959164</v>
      </c>
      <c r="D394" s="2958">
        <v>10173.376000992885</v>
      </c>
      <c r="E394" s="2969">
        <v>11602.870940321736</v>
      </c>
      <c r="F394" s="2959">
        <v>10585.527295689002</v>
      </c>
      <c r="G394" s="2960">
        <v>10928.617101012984</v>
      </c>
      <c r="H394" s="2969">
        <v>10952.627081123002</v>
      </c>
      <c r="I394" s="2958">
        <v>10275.777514700128</v>
      </c>
      <c r="J394" s="2969">
        <v>11229.827561704909</v>
      </c>
      <c r="K394" s="2959">
        <v>10625.218393599835</v>
      </c>
      <c r="L394" s="2960">
        <v>10945.564113331597</v>
      </c>
      <c r="M394" s="2969">
        <v>10395.95078257258</v>
      </c>
      <c r="N394" s="2961">
        <v>11174.474987590633</v>
      </c>
    </row>
    <row r="395" spans="1:14" ht="12.75" customHeight="1">
      <c r="A395" s="2967">
        <f t="shared" si="4"/>
        <v>2025.02</v>
      </c>
      <c r="B395" s="2960">
        <v>11384.050546592229</v>
      </c>
      <c r="C395" s="2969">
        <v>11443.731199095006</v>
      </c>
      <c r="D395" s="2958">
        <v>10407.482232779872</v>
      </c>
      <c r="E395" s="2969">
        <v>11784.138752313524</v>
      </c>
      <c r="F395" s="2959">
        <v>10636.735932861791</v>
      </c>
      <c r="G395" s="2960">
        <v>11134.835765399735</v>
      </c>
      <c r="H395" s="2969">
        <v>11171.114622600857</v>
      </c>
      <c r="I395" s="2958">
        <v>10610.566520841379</v>
      </c>
      <c r="J395" s="2969">
        <v>11400.684398375713</v>
      </c>
      <c r="K395" s="2959">
        <v>10676.403133185931</v>
      </c>
      <c r="L395" s="2960">
        <v>11175.091508728989</v>
      </c>
      <c r="M395" s="2969">
        <v>10733.465326791551</v>
      </c>
      <c r="N395" s="2961">
        <v>11359.026340264769</v>
      </c>
    </row>
    <row r="396" spans="1:14" ht="12.75" customHeight="1">
      <c r="A396" s="2967">
        <f t="shared" si="4"/>
        <v>2025.03</v>
      </c>
      <c r="B396" s="2960">
        <v>11552.832552532756</v>
      </c>
      <c r="C396" s="2969">
        <v>11615.193047363651</v>
      </c>
      <c r="D396" s="2958">
        <v>10519.530191859627</v>
      </c>
      <c r="E396" s="2969">
        <v>11975.118049866493</v>
      </c>
      <c r="F396" s="2959">
        <v>10771.961245798646</v>
      </c>
      <c r="G396" s="2960">
        <v>11288.797410721172</v>
      </c>
      <c r="H396" s="2969">
        <v>11326.261379998048</v>
      </c>
      <c r="I396" s="2958">
        <v>10695.470210935297</v>
      </c>
      <c r="J396" s="2969">
        <v>11584.598865733802</v>
      </c>
      <c r="K396" s="2959">
        <v>10815.389277891558</v>
      </c>
      <c r="L396" s="2960">
        <v>11315.930357395113</v>
      </c>
      <c r="M396" s="2969">
        <v>10770.245326761498</v>
      </c>
      <c r="N396" s="2961">
        <v>11543.205116651594</v>
      </c>
    </row>
    <row r="397" spans="1:14" ht="12.75" customHeight="1">
      <c r="A397" s="2677">
        <f t="shared" si="4"/>
        <v>2025.04</v>
      </c>
      <c r="B397" s="3413">
        <v>11880.250204486576</v>
      </c>
      <c r="C397" s="3414">
        <v>11916.8985737899</v>
      </c>
      <c r="D397" s="3415">
        <v>10570.241589578876</v>
      </c>
      <c r="E397" s="3414">
        <v>12359.275091326994</v>
      </c>
      <c r="F397" s="3416">
        <v>11421.343325938487</v>
      </c>
      <c r="G397" s="3413">
        <v>11599.348271712559</v>
      </c>
      <c r="H397" s="3414">
        <v>11609.404595951886</v>
      </c>
      <c r="I397" s="3415">
        <v>10752.121233215901</v>
      </c>
      <c r="J397" s="3414">
        <v>11960.500868940879</v>
      </c>
      <c r="K397" s="3416">
        <v>11472.272957132069</v>
      </c>
      <c r="L397" s="3413">
        <v>11603.077405151718</v>
      </c>
      <c r="M397" s="3414">
        <v>10814.490026187954</v>
      </c>
      <c r="N397" s="3417">
        <v>11931.519632160553</v>
      </c>
    </row>
    <row r="398" spans="1:14" ht="12.75" customHeight="1">
      <c r="A398" s="2677">
        <f t="shared" si="4"/>
        <v>2025.05</v>
      </c>
      <c r="B398" s="1014" t="e">
        <v>#N/A</v>
      </c>
      <c r="C398" s="1010" t="e">
        <v>#N/A</v>
      </c>
      <c r="D398" s="3258" t="e">
        <v>#N/A</v>
      </c>
      <c r="E398" s="1010" t="e">
        <v>#N/A</v>
      </c>
      <c r="F398" s="2297" t="e">
        <v>#N/A</v>
      </c>
      <c r="G398" s="1014" t="e">
        <v>#N/A</v>
      </c>
      <c r="H398" s="1010" t="e">
        <v>#N/A</v>
      </c>
      <c r="I398" s="3258" t="e">
        <v>#N/A</v>
      </c>
      <c r="J398" s="1010" t="e">
        <v>#N/A</v>
      </c>
      <c r="K398" s="2297" t="e">
        <v>#N/A</v>
      </c>
      <c r="L398" s="1014" t="e">
        <v>#N/A</v>
      </c>
      <c r="M398" s="1010" t="e">
        <v>#N/A</v>
      </c>
      <c r="N398" s="3259" t="e">
        <v>#N/A</v>
      </c>
    </row>
    <row r="399" spans="1:14" ht="12.75" customHeight="1">
      <c r="A399" s="2677">
        <f t="shared" si="4"/>
        <v>2025.06</v>
      </c>
      <c r="B399" s="1014" t="e">
        <v>#N/A</v>
      </c>
      <c r="C399" s="1010" t="e">
        <v>#N/A</v>
      </c>
      <c r="D399" s="3258" t="e">
        <v>#N/A</v>
      </c>
      <c r="E399" s="1010" t="e">
        <v>#N/A</v>
      </c>
      <c r="F399" s="2297" t="e">
        <v>#N/A</v>
      </c>
      <c r="G399" s="1014" t="e">
        <v>#N/A</v>
      </c>
      <c r="H399" s="1010" t="e">
        <v>#N/A</v>
      </c>
      <c r="I399" s="3258" t="e">
        <v>#N/A</v>
      </c>
      <c r="J399" s="1010" t="e">
        <v>#N/A</v>
      </c>
      <c r="K399" s="2297" t="e">
        <v>#N/A</v>
      </c>
      <c r="L399" s="1014" t="e">
        <v>#N/A</v>
      </c>
      <c r="M399" s="1010" t="e">
        <v>#N/A</v>
      </c>
      <c r="N399" s="3259" t="e">
        <v>#N/A</v>
      </c>
    </row>
    <row r="400" spans="1:14" ht="12.75" customHeight="1">
      <c r="A400" s="2677">
        <f t="shared" si="4"/>
        <v>2025.07</v>
      </c>
      <c r="B400" s="1014" t="e">
        <v>#N/A</v>
      </c>
      <c r="C400" s="1010" t="e">
        <v>#N/A</v>
      </c>
      <c r="D400" s="3258" t="e">
        <v>#N/A</v>
      </c>
      <c r="E400" s="1010" t="e">
        <v>#N/A</v>
      </c>
      <c r="F400" s="2297" t="e">
        <v>#N/A</v>
      </c>
      <c r="G400" s="1014" t="e">
        <v>#N/A</v>
      </c>
      <c r="H400" s="1010" t="e">
        <v>#N/A</v>
      </c>
      <c r="I400" s="3258" t="e">
        <v>#N/A</v>
      </c>
      <c r="J400" s="1010" t="e">
        <v>#N/A</v>
      </c>
      <c r="K400" s="2297" t="e">
        <v>#N/A</v>
      </c>
      <c r="L400" s="1014" t="e">
        <v>#N/A</v>
      </c>
      <c r="M400" s="1010" t="e">
        <v>#N/A</v>
      </c>
      <c r="N400" s="3259" t="e">
        <v>#N/A</v>
      </c>
    </row>
    <row r="401" spans="1:14" ht="12.75" customHeight="1">
      <c r="A401" s="2677">
        <f t="shared" si="4"/>
        <v>2025.08</v>
      </c>
      <c r="B401" s="1014" t="e">
        <v>#N/A</v>
      </c>
      <c r="C401" s="1010" t="e">
        <v>#N/A</v>
      </c>
      <c r="D401" s="3258" t="e">
        <v>#N/A</v>
      </c>
      <c r="E401" s="1010" t="e">
        <v>#N/A</v>
      </c>
      <c r="F401" s="2297" t="e">
        <v>#N/A</v>
      </c>
      <c r="G401" s="1014" t="e">
        <v>#N/A</v>
      </c>
      <c r="H401" s="1010" t="e">
        <v>#N/A</v>
      </c>
      <c r="I401" s="3258" t="e">
        <v>#N/A</v>
      </c>
      <c r="J401" s="1010" t="e">
        <v>#N/A</v>
      </c>
      <c r="K401" s="2297" t="e">
        <v>#N/A</v>
      </c>
      <c r="L401" s="1014" t="e">
        <v>#N/A</v>
      </c>
      <c r="M401" s="1010" t="e">
        <v>#N/A</v>
      </c>
      <c r="N401" s="3259" t="e">
        <v>#N/A</v>
      </c>
    </row>
    <row r="402" spans="1:14" ht="12.75" customHeight="1">
      <c r="A402" s="2677">
        <f t="shared" si="4"/>
        <v>2025.09</v>
      </c>
      <c r="B402" s="1014" t="e">
        <v>#N/A</v>
      </c>
      <c r="C402" s="1010" t="e">
        <v>#N/A</v>
      </c>
      <c r="D402" s="3258" t="e">
        <v>#N/A</v>
      </c>
      <c r="E402" s="1010" t="e">
        <v>#N/A</v>
      </c>
      <c r="F402" s="2297" t="e">
        <v>#N/A</v>
      </c>
      <c r="G402" s="1014" t="e">
        <v>#N/A</v>
      </c>
      <c r="H402" s="1010" t="e">
        <v>#N/A</v>
      </c>
      <c r="I402" s="3258" t="e">
        <v>#N/A</v>
      </c>
      <c r="J402" s="1010" t="e">
        <v>#N/A</v>
      </c>
      <c r="K402" s="2297" t="e">
        <v>#N/A</v>
      </c>
      <c r="L402" s="1014" t="e">
        <v>#N/A</v>
      </c>
      <c r="M402" s="1010" t="e">
        <v>#N/A</v>
      </c>
      <c r="N402" s="3259" t="e">
        <v>#N/A</v>
      </c>
    </row>
    <row r="403" spans="1:14" ht="12.75" customHeight="1">
      <c r="A403" s="2677">
        <f t="shared" si="4"/>
        <v>2025.1</v>
      </c>
      <c r="B403" s="1014" t="e">
        <v>#N/A</v>
      </c>
      <c r="C403" s="1010" t="e">
        <v>#N/A</v>
      </c>
      <c r="D403" s="3258" t="e">
        <v>#N/A</v>
      </c>
      <c r="E403" s="1010" t="e">
        <v>#N/A</v>
      </c>
      <c r="F403" s="2297" t="e">
        <v>#N/A</v>
      </c>
      <c r="G403" s="1014" t="e">
        <v>#N/A</v>
      </c>
      <c r="H403" s="1010" t="e">
        <v>#N/A</v>
      </c>
      <c r="I403" s="3258" t="e">
        <v>#N/A</v>
      </c>
      <c r="J403" s="1010" t="e">
        <v>#N/A</v>
      </c>
      <c r="K403" s="2297" t="e">
        <v>#N/A</v>
      </c>
      <c r="L403" s="1014" t="e">
        <v>#N/A</v>
      </c>
      <c r="M403" s="1010" t="e">
        <v>#N/A</v>
      </c>
      <c r="N403" s="3259" t="e">
        <v>#N/A</v>
      </c>
    </row>
    <row r="404" spans="1:14" ht="12.75" customHeight="1">
      <c r="A404" s="2677">
        <f t="shared" si="4"/>
        <v>2025.11</v>
      </c>
      <c r="B404" s="1014" t="e">
        <v>#N/A</v>
      </c>
      <c r="C404" s="1010" t="e">
        <v>#N/A</v>
      </c>
      <c r="D404" s="3258" t="e">
        <v>#N/A</v>
      </c>
      <c r="E404" s="1010" t="e">
        <v>#N/A</v>
      </c>
      <c r="F404" s="2297" t="e">
        <v>#N/A</v>
      </c>
      <c r="G404" s="1014" t="e">
        <v>#N/A</v>
      </c>
      <c r="H404" s="1010" t="e">
        <v>#N/A</v>
      </c>
      <c r="I404" s="3258" t="e">
        <v>#N/A</v>
      </c>
      <c r="J404" s="1010" t="e">
        <v>#N/A</v>
      </c>
      <c r="K404" s="2297" t="e">
        <v>#N/A</v>
      </c>
      <c r="L404" s="1014" t="e">
        <v>#N/A</v>
      </c>
      <c r="M404" s="1010" t="e">
        <v>#N/A</v>
      </c>
      <c r="N404" s="3259" t="e">
        <v>#N/A</v>
      </c>
    </row>
    <row r="405" spans="1:14" ht="12.75" customHeight="1">
      <c r="A405" s="2677">
        <f t="shared" si="4"/>
        <v>2025.12</v>
      </c>
      <c r="B405" s="1014" t="e">
        <v>#N/A</v>
      </c>
      <c r="C405" s="1010" t="e">
        <v>#N/A</v>
      </c>
      <c r="D405" s="3258" t="e">
        <v>#N/A</v>
      </c>
      <c r="E405" s="1010" t="e">
        <v>#N/A</v>
      </c>
      <c r="F405" s="2297" t="e">
        <v>#N/A</v>
      </c>
      <c r="G405" s="1014" t="e">
        <v>#N/A</v>
      </c>
      <c r="H405" s="1010" t="e">
        <v>#N/A</v>
      </c>
      <c r="I405" s="3258" t="e">
        <v>#N/A</v>
      </c>
      <c r="J405" s="1010" t="e">
        <v>#N/A</v>
      </c>
      <c r="K405" s="2297" t="e">
        <v>#N/A</v>
      </c>
      <c r="L405" s="1014" t="e">
        <v>#N/A</v>
      </c>
      <c r="M405" s="1010" t="e">
        <v>#N/A</v>
      </c>
      <c r="N405" s="3259" t="e">
        <v>#N/A</v>
      </c>
    </row>
    <row r="406" spans="1:14" ht="12.75" customHeight="1">
      <c r="A406" s="2678">
        <v>2026.01</v>
      </c>
      <c r="B406" s="1014" t="e">
        <v>#N/A</v>
      </c>
      <c r="C406" s="1010" t="e">
        <v>#N/A</v>
      </c>
      <c r="D406" s="3258" t="e">
        <v>#N/A</v>
      </c>
      <c r="E406" s="1010" t="e">
        <v>#N/A</v>
      </c>
      <c r="F406" s="2297" t="e">
        <v>#N/A</v>
      </c>
      <c r="G406" s="1014" t="e">
        <v>#N/A</v>
      </c>
      <c r="H406" s="1010" t="e">
        <v>#N/A</v>
      </c>
      <c r="I406" s="3258" t="e">
        <v>#N/A</v>
      </c>
      <c r="J406" s="1010" t="e">
        <v>#N/A</v>
      </c>
      <c r="K406" s="2297" t="e">
        <v>#N/A</v>
      </c>
      <c r="L406" s="1014" t="e">
        <v>#N/A</v>
      </c>
      <c r="M406" s="1010" t="e">
        <v>#N/A</v>
      </c>
      <c r="N406" s="3259" t="e">
        <v>#N/A</v>
      </c>
    </row>
    <row r="407" spans="1:14" ht="12.75" customHeight="1">
      <c r="A407" s="2678">
        <v>2026.02</v>
      </c>
      <c r="B407" s="1014" t="e">
        <v>#N/A</v>
      </c>
      <c r="C407" s="1010" t="e">
        <v>#N/A</v>
      </c>
      <c r="D407" s="3258" t="e">
        <v>#N/A</v>
      </c>
      <c r="E407" s="1010" t="e">
        <v>#N/A</v>
      </c>
      <c r="F407" s="2297" t="e">
        <v>#N/A</v>
      </c>
      <c r="G407" s="1014" t="e">
        <v>#N/A</v>
      </c>
      <c r="H407" s="1010" t="e">
        <v>#N/A</v>
      </c>
      <c r="I407" s="3258" t="e">
        <v>#N/A</v>
      </c>
      <c r="J407" s="1010" t="e">
        <v>#N/A</v>
      </c>
      <c r="K407" s="2297" t="e">
        <v>#N/A</v>
      </c>
      <c r="L407" s="1014" t="e">
        <v>#N/A</v>
      </c>
      <c r="M407" s="1010" t="e">
        <v>#N/A</v>
      </c>
      <c r="N407" s="3259" t="e">
        <v>#N/A</v>
      </c>
    </row>
    <row r="408" spans="1:14" ht="12.75" customHeight="1">
      <c r="A408" s="2678">
        <v>2026.03</v>
      </c>
      <c r="B408" s="1014" t="e">
        <v>#N/A</v>
      </c>
      <c r="C408" s="1010" t="e">
        <v>#N/A</v>
      </c>
      <c r="D408" s="3258" t="e">
        <v>#N/A</v>
      </c>
      <c r="E408" s="1010" t="e">
        <v>#N/A</v>
      </c>
      <c r="F408" s="2297" t="e">
        <v>#N/A</v>
      </c>
      <c r="G408" s="1014" t="e">
        <v>#N/A</v>
      </c>
      <c r="H408" s="1010" t="e">
        <v>#N/A</v>
      </c>
      <c r="I408" s="3258" t="e">
        <v>#N/A</v>
      </c>
      <c r="J408" s="1010" t="e">
        <v>#N/A</v>
      </c>
      <c r="K408" s="2297" t="e">
        <v>#N/A</v>
      </c>
      <c r="L408" s="1014" t="e">
        <v>#N/A</v>
      </c>
      <c r="M408" s="1010" t="e">
        <v>#N/A</v>
      </c>
      <c r="N408" s="3259" t="e">
        <v>#N/A</v>
      </c>
    </row>
    <row r="409" spans="1:14" ht="12.75" customHeight="1">
      <c r="A409" s="2678">
        <v>2026.04</v>
      </c>
      <c r="B409" s="1014" t="e">
        <v>#N/A</v>
      </c>
      <c r="C409" s="1010" t="e">
        <v>#N/A</v>
      </c>
      <c r="D409" s="3258" t="e">
        <v>#N/A</v>
      </c>
      <c r="E409" s="1010" t="e">
        <v>#N/A</v>
      </c>
      <c r="F409" s="2297" t="e">
        <v>#N/A</v>
      </c>
      <c r="G409" s="1014" t="e">
        <v>#N/A</v>
      </c>
      <c r="H409" s="1010" t="e">
        <v>#N/A</v>
      </c>
      <c r="I409" s="3258" t="e">
        <v>#N/A</v>
      </c>
      <c r="J409" s="1010" t="e">
        <v>#N/A</v>
      </c>
      <c r="K409" s="2297" t="e">
        <v>#N/A</v>
      </c>
      <c r="L409" s="1014" t="e">
        <v>#N/A</v>
      </c>
      <c r="M409" s="1010" t="e">
        <v>#N/A</v>
      </c>
      <c r="N409" s="3259" t="e">
        <v>#N/A</v>
      </c>
    </row>
    <row r="410" spans="1:14" ht="12.75" customHeight="1">
      <c r="A410" s="2678">
        <v>2026.05</v>
      </c>
      <c r="B410" s="1014" t="e">
        <v>#N/A</v>
      </c>
      <c r="C410" s="1010" t="e">
        <v>#N/A</v>
      </c>
      <c r="D410" s="3258" t="e">
        <v>#N/A</v>
      </c>
      <c r="E410" s="1010" t="e">
        <v>#N/A</v>
      </c>
      <c r="F410" s="2297" t="e">
        <v>#N/A</v>
      </c>
      <c r="G410" s="1014" t="e">
        <v>#N/A</v>
      </c>
      <c r="H410" s="1010" t="e">
        <v>#N/A</v>
      </c>
      <c r="I410" s="3258" t="e">
        <v>#N/A</v>
      </c>
      <c r="J410" s="1010" t="e">
        <v>#N/A</v>
      </c>
      <c r="K410" s="2297" t="e">
        <v>#N/A</v>
      </c>
      <c r="L410" s="1014" t="e">
        <v>#N/A</v>
      </c>
      <c r="M410" s="1010" t="e">
        <v>#N/A</v>
      </c>
      <c r="N410" s="3259" t="e">
        <v>#N/A</v>
      </c>
    </row>
    <row r="411" spans="1:14" ht="12.75" customHeight="1">
      <c r="A411" s="2678">
        <v>2026.06</v>
      </c>
      <c r="B411" s="1014" t="e">
        <v>#N/A</v>
      </c>
      <c r="C411" s="1010" t="e">
        <v>#N/A</v>
      </c>
      <c r="D411" s="3258" t="e">
        <v>#N/A</v>
      </c>
      <c r="E411" s="1010" t="e">
        <v>#N/A</v>
      </c>
      <c r="F411" s="2297" t="e">
        <v>#N/A</v>
      </c>
      <c r="G411" s="1014" t="e">
        <v>#N/A</v>
      </c>
      <c r="H411" s="1010" t="e">
        <v>#N/A</v>
      </c>
      <c r="I411" s="3258" t="e">
        <v>#N/A</v>
      </c>
      <c r="J411" s="1010" t="e">
        <v>#N/A</v>
      </c>
      <c r="K411" s="2297" t="e">
        <v>#N/A</v>
      </c>
      <c r="L411" s="1014" t="e">
        <v>#N/A</v>
      </c>
      <c r="M411" s="1010" t="e">
        <v>#N/A</v>
      </c>
      <c r="N411" s="3259" t="e">
        <v>#N/A</v>
      </c>
    </row>
    <row r="412" spans="1:14" ht="12.75" customHeight="1">
      <c r="A412" s="2678">
        <v>2026.07</v>
      </c>
      <c r="B412" s="1014" t="e">
        <v>#N/A</v>
      </c>
      <c r="C412" s="1010" t="e">
        <v>#N/A</v>
      </c>
      <c r="D412" s="3258" t="e">
        <v>#N/A</v>
      </c>
      <c r="E412" s="1010" t="e">
        <v>#N/A</v>
      </c>
      <c r="F412" s="2297" t="e">
        <v>#N/A</v>
      </c>
      <c r="G412" s="1014" t="e">
        <v>#N/A</v>
      </c>
      <c r="H412" s="1010" t="e">
        <v>#N/A</v>
      </c>
      <c r="I412" s="3258" t="e">
        <v>#N/A</v>
      </c>
      <c r="J412" s="1010" t="e">
        <v>#N/A</v>
      </c>
      <c r="K412" s="2297" t="e">
        <v>#N/A</v>
      </c>
      <c r="L412" s="1014" t="e">
        <v>#N/A</v>
      </c>
      <c r="M412" s="1010" t="e">
        <v>#N/A</v>
      </c>
      <c r="N412" s="3259" t="e">
        <v>#N/A</v>
      </c>
    </row>
    <row r="413" spans="1:14" ht="12.75" customHeight="1">
      <c r="A413" s="2678">
        <v>2026.08</v>
      </c>
      <c r="B413" s="1014" t="e">
        <v>#N/A</v>
      </c>
      <c r="C413" s="1010" t="e">
        <v>#N/A</v>
      </c>
      <c r="D413" s="3258" t="e">
        <v>#N/A</v>
      </c>
      <c r="E413" s="1010" t="e">
        <v>#N/A</v>
      </c>
      <c r="F413" s="2297" t="e">
        <v>#N/A</v>
      </c>
      <c r="G413" s="1014" t="e">
        <v>#N/A</v>
      </c>
      <c r="H413" s="1010" t="e">
        <v>#N/A</v>
      </c>
      <c r="I413" s="3258" t="e">
        <v>#N/A</v>
      </c>
      <c r="J413" s="1010" t="e">
        <v>#N/A</v>
      </c>
      <c r="K413" s="2297" t="e">
        <v>#N/A</v>
      </c>
      <c r="L413" s="1014" t="e">
        <v>#N/A</v>
      </c>
      <c r="M413" s="1010" t="e">
        <v>#N/A</v>
      </c>
      <c r="N413" s="3259" t="e">
        <v>#N/A</v>
      </c>
    </row>
    <row r="414" spans="1:14" ht="12.75" customHeight="1">
      <c r="A414" s="2678">
        <v>2026.09</v>
      </c>
      <c r="B414" s="1014" t="e">
        <v>#N/A</v>
      </c>
      <c r="C414" s="1010" t="e">
        <v>#N/A</v>
      </c>
      <c r="D414" s="3258" t="e">
        <v>#N/A</v>
      </c>
      <c r="E414" s="1010" t="e">
        <v>#N/A</v>
      </c>
      <c r="F414" s="2297" t="e">
        <v>#N/A</v>
      </c>
      <c r="G414" s="1014" t="e">
        <v>#N/A</v>
      </c>
      <c r="H414" s="1010" t="e">
        <v>#N/A</v>
      </c>
      <c r="I414" s="3258" t="e">
        <v>#N/A</v>
      </c>
      <c r="J414" s="1010" t="e">
        <v>#N/A</v>
      </c>
      <c r="K414" s="2297" t="e">
        <v>#N/A</v>
      </c>
      <c r="L414" s="1014" t="e">
        <v>#N/A</v>
      </c>
      <c r="M414" s="1010" t="e">
        <v>#N/A</v>
      </c>
      <c r="N414" s="3259" t="e">
        <v>#N/A</v>
      </c>
    </row>
    <row r="415" spans="1:14" ht="12.75" customHeight="1">
      <c r="A415" s="2678">
        <v>2026.1</v>
      </c>
      <c r="B415" s="1014" t="e">
        <v>#N/A</v>
      </c>
      <c r="C415" s="1010" t="e">
        <v>#N/A</v>
      </c>
      <c r="D415" s="3258" t="e">
        <v>#N/A</v>
      </c>
      <c r="E415" s="1010" t="e">
        <v>#N/A</v>
      </c>
      <c r="F415" s="2297" t="e">
        <v>#N/A</v>
      </c>
      <c r="G415" s="1014" t="e">
        <v>#N/A</v>
      </c>
      <c r="H415" s="1010" t="e">
        <v>#N/A</v>
      </c>
      <c r="I415" s="3258" t="e">
        <v>#N/A</v>
      </c>
      <c r="J415" s="1010" t="e">
        <v>#N/A</v>
      </c>
      <c r="K415" s="2297" t="e">
        <v>#N/A</v>
      </c>
      <c r="L415" s="1014" t="e">
        <v>#N/A</v>
      </c>
      <c r="M415" s="1010" t="e">
        <v>#N/A</v>
      </c>
      <c r="N415" s="3259" t="e">
        <v>#N/A</v>
      </c>
    </row>
    <row r="416" spans="1:14" ht="12.75" customHeight="1">
      <c r="A416" s="2678">
        <v>2026.11</v>
      </c>
      <c r="B416" s="1014" t="e">
        <v>#N/A</v>
      </c>
      <c r="C416" s="1010" t="e">
        <v>#N/A</v>
      </c>
      <c r="D416" s="3258" t="e">
        <v>#N/A</v>
      </c>
      <c r="E416" s="1010" t="e">
        <v>#N/A</v>
      </c>
      <c r="F416" s="2297" t="e">
        <v>#N/A</v>
      </c>
      <c r="G416" s="1014" t="e">
        <v>#N/A</v>
      </c>
      <c r="H416" s="1010" t="e">
        <v>#N/A</v>
      </c>
      <c r="I416" s="3258" t="e">
        <v>#N/A</v>
      </c>
      <c r="J416" s="1010" t="e">
        <v>#N/A</v>
      </c>
      <c r="K416" s="2297" t="e">
        <v>#N/A</v>
      </c>
      <c r="L416" s="1014" t="e">
        <v>#N/A</v>
      </c>
      <c r="M416" s="1010" t="e">
        <v>#N/A</v>
      </c>
      <c r="N416" s="3259" t="e">
        <v>#N/A</v>
      </c>
    </row>
    <row r="417" spans="1:14" ht="12.75" customHeight="1">
      <c r="A417" s="2678">
        <v>2026.12</v>
      </c>
      <c r="B417" s="1014" t="e">
        <v>#N/A</v>
      </c>
      <c r="C417" s="1010" t="e">
        <v>#N/A</v>
      </c>
      <c r="D417" s="3258" t="e">
        <v>#N/A</v>
      </c>
      <c r="E417" s="1010" t="e">
        <v>#N/A</v>
      </c>
      <c r="F417" s="2297" t="e">
        <v>#N/A</v>
      </c>
      <c r="G417" s="1014" t="e">
        <v>#N/A</v>
      </c>
      <c r="H417" s="1010" t="e">
        <v>#N/A</v>
      </c>
      <c r="I417" s="3258" t="e">
        <v>#N/A</v>
      </c>
      <c r="J417" s="1010" t="e">
        <v>#N/A</v>
      </c>
      <c r="K417" s="2297" t="e">
        <v>#N/A</v>
      </c>
      <c r="L417" s="1014" t="e">
        <v>#N/A</v>
      </c>
      <c r="M417" s="1010" t="e">
        <v>#N/A</v>
      </c>
      <c r="N417" s="3259" t="e">
        <v>#N/A</v>
      </c>
    </row>
    <row r="418" spans="1:14" ht="12.75" customHeight="1">
      <c r="A418" s="2678">
        <v>2027.01</v>
      </c>
      <c r="B418" s="1014" t="e">
        <v>#N/A</v>
      </c>
      <c r="C418" s="1010" t="e">
        <v>#N/A</v>
      </c>
      <c r="D418" s="3258" t="e">
        <v>#N/A</v>
      </c>
      <c r="E418" s="1010" t="e">
        <v>#N/A</v>
      </c>
      <c r="F418" s="2297" t="e">
        <v>#N/A</v>
      </c>
      <c r="G418" s="1014" t="e">
        <v>#N/A</v>
      </c>
      <c r="H418" s="1010" t="e">
        <v>#N/A</v>
      </c>
      <c r="I418" s="3258" t="e">
        <v>#N/A</v>
      </c>
      <c r="J418" s="1010" t="e">
        <v>#N/A</v>
      </c>
      <c r="K418" s="2297" t="e">
        <v>#N/A</v>
      </c>
      <c r="L418" s="1014" t="e">
        <v>#N/A</v>
      </c>
      <c r="M418" s="1010" t="e">
        <v>#N/A</v>
      </c>
      <c r="N418" s="3259" t="e">
        <v>#N/A</v>
      </c>
    </row>
    <row r="419" spans="1:14" ht="12.75" customHeight="1">
      <c r="A419" s="2678">
        <v>2027.02</v>
      </c>
      <c r="B419" s="1014" t="e">
        <v>#N/A</v>
      </c>
      <c r="C419" s="1010" t="e">
        <v>#N/A</v>
      </c>
      <c r="D419" s="3258" t="e">
        <v>#N/A</v>
      </c>
      <c r="E419" s="1010" t="e">
        <v>#N/A</v>
      </c>
      <c r="F419" s="2297" t="e">
        <v>#N/A</v>
      </c>
      <c r="G419" s="1014" t="e">
        <v>#N/A</v>
      </c>
      <c r="H419" s="1010" t="e">
        <v>#N/A</v>
      </c>
      <c r="I419" s="3258" t="e">
        <v>#N/A</v>
      </c>
      <c r="J419" s="1010" t="e">
        <v>#N/A</v>
      </c>
      <c r="K419" s="2297" t="e">
        <v>#N/A</v>
      </c>
      <c r="L419" s="1014" t="e">
        <v>#N/A</v>
      </c>
      <c r="M419" s="1010" t="e">
        <v>#N/A</v>
      </c>
      <c r="N419" s="3259" t="e">
        <v>#N/A</v>
      </c>
    </row>
    <row r="420" spans="1:14" ht="12.75" customHeight="1">
      <c r="A420" s="2678">
        <v>2027.03</v>
      </c>
      <c r="B420" s="1014" t="e">
        <v>#N/A</v>
      </c>
      <c r="C420" s="1010" t="e">
        <v>#N/A</v>
      </c>
      <c r="D420" s="3258" t="e">
        <v>#N/A</v>
      </c>
      <c r="E420" s="1010" t="e">
        <v>#N/A</v>
      </c>
      <c r="F420" s="2297" t="e">
        <v>#N/A</v>
      </c>
      <c r="G420" s="1014" t="e">
        <v>#N/A</v>
      </c>
      <c r="H420" s="1010" t="e">
        <v>#N/A</v>
      </c>
      <c r="I420" s="3258" t="e">
        <v>#N/A</v>
      </c>
      <c r="J420" s="1010" t="e">
        <v>#N/A</v>
      </c>
      <c r="K420" s="2297" t="e">
        <v>#N/A</v>
      </c>
      <c r="L420" s="1014" t="e">
        <v>#N/A</v>
      </c>
      <c r="M420" s="1010" t="e">
        <v>#N/A</v>
      </c>
      <c r="N420" s="3259" t="e">
        <v>#N/A</v>
      </c>
    </row>
    <row r="421" spans="1:14" ht="12.75" customHeight="1">
      <c r="A421" s="2678">
        <v>2027.04</v>
      </c>
      <c r="B421" s="1014" t="e">
        <v>#N/A</v>
      </c>
      <c r="C421" s="1010" t="e">
        <v>#N/A</v>
      </c>
      <c r="D421" s="3258" t="e">
        <v>#N/A</v>
      </c>
      <c r="E421" s="1010" t="e">
        <v>#N/A</v>
      </c>
      <c r="F421" s="2297" t="e">
        <v>#N/A</v>
      </c>
      <c r="G421" s="1014" t="e">
        <v>#N/A</v>
      </c>
      <c r="H421" s="1010" t="e">
        <v>#N/A</v>
      </c>
      <c r="I421" s="3258" t="e">
        <v>#N/A</v>
      </c>
      <c r="J421" s="1010" t="e">
        <v>#N/A</v>
      </c>
      <c r="K421" s="2297" t="e">
        <v>#N/A</v>
      </c>
      <c r="L421" s="1014" t="e">
        <v>#N/A</v>
      </c>
      <c r="M421" s="1010" t="e">
        <v>#N/A</v>
      </c>
      <c r="N421" s="3259" t="e">
        <v>#N/A</v>
      </c>
    </row>
    <row r="422" spans="1:14" ht="12.75" customHeight="1">
      <c r="A422" s="2678">
        <v>2027.05</v>
      </c>
      <c r="B422" s="1014" t="e">
        <v>#N/A</v>
      </c>
      <c r="C422" s="1010" t="e">
        <v>#N/A</v>
      </c>
      <c r="D422" s="3258" t="e">
        <v>#N/A</v>
      </c>
      <c r="E422" s="1010" t="e">
        <v>#N/A</v>
      </c>
      <c r="F422" s="2297" t="e">
        <v>#N/A</v>
      </c>
      <c r="G422" s="1014" t="e">
        <v>#N/A</v>
      </c>
      <c r="H422" s="1010" t="e">
        <v>#N/A</v>
      </c>
      <c r="I422" s="3258" t="e">
        <v>#N/A</v>
      </c>
      <c r="J422" s="1010" t="e">
        <v>#N/A</v>
      </c>
      <c r="K422" s="2297" t="e">
        <v>#N/A</v>
      </c>
      <c r="L422" s="1014" t="e">
        <v>#N/A</v>
      </c>
      <c r="M422" s="1010" t="e">
        <v>#N/A</v>
      </c>
      <c r="N422" s="3259" t="e">
        <v>#N/A</v>
      </c>
    </row>
    <row r="423" spans="1:14" ht="12.75" customHeight="1">
      <c r="A423" s="2678">
        <v>2027.06</v>
      </c>
      <c r="B423" s="1014" t="e">
        <v>#N/A</v>
      </c>
      <c r="C423" s="1010" t="e">
        <v>#N/A</v>
      </c>
      <c r="D423" s="3258" t="e">
        <v>#N/A</v>
      </c>
      <c r="E423" s="1010" t="e">
        <v>#N/A</v>
      </c>
      <c r="F423" s="2297" t="e">
        <v>#N/A</v>
      </c>
      <c r="G423" s="1014" t="e">
        <v>#N/A</v>
      </c>
      <c r="H423" s="1010" t="e">
        <v>#N/A</v>
      </c>
      <c r="I423" s="3258" t="e">
        <v>#N/A</v>
      </c>
      <c r="J423" s="1010" t="e">
        <v>#N/A</v>
      </c>
      <c r="K423" s="2297" t="e">
        <v>#N/A</v>
      </c>
      <c r="L423" s="1014" t="e">
        <v>#N/A</v>
      </c>
      <c r="M423" s="1010" t="e">
        <v>#N/A</v>
      </c>
      <c r="N423" s="3259" t="e">
        <v>#N/A</v>
      </c>
    </row>
    <row r="424" spans="1:14" ht="12.75" customHeight="1">
      <c r="A424" s="2678">
        <v>2027.07</v>
      </c>
      <c r="B424" s="1014" t="e">
        <v>#N/A</v>
      </c>
      <c r="C424" s="1010" t="e">
        <v>#N/A</v>
      </c>
      <c r="D424" s="3258" t="e">
        <v>#N/A</v>
      </c>
      <c r="E424" s="1010" t="e">
        <v>#N/A</v>
      </c>
      <c r="F424" s="2297" t="e">
        <v>#N/A</v>
      </c>
      <c r="G424" s="1014" t="e">
        <v>#N/A</v>
      </c>
      <c r="H424" s="1010" t="e">
        <v>#N/A</v>
      </c>
      <c r="I424" s="3258" t="e">
        <v>#N/A</v>
      </c>
      <c r="J424" s="1010" t="e">
        <v>#N/A</v>
      </c>
      <c r="K424" s="2297" t="e">
        <v>#N/A</v>
      </c>
      <c r="L424" s="1014" t="e">
        <v>#N/A</v>
      </c>
      <c r="M424" s="1010" t="e">
        <v>#N/A</v>
      </c>
      <c r="N424" s="3259" t="e">
        <v>#N/A</v>
      </c>
    </row>
    <row r="425" spans="1:14" ht="12.75" customHeight="1">
      <c r="A425" s="2678">
        <v>2027.08</v>
      </c>
      <c r="B425" s="1014" t="e">
        <v>#N/A</v>
      </c>
      <c r="C425" s="1010" t="e">
        <v>#N/A</v>
      </c>
      <c r="D425" s="3258" t="e">
        <v>#N/A</v>
      </c>
      <c r="E425" s="1010" t="e">
        <v>#N/A</v>
      </c>
      <c r="F425" s="2297" t="e">
        <v>#N/A</v>
      </c>
      <c r="G425" s="1014" t="e">
        <v>#N/A</v>
      </c>
      <c r="H425" s="1010" t="e">
        <v>#N/A</v>
      </c>
      <c r="I425" s="3258" t="e">
        <v>#N/A</v>
      </c>
      <c r="J425" s="1010" t="e">
        <v>#N/A</v>
      </c>
      <c r="K425" s="2297" t="e">
        <v>#N/A</v>
      </c>
      <c r="L425" s="1014" t="e">
        <v>#N/A</v>
      </c>
      <c r="M425" s="1010" t="e">
        <v>#N/A</v>
      </c>
      <c r="N425" s="3259" t="e">
        <v>#N/A</v>
      </c>
    </row>
    <row r="426" spans="1:14" ht="12.75" customHeight="1">
      <c r="A426" s="2678">
        <v>2027.09</v>
      </c>
      <c r="B426" s="1014" t="e">
        <v>#N/A</v>
      </c>
      <c r="C426" s="1010" t="e">
        <v>#N/A</v>
      </c>
      <c r="D426" s="3258" t="e">
        <v>#N/A</v>
      </c>
      <c r="E426" s="1010" t="e">
        <v>#N/A</v>
      </c>
      <c r="F426" s="2297" t="e">
        <v>#N/A</v>
      </c>
      <c r="G426" s="1014" t="e">
        <v>#N/A</v>
      </c>
      <c r="H426" s="1010" t="e">
        <v>#N/A</v>
      </c>
      <c r="I426" s="3258" t="e">
        <v>#N/A</v>
      </c>
      <c r="J426" s="1010" t="e">
        <v>#N/A</v>
      </c>
      <c r="K426" s="2297" t="e">
        <v>#N/A</v>
      </c>
      <c r="L426" s="1014" t="e">
        <v>#N/A</v>
      </c>
      <c r="M426" s="1010" t="e">
        <v>#N/A</v>
      </c>
      <c r="N426" s="3259" t="e">
        <v>#N/A</v>
      </c>
    </row>
    <row r="427" spans="1:14" ht="12.75" customHeight="1">
      <c r="A427" s="2678">
        <v>2027.1</v>
      </c>
      <c r="B427" s="1014" t="e">
        <v>#N/A</v>
      </c>
      <c r="C427" s="1010" t="e">
        <v>#N/A</v>
      </c>
      <c r="D427" s="3258" t="e">
        <v>#N/A</v>
      </c>
      <c r="E427" s="1010" t="e">
        <v>#N/A</v>
      </c>
      <c r="F427" s="2297" t="e">
        <v>#N/A</v>
      </c>
      <c r="G427" s="1014" t="e">
        <v>#N/A</v>
      </c>
      <c r="H427" s="1010" t="e">
        <v>#N/A</v>
      </c>
      <c r="I427" s="3258" t="e">
        <v>#N/A</v>
      </c>
      <c r="J427" s="1010" t="e">
        <v>#N/A</v>
      </c>
      <c r="K427" s="2297" t="e">
        <v>#N/A</v>
      </c>
      <c r="L427" s="1014" t="e">
        <v>#N/A</v>
      </c>
      <c r="M427" s="1010" t="e">
        <v>#N/A</v>
      </c>
      <c r="N427" s="3259" t="e">
        <v>#N/A</v>
      </c>
    </row>
    <row r="428" spans="1:14" ht="12.75" customHeight="1">
      <c r="A428" s="2678">
        <v>2027.11</v>
      </c>
      <c r="B428" s="1014" t="e">
        <v>#N/A</v>
      </c>
      <c r="C428" s="1010" t="e">
        <v>#N/A</v>
      </c>
      <c r="D428" s="3258" t="e">
        <v>#N/A</v>
      </c>
      <c r="E428" s="1010" t="e">
        <v>#N/A</v>
      </c>
      <c r="F428" s="2297" t="e">
        <v>#N/A</v>
      </c>
      <c r="G428" s="1014" t="e">
        <v>#N/A</v>
      </c>
      <c r="H428" s="1010" t="e">
        <v>#N/A</v>
      </c>
      <c r="I428" s="3258" t="e">
        <v>#N/A</v>
      </c>
      <c r="J428" s="1010" t="e">
        <v>#N/A</v>
      </c>
      <c r="K428" s="2297" t="e">
        <v>#N/A</v>
      </c>
      <c r="L428" s="1014" t="e">
        <v>#N/A</v>
      </c>
      <c r="M428" s="1010" t="e">
        <v>#N/A</v>
      </c>
      <c r="N428" s="3259" t="e">
        <v>#N/A</v>
      </c>
    </row>
    <row r="429" spans="1:14" ht="12.75" customHeight="1">
      <c r="A429" s="2678">
        <v>2027.12</v>
      </c>
      <c r="B429" s="1014" t="e">
        <v>#N/A</v>
      </c>
      <c r="C429" s="1010" t="e">
        <v>#N/A</v>
      </c>
      <c r="D429" s="3258" t="e">
        <v>#N/A</v>
      </c>
      <c r="E429" s="1010" t="e">
        <v>#N/A</v>
      </c>
      <c r="F429" s="2297" t="e">
        <v>#N/A</v>
      </c>
      <c r="G429" s="1014" t="e">
        <v>#N/A</v>
      </c>
      <c r="H429" s="1010" t="e">
        <v>#N/A</v>
      </c>
      <c r="I429" s="3258" t="e">
        <v>#N/A</v>
      </c>
      <c r="J429" s="1010" t="e">
        <v>#N/A</v>
      </c>
      <c r="K429" s="2297" t="e">
        <v>#N/A</v>
      </c>
      <c r="L429" s="1014" t="e">
        <v>#N/A</v>
      </c>
      <c r="M429" s="1010" t="e">
        <v>#N/A</v>
      </c>
      <c r="N429" s="3259" t="e">
        <v>#N/A</v>
      </c>
    </row>
    <row r="430" spans="1:14" ht="12.75" customHeight="1">
      <c r="A430" s="2678">
        <v>2028.01</v>
      </c>
      <c r="B430" s="1014" t="e">
        <v>#N/A</v>
      </c>
      <c r="C430" s="1010" t="e">
        <v>#N/A</v>
      </c>
      <c r="D430" s="3258" t="e">
        <v>#N/A</v>
      </c>
      <c r="E430" s="1010" t="e">
        <v>#N/A</v>
      </c>
      <c r="F430" s="2297" t="e">
        <v>#N/A</v>
      </c>
      <c r="G430" s="1014" t="e">
        <v>#N/A</v>
      </c>
      <c r="H430" s="1010" t="e">
        <v>#N/A</v>
      </c>
      <c r="I430" s="3258" t="e">
        <v>#N/A</v>
      </c>
      <c r="J430" s="1010" t="e">
        <v>#N/A</v>
      </c>
      <c r="K430" s="2297" t="e">
        <v>#N/A</v>
      </c>
      <c r="L430" s="1014" t="e">
        <v>#N/A</v>
      </c>
      <c r="M430" s="1010" t="e">
        <v>#N/A</v>
      </c>
      <c r="N430" s="3259" t="e">
        <v>#N/A</v>
      </c>
    </row>
    <row r="431" spans="1:14" ht="12.75" customHeight="1">
      <c r="A431" s="2678">
        <v>2028.02</v>
      </c>
      <c r="B431" s="1014" t="e">
        <v>#N/A</v>
      </c>
      <c r="C431" s="1010" t="e">
        <v>#N/A</v>
      </c>
      <c r="D431" s="3258" t="e">
        <v>#N/A</v>
      </c>
      <c r="E431" s="1010" t="e">
        <v>#N/A</v>
      </c>
      <c r="F431" s="2297" t="e">
        <v>#N/A</v>
      </c>
      <c r="G431" s="1014" t="e">
        <v>#N/A</v>
      </c>
      <c r="H431" s="1010" t="e">
        <v>#N/A</v>
      </c>
      <c r="I431" s="3258" t="e">
        <v>#N/A</v>
      </c>
      <c r="J431" s="1010" t="e">
        <v>#N/A</v>
      </c>
      <c r="K431" s="2297" t="e">
        <v>#N/A</v>
      </c>
      <c r="L431" s="1014" t="e">
        <v>#N/A</v>
      </c>
      <c r="M431" s="1010" t="e">
        <v>#N/A</v>
      </c>
      <c r="N431" s="3259" t="e">
        <v>#N/A</v>
      </c>
    </row>
    <row r="432" spans="1:14" ht="12.75" customHeight="1">
      <c r="A432" s="2678">
        <v>2028.03</v>
      </c>
      <c r="B432" s="1014" t="e">
        <v>#N/A</v>
      </c>
      <c r="C432" s="1010" t="e">
        <v>#N/A</v>
      </c>
      <c r="D432" s="3258" t="e">
        <v>#N/A</v>
      </c>
      <c r="E432" s="1010" t="e">
        <v>#N/A</v>
      </c>
      <c r="F432" s="2297" t="e">
        <v>#N/A</v>
      </c>
      <c r="G432" s="1014" t="e">
        <v>#N/A</v>
      </c>
      <c r="H432" s="1010" t="e">
        <v>#N/A</v>
      </c>
      <c r="I432" s="3258" t="e">
        <v>#N/A</v>
      </c>
      <c r="J432" s="1010" t="e">
        <v>#N/A</v>
      </c>
      <c r="K432" s="2297" t="e">
        <v>#N/A</v>
      </c>
      <c r="L432" s="1014" t="e">
        <v>#N/A</v>
      </c>
      <c r="M432" s="1010" t="e">
        <v>#N/A</v>
      </c>
      <c r="N432" s="3259" t="e">
        <v>#N/A</v>
      </c>
    </row>
    <row r="433" spans="1:14" ht="12.75" customHeight="1">
      <c r="A433" s="2678">
        <v>2028.04</v>
      </c>
      <c r="B433" s="1014" t="e">
        <v>#N/A</v>
      </c>
      <c r="C433" s="1010" t="e">
        <v>#N/A</v>
      </c>
      <c r="D433" s="3258" t="e">
        <v>#N/A</v>
      </c>
      <c r="E433" s="1010" t="e">
        <v>#N/A</v>
      </c>
      <c r="F433" s="2297" t="e">
        <v>#N/A</v>
      </c>
      <c r="G433" s="1014" t="e">
        <v>#N/A</v>
      </c>
      <c r="H433" s="1010" t="e">
        <v>#N/A</v>
      </c>
      <c r="I433" s="3258" t="e">
        <v>#N/A</v>
      </c>
      <c r="J433" s="1010" t="e">
        <v>#N/A</v>
      </c>
      <c r="K433" s="2297" t="e">
        <v>#N/A</v>
      </c>
      <c r="L433" s="1014" t="e">
        <v>#N/A</v>
      </c>
      <c r="M433" s="1010" t="e">
        <v>#N/A</v>
      </c>
      <c r="N433" s="3259" t="e">
        <v>#N/A</v>
      </c>
    </row>
    <row r="434" spans="1:14" ht="12.75" customHeight="1">
      <c r="A434" s="2678">
        <v>2028.05</v>
      </c>
      <c r="B434" s="1014" t="e">
        <v>#N/A</v>
      </c>
      <c r="C434" s="1010" t="e">
        <v>#N/A</v>
      </c>
      <c r="D434" s="3258" t="e">
        <v>#N/A</v>
      </c>
      <c r="E434" s="1010" t="e">
        <v>#N/A</v>
      </c>
      <c r="F434" s="2297" t="e">
        <v>#N/A</v>
      </c>
      <c r="G434" s="1014" t="e">
        <v>#N/A</v>
      </c>
      <c r="H434" s="1010" t="e">
        <v>#N/A</v>
      </c>
      <c r="I434" s="3258" t="e">
        <v>#N/A</v>
      </c>
      <c r="J434" s="1010" t="e">
        <v>#N/A</v>
      </c>
      <c r="K434" s="2297" t="e">
        <v>#N/A</v>
      </c>
      <c r="L434" s="1014" t="e">
        <v>#N/A</v>
      </c>
      <c r="M434" s="1010" t="e">
        <v>#N/A</v>
      </c>
      <c r="N434" s="3259" t="e">
        <v>#N/A</v>
      </c>
    </row>
    <row r="435" spans="1:14" ht="12.75" customHeight="1">
      <c r="A435" s="2678">
        <v>2028.06</v>
      </c>
      <c r="B435" s="1014" t="e">
        <v>#N/A</v>
      </c>
      <c r="C435" s="1010" t="e">
        <v>#N/A</v>
      </c>
      <c r="D435" s="3258" t="e">
        <v>#N/A</v>
      </c>
      <c r="E435" s="1010" t="e">
        <v>#N/A</v>
      </c>
      <c r="F435" s="2297" t="e">
        <v>#N/A</v>
      </c>
      <c r="G435" s="1014" t="e">
        <v>#N/A</v>
      </c>
      <c r="H435" s="1010" t="e">
        <v>#N/A</v>
      </c>
      <c r="I435" s="3258" t="e">
        <v>#N/A</v>
      </c>
      <c r="J435" s="1010" t="e">
        <v>#N/A</v>
      </c>
      <c r="K435" s="2297" t="e">
        <v>#N/A</v>
      </c>
      <c r="L435" s="1014" t="e">
        <v>#N/A</v>
      </c>
      <c r="M435" s="1010" t="e">
        <v>#N/A</v>
      </c>
      <c r="N435" s="3259" t="e">
        <v>#N/A</v>
      </c>
    </row>
    <row r="436" spans="1:14" ht="12.75" customHeight="1">
      <c r="A436" s="2678">
        <v>2028.07</v>
      </c>
      <c r="B436" s="1014" t="e">
        <v>#N/A</v>
      </c>
      <c r="C436" s="1010" t="e">
        <v>#N/A</v>
      </c>
      <c r="D436" s="3258" t="e">
        <v>#N/A</v>
      </c>
      <c r="E436" s="1010" t="e">
        <v>#N/A</v>
      </c>
      <c r="F436" s="2297" t="e">
        <v>#N/A</v>
      </c>
      <c r="G436" s="1014" t="e">
        <v>#N/A</v>
      </c>
      <c r="H436" s="1010" t="e">
        <v>#N/A</v>
      </c>
      <c r="I436" s="3258" t="e">
        <v>#N/A</v>
      </c>
      <c r="J436" s="1010" t="e">
        <v>#N/A</v>
      </c>
      <c r="K436" s="2297" t="e">
        <v>#N/A</v>
      </c>
      <c r="L436" s="1014" t="e">
        <v>#N/A</v>
      </c>
      <c r="M436" s="1010" t="e">
        <v>#N/A</v>
      </c>
      <c r="N436" s="3259" t="e">
        <v>#N/A</v>
      </c>
    </row>
    <row r="437" spans="1:14" ht="12.75" customHeight="1">
      <c r="A437" s="2678">
        <v>2028.08</v>
      </c>
      <c r="B437" s="1014" t="e">
        <v>#N/A</v>
      </c>
      <c r="C437" s="1010" t="e">
        <v>#N/A</v>
      </c>
      <c r="D437" s="3258" t="e">
        <v>#N/A</v>
      </c>
      <c r="E437" s="1010" t="e">
        <v>#N/A</v>
      </c>
      <c r="F437" s="2297" t="e">
        <v>#N/A</v>
      </c>
      <c r="G437" s="1014" t="e">
        <v>#N/A</v>
      </c>
      <c r="H437" s="1010" t="e">
        <v>#N/A</v>
      </c>
      <c r="I437" s="3258" t="e">
        <v>#N/A</v>
      </c>
      <c r="J437" s="1010" t="e">
        <v>#N/A</v>
      </c>
      <c r="K437" s="2297" t="e">
        <v>#N/A</v>
      </c>
      <c r="L437" s="1014" t="e">
        <v>#N/A</v>
      </c>
      <c r="M437" s="1010" t="e">
        <v>#N/A</v>
      </c>
      <c r="N437" s="3259" t="e">
        <v>#N/A</v>
      </c>
    </row>
    <row r="438" spans="1:14" ht="12.75" customHeight="1">
      <c r="A438" s="2678">
        <v>2028.09</v>
      </c>
      <c r="B438" s="1014" t="e">
        <v>#N/A</v>
      </c>
      <c r="C438" s="1010" t="e">
        <v>#N/A</v>
      </c>
      <c r="D438" s="3258" t="e">
        <v>#N/A</v>
      </c>
      <c r="E438" s="1010" t="e">
        <v>#N/A</v>
      </c>
      <c r="F438" s="2297" t="e">
        <v>#N/A</v>
      </c>
      <c r="G438" s="1014" t="e">
        <v>#N/A</v>
      </c>
      <c r="H438" s="1010" t="e">
        <v>#N/A</v>
      </c>
      <c r="I438" s="3258" t="e">
        <v>#N/A</v>
      </c>
      <c r="J438" s="1010" t="e">
        <v>#N/A</v>
      </c>
      <c r="K438" s="2297" t="e">
        <v>#N/A</v>
      </c>
      <c r="L438" s="1014" t="e">
        <v>#N/A</v>
      </c>
      <c r="M438" s="1010" t="e">
        <v>#N/A</v>
      </c>
      <c r="N438" s="3259" t="e">
        <v>#N/A</v>
      </c>
    </row>
    <row r="439" spans="1:14" ht="12.75" customHeight="1">
      <c r="A439" s="2678">
        <v>2028.1</v>
      </c>
      <c r="B439" s="1014" t="e">
        <v>#N/A</v>
      </c>
      <c r="C439" s="1010" t="e">
        <v>#N/A</v>
      </c>
      <c r="D439" s="3258" t="e">
        <v>#N/A</v>
      </c>
      <c r="E439" s="1010" t="e">
        <v>#N/A</v>
      </c>
      <c r="F439" s="2297" t="e">
        <v>#N/A</v>
      </c>
      <c r="G439" s="1014" t="e">
        <v>#N/A</v>
      </c>
      <c r="H439" s="1010" t="e">
        <v>#N/A</v>
      </c>
      <c r="I439" s="3258" t="e">
        <v>#N/A</v>
      </c>
      <c r="J439" s="1010" t="e">
        <v>#N/A</v>
      </c>
      <c r="K439" s="2297" t="e">
        <v>#N/A</v>
      </c>
      <c r="L439" s="1014" t="e">
        <v>#N/A</v>
      </c>
      <c r="M439" s="1010" t="e">
        <v>#N/A</v>
      </c>
      <c r="N439" s="3259" t="e">
        <v>#N/A</v>
      </c>
    </row>
    <row r="440" spans="1:14" ht="12.75" customHeight="1">
      <c r="A440" s="2678">
        <v>2028.11</v>
      </c>
      <c r="B440" s="1014" t="e">
        <v>#N/A</v>
      </c>
      <c r="C440" s="1010" t="e">
        <v>#N/A</v>
      </c>
      <c r="D440" s="3258" t="e">
        <v>#N/A</v>
      </c>
      <c r="E440" s="1010" t="e">
        <v>#N/A</v>
      </c>
      <c r="F440" s="2297" t="e">
        <v>#N/A</v>
      </c>
      <c r="G440" s="1014" t="e">
        <v>#N/A</v>
      </c>
      <c r="H440" s="1010" t="e">
        <v>#N/A</v>
      </c>
      <c r="I440" s="3258" t="e">
        <v>#N/A</v>
      </c>
      <c r="J440" s="1010" t="e">
        <v>#N/A</v>
      </c>
      <c r="K440" s="2297" t="e">
        <v>#N/A</v>
      </c>
      <c r="L440" s="1014" t="e">
        <v>#N/A</v>
      </c>
      <c r="M440" s="1010" t="e">
        <v>#N/A</v>
      </c>
      <c r="N440" s="3259" t="e">
        <v>#N/A</v>
      </c>
    </row>
    <row r="441" spans="1:14" ht="12.75" customHeight="1">
      <c r="A441" s="2678">
        <v>2028.12</v>
      </c>
      <c r="B441" s="1014" t="e">
        <v>#N/A</v>
      </c>
      <c r="C441" s="1010" t="e">
        <v>#N/A</v>
      </c>
      <c r="D441" s="3258" t="e">
        <v>#N/A</v>
      </c>
      <c r="E441" s="1010" t="e">
        <v>#N/A</v>
      </c>
      <c r="F441" s="2297" t="e">
        <v>#N/A</v>
      </c>
      <c r="G441" s="1014" t="e">
        <v>#N/A</v>
      </c>
      <c r="H441" s="1010" t="e">
        <v>#N/A</v>
      </c>
      <c r="I441" s="3258" t="e">
        <v>#N/A</v>
      </c>
      <c r="J441" s="1010" t="e">
        <v>#N/A</v>
      </c>
      <c r="K441" s="2297" t="e">
        <v>#N/A</v>
      </c>
      <c r="L441" s="1014" t="e">
        <v>#N/A</v>
      </c>
      <c r="M441" s="1010" t="e">
        <v>#N/A</v>
      </c>
      <c r="N441" s="3259" t="e">
        <v>#N/A</v>
      </c>
    </row>
    <row r="442" spans="1:14" ht="12.75" customHeight="1">
      <c r="A442" s="2678">
        <v>2029.01</v>
      </c>
      <c r="B442" s="1014" t="e">
        <v>#N/A</v>
      </c>
      <c r="C442" s="1010" t="e">
        <v>#N/A</v>
      </c>
      <c r="D442" s="3258" t="e">
        <v>#N/A</v>
      </c>
      <c r="E442" s="1010" t="e">
        <v>#N/A</v>
      </c>
      <c r="F442" s="2297" t="e">
        <v>#N/A</v>
      </c>
      <c r="G442" s="1014" t="e">
        <v>#N/A</v>
      </c>
      <c r="H442" s="1010" t="e">
        <v>#N/A</v>
      </c>
      <c r="I442" s="3258" t="e">
        <v>#N/A</v>
      </c>
      <c r="J442" s="1010" t="e">
        <v>#N/A</v>
      </c>
      <c r="K442" s="2297" t="e">
        <v>#N/A</v>
      </c>
      <c r="L442" s="1014" t="e">
        <v>#N/A</v>
      </c>
      <c r="M442" s="1010" t="e">
        <v>#N/A</v>
      </c>
      <c r="N442" s="3259" t="e">
        <v>#N/A</v>
      </c>
    </row>
    <row r="443" spans="1:14" ht="12.75" customHeight="1">
      <c r="A443" s="2678">
        <v>2029.02</v>
      </c>
      <c r="B443" s="1014" t="e">
        <v>#N/A</v>
      </c>
      <c r="C443" s="1010" t="e">
        <v>#N/A</v>
      </c>
      <c r="D443" s="3258" t="e">
        <v>#N/A</v>
      </c>
      <c r="E443" s="1010" t="e">
        <v>#N/A</v>
      </c>
      <c r="F443" s="2297" t="e">
        <v>#N/A</v>
      </c>
      <c r="G443" s="1014" t="e">
        <v>#N/A</v>
      </c>
      <c r="H443" s="1010" t="e">
        <v>#N/A</v>
      </c>
      <c r="I443" s="3258" t="e">
        <v>#N/A</v>
      </c>
      <c r="J443" s="1010" t="e">
        <v>#N/A</v>
      </c>
      <c r="K443" s="2297" t="e">
        <v>#N/A</v>
      </c>
      <c r="L443" s="1014" t="e">
        <v>#N/A</v>
      </c>
      <c r="M443" s="1010" t="e">
        <v>#N/A</v>
      </c>
      <c r="N443" s="3259" t="e">
        <v>#N/A</v>
      </c>
    </row>
    <row r="444" spans="1:14" ht="12.75" customHeight="1">
      <c r="A444" s="2678">
        <v>2029.03</v>
      </c>
      <c r="B444" s="1014" t="e">
        <v>#N/A</v>
      </c>
      <c r="C444" s="1010" t="e">
        <v>#N/A</v>
      </c>
      <c r="D444" s="3258" t="e">
        <v>#N/A</v>
      </c>
      <c r="E444" s="1010" t="e">
        <v>#N/A</v>
      </c>
      <c r="F444" s="2297" t="e">
        <v>#N/A</v>
      </c>
      <c r="G444" s="1014" t="e">
        <v>#N/A</v>
      </c>
      <c r="H444" s="1010" t="e">
        <v>#N/A</v>
      </c>
      <c r="I444" s="3258" t="e">
        <v>#N/A</v>
      </c>
      <c r="J444" s="1010" t="e">
        <v>#N/A</v>
      </c>
      <c r="K444" s="2297" t="e">
        <v>#N/A</v>
      </c>
      <c r="L444" s="1014" t="e">
        <v>#N/A</v>
      </c>
      <c r="M444" s="1010" t="e">
        <v>#N/A</v>
      </c>
      <c r="N444" s="3259" t="e">
        <v>#N/A</v>
      </c>
    </row>
    <row r="445" spans="1:14" ht="12.75" customHeight="1">
      <c r="A445" s="2678">
        <v>2029.04</v>
      </c>
      <c r="B445" s="1014" t="e">
        <v>#N/A</v>
      </c>
      <c r="C445" s="1010" t="e">
        <v>#N/A</v>
      </c>
      <c r="D445" s="3258" t="e">
        <v>#N/A</v>
      </c>
      <c r="E445" s="1010" t="e">
        <v>#N/A</v>
      </c>
      <c r="F445" s="2297" t="e">
        <v>#N/A</v>
      </c>
      <c r="G445" s="1014" t="e">
        <v>#N/A</v>
      </c>
      <c r="H445" s="1010" t="e">
        <v>#N/A</v>
      </c>
      <c r="I445" s="3258" t="e">
        <v>#N/A</v>
      </c>
      <c r="J445" s="1010" t="e">
        <v>#N/A</v>
      </c>
      <c r="K445" s="2297" t="e">
        <v>#N/A</v>
      </c>
      <c r="L445" s="1014" t="e">
        <v>#N/A</v>
      </c>
      <c r="M445" s="1010" t="e">
        <v>#N/A</v>
      </c>
      <c r="N445" s="3259" t="e">
        <v>#N/A</v>
      </c>
    </row>
    <row r="446" spans="1:14" ht="12.75" customHeight="1">
      <c r="A446" s="2678">
        <v>2029.05</v>
      </c>
      <c r="B446" s="1014" t="e">
        <v>#N/A</v>
      </c>
      <c r="C446" s="1010" t="e">
        <v>#N/A</v>
      </c>
      <c r="D446" s="3258" t="e">
        <v>#N/A</v>
      </c>
      <c r="E446" s="1010" t="e">
        <v>#N/A</v>
      </c>
      <c r="F446" s="2297" t="e">
        <v>#N/A</v>
      </c>
      <c r="G446" s="1014" t="e">
        <v>#N/A</v>
      </c>
      <c r="H446" s="1010" t="e">
        <v>#N/A</v>
      </c>
      <c r="I446" s="3258" t="e">
        <v>#N/A</v>
      </c>
      <c r="J446" s="1010" t="e">
        <v>#N/A</v>
      </c>
      <c r="K446" s="2297" t="e">
        <v>#N/A</v>
      </c>
      <c r="L446" s="1014" t="e">
        <v>#N/A</v>
      </c>
      <c r="M446" s="1010" t="e">
        <v>#N/A</v>
      </c>
      <c r="N446" s="3259" t="e">
        <v>#N/A</v>
      </c>
    </row>
    <row r="447" spans="1:14" ht="12.75" customHeight="1">
      <c r="A447" s="2678">
        <v>2029.06</v>
      </c>
      <c r="B447" s="1014" t="e">
        <v>#N/A</v>
      </c>
      <c r="C447" s="1010" t="e">
        <v>#N/A</v>
      </c>
      <c r="D447" s="3258" t="e">
        <v>#N/A</v>
      </c>
      <c r="E447" s="1010" t="e">
        <v>#N/A</v>
      </c>
      <c r="F447" s="2297" t="e">
        <v>#N/A</v>
      </c>
      <c r="G447" s="1014" t="e">
        <v>#N/A</v>
      </c>
      <c r="H447" s="1010" t="e">
        <v>#N/A</v>
      </c>
      <c r="I447" s="3258" t="e">
        <v>#N/A</v>
      </c>
      <c r="J447" s="1010" t="e">
        <v>#N/A</v>
      </c>
      <c r="K447" s="2297" t="e">
        <v>#N/A</v>
      </c>
      <c r="L447" s="1014" t="e">
        <v>#N/A</v>
      </c>
      <c r="M447" s="1010" t="e">
        <v>#N/A</v>
      </c>
      <c r="N447" s="3259" t="e">
        <v>#N/A</v>
      </c>
    </row>
    <row r="448" spans="1:14" ht="12.75" customHeight="1">
      <c r="A448" s="2678">
        <v>2029.07</v>
      </c>
      <c r="B448" s="1014" t="e">
        <v>#N/A</v>
      </c>
      <c r="C448" s="1010" t="e">
        <v>#N/A</v>
      </c>
      <c r="D448" s="3258" t="e">
        <v>#N/A</v>
      </c>
      <c r="E448" s="1010" t="e">
        <v>#N/A</v>
      </c>
      <c r="F448" s="2297" t="e">
        <v>#N/A</v>
      </c>
      <c r="G448" s="1014" t="e">
        <v>#N/A</v>
      </c>
      <c r="H448" s="1010" t="e">
        <v>#N/A</v>
      </c>
      <c r="I448" s="3258" t="e">
        <v>#N/A</v>
      </c>
      <c r="J448" s="1010" t="e">
        <v>#N/A</v>
      </c>
      <c r="K448" s="2297" t="e">
        <v>#N/A</v>
      </c>
      <c r="L448" s="1014" t="e">
        <v>#N/A</v>
      </c>
      <c r="M448" s="1010" t="e">
        <v>#N/A</v>
      </c>
      <c r="N448" s="3259" t="e">
        <v>#N/A</v>
      </c>
    </row>
    <row r="449" spans="1:14" ht="12.75" customHeight="1">
      <c r="A449" s="2678">
        <v>2029.08</v>
      </c>
      <c r="B449" s="1014" t="e">
        <v>#N/A</v>
      </c>
      <c r="C449" s="1010" t="e">
        <v>#N/A</v>
      </c>
      <c r="D449" s="3258" t="e">
        <v>#N/A</v>
      </c>
      <c r="E449" s="1010" t="e">
        <v>#N/A</v>
      </c>
      <c r="F449" s="2297" t="e">
        <v>#N/A</v>
      </c>
      <c r="G449" s="1014" t="e">
        <v>#N/A</v>
      </c>
      <c r="H449" s="1010" t="e">
        <v>#N/A</v>
      </c>
      <c r="I449" s="3258" t="e">
        <v>#N/A</v>
      </c>
      <c r="J449" s="1010" t="e">
        <v>#N/A</v>
      </c>
      <c r="K449" s="2297" t="e">
        <v>#N/A</v>
      </c>
      <c r="L449" s="1014" t="e">
        <v>#N/A</v>
      </c>
      <c r="M449" s="1010" t="e">
        <v>#N/A</v>
      </c>
      <c r="N449" s="3259" t="e">
        <v>#N/A</v>
      </c>
    </row>
    <row r="450" spans="1:14" ht="12.75" customHeight="1">
      <c r="A450" s="2678">
        <v>2029.09</v>
      </c>
      <c r="B450" s="1014" t="e">
        <v>#N/A</v>
      </c>
      <c r="C450" s="1010" t="e">
        <v>#N/A</v>
      </c>
      <c r="D450" s="3258" t="e">
        <v>#N/A</v>
      </c>
      <c r="E450" s="1010" t="e">
        <v>#N/A</v>
      </c>
      <c r="F450" s="2297" t="e">
        <v>#N/A</v>
      </c>
      <c r="G450" s="1014" t="e">
        <v>#N/A</v>
      </c>
      <c r="H450" s="1010" t="e">
        <v>#N/A</v>
      </c>
      <c r="I450" s="3258" t="e">
        <v>#N/A</v>
      </c>
      <c r="J450" s="1010" t="e">
        <v>#N/A</v>
      </c>
      <c r="K450" s="2297" t="e">
        <v>#N/A</v>
      </c>
      <c r="L450" s="1014" t="e">
        <v>#N/A</v>
      </c>
      <c r="M450" s="1010" t="e">
        <v>#N/A</v>
      </c>
      <c r="N450" s="3259" t="e">
        <v>#N/A</v>
      </c>
    </row>
    <row r="451" spans="1:14" ht="12.75" customHeight="1">
      <c r="A451" s="2678">
        <v>2029.1</v>
      </c>
      <c r="B451" s="1014" t="e">
        <v>#N/A</v>
      </c>
      <c r="C451" s="1010" t="e">
        <v>#N/A</v>
      </c>
      <c r="D451" s="3258" t="e">
        <v>#N/A</v>
      </c>
      <c r="E451" s="1010" t="e">
        <v>#N/A</v>
      </c>
      <c r="F451" s="2297" t="e">
        <v>#N/A</v>
      </c>
      <c r="G451" s="1014" t="e">
        <v>#N/A</v>
      </c>
      <c r="H451" s="1010" t="e">
        <v>#N/A</v>
      </c>
      <c r="I451" s="3258" t="e">
        <v>#N/A</v>
      </c>
      <c r="J451" s="1010" t="e">
        <v>#N/A</v>
      </c>
      <c r="K451" s="2297" t="e">
        <v>#N/A</v>
      </c>
      <c r="L451" s="1014" t="e">
        <v>#N/A</v>
      </c>
      <c r="M451" s="1010" t="e">
        <v>#N/A</v>
      </c>
      <c r="N451" s="3259" t="e">
        <v>#N/A</v>
      </c>
    </row>
    <row r="452" spans="1:14" ht="12.75" customHeight="1">
      <c r="A452" s="2678">
        <v>2029.11</v>
      </c>
      <c r="B452" s="1014" t="e">
        <v>#N/A</v>
      </c>
      <c r="C452" s="1010" t="e">
        <v>#N/A</v>
      </c>
      <c r="D452" s="3258" t="e">
        <v>#N/A</v>
      </c>
      <c r="E452" s="1010" t="e">
        <v>#N/A</v>
      </c>
      <c r="F452" s="2297" t="e">
        <v>#N/A</v>
      </c>
      <c r="G452" s="1014" t="e">
        <v>#N/A</v>
      </c>
      <c r="H452" s="1010" t="e">
        <v>#N/A</v>
      </c>
      <c r="I452" s="3258" t="e">
        <v>#N/A</v>
      </c>
      <c r="J452" s="1010" t="e">
        <v>#N/A</v>
      </c>
      <c r="K452" s="2297" t="e">
        <v>#N/A</v>
      </c>
      <c r="L452" s="1014" t="e">
        <v>#N/A</v>
      </c>
      <c r="M452" s="1010" t="e">
        <v>#N/A</v>
      </c>
      <c r="N452" s="3259" t="e">
        <v>#N/A</v>
      </c>
    </row>
    <row r="453" spans="1:14" ht="12.75" customHeight="1">
      <c r="A453" s="2678">
        <v>2029.12</v>
      </c>
      <c r="B453" s="1014" t="e">
        <v>#N/A</v>
      </c>
      <c r="C453" s="1010" t="e">
        <v>#N/A</v>
      </c>
      <c r="D453" s="3258" t="e">
        <v>#N/A</v>
      </c>
      <c r="E453" s="1010" t="e">
        <v>#N/A</v>
      </c>
      <c r="F453" s="2297" t="e">
        <v>#N/A</v>
      </c>
      <c r="G453" s="1014" t="e">
        <v>#N/A</v>
      </c>
      <c r="H453" s="1010" t="e">
        <v>#N/A</v>
      </c>
      <c r="I453" s="3258" t="e">
        <v>#N/A</v>
      </c>
      <c r="J453" s="1010" t="e">
        <v>#N/A</v>
      </c>
      <c r="K453" s="2297" t="e">
        <v>#N/A</v>
      </c>
      <c r="L453" s="1014" t="e">
        <v>#N/A</v>
      </c>
      <c r="M453" s="1010" t="e">
        <v>#N/A</v>
      </c>
      <c r="N453" s="3259" t="e">
        <v>#N/A</v>
      </c>
    </row>
    <row r="454" spans="1:14" ht="12.75" customHeight="1">
      <c r="A454" s="2678">
        <v>2030.01</v>
      </c>
      <c r="B454" s="1014" t="e">
        <v>#N/A</v>
      </c>
      <c r="C454" s="1010" t="e">
        <v>#N/A</v>
      </c>
      <c r="D454" s="3258" t="e">
        <v>#N/A</v>
      </c>
      <c r="E454" s="1010" t="e">
        <v>#N/A</v>
      </c>
      <c r="F454" s="2297" t="e">
        <v>#N/A</v>
      </c>
      <c r="G454" s="1014" t="e">
        <v>#N/A</v>
      </c>
      <c r="H454" s="1010" t="e">
        <v>#N/A</v>
      </c>
      <c r="I454" s="3258" t="e">
        <v>#N/A</v>
      </c>
      <c r="J454" s="1010" t="e">
        <v>#N/A</v>
      </c>
      <c r="K454" s="2297" t="e">
        <v>#N/A</v>
      </c>
      <c r="L454" s="1014" t="e">
        <v>#N/A</v>
      </c>
      <c r="M454" s="1010" t="e">
        <v>#N/A</v>
      </c>
      <c r="N454" s="3259" t="e">
        <v>#N/A</v>
      </c>
    </row>
    <row r="455" spans="1:14" ht="12.75" customHeight="1">
      <c r="A455" s="2678">
        <v>2030.02</v>
      </c>
      <c r="B455" s="1014" t="e">
        <v>#N/A</v>
      </c>
      <c r="C455" s="1010" t="e">
        <v>#N/A</v>
      </c>
      <c r="D455" s="3258" t="e">
        <v>#N/A</v>
      </c>
      <c r="E455" s="1010" t="e">
        <v>#N/A</v>
      </c>
      <c r="F455" s="2297" t="e">
        <v>#N/A</v>
      </c>
      <c r="G455" s="1014" t="e">
        <v>#N/A</v>
      </c>
      <c r="H455" s="1010" t="e">
        <v>#N/A</v>
      </c>
      <c r="I455" s="3258" t="e">
        <v>#N/A</v>
      </c>
      <c r="J455" s="1010" t="e">
        <v>#N/A</v>
      </c>
      <c r="K455" s="2297" t="e">
        <v>#N/A</v>
      </c>
      <c r="L455" s="1014" t="e">
        <v>#N/A</v>
      </c>
      <c r="M455" s="1010" t="e">
        <v>#N/A</v>
      </c>
      <c r="N455" s="3259" t="e">
        <v>#N/A</v>
      </c>
    </row>
    <row r="456" spans="1:14" ht="12.75" customHeight="1">
      <c r="A456" s="2678">
        <v>2030.03</v>
      </c>
      <c r="B456" s="1014" t="e">
        <v>#N/A</v>
      </c>
      <c r="C456" s="1010" t="e">
        <v>#N/A</v>
      </c>
      <c r="D456" s="3258" t="e">
        <v>#N/A</v>
      </c>
      <c r="E456" s="1010" t="e">
        <v>#N/A</v>
      </c>
      <c r="F456" s="2297" t="e">
        <v>#N/A</v>
      </c>
      <c r="G456" s="1014" t="e">
        <v>#N/A</v>
      </c>
      <c r="H456" s="1010" t="e">
        <v>#N/A</v>
      </c>
      <c r="I456" s="3258" t="e">
        <v>#N/A</v>
      </c>
      <c r="J456" s="1010" t="e">
        <v>#N/A</v>
      </c>
      <c r="K456" s="2297" t="e">
        <v>#N/A</v>
      </c>
      <c r="L456" s="1014" t="e">
        <v>#N/A</v>
      </c>
      <c r="M456" s="1010" t="e">
        <v>#N/A</v>
      </c>
      <c r="N456" s="3259" t="e">
        <v>#N/A</v>
      </c>
    </row>
    <row r="457" spans="1:14" ht="12.75" customHeight="1">
      <c r="A457" s="2678">
        <v>2030.04</v>
      </c>
      <c r="B457" s="1014" t="e">
        <v>#N/A</v>
      </c>
      <c r="C457" s="1010" t="e">
        <v>#N/A</v>
      </c>
      <c r="D457" s="3258" t="e">
        <v>#N/A</v>
      </c>
      <c r="E457" s="1010" t="e">
        <v>#N/A</v>
      </c>
      <c r="F457" s="2297" t="e">
        <v>#N/A</v>
      </c>
      <c r="G457" s="1014" t="e">
        <v>#N/A</v>
      </c>
      <c r="H457" s="1010" t="e">
        <v>#N/A</v>
      </c>
      <c r="I457" s="3258" t="e">
        <v>#N/A</v>
      </c>
      <c r="J457" s="1010" t="e">
        <v>#N/A</v>
      </c>
      <c r="K457" s="2297" t="e">
        <v>#N/A</v>
      </c>
      <c r="L457" s="1014" t="e">
        <v>#N/A</v>
      </c>
      <c r="M457" s="1010" t="e">
        <v>#N/A</v>
      </c>
      <c r="N457" s="3259" t="e">
        <v>#N/A</v>
      </c>
    </row>
    <row r="458" spans="1:14" ht="12.75" customHeight="1">
      <c r="A458" s="2678">
        <v>2030.05</v>
      </c>
      <c r="B458" s="1014" t="e">
        <v>#N/A</v>
      </c>
      <c r="C458" s="1010" t="e">
        <v>#N/A</v>
      </c>
      <c r="D458" s="3258" t="e">
        <v>#N/A</v>
      </c>
      <c r="E458" s="1010" t="e">
        <v>#N/A</v>
      </c>
      <c r="F458" s="2297" t="e">
        <v>#N/A</v>
      </c>
      <c r="G458" s="1014" t="e">
        <v>#N/A</v>
      </c>
      <c r="H458" s="1010" t="e">
        <v>#N/A</v>
      </c>
      <c r="I458" s="3258" t="e">
        <v>#N/A</v>
      </c>
      <c r="J458" s="1010" t="e">
        <v>#N/A</v>
      </c>
      <c r="K458" s="2297" t="e">
        <v>#N/A</v>
      </c>
      <c r="L458" s="1014" t="e">
        <v>#N/A</v>
      </c>
      <c r="M458" s="1010" t="e">
        <v>#N/A</v>
      </c>
      <c r="N458" s="3259" t="e">
        <v>#N/A</v>
      </c>
    </row>
    <row r="459" spans="1:14" ht="12.75" customHeight="1">
      <c r="A459" s="2678">
        <v>2030.06</v>
      </c>
      <c r="B459" s="1014" t="e">
        <v>#N/A</v>
      </c>
      <c r="C459" s="1010" t="e">
        <v>#N/A</v>
      </c>
      <c r="D459" s="3258" t="e">
        <v>#N/A</v>
      </c>
      <c r="E459" s="1010" t="e">
        <v>#N/A</v>
      </c>
      <c r="F459" s="2297" t="e">
        <v>#N/A</v>
      </c>
      <c r="G459" s="1014" t="e">
        <v>#N/A</v>
      </c>
      <c r="H459" s="1010" t="e">
        <v>#N/A</v>
      </c>
      <c r="I459" s="3258" t="e">
        <v>#N/A</v>
      </c>
      <c r="J459" s="1010" t="e">
        <v>#N/A</v>
      </c>
      <c r="K459" s="2297" t="e">
        <v>#N/A</v>
      </c>
      <c r="L459" s="1014" t="e">
        <v>#N/A</v>
      </c>
      <c r="M459" s="1010" t="e">
        <v>#N/A</v>
      </c>
      <c r="N459" s="3259" t="e">
        <v>#N/A</v>
      </c>
    </row>
    <row r="460" spans="1:14" ht="12.75" customHeight="1">
      <c r="A460" s="2678">
        <v>2030.07</v>
      </c>
      <c r="B460" s="1014" t="e">
        <v>#N/A</v>
      </c>
      <c r="C460" s="1010" t="e">
        <v>#N/A</v>
      </c>
      <c r="D460" s="3258" t="e">
        <v>#N/A</v>
      </c>
      <c r="E460" s="1010" t="e">
        <v>#N/A</v>
      </c>
      <c r="F460" s="2297" t="e">
        <v>#N/A</v>
      </c>
      <c r="G460" s="1014" t="e">
        <v>#N/A</v>
      </c>
      <c r="H460" s="1010" t="e">
        <v>#N/A</v>
      </c>
      <c r="I460" s="3258" t="e">
        <v>#N/A</v>
      </c>
      <c r="J460" s="1010" t="e">
        <v>#N/A</v>
      </c>
      <c r="K460" s="2297" t="e">
        <v>#N/A</v>
      </c>
      <c r="L460" s="1014" t="e">
        <v>#N/A</v>
      </c>
      <c r="M460" s="1010" t="e">
        <v>#N/A</v>
      </c>
      <c r="N460" s="3259" t="e">
        <v>#N/A</v>
      </c>
    </row>
    <row r="461" spans="1:14" ht="12.75" customHeight="1">
      <c r="A461" s="2678">
        <v>2030.08</v>
      </c>
      <c r="B461" s="1014" t="e">
        <v>#N/A</v>
      </c>
      <c r="C461" s="1010" t="e">
        <v>#N/A</v>
      </c>
      <c r="D461" s="3258" t="e">
        <v>#N/A</v>
      </c>
      <c r="E461" s="1010" t="e">
        <v>#N/A</v>
      </c>
      <c r="F461" s="2297" t="e">
        <v>#N/A</v>
      </c>
      <c r="G461" s="1014" t="e">
        <v>#N/A</v>
      </c>
      <c r="H461" s="1010" t="e">
        <v>#N/A</v>
      </c>
      <c r="I461" s="3258" t="e">
        <v>#N/A</v>
      </c>
      <c r="J461" s="1010" t="e">
        <v>#N/A</v>
      </c>
      <c r="K461" s="2297" t="e">
        <v>#N/A</v>
      </c>
      <c r="L461" s="1014" t="e">
        <v>#N/A</v>
      </c>
      <c r="M461" s="1010" t="e">
        <v>#N/A</v>
      </c>
      <c r="N461" s="3259" t="e">
        <v>#N/A</v>
      </c>
    </row>
    <row r="462" spans="1:14" ht="12.75" customHeight="1">
      <c r="A462" s="2678">
        <v>2030.09</v>
      </c>
      <c r="B462" s="1014" t="e">
        <v>#N/A</v>
      </c>
      <c r="C462" s="1010" t="e">
        <v>#N/A</v>
      </c>
      <c r="D462" s="3258" t="e">
        <v>#N/A</v>
      </c>
      <c r="E462" s="1010" t="e">
        <v>#N/A</v>
      </c>
      <c r="F462" s="2297" t="e">
        <v>#N/A</v>
      </c>
      <c r="G462" s="1014" t="e">
        <v>#N/A</v>
      </c>
      <c r="H462" s="1010" t="e">
        <v>#N/A</v>
      </c>
      <c r="I462" s="3258" t="e">
        <v>#N/A</v>
      </c>
      <c r="J462" s="1010" t="e">
        <v>#N/A</v>
      </c>
      <c r="K462" s="2297" t="e">
        <v>#N/A</v>
      </c>
      <c r="L462" s="1014" t="e">
        <v>#N/A</v>
      </c>
      <c r="M462" s="1010" t="e">
        <v>#N/A</v>
      </c>
      <c r="N462" s="3259" t="e">
        <v>#N/A</v>
      </c>
    </row>
    <row r="463" spans="1:14" ht="12.75" customHeight="1">
      <c r="A463" s="2678">
        <v>2030.1</v>
      </c>
      <c r="B463" s="1014" t="e">
        <v>#N/A</v>
      </c>
      <c r="C463" s="1010" t="e">
        <v>#N/A</v>
      </c>
      <c r="D463" s="3258" t="e">
        <v>#N/A</v>
      </c>
      <c r="E463" s="1010" t="e">
        <v>#N/A</v>
      </c>
      <c r="F463" s="2297" t="e">
        <v>#N/A</v>
      </c>
      <c r="G463" s="1014" t="e">
        <v>#N/A</v>
      </c>
      <c r="H463" s="1010" t="e">
        <v>#N/A</v>
      </c>
      <c r="I463" s="3258" t="e">
        <v>#N/A</v>
      </c>
      <c r="J463" s="1010" t="e">
        <v>#N/A</v>
      </c>
      <c r="K463" s="2297" t="e">
        <v>#N/A</v>
      </c>
      <c r="L463" s="1014" t="e">
        <v>#N/A</v>
      </c>
      <c r="M463" s="1010" t="e">
        <v>#N/A</v>
      </c>
      <c r="N463" s="3259" t="e">
        <v>#N/A</v>
      </c>
    </row>
    <row r="464" spans="1:14" ht="12.75" customHeight="1">
      <c r="A464" s="2678">
        <v>2030.11</v>
      </c>
      <c r="B464" s="1014" t="e">
        <v>#N/A</v>
      </c>
      <c r="C464" s="1010" t="e">
        <v>#N/A</v>
      </c>
      <c r="D464" s="3258" t="e">
        <v>#N/A</v>
      </c>
      <c r="E464" s="1010" t="e">
        <v>#N/A</v>
      </c>
      <c r="F464" s="2297" t="e">
        <v>#N/A</v>
      </c>
      <c r="G464" s="1014" t="e">
        <v>#N/A</v>
      </c>
      <c r="H464" s="1010" t="e">
        <v>#N/A</v>
      </c>
      <c r="I464" s="3258" t="e">
        <v>#N/A</v>
      </c>
      <c r="J464" s="1010" t="e">
        <v>#N/A</v>
      </c>
      <c r="K464" s="2297" t="e">
        <v>#N/A</v>
      </c>
      <c r="L464" s="1014" t="e">
        <v>#N/A</v>
      </c>
      <c r="M464" s="1010" t="e">
        <v>#N/A</v>
      </c>
      <c r="N464" s="3259" t="e">
        <v>#N/A</v>
      </c>
    </row>
    <row r="465" spans="1:14" ht="12.75" customHeight="1">
      <c r="A465" s="2678">
        <v>2030.12</v>
      </c>
      <c r="B465" s="1014" t="e">
        <v>#N/A</v>
      </c>
      <c r="C465" s="1010" t="e">
        <v>#N/A</v>
      </c>
      <c r="D465" s="3258" t="e">
        <v>#N/A</v>
      </c>
      <c r="E465" s="1010" t="e">
        <v>#N/A</v>
      </c>
      <c r="F465" s="2297" t="e">
        <v>#N/A</v>
      </c>
      <c r="G465" s="1014" t="e">
        <v>#N/A</v>
      </c>
      <c r="H465" s="1010" t="e">
        <v>#N/A</v>
      </c>
      <c r="I465" s="3258" t="e">
        <v>#N/A</v>
      </c>
      <c r="J465" s="1010" t="e">
        <v>#N/A</v>
      </c>
      <c r="K465" s="2297" t="e">
        <v>#N/A</v>
      </c>
      <c r="L465" s="1014" t="e">
        <v>#N/A</v>
      </c>
      <c r="M465" s="1010" t="e">
        <v>#N/A</v>
      </c>
      <c r="N465" s="3259" t="e">
        <v>#N/A</v>
      </c>
    </row>
  </sheetData>
  <phoneticPr fontId="68" type="noConversion"/>
  <hyperlinks>
    <hyperlink ref="A1:A3" location="Indice!A1" display="ÍNDICE" xr:uid="{00000000-0004-0000-3700-000000000000}"/>
    <hyperlink ref="A5" location="INDICE!A13" display="VOLVER AL INDICE" xr:uid="{00000000-0004-0000-37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68"/>
  <dimension ref="A1:D429"/>
  <sheetViews>
    <sheetView zoomScale="130" zoomScaleNormal="130" workbookViewId="0">
      <pane xSplit="1" ySplit="9" topLeftCell="B348" activePane="bottomRight" state="frozen"/>
      <selection pane="topRight" sqref="A1:A5"/>
      <selection pane="bottomLeft" sqref="A1:A5"/>
      <selection pane="bottomRight" activeCell="A5" sqref="A5"/>
    </sheetView>
  </sheetViews>
  <sheetFormatPr baseColWidth="10" defaultColWidth="12.5703125" defaultRowHeight="12.75"/>
  <cols>
    <col min="1" max="1" width="11" style="103" customWidth="1"/>
    <col min="2" max="2" width="22.7109375" style="103" customWidth="1"/>
    <col min="3" max="3" width="12.5703125" style="21"/>
    <col min="4" max="4" width="21" style="21" bestFit="1" customWidth="1"/>
    <col min="5" max="16384" width="12.5703125" style="21"/>
  </cols>
  <sheetData>
    <row r="1" spans="1:3" s="19" customFormat="1" ht="3.75" customHeight="1">
      <c r="A1" s="34"/>
      <c r="B1" s="2185"/>
      <c r="C1" s="2189"/>
    </row>
    <row r="2" spans="1:3" s="19" customFormat="1" ht="33.75">
      <c r="A2" s="59" t="s">
        <v>105</v>
      </c>
      <c r="B2" s="3225" t="s">
        <v>106</v>
      </c>
      <c r="C2" s="2189"/>
    </row>
    <row r="3" spans="1:3" s="19" customFormat="1" ht="22.5">
      <c r="A3" s="59" t="s">
        <v>212</v>
      </c>
      <c r="B3" s="224" t="s">
        <v>115</v>
      </c>
      <c r="C3" s="2189"/>
    </row>
    <row r="4" spans="1:3" s="19" customFormat="1" ht="2.25" hidden="1" customHeight="1">
      <c r="A4" s="104"/>
      <c r="B4" s="107"/>
      <c r="C4" s="2189"/>
    </row>
    <row r="5" spans="1:3" s="19" customFormat="1" ht="22.5">
      <c r="A5" s="2390" t="s">
        <v>137</v>
      </c>
      <c r="B5" s="2298" t="s">
        <v>1539</v>
      </c>
      <c r="C5" s="2189"/>
    </row>
    <row r="6" spans="1:3" s="19" customFormat="1" ht="6" hidden="1" customHeight="1">
      <c r="A6" s="105"/>
      <c r="B6" s="2298"/>
      <c r="C6" s="2189"/>
    </row>
    <row r="7" spans="1:3" s="19" customFormat="1" ht="22.5">
      <c r="A7" s="2373" t="s">
        <v>123</v>
      </c>
      <c r="B7" s="2299" t="s">
        <v>127</v>
      </c>
      <c r="C7" s="2189"/>
    </row>
    <row r="8" spans="1:3" s="19" customFormat="1" ht="13.5" thickBot="1">
      <c r="A8" s="105" t="s">
        <v>141</v>
      </c>
      <c r="B8" s="149" t="s">
        <v>1540</v>
      </c>
      <c r="C8" s="2189"/>
    </row>
    <row r="9" spans="1:3" s="20" customFormat="1" ht="11.85" hidden="1" customHeight="1" thickBot="1">
      <c r="A9" s="72"/>
      <c r="B9" s="2679"/>
      <c r="C9" s="2201"/>
    </row>
    <row r="10" spans="1:3" s="20" customFormat="1" ht="11.85" customHeight="1">
      <c r="A10" s="2320">
        <v>1996.01</v>
      </c>
      <c r="B10" s="2680">
        <v>121.9433540332504</v>
      </c>
      <c r="C10" s="2201"/>
    </row>
    <row r="11" spans="1:3" s="20" customFormat="1" ht="11.85" customHeight="1">
      <c r="A11" s="2202">
        <v>1996.02</v>
      </c>
      <c r="B11" s="287">
        <v>121.88931255512765</v>
      </c>
      <c r="C11" s="2201"/>
    </row>
    <row r="12" spans="1:3" s="20" customFormat="1" ht="11.85" customHeight="1">
      <c r="A12" s="2202">
        <v>1996.03</v>
      </c>
      <c r="B12" s="287">
        <v>123.92272589575512</v>
      </c>
      <c r="C12" s="2201"/>
    </row>
    <row r="13" spans="1:3" s="20" customFormat="1" ht="11.85" customHeight="1">
      <c r="A13" s="2202">
        <v>1996.04</v>
      </c>
      <c r="B13" s="287">
        <v>133.29752799254621</v>
      </c>
      <c r="C13" s="2201"/>
    </row>
    <row r="14" spans="1:3" s="20" customFormat="1" ht="11.85" customHeight="1">
      <c r="A14" s="2202">
        <v>1996.05</v>
      </c>
      <c r="B14" s="287">
        <v>132.62149251765041</v>
      </c>
      <c r="C14" s="2201"/>
    </row>
    <row r="15" spans="1:3" s="20" customFormat="1" ht="11.85" customHeight="1">
      <c r="A15" s="2202">
        <v>1996.06</v>
      </c>
      <c r="B15" s="287">
        <v>126.20412839304173</v>
      </c>
      <c r="C15" s="2201"/>
    </row>
    <row r="16" spans="1:3" s="20" customFormat="1" ht="11.85" customHeight="1">
      <c r="A16" s="2202">
        <v>1996.07</v>
      </c>
      <c r="B16" s="287">
        <v>125.32204735483761</v>
      </c>
      <c r="C16" s="2201"/>
    </row>
    <row r="17" spans="1:4" s="20" customFormat="1" ht="11.85" customHeight="1">
      <c r="A17" s="2202">
        <v>1996.08</v>
      </c>
      <c r="B17" s="287">
        <v>126.32700099826029</v>
      </c>
      <c r="C17" s="2201"/>
      <c r="D17" s="1565"/>
    </row>
    <row r="18" spans="1:4" s="20" customFormat="1" ht="11.85" customHeight="1">
      <c r="A18" s="2202">
        <v>1996.09</v>
      </c>
      <c r="B18" s="287">
        <v>125.21143827872713</v>
      </c>
      <c r="C18" s="2201"/>
      <c r="D18" s="1565"/>
    </row>
    <row r="19" spans="1:4" s="20" customFormat="1" ht="11.85" customHeight="1">
      <c r="A19" s="2202">
        <v>1996.1</v>
      </c>
      <c r="B19" s="287">
        <v>122.2874420217195</v>
      </c>
      <c r="C19" s="2201"/>
      <c r="D19" s="1565"/>
    </row>
    <row r="20" spans="1:4" s="20" customFormat="1" ht="11.85" customHeight="1">
      <c r="A20" s="2202">
        <v>1996.11</v>
      </c>
      <c r="B20" s="287">
        <v>119.80385326875964</v>
      </c>
      <c r="C20" s="2204"/>
      <c r="D20" s="2204"/>
    </row>
    <row r="21" spans="1:4" s="20" customFormat="1" ht="11.85" customHeight="1">
      <c r="A21" s="2202">
        <v>1996.12</v>
      </c>
      <c r="B21" s="287">
        <v>121.68383295303835</v>
      </c>
      <c r="C21" s="2204"/>
      <c r="D21" s="2204"/>
    </row>
    <row r="22" spans="1:4">
      <c r="A22" s="2202">
        <v>1997.01</v>
      </c>
      <c r="B22" s="286">
        <v>154.6</v>
      </c>
      <c r="C22" s="2204"/>
      <c r="D22" s="2204"/>
    </row>
    <row r="23" spans="1:4">
      <c r="A23" s="2202">
        <v>1997.02</v>
      </c>
      <c r="B23" s="2301">
        <v>150.80000000000001</v>
      </c>
      <c r="C23" s="2204"/>
      <c r="D23" s="2204"/>
    </row>
    <row r="24" spans="1:4">
      <c r="A24" s="2202">
        <v>1997.03</v>
      </c>
      <c r="B24" s="2301">
        <v>153.30000000000001</v>
      </c>
      <c r="C24" s="2204"/>
      <c r="D24" s="2204"/>
    </row>
    <row r="25" spans="1:4">
      <c r="A25" s="2202">
        <v>1997.04</v>
      </c>
      <c r="B25" s="2301">
        <v>149.9</v>
      </c>
      <c r="C25" s="2204"/>
      <c r="D25" s="2204"/>
    </row>
    <row r="26" spans="1:4">
      <c r="A26" s="2202">
        <v>1997.05</v>
      </c>
      <c r="B26" s="2301">
        <v>149.30000000000001</v>
      </c>
      <c r="C26" s="2204"/>
      <c r="D26" s="2204"/>
    </row>
    <row r="27" spans="1:4">
      <c r="A27" s="2202">
        <v>1997.06</v>
      </c>
      <c r="B27" s="2301">
        <v>138</v>
      </c>
      <c r="C27" s="2204"/>
      <c r="D27" s="2204"/>
    </row>
    <row r="28" spans="1:4">
      <c r="A28" s="2202">
        <v>1997.07</v>
      </c>
      <c r="B28" s="2301">
        <v>134</v>
      </c>
      <c r="C28" s="2204"/>
      <c r="D28" s="2204"/>
    </row>
    <row r="29" spans="1:4">
      <c r="A29" s="2202">
        <v>1997.08</v>
      </c>
      <c r="B29" s="2301">
        <v>139.19999999999999</v>
      </c>
      <c r="C29" s="2204"/>
      <c r="D29" s="2204"/>
    </row>
    <row r="30" spans="1:4">
      <c r="A30" s="2202">
        <v>1997.09</v>
      </c>
      <c r="B30" s="2301">
        <v>139.6</v>
      </c>
      <c r="C30" s="2204"/>
      <c r="D30" s="2204"/>
    </row>
    <row r="31" spans="1:4">
      <c r="A31" s="2202">
        <v>1997.1</v>
      </c>
      <c r="B31" s="2301">
        <v>144</v>
      </c>
      <c r="C31" s="2204"/>
      <c r="D31" s="2204"/>
    </row>
    <row r="32" spans="1:4">
      <c r="A32" s="2202">
        <v>1997.11</v>
      </c>
      <c r="B32" s="2301">
        <v>145.6</v>
      </c>
      <c r="C32" s="2204"/>
      <c r="D32" s="2204"/>
    </row>
    <row r="33" spans="1:2">
      <c r="A33" s="2202">
        <v>1997.12</v>
      </c>
      <c r="B33" s="2301">
        <v>137.5</v>
      </c>
    </row>
    <row r="34" spans="1:2">
      <c r="A34" s="2202">
        <v>1998.01</v>
      </c>
      <c r="B34" s="2301">
        <v>128.6</v>
      </c>
    </row>
    <row r="35" spans="1:2">
      <c r="A35" s="2202">
        <v>1998.02</v>
      </c>
      <c r="B35" s="2301">
        <v>124.6</v>
      </c>
    </row>
    <row r="36" spans="1:2">
      <c r="A36" s="2202">
        <v>1998.03</v>
      </c>
      <c r="B36" s="2301">
        <v>118.7</v>
      </c>
    </row>
    <row r="37" spans="1:2">
      <c r="A37" s="2202">
        <v>1998.04</v>
      </c>
      <c r="B37" s="2301">
        <v>114.5</v>
      </c>
    </row>
    <row r="38" spans="1:2">
      <c r="A38" s="2202">
        <v>1998.05</v>
      </c>
      <c r="B38" s="2301">
        <v>115.2</v>
      </c>
    </row>
    <row r="39" spans="1:2">
      <c r="A39" s="2202">
        <v>1998.06</v>
      </c>
      <c r="B39" s="2301">
        <v>107.9</v>
      </c>
    </row>
    <row r="40" spans="1:2">
      <c r="A40" s="2202">
        <v>1998.07</v>
      </c>
      <c r="B40" s="2301">
        <v>106.1</v>
      </c>
    </row>
    <row r="41" spans="1:2">
      <c r="A41" s="2202">
        <v>1998.08</v>
      </c>
      <c r="B41" s="2301">
        <v>99.9</v>
      </c>
    </row>
    <row r="42" spans="1:2">
      <c r="A42" s="2202">
        <v>1998.09</v>
      </c>
      <c r="B42" s="2301">
        <v>102.2</v>
      </c>
    </row>
    <row r="43" spans="1:2">
      <c r="A43" s="2202">
        <v>1998.1</v>
      </c>
      <c r="B43" s="2301">
        <v>105.6</v>
      </c>
    </row>
    <row r="44" spans="1:2">
      <c r="A44" s="2202">
        <v>1998.11</v>
      </c>
      <c r="B44" s="2301">
        <v>105.6</v>
      </c>
    </row>
    <row r="45" spans="1:2">
      <c r="A45" s="2202">
        <v>1998.12</v>
      </c>
      <c r="B45" s="2301">
        <v>102.2</v>
      </c>
    </row>
    <row r="46" spans="1:2">
      <c r="A46" s="2202">
        <v>1999.01</v>
      </c>
      <c r="B46" s="2301">
        <v>100.7</v>
      </c>
    </row>
    <row r="47" spans="1:2">
      <c r="A47" s="2202">
        <v>1999.02</v>
      </c>
      <c r="B47" s="2301">
        <v>94.7</v>
      </c>
    </row>
    <row r="48" spans="1:2">
      <c r="A48" s="2202">
        <v>1999.03</v>
      </c>
      <c r="B48" s="2301">
        <v>96.1</v>
      </c>
    </row>
    <row r="49" spans="1:2">
      <c r="A49" s="2202">
        <v>1999.04</v>
      </c>
      <c r="B49" s="2301">
        <v>98.4</v>
      </c>
    </row>
    <row r="50" spans="1:2">
      <c r="A50" s="2202">
        <v>1999.05</v>
      </c>
      <c r="B50" s="2301">
        <v>97.3</v>
      </c>
    </row>
    <row r="51" spans="1:2">
      <c r="A51" s="2202">
        <v>1999.06</v>
      </c>
      <c r="B51" s="2301">
        <v>96.5</v>
      </c>
    </row>
    <row r="52" spans="1:2">
      <c r="A52" s="2202">
        <v>1999.07</v>
      </c>
      <c r="B52" s="2301">
        <v>96.6</v>
      </c>
    </row>
    <row r="53" spans="1:2">
      <c r="A53" s="2202">
        <v>1999.08</v>
      </c>
      <c r="B53" s="2301">
        <v>103.2</v>
      </c>
    </row>
    <row r="54" spans="1:2">
      <c r="A54" s="2202">
        <v>1999.09</v>
      </c>
      <c r="B54" s="2301">
        <v>107.6</v>
      </c>
    </row>
    <row r="55" spans="1:2">
      <c r="A55" s="2202">
        <v>1999.1</v>
      </c>
      <c r="B55" s="2301">
        <v>106.7</v>
      </c>
    </row>
    <row r="56" spans="1:2">
      <c r="A56" s="2202">
        <v>1999.11</v>
      </c>
      <c r="B56" s="2301">
        <v>107.3</v>
      </c>
    </row>
    <row r="57" spans="1:2">
      <c r="A57" s="2202">
        <v>1999.12</v>
      </c>
      <c r="B57" s="2301">
        <v>107.3</v>
      </c>
    </row>
    <row r="58" spans="1:2">
      <c r="A58" s="2202">
        <v>2000.01</v>
      </c>
      <c r="B58" s="2301">
        <v>110.1</v>
      </c>
    </row>
    <row r="59" spans="1:2">
      <c r="A59" s="2202">
        <v>2000.02</v>
      </c>
      <c r="B59" s="2301">
        <v>113.2</v>
      </c>
    </row>
    <row r="60" spans="1:2">
      <c r="A60" s="2202">
        <v>2000.03</v>
      </c>
      <c r="B60" s="2301">
        <v>112.1</v>
      </c>
    </row>
    <row r="61" spans="1:2">
      <c r="A61" s="2202">
        <v>2000.04</v>
      </c>
      <c r="B61" s="2301">
        <v>107.4</v>
      </c>
    </row>
    <row r="62" spans="1:2">
      <c r="A62" s="2202">
        <v>2000.05</v>
      </c>
      <c r="B62" s="2301">
        <v>113.8</v>
      </c>
    </row>
    <row r="63" spans="1:2">
      <c r="A63" s="2202">
        <v>2000.06</v>
      </c>
      <c r="B63" s="2301">
        <v>113.1</v>
      </c>
    </row>
    <row r="64" spans="1:2">
      <c r="A64" s="2202">
        <v>2000.07</v>
      </c>
      <c r="B64" s="2301">
        <v>108.9</v>
      </c>
    </row>
    <row r="65" spans="1:2">
      <c r="A65" s="2202">
        <v>2000.08</v>
      </c>
      <c r="B65" s="2301">
        <v>109.5</v>
      </c>
    </row>
    <row r="66" spans="1:2">
      <c r="A66" s="2202">
        <v>2000.09</v>
      </c>
      <c r="B66" s="2301">
        <v>116.1</v>
      </c>
    </row>
    <row r="67" spans="1:2">
      <c r="A67" s="2202">
        <v>2000.1</v>
      </c>
      <c r="B67" s="2301">
        <v>115.8</v>
      </c>
    </row>
    <row r="68" spans="1:2">
      <c r="A68" s="2202">
        <v>2000.11</v>
      </c>
      <c r="B68" s="2301">
        <v>119</v>
      </c>
    </row>
    <row r="69" spans="1:2">
      <c r="A69" s="2202">
        <v>2000.12</v>
      </c>
      <c r="B69" s="2301">
        <v>115</v>
      </c>
    </row>
    <row r="70" spans="1:2">
      <c r="A70" s="2202">
        <v>2001.01</v>
      </c>
      <c r="B70" s="2301">
        <v>114</v>
      </c>
    </row>
    <row r="71" spans="1:2">
      <c r="A71" s="2202">
        <v>2001.02</v>
      </c>
      <c r="B71" s="2301">
        <v>110.8</v>
      </c>
    </row>
    <row r="72" spans="1:2">
      <c r="A72" s="2202">
        <v>2001.03</v>
      </c>
      <c r="B72" s="2301">
        <v>106.2</v>
      </c>
    </row>
    <row r="73" spans="1:2">
      <c r="A73" s="2202">
        <v>2001.04</v>
      </c>
      <c r="B73" s="2301">
        <v>105.3</v>
      </c>
    </row>
    <row r="74" spans="1:2">
      <c r="A74" s="2202">
        <v>2001.05</v>
      </c>
      <c r="B74" s="2301">
        <v>109</v>
      </c>
    </row>
    <row r="75" spans="1:2">
      <c r="A75" s="2202">
        <v>2001.06</v>
      </c>
      <c r="B75" s="2301">
        <v>109.2</v>
      </c>
    </row>
    <row r="76" spans="1:2">
      <c r="A76" s="2202">
        <v>2001.07</v>
      </c>
      <c r="B76" s="2301">
        <v>110.1</v>
      </c>
    </row>
    <row r="77" spans="1:2">
      <c r="A77" s="2202">
        <v>2001.08</v>
      </c>
      <c r="B77" s="2301">
        <v>111.3</v>
      </c>
    </row>
    <row r="78" spans="1:2">
      <c r="A78" s="2202">
        <v>2001.09</v>
      </c>
      <c r="B78" s="2301">
        <v>109.4</v>
      </c>
    </row>
    <row r="79" spans="1:2">
      <c r="A79" s="2202">
        <v>2001.1</v>
      </c>
      <c r="B79" s="2301">
        <v>101.9</v>
      </c>
    </row>
    <row r="80" spans="1:2">
      <c r="A80" s="2202">
        <v>2001.11</v>
      </c>
      <c r="B80" s="2301">
        <v>101.2</v>
      </c>
    </row>
    <row r="81" spans="1:2">
      <c r="A81" s="2202">
        <v>2001.12</v>
      </c>
      <c r="B81" s="2301">
        <v>100</v>
      </c>
    </row>
    <row r="82" spans="1:2">
      <c r="A82" s="2202">
        <v>2002.01</v>
      </c>
      <c r="B82" s="2301">
        <v>100.3950095758574</v>
      </c>
    </row>
    <row r="83" spans="1:2">
      <c r="A83" s="2202">
        <v>2002.02</v>
      </c>
      <c r="B83" s="2301">
        <v>100.69058197198839</v>
      </c>
    </row>
    <row r="84" spans="1:2">
      <c r="A84" s="2202">
        <v>2002.03</v>
      </c>
      <c r="B84" s="2301">
        <v>106.4217351006214</v>
      </c>
    </row>
    <row r="85" spans="1:2">
      <c r="A85" s="2202">
        <v>2002.04</v>
      </c>
      <c r="B85" s="2301">
        <v>108.2834678398476</v>
      </c>
    </row>
    <row r="86" spans="1:2">
      <c r="A86" s="2202">
        <v>2002.05</v>
      </c>
      <c r="B86" s="2301">
        <v>110.6518596398806</v>
      </c>
    </row>
    <row r="87" spans="1:2">
      <c r="A87" s="2202">
        <v>2002.06</v>
      </c>
      <c r="B87" s="2301">
        <v>114.3591588906134</v>
      </c>
    </row>
    <row r="88" spans="1:2">
      <c r="A88" s="2202">
        <v>2002.07</v>
      </c>
      <c r="B88" s="2301">
        <v>121.9227430066356</v>
      </c>
    </row>
    <row r="89" spans="1:2">
      <c r="A89" s="2202">
        <v>2002.08</v>
      </c>
      <c r="B89" s="2301">
        <v>127.07108956040641</v>
      </c>
    </row>
    <row r="90" spans="1:2">
      <c r="A90" s="2202">
        <v>2002.09</v>
      </c>
      <c r="B90" s="2301">
        <v>129.17984024974291</v>
      </c>
    </row>
    <row r="91" spans="1:2">
      <c r="A91" s="2202">
        <v>2002.1</v>
      </c>
      <c r="B91" s="2301">
        <v>125.3520738363887</v>
      </c>
    </row>
    <row r="92" spans="1:2">
      <c r="A92" s="2202">
        <v>2002.11</v>
      </c>
      <c r="B92" s="2301">
        <v>122.39643023894919</v>
      </c>
    </row>
    <row r="93" spans="1:2">
      <c r="A93" s="2202">
        <v>2002.12</v>
      </c>
      <c r="B93" s="2301">
        <v>125.298314976386</v>
      </c>
    </row>
    <row r="94" spans="1:2">
      <c r="A94" s="2202">
        <v>2003.01</v>
      </c>
      <c r="B94" s="2301">
        <v>128.38710279729821</v>
      </c>
    </row>
    <row r="95" spans="1:2">
      <c r="A95" s="2202">
        <v>2003.02</v>
      </c>
      <c r="B95" s="2301">
        <v>129.72711329211879</v>
      </c>
    </row>
    <row r="96" spans="1:2">
      <c r="A96" s="2202">
        <v>2003.03</v>
      </c>
      <c r="B96" s="2301">
        <v>128.34722054786329</v>
      </c>
    </row>
    <row r="97" spans="1:2">
      <c r="A97" s="2202">
        <v>2003.04</v>
      </c>
      <c r="B97" s="2301">
        <v>125.6135570594017</v>
      </c>
    </row>
    <row r="98" spans="1:2">
      <c r="A98" s="2202">
        <v>2003.05</v>
      </c>
      <c r="B98" s="2301">
        <v>129.77580872911579</v>
      </c>
    </row>
    <row r="99" spans="1:2">
      <c r="A99" s="2202">
        <v>2003.06</v>
      </c>
      <c r="B99" s="2301">
        <v>131.32680729539999</v>
      </c>
    </row>
    <row r="100" spans="1:2">
      <c r="A100" s="2202">
        <v>2003.07</v>
      </c>
      <c r="B100" s="2301">
        <v>130.56231520675959</v>
      </c>
    </row>
    <row r="101" spans="1:2">
      <c r="A101" s="2202">
        <v>2003.08</v>
      </c>
      <c r="B101" s="2301">
        <v>129.40513637349119</v>
      </c>
    </row>
    <row r="102" spans="1:2">
      <c r="A102" s="2202">
        <v>2003.09</v>
      </c>
      <c r="B102" s="2301">
        <v>135.8051503523678</v>
      </c>
    </row>
    <row r="103" spans="1:2">
      <c r="A103" s="2202">
        <v>2003.1</v>
      </c>
      <c r="B103" s="2301">
        <v>146.35844165793651</v>
      </c>
    </row>
    <row r="104" spans="1:2">
      <c r="A104" s="2202">
        <v>2003.11</v>
      </c>
      <c r="B104" s="2301">
        <v>152.21504660870781</v>
      </c>
    </row>
    <row r="105" spans="1:2">
      <c r="A105" s="2202">
        <v>2003.12</v>
      </c>
      <c r="B105" s="2301">
        <v>153.5855880437957</v>
      </c>
    </row>
    <row r="106" spans="1:2">
      <c r="A106" s="2202">
        <v>2004.01</v>
      </c>
      <c r="B106" s="2301">
        <v>161.4490686185782</v>
      </c>
    </row>
    <row r="107" spans="1:2">
      <c r="A107" s="2202">
        <v>2004.02</v>
      </c>
      <c r="B107" s="2301">
        <v>167.80729010354631</v>
      </c>
    </row>
    <row r="108" spans="1:2">
      <c r="A108" s="2202">
        <v>2004.03</v>
      </c>
      <c r="B108" s="2301">
        <v>183.6843268501338</v>
      </c>
    </row>
    <row r="109" spans="1:2">
      <c r="A109" s="2202">
        <v>2004.04</v>
      </c>
      <c r="B109" s="2301">
        <v>184.54931640356389</v>
      </c>
    </row>
    <row r="110" spans="1:2">
      <c r="A110" s="2202">
        <v>2004.05</v>
      </c>
      <c r="B110" s="2301">
        <v>181.8979974213272</v>
      </c>
    </row>
    <row r="111" spans="1:2">
      <c r="A111" s="2202">
        <v>2004.06</v>
      </c>
      <c r="B111" s="2301">
        <v>172.26714122652601</v>
      </c>
    </row>
    <row r="112" spans="1:2">
      <c r="A112" s="2202">
        <v>2004.07</v>
      </c>
      <c r="B112" s="2301">
        <v>170.30398985711381</v>
      </c>
    </row>
    <row r="113" spans="1:2">
      <c r="A113" s="2202">
        <v>2004.08</v>
      </c>
      <c r="B113" s="2301">
        <v>150.98753107522271</v>
      </c>
    </row>
    <row r="114" spans="1:2">
      <c r="A114" s="2202">
        <v>2004.09</v>
      </c>
      <c r="B114" s="2301">
        <v>143.69874827219979</v>
      </c>
    </row>
    <row r="115" spans="1:2">
      <c r="A115" s="2202">
        <v>2004.1</v>
      </c>
      <c r="B115" s="2301">
        <v>136.05491586385179</v>
      </c>
    </row>
    <row r="116" spans="1:2">
      <c r="A116" s="2202">
        <v>2004.11</v>
      </c>
      <c r="B116" s="2301">
        <v>133.00211982719179</v>
      </c>
    </row>
    <row r="117" spans="1:2">
      <c r="A117" s="2202">
        <v>2004.12</v>
      </c>
      <c r="B117" s="2301">
        <v>132.26097287607959</v>
      </c>
    </row>
    <row r="118" spans="1:2">
      <c r="A118" s="2202">
        <v>2005.01</v>
      </c>
      <c r="B118" s="2301">
        <v>134.69762382437119</v>
      </c>
    </row>
    <row r="119" spans="1:2">
      <c r="A119" s="2202">
        <v>2005.02</v>
      </c>
      <c r="B119" s="2301">
        <v>136.28570791446671</v>
      </c>
    </row>
    <row r="120" spans="1:2">
      <c r="A120" s="2202">
        <v>2005.03</v>
      </c>
      <c r="B120" s="2301">
        <v>148.90606398009919</v>
      </c>
    </row>
    <row r="121" spans="1:2">
      <c r="A121" s="2202">
        <v>2005.04</v>
      </c>
      <c r="B121" s="2301">
        <v>148.65673953930451</v>
      </c>
    </row>
    <row r="122" spans="1:2">
      <c r="A122" s="2202">
        <v>2005.05</v>
      </c>
      <c r="B122" s="2301">
        <v>148.19622156933789</v>
      </c>
    </row>
    <row r="123" spans="1:2">
      <c r="A123" s="2202">
        <v>2005.06</v>
      </c>
      <c r="B123" s="2301">
        <v>157.1784303370392</v>
      </c>
    </row>
    <row r="124" spans="1:2">
      <c r="A124" s="2202">
        <v>2005.07</v>
      </c>
      <c r="B124" s="2301">
        <v>157.74196673192739</v>
      </c>
    </row>
    <row r="125" spans="1:2">
      <c r="A125" s="2202">
        <v>2005.08</v>
      </c>
      <c r="B125" s="2301">
        <v>151.48564059983181</v>
      </c>
    </row>
    <row r="126" spans="1:2">
      <c r="A126" s="2202">
        <v>2005.09</v>
      </c>
      <c r="B126" s="2301">
        <v>144.47377923052511</v>
      </c>
    </row>
    <row r="127" spans="1:2">
      <c r="A127" s="2202">
        <v>2005.1</v>
      </c>
      <c r="B127" s="2301">
        <v>142.93785095607981</v>
      </c>
    </row>
    <row r="128" spans="1:2">
      <c r="A128" s="2202">
        <v>2005.11</v>
      </c>
      <c r="B128" s="2301">
        <v>142.17693828471269</v>
      </c>
    </row>
    <row r="129" spans="1:2">
      <c r="A129" s="2202">
        <v>2005.12</v>
      </c>
      <c r="B129" s="2301">
        <v>147.7206026336485</v>
      </c>
    </row>
    <row r="130" spans="1:2">
      <c r="A130" s="2202">
        <v>2006.01</v>
      </c>
      <c r="B130" s="2301">
        <v>151.38650175077339</v>
      </c>
    </row>
    <row r="131" spans="1:2">
      <c r="A131" s="2202">
        <v>2006.02</v>
      </c>
      <c r="B131" s="2301">
        <v>150.03745135762259</v>
      </c>
    </row>
    <row r="132" spans="1:2">
      <c r="A132" s="2202">
        <v>2006.03</v>
      </c>
      <c r="B132" s="2301">
        <v>150.94975418539661</v>
      </c>
    </row>
    <row r="133" spans="1:2">
      <c r="A133" s="2202">
        <v>2006.04</v>
      </c>
      <c r="B133" s="2301">
        <v>157.26009399922381</v>
      </c>
    </row>
    <row r="134" spans="1:2">
      <c r="A134" s="2202">
        <v>2006.05</v>
      </c>
      <c r="B134" s="2301">
        <v>163.846361369985</v>
      </c>
    </row>
    <row r="135" spans="1:2">
      <c r="A135" s="2202">
        <v>2006.06</v>
      </c>
      <c r="B135" s="2301">
        <v>161.02511595253469</v>
      </c>
    </row>
    <row r="136" spans="1:2">
      <c r="A136" s="2202">
        <v>2006.07</v>
      </c>
      <c r="B136" s="2301">
        <v>163.979857071319</v>
      </c>
    </row>
    <row r="137" spans="1:2">
      <c r="A137" s="2202">
        <v>2006.08</v>
      </c>
      <c r="B137" s="2301">
        <v>159.64317841089061</v>
      </c>
    </row>
    <row r="138" spans="1:2">
      <c r="A138" s="2202">
        <v>2006.09</v>
      </c>
      <c r="B138" s="2301">
        <v>159.15954804765951</v>
      </c>
    </row>
    <row r="139" spans="1:2">
      <c r="A139" s="2202">
        <v>2006.1</v>
      </c>
      <c r="B139" s="2301">
        <v>164.1143698731035</v>
      </c>
    </row>
    <row r="140" spans="1:2">
      <c r="A140" s="2202">
        <v>2006.11</v>
      </c>
      <c r="B140" s="2301">
        <v>172.63254920685091</v>
      </c>
    </row>
    <row r="141" spans="1:2">
      <c r="A141" s="2202">
        <v>2006.12</v>
      </c>
      <c r="B141" s="2301">
        <v>171.35062511342201</v>
      </c>
    </row>
    <row r="142" spans="1:2">
      <c r="A142" s="2202">
        <v>2007.01</v>
      </c>
      <c r="B142" s="2301">
        <v>168.94103436873661</v>
      </c>
    </row>
    <row r="143" spans="1:2">
      <c r="A143" s="2202">
        <v>2007.02</v>
      </c>
      <c r="B143" s="2301">
        <v>176.7017829888762</v>
      </c>
    </row>
    <row r="144" spans="1:2">
      <c r="A144" s="2202">
        <v>2007.03</v>
      </c>
      <c r="B144" s="2301">
        <v>182.6500559888558</v>
      </c>
    </row>
    <row r="145" spans="1:2">
      <c r="A145" s="2202">
        <v>2007.04</v>
      </c>
      <c r="B145" s="2301">
        <v>185.04669962954969</v>
      </c>
    </row>
    <row r="146" spans="1:2">
      <c r="A146" s="2202">
        <v>2007.05</v>
      </c>
      <c r="B146" s="2301">
        <v>191.22829392816351</v>
      </c>
    </row>
    <row r="147" spans="1:2">
      <c r="A147" s="2202">
        <v>2007.06</v>
      </c>
      <c r="B147" s="2301">
        <v>202.77366270495679</v>
      </c>
    </row>
    <row r="148" spans="1:2">
      <c r="A148" s="2202">
        <v>2007.07</v>
      </c>
      <c r="B148" s="2301">
        <v>205.80926486347079</v>
      </c>
    </row>
    <row r="149" spans="1:2">
      <c r="A149" s="2202">
        <v>2007.08</v>
      </c>
      <c r="B149" s="2301">
        <v>206.35058629529371</v>
      </c>
    </row>
    <row r="150" spans="1:2">
      <c r="A150" s="2202">
        <v>2007.09</v>
      </c>
      <c r="B150" s="2301">
        <v>222.2199891247823</v>
      </c>
    </row>
    <row r="151" spans="1:2">
      <c r="A151" s="2202">
        <v>2007.1</v>
      </c>
      <c r="B151" s="2301">
        <v>227.96581723175561</v>
      </c>
    </row>
    <row r="152" spans="1:2">
      <c r="A152" s="2202">
        <v>2007.11</v>
      </c>
      <c r="B152" s="2301">
        <v>245.30208290610801</v>
      </c>
    </row>
    <row r="153" spans="1:2">
      <c r="A153" s="2202">
        <v>2007.12</v>
      </c>
      <c r="B153" s="2301">
        <v>258.86662564083048</v>
      </c>
    </row>
    <row r="154" spans="1:2">
      <c r="A154" s="2202">
        <f t="shared" ref="A154:A217" si="0">A142+1</f>
        <v>2008.01</v>
      </c>
      <c r="B154" s="2301">
        <v>278.09242825355722</v>
      </c>
    </row>
    <row r="155" spans="1:2">
      <c r="A155" s="2202">
        <f t="shared" si="0"/>
        <v>2008.02</v>
      </c>
      <c r="B155" s="2301">
        <v>294.07576707078152</v>
      </c>
    </row>
    <row r="156" spans="1:2">
      <c r="A156" s="2202">
        <f t="shared" si="0"/>
        <v>2008.03</v>
      </c>
      <c r="B156" s="2301">
        <v>289.93088767412388</v>
      </c>
    </row>
    <row r="157" spans="1:2">
      <c r="A157" s="2202">
        <f t="shared" si="0"/>
        <v>2008.04</v>
      </c>
      <c r="B157" s="2301">
        <v>286.72245562591922</v>
      </c>
    </row>
    <row r="158" spans="1:2">
      <c r="A158" s="2202">
        <f t="shared" si="0"/>
        <v>2008.05</v>
      </c>
      <c r="B158" s="2301">
        <v>290.85001036557878</v>
      </c>
    </row>
    <row r="159" spans="1:2">
      <c r="A159" s="2202">
        <f t="shared" si="0"/>
        <v>2008.06</v>
      </c>
      <c r="B159" s="2301">
        <v>319.15626696640851</v>
      </c>
    </row>
    <row r="160" spans="1:2">
      <c r="A160" s="2202">
        <f t="shared" si="0"/>
        <v>2008.07</v>
      </c>
      <c r="B160" s="2301">
        <v>324.40099016927002</v>
      </c>
    </row>
    <row r="161" spans="1:2">
      <c r="A161" s="2202">
        <f t="shared" si="0"/>
        <v>2008.08</v>
      </c>
      <c r="B161" s="2301">
        <v>278.59904228171962</v>
      </c>
    </row>
    <row r="162" spans="1:2">
      <c r="A162" s="2202">
        <f t="shared" si="0"/>
        <v>2008.09</v>
      </c>
      <c r="B162" s="2301">
        <v>257.90004892152467</v>
      </c>
    </row>
    <row r="163" spans="1:2">
      <c r="A163" s="2202">
        <f t="shared" si="0"/>
        <v>2008.1</v>
      </c>
      <c r="B163" s="2301">
        <v>201.34288862324379</v>
      </c>
    </row>
    <row r="164" spans="1:2">
      <c r="A164" s="2202">
        <f t="shared" si="0"/>
        <v>2008.11</v>
      </c>
      <c r="B164" s="2301">
        <v>188.701302639261</v>
      </c>
    </row>
    <row r="165" spans="1:2">
      <c r="A165" s="2202">
        <f t="shared" si="0"/>
        <v>2008.12</v>
      </c>
      <c r="B165" s="2301">
        <v>182.26335894197061</v>
      </c>
    </row>
    <row r="166" spans="1:2">
      <c r="A166" s="2202">
        <f t="shared" si="0"/>
        <v>2009.01</v>
      </c>
      <c r="B166" s="2301">
        <v>199.9468199701279</v>
      </c>
    </row>
    <row r="167" spans="1:2">
      <c r="A167" s="2202">
        <f t="shared" si="0"/>
        <v>2009.02</v>
      </c>
      <c r="B167" s="2301">
        <v>191.999275199393</v>
      </c>
    </row>
    <row r="168" spans="1:2">
      <c r="A168" s="2202">
        <f t="shared" si="0"/>
        <v>2009.03</v>
      </c>
      <c r="B168" s="2301">
        <v>191.29231165756411</v>
      </c>
    </row>
    <row r="169" spans="1:2">
      <c r="A169" s="2202">
        <f t="shared" si="0"/>
        <v>2009.04</v>
      </c>
      <c r="B169" s="2301">
        <v>210.8941013015137</v>
      </c>
    </row>
    <row r="170" spans="1:2">
      <c r="A170" s="2202">
        <f t="shared" si="0"/>
        <v>2009.05</v>
      </c>
      <c r="B170" s="2301">
        <v>232.39168308759349</v>
      </c>
    </row>
    <row r="171" spans="1:2">
      <c r="A171" s="2202">
        <f t="shared" si="0"/>
        <v>2009.06</v>
      </c>
      <c r="B171" s="2301">
        <v>242.99421366850319</v>
      </c>
    </row>
    <row r="172" spans="1:2">
      <c r="A172" s="2202">
        <f t="shared" si="0"/>
        <v>2009.07</v>
      </c>
      <c r="B172" s="2301">
        <v>219.32850532392791</v>
      </c>
    </row>
    <row r="173" spans="1:2">
      <c r="A173" s="2202">
        <f t="shared" si="0"/>
        <v>2009.08</v>
      </c>
      <c r="B173" s="2301">
        <v>227.64412640225581</v>
      </c>
    </row>
    <row r="174" spans="1:2">
      <c r="A174" s="2202">
        <f t="shared" si="0"/>
        <v>2009.09</v>
      </c>
      <c r="B174" s="2301">
        <v>217.6271998370099</v>
      </c>
    </row>
    <row r="175" spans="1:2">
      <c r="A175" s="2202">
        <f t="shared" si="0"/>
        <v>2009.1</v>
      </c>
      <c r="B175" s="2301">
        <v>213.00687100767959</v>
      </c>
    </row>
    <row r="176" spans="1:2">
      <c r="A176" s="2202">
        <f t="shared" si="0"/>
        <v>2009.11</v>
      </c>
      <c r="B176" s="2301">
        <v>221.03995638748859</v>
      </c>
    </row>
    <row r="177" spans="1:2">
      <c r="A177" s="2202">
        <f t="shared" si="0"/>
        <v>2009.12</v>
      </c>
      <c r="B177" s="2301">
        <v>223.44160508471941</v>
      </c>
    </row>
    <row r="178" spans="1:2">
      <c r="A178" s="2202">
        <f t="shared" si="0"/>
        <v>2010.01</v>
      </c>
      <c r="B178" s="2301">
        <v>219.43972784749641</v>
      </c>
    </row>
    <row r="179" spans="1:2">
      <c r="A179" s="2202">
        <f t="shared" si="0"/>
        <v>2010.02</v>
      </c>
      <c r="B179" s="2301">
        <v>210.77260128760059</v>
      </c>
    </row>
    <row r="180" spans="1:2">
      <c r="A180" s="2202">
        <f t="shared" si="0"/>
        <v>2010.03</v>
      </c>
      <c r="B180" s="2301">
        <v>210.55041094259019</v>
      </c>
    </row>
    <row r="181" spans="1:2">
      <c r="A181" s="2202">
        <f t="shared" si="0"/>
        <v>2010.04</v>
      </c>
      <c r="B181" s="2301">
        <v>219.61107553792411</v>
      </c>
    </row>
    <row r="182" spans="1:2">
      <c r="A182" s="2202">
        <f t="shared" si="0"/>
        <v>2010.05</v>
      </c>
      <c r="B182" s="2301">
        <v>215.51808842778979</v>
      </c>
    </row>
    <row r="183" spans="1:2">
      <c r="A183" s="2202">
        <f t="shared" si="0"/>
        <v>2010.06</v>
      </c>
      <c r="B183" s="2301">
        <v>216.64823380128001</v>
      </c>
    </row>
    <row r="184" spans="1:2">
      <c r="A184" s="2202">
        <f t="shared" si="0"/>
        <v>2010.07</v>
      </c>
      <c r="B184" s="2301">
        <v>226.06724309169789</v>
      </c>
    </row>
    <row r="185" spans="1:2">
      <c r="A185" s="2202">
        <f t="shared" si="0"/>
        <v>2010.08</v>
      </c>
      <c r="B185" s="2301">
        <v>234.29930970564311</v>
      </c>
    </row>
    <row r="186" spans="1:2">
      <c r="A186" s="2202">
        <f t="shared" si="0"/>
        <v>2010.09</v>
      </c>
      <c r="B186" s="2301">
        <v>238.29756148412619</v>
      </c>
    </row>
    <row r="187" spans="1:2">
      <c r="A187" s="2202">
        <f t="shared" si="0"/>
        <v>2010.1</v>
      </c>
      <c r="B187" s="2301">
        <v>252.2598040681911</v>
      </c>
    </row>
    <row r="188" spans="1:2">
      <c r="A188" s="2202">
        <f t="shared" si="0"/>
        <v>2010.11</v>
      </c>
      <c r="B188" s="2301">
        <v>269.04131105198923</v>
      </c>
    </row>
    <row r="189" spans="1:2">
      <c r="A189" s="2202">
        <f t="shared" si="0"/>
        <v>2010.12</v>
      </c>
      <c r="B189" s="2301">
        <v>281.72117524492188</v>
      </c>
    </row>
    <row r="190" spans="1:2">
      <c r="A190" s="2202">
        <f t="shared" si="0"/>
        <v>2011.01</v>
      </c>
      <c r="B190" s="2301">
        <v>295.88389993177958</v>
      </c>
    </row>
    <row r="191" spans="1:2">
      <c r="A191" s="2202">
        <f t="shared" si="0"/>
        <v>2011.02</v>
      </c>
      <c r="B191" s="2301">
        <v>299.01611819732841</v>
      </c>
    </row>
    <row r="192" spans="1:2">
      <c r="A192" s="2202">
        <f t="shared" si="0"/>
        <v>2011.03</v>
      </c>
      <c r="B192" s="2301">
        <v>297.76075707358928</v>
      </c>
    </row>
    <row r="193" spans="1:2">
      <c r="A193" s="2202">
        <f t="shared" si="0"/>
        <v>2011.04</v>
      </c>
      <c r="B193" s="2301">
        <v>304.39214257467802</v>
      </c>
    </row>
    <row r="194" spans="1:2">
      <c r="A194" s="2202">
        <f t="shared" si="0"/>
        <v>2011.05</v>
      </c>
      <c r="B194" s="2301">
        <v>300.80296475392822</v>
      </c>
    </row>
    <row r="195" spans="1:2">
      <c r="A195" s="2202">
        <f t="shared" si="0"/>
        <v>2011.06</v>
      </c>
      <c r="B195" s="2301">
        <v>302.04584324114711</v>
      </c>
    </row>
    <row r="196" spans="1:2">
      <c r="A196" s="2202">
        <f t="shared" si="0"/>
        <v>2011.07</v>
      </c>
      <c r="B196" s="2301">
        <v>302.04120233319679</v>
      </c>
    </row>
    <row r="197" spans="1:2">
      <c r="A197" s="2202">
        <f t="shared" si="0"/>
        <v>2011.08</v>
      </c>
      <c r="B197" s="2301">
        <v>301.48659749898599</v>
      </c>
    </row>
    <row r="198" spans="1:2">
      <c r="A198" s="2202">
        <f t="shared" si="0"/>
        <v>2011.09</v>
      </c>
      <c r="B198" s="2301">
        <v>295.21441046410001</v>
      </c>
    </row>
    <row r="199" spans="1:2">
      <c r="A199" s="2202">
        <f t="shared" si="0"/>
        <v>2011.1</v>
      </c>
      <c r="B199" s="2301">
        <v>272.06737089479623</v>
      </c>
    </row>
    <row r="200" spans="1:2">
      <c r="A200" s="2202">
        <f t="shared" si="0"/>
        <v>2011.11</v>
      </c>
      <c r="B200" s="2301">
        <v>268.15510912748988</v>
      </c>
    </row>
    <row r="201" spans="1:2">
      <c r="A201" s="2202">
        <f t="shared" si="0"/>
        <v>2011.12</v>
      </c>
      <c r="B201" s="2301">
        <v>263.28403255895722</v>
      </c>
    </row>
    <row r="202" spans="1:2">
      <c r="A202" s="2202">
        <f t="shared" si="0"/>
        <v>2012.01</v>
      </c>
      <c r="B202" s="2301">
        <v>276.41117996800091</v>
      </c>
    </row>
    <row r="203" spans="1:2">
      <c r="A203" s="2202">
        <f t="shared" si="0"/>
        <v>2012.02</v>
      </c>
      <c r="B203" s="2301">
        <v>289.09840468805788</v>
      </c>
    </row>
    <row r="204" spans="1:2">
      <c r="A204" s="2202">
        <f t="shared" si="0"/>
        <v>2012.03</v>
      </c>
      <c r="B204" s="2301">
        <v>303.07815643258789</v>
      </c>
    </row>
    <row r="205" spans="1:2">
      <c r="A205" s="2202">
        <f t="shared" si="0"/>
        <v>2012.04</v>
      </c>
      <c r="B205" s="2301">
        <v>309.66729522453949</v>
      </c>
    </row>
    <row r="206" spans="1:2">
      <c r="A206" s="2202">
        <f t="shared" si="0"/>
        <v>2012.05</v>
      </c>
      <c r="B206" s="2301">
        <v>305.72203532948589</v>
      </c>
    </row>
    <row r="207" spans="1:2">
      <c r="A207" s="2202">
        <f t="shared" si="0"/>
        <v>2012.06</v>
      </c>
      <c r="B207" s="2301">
        <v>304.96937389213872</v>
      </c>
    </row>
    <row r="208" spans="1:2">
      <c r="A208" s="2202">
        <f t="shared" si="0"/>
        <v>2012.07</v>
      </c>
      <c r="B208" s="2301">
        <v>341.39350208330688</v>
      </c>
    </row>
    <row r="209" spans="1:2">
      <c r="A209" s="2202">
        <f t="shared" si="0"/>
        <v>2012.08</v>
      </c>
      <c r="B209" s="2301">
        <v>357.4718714046457</v>
      </c>
    </row>
    <row r="210" spans="1:2">
      <c r="A210" s="2202">
        <f t="shared" si="0"/>
        <v>2012.09</v>
      </c>
      <c r="B210" s="2301">
        <v>353.95947825110892</v>
      </c>
    </row>
    <row r="211" spans="1:2">
      <c r="A211" s="2202">
        <f t="shared" si="0"/>
        <v>2012.1</v>
      </c>
      <c r="B211" s="2301">
        <v>337.76597185484388</v>
      </c>
    </row>
    <row r="212" spans="1:2">
      <c r="A212" s="2202">
        <f t="shared" si="0"/>
        <v>2012.11</v>
      </c>
      <c r="B212" s="2301">
        <v>326.52427718919972</v>
      </c>
    </row>
    <row r="213" spans="1:2">
      <c r="A213" s="2202">
        <f t="shared" si="0"/>
        <v>2012.12</v>
      </c>
      <c r="B213" s="2301">
        <v>326.53593548068022</v>
      </c>
    </row>
    <row r="214" spans="1:2">
      <c r="A214" s="2202">
        <f t="shared" si="0"/>
        <v>2013.01</v>
      </c>
      <c r="B214" s="2301">
        <v>321.7673498091695</v>
      </c>
    </row>
    <row r="215" spans="1:2">
      <c r="A215" s="2202">
        <f t="shared" si="0"/>
        <v>2013.02</v>
      </c>
      <c r="B215" s="2301">
        <v>322.9442314804059</v>
      </c>
    </row>
    <row r="216" spans="1:2">
      <c r="A216" s="2202">
        <f t="shared" si="0"/>
        <v>2013.03</v>
      </c>
      <c r="B216" s="2301">
        <v>317.68971629098922</v>
      </c>
    </row>
    <row r="217" spans="1:2">
      <c r="A217" s="2202">
        <f t="shared" si="0"/>
        <v>2013.04</v>
      </c>
      <c r="B217" s="2301">
        <v>303.51301452205172</v>
      </c>
    </row>
    <row r="218" spans="1:2">
      <c r="A218" s="2202">
        <f t="shared" ref="A218:A281" si="1">A206+1</f>
        <v>2013.05</v>
      </c>
      <c r="B218" s="2301">
        <v>312.81071574910982</v>
      </c>
    </row>
    <row r="219" spans="1:2">
      <c r="A219" s="2202">
        <f t="shared" si="1"/>
        <v>2013.06</v>
      </c>
      <c r="B219" s="2301">
        <v>317.74060777633241</v>
      </c>
    </row>
    <row r="220" spans="1:2">
      <c r="A220" s="2202">
        <f t="shared" si="1"/>
        <v>2013.07</v>
      </c>
      <c r="B220" s="2301">
        <v>317.7676332429553</v>
      </c>
    </row>
    <row r="221" spans="1:2">
      <c r="A221" s="2202">
        <f t="shared" si="1"/>
        <v>2013.08</v>
      </c>
      <c r="B221" s="2301">
        <v>292.71011520124011</v>
      </c>
    </row>
    <row r="222" spans="1:2">
      <c r="A222" s="2202">
        <f t="shared" si="1"/>
        <v>2013.09</v>
      </c>
      <c r="B222" s="2301">
        <v>295.25221727738068</v>
      </c>
    </row>
    <row r="223" spans="1:2">
      <c r="A223" s="2202">
        <f t="shared" si="1"/>
        <v>2013.1</v>
      </c>
      <c r="B223" s="2301">
        <v>275.35522893000672</v>
      </c>
    </row>
    <row r="224" spans="1:2">
      <c r="A224" s="2202">
        <f t="shared" si="1"/>
        <v>2013.11</v>
      </c>
      <c r="B224" s="2301">
        <v>273.20049713127611</v>
      </c>
    </row>
    <row r="225" spans="1:2">
      <c r="A225" s="2202">
        <f t="shared" si="1"/>
        <v>2013.12</v>
      </c>
      <c r="B225" s="2302">
        <v>279.94090855303142</v>
      </c>
    </row>
    <row r="226" spans="1:2">
      <c r="A226" s="2202">
        <f t="shared" si="1"/>
        <v>2014.01</v>
      </c>
      <c r="B226" s="2302">
        <v>274.12571985686708</v>
      </c>
    </row>
    <row r="227" spans="1:2">
      <c r="A227" s="2202">
        <f t="shared" si="1"/>
        <v>2014.02</v>
      </c>
      <c r="B227" s="2302">
        <v>284.81943529803982</v>
      </c>
    </row>
    <row r="228" spans="1:2">
      <c r="A228" s="2202">
        <f t="shared" si="1"/>
        <v>2014.03</v>
      </c>
      <c r="B228" s="2302">
        <v>291.77606448538921</v>
      </c>
    </row>
    <row r="229" spans="1:2">
      <c r="A229" s="2202">
        <f t="shared" si="1"/>
        <v>2014.04</v>
      </c>
      <c r="B229" s="2302">
        <v>299.98495916307633</v>
      </c>
    </row>
    <row r="230" spans="1:2">
      <c r="A230" s="2202">
        <f t="shared" si="1"/>
        <v>2014.05</v>
      </c>
      <c r="B230" s="2302">
        <v>298.99172120866029</v>
      </c>
    </row>
    <row r="231" spans="1:2">
      <c r="A231" s="2202">
        <f t="shared" si="1"/>
        <v>2014.06</v>
      </c>
      <c r="B231" s="2302">
        <v>290.9279484065359</v>
      </c>
    </row>
    <row r="232" spans="1:2">
      <c r="A232" s="2202">
        <f t="shared" si="1"/>
        <v>2014.07</v>
      </c>
      <c r="B232" s="2302">
        <v>268.9068670496618</v>
      </c>
    </row>
    <row r="233" spans="1:2">
      <c r="A233" s="2202">
        <f t="shared" si="1"/>
        <v>2014.08</v>
      </c>
      <c r="B233" s="2302">
        <v>264.76849250434509</v>
      </c>
    </row>
    <row r="234" spans="1:2">
      <c r="A234" s="2202">
        <f t="shared" si="1"/>
        <v>2014.09</v>
      </c>
      <c r="B234" s="2302">
        <v>265.92920725373273</v>
      </c>
    </row>
    <row r="235" spans="1:2">
      <c r="A235" s="2202">
        <f t="shared" si="1"/>
        <v>2014.1</v>
      </c>
      <c r="B235" s="2302">
        <v>228.86919472834481</v>
      </c>
    </row>
    <row r="236" spans="1:2">
      <c r="A236" s="2202">
        <f t="shared" si="1"/>
        <v>2014.11</v>
      </c>
      <c r="B236" s="2302">
        <v>248.62909550455211</v>
      </c>
    </row>
    <row r="237" spans="1:2">
      <c r="A237" s="2202">
        <f t="shared" si="1"/>
        <v>2014.12</v>
      </c>
      <c r="B237" s="2302">
        <v>242.75994192950779</v>
      </c>
    </row>
    <row r="238" spans="1:2">
      <c r="A238" s="2202">
        <f t="shared" si="1"/>
        <v>2015.01</v>
      </c>
      <c r="B238" s="2302">
        <v>225.28394463914501</v>
      </c>
    </row>
    <row r="239" spans="1:2">
      <c r="A239" s="2202">
        <f t="shared" si="1"/>
        <v>2015.02</v>
      </c>
      <c r="B239" s="2302">
        <v>220.7683220606541</v>
      </c>
    </row>
    <row r="240" spans="1:2">
      <c r="A240" s="2202">
        <f t="shared" si="1"/>
        <v>2015.03</v>
      </c>
      <c r="B240" s="2302">
        <v>216.77712577883651</v>
      </c>
    </row>
    <row r="241" spans="1:2">
      <c r="A241" s="2202">
        <f t="shared" si="1"/>
        <v>2015.04</v>
      </c>
      <c r="B241" s="2302">
        <v>211.2354412794007</v>
      </c>
    </row>
    <row r="242" spans="1:2">
      <c r="A242" s="2202">
        <f t="shared" si="1"/>
        <v>2015.05</v>
      </c>
      <c r="B242" s="2302">
        <v>208.73830470879551</v>
      </c>
    </row>
    <row r="243" spans="1:2">
      <c r="A243" s="2202">
        <f t="shared" si="1"/>
        <v>2015.06</v>
      </c>
      <c r="B243" s="2302">
        <v>211.79828701235181</v>
      </c>
    </row>
    <row r="244" spans="1:2">
      <c r="A244" s="2202">
        <f t="shared" si="1"/>
        <v>2015.07</v>
      </c>
      <c r="B244" s="2302">
        <v>221.89612703044651</v>
      </c>
    </row>
    <row r="245" spans="1:2">
      <c r="A245" s="2202">
        <f t="shared" si="1"/>
        <v>2015.08</v>
      </c>
      <c r="B245" s="2302">
        <v>208.91323459463121</v>
      </c>
    </row>
    <row r="246" spans="1:2">
      <c r="A246" s="2202">
        <f t="shared" si="1"/>
        <v>2015.09</v>
      </c>
      <c r="B246" s="2302">
        <v>198.04178014211249</v>
      </c>
    </row>
    <row r="247" spans="1:2">
      <c r="A247" s="2202">
        <f t="shared" si="1"/>
        <v>2015.1</v>
      </c>
      <c r="B247" s="2302">
        <v>199.137543532265</v>
      </c>
    </row>
    <row r="248" spans="1:2">
      <c r="A248" s="2202">
        <f t="shared" si="1"/>
        <v>2015.11</v>
      </c>
      <c r="B248" s="2302">
        <v>190.4504617603103</v>
      </c>
    </row>
    <row r="249" spans="1:2">
      <c r="A249" s="2202">
        <f t="shared" si="1"/>
        <v>2015.12</v>
      </c>
      <c r="B249" s="2302">
        <v>187.8533970494791</v>
      </c>
    </row>
    <row r="250" spans="1:2">
      <c r="A250" s="2202">
        <f t="shared" si="1"/>
        <v>2016.01</v>
      </c>
      <c r="B250" s="2302">
        <v>183.74243142171409</v>
      </c>
    </row>
    <row r="251" spans="1:2">
      <c r="A251" s="2202">
        <f t="shared" si="1"/>
        <v>2016.02</v>
      </c>
      <c r="B251" s="2302">
        <v>184.8391681036189</v>
      </c>
    </row>
    <row r="252" spans="1:2">
      <c r="A252" s="2202">
        <f t="shared" si="1"/>
        <v>2016.03</v>
      </c>
      <c r="B252" s="2302">
        <v>188.67794250490161</v>
      </c>
    </row>
    <row r="253" spans="1:2">
      <c r="A253" s="2202">
        <f t="shared" si="1"/>
        <v>2016.04</v>
      </c>
      <c r="B253" s="2302">
        <v>198.6498321112272</v>
      </c>
    </row>
    <row r="254" spans="1:2">
      <c r="A254" s="2202">
        <f t="shared" si="1"/>
        <v>2016.05</v>
      </c>
      <c r="B254" s="2302">
        <v>217.26580081813421</v>
      </c>
    </row>
    <row r="255" spans="1:2">
      <c r="A255" s="2202">
        <f t="shared" si="1"/>
        <v>2016.06</v>
      </c>
      <c r="B255" s="2302">
        <v>226.99341637750811</v>
      </c>
    </row>
    <row r="256" spans="1:2">
      <c r="A256" s="2202">
        <f t="shared" si="1"/>
        <v>2016.07</v>
      </c>
      <c r="B256" s="2302">
        <v>212.17101814245331</v>
      </c>
    </row>
    <row r="257" spans="1:2">
      <c r="A257" s="2202">
        <f t="shared" si="1"/>
        <v>2016.08</v>
      </c>
      <c r="B257" s="2302">
        <v>204.28264734334911</v>
      </c>
    </row>
    <row r="258" spans="1:2">
      <c r="A258" s="2202">
        <f t="shared" si="1"/>
        <v>2016.09</v>
      </c>
      <c r="B258" s="2302">
        <v>201.86641505436751</v>
      </c>
    </row>
    <row r="259" spans="1:2">
      <c r="A259" s="2202">
        <f t="shared" si="1"/>
        <v>2016.1</v>
      </c>
      <c r="B259" s="2302">
        <v>201.81017094688531</v>
      </c>
    </row>
    <row r="260" spans="1:2">
      <c r="A260" s="2202">
        <f t="shared" si="1"/>
        <v>2016.11</v>
      </c>
      <c r="B260" s="2302">
        <v>203.3742351730879</v>
      </c>
    </row>
    <row r="261" spans="1:2">
      <c r="A261" s="2202">
        <f t="shared" si="1"/>
        <v>2016.12</v>
      </c>
      <c r="B261" s="2302">
        <v>205.25153955247791</v>
      </c>
    </row>
    <row r="262" spans="1:2">
      <c r="A262" s="2202">
        <f t="shared" si="1"/>
        <v>2017.01</v>
      </c>
      <c r="B262" s="2302">
        <v>208.61959613492951</v>
      </c>
    </row>
    <row r="263" spans="1:2">
      <c r="A263" s="2202">
        <f t="shared" si="1"/>
        <v>2017.02</v>
      </c>
      <c r="B263" s="2302">
        <v>208.15514342573709</v>
      </c>
    </row>
    <row r="264" spans="1:2">
      <c r="A264" s="2202">
        <f t="shared" si="1"/>
        <v>2017.03</v>
      </c>
      <c r="B264" s="2302">
        <v>203.26830173330299</v>
      </c>
    </row>
    <row r="265" spans="1:2">
      <c r="A265" s="2202">
        <f t="shared" si="1"/>
        <v>2017.04</v>
      </c>
      <c r="B265" s="2302">
        <v>197.7366079123162</v>
      </c>
    </row>
    <row r="266" spans="1:2">
      <c r="A266" s="2202">
        <f t="shared" si="1"/>
        <v>2017.05</v>
      </c>
      <c r="B266" s="2302">
        <v>200.1196492707162</v>
      </c>
    </row>
    <row r="267" spans="1:2">
      <c r="A267" s="2202">
        <f t="shared" si="1"/>
        <v>2017.06</v>
      </c>
      <c r="B267" s="2302">
        <v>198.86672898912761</v>
      </c>
    </row>
    <row r="268" spans="1:2">
      <c r="A268" s="2202">
        <f t="shared" si="1"/>
        <v>2017.07</v>
      </c>
      <c r="B268" s="2302">
        <v>204.3384241050301</v>
      </c>
    </row>
    <row r="269" spans="1:2">
      <c r="A269" s="2202">
        <f t="shared" si="1"/>
        <v>2017.08</v>
      </c>
      <c r="B269" s="2302">
        <v>199.70943442997131</v>
      </c>
    </row>
    <row r="270" spans="1:2">
      <c r="A270" s="2202">
        <f t="shared" si="1"/>
        <v>2017.09</v>
      </c>
      <c r="B270" s="2302">
        <v>202.16727735183181</v>
      </c>
    </row>
    <row r="271" spans="1:2">
      <c r="A271" s="2202">
        <f t="shared" si="1"/>
        <v>2017.1</v>
      </c>
      <c r="B271" s="2302">
        <v>203.7070534273937</v>
      </c>
    </row>
    <row r="272" spans="1:2">
      <c r="A272" s="2202">
        <f t="shared" si="1"/>
        <v>2017.11</v>
      </c>
      <c r="B272" s="2302">
        <v>203.9191860432006</v>
      </c>
    </row>
    <row r="273" spans="1:2">
      <c r="A273" s="2202">
        <f t="shared" si="1"/>
        <v>2017.12</v>
      </c>
      <c r="B273" s="2302">
        <v>204.3014541877867</v>
      </c>
    </row>
    <row r="274" spans="1:2">
      <c r="A274" s="2202">
        <f t="shared" si="1"/>
        <v>2018.01</v>
      </c>
      <c r="B274" s="2302">
        <v>210.0940503543259</v>
      </c>
    </row>
    <row r="275" spans="1:2">
      <c r="A275" s="2202">
        <f t="shared" si="1"/>
        <v>2018.02</v>
      </c>
      <c r="B275" s="2302">
        <v>215.7731009766928</v>
      </c>
    </row>
    <row r="276" spans="1:2">
      <c r="A276" s="2202">
        <f t="shared" si="1"/>
        <v>2018.03</v>
      </c>
      <c r="B276" s="2302">
        <v>221.56188118667399</v>
      </c>
    </row>
    <row r="277" spans="1:2">
      <c r="A277" s="2202">
        <f t="shared" si="1"/>
        <v>2018.04</v>
      </c>
      <c r="B277" s="2302">
        <v>224.3343115264708</v>
      </c>
    </row>
    <row r="278" spans="1:2">
      <c r="A278" s="2202">
        <f t="shared" si="1"/>
        <v>2018.05</v>
      </c>
      <c r="B278" s="2302">
        <v>226.9493965756229</v>
      </c>
    </row>
    <row r="279" spans="1:2">
      <c r="A279" s="2202">
        <f t="shared" si="1"/>
        <v>2018.06</v>
      </c>
      <c r="B279" s="2302">
        <v>214.9973258376196</v>
      </c>
    </row>
    <row r="280" spans="1:2">
      <c r="A280" s="2202">
        <f t="shared" si="1"/>
        <v>2018.07</v>
      </c>
      <c r="B280" s="2302">
        <v>207.1330712403884</v>
      </c>
    </row>
    <row r="281" spans="1:2">
      <c r="A281" s="2202">
        <f t="shared" si="1"/>
        <v>2018.08</v>
      </c>
      <c r="B281" s="2302">
        <v>204.75859480117541</v>
      </c>
    </row>
    <row r="282" spans="1:2">
      <c r="A282" s="2202">
        <f t="shared" ref="A282:A345" si="2">A270+1</f>
        <v>2018.09</v>
      </c>
      <c r="B282" s="2302">
        <v>199.99345517562091</v>
      </c>
    </row>
    <row r="283" spans="1:2">
      <c r="A283" s="2202">
        <f t="shared" si="2"/>
        <v>2018.1</v>
      </c>
      <c r="B283" s="2302">
        <v>203.91284445455071</v>
      </c>
    </row>
    <row r="284" spans="1:2">
      <c r="A284" s="2202">
        <f t="shared" si="2"/>
        <v>2018.11</v>
      </c>
      <c r="B284" s="2302">
        <v>200.98658481820439</v>
      </c>
    </row>
    <row r="285" spans="1:2">
      <c r="A285" s="2202">
        <f t="shared" si="2"/>
        <v>2018.12</v>
      </c>
      <c r="B285" s="2302">
        <v>201.71747130169999</v>
      </c>
    </row>
    <row r="286" spans="1:2">
      <c r="A286" s="2202">
        <f t="shared" si="2"/>
        <v>2019.01</v>
      </c>
      <c r="B286" s="2302">
        <v>204.58468490209941</v>
      </c>
    </row>
    <row r="287" spans="1:2">
      <c r="A287" s="2202">
        <f t="shared" si="2"/>
        <v>2019.02</v>
      </c>
      <c r="B287" s="2302">
        <v>210.54134992608959</v>
      </c>
    </row>
    <row r="288" spans="1:2">
      <c r="A288" s="2202">
        <f t="shared" si="2"/>
        <v>2019.03</v>
      </c>
      <c r="B288" s="2302">
        <v>204.08230883238519</v>
      </c>
    </row>
    <row r="289" spans="1:2">
      <c r="A289" s="2202">
        <f t="shared" si="2"/>
        <v>2019.04</v>
      </c>
      <c r="B289" s="2302">
        <v>200.2335075248879</v>
      </c>
    </row>
    <row r="290" spans="1:2">
      <c r="A290" s="2202">
        <f t="shared" si="2"/>
        <v>2019.05</v>
      </c>
      <c r="B290" s="2302">
        <v>199.9390849386682</v>
      </c>
    </row>
    <row r="291" spans="1:2">
      <c r="A291" s="2202">
        <f t="shared" si="2"/>
        <v>2019.06</v>
      </c>
      <c r="B291" s="2302">
        <v>211.4723115672806</v>
      </c>
    </row>
    <row r="292" spans="1:2">
      <c r="A292" s="2202">
        <f t="shared" si="2"/>
        <v>2019.07</v>
      </c>
      <c r="B292" s="2302">
        <v>209.310394132516</v>
      </c>
    </row>
    <row r="293" spans="1:2">
      <c r="A293" s="2202">
        <f t="shared" si="2"/>
        <v>2019.08</v>
      </c>
      <c r="B293" s="2302">
        <v>199.4952420380238</v>
      </c>
    </row>
    <row r="294" spans="1:2">
      <c r="A294" s="2202">
        <f t="shared" si="2"/>
        <v>2019.09</v>
      </c>
      <c r="B294" s="2302">
        <v>200.66280512141969</v>
      </c>
    </row>
    <row r="295" spans="1:2">
      <c r="A295" s="2202">
        <f t="shared" si="2"/>
        <v>2019.1</v>
      </c>
      <c r="B295" s="2302">
        <v>210.0099037197067</v>
      </c>
    </row>
    <row r="296" spans="1:2">
      <c r="A296" s="2202">
        <f t="shared" si="2"/>
        <v>2019.11</v>
      </c>
      <c r="B296" s="2302">
        <v>207.20256625507821</v>
      </c>
    </row>
    <row r="297" spans="1:2">
      <c r="A297" s="2202">
        <f t="shared" si="2"/>
        <v>2019.12</v>
      </c>
      <c r="B297" s="2302">
        <v>209.5971468589087</v>
      </c>
    </row>
    <row r="298" spans="1:2">
      <c r="A298" s="2202">
        <f t="shared" si="2"/>
        <v>2020.01</v>
      </c>
      <c r="B298" s="2302">
        <v>214.20736732406661</v>
      </c>
    </row>
    <row r="299" spans="1:2">
      <c r="A299" s="2202">
        <f t="shared" si="2"/>
        <v>2020.02</v>
      </c>
      <c r="B299" s="2302">
        <v>205.5255033828355</v>
      </c>
    </row>
    <row r="300" spans="1:2">
      <c r="A300" s="2202">
        <f t="shared" si="2"/>
        <v>2020.03</v>
      </c>
      <c r="B300" s="2302">
        <v>193.54970654924031</v>
      </c>
    </row>
    <row r="301" spans="1:2">
      <c r="A301" s="2202">
        <f t="shared" si="2"/>
        <v>2020.04</v>
      </c>
      <c r="B301" s="2302">
        <v>182.49967545544331</v>
      </c>
    </row>
    <row r="302" spans="1:2">
      <c r="A302" s="2202">
        <f t="shared" si="2"/>
        <v>2020.05</v>
      </c>
      <c r="B302" s="2302">
        <v>182.60877119717489</v>
      </c>
    </row>
    <row r="303" spans="1:2">
      <c r="A303" s="2202">
        <f t="shared" si="2"/>
        <v>2020.06</v>
      </c>
      <c r="B303" s="2302">
        <v>188.6153571906774</v>
      </c>
    </row>
    <row r="304" spans="1:2">
      <c r="A304" s="2202">
        <f t="shared" si="2"/>
        <v>2020.07</v>
      </c>
      <c r="B304" s="2302">
        <v>194.66537758095589</v>
      </c>
    </row>
    <row r="305" spans="1:2">
      <c r="A305" s="2202">
        <f t="shared" si="2"/>
        <v>2020.08</v>
      </c>
      <c r="B305" s="2302">
        <v>198.34198016830939</v>
      </c>
    </row>
    <row r="306" spans="1:2">
      <c r="A306" s="2202">
        <f t="shared" si="2"/>
        <v>2020.09</v>
      </c>
      <c r="B306" s="2302">
        <v>210.24189093375699</v>
      </c>
    </row>
    <row r="307" spans="1:2">
      <c r="A307" s="2202">
        <f t="shared" si="2"/>
        <v>2020.1</v>
      </c>
      <c r="B307" s="2302">
        <v>224.62851060552239</v>
      </c>
    </row>
    <row r="308" spans="1:2">
      <c r="A308" s="2202">
        <f t="shared" si="2"/>
        <v>2020.11</v>
      </c>
      <c r="B308" s="2302">
        <v>237.74262450146159</v>
      </c>
    </row>
    <row r="309" spans="1:2">
      <c r="A309" s="2202">
        <f t="shared" si="2"/>
        <v>2020.12</v>
      </c>
      <c r="B309" s="2302">
        <v>247.64928040362571</v>
      </c>
    </row>
    <row r="310" spans="1:2">
      <c r="A310" s="2202">
        <f t="shared" si="2"/>
        <v>2021.01</v>
      </c>
      <c r="B310" s="2302">
        <v>270.87891835876889</v>
      </c>
    </row>
    <row r="311" spans="1:2">
      <c r="A311" s="2202">
        <f t="shared" si="2"/>
        <v>2021.02</v>
      </c>
      <c r="B311" s="2302">
        <v>278.5517301164349</v>
      </c>
    </row>
    <row r="312" spans="1:2">
      <c r="A312" s="2202">
        <f t="shared" si="2"/>
        <v>2021.03</v>
      </c>
      <c r="B312" s="2302">
        <v>281.5611755840975</v>
      </c>
    </row>
    <row r="313" spans="1:2">
      <c r="A313" s="2202">
        <f t="shared" si="2"/>
        <v>2021.04</v>
      </c>
      <c r="B313" s="2302">
        <v>292.57278399103109</v>
      </c>
    </row>
    <row r="314" spans="1:2">
      <c r="A314" s="2202">
        <f t="shared" si="2"/>
        <v>2021.05</v>
      </c>
      <c r="B314" s="2302">
        <v>317.61233477542788</v>
      </c>
    </row>
    <row r="315" spans="1:2">
      <c r="A315" s="2202">
        <f t="shared" si="2"/>
        <v>2021.06</v>
      </c>
      <c r="B315" s="2302">
        <v>309.43712942397872</v>
      </c>
    </row>
    <row r="316" spans="1:2">
      <c r="A316" s="2202">
        <f t="shared" si="2"/>
        <v>2021.07</v>
      </c>
      <c r="B316" s="2302">
        <v>295.8060511670422</v>
      </c>
    </row>
    <row r="317" spans="1:2">
      <c r="A317" s="2202">
        <f t="shared" si="2"/>
        <v>2021.08</v>
      </c>
      <c r="B317" s="2302">
        <v>291.06024564118781</v>
      </c>
    </row>
    <row r="318" spans="1:2">
      <c r="A318" s="2202">
        <f t="shared" si="2"/>
        <v>2021.09</v>
      </c>
      <c r="B318" s="2302">
        <v>277.01838926165749</v>
      </c>
    </row>
    <row r="319" spans="1:2">
      <c r="A319" s="2202">
        <f t="shared" si="2"/>
        <v>2021.1</v>
      </c>
      <c r="B319" s="2302">
        <v>279.4413468219575</v>
      </c>
    </row>
    <row r="320" spans="1:2">
      <c r="A320" s="2202">
        <f t="shared" si="2"/>
        <v>2021.11</v>
      </c>
      <c r="B320" s="2302">
        <v>289.86616583649891</v>
      </c>
    </row>
    <row r="321" spans="1:2">
      <c r="A321" s="2202">
        <f t="shared" si="2"/>
        <v>2021.12</v>
      </c>
      <c r="B321" s="2302">
        <v>295.76182457177612</v>
      </c>
    </row>
    <row r="322" spans="1:2">
      <c r="A322" s="2202">
        <f t="shared" si="2"/>
        <v>2022.01</v>
      </c>
      <c r="B322" s="2302">
        <v>310.63854593744691</v>
      </c>
    </row>
    <row r="323" spans="1:2">
      <c r="A323" s="2202">
        <f t="shared" si="2"/>
        <v>2022.02</v>
      </c>
      <c r="B323" s="2302">
        <v>330.95089644518072</v>
      </c>
    </row>
    <row r="324" spans="1:2">
      <c r="A324" s="2202">
        <f t="shared" si="2"/>
        <v>2022.03</v>
      </c>
      <c r="B324" s="2302">
        <v>367.71608021910532</v>
      </c>
    </row>
    <row r="325" spans="1:2">
      <c r="A325" s="2202">
        <f t="shared" si="2"/>
        <v>2022.04</v>
      </c>
      <c r="B325" s="2302">
        <v>372.05375149230872</v>
      </c>
    </row>
    <row r="326" spans="1:2">
      <c r="A326" s="2202">
        <f t="shared" si="2"/>
        <v>2022.05</v>
      </c>
      <c r="B326" s="2302">
        <v>372.81078990814228</v>
      </c>
    </row>
    <row r="327" spans="1:2">
      <c r="A327" s="2202">
        <f t="shared" si="2"/>
        <v>2022.06</v>
      </c>
      <c r="B327" s="2302">
        <v>365.91103614517732</v>
      </c>
    </row>
    <row r="328" spans="1:2">
      <c r="A328" s="2202">
        <f t="shared" si="2"/>
        <v>2022.07</v>
      </c>
      <c r="B328" s="2302">
        <v>338.17418868080841</v>
      </c>
    </row>
    <row r="329" spans="1:2">
      <c r="A329" s="2202">
        <f t="shared" si="2"/>
        <v>2022.08</v>
      </c>
      <c r="B329" s="2302">
        <v>341.54447768275429</v>
      </c>
    </row>
    <row r="330" spans="1:2">
      <c r="A330" s="2202">
        <f t="shared" si="2"/>
        <v>2022.09</v>
      </c>
      <c r="B330" s="2302">
        <v>331.99124516659782</v>
      </c>
    </row>
    <row r="331" spans="1:2">
      <c r="A331" s="2202">
        <f t="shared" si="2"/>
        <v>2022.1</v>
      </c>
      <c r="B331" s="2302">
        <v>327.52756573524027</v>
      </c>
    </row>
    <row r="332" spans="1:2">
      <c r="A332" s="2202">
        <f t="shared" si="2"/>
        <v>2022.11</v>
      </c>
      <c r="B332" s="2302">
        <v>330.72030696305183</v>
      </c>
    </row>
    <row r="333" spans="1:2">
      <c r="A333" s="2202">
        <f t="shared" si="2"/>
        <v>2022.12</v>
      </c>
      <c r="B333" s="2302">
        <v>321.86471131977271</v>
      </c>
    </row>
    <row r="334" spans="1:2">
      <c r="A334" s="2202">
        <f t="shared" si="2"/>
        <v>2023.01</v>
      </c>
      <c r="B334" s="2302">
        <v>328.33173490291182</v>
      </c>
    </row>
    <row r="335" spans="1:2">
      <c r="A335" s="2202">
        <f t="shared" si="2"/>
        <v>2023.02</v>
      </c>
      <c r="B335" s="2302">
        <v>326.22888868310531</v>
      </c>
    </row>
    <row r="336" spans="1:2">
      <c r="A336" s="2202">
        <f t="shared" si="2"/>
        <v>2023.03</v>
      </c>
      <c r="B336" s="2302">
        <v>314.06746807760652</v>
      </c>
    </row>
    <row r="337" spans="1:2">
      <c r="A337" s="2202">
        <f t="shared" si="2"/>
        <v>2023.04</v>
      </c>
      <c r="B337" s="2302">
        <v>311.35989114501768</v>
      </c>
    </row>
    <row r="338" spans="1:2">
      <c r="A338" s="2202">
        <f t="shared" si="2"/>
        <v>2023.05</v>
      </c>
      <c r="B338" s="2302">
        <v>292.10650844192952</v>
      </c>
    </row>
    <row r="339" spans="1:2">
      <c r="A339" s="2202">
        <f t="shared" si="2"/>
        <v>2023.06</v>
      </c>
      <c r="B339" s="2302">
        <v>298.14986921857968</v>
      </c>
    </row>
    <row r="340" spans="1:2">
      <c r="A340" s="2202">
        <f t="shared" si="2"/>
        <v>2023.07</v>
      </c>
      <c r="B340" s="2302">
        <v>308.33839385578051</v>
      </c>
    </row>
    <row r="341" spans="1:2">
      <c r="A341" s="2202">
        <f t="shared" si="2"/>
        <v>2023.08</v>
      </c>
      <c r="B341" s="2302">
        <v>298.84271502280228</v>
      </c>
    </row>
    <row r="342" spans="1:2">
      <c r="A342" s="2202">
        <f t="shared" si="2"/>
        <v>2023.09</v>
      </c>
      <c r="B342" s="2302">
        <v>291.62411071664201</v>
      </c>
    </row>
    <row r="343" spans="1:2">
      <c r="A343" s="2202">
        <f t="shared" si="2"/>
        <v>2023.1</v>
      </c>
      <c r="B343" s="2302">
        <v>285.16470390021249</v>
      </c>
    </row>
    <row r="344" spans="1:2">
      <c r="A344" s="2202">
        <f t="shared" si="2"/>
        <v>2023.11</v>
      </c>
      <c r="B344" s="2302">
        <v>287.33954495883211</v>
      </c>
    </row>
    <row r="345" spans="1:2">
      <c r="A345" s="2202">
        <f t="shared" si="2"/>
        <v>2023.12</v>
      </c>
      <c r="B345" s="2302">
        <v>279.66573292997452</v>
      </c>
    </row>
    <row r="346" spans="1:2">
      <c r="A346" s="2202">
        <f t="shared" ref="A346:A369" si="3">A334+1</f>
        <v>2024.01</v>
      </c>
      <c r="B346" s="2302">
        <v>267.44293782262019</v>
      </c>
    </row>
    <row r="347" spans="1:2">
      <c r="A347" s="2202">
        <f t="shared" si="3"/>
        <v>2024.02</v>
      </c>
      <c r="B347" s="2302">
        <v>261.95803797905421</v>
      </c>
    </row>
    <row r="348" spans="1:2">
      <c r="A348" s="2202">
        <f t="shared" si="3"/>
        <v>2024.03</v>
      </c>
      <c r="B348" s="2302">
        <v>261.87431907578269</v>
      </c>
    </row>
    <row r="349" spans="1:2">
      <c r="A349" s="2202">
        <f t="shared" si="3"/>
        <v>2024.04</v>
      </c>
      <c r="B349" s="2302">
        <v>264.10420273272922</v>
      </c>
    </row>
    <row r="350" spans="1:2">
      <c r="A350" s="2202">
        <f t="shared" si="3"/>
        <v>2024.05</v>
      </c>
      <c r="B350" s="2302">
        <v>271.0396189750723</v>
      </c>
    </row>
    <row r="351" spans="1:2">
      <c r="A351" s="2202">
        <f t="shared" si="3"/>
        <v>2024.06</v>
      </c>
      <c r="B351" s="2302">
        <v>267.91293160153128</v>
      </c>
    </row>
    <row r="352" spans="1:2">
      <c r="A352" s="2202">
        <f t="shared" si="3"/>
        <v>2024.07</v>
      </c>
      <c r="B352" s="2302">
        <v>262.25931750731081</v>
      </c>
    </row>
    <row r="353" spans="1:3">
      <c r="A353" s="2202">
        <f t="shared" si="3"/>
        <v>2024.08</v>
      </c>
      <c r="B353" s="2302">
        <v>249.1380120897353</v>
      </c>
      <c r="C353" s="2204"/>
    </row>
    <row r="354" spans="1:3">
      <c r="A354" s="2202">
        <f t="shared" si="3"/>
        <v>2024.09</v>
      </c>
      <c r="B354" s="2302">
        <v>250.27398781500099</v>
      </c>
      <c r="C354" s="2204"/>
    </row>
    <row r="355" spans="1:3">
      <c r="A355" s="2202">
        <f t="shared" si="3"/>
        <v>2024.1</v>
      </c>
      <c r="B355" s="2302">
        <v>256.61905954790842</v>
      </c>
      <c r="C355" s="2204"/>
    </row>
    <row r="356" spans="1:3">
      <c r="A356" s="2202">
        <f t="shared" si="3"/>
        <v>2024.11</v>
      </c>
      <c r="B356" s="2302">
        <v>249.50850452687891</v>
      </c>
      <c r="C356" s="2204"/>
    </row>
    <row r="357" spans="1:3">
      <c r="A357" s="2202">
        <f t="shared" si="3"/>
        <v>2024.12</v>
      </c>
      <c r="B357" s="2302">
        <v>245.32212550111731</v>
      </c>
      <c r="C357" s="2537"/>
    </row>
    <row r="358" spans="1:3">
      <c r="A358" s="2202">
        <f t="shared" si="3"/>
        <v>2025.01</v>
      </c>
      <c r="B358" s="2302">
        <v>255.51646774055101</v>
      </c>
      <c r="C358" s="2204"/>
    </row>
    <row r="359" spans="1:3">
      <c r="A359" s="2202">
        <f t="shared" si="3"/>
        <v>2025.02</v>
      </c>
      <c r="B359" s="2302">
        <v>256.74776071908389</v>
      </c>
      <c r="C359" s="2204"/>
    </row>
    <row r="360" spans="1:3">
      <c r="A360" s="2202">
        <f t="shared" si="3"/>
        <v>2025.03</v>
      </c>
      <c r="B360" s="2302">
        <v>248.97445416304609</v>
      </c>
      <c r="C360" s="2204"/>
    </row>
    <row r="361" spans="1:3">
      <c r="A361" s="2202">
        <f t="shared" si="3"/>
        <v>2025.04</v>
      </c>
      <c r="B361" s="2302">
        <v>252.29789249173251</v>
      </c>
      <c r="C361" s="2204"/>
    </row>
    <row r="362" spans="1:3">
      <c r="A362" s="2202">
        <f t="shared" si="3"/>
        <v>2025.05</v>
      </c>
      <c r="B362" s="3350">
        <v>250.9</v>
      </c>
      <c r="C362" s="2204"/>
    </row>
    <row r="363" spans="1:3">
      <c r="A363" s="2202">
        <f t="shared" si="3"/>
        <v>2025.06</v>
      </c>
      <c r="B363" s="2302" t="e">
        <v>#N/A</v>
      </c>
      <c r="C363" s="2204"/>
    </row>
    <row r="364" spans="1:3">
      <c r="A364" s="2202">
        <f t="shared" si="3"/>
        <v>2025.07</v>
      </c>
      <c r="B364" s="2302" t="e">
        <v>#N/A</v>
      </c>
      <c r="C364" s="2204"/>
    </row>
    <row r="365" spans="1:3">
      <c r="A365" s="2202">
        <f t="shared" si="3"/>
        <v>2025.08</v>
      </c>
      <c r="B365" s="2302" t="e">
        <v>#N/A</v>
      </c>
      <c r="C365" s="2204"/>
    </row>
    <row r="366" spans="1:3">
      <c r="A366" s="2202">
        <f t="shared" si="3"/>
        <v>2025.09</v>
      </c>
      <c r="B366" s="2302" t="e">
        <v>#N/A</v>
      </c>
      <c r="C366" s="2204"/>
    </row>
    <row r="367" spans="1:3">
      <c r="A367" s="2202">
        <f t="shared" si="3"/>
        <v>2025.1</v>
      </c>
      <c r="B367" s="2302" t="e">
        <v>#N/A</v>
      </c>
      <c r="C367" s="2204"/>
    </row>
    <row r="368" spans="1:3">
      <c r="A368" s="2202">
        <f t="shared" si="3"/>
        <v>2025.11</v>
      </c>
      <c r="B368" s="2302" t="e">
        <v>#N/A</v>
      </c>
      <c r="C368" s="2204"/>
    </row>
    <row r="369" spans="1:2">
      <c r="A369" s="2202">
        <f t="shared" si="3"/>
        <v>2025.12</v>
      </c>
      <c r="B369" s="2302" t="e">
        <v>#N/A</v>
      </c>
    </row>
    <row r="370" spans="1:2">
      <c r="A370" s="1340">
        <v>2026.01</v>
      </c>
      <c r="B370" s="2302" t="e">
        <v>#N/A</v>
      </c>
    </row>
    <row r="371" spans="1:2">
      <c r="A371" s="1340">
        <v>2026.02</v>
      </c>
      <c r="B371" s="2302" t="e">
        <v>#N/A</v>
      </c>
    </row>
    <row r="372" spans="1:2">
      <c r="A372" s="1340">
        <v>2026.03</v>
      </c>
      <c r="B372" s="2302" t="e">
        <v>#N/A</v>
      </c>
    </row>
    <row r="373" spans="1:2">
      <c r="A373" s="1340">
        <v>2026.04</v>
      </c>
      <c r="B373" s="2302" t="e">
        <v>#N/A</v>
      </c>
    </row>
    <row r="374" spans="1:2">
      <c r="A374" s="1340">
        <v>2026.05</v>
      </c>
      <c r="B374" s="2302" t="e">
        <v>#N/A</v>
      </c>
    </row>
    <row r="375" spans="1:2">
      <c r="A375" s="1340">
        <v>2026.06</v>
      </c>
      <c r="B375" s="2302" t="e">
        <v>#N/A</v>
      </c>
    </row>
    <row r="376" spans="1:2">
      <c r="A376" s="1340">
        <v>2026.07</v>
      </c>
      <c r="B376" s="2302" t="e">
        <v>#N/A</v>
      </c>
    </row>
    <row r="377" spans="1:2">
      <c r="A377" s="1340">
        <v>2026.08</v>
      </c>
      <c r="B377" s="2302" t="e">
        <v>#N/A</v>
      </c>
    </row>
    <row r="378" spans="1:2">
      <c r="A378" s="1340">
        <v>2026.09</v>
      </c>
      <c r="B378" s="2302" t="e">
        <v>#N/A</v>
      </c>
    </row>
    <row r="379" spans="1:2">
      <c r="A379" s="1340">
        <v>2026.1</v>
      </c>
      <c r="B379" s="2302" t="e">
        <v>#N/A</v>
      </c>
    </row>
    <row r="380" spans="1:2">
      <c r="A380" s="1340">
        <v>2026.11</v>
      </c>
      <c r="B380" s="2302" t="e">
        <v>#N/A</v>
      </c>
    </row>
    <row r="381" spans="1:2">
      <c r="A381" s="1340">
        <v>2026.12</v>
      </c>
      <c r="B381" s="2302" t="e">
        <v>#N/A</v>
      </c>
    </row>
    <row r="382" spans="1:2">
      <c r="A382" s="1340">
        <v>2027.01</v>
      </c>
      <c r="B382" s="2302" t="e">
        <v>#N/A</v>
      </c>
    </row>
    <row r="383" spans="1:2">
      <c r="A383" s="1340">
        <v>2027.02</v>
      </c>
      <c r="B383" s="2302" t="e">
        <v>#N/A</v>
      </c>
    </row>
    <row r="384" spans="1:2">
      <c r="A384" s="1340">
        <v>2027.03</v>
      </c>
      <c r="B384" s="2302" t="e">
        <v>#N/A</v>
      </c>
    </row>
    <row r="385" spans="1:2">
      <c r="A385" s="1340">
        <v>2027.04</v>
      </c>
      <c r="B385" s="2302" t="e">
        <v>#N/A</v>
      </c>
    </row>
    <row r="386" spans="1:2">
      <c r="A386" s="1340">
        <v>2027.05</v>
      </c>
      <c r="B386" s="2302" t="e">
        <v>#N/A</v>
      </c>
    </row>
    <row r="387" spans="1:2">
      <c r="A387" s="1340">
        <v>2027.06</v>
      </c>
      <c r="B387" s="2302" t="e">
        <v>#N/A</v>
      </c>
    </row>
    <row r="388" spans="1:2">
      <c r="A388" s="1340">
        <v>2027.07</v>
      </c>
      <c r="B388" s="2302" t="e">
        <v>#N/A</v>
      </c>
    </row>
    <row r="389" spans="1:2">
      <c r="A389" s="1340">
        <v>2027.08</v>
      </c>
      <c r="B389" s="2302" t="e">
        <v>#N/A</v>
      </c>
    </row>
    <row r="390" spans="1:2">
      <c r="A390" s="1340">
        <v>2027.09</v>
      </c>
      <c r="B390" s="2302" t="e">
        <v>#N/A</v>
      </c>
    </row>
    <row r="391" spans="1:2">
      <c r="A391" s="1340">
        <v>2027.1</v>
      </c>
      <c r="B391" s="2302" t="e">
        <v>#N/A</v>
      </c>
    </row>
    <row r="392" spans="1:2">
      <c r="A392" s="1340">
        <v>2027.11</v>
      </c>
      <c r="B392" s="2302" t="e">
        <v>#N/A</v>
      </c>
    </row>
    <row r="393" spans="1:2">
      <c r="A393" s="1340">
        <v>2027.12</v>
      </c>
      <c r="B393" s="2302" t="e">
        <v>#N/A</v>
      </c>
    </row>
    <row r="394" spans="1:2">
      <c r="A394" s="1340">
        <v>2028.01</v>
      </c>
      <c r="B394" s="2302" t="e">
        <v>#N/A</v>
      </c>
    </row>
    <row r="395" spans="1:2">
      <c r="A395" s="1340">
        <v>2028.02</v>
      </c>
      <c r="B395" s="2302" t="e">
        <v>#N/A</v>
      </c>
    </row>
    <row r="396" spans="1:2">
      <c r="A396" s="1340">
        <v>2028.03</v>
      </c>
      <c r="B396" s="2302" t="e">
        <v>#N/A</v>
      </c>
    </row>
    <row r="397" spans="1:2">
      <c r="A397" s="1340">
        <v>2028.04</v>
      </c>
      <c r="B397" s="2302" t="e">
        <v>#N/A</v>
      </c>
    </row>
    <row r="398" spans="1:2">
      <c r="A398" s="1340">
        <v>2028.05</v>
      </c>
      <c r="B398" s="2302" t="e">
        <v>#N/A</v>
      </c>
    </row>
    <row r="399" spans="1:2">
      <c r="A399" s="1340">
        <v>2028.06</v>
      </c>
      <c r="B399" s="2302" t="e">
        <v>#N/A</v>
      </c>
    </row>
    <row r="400" spans="1:2">
      <c r="A400" s="1340">
        <v>2028.07</v>
      </c>
      <c r="B400" s="2302" t="e">
        <v>#N/A</v>
      </c>
    </row>
    <row r="401" spans="1:2">
      <c r="A401" s="1340">
        <v>2028.08</v>
      </c>
      <c r="B401" s="2302" t="e">
        <v>#N/A</v>
      </c>
    </row>
    <row r="402" spans="1:2">
      <c r="A402" s="1340">
        <v>2028.09</v>
      </c>
      <c r="B402" s="2302" t="e">
        <v>#N/A</v>
      </c>
    </row>
    <row r="403" spans="1:2">
      <c r="A403" s="1340">
        <v>2028.1</v>
      </c>
      <c r="B403" s="2302" t="e">
        <v>#N/A</v>
      </c>
    </row>
    <row r="404" spans="1:2">
      <c r="A404" s="1340">
        <v>2028.11</v>
      </c>
      <c r="B404" s="2302" t="e">
        <v>#N/A</v>
      </c>
    </row>
    <row r="405" spans="1:2">
      <c r="A405" s="1340">
        <v>2028.12</v>
      </c>
      <c r="B405" s="2302" t="e">
        <v>#N/A</v>
      </c>
    </row>
    <row r="406" spans="1:2">
      <c r="A406" s="1340">
        <v>2029.01</v>
      </c>
      <c r="B406" s="2302" t="e">
        <v>#N/A</v>
      </c>
    </row>
    <row r="407" spans="1:2">
      <c r="A407" s="1340">
        <v>2029.02</v>
      </c>
      <c r="B407" s="2302" t="e">
        <v>#N/A</v>
      </c>
    </row>
    <row r="408" spans="1:2">
      <c r="A408" s="1340">
        <v>2029.03</v>
      </c>
      <c r="B408" s="2302" t="e">
        <v>#N/A</v>
      </c>
    </row>
    <row r="409" spans="1:2">
      <c r="A409" s="1340">
        <v>2029.04</v>
      </c>
      <c r="B409" s="2302" t="e">
        <v>#N/A</v>
      </c>
    </row>
    <row r="410" spans="1:2">
      <c r="A410" s="1340">
        <v>2029.05</v>
      </c>
      <c r="B410" s="2302" t="e">
        <v>#N/A</v>
      </c>
    </row>
    <row r="411" spans="1:2">
      <c r="A411" s="1340">
        <v>2029.06</v>
      </c>
      <c r="B411" s="2302" t="e">
        <v>#N/A</v>
      </c>
    </row>
    <row r="412" spans="1:2">
      <c r="A412" s="1340">
        <v>2029.07</v>
      </c>
      <c r="B412" s="2302" t="e">
        <v>#N/A</v>
      </c>
    </row>
    <row r="413" spans="1:2">
      <c r="A413" s="1340">
        <v>2029.08</v>
      </c>
      <c r="B413" s="2302" t="e">
        <v>#N/A</v>
      </c>
    </row>
    <row r="414" spans="1:2">
      <c r="A414" s="1340">
        <v>2029.09</v>
      </c>
      <c r="B414" s="2302" t="e">
        <v>#N/A</v>
      </c>
    </row>
    <row r="415" spans="1:2">
      <c r="A415" s="1340">
        <v>2029.1</v>
      </c>
      <c r="B415" s="2302" t="e">
        <v>#N/A</v>
      </c>
    </row>
    <row r="416" spans="1:2">
      <c r="A416" s="1340">
        <v>2029.11</v>
      </c>
      <c r="B416" s="2302" t="e">
        <v>#N/A</v>
      </c>
    </row>
    <row r="417" spans="1:2">
      <c r="A417" s="1340">
        <v>2029.12</v>
      </c>
      <c r="B417" s="2302" t="e">
        <v>#N/A</v>
      </c>
    </row>
    <row r="418" spans="1:2">
      <c r="A418" s="1340">
        <v>2030.01</v>
      </c>
      <c r="B418" s="2302" t="e">
        <v>#N/A</v>
      </c>
    </row>
    <row r="419" spans="1:2">
      <c r="A419" s="1340">
        <v>2030.02</v>
      </c>
      <c r="B419" s="2302" t="e">
        <v>#N/A</v>
      </c>
    </row>
    <row r="420" spans="1:2">
      <c r="A420" s="1340">
        <v>2030.03</v>
      </c>
      <c r="B420" s="2302" t="e">
        <v>#N/A</v>
      </c>
    </row>
    <row r="421" spans="1:2">
      <c r="A421" s="1340">
        <v>2030.04</v>
      </c>
      <c r="B421" s="2302" t="e">
        <v>#N/A</v>
      </c>
    </row>
    <row r="422" spans="1:2">
      <c r="A422" s="1340">
        <v>2030.05</v>
      </c>
      <c r="B422" s="2302" t="e">
        <v>#N/A</v>
      </c>
    </row>
    <row r="423" spans="1:2">
      <c r="A423" s="1340">
        <v>2030.06</v>
      </c>
      <c r="B423" s="2302" t="e">
        <v>#N/A</v>
      </c>
    </row>
    <row r="424" spans="1:2">
      <c r="A424" s="1340">
        <v>2030.07</v>
      </c>
      <c r="B424" s="2302" t="e">
        <v>#N/A</v>
      </c>
    </row>
    <row r="425" spans="1:2">
      <c r="A425" s="1340">
        <v>2030.08</v>
      </c>
      <c r="B425" s="2302" t="e">
        <v>#N/A</v>
      </c>
    </row>
    <row r="426" spans="1:2">
      <c r="A426" s="1340">
        <v>2030.09</v>
      </c>
      <c r="B426" s="2302" t="e">
        <v>#N/A</v>
      </c>
    </row>
    <row r="427" spans="1:2">
      <c r="A427" s="1340">
        <v>2030.1</v>
      </c>
      <c r="B427" s="2302" t="e">
        <v>#N/A</v>
      </c>
    </row>
    <row r="428" spans="1:2">
      <c r="A428" s="1340">
        <v>2030.11</v>
      </c>
      <c r="B428" s="2302" t="e">
        <v>#N/A</v>
      </c>
    </row>
    <row r="429" spans="1:2">
      <c r="A429" s="1340">
        <v>2030.12</v>
      </c>
      <c r="B429" s="2302" t="e">
        <v>#N/A</v>
      </c>
    </row>
  </sheetData>
  <hyperlinks>
    <hyperlink ref="A1:A3" location="Indice!A1" display="ÍNDICE" xr:uid="{00000000-0004-0000-3800-000000000000}"/>
    <hyperlink ref="A5" location="INDICE!A13" display="VOLVER AL INDICE" xr:uid="{00000000-0004-0000-38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44"/>
  <dimension ref="A1:K501"/>
  <sheetViews>
    <sheetView zoomScale="130" zoomScaleNormal="130" workbookViewId="0">
      <pane xSplit="1" ySplit="9" topLeftCell="B418" activePane="bottomRight" state="frozen"/>
      <selection pane="topRight" sqref="A1:A5"/>
      <selection pane="bottomLeft" sqref="A1:A5"/>
      <selection pane="bottomRight" activeCell="A5" sqref="A5"/>
    </sheetView>
  </sheetViews>
  <sheetFormatPr baseColWidth="10" defaultColWidth="12.5703125" defaultRowHeight="12.75"/>
  <cols>
    <col min="1" max="11" width="11" style="103" customWidth="1"/>
    <col min="12" max="16384" width="12.5703125" style="21"/>
  </cols>
  <sheetData>
    <row r="1" spans="1:11" s="19" customFormat="1" ht="3.75" customHeight="1">
      <c r="A1" s="34"/>
      <c r="B1" s="2185"/>
      <c r="C1" s="2303"/>
      <c r="D1" s="2303"/>
      <c r="E1" s="2303"/>
      <c r="F1" s="2303"/>
      <c r="G1" s="2303"/>
      <c r="H1" s="2303"/>
      <c r="I1" s="2303"/>
      <c r="J1" s="2303"/>
      <c r="K1" s="2188"/>
    </row>
    <row r="2" spans="1:11" s="19" customFormat="1">
      <c r="A2" s="59" t="s">
        <v>105</v>
      </c>
      <c r="B2" s="3225" t="s">
        <v>1541</v>
      </c>
      <c r="C2" s="3227"/>
      <c r="D2" s="3260"/>
      <c r="E2" s="3226"/>
      <c r="F2" s="3227"/>
      <c r="G2" s="3227"/>
      <c r="H2" s="3227"/>
      <c r="I2" s="3260"/>
      <c r="J2" s="3226"/>
      <c r="K2" s="3228"/>
    </row>
    <row r="3" spans="1:11" s="19" customFormat="1">
      <c r="A3" s="59" t="s">
        <v>109</v>
      </c>
      <c r="B3" s="224" t="s">
        <v>120</v>
      </c>
      <c r="C3" s="2192"/>
      <c r="D3" s="106"/>
      <c r="E3" s="2488"/>
      <c r="F3" s="2192"/>
      <c r="G3" s="2192"/>
      <c r="H3" s="2192"/>
      <c r="I3" s="106"/>
      <c r="J3" s="2488"/>
      <c r="K3" s="343"/>
    </row>
    <row r="4" spans="1:11" s="19" customFormat="1" ht="2.25" hidden="1" customHeight="1">
      <c r="A4" s="104"/>
      <c r="B4" s="107"/>
      <c r="C4" s="132"/>
      <c r="D4" s="132"/>
      <c r="E4" s="132"/>
      <c r="F4" s="132"/>
      <c r="G4" s="132"/>
      <c r="H4" s="132"/>
      <c r="I4" s="132"/>
      <c r="J4" s="132"/>
      <c r="K4" s="108"/>
    </row>
    <row r="5" spans="1:11" s="19" customFormat="1" ht="22.5">
      <c r="A5" s="2390" t="s">
        <v>137</v>
      </c>
      <c r="B5" s="467" t="s">
        <v>1542</v>
      </c>
      <c r="C5" s="285"/>
      <c r="D5" s="2304"/>
      <c r="E5" s="2489" t="s">
        <v>1543</v>
      </c>
      <c r="F5" s="285"/>
      <c r="G5" s="2489" t="s">
        <v>1544</v>
      </c>
      <c r="H5" s="285"/>
      <c r="I5" s="2304"/>
      <c r="J5" s="2489" t="s">
        <v>1545</v>
      </c>
      <c r="K5" s="2305"/>
    </row>
    <row r="6" spans="1:11" s="19" customFormat="1" ht="2.25" hidden="1" customHeight="1">
      <c r="A6" s="104"/>
      <c r="B6" s="107"/>
      <c r="C6" s="132"/>
      <c r="D6" s="132"/>
      <c r="E6" s="2490"/>
      <c r="F6" s="132"/>
      <c r="G6" s="132"/>
      <c r="H6" s="132"/>
      <c r="I6" s="132"/>
      <c r="J6" s="2490"/>
      <c r="K6" s="108"/>
    </row>
    <row r="7" spans="1:11" s="19" customFormat="1" ht="22.5">
      <c r="A7" s="2373" t="s">
        <v>123</v>
      </c>
      <c r="B7" s="467" t="s">
        <v>1546</v>
      </c>
      <c r="C7" s="930" t="s">
        <v>1547</v>
      </c>
      <c r="D7" s="285" t="s">
        <v>1548</v>
      </c>
      <c r="E7" s="2489" t="s">
        <v>1546</v>
      </c>
      <c r="F7" s="2306" t="s">
        <v>1549</v>
      </c>
      <c r="G7" s="2489" t="s">
        <v>1546</v>
      </c>
      <c r="H7" s="930" t="s">
        <v>1550</v>
      </c>
      <c r="I7" s="285" t="s">
        <v>1548</v>
      </c>
      <c r="J7" s="2489" t="s">
        <v>1546</v>
      </c>
      <c r="K7" s="2307" t="s">
        <v>1551</v>
      </c>
    </row>
    <row r="8" spans="1:11" s="19" customFormat="1" ht="13.5" customHeight="1" thickBot="1">
      <c r="A8" s="105" t="s">
        <v>141</v>
      </c>
      <c r="B8" s="150" t="s">
        <v>1552</v>
      </c>
      <c r="C8" s="639" t="s">
        <v>1553</v>
      </c>
      <c r="D8" s="149" t="s">
        <v>1554</v>
      </c>
      <c r="E8" s="2400" t="s">
        <v>1555</v>
      </c>
      <c r="F8" s="560" t="s">
        <v>1556</v>
      </c>
      <c r="G8" s="2400" t="s">
        <v>1557</v>
      </c>
      <c r="H8" s="639" t="s">
        <v>1558</v>
      </c>
      <c r="I8" s="149" t="s">
        <v>1559</v>
      </c>
      <c r="J8" s="2400" t="s">
        <v>1560</v>
      </c>
      <c r="K8" s="642" t="s">
        <v>1561</v>
      </c>
    </row>
    <row r="9" spans="1:11" s="20" customFormat="1" ht="13.5" hidden="1" thickBot="1">
      <c r="A9" s="72"/>
      <c r="B9" s="2197"/>
      <c r="C9" s="2199"/>
      <c r="D9" s="2681"/>
      <c r="E9" s="2198"/>
      <c r="F9" s="2682"/>
      <c r="G9" s="2198"/>
      <c r="H9" s="2199"/>
      <c r="I9" s="2681"/>
      <c r="J9" s="2198"/>
      <c r="K9" s="2683"/>
    </row>
    <row r="10" spans="1:11">
      <c r="A10" s="2684">
        <v>1990.01</v>
      </c>
      <c r="B10" s="2685">
        <v>2000</v>
      </c>
      <c r="C10" s="2686">
        <v>34.799999999999997</v>
      </c>
      <c r="D10" s="2687"/>
      <c r="E10" s="2688">
        <v>750</v>
      </c>
      <c r="F10" s="2689">
        <v>8.6</v>
      </c>
      <c r="G10" s="2690">
        <v>750</v>
      </c>
      <c r="H10" s="2691">
        <v>1412</v>
      </c>
      <c r="I10" s="2687"/>
      <c r="J10" s="2692">
        <v>250</v>
      </c>
      <c r="K10" s="2693">
        <v>400</v>
      </c>
    </row>
    <row r="11" spans="1:11">
      <c r="A11" s="2308">
        <v>1990.02</v>
      </c>
      <c r="B11" s="2310">
        <v>2000</v>
      </c>
      <c r="C11" s="3261">
        <v>32.700000000000003</v>
      </c>
      <c r="D11" s="2309"/>
      <c r="E11" s="2311">
        <v>750</v>
      </c>
      <c r="F11" s="2312">
        <v>9.1999999999999993</v>
      </c>
      <c r="G11" s="2311">
        <v>750</v>
      </c>
      <c r="H11" s="3262">
        <v>1838</v>
      </c>
      <c r="I11" s="2309"/>
      <c r="J11" s="2311">
        <v>250</v>
      </c>
      <c r="K11" s="3263">
        <v>583</v>
      </c>
    </row>
    <row r="12" spans="1:11">
      <c r="A12" s="2308">
        <v>1990.03</v>
      </c>
      <c r="B12" s="2310">
        <v>2000</v>
      </c>
      <c r="C12" s="3261">
        <v>30.6</v>
      </c>
      <c r="D12" s="2309"/>
      <c r="E12" s="2311">
        <v>750</v>
      </c>
      <c r="F12" s="2312">
        <v>9.8000000000000007</v>
      </c>
      <c r="G12" s="2311">
        <v>750</v>
      </c>
      <c r="H12" s="3262">
        <v>1361</v>
      </c>
      <c r="I12" s="2309"/>
      <c r="J12" s="2311">
        <v>250</v>
      </c>
      <c r="K12" s="3263">
        <v>422</v>
      </c>
    </row>
    <row r="13" spans="1:11">
      <c r="A13" s="2308">
        <v>1990.04</v>
      </c>
      <c r="B13" s="2310">
        <v>2000</v>
      </c>
      <c r="C13" s="3261">
        <v>28.3</v>
      </c>
      <c r="D13" s="2309"/>
      <c r="E13" s="2311">
        <v>750</v>
      </c>
      <c r="F13" s="2312">
        <v>8.3000000000000007</v>
      </c>
      <c r="G13" s="2311">
        <v>750</v>
      </c>
      <c r="H13" s="3262">
        <v>1523</v>
      </c>
      <c r="I13" s="2309"/>
      <c r="J13" s="2311">
        <v>250</v>
      </c>
      <c r="K13" s="3263">
        <v>486</v>
      </c>
    </row>
    <row r="14" spans="1:11">
      <c r="A14" s="2308">
        <v>1990.05</v>
      </c>
      <c r="B14" s="2310">
        <v>2100</v>
      </c>
      <c r="C14" s="3261">
        <v>27.1</v>
      </c>
      <c r="D14" s="2309"/>
      <c r="E14" s="2311">
        <v>800</v>
      </c>
      <c r="F14" s="2312">
        <v>6.9</v>
      </c>
      <c r="G14" s="2311">
        <v>800</v>
      </c>
      <c r="H14" s="3262">
        <v>1633</v>
      </c>
      <c r="I14" s="2309"/>
      <c r="J14" s="2311">
        <v>270</v>
      </c>
      <c r="K14" s="3263">
        <v>529</v>
      </c>
    </row>
    <row r="15" spans="1:11">
      <c r="A15" s="2308">
        <v>1990.06</v>
      </c>
      <c r="B15" s="2310">
        <v>2000</v>
      </c>
      <c r="C15" s="3261">
        <v>24.4</v>
      </c>
      <c r="D15" s="2309"/>
      <c r="E15" s="2311">
        <v>750</v>
      </c>
      <c r="F15" s="2312">
        <v>6.4</v>
      </c>
      <c r="G15" s="2311">
        <v>750</v>
      </c>
      <c r="H15" s="3262">
        <v>1339</v>
      </c>
      <c r="I15" s="2309"/>
      <c r="J15" s="2311">
        <v>260</v>
      </c>
      <c r="K15" s="3263">
        <v>433</v>
      </c>
    </row>
    <row r="16" spans="1:11">
      <c r="A16" s="2308">
        <v>1990.07</v>
      </c>
      <c r="B16" s="2310">
        <v>2000</v>
      </c>
      <c r="C16" s="3261">
        <v>21.8</v>
      </c>
      <c r="D16" s="2309"/>
      <c r="E16" s="2311">
        <v>750</v>
      </c>
      <c r="F16" s="2312">
        <v>6.2</v>
      </c>
      <c r="G16" s="2311">
        <v>750</v>
      </c>
      <c r="H16" s="3262">
        <v>1371</v>
      </c>
      <c r="I16" s="2309"/>
      <c r="J16" s="2311">
        <v>260</v>
      </c>
      <c r="K16" s="3263">
        <v>459</v>
      </c>
    </row>
    <row r="17" spans="1:11">
      <c r="A17" s="2308">
        <v>1990.08</v>
      </c>
      <c r="B17" s="2310">
        <v>1900</v>
      </c>
      <c r="C17" s="3261">
        <v>22</v>
      </c>
      <c r="D17" s="2309"/>
      <c r="E17" s="2311">
        <v>720</v>
      </c>
      <c r="F17" s="2312">
        <v>5.5</v>
      </c>
      <c r="G17" s="2311">
        <v>720</v>
      </c>
      <c r="H17" s="3262">
        <v>1006</v>
      </c>
      <c r="I17" s="2309"/>
      <c r="J17" s="2311">
        <v>250</v>
      </c>
      <c r="K17" s="3263">
        <v>341</v>
      </c>
    </row>
    <row r="18" spans="1:11">
      <c r="A18" s="2308">
        <v>1990.09</v>
      </c>
      <c r="B18" s="2310">
        <v>2000</v>
      </c>
      <c r="C18" s="3261">
        <v>22.2</v>
      </c>
      <c r="D18" s="2309"/>
      <c r="E18" s="2311">
        <v>750</v>
      </c>
      <c r="F18" s="2312">
        <v>5.6</v>
      </c>
      <c r="G18" s="2311">
        <v>750</v>
      </c>
      <c r="H18" s="3262">
        <v>1064</v>
      </c>
      <c r="I18" s="2309"/>
      <c r="J18" s="2311">
        <v>260</v>
      </c>
      <c r="K18" s="3263">
        <v>345</v>
      </c>
    </row>
    <row r="19" spans="1:11">
      <c r="A19" s="2308">
        <v>1990.1</v>
      </c>
      <c r="B19" s="2310">
        <v>2100</v>
      </c>
      <c r="C19" s="3261">
        <v>23.5</v>
      </c>
      <c r="D19" s="2309"/>
      <c r="E19" s="2311">
        <v>800</v>
      </c>
      <c r="F19" s="2312">
        <v>5.8</v>
      </c>
      <c r="G19" s="2311">
        <v>800</v>
      </c>
      <c r="H19" s="3262">
        <v>1169</v>
      </c>
      <c r="I19" s="2309"/>
      <c r="J19" s="2311">
        <v>300</v>
      </c>
      <c r="K19" s="3263">
        <v>417</v>
      </c>
    </row>
    <row r="20" spans="1:11">
      <c r="A20" s="2308">
        <v>1990.11</v>
      </c>
      <c r="B20" s="2310">
        <v>2300</v>
      </c>
      <c r="C20" s="3261">
        <v>24.9</v>
      </c>
      <c r="D20" s="2309"/>
      <c r="E20" s="2311">
        <v>830</v>
      </c>
      <c r="F20" s="2312">
        <v>5.4</v>
      </c>
      <c r="G20" s="2311">
        <v>850</v>
      </c>
      <c r="H20" s="3262">
        <v>1237</v>
      </c>
      <c r="I20" s="2309"/>
      <c r="J20" s="2311">
        <v>320</v>
      </c>
      <c r="K20" s="3263">
        <v>454</v>
      </c>
    </row>
    <row r="21" spans="1:11">
      <c r="A21" s="2308">
        <v>1990.12</v>
      </c>
      <c r="B21" s="2310">
        <v>2300</v>
      </c>
      <c r="C21" s="3261">
        <v>23.8</v>
      </c>
      <c r="D21" s="2309"/>
      <c r="E21" s="2311">
        <v>750</v>
      </c>
      <c r="F21" s="2312">
        <v>11.5</v>
      </c>
      <c r="G21" s="2311">
        <v>850</v>
      </c>
      <c r="H21" s="3262">
        <v>1234</v>
      </c>
      <c r="I21" s="2309"/>
      <c r="J21" s="2311">
        <v>320</v>
      </c>
      <c r="K21" s="3263">
        <v>452</v>
      </c>
    </row>
    <row r="22" spans="1:11">
      <c r="A22" s="2308">
        <v>1991.01</v>
      </c>
      <c r="B22" s="2310">
        <v>2200</v>
      </c>
      <c r="C22" s="3261">
        <v>22.2</v>
      </c>
      <c r="D22" s="2309"/>
      <c r="E22" s="2311">
        <v>700</v>
      </c>
      <c r="F22" s="2312">
        <v>11.6</v>
      </c>
      <c r="G22" s="2311">
        <v>800</v>
      </c>
      <c r="H22" s="3262">
        <v>1337</v>
      </c>
      <c r="I22" s="2309"/>
      <c r="J22" s="2311">
        <v>300</v>
      </c>
      <c r="K22" s="3263">
        <v>488</v>
      </c>
    </row>
    <row r="23" spans="1:11">
      <c r="A23" s="2308">
        <v>1991.02</v>
      </c>
      <c r="B23" s="2310">
        <v>2100</v>
      </c>
      <c r="C23" s="3261">
        <v>23.3</v>
      </c>
      <c r="D23" s="2309"/>
      <c r="E23" s="2311">
        <v>680</v>
      </c>
      <c r="F23" s="2312">
        <v>11.8</v>
      </c>
      <c r="G23" s="2311">
        <v>770</v>
      </c>
      <c r="H23" s="3262">
        <v>1208</v>
      </c>
      <c r="I23" s="2309"/>
      <c r="J23" s="2311">
        <v>280</v>
      </c>
      <c r="K23" s="3263">
        <v>425</v>
      </c>
    </row>
    <row r="24" spans="1:11">
      <c r="A24" s="2308">
        <v>1991.03</v>
      </c>
      <c r="B24" s="2310">
        <v>2100</v>
      </c>
      <c r="C24" s="3261">
        <v>28.5</v>
      </c>
      <c r="D24" s="2309"/>
      <c r="E24" s="2311">
        <v>680</v>
      </c>
      <c r="F24" s="2312">
        <v>9</v>
      </c>
      <c r="G24" s="2311">
        <v>770</v>
      </c>
      <c r="H24" s="3262">
        <v>1152</v>
      </c>
      <c r="I24" s="2309"/>
      <c r="J24" s="2311">
        <v>280</v>
      </c>
      <c r="K24" s="3263">
        <v>412</v>
      </c>
    </row>
    <row r="25" spans="1:11">
      <c r="A25" s="2308">
        <v>1991.04</v>
      </c>
      <c r="B25" s="2310">
        <v>2200</v>
      </c>
      <c r="C25" s="3261">
        <v>27.2</v>
      </c>
      <c r="D25" s="2309"/>
      <c r="E25" s="2311">
        <v>700</v>
      </c>
      <c r="F25" s="2312">
        <v>8.8000000000000007</v>
      </c>
      <c r="G25" s="2311">
        <v>800</v>
      </c>
      <c r="H25" s="3262">
        <v>1333</v>
      </c>
      <c r="I25" s="2309"/>
      <c r="J25" s="2311">
        <v>300</v>
      </c>
      <c r="K25" s="3263">
        <v>492</v>
      </c>
    </row>
    <row r="26" spans="1:11">
      <c r="A26" s="2308">
        <v>1991.05</v>
      </c>
      <c r="B26" s="2310">
        <v>2300</v>
      </c>
      <c r="C26" s="3261">
        <v>26.7</v>
      </c>
      <c r="D26" s="2309"/>
      <c r="E26" s="2311">
        <v>750</v>
      </c>
      <c r="F26" s="2312">
        <v>7</v>
      </c>
      <c r="G26" s="2311">
        <v>850</v>
      </c>
      <c r="H26" s="3262">
        <v>1417</v>
      </c>
      <c r="I26" s="2309"/>
      <c r="J26" s="2311">
        <v>320</v>
      </c>
      <c r="K26" s="3263">
        <v>516</v>
      </c>
    </row>
    <row r="27" spans="1:11">
      <c r="A27" s="2308">
        <v>1991.06</v>
      </c>
      <c r="B27" s="2310">
        <v>2300</v>
      </c>
      <c r="C27" s="3261">
        <v>26</v>
      </c>
      <c r="D27" s="2309"/>
      <c r="E27" s="2311">
        <v>800</v>
      </c>
      <c r="F27" s="2312">
        <v>8.4</v>
      </c>
      <c r="G27" s="2311">
        <v>850</v>
      </c>
      <c r="H27" s="3262">
        <v>1250</v>
      </c>
      <c r="I27" s="2309"/>
      <c r="J27" s="2311">
        <v>320</v>
      </c>
      <c r="K27" s="3263">
        <v>485</v>
      </c>
    </row>
    <row r="28" spans="1:11">
      <c r="A28" s="2308">
        <v>1991.07</v>
      </c>
      <c r="B28" s="2310">
        <v>2200</v>
      </c>
      <c r="C28" s="3261">
        <v>24.9</v>
      </c>
      <c r="D28" s="2309"/>
      <c r="E28" s="2311">
        <v>800</v>
      </c>
      <c r="F28" s="2312">
        <v>8.5</v>
      </c>
      <c r="G28" s="2311">
        <v>850</v>
      </c>
      <c r="H28" s="3262">
        <v>1012</v>
      </c>
      <c r="I28" s="2309"/>
      <c r="J28" s="2311">
        <v>340</v>
      </c>
      <c r="K28" s="3263">
        <v>453</v>
      </c>
    </row>
    <row r="29" spans="1:11">
      <c r="A29" s="2308">
        <v>1991.08</v>
      </c>
      <c r="B29" s="2310">
        <v>2200</v>
      </c>
      <c r="C29" s="3261">
        <v>23.3</v>
      </c>
      <c r="D29" s="2309"/>
      <c r="E29" s="2311">
        <v>800</v>
      </c>
      <c r="F29" s="2312">
        <v>8.9</v>
      </c>
      <c r="G29" s="2311">
        <v>850</v>
      </c>
      <c r="H29" s="3262">
        <v>1012</v>
      </c>
      <c r="I29" s="2309"/>
      <c r="J29" s="2311">
        <v>340</v>
      </c>
      <c r="K29" s="3263">
        <v>453</v>
      </c>
    </row>
    <row r="30" spans="1:11">
      <c r="A30" s="2308">
        <v>1991.09</v>
      </c>
      <c r="B30" s="2310">
        <v>2400</v>
      </c>
      <c r="C30" s="3261">
        <v>24.5</v>
      </c>
      <c r="D30" s="2309"/>
      <c r="E30" s="2311">
        <v>800</v>
      </c>
      <c r="F30" s="2312">
        <v>8.8000000000000007</v>
      </c>
      <c r="G30" s="2311">
        <v>920</v>
      </c>
      <c r="H30" s="3262">
        <v>1070</v>
      </c>
      <c r="I30" s="2309"/>
      <c r="J30" s="2311">
        <v>380</v>
      </c>
      <c r="K30" s="3263">
        <v>475</v>
      </c>
    </row>
    <row r="31" spans="1:11">
      <c r="A31" s="2308">
        <v>1991.1</v>
      </c>
      <c r="B31" s="2310">
        <v>2500</v>
      </c>
      <c r="C31" s="3261">
        <v>25.3</v>
      </c>
      <c r="D31" s="2309"/>
      <c r="E31" s="2311">
        <v>850</v>
      </c>
      <c r="F31" s="2312">
        <v>9.1999999999999993</v>
      </c>
      <c r="G31" s="2311">
        <v>950</v>
      </c>
      <c r="H31" s="3262">
        <v>1033</v>
      </c>
      <c r="I31" s="2309"/>
      <c r="J31" s="2311">
        <v>400</v>
      </c>
      <c r="K31" s="3263">
        <v>444</v>
      </c>
    </row>
    <row r="32" spans="1:11">
      <c r="A32" s="2308">
        <v>1991.11</v>
      </c>
      <c r="B32" s="2310">
        <v>2500</v>
      </c>
      <c r="C32" s="3261">
        <v>20</v>
      </c>
      <c r="D32" s="2309"/>
      <c r="E32" s="2311">
        <v>900</v>
      </c>
      <c r="F32" s="2312">
        <v>8.6999999999999993</v>
      </c>
      <c r="G32" s="2311">
        <v>950</v>
      </c>
      <c r="H32" s="3262">
        <v>1033</v>
      </c>
      <c r="I32" s="2309"/>
      <c r="J32" s="2311">
        <v>400</v>
      </c>
      <c r="K32" s="3263">
        <v>440</v>
      </c>
    </row>
    <row r="33" spans="1:11">
      <c r="A33" s="2308">
        <v>1991.12</v>
      </c>
      <c r="B33" s="2310">
        <v>2500</v>
      </c>
      <c r="C33" s="3261">
        <v>21.4</v>
      </c>
      <c r="D33" s="2309"/>
      <c r="E33" s="2311">
        <v>900</v>
      </c>
      <c r="F33" s="2312">
        <v>9.5</v>
      </c>
      <c r="G33" s="2311">
        <v>950</v>
      </c>
      <c r="H33" s="3262">
        <v>1118</v>
      </c>
      <c r="I33" s="2309"/>
      <c r="J33" s="2311">
        <v>400</v>
      </c>
      <c r="K33" s="3263">
        <v>465</v>
      </c>
    </row>
    <row r="34" spans="1:11">
      <c r="A34" s="2308">
        <v>1992.01</v>
      </c>
      <c r="B34" s="2310">
        <v>2500</v>
      </c>
      <c r="C34" s="3261">
        <v>23.8</v>
      </c>
      <c r="D34" s="2309"/>
      <c r="E34" s="2311">
        <v>900</v>
      </c>
      <c r="F34" s="2312">
        <v>8.5</v>
      </c>
      <c r="G34" s="2311">
        <v>950</v>
      </c>
      <c r="H34" s="3262">
        <v>1080</v>
      </c>
      <c r="I34" s="2309"/>
      <c r="J34" s="2311">
        <v>400</v>
      </c>
      <c r="K34" s="3263">
        <v>444</v>
      </c>
    </row>
    <row r="35" spans="1:11">
      <c r="A35" s="2308">
        <v>1992.02</v>
      </c>
      <c r="B35" s="2310">
        <v>2500</v>
      </c>
      <c r="C35" s="3261">
        <v>26.3</v>
      </c>
      <c r="D35" s="2309"/>
      <c r="E35" s="2311">
        <v>900</v>
      </c>
      <c r="F35" s="2312">
        <v>7.6</v>
      </c>
      <c r="G35" s="2311">
        <v>950</v>
      </c>
      <c r="H35" s="3262">
        <v>1022</v>
      </c>
      <c r="I35" s="2309"/>
      <c r="J35" s="2311">
        <v>400</v>
      </c>
      <c r="K35" s="3263">
        <v>400</v>
      </c>
    </row>
    <row r="36" spans="1:11">
      <c r="A36" s="2308">
        <v>1992.03</v>
      </c>
      <c r="B36" s="2310">
        <v>2700</v>
      </c>
      <c r="C36" s="3261">
        <v>28.5</v>
      </c>
      <c r="D36" s="2309"/>
      <c r="E36" s="2311">
        <v>900</v>
      </c>
      <c r="F36" s="2312">
        <v>7.2</v>
      </c>
      <c r="G36" s="2311">
        <v>1000</v>
      </c>
      <c r="H36" s="3262">
        <v>1020</v>
      </c>
      <c r="I36" s="2309"/>
      <c r="J36" s="2311">
        <v>450</v>
      </c>
      <c r="K36" s="3263">
        <v>409</v>
      </c>
    </row>
    <row r="37" spans="1:11">
      <c r="A37" s="2308">
        <v>1992.04</v>
      </c>
      <c r="B37" s="2310">
        <v>2700</v>
      </c>
      <c r="C37" s="3261">
        <v>31</v>
      </c>
      <c r="D37" s="2309"/>
      <c r="E37" s="2311">
        <v>900</v>
      </c>
      <c r="F37" s="2312">
        <v>8</v>
      </c>
      <c r="G37" s="2311">
        <v>1000</v>
      </c>
      <c r="H37" s="3262">
        <v>1031</v>
      </c>
      <c r="I37" s="2309"/>
      <c r="J37" s="2311">
        <v>450</v>
      </c>
      <c r="K37" s="3263">
        <v>429</v>
      </c>
    </row>
    <row r="38" spans="1:11">
      <c r="A38" s="2308">
        <v>1992.05</v>
      </c>
      <c r="B38" s="2310">
        <v>2700</v>
      </c>
      <c r="C38" s="3261">
        <v>32.299999999999997</v>
      </c>
      <c r="D38" s="2309"/>
      <c r="E38" s="2311">
        <v>900</v>
      </c>
      <c r="F38" s="2312">
        <v>8</v>
      </c>
      <c r="G38" s="2311">
        <v>1000</v>
      </c>
      <c r="H38" s="3262">
        <v>1075</v>
      </c>
      <c r="I38" s="2309"/>
      <c r="J38" s="2311">
        <v>450</v>
      </c>
      <c r="K38" s="3263">
        <v>450</v>
      </c>
    </row>
    <row r="39" spans="1:11">
      <c r="A39" s="2308">
        <v>1992.06</v>
      </c>
      <c r="B39" s="2310">
        <v>2700</v>
      </c>
      <c r="C39" s="3261">
        <v>29</v>
      </c>
      <c r="D39" s="2309"/>
      <c r="E39" s="2311">
        <v>1000</v>
      </c>
      <c r="F39" s="2312">
        <v>8.8000000000000007</v>
      </c>
      <c r="G39" s="2311">
        <v>1000</v>
      </c>
      <c r="H39" s="3262">
        <v>1087</v>
      </c>
      <c r="I39" s="2309"/>
      <c r="J39" s="2311">
        <v>480</v>
      </c>
      <c r="K39" s="3263">
        <v>505</v>
      </c>
    </row>
    <row r="40" spans="1:11">
      <c r="A40" s="2308">
        <v>1992.07</v>
      </c>
      <c r="B40" s="2310">
        <v>2700</v>
      </c>
      <c r="C40" s="3261">
        <v>28.1</v>
      </c>
      <c r="D40" s="2309"/>
      <c r="E40" s="2311">
        <v>1000</v>
      </c>
      <c r="F40" s="2312">
        <v>8</v>
      </c>
      <c r="G40" s="2311">
        <v>1000</v>
      </c>
      <c r="H40" s="3262">
        <v>1075</v>
      </c>
      <c r="I40" s="2309"/>
      <c r="J40" s="2311">
        <v>480</v>
      </c>
      <c r="K40" s="3263">
        <v>500</v>
      </c>
    </row>
    <row r="41" spans="1:11">
      <c r="A41" s="2308">
        <v>1992.08</v>
      </c>
      <c r="B41" s="2310">
        <v>2600</v>
      </c>
      <c r="C41" s="3261">
        <v>26.8</v>
      </c>
      <c r="D41" s="2309"/>
      <c r="E41" s="2311">
        <v>1000</v>
      </c>
      <c r="F41" s="2312">
        <v>8.1</v>
      </c>
      <c r="G41" s="2311">
        <v>1000</v>
      </c>
      <c r="H41" s="3262">
        <v>1064</v>
      </c>
      <c r="I41" s="2309"/>
      <c r="J41" s="2311">
        <v>480</v>
      </c>
      <c r="K41" s="3263">
        <v>490</v>
      </c>
    </row>
    <row r="42" spans="1:11">
      <c r="A42" s="2308">
        <v>1992.09</v>
      </c>
      <c r="B42" s="2310">
        <v>2600</v>
      </c>
      <c r="C42" s="3261">
        <v>27.7</v>
      </c>
      <c r="D42" s="2309"/>
      <c r="E42" s="2311">
        <v>1000</v>
      </c>
      <c r="F42" s="2312">
        <v>8.5</v>
      </c>
      <c r="G42" s="2311">
        <v>1000</v>
      </c>
      <c r="H42" s="3262">
        <v>1075</v>
      </c>
      <c r="I42" s="2309"/>
      <c r="J42" s="2311">
        <v>480</v>
      </c>
      <c r="K42" s="3263">
        <v>505</v>
      </c>
    </row>
    <row r="43" spans="1:11">
      <c r="A43" s="2308">
        <v>1992.1</v>
      </c>
      <c r="B43" s="2310">
        <v>2600</v>
      </c>
      <c r="C43" s="3261">
        <v>28.9</v>
      </c>
      <c r="D43" s="2309"/>
      <c r="E43" s="2311">
        <v>1000</v>
      </c>
      <c r="F43" s="2312">
        <v>8.4</v>
      </c>
      <c r="G43" s="2311">
        <v>1000</v>
      </c>
      <c r="H43" s="3262">
        <v>1042</v>
      </c>
      <c r="I43" s="2309"/>
      <c r="J43" s="2311">
        <v>480</v>
      </c>
      <c r="K43" s="3263">
        <v>480</v>
      </c>
    </row>
    <row r="44" spans="1:11">
      <c r="A44" s="2308">
        <v>1992.11</v>
      </c>
      <c r="B44" s="2310">
        <v>2500</v>
      </c>
      <c r="C44" s="3261">
        <v>24.5</v>
      </c>
      <c r="D44" s="2309"/>
      <c r="E44" s="2311">
        <v>950</v>
      </c>
      <c r="F44" s="2312">
        <v>7.3</v>
      </c>
      <c r="G44" s="2311">
        <v>950</v>
      </c>
      <c r="H44" s="3262">
        <v>1000</v>
      </c>
      <c r="I44" s="2309"/>
      <c r="J44" s="2311">
        <v>450</v>
      </c>
      <c r="K44" s="3263">
        <v>455</v>
      </c>
    </row>
    <row r="45" spans="1:11">
      <c r="A45" s="2308">
        <v>1992.12</v>
      </c>
      <c r="B45" s="2310">
        <v>2300</v>
      </c>
      <c r="C45" s="3261">
        <v>19.2</v>
      </c>
      <c r="D45" s="2309"/>
      <c r="E45" s="2311">
        <v>950</v>
      </c>
      <c r="F45" s="2312">
        <v>7.4</v>
      </c>
      <c r="G45" s="2311">
        <v>950</v>
      </c>
      <c r="H45" s="3262">
        <v>1105</v>
      </c>
      <c r="I45" s="2309"/>
      <c r="J45" s="2311">
        <v>420</v>
      </c>
      <c r="K45" s="3263">
        <v>467</v>
      </c>
    </row>
    <row r="46" spans="1:11">
      <c r="A46" s="2308">
        <v>1993.01</v>
      </c>
      <c r="B46" s="2310">
        <v>2300</v>
      </c>
      <c r="C46" s="3261">
        <v>17.7</v>
      </c>
      <c r="D46" s="2309"/>
      <c r="E46" s="2311">
        <v>950</v>
      </c>
      <c r="F46" s="2312">
        <v>8.1999999999999993</v>
      </c>
      <c r="G46" s="2311">
        <v>950</v>
      </c>
      <c r="H46" s="3262">
        <v>1159</v>
      </c>
      <c r="I46" s="2309"/>
      <c r="J46" s="2311">
        <v>400</v>
      </c>
      <c r="K46" s="3263">
        <v>444</v>
      </c>
    </row>
    <row r="47" spans="1:11">
      <c r="A47" s="2308">
        <v>1993.02</v>
      </c>
      <c r="B47" s="2310">
        <v>2200</v>
      </c>
      <c r="C47" s="3261">
        <v>17.600000000000001</v>
      </c>
      <c r="D47" s="2309"/>
      <c r="E47" s="2311">
        <v>900</v>
      </c>
      <c r="F47" s="2312">
        <v>7.3</v>
      </c>
      <c r="G47" s="2311">
        <v>950</v>
      </c>
      <c r="H47" s="3262">
        <v>1131</v>
      </c>
      <c r="I47" s="2309"/>
      <c r="J47" s="2311">
        <v>400</v>
      </c>
      <c r="K47" s="3263">
        <v>444</v>
      </c>
    </row>
    <row r="48" spans="1:11">
      <c r="A48" s="2308">
        <v>1993.03</v>
      </c>
      <c r="B48" s="2310">
        <v>2200</v>
      </c>
      <c r="C48" s="3261">
        <v>27.5</v>
      </c>
      <c r="D48" s="2309"/>
      <c r="E48" s="2311">
        <v>900</v>
      </c>
      <c r="F48" s="2312">
        <v>7.3</v>
      </c>
      <c r="G48" s="2311">
        <v>950</v>
      </c>
      <c r="H48" s="3262">
        <v>1159</v>
      </c>
      <c r="I48" s="2309"/>
      <c r="J48" s="2311">
        <v>400</v>
      </c>
      <c r="K48" s="3263">
        <v>471</v>
      </c>
    </row>
    <row r="49" spans="1:11">
      <c r="A49" s="2308">
        <v>1993.04</v>
      </c>
      <c r="B49" s="2310">
        <v>2200</v>
      </c>
      <c r="C49" s="3261">
        <v>26.5</v>
      </c>
      <c r="D49" s="2309"/>
      <c r="E49" s="2311">
        <v>900</v>
      </c>
      <c r="F49" s="2312">
        <v>7.4</v>
      </c>
      <c r="G49" s="2311">
        <v>950</v>
      </c>
      <c r="H49" s="3262">
        <v>1188</v>
      </c>
      <c r="I49" s="2309"/>
      <c r="J49" s="2311">
        <v>400</v>
      </c>
      <c r="K49" s="3263">
        <v>494</v>
      </c>
    </row>
    <row r="50" spans="1:11">
      <c r="A50" s="2308">
        <v>1993.05</v>
      </c>
      <c r="B50" s="2310">
        <v>2100</v>
      </c>
      <c r="C50" s="3261">
        <v>23.3</v>
      </c>
      <c r="D50" s="2309"/>
      <c r="E50" s="2311">
        <v>880</v>
      </c>
      <c r="F50" s="2312">
        <v>6.6</v>
      </c>
      <c r="G50" s="2311">
        <v>900</v>
      </c>
      <c r="H50" s="3262">
        <v>1139</v>
      </c>
      <c r="I50" s="2309"/>
      <c r="J50" s="2311">
        <v>370</v>
      </c>
      <c r="K50" s="3263">
        <v>463</v>
      </c>
    </row>
    <row r="51" spans="1:11">
      <c r="A51" s="2308">
        <v>1993.06</v>
      </c>
      <c r="B51" s="2310">
        <v>2100</v>
      </c>
      <c r="C51" s="3261">
        <v>22.1</v>
      </c>
      <c r="D51" s="2309"/>
      <c r="E51" s="2311">
        <v>880</v>
      </c>
      <c r="F51" s="2312">
        <v>6</v>
      </c>
      <c r="G51" s="2311">
        <v>900</v>
      </c>
      <c r="H51" s="3262">
        <v>1084</v>
      </c>
      <c r="I51" s="2309"/>
      <c r="J51" s="2311">
        <v>370</v>
      </c>
      <c r="K51" s="3263">
        <v>457</v>
      </c>
    </row>
    <row r="52" spans="1:11">
      <c r="A52" s="2308">
        <v>1993.07</v>
      </c>
      <c r="B52" s="2310">
        <v>2100</v>
      </c>
      <c r="C52" s="3261">
        <v>22.3</v>
      </c>
      <c r="D52" s="2309"/>
      <c r="E52" s="2311">
        <v>880</v>
      </c>
      <c r="F52" s="2312">
        <v>5.9</v>
      </c>
      <c r="G52" s="2311">
        <v>900</v>
      </c>
      <c r="H52" s="3262">
        <v>1084</v>
      </c>
      <c r="I52" s="2309"/>
      <c r="J52" s="2311">
        <v>370</v>
      </c>
      <c r="K52" s="3263">
        <v>451</v>
      </c>
    </row>
    <row r="53" spans="1:11">
      <c r="A53" s="2308">
        <v>1993.08</v>
      </c>
      <c r="B53" s="2310">
        <v>2100</v>
      </c>
      <c r="C53" s="3261">
        <v>18.399999999999999</v>
      </c>
      <c r="D53" s="2309"/>
      <c r="E53" s="2311">
        <v>850</v>
      </c>
      <c r="F53" s="2312">
        <v>5.7</v>
      </c>
      <c r="G53" s="2311">
        <v>900</v>
      </c>
      <c r="H53" s="3262">
        <v>1071</v>
      </c>
      <c r="I53" s="2309"/>
      <c r="J53" s="2311">
        <v>370</v>
      </c>
      <c r="K53" s="3263">
        <v>451</v>
      </c>
    </row>
    <row r="54" spans="1:11">
      <c r="A54" s="2308">
        <v>1993.09</v>
      </c>
      <c r="B54" s="2310">
        <v>2100</v>
      </c>
      <c r="C54" s="3261">
        <v>16.899999999999999</v>
      </c>
      <c r="D54" s="2309"/>
      <c r="E54" s="2311">
        <v>850</v>
      </c>
      <c r="F54" s="2312">
        <v>5.7</v>
      </c>
      <c r="G54" s="2311">
        <v>900</v>
      </c>
      <c r="H54" s="3262">
        <v>1111</v>
      </c>
      <c r="I54" s="2309"/>
      <c r="J54" s="2311">
        <v>370</v>
      </c>
      <c r="K54" s="3263">
        <v>446</v>
      </c>
    </row>
    <row r="55" spans="1:11">
      <c r="A55" s="2308">
        <v>1993.1</v>
      </c>
      <c r="B55" s="2310">
        <v>2100</v>
      </c>
      <c r="C55" s="3261">
        <v>16.8</v>
      </c>
      <c r="D55" s="2309"/>
      <c r="E55" s="2311">
        <v>830</v>
      </c>
      <c r="F55" s="2312">
        <v>6.3</v>
      </c>
      <c r="G55" s="2311">
        <v>870</v>
      </c>
      <c r="H55" s="3262">
        <v>1074</v>
      </c>
      <c r="I55" s="2309"/>
      <c r="J55" s="2311">
        <v>360</v>
      </c>
      <c r="K55" s="3263">
        <v>429</v>
      </c>
    </row>
    <row r="56" spans="1:11">
      <c r="A56" s="2308">
        <v>1993.11</v>
      </c>
      <c r="B56" s="2310">
        <v>2100</v>
      </c>
      <c r="C56" s="3261">
        <v>16</v>
      </c>
      <c r="D56" s="2309"/>
      <c r="E56" s="2311">
        <v>830</v>
      </c>
      <c r="F56" s="2312">
        <v>6.6</v>
      </c>
      <c r="G56" s="2311">
        <v>870</v>
      </c>
      <c r="H56" s="3262">
        <v>1088</v>
      </c>
      <c r="I56" s="2309"/>
      <c r="J56" s="2311">
        <v>340</v>
      </c>
      <c r="K56" s="3263">
        <v>410</v>
      </c>
    </row>
    <row r="57" spans="1:11">
      <c r="A57" s="2308">
        <v>1993.12</v>
      </c>
      <c r="B57" s="2310">
        <v>2100</v>
      </c>
      <c r="C57" s="3261">
        <v>15.3</v>
      </c>
      <c r="D57" s="2309"/>
      <c r="E57" s="2311">
        <v>800</v>
      </c>
      <c r="F57" s="2312">
        <v>6.2</v>
      </c>
      <c r="G57" s="2311">
        <v>850</v>
      </c>
      <c r="H57" s="3262">
        <v>1076</v>
      </c>
      <c r="I57" s="2309"/>
      <c r="J57" s="2311">
        <v>340</v>
      </c>
      <c r="K57" s="3263">
        <v>415</v>
      </c>
    </row>
    <row r="58" spans="1:11">
      <c r="A58" s="2308">
        <v>1994.01</v>
      </c>
      <c r="B58" s="2310">
        <v>2150</v>
      </c>
      <c r="C58" s="3261">
        <v>16.5</v>
      </c>
      <c r="D58" s="2309"/>
      <c r="E58" s="2311">
        <v>800</v>
      </c>
      <c r="F58" s="2312">
        <v>6.2</v>
      </c>
      <c r="G58" s="2311">
        <v>900</v>
      </c>
      <c r="H58" s="3262">
        <v>1154</v>
      </c>
      <c r="I58" s="2309"/>
      <c r="J58" s="2311">
        <v>340</v>
      </c>
      <c r="K58" s="3263">
        <v>425</v>
      </c>
    </row>
    <row r="59" spans="1:11">
      <c r="A59" s="2308">
        <v>1994.02</v>
      </c>
      <c r="B59" s="2310">
        <v>2150</v>
      </c>
      <c r="C59" s="3261">
        <v>18.7</v>
      </c>
      <c r="D59" s="2309"/>
      <c r="E59" s="2311">
        <v>800</v>
      </c>
      <c r="F59" s="2312">
        <v>6.9</v>
      </c>
      <c r="G59" s="2311">
        <v>900</v>
      </c>
      <c r="H59" s="3262">
        <v>1169</v>
      </c>
      <c r="I59" s="2309"/>
      <c r="J59" s="2311">
        <v>340</v>
      </c>
      <c r="K59" s="3263">
        <v>436</v>
      </c>
    </row>
    <row r="60" spans="1:11">
      <c r="A60" s="2308">
        <v>1994.03</v>
      </c>
      <c r="B60" s="2310">
        <v>2200</v>
      </c>
      <c r="C60" s="3261">
        <v>21</v>
      </c>
      <c r="D60" s="2309"/>
      <c r="E60" s="2311">
        <v>800</v>
      </c>
      <c r="F60" s="2312">
        <v>7.1</v>
      </c>
      <c r="G60" s="2311">
        <v>900</v>
      </c>
      <c r="H60" s="3262">
        <v>1184</v>
      </c>
      <c r="I60" s="2309"/>
      <c r="J60" s="2311">
        <v>320</v>
      </c>
      <c r="K60" s="3263">
        <v>421</v>
      </c>
    </row>
    <row r="61" spans="1:11">
      <c r="A61" s="2308">
        <v>1994.04</v>
      </c>
      <c r="B61" s="2310">
        <v>2250</v>
      </c>
      <c r="C61" s="3261">
        <v>22.1</v>
      </c>
      <c r="D61" s="2309"/>
      <c r="E61" s="2311">
        <v>850</v>
      </c>
      <c r="F61" s="2312">
        <v>7.5</v>
      </c>
      <c r="G61" s="2311">
        <v>900</v>
      </c>
      <c r="H61" s="3262">
        <v>1200</v>
      </c>
      <c r="I61" s="2309"/>
      <c r="J61" s="2311">
        <v>320</v>
      </c>
      <c r="K61" s="3263">
        <v>432</v>
      </c>
    </row>
    <row r="62" spans="1:11">
      <c r="A62" s="2308">
        <v>1994.05</v>
      </c>
      <c r="B62" s="2310">
        <v>2250</v>
      </c>
      <c r="C62" s="3261">
        <v>22.1</v>
      </c>
      <c r="D62" s="2309"/>
      <c r="E62" s="2311">
        <v>850</v>
      </c>
      <c r="F62" s="2312">
        <v>6.8</v>
      </c>
      <c r="G62" s="2311">
        <v>950</v>
      </c>
      <c r="H62" s="3262">
        <v>1267</v>
      </c>
      <c r="I62" s="2309"/>
      <c r="J62" s="2311">
        <v>320</v>
      </c>
      <c r="K62" s="3263">
        <v>444</v>
      </c>
    </row>
    <row r="63" spans="1:11">
      <c r="A63" s="2308">
        <v>1994.06</v>
      </c>
      <c r="B63" s="2310">
        <v>2250</v>
      </c>
      <c r="C63" s="3261">
        <v>20.8</v>
      </c>
      <c r="D63" s="2309"/>
      <c r="E63" s="2311">
        <v>850</v>
      </c>
      <c r="F63" s="2312">
        <v>6.9</v>
      </c>
      <c r="G63" s="2311">
        <v>970</v>
      </c>
      <c r="H63" s="3262">
        <v>1141</v>
      </c>
      <c r="I63" s="2309"/>
      <c r="J63" s="2311">
        <v>320</v>
      </c>
      <c r="K63" s="3263">
        <v>410</v>
      </c>
    </row>
    <row r="64" spans="1:11">
      <c r="A64" s="2308">
        <v>1994.07</v>
      </c>
      <c r="B64" s="2310">
        <v>2300</v>
      </c>
      <c r="C64" s="3261">
        <v>21.7</v>
      </c>
      <c r="D64" s="2309"/>
      <c r="E64" s="2311">
        <v>850</v>
      </c>
      <c r="F64" s="2312">
        <v>7</v>
      </c>
      <c r="G64" s="2311">
        <v>1000</v>
      </c>
      <c r="H64" s="3262">
        <v>1136</v>
      </c>
      <c r="I64" s="2309"/>
      <c r="J64" s="2311">
        <v>320</v>
      </c>
      <c r="K64" s="3263">
        <v>390</v>
      </c>
    </row>
    <row r="65" spans="1:11">
      <c r="A65" s="2308">
        <v>1994.08</v>
      </c>
      <c r="B65" s="2310">
        <v>2300</v>
      </c>
      <c r="C65" s="3261">
        <v>23.5</v>
      </c>
      <c r="D65" s="2309"/>
      <c r="E65" s="2311">
        <v>850</v>
      </c>
      <c r="F65" s="2312">
        <v>7.5</v>
      </c>
      <c r="G65" s="2311">
        <v>1000</v>
      </c>
      <c r="H65" s="3262">
        <v>1163</v>
      </c>
      <c r="I65" s="2309"/>
      <c r="J65" s="2311">
        <v>320</v>
      </c>
      <c r="K65" s="3263">
        <v>376</v>
      </c>
    </row>
    <row r="66" spans="1:11">
      <c r="A66" s="2308">
        <v>1994.09</v>
      </c>
      <c r="B66" s="2310">
        <v>2300</v>
      </c>
      <c r="C66" s="3261">
        <v>22.5</v>
      </c>
      <c r="D66" s="2309"/>
      <c r="E66" s="2311">
        <v>850</v>
      </c>
      <c r="F66" s="2312">
        <v>7.2</v>
      </c>
      <c r="G66" s="2311">
        <v>1000</v>
      </c>
      <c r="H66" s="3262">
        <v>1220</v>
      </c>
      <c r="I66" s="2309"/>
      <c r="J66" s="2311">
        <v>320</v>
      </c>
      <c r="K66" s="3263">
        <v>400</v>
      </c>
    </row>
    <row r="67" spans="1:11">
      <c r="A67" s="2308">
        <v>1994.1</v>
      </c>
      <c r="B67" s="2310">
        <v>2300</v>
      </c>
      <c r="C67" s="3261">
        <v>20.9</v>
      </c>
      <c r="D67" s="2309"/>
      <c r="E67" s="2311">
        <v>850</v>
      </c>
      <c r="F67" s="2312">
        <v>5.9</v>
      </c>
      <c r="G67" s="2311">
        <v>1000</v>
      </c>
      <c r="H67" s="3262">
        <v>1250</v>
      </c>
      <c r="I67" s="2309"/>
      <c r="J67" s="2311">
        <v>320</v>
      </c>
      <c r="K67" s="3263">
        <v>405</v>
      </c>
    </row>
    <row r="68" spans="1:11">
      <c r="A68" s="2308">
        <v>1994.11</v>
      </c>
      <c r="B68" s="2310">
        <v>2300</v>
      </c>
      <c r="C68" s="3261">
        <v>19.5</v>
      </c>
      <c r="D68" s="2309"/>
      <c r="E68" s="2311">
        <v>850</v>
      </c>
      <c r="F68" s="2312">
        <v>6.3</v>
      </c>
      <c r="G68" s="2311">
        <v>1000</v>
      </c>
      <c r="H68" s="3262">
        <v>1235</v>
      </c>
      <c r="I68" s="2309"/>
      <c r="J68" s="2311">
        <v>320</v>
      </c>
      <c r="K68" s="3263">
        <v>390</v>
      </c>
    </row>
    <row r="69" spans="1:11">
      <c r="A69" s="2308">
        <v>1994.12</v>
      </c>
      <c r="B69" s="2310">
        <v>2300</v>
      </c>
      <c r="C69" s="3261">
        <v>19.3</v>
      </c>
      <c r="D69" s="2309"/>
      <c r="E69" s="2311">
        <v>850</v>
      </c>
      <c r="F69" s="2312">
        <v>6.7</v>
      </c>
      <c r="G69" s="2311">
        <v>1000</v>
      </c>
      <c r="H69" s="3262">
        <v>1235</v>
      </c>
      <c r="I69" s="2309"/>
      <c r="J69" s="2311">
        <v>320</v>
      </c>
      <c r="K69" s="3263">
        <v>390</v>
      </c>
    </row>
    <row r="70" spans="1:11">
      <c r="A70" s="2308">
        <v>1995.01</v>
      </c>
      <c r="B70" s="2310">
        <v>2300</v>
      </c>
      <c r="C70" s="3261">
        <v>20.7</v>
      </c>
      <c r="D70" s="2309"/>
      <c r="E70" s="2311">
        <v>850</v>
      </c>
      <c r="F70" s="2312">
        <v>7.11</v>
      </c>
      <c r="G70" s="2311">
        <v>1000</v>
      </c>
      <c r="H70" s="3262">
        <v>1190</v>
      </c>
      <c r="I70" s="2309"/>
      <c r="J70" s="2311">
        <v>320</v>
      </c>
      <c r="K70" s="3263">
        <v>348</v>
      </c>
    </row>
    <row r="71" spans="1:11">
      <c r="A71" s="2308">
        <v>1995.02</v>
      </c>
      <c r="B71" s="2310">
        <v>2300</v>
      </c>
      <c r="C71" s="3261">
        <v>21.7</v>
      </c>
      <c r="D71" s="2309"/>
      <c r="E71" s="2311">
        <v>900</v>
      </c>
      <c r="F71" s="2312">
        <v>7.4</v>
      </c>
      <c r="G71" s="2311">
        <v>1000</v>
      </c>
      <c r="H71" s="3262">
        <v>1149</v>
      </c>
      <c r="I71" s="2309"/>
      <c r="J71" s="2311">
        <v>320</v>
      </c>
      <c r="K71" s="3263">
        <v>337</v>
      </c>
    </row>
    <row r="72" spans="1:11">
      <c r="A72" s="2308">
        <v>1995.03</v>
      </c>
      <c r="B72" s="2310">
        <v>2300</v>
      </c>
      <c r="C72" s="3261">
        <v>25</v>
      </c>
      <c r="D72" s="2309"/>
      <c r="E72" s="2311">
        <v>900</v>
      </c>
      <c r="F72" s="2312">
        <v>7.2</v>
      </c>
      <c r="G72" s="2311">
        <v>1000</v>
      </c>
      <c r="H72" s="3262">
        <v>1163</v>
      </c>
      <c r="I72" s="2309"/>
      <c r="J72" s="2311">
        <v>320</v>
      </c>
      <c r="K72" s="3263">
        <v>356</v>
      </c>
    </row>
    <row r="73" spans="1:11">
      <c r="A73" s="2308">
        <v>1995.04</v>
      </c>
      <c r="B73" s="2310">
        <v>2400</v>
      </c>
      <c r="C73" s="3261">
        <v>27.3</v>
      </c>
      <c r="D73" s="2309"/>
      <c r="E73" s="2311">
        <v>950</v>
      </c>
      <c r="F73" s="2312">
        <v>7.5</v>
      </c>
      <c r="G73" s="2311">
        <v>1000</v>
      </c>
      <c r="H73" s="3262">
        <v>1220</v>
      </c>
      <c r="I73" s="2309"/>
      <c r="J73" s="2311">
        <v>320</v>
      </c>
      <c r="K73" s="3263">
        <v>400</v>
      </c>
    </row>
    <row r="74" spans="1:11">
      <c r="A74" s="2308">
        <v>1995.05</v>
      </c>
      <c r="B74" s="2310">
        <v>2400</v>
      </c>
      <c r="C74" s="3261">
        <v>25.3</v>
      </c>
      <c r="D74" s="2309"/>
      <c r="E74" s="2311">
        <v>950</v>
      </c>
      <c r="F74" s="2312">
        <v>7.3</v>
      </c>
      <c r="G74" s="2311">
        <v>1000</v>
      </c>
      <c r="H74" s="3262">
        <v>1205</v>
      </c>
      <c r="I74" s="2309"/>
      <c r="J74" s="2311">
        <v>320</v>
      </c>
      <c r="K74" s="3263">
        <v>416</v>
      </c>
    </row>
    <row r="75" spans="1:11">
      <c r="A75" s="2308">
        <v>1995.06</v>
      </c>
      <c r="B75" s="2310">
        <v>2400</v>
      </c>
      <c r="C75" s="3261">
        <v>22</v>
      </c>
      <c r="D75" s="2309"/>
      <c r="E75" s="2311">
        <v>950</v>
      </c>
      <c r="F75" s="2312">
        <v>6.2</v>
      </c>
      <c r="G75" s="2311">
        <v>1000</v>
      </c>
      <c r="H75" s="3262">
        <v>1190</v>
      </c>
      <c r="I75" s="2309"/>
      <c r="J75" s="2311">
        <v>320</v>
      </c>
      <c r="K75" s="3263">
        <v>395</v>
      </c>
    </row>
    <row r="76" spans="1:11">
      <c r="A76" s="2308">
        <v>1995.07</v>
      </c>
      <c r="B76" s="2310">
        <v>2400</v>
      </c>
      <c r="C76" s="3261">
        <v>19.5</v>
      </c>
      <c r="D76" s="2309"/>
      <c r="E76" s="2311">
        <v>950</v>
      </c>
      <c r="F76" s="2312">
        <v>4.8</v>
      </c>
      <c r="G76" s="2311">
        <v>1000</v>
      </c>
      <c r="H76" s="3262">
        <v>1266</v>
      </c>
      <c r="I76" s="2309"/>
      <c r="J76" s="2311">
        <v>320</v>
      </c>
      <c r="K76" s="3263">
        <v>421</v>
      </c>
    </row>
    <row r="77" spans="1:11">
      <c r="A77" s="2308">
        <v>1995.08</v>
      </c>
      <c r="B77" s="2310">
        <v>2400</v>
      </c>
      <c r="C77" s="3261">
        <v>18.899999999999999</v>
      </c>
      <c r="D77" s="2309"/>
      <c r="E77" s="2311">
        <v>950</v>
      </c>
      <c r="F77" s="2312">
        <v>4.2</v>
      </c>
      <c r="G77" s="2311">
        <v>1000</v>
      </c>
      <c r="H77" s="3262">
        <v>1333</v>
      </c>
      <c r="I77" s="2309"/>
      <c r="J77" s="2311">
        <v>300</v>
      </c>
      <c r="K77" s="3263">
        <v>429</v>
      </c>
    </row>
    <row r="78" spans="1:11">
      <c r="A78" s="2308">
        <v>1995.09</v>
      </c>
      <c r="B78" s="2310">
        <v>2400</v>
      </c>
      <c r="C78" s="3261">
        <v>18.2</v>
      </c>
      <c r="D78" s="2309"/>
      <c r="E78" s="2311">
        <v>950</v>
      </c>
      <c r="F78" s="2312">
        <v>4.3</v>
      </c>
      <c r="G78" s="2311">
        <v>1000</v>
      </c>
      <c r="H78" s="3262">
        <v>1190</v>
      </c>
      <c r="I78" s="2309"/>
      <c r="J78" s="2311">
        <v>300</v>
      </c>
      <c r="K78" s="3263">
        <v>366</v>
      </c>
    </row>
    <row r="79" spans="1:11">
      <c r="A79" s="2308">
        <v>1995.1</v>
      </c>
      <c r="B79" s="2310">
        <v>2500</v>
      </c>
      <c r="C79" s="3261">
        <v>17.5</v>
      </c>
      <c r="D79" s="2309"/>
      <c r="E79" s="2311">
        <v>950</v>
      </c>
      <c r="F79" s="2312">
        <v>4.2</v>
      </c>
      <c r="G79" s="2311">
        <v>1000</v>
      </c>
      <c r="H79" s="3262">
        <v>1176</v>
      </c>
      <c r="I79" s="2309"/>
      <c r="J79" s="2311">
        <v>300</v>
      </c>
      <c r="K79" s="3263">
        <v>357</v>
      </c>
    </row>
    <row r="80" spans="1:11">
      <c r="A80" s="2308">
        <v>1995.11</v>
      </c>
      <c r="B80" s="2310">
        <v>2500</v>
      </c>
      <c r="C80" s="3261">
        <v>17.2</v>
      </c>
      <c r="D80" s="2309"/>
      <c r="E80" s="2311">
        <v>950</v>
      </c>
      <c r="F80" s="2312">
        <v>4.2</v>
      </c>
      <c r="G80" s="2311">
        <v>1100</v>
      </c>
      <c r="H80" s="3262">
        <v>1250</v>
      </c>
      <c r="I80" s="2309"/>
      <c r="J80" s="2311">
        <v>300</v>
      </c>
      <c r="K80" s="3263">
        <v>345</v>
      </c>
    </row>
    <row r="81" spans="1:11">
      <c r="A81" s="2308">
        <v>1995.12</v>
      </c>
      <c r="B81" s="2310">
        <v>2500</v>
      </c>
      <c r="C81" s="3261">
        <v>18.7</v>
      </c>
      <c r="D81" s="2309"/>
      <c r="E81" s="2311">
        <v>950</v>
      </c>
      <c r="F81" s="2312">
        <v>4.8</v>
      </c>
      <c r="G81" s="2311">
        <v>1100</v>
      </c>
      <c r="H81" s="3262">
        <v>1196</v>
      </c>
      <c r="I81" s="2309"/>
      <c r="J81" s="2311">
        <v>300</v>
      </c>
      <c r="K81" s="3263">
        <v>341</v>
      </c>
    </row>
    <row r="82" spans="1:11">
      <c r="A82" s="2308">
        <v>1996.01</v>
      </c>
      <c r="B82" s="2310">
        <v>2700</v>
      </c>
      <c r="C82" s="3261">
        <v>18.899999999999999</v>
      </c>
      <c r="D82" s="2309"/>
      <c r="E82" s="2311">
        <v>1150</v>
      </c>
      <c r="F82" s="2312">
        <v>5.6</v>
      </c>
      <c r="G82" s="2311">
        <v>1100</v>
      </c>
      <c r="H82" s="3262">
        <v>1209</v>
      </c>
      <c r="I82" s="2309"/>
      <c r="J82" s="2311">
        <v>300</v>
      </c>
      <c r="K82" s="3263">
        <v>341</v>
      </c>
    </row>
    <row r="83" spans="1:11">
      <c r="A83" s="2308">
        <v>1996.02</v>
      </c>
      <c r="B83" s="2310">
        <v>2700</v>
      </c>
      <c r="C83" s="3261">
        <v>17.600000000000001</v>
      </c>
      <c r="D83" s="2309"/>
      <c r="E83" s="2311">
        <v>1250</v>
      </c>
      <c r="F83" s="2312">
        <v>5.6</v>
      </c>
      <c r="G83" s="2311">
        <v>1100</v>
      </c>
      <c r="H83" s="3262">
        <v>1222</v>
      </c>
      <c r="I83" s="2309"/>
      <c r="J83" s="2311">
        <v>300</v>
      </c>
      <c r="K83" s="3263">
        <v>349</v>
      </c>
    </row>
    <row r="84" spans="1:11">
      <c r="A84" s="2308">
        <v>1996.03</v>
      </c>
      <c r="B84" s="2310">
        <v>2700</v>
      </c>
      <c r="C84" s="3261">
        <v>17</v>
      </c>
      <c r="D84" s="2309"/>
      <c r="E84" s="2311">
        <v>1300</v>
      </c>
      <c r="F84" s="2312">
        <v>5.4</v>
      </c>
      <c r="G84" s="2311">
        <v>1100</v>
      </c>
      <c r="H84" s="3262">
        <v>1222</v>
      </c>
      <c r="I84" s="2309"/>
      <c r="J84" s="2311">
        <v>320</v>
      </c>
      <c r="K84" s="3263">
        <v>376</v>
      </c>
    </row>
    <row r="85" spans="1:11">
      <c r="A85" s="2308">
        <v>1996.04</v>
      </c>
      <c r="B85" s="2310">
        <v>2900</v>
      </c>
      <c r="C85" s="3261">
        <v>17.5</v>
      </c>
      <c r="D85" s="2309"/>
      <c r="E85" s="2311">
        <v>1400</v>
      </c>
      <c r="F85" s="2312">
        <v>5.8</v>
      </c>
      <c r="G85" s="2311">
        <v>1300</v>
      </c>
      <c r="H85" s="3262">
        <v>1429</v>
      </c>
      <c r="I85" s="2309"/>
      <c r="J85" s="2311">
        <v>320</v>
      </c>
      <c r="K85" s="3263">
        <v>376</v>
      </c>
    </row>
    <row r="86" spans="1:11">
      <c r="A86" s="2308">
        <v>1996.05</v>
      </c>
      <c r="B86" s="2310">
        <v>3300</v>
      </c>
      <c r="C86" s="3261">
        <v>19.2</v>
      </c>
      <c r="D86" s="2309"/>
      <c r="E86" s="2311">
        <v>1400</v>
      </c>
      <c r="F86" s="2312">
        <v>5.2</v>
      </c>
      <c r="G86" s="2311">
        <v>1300</v>
      </c>
      <c r="H86" s="3262">
        <v>1413</v>
      </c>
      <c r="I86" s="2309"/>
      <c r="J86" s="2311">
        <v>350</v>
      </c>
      <c r="K86" s="3263">
        <v>407</v>
      </c>
    </row>
    <row r="87" spans="1:11">
      <c r="A87" s="2308">
        <v>1996.06</v>
      </c>
      <c r="B87" s="2310">
        <v>3500</v>
      </c>
      <c r="C87" s="3261">
        <v>20</v>
      </c>
      <c r="D87" s="2309"/>
      <c r="E87" s="2311">
        <v>1500</v>
      </c>
      <c r="F87" s="2312">
        <v>5.7</v>
      </c>
      <c r="G87" s="2311">
        <v>1400</v>
      </c>
      <c r="H87" s="3262">
        <v>1591</v>
      </c>
      <c r="I87" s="2309"/>
      <c r="J87" s="2311">
        <v>350</v>
      </c>
      <c r="K87" s="3263">
        <v>427</v>
      </c>
    </row>
    <row r="88" spans="1:11">
      <c r="A88" s="2308">
        <v>1996.07</v>
      </c>
      <c r="B88" s="2310">
        <v>3400</v>
      </c>
      <c r="C88" s="3261">
        <v>19</v>
      </c>
      <c r="D88" s="2309"/>
      <c r="E88" s="2311">
        <v>1400</v>
      </c>
      <c r="F88" s="2312">
        <v>6</v>
      </c>
      <c r="G88" s="2311">
        <v>1350</v>
      </c>
      <c r="H88" s="3262">
        <v>1627</v>
      </c>
      <c r="I88" s="2309"/>
      <c r="J88" s="2311">
        <v>350</v>
      </c>
      <c r="K88" s="3263">
        <v>438</v>
      </c>
    </row>
    <row r="89" spans="1:11">
      <c r="A89" s="2308">
        <v>1996.08</v>
      </c>
      <c r="B89" s="2310">
        <v>3300</v>
      </c>
      <c r="C89" s="3261">
        <v>20.2</v>
      </c>
      <c r="D89" s="2309"/>
      <c r="E89" s="2311">
        <v>1400</v>
      </c>
      <c r="F89" s="2312">
        <v>7.2</v>
      </c>
      <c r="G89" s="2311">
        <v>1350</v>
      </c>
      <c r="H89" s="3262">
        <v>1709</v>
      </c>
      <c r="I89" s="2309"/>
      <c r="J89" s="2311">
        <v>350</v>
      </c>
      <c r="K89" s="3263">
        <v>443</v>
      </c>
    </row>
    <row r="90" spans="1:11">
      <c r="A90" s="2308">
        <v>1996.09</v>
      </c>
      <c r="B90" s="2310">
        <v>3300</v>
      </c>
      <c r="C90" s="3261">
        <v>21.3</v>
      </c>
      <c r="D90" s="2309"/>
      <c r="E90" s="2311">
        <v>1400</v>
      </c>
      <c r="F90" s="2312">
        <v>7.3</v>
      </c>
      <c r="G90" s="2311">
        <v>1350</v>
      </c>
      <c r="H90" s="3262">
        <v>1646</v>
      </c>
      <c r="I90" s="2309"/>
      <c r="J90" s="2311">
        <v>350</v>
      </c>
      <c r="K90" s="3263">
        <v>427</v>
      </c>
    </row>
    <row r="91" spans="1:11">
      <c r="A91" s="2308">
        <v>1996.1</v>
      </c>
      <c r="B91" s="2310">
        <v>3300</v>
      </c>
      <c r="C91" s="3261">
        <v>23.9</v>
      </c>
      <c r="D91" s="2309"/>
      <c r="E91" s="2311">
        <v>1400</v>
      </c>
      <c r="F91" s="2312">
        <v>8.4</v>
      </c>
      <c r="G91" s="2311">
        <v>1350</v>
      </c>
      <c r="H91" s="3262">
        <v>1646</v>
      </c>
      <c r="I91" s="2309"/>
      <c r="J91" s="2311">
        <v>350</v>
      </c>
      <c r="K91" s="3263">
        <v>422</v>
      </c>
    </row>
    <row r="92" spans="1:11">
      <c r="A92" s="2308">
        <v>1996.11</v>
      </c>
      <c r="B92" s="2310">
        <v>3300</v>
      </c>
      <c r="C92" s="3261">
        <v>27.7</v>
      </c>
      <c r="D92" s="2309"/>
      <c r="E92" s="2311">
        <v>1400</v>
      </c>
      <c r="F92" s="2312">
        <v>9.1999999999999993</v>
      </c>
      <c r="G92" s="2311">
        <v>1350</v>
      </c>
      <c r="H92" s="3262">
        <v>1646</v>
      </c>
      <c r="I92" s="2309"/>
      <c r="J92" s="2311">
        <v>350</v>
      </c>
      <c r="K92" s="3263">
        <v>422</v>
      </c>
    </row>
    <row r="93" spans="1:11">
      <c r="A93" s="2308">
        <v>1996.12</v>
      </c>
      <c r="B93" s="2310">
        <v>3300</v>
      </c>
      <c r="C93" s="3261">
        <v>28.6</v>
      </c>
      <c r="D93" s="2309"/>
      <c r="E93" s="2311">
        <v>1400</v>
      </c>
      <c r="F93" s="2312">
        <v>10.8</v>
      </c>
      <c r="G93" s="2311">
        <v>1350</v>
      </c>
      <c r="H93" s="3262">
        <v>1646</v>
      </c>
      <c r="I93" s="2309"/>
      <c r="J93" s="2311">
        <v>350</v>
      </c>
      <c r="K93" s="3263">
        <v>417</v>
      </c>
    </row>
    <row r="94" spans="1:11">
      <c r="A94" s="2308">
        <v>1997.01</v>
      </c>
      <c r="B94" s="2310">
        <v>3300</v>
      </c>
      <c r="C94" s="3261">
        <v>28.3</v>
      </c>
      <c r="D94" s="2309"/>
      <c r="E94" s="2311">
        <v>1400</v>
      </c>
      <c r="F94" s="2312">
        <v>10.9</v>
      </c>
      <c r="G94" s="2311">
        <v>1350</v>
      </c>
      <c r="H94" s="3262">
        <v>1570</v>
      </c>
      <c r="I94" s="2309"/>
      <c r="J94" s="2311">
        <v>350</v>
      </c>
      <c r="K94" s="3263">
        <v>389</v>
      </c>
    </row>
    <row r="95" spans="1:11">
      <c r="A95" s="2308">
        <v>1997.02</v>
      </c>
      <c r="B95" s="2310">
        <v>3300</v>
      </c>
      <c r="C95" s="3261">
        <v>31.1</v>
      </c>
      <c r="D95" s="2309"/>
      <c r="E95" s="2311">
        <v>1400</v>
      </c>
      <c r="F95" s="2312">
        <v>10.7</v>
      </c>
      <c r="G95" s="2311">
        <v>1350</v>
      </c>
      <c r="H95" s="3262">
        <v>1517</v>
      </c>
      <c r="I95" s="2309"/>
      <c r="J95" s="2311">
        <v>350</v>
      </c>
      <c r="K95" s="3263">
        <v>368</v>
      </c>
    </row>
    <row r="96" spans="1:11">
      <c r="A96" s="2308">
        <v>1997.03</v>
      </c>
      <c r="B96" s="2310">
        <v>3500</v>
      </c>
      <c r="C96" s="3261">
        <v>31.8</v>
      </c>
      <c r="D96" s="2309"/>
      <c r="E96" s="2311">
        <v>1500</v>
      </c>
      <c r="F96" s="2312">
        <v>10.1</v>
      </c>
      <c r="G96" s="2311">
        <v>1500</v>
      </c>
      <c r="H96" s="3262">
        <v>1648</v>
      </c>
      <c r="I96" s="2309"/>
      <c r="J96" s="2311">
        <v>350</v>
      </c>
      <c r="K96" s="3263">
        <v>372</v>
      </c>
    </row>
    <row r="97" spans="1:11">
      <c r="A97" s="2308">
        <v>1997.04</v>
      </c>
      <c r="B97" s="2310">
        <v>3500</v>
      </c>
      <c r="C97" s="3261">
        <v>31.8</v>
      </c>
      <c r="D97" s="2309"/>
      <c r="E97" s="2311">
        <v>1500</v>
      </c>
      <c r="F97" s="2312">
        <v>10.1</v>
      </c>
      <c r="G97" s="2311">
        <v>1500</v>
      </c>
      <c r="H97" s="3262">
        <v>1648</v>
      </c>
      <c r="I97" s="2309"/>
      <c r="J97" s="2311">
        <v>400</v>
      </c>
      <c r="K97" s="3263">
        <v>421</v>
      </c>
    </row>
    <row r="98" spans="1:11">
      <c r="A98" s="2308">
        <v>1997.05</v>
      </c>
      <c r="B98" s="2310">
        <v>3700</v>
      </c>
      <c r="C98" s="3261">
        <v>32.700000000000003</v>
      </c>
      <c r="D98" s="2309"/>
      <c r="E98" s="2311">
        <v>1600</v>
      </c>
      <c r="F98" s="2312">
        <v>8.9</v>
      </c>
      <c r="G98" s="2311">
        <v>1600</v>
      </c>
      <c r="H98" s="3262">
        <v>1758</v>
      </c>
      <c r="I98" s="2309"/>
      <c r="J98" s="2311">
        <v>430</v>
      </c>
      <c r="K98" s="3263">
        <v>453</v>
      </c>
    </row>
    <row r="99" spans="1:11">
      <c r="A99" s="2308">
        <v>1997.06</v>
      </c>
      <c r="B99" s="2310">
        <v>4200</v>
      </c>
      <c r="C99" s="3261">
        <v>39.4</v>
      </c>
      <c r="D99" s="2309"/>
      <c r="E99" s="2311">
        <v>1800</v>
      </c>
      <c r="F99" s="2312">
        <v>11.8</v>
      </c>
      <c r="G99" s="2311">
        <v>1750</v>
      </c>
      <c r="H99" s="3262">
        <v>1902</v>
      </c>
      <c r="I99" s="2309"/>
      <c r="J99" s="2311">
        <v>460</v>
      </c>
      <c r="K99" s="3263">
        <v>484</v>
      </c>
    </row>
    <row r="100" spans="1:11">
      <c r="A100" s="2308">
        <v>1997.07</v>
      </c>
      <c r="B100" s="2310">
        <v>4200</v>
      </c>
      <c r="C100" s="3261">
        <v>43.3</v>
      </c>
      <c r="D100" s="2309"/>
      <c r="E100" s="2311">
        <v>1800</v>
      </c>
      <c r="F100" s="2312">
        <v>12.6</v>
      </c>
      <c r="G100" s="2311">
        <v>1750</v>
      </c>
      <c r="H100" s="3262">
        <v>1823</v>
      </c>
      <c r="I100" s="2309"/>
      <c r="J100" s="2311">
        <v>460</v>
      </c>
      <c r="K100" s="3263">
        <v>460</v>
      </c>
    </row>
    <row r="101" spans="1:11">
      <c r="A101" s="2308">
        <v>1997.08</v>
      </c>
      <c r="B101" s="2310">
        <v>4500</v>
      </c>
      <c r="C101" s="3261">
        <v>43.3</v>
      </c>
      <c r="D101" s="2309"/>
      <c r="E101" s="2311">
        <v>1800</v>
      </c>
      <c r="F101" s="2312">
        <v>12.5</v>
      </c>
      <c r="G101" s="2311">
        <v>1750</v>
      </c>
      <c r="H101" s="3262">
        <v>1786</v>
      </c>
      <c r="I101" s="2309"/>
      <c r="J101" s="2311">
        <v>550</v>
      </c>
      <c r="K101" s="3263">
        <v>539</v>
      </c>
    </row>
    <row r="102" spans="1:11">
      <c r="A102" s="2308">
        <v>1997.09</v>
      </c>
      <c r="B102" s="2310">
        <v>4500</v>
      </c>
      <c r="C102" s="3261">
        <v>42.7</v>
      </c>
      <c r="D102" s="2309"/>
      <c r="E102" s="2311">
        <v>1800</v>
      </c>
      <c r="F102" s="2312">
        <v>12.9</v>
      </c>
      <c r="G102" s="2311">
        <v>1750</v>
      </c>
      <c r="H102" s="3262">
        <v>1716</v>
      </c>
      <c r="I102" s="2309"/>
      <c r="J102" s="2311">
        <v>600</v>
      </c>
      <c r="K102" s="3263">
        <v>500</v>
      </c>
    </row>
    <row r="103" spans="1:11">
      <c r="A103" s="2308">
        <v>1997.1</v>
      </c>
      <c r="B103" s="2310">
        <v>4500</v>
      </c>
      <c r="C103" s="3261">
        <v>42.7</v>
      </c>
      <c r="D103" s="2309"/>
      <c r="E103" s="2311">
        <v>1800</v>
      </c>
      <c r="F103" s="2312">
        <v>13.1</v>
      </c>
      <c r="G103" s="2311">
        <v>1750</v>
      </c>
      <c r="H103" s="3262">
        <v>1716</v>
      </c>
      <c r="I103" s="2309"/>
      <c r="J103" s="2311">
        <v>600</v>
      </c>
      <c r="K103" s="3263">
        <v>500</v>
      </c>
    </row>
    <row r="104" spans="1:11">
      <c r="A104" s="2308">
        <v>1997.11</v>
      </c>
      <c r="B104" s="2310">
        <v>4500</v>
      </c>
      <c r="C104" s="3261">
        <v>40</v>
      </c>
      <c r="D104" s="2309"/>
      <c r="E104" s="2311">
        <v>1800</v>
      </c>
      <c r="F104" s="2312">
        <v>12.8</v>
      </c>
      <c r="G104" s="2311">
        <v>1750</v>
      </c>
      <c r="H104" s="3262">
        <v>1716</v>
      </c>
      <c r="I104" s="2309"/>
      <c r="J104" s="2311">
        <v>600</v>
      </c>
      <c r="K104" s="3263">
        <v>492</v>
      </c>
    </row>
    <row r="105" spans="1:11">
      <c r="A105" s="2308">
        <v>1997.12</v>
      </c>
      <c r="B105" s="2310">
        <v>4500</v>
      </c>
      <c r="C105" s="3261">
        <v>40.9</v>
      </c>
      <c r="D105" s="2309"/>
      <c r="E105" s="2311">
        <v>1700</v>
      </c>
      <c r="F105" s="2312">
        <v>13.4</v>
      </c>
      <c r="G105" s="2311">
        <v>1700</v>
      </c>
      <c r="H105" s="3262">
        <v>1650</v>
      </c>
      <c r="I105" s="2309"/>
      <c r="J105" s="2311">
        <v>600</v>
      </c>
      <c r="K105" s="3263">
        <v>492</v>
      </c>
    </row>
    <row r="106" spans="1:11">
      <c r="A106" s="2308">
        <v>1998.01</v>
      </c>
      <c r="B106" s="2310">
        <v>5000</v>
      </c>
      <c r="C106" s="3261">
        <v>45</v>
      </c>
      <c r="D106" s="2309"/>
      <c r="E106" s="2311">
        <v>1700</v>
      </c>
      <c r="F106" s="2312">
        <v>14.8</v>
      </c>
      <c r="G106" s="2311">
        <v>1800</v>
      </c>
      <c r="H106" s="3262">
        <v>1714</v>
      </c>
      <c r="I106" s="2309"/>
      <c r="J106" s="2311">
        <v>600</v>
      </c>
      <c r="K106" s="3263">
        <v>480</v>
      </c>
    </row>
    <row r="107" spans="1:11">
      <c r="A107" s="2308">
        <v>1998.02</v>
      </c>
      <c r="B107" s="2310">
        <v>5000</v>
      </c>
      <c r="C107" s="3261">
        <v>47.2</v>
      </c>
      <c r="D107" s="2309"/>
      <c r="E107" s="2311">
        <v>1700</v>
      </c>
      <c r="F107" s="2312">
        <v>14.2</v>
      </c>
      <c r="G107" s="2311">
        <v>1800</v>
      </c>
      <c r="H107" s="3262">
        <v>1651</v>
      </c>
      <c r="I107" s="2309"/>
      <c r="J107" s="2311">
        <v>600</v>
      </c>
      <c r="K107" s="3263">
        <v>472</v>
      </c>
    </row>
    <row r="108" spans="1:11">
      <c r="A108" s="2308">
        <v>1998.03</v>
      </c>
      <c r="B108" s="2310">
        <v>5000</v>
      </c>
      <c r="C108" s="3261">
        <v>53.2</v>
      </c>
      <c r="D108" s="2309"/>
      <c r="E108" s="2311">
        <v>1700</v>
      </c>
      <c r="F108" s="2312">
        <v>15.2</v>
      </c>
      <c r="G108" s="2311">
        <v>1800</v>
      </c>
      <c r="H108" s="3262">
        <v>1607</v>
      </c>
      <c r="I108" s="2309"/>
      <c r="J108" s="2311">
        <v>600</v>
      </c>
      <c r="K108" s="3263">
        <v>469</v>
      </c>
    </row>
    <row r="109" spans="1:11">
      <c r="A109" s="2308">
        <v>1998.04</v>
      </c>
      <c r="B109" s="2310">
        <v>4800</v>
      </c>
      <c r="C109" s="3261">
        <v>54.5</v>
      </c>
      <c r="D109" s="2309"/>
      <c r="E109" s="2311">
        <v>1700</v>
      </c>
      <c r="F109" s="2312">
        <v>14.4</v>
      </c>
      <c r="G109" s="2311">
        <v>1800</v>
      </c>
      <c r="H109" s="3262">
        <v>1636</v>
      </c>
      <c r="I109" s="2309"/>
      <c r="J109" s="2311">
        <v>600</v>
      </c>
      <c r="K109" s="3263">
        <v>469</v>
      </c>
    </row>
    <row r="110" spans="1:11">
      <c r="A110" s="2308">
        <v>1998.05</v>
      </c>
      <c r="B110" s="2310">
        <v>4800</v>
      </c>
      <c r="C110" s="3261">
        <v>52.7</v>
      </c>
      <c r="D110" s="2309"/>
      <c r="E110" s="2311">
        <v>1700</v>
      </c>
      <c r="F110" s="2312">
        <v>14.9</v>
      </c>
      <c r="G110" s="2311">
        <v>1850</v>
      </c>
      <c r="H110" s="3262">
        <v>1623</v>
      </c>
      <c r="I110" s="2309"/>
      <c r="J110" s="2311">
        <v>650</v>
      </c>
      <c r="K110" s="3263">
        <v>508</v>
      </c>
    </row>
    <row r="111" spans="1:11">
      <c r="A111" s="2308">
        <v>1998.06</v>
      </c>
      <c r="B111" s="2310">
        <v>5000</v>
      </c>
      <c r="C111" s="3261">
        <v>53.8</v>
      </c>
      <c r="D111" s="2309"/>
      <c r="E111" s="2311">
        <v>1700</v>
      </c>
      <c r="F111" s="2312">
        <v>14.8</v>
      </c>
      <c r="G111" s="2311">
        <v>1850</v>
      </c>
      <c r="H111" s="3262">
        <v>1568</v>
      </c>
      <c r="I111" s="2309"/>
      <c r="J111" s="2311">
        <v>650</v>
      </c>
      <c r="K111" s="3263">
        <v>500</v>
      </c>
    </row>
    <row r="112" spans="1:11">
      <c r="A112" s="2308">
        <v>1998.07</v>
      </c>
      <c r="B112" s="2310">
        <v>5000</v>
      </c>
      <c r="C112" s="3261">
        <v>53.2</v>
      </c>
      <c r="D112" s="2309"/>
      <c r="E112" s="2311">
        <v>1700</v>
      </c>
      <c r="F112" s="2312">
        <v>15.7</v>
      </c>
      <c r="G112" s="2311">
        <v>1850</v>
      </c>
      <c r="H112" s="3262">
        <v>1542</v>
      </c>
      <c r="I112" s="2309"/>
      <c r="J112" s="2311">
        <v>650</v>
      </c>
      <c r="K112" s="3263">
        <v>492</v>
      </c>
    </row>
    <row r="113" spans="1:11">
      <c r="A113" s="2308">
        <v>1998.08</v>
      </c>
      <c r="B113" s="2310">
        <v>5000</v>
      </c>
      <c r="C113" s="3261">
        <v>53.8</v>
      </c>
      <c r="D113" s="2309"/>
      <c r="E113" s="2311">
        <v>1700</v>
      </c>
      <c r="F113" s="2312">
        <v>15.7</v>
      </c>
      <c r="G113" s="2311">
        <v>1850</v>
      </c>
      <c r="H113" s="3262">
        <v>1423</v>
      </c>
      <c r="I113" s="2309"/>
      <c r="J113" s="2311">
        <v>650</v>
      </c>
      <c r="K113" s="3263">
        <v>448</v>
      </c>
    </row>
    <row r="114" spans="1:11">
      <c r="A114" s="2308">
        <v>1998.09</v>
      </c>
      <c r="B114" s="2310">
        <v>4800</v>
      </c>
      <c r="C114" s="3261">
        <v>53.9</v>
      </c>
      <c r="D114" s="2309"/>
      <c r="E114" s="2311">
        <v>1600</v>
      </c>
      <c r="F114" s="2312">
        <v>16</v>
      </c>
      <c r="G114" s="2311">
        <v>1800</v>
      </c>
      <c r="H114" s="3262">
        <v>1565</v>
      </c>
      <c r="I114" s="2309"/>
      <c r="J114" s="2311">
        <v>650</v>
      </c>
      <c r="K114" s="3263">
        <v>433</v>
      </c>
    </row>
    <row r="115" spans="1:11">
      <c r="A115" s="2308">
        <v>1998.1</v>
      </c>
      <c r="B115" s="2310">
        <v>4800</v>
      </c>
      <c r="C115" s="3261">
        <v>53.6</v>
      </c>
      <c r="D115" s="2309"/>
      <c r="E115" s="2311">
        <v>1600</v>
      </c>
      <c r="F115" s="2312">
        <v>14.7</v>
      </c>
      <c r="G115" s="2311">
        <v>1800</v>
      </c>
      <c r="H115" s="3262">
        <v>1875</v>
      </c>
      <c r="I115" s="2309"/>
      <c r="J115" s="2311">
        <v>600</v>
      </c>
      <c r="K115" s="3263">
        <v>500</v>
      </c>
    </row>
    <row r="116" spans="1:11">
      <c r="A116" s="2308">
        <v>1998.11</v>
      </c>
      <c r="B116" s="2310">
        <v>4800</v>
      </c>
      <c r="C116" s="3261">
        <v>47.1</v>
      </c>
      <c r="D116" s="2309"/>
      <c r="E116" s="2311">
        <v>1600</v>
      </c>
      <c r="F116" s="2312">
        <v>12.7</v>
      </c>
      <c r="G116" s="2311">
        <v>1750</v>
      </c>
      <c r="H116" s="3262">
        <v>1902</v>
      </c>
      <c r="I116" s="2309"/>
      <c r="J116" s="2311">
        <v>600</v>
      </c>
      <c r="K116" s="3263">
        <v>500</v>
      </c>
    </row>
    <row r="117" spans="1:11">
      <c r="A117" s="2308">
        <v>1998.12</v>
      </c>
      <c r="B117" s="2310">
        <v>4300</v>
      </c>
      <c r="C117" s="3261">
        <v>41.3</v>
      </c>
      <c r="D117" s="2309"/>
      <c r="E117" s="2311">
        <v>1400</v>
      </c>
      <c r="F117" s="2312">
        <v>12.6</v>
      </c>
      <c r="G117" s="2311">
        <v>1600</v>
      </c>
      <c r="H117" s="3262">
        <v>1778</v>
      </c>
      <c r="I117" s="2309"/>
      <c r="J117" s="2311">
        <v>550</v>
      </c>
      <c r="K117" s="3263">
        <v>458</v>
      </c>
    </row>
    <row r="118" spans="1:11">
      <c r="A118" s="2308">
        <v>1999.01</v>
      </c>
      <c r="B118" s="2310">
        <v>4000</v>
      </c>
      <c r="C118" s="3261">
        <v>34.799999999999997</v>
      </c>
      <c r="D118" s="2309"/>
      <c r="E118" s="2311">
        <v>1400</v>
      </c>
      <c r="F118" s="2312">
        <v>13.2</v>
      </c>
      <c r="G118" s="2311">
        <v>1600</v>
      </c>
      <c r="H118" s="3262">
        <v>1839</v>
      </c>
      <c r="I118" s="2309"/>
      <c r="J118" s="2311">
        <v>550</v>
      </c>
      <c r="K118" s="3263">
        <v>478</v>
      </c>
    </row>
    <row r="119" spans="1:11">
      <c r="A119" s="2308">
        <v>1999.02</v>
      </c>
      <c r="B119" s="2310">
        <v>4000</v>
      </c>
      <c r="C119" s="3261">
        <v>35.200000000000003</v>
      </c>
      <c r="D119" s="2309"/>
      <c r="E119" s="2311">
        <v>1400</v>
      </c>
      <c r="F119" s="2312">
        <v>13.9</v>
      </c>
      <c r="G119" s="2311">
        <v>1600</v>
      </c>
      <c r="H119" s="3262">
        <v>1905</v>
      </c>
      <c r="I119" s="2309"/>
      <c r="J119" s="2311">
        <v>550</v>
      </c>
      <c r="K119" s="3263">
        <v>500</v>
      </c>
    </row>
    <row r="120" spans="1:11">
      <c r="A120" s="2308">
        <v>1999.03</v>
      </c>
      <c r="B120" s="2310">
        <v>4000</v>
      </c>
      <c r="C120" s="3261">
        <v>50.3</v>
      </c>
      <c r="D120" s="2309"/>
      <c r="E120" s="2311">
        <v>1400</v>
      </c>
      <c r="F120" s="2312">
        <v>14.9</v>
      </c>
      <c r="G120" s="2311">
        <v>1600</v>
      </c>
      <c r="H120" s="3262">
        <v>1882</v>
      </c>
      <c r="I120" s="2309"/>
      <c r="J120" s="2311">
        <v>550</v>
      </c>
      <c r="K120" s="3263">
        <v>579</v>
      </c>
    </row>
    <row r="121" spans="1:11">
      <c r="A121" s="2308">
        <v>1999.04</v>
      </c>
      <c r="B121" s="2310">
        <v>4000</v>
      </c>
      <c r="C121" s="3261">
        <v>47.6</v>
      </c>
      <c r="D121" s="2309"/>
      <c r="E121" s="2311">
        <v>1400</v>
      </c>
      <c r="F121" s="2312">
        <v>12.3</v>
      </c>
      <c r="G121" s="2311">
        <v>1600</v>
      </c>
      <c r="H121" s="3262">
        <v>1882</v>
      </c>
      <c r="I121" s="2309"/>
      <c r="J121" s="2311">
        <v>550</v>
      </c>
      <c r="K121" s="3263">
        <v>579</v>
      </c>
    </row>
    <row r="122" spans="1:11">
      <c r="A122" s="2308">
        <v>1999.05</v>
      </c>
      <c r="B122" s="2310">
        <v>4000</v>
      </c>
      <c r="C122" s="3261">
        <v>45.5</v>
      </c>
      <c r="D122" s="2309"/>
      <c r="E122" s="2311">
        <v>1400</v>
      </c>
      <c r="F122" s="2312">
        <v>12.2</v>
      </c>
      <c r="G122" s="2311">
        <v>1600</v>
      </c>
      <c r="H122" s="3262">
        <v>1778</v>
      </c>
      <c r="I122" s="2309"/>
      <c r="J122" s="2311">
        <v>550</v>
      </c>
      <c r="K122" s="3263">
        <v>550</v>
      </c>
    </row>
    <row r="123" spans="1:11">
      <c r="A123" s="2308">
        <v>1999.06</v>
      </c>
      <c r="B123" s="2310">
        <v>4000</v>
      </c>
      <c r="C123" s="3261">
        <v>43.7</v>
      </c>
      <c r="D123" s="2309"/>
      <c r="E123" s="2311">
        <v>1400</v>
      </c>
      <c r="F123" s="2312">
        <v>11.9</v>
      </c>
      <c r="G123" s="2311">
        <v>1600</v>
      </c>
      <c r="H123" s="3262">
        <v>1860</v>
      </c>
      <c r="I123" s="2309"/>
      <c r="J123" s="2311">
        <v>550</v>
      </c>
      <c r="K123" s="3263">
        <v>550</v>
      </c>
    </row>
    <row r="124" spans="1:11">
      <c r="A124" s="2308">
        <v>1999.07</v>
      </c>
      <c r="B124" s="2310">
        <v>4000</v>
      </c>
      <c r="C124" s="3261">
        <v>42.6</v>
      </c>
      <c r="D124" s="2309"/>
      <c r="E124" s="2311">
        <v>1400</v>
      </c>
      <c r="F124" s="2312">
        <v>11.3</v>
      </c>
      <c r="G124" s="2311">
        <v>1600</v>
      </c>
      <c r="H124" s="3262">
        <v>1951</v>
      </c>
      <c r="I124" s="2309"/>
      <c r="J124" s="2311">
        <v>550</v>
      </c>
      <c r="K124" s="3263">
        <v>585</v>
      </c>
    </row>
    <row r="125" spans="1:11">
      <c r="A125" s="2308">
        <v>1999.08</v>
      </c>
      <c r="B125" s="2310">
        <v>4000</v>
      </c>
      <c r="C125" s="3261">
        <v>44</v>
      </c>
      <c r="D125" s="2309"/>
      <c r="E125" s="2311">
        <v>1400</v>
      </c>
      <c r="F125" s="2312">
        <v>11.7</v>
      </c>
      <c r="G125" s="2311">
        <v>1600</v>
      </c>
      <c r="H125" s="3262">
        <v>1928</v>
      </c>
      <c r="I125" s="2309"/>
      <c r="J125" s="2311">
        <v>550</v>
      </c>
      <c r="K125" s="3263">
        <v>573</v>
      </c>
    </row>
    <row r="126" spans="1:11">
      <c r="A126" s="2308">
        <v>1999.09</v>
      </c>
      <c r="B126" s="2310">
        <v>4000</v>
      </c>
      <c r="C126" s="3261">
        <v>44.9</v>
      </c>
      <c r="D126" s="2309"/>
      <c r="E126" s="2311">
        <v>1300</v>
      </c>
      <c r="F126" s="2312">
        <v>10.4</v>
      </c>
      <c r="G126" s="2311">
        <v>1550</v>
      </c>
      <c r="H126" s="3262">
        <v>1938</v>
      </c>
      <c r="I126" s="2309"/>
      <c r="J126" s="2311">
        <v>550</v>
      </c>
      <c r="K126" s="3263">
        <v>598</v>
      </c>
    </row>
    <row r="127" spans="1:11">
      <c r="A127" s="2308">
        <v>1999.1</v>
      </c>
      <c r="B127" s="2310">
        <v>4000</v>
      </c>
      <c r="C127" s="3261">
        <v>44.4</v>
      </c>
      <c r="D127" s="2309"/>
      <c r="E127" s="2311">
        <v>1300</v>
      </c>
      <c r="F127" s="2312">
        <v>11.2</v>
      </c>
      <c r="G127" s="2311">
        <v>1550</v>
      </c>
      <c r="H127" s="3262">
        <v>1938</v>
      </c>
      <c r="I127" s="2309"/>
      <c r="J127" s="2311">
        <v>550</v>
      </c>
      <c r="K127" s="3263">
        <v>579</v>
      </c>
    </row>
    <row r="128" spans="1:11">
      <c r="A128" s="2308">
        <v>1999.11</v>
      </c>
      <c r="B128" s="2310">
        <v>4000</v>
      </c>
      <c r="C128" s="3261">
        <v>43.7</v>
      </c>
      <c r="D128" s="2309"/>
      <c r="E128" s="2311">
        <v>1300</v>
      </c>
      <c r="F128" s="2312">
        <v>12.1</v>
      </c>
      <c r="G128" s="2311">
        <v>1550</v>
      </c>
      <c r="H128" s="3262">
        <v>1914</v>
      </c>
      <c r="I128" s="2309"/>
      <c r="J128" s="2311">
        <v>550</v>
      </c>
      <c r="K128" s="3263">
        <v>579</v>
      </c>
    </row>
    <row r="129" spans="1:11">
      <c r="A129" s="2308">
        <v>1999.12</v>
      </c>
      <c r="B129" s="2310">
        <v>4000</v>
      </c>
      <c r="C129" s="3261">
        <v>48.3</v>
      </c>
      <c r="D129" s="2309"/>
      <c r="E129" s="2311">
        <v>1250</v>
      </c>
      <c r="F129" s="2312">
        <v>15.4</v>
      </c>
      <c r="G129" s="2311">
        <v>1500</v>
      </c>
      <c r="H129" s="3262">
        <v>1948</v>
      </c>
      <c r="I129" s="2309"/>
      <c r="J129" s="2311">
        <v>550</v>
      </c>
      <c r="K129" s="3263">
        <v>567</v>
      </c>
    </row>
    <row r="130" spans="1:11">
      <c r="A130" s="2308">
        <v>2000.01</v>
      </c>
      <c r="B130" s="2310">
        <v>4000</v>
      </c>
      <c r="C130" s="3261">
        <v>42.6</v>
      </c>
      <c r="D130" s="2309"/>
      <c r="E130" s="2311">
        <v>1250</v>
      </c>
      <c r="F130" s="2312">
        <v>14.6</v>
      </c>
      <c r="G130" s="2311">
        <v>1500</v>
      </c>
      <c r="H130" s="3262">
        <v>1899</v>
      </c>
      <c r="I130" s="2309"/>
      <c r="J130" s="2311">
        <v>550</v>
      </c>
      <c r="K130" s="3263">
        <v>585</v>
      </c>
    </row>
    <row r="131" spans="1:11">
      <c r="A131" s="2308">
        <v>2000.02</v>
      </c>
      <c r="B131" s="2310">
        <v>4000</v>
      </c>
      <c r="C131" s="3261">
        <v>44.7</v>
      </c>
      <c r="D131" s="2309"/>
      <c r="E131" s="2311">
        <v>1250</v>
      </c>
      <c r="F131" s="2312">
        <v>14</v>
      </c>
      <c r="G131" s="2311">
        <v>1500</v>
      </c>
      <c r="H131" s="3262">
        <v>1807</v>
      </c>
      <c r="I131" s="2309"/>
      <c r="J131" s="2311">
        <v>550</v>
      </c>
      <c r="K131" s="3263">
        <v>598</v>
      </c>
    </row>
    <row r="132" spans="1:11">
      <c r="A132" s="2308">
        <v>2000.03</v>
      </c>
      <c r="B132" s="2310">
        <v>4000</v>
      </c>
      <c r="C132" s="3261">
        <v>47.1</v>
      </c>
      <c r="D132" s="2309"/>
      <c r="E132" s="2311">
        <v>1200</v>
      </c>
      <c r="F132" s="2312">
        <v>13.3</v>
      </c>
      <c r="G132" s="2311">
        <v>1500</v>
      </c>
      <c r="H132" s="3262">
        <v>1705</v>
      </c>
      <c r="I132" s="2309"/>
      <c r="J132" s="2311">
        <v>550</v>
      </c>
      <c r="K132" s="3263">
        <v>567</v>
      </c>
    </row>
    <row r="133" spans="1:11">
      <c r="A133" s="2308">
        <v>2000.04</v>
      </c>
      <c r="B133" s="2310">
        <v>4000</v>
      </c>
      <c r="C133" s="3261">
        <v>47.1</v>
      </c>
      <c r="D133" s="2309"/>
      <c r="E133" s="2311">
        <v>1200</v>
      </c>
      <c r="F133" s="2312">
        <v>11.4</v>
      </c>
      <c r="G133" s="2311">
        <v>1500</v>
      </c>
      <c r="H133" s="3262">
        <v>1685</v>
      </c>
      <c r="I133" s="2309"/>
      <c r="J133" s="2311">
        <v>550</v>
      </c>
      <c r="K133" s="3263">
        <v>550</v>
      </c>
    </row>
    <row r="134" spans="1:11">
      <c r="A134" s="2308">
        <v>2000.05</v>
      </c>
      <c r="B134" s="2310">
        <v>4000</v>
      </c>
      <c r="C134" s="3261">
        <v>47.3</v>
      </c>
      <c r="D134" s="2309"/>
      <c r="E134" s="2311">
        <v>1200</v>
      </c>
      <c r="F134" s="2312">
        <v>11.5</v>
      </c>
      <c r="G134" s="2311">
        <v>1500</v>
      </c>
      <c r="H134" s="3262">
        <v>1648</v>
      </c>
      <c r="I134" s="2309"/>
      <c r="J134" s="2311">
        <v>550</v>
      </c>
      <c r="K134" s="3263">
        <v>550</v>
      </c>
    </row>
    <row r="135" spans="1:11">
      <c r="A135" s="2308">
        <v>2000.06</v>
      </c>
      <c r="B135" s="2310">
        <v>4000</v>
      </c>
      <c r="C135" s="3261">
        <v>46.5</v>
      </c>
      <c r="D135" s="2309"/>
      <c r="E135" s="2311">
        <v>1200</v>
      </c>
      <c r="F135" s="2312">
        <v>10.5</v>
      </c>
      <c r="G135" s="2311">
        <v>1500</v>
      </c>
      <c r="H135" s="3262">
        <v>1596</v>
      </c>
      <c r="I135" s="2309"/>
      <c r="J135" s="2311">
        <v>550</v>
      </c>
      <c r="K135" s="3263">
        <v>550</v>
      </c>
    </row>
    <row r="136" spans="1:11">
      <c r="A136" s="2308">
        <v>2000.07</v>
      </c>
      <c r="B136" s="2310">
        <v>4000</v>
      </c>
      <c r="C136" s="3261">
        <v>53.1</v>
      </c>
      <c r="D136" s="2309"/>
      <c r="E136" s="2311">
        <v>1200</v>
      </c>
      <c r="F136" s="2312">
        <v>10.4</v>
      </c>
      <c r="G136" s="2311">
        <v>1500</v>
      </c>
      <c r="H136" s="3262">
        <v>1596</v>
      </c>
      <c r="I136" s="2309"/>
      <c r="J136" s="2311">
        <v>550</v>
      </c>
      <c r="K136" s="3263">
        <v>550</v>
      </c>
    </row>
    <row r="137" spans="1:11">
      <c r="A137" s="2308">
        <v>2000.08</v>
      </c>
      <c r="B137" s="2310">
        <v>4000</v>
      </c>
      <c r="C137" s="3261">
        <v>51.3</v>
      </c>
      <c r="D137" s="2309"/>
      <c r="E137" s="2311">
        <v>1200</v>
      </c>
      <c r="F137" s="2312">
        <v>10.4</v>
      </c>
      <c r="G137" s="2311">
        <v>1500</v>
      </c>
      <c r="H137" s="3262">
        <v>1630</v>
      </c>
      <c r="I137" s="2309"/>
      <c r="J137" s="2311">
        <v>550</v>
      </c>
      <c r="K137" s="3263">
        <v>550</v>
      </c>
    </row>
    <row r="138" spans="1:11">
      <c r="A138" s="2308">
        <v>2000.09</v>
      </c>
      <c r="B138" s="2310">
        <v>4000</v>
      </c>
      <c r="C138" s="3261">
        <v>55.2</v>
      </c>
      <c r="D138" s="2309"/>
      <c r="E138" s="2311">
        <v>1200</v>
      </c>
      <c r="F138" s="2312">
        <v>11</v>
      </c>
      <c r="G138" s="2311">
        <v>1500</v>
      </c>
      <c r="H138" s="3262">
        <v>1667</v>
      </c>
      <c r="I138" s="2309"/>
      <c r="J138" s="2311">
        <v>550</v>
      </c>
      <c r="K138" s="3263">
        <v>561</v>
      </c>
    </row>
    <row r="139" spans="1:11">
      <c r="A139" s="2308">
        <v>2000.1</v>
      </c>
      <c r="B139" s="2310">
        <v>3800</v>
      </c>
      <c r="C139" s="3261">
        <v>53.3</v>
      </c>
      <c r="D139" s="2309"/>
      <c r="E139" s="2311">
        <v>1200</v>
      </c>
      <c r="F139" s="2312">
        <v>10.4</v>
      </c>
      <c r="G139" s="2311">
        <v>1450</v>
      </c>
      <c r="H139" s="3262">
        <v>1630</v>
      </c>
      <c r="I139" s="2309"/>
      <c r="J139" s="2311">
        <v>550</v>
      </c>
      <c r="K139" s="3263">
        <v>550</v>
      </c>
    </row>
    <row r="140" spans="1:11">
      <c r="A140" s="2308">
        <v>2000.11</v>
      </c>
      <c r="B140" s="2310">
        <v>3800</v>
      </c>
      <c r="C140" s="3261">
        <v>50</v>
      </c>
      <c r="D140" s="2309"/>
      <c r="E140" s="2311">
        <v>1200</v>
      </c>
      <c r="F140" s="2312">
        <v>9.3000000000000007</v>
      </c>
      <c r="G140" s="2311">
        <v>1450</v>
      </c>
      <c r="H140" s="3262">
        <v>1611</v>
      </c>
      <c r="I140" s="2309"/>
      <c r="J140" s="2311">
        <v>550</v>
      </c>
      <c r="K140" s="3263">
        <v>514</v>
      </c>
    </row>
    <row r="141" spans="1:11">
      <c r="A141" s="2308">
        <v>2000.12</v>
      </c>
      <c r="B141" s="2310">
        <v>3800</v>
      </c>
      <c r="C141" s="3261">
        <v>44.2</v>
      </c>
      <c r="D141" s="2309"/>
      <c r="E141" s="2311">
        <v>1200</v>
      </c>
      <c r="F141" s="2312">
        <v>9.4</v>
      </c>
      <c r="G141" s="2311">
        <v>1450</v>
      </c>
      <c r="H141" s="3262">
        <v>1593</v>
      </c>
      <c r="I141" s="2309"/>
      <c r="J141" s="2311">
        <v>550</v>
      </c>
      <c r="K141" s="3263">
        <v>500</v>
      </c>
    </row>
    <row r="142" spans="1:11">
      <c r="A142" s="2308">
        <v>2001.01</v>
      </c>
      <c r="B142" s="2310">
        <v>3800</v>
      </c>
      <c r="C142" s="3261">
        <v>42.7</v>
      </c>
      <c r="D142" s="2309"/>
      <c r="E142" s="2311">
        <v>1200</v>
      </c>
      <c r="F142" s="2312">
        <v>10.5</v>
      </c>
      <c r="G142" s="2311">
        <v>1450</v>
      </c>
      <c r="H142" s="3262">
        <v>1576</v>
      </c>
      <c r="I142" s="2309"/>
      <c r="J142" s="2311">
        <v>550</v>
      </c>
      <c r="K142" s="3263">
        <v>539</v>
      </c>
    </row>
    <row r="143" spans="1:11">
      <c r="A143" s="2308">
        <v>2001.02</v>
      </c>
      <c r="B143" s="2310">
        <v>3800</v>
      </c>
      <c r="C143" s="3261">
        <v>49.7</v>
      </c>
      <c r="D143" s="2309"/>
      <c r="E143" s="2311">
        <v>1200</v>
      </c>
      <c r="F143" s="2312">
        <v>10</v>
      </c>
      <c r="G143" s="2311">
        <v>1450</v>
      </c>
      <c r="H143" s="3262">
        <v>1576</v>
      </c>
      <c r="I143" s="2309"/>
      <c r="J143" s="2311">
        <v>550</v>
      </c>
      <c r="K143" s="3263">
        <v>539</v>
      </c>
    </row>
    <row r="144" spans="1:11">
      <c r="A144" s="2308">
        <v>2001.03</v>
      </c>
      <c r="B144" s="135">
        <f>(B143+B146)/2</f>
        <v>3662.5</v>
      </c>
      <c r="C144" s="3264">
        <f>(C143+C146)/2</f>
        <v>47.487500000000004</v>
      </c>
      <c r="D144" s="1016"/>
      <c r="E144" s="1018">
        <f>(E143+E146)/2</f>
        <v>1170</v>
      </c>
      <c r="F144" s="2313">
        <f>(F143+F146)/2</f>
        <v>10.125</v>
      </c>
      <c r="G144" s="1018">
        <f>(G143+G146)/2</f>
        <v>1393.75</v>
      </c>
      <c r="H144" s="3265">
        <f>(H143+H146)/2</f>
        <v>1629</v>
      </c>
      <c r="I144" s="1019"/>
      <c r="J144" s="1018">
        <f>(J143+J146)/2</f>
        <v>531.25</v>
      </c>
      <c r="K144" s="3266">
        <f>(K143+K146)/2</f>
        <v>560.875</v>
      </c>
    </row>
    <row r="145" spans="1:11">
      <c r="A145" s="2308">
        <v>2001.04</v>
      </c>
      <c r="B145" s="135">
        <f>B144</f>
        <v>3662.5</v>
      </c>
      <c r="C145" s="3264">
        <f>C144</f>
        <v>47.487500000000004</v>
      </c>
      <c r="D145" s="1016"/>
      <c r="E145" s="1018">
        <f>E144</f>
        <v>1170</v>
      </c>
      <c r="F145" s="2313">
        <f>F144</f>
        <v>10.125</v>
      </c>
      <c r="G145" s="1018">
        <f>G144</f>
        <v>1393.75</v>
      </c>
      <c r="H145" s="3265">
        <f>H144</f>
        <v>1629</v>
      </c>
      <c r="I145" s="1019"/>
      <c r="J145" s="1018">
        <f>J144</f>
        <v>531.25</v>
      </c>
      <c r="K145" s="3266">
        <f>K144</f>
        <v>560.875</v>
      </c>
    </row>
    <row r="146" spans="1:11">
      <c r="A146" s="2308">
        <v>2001.05</v>
      </c>
      <c r="B146" s="135">
        <f>(B148+B143)/2</f>
        <v>3525</v>
      </c>
      <c r="C146" s="3264">
        <f>(C148+C143)/2</f>
        <v>45.275000000000006</v>
      </c>
      <c r="D146" s="1016"/>
      <c r="E146" s="1018">
        <f>(E148+E143)/2</f>
        <v>1140</v>
      </c>
      <c r="F146" s="2313">
        <f>(F148+F143)/2</f>
        <v>10.25</v>
      </c>
      <c r="G146" s="1018">
        <f>(G148+G143)/2</f>
        <v>1337.5</v>
      </c>
      <c r="H146" s="3265">
        <f>(H148+H143)/2</f>
        <v>1682</v>
      </c>
      <c r="I146" s="1019"/>
      <c r="J146" s="1018">
        <f>(J148+J143)/2</f>
        <v>512.5</v>
      </c>
      <c r="K146" s="3266">
        <f>(K148+K143)/2</f>
        <v>582.75</v>
      </c>
    </row>
    <row r="147" spans="1:11">
      <c r="A147" s="2308">
        <v>2001.06</v>
      </c>
      <c r="B147" s="135">
        <f>B146</f>
        <v>3525</v>
      </c>
      <c r="C147" s="3264">
        <f>C146</f>
        <v>45.275000000000006</v>
      </c>
      <c r="D147" s="1016"/>
      <c r="E147" s="1018">
        <f>E146</f>
        <v>1140</v>
      </c>
      <c r="F147" s="2313">
        <f>F146</f>
        <v>10.25</v>
      </c>
      <c r="G147" s="1018">
        <f>G146</f>
        <v>1337.5</v>
      </c>
      <c r="H147" s="3265">
        <f>H146</f>
        <v>1682</v>
      </c>
      <c r="I147" s="1019"/>
      <c r="J147" s="1018">
        <f>J146</f>
        <v>512.5</v>
      </c>
      <c r="K147" s="3266">
        <f>K146</f>
        <v>582.75</v>
      </c>
    </row>
    <row r="148" spans="1:11">
      <c r="A148" s="2308">
        <v>2001.07</v>
      </c>
      <c r="B148" s="135">
        <f>(B143+B154)/2</f>
        <v>3250</v>
      </c>
      <c r="C148" s="3264">
        <f>(C143+C154)/2</f>
        <v>40.85</v>
      </c>
      <c r="D148" s="1016"/>
      <c r="E148" s="1018">
        <f>(E143+E154)/2</f>
        <v>1080</v>
      </c>
      <c r="F148" s="2313">
        <f>(F143+F154)/2</f>
        <v>10.5</v>
      </c>
      <c r="G148" s="1018">
        <f>(G143+G154)/2</f>
        <v>1225</v>
      </c>
      <c r="H148" s="3265">
        <f>(H143+H154)/2</f>
        <v>1788</v>
      </c>
      <c r="I148" s="1019"/>
      <c r="J148" s="1018">
        <f>(J143+J154)/2</f>
        <v>475</v>
      </c>
      <c r="K148" s="3266">
        <f>(K143+K154)/2</f>
        <v>626.5</v>
      </c>
    </row>
    <row r="149" spans="1:11">
      <c r="A149" s="2308">
        <v>2001.08</v>
      </c>
      <c r="B149" s="135">
        <f>B148</f>
        <v>3250</v>
      </c>
      <c r="C149" s="3264">
        <f>C148</f>
        <v>40.85</v>
      </c>
      <c r="D149" s="1016"/>
      <c r="E149" s="1018">
        <f>E148</f>
        <v>1080</v>
      </c>
      <c r="F149" s="2313">
        <f>F148</f>
        <v>10.5</v>
      </c>
      <c r="G149" s="1018">
        <f>G148</f>
        <v>1225</v>
      </c>
      <c r="H149" s="3265">
        <f>H148</f>
        <v>1788</v>
      </c>
      <c r="I149" s="1019"/>
      <c r="J149" s="1018">
        <f>J148</f>
        <v>475</v>
      </c>
      <c r="K149" s="3266">
        <f>K148</f>
        <v>626.5</v>
      </c>
    </row>
    <row r="150" spans="1:11">
      <c r="A150" s="2308">
        <v>2001.09</v>
      </c>
      <c r="B150" s="135">
        <f>(B154+B149)/2</f>
        <v>2975</v>
      </c>
      <c r="C150" s="3264">
        <f>(C154+C149)/2</f>
        <v>36.424999999999997</v>
      </c>
      <c r="D150" s="1016"/>
      <c r="E150" s="1018">
        <f>(E154+E149)/2</f>
        <v>1020</v>
      </c>
      <c r="F150" s="2313">
        <f>(F154+F149)/2</f>
        <v>10.75</v>
      </c>
      <c r="G150" s="1018">
        <f>(G154+G149)/2</f>
        <v>1112.5</v>
      </c>
      <c r="H150" s="3265">
        <f>(H154+H149)/2</f>
        <v>1894</v>
      </c>
      <c r="I150" s="1019"/>
      <c r="J150" s="1018">
        <f>(J154+J149)/2</f>
        <v>437.5</v>
      </c>
      <c r="K150" s="3266">
        <f>(K154+K149)/2</f>
        <v>670.25</v>
      </c>
    </row>
    <row r="151" spans="1:11">
      <c r="A151" s="2308">
        <v>2001.1</v>
      </c>
      <c r="B151" s="135">
        <f>B150</f>
        <v>2975</v>
      </c>
      <c r="C151" s="3264">
        <f>C150</f>
        <v>36.424999999999997</v>
      </c>
      <c r="D151" s="1016"/>
      <c r="E151" s="1018">
        <f>E150</f>
        <v>1020</v>
      </c>
      <c r="F151" s="2313">
        <f>F150</f>
        <v>10.75</v>
      </c>
      <c r="G151" s="1018">
        <f>G150</f>
        <v>1112.5</v>
      </c>
      <c r="H151" s="3265">
        <f>H150</f>
        <v>1894</v>
      </c>
      <c r="I151" s="1019"/>
      <c r="J151" s="1018">
        <f>J150</f>
        <v>437.5</v>
      </c>
      <c r="K151" s="3266">
        <f>K150</f>
        <v>670.25</v>
      </c>
    </row>
    <row r="152" spans="1:11">
      <c r="A152" s="2308">
        <v>2001.11</v>
      </c>
      <c r="B152" s="135">
        <f>(B151+B154)/2</f>
        <v>2837.5</v>
      </c>
      <c r="C152" s="3264">
        <f>(C151+C154)/2</f>
        <v>34.212499999999999</v>
      </c>
      <c r="D152" s="1016"/>
      <c r="E152" s="1018">
        <f>(E151+E154)/2</f>
        <v>990</v>
      </c>
      <c r="F152" s="2313">
        <f>(F151+F154)/2</f>
        <v>10.875</v>
      </c>
      <c r="G152" s="1018">
        <f>(G151+G154)/2</f>
        <v>1056.25</v>
      </c>
      <c r="H152" s="3265">
        <f>(H151+H154)/2</f>
        <v>1947</v>
      </c>
      <c r="I152" s="1019"/>
      <c r="J152" s="1018">
        <f>(J151+J154)/2</f>
        <v>418.75</v>
      </c>
      <c r="K152" s="3266">
        <f>(K151+K154)/2</f>
        <v>692.125</v>
      </c>
    </row>
    <row r="153" spans="1:11">
      <c r="A153" s="2308">
        <v>2001.12</v>
      </c>
      <c r="B153" s="135">
        <f>B152</f>
        <v>2837.5</v>
      </c>
      <c r="C153" s="3264">
        <f>C152</f>
        <v>34.212499999999999</v>
      </c>
      <c r="D153" s="1016"/>
      <c r="E153" s="1018">
        <f>E152</f>
        <v>990</v>
      </c>
      <c r="F153" s="2313">
        <f>F152</f>
        <v>10.875</v>
      </c>
      <c r="G153" s="1018">
        <f>G152</f>
        <v>1056.25</v>
      </c>
      <c r="H153" s="3265">
        <f>H152</f>
        <v>1947</v>
      </c>
      <c r="I153" s="1019"/>
      <c r="J153" s="1018">
        <f>J152</f>
        <v>418.75</v>
      </c>
      <c r="K153" s="3266">
        <f>K152</f>
        <v>692.125</v>
      </c>
    </row>
    <row r="154" spans="1:11">
      <c r="A154" s="2202">
        <v>2002.01</v>
      </c>
      <c r="B154" s="2310">
        <v>2700</v>
      </c>
      <c r="C154" s="3261">
        <v>32</v>
      </c>
      <c r="D154" s="2309"/>
      <c r="E154" s="2311">
        <v>960</v>
      </c>
      <c r="F154" s="2312">
        <v>11</v>
      </c>
      <c r="G154" s="2311">
        <v>1000</v>
      </c>
      <c r="H154" s="3262">
        <v>2000</v>
      </c>
      <c r="I154" s="2309"/>
      <c r="J154" s="2311">
        <v>400</v>
      </c>
      <c r="K154" s="3263">
        <v>714</v>
      </c>
    </row>
    <row r="155" spans="1:11">
      <c r="A155" s="2202">
        <v>2002.02</v>
      </c>
      <c r="B155" s="2310">
        <v>2700</v>
      </c>
      <c r="C155" s="3261">
        <v>30.2</v>
      </c>
      <c r="D155" s="2309"/>
      <c r="E155" s="2311">
        <v>960</v>
      </c>
      <c r="F155" s="2312">
        <v>9.4</v>
      </c>
      <c r="G155" s="2311">
        <v>1000</v>
      </c>
      <c r="H155" s="3262">
        <v>1852</v>
      </c>
      <c r="I155" s="2309"/>
      <c r="J155" s="2311">
        <v>400</v>
      </c>
      <c r="K155" s="3263">
        <v>714</v>
      </c>
    </row>
    <row r="156" spans="1:11">
      <c r="A156" s="2202">
        <v>2002.03</v>
      </c>
      <c r="B156" s="2310">
        <v>2600</v>
      </c>
      <c r="C156" s="3261">
        <v>38.1</v>
      </c>
      <c r="D156" s="2309"/>
      <c r="E156" s="2311">
        <v>900</v>
      </c>
      <c r="F156" s="2312">
        <v>9.5</v>
      </c>
      <c r="G156" s="2311">
        <v>950</v>
      </c>
      <c r="H156" s="3262">
        <v>2065</v>
      </c>
      <c r="I156" s="2309"/>
      <c r="J156" s="2311">
        <v>350</v>
      </c>
      <c r="K156" s="3263">
        <v>700</v>
      </c>
    </row>
    <row r="157" spans="1:11">
      <c r="A157" s="2202">
        <v>2002.04</v>
      </c>
      <c r="B157" s="2310">
        <v>2500</v>
      </c>
      <c r="C157" s="3261">
        <v>38.200000000000003</v>
      </c>
      <c r="D157" s="2309"/>
      <c r="E157" s="2311">
        <v>850</v>
      </c>
      <c r="F157" s="2312">
        <v>9.4</v>
      </c>
      <c r="G157" s="2311">
        <v>950</v>
      </c>
      <c r="H157" s="3262">
        <v>2010</v>
      </c>
      <c r="I157" s="2309"/>
      <c r="J157" s="2311">
        <v>330</v>
      </c>
      <c r="K157" s="3263">
        <v>672</v>
      </c>
    </row>
    <row r="158" spans="1:11">
      <c r="A158" s="2202">
        <v>2002.05</v>
      </c>
      <c r="B158" s="2310">
        <v>2500</v>
      </c>
      <c r="C158" s="3261">
        <v>37.799999999999997</v>
      </c>
      <c r="D158" s="2309"/>
      <c r="E158" s="2311">
        <v>850</v>
      </c>
      <c r="F158" s="2312">
        <v>7.3</v>
      </c>
      <c r="G158" s="2311">
        <v>950</v>
      </c>
      <c r="H158" s="3262">
        <v>2184</v>
      </c>
      <c r="I158" s="2309"/>
      <c r="J158" s="2311">
        <v>330</v>
      </c>
      <c r="K158" s="3263">
        <v>750</v>
      </c>
    </row>
    <row r="159" spans="1:11">
      <c r="A159" s="2202">
        <v>2002.06</v>
      </c>
      <c r="B159" s="2310">
        <v>2500</v>
      </c>
      <c r="C159" s="3261">
        <v>32.200000000000003</v>
      </c>
      <c r="D159" s="2309"/>
      <c r="E159" s="2311">
        <v>850</v>
      </c>
      <c r="F159" s="2312">
        <v>7.5</v>
      </c>
      <c r="G159" s="2311">
        <v>950</v>
      </c>
      <c r="H159" s="3262">
        <v>2448</v>
      </c>
      <c r="I159" s="2309"/>
      <c r="J159" s="2311">
        <v>330</v>
      </c>
      <c r="K159" s="3263">
        <v>902</v>
      </c>
    </row>
    <row r="160" spans="1:11">
      <c r="A160" s="2202">
        <v>2002.07</v>
      </c>
      <c r="B160" s="2310">
        <v>2700</v>
      </c>
      <c r="C160" s="3261">
        <v>34.700000000000003</v>
      </c>
      <c r="D160" s="2309"/>
      <c r="E160" s="2311">
        <v>950</v>
      </c>
      <c r="F160" s="2312">
        <v>8.3000000000000007</v>
      </c>
      <c r="G160" s="2311">
        <v>1000</v>
      </c>
      <c r="H160" s="3262">
        <v>2577</v>
      </c>
      <c r="I160" s="2309"/>
      <c r="J160" s="2311">
        <v>370</v>
      </c>
      <c r="K160" s="3263">
        <v>1011</v>
      </c>
    </row>
    <row r="161" spans="1:11">
      <c r="A161" s="2202">
        <v>2002.08</v>
      </c>
      <c r="B161" s="2310">
        <v>2700</v>
      </c>
      <c r="C161" s="3261">
        <v>34.4</v>
      </c>
      <c r="D161" s="2309"/>
      <c r="E161" s="2311">
        <v>950</v>
      </c>
      <c r="F161" s="2312">
        <v>7.5</v>
      </c>
      <c r="G161" s="2311">
        <v>1000</v>
      </c>
      <c r="H161" s="3262">
        <v>1887</v>
      </c>
      <c r="I161" s="2309"/>
      <c r="J161" s="2311">
        <v>370</v>
      </c>
      <c r="K161" s="3263">
        <v>669</v>
      </c>
    </row>
    <row r="162" spans="1:11">
      <c r="A162" s="2202">
        <v>2002.09</v>
      </c>
      <c r="B162" s="2310">
        <v>2750</v>
      </c>
      <c r="C162" s="3261">
        <v>35.299999999999997</v>
      </c>
      <c r="D162" s="2309"/>
      <c r="E162" s="2311">
        <v>1000</v>
      </c>
      <c r="F162" s="2312">
        <v>7.8</v>
      </c>
      <c r="G162" s="2311">
        <v>1100</v>
      </c>
      <c r="H162" s="3262">
        <v>1930</v>
      </c>
      <c r="I162" s="2309"/>
      <c r="J162" s="2311">
        <v>400</v>
      </c>
      <c r="K162" s="3263">
        <v>702</v>
      </c>
    </row>
    <row r="163" spans="1:11">
      <c r="A163" s="2202">
        <v>2002.1</v>
      </c>
      <c r="B163" s="2310">
        <v>2750</v>
      </c>
      <c r="C163" s="3261">
        <v>34.799999999999997</v>
      </c>
      <c r="D163" s="2309"/>
      <c r="E163" s="2311">
        <v>1000</v>
      </c>
      <c r="F163" s="2312">
        <v>6.8</v>
      </c>
      <c r="G163" s="2311">
        <v>1100</v>
      </c>
      <c r="H163" s="3262">
        <v>2000</v>
      </c>
      <c r="I163" s="2309"/>
      <c r="J163" s="2311">
        <v>400</v>
      </c>
      <c r="K163" s="3263">
        <v>727</v>
      </c>
    </row>
    <row r="164" spans="1:11">
      <c r="A164" s="2202">
        <v>2002.11</v>
      </c>
      <c r="B164" s="2310">
        <v>2900</v>
      </c>
      <c r="C164" s="3261">
        <v>35.799999999999997</v>
      </c>
      <c r="D164" s="2309"/>
      <c r="E164" s="2311">
        <v>1100</v>
      </c>
      <c r="F164" s="2312">
        <v>8.6999999999999993</v>
      </c>
      <c r="G164" s="2311">
        <v>1100</v>
      </c>
      <c r="H164" s="3262">
        <v>1864</v>
      </c>
      <c r="I164" s="2309"/>
      <c r="J164" s="2311">
        <v>400</v>
      </c>
      <c r="K164" s="3263">
        <v>678</v>
      </c>
    </row>
    <row r="165" spans="1:11">
      <c r="A165" s="2202">
        <v>2002.12</v>
      </c>
      <c r="B165" s="2310">
        <v>3000</v>
      </c>
      <c r="C165" s="3261">
        <v>37</v>
      </c>
      <c r="D165" s="2309"/>
      <c r="E165" s="2311">
        <v>1200</v>
      </c>
      <c r="F165" s="2312">
        <v>10.3</v>
      </c>
      <c r="G165" s="2311">
        <v>1200</v>
      </c>
      <c r="H165" s="3262">
        <v>2037</v>
      </c>
      <c r="I165" s="2309"/>
      <c r="J165" s="2311">
        <v>440</v>
      </c>
      <c r="K165" s="3263">
        <v>733</v>
      </c>
    </row>
    <row r="166" spans="1:11">
      <c r="A166" s="2202">
        <v>2003.01</v>
      </c>
      <c r="B166" s="2310">
        <v>3000</v>
      </c>
      <c r="C166" s="3261">
        <v>37.299999999999997</v>
      </c>
      <c r="D166" s="2309"/>
      <c r="E166" s="2311">
        <v>1200</v>
      </c>
      <c r="F166" s="2312">
        <v>10.9</v>
      </c>
      <c r="G166" s="2311">
        <v>1200</v>
      </c>
      <c r="H166" s="3262">
        <v>1943</v>
      </c>
      <c r="I166" s="2309"/>
      <c r="J166" s="2311">
        <v>440</v>
      </c>
      <c r="K166" s="3263">
        <v>696</v>
      </c>
    </row>
    <row r="167" spans="1:11">
      <c r="A167" s="2202">
        <v>2003.02</v>
      </c>
      <c r="B167" s="2310">
        <v>3200</v>
      </c>
      <c r="C167" s="3261">
        <v>42.1</v>
      </c>
      <c r="D167" s="2309"/>
      <c r="E167" s="2311">
        <v>1250</v>
      </c>
      <c r="F167" s="2312">
        <v>10.5</v>
      </c>
      <c r="G167" s="2311">
        <v>1300</v>
      </c>
      <c r="H167" s="3262">
        <v>2031</v>
      </c>
      <c r="I167" s="2309"/>
      <c r="J167" s="2311">
        <v>460</v>
      </c>
      <c r="K167" s="3263">
        <v>692</v>
      </c>
    </row>
    <row r="168" spans="1:11">
      <c r="A168" s="2202">
        <v>2003.03</v>
      </c>
      <c r="B168" s="2310">
        <v>3500</v>
      </c>
      <c r="C168" s="3261">
        <v>47.3</v>
      </c>
      <c r="D168" s="2309"/>
      <c r="E168" s="2311">
        <v>1300</v>
      </c>
      <c r="F168" s="2312">
        <v>10.8</v>
      </c>
      <c r="G168" s="2311">
        <v>1400</v>
      </c>
      <c r="H168" s="3262">
        <v>2090</v>
      </c>
      <c r="I168" s="2309"/>
      <c r="J168" s="2311">
        <v>500</v>
      </c>
      <c r="K168" s="3263">
        <v>741</v>
      </c>
    </row>
    <row r="169" spans="1:11">
      <c r="A169" s="2202">
        <v>2003.04</v>
      </c>
      <c r="B169" s="2310">
        <v>3600</v>
      </c>
      <c r="C169" s="3261">
        <v>50</v>
      </c>
      <c r="D169" s="2309"/>
      <c r="E169" s="2311">
        <v>1400</v>
      </c>
      <c r="F169" s="2312">
        <v>12</v>
      </c>
      <c r="G169" s="2311">
        <v>1400</v>
      </c>
      <c r="H169" s="3262">
        <v>2065</v>
      </c>
      <c r="I169" s="2309"/>
      <c r="J169" s="2311">
        <v>550</v>
      </c>
      <c r="K169" s="3263">
        <v>811</v>
      </c>
    </row>
    <row r="170" spans="1:11">
      <c r="A170" s="2202">
        <v>2003.05</v>
      </c>
      <c r="B170" s="2310">
        <v>3600</v>
      </c>
      <c r="C170" s="3261">
        <v>45.6</v>
      </c>
      <c r="D170" s="2309"/>
      <c r="E170" s="2311">
        <v>1400</v>
      </c>
      <c r="F170" s="2312">
        <v>11.1</v>
      </c>
      <c r="G170" s="2311">
        <v>1400</v>
      </c>
      <c r="H170" s="3262">
        <v>2050</v>
      </c>
      <c r="I170" s="2309"/>
      <c r="J170" s="2311">
        <v>550</v>
      </c>
      <c r="K170" s="3263">
        <v>850</v>
      </c>
    </row>
    <row r="171" spans="1:11">
      <c r="A171" s="2202">
        <v>2003.06</v>
      </c>
      <c r="B171" s="2310">
        <v>3800</v>
      </c>
      <c r="C171" s="3261">
        <v>47.5</v>
      </c>
      <c r="D171" s="2309"/>
      <c r="E171" s="2311">
        <v>1600</v>
      </c>
      <c r="F171" s="2312">
        <v>11.9</v>
      </c>
      <c r="G171" s="2311">
        <v>1500</v>
      </c>
      <c r="H171" s="3262">
        <v>2259</v>
      </c>
      <c r="I171" s="2309"/>
      <c r="J171" s="2311">
        <v>550</v>
      </c>
      <c r="K171" s="3263">
        <v>874</v>
      </c>
    </row>
    <row r="172" spans="1:11">
      <c r="A172" s="2202">
        <v>2003.07</v>
      </c>
      <c r="B172" s="2310">
        <v>4200</v>
      </c>
      <c r="C172" s="3261">
        <v>52.2</v>
      </c>
      <c r="D172" s="2309"/>
      <c r="E172" s="2311">
        <v>1700</v>
      </c>
      <c r="F172" s="2312">
        <v>12.5</v>
      </c>
      <c r="G172" s="2311">
        <v>1600</v>
      </c>
      <c r="H172" s="3262">
        <v>2388</v>
      </c>
      <c r="I172" s="2309"/>
      <c r="J172" s="2311">
        <v>600</v>
      </c>
      <c r="K172" s="3263">
        <v>896</v>
      </c>
    </row>
    <row r="173" spans="1:11">
      <c r="A173" s="2202">
        <v>2003.08</v>
      </c>
      <c r="B173" s="2310">
        <v>4200</v>
      </c>
      <c r="C173" s="3261">
        <v>57.9</v>
      </c>
      <c r="D173" s="2309"/>
      <c r="E173" s="2311">
        <v>1700</v>
      </c>
      <c r="F173" s="2312">
        <v>13.4</v>
      </c>
      <c r="G173" s="2311">
        <v>1600</v>
      </c>
      <c r="H173" s="3262">
        <v>2424</v>
      </c>
      <c r="I173" s="2309"/>
      <c r="J173" s="2311">
        <v>600</v>
      </c>
      <c r="K173" s="3263">
        <v>909</v>
      </c>
    </row>
    <row r="174" spans="1:11">
      <c r="A174" s="2202">
        <v>2003.09</v>
      </c>
      <c r="B174" s="2310">
        <v>4200</v>
      </c>
      <c r="C174" s="3261">
        <v>52.2</v>
      </c>
      <c r="D174" s="2309"/>
      <c r="E174" s="2311">
        <v>1700</v>
      </c>
      <c r="F174" s="2312">
        <v>13.6</v>
      </c>
      <c r="G174" s="2311">
        <v>1600</v>
      </c>
      <c r="H174" s="3262">
        <v>2413</v>
      </c>
      <c r="I174" s="2309"/>
      <c r="J174" s="2311">
        <v>600</v>
      </c>
      <c r="K174" s="3263">
        <v>882</v>
      </c>
    </row>
    <row r="175" spans="1:11">
      <c r="A175" s="2202">
        <v>2003.1</v>
      </c>
      <c r="B175" s="2310">
        <v>4500</v>
      </c>
      <c r="C175" s="3261">
        <v>57.7</v>
      </c>
      <c r="D175" s="2309"/>
      <c r="E175" s="2311">
        <v>1700</v>
      </c>
      <c r="F175" s="2312">
        <v>13.4</v>
      </c>
      <c r="G175" s="2311">
        <v>1700</v>
      </c>
      <c r="H175" s="3262">
        <v>2665</v>
      </c>
      <c r="I175" s="2309"/>
      <c r="J175" s="2311">
        <v>600</v>
      </c>
      <c r="K175" s="3263">
        <v>923</v>
      </c>
    </row>
    <row r="176" spans="1:11">
      <c r="A176" s="2202">
        <v>2003.11</v>
      </c>
      <c r="B176" s="2310">
        <v>4800</v>
      </c>
      <c r="C176" s="3261">
        <v>57.8</v>
      </c>
      <c r="D176" s="2309"/>
      <c r="E176" s="2311">
        <v>1700</v>
      </c>
      <c r="F176" s="2312">
        <v>13.2</v>
      </c>
      <c r="G176" s="2311">
        <v>1800</v>
      </c>
      <c r="H176" s="3262">
        <v>2703</v>
      </c>
      <c r="I176" s="2309"/>
      <c r="J176" s="2311">
        <v>640</v>
      </c>
      <c r="K176" s="3263">
        <v>928</v>
      </c>
    </row>
    <row r="177" spans="1:11">
      <c r="A177" s="2202">
        <v>2003.12</v>
      </c>
      <c r="B177" s="2310">
        <v>4800</v>
      </c>
      <c r="C177" s="3261">
        <v>57.8</v>
      </c>
      <c r="D177" s="2309"/>
      <c r="E177" s="2311">
        <v>1700</v>
      </c>
      <c r="F177" s="2312">
        <v>13.2</v>
      </c>
      <c r="G177" s="2311">
        <v>1800</v>
      </c>
      <c r="H177" s="3262">
        <v>2703</v>
      </c>
      <c r="I177" s="2309"/>
      <c r="J177" s="2311">
        <v>640</v>
      </c>
      <c r="K177" s="3263">
        <v>928</v>
      </c>
    </row>
    <row r="178" spans="1:11">
      <c r="A178" s="2202">
        <v>2004.01</v>
      </c>
      <c r="B178" s="2310">
        <v>4800</v>
      </c>
      <c r="C178" s="3261">
        <v>56.8</v>
      </c>
      <c r="D178" s="2309"/>
      <c r="E178" s="2311">
        <v>1700</v>
      </c>
      <c r="F178" s="2312">
        <v>13.8</v>
      </c>
      <c r="G178" s="2311">
        <v>1800</v>
      </c>
      <c r="H178" s="3262">
        <v>2647</v>
      </c>
      <c r="I178" s="2309"/>
      <c r="J178" s="2311">
        <v>640</v>
      </c>
      <c r="K178" s="3263">
        <v>914</v>
      </c>
    </row>
    <row r="179" spans="1:11">
      <c r="A179" s="2202">
        <v>2004.02</v>
      </c>
      <c r="B179" s="2310">
        <v>5200</v>
      </c>
      <c r="C179" s="3261">
        <v>60.7</v>
      </c>
      <c r="D179" s="2309"/>
      <c r="E179" s="2311">
        <v>1900</v>
      </c>
      <c r="F179" s="2312">
        <v>15.3</v>
      </c>
      <c r="G179" s="2311">
        <v>2200</v>
      </c>
      <c r="H179" s="3262">
        <v>3235</v>
      </c>
      <c r="I179" s="2309"/>
      <c r="J179" s="2311">
        <v>680</v>
      </c>
      <c r="K179" s="3263">
        <v>986</v>
      </c>
    </row>
    <row r="180" spans="1:11">
      <c r="A180" s="2202">
        <v>2004.03</v>
      </c>
      <c r="B180" s="2310">
        <v>5200</v>
      </c>
      <c r="C180" s="3261">
        <v>61.2</v>
      </c>
      <c r="D180" s="2309"/>
      <c r="E180" s="2311">
        <v>1900</v>
      </c>
      <c r="F180" s="2312">
        <v>15.4</v>
      </c>
      <c r="G180" s="2311">
        <v>2200</v>
      </c>
      <c r="H180" s="3262">
        <v>3001</v>
      </c>
      <c r="I180" s="2309"/>
      <c r="J180" s="2311">
        <v>700</v>
      </c>
      <c r="K180" s="3263">
        <v>933</v>
      </c>
    </row>
    <row r="181" spans="1:11">
      <c r="A181" s="2202">
        <v>2004.04</v>
      </c>
      <c r="B181" s="2310">
        <v>5400</v>
      </c>
      <c r="C181" s="3261">
        <v>58.5</v>
      </c>
      <c r="D181" s="2309"/>
      <c r="E181" s="2311">
        <v>2000</v>
      </c>
      <c r="F181" s="2312">
        <v>15.5</v>
      </c>
      <c r="G181" s="2311">
        <v>2200</v>
      </c>
      <c r="H181" s="3262">
        <v>3081</v>
      </c>
      <c r="I181" s="2309"/>
      <c r="J181" s="2311">
        <v>700</v>
      </c>
      <c r="K181" s="3263">
        <v>949</v>
      </c>
    </row>
    <row r="182" spans="1:11">
      <c r="A182" s="2202">
        <v>2004.05</v>
      </c>
      <c r="B182" s="2310">
        <v>5400</v>
      </c>
      <c r="C182" s="3261">
        <v>55.1</v>
      </c>
      <c r="D182" s="2309"/>
      <c r="E182" s="2311">
        <v>2000</v>
      </c>
      <c r="F182" s="2312">
        <v>15.2</v>
      </c>
      <c r="G182" s="2311">
        <v>2200</v>
      </c>
      <c r="H182" s="3262">
        <v>2941</v>
      </c>
      <c r="I182" s="2309"/>
      <c r="J182" s="2311">
        <v>700</v>
      </c>
      <c r="K182" s="3263">
        <v>967</v>
      </c>
    </row>
    <row r="183" spans="1:11">
      <c r="A183" s="2202">
        <v>2004.06</v>
      </c>
      <c r="B183" s="2310">
        <v>5400</v>
      </c>
      <c r="C183" s="3261">
        <v>58.1</v>
      </c>
      <c r="D183" s="2309"/>
      <c r="E183" s="2311">
        <v>2000</v>
      </c>
      <c r="F183" s="2312">
        <v>16.399999999999999</v>
      </c>
      <c r="G183" s="2311">
        <v>2200</v>
      </c>
      <c r="H183" s="3262">
        <v>3099</v>
      </c>
      <c r="I183" s="2309"/>
      <c r="J183" s="2311">
        <v>700</v>
      </c>
      <c r="K183" s="3263">
        <v>1000</v>
      </c>
    </row>
    <row r="184" spans="1:11">
      <c r="A184" s="2202">
        <v>2004.07</v>
      </c>
      <c r="B184" s="2310">
        <v>5400</v>
      </c>
      <c r="C184" s="3261">
        <v>61.4</v>
      </c>
      <c r="D184" s="2309"/>
      <c r="E184" s="2311">
        <v>2000</v>
      </c>
      <c r="F184" s="2312">
        <v>19</v>
      </c>
      <c r="G184" s="2311">
        <v>2200</v>
      </c>
      <c r="H184" s="3262">
        <v>3112</v>
      </c>
      <c r="I184" s="2309"/>
      <c r="J184" s="2311">
        <v>700</v>
      </c>
      <c r="K184" s="3263">
        <v>1004</v>
      </c>
    </row>
    <row r="185" spans="1:11">
      <c r="A185" s="2202">
        <v>2004.08</v>
      </c>
      <c r="B185" s="2310">
        <v>5400</v>
      </c>
      <c r="C185" s="3261">
        <v>72</v>
      </c>
      <c r="D185" s="2309"/>
      <c r="E185" s="2311">
        <v>2000</v>
      </c>
      <c r="F185" s="2312">
        <v>19.600000000000001</v>
      </c>
      <c r="G185" s="2311">
        <v>2200</v>
      </c>
      <c r="H185" s="3262">
        <v>3165</v>
      </c>
      <c r="I185" s="2309"/>
      <c r="J185" s="2311">
        <v>700</v>
      </c>
      <c r="K185" s="3263">
        <v>997</v>
      </c>
    </row>
    <row r="186" spans="1:11">
      <c r="A186" s="2202">
        <v>2004.09</v>
      </c>
      <c r="B186" s="2310">
        <v>5400</v>
      </c>
      <c r="C186" s="3261">
        <v>71.099999999999994</v>
      </c>
      <c r="D186" s="2309"/>
      <c r="E186" s="2311">
        <v>2000</v>
      </c>
      <c r="F186" s="2312">
        <v>20.2</v>
      </c>
      <c r="G186" s="2311">
        <v>2200</v>
      </c>
      <c r="H186" s="3262">
        <v>3090</v>
      </c>
      <c r="I186" s="2309"/>
      <c r="J186" s="2311">
        <v>700</v>
      </c>
      <c r="K186" s="3263">
        <v>909</v>
      </c>
    </row>
    <row r="187" spans="1:11">
      <c r="A187" s="2202">
        <v>2004.1</v>
      </c>
      <c r="B187" s="2310">
        <v>5400</v>
      </c>
      <c r="C187" s="3261">
        <v>73</v>
      </c>
      <c r="D187" s="2309"/>
      <c r="E187" s="2311">
        <v>2000</v>
      </c>
      <c r="F187" s="2312">
        <v>20</v>
      </c>
      <c r="G187" s="2311">
        <v>2200</v>
      </c>
      <c r="H187" s="3262">
        <v>3116</v>
      </c>
      <c r="I187" s="2309"/>
      <c r="J187" s="2311">
        <v>700</v>
      </c>
      <c r="K187" s="3263">
        <v>897</v>
      </c>
    </row>
    <row r="188" spans="1:11">
      <c r="A188" s="2202">
        <v>2004.11</v>
      </c>
      <c r="B188" s="2310">
        <v>5400</v>
      </c>
      <c r="C188" s="3261">
        <v>79.400000000000006</v>
      </c>
      <c r="D188" s="2309"/>
      <c r="E188" s="2311">
        <v>2000</v>
      </c>
      <c r="F188" s="2312">
        <v>22.2</v>
      </c>
      <c r="G188" s="2311">
        <v>2200</v>
      </c>
      <c r="H188" s="3262">
        <v>3152</v>
      </c>
      <c r="I188" s="2309"/>
      <c r="J188" s="2311">
        <v>700</v>
      </c>
      <c r="K188" s="3263">
        <v>897</v>
      </c>
    </row>
    <row r="189" spans="1:11">
      <c r="A189" s="2202">
        <v>2004.12</v>
      </c>
      <c r="B189" s="2310">
        <v>5400</v>
      </c>
      <c r="C189" s="3261">
        <v>77.7</v>
      </c>
      <c r="D189" s="2309"/>
      <c r="E189" s="2311">
        <v>2000</v>
      </c>
      <c r="F189" s="2312">
        <v>22.7</v>
      </c>
      <c r="G189" s="2311">
        <v>2200</v>
      </c>
      <c r="H189" s="3262">
        <v>3099</v>
      </c>
      <c r="I189" s="2309"/>
      <c r="J189" s="2311">
        <v>700</v>
      </c>
      <c r="K189" s="3263">
        <v>897</v>
      </c>
    </row>
    <row r="190" spans="1:11">
      <c r="A190" s="2202">
        <v>2005.01</v>
      </c>
      <c r="B190" s="2310">
        <v>5400</v>
      </c>
      <c r="C190" s="3261">
        <v>85.7</v>
      </c>
      <c r="D190" s="2309"/>
      <c r="E190" s="2311">
        <v>2000</v>
      </c>
      <c r="F190" s="2312">
        <v>24.1</v>
      </c>
      <c r="G190" s="2311">
        <v>2200</v>
      </c>
      <c r="H190" s="3262">
        <v>3056</v>
      </c>
      <c r="I190" s="2309"/>
      <c r="J190" s="2311">
        <v>750</v>
      </c>
      <c r="K190" s="3263">
        <v>893</v>
      </c>
    </row>
    <row r="191" spans="1:11">
      <c r="A191" s="2202">
        <v>2005.02</v>
      </c>
      <c r="B191" s="2310">
        <v>5400</v>
      </c>
      <c r="C191" s="3261">
        <v>86.4</v>
      </c>
      <c r="D191" s="2309"/>
      <c r="E191" s="2311">
        <v>2000</v>
      </c>
      <c r="F191" s="2312">
        <v>25.5</v>
      </c>
      <c r="G191" s="2311">
        <v>2200</v>
      </c>
      <c r="H191" s="3262">
        <v>3014</v>
      </c>
      <c r="I191" s="2309"/>
      <c r="J191" s="2311">
        <v>750</v>
      </c>
      <c r="K191" s="3263">
        <v>882</v>
      </c>
    </row>
    <row r="192" spans="1:11">
      <c r="A192" s="2202">
        <v>2005.03</v>
      </c>
      <c r="B192" s="2310">
        <v>5800</v>
      </c>
      <c r="C192" s="3261">
        <v>90.3</v>
      </c>
      <c r="D192" s="2309"/>
      <c r="E192" s="2311">
        <v>2200</v>
      </c>
      <c r="F192" s="2312">
        <v>22</v>
      </c>
      <c r="G192" s="2311">
        <v>2500</v>
      </c>
      <c r="H192" s="3262">
        <v>3226</v>
      </c>
      <c r="I192" s="2309"/>
      <c r="J192" s="2311">
        <v>800</v>
      </c>
      <c r="K192" s="3263">
        <v>879</v>
      </c>
    </row>
    <row r="193" spans="1:11">
      <c r="A193" s="2202">
        <v>2005.04</v>
      </c>
      <c r="B193" s="2310">
        <v>5800</v>
      </c>
      <c r="C193" s="3261">
        <v>89.2</v>
      </c>
      <c r="D193" s="2309"/>
      <c r="E193" s="2311">
        <v>2200</v>
      </c>
      <c r="F193" s="2312">
        <v>20.6</v>
      </c>
      <c r="G193" s="2311">
        <v>2500</v>
      </c>
      <c r="H193" s="3262">
        <v>3086</v>
      </c>
      <c r="I193" s="2309"/>
      <c r="J193" s="2311">
        <v>800</v>
      </c>
      <c r="K193" s="3263">
        <v>851</v>
      </c>
    </row>
    <row r="194" spans="1:11">
      <c r="A194" s="2202">
        <v>2005.05</v>
      </c>
      <c r="B194" s="2310">
        <v>5800</v>
      </c>
      <c r="C194" s="3261">
        <v>91.6</v>
      </c>
      <c r="D194" s="2309"/>
      <c r="E194" s="2311">
        <v>2200</v>
      </c>
      <c r="F194" s="2312">
        <v>21.4</v>
      </c>
      <c r="G194" s="2311">
        <v>2500</v>
      </c>
      <c r="H194" s="3262">
        <v>3205</v>
      </c>
      <c r="I194" s="2309"/>
      <c r="J194" s="2311">
        <v>800</v>
      </c>
      <c r="K194" s="3263">
        <v>851</v>
      </c>
    </row>
    <row r="195" spans="1:11">
      <c r="A195" s="2202">
        <v>2005.06</v>
      </c>
      <c r="B195" s="2310">
        <v>5800</v>
      </c>
      <c r="C195" s="3261">
        <v>84.1</v>
      </c>
      <c r="D195" s="2309"/>
      <c r="E195" s="2311">
        <v>2200</v>
      </c>
      <c r="F195" s="2312">
        <v>21.4</v>
      </c>
      <c r="G195" s="2311">
        <v>2500</v>
      </c>
      <c r="H195" s="3262">
        <v>3169</v>
      </c>
      <c r="I195" s="2309"/>
      <c r="J195" s="2311">
        <v>800</v>
      </c>
      <c r="K195" s="3263">
        <v>876</v>
      </c>
    </row>
    <row r="196" spans="1:11">
      <c r="A196" s="2202">
        <v>2005.07</v>
      </c>
      <c r="B196" s="2310">
        <v>5800</v>
      </c>
      <c r="C196" s="3261">
        <v>81.7</v>
      </c>
      <c r="D196" s="2309"/>
      <c r="E196" s="2311">
        <v>2300</v>
      </c>
      <c r="F196" s="2312">
        <v>21.1</v>
      </c>
      <c r="G196" s="2311">
        <v>2600</v>
      </c>
      <c r="H196" s="3262">
        <v>3210</v>
      </c>
      <c r="I196" s="2309"/>
      <c r="J196" s="2311">
        <v>850</v>
      </c>
      <c r="K196" s="3263">
        <v>924</v>
      </c>
    </row>
    <row r="197" spans="1:11">
      <c r="A197" s="2202">
        <v>2005.08</v>
      </c>
      <c r="B197" s="2310">
        <v>6000</v>
      </c>
      <c r="C197" s="3261">
        <v>75.900000000000006</v>
      </c>
      <c r="D197" s="2309"/>
      <c r="E197" s="2311">
        <v>2500</v>
      </c>
      <c r="F197" s="2312">
        <v>22.5</v>
      </c>
      <c r="G197" s="2311">
        <v>2800</v>
      </c>
      <c r="H197" s="3262">
        <v>3419</v>
      </c>
      <c r="I197" s="2309"/>
      <c r="J197" s="2311">
        <v>900</v>
      </c>
      <c r="K197" s="3263">
        <v>891</v>
      </c>
    </row>
    <row r="198" spans="1:11">
      <c r="A198" s="2202">
        <v>2005.09</v>
      </c>
      <c r="B198" s="2310">
        <v>6000</v>
      </c>
      <c r="C198" s="3261">
        <v>78.400000000000006</v>
      </c>
      <c r="D198" s="2309"/>
      <c r="E198" s="2311">
        <v>2500</v>
      </c>
      <c r="F198" s="2312">
        <v>22.8</v>
      </c>
      <c r="G198" s="2311">
        <v>2800</v>
      </c>
      <c r="H198" s="3262">
        <v>3500</v>
      </c>
      <c r="I198" s="2309"/>
      <c r="J198" s="2311">
        <v>900</v>
      </c>
      <c r="K198" s="3263">
        <v>874</v>
      </c>
    </row>
    <row r="199" spans="1:11">
      <c r="A199" s="2202">
        <v>2005.1</v>
      </c>
      <c r="B199" s="2310">
        <v>7000</v>
      </c>
      <c r="C199" s="3261">
        <v>95.9</v>
      </c>
      <c r="D199" s="2309"/>
      <c r="E199" s="2311">
        <v>2800</v>
      </c>
      <c r="F199" s="2312">
        <v>26.7</v>
      </c>
      <c r="G199" s="2311">
        <v>3000</v>
      </c>
      <c r="H199" s="3262">
        <v>3750</v>
      </c>
      <c r="I199" s="2309"/>
      <c r="J199" s="2311">
        <v>1000</v>
      </c>
      <c r="K199" s="3263">
        <v>990</v>
      </c>
    </row>
    <row r="200" spans="1:11">
      <c r="A200" s="2202">
        <v>2005.11</v>
      </c>
      <c r="B200" s="2310">
        <v>7000</v>
      </c>
      <c r="C200" s="3261">
        <v>97.6</v>
      </c>
      <c r="D200" s="2309"/>
      <c r="E200" s="2311">
        <v>2800</v>
      </c>
      <c r="F200" s="2312">
        <v>25.9</v>
      </c>
      <c r="G200" s="2311">
        <v>3000</v>
      </c>
      <c r="H200" s="3262">
        <v>3584</v>
      </c>
      <c r="I200" s="2309"/>
      <c r="J200" s="2311">
        <v>1000</v>
      </c>
      <c r="K200" s="3263">
        <v>971</v>
      </c>
    </row>
    <row r="201" spans="1:11">
      <c r="A201" s="2202">
        <v>2005.12</v>
      </c>
      <c r="B201" s="2310">
        <v>7000</v>
      </c>
      <c r="C201" s="3261">
        <v>102.9</v>
      </c>
      <c r="D201" s="2309"/>
      <c r="E201" s="2311">
        <v>2800</v>
      </c>
      <c r="F201" s="2312">
        <v>26.7</v>
      </c>
      <c r="G201" s="2311">
        <v>3000</v>
      </c>
      <c r="H201" s="3262">
        <v>3529</v>
      </c>
      <c r="I201" s="2309"/>
      <c r="J201" s="2311">
        <v>1000</v>
      </c>
      <c r="K201" s="3263">
        <v>990</v>
      </c>
    </row>
    <row r="202" spans="1:11">
      <c r="A202" s="2202">
        <v>2006.01</v>
      </c>
      <c r="B202" s="2310">
        <v>7000</v>
      </c>
      <c r="C202" s="3261">
        <v>88.6</v>
      </c>
      <c r="D202" s="2309"/>
      <c r="E202" s="2311">
        <v>2800</v>
      </c>
      <c r="F202" s="2312">
        <v>26.4</v>
      </c>
      <c r="G202" s="2311">
        <v>3000</v>
      </c>
      <c r="H202" s="3262">
        <v>3797</v>
      </c>
      <c r="I202" s="2309"/>
      <c r="J202" s="2311">
        <v>1000</v>
      </c>
      <c r="K202" s="3263">
        <v>1000</v>
      </c>
    </row>
    <row r="203" spans="1:11">
      <c r="A203" s="2202">
        <v>2006.02</v>
      </c>
      <c r="B203" s="2310">
        <v>7500</v>
      </c>
      <c r="C203" s="3261">
        <v>88.2</v>
      </c>
      <c r="D203" s="2309"/>
      <c r="E203" s="2311">
        <v>2800</v>
      </c>
      <c r="F203" s="2312">
        <v>25.5</v>
      </c>
      <c r="G203" s="2311">
        <v>3000</v>
      </c>
      <c r="H203" s="3262">
        <v>3623</v>
      </c>
      <c r="I203" s="2309"/>
      <c r="J203" s="2311">
        <v>1000</v>
      </c>
      <c r="K203" s="3263">
        <v>1027</v>
      </c>
    </row>
    <row r="204" spans="1:11">
      <c r="A204" s="2202">
        <v>2006.03</v>
      </c>
      <c r="B204" s="2310">
        <v>7500</v>
      </c>
      <c r="C204" s="3261">
        <v>92.7</v>
      </c>
      <c r="D204" s="2309"/>
      <c r="E204" s="2311">
        <v>2800</v>
      </c>
      <c r="F204" s="2312">
        <v>26.7</v>
      </c>
      <c r="G204" s="2311">
        <v>3000</v>
      </c>
      <c r="H204" s="3262">
        <v>3501</v>
      </c>
      <c r="I204" s="2309"/>
      <c r="J204" s="2311">
        <v>1000</v>
      </c>
      <c r="K204" s="3263">
        <v>1000</v>
      </c>
    </row>
    <row r="205" spans="1:11">
      <c r="A205" s="2202">
        <v>2006.04</v>
      </c>
      <c r="B205" s="2310">
        <v>7500</v>
      </c>
      <c r="C205" s="3261">
        <v>93.1</v>
      </c>
      <c r="D205" s="2309"/>
      <c r="E205" s="2311">
        <v>2800</v>
      </c>
      <c r="F205" s="2312">
        <v>27.5</v>
      </c>
      <c r="G205" s="2311">
        <v>3000</v>
      </c>
      <c r="H205" s="3262">
        <v>3722</v>
      </c>
      <c r="I205" s="2309"/>
      <c r="J205" s="2311">
        <v>1000</v>
      </c>
      <c r="K205" s="3263">
        <v>1087</v>
      </c>
    </row>
    <row r="206" spans="1:11">
      <c r="A206" s="2202">
        <v>2006.05</v>
      </c>
      <c r="B206" s="2310">
        <v>7500</v>
      </c>
      <c r="C206" s="3261">
        <v>86.2</v>
      </c>
      <c r="D206" s="2309"/>
      <c r="E206" s="2311">
        <v>2800</v>
      </c>
      <c r="F206" s="2312">
        <v>24.8</v>
      </c>
      <c r="G206" s="2311">
        <v>3000</v>
      </c>
      <c r="H206" s="3262">
        <v>3659</v>
      </c>
      <c r="I206" s="2309"/>
      <c r="J206" s="2311">
        <v>1000</v>
      </c>
      <c r="K206" s="3263">
        <v>1124</v>
      </c>
    </row>
    <row r="207" spans="1:11">
      <c r="A207" s="2202">
        <v>2006.06</v>
      </c>
      <c r="B207" s="2310">
        <v>7500</v>
      </c>
      <c r="C207" s="3261">
        <v>87.2</v>
      </c>
      <c r="D207" s="2309"/>
      <c r="E207" s="2311">
        <v>2800</v>
      </c>
      <c r="F207" s="2312">
        <v>26.4</v>
      </c>
      <c r="G207" s="2311">
        <v>3200</v>
      </c>
      <c r="H207" s="3262">
        <v>4222</v>
      </c>
      <c r="I207" s="2309"/>
      <c r="J207" s="2311">
        <v>1000</v>
      </c>
      <c r="K207" s="3263">
        <v>1171</v>
      </c>
    </row>
    <row r="208" spans="1:11">
      <c r="A208" s="2202">
        <v>2006.07</v>
      </c>
      <c r="B208" s="2310">
        <v>7500</v>
      </c>
      <c r="C208" s="3261">
        <v>86.7</v>
      </c>
      <c r="D208" s="2309"/>
      <c r="E208" s="2311">
        <v>2800</v>
      </c>
      <c r="F208" s="2312">
        <v>28</v>
      </c>
      <c r="G208" s="2311">
        <v>3200</v>
      </c>
      <c r="H208" s="3262">
        <v>4444</v>
      </c>
      <c r="I208" s="2309"/>
      <c r="J208" s="2311">
        <v>1050</v>
      </c>
      <c r="K208" s="3263">
        <v>1280</v>
      </c>
    </row>
    <row r="209" spans="1:11">
      <c r="A209" s="2202">
        <v>2006.08</v>
      </c>
      <c r="B209" s="2310">
        <v>7500</v>
      </c>
      <c r="C209" s="3261">
        <v>86.2</v>
      </c>
      <c r="D209" s="2309"/>
      <c r="E209" s="2311">
        <v>2800</v>
      </c>
      <c r="F209" s="2312">
        <v>26.9</v>
      </c>
      <c r="G209" s="2311">
        <v>3200</v>
      </c>
      <c r="H209" s="3262">
        <v>4000</v>
      </c>
      <c r="I209" s="2309"/>
      <c r="J209" s="2311">
        <v>1050</v>
      </c>
      <c r="K209" s="3263">
        <v>1207</v>
      </c>
    </row>
    <row r="210" spans="1:11">
      <c r="A210" s="2202">
        <v>2006.09</v>
      </c>
      <c r="B210" s="2310">
        <v>8200</v>
      </c>
      <c r="C210" s="3261">
        <v>94.3</v>
      </c>
      <c r="D210" s="2309"/>
      <c r="E210" s="2311">
        <v>3000</v>
      </c>
      <c r="F210" s="2312">
        <v>28</v>
      </c>
      <c r="G210" s="2311">
        <v>3400</v>
      </c>
      <c r="H210" s="3262">
        <v>4533</v>
      </c>
      <c r="I210" s="2309"/>
      <c r="J210" s="2311">
        <v>1100</v>
      </c>
      <c r="K210" s="3263">
        <v>1222</v>
      </c>
    </row>
    <row r="211" spans="1:11">
      <c r="A211" s="2202">
        <v>2006.1</v>
      </c>
      <c r="B211" s="2310">
        <v>8200</v>
      </c>
      <c r="C211" s="3261">
        <v>86.8</v>
      </c>
      <c r="D211" s="2309"/>
      <c r="E211" s="2311">
        <v>3000</v>
      </c>
      <c r="F211" s="2312">
        <v>25.3</v>
      </c>
      <c r="G211" s="2311">
        <v>3400</v>
      </c>
      <c r="H211" s="3262">
        <v>4595</v>
      </c>
      <c r="I211" s="2309"/>
      <c r="J211" s="2311">
        <v>1100</v>
      </c>
      <c r="K211" s="3263">
        <v>1250</v>
      </c>
    </row>
    <row r="212" spans="1:11">
      <c r="A212" s="2202">
        <v>2006.11</v>
      </c>
      <c r="B212" s="2310">
        <v>8200</v>
      </c>
      <c r="C212" s="3261">
        <v>71.3</v>
      </c>
      <c r="D212" s="2309"/>
      <c r="E212" s="2311">
        <v>3000</v>
      </c>
      <c r="F212" s="2312">
        <v>24.4</v>
      </c>
      <c r="G212" s="2311">
        <v>3400</v>
      </c>
      <c r="H212" s="3262">
        <v>4304</v>
      </c>
      <c r="I212" s="2309"/>
      <c r="J212" s="2311">
        <v>1100</v>
      </c>
      <c r="K212" s="3263">
        <v>1250</v>
      </c>
    </row>
    <row r="213" spans="1:11">
      <c r="A213" s="2202">
        <v>2006.12</v>
      </c>
      <c r="B213" s="2310">
        <v>8400</v>
      </c>
      <c r="C213" s="3261">
        <v>65.099999999999994</v>
      </c>
      <c r="D213" s="2309"/>
      <c r="E213" s="2311">
        <v>3200</v>
      </c>
      <c r="F213" s="2312">
        <v>26.4</v>
      </c>
      <c r="G213" s="2311">
        <v>3700</v>
      </c>
      <c r="H213" s="3262">
        <v>4405</v>
      </c>
      <c r="I213" s="2309"/>
      <c r="J213" s="2311">
        <v>1200</v>
      </c>
      <c r="K213" s="3263">
        <v>1237</v>
      </c>
    </row>
    <row r="214" spans="1:11">
      <c r="A214" s="2202">
        <v>2007.01</v>
      </c>
      <c r="B214" s="2310">
        <v>8400</v>
      </c>
      <c r="C214" s="3261">
        <v>63</v>
      </c>
      <c r="D214" s="1017">
        <v>41</v>
      </c>
      <c r="E214" s="2311">
        <v>3300</v>
      </c>
      <c r="F214" s="2312">
        <v>28</v>
      </c>
      <c r="G214" s="2311">
        <v>3700</v>
      </c>
      <c r="H214" s="3262">
        <v>4421</v>
      </c>
      <c r="I214" s="1017">
        <v>18</v>
      </c>
      <c r="J214" s="2311">
        <v>1200</v>
      </c>
      <c r="K214" s="3263">
        <v>1277</v>
      </c>
    </row>
    <row r="215" spans="1:11">
      <c r="A215" s="2202">
        <v>2007.02</v>
      </c>
      <c r="B215" s="2310">
        <v>8400</v>
      </c>
      <c r="C215" s="3261">
        <v>67</v>
      </c>
      <c r="D215" s="2314">
        <v>44</v>
      </c>
      <c r="E215" s="2311">
        <v>3300</v>
      </c>
      <c r="F215" s="2312">
        <v>27</v>
      </c>
      <c r="G215" s="2311">
        <v>3700</v>
      </c>
      <c r="H215" s="3262">
        <v>4442</v>
      </c>
      <c r="I215" s="2314">
        <v>19</v>
      </c>
      <c r="J215" s="2311">
        <v>1200</v>
      </c>
      <c r="K215" s="3263">
        <v>1333</v>
      </c>
    </row>
    <row r="216" spans="1:11">
      <c r="A216" s="2202">
        <v>2007.03</v>
      </c>
      <c r="B216" s="2310">
        <v>8700</v>
      </c>
      <c r="C216" s="3261">
        <v>68</v>
      </c>
      <c r="D216" s="2314">
        <v>45</v>
      </c>
      <c r="E216" s="2311">
        <v>3300</v>
      </c>
      <c r="F216" s="2312">
        <v>28</v>
      </c>
      <c r="G216" s="2311">
        <v>3900</v>
      </c>
      <c r="H216" s="3262">
        <v>4483</v>
      </c>
      <c r="I216" s="2314">
        <v>20</v>
      </c>
      <c r="J216" s="2311">
        <v>1200</v>
      </c>
      <c r="K216" s="3263">
        <v>1333</v>
      </c>
    </row>
    <row r="217" spans="1:11">
      <c r="A217" s="2202">
        <v>2007.04</v>
      </c>
      <c r="B217" s="2310">
        <v>8700</v>
      </c>
      <c r="C217" s="3261">
        <v>82</v>
      </c>
      <c r="D217" s="2314">
        <v>45</v>
      </c>
      <c r="E217" s="2311">
        <v>3500</v>
      </c>
      <c r="F217" s="2312">
        <v>30</v>
      </c>
      <c r="G217" s="2311">
        <v>4000</v>
      </c>
      <c r="H217" s="3262">
        <v>4444</v>
      </c>
      <c r="I217" s="2314">
        <v>21</v>
      </c>
      <c r="J217" s="2311">
        <v>1250</v>
      </c>
      <c r="K217" s="3263">
        <v>1369</v>
      </c>
    </row>
    <row r="218" spans="1:11">
      <c r="A218" s="2202">
        <v>2007.05</v>
      </c>
      <c r="B218" s="2310">
        <v>8700</v>
      </c>
      <c r="C218" s="3261">
        <v>78</v>
      </c>
      <c r="D218" s="2314">
        <v>46</v>
      </c>
      <c r="E218" s="2311">
        <v>3500</v>
      </c>
      <c r="F218" s="2312">
        <v>29</v>
      </c>
      <c r="G218" s="2311">
        <v>4000</v>
      </c>
      <c r="H218" s="3262">
        <v>4301</v>
      </c>
      <c r="I218" s="2314">
        <v>21</v>
      </c>
      <c r="J218" s="2311">
        <v>1250</v>
      </c>
      <c r="K218" s="3263">
        <v>1369</v>
      </c>
    </row>
    <row r="219" spans="1:11">
      <c r="A219" s="2202">
        <v>2007.06</v>
      </c>
      <c r="B219" s="2310">
        <v>8700</v>
      </c>
      <c r="C219" s="3261">
        <v>71</v>
      </c>
      <c r="D219" s="2314">
        <v>44</v>
      </c>
      <c r="E219" s="2311">
        <v>3500</v>
      </c>
      <c r="F219" s="2312">
        <v>27</v>
      </c>
      <c r="G219" s="2311">
        <v>4000</v>
      </c>
      <c r="H219" s="3262">
        <v>4219</v>
      </c>
      <c r="I219" s="2314">
        <v>20</v>
      </c>
      <c r="J219" s="2311">
        <v>1250</v>
      </c>
      <c r="K219" s="3263">
        <v>1337</v>
      </c>
    </row>
    <row r="220" spans="1:11">
      <c r="A220" s="2202">
        <v>2007.07</v>
      </c>
      <c r="B220" s="2310">
        <v>9200</v>
      </c>
      <c r="C220" s="3261">
        <v>85</v>
      </c>
      <c r="D220" s="2314">
        <v>45</v>
      </c>
      <c r="E220" s="2311">
        <v>3700</v>
      </c>
      <c r="F220" s="2312">
        <v>26</v>
      </c>
      <c r="G220" s="2311">
        <v>4300</v>
      </c>
      <c r="H220" s="3262">
        <v>4536</v>
      </c>
      <c r="I220" s="2314">
        <v>21</v>
      </c>
      <c r="J220" s="2311">
        <v>1350</v>
      </c>
      <c r="K220" s="3263">
        <v>1500</v>
      </c>
    </row>
    <row r="221" spans="1:11">
      <c r="A221" s="2202">
        <v>2007.08</v>
      </c>
      <c r="B221" s="2310">
        <v>9500</v>
      </c>
      <c r="C221" s="3261">
        <v>85</v>
      </c>
      <c r="D221" s="2314">
        <v>47</v>
      </c>
      <c r="E221" s="2311">
        <v>4000</v>
      </c>
      <c r="F221" s="2312">
        <v>26</v>
      </c>
      <c r="G221" s="2311">
        <v>4700</v>
      </c>
      <c r="H221" s="3262">
        <v>5341</v>
      </c>
      <c r="I221" s="2314">
        <v>23</v>
      </c>
      <c r="J221" s="2311">
        <v>1500</v>
      </c>
      <c r="K221" s="3263">
        <v>1744</v>
      </c>
    </row>
    <row r="222" spans="1:11">
      <c r="A222" s="2202">
        <v>2007.09</v>
      </c>
      <c r="B222" s="2310">
        <v>9700</v>
      </c>
      <c r="C222" s="3261">
        <v>84</v>
      </c>
      <c r="D222" s="2314">
        <v>44</v>
      </c>
      <c r="E222" s="2311">
        <v>4000</v>
      </c>
      <c r="F222" s="2312">
        <v>22</v>
      </c>
      <c r="G222" s="2311">
        <v>4700</v>
      </c>
      <c r="H222" s="3262">
        <v>5000</v>
      </c>
      <c r="I222" s="2314">
        <v>21</v>
      </c>
      <c r="J222" s="2311">
        <v>1500</v>
      </c>
      <c r="K222" s="3263">
        <v>1630</v>
      </c>
    </row>
    <row r="223" spans="1:11">
      <c r="A223" s="2202">
        <v>2007.1</v>
      </c>
      <c r="B223" s="2310">
        <v>10000</v>
      </c>
      <c r="C223" s="3261">
        <v>84</v>
      </c>
      <c r="D223" s="2314">
        <v>40</v>
      </c>
      <c r="E223" s="2311">
        <v>4200</v>
      </c>
      <c r="F223" s="2312">
        <v>20</v>
      </c>
      <c r="G223" s="2311">
        <v>4800</v>
      </c>
      <c r="H223" s="3262">
        <v>5106</v>
      </c>
      <c r="I223" s="2314">
        <v>19</v>
      </c>
      <c r="J223" s="2311">
        <v>1600</v>
      </c>
      <c r="K223" s="3263">
        <v>1649</v>
      </c>
    </row>
    <row r="224" spans="1:11">
      <c r="A224" s="2202">
        <v>2007.11</v>
      </c>
      <c r="B224" s="2310">
        <v>10000</v>
      </c>
      <c r="C224" s="3261">
        <v>89</v>
      </c>
      <c r="D224" s="2314">
        <v>39</v>
      </c>
      <c r="E224" s="2311">
        <v>4200</v>
      </c>
      <c r="F224" s="2312">
        <v>23</v>
      </c>
      <c r="G224" s="2311">
        <v>4800</v>
      </c>
      <c r="H224" s="3262">
        <v>4898</v>
      </c>
      <c r="I224" s="2314">
        <v>19</v>
      </c>
      <c r="J224" s="2311">
        <v>1600</v>
      </c>
      <c r="K224" s="3263">
        <v>1584</v>
      </c>
    </row>
    <row r="225" spans="1:11">
      <c r="A225" s="2202">
        <v>2007.12</v>
      </c>
      <c r="B225" s="2310">
        <v>10000</v>
      </c>
      <c r="C225" s="3261">
        <v>99</v>
      </c>
      <c r="D225" s="2314">
        <v>39</v>
      </c>
      <c r="E225" s="2311">
        <v>4200</v>
      </c>
      <c r="F225" s="2312">
        <v>23</v>
      </c>
      <c r="G225" s="2311">
        <v>4800</v>
      </c>
      <c r="H225" s="3262">
        <v>4848</v>
      </c>
      <c r="I225" s="2314">
        <v>18</v>
      </c>
      <c r="J225" s="2311">
        <v>1600</v>
      </c>
      <c r="K225" s="3263">
        <v>1524</v>
      </c>
    </row>
    <row r="226" spans="1:11">
      <c r="A226" s="2202">
        <f t="shared" ref="A226:A289" si="0">A214+1</f>
        <v>2008.01</v>
      </c>
      <c r="B226" s="2310">
        <v>10700</v>
      </c>
      <c r="C226" s="3261">
        <v>85</v>
      </c>
      <c r="D226" s="2314">
        <v>37</v>
      </c>
      <c r="E226" s="2311">
        <v>4800</v>
      </c>
      <c r="F226" s="2312">
        <v>30</v>
      </c>
      <c r="G226" s="2311">
        <v>5500</v>
      </c>
      <c r="H226" s="3262">
        <v>5500</v>
      </c>
      <c r="I226" s="2314">
        <v>19</v>
      </c>
      <c r="J226" s="2311">
        <v>1800</v>
      </c>
      <c r="K226" s="3263">
        <v>1731</v>
      </c>
    </row>
    <row r="227" spans="1:11">
      <c r="A227" s="2202">
        <f t="shared" si="0"/>
        <v>2008.02</v>
      </c>
      <c r="B227" s="2310">
        <v>11000</v>
      </c>
      <c r="C227" s="3261">
        <v>74</v>
      </c>
      <c r="D227" s="2314">
        <v>32</v>
      </c>
      <c r="E227" s="2311">
        <v>4800</v>
      </c>
      <c r="F227" s="2312">
        <v>25</v>
      </c>
      <c r="G227" s="2311">
        <v>5500</v>
      </c>
      <c r="H227" s="3262">
        <v>5288</v>
      </c>
      <c r="I227" s="2314">
        <v>16</v>
      </c>
      <c r="J227" s="2311">
        <v>1900</v>
      </c>
      <c r="K227" s="3263">
        <v>1881</v>
      </c>
    </row>
    <row r="228" spans="1:11">
      <c r="A228" s="2202">
        <f t="shared" si="0"/>
        <v>2008.03</v>
      </c>
      <c r="B228" s="2310">
        <v>11500</v>
      </c>
      <c r="C228" s="3261">
        <v>72</v>
      </c>
      <c r="D228" s="2314">
        <v>32</v>
      </c>
      <c r="E228" s="2311">
        <v>5000</v>
      </c>
      <c r="F228" s="2312">
        <v>26</v>
      </c>
      <c r="G228" s="2311">
        <v>6000</v>
      </c>
      <c r="H228" s="3262">
        <v>5505</v>
      </c>
      <c r="I228" s="2314">
        <v>17</v>
      </c>
      <c r="J228" s="2311">
        <v>2000</v>
      </c>
      <c r="K228" s="3263">
        <v>1835</v>
      </c>
    </row>
    <row r="229" spans="1:11">
      <c r="A229" s="2202">
        <f t="shared" si="0"/>
        <v>2008.04</v>
      </c>
      <c r="B229" s="2310">
        <v>12000</v>
      </c>
      <c r="C229" s="3261">
        <v>71</v>
      </c>
      <c r="D229" s="2314">
        <v>42</v>
      </c>
      <c r="E229" s="2311">
        <v>5000</v>
      </c>
      <c r="F229" s="2312">
        <v>26</v>
      </c>
      <c r="G229" s="2311">
        <v>6000</v>
      </c>
      <c r="H229" s="3262">
        <v>5172</v>
      </c>
      <c r="I229" s="2314">
        <v>21</v>
      </c>
      <c r="J229" s="2311">
        <v>2000</v>
      </c>
      <c r="K229" s="3263">
        <v>1724</v>
      </c>
    </row>
    <row r="230" spans="1:11">
      <c r="A230" s="2202">
        <f t="shared" si="0"/>
        <v>2008.05</v>
      </c>
      <c r="B230" s="2310">
        <v>12500</v>
      </c>
      <c r="C230" s="3261">
        <v>76</v>
      </c>
      <c r="D230" s="2314">
        <v>44</v>
      </c>
      <c r="E230" s="2311">
        <v>5500</v>
      </c>
      <c r="F230" s="2312">
        <v>23</v>
      </c>
      <c r="G230" s="2311">
        <v>6500</v>
      </c>
      <c r="H230" s="3262">
        <v>5652</v>
      </c>
      <c r="I230" s="2314">
        <v>23</v>
      </c>
      <c r="J230" s="2311">
        <v>2000</v>
      </c>
      <c r="K230" s="3263">
        <v>1786</v>
      </c>
    </row>
    <row r="231" spans="1:11">
      <c r="A231" s="2202">
        <f t="shared" si="0"/>
        <v>2008.06</v>
      </c>
      <c r="B231" s="2310">
        <v>12500</v>
      </c>
      <c r="C231" s="3261">
        <v>77</v>
      </c>
      <c r="D231" s="2314">
        <v>43</v>
      </c>
      <c r="E231" s="2311">
        <v>6000</v>
      </c>
      <c r="F231" s="2312">
        <v>25</v>
      </c>
      <c r="G231" s="2311">
        <v>6500</v>
      </c>
      <c r="H231" s="3262">
        <v>5804</v>
      </c>
      <c r="I231" s="2314">
        <v>22</v>
      </c>
      <c r="J231" s="2311">
        <v>2000</v>
      </c>
      <c r="K231" s="3263">
        <v>1835</v>
      </c>
    </row>
    <row r="232" spans="1:11">
      <c r="A232" s="2202">
        <f t="shared" si="0"/>
        <v>2008.07</v>
      </c>
      <c r="B232" s="2310">
        <v>12500</v>
      </c>
      <c r="C232" s="3261">
        <v>74</v>
      </c>
      <c r="D232" s="2314">
        <v>41</v>
      </c>
      <c r="E232" s="2311">
        <v>6000</v>
      </c>
      <c r="F232" s="2312">
        <v>25</v>
      </c>
      <c r="G232" s="2311">
        <v>6500</v>
      </c>
      <c r="H232" s="3262">
        <v>5804</v>
      </c>
      <c r="I232" s="2314">
        <v>22</v>
      </c>
      <c r="J232" s="2311">
        <v>2000</v>
      </c>
      <c r="K232" s="3263">
        <v>1786</v>
      </c>
    </row>
    <row r="233" spans="1:11">
      <c r="A233" s="2202">
        <f t="shared" si="0"/>
        <v>2008.08</v>
      </c>
      <c r="B233" s="2310">
        <v>12500</v>
      </c>
      <c r="C233" s="3261">
        <v>91</v>
      </c>
      <c r="D233" s="2314">
        <v>42</v>
      </c>
      <c r="E233" s="2311">
        <v>6000</v>
      </c>
      <c r="F233" s="2312">
        <v>31</v>
      </c>
      <c r="G233" s="2311">
        <v>6500</v>
      </c>
      <c r="H233" s="3262">
        <v>5603</v>
      </c>
      <c r="I233" s="2314">
        <v>22</v>
      </c>
      <c r="J233" s="2311">
        <v>2000</v>
      </c>
      <c r="K233" s="3263">
        <v>1754</v>
      </c>
    </row>
    <row r="234" spans="1:11">
      <c r="A234" s="2202">
        <f t="shared" si="0"/>
        <v>2008.09</v>
      </c>
      <c r="B234" s="2310">
        <v>12500</v>
      </c>
      <c r="C234" s="3261">
        <v>89</v>
      </c>
      <c r="D234" s="2314">
        <v>44</v>
      </c>
      <c r="E234" s="2311">
        <v>6000</v>
      </c>
      <c r="F234" s="2312">
        <v>32</v>
      </c>
      <c r="G234" s="2311">
        <v>6500</v>
      </c>
      <c r="H234" s="3262">
        <v>5417</v>
      </c>
      <c r="I234" s="2314">
        <v>23</v>
      </c>
      <c r="J234" s="2311">
        <v>2000</v>
      </c>
      <c r="K234" s="3263">
        <v>1653</v>
      </c>
    </row>
    <row r="235" spans="1:11">
      <c r="A235" s="2202">
        <f t="shared" si="0"/>
        <v>2008.1</v>
      </c>
      <c r="B235" s="2310">
        <v>12000</v>
      </c>
      <c r="C235" s="3261">
        <v>103</v>
      </c>
      <c r="D235" s="2314">
        <v>47</v>
      </c>
      <c r="E235" s="2311">
        <v>5500</v>
      </c>
      <c r="F235" s="2312">
        <v>32</v>
      </c>
      <c r="G235" s="2311">
        <v>6000</v>
      </c>
      <c r="H235" s="3262">
        <v>5263</v>
      </c>
      <c r="I235" s="2314">
        <v>24</v>
      </c>
      <c r="J235" s="2311">
        <v>2000</v>
      </c>
      <c r="K235" s="3263">
        <v>1754</v>
      </c>
    </row>
    <row r="236" spans="1:11">
      <c r="A236" s="2202">
        <f t="shared" si="0"/>
        <v>2008.11</v>
      </c>
      <c r="B236" s="2310">
        <v>11500</v>
      </c>
      <c r="C236" s="3261">
        <v>122</v>
      </c>
      <c r="D236" s="2314">
        <v>52</v>
      </c>
      <c r="E236" s="2311">
        <v>5000</v>
      </c>
      <c r="F236" s="2312">
        <v>40</v>
      </c>
      <c r="G236" s="2311">
        <v>5800</v>
      </c>
      <c r="H236" s="3262">
        <v>6237</v>
      </c>
      <c r="I236" s="2314">
        <v>26</v>
      </c>
      <c r="J236" s="2311">
        <v>1900</v>
      </c>
      <c r="K236" s="3263">
        <v>2088</v>
      </c>
    </row>
    <row r="237" spans="1:11">
      <c r="A237" s="2202">
        <f t="shared" si="0"/>
        <v>2008.12</v>
      </c>
      <c r="B237" s="2310">
        <v>10700</v>
      </c>
      <c r="C237" s="3261">
        <v>134</v>
      </c>
      <c r="D237" s="2314">
        <v>53</v>
      </c>
      <c r="E237" s="2311">
        <v>4800</v>
      </c>
      <c r="F237" s="2312">
        <v>42</v>
      </c>
      <c r="G237" s="2311">
        <v>5800</v>
      </c>
      <c r="H237" s="3262">
        <v>6667</v>
      </c>
      <c r="I237" s="2314">
        <v>29</v>
      </c>
      <c r="J237" s="2311">
        <v>1800</v>
      </c>
      <c r="K237" s="3263">
        <v>2105</v>
      </c>
    </row>
    <row r="238" spans="1:11">
      <c r="A238" s="2202">
        <f t="shared" si="0"/>
        <v>2009.01</v>
      </c>
      <c r="B238" s="2310">
        <v>10200</v>
      </c>
      <c r="C238" s="3261">
        <v>114.6</v>
      </c>
      <c r="D238" s="2314">
        <v>42.9</v>
      </c>
      <c r="E238" s="2311">
        <v>4800</v>
      </c>
      <c r="F238" s="2312">
        <v>40.700000000000003</v>
      </c>
      <c r="G238" s="2311">
        <v>5500</v>
      </c>
      <c r="H238" s="3262">
        <v>6627</v>
      </c>
      <c r="I238" s="2314">
        <v>23.1</v>
      </c>
      <c r="J238" s="2311">
        <v>1800</v>
      </c>
      <c r="K238" s="3263">
        <v>2093</v>
      </c>
    </row>
    <row r="239" spans="1:11">
      <c r="A239" s="2202">
        <f t="shared" si="0"/>
        <v>2009.02</v>
      </c>
      <c r="B239" s="2310">
        <v>10200</v>
      </c>
      <c r="C239" s="3261">
        <v>94.4</v>
      </c>
      <c r="D239" s="2314">
        <v>40.5</v>
      </c>
      <c r="E239" s="2311">
        <v>4800</v>
      </c>
      <c r="F239" s="2312">
        <v>43.2</v>
      </c>
      <c r="G239" s="2311">
        <v>5500</v>
      </c>
      <c r="H239" s="3262">
        <v>6044</v>
      </c>
      <c r="I239" s="2314">
        <v>21.8</v>
      </c>
      <c r="J239" s="2311">
        <v>1800</v>
      </c>
      <c r="K239" s="3263">
        <v>2100</v>
      </c>
    </row>
    <row r="240" spans="1:11">
      <c r="A240" s="2202">
        <f t="shared" si="0"/>
        <v>2009.03</v>
      </c>
      <c r="B240" s="2310">
        <v>10200</v>
      </c>
      <c r="C240" s="3261">
        <v>94.7</v>
      </c>
      <c r="D240" s="2314">
        <v>50.2</v>
      </c>
      <c r="E240" s="2311">
        <v>4800</v>
      </c>
      <c r="F240" s="2312">
        <v>41.9</v>
      </c>
      <c r="G240" s="2311">
        <v>5500</v>
      </c>
      <c r="H240" s="3262">
        <v>5729</v>
      </c>
      <c r="I240" s="2314">
        <v>27.1</v>
      </c>
      <c r="J240" s="2311">
        <v>1800</v>
      </c>
      <c r="K240" s="3263">
        <v>2045</v>
      </c>
    </row>
    <row r="241" spans="1:11">
      <c r="A241" s="2202">
        <f t="shared" si="0"/>
        <v>2009.04</v>
      </c>
      <c r="B241" s="2310">
        <v>10200</v>
      </c>
      <c r="C241" s="3261">
        <v>96.6</v>
      </c>
      <c r="D241" s="2314">
        <v>43.9</v>
      </c>
      <c r="E241" s="2311">
        <v>4800</v>
      </c>
      <c r="F241" s="2312">
        <v>35.799999999999997</v>
      </c>
      <c r="G241" s="2311">
        <v>5500</v>
      </c>
      <c r="H241" s="3262">
        <v>5612</v>
      </c>
      <c r="I241" s="2314">
        <v>23.6</v>
      </c>
      <c r="J241" s="2311">
        <v>1800</v>
      </c>
      <c r="K241" s="3263">
        <v>1875</v>
      </c>
    </row>
    <row r="242" spans="1:11">
      <c r="A242" s="2202">
        <f t="shared" si="0"/>
        <v>2009.05</v>
      </c>
      <c r="B242" s="2310">
        <v>10200</v>
      </c>
      <c r="C242" s="3261">
        <v>96.2</v>
      </c>
      <c r="D242" s="2314">
        <v>37.9</v>
      </c>
      <c r="E242" s="2311">
        <v>4500</v>
      </c>
      <c r="F242" s="2312">
        <v>31.7</v>
      </c>
      <c r="G242" s="2311">
        <v>5500</v>
      </c>
      <c r="H242" s="3262">
        <v>5851</v>
      </c>
      <c r="I242" s="2314">
        <v>20.399999999999999</v>
      </c>
      <c r="J242" s="2311">
        <v>1600</v>
      </c>
      <c r="K242" s="3263">
        <v>1798</v>
      </c>
    </row>
    <row r="243" spans="1:11">
      <c r="A243" s="2202">
        <f t="shared" si="0"/>
        <v>2009.06</v>
      </c>
      <c r="B243" s="2310">
        <v>10200</v>
      </c>
      <c r="C243" s="3261">
        <v>96.2</v>
      </c>
      <c r="D243" s="2314">
        <v>35.9</v>
      </c>
      <c r="E243" s="2311">
        <v>4500</v>
      </c>
      <c r="F243" s="2312">
        <v>28.7</v>
      </c>
      <c r="G243" s="2311">
        <v>5500</v>
      </c>
      <c r="H243" s="3262">
        <v>6271</v>
      </c>
      <c r="I243" s="2314">
        <v>19.3</v>
      </c>
      <c r="J243" s="2311">
        <v>1600</v>
      </c>
      <c r="K243" s="3263">
        <v>1912</v>
      </c>
    </row>
    <row r="244" spans="1:11">
      <c r="A244" s="2202">
        <f t="shared" si="0"/>
        <v>2009.07</v>
      </c>
      <c r="B244" s="2310">
        <v>10200</v>
      </c>
      <c r="C244" s="3261">
        <v>90.4</v>
      </c>
      <c r="D244" s="2314">
        <v>37.4</v>
      </c>
      <c r="E244" s="2311">
        <v>4500</v>
      </c>
      <c r="F244" s="2312">
        <v>29.6</v>
      </c>
      <c r="G244" s="2311">
        <v>5500</v>
      </c>
      <c r="H244" s="3262">
        <v>6132</v>
      </c>
      <c r="I244" s="2314">
        <v>20.2</v>
      </c>
      <c r="J244" s="2311">
        <v>1500</v>
      </c>
      <c r="K244" s="3263">
        <v>1732</v>
      </c>
    </row>
    <row r="245" spans="1:11">
      <c r="A245" s="2202">
        <f t="shared" si="0"/>
        <v>2009.08</v>
      </c>
      <c r="B245" s="2310">
        <v>10200</v>
      </c>
      <c r="C245" s="3261">
        <v>89.1</v>
      </c>
      <c r="D245" s="2314">
        <v>38.4</v>
      </c>
      <c r="E245" s="2311">
        <v>4500</v>
      </c>
      <c r="F245" s="2312">
        <v>28.8</v>
      </c>
      <c r="G245" s="2311">
        <v>5500</v>
      </c>
      <c r="H245" s="3262">
        <v>6180</v>
      </c>
      <c r="I245" s="2314">
        <v>20.7</v>
      </c>
      <c r="J245" s="2311">
        <v>1500</v>
      </c>
      <c r="K245" s="3263">
        <v>1515</v>
      </c>
    </row>
    <row r="246" spans="1:11">
      <c r="A246" s="2202">
        <f t="shared" si="0"/>
        <v>2009.09</v>
      </c>
      <c r="B246" s="2310">
        <v>10200</v>
      </c>
      <c r="C246" s="3261">
        <v>93.6</v>
      </c>
      <c r="D246" s="2314">
        <v>39.5</v>
      </c>
      <c r="E246" s="2311">
        <v>4500</v>
      </c>
      <c r="F246" s="2312">
        <v>29</v>
      </c>
      <c r="G246" s="2311">
        <v>5500</v>
      </c>
      <c r="H246" s="3262">
        <v>6180</v>
      </c>
      <c r="I246" s="2314">
        <v>21.3</v>
      </c>
      <c r="J246" s="2311">
        <v>1500</v>
      </c>
      <c r="K246" s="3263">
        <v>1531</v>
      </c>
    </row>
    <row r="247" spans="1:11">
      <c r="A247" s="2202">
        <f t="shared" si="0"/>
        <v>2009.1</v>
      </c>
      <c r="B247" s="2310">
        <v>10200</v>
      </c>
      <c r="C247" s="3261">
        <v>90.3</v>
      </c>
      <c r="D247" s="2314">
        <v>41.7</v>
      </c>
      <c r="E247" s="2311">
        <v>4500</v>
      </c>
      <c r="F247" s="2312">
        <v>32.1</v>
      </c>
      <c r="G247" s="2311">
        <v>5500</v>
      </c>
      <c r="H247" s="3262">
        <v>5978</v>
      </c>
      <c r="I247" s="2314">
        <v>22.5</v>
      </c>
      <c r="J247" s="2311">
        <v>1500</v>
      </c>
      <c r="K247" s="3263">
        <v>1442</v>
      </c>
    </row>
    <row r="248" spans="1:11">
      <c r="A248" s="2202">
        <f t="shared" si="0"/>
        <v>2009.11</v>
      </c>
      <c r="B248" s="2310">
        <v>11000</v>
      </c>
      <c r="C248" s="3261">
        <v>90.9</v>
      </c>
      <c r="D248" s="2314">
        <v>43.5</v>
      </c>
      <c r="E248" s="2311">
        <v>4500</v>
      </c>
      <c r="F248" s="2312">
        <v>32.6</v>
      </c>
      <c r="G248" s="2311">
        <v>6000</v>
      </c>
      <c r="H248" s="3262">
        <v>6593</v>
      </c>
      <c r="I248" s="2314">
        <v>23.7</v>
      </c>
      <c r="J248" s="2311">
        <v>1500</v>
      </c>
      <c r="K248" s="3263">
        <v>1485</v>
      </c>
    </row>
    <row r="249" spans="1:11">
      <c r="A249" s="2202">
        <f t="shared" si="0"/>
        <v>2009.12</v>
      </c>
      <c r="B249" s="2310">
        <v>11000</v>
      </c>
      <c r="C249" s="3261">
        <v>89.4</v>
      </c>
      <c r="D249" s="2314">
        <v>40.9</v>
      </c>
      <c r="E249" s="2311">
        <v>4500</v>
      </c>
      <c r="F249" s="2312">
        <v>30.2</v>
      </c>
      <c r="G249" s="2311">
        <v>6000</v>
      </c>
      <c r="H249" s="3262">
        <v>5970</v>
      </c>
      <c r="I249" s="2314">
        <v>22.3</v>
      </c>
      <c r="J249" s="2311">
        <v>1500</v>
      </c>
      <c r="K249" s="3263">
        <v>1415</v>
      </c>
    </row>
    <row r="250" spans="1:11">
      <c r="A250" s="2202">
        <f t="shared" si="0"/>
        <v>2010.01</v>
      </c>
      <c r="B250" s="2310">
        <v>11000</v>
      </c>
      <c r="C250" s="3261">
        <v>84</v>
      </c>
      <c r="D250" s="2314">
        <v>41.6</v>
      </c>
      <c r="E250" s="2311">
        <v>4500</v>
      </c>
      <c r="F250" s="2312">
        <v>32.799999999999997</v>
      </c>
      <c r="G250" s="2311">
        <v>6000</v>
      </c>
      <c r="H250" s="3262">
        <v>5455</v>
      </c>
      <c r="I250" s="2314">
        <v>22.7</v>
      </c>
      <c r="J250" s="2311">
        <v>1500</v>
      </c>
      <c r="K250" s="3263">
        <v>1154</v>
      </c>
    </row>
    <row r="251" spans="1:11">
      <c r="A251" s="2202">
        <f t="shared" si="0"/>
        <v>2010.02</v>
      </c>
      <c r="B251" s="2310">
        <v>11000</v>
      </c>
      <c r="C251" s="3261">
        <v>88.7</v>
      </c>
      <c r="D251" s="2314">
        <v>45.2</v>
      </c>
      <c r="E251" s="2311">
        <v>4500</v>
      </c>
      <c r="F251" s="2312">
        <v>34.4</v>
      </c>
      <c r="G251" s="2311">
        <v>6000</v>
      </c>
      <c r="H251" s="3262">
        <v>4878</v>
      </c>
      <c r="I251" s="2314">
        <v>24.6</v>
      </c>
      <c r="J251" s="2311">
        <v>1500</v>
      </c>
      <c r="K251" s="3263">
        <v>1049</v>
      </c>
    </row>
    <row r="252" spans="1:11">
      <c r="A252" s="2202">
        <f t="shared" si="0"/>
        <v>2010.03</v>
      </c>
      <c r="B252" s="2310">
        <v>12000</v>
      </c>
      <c r="C252" s="3261">
        <v>106.2</v>
      </c>
      <c r="D252" s="2314">
        <v>54.3</v>
      </c>
      <c r="E252" s="2311">
        <v>4800</v>
      </c>
      <c r="F252" s="2312">
        <v>36.6</v>
      </c>
      <c r="G252" s="2311">
        <v>6500</v>
      </c>
      <c r="H252" s="3262">
        <v>4452</v>
      </c>
      <c r="I252" s="2314">
        <v>29.4</v>
      </c>
      <c r="J252" s="2311">
        <v>1900</v>
      </c>
      <c r="K252" s="3263">
        <v>1138</v>
      </c>
    </row>
    <row r="253" spans="1:11">
      <c r="A253" s="2202">
        <f t="shared" si="0"/>
        <v>2010.04</v>
      </c>
      <c r="B253" s="2310">
        <v>12000</v>
      </c>
      <c r="C253" s="3261">
        <v>116.5</v>
      </c>
      <c r="D253" s="2314">
        <v>56.9</v>
      </c>
      <c r="E253" s="2311">
        <v>5000</v>
      </c>
      <c r="F253" s="2312">
        <v>38.5</v>
      </c>
      <c r="G253" s="2311">
        <v>6500</v>
      </c>
      <c r="H253" s="3262">
        <v>3736</v>
      </c>
      <c r="I253" s="2314">
        <v>30.8</v>
      </c>
      <c r="J253" s="2311">
        <v>2000</v>
      </c>
      <c r="K253" s="3263">
        <v>1130</v>
      </c>
    </row>
    <row r="254" spans="1:11">
      <c r="A254" s="2202">
        <f t="shared" si="0"/>
        <v>2010.05</v>
      </c>
      <c r="B254" s="2310">
        <v>12000</v>
      </c>
      <c r="C254" s="3261">
        <v>106.4</v>
      </c>
      <c r="D254" s="2314">
        <v>53.2</v>
      </c>
      <c r="E254" s="2311">
        <v>5000</v>
      </c>
      <c r="F254" s="2312">
        <v>34.200000000000003</v>
      </c>
      <c r="G254" s="2311">
        <v>6500</v>
      </c>
      <c r="H254" s="3262">
        <v>3533</v>
      </c>
      <c r="I254" s="2314">
        <v>28.8</v>
      </c>
      <c r="J254" s="2311">
        <v>2000</v>
      </c>
      <c r="K254" s="3263">
        <v>1015</v>
      </c>
    </row>
    <row r="255" spans="1:11">
      <c r="A255" s="2202">
        <f t="shared" si="0"/>
        <v>2010.06</v>
      </c>
      <c r="B255" s="2310">
        <v>12000</v>
      </c>
      <c r="C255" s="3261">
        <v>102.5</v>
      </c>
      <c r="D255" s="2314">
        <v>54.5</v>
      </c>
      <c r="E255" s="2311">
        <v>5000</v>
      </c>
      <c r="F255" s="2312">
        <v>32.9</v>
      </c>
      <c r="G255" s="2311">
        <v>6500</v>
      </c>
      <c r="H255" s="3262">
        <v>3757</v>
      </c>
      <c r="I255" s="2314">
        <v>29.5</v>
      </c>
      <c r="J255" s="2311">
        <v>2000</v>
      </c>
      <c r="K255" s="3263">
        <v>990</v>
      </c>
    </row>
    <row r="256" spans="1:11">
      <c r="A256" s="2202">
        <f t="shared" si="0"/>
        <v>2010.07</v>
      </c>
      <c r="B256" s="2310">
        <v>13000</v>
      </c>
      <c r="C256" s="3261">
        <v>105.7</v>
      </c>
      <c r="D256" s="2314">
        <v>56.5</v>
      </c>
      <c r="E256" s="2311">
        <v>5000</v>
      </c>
      <c r="F256" s="2312">
        <v>33.6</v>
      </c>
      <c r="G256" s="2311">
        <v>7000</v>
      </c>
      <c r="H256" s="3262">
        <v>4268</v>
      </c>
      <c r="I256" s="2314">
        <v>30.4</v>
      </c>
      <c r="J256" s="2311">
        <v>2000</v>
      </c>
      <c r="K256" s="3263">
        <v>990</v>
      </c>
    </row>
    <row r="257" spans="1:11">
      <c r="A257" s="2202">
        <f t="shared" si="0"/>
        <v>2010.08</v>
      </c>
      <c r="B257" s="2310">
        <v>13000</v>
      </c>
      <c r="C257" s="3261">
        <v>99.2</v>
      </c>
      <c r="D257" s="2314">
        <v>50.6</v>
      </c>
      <c r="E257" s="2311">
        <v>5500</v>
      </c>
      <c r="F257" s="2312">
        <v>32</v>
      </c>
      <c r="G257" s="2311">
        <v>7000</v>
      </c>
      <c r="H257" s="3262">
        <v>4403</v>
      </c>
      <c r="I257" s="2314">
        <v>27.2</v>
      </c>
      <c r="J257" s="2311">
        <v>2200</v>
      </c>
      <c r="K257" s="3263">
        <v>1053</v>
      </c>
    </row>
    <row r="258" spans="1:11">
      <c r="A258" s="2202">
        <f t="shared" si="0"/>
        <v>2010.09</v>
      </c>
      <c r="B258" s="2310">
        <v>13000</v>
      </c>
      <c r="C258" s="3261">
        <v>94.2</v>
      </c>
      <c r="D258" s="2314">
        <v>50.2</v>
      </c>
      <c r="E258" s="2311">
        <v>5500</v>
      </c>
      <c r="F258" s="2312">
        <v>29.1</v>
      </c>
      <c r="G258" s="2311">
        <v>7000</v>
      </c>
      <c r="H258" s="3262">
        <v>4276</v>
      </c>
      <c r="I258" s="2314">
        <v>27</v>
      </c>
      <c r="J258" s="2311">
        <v>2200</v>
      </c>
      <c r="K258" s="3263">
        <v>1028</v>
      </c>
    </row>
    <row r="259" spans="1:11">
      <c r="A259" s="2202">
        <f t="shared" si="0"/>
        <v>2010.1</v>
      </c>
      <c r="B259" s="2310">
        <v>13500</v>
      </c>
      <c r="C259" s="3261">
        <v>94.1</v>
      </c>
      <c r="D259" s="2314">
        <v>49.8</v>
      </c>
      <c r="E259" s="2311">
        <v>5800</v>
      </c>
      <c r="F259" s="2312">
        <v>31.2</v>
      </c>
      <c r="G259" s="2311">
        <v>7300</v>
      </c>
      <c r="H259" s="3262">
        <v>3883</v>
      </c>
      <c r="I259" s="2314">
        <v>26.9</v>
      </c>
      <c r="J259" s="2311">
        <v>2300</v>
      </c>
      <c r="K259" s="3263">
        <v>943</v>
      </c>
    </row>
    <row r="260" spans="1:11">
      <c r="A260" s="2202">
        <f t="shared" si="0"/>
        <v>2010.11</v>
      </c>
      <c r="B260" s="2310">
        <v>14000</v>
      </c>
      <c r="C260" s="3261">
        <v>86.4</v>
      </c>
      <c r="D260" s="2314">
        <v>44.6</v>
      </c>
      <c r="E260" s="2311">
        <v>5800</v>
      </c>
      <c r="F260" s="2312">
        <v>30.5</v>
      </c>
      <c r="G260" s="2311">
        <v>7500</v>
      </c>
      <c r="H260" s="3262">
        <v>3641</v>
      </c>
      <c r="I260" s="2314">
        <v>23.9</v>
      </c>
      <c r="J260" s="2311">
        <v>2400</v>
      </c>
      <c r="K260" s="3263">
        <v>833</v>
      </c>
    </row>
    <row r="261" spans="1:11">
      <c r="A261" s="2202">
        <f t="shared" si="0"/>
        <v>2010.12</v>
      </c>
      <c r="B261" s="2310">
        <v>14000</v>
      </c>
      <c r="C261" s="3261">
        <v>87</v>
      </c>
      <c r="D261" s="2314">
        <v>42.4</v>
      </c>
      <c r="E261" s="2311">
        <v>5800</v>
      </c>
      <c r="F261" s="2312">
        <v>33.700000000000003</v>
      </c>
      <c r="G261" s="2311">
        <v>7500</v>
      </c>
      <c r="H261" s="3262">
        <v>3538</v>
      </c>
      <c r="I261" s="2314">
        <v>22.7</v>
      </c>
      <c r="J261" s="2311">
        <v>2400</v>
      </c>
      <c r="K261" s="3263">
        <v>836</v>
      </c>
    </row>
    <row r="262" spans="1:11">
      <c r="A262" s="2202">
        <f t="shared" si="0"/>
        <v>2011.01</v>
      </c>
      <c r="B262" s="2310">
        <v>14000</v>
      </c>
      <c r="C262" s="3261">
        <v>82.8</v>
      </c>
      <c r="D262" s="2314">
        <v>38.799999999999997</v>
      </c>
      <c r="E262" s="2311">
        <v>5800</v>
      </c>
      <c r="F262" s="2312">
        <v>35.799999999999997</v>
      </c>
      <c r="G262" s="2311">
        <v>7500</v>
      </c>
      <c r="H262" s="3262">
        <v>3570</v>
      </c>
      <c r="I262" s="2314">
        <v>20.8</v>
      </c>
      <c r="J262" s="2311">
        <v>2400</v>
      </c>
      <c r="K262" s="3263">
        <v>916</v>
      </c>
    </row>
    <row r="263" spans="1:11">
      <c r="A263" s="2202">
        <f t="shared" si="0"/>
        <v>2011.02</v>
      </c>
      <c r="B263" s="2310">
        <v>14000</v>
      </c>
      <c r="C263" s="3261">
        <v>76.099999999999994</v>
      </c>
      <c r="D263" s="2314">
        <v>40</v>
      </c>
      <c r="E263" s="2311">
        <v>5800</v>
      </c>
      <c r="F263" s="2312">
        <v>31.7</v>
      </c>
      <c r="G263" s="2311">
        <v>7500</v>
      </c>
      <c r="H263" s="3262">
        <v>3827</v>
      </c>
      <c r="I263" s="2314">
        <v>21.4</v>
      </c>
      <c r="J263" s="2311">
        <v>2400</v>
      </c>
      <c r="K263" s="3263">
        <v>968</v>
      </c>
    </row>
    <row r="264" spans="1:11">
      <c r="A264" s="2202">
        <f t="shared" si="0"/>
        <v>2011.03</v>
      </c>
      <c r="B264" s="2310">
        <v>15000</v>
      </c>
      <c r="C264" s="3261">
        <v>79.8</v>
      </c>
      <c r="D264" s="2314">
        <v>45.2</v>
      </c>
      <c r="E264" s="2311">
        <v>6000</v>
      </c>
      <c r="F264" s="2312">
        <v>34.5</v>
      </c>
      <c r="G264" s="2311">
        <v>7500</v>
      </c>
      <c r="H264" s="3262">
        <v>3538</v>
      </c>
      <c r="I264" s="2314">
        <v>22.6</v>
      </c>
      <c r="J264" s="2311">
        <v>2500</v>
      </c>
      <c r="K264" s="3263">
        <v>877</v>
      </c>
    </row>
    <row r="265" spans="1:11">
      <c r="A265" s="2202">
        <f t="shared" si="0"/>
        <v>2011.04</v>
      </c>
      <c r="B265" s="2310">
        <v>15000</v>
      </c>
      <c r="C265" s="3261">
        <v>78.900000000000006</v>
      </c>
      <c r="D265" s="2314">
        <v>47.6</v>
      </c>
      <c r="E265" s="2311">
        <v>6000</v>
      </c>
      <c r="F265" s="2312">
        <v>32.6</v>
      </c>
      <c r="G265" s="2311">
        <v>7500</v>
      </c>
      <c r="H265" s="3262">
        <v>3589</v>
      </c>
      <c r="I265" s="2314">
        <v>23.8</v>
      </c>
      <c r="J265" s="2311">
        <v>2500</v>
      </c>
      <c r="K265" s="3263">
        <v>847</v>
      </c>
    </row>
    <row r="266" spans="1:11">
      <c r="A266" s="2202">
        <f t="shared" si="0"/>
        <v>2011.05</v>
      </c>
      <c r="B266" s="2310">
        <v>15000</v>
      </c>
      <c r="C266" s="3261">
        <v>81.7</v>
      </c>
      <c r="D266" s="2314">
        <v>47.8</v>
      </c>
      <c r="E266" s="2311">
        <v>6000</v>
      </c>
      <c r="F266" s="2312">
        <v>31.7</v>
      </c>
      <c r="G266" s="2311">
        <v>8000</v>
      </c>
      <c r="H266" s="3262">
        <v>3922</v>
      </c>
      <c r="I266" s="2314">
        <v>25.5</v>
      </c>
      <c r="J266" s="2311">
        <v>2600</v>
      </c>
      <c r="K266" s="3263">
        <v>929</v>
      </c>
    </row>
    <row r="267" spans="1:11">
      <c r="A267" s="2202">
        <f t="shared" si="0"/>
        <v>2011.06</v>
      </c>
      <c r="B267" s="2310">
        <v>15000</v>
      </c>
      <c r="C267" s="3261">
        <v>83.5</v>
      </c>
      <c r="D267" s="2314">
        <v>48.3</v>
      </c>
      <c r="E267" s="2311">
        <v>6000</v>
      </c>
      <c r="F267" s="2312">
        <v>34.799999999999997</v>
      </c>
      <c r="G267" s="2311">
        <v>8000</v>
      </c>
      <c r="H267" s="3262">
        <v>3980</v>
      </c>
      <c r="I267" s="2314">
        <v>25.8</v>
      </c>
      <c r="J267" s="2311">
        <v>2600</v>
      </c>
      <c r="K267" s="3263">
        <v>952</v>
      </c>
    </row>
    <row r="268" spans="1:11">
      <c r="A268" s="2202">
        <f t="shared" si="0"/>
        <v>2011.07</v>
      </c>
      <c r="B268" s="2310">
        <v>15000</v>
      </c>
      <c r="C268" s="3261">
        <v>93.2</v>
      </c>
      <c r="D268" s="2314">
        <v>49.7</v>
      </c>
      <c r="E268" s="2311">
        <v>6000</v>
      </c>
      <c r="F268" s="2312">
        <v>38.200000000000003</v>
      </c>
      <c r="G268" s="2311">
        <v>8000</v>
      </c>
      <c r="H268" s="3262">
        <v>3756</v>
      </c>
      <c r="I268" s="2314">
        <v>26.5</v>
      </c>
      <c r="J268" s="2311">
        <v>2600</v>
      </c>
      <c r="K268" s="3263">
        <v>922</v>
      </c>
    </row>
    <row r="269" spans="1:11">
      <c r="A269" s="2202">
        <f t="shared" si="0"/>
        <v>2011.08</v>
      </c>
      <c r="B269" s="2310">
        <v>17000</v>
      </c>
      <c r="C269" s="3261">
        <v>103</v>
      </c>
      <c r="D269" s="2314">
        <v>54.3</v>
      </c>
      <c r="E269" s="2311">
        <v>7000</v>
      </c>
      <c r="F269" s="2312">
        <v>41.7</v>
      </c>
      <c r="G269" s="2311">
        <v>8500</v>
      </c>
      <c r="H269" s="3262">
        <v>3899</v>
      </c>
      <c r="I269" s="2314">
        <v>27.2</v>
      </c>
      <c r="J269" s="2311">
        <v>3000</v>
      </c>
      <c r="K269" s="3263">
        <v>1027</v>
      </c>
    </row>
    <row r="270" spans="1:11">
      <c r="A270" s="2202">
        <f t="shared" si="0"/>
        <v>2011.09</v>
      </c>
      <c r="B270" s="2310">
        <v>17000</v>
      </c>
      <c r="C270" s="3261">
        <v>106.3</v>
      </c>
      <c r="D270" s="2314">
        <v>52.3</v>
      </c>
      <c r="E270" s="2311">
        <v>7000</v>
      </c>
      <c r="F270" s="2312">
        <v>44.9</v>
      </c>
      <c r="G270" s="2311">
        <v>8500</v>
      </c>
      <c r="H270" s="3262">
        <v>3829</v>
      </c>
      <c r="I270" s="2314">
        <v>26.2</v>
      </c>
      <c r="J270" s="2311">
        <v>3000</v>
      </c>
      <c r="K270" s="3263">
        <v>1014</v>
      </c>
    </row>
    <row r="271" spans="1:11">
      <c r="A271" s="2202">
        <f t="shared" si="0"/>
        <v>2011.1</v>
      </c>
      <c r="B271" s="2310">
        <v>17500</v>
      </c>
      <c r="C271" s="3261">
        <v>106.1</v>
      </c>
      <c r="D271" s="2314">
        <v>61.8</v>
      </c>
      <c r="E271" s="2311">
        <v>7000</v>
      </c>
      <c r="F271" s="2312">
        <v>47.9</v>
      </c>
      <c r="G271" s="2311">
        <v>8500</v>
      </c>
      <c r="H271" s="3262">
        <v>3939</v>
      </c>
      <c r="I271" s="2314">
        <v>30</v>
      </c>
      <c r="J271" s="2311">
        <v>3100</v>
      </c>
      <c r="K271" s="3263">
        <v>1052</v>
      </c>
    </row>
    <row r="272" spans="1:11">
      <c r="A272" s="2202">
        <f t="shared" si="0"/>
        <v>2011.11</v>
      </c>
      <c r="B272" s="2310">
        <v>17500</v>
      </c>
      <c r="C272" s="3261">
        <v>129.6</v>
      </c>
      <c r="D272" s="2314">
        <v>61.4</v>
      </c>
      <c r="E272" s="2311">
        <v>7000</v>
      </c>
      <c r="F272" s="2312">
        <v>49.4</v>
      </c>
      <c r="G272" s="2311">
        <v>8500</v>
      </c>
      <c r="H272" s="3262">
        <v>3924</v>
      </c>
      <c r="I272" s="2314">
        <v>29.8</v>
      </c>
      <c r="J272" s="2311">
        <v>3100</v>
      </c>
      <c r="K272" s="3263">
        <v>1059</v>
      </c>
    </row>
    <row r="273" spans="1:11">
      <c r="A273" s="2202">
        <f t="shared" si="0"/>
        <v>2011.12</v>
      </c>
      <c r="B273" s="2310">
        <v>17500</v>
      </c>
      <c r="C273" s="3261">
        <v>136.80000000000001</v>
      </c>
      <c r="D273" s="2314">
        <v>64.900000000000006</v>
      </c>
      <c r="E273" s="2311">
        <v>7000</v>
      </c>
      <c r="F273" s="2312">
        <v>59</v>
      </c>
      <c r="G273" s="2311">
        <v>8500</v>
      </c>
      <c r="H273" s="3262">
        <v>3996</v>
      </c>
      <c r="I273" s="2314">
        <v>31.5</v>
      </c>
      <c r="J273" s="2311">
        <v>3100</v>
      </c>
      <c r="K273" s="3263">
        <v>1084</v>
      </c>
    </row>
    <row r="274" spans="1:11">
      <c r="A274" s="2202">
        <f t="shared" si="0"/>
        <v>2012.01</v>
      </c>
      <c r="B274" s="2310">
        <v>17500</v>
      </c>
      <c r="C274" s="3261">
        <v>112.9</v>
      </c>
      <c r="D274" s="2314">
        <v>59.9</v>
      </c>
      <c r="E274" s="2311">
        <v>7000</v>
      </c>
      <c r="F274" s="2312">
        <v>57.1</v>
      </c>
      <c r="G274" s="2311">
        <v>8500</v>
      </c>
      <c r="H274" s="3262">
        <v>4028</v>
      </c>
      <c r="I274" s="2314">
        <v>29.1</v>
      </c>
      <c r="J274" s="2311">
        <v>3100</v>
      </c>
      <c r="K274" s="3263">
        <v>1220</v>
      </c>
    </row>
    <row r="275" spans="1:11">
      <c r="A275" s="2202">
        <f t="shared" si="0"/>
        <v>2012.02</v>
      </c>
      <c r="B275" s="2310">
        <v>17500</v>
      </c>
      <c r="C275" s="3261">
        <v>105.4</v>
      </c>
      <c r="D275" s="2314">
        <v>57.6</v>
      </c>
      <c r="E275" s="2311">
        <v>7000</v>
      </c>
      <c r="F275" s="2312">
        <v>51.9</v>
      </c>
      <c r="G275" s="2311">
        <v>9000</v>
      </c>
      <c r="H275" s="3262">
        <v>4265</v>
      </c>
      <c r="I275" s="2314">
        <v>29.6</v>
      </c>
      <c r="J275" s="2311">
        <v>3300</v>
      </c>
      <c r="K275" s="3263">
        <v>1370</v>
      </c>
    </row>
    <row r="276" spans="1:11">
      <c r="A276" s="2202">
        <f t="shared" si="0"/>
        <v>2012.03</v>
      </c>
      <c r="B276" s="2310">
        <v>17500</v>
      </c>
      <c r="C276" s="3261">
        <v>115.1</v>
      </c>
      <c r="D276" s="2314">
        <v>55.6</v>
      </c>
      <c r="E276" s="2311">
        <v>7000</v>
      </c>
      <c r="F276" s="2312">
        <v>56.5</v>
      </c>
      <c r="G276" s="2311">
        <v>9000</v>
      </c>
      <c r="H276" s="3262">
        <v>3750</v>
      </c>
      <c r="I276" s="2314">
        <v>28.6</v>
      </c>
      <c r="J276" s="2311">
        <v>3300</v>
      </c>
      <c r="K276" s="3263">
        <v>1200</v>
      </c>
    </row>
    <row r="277" spans="1:11">
      <c r="A277" s="2202">
        <f t="shared" si="0"/>
        <v>2012.04</v>
      </c>
      <c r="B277" s="2310">
        <v>17500</v>
      </c>
      <c r="C277" s="3261">
        <v>108.7</v>
      </c>
      <c r="D277" s="2314">
        <v>51.3</v>
      </c>
      <c r="E277" s="2311">
        <v>7000</v>
      </c>
      <c r="F277" s="2312">
        <v>47.9</v>
      </c>
      <c r="G277" s="2311">
        <v>9000</v>
      </c>
      <c r="H277" s="3262">
        <v>3462</v>
      </c>
      <c r="I277" s="2314">
        <v>26.4</v>
      </c>
      <c r="J277" s="2311">
        <v>3300</v>
      </c>
      <c r="K277" s="3263">
        <v>1187</v>
      </c>
    </row>
    <row r="278" spans="1:11">
      <c r="A278" s="2202">
        <f t="shared" si="0"/>
        <v>2012.05</v>
      </c>
      <c r="B278" s="2310">
        <v>17500</v>
      </c>
      <c r="C278" s="3261">
        <v>119.9</v>
      </c>
      <c r="D278" s="2314">
        <v>49.7</v>
      </c>
      <c r="E278" s="2311">
        <v>7000</v>
      </c>
      <c r="F278" s="2312">
        <v>46.4</v>
      </c>
      <c r="G278" s="2311">
        <v>9000</v>
      </c>
      <c r="H278" s="3262">
        <v>3863</v>
      </c>
      <c r="I278" s="2314">
        <v>25.6</v>
      </c>
      <c r="J278" s="2311">
        <v>3300</v>
      </c>
      <c r="K278" s="3263">
        <v>1250</v>
      </c>
    </row>
    <row r="279" spans="1:11">
      <c r="A279" s="2202">
        <f t="shared" si="0"/>
        <v>2012.06</v>
      </c>
      <c r="B279" s="2310">
        <v>17500</v>
      </c>
      <c r="C279" s="3261">
        <v>117.6</v>
      </c>
      <c r="D279" s="2314">
        <v>53.8</v>
      </c>
      <c r="E279" s="2311">
        <v>7000</v>
      </c>
      <c r="F279" s="2312">
        <v>44.4</v>
      </c>
      <c r="G279" s="2311">
        <v>9000</v>
      </c>
      <c r="H279" s="3262">
        <v>3830</v>
      </c>
      <c r="I279" s="2314">
        <v>27.7</v>
      </c>
      <c r="J279" s="2311">
        <v>3300</v>
      </c>
      <c r="K279" s="3263">
        <v>1284</v>
      </c>
    </row>
    <row r="280" spans="1:11">
      <c r="A280" s="2202">
        <f t="shared" si="0"/>
        <v>2012.07</v>
      </c>
      <c r="B280" s="2310">
        <v>17500</v>
      </c>
      <c r="C280" s="3261">
        <v>113.6</v>
      </c>
      <c r="D280" s="2314">
        <v>48.7</v>
      </c>
      <c r="E280" s="2311">
        <v>7000</v>
      </c>
      <c r="F280" s="2312">
        <v>42.9</v>
      </c>
      <c r="G280" s="2311">
        <v>9000</v>
      </c>
      <c r="H280" s="3262">
        <v>3968</v>
      </c>
      <c r="I280" s="2314">
        <v>25.1</v>
      </c>
      <c r="J280" s="2311">
        <v>3300</v>
      </c>
      <c r="K280" s="3263">
        <v>1249</v>
      </c>
    </row>
    <row r="281" spans="1:11">
      <c r="A281" s="2202">
        <f t="shared" si="0"/>
        <v>2012.08</v>
      </c>
      <c r="B281" s="2310">
        <v>17500</v>
      </c>
      <c r="C281" s="3261">
        <v>107.4</v>
      </c>
      <c r="D281" s="2314">
        <v>45.8</v>
      </c>
      <c r="E281" s="2311">
        <v>7000</v>
      </c>
      <c r="F281" s="2312">
        <v>38.9</v>
      </c>
      <c r="G281" s="2311">
        <v>9000</v>
      </c>
      <c r="H281" s="3262">
        <v>4225</v>
      </c>
      <c r="I281" s="2314">
        <v>23.6</v>
      </c>
      <c r="J281" s="2311">
        <v>3300</v>
      </c>
      <c r="K281" s="3263">
        <v>1269</v>
      </c>
    </row>
    <row r="282" spans="1:11">
      <c r="A282" s="2202">
        <f t="shared" si="0"/>
        <v>2012.09</v>
      </c>
      <c r="B282" s="2310">
        <v>17500</v>
      </c>
      <c r="C282" s="3261">
        <v>100</v>
      </c>
      <c r="D282" s="2314">
        <v>41.5</v>
      </c>
      <c r="E282" s="2311">
        <v>7000</v>
      </c>
      <c r="F282" s="2312">
        <v>34</v>
      </c>
      <c r="G282" s="2311">
        <v>9000</v>
      </c>
      <c r="H282" s="3262">
        <v>4286</v>
      </c>
      <c r="I282" s="2314">
        <v>21.3</v>
      </c>
      <c r="J282" s="2311">
        <v>3300</v>
      </c>
      <c r="K282" s="3263">
        <v>1341</v>
      </c>
    </row>
    <row r="283" spans="1:11">
      <c r="A283" s="2202">
        <f t="shared" si="0"/>
        <v>2012.1</v>
      </c>
      <c r="B283" s="2310">
        <v>17000</v>
      </c>
      <c r="C283" s="3261">
        <v>122.3</v>
      </c>
      <c r="D283" s="2314">
        <v>57.6</v>
      </c>
      <c r="E283" s="2311">
        <v>6800</v>
      </c>
      <c r="F283" s="2312">
        <v>46.4</v>
      </c>
      <c r="G283" s="2311">
        <v>9000</v>
      </c>
      <c r="H283" s="3262">
        <v>6273</v>
      </c>
      <c r="I283" s="2314">
        <v>30.5</v>
      </c>
      <c r="J283" s="2311">
        <v>3200</v>
      </c>
      <c r="K283" s="3263">
        <v>1725</v>
      </c>
    </row>
    <row r="284" spans="1:11">
      <c r="A284" s="2202">
        <f t="shared" si="0"/>
        <v>2012.11</v>
      </c>
      <c r="B284" s="2310">
        <v>17000</v>
      </c>
      <c r="C284" s="3261">
        <v>125.3</v>
      </c>
      <c r="D284" s="2314">
        <v>55</v>
      </c>
      <c r="E284" s="2311">
        <v>6800</v>
      </c>
      <c r="F284" s="2312">
        <v>40.700000000000003</v>
      </c>
      <c r="G284" s="2311">
        <v>9000</v>
      </c>
      <c r="H284" s="3262">
        <v>6559</v>
      </c>
      <c r="I284" s="2314">
        <v>29.1</v>
      </c>
      <c r="J284" s="2311">
        <v>3200</v>
      </c>
      <c r="K284" s="3263">
        <v>1764</v>
      </c>
    </row>
    <row r="285" spans="1:11">
      <c r="A285" s="2202">
        <f t="shared" si="0"/>
        <v>2012.12</v>
      </c>
      <c r="B285" s="2310">
        <v>17000</v>
      </c>
      <c r="C285" s="3261">
        <v>112.9</v>
      </c>
      <c r="D285" s="2314">
        <v>55.6</v>
      </c>
      <c r="E285" s="2311">
        <v>6800</v>
      </c>
      <c r="F285" s="2312">
        <v>40.9</v>
      </c>
      <c r="G285" s="2311">
        <v>9000</v>
      </c>
      <c r="H285" s="3262">
        <v>6232</v>
      </c>
      <c r="I285" s="2314">
        <v>29.4</v>
      </c>
      <c r="J285" s="2311">
        <v>3200</v>
      </c>
      <c r="K285" s="3263">
        <v>1792</v>
      </c>
    </row>
    <row r="286" spans="1:11">
      <c r="A286" s="2202">
        <f t="shared" si="0"/>
        <v>2013.01</v>
      </c>
      <c r="B286" s="2310">
        <v>17000</v>
      </c>
      <c r="C286" s="3261">
        <v>122.4</v>
      </c>
      <c r="D286" s="2314">
        <v>63.8</v>
      </c>
      <c r="E286" s="2311">
        <v>6800</v>
      </c>
      <c r="F286" s="2312">
        <v>43.9</v>
      </c>
      <c r="G286" s="2311">
        <v>9000</v>
      </c>
      <c r="H286" s="3262">
        <v>6471</v>
      </c>
      <c r="I286" s="2314">
        <v>33.799999999999997</v>
      </c>
      <c r="J286" s="2311">
        <v>3200</v>
      </c>
      <c r="K286" s="3263">
        <v>1874</v>
      </c>
    </row>
    <row r="287" spans="1:11">
      <c r="A287" s="2202">
        <f t="shared" si="0"/>
        <v>2013.02</v>
      </c>
      <c r="B287" s="2310">
        <v>16500</v>
      </c>
      <c r="C287" s="3261">
        <v>139.19999999999999</v>
      </c>
      <c r="D287" s="2314">
        <v>72.7</v>
      </c>
      <c r="E287" s="2311">
        <v>6500</v>
      </c>
      <c r="F287" s="2312">
        <v>43</v>
      </c>
      <c r="G287" s="2311">
        <v>9000</v>
      </c>
      <c r="H287" s="3262">
        <v>6863</v>
      </c>
      <c r="I287" s="2314">
        <v>39.700000000000003</v>
      </c>
      <c r="J287" s="2311">
        <v>3000</v>
      </c>
      <c r="K287" s="3263">
        <v>1983</v>
      </c>
    </row>
    <row r="288" spans="1:11">
      <c r="A288" s="2202">
        <f t="shared" si="0"/>
        <v>2013.03</v>
      </c>
      <c r="B288" s="2310">
        <v>16500</v>
      </c>
      <c r="C288" s="3261">
        <v>140.6</v>
      </c>
      <c r="D288" s="2314">
        <v>73.900000000000006</v>
      </c>
      <c r="E288" s="2311">
        <v>6500</v>
      </c>
      <c r="F288" s="2312">
        <v>42</v>
      </c>
      <c r="G288" s="2311">
        <v>9000</v>
      </c>
      <c r="H288" s="3262">
        <v>6720</v>
      </c>
      <c r="I288" s="2314">
        <v>40.299999999999997</v>
      </c>
      <c r="J288" s="2311">
        <v>3000</v>
      </c>
      <c r="K288" s="3263">
        <v>1960</v>
      </c>
    </row>
    <row r="289" spans="1:11">
      <c r="A289" s="2202">
        <f t="shared" si="0"/>
        <v>2013.04</v>
      </c>
      <c r="B289" s="2310">
        <v>16500</v>
      </c>
      <c r="C289" s="3261">
        <v>164.4</v>
      </c>
      <c r="D289" s="2314">
        <v>86.2</v>
      </c>
      <c r="E289" s="2311">
        <v>6500</v>
      </c>
      <c r="F289" s="2312">
        <v>45</v>
      </c>
      <c r="G289" s="2311">
        <v>9000</v>
      </c>
      <c r="H289" s="3262">
        <v>7087</v>
      </c>
      <c r="I289" s="2314">
        <v>47</v>
      </c>
      <c r="J289" s="2311">
        <v>3000</v>
      </c>
      <c r="K289" s="3263">
        <v>2165</v>
      </c>
    </row>
    <row r="290" spans="1:11">
      <c r="A290" s="2202">
        <f t="shared" ref="A290:A355" si="1">A278+1</f>
        <v>2013.05</v>
      </c>
      <c r="B290" s="2310">
        <v>16500</v>
      </c>
      <c r="C290" s="3261">
        <v>176</v>
      </c>
      <c r="D290" s="2314">
        <v>96</v>
      </c>
      <c r="E290" s="2311">
        <v>6500</v>
      </c>
      <c r="F290" s="2312">
        <v>44.6</v>
      </c>
      <c r="G290" s="2311">
        <v>9000</v>
      </c>
      <c r="H290" s="3262">
        <v>8640</v>
      </c>
      <c r="I290" s="2314">
        <v>52.4</v>
      </c>
      <c r="J290" s="2311">
        <v>3000</v>
      </c>
      <c r="K290" s="3263">
        <v>2571</v>
      </c>
    </row>
    <row r="291" spans="1:11">
      <c r="A291" s="2202">
        <f t="shared" si="1"/>
        <v>2013.06</v>
      </c>
      <c r="B291" s="2310">
        <v>16500</v>
      </c>
      <c r="C291" s="3261">
        <v>132.6</v>
      </c>
      <c r="D291" s="2314">
        <v>82.3</v>
      </c>
      <c r="E291" s="2311">
        <v>6500</v>
      </c>
      <c r="F291" s="2312">
        <v>29.3</v>
      </c>
      <c r="G291" s="2311">
        <v>9000</v>
      </c>
      <c r="H291" s="3262">
        <v>7898</v>
      </c>
      <c r="I291" s="2314">
        <v>44.9</v>
      </c>
      <c r="J291" s="2311">
        <v>3000</v>
      </c>
      <c r="K291" s="3263">
        <v>2263</v>
      </c>
    </row>
    <row r="292" spans="1:11">
      <c r="A292" s="2202">
        <f t="shared" si="1"/>
        <v>2013.07</v>
      </c>
      <c r="B292" s="2310">
        <v>15800</v>
      </c>
      <c r="C292" s="3261">
        <v>135.1</v>
      </c>
      <c r="D292" s="2314">
        <v>72.900000000000006</v>
      </c>
      <c r="E292" s="2311">
        <v>6000</v>
      </c>
      <c r="F292" s="2312">
        <v>19.899999999999999</v>
      </c>
      <c r="G292" s="2311">
        <v>8000</v>
      </c>
      <c r="H292" s="3262">
        <v>6360</v>
      </c>
      <c r="I292" s="2314">
        <v>36.9</v>
      </c>
      <c r="J292" s="2311">
        <v>3000</v>
      </c>
      <c r="K292" s="3263">
        <v>2129</v>
      </c>
    </row>
    <row r="293" spans="1:11">
      <c r="A293" s="2202">
        <f t="shared" si="1"/>
        <v>2013.08</v>
      </c>
      <c r="B293" s="2310">
        <v>15800</v>
      </c>
      <c r="C293" s="3261">
        <v>155.1</v>
      </c>
      <c r="D293" s="2314">
        <v>80.8</v>
      </c>
      <c r="E293" s="2311">
        <v>5800</v>
      </c>
      <c r="F293" s="2312">
        <v>20.2</v>
      </c>
      <c r="G293" s="2311">
        <v>7800</v>
      </c>
      <c r="H293" s="3262">
        <v>6531</v>
      </c>
      <c r="I293" s="2314">
        <v>39.9</v>
      </c>
      <c r="J293" s="2311">
        <v>3000</v>
      </c>
      <c r="K293" s="3263">
        <v>2329</v>
      </c>
    </row>
    <row r="294" spans="1:11">
      <c r="A294" s="2202">
        <f t="shared" si="1"/>
        <v>2013.09</v>
      </c>
      <c r="B294" s="2310">
        <v>15000</v>
      </c>
      <c r="C294" s="3261">
        <v>162.69999999999999</v>
      </c>
      <c r="D294" s="2314">
        <v>74.8</v>
      </c>
      <c r="E294" s="2311">
        <v>5500</v>
      </c>
      <c r="F294" s="2312">
        <v>20.3</v>
      </c>
      <c r="G294" s="2311">
        <v>7500</v>
      </c>
      <c r="H294" s="3262">
        <v>6714</v>
      </c>
      <c r="I294" s="2314">
        <v>37.4</v>
      </c>
      <c r="J294" s="2311">
        <v>2800</v>
      </c>
      <c r="K294" s="3263">
        <v>2206</v>
      </c>
    </row>
    <row r="295" spans="1:11">
      <c r="A295" s="2202">
        <f t="shared" si="1"/>
        <v>2013.1</v>
      </c>
      <c r="B295" s="2310">
        <v>15000</v>
      </c>
      <c r="C295" s="3261">
        <v>167.3</v>
      </c>
      <c r="D295" s="2314">
        <v>73.7</v>
      </c>
      <c r="E295" s="2311">
        <v>5500</v>
      </c>
      <c r="F295" s="2312">
        <v>18</v>
      </c>
      <c r="G295" s="2311">
        <v>7500</v>
      </c>
      <c r="H295" s="3262">
        <v>6771</v>
      </c>
      <c r="I295" s="2314">
        <v>36.799999999999997</v>
      </c>
      <c r="J295" s="2311">
        <v>2700</v>
      </c>
      <c r="K295" s="3263">
        <v>2133</v>
      </c>
    </row>
    <row r="296" spans="1:11">
      <c r="A296" s="2202">
        <f t="shared" si="1"/>
        <v>2013.11</v>
      </c>
      <c r="B296" s="2310">
        <v>15000</v>
      </c>
      <c r="C296" s="3261">
        <v>153.6</v>
      </c>
      <c r="D296" s="2314">
        <v>75.2</v>
      </c>
      <c r="E296" s="2311">
        <v>5500</v>
      </c>
      <c r="F296" s="2312">
        <v>16.600000000000001</v>
      </c>
      <c r="G296" s="2311">
        <v>7500</v>
      </c>
      <c r="H296" s="3262">
        <v>6591</v>
      </c>
      <c r="I296" s="2314">
        <v>37.6</v>
      </c>
      <c r="J296" s="2311">
        <v>2700</v>
      </c>
      <c r="K296" s="3263">
        <v>2111</v>
      </c>
    </row>
    <row r="297" spans="1:11">
      <c r="A297" s="2202">
        <f t="shared" si="1"/>
        <v>2013.12</v>
      </c>
      <c r="B297" s="2310">
        <v>15000</v>
      </c>
      <c r="C297" s="3261">
        <v>142</v>
      </c>
      <c r="D297" s="2314">
        <v>65.900000000000006</v>
      </c>
      <c r="E297" s="2311">
        <f t="shared" ref="E297:J297" si="2">(E298+E296)/2</f>
        <v>5500</v>
      </c>
      <c r="F297" s="2312">
        <v>37.4</v>
      </c>
      <c r="G297" s="2311">
        <f t="shared" si="2"/>
        <v>7500</v>
      </c>
      <c r="H297" s="3262">
        <v>5358</v>
      </c>
      <c r="I297" s="2314">
        <v>32.9</v>
      </c>
      <c r="J297" s="2311">
        <f t="shared" si="2"/>
        <v>2700</v>
      </c>
      <c r="K297" s="3263">
        <v>1652</v>
      </c>
    </row>
    <row r="298" spans="1:11">
      <c r="A298" s="2202">
        <f t="shared" si="1"/>
        <v>2014.01</v>
      </c>
      <c r="B298" s="2310">
        <v>15000</v>
      </c>
      <c r="C298" s="3261">
        <v>145.30000000000001</v>
      </c>
      <c r="D298" s="2314">
        <v>72.599999999999994</v>
      </c>
      <c r="E298" s="2311">
        <v>5500</v>
      </c>
      <c r="F298" s="2312">
        <v>38.6</v>
      </c>
      <c r="G298" s="2311">
        <v>7500</v>
      </c>
      <c r="H298" s="3262">
        <v>5913</v>
      </c>
      <c r="I298" s="2314">
        <v>36.299999999999997</v>
      </c>
      <c r="J298" s="2311">
        <v>2700</v>
      </c>
      <c r="K298" s="3263">
        <v>1831</v>
      </c>
    </row>
    <row r="299" spans="1:11">
      <c r="A299" s="2202">
        <f t="shared" si="1"/>
        <v>2014.02</v>
      </c>
      <c r="B299" s="2310">
        <v>15000</v>
      </c>
      <c r="C299" s="3261">
        <v>154.30000000000001</v>
      </c>
      <c r="D299" s="2314">
        <v>71.3</v>
      </c>
      <c r="E299" s="2311">
        <v>5500</v>
      </c>
      <c r="F299" s="2312">
        <v>40.6</v>
      </c>
      <c r="G299" s="2311">
        <v>7500</v>
      </c>
      <c r="H299" s="3262">
        <v>6403</v>
      </c>
      <c r="I299" s="2314">
        <v>35.700000000000003</v>
      </c>
      <c r="J299" s="2311">
        <v>2700</v>
      </c>
      <c r="K299" s="3263">
        <v>2060</v>
      </c>
    </row>
    <row r="300" spans="1:11">
      <c r="A300" s="2202">
        <f t="shared" si="1"/>
        <v>2014.03</v>
      </c>
      <c r="B300" s="2310">
        <v>15000</v>
      </c>
      <c r="C300" s="3261">
        <v>121.7</v>
      </c>
      <c r="D300" s="2314">
        <v>56.5</v>
      </c>
      <c r="E300" s="2311">
        <v>5500</v>
      </c>
      <c r="F300" s="2312">
        <v>32</v>
      </c>
      <c r="G300" s="2311">
        <v>7500</v>
      </c>
      <c r="H300" s="3262">
        <v>5206</v>
      </c>
      <c r="I300" s="2314">
        <v>28.3</v>
      </c>
      <c r="J300" s="2311">
        <v>2700</v>
      </c>
      <c r="K300" s="3263">
        <v>1726</v>
      </c>
    </row>
    <row r="301" spans="1:11">
      <c r="A301" s="2202">
        <f t="shared" si="1"/>
        <v>2014.04</v>
      </c>
      <c r="B301" s="2310">
        <v>15000</v>
      </c>
      <c r="C301" s="3261">
        <v>122.7</v>
      </c>
      <c r="D301" s="2314">
        <v>65.599999999999994</v>
      </c>
      <c r="E301" s="2311">
        <v>5500</v>
      </c>
      <c r="F301" s="2312">
        <v>32.5</v>
      </c>
      <c r="G301" s="2311">
        <v>7500</v>
      </c>
      <c r="H301" s="3262">
        <v>5000</v>
      </c>
      <c r="I301" s="2314">
        <v>32.799999999999997</v>
      </c>
      <c r="J301" s="2311">
        <v>2700</v>
      </c>
      <c r="K301" s="3263">
        <v>1767</v>
      </c>
    </row>
    <row r="302" spans="1:11">
      <c r="A302" s="2202">
        <f t="shared" si="1"/>
        <v>2014.05</v>
      </c>
      <c r="B302" s="2310">
        <v>15000</v>
      </c>
      <c r="C302" s="3261">
        <v>114.7</v>
      </c>
      <c r="D302" s="2314">
        <v>63.8</v>
      </c>
      <c r="E302" s="2311">
        <v>5500</v>
      </c>
      <c r="F302" s="2312">
        <v>30.7</v>
      </c>
      <c r="G302" s="2311">
        <v>7500</v>
      </c>
      <c r="H302" s="3262">
        <v>5275</v>
      </c>
      <c r="I302" s="2314">
        <v>31.9</v>
      </c>
      <c r="J302" s="2311">
        <v>2700</v>
      </c>
      <c r="K302" s="3263">
        <v>1726</v>
      </c>
    </row>
    <row r="303" spans="1:11">
      <c r="A303" s="2202">
        <f t="shared" si="1"/>
        <v>2014.06</v>
      </c>
      <c r="B303" s="2310">
        <v>15000</v>
      </c>
      <c r="C303" s="3261">
        <v>136.80000000000001</v>
      </c>
      <c r="D303" s="2314">
        <v>66</v>
      </c>
      <c r="E303" s="2311">
        <v>5500</v>
      </c>
      <c r="F303" s="2312">
        <v>30.7</v>
      </c>
      <c r="G303" s="2311">
        <v>7500</v>
      </c>
      <c r="H303" s="3262">
        <v>5411</v>
      </c>
      <c r="I303" s="2314">
        <v>33</v>
      </c>
      <c r="J303" s="2311">
        <v>2700</v>
      </c>
      <c r="K303" s="3263">
        <v>1865</v>
      </c>
    </row>
    <row r="304" spans="1:11">
      <c r="A304" s="2202">
        <f t="shared" si="1"/>
        <v>2014.07</v>
      </c>
      <c r="B304" s="2310">
        <v>15000</v>
      </c>
      <c r="C304" s="3261">
        <v>161.30000000000001</v>
      </c>
      <c r="D304" s="2314">
        <v>75.900000000000006</v>
      </c>
      <c r="E304" s="2311">
        <v>5500</v>
      </c>
      <c r="F304" s="2312">
        <v>36.9</v>
      </c>
      <c r="G304" s="2311">
        <v>7500</v>
      </c>
      <c r="H304" s="3262">
        <v>5646</v>
      </c>
      <c r="I304" s="2314">
        <v>38</v>
      </c>
      <c r="J304" s="2311">
        <v>2700</v>
      </c>
      <c r="K304" s="3263">
        <v>1930</v>
      </c>
    </row>
    <row r="305" spans="1:11">
      <c r="A305" s="2202">
        <f t="shared" si="1"/>
        <v>2014.08</v>
      </c>
      <c r="B305" s="2310">
        <v>15000</v>
      </c>
      <c r="C305" s="3261">
        <v>174.5</v>
      </c>
      <c r="D305" s="2314">
        <v>79.3</v>
      </c>
      <c r="E305" s="2311">
        <v>5500</v>
      </c>
      <c r="F305" s="2312">
        <v>45.7</v>
      </c>
      <c r="G305" s="2311">
        <v>7500</v>
      </c>
      <c r="H305" s="3262">
        <v>5424</v>
      </c>
      <c r="I305" s="2314">
        <v>39.700000000000003</v>
      </c>
      <c r="J305" s="2311">
        <v>2700</v>
      </c>
      <c r="K305" s="3263">
        <v>1863</v>
      </c>
    </row>
    <row r="306" spans="1:11">
      <c r="A306" s="2202">
        <f t="shared" si="1"/>
        <v>2014.09</v>
      </c>
      <c r="B306" s="2310">
        <v>15000</v>
      </c>
      <c r="C306" s="3261">
        <v>216.2</v>
      </c>
      <c r="D306" s="2314">
        <v>88.8</v>
      </c>
      <c r="E306" s="2311">
        <v>5500</v>
      </c>
      <c r="F306" s="2312">
        <v>54.6</v>
      </c>
      <c r="G306" s="2311">
        <v>7500</v>
      </c>
      <c r="H306" s="3262">
        <v>5680</v>
      </c>
      <c r="I306" s="2314">
        <v>44.4</v>
      </c>
      <c r="J306" s="2311">
        <v>2700</v>
      </c>
      <c r="K306" s="3263">
        <v>1783</v>
      </c>
    </row>
    <row r="307" spans="1:11">
      <c r="A307" s="2202">
        <f t="shared" si="1"/>
        <v>2014.1</v>
      </c>
      <c r="B307" s="2310">
        <v>15000</v>
      </c>
      <c r="C307" s="3261">
        <v>275.3</v>
      </c>
      <c r="D307" s="2314">
        <v>103.1</v>
      </c>
      <c r="E307" s="2311">
        <v>5500</v>
      </c>
      <c r="F307" s="2312">
        <v>63.6</v>
      </c>
      <c r="G307" s="2311">
        <v>7500</v>
      </c>
      <c r="H307" s="3262">
        <v>6882</v>
      </c>
      <c r="I307" s="2314">
        <v>51.5</v>
      </c>
      <c r="J307" s="2311">
        <v>2700</v>
      </c>
      <c r="K307" s="3263">
        <v>1792</v>
      </c>
    </row>
    <row r="308" spans="1:11">
      <c r="A308" s="2202">
        <f t="shared" si="1"/>
        <v>2014.11</v>
      </c>
      <c r="B308" s="2310">
        <v>15000</v>
      </c>
      <c r="C308" s="3261">
        <v>200.5</v>
      </c>
      <c r="D308" s="2314">
        <v>83.7</v>
      </c>
      <c r="E308" s="2311">
        <v>5500</v>
      </c>
      <c r="F308" s="2312">
        <v>59.3</v>
      </c>
      <c r="G308" s="2311">
        <v>7500</v>
      </c>
      <c r="H308" s="3262">
        <v>6132</v>
      </c>
      <c r="I308" s="2314">
        <v>41.9</v>
      </c>
      <c r="J308" s="2311">
        <v>2700</v>
      </c>
      <c r="K308" s="3263">
        <v>1597</v>
      </c>
    </row>
    <row r="309" spans="1:11">
      <c r="A309" s="2202">
        <f t="shared" si="1"/>
        <v>2014.12</v>
      </c>
      <c r="B309" s="2310">
        <v>15000</v>
      </c>
      <c r="C309" s="3261">
        <v>183.6</v>
      </c>
      <c r="D309" s="2314">
        <v>81.900000000000006</v>
      </c>
      <c r="E309" s="2311">
        <v>5500</v>
      </c>
      <c r="F309" s="2312">
        <v>64.900000000000006</v>
      </c>
      <c r="G309" s="2311">
        <v>7500</v>
      </c>
      <c r="H309" s="3262">
        <v>5955</v>
      </c>
      <c r="I309" s="2314">
        <v>40.9</v>
      </c>
      <c r="J309" s="2311">
        <v>2700</v>
      </c>
      <c r="K309" s="3263">
        <v>1505</v>
      </c>
    </row>
    <row r="310" spans="1:11">
      <c r="A310" s="2202">
        <f t="shared" si="1"/>
        <v>2015.01</v>
      </c>
      <c r="B310" s="2310">
        <v>15000</v>
      </c>
      <c r="C310" s="3261">
        <v>209.4</v>
      </c>
      <c r="D310" s="2314">
        <v>82.5</v>
      </c>
      <c r="E310" s="2311">
        <v>5500</v>
      </c>
      <c r="F310" s="2312">
        <v>70</v>
      </c>
      <c r="G310" s="2311">
        <v>7500</v>
      </c>
      <c r="H310" s="3262">
        <v>6066</v>
      </c>
      <c r="I310" s="2314">
        <v>41.3</v>
      </c>
      <c r="J310" s="2311">
        <v>2700</v>
      </c>
      <c r="K310" s="3263">
        <v>1614</v>
      </c>
    </row>
    <row r="311" spans="1:11">
      <c r="A311" s="2202">
        <f t="shared" si="1"/>
        <v>2015.02</v>
      </c>
      <c r="B311" s="2310">
        <v>15000</v>
      </c>
      <c r="C311" s="3261">
        <v>200.7</v>
      </c>
      <c r="D311" s="2314">
        <v>86.9</v>
      </c>
      <c r="E311" s="2311">
        <v>5500</v>
      </c>
      <c r="F311" s="2312">
        <v>65.400000000000006</v>
      </c>
      <c r="G311" s="2311">
        <v>7500</v>
      </c>
      <c r="H311" s="3262">
        <v>6175</v>
      </c>
      <c r="I311" s="2314">
        <v>43.4</v>
      </c>
      <c r="J311" s="2311">
        <v>2700</v>
      </c>
      <c r="K311" s="3263">
        <v>1571</v>
      </c>
    </row>
    <row r="312" spans="1:11">
      <c r="A312" s="2202">
        <f t="shared" si="1"/>
        <v>2015.03</v>
      </c>
      <c r="B312" s="2310">
        <v>15000</v>
      </c>
      <c r="C312" s="3261">
        <v>205.3</v>
      </c>
      <c r="D312" s="2314">
        <v>86.7</v>
      </c>
      <c r="E312" s="2311">
        <v>5500</v>
      </c>
      <c r="F312" s="2312">
        <v>71.5</v>
      </c>
      <c r="G312" s="2311">
        <v>7500</v>
      </c>
      <c r="H312" s="3262">
        <v>5735</v>
      </c>
      <c r="I312" s="2314">
        <v>43.3</v>
      </c>
      <c r="J312" s="2311">
        <v>2700</v>
      </c>
      <c r="K312" s="3263">
        <v>1494</v>
      </c>
    </row>
    <row r="313" spans="1:11">
      <c r="A313" s="2202">
        <f t="shared" si="1"/>
        <v>2015.04</v>
      </c>
      <c r="B313" s="2310">
        <v>15000</v>
      </c>
      <c r="C313" s="3261">
        <v>200.3</v>
      </c>
      <c r="D313" s="2314">
        <v>98</v>
      </c>
      <c r="E313" s="2311">
        <v>5500</v>
      </c>
      <c r="F313" s="2312">
        <v>74.2</v>
      </c>
      <c r="G313" s="2311">
        <v>7500</v>
      </c>
      <c r="H313" s="3262">
        <v>5229</v>
      </c>
      <c r="I313" s="2314">
        <v>49</v>
      </c>
      <c r="J313" s="2311">
        <v>2700</v>
      </c>
      <c r="K313" s="3263">
        <v>1473</v>
      </c>
    </row>
    <row r="314" spans="1:11">
      <c r="A314" s="2202">
        <f t="shared" si="1"/>
        <v>2015.05</v>
      </c>
      <c r="B314" s="2310">
        <v>15000</v>
      </c>
      <c r="C314" s="3261">
        <v>196.4</v>
      </c>
      <c r="D314" s="2314">
        <v>101.9</v>
      </c>
      <c r="E314" s="2311">
        <v>5500</v>
      </c>
      <c r="F314" s="2312">
        <v>72</v>
      </c>
      <c r="G314" s="2311">
        <v>7500</v>
      </c>
      <c r="H314" s="3262">
        <v>5687</v>
      </c>
      <c r="I314" s="2314">
        <v>50.9</v>
      </c>
      <c r="J314" s="2311">
        <v>2700</v>
      </c>
      <c r="K314" s="3263">
        <v>1559</v>
      </c>
    </row>
    <row r="315" spans="1:11">
      <c r="A315" s="2202">
        <f t="shared" si="1"/>
        <v>2015.06</v>
      </c>
      <c r="B315" s="2310">
        <v>15000</v>
      </c>
      <c r="C315" s="3261">
        <v>197.7</v>
      </c>
      <c r="D315" s="2314">
        <v>103.7</v>
      </c>
      <c r="E315" s="2311">
        <v>5500</v>
      </c>
      <c r="F315" s="2312">
        <v>68.5</v>
      </c>
      <c r="G315" s="2311">
        <v>7500</v>
      </c>
      <c r="H315" s="3262">
        <v>5484</v>
      </c>
      <c r="I315" s="2314">
        <v>51.8</v>
      </c>
      <c r="J315" s="2311">
        <v>2700</v>
      </c>
      <c r="K315" s="3263">
        <v>1518</v>
      </c>
    </row>
    <row r="316" spans="1:11">
      <c r="A316" s="2202">
        <f t="shared" si="1"/>
        <v>2015.07</v>
      </c>
      <c r="B316" s="2310">
        <v>15000</v>
      </c>
      <c r="C316" s="3261">
        <v>220.9</v>
      </c>
      <c r="D316" s="2314">
        <v>103.7</v>
      </c>
      <c r="E316" s="2311">
        <v>5500</v>
      </c>
      <c r="F316" s="2312">
        <v>74.5</v>
      </c>
      <c r="G316" s="2311">
        <v>7500</v>
      </c>
      <c r="H316" s="3262">
        <v>5553</v>
      </c>
      <c r="I316" s="2314">
        <v>51.8</v>
      </c>
      <c r="J316" s="2311">
        <v>2700</v>
      </c>
      <c r="K316" s="3263">
        <v>1557</v>
      </c>
    </row>
    <row r="317" spans="1:11">
      <c r="A317" s="2202">
        <f t="shared" si="1"/>
        <v>2015.08</v>
      </c>
      <c r="B317" s="2310">
        <v>15000</v>
      </c>
      <c r="C317" s="3261">
        <v>253.4</v>
      </c>
      <c r="D317" s="2314">
        <v>107.6</v>
      </c>
      <c r="E317" s="2311">
        <v>5500</v>
      </c>
      <c r="F317" s="2312">
        <v>82.5</v>
      </c>
      <c r="G317" s="2311">
        <v>7500</v>
      </c>
      <c r="H317" s="3262">
        <v>5959</v>
      </c>
      <c r="I317" s="2314">
        <v>53.8</v>
      </c>
      <c r="J317" s="2311">
        <v>2700</v>
      </c>
      <c r="K317" s="3263">
        <v>1588</v>
      </c>
    </row>
    <row r="318" spans="1:11">
      <c r="A318" s="2202">
        <f t="shared" si="1"/>
        <v>2015.09</v>
      </c>
      <c r="B318" s="2310">
        <v>15000</v>
      </c>
      <c r="C318" s="3261">
        <v>250.4</v>
      </c>
      <c r="D318" s="2314">
        <v>107.7</v>
      </c>
      <c r="E318" s="2311">
        <v>5500</v>
      </c>
      <c r="F318" s="2312">
        <v>82.8</v>
      </c>
      <c r="G318" s="2311">
        <v>7500</v>
      </c>
      <c r="H318" s="3262">
        <v>5938</v>
      </c>
      <c r="I318" s="2314">
        <v>53.9</v>
      </c>
      <c r="J318" s="2311">
        <v>2700</v>
      </c>
      <c r="K318" s="3263">
        <v>1635</v>
      </c>
    </row>
    <row r="319" spans="1:11">
      <c r="A319" s="2202">
        <f t="shared" si="1"/>
        <v>2015.1</v>
      </c>
      <c r="B319" s="2310">
        <v>15000</v>
      </c>
      <c r="C319" s="3261">
        <v>238.2</v>
      </c>
      <c r="D319" s="2314">
        <v>111.8</v>
      </c>
      <c r="E319" s="2311">
        <v>5500</v>
      </c>
      <c r="F319" s="2312">
        <v>87.3</v>
      </c>
      <c r="G319" s="2311">
        <v>7500</v>
      </c>
      <c r="H319" s="3262">
        <v>5955</v>
      </c>
      <c r="I319" s="2314">
        <v>55.9</v>
      </c>
      <c r="J319" s="2311">
        <v>2700</v>
      </c>
      <c r="K319" s="3263">
        <v>1588</v>
      </c>
    </row>
    <row r="320" spans="1:11">
      <c r="A320" s="2202">
        <f t="shared" si="1"/>
        <v>2015.11</v>
      </c>
      <c r="B320" s="2310">
        <v>15000</v>
      </c>
      <c r="C320" s="3261">
        <v>200</v>
      </c>
      <c r="D320" s="2314">
        <v>102.2</v>
      </c>
      <c r="E320" s="2311">
        <v>5500</v>
      </c>
      <c r="F320" s="2312">
        <v>78.400000000000006</v>
      </c>
      <c r="G320" s="2311">
        <v>7500</v>
      </c>
      <c r="H320" s="3262">
        <v>5876</v>
      </c>
      <c r="I320" s="2314">
        <v>51.1</v>
      </c>
      <c r="J320" s="2311">
        <v>2700</v>
      </c>
      <c r="K320" s="3263">
        <v>1511</v>
      </c>
    </row>
    <row r="321" spans="1:11">
      <c r="A321" s="2202">
        <f t="shared" si="1"/>
        <v>2015.12</v>
      </c>
      <c r="B321" s="2310">
        <v>15000</v>
      </c>
      <c r="C321" s="3261">
        <v>157.5</v>
      </c>
      <c r="D321" s="2314">
        <v>83.6</v>
      </c>
      <c r="E321" s="2311">
        <v>5500</v>
      </c>
      <c r="F321" s="2312">
        <v>56.9</v>
      </c>
      <c r="G321" s="2311">
        <v>7500</v>
      </c>
      <c r="H321" s="3262">
        <v>3684</v>
      </c>
      <c r="I321" s="2314">
        <v>41.8</v>
      </c>
      <c r="J321" s="2311">
        <v>2700</v>
      </c>
      <c r="K321" s="3263">
        <v>1118</v>
      </c>
    </row>
    <row r="322" spans="1:11">
      <c r="A322" s="2202">
        <f t="shared" si="1"/>
        <v>2016.01</v>
      </c>
      <c r="B322" s="2310">
        <v>15000</v>
      </c>
      <c r="C322" s="3261">
        <v>112.6</v>
      </c>
      <c r="D322" s="2314">
        <v>69.900000000000006</v>
      </c>
      <c r="E322" s="2311">
        <v>5500</v>
      </c>
      <c r="F322" s="2312">
        <v>42.7</v>
      </c>
      <c r="G322" s="2311">
        <v>7500</v>
      </c>
      <c r="H322" s="3262">
        <v>3824</v>
      </c>
      <c r="I322" s="2314">
        <v>34.9</v>
      </c>
      <c r="J322" s="2311">
        <v>2700</v>
      </c>
      <c r="K322" s="3263">
        <v>1057</v>
      </c>
    </row>
    <row r="323" spans="1:11">
      <c r="A323" s="2202">
        <f t="shared" si="1"/>
        <v>2016.02</v>
      </c>
      <c r="B323" s="2310">
        <v>15000</v>
      </c>
      <c r="C323" s="3261">
        <v>104</v>
      </c>
      <c r="D323" s="2314">
        <v>64.7</v>
      </c>
      <c r="E323" s="2311">
        <v>5500</v>
      </c>
      <c r="F323" s="2312">
        <v>39.9</v>
      </c>
      <c r="G323" s="2311">
        <v>7500</v>
      </c>
      <c r="H323" s="3262">
        <v>4601</v>
      </c>
      <c r="I323" s="2314">
        <v>32.299999999999997</v>
      </c>
      <c r="J323" s="2311">
        <v>2700</v>
      </c>
      <c r="K323" s="3263">
        <v>1305</v>
      </c>
    </row>
    <row r="324" spans="1:11">
      <c r="A324" s="2202">
        <f t="shared" si="1"/>
        <v>2016.03</v>
      </c>
      <c r="B324" s="2310">
        <v>15000</v>
      </c>
      <c r="C324" s="3261">
        <v>104</v>
      </c>
      <c r="D324" s="2314">
        <v>64.7</v>
      </c>
      <c r="E324" s="2311">
        <v>5500</v>
      </c>
      <c r="F324" s="2312">
        <v>39.9</v>
      </c>
      <c r="G324" s="2311">
        <v>7500</v>
      </c>
      <c r="H324" s="3262">
        <v>4601</v>
      </c>
      <c r="I324" s="2314">
        <v>32.299999999999997</v>
      </c>
      <c r="J324" s="2311">
        <v>2700</v>
      </c>
      <c r="K324" s="3263">
        <v>1305</v>
      </c>
    </row>
    <row r="325" spans="1:11">
      <c r="A325" s="2202">
        <f t="shared" si="1"/>
        <v>2016.04</v>
      </c>
      <c r="B325" s="2310">
        <v>15000</v>
      </c>
      <c r="C325" s="3261">
        <v>107.1</v>
      </c>
      <c r="D325" s="2314">
        <v>70.5</v>
      </c>
      <c r="E325" s="2311">
        <v>5500</v>
      </c>
      <c r="F325" s="2312">
        <v>38.4</v>
      </c>
      <c r="G325" s="2311">
        <v>7500</v>
      </c>
      <c r="H325" s="3262">
        <v>4018</v>
      </c>
      <c r="I325" s="2314">
        <v>35.299999999999997</v>
      </c>
      <c r="J325" s="2311">
        <v>2700</v>
      </c>
      <c r="K325" s="3263">
        <v>1227</v>
      </c>
    </row>
    <row r="326" spans="1:11">
      <c r="A326" s="2202">
        <f t="shared" si="1"/>
        <v>2016.05</v>
      </c>
      <c r="B326" s="2310">
        <v>15000</v>
      </c>
      <c r="C326" s="3261">
        <v>77.900000000000006</v>
      </c>
      <c r="D326" s="2314">
        <v>60.6</v>
      </c>
      <c r="E326" s="2311">
        <v>5600</v>
      </c>
      <c r="F326" s="2312">
        <v>36.200000000000003</v>
      </c>
      <c r="G326" s="2311">
        <v>7500</v>
      </c>
      <c r="H326" s="3262">
        <v>3826</v>
      </c>
      <c r="I326" s="2314">
        <v>30.3</v>
      </c>
      <c r="J326" s="2311">
        <v>2850</v>
      </c>
      <c r="K326" s="3263">
        <v>1256</v>
      </c>
    </row>
    <row r="327" spans="1:11">
      <c r="A327" s="2202">
        <f t="shared" si="1"/>
        <v>2016.06</v>
      </c>
      <c r="B327" s="2310">
        <v>15000</v>
      </c>
      <c r="C327" s="3261">
        <v>76.400000000000006</v>
      </c>
      <c r="D327" s="2314">
        <v>53.5</v>
      </c>
      <c r="E327" s="2311">
        <v>5600</v>
      </c>
      <c r="F327" s="2312">
        <v>30.7</v>
      </c>
      <c r="G327" s="2311">
        <v>7500</v>
      </c>
      <c r="H327" s="3262">
        <v>3628</v>
      </c>
      <c r="I327" s="2314">
        <v>26.8</v>
      </c>
      <c r="J327" s="2311">
        <v>2850</v>
      </c>
      <c r="K327" s="3263">
        <v>1214</v>
      </c>
    </row>
    <row r="328" spans="1:11">
      <c r="A328" s="2202">
        <f t="shared" si="1"/>
        <v>2016.07</v>
      </c>
      <c r="B328" s="2310">
        <v>15000</v>
      </c>
      <c r="C328" s="3261">
        <v>76.7</v>
      </c>
      <c r="D328" s="2314">
        <v>51.1</v>
      </c>
      <c r="E328" s="2311">
        <v>5600</v>
      </c>
      <c r="F328" s="2312">
        <v>34.4</v>
      </c>
      <c r="G328" s="2311">
        <v>7500</v>
      </c>
      <c r="H328" s="3262">
        <v>3772</v>
      </c>
      <c r="I328" s="2314">
        <v>25.6</v>
      </c>
      <c r="J328" s="2311">
        <v>2850</v>
      </c>
      <c r="K328" s="3263">
        <v>1286</v>
      </c>
    </row>
    <row r="329" spans="1:11">
      <c r="A329" s="2202">
        <f t="shared" si="1"/>
        <v>2016.08</v>
      </c>
      <c r="B329" s="2310">
        <v>15000</v>
      </c>
      <c r="C329" s="3261">
        <v>86.4</v>
      </c>
      <c r="D329" s="2314">
        <v>56.9</v>
      </c>
      <c r="E329" s="2311">
        <v>5600</v>
      </c>
      <c r="F329" s="2312">
        <v>36.4</v>
      </c>
      <c r="G329" s="2311">
        <v>7500</v>
      </c>
      <c r="H329" s="3262">
        <v>3752</v>
      </c>
      <c r="I329" s="2314">
        <v>28.4</v>
      </c>
      <c r="J329" s="2311">
        <v>2850</v>
      </c>
      <c r="K329" s="3263">
        <v>1243</v>
      </c>
    </row>
    <row r="330" spans="1:11">
      <c r="A330" s="2202">
        <f t="shared" si="1"/>
        <v>2016.09</v>
      </c>
      <c r="B330" s="2310">
        <v>15000</v>
      </c>
      <c r="C330" s="3261">
        <v>97.1</v>
      </c>
      <c r="D330" s="2314">
        <v>59.5</v>
      </c>
      <c r="E330" s="2311">
        <v>5600</v>
      </c>
      <c r="F330" s="2312">
        <v>41.7</v>
      </c>
      <c r="G330" s="2311">
        <v>7500</v>
      </c>
      <c r="H330" s="3262">
        <v>3925</v>
      </c>
      <c r="I330" s="2314">
        <v>29.8</v>
      </c>
      <c r="J330" s="2311">
        <v>2850</v>
      </c>
      <c r="K330" s="3263">
        <v>1227</v>
      </c>
    </row>
    <row r="331" spans="1:11">
      <c r="A331" s="2202">
        <f t="shared" si="1"/>
        <v>2016.1</v>
      </c>
      <c r="B331" s="2310">
        <v>15000</v>
      </c>
      <c r="C331" s="3261">
        <v>96.6</v>
      </c>
      <c r="D331" s="2314">
        <v>57.9</v>
      </c>
      <c r="E331" s="2311">
        <v>5600</v>
      </c>
      <c r="F331" s="2312">
        <v>41.2</v>
      </c>
      <c r="G331" s="2311">
        <v>7500</v>
      </c>
      <c r="H331" s="3262">
        <v>3863</v>
      </c>
      <c r="I331" s="2314">
        <v>29</v>
      </c>
      <c r="J331" s="2311">
        <v>2850</v>
      </c>
      <c r="K331" s="3263">
        <v>1159</v>
      </c>
    </row>
    <row r="332" spans="1:11">
      <c r="A332" s="2202">
        <f t="shared" si="1"/>
        <v>2016.11</v>
      </c>
      <c r="B332" s="2310">
        <v>15500</v>
      </c>
      <c r="C332" s="3261">
        <v>95.2</v>
      </c>
      <c r="D332" s="2314">
        <v>58.3</v>
      </c>
      <c r="E332" s="2311">
        <v>5800</v>
      </c>
      <c r="F332" s="2312">
        <v>39.6</v>
      </c>
      <c r="G332" s="2311">
        <v>7500</v>
      </c>
      <c r="H332" s="3262">
        <v>3838</v>
      </c>
      <c r="I332" s="2314">
        <v>28.2</v>
      </c>
      <c r="J332" s="2311">
        <v>3000</v>
      </c>
      <c r="K332" s="3263">
        <v>1212</v>
      </c>
    </row>
    <row r="333" spans="1:11">
      <c r="A333" s="2202">
        <f t="shared" si="1"/>
        <v>2016.12</v>
      </c>
      <c r="B333" s="2310">
        <v>15500</v>
      </c>
      <c r="C333" s="3261">
        <v>99.1</v>
      </c>
      <c r="D333" s="2314">
        <v>60.4</v>
      </c>
      <c r="E333" s="2311">
        <v>5800</v>
      </c>
      <c r="F333" s="2312">
        <v>42.5</v>
      </c>
      <c r="G333" s="2311">
        <v>7500</v>
      </c>
      <c r="H333" s="3262">
        <v>4394</v>
      </c>
      <c r="I333" s="2314">
        <v>29.2</v>
      </c>
      <c r="J333" s="2311">
        <v>3000</v>
      </c>
      <c r="K333" s="3263">
        <v>1324</v>
      </c>
    </row>
    <row r="334" spans="1:11">
      <c r="A334" s="2202">
        <f t="shared" si="1"/>
        <v>2017.01</v>
      </c>
      <c r="B334" s="2310">
        <v>15500</v>
      </c>
      <c r="C334" s="3261">
        <v>96.6</v>
      </c>
      <c r="D334" s="2314">
        <v>59.8</v>
      </c>
      <c r="E334" s="2311">
        <v>5800</v>
      </c>
      <c r="F334" s="2312">
        <v>38.4</v>
      </c>
      <c r="G334" s="2311">
        <v>7500</v>
      </c>
      <c r="H334" s="3262">
        <v>4500</v>
      </c>
      <c r="I334" s="2314">
        <v>28.9</v>
      </c>
      <c r="J334" s="2311">
        <v>3000</v>
      </c>
      <c r="K334" s="3263">
        <v>1369</v>
      </c>
    </row>
    <row r="335" spans="1:11">
      <c r="A335" s="2202">
        <f t="shared" si="1"/>
        <v>2017.02</v>
      </c>
      <c r="B335" s="2310">
        <v>15500</v>
      </c>
      <c r="C335" s="3261">
        <v>106.3</v>
      </c>
      <c r="D335" s="2314">
        <v>59.5</v>
      </c>
      <c r="E335" s="2311">
        <v>5800</v>
      </c>
      <c r="F335" s="2312">
        <v>36</v>
      </c>
      <c r="G335" s="2311">
        <v>7500</v>
      </c>
      <c r="H335" s="3262">
        <v>4318</v>
      </c>
      <c r="I335" s="2314">
        <v>28.8</v>
      </c>
      <c r="J335" s="2311">
        <v>3000</v>
      </c>
      <c r="K335" s="3263">
        <v>1422</v>
      </c>
    </row>
    <row r="336" spans="1:11">
      <c r="A336" s="2202">
        <f t="shared" si="1"/>
        <v>2017.03</v>
      </c>
      <c r="B336" s="2310">
        <v>15500</v>
      </c>
      <c r="C336" s="3261">
        <v>101.8</v>
      </c>
      <c r="D336" s="2314">
        <v>61.1</v>
      </c>
      <c r="E336" s="2311">
        <v>5800</v>
      </c>
      <c r="F336" s="2312">
        <v>36.6</v>
      </c>
      <c r="G336" s="2311">
        <v>7500</v>
      </c>
      <c r="H336" s="3262">
        <v>4078</v>
      </c>
      <c r="I336" s="2314">
        <v>29.6</v>
      </c>
      <c r="J336" s="2311">
        <v>3000</v>
      </c>
      <c r="K336" s="3263">
        <v>1352</v>
      </c>
    </row>
    <row r="337" spans="1:11">
      <c r="A337" s="2202">
        <f t="shared" si="1"/>
        <v>2017.04</v>
      </c>
      <c r="B337" s="2310">
        <v>15500</v>
      </c>
      <c r="C337" s="3261">
        <v>105.9</v>
      </c>
      <c r="D337" s="2314">
        <v>70.599999999999994</v>
      </c>
      <c r="E337" s="2311">
        <v>5800</v>
      </c>
      <c r="F337" s="2312">
        <v>38</v>
      </c>
      <c r="G337" s="2311">
        <v>7500</v>
      </c>
      <c r="H337" s="3262">
        <v>3928</v>
      </c>
      <c r="I337" s="2314">
        <v>34.200000000000003</v>
      </c>
      <c r="J337" s="2311">
        <v>3000</v>
      </c>
      <c r="K337" s="3263">
        <v>1309</v>
      </c>
    </row>
    <row r="338" spans="1:11">
      <c r="A338" s="2202">
        <f t="shared" si="1"/>
        <v>2017.05</v>
      </c>
      <c r="B338" s="2310">
        <v>15800</v>
      </c>
      <c r="C338" s="3261">
        <v>107.4</v>
      </c>
      <c r="D338" s="2314">
        <v>68.599999999999994</v>
      </c>
      <c r="E338" s="2311">
        <v>5800</v>
      </c>
      <c r="F338" s="2312">
        <v>36.299999999999997</v>
      </c>
      <c r="G338" s="2311">
        <v>7500</v>
      </c>
      <c r="H338" s="3262">
        <v>3724</v>
      </c>
      <c r="I338" s="2314">
        <v>32.6</v>
      </c>
      <c r="J338" s="2311">
        <v>3000</v>
      </c>
      <c r="K338" s="3263">
        <v>1285</v>
      </c>
    </row>
    <row r="339" spans="1:11">
      <c r="A339" s="2202">
        <f t="shared" si="1"/>
        <v>2017.06</v>
      </c>
      <c r="B339" s="2310">
        <v>15800</v>
      </c>
      <c r="C339" s="3261">
        <v>109.8</v>
      </c>
      <c r="D339" s="2314">
        <v>67</v>
      </c>
      <c r="E339" s="2311">
        <v>5800</v>
      </c>
      <c r="F339" s="2312">
        <v>36</v>
      </c>
      <c r="G339" s="2311">
        <v>7500</v>
      </c>
      <c r="H339" s="3262">
        <v>3951</v>
      </c>
      <c r="I339" s="2314">
        <v>31.8</v>
      </c>
      <c r="J339" s="2311">
        <v>3000</v>
      </c>
      <c r="K339" s="3263">
        <v>1324</v>
      </c>
    </row>
    <row r="340" spans="1:11">
      <c r="A340" s="2202">
        <f t="shared" si="1"/>
        <v>2017.07</v>
      </c>
      <c r="B340" s="2310">
        <v>15900</v>
      </c>
      <c r="C340" s="3261">
        <v>115.2</v>
      </c>
      <c r="D340" s="2314">
        <v>68.599999999999994</v>
      </c>
      <c r="E340" s="2311">
        <v>5800</v>
      </c>
      <c r="F340" s="2312">
        <v>36.9</v>
      </c>
      <c r="G340" s="2311">
        <v>7500</v>
      </c>
      <c r="H340" s="3262">
        <v>4055</v>
      </c>
      <c r="I340" s="2314">
        <v>32.299999999999997</v>
      </c>
      <c r="J340" s="2311">
        <v>3000</v>
      </c>
      <c r="K340" s="3263">
        <v>1381</v>
      </c>
    </row>
    <row r="341" spans="1:11">
      <c r="A341" s="2202">
        <f t="shared" si="1"/>
        <v>2017.08</v>
      </c>
      <c r="B341" s="2310">
        <v>15900</v>
      </c>
      <c r="C341" s="3261">
        <v>120.4</v>
      </c>
      <c r="D341" s="2314">
        <v>67.7</v>
      </c>
      <c r="E341" s="2311">
        <v>5800</v>
      </c>
      <c r="F341" s="2312">
        <v>35.700000000000003</v>
      </c>
      <c r="G341" s="2311">
        <v>7500</v>
      </c>
      <c r="H341" s="3262">
        <v>4188</v>
      </c>
      <c r="I341" s="2314">
        <v>31.9</v>
      </c>
      <c r="J341" s="2311">
        <v>3000</v>
      </c>
      <c r="K341" s="3263">
        <v>1375</v>
      </c>
    </row>
    <row r="342" spans="1:11">
      <c r="A342" s="2202">
        <f t="shared" si="1"/>
        <v>2017.09</v>
      </c>
      <c r="B342" s="2310">
        <v>15900</v>
      </c>
      <c r="C342" s="3261">
        <v>120.6</v>
      </c>
      <c r="D342" s="2314">
        <v>64.599999999999994</v>
      </c>
      <c r="E342" s="2311">
        <v>5800</v>
      </c>
      <c r="F342" s="2312">
        <v>38.299999999999997</v>
      </c>
      <c r="G342" s="2311">
        <v>7500</v>
      </c>
      <c r="H342" s="3262">
        <v>3922</v>
      </c>
      <c r="I342" s="2314">
        <v>30.5</v>
      </c>
      <c r="J342" s="2311">
        <v>3000</v>
      </c>
      <c r="K342" s="3263">
        <v>1314</v>
      </c>
    </row>
    <row r="343" spans="1:11">
      <c r="A343" s="2202">
        <f t="shared" si="1"/>
        <v>2017.1</v>
      </c>
      <c r="B343" s="2310">
        <v>15900</v>
      </c>
      <c r="C343" s="3261">
        <v>117.3</v>
      </c>
      <c r="D343" s="2314">
        <v>64.3</v>
      </c>
      <c r="E343" s="2311">
        <v>5800</v>
      </c>
      <c r="F343" s="2312">
        <v>36</v>
      </c>
      <c r="G343" s="2311">
        <v>7500</v>
      </c>
      <c r="H343" s="3262">
        <v>3907</v>
      </c>
      <c r="I343" s="2314">
        <v>30.3</v>
      </c>
      <c r="J343" s="2311">
        <v>3000</v>
      </c>
      <c r="K343" s="3263">
        <v>1265</v>
      </c>
    </row>
    <row r="344" spans="1:11">
      <c r="A344" s="2202">
        <f t="shared" si="1"/>
        <v>2017.11</v>
      </c>
      <c r="B344" s="2310">
        <v>15900</v>
      </c>
      <c r="C344" s="3261">
        <v>121.3</v>
      </c>
      <c r="D344" s="2314">
        <v>64.099999999999994</v>
      </c>
      <c r="E344" s="2311">
        <v>5800</v>
      </c>
      <c r="F344" s="2312">
        <v>36.5</v>
      </c>
      <c r="G344" s="2311">
        <v>7500</v>
      </c>
      <c r="H344" s="3262">
        <v>4138</v>
      </c>
      <c r="I344" s="2314">
        <v>30.2</v>
      </c>
      <c r="J344" s="2311">
        <v>3000</v>
      </c>
      <c r="K344" s="3263">
        <v>1281</v>
      </c>
    </row>
    <row r="345" spans="1:11">
      <c r="A345" s="2202">
        <f t="shared" si="1"/>
        <v>2017.12</v>
      </c>
      <c r="B345" s="2310">
        <v>15900</v>
      </c>
      <c r="C345" s="3261">
        <v>111.8</v>
      </c>
      <c r="D345" s="2314">
        <v>61.4</v>
      </c>
      <c r="E345" s="2311">
        <v>5800</v>
      </c>
      <c r="F345" s="2312">
        <v>40</v>
      </c>
      <c r="G345" s="2311">
        <v>7500</v>
      </c>
      <c r="H345" s="3262">
        <v>3995</v>
      </c>
      <c r="I345" s="2314">
        <v>29</v>
      </c>
      <c r="J345" s="2311">
        <v>3000</v>
      </c>
      <c r="K345" s="3263">
        <v>1199</v>
      </c>
    </row>
    <row r="346" spans="1:11">
      <c r="A346" s="2202">
        <f t="shared" si="1"/>
        <v>2018.01</v>
      </c>
      <c r="B346" s="2310">
        <v>15900</v>
      </c>
      <c r="C346" s="3261">
        <v>110.5</v>
      </c>
      <c r="D346" s="2314">
        <v>63.5</v>
      </c>
      <c r="E346" s="2311">
        <v>5800</v>
      </c>
      <c r="F346" s="2312">
        <v>36.299999999999997</v>
      </c>
      <c r="G346" s="2311">
        <v>7500</v>
      </c>
      <c r="H346" s="3262">
        <v>4397</v>
      </c>
      <c r="I346" s="2314">
        <v>29.9</v>
      </c>
      <c r="J346" s="2311">
        <v>3000</v>
      </c>
      <c r="K346" s="3263">
        <v>1340</v>
      </c>
    </row>
    <row r="347" spans="1:11">
      <c r="A347" s="2202">
        <f t="shared" si="1"/>
        <v>2018.02</v>
      </c>
      <c r="B347" s="2310">
        <v>15900</v>
      </c>
      <c r="C347" s="3261">
        <v>101.3</v>
      </c>
      <c r="D347" s="2314">
        <v>58.7</v>
      </c>
      <c r="E347" s="2311">
        <v>5800</v>
      </c>
      <c r="F347" s="2312">
        <v>34.200000000000003</v>
      </c>
      <c r="G347" s="2311">
        <v>7500</v>
      </c>
      <c r="H347" s="3262">
        <v>4359</v>
      </c>
      <c r="I347" s="2314">
        <v>27.7</v>
      </c>
      <c r="J347" s="2311">
        <v>3000</v>
      </c>
      <c r="K347" s="3263">
        <v>1411</v>
      </c>
    </row>
    <row r="348" spans="1:11">
      <c r="A348" s="2202">
        <f t="shared" si="1"/>
        <v>2018.03</v>
      </c>
      <c r="B348" s="2310">
        <v>15900</v>
      </c>
      <c r="C348" s="3261">
        <v>93</v>
      </c>
      <c r="D348" s="2314">
        <v>51.7</v>
      </c>
      <c r="E348" s="2311">
        <v>5800</v>
      </c>
      <c r="F348" s="2312">
        <v>32.1</v>
      </c>
      <c r="G348" s="2311">
        <v>7500</v>
      </c>
      <c r="H348" s="3262">
        <v>4652</v>
      </c>
      <c r="I348" s="2314">
        <v>24.4</v>
      </c>
      <c r="J348" s="2311">
        <v>3000</v>
      </c>
      <c r="K348" s="3263">
        <v>1462</v>
      </c>
    </row>
    <row r="349" spans="1:11">
      <c r="A349" s="2202">
        <f t="shared" si="1"/>
        <v>2018.04</v>
      </c>
      <c r="B349" s="2310">
        <v>15900</v>
      </c>
      <c r="C349" s="3261">
        <v>94.2</v>
      </c>
      <c r="D349" s="2314">
        <v>53.7</v>
      </c>
      <c r="E349" s="2311">
        <v>5800</v>
      </c>
      <c r="F349" s="2312">
        <v>30</v>
      </c>
      <c r="G349" s="2311">
        <v>7500</v>
      </c>
      <c r="H349" s="3262">
        <v>4511</v>
      </c>
      <c r="I349" s="2314">
        <v>25.4</v>
      </c>
      <c r="J349" s="2311">
        <v>3000</v>
      </c>
      <c r="K349" s="3263">
        <v>1573</v>
      </c>
    </row>
    <row r="350" spans="1:11">
      <c r="A350" s="2202">
        <f t="shared" si="1"/>
        <v>2018.05</v>
      </c>
      <c r="B350" s="2310">
        <v>15900</v>
      </c>
      <c r="C350" s="3261">
        <v>93.9</v>
      </c>
      <c r="D350" s="2314">
        <v>53.2</v>
      </c>
      <c r="E350" s="2311">
        <v>5800</v>
      </c>
      <c r="F350" s="2312">
        <v>25.4</v>
      </c>
      <c r="G350" s="2311">
        <v>7500</v>
      </c>
      <c r="H350" s="3262">
        <v>4962</v>
      </c>
      <c r="I350" s="2314">
        <v>25.1</v>
      </c>
      <c r="J350" s="2311">
        <v>3000</v>
      </c>
      <c r="K350" s="3263">
        <v>1613</v>
      </c>
    </row>
    <row r="351" spans="1:11">
      <c r="A351" s="2202">
        <f t="shared" si="1"/>
        <v>2018.06</v>
      </c>
      <c r="B351" s="2310">
        <v>15900</v>
      </c>
      <c r="C351" s="3261">
        <v>96.3</v>
      </c>
      <c r="D351" s="2314">
        <v>55.7</v>
      </c>
      <c r="E351" s="2311">
        <v>5800</v>
      </c>
      <c r="F351" s="2312">
        <v>24.3</v>
      </c>
      <c r="G351" s="2311">
        <v>7500</v>
      </c>
      <c r="H351" s="3262">
        <v>4919</v>
      </c>
      <c r="I351" s="2314">
        <v>26.3</v>
      </c>
      <c r="J351" s="2311">
        <v>3000</v>
      </c>
      <c r="K351" s="3263">
        <v>1744</v>
      </c>
    </row>
    <row r="352" spans="1:11">
      <c r="A352" s="2202">
        <f t="shared" si="1"/>
        <v>2018.07</v>
      </c>
      <c r="B352" s="2310">
        <v>15900</v>
      </c>
      <c r="C352" s="3261">
        <v>107.5</v>
      </c>
      <c r="D352" s="2314">
        <v>57.4</v>
      </c>
      <c r="E352" s="2311">
        <v>5800</v>
      </c>
      <c r="F352" s="2312">
        <v>27.9</v>
      </c>
      <c r="G352" s="2311">
        <v>7500</v>
      </c>
      <c r="H352" s="3262">
        <v>5739</v>
      </c>
      <c r="I352" s="2314">
        <v>27.1</v>
      </c>
      <c r="J352" s="2311">
        <v>3000</v>
      </c>
      <c r="K352" s="3263">
        <v>1897</v>
      </c>
    </row>
    <row r="353" spans="1:11">
      <c r="A353" s="2202">
        <f t="shared" si="1"/>
        <v>2018.08</v>
      </c>
      <c r="B353" s="2310">
        <v>15500</v>
      </c>
      <c r="C353" s="3261">
        <v>96.2</v>
      </c>
      <c r="D353" s="2314">
        <v>57.6</v>
      </c>
      <c r="E353" s="2311">
        <v>5800</v>
      </c>
      <c r="F353" s="2312">
        <v>27.5</v>
      </c>
      <c r="G353" s="2311">
        <v>7500</v>
      </c>
      <c r="H353" s="3262">
        <v>5164</v>
      </c>
      <c r="I353" s="2314">
        <v>27.9</v>
      </c>
      <c r="J353" s="2311">
        <v>3000</v>
      </c>
      <c r="K353" s="3263">
        <v>1882</v>
      </c>
    </row>
    <row r="354" spans="1:11">
      <c r="A354" s="2202">
        <f>A342+1</f>
        <v>2018.09</v>
      </c>
      <c r="B354" s="2310">
        <v>15500</v>
      </c>
      <c r="C354" s="3261">
        <v>119.2</v>
      </c>
      <c r="D354" s="2314">
        <v>67.400000000000006</v>
      </c>
      <c r="E354" s="2311">
        <v>5800</v>
      </c>
      <c r="F354" s="2312">
        <v>28.8</v>
      </c>
      <c r="G354" s="2311">
        <v>7500</v>
      </c>
      <c r="H354" s="3262">
        <v>6335</v>
      </c>
      <c r="I354" s="2314">
        <v>32.6</v>
      </c>
      <c r="J354" s="2311">
        <v>3000</v>
      </c>
      <c r="K354" s="3263">
        <v>2382</v>
      </c>
    </row>
    <row r="355" spans="1:11">
      <c r="A355" s="2202">
        <f t="shared" si="1"/>
        <v>2018.1</v>
      </c>
      <c r="B355" s="2310">
        <v>15500</v>
      </c>
      <c r="C355" s="3261">
        <v>114.5</v>
      </c>
      <c r="D355" s="2314">
        <v>62.2</v>
      </c>
      <c r="E355" s="2311">
        <v>5800</v>
      </c>
      <c r="F355" s="2312">
        <v>27.3</v>
      </c>
      <c r="G355" s="2311">
        <v>7500</v>
      </c>
      <c r="H355" s="3262">
        <v>6948</v>
      </c>
      <c r="I355" s="2314">
        <v>30.1</v>
      </c>
      <c r="J355" s="2311">
        <v>3000</v>
      </c>
      <c r="K355" s="3263">
        <v>2307</v>
      </c>
    </row>
    <row r="356" spans="1:11">
      <c r="A356" s="2202">
        <f t="shared" ref="A356:A419" si="3">A344+1</f>
        <v>2018.11</v>
      </c>
      <c r="B356" s="2310">
        <v>15500</v>
      </c>
      <c r="C356" s="3261">
        <v>118.7</v>
      </c>
      <c r="D356" s="2314">
        <v>62.1</v>
      </c>
      <c r="E356" s="2311">
        <v>5800</v>
      </c>
      <c r="F356" s="2312">
        <v>32.299999999999997</v>
      </c>
      <c r="G356" s="2311">
        <v>7500</v>
      </c>
      <c r="H356" s="3262">
        <v>6266</v>
      </c>
      <c r="I356" s="2314">
        <v>30</v>
      </c>
      <c r="J356" s="2311">
        <v>3000</v>
      </c>
      <c r="K356" s="3263">
        <v>2081</v>
      </c>
    </row>
    <row r="357" spans="1:11">
      <c r="A357" s="2202">
        <f t="shared" si="3"/>
        <v>2018.12</v>
      </c>
      <c r="B357" s="2310">
        <v>15500</v>
      </c>
      <c r="C357" s="3261">
        <v>113.8</v>
      </c>
      <c r="D357" s="2314">
        <v>64.7</v>
      </c>
      <c r="E357" s="2311">
        <v>5800</v>
      </c>
      <c r="F357" s="2312">
        <v>34.5</v>
      </c>
      <c r="G357" s="2311">
        <v>7500</v>
      </c>
      <c r="H357" s="3262">
        <v>6605</v>
      </c>
      <c r="I357" s="2314">
        <v>31.3</v>
      </c>
      <c r="J357" s="2311">
        <v>3000</v>
      </c>
      <c r="K357" s="3263">
        <v>2272</v>
      </c>
    </row>
    <row r="358" spans="1:11">
      <c r="A358" s="2202">
        <f t="shared" si="3"/>
        <v>2019.01</v>
      </c>
      <c r="B358" s="2310">
        <v>15500</v>
      </c>
      <c r="C358" s="3261">
        <v>111.3</v>
      </c>
      <c r="D358" s="2314">
        <v>66.8</v>
      </c>
      <c r="E358" s="2311">
        <v>5800</v>
      </c>
      <c r="F358" s="2312">
        <v>29.4</v>
      </c>
      <c r="G358" s="2311">
        <v>7500</v>
      </c>
      <c r="H358" s="3262">
        <v>6058</v>
      </c>
      <c r="I358" s="2314">
        <v>32.299999999999997</v>
      </c>
      <c r="J358" s="2311">
        <v>3000</v>
      </c>
      <c r="K358" s="3263">
        <v>2237</v>
      </c>
    </row>
    <row r="359" spans="1:11">
      <c r="A359" s="2202">
        <f t="shared" si="3"/>
        <v>2019.02</v>
      </c>
      <c r="B359" s="2310">
        <v>15500</v>
      </c>
      <c r="C359" s="3261">
        <v>106.7</v>
      </c>
      <c r="D359" s="2314">
        <v>63.4</v>
      </c>
      <c r="E359" s="2311">
        <v>5800</v>
      </c>
      <c r="F359" s="2312">
        <v>28.8</v>
      </c>
      <c r="G359" s="2311">
        <v>7500</v>
      </c>
      <c r="H359" s="3262">
        <v>4928</v>
      </c>
      <c r="I359" s="2314">
        <v>30.7</v>
      </c>
      <c r="J359" s="2311">
        <v>3000</v>
      </c>
      <c r="K359" s="3263">
        <v>1876</v>
      </c>
    </row>
    <row r="360" spans="1:11">
      <c r="A360" s="2202">
        <f t="shared" si="3"/>
        <v>2019.03</v>
      </c>
      <c r="B360" s="2310">
        <v>15500</v>
      </c>
      <c r="C360" s="3261">
        <v>119.3</v>
      </c>
      <c r="D360" s="2314">
        <v>68.7</v>
      </c>
      <c r="E360" s="2311">
        <v>5800</v>
      </c>
      <c r="F360" s="2312">
        <v>33.799999999999997</v>
      </c>
      <c r="G360" s="2311">
        <v>7500</v>
      </c>
      <c r="H360" s="3262">
        <v>4857</v>
      </c>
      <c r="I360" s="2314">
        <v>33.299999999999997</v>
      </c>
      <c r="J360" s="2311">
        <v>3000</v>
      </c>
      <c r="K360" s="3263">
        <v>1883</v>
      </c>
    </row>
    <row r="361" spans="1:11">
      <c r="A361" s="2202">
        <f t="shared" si="3"/>
        <v>2019.04</v>
      </c>
      <c r="B361" s="2310">
        <v>15500</v>
      </c>
      <c r="C361" s="3261">
        <v>121.5</v>
      </c>
      <c r="D361" s="2314">
        <v>71.599999999999994</v>
      </c>
      <c r="E361" s="2311">
        <v>5800</v>
      </c>
      <c r="F361" s="2312">
        <v>33.5</v>
      </c>
      <c r="G361" s="2311">
        <v>7500</v>
      </c>
      <c r="H361" s="3262">
        <v>5488</v>
      </c>
      <c r="I361" s="2314">
        <v>34.700000000000003</v>
      </c>
      <c r="J361" s="2311">
        <v>3000</v>
      </c>
      <c r="K361" s="3263">
        <v>2090</v>
      </c>
    </row>
    <row r="362" spans="1:11">
      <c r="A362" s="2202">
        <f t="shared" si="3"/>
        <v>2019.05</v>
      </c>
      <c r="B362" s="2310">
        <v>15500</v>
      </c>
      <c r="C362" s="3261">
        <v>116.6</v>
      </c>
      <c r="D362" s="2314">
        <v>77.599999999999994</v>
      </c>
      <c r="E362" s="2311">
        <v>5800</v>
      </c>
      <c r="F362" s="2312">
        <v>31.4</v>
      </c>
      <c r="G362" s="2311">
        <v>7500</v>
      </c>
      <c r="H362" s="3262">
        <v>5544</v>
      </c>
      <c r="I362" s="2314">
        <v>37.6</v>
      </c>
      <c r="J362" s="2311">
        <v>3000</v>
      </c>
      <c r="K362" s="3263">
        <v>2148</v>
      </c>
    </row>
    <row r="363" spans="1:11">
      <c r="A363" s="2202">
        <f t="shared" si="3"/>
        <v>2019.06</v>
      </c>
      <c r="B363" s="2310">
        <v>15500</v>
      </c>
      <c r="C363" s="3261">
        <v>103.5</v>
      </c>
      <c r="D363" s="2314">
        <v>68</v>
      </c>
      <c r="E363" s="2311">
        <v>5800</v>
      </c>
      <c r="F363" s="2312">
        <v>29.1</v>
      </c>
      <c r="G363" s="2311">
        <v>7500</v>
      </c>
      <c r="H363" s="3262">
        <v>5760</v>
      </c>
      <c r="I363" s="2314">
        <v>32.9</v>
      </c>
      <c r="J363" s="2311">
        <v>3000</v>
      </c>
      <c r="K363" s="3263">
        <v>1975</v>
      </c>
    </row>
    <row r="364" spans="1:11">
      <c r="A364" s="2202">
        <f t="shared" si="3"/>
        <v>2019.07</v>
      </c>
      <c r="B364" s="2310">
        <v>15500</v>
      </c>
      <c r="C364" s="3261">
        <v>103.1</v>
      </c>
      <c r="D364" s="2314">
        <v>70.599999999999994</v>
      </c>
      <c r="E364" s="2311">
        <v>5800</v>
      </c>
      <c r="F364" s="2312">
        <v>28.5</v>
      </c>
      <c r="G364" s="2311">
        <v>7500</v>
      </c>
      <c r="H364" s="3262">
        <v>5406</v>
      </c>
      <c r="I364" s="2314">
        <v>34.1</v>
      </c>
      <c r="J364" s="2311">
        <v>3000</v>
      </c>
      <c r="K364" s="3263">
        <v>1854</v>
      </c>
    </row>
    <row r="365" spans="1:11">
      <c r="A365" s="2202">
        <f t="shared" si="3"/>
        <v>2019.08</v>
      </c>
      <c r="B365" s="2310">
        <v>15500</v>
      </c>
      <c r="C365" s="3261">
        <v>112.3</v>
      </c>
      <c r="D365" s="2314">
        <v>69.5</v>
      </c>
      <c r="E365" s="2311">
        <v>5800</v>
      </c>
      <c r="F365" s="2312">
        <v>27.6</v>
      </c>
      <c r="G365" s="2311">
        <v>7500</v>
      </c>
      <c r="H365" s="3262">
        <v>5504</v>
      </c>
      <c r="I365" s="2314">
        <v>33.6</v>
      </c>
      <c r="J365" s="2311">
        <v>3000</v>
      </c>
      <c r="K365" s="3263">
        <v>1896</v>
      </c>
    </row>
    <row r="366" spans="1:11">
      <c r="A366" s="2202">
        <f t="shared" si="3"/>
        <v>2019.09</v>
      </c>
      <c r="B366" s="2310">
        <v>15000</v>
      </c>
      <c r="C366" s="3261">
        <v>120</v>
      </c>
      <c r="D366" s="2314">
        <v>69.400000000000006</v>
      </c>
      <c r="E366" s="2311">
        <v>5800</v>
      </c>
      <c r="F366" s="2312">
        <v>30.5</v>
      </c>
      <c r="G366" s="2311">
        <v>7300</v>
      </c>
      <c r="H366" s="3262">
        <v>6504</v>
      </c>
      <c r="I366" s="2314">
        <v>33.799999999999997</v>
      </c>
      <c r="J366" s="2311">
        <v>2800</v>
      </c>
      <c r="K366" s="3263">
        <v>2111</v>
      </c>
    </row>
    <row r="367" spans="1:11">
      <c r="A367" s="2202">
        <f t="shared" si="3"/>
        <v>2019.1</v>
      </c>
      <c r="B367" s="2310">
        <v>15000</v>
      </c>
      <c r="C367" s="3261">
        <v>118.1</v>
      </c>
      <c r="D367" s="2314">
        <v>64.900000000000006</v>
      </c>
      <c r="E367" s="2311">
        <v>5800</v>
      </c>
      <c r="F367" s="2312">
        <v>29</v>
      </c>
      <c r="G367" s="2311">
        <v>7300</v>
      </c>
      <c r="H367" s="3262">
        <v>6738</v>
      </c>
      <c r="I367" s="2314">
        <v>31.6</v>
      </c>
      <c r="J367" s="2311">
        <v>2800</v>
      </c>
      <c r="K367" s="3263">
        <v>2100</v>
      </c>
    </row>
    <row r="368" spans="1:11">
      <c r="A368" s="2202">
        <f t="shared" si="3"/>
        <v>2019.11</v>
      </c>
      <c r="B368" s="2310">
        <v>15000</v>
      </c>
      <c r="C368" s="3261">
        <v>120.7</v>
      </c>
      <c r="D368" s="2314">
        <v>67.599999999999994</v>
      </c>
      <c r="E368" s="2311">
        <v>5800</v>
      </c>
      <c r="F368" s="2312">
        <v>36.1</v>
      </c>
      <c r="G368" s="2311">
        <v>7300</v>
      </c>
      <c r="H368" s="3262">
        <v>6521</v>
      </c>
      <c r="I368" s="2314">
        <v>32.9</v>
      </c>
      <c r="J368" s="2311">
        <v>2800</v>
      </c>
      <c r="K368" s="3263">
        <v>2181</v>
      </c>
    </row>
    <row r="369" spans="1:11">
      <c r="A369" s="2202">
        <f t="shared" si="3"/>
        <v>2019.12</v>
      </c>
      <c r="B369" s="2310">
        <v>15000</v>
      </c>
      <c r="C369" s="3261">
        <v>120</v>
      </c>
      <c r="D369" s="2314">
        <v>71.7</v>
      </c>
      <c r="E369" s="2311">
        <v>5800</v>
      </c>
      <c r="F369" s="2312">
        <v>41</v>
      </c>
      <c r="G369" s="2311">
        <v>7300</v>
      </c>
      <c r="H369" s="3262">
        <v>6724</v>
      </c>
      <c r="I369" s="2314">
        <v>34.9</v>
      </c>
      <c r="J369" s="2311">
        <v>2800</v>
      </c>
      <c r="K369" s="3263">
        <v>2063</v>
      </c>
    </row>
    <row r="370" spans="1:11">
      <c r="A370" s="2202">
        <f t="shared" si="3"/>
        <v>2020.01</v>
      </c>
      <c r="B370" s="2310">
        <v>15000</v>
      </c>
      <c r="C370" s="3261">
        <v>137.6</v>
      </c>
      <c r="D370" s="2314">
        <v>74.5</v>
      </c>
      <c r="E370" s="2311">
        <v>5800</v>
      </c>
      <c r="F370" s="2312">
        <v>42.5</v>
      </c>
      <c r="G370" s="2311">
        <v>7300</v>
      </c>
      <c r="H370" s="3262">
        <v>6205</v>
      </c>
      <c r="I370" s="2314">
        <v>36.299999999999997</v>
      </c>
      <c r="J370" s="2311">
        <v>2800</v>
      </c>
      <c r="K370" s="3263">
        <v>2255</v>
      </c>
    </row>
    <row r="371" spans="1:11">
      <c r="A371" s="2202">
        <f t="shared" si="3"/>
        <v>2020.02</v>
      </c>
      <c r="B371" s="2310">
        <v>15000</v>
      </c>
      <c r="C371" s="3261">
        <v>128.4</v>
      </c>
      <c r="D371" s="2314">
        <v>79.400000000000006</v>
      </c>
      <c r="E371" s="2311">
        <v>5800</v>
      </c>
      <c r="F371" s="2312">
        <v>38.299999999999997</v>
      </c>
      <c r="G371" s="2311">
        <v>7300</v>
      </c>
      <c r="H371" s="3262">
        <v>6720</v>
      </c>
      <c r="I371" s="2314">
        <v>38.6</v>
      </c>
      <c r="J371" s="2311">
        <v>2800</v>
      </c>
      <c r="K371" s="3263">
        <v>2408</v>
      </c>
    </row>
    <row r="372" spans="1:11">
      <c r="A372" s="2202">
        <f t="shared" si="3"/>
        <v>2020.03</v>
      </c>
      <c r="B372" s="2310">
        <v>14500</v>
      </c>
      <c r="C372" s="3261">
        <v>140</v>
      </c>
      <c r="D372" s="2314">
        <v>83.1</v>
      </c>
      <c r="E372" s="2311">
        <v>5700</v>
      </c>
      <c r="F372" s="2312">
        <v>36.1</v>
      </c>
      <c r="G372" s="2311">
        <v>7200</v>
      </c>
      <c r="H372" s="3262">
        <v>6077</v>
      </c>
      <c r="I372" s="2314">
        <v>41.3</v>
      </c>
      <c r="J372" s="2311">
        <v>2600</v>
      </c>
      <c r="K372" s="3263">
        <v>2001</v>
      </c>
    </row>
    <row r="373" spans="1:11">
      <c r="A373" s="2202">
        <f t="shared" si="3"/>
        <v>2020.04</v>
      </c>
      <c r="B373" s="2310">
        <v>14500</v>
      </c>
      <c r="C373" s="3261">
        <v>130.19999999999999</v>
      </c>
      <c r="D373" s="2314">
        <v>85.9</v>
      </c>
      <c r="E373" s="2311">
        <v>5700</v>
      </c>
      <c r="F373" s="2312">
        <v>37.5</v>
      </c>
      <c r="G373" s="2311">
        <v>7200</v>
      </c>
      <c r="H373" s="3262">
        <v>6328</v>
      </c>
      <c r="I373" s="2314">
        <v>42.6</v>
      </c>
      <c r="J373" s="2311">
        <v>2600</v>
      </c>
      <c r="K373" s="3263">
        <v>2068</v>
      </c>
    </row>
    <row r="374" spans="1:11">
      <c r="A374" s="2202">
        <f t="shared" si="3"/>
        <v>2020.05</v>
      </c>
      <c r="B374" s="2310">
        <v>14000</v>
      </c>
      <c r="C374" s="3261">
        <v>190.1</v>
      </c>
      <c r="D374" s="2314">
        <v>110.2</v>
      </c>
      <c r="E374" s="2311">
        <v>5700</v>
      </c>
      <c r="F374" s="2312">
        <v>49.5</v>
      </c>
      <c r="G374" s="2311">
        <v>7000</v>
      </c>
      <c r="H374" s="3262">
        <v>9167</v>
      </c>
      <c r="I374" s="2314">
        <v>55.1</v>
      </c>
      <c r="J374" s="2311">
        <v>2500</v>
      </c>
      <c r="K374" s="3263">
        <v>2750</v>
      </c>
    </row>
    <row r="375" spans="1:11">
      <c r="A375" s="2202">
        <f t="shared" si="3"/>
        <v>2020.06</v>
      </c>
      <c r="B375" s="2310">
        <v>14000</v>
      </c>
      <c r="C375" s="3261">
        <v>201.3</v>
      </c>
      <c r="D375" s="2314">
        <v>107.8</v>
      </c>
      <c r="E375" s="2311">
        <v>5700</v>
      </c>
      <c r="F375" s="2312">
        <v>54.7</v>
      </c>
      <c r="G375" s="2311">
        <v>7000</v>
      </c>
      <c r="H375" s="3262">
        <v>8944</v>
      </c>
      <c r="I375" s="2314">
        <v>53.9</v>
      </c>
      <c r="J375" s="2311">
        <v>2500</v>
      </c>
      <c r="K375" s="3263">
        <v>2500</v>
      </c>
    </row>
    <row r="376" spans="1:11">
      <c r="A376" s="2202">
        <f t="shared" si="3"/>
        <v>2020.07</v>
      </c>
      <c r="B376" s="2310">
        <v>14000</v>
      </c>
      <c r="C376" s="3261">
        <v>196.1</v>
      </c>
      <c r="D376" s="2314">
        <v>112.7</v>
      </c>
      <c r="E376" s="2311">
        <v>5700</v>
      </c>
      <c r="F376" s="2312">
        <v>55.5</v>
      </c>
      <c r="G376" s="2311">
        <v>7000</v>
      </c>
      <c r="H376" s="3262">
        <v>9333</v>
      </c>
      <c r="I376" s="2314">
        <v>56.4</v>
      </c>
      <c r="J376" s="2311">
        <v>2500</v>
      </c>
      <c r="K376" s="3263">
        <v>2462</v>
      </c>
    </row>
    <row r="377" spans="1:11">
      <c r="A377" s="2202">
        <f t="shared" si="3"/>
        <v>2020.08</v>
      </c>
      <c r="B377" s="2310">
        <v>14000</v>
      </c>
      <c r="C377" s="3261">
        <v>194.6</v>
      </c>
      <c r="D377" s="2314">
        <v>105.7</v>
      </c>
      <c r="E377" s="2311">
        <v>5700</v>
      </c>
      <c r="F377" s="2312">
        <v>54.3</v>
      </c>
      <c r="G377" s="2311">
        <v>7000</v>
      </c>
      <c r="H377" s="3262">
        <v>9357</v>
      </c>
      <c r="I377" s="2314">
        <v>52.9</v>
      </c>
      <c r="J377" s="2311">
        <v>2500</v>
      </c>
      <c r="K377" s="3263">
        <v>2408</v>
      </c>
    </row>
    <row r="378" spans="1:11">
      <c r="A378" s="2202">
        <f t="shared" si="3"/>
        <v>2020.09</v>
      </c>
      <c r="B378" s="2310">
        <v>14000</v>
      </c>
      <c r="C378" s="3261">
        <v>164.3</v>
      </c>
      <c r="D378" s="2314">
        <v>97.7</v>
      </c>
      <c r="E378" s="2311">
        <v>5700</v>
      </c>
      <c r="F378" s="2312">
        <v>52.5</v>
      </c>
      <c r="G378" s="2311">
        <v>7000</v>
      </c>
      <c r="H378" s="3262">
        <v>9310</v>
      </c>
      <c r="I378" s="2314">
        <v>48.9</v>
      </c>
      <c r="J378" s="2311">
        <v>2500</v>
      </c>
      <c r="K378" s="3263">
        <v>2293</v>
      </c>
    </row>
    <row r="379" spans="1:11">
      <c r="A379" s="2202">
        <f t="shared" si="3"/>
        <v>2020.1</v>
      </c>
      <c r="B379" s="2310">
        <v>14000</v>
      </c>
      <c r="C379" s="3261">
        <v>155.69999999999999</v>
      </c>
      <c r="D379" s="2314">
        <v>88.2</v>
      </c>
      <c r="E379" s="2311">
        <v>5700</v>
      </c>
      <c r="F379" s="2312">
        <v>54.7</v>
      </c>
      <c r="G379" s="2311">
        <v>7000</v>
      </c>
      <c r="H379" s="3262">
        <v>10080</v>
      </c>
      <c r="I379" s="2314">
        <v>44.1</v>
      </c>
      <c r="J379" s="2311">
        <v>2500</v>
      </c>
      <c r="K379" s="3263">
        <v>2571</v>
      </c>
    </row>
    <row r="380" spans="1:11">
      <c r="A380" s="2202">
        <f t="shared" si="3"/>
        <v>2020.11</v>
      </c>
      <c r="B380" s="2310">
        <v>14000</v>
      </c>
      <c r="C380" s="3261">
        <v>160.19999999999999</v>
      </c>
      <c r="D380" s="2314">
        <v>93.2</v>
      </c>
      <c r="E380" s="2311">
        <v>5700</v>
      </c>
      <c r="F380" s="2312">
        <v>58.7</v>
      </c>
      <c r="G380" s="2311">
        <v>7000</v>
      </c>
      <c r="H380" s="3262">
        <v>10500</v>
      </c>
      <c r="I380" s="2314">
        <v>46.6</v>
      </c>
      <c r="J380" s="2311">
        <v>2500</v>
      </c>
      <c r="K380" s="3263">
        <v>2800</v>
      </c>
    </row>
    <row r="381" spans="1:11">
      <c r="A381" s="2202">
        <f t="shared" si="3"/>
        <v>2020.12</v>
      </c>
      <c r="B381" s="2310">
        <v>14000</v>
      </c>
      <c r="C381" s="3261">
        <v>134.9</v>
      </c>
      <c r="D381" s="2314">
        <v>77.7</v>
      </c>
      <c r="E381" s="2311">
        <v>5700</v>
      </c>
      <c r="F381" s="2312">
        <v>50.9</v>
      </c>
      <c r="G381" s="2311">
        <v>7000</v>
      </c>
      <c r="H381" s="3262">
        <v>8238</v>
      </c>
      <c r="I381" s="2314">
        <v>38.799999999999997</v>
      </c>
      <c r="J381" s="2311">
        <v>2500</v>
      </c>
      <c r="K381" s="3263">
        <v>2391</v>
      </c>
    </row>
    <row r="382" spans="1:11">
      <c r="A382" s="2202">
        <f t="shared" si="3"/>
        <v>2021.01</v>
      </c>
      <c r="B382" s="2310">
        <v>14000</v>
      </c>
      <c r="C382" s="3261">
        <v>136.6</v>
      </c>
      <c r="D382" s="2314">
        <v>79.3</v>
      </c>
      <c r="E382" s="2311">
        <v>5700</v>
      </c>
      <c r="F382" s="2312">
        <v>49.2</v>
      </c>
      <c r="G382" s="2311">
        <v>7000</v>
      </c>
      <c r="H382" s="3262">
        <v>7700</v>
      </c>
      <c r="I382" s="2314">
        <v>39.6</v>
      </c>
      <c r="J382" s="2311">
        <v>2500</v>
      </c>
      <c r="K382" s="3263">
        <v>2115</v>
      </c>
    </row>
    <row r="383" spans="1:11">
      <c r="A383" s="2202">
        <f t="shared" si="3"/>
        <v>2021.02</v>
      </c>
      <c r="B383" s="2310">
        <v>14000</v>
      </c>
      <c r="C383" s="3261">
        <v>122.5</v>
      </c>
      <c r="D383" s="2314">
        <v>74.400000000000006</v>
      </c>
      <c r="E383" s="2311">
        <v>5700</v>
      </c>
      <c r="F383" s="2312">
        <v>45.3</v>
      </c>
      <c r="G383" s="2311">
        <v>7000</v>
      </c>
      <c r="H383" s="3262">
        <v>6910</v>
      </c>
      <c r="I383" s="2314">
        <v>37.200000000000003</v>
      </c>
      <c r="J383" s="2311">
        <v>2500</v>
      </c>
      <c r="K383" s="3263">
        <v>2013</v>
      </c>
    </row>
    <row r="384" spans="1:11">
      <c r="A384" s="2202">
        <f t="shared" si="3"/>
        <v>2021.03</v>
      </c>
      <c r="B384" s="2310">
        <v>14000</v>
      </c>
      <c r="C384" s="3261">
        <v>117.2</v>
      </c>
      <c r="D384" s="2314">
        <v>69.900000000000006</v>
      </c>
      <c r="E384" s="2311">
        <v>5700</v>
      </c>
      <c r="F384" s="2312">
        <v>44.1</v>
      </c>
      <c r="G384" s="2311">
        <v>7000</v>
      </c>
      <c r="H384" s="3262">
        <v>6194</v>
      </c>
      <c r="I384" s="2314">
        <v>34.9</v>
      </c>
      <c r="J384" s="2311">
        <v>2500</v>
      </c>
      <c r="K384" s="3263">
        <v>1738</v>
      </c>
    </row>
    <row r="385" spans="1:11">
      <c r="A385" s="2202">
        <f t="shared" si="3"/>
        <v>2021.04</v>
      </c>
      <c r="B385" s="2310">
        <v>14000</v>
      </c>
      <c r="C385" s="3261">
        <v>108</v>
      </c>
      <c r="D385" s="2314">
        <v>66.5</v>
      </c>
      <c r="E385" s="2311">
        <v>5700</v>
      </c>
      <c r="F385" s="2312">
        <v>41.9</v>
      </c>
      <c r="G385" s="2311">
        <v>7000</v>
      </c>
      <c r="H385" s="3262">
        <v>5680</v>
      </c>
      <c r="I385" s="2314">
        <v>33.200000000000003</v>
      </c>
      <c r="J385" s="2311">
        <v>2500</v>
      </c>
      <c r="K385" s="3263">
        <v>1690</v>
      </c>
    </row>
    <row r="386" spans="1:11">
      <c r="A386" s="2202">
        <f t="shared" si="3"/>
        <v>2021.05</v>
      </c>
      <c r="B386" s="2310">
        <v>14000</v>
      </c>
      <c r="C386" s="3261">
        <v>102.3</v>
      </c>
      <c r="D386" s="2314">
        <v>69.3</v>
      </c>
      <c r="E386" s="2311">
        <v>5700</v>
      </c>
      <c r="F386" s="2312">
        <v>42.4</v>
      </c>
      <c r="G386" s="2311">
        <v>7000</v>
      </c>
      <c r="H386" s="3262">
        <v>5950</v>
      </c>
      <c r="I386" s="2314">
        <v>34.700000000000003</v>
      </c>
      <c r="J386" s="2311">
        <v>2500</v>
      </c>
      <c r="K386" s="3263">
        <v>1821</v>
      </c>
    </row>
    <row r="387" spans="1:11">
      <c r="A387" s="2202">
        <f t="shared" si="3"/>
        <v>2021.06</v>
      </c>
      <c r="B387" s="2310">
        <v>14000</v>
      </c>
      <c r="C387" s="3261">
        <v>108.1</v>
      </c>
      <c r="D387" s="2314">
        <v>67.900000000000006</v>
      </c>
      <c r="E387" s="2311">
        <v>5700</v>
      </c>
      <c r="F387" s="2312">
        <v>43.2</v>
      </c>
      <c r="G387" s="2311">
        <v>7000</v>
      </c>
      <c r="H387" s="3262">
        <v>6106</v>
      </c>
      <c r="I387" s="2314">
        <v>34</v>
      </c>
      <c r="J387" s="2311">
        <v>2500</v>
      </c>
      <c r="K387" s="3263">
        <v>1869</v>
      </c>
    </row>
    <row r="388" spans="1:11">
      <c r="A388" s="2202">
        <f t="shared" si="3"/>
        <v>2021.07</v>
      </c>
      <c r="B388" s="2310">
        <v>14000</v>
      </c>
      <c r="C388" s="3261">
        <v>127.1</v>
      </c>
      <c r="D388" s="2314">
        <v>76.2</v>
      </c>
      <c r="E388" s="2311">
        <v>5700</v>
      </c>
      <c r="F388" s="2312">
        <v>49.6</v>
      </c>
      <c r="G388" s="2311">
        <v>7000</v>
      </c>
      <c r="H388" s="3262">
        <v>6319</v>
      </c>
      <c r="I388" s="2314">
        <v>38.1</v>
      </c>
      <c r="J388" s="2311">
        <v>2500</v>
      </c>
      <c r="K388" s="3263">
        <v>1898</v>
      </c>
    </row>
    <row r="389" spans="1:11">
      <c r="A389" s="2202">
        <f t="shared" si="3"/>
        <v>2021.08</v>
      </c>
      <c r="B389" s="2310">
        <v>14000</v>
      </c>
      <c r="C389" s="3261">
        <v>138.80000000000001</v>
      </c>
      <c r="D389" s="2314">
        <v>78.3</v>
      </c>
      <c r="E389" s="2311">
        <v>5700</v>
      </c>
      <c r="F389" s="2312">
        <v>48.7</v>
      </c>
      <c r="G389" s="2311">
        <v>7000</v>
      </c>
      <c r="H389" s="3262">
        <v>7200</v>
      </c>
      <c r="I389" s="2314">
        <v>39.1</v>
      </c>
      <c r="J389" s="2311">
        <v>2500</v>
      </c>
      <c r="K389" s="3263">
        <v>2045</v>
      </c>
    </row>
    <row r="390" spans="1:11">
      <c r="A390" s="2202">
        <f t="shared" si="3"/>
        <v>2021.09</v>
      </c>
      <c r="B390" s="2310">
        <v>14000</v>
      </c>
      <c r="C390" s="3261">
        <v>138.80000000000001</v>
      </c>
      <c r="D390" s="2314">
        <v>77.400000000000006</v>
      </c>
      <c r="E390" s="2311">
        <v>5700</v>
      </c>
      <c r="F390" s="2312">
        <v>46.2</v>
      </c>
      <c r="G390" s="2311">
        <v>7000</v>
      </c>
      <c r="H390" s="3262">
        <v>7200</v>
      </c>
      <c r="I390" s="2314">
        <v>38.700000000000003</v>
      </c>
      <c r="J390" s="2311">
        <v>2500</v>
      </c>
      <c r="K390" s="3263">
        <v>1915</v>
      </c>
    </row>
    <row r="391" spans="1:11">
      <c r="A391" s="2202">
        <f t="shared" si="3"/>
        <v>2021.1</v>
      </c>
      <c r="B391" s="2310">
        <v>14000</v>
      </c>
      <c r="C391" s="3261">
        <v>134.1</v>
      </c>
      <c r="D391" s="2314">
        <v>77</v>
      </c>
      <c r="E391" s="2311">
        <v>5700</v>
      </c>
      <c r="F391" s="2312">
        <v>44.2</v>
      </c>
      <c r="G391" s="2311">
        <v>7000</v>
      </c>
      <c r="H391" s="3262">
        <v>1440</v>
      </c>
      <c r="I391" s="2314">
        <v>38.5</v>
      </c>
      <c r="J391" s="2311">
        <v>2500</v>
      </c>
      <c r="K391" s="3263">
        <v>1898</v>
      </c>
    </row>
    <row r="392" spans="1:11">
      <c r="A392" s="2202">
        <f t="shared" si="3"/>
        <v>2021.11</v>
      </c>
      <c r="B392" s="2310">
        <v>14000</v>
      </c>
      <c r="C392" s="3261">
        <v>144.1</v>
      </c>
      <c r="D392" s="2314">
        <v>79.099999999999994</v>
      </c>
      <c r="E392" s="2311">
        <v>5700</v>
      </c>
      <c r="F392" s="2312">
        <v>48.7</v>
      </c>
      <c r="G392" s="2311">
        <v>7000</v>
      </c>
      <c r="H392" s="3262">
        <v>7492</v>
      </c>
      <c r="I392" s="2314">
        <v>39.5</v>
      </c>
      <c r="J392" s="2311">
        <v>2500</v>
      </c>
      <c r="K392" s="3263">
        <v>1833</v>
      </c>
    </row>
    <row r="393" spans="1:11">
      <c r="A393" s="2202">
        <f t="shared" si="3"/>
        <v>2021.12</v>
      </c>
      <c r="B393" s="2310">
        <v>14000</v>
      </c>
      <c r="C393" s="3261">
        <v>135.5</v>
      </c>
      <c r="D393" s="2314">
        <v>80.599999999999994</v>
      </c>
      <c r="E393" s="2311">
        <v>5700</v>
      </c>
      <c r="F393" s="2312">
        <v>49.6</v>
      </c>
      <c r="G393" s="2311">
        <v>7000</v>
      </c>
      <c r="H393" s="3262">
        <v>6544</v>
      </c>
      <c r="I393" s="1284" t="s">
        <v>1562</v>
      </c>
      <c r="J393" s="2311">
        <v>2500</v>
      </c>
      <c r="K393" s="3263">
        <v>1675</v>
      </c>
    </row>
    <row r="394" spans="1:11">
      <c r="A394" s="2202">
        <f t="shared" si="3"/>
        <v>2022.01</v>
      </c>
      <c r="B394" s="2310">
        <v>14000</v>
      </c>
      <c r="C394" s="3261">
        <v>125.1</v>
      </c>
      <c r="D394" s="2314">
        <v>75.3</v>
      </c>
      <c r="E394" s="2311">
        <v>5700</v>
      </c>
      <c r="F394" s="2312">
        <v>48.1</v>
      </c>
      <c r="G394" s="2311">
        <v>7000</v>
      </c>
      <c r="H394" s="3262">
        <v>6555</v>
      </c>
      <c r="I394" s="2314">
        <v>37.700000000000003</v>
      </c>
      <c r="J394" s="2311">
        <v>2500</v>
      </c>
      <c r="K394" s="3263">
        <v>1609</v>
      </c>
    </row>
    <row r="395" spans="1:11">
      <c r="A395" s="2202">
        <f t="shared" si="3"/>
        <v>2022.02</v>
      </c>
      <c r="B395" s="2310">
        <v>14000</v>
      </c>
      <c r="C395" s="3261">
        <v>119.6</v>
      </c>
      <c r="D395" s="2314">
        <v>70.5</v>
      </c>
      <c r="E395" s="2311">
        <v>5700</v>
      </c>
      <c r="F395" s="2312">
        <v>48.3</v>
      </c>
      <c r="G395" s="2311">
        <v>7000</v>
      </c>
      <c r="H395" s="3262">
        <v>6658</v>
      </c>
      <c r="I395" s="2314">
        <v>35.299999999999997</v>
      </c>
      <c r="J395" s="2311">
        <v>2500</v>
      </c>
      <c r="K395" s="3263">
        <v>1672</v>
      </c>
    </row>
    <row r="396" spans="1:11">
      <c r="A396" s="2202">
        <f t="shared" si="3"/>
        <v>2022.03</v>
      </c>
      <c r="B396" s="2310">
        <v>14000</v>
      </c>
      <c r="C396" s="3261">
        <v>97.4</v>
      </c>
      <c r="D396" s="2314">
        <v>58.5</v>
      </c>
      <c r="E396" s="2311">
        <v>5700</v>
      </c>
      <c r="F396" s="2312">
        <v>36.1</v>
      </c>
      <c r="G396" s="2311">
        <v>7000</v>
      </c>
      <c r="H396" s="3262">
        <v>5546</v>
      </c>
      <c r="I396" s="2314">
        <v>29.2</v>
      </c>
      <c r="J396" s="2311">
        <v>2500</v>
      </c>
      <c r="K396" s="3263">
        <v>1515</v>
      </c>
    </row>
    <row r="397" spans="1:11">
      <c r="A397" s="2202">
        <f t="shared" si="3"/>
        <v>2022.04</v>
      </c>
      <c r="B397" s="2310">
        <v>14000</v>
      </c>
      <c r="C397" s="3261">
        <v>101.8</v>
      </c>
      <c r="D397" s="2314">
        <v>60.8</v>
      </c>
      <c r="E397" s="2311">
        <v>5700</v>
      </c>
      <c r="F397" s="2312">
        <v>33.200000000000003</v>
      </c>
      <c r="G397" s="2311">
        <v>7000</v>
      </c>
      <c r="H397" s="3262">
        <v>5185</v>
      </c>
      <c r="I397" s="2314">
        <v>30.4</v>
      </c>
      <c r="J397" s="2311">
        <v>2500</v>
      </c>
      <c r="K397" s="3263">
        <v>1333</v>
      </c>
    </row>
    <row r="398" spans="1:11">
      <c r="A398" s="2202">
        <f t="shared" si="3"/>
        <v>2022.05</v>
      </c>
      <c r="B398" s="2310">
        <v>14500</v>
      </c>
      <c r="C398" s="3261">
        <v>95.2</v>
      </c>
      <c r="D398" s="2314">
        <v>59.6</v>
      </c>
      <c r="E398" s="2311">
        <v>5700</v>
      </c>
      <c r="F398" s="2312">
        <v>26.3</v>
      </c>
      <c r="G398" s="2311">
        <v>7000</v>
      </c>
      <c r="H398" s="3262">
        <v>4539</v>
      </c>
      <c r="I398" s="2314">
        <v>28.8</v>
      </c>
      <c r="J398" s="2311">
        <v>2500</v>
      </c>
      <c r="K398" s="3263">
        <v>1340</v>
      </c>
    </row>
    <row r="399" spans="1:11">
      <c r="A399" s="2202">
        <f t="shared" si="3"/>
        <v>2022.06</v>
      </c>
      <c r="B399" s="2310">
        <v>14500</v>
      </c>
      <c r="C399" s="3261">
        <v>93.2</v>
      </c>
      <c r="D399" s="2314">
        <v>59.8</v>
      </c>
      <c r="E399" s="2311">
        <v>5700</v>
      </c>
      <c r="F399" s="2312">
        <v>27.1</v>
      </c>
      <c r="G399" s="2311">
        <v>7000</v>
      </c>
      <c r="H399" s="3262">
        <v>4807</v>
      </c>
      <c r="I399" s="2314">
        <v>28.9</v>
      </c>
      <c r="J399" s="2311">
        <v>2500</v>
      </c>
      <c r="K399" s="3263">
        <v>1338</v>
      </c>
    </row>
    <row r="400" spans="1:11">
      <c r="A400" s="2202">
        <f t="shared" si="3"/>
        <v>2022.07</v>
      </c>
      <c r="B400" s="2310">
        <v>14500</v>
      </c>
      <c r="C400" s="3261">
        <v>126.6</v>
      </c>
      <c r="D400" s="2314">
        <v>72.3</v>
      </c>
      <c r="E400" s="2311">
        <v>5700</v>
      </c>
      <c r="F400" s="2312">
        <v>34.5</v>
      </c>
      <c r="G400" s="2311">
        <v>7000</v>
      </c>
      <c r="H400" s="3262">
        <v>6170</v>
      </c>
      <c r="I400" s="2314">
        <v>34.9</v>
      </c>
      <c r="J400" s="2311">
        <v>2500</v>
      </c>
      <c r="K400" s="3263">
        <v>1630</v>
      </c>
    </row>
    <row r="401" spans="1:11">
      <c r="A401" s="2202">
        <f t="shared" si="3"/>
        <v>2022.08</v>
      </c>
      <c r="B401" s="2310">
        <v>14500</v>
      </c>
      <c r="C401" s="3261">
        <v>141.6</v>
      </c>
      <c r="D401" s="2314">
        <v>83</v>
      </c>
      <c r="E401" s="2311">
        <v>5700</v>
      </c>
      <c r="F401" s="2312">
        <v>41.1</v>
      </c>
      <c r="G401" s="2311">
        <v>7000</v>
      </c>
      <c r="H401" s="3262">
        <v>7024</v>
      </c>
      <c r="I401" s="2314">
        <v>40.1</v>
      </c>
      <c r="J401" s="2311">
        <v>2500</v>
      </c>
      <c r="K401" s="3263">
        <v>1865</v>
      </c>
    </row>
    <row r="402" spans="1:11">
      <c r="A402" s="2202">
        <f t="shared" si="3"/>
        <v>2022.09</v>
      </c>
      <c r="B402" s="2310">
        <v>14500</v>
      </c>
      <c r="C402" s="3261">
        <v>132.30000000000001</v>
      </c>
      <c r="D402" s="2314">
        <v>79.3</v>
      </c>
      <c r="E402" s="2311">
        <v>5700</v>
      </c>
      <c r="F402" s="2312">
        <v>41.3</v>
      </c>
      <c r="G402" s="2311">
        <v>7000</v>
      </c>
      <c r="H402" s="3262">
        <v>6673</v>
      </c>
      <c r="I402" s="2314">
        <v>38.299999999999997</v>
      </c>
      <c r="J402" s="2311">
        <v>2500</v>
      </c>
      <c r="K402" s="3263">
        <v>1682</v>
      </c>
    </row>
    <row r="403" spans="1:11">
      <c r="A403" s="2202">
        <f t="shared" si="3"/>
        <v>2022.1</v>
      </c>
      <c r="B403" s="2310">
        <v>14500</v>
      </c>
      <c r="C403" s="3261">
        <v>115.9</v>
      </c>
      <c r="D403" s="2314">
        <v>83.2</v>
      </c>
      <c r="E403" s="2311">
        <v>5700</v>
      </c>
      <c r="F403" s="2312">
        <v>34.5</v>
      </c>
      <c r="G403" s="2311">
        <v>7000</v>
      </c>
      <c r="H403" s="3262">
        <v>6627</v>
      </c>
      <c r="I403" s="2314">
        <v>40.200000000000003</v>
      </c>
      <c r="J403" s="2311">
        <v>2500</v>
      </c>
      <c r="K403" s="3263">
        <v>1775</v>
      </c>
    </row>
    <row r="404" spans="1:11">
      <c r="A404" s="2202">
        <f t="shared" si="3"/>
        <v>2022.11</v>
      </c>
      <c r="B404" s="2310">
        <v>14500</v>
      </c>
      <c r="C404" s="3261">
        <v>107.9</v>
      </c>
      <c r="D404" s="2314">
        <v>67.8</v>
      </c>
      <c r="E404" s="2311">
        <v>5700</v>
      </c>
      <c r="F404" s="2312">
        <v>29.2</v>
      </c>
      <c r="G404" s="2311">
        <v>7000</v>
      </c>
      <c r="H404" s="3262">
        <v>7000</v>
      </c>
      <c r="I404" s="2314">
        <v>32.700000000000003</v>
      </c>
      <c r="J404" s="2311">
        <v>2500</v>
      </c>
      <c r="K404" s="3263">
        <v>1959</v>
      </c>
    </row>
    <row r="405" spans="1:11">
      <c r="A405" s="2202">
        <f t="shared" si="3"/>
        <v>2022.12</v>
      </c>
      <c r="B405" s="2310">
        <v>14500</v>
      </c>
      <c r="C405" s="3261">
        <v>110.9</v>
      </c>
      <c r="D405" s="2314">
        <v>53.5</v>
      </c>
      <c r="E405" s="2311">
        <v>5700</v>
      </c>
      <c r="F405" s="2312">
        <v>31.4</v>
      </c>
      <c r="G405" s="2311">
        <v>7000</v>
      </c>
      <c r="H405" s="3262">
        <v>7579</v>
      </c>
      <c r="I405" s="2314">
        <v>25.8</v>
      </c>
      <c r="J405" s="2311">
        <v>2500</v>
      </c>
      <c r="K405" s="3263">
        <v>2066</v>
      </c>
    </row>
    <row r="406" spans="1:11">
      <c r="A406" s="2202">
        <f t="shared" si="3"/>
        <v>2023.01</v>
      </c>
      <c r="B406" s="2310">
        <v>14500</v>
      </c>
      <c r="C406" s="3261">
        <v>110.6</v>
      </c>
      <c r="D406" s="2314">
        <v>66.8</v>
      </c>
      <c r="E406" s="2311">
        <v>5700</v>
      </c>
      <c r="F406" s="2312">
        <v>36</v>
      </c>
      <c r="G406" s="2311">
        <v>7000</v>
      </c>
      <c r="H406" s="3262">
        <v>8167</v>
      </c>
      <c r="I406" s="2314">
        <v>32.200000000000003</v>
      </c>
      <c r="J406" s="2311">
        <v>2500</v>
      </c>
      <c r="K406" s="3263">
        <v>2244</v>
      </c>
    </row>
    <row r="407" spans="1:11">
      <c r="A407" s="2202">
        <f t="shared" si="3"/>
        <v>2023.02</v>
      </c>
      <c r="B407" s="2310">
        <v>14500</v>
      </c>
      <c r="C407" s="3261">
        <v>110.2</v>
      </c>
      <c r="D407" s="2314">
        <v>64.3</v>
      </c>
      <c r="E407" s="2311">
        <v>5700</v>
      </c>
      <c r="F407" s="2312">
        <v>37.1</v>
      </c>
      <c r="G407" s="2311">
        <v>7000</v>
      </c>
      <c r="H407" s="3262">
        <v>6209</v>
      </c>
      <c r="I407" s="2314">
        <v>31.1</v>
      </c>
      <c r="J407" s="2311">
        <v>2500</v>
      </c>
      <c r="K407" s="3263">
        <v>1964</v>
      </c>
    </row>
    <row r="408" spans="1:11">
      <c r="A408" s="2202">
        <f t="shared" si="3"/>
        <v>2023.03</v>
      </c>
      <c r="B408" s="2310">
        <v>14500</v>
      </c>
      <c r="C408" s="3261">
        <v>110.2</v>
      </c>
      <c r="D408" s="2314">
        <v>61.1</v>
      </c>
      <c r="E408" s="2311">
        <v>5700</v>
      </c>
      <c r="F408" s="2312">
        <v>36.6</v>
      </c>
      <c r="G408" s="2311">
        <v>7000</v>
      </c>
      <c r="H408" s="3262">
        <v>5833</v>
      </c>
      <c r="I408" s="2314">
        <v>29.5</v>
      </c>
      <c r="J408" s="2311">
        <v>2500</v>
      </c>
      <c r="K408" s="3263">
        <v>1995</v>
      </c>
    </row>
    <row r="409" spans="1:11">
      <c r="A409" s="2202">
        <f t="shared" si="3"/>
        <v>2023.04</v>
      </c>
      <c r="B409" s="2310">
        <v>14500</v>
      </c>
      <c r="C409" s="3261">
        <v>108.9</v>
      </c>
      <c r="D409" s="2314">
        <v>51.8</v>
      </c>
      <c r="E409" s="2311">
        <v>5700</v>
      </c>
      <c r="F409" s="2312">
        <v>37.4</v>
      </c>
      <c r="G409" s="2311">
        <v>7000</v>
      </c>
      <c r="H409" s="3262">
        <v>5838</v>
      </c>
      <c r="I409" s="2314">
        <v>25</v>
      </c>
      <c r="J409" s="2311">
        <v>2500</v>
      </c>
      <c r="K409" s="3263">
        <v>2063</v>
      </c>
    </row>
    <row r="410" spans="1:11">
      <c r="A410" s="2202">
        <f t="shared" si="3"/>
        <v>2023.05</v>
      </c>
      <c r="B410" s="2310">
        <v>14500</v>
      </c>
      <c r="C410" s="3261">
        <v>145.9</v>
      </c>
      <c r="D410" s="2314">
        <v>68</v>
      </c>
      <c r="E410" s="2311">
        <v>5700</v>
      </c>
      <c r="F410" s="2312">
        <v>43</v>
      </c>
      <c r="G410" s="2311">
        <v>7000</v>
      </c>
      <c r="H410" s="3262">
        <v>6913</v>
      </c>
      <c r="I410" s="2314">
        <v>32.799999999999997</v>
      </c>
      <c r="J410" s="2311">
        <v>2500</v>
      </c>
      <c r="K410" s="3263">
        <v>2418</v>
      </c>
    </row>
    <row r="411" spans="1:11">
      <c r="A411" s="2202">
        <f t="shared" si="3"/>
        <v>2023.06</v>
      </c>
      <c r="B411" s="2310">
        <v>14500</v>
      </c>
      <c r="C411" s="3261">
        <v>144.5</v>
      </c>
      <c r="D411" s="2314">
        <v>78.900000000000006</v>
      </c>
      <c r="E411" s="2311">
        <v>5700</v>
      </c>
      <c r="F411" s="2312">
        <v>36.4</v>
      </c>
      <c r="G411" s="2311">
        <v>7000</v>
      </c>
      <c r="H411" s="3262">
        <v>7298</v>
      </c>
      <c r="I411" s="2314">
        <v>38.1</v>
      </c>
      <c r="J411" s="2311">
        <v>2500</v>
      </c>
      <c r="K411" s="3263">
        <v>2552</v>
      </c>
    </row>
    <row r="412" spans="1:11">
      <c r="A412" s="2202">
        <f t="shared" si="3"/>
        <v>2023.07</v>
      </c>
      <c r="B412" s="2310">
        <v>14500</v>
      </c>
      <c r="C412" s="3261">
        <v>154.69999999999999</v>
      </c>
      <c r="D412" s="2314">
        <v>76.099999999999994</v>
      </c>
      <c r="E412" s="2311">
        <v>5700</v>
      </c>
      <c r="F412" s="2312">
        <v>39.5</v>
      </c>
      <c r="G412" s="2311">
        <v>7000</v>
      </c>
      <c r="H412" s="3262">
        <v>7204</v>
      </c>
      <c r="I412" s="2314">
        <v>36.700000000000003</v>
      </c>
      <c r="J412" s="2311">
        <v>2500</v>
      </c>
      <c r="K412" s="3263">
        <v>2470</v>
      </c>
    </row>
    <row r="413" spans="1:11">
      <c r="A413" s="2202">
        <f t="shared" si="3"/>
        <v>2023.08</v>
      </c>
      <c r="B413" s="2310">
        <v>14500</v>
      </c>
      <c r="C413" s="3261">
        <v>134.9</v>
      </c>
      <c r="D413" s="2314">
        <v>80.900000000000006</v>
      </c>
      <c r="E413" s="2311">
        <v>5700</v>
      </c>
      <c r="F413" s="2312">
        <v>43.6</v>
      </c>
      <c r="G413" s="2311">
        <v>7000</v>
      </c>
      <c r="H413" s="3262">
        <v>6403</v>
      </c>
      <c r="I413" s="2314">
        <v>39.1</v>
      </c>
      <c r="J413" s="2311">
        <v>2500</v>
      </c>
      <c r="K413" s="3263">
        <v>1993</v>
      </c>
    </row>
    <row r="414" spans="1:11">
      <c r="A414" s="2202">
        <f t="shared" si="3"/>
        <v>2023.09</v>
      </c>
      <c r="B414" s="2310">
        <v>14500</v>
      </c>
      <c r="C414" s="3261">
        <v>159.80000000000001</v>
      </c>
      <c r="D414" s="2314">
        <v>77.2</v>
      </c>
      <c r="E414" s="2311">
        <v>5700</v>
      </c>
      <c r="F414" s="2312">
        <v>48.7</v>
      </c>
      <c r="G414" s="2311">
        <v>7000</v>
      </c>
      <c r="H414" s="3262">
        <v>6860</v>
      </c>
      <c r="I414" s="2314">
        <v>37.299999999999997</v>
      </c>
      <c r="J414" s="2311">
        <v>2500</v>
      </c>
      <c r="K414" s="3263">
        <v>1934</v>
      </c>
    </row>
    <row r="415" spans="1:11">
      <c r="A415" s="2202">
        <f t="shared" si="3"/>
        <v>2023.1</v>
      </c>
      <c r="B415" s="2310">
        <v>14500</v>
      </c>
      <c r="C415" s="3261">
        <v>161.1</v>
      </c>
      <c r="D415" s="2314">
        <v>71.400000000000006</v>
      </c>
      <c r="E415" s="2311">
        <v>5700</v>
      </c>
      <c r="F415" s="2312">
        <v>52.7</v>
      </c>
      <c r="G415" s="2311">
        <v>7000</v>
      </c>
      <c r="H415" s="3262">
        <v>8615</v>
      </c>
      <c r="I415" s="2314">
        <v>34.5</v>
      </c>
      <c r="J415" s="2311">
        <v>2500</v>
      </c>
      <c r="K415" s="3263">
        <v>2222</v>
      </c>
    </row>
    <row r="416" spans="1:11">
      <c r="A416" s="2202">
        <f t="shared" si="3"/>
        <v>2023.11</v>
      </c>
      <c r="B416" s="2310">
        <v>15000</v>
      </c>
      <c r="C416" s="3261">
        <v>150.80000000000001</v>
      </c>
      <c r="D416" s="2314">
        <v>75.400000000000006</v>
      </c>
      <c r="E416" s="2311">
        <v>6500</v>
      </c>
      <c r="F416" s="2312">
        <v>53.1</v>
      </c>
      <c r="G416" s="2311">
        <v>7500</v>
      </c>
      <c r="H416" s="3262">
        <v>8578</v>
      </c>
      <c r="I416" s="2314">
        <v>37.700000000000003</v>
      </c>
      <c r="J416" s="2311">
        <v>2550</v>
      </c>
      <c r="K416" s="3263">
        <v>1944</v>
      </c>
    </row>
    <row r="417" spans="1:11">
      <c r="A417" s="2202">
        <f t="shared" si="3"/>
        <v>2023.12</v>
      </c>
      <c r="B417" s="2310">
        <v>15000</v>
      </c>
      <c r="C417" s="3261">
        <v>135.1</v>
      </c>
      <c r="D417" s="2314">
        <v>66.599999999999994</v>
      </c>
      <c r="E417" s="2311">
        <v>6500</v>
      </c>
      <c r="F417" s="2312">
        <v>51.7</v>
      </c>
      <c r="G417" s="2311">
        <v>7500</v>
      </c>
      <c r="H417" s="3262">
        <v>7163</v>
      </c>
      <c r="I417" s="2314">
        <v>33.299999999999997</v>
      </c>
      <c r="J417" s="2311">
        <v>2550</v>
      </c>
      <c r="K417" s="3263">
        <v>1804</v>
      </c>
    </row>
    <row r="418" spans="1:11">
      <c r="A418" s="2202">
        <f t="shared" si="3"/>
        <v>2024.01</v>
      </c>
      <c r="B418" s="2310">
        <v>15000</v>
      </c>
      <c r="C418" s="3261">
        <v>100.5</v>
      </c>
      <c r="D418" s="2314">
        <v>57.8</v>
      </c>
      <c r="E418" s="2311">
        <v>6500</v>
      </c>
      <c r="F418" s="2312">
        <v>35.5</v>
      </c>
      <c r="G418" s="2311">
        <v>7500</v>
      </c>
      <c r="H418" s="3262">
        <v>5502</v>
      </c>
      <c r="I418" s="2314">
        <v>28.9</v>
      </c>
      <c r="J418" s="2311">
        <v>2550</v>
      </c>
      <c r="K418" s="3263">
        <v>1585</v>
      </c>
    </row>
    <row r="419" spans="1:11">
      <c r="A419" s="2202">
        <f t="shared" si="3"/>
        <v>2024.02</v>
      </c>
      <c r="B419" s="2310">
        <v>15000</v>
      </c>
      <c r="C419" s="3261">
        <v>115.7</v>
      </c>
      <c r="D419" s="2314">
        <v>67.5</v>
      </c>
      <c r="E419" s="2311">
        <v>6500</v>
      </c>
      <c r="F419" s="2312">
        <v>42.4</v>
      </c>
      <c r="G419" s="2311">
        <v>7500</v>
      </c>
      <c r="H419" s="3262">
        <v>5432</v>
      </c>
      <c r="I419" s="2314">
        <v>33.799999999999997</v>
      </c>
      <c r="J419" s="2311">
        <v>2550</v>
      </c>
      <c r="K419" s="3263">
        <v>1604</v>
      </c>
    </row>
    <row r="420" spans="1:11">
      <c r="A420" s="2202">
        <f t="shared" ref="A420:A441" si="4">A408+1</f>
        <v>2024.03</v>
      </c>
      <c r="B420" s="2310">
        <v>15500</v>
      </c>
      <c r="C420" s="3261">
        <v>113</v>
      </c>
      <c r="D420" s="2314">
        <v>65.599999999999994</v>
      </c>
      <c r="E420" s="2311">
        <v>6800</v>
      </c>
      <c r="F420" s="2312">
        <v>42.1</v>
      </c>
      <c r="G420" s="2311">
        <v>7700</v>
      </c>
      <c r="H420" s="3262">
        <v>4620</v>
      </c>
      <c r="I420" s="2314">
        <v>32.6</v>
      </c>
      <c r="J420" s="2311">
        <v>2650</v>
      </c>
      <c r="K420" s="3263">
        <v>1294</v>
      </c>
    </row>
    <row r="421" spans="1:11">
      <c r="A421" s="2202">
        <f t="shared" si="4"/>
        <v>2024.04</v>
      </c>
      <c r="B421" s="2310">
        <v>15500</v>
      </c>
      <c r="C421" s="3261">
        <v>108.4</v>
      </c>
      <c r="D421" s="2314">
        <v>64.400000000000006</v>
      </c>
      <c r="E421" s="2311">
        <v>6800</v>
      </c>
      <c r="F421" s="2312">
        <v>40</v>
      </c>
      <c r="G421" s="2311">
        <v>7700</v>
      </c>
      <c r="H421" s="3262">
        <v>4422</v>
      </c>
      <c r="I421" s="2314">
        <v>32</v>
      </c>
      <c r="J421" s="2311">
        <v>2650</v>
      </c>
      <c r="K421" s="3263">
        <v>1239</v>
      </c>
    </row>
    <row r="422" spans="1:11">
      <c r="A422" s="2202">
        <f t="shared" si="4"/>
        <v>2024.05</v>
      </c>
      <c r="B422" s="2310">
        <v>16000</v>
      </c>
      <c r="C422" s="3261">
        <v>104</v>
      </c>
      <c r="D422" s="2314">
        <v>65.3</v>
      </c>
      <c r="E422" s="2311">
        <v>7000</v>
      </c>
      <c r="F422" s="2312">
        <v>36.4</v>
      </c>
      <c r="G422" s="2311">
        <v>8000</v>
      </c>
      <c r="H422" s="3262">
        <v>4379</v>
      </c>
      <c r="I422" s="2314">
        <v>32.6</v>
      </c>
      <c r="J422" s="2311">
        <v>2700</v>
      </c>
      <c r="K422" s="3263">
        <v>1337</v>
      </c>
    </row>
    <row r="423" spans="1:11">
      <c r="A423" s="2202">
        <f t="shared" si="4"/>
        <v>2024.06</v>
      </c>
      <c r="B423" s="2310">
        <v>16000</v>
      </c>
      <c r="C423" s="3261">
        <v>125.1</v>
      </c>
      <c r="D423" s="2314">
        <v>69.3</v>
      </c>
      <c r="E423" s="2311">
        <v>7000</v>
      </c>
      <c r="F423" s="2312">
        <v>36</v>
      </c>
      <c r="G423" s="2311">
        <v>8000</v>
      </c>
      <c r="H423" s="3262">
        <v>5200</v>
      </c>
      <c r="I423" s="2314">
        <v>34.700000000000003</v>
      </c>
      <c r="J423" s="2311">
        <v>2700</v>
      </c>
      <c r="K423" s="3263">
        <v>1516</v>
      </c>
    </row>
    <row r="424" spans="1:11">
      <c r="A424" s="2202">
        <f t="shared" si="4"/>
        <v>2024.07</v>
      </c>
      <c r="B424" s="2310">
        <v>16000</v>
      </c>
      <c r="C424" s="3261">
        <v>140.9</v>
      </c>
      <c r="D424" s="2314">
        <v>79.3</v>
      </c>
      <c r="E424" s="2311">
        <v>7000</v>
      </c>
      <c r="F424" s="2312">
        <v>44.7</v>
      </c>
      <c r="G424" s="2311">
        <v>8000</v>
      </c>
      <c r="H424" s="3262">
        <v>5620</v>
      </c>
      <c r="I424" s="2314">
        <v>39.6</v>
      </c>
      <c r="J424" s="2311">
        <v>2700</v>
      </c>
      <c r="K424" s="3263">
        <v>1686</v>
      </c>
    </row>
    <row r="425" spans="1:11">
      <c r="A425" s="2202">
        <f t="shared" si="4"/>
        <v>2024.08</v>
      </c>
      <c r="B425" s="2310">
        <v>16000</v>
      </c>
      <c r="C425" s="3261">
        <v>145.5</v>
      </c>
      <c r="D425" s="2314">
        <v>77.5</v>
      </c>
      <c r="E425" s="2311">
        <v>7000</v>
      </c>
      <c r="F425" s="2312">
        <v>42</v>
      </c>
      <c r="G425" s="2311">
        <v>8000</v>
      </c>
      <c r="H425" s="3262">
        <v>5520</v>
      </c>
      <c r="I425" s="2314">
        <v>38.700000000000003</v>
      </c>
      <c r="J425" s="2311">
        <v>2700</v>
      </c>
      <c r="K425" s="3263">
        <v>1490</v>
      </c>
    </row>
    <row r="426" spans="1:11">
      <c r="A426" s="2202">
        <f t="shared" si="4"/>
        <v>2024.09</v>
      </c>
      <c r="B426" s="2310">
        <v>16000</v>
      </c>
      <c r="C426" s="3261">
        <v>126.5</v>
      </c>
      <c r="D426" s="2314">
        <v>70.8</v>
      </c>
      <c r="E426" s="2311">
        <v>7000</v>
      </c>
      <c r="F426" s="2312">
        <v>41.5</v>
      </c>
      <c r="G426" s="2311">
        <v>8000</v>
      </c>
      <c r="H426" s="3262">
        <v>5220</v>
      </c>
      <c r="I426" s="2314">
        <v>35.4</v>
      </c>
      <c r="J426" s="2311">
        <v>2700</v>
      </c>
      <c r="K426" s="3263">
        <v>1409</v>
      </c>
    </row>
    <row r="427" spans="1:11">
      <c r="A427" s="2202">
        <f t="shared" si="4"/>
        <v>2024.1</v>
      </c>
      <c r="B427" s="2310">
        <v>16000</v>
      </c>
      <c r="C427" s="3261">
        <v>108.4</v>
      </c>
      <c r="D427" s="2314">
        <v>62</v>
      </c>
      <c r="E427" s="2311">
        <v>7000</v>
      </c>
      <c r="F427" s="2312">
        <v>42.3</v>
      </c>
      <c r="G427" s="2311">
        <v>8000</v>
      </c>
      <c r="H427" s="3262">
        <v>5137</v>
      </c>
      <c r="I427" s="2314">
        <v>31</v>
      </c>
      <c r="J427" s="2311">
        <v>2700</v>
      </c>
      <c r="K427" s="3263">
        <v>1267</v>
      </c>
    </row>
    <row r="428" spans="1:11">
      <c r="A428" s="2202">
        <f t="shared" si="4"/>
        <v>2024.11</v>
      </c>
      <c r="B428" s="2310">
        <v>16000</v>
      </c>
      <c r="C428" s="3261">
        <v>104.9</v>
      </c>
      <c r="D428" s="2314">
        <v>62.7</v>
      </c>
      <c r="E428" s="2311">
        <v>7000</v>
      </c>
      <c r="F428" s="2312">
        <v>42.4</v>
      </c>
      <c r="G428" s="2311">
        <v>8000</v>
      </c>
      <c r="H428" s="3262">
        <v>4841</v>
      </c>
      <c r="I428" s="2314">
        <v>31.4</v>
      </c>
      <c r="J428" s="2311">
        <v>2700</v>
      </c>
      <c r="K428" s="3263">
        <v>1249</v>
      </c>
    </row>
    <row r="429" spans="1:11">
      <c r="A429" s="2202">
        <f t="shared" si="4"/>
        <v>2024.12</v>
      </c>
      <c r="B429" s="2310">
        <v>16000</v>
      </c>
      <c r="C429" s="3261">
        <v>97.8</v>
      </c>
      <c r="D429" s="2314">
        <v>60.7</v>
      </c>
      <c r="E429" s="2311">
        <v>7000</v>
      </c>
      <c r="F429" s="2312">
        <v>40.5</v>
      </c>
      <c r="G429" s="2311">
        <v>8000</v>
      </c>
      <c r="H429" s="3262">
        <v>3826</v>
      </c>
      <c r="I429" s="2314">
        <v>30.3</v>
      </c>
      <c r="J429" s="2311">
        <v>2700</v>
      </c>
      <c r="K429" s="3263">
        <v>1024</v>
      </c>
    </row>
    <row r="430" spans="1:11">
      <c r="A430" s="2202">
        <f t="shared" si="4"/>
        <v>2025.01</v>
      </c>
      <c r="B430" s="2310">
        <v>16000</v>
      </c>
      <c r="C430" s="3261">
        <v>102.3</v>
      </c>
      <c r="D430" s="2314">
        <v>67</v>
      </c>
      <c r="E430" s="2311">
        <v>7000</v>
      </c>
      <c r="F430" s="2312">
        <v>42.6</v>
      </c>
      <c r="G430" s="2311">
        <v>8000</v>
      </c>
      <c r="H430" s="3262">
        <v>4050</v>
      </c>
      <c r="I430" s="2314">
        <v>33.5</v>
      </c>
      <c r="J430" s="2311">
        <v>2700</v>
      </c>
      <c r="K430" s="3263">
        <v>1058</v>
      </c>
    </row>
    <row r="431" spans="1:11">
      <c r="A431" s="2202">
        <f t="shared" si="4"/>
        <v>2025.02</v>
      </c>
      <c r="B431" s="2310">
        <v>16000</v>
      </c>
      <c r="C431" s="3261">
        <v>87.5</v>
      </c>
      <c r="D431" s="2314">
        <v>62</v>
      </c>
      <c r="E431" s="2311">
        <v>7000</v>
      </c>
      <c r="F431" s="2312">
        <v>40.700000000000003</v>
      </c>
      <c r="G431" s="2311">
        <v>8000</v>
      </c>
      <c r="H431" s="3262">
        <v>3615</v>
      </c>
      <c r="I431" s="2314">
        <v>31</v>
      </c>
      <c r="J431" s="2311">
        <v>2700</v>
      </c>
      <c r="K431" s="3263">
        <v>1029</v>
      </c>
    </row>
    <row r="432" spans="1:11">
      <c r="A432" s="2202">
        <f t="shared" si="4"/>
        <v>2025.03</v>
      </c>
      <c r="B432" s="2310">
        <v>16000</v>
      </c>
      <c r="C432" s="3261">
        <v>94</v>
      </c>
      <c r="D432" s="2314">
        <v>61.5</v>
      </c>
      <c r="E432" s="2311">
        <v>7000</v>
      </c>
      <c r="F432" s="2312">
        <v>40.299999999999997</v>
      </c>
      <c r="G432" s="2311">
        <v>8000</v>
      </c>
      <c r="H432" s="3262">
        <v>3500</v>
      </c>
      <c r="I432" s="2314">
        <v>30.8</v>
      </c>
      <c r="J432" s="2311">
        <v>2700</v>
      </c>
      <c r="K432" s="3263">
        <v>1002</v>
      </c>
    </row>
    <row r="433" spans="1:11">
      <c r="A433" s="2202">
        <f t="shared" si="4"/>
        <v>2025.04</v>
      </c>
      <c r="B433" s="2310">
        <v>16000</v>
      </c>
      <c r="C433" s="3261">
        <v>100.2</v>
      </c>
      <c r="D433" s="2314">
        <v>66.8</v>
      </c>
      <c r="E433" s="2311">
        <v>7000</v>
      </c>
      <c r="F433" s="2312">
        <v>39.200000000000003</v>
      </c>
      <c r="G433" s="2311">
        <v>8000</v>
      </c>
      <c r="H433" s="3262">
        <v>3757</v>
      </c>
      <c r="I433" s="2314">
        <v>33.4</v>
      </c>
      <c r="J433" s="2311">
        <v>2700</v>
      </c>
      <c r="K433" s="3263">
        <v>1014</v>
      </c>
    </row>
    <row r="434" spans="1:11">
      <c r="A434" s="2202">
        <f t="shared" si="4"/>
        <v>2025.05</v>
      </c>
      <c r="B434" s="2310">
        <v>16000</v>
      </c>
      <c r="C434" s="3261">
        <v>87.2</v>
      </c>
      <c r="D434" s="2314">
        <v>62.6</v>
      </c>
      <c r="E434" s="2311">
        <v>7000</v>
      </c>
      <c r="F434" s="2312">
        <v>36.5</v>
      </c>
      <c r="G434" s="2311">
        <v>8000</v>
      </c>
      <c r="H434" s="3262">
        <v>3443</v>
      </c>
      <c r="I434" s="2314">
        <v>31.3</v>
      </c>
      <c r="J434" s="2311">
        <v>2700</v>
      </c>
      <c r="K434" s="3263">
        <v>879</v>
      </c>
    </row>
    <row r="435" spans="1:11">
      <c r="A435" s="2202">
        <f t="shared" si="4"/>
        <v>2025.06</v>
      </c>
      <c r="B435" s="2310">
        <v>17000</v>
      </c>
      <c r="C435" s="3261">
        <v>96.6</v>
      </c>
      <c r="D435" s="2314">
        <v>61.9</v>
      </c>
      <c r="E435" s="2311">
        <v>8000</v>
      </c>
      <c r="F435" s="2312">
        <v>39.799999999999997</v>
      </c>
      <c r="G435" s="2311">
        <v>8500</v>
      </c>
      <c r="H435" s="3262">
        <v>3537</v>
      </c>
      <c r="I435" s="2314">
        <v>30.9</v>
      </c>
      <c r="J435" s="2311">
        <v>2800</v>
      </c>
      <c r="K435" s="3263">
        <v>858</v>
      </c>
    </row>
    <row r="436" spans="1:11">
      <c r="A436" s="2202">
        <f t="shared" si="4"/>
        <v>2025.07</v>
      </c>
      <c r="B436" s="2310" t="e">
        <v>#N/A</v>
      </c>
      <c r="C436" s="3261" t="e">
        <v>#N/A</v>
      </c>
      <c r="D436" s="2314" t="e">
        <v>#N/A</v>
      </c>
      <c r="E436" s="2311" t="e">
        <v>#N/A</v>
      </c>
      <c r="F436" s="2312" t="e">
        <v>#N/A</v>
      </c>
      <c r="G436" s="2311" t="e">
        <v>#N/A</v>
      </c>
      <c r="H436" s="3262" t="e">
        <v>#N/A</v>
      </c>
      <c r="I436" s="2314" t="e">
        <v>#N/A</v>
      </c>
      <c r="J436" s="2311" t="e">
        <v>#N/A</v>
      </c>
      <c r="K436" s="3263" t="e">
        <v>#N/A</v>
      </c>
    </row>
    <row r="437" spans="1:11">
      <c r="A437" s="2202">
        <f t="shared" si="4"/>
        <v>2025.08</v>
      </c>
      <c r="B437" s="2310" t="e">
        <v>#N/A</v>
      </c>
      <c r="C437" s="3261" t="e">
        <v>#N/A</v>
      </c>
      <c r="D437" s="2314" t="e">
        <v>#N/A</v>
      </c>
      <c r="E437" s="2311" t="e">
        <v>#N/A</v>
      </c>
      <c r="F437" s="2312" t="e">
        <v>#N/A</v>
      </c>
      <c r="G437" s="2311" t="e">
        <v>#N/A</v>
      </c>
      <c r="H437" s="3262" t="e">
        <v>#N/A</v>
      </c>
      <c r="I437" s="2314" t="e">
        <v>#N/A</v>
      </c>
      <c r="J437" s="2311" t="e">
        <v>#N/A</v>
      </c>
      <c r="K437" s="3263" t="e">
        <v>#N/A</v>
      </c>
    </row>
    <row r="438" spans="1:11">
      <c r="A438" s="2202">
        <f t="shared" si="4"/>
        <v>2025.09</v>
      </c>
      <c r="B438" s="2310" t="e">
        <v>#N/A</v>
      </c>
      <c r="C438" s="3261" t="e">
        <v>#N/A</v>
      </c>
      <c r="D438" s="2314" t="e">
        <v>#N/A</v>
      </c>
      <c r="E438" s="2311" t="e">
        <v>#N/A</v>
      </c>
      <c r="F438" s="2312" t="e">
        <v>#N/A</v>
      </c>
      <c r="G438" s="2311" t="e">
        <v>#N/A</v>
      </c>
      <c r="H438" s="3262" t="e">
        <v>#N/A</v>
      </c>
      <c r="I438" s="2314" t="e">
        <v>#N/A</v>
      </c>
      <c r="J438" s="2311" t="e">
        <v>#N/A</v>
      </c>
      <c r="K438" s="3263" t="e">
        <v>#N/A</v>
      </c>
    </row>
    <row r="439" spans="1:11">
      <c r="A439" s="2202">
        <f t="shared" si="4"/>
        <v>2025.1</v>
      </c>
      <c r="B439" s="2310" t="e">
        <v>#N/A</v>
      </c>
      <c r="C439" s="3261" t="e">
        <v>#N/A</v>
      </c>
      <c r="D439" s="2314" t="e">
        <v>#N/A</v>
      </c>
      <c r="E439" s="2311" t="e">
        <v>#N/A</v>
      </c>
      <c r="F439" s="2312" t="e">
        <v>#N/A</v>
      </c>
      <c r="G439" s="2311" t="e">
        <v>#N/A</v>
      </c>
      <c r="H439" s="3262" t="e">
        <v>#N/A</v>
      </c>
      <c r="I439" s="2314" t="e">
        <v>#N/A</v>
      </c>
      <c r="J439" s="2311" t="e">
        <v>#N/A</v>
      </c>
      <c r="K439" s="3263" t="e">
        <v>#N/A</v>
      </c>
    </row>
    <row r="440" spans="1:11">
      <c r="A440" s="2202">
        <f t="shared" si="4"/>
        <v>2025.11</v>
      </c>
      <c r="B440" s="2310" t="e">
        <v>#N/A</v>
      </c>
      <c r="C440" s="3261" t="e">
        <v>#N/A</v>
      </c>
      <c r="D440" s="2314" t="e">
        <v>#N/A</v>
      </c>
      <c r="E440" s="2311" t="e">
        <v>#N/A</v>
      </c>
      <c r="F440" s="2312" t="e">
        <v>#N/A</v>
      </c>
      <c r="G440" s="2311" t="e">
        <v>#N/A</v>
      </c>
      <c r="H440" s="3262" t="e">
        <v>#N/A</v>
      </c>
      <c r="I440" s="2314" t="e">
        <v>#N/A</v>
      </c>
      <c r="J440" s="2311" t="e">
        <v>#N/A</v>
      </c>
      <c r="K440" s="3263" t="e">
        <v>#N/A</v>
      </c>
    </row>
    <row r="441" spans="1:11">
      <c r="A441" s="2202">
        <f t="shared" si="4"/>
        <v>2025.12</v>
      </c>
      <c r="B441" s="2310" t="e">
        <v>#N/A</v>
      </c>
      <c r="C441" s="3261" t="e">
        <v>#N/A</v>
      </c>
      <c r="D441" s="2314" t="e">
        <v>#N/A</v>
      </c>
      <c r="E441" s="2311" t="e">
        <v>#N/A</v>
      </c>
      <c r="F441" s="2312" t="e">
        <v>#N/A</v>
      </c>
      <c r="G441" s="2311" t="e">
        <v>#N/A</v>
      </c>
      <c r="H441" s="3262" t="e">
        <v>#N/A</v>
      </c>
      <c r="I441" s="2314" t="e">
        <v>#N/A</v>
      </c>
      <c r="J441" s="2311" t="e">
        <v>#N/A</v>
      </c>
      <c r="K441" s="3263" t="e">
        <v>#N/A</v>
      </c>
    </row>
    <row r="442" spans="1:11">
      <c r="A442" s="1340">
        <v>2026.01</v>
      </c>
      <c r="B442" s="2310" t="e">
        <v>#N/A</v>
      </c>
      <c r="C442" s="3261" t="e">
        <v>#N/A</v>
      </c>
      <c r="D442" s="2314" t="e">
        <v>#N/A</v>
      </c>
      <c r="E442" s="2311" t="e">
        <v>#N/A</v>
      </c>
      <c r="F442" s="2312" t="e">
        <v>#N/A</v>
      </c>
      <c r="G442" s="2311" t="e">
        <v>#N/A</v>
      </c>
      <c r="H442" s="3262" t="e">
        <v>#N/A</v>
      </c>
      <c r="I442" s="2314" t="e">
        <v>#N/A</v>
      </c>
      <c r="J442" s="2311" t="e">
        <v>#N/A</v>
      </c>
      <c r="K442" s="3263" t="e">
        <v>#N/A</v>
      </c>
    </row>
    <row r="443" spans="1:11">
      <c r="A443" s="1340">
        <v>2026.02</v>
      </c>
      <c r="B443" s="2310" t="e">
        <v>#N/A</v>
      </c>
      <c r="C443" s="3261" t="e">
        <v>#N/A</v>
      </c>
      <c r="D443" s="2314" t="e">
        <v>#N/A</v>
      </c>
      <c r="E443" s="2311" t="e">
        <v>#N/A</v>
      </c>
      <c r="F443" s="2312" t="e">
        <v>#N/A</v>
      </c>
      <c r="G443" s="2311" t="e">
        <v>#N/A</v>
      </c>
      <c r="H443" s="3262" t="e">
        <v>#N/A</v>
      </c>
      <c r="I443" s="2314" t="e">
        <v>#N/A</v>
      </c>
      <c r="J443" s="2311" t="e">
        <v>#N/A</v>
      </c>
      <c r="K443" s="3263" t="e">
        <v>#N/A</v>
      </c>
    </row>
    <row r="444" spans="1:11">
      <c r="A444" s="1340">
        <v>2026.03</v>
      </c>
      <c r="B444" s="2310" t="e">
        <v>#N/A</v>
      </c>
      <c r="C444" s="3261" t="e">
        <v>#N/A</v>
      </c>
      <c r="D444" s="2314" t="e">
        <v>#N/A</v>
      </c>
      <c r="E444" s="2311" t="e">
        <v>#N/A</v>
      </c>
      <c r="F444" s="2312" t="e">
        <v>#N/A</v>
      </c>
      <c r="G444" s="2311" t="e">
        <v>#N/A</v>
      </c>
      <c r="H444" s="3262" t="e">
        <v>#N/A</v>
      </c>
      <c r="I444" s="2314" t="e">
        <v>#N/A</v>
      </c>
      <c r="J444" s="2311" t="e">
        <v>#N/A</v>
      </c>
      <c r="K444" s="3263" t="e">
        <v>#N/A</v>
      </c>
    </row>
    <row r="445" spans="1:11">
      <c r="A445" s="1340">
        <v>2026.04</v>
      </c>
      <c r="B445" s="2310" t="e">
        <v>#N/A</v>
      </c>
      <c r="C445" s="3261" t="e">
        <v>#N/A</v>
      </c>
      <c r="D445" s="2314" t="e">
        <v>#N/A</v>
      </c>
      <c r="E445" s="2311" t="e">
        <v>#N/A</v>
      </c>
      <c r="F445" s="2312" t="e">
        <v>#N/A</v>
      </c>
      <c r="G445" s="2311" t="e">
        <v>#N/A</v>
      </c>
      <c r="H445" s="3262" t="e">
        <v>#N/A</v>
      </c>
      <c r="I445" s="2314" t="e">
        <v>#N/A</v>
      </c>
      <c r="J445" s="2311" t="e">
        <v>#N/A</v>
      </c>
      <c r="K445" s="3263" t="e">
        <v>#N/A</v>
      </c>
    </row>
    <row r="446" spans="1:11">
      <c r="A446" s="1340">
        <v>2026.05</v>
      </c>
      <c r="B446" s="2310" t="e">
        <v>#N/A</v>
      </c>
      <c r="C446" s="3261" t="e">
        <v>#N/A</v>
      </c>
      <c r="D446" s="2314" t="e">
        <v>#N/A</v>
      </c>
      <c r="E446" s="2311" t="e">
        <v>#N/A</v>
      </c>
      <c r="F446" s="2312" t="e">
        <v>#N/A</v>
      </c>
      <c r="G446" s="2311" t="e">
        <v>#N/A</v>
      </c>
      <c r="H446" s="3262" t="e">
        <v>#N/A</v>
      </c>
      <c r="I446" s="2314" t="e">
        <v>#N/A</v>
      </c>
      <c r="J446" s="2311" t="e">
        <v>#N/A</v>
      </c>
      <c r="K446" s="3263" t="e">
        <v>#N/A</v>
      </c>
    </row>
    <row r="447" spans="1:11">
      <c r="A447" s="1340">
        <v>2026.06</v>
      </c>
      <c r="B447" s="2310" t="e">
        <v>#N/A</v>
      </c>
      <c r="C447" s="3261" t="e">
        <v>#N/A</v>
      </c>
      <c r="D447" s="2314" t="e">
        <v>#N/A</v>
      </c>
      <c r="E447" s="2311" t="e">
        <v>#N/A</v>
      </c>
      <c r="F447" s="2312" t="e">
        <v>#N/A</v>
      </c>
      <c r="G447" s="2311" t="e">
        <v>#N/A</v>
      </c>
      <c r="H447" s="3262" t="e">
        <v>#N/A</v>
      </c>
      <c r="I447" s="2314" t="e">
        <v>#N/A</v>
      </c>
      <c r="J447" s="2311" t="e">
        <v>#N/A</v>
      </c>
      <c r="K447" s="3263" t="e">
        <v>#N/A</v>
      </c>
    </row>
    <row r="448" spans="1:11">
      <c r="A448" s="1340">
        <v>2026.07</v>
      </c>
      <c r="B448" s="2310" t="e">
        <v>#N/A</v>
      </c>
      <c r="C448" s="3261" t="e">
        <v>#N/A</v>
      </c>
      <c r="D448" s="2314" t="e">
        <v>#N/A</v>
      </c>
      <c r="E448" s="2311" t="e">
        <v>#N/A</v>
      </c>
      <c r="F448" s="2312" t="e">
        <v>#N/A</v>
      </c>
      <c r="G448" s="2311" t="e">
        <v>#N/A</v>
      </c>
      <c r="H448" s="3262" t="e">
        <v>#N/A</v>
      </c>
      <c r="I448" s="2314" t="e">
        <v>#N/A</v>
      </c>
      <c r="J448" s="2311" t="e">
        <v>#N/A</v>
      </c>
      <c r="K448" s="3263" t="e">
        <v>#N/A</v>
      </c>
    </row>
    <row r="449" spans="1:11">
      <c r="A449" s="1340">
        <v>2026.08</v>
      </c>
      <c r="B449" s="2310" t="e">
        <v>#N/A</v>
      </c>
      <c r="C449" s="3261" t="e">
        <v>#N/A</v>
      </c>
      <c r="D449" s="2314" t="e">
        <v>#N/A</v>
      </c>
      <c r="E449" s="2311" t="e">
        <v>#N/A</v>
      </c>
      <c r="F449" s="2312" t="e">
        <v>#N/A</v>
      </c>
      <c r="G449" s="2311" t="e">
        <v>#N/A</v>
      </c>
      <c r="H449" s="3262" t="e">
        <v>#N/A</v>
      </c>
      <c r="I449" s="2314" t="e">
        <v>#N/A</v>
      </c>
      <c r="J449" s="2311" t="e">
        <v>#N/A</v>
      </c>
      <c r="K449" s="3263" t="e">
        <v>#N/A</v>
      </c>
    </row>
    <row r="450" spans="1:11">
      <c r="A450" s="1340">
        <v>2026.09</v>
      </c>
      <c r="B450" s="2310" t="e">
        <v>#N/A</v>
      </c>
      <c r="C450" s="3261" t="e">
        <v>#N/A</v>
      </c>
      <c r="D450" s="2314" t="e">
        <v>#N/A</v>
      </c>
      <c r="E450" s="2311" t="e">
        <v>#N/A</v>
      </c>
      <c r="F450" s="2312" t="e">
        <v>#N/A</v>
      </c>
      <c r="G450" s="2311" t="e">
        <v>#N/A</v>
      </c>
      <c r="H450" s="3262" t="e">
        <v>#N/A</v>
      </c>
      <c r="I450" s="2314" t="e">
        <v>#N/A</v>
      </c>
      <c r="J450" s="2311" t="e">
        <v>#N/A</v>
      </c>
      <c r="K450" s="3263" t="e">
        <v>#N/A</v>
      </c>
    </row>
    <row r="451" spans="1:11">
      <c r="A451" s="1340">
        <v>2026.1</v>
      </c>
      <c r="B451" s="2310" t="e">
        <v>#N/A</v>
      </c>
      <c r="C451" s="3261" t="e">
        <v>#N/A</v>
      </c>
      <c r="D451" s="2314" t="e">
        <v>#N/A</v>
      </c>
      <c r="E451" s="2311" t="e">
        <v>#N/A</v>
      </c>
      <c r="F451" s="2312" t="e">
        <v>#N/A</v>
      </c>
      <c r="G451" s="2311" t="e">
        <v>#N/A</v>
      </c>
      <c r="H451" s="3262" t="e">
        <v>#N/A</v>
      </c>
      <c r="I451" s="2314" t="e">
        <v>#N/A</v>
      </c>
      <c r="J451" s="2311" t="e">
        <v>#N/A</v>
      </c>
      <c r="K451" s="3263" t="e">
        <v>#N/A</v>
      </c>
    </row>
    <row r="452" spans="1:11">
      <c r="A452" s="1340">
        <v>2026.11</v>
      </c>
      <c r="B452" s="2310" t="e">
        <v>#N/A</v>
      </c>
      <c r="C452" s="3261" t="e">
        <v>#N/A</v>
      </c>
      <c r="D452" s="2314" t="e">
        <v>#N/A</v>
      </c>
      <c r="E452" s="2311" t="e">
        <v>#N/A</v>
      </c>
      <c r="F452" s="2312" t="e">
        <v>#N/A</v>
      </c>
      <c r="G452" s="2311" t="e">
        <v>#N/A</v>
      </c>
      <c r="H452" s="3262" t="e">
        <v>#N/A</v>
      </c>
      <c r="I452" s="2314" t="e">
        <v>#N/A</v>
      </c>
      <c r="J452" s="2311" t="e">
        <v>#N/A</v>
      </c>
      <c r="K452" s="3263" t="e">
        <v>#N/A</v>
      </c>
    </row>
    <row r="453" spans="1:11">
      <c r="A453" s="1340">
        <v>2026.12</v>
      </c>
      <c r="B453" s="2310" t="e">
        <v>#N/A</v>
      </c>
      <c r="C453" s="3261" t="e">
        <v>#N/A</v>
      </c>
      <c r="D453" s="2314" t="e">
        <v>#N/A</v>
      </c>
      <c r="E453" s="2311" t="e">
        <v>#N/A</v>
      </c>
      <c r="F453" s="2312" t="e">
        <v>#N/A</v>
      </c>
      <c r="G453" s="2311" t="e">
        <v>#N/A</v>
      </c>
      <c r="H453" s="3262" t="e">
        <v>#N/A</v>
      </c>
      <c r="I453" s="2314" t="e">
        <v>#N/A</v>
      </c>
      <c r="J453" s="2311" t="e">
        <v>#N/A</v>
      </c>
      <c r="K453" s="3263" t="e">
        <v>#N/A</v>
      </c>
    </row>
    <row r="454" spans="1:11">
      <c r="A454" s="1340">
        <v>2027.01</v>
      </c>
      <c r="B454" s="2310" t="e">
        <v>#N/A</v>
      </c>
      <c r="C454" s="3261" t="e">
        <v>#N/A</v>
      </c>
      <c r="D454" s="2314" t="e">
        <v>#N/A</v>
      </c>
      <c r="E454" s="2311" t="e">
        <v>#N/A</v>
      </c>
      <c r="F454" s="2312" t="e">
        <v>#N/A</v>
      </c>
      <c r="G454" s="2311" t="e">
        <v>#N/A</v>
      </c>
      <c r="H454" s="3262" t="e">
        <v>#N/A</v>
      </c>
      <c r="I454" s="2314" t="e">
        <v>#N/A</v>
      </c>
      <c r="J454" s="2311" t="e">
        <v>#N/A</v>
      </c>
      <c r="K454" s="3263" t="e">
        <v>#N/A</v>
      </c>
    </row>
    <row r="455" spans="1:11">
      <c r="A455" s="1340">
        <v>2027.02</v>
      </c>
      <c r="B455" s="2310" t="e">
        <v>#N/A</v>
      </c>
      <c r="C455" s="3261" t="e">
        <v>#N/A</v>
      </c>
      <c r="D455" s="2314" t="e">
        <v>#N/A</v>
      </c>
      <c r="E455" s="2311" t="e">
        <v>#N/A</v>
      </c>
      <c r="F455" s="2312" t="e">
        <v>#N/A</v>
      </c>
      <c r="G455" s="2311" t="e">
        <v>#N/A</v>
      </c>
      <c r="H455" s="3262" t="e">
        <v>#N/A</v>
      </c>
      <c r="I455" s="2314" t="e">
        <v>#N/A</v>
      </c>
      <c r="J455" s="2311" t="e">
        <v>#N/A</v>
      </c>
      <c r="K455" s="3263" t="e">
        <v>#N/A</v>
      </c>
    </row>
    <row r="456" spans="1:11">
      <c r="A456" s="1340">
        <v>2027.03</v>
      </c>
      <c r="B456" s="2310" t="e">
        <v>#N/A</v>
      </c>
      <c r="C456" s="3261" t="e">
        <v>#N/A</v>
      </c>
      <c r="D456" s="2314" t="e">
        <v>#N/A</v>
      </c>
      <c r="E456" s="2311" t="e">
        <v>#N/A</v>
      </c>
      <c r="F456" s="2312" t="e">
        <v>#N/A</v>
      </c>
      <c r="G456" s="2311" t="e">
        <v>#N/A</v>
      </c>
      <c r="H456" s="3262" t="e">
        <v>#N/A</v>
      </c>
      <c r="I456" s="2314" t="e">
        <v>#N/A</v>
      </c>
      <c r="J456" s="2311" t="e">
        <v>#N/A</v>
      </c>
      <c r="K456" s="3263" t="e">
        <v>#N/A</v>
      </c>
    </row>
    <row r="457" spans="1:11">
      <c r="A457" s="1340">
        <v>2027.04</v>
      </c>
      <c r="B457" s="2310" t="e">
        <v>#N/A</v>
      </c>
      <c r="C457" s="3261" t="e">
        <v>#N/A</v>
      </c>
      <c r="D457" s="2314" t="e">
        <v>#N/A</v>
      </c>
      <c r="E457" s="2311" t="e">
        <v>#N/A</v>
      </c>
      <c r="F457" s="2312" t="e">
        <v>#N/A</v>
      </c>
      <c r="G457" s="2311" t="e">
        <v>#N/A</v>
      </c>
      <c r="H457" s="3262" t="e">
        <v>#N/A</v>
      </c>
      <c r="I457" s="2314" t="e">
        <v>#N/A</v>
      </c>
      <c r="J457" s="2311" t="e">
        <v>#N/A</v>
      </c>
      <c r="K457" s="3263" t="e">
        <v>#N/A</v>
      </c>
    </row>
    <row r="458" spans="1:11">
      <c r="A458" s="1340">
        <v>2027.05</v>
      </c>
      <c r="B458" s="2310" t="e">
        <v>#N/A</v>
      </c>
      <c r="C458" s="3261" t="e">
        <v>#N/A</v>
      </c>
      <c r="D458" s="2314" t="e">
        <v>#N/A</v>
      </c>
      <c r="E458" s="2311" t="e">
        <v>#N/A</v>
      </c>
      <c r="F458" s="2312" t="e">
        <v>#N/A</v>
      </c>
      <c r="G458" s="2311" t="e">
        <v>#N/A</v>
      </c>
      <c r="H458" s="3262" t="e">
        <v>#N/A</v>
      </c>
      <c r="I458" s="2314" t="e">
        <v>#N/A</v>
      </c>
      <c r="J458" s="2311" t="e">
        <v>#N/A</v>
      </c>
      <c r="K458" s="3263" t="e">
        <v>#N/A</v>
      </c>
    </row>
    <row r="459" spans="1:11">
      <c r="A459" s="1340">
        <v>2027.06</v>
      </c>
      <c r="B459" s="2310" t="e">
        <v>#N/A</v>
      </c>
      <c r="C459" s="3261" t="e">
        <v>#N/A</v>
      </c>
      <c r="D459" s="2314" t="e">
        <v>#N/A</v>
      </c>
      <c r="E459" s="2311" t="e">
        <v>#N/A</v>
      </c>
      <c r="F459" s="2312" t="e">
        <v>#N/A</v>
      </c>
      <c r="G459" s="2311" t="e">
        <v>#N/A</v>
      </c>
      <c r="H459" s="3262" t="e">
        <v>#N/A</v>
      </c>
      <c r="I459" s="2314" t="e">
        <v>#N/A</v>
      </c>
      <c r="J459" s="2311" t="e">
        <v>#N/A</v>
      </c>
      <c r="K459" s="3263" t="e">
        <v>#N/A</v>
      </c>
    </row>
    <row r="460" spans="1:11">
      <c r="A460" s="1340">
        <v>2027.07</v>
      </c>
      <c r="B460" s="2310" t="e">
        <v>#N/A</v>
      </c>
      <c r="C460" s="3261" t="e">
        <v>#N/A</v>
      </c>
      <c r="D460" s="2314" t="e">
        <v>#N/A</v>
      </c>
      <c r="E460" s="2311" t="e">
        <v>#N/A</v>
      </c>
      <c r="F460" s="2312" t="e">
        <v>#N/A</v>
      </c>
      <c r="G460" s="2311" t="e">
        <v>#N/A</v>
      </c>
      <c r="H460" s="3262" t="e">
        <v>#N/A</v>
      </c>
      <c r="I460" s="2314" t="e">
        <v>#N/A</v>
      </c>
      <c r="J460" s="2311" t="e">
        <v>#N/A</v>
      </c>
      <c r="K460" s="3263" t="e">
        <v>#N/A</v>
      </c>
    </row>
    <row r="461" spans="1:11">
      <c r="A461" s="1340">
        <v>2027.08</v>
      </c>
      <c r="B461" s="2310" t="e">
        <v>#N/A</v>
      </c>
      <c r="C461" s="3261" t="e">
        <v>#N/A</v>
      </c>
      <c r="D461" s="2314" t="e">
        <v>#N/A</v>
      </c>
      <c r="E461" s="2311" t="e">
        <v>#N/A</v>
      </c>
      <c r="F461" s="2312" t="e">
        <v>#N/A</v>
      </c>
      <c r="G461" s="2311" t="e">
        <v>#N/A</v>
      </c>
      <c r="H461" s="3262" t="e">
        <v>#N/A</v>
      </c>
      <c r="I461" s="2314" t="e">
        <v>#N/A</v>
      </c>
      <c r="J461" s="2311" t="e">
        <v>#N/A</v>
      </c>
      <c r="K461" s="3263" t="e">
        <v>#N/A</v>
      </c>
    </row>
    <row r="462" spans="1:11">
      <c r="A462" s="1340">
        <v>2027.09</v>
      </c>
      <c r="B462" s="2310" t="e">
        <v>#N/A</v>
      </c>
      <c r="C462" s="3261" t="e">
        <v>#N/A</v>
      </c>
      <c r="D462" s="2314" t="e">
        <v>#N/A</v>
      </c>
      <c r="E462" s="2311" t="e">
        <v>#N/A</v>
      </c>
      <c r="F462" s="2312" t="e">
        <v>#N/A</v>
      </c>
      <c r="G462" s="2311" t="e">
        <v>#N/A</v>
      </c>
      <c r="H462" s="3262" t="e">
        <v>#N/A</v>
      </c>
      <c r="I462" s="2314" t="e">
        <v>#N/A</v>
      </c>
      <c r="J462" s="2311" t="e">
        <v>#N/A</v>
      </c>
      <c r="K462" s="3263" t="e">
        <v>#N/A</v>
      </c>
    </row>
    <row r="463" spans="1:11">
      <c r="A463" s="1340">
        <v>2027.1</v>
      </c>
      <c r="B463" s="2310" t="e">
        <v>#N/A</v>
      </c>
      <c r="C463" s="3261" t="e">
        <v>#N/A</v>
      </c>
      <c r="D463" s="2314" t="e">
        <v>#N/A</v>
      </c>
      <c r="E463" s="2311" t="e">
        <v>#N/A</v>
      </c>
      <c r="F463" s="2312" t="e">
        <v>#N/A</v>
      </c>
      <c r="G463" s="2311" t="e">
        <v>#N/A</v>
      </c>
      <c r="H463" s="3262" t="e">
        <v>#N/A</v>
      </c>
      <c r="I463" s="2314" t="e">
        <v>#N/A</v>
      </c>
      <c r="J463" s="2311" t="e">
        <v>#N/A</v>
      </c>
      <c r="K463" s="3263" t="e">
        <v>#N/A</v>
      </c>
    </row>
    <row r="464" spans="1:11">
      <c r="A464" s="1340">
        <v>2027.11</v>
      </c>
      <c r="B464" s="2310" t="e">
        <v>#N/A</v>
      </c>
      <c r="C464" s="3261" t="e">
        <v>#N/A</v>
      </c>
      <c r="D464" s="2314" t="e">
        <v>#N/A</v>
      </c>
      <c r="E464" s="2311" t="e">
        <v>#N/A</v>
      </c>
      <c r="F464" s="2312" t="e">
        <v>#N/A</v>
      </c>
      <c r="G464" s="2311" t="e">
        <v>#N/A</v>
      </c>
      <c r="H464" s="3262" t="e">
        <v>#N/A</v>
      </c>
      <c r="I464" s="2314" t="e">
        <v>#N/A</v>
      </c>
      <c r="J464" s="2311" t="e">
        <v>#N/A</v>
      </c>
      <c r="K464" s="3263" t="e">
        <v>#N/A</v>
      </c>
    </row>
    <row r="465" spans="1:11">
      <c r="A465" s="1340">
        <v>2027.12</v>
      </c>
      <c r="B465" s="2310" t="e">
        <v>#N/A</v>
      </c>
      <c r="C465" s="3261" t="e">
        <v>#N/A</v>
      </c>
      <c r="D465" s="2314" t="e">
        <v>#N/A</v>
      </c>
      <c r="E465" s="2311" t="e">
        <v>#N/A</v>
      </c>
      <c r="F465" s="2312" t="e">
        <v>#N/A</v>
      </c>
      <c r="G465" s="2311" t="e">
        <v>#N/A</v>
      </c>
      <c r="H465" s="3262" t="e">
        <v>#N/A</v>
      </c>
      <c r="I465" s="2314" t="e">
        <v>#N/A</v>
      </c>
      <c r="J465" s="2311" t="e">
        <v>#N/A</v>
      </c>
      <c r="K465" s="3263" t="e">
        <v>#N/A</v>
      </c>
    </row>
    <row r="466" spans="1:11">
      <c r="A466" s="1340">
        <v>2028.01</v>
      </c>
      <c r="B466" s="2310" t="e">
        <v>#N/A</v>
      </c>
      <c r="C466" s="3261" t="e">
        <v>#N/A</v>
      </c>
      <c r="D466" s="2314" t="e">
        <v>#N/A</v>
      </c>
      <c r="E466" s="2311" t="e">
        <v>#N/A</v>
      </c>
      <c r="F466" s="2312" t="e">
        <v>#N/A</v>
      </c>
      <c r="G466" s="2311" t="e">
        <v>#N/A</v>
      </c>
      <c r="H466" s="3262" t="e">
        <v>#N/A</v>
      </c>
      <c r="I466" s="2314" t="e">
        <v>#N/A</v>
      </c>
      <c r="J466" s="2311" t="e">
        <v>#N/A</v>
      </c>
      <c r="K466" s="3263" t="e">
        <v>#N/A</v>
      </c>
    </row>
    <row r="467" spans="1:11">
      <c r="A467" s="1340">
        <v>2028.02</v>
      </c>
      <c r="B467" s="2310" t="e">
        <v>#N/A</v>
      </c>
      <c r="C467" s="3261" t="e">
        <v>#N/A</v>
      </c>
      <c r="D467" s="2314" t="e">
        <v>#N/A</v>
      </c>
      <c r="E467" s="2311" t="e">
        <v>#N/A</v>
      </c>
      <c r="F467" s="2312" t="e">
        <v>#N/A</v>
      </c>
      <c r="G467" s="2311" t="e">
        <v>#N/A</v>
      </c>
      <c r="H467" s="3262" t="e">
        <v>#N/A</v>
      </c>
      <c r="I467" s="2314" t="e">
        <v>#N/A</v>
      </c>
      <c r="J467" s="2311" t="e">
        <v>#N/A</v>
      </c>
      <c r="K467" s="3263" t="e">
        <v>#N/A</v>
      </c>
    </row>
    <row r="468" spans="1:11">
      <c r="A468" s="1340">
        <v>2028.03</v>
      </c>
      <c r="B468" s="2310" t="e">
        <v>#N/A</v>
      </c>
      <c r="C468" s="3261" t="e">
        <v>#N/A</v>
      </c>
      <c r="D468" s="2314" t="e">
        <v>#N/A</v>
      </c>
      <c r="E468" s="2311" t="e">
        <v>#N/A</v>
      </c>
      <c r="F468" s="2312" t="e">
        <v>#N/A</v>
      </c>
      <c r="G468" s="2311" t="e">
        <v>#N/A</v>
      </c>
      <c r="H468" s="3262" t="e">
        <v>#N/A</v>
      </c>
      <c r="I468" s="2314" t="e">
        <v>#N/A</v>
      </c>
      <c r="J468" s="2311" t="e">
        <v>#N/A</v>
      </c>
      <c r="K468" s="3263" t="e">
        <v>#N/A</v>
      </c>
    </row>
    <row r="469" spans="1:11">
      <c r="A469" s="1340">
        <v>2028.04</v>
      </c>
      <c r="B469" s="2310" t="e">
        <v>#N/A</v>
      </c>
      <c r="C469" s="3261" t="e">
        <v>#N/A</v>
      </c>
      <c r="D469" s="2314" t="e">
        <v>#N/A</v>
      </c>
      <c r="E469" s="2311" t="e">
        <v>#N/A</v>
      </c>
      <c r="F469" s="2312" t="e">
        <v>#N/A</v>
      </c>
      <c r="G469" s="2311" t="e">
        <v>#N/A</v>
      </c>
      <c r="H469" s="3262" t="e">
        <v>#N/A</v>
      </c>
      <c r="I469" s="2314" t="e">
        <v>#N/A</v>
      </c>
      <c r="J469" s="2311" t="e">
        <v>#N/A</v>
      </c>
      <c r="K469" s="3263" t="e">
        <v>#N/A</v>
      </c>
    </row>
    <row r="470" spans="1:11">
      <c r="A470" s="1340">
        <v>2028.05</v>
      </c>
      <c r="B470" s="2310" t="e">
        <v>#N/A</v>
      </c>
      <c r="C470" s="3261" t="e">
        <v>#N/A</v>
      </c>
      <c r="D470" s="2314" t="e">
        <v>#N/A</v>
      </c>
      <c r="E470" s="2311" t="e">
        <v>#N/A</v>
      </c>
      <c r="F470" s="2312" t="e">
        <v>#N/A</v>
      </c>
      <c r="G470" s="2311" t="e">
        <v>#N/A</v>
      </c>
      <c r="H470" s="3262" t="e">
        <v>#N/A</v>
      </c>
      <c r="I470" s="2314" t="e">
        <v>#N/A</v>
      </c>
      <c r="J470" s="2311" t="e">
        <v>#N/A</v>
      </c>
      <c r="K470" s="3263" t="e">
        <v>#N/A</v>
      </c>
    </row>
    <row r="471" spans="1:11">
      <c r="A471" s="1340">
        <v>2028.06</v>
      </c>
      <c r="B471" s="2310" t="e">
        <v>#N/A</v>
      </c>
      <c r="C471" s="3261" t="e">
        <v>#N/A</v>
      </c>
      <c r="D471" s="2314" t="e">
        <v>#N/A</v>
      </c>
      <c r="E471" s="2311" t="e">
        <v>#N/A</v>
      </c>
      <c r="F471" s="2312" t="e">
        <v>#N/A</v>
      </c>
      <c r="G471" s="2311" t="e">
        <v>#N/A</v>
      </c>
      <c r="H471" s="3262" t="e">
        <v>#N/A</v>
      </c>
      <c r="I471" s="2314" t="e">
        <v>#N/A</v>
      </c>
      <c r="J471" s="2311" t="e">
        <v>#N/A</v>
      </c>
      <c r="K471" s="3263" t="e">
        <v>#N/A</v>
      </c>
    </row>
    <row r="472" spans="1:11">
      <c r="A472" s="1340">
        <v>2028.07</v>
      </c>
      <c r="B472" s="2310" t="e">
        <v>#N/A</v>
      </c>
      <c r="C472" s="3261" t="e">
        <v>#N/A</v>
      </c>
      <c r="D472" s="2314" t="e">
        <v>#N/A</v>
      </c>
      <c r="E472" s="2311" t="e">
        <v>#N/A</v>
      </c>
      <c r="F472" s="2312" t="e">
        <v>#N/A</v>
      </c>
      <c r="G472" s="2311" t="e">
        <v>#N/A</v>
      </c>
      <c r="H472" s="3262" t="e">
        <v>#N/A</v>
      </c>
      <c r="I472" s="2314" t="e">
        <v>#N/A</v>
      </c>
      <c r="J472" s="2311" t="e">
        <v>#N/A</v>
      </c>
      <c r="K472" s="3263" t="e">
        <v>#N/A</v>
      </c>
    </row>
    <row r="473" spans="1:11">
      <c r="A473" s="1340">
        <v>2028.08</v>
      </c>
      <c r="B473" s="2310" t="e">
        <v>#N/A</v>
      </c>
      <c r="C473" s="3261" t="e">
        <v>#N/A</v>
      </c>
      <c r="D473" s="2314" t="e">
        <v>#N/A</v>
      </c>
      <c r="E473" s="2311" t="e">
        <v>#N/A</v>
      </c>
      <c r="F473" s="2312" t="e">
        <v>#N/A</v>
      </c>
      <c r="G473" s="2311" t="e">
        <v>#N/A</v>
      </c>
      <c r="H473" s="3262" t="e">
        <v>#N/A</v>
      </c>
      <c r="I473" s="2314" t="e">
        <v>#N/A</v>
      </c>
      <c r="J473" s="2311" t="e">
        <v>#N/A</v>
      </c>
      <c r="K473" s="3263" t="e">
        <v>#N/A</v>
      </c>
    </row>
    <row r="474" spans="1:11">
      <c r="A474" s="1340">
        <v>2028.09</v>
      </c>
      <c r="B474" s="2310" t="e">
        <v>#N/A</v>
      </c>
      <c r="C474" s="3261" t="e">
        <v>#N/A</v>
      </c>
      <c r="D474" s="2314" t="e">
        <v>#N/A</v>
      </c>
      <c r="E474" s="2311" t="e">
        <v>#N/A</v>
      </c>
      <c r="F474" s="2312" t="e">
        <v>#N/A</v>
      </c>
      <c r="G474" s="2311" t="e">
        <v>#N/A</v>
      </c>
      <c r="H474" s="3262" t="e">
        <v>#N/A</v>
      </c>
      <c r="I474" s="2314" t="e">
        <v>#N/A</v>
      </c>
      <c r="J474" s="2311" t="e">
        <v>#N/A</v>
      </c>
      <c r="K474" s="3263" t="e">
        <v>#N/A</v>
      </c>
    </row>
    <row r="475" spans="1:11">
      <c r="A475" s="1340">
        <v>2028.1</v>
      </c>
      <c r="B475" s="2310" t="e">
        <v>#N/A</v>
      </c>
      <c r="C475" s="3261" t="e">
        <v>#N/A</v>
      </c>
      <c r="D475" s="2314" t="e">
        <v>#N/A</v>
      </c>
      <c r="E475" s="2311" t="e">
        <v>#N/A</v>
      </c>
      <c r="F475" s="2312" t="e">
        <v>#N/A</v>
      </c>
      <c r="G475" s="2311" t="e">
        <v>#N/A</v>
      </c>
      <c r="H475" s="3262" t="e">
        <v>#N/A</v>
      </c>
      <c r="I475" s="2314" t="e">
        <v>#N/A</v>
      </c>
      <c r="J475" s="2311" t="e">
        <v>#N/A</v>
      </c>
      <c r="K475" s="3263" t="e">
        <v>#N/A</v>
      </c>
    </row>
    <row r="476" spans="1:11">
      <c r="A476" s="1340">
        <v>2028.11</v>
      </c>
      <c r="B476" s="2310" t="e">
        <v>#N/A</v>
      </c>
      <c r="C476" s="3261" t="e">
        <v>#N/A</v>
      </c>
      <c r="D476" s="2314" t="e">
        <v>#N/A</v>
      </c>
      <c r="E476" s="2311" t="e">
        <v>#N/A</v>
      </c>
      <c r="F476" s="2312" t="e">
        <v>#N/A</v>
      </c>
      <c r="G476" s="2311" t="e">
        <v>#N/A</v>
      </c>
      <c r="H476" s="3262" t="e">
        <v>#N/A</v>
      </c>
      <c r="I476" s="2314" t="e">
        <v>#N/A</v>
      </c>
      <c r="J476" s="2311" t="e">
        <v>#N/A</v>
      </c>
      <c r="K476" s="3263" t="e">
        <v>#N/A</v>
      </c>
    </row>
    <row r="477" spans="1:11">
      <c r="A477" s="1340">
        <v>2028.12</v>
      </c>
      <c r="B477" s="2310" t="e">
        <v>#N/A</v>
      </c>
      <c r="C477" s="3261" t="e">
        <v>#N/A</v>
      </c>
      <c r="D477" s="2314" t="e">
        <v>#N/A</v>
      </c>
      <c r="E477" s="2311" t="e">
        <v>#N/A</v>
      </c>
      <c r="F477" s="2312" t="e">
        <v>#N/A</v>
      </c>
      <c r="G477" s="2311" t="e">
        <v>#N/A</v>
      </c>
      <c r="H477" s="3262" t="e">
        <v>#N/A</v>
      </c>
      <c r="I477" s="2314" t="e">
        <v>#N/A</v>
      </c>
      <c r="J477" s="2311" t="e">
        <v>#N/A</v>
      </c>
      <c r="K477" s="3263" t="e">
        <v>#N/A</v>
      </c>
    </row>
    <row r="478" spans="1:11">
      <c r="A478" s="1340">
        <v>2029.01</v>
      </c>
      <c r="B478" s="2310" t="e">
        <v>#N/A</v>
      </c>
      <c r="C478" s="3261" t="e">
        <v>#N/A</v>
      </c>
      <c r="D478" s="2314" t="e">
        <v>#N/A</v>
      </c>
      <c r="E478" s="2311" t="e">
        <v>#N/A</v>
      </c>
      <c r="F478" s="2312" t="e">
        <v>#N/A</v>
      </c>
      <c r="G478" s="2311" t="e">
        <v>#N/A</v>
      </c>
      <c r="H478" s="3262" t="e">
        <v>#N/A</v>
      </c>
      <c r="I478" s="2314" t="e">
        <v>#N/A</v>
      </c>
      <c r="J478" s="2311" t="e">
        <v>#N/A</v>
      </c>
      <c r="K478" s="3263" t="e">
        <v>#N/A</v>
      </c>
    </row>
    <row r="479" spans="1:11">
      <c r="A479" s="1340">
        <v>2029.02</v>
      </c>
      <c r="B479" s="2310" t="e">
        <v>#N/A</v>
      </c>
      <c r="C479" s="3261" t="e">
        <v>#N/A</v>
      </c>
      <c r="D479" s="2314" t="e">
        <v>#N/A</v>
      </c>
      <c r="E479" s="2311" t="e">
        <v>#N/A</v>
      </c>
      <c r="F479" s="2312" t="e">
        <v>#N/A</v>
      </c>
      <c r="G479" s="2311" t="e">
        <v>#N/A</v>
      </c>
      <c r="H479" s="3262" t="e">
        <v>#N/A</v>
      </c>
      <c r="I479" s="2314" t="e">
        <v>#N/A</v>
      </c>
      <c r="J479" s="2311" t="e">
        <v>#N/A</v>
      </c>
      <c r="K479" s="3263" t="e">
        <v>#N/A</v>
      </c>
    </row>
    <row r="480" spans="1:11">
      <c r="A480" s="1340">
        <v>2029.03</v>
      </c>
      <c r="B480" s="2310" t="e">
        <v>#N/A</v>
      </c>
      <c r="C480" s="3261" t="e">
        <v>#N/A</v>
      </c>
      <c r="D480" s="2314" t="e">
        <v>#N/A</v>
      </c>
      <c r="E480" s="2311" t="e">
        <v>#N/A</v>
      </c>
      <c r="F480" s="2312" t="e">
        <v>#N/A</v>
      </c>
      <c r="G480" s="2311" t="e">
        <v>#N/A</v>
      </c>
      <c r="H480" s="3262" t="e">
        <v>#N/A</v>
      </c>
      <c r="I480" s="2314" t="e">
        <v>#N/A</v>
      </c>
      <c r="J480" s="2311" t="e">
        <v>#N/A</v>
      </c>
      <c r="K480" s="3263" t="e">
        <v>#N/A</v>
      </c>
    </row>
    <row r="481" spans="1:11">
      <c r="A481" s="1340">
        <v>2029.04</v>
      </c>
      <c r="B481" s="2310" t="e">
        <v>#N/A</v>
      </c>
      <c r="C481" s="3261" t="e">
        <v>#N/A</v>
      </c>
      <c r="D481" s="2314" t="e">
        <v>#N/A</v>
      </c>
      <c r="E481" s="2311" t="e">
        <v>#N/A</v>
      </c>
      <c r="F481" s="2312" t="e">
        <v>#N/A</v>
      </c>
      <c r="G481" s="2311" t="e">
        <v>#N/A</v>
      </c>
      <c r="H481" s="3262" t="e">
        <v>#N/A</v>
      </c>
      <c r="I481" s="2314" t="e">
        <v>#N/A</v>
      </c>
      <c r="J481" s="2311" t="e">
        <v>#N/A</v>
      </c>
      <c r="K481" s="3263" t="e">
        <v>#N/A</v>
      </c>
    </row>
    <row r="482" spans="1:11">
      <c r="A482" s="1340">
        <v>2029.05</v>
      </c>
      <c r="B482" s="2310" t="e">
        <v>#N/A</v>
      </c>
      <c r="C482" s="3261" t="e">
        <v>#N/A</v>
      </c>
      <c r="D482" s="2314" t="e">
        <v>#N/A</v>
      </c>
      <c r="E482" s="2311" t="e">
        <v>#N/A</v>
      </c>
      <c r="F482" s="2312" t="e">
        <v>#N/A</v>
      </c>
      <c r="G482" s="2311" t="e">
        <v>#N/A</v>
      </c>
      <c r="H482" s="3262" t="e">
        <v>#N/A</v>
      </c>
      <c r="I482" s="2314" t="e">
        <v>#N/A</v>
      </c>
      <c r="J482" s="2311" t="e">
        <v>#N/A</v>
      </c>
      <c r="K482" s="3263" t="e">
        <v>#N/A</v>
      </c>
    </row>
    <row r="483" spans="1:11">
      <c r="A483" s="1340">
        <v>2029.06</v>
      </c>
      <c r="B483" s="2310" t="e">
        <v>#N/A</v>
      </c>
      <c r="C483" s="3261" t="e">
        <v>#N/A</v>
      </c>
      <c r="D483" s="2314" t="e">
        <v>#N/A</v>
      </c>
      <c r="E483" s="2311" t="e">
        <v>#N/A</v>
      </c>
      <c r="F483" s="2312" t="e">
        <v>#N/A</v>
      </c>
      <c r="G483" s="2311" t="e">
        <v>#N/A</v>
      </c>
      <c r="H483" s="3262" t="e">
        <v>#N/A</v>
      </c>
      <c r="I483" s="2314" t="e">
        <v>#N/A</v>
      </c>
      <c r="J483" s="2311" t="e">
        <v>#N/A</v>
      </c>
      <c r="K483" s="3263" t="e">
        <v>#N/A</v>
      </c>
    </row>
    <row r="484" spans="1:11">
      <c r="A484" s="1340">
        <v>2029.07</v>
      </c>
      <c r="B484" s="2310" t="e">
        <v>#N/A</v>
      </c>
      <c r="C484" s="3261" t="e">
        <v>#N/A</v>
      </c>
      <c r="D484" s="2314" t="e">
        <v>#N/A</v>
      </c>
      <c r="E484" s="2311" t="e">
        <v>#N/A</v>
      </c>
      <c r="F484" s="2312" t="e">
        <v>#N/A</v>
      </c>
      <c r="G484" s="2311" t="e">
        <v>#N/A</v>
      </c>
      <c r="H484" s="3262" t="e">
        <v>#N/A</v>
      </c>
      <c r="I484" s="2314" t="e">
        <v>#N/A</v>
      </c>
      <c r="J484" s="2311" t="e">
        <v>#N/A</v>
      </c>
      <c r="K484" s="3263" t="e">
        <v>#N/A</v>
      </c>
    </row>
    <row r="485" spans="1:11">
      <c r="A485" s="1340">
        <v>2029.08</v>
      </c>
      <c r="B485" s="2310" t="e">
        <v>#N/A</v>
      </c>
      <c r="C485" s="3261" t="e">
        <v>#N/A</v>
      </c>
      <c r="D485" s="2314" t="e">
        <v>#N/A</v>
      </c>
      <c r="E485" s="2311" t="e">
        <v>#N/A</v>
      </c>
      <c r="F485" s="2312" t="e">
        <v>#N/A</v>
      </c>
      <c r="G485" s="2311" t="e">
        <v>#N/A</v>
      </c>
      <c r="H485" s="3262" t="e">
        <v>#N/A</v>
      </c>
      <c r="I485" s="2314" t="e">
        <v>#N/A</v>
      </c>
      <c r="J485" s="2311" t="e">
        <v>#N/A</v>
      </c>
      <c r="K485" s="3263" t="e">
        <v>#N/A</v>
      </c>
    </row>
    <row r="486" spans="1:11">
      <c r="A486" s="1340">
        <v>2029.09</v>
      </c>
      <c r="B486" s="2310" t="e">
        <v>#N/A</v>
      </c>
      <c r="C486" s="3261" t="e">
        <v>#N/A</v>
      </c>
      <c r="D486" s="2314" t="e">
        <v>#N/A</v>
      </c>
      <c r="E486" s="2311" t="e">
        <v>#N/A</v>
      </c>
      <c r="F486" s="2312" t="e">
        <v>#N/A</v>
      </c>
      <c r="G486" s="2311" t="e">
        <v>#N/A</v>
      </c>
      <c r="H486" s="3262" t="e">
        <v>#N/A</v>
      </c>
      <c r="I486" s="2314" t="e">
        <v>#N/A</v>
      </c>
      <c r="J486" s="2311" t="e">
        <v>#N/A</v>
      </c>
      <c r="K486" s="3263" t="e">
        <v>#N/A</v>
      </c>
    </row>
    <row r="487" spans="1:11">
      <c r="A487" s="1340">
        <v>2029.1</v>
      </c>
      <c r="B487" s="2310" t="e">
        <v>#N/A</v>
      </c>
      <c r="C487" s="3261" t="e">
        <v>#N/A</v>
      </c>
      <c r="D487" s="2314" t="e">
        <v>#N/A</v>
      </c>
      <c r="E487" s="2311" t="e">
        <v>#N/A</v>
      </c>
      <c r="F487" s="2312" t="e">
        <v>#N/A</v>
      </c>
      <c r="G487" s="2311" t="e">
        <v>#N/A</v>
      </c>
      <c r="H487" s="3262" t="e">
        <v>#N/A</v>
      </c>
      <c r="I487" s="2314" t="e">
        <v>#N/A</v>
      </c>
      <c r="J487" s="2311" t="e">
        <v>#N/A</v>
      </c>
      <c r="K487" s="3263" t="e">
        <v>#N/A</v>
      </c>
    </row>
    <row r="488" spans="1:11">
      <c r="A488" s="1340">
        <v>2029.11</v>
      </c>
      <c r="B488" s="2310" t="e">
        <v>#N/A</v>
      </c>
      <c r="C488" s="3261" t="e">
        <v>#N/A</v>
      </c>
      <c r="D488" s="2314" t="e">
        <v>#N/A</v>
      </c>
      <c r="E488" s="2311" t="e">
        <v>#N/A</v>
      </c>
      <c r="F488" s="2312" t="e">
        <v>#N/A</v>
      </c>
      <c r="G488" s="2311" t="e">
        <v>#N/A</v>
      </c>
      <c r="H488" s="3262" t="e">
        <v>#N/A</v>
      </c>
      <c r="I488" s="2314" t="e">
        <v>#N/A</v>
      </c>
      <c r="J488" s="2311" t="e">
        <v>#N/A</v>
      </c>
      <c r="K488" s="3263" t="e">
        <v>#N/A</v>
      </c>
    </row>
    <row r="489" spans="1:11">
      <c r="A489" s="1340">
        <v>2029.12</v>
      </c>
      <c r="B489" s="2310" t="e">
        <v>#N/A</v>
      </c>
      <c r="C489" s="3261" t="e">
        <v>#N/A</v>
      </c>
      <c r="D489" s="2314" t="e">
        <v>#N/A</v>
      </c>
      <c r="E489" s="2311" t="e">
        <v>#N/A</v>
      </c>
      <c r="F489" s="2312" t="e">
        <v>#N/A</v>
      </c>
      <c r="G489" s="2311" t="e">
        <v>#N/A</v>
      </c>
      <c r="H489" s="3262" t="e">
        <v>#N/A</v>
      </c>
      <c r="I489" s="2314" t="e">
        <v>#N/A</v>
      </c>
      <c r="J489" s="2311" t="e">
        <v>#N/A</v>
      </c>
      <c r="K489" s="3263" t="e">
        <v>#N/A</v>
      </c>
    </row>
    <row r="490" spans="1:11">
      <c r="A490" s="1340">
        <v>2030.01</v>
      </c>
      <c r="B490" s="2310" t="e">
        <v>#N/A</v>
      </c>
      <c r="C490" s="3261" t="e">
        <v>#N/A</v>
      </c>
      <c r="D490" s="2314" t="e">
        <v>#N/A</v>
      </c>
      <c r="E490" s="2311" t="e">
        <v>#N/A</v>
      </c>
      <c r="F490" s="2312" t="e">
        <v>#N/A</v>
      </c>
      <c r="G490" s="2311" t="e">
        <v>#N/A</v>
      </c>
      <c r="H490" s="3262" t="e">
        <v>#N/A</v>
      </c>
      <c r="I490" s="2314" t="e">
        <v>#N/A</v>
      </c>
      <c r="J490" s="2311" t="e">
        <v>#N/A</v>
      </c>
      <c r="K490" s="3263" t="e">
        <v>#N/A</v>
      </c>
    </row>
    <row r="491" spans="1:11">
      <c r="A491" s="1340">
        <v>2030.02</v>
      </c>
      <c r="B491" s="2310" t="e">
        <v>#N/A</v>
      </c>
      <c r="C491" s="3261" t="e">
        <v>#N/A</v>
      </c>
      <c r="D491" s="2314" t="e">
        <v>#N/A</v>
      </c>
      <c r="E491" s="2311" t="e">
        <v>#N/A</v>
      </c>
      <c r="F491" s="2312" t="e">
        <v>#N/A</v>
      </c>
      <c r="G491" s="2311" t="e">
        <v>#N/A</v>
      </c>
      <c r="H491" s="3262" t="e">
        <v>#N/A</v>
      </c>
      <c r="I491" s="2314" t="e">
        <v>#N/A</v>
      </c>
      <c r="J491" s="2311" t="e">
        <v>#N/A</v>
      </c>
      <c r="K491" s="3263" t="e">
        <v>#N/A</v>
      </c>
    </row>
    <row r="492" spans="1:11">
      <c r="A492" s="1340">
        <v>2030.03</v>
      </c>
      <c r="B492" s="2310" t="e">
        <v>#N/A</v>
      </c>
      <c r="C492" s="3261" t="e">
        <v>#N/A</v>
      </c>
      <c r="D492" s="2314" t="e">
        <v>#N/A</v>
      </c>
      <c r="E492" s="2311" t="e">
        <v>#N/A</v>
      </c>
      <c r="F492" s="2312" t="e">
        <v>#N/A</v>
      </c>
      <c r="G492" s="2311" t="e">
        <v>#N/A</v>
      </c>
      <c r="H492" s="3262" t="e">
        <v>#N/A</v>
      </c>
      <c r="I492" s="2314" t="e">
        <v>#N/A</v>
      </c>
      <c r="J492" s="2311" t="e">
        <v>#N/A</v>
      </c>
      <c r="K492" s="3263" t="e">
        <v>#N/A</v>
      </c>
    </row>
    <row r="493" spans="1:11">
      <c r="A493" s="1340">
        <v>2030.04</v>
      </c>
      <c r="B493" s="2310" t="e">
        <v>#N/A</v>
      </c>
      <c r="C493" s="3261" t="e">
        <v>#N/A</v>
      </c>
      <c r="D493" s="2314" t="e">
        <v>#N/A</v>
      </c>
      <c r="E493" s="2311" t="e">
        <v>#N/A</v>
      </c>
      <c r="F493" s="2312" t="e">
        <v>#N/A</v>
      </c>
      <c r="G493" s="2311" t="e">
        <v>#N/A</v>
      </c>
      <c r="H493" s="3262" t="e">
        <v>#N/A</v>
      </c>
      <c r="I493" s="2314" t="e">
        <v>#N/A</v>
      </c>
      <c r="J493" s="2311" t="e">
        <v>#N/A</v>
      </c>
      <c r="K493" s="3263" t="e">
        <v>#N/A</v>
      </c>
    </row>
    <row r="494" spans="1:11">
      <c r="A494" s="1340">
        <v>2030.05</v>
      </c>
      <c r="B494" s="2310" t="e">
        <v>#N/A</v>
      </c>
      <c r="C494" s="3261" t="e">
        <v>#N/A</v>
      </c>
      <c r="D494" s="2314" t="e">
        <v>#N/A</v>
      </c>
      <c r="E494" s="2311" t="e">
        <v>#N/A</v>
      </c>
      <c r="F494" s="2312" t="e">
        <v>#N/A</v>
      </c>
      <c r="G494" s="2311" t="e">
        <v>#N/A</v>
      </c>
      <c r="H494" s="3262" t="e">
        <v>#N/A</v>
      </c>
      <c r="I494" s="2314" t="e">
        <v>#N/A</v>
      </c>
      <c r="J494" s="2311" t="e">
        <v>#N/A</v>
      </c>
      <c r="K494" s="3263" t="e">
        <v>#N/A</v>
      </c>
    </row>
    <row r="495" spans="1:11">
      <c r="A495" s="1340">
        <v>2030.06</v>
      </c>
      <c r="B495" s="2310" t="e">
        <v>#N/A</v>
      </c>
      <c r="C495" s="3261" t="e">
        <v>#N/A</v>
      </c>
      <c r="D495" s="2314" t="e">
        <v>#N/A</v>
      </c>
      <c r="E495" s="2311" t="e">
        <v>#N/A</v>
      </c>
      <c r="F495" s="2312" t="e">
        <v>#N/A</v>
      </c>
      <c r="G495" s="2311" t="e">
        <v>#N/A</v>
      </c>
      <c r="H495" s="3262" t="e">
        <v>#N/A</v>
      </c>
      <c r="I495" s="2314" t="e">
        <v>#N/A</v>
      </c>
      <c r="J495" s="2311" t="e">
        <v>#N/A</v>
      </c>
      <c r="K495" s="3263" t="e">
        <v>#N/A</v>
      </c>
    </row>
    <row r="496" spans="1:11">
      <c r="A496" s="1340">
        <v>2030.07</v>
      </c>
      <c r="B496" s="2310" t="e">
        <v>#N/A</v>
      </c>
      <c r="C496" s="3261" t="e">
        <v>#N/A</v>
      </c>
      <c r="D496" s="2314" t="e">
        <v>#N/A</v>
      </c>
      <c r="E496" s="2311" t="e">
        <v>#N/A</v>
      </c>
      <c r="F496" s="2312" t="e">
        <v>#N/A</v>
      </c>
      <c r="G496" s="2311" t="e">
        <v>#N/A</v>
      </c>
      <c r="H496" s="3262" t="e">
        <v>#N/A</v>
      </c>
      <c r="I496" s="2314" t="e">
        <v>#N/A</v>
      </c>
      <c r="J496" s="2311" t="e">
        <v>#N/A</v>
      </c>
      <c r="K496" s="3263" t="e">
        <v>#N/A</v>
      </c>
    </row>
    <row r="497" spans="1:11">
      <c r="A497" s="1340">
        <v>2030.08</v>
      </c>
      <c r="B497" s="2310" t="e">
        <v>#N/A</v>
      </c>
      <c r="C497" s="3261" t="e">
        <v>#N/A</v>
      </c>
      <c r="D497" s="2314" t="e">
        <v>#N/A</v>
      </c>
      <c r="E497" s="2311" t="e">
        <v>#N/A</v>
      </c>
      <c r="F497" s="2312" t="e">
        <v>#N/A</v>
      </c>
      <c r="G497" s="2311" t="e">
        <v>#N/A</v>
      </c>
      <c r="H497" s="3262" t="e">
        <v>#N/A</v>
      </c>
      <c r="I497" s="2314" t="e">
        <v>#N/A</v>
      </c>
      <c r="J497" s="2311" t="e">
        <v>#N/A</v>
      </c>
      <c r="K497" s="3263" t="e">
        <v>#N/A</v>
      </c>
    </row>
    <row r="498" spans="1:11">
      <c r="A498" s="1340">
        <v>2030.09</v>
      </c>
      <c r="B498" s="2310" t="e">
        <v>#N/A</v>
      </c>
      <c r="C498" s="3261" t="e">
        <v>#N/A</v>
      </c>
      <c r="D498" s="2314" t="e">
        <v>#N/A</v>
      </c>
      <c r="E498" s="2311" t="e">
        <v>#N/A</v>
      </c>
      <c r="F498" s="2312" t="e">
        <v>#N/A</v>
      </c>
      <c r="G498" s="2311" t="e">
        <v>#N/A</v>
      </c>
      <c r="H498" s="3262" t="e">
        <v>#N/A</v>
      </c>
      <c r="I498" s="2314" t="e">
        <v>#N/A</v>
      </c>
      <c r="J498" s="2311" t="e">
        <v>#N/A</v>
      </c>
      <c r="K498" s="3263" t="e">
        <v>#N/A</v>
      </c>
    </row>
    <row r="499" spans="1:11">
      <c r="A499" s="1340">
        <v>2030.1</v>
      </c>
      <c r="B499" s="2310" t="e">
        <v>#N/A</v>
      </c>
      <c r="C499" s="3261" t="e">
        <v>#N/A</v>
      </c>
      <c r="D499" s="2314" t="e">
        <v>#N/A</v>
      </c>
      <c r="E499" s="2311" t="e">
        <v>#N/A</v>
      </c>
      <c r="F499" s="2312" t="e">
        <v>#N/A</v>
      </c>
      <c r="G499" s="2311" t="e">
        <v>#N/A</v>
      </c>
      <c r="H499" s="3262" t="e">
        <v>#N/A</v>
      </c>
      <c r="I499" s="2314" t="e">
        <v>#N/A</v>
      </c>
      <c r="J499" s="2311" t="e">
        <v>#N/A</v>
      </c>
      <c r="K499" s="3263" t="e">
        <v>#N/A</v>
      </c>
    </row>
    <row r="500" spans="1:11">
      <c r="A500" s="1340">
        <v>2030.11</v>
      </c>
      <c r="B500" s="2310" t="e">
        <v>#N/A</v>
      </c>
      <c r="C500" s="3261" t="e">
        <v>#N/A</v>
      </c>
      <c r="D500" s="2314" t="e">
        <v>#N/A</v>
      </c>
      <c r="E500" s="2311" t="e">
        <v>#N/A</v>
      </c>
      <c r="F500" s="2312" t="e">
        <v>#N/A</v>
      </c>
      <c r="G500" s="2311" t="e">
        <v>#N/A</v>
      </c>
      <c r="H500" s="3262" t="e">
        <v>#N/A</v>
      </c>
      <c r="I500" s="2314" t="e">
        <v>#N/A</v>
      </c>
      <c r="J500" s="2311" t="e">
        <v>#N/A</v>
      </c>
      <c r="K500" s="3263" t="e">
        <v>#N/A</v>
      </c>
    </row>
    <row r="501" spans="1:11">
      <c r="A501" s="1340">
        <v>2030.12</v>
      </c>
      <c r="B501" s="2310" t="e">
        <v>#N/A</v>
      </c>
      <c r="C501" s="3261" t="e">
        <v>#N/A</v>
      </c>
      <c r="D501" s="2314" t="e">
        <v>#N/A</v>
      </c>
      <c r="E501" s="2311" t="e">
        <v>#N/A</v>
      </c>
      <c r="F501" s="2312" t="e">
        <v>#N/A</v>
      </c>
      <c r="G501" s="2311" t="e">
        <v>#N/A</v>
      </c>
      <c r="H501" s="3262" t="e">
        <v>#N/A</v>
      </c>
      <c r="I501" s="2314" t="e">
        <v>#N/A</v>
      </c>
      <c r="J501" s="2311" t="e">
        <v>#N/A</v>
      </c>
      <c r="K501" s="3263" t="e">
        <v>#N/A</v>
      </c>
    </row>
  </sheetData>
  <phoneticPr fontId="68" type="noConversion"/>
  <hyperlinks>
    <hyperlink ref="A1:A3" location="Indice!A1" display="ÍNDICE" xr:uid="{00000000-0004-0000-3900-000000000000}"/>
    <hyperlink ref="A5" location="INDICE!A13" display="VOLVER AL INDICE" xr:uid="{00000000-0004-0000-39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45"/>
  <dimension ref="A1:V705"/>
  <sheetViews>
    <sheetView zoomScale="115" zoomScaleNormal="115" workbookViewId="0">
      <pane xSplit="1" ySplit="9" topLeftCell="D637" activePane="bottomRight" state="frozen"/>
      <selection pane="topRight" activeCell="B1" sqref="B1"/>
      <selection pane="bottomLeft" activeCell="A10" sqref="A10"/>
      <selection pane="bottomRight" activeCell="A5" sqref="A5"/>
    </sheetView>
  </sheetViews>
  <sheetFormatPr baseColWidth="10" defaultColWidth="12.5703125" defaultRowHeight="12.75"/>
  <cols>
    <col min="1" max="1" width="11" style="103" customWidth="1"/>
    <col min="2" max="7" width="14.42578125" style="103" customWidth="1"/>
    <col min="8" max="12" width="18.28515625" style="21" customWidth="1"/>
    <col min="13" max="14" width="16.42578125" style="21" customWidth="1"/>
    <col min="15" max="15" width="18.140625" style="312" customWidth="1"/>
    <col min="16" max="16" width="18.140625" style="21" customWidth="1"/>
    <col min="17" max="16384" width="12.5703125" style="21"/>
  </cols>
  <sheetData>
    <row r="1" spans="1:17" s="19" customFormat="1" ht="3.75" customHeight="1">
      <c r="A1" s="34"/>
      <c r="B1" s="2185"/>
      <c r="C1" s="2303"/>
      <c r="D1" s="2303"/>
      <c r="E1" s="2303"/>
      <c r="F1" s="2303"/>
      <c r="G1" s="2187"/>
      <c r="H1" s="2315"/>
      <c r="I1" s="2315"/>
      <c r="J1" s="334"/>
      <c r="K1" s="339"/>
      <c r="L1" s="552"/>
      <c r="M1" s="339"/>
      <c r="N1" s="339"/>
      <c r="O1" s="552"/>
      <c r="P1" s="2316"/>
      <c r="Q1" s="2190"/>
    </row>
    <row r="2" spans="1:17" s="19" customFormat="1" ht="22.5">
      <c r="A2" s="59" t="s">
        <v>105</v>
      </c>
      <c r="B2" s="3225" t="s">
        <v>1563</v>
      </c>
      <c r="C2" s="3227"/>
      <c r="D2" s="3227"/>
      <c r="E2" s="3226"/>
      <c r="F2" s="3227"/>
      <c r="G2" s="3227"/>
      <c r="H2" s="3226" t="s">
        <v>1564</v>
      </c>
      <c r="I2" s="3226" t="s">
        <v>1564</v>
      </c>
      <c r="J2" s="2317" t="s">
        <v>1565</v>
      </c>
      <c r="K2" s="2317" t="s">
        <v>1566</v>
      </c>
      <c r="L2" s="2317" t="s">
        <v>1567</v>
      </c>
      <c r="M2" s="2488" t="s">
        <v>1568</v>
      </c>
      <c r="N2" s="517"/>
      <c r="O2" s="2191" t="s">
        <v>1569</v>
      </c>
      <c r="P2" s="343" t="s">
        <v>104</v>
      </c>
      <c r="Q2" s="2190"/>
    </row>
    <row r="3" spans="1:17" s="19" customFormat="1" ht="22.5">
      <c r="A3" s="59" t="s">
        <v>212</v>
      </c>
      <c r="B3" s="224" t="s">
        <v>1570</v>
      </c>
      <c r="C3" s="2192"/>
      <c r="D3" s="2192"/>
      <c r="E3" s="2488"/>
      <c r="F3" s="2192"/>
      <c r="G3" s="2192"/>
      <c r="H3" s="2488" t="s">
        <v>120</v>
      </c>
      <c r="I3" s="2491" t="s">
        <v>1571</v>
      </c>
      <c r="J3" s="2317" t="s">
        <v>1572</v>
      </c>
      <c r="K3" s="4" t="s">
        <v>1573</v>
      </c>
      <c r="L3" s="4" t="s">
        <v>1573</v>
      </c>
      <c r="M3" s="2488" t="s">
        <v>115</v>
      </c>
      <c r="N3" s="517"/>
      <c r="O3" s="3546" t="s">
        <v>1574</v>
      </c>
      <c r="P3" s="3547"/>
      <c r="Q3" s="2190"/>
    </row>
    <row r="4" spans="1:17" s="19" customFormat="1" ht="3" hidden="1" customHeight="1">
      <c r="A4" s="147"/>
      <c r="B4" s="2400"/>
      <c r="C4" s="150"/>
      <c r="D4" s="149"/>
      <c r="E4" s="2400"/>
      <c r="F4" s="150"/>
      <c r="G4" s="149"/>
      <c r="H4" s="2400"/>
      <c r="I4" s="1964"/>
      <c r="J4" s="1964"/>
      <c r="K4" s="1964"/>
      <c r="L4" s="1964"/>
      <c r="M4" s="2400"/>
      <c r="N4" s="149"/>
      <c r="O4" s="2400"/>
      <c r="P4" s="148"/>
      <c r="Q4" s="2190"/>
    </row>
    <row r="5" spans="1:17" s="19" customFormat="1" ht="32.25" customHeight="1">
      <c r="A5" s="2390" t="s">
        <v>137</v>
      </c>
      <c r="B5" s="2868" t="s">
        <v>1575</v>
      </c>
      <c r="C5" s="2865"/>
      <c r="D5" s="2865"/>
      <c r="E5" s="2863" t="s">
        <v>1576</v>
      </c>
      <c r="F5" s="285"/>
      <c r="G5" s="285"/>
      <c r="H5" s="2489" t="s">
        <v>1577</v>
      </c>
      <c r="I5" s="2489" t="s">
        <v>1577</v>
      </c>
      <c r="J5" s="2318" t="s">
        <v>1577</v>
      </c>
      <c r="K5" s="3" t="s">
        <v>1577</v>
      </c>
      <c r="L5" s="3" t="s">
        <v>1577</v>
      </c>
      <c r="M5" s="3548" t="s">
        <v>1577</v>
      </c>
      <c r="N5" s="3549"/>
      <c r="O5" s="2866" t="s">
        <v>1578</v>
      </c>
      <c r="P5" s="2867" t="s">
        <v>108</v>
      </c>
      <c r="Q5" s="2190"/>
    </row>
    <row r="6" spans="1:17" s="19" customFormat="1" ht="65.25" customHeight="1">
      <c r="A6" s="104"/>
      <c r="B6" s="2860" t="s">
        <v>1579</v>
      </c>
      <c r="C6" s="2861" t="s">
        <v>1580</v>
      </c>
      <c r="D6" s="2862" t="s">
        <v>1581</v>
      </c>
      <c r="E6" s="2863" t="s">
        <v>1579</v>
      </c>
      <c r="F6" s="2864" t="s">
        <v>1582</v>
      </c>
      <c r="G6" s="2865" t="s">
        <v>1581</v>
      </c>
      <c r="H6" s="2489" t="s">
        <v>1583</v>
      </c>
      <c r="I6" s="2489" t="s">
        <v>1584</v>
      </c>
      <c r="J6" s="2318" t="s">
        <v>1585</v>
      </c>
      <c r="K6" s="2708" t="s">
        <v>1586</v>
      </c>
      <c r="L6" s="2708" t="s">
        <v>1586</v>
      </c>
      <c r="M6" s="1024" t="s">
        <v>1587</v>
      </c>
      <c r="N6" s="2" t="s">
        <v>1588</v>
      </c>
      <c r="O6" s="2866" t="s">
        <v>1589</v>
      </c>
      <c r="P6" s="2867" t="s">
        <v>1590</v>
      </c>
      <c r="Q6" s="2190"/>
    </row>
    <row r="7" spans="1:17" s="19" customFormat="1" ht="22.5">
      <c r="A7" s="2373" t="s">
        <v>123</v>
      </c>
      <c r="B7" s="467" t="s">
        <v>1591</v>
      </c>
      <c r="C7" s="930"/>
      <c r="D7" s="285"/>
      <c r="E7" s="2489" t="s">
        <v>1591</v>
      </c>
      <c r="F7" s="930"/>
      <c r="G7" s="1023"/>
      <c r="H7" s="2319" t="s">
        <v>358</v>
      </c>
      <c r="I7" s="2319" t="s">
        <v>358</v>
      </c>
      <c r="J7" s="335" t="s">
        <v>358</v>
      </c>
      <c r="K7" s="335" t="s">
        <v>358</v>
      </c>
      <c r="L7" s="335" t="s">
        <v>358</v>
      </c>
      <c r="M7" s="1025" t="s">
        <v>358</v>
      </c>
      <c r="N7" s="518" t="s">
        <v>358</v>
      </c>
      <c r="O7" s="1025" t="s">
        <v>1592</v>
      </c>
      <c r="P7" s="342" t="s">
        <v>1593</v>
      </c>
      <c r="Q7" s="2190"/>
    </row>
    <row r="8" spans="1:17" s="19" customFormat="1" ht="13.5" thickBot="1">
      <c r="A8" s="105" t="s">
        <v>141</v>
      </c>
      <c r="B8" s="150" t="s">
        <v>1594</v>
      </c>
      <c r="C8" s="639" t="s">
        <v>1595</v>
      </c>
      <c r="D8" s="149" t="s">
        <v>1596</v>
      </c>
      <c r="E8" s="2400" t="s">
        <v>1597</v>
      </c>
      <c r="F8" s="639" t="s">
        <v>1598</v>
      </c>
      <c r="G8" s="150" t="s">
        <v>1599</v>
      </c>
      <c r="H8" s="2400" t="s">
        <v>1600</v>
      </c>
      <c r="I8" s="1964" t="s">
        <v>1601</v>
      </c>
      <c r="J8" s="1964" t="s">
        <v>1602</v>
      </c>
      <c r="K8" s="1964" t="s">
        <v>1603</v>
      </c>
      <c r="L8" s="1964" t="s">
        <v>1604</v>
      </c>
      <c r="M8" s="2400" t="s">
        <v>1605</v>
      </c>
      <c r="N8" s="560" t="s">
        <v>1606</v>
      </c>
      <c r="O8" s="773" t="s">
        <v>1607</v>
      </c>
      <c r="P8" s="148" t="s">
        <v>1608</v>
      </c>
      <c r="Q8" s="2190"/>
    </row>
    <row r="9" spans="1:17" s="20" customFormat="1" ht="3" hidden="1" customHeight="1" thickBot="1">
      <c r="A9" s="72"/>
      <c r="B9" s="2197"/>
      <c r="C9" s="2199"/>
      <c r="D9" s="1569"/>
      <c r="E9" s="2198"/>
      <c r="F9" s="2199"/>
      <c r="G9" s="1569"/>
      <c r="H9" s="2694"/>
      <c r="I9" s="2694"/>
      <c r="J9" s="2695"/>
      <c r="K9" s="2696"/>
      <c r="L9" s="2696"/>
      <c r="M9" s="2697"/>
      <c r="N9" s="2698"/>
      <c r="O9" s="2697"/>
      <c r="P9" s="2699"/>
      <c r="Q9" s="1565"/>
    </row>
    <row r="10" spans="1:17" s="20" customFormat="1">
      <c r="A10" s="2320">
        <v>1973.01</v>
      </c>
      <c r="B10" s="2700"/>
      <c r="C10" s="2701"/>
      <c r="D10" s="2702"/>
      <c r="E10" s="2703"/>
      <c r="F10" s="2701"/>
      <c r="G10" s="2702"/>
      <c r="H10" s="2700"/>
      <c r="I10" s="2704"/>
      <c r="J10" s="2705"/>
      <c r="K10" s="2704"/>
      <c r="L10" s="2704"/>
      <c r="M10" s="2706"/>
      <c r="N10" s="2702"/>
      <c r="O10" s="3362">
        <v>42.6</v>
      </c>
      <c r="P10" s="2707">
        <v>41.6</v>
      </c>
      <c r="Q10" s="2204"/>
    </row>
    <row r="11" spans="1:17" s="20" customFormat="1">
      <c r="A11" s="2202">
        <v>1973.02</v>
      </c>
      <c r="B11" s="2321" t="s">
        <v>5</v>
      </c>
      <c r="C11" s="3267"/>
      <c r="D11" s="1020"/>
      <c r="E11" s="340"/>
      <c r="F11" s="3267"/>
      <c r="G11" s="1020"/>
      <c r="H11" s="2321"/>
      <c r="I11" s="309"/>
      <c r="J11" s="336"/>
      <c r="K11" s="309"/>
      <c r="L11" s="309"/>
      <c r="M11" s="1027"/>
      <c r="N11" s="1020"/>
      <c r="O11" s="3363">
        <v>42.9</v>
      </c>
      <c r="P11" s="2322">
        <v>42.4</v>
      </c>
      <c r="Q11" s="2204"/>
    </row>
    <row r="12" spans="1:17" s="20" customFormat="1">
      <c r="A12" s="2308">
        <v>1973.03</v>
      </c>
      <c r="B12" s="465">
        <v>27.153596470171099</v>
      </c>
      <c r="C12" s="3268">
        <v>114.027883490177</v>
      </c>
      <c r="D12" s="1021">
        <v>1.08821409805355</v>
      </c>
      <c r="E12" s="1022">
        <v>101.921989141023</v>
      </c>
      <c r="F12" s="3268">
        <v>106.343194240039</v>
      </c>
      <c r="G12" s="466">
        <v>91.163218167306894</v>
      </c>
      <c r="H12" s="2323"/>
      <c r="I12" s="309"/>
      <c r="J12" s="336"/>
      <c r="K12" s="309"/>
      <c r="L12" s="309"/>
      <c r="M12" s="1027"/>
      <c r="N12" s="1020"/>
      <c r="O12" s="3363">
        <v>43.3</v>
      </c>
      <c r="P12" s="2322">
        <v>43.4</v>
      </c>
      <c r="Q12" s="2204"/>
    </row>
    <row r="13" spans="1:17" s="20" customFormat="1">
      <c r="A13" s="2308">
        <v>1973.04</v>
      </c>
      <c r="B13" s="2324">
        <v>27.337378990423002</v>
      </c>
      <c r="C13" s="3269">
        <v>114.99012595948901</v>
      </c>
      <c r="D13" s="2325">
        <v>1.08972691138629</v>
      </c>
      <c r="E13" s="2326">
        <v>102.280727742243</v>
      </c>
      <c r="F13" s="3269">
        <v>107.04715774711801</v>
      </c>
      <c r="G13" s="2325">
        <v>90.578309992920595</v>
      </c>
      <c r="H13" s="2321"/>
      <c r="I13" s="309"/>
      <c r="J13" s="336"/>
      <c r="K13" s="309"/>
      <c r="L13" s="309"/>
      <c r="M13" s="1027"/>
      <c r="N13" s="1020"/>
      <c r="O13" s="3363">
        <v>43.6</v>
      </c>
      <c r="P13" s="2322">
        <v>43.6</v>
      </c>
      <c r="Q13" s="2204"/>
    </row>
    <row r="14" spans="1:17" s="20" customFormat="1">
      <c r="A14" s="2308">
        <v>1973.05</v>
      </c>
      <c r="B14" s="2324">
        <v>27.187815270361199</v>
      </c>
      <c r="C14" s="3269">
        <v>114.149033526922</v>
      </c>
      <c r="D14" s="2325">
        <v>1.09028879529828</v>
      </c>
      <c r="E14" s="2326">
        <v>100.934686432373</v>
      </c>
      <c r="F14" s="3269">
        <v>105.706513385357</v>
      </c>
      <c r="G14" s="2325">
        <v>89.200567590234002</v>
      </c>
      <c r="H14" s="2321"/>
      <c r="I14" s="309"/>
      <c r="J14" s="336"/>
      <c r="K14" s="309"/>
      <c r="L14" s="309"/>
      <c r="M14" s="1027"/>
      <c r="N14" s="1020"/>
      <c r="O14" s="3363">
        <v>43.9</v>
      </c>
      <c r="P14" s="2322">
        <v>44.5</v>
      </c>
      <c r="Q14" s="2204"/>
    </row>
    <row r="15" spans="1:17" s="20" customFormat="1">
      <c r="A15" s="2308">
        <v>1973.06</v>
      </c>
      <c r="B15" s="2324">
        <v>26.7724572986141</v>
      </c>
      <c r="C15" s="3269">
        <v>112.02936449325399</v>
      </c>
      <c r="D15" s="2325">
        <v>1.08528445301406</v>
      </c>
      <c r="E15" s="2326">
        <v>99.162997593790607</v>
      </c>
      <c r="F15" s="3269">
        <v>103.72052457400601</v>
      </c>
      <c r="G15" s="2325">
        <v>87.991163309953393</v>
      </c>
      <c r="H15" s="2321"/>
      <c r="I15" s="309"/>
      <c r="J15" s="336"/>
      <c r="K15" s="309"/>
      <c r="L15" s="309"/>
      <c r="M15" s="1027"/>
      <c r="N15" s="1020"/>
      <c r="O15" s="3363">
        <v>44.2</v>
      </c>
      <c r="P15" s="2322">
        <v>45.5</v>
      </c>
      <c r="Q15" s="2204"/>
    </row>
    <row r="16" spans="1:17" s="20" customFormat="1">
      <c r="A16" s="2308">
        <v>1973.07</v>
      </c>
      <c r="B16" s="2324">
        <v>26.386883363517899</v>
      </c>
      <c r="C16" s="3269">
        <v>109.931160776703</v>
      </c>
      <c r="D16" s="2325">
        <v>1.08494479420127</v>
      </c>
      <c r="E16" s="2326">
        <v>96.5490774315914</v>
      </c>
      <c r="F16" s="3269">
        <v>100.90309234847599</v>
      </c>
      <c r="G16" s="2325">
        <v>85.900314850510298</v>
      </c>
      <c r="H16" s="2321"/>
      <c r="I16" s="309"/>
      <c r="J16" s="336"/>
      <c r="K16" s="309"/>
      <c r="L16" s="309"/>
      <c r="M16" s="1027"/>
      <c r="N16" s="1020"/>
      <c r="O16" s="3363">
        <v>44.3</v>
      </c>
      <c r="P16" s="2322">
        <v>44.9</v>
      </c>
      <c r="Q16" s="2204"/>
    </row>
    <row r="17" spans="1:17" s="20" customFormat="1">
      <c r="A17" s="2308">
        <v>1973.08</v>
      </c>
      <c r="B17" s="2324">
        <v>26.678088453348899</v>
      </c>
      <c r="C17" s="3269">
        <v>111.483471954276</v>
      </c>
      <c r="D17" s="2325">
        <v>1.08619838631111</v>
      </c>
      <c r="E17" s="2326">
        <v>98.277198334364599</v>
      </c>
      <c r="F17" s="3269">
        <v>103.19225584047101</v>
      </c>
      <c r="G17" s="2325">
        <v>86.124109746299297</v>
      </c>
      <c r="H17" s="2321"/>
      <c r="I17" s="309"/>
      <c r="J17" s="336"/>
      <c r="K17" s="309"/>
      <c r="L17" s="309"/>
      <c r="M17" s="1027"/>
      <c r="N17" s="1020"/>
      <c r="O17" s="3363">
        <v>45.1</v>
      </c>
      <c r="P17" s="2322">
        <v>47.5</v>
      </c>
      <c r="Q17" s="2204"/>
    </row>
    <row r="18" spans="1:17" s="20" customFormat="1">
      <c r="A18" s="2308">
        <v>1973.09</v>
      </c>
      <c r="B18" s="2324">
        <v>26.741461297623001</v>
      </c>
      <c r="C18" s="3269">
        <v>111.691444395459</v>
      </c>
      <c r="D18" s="2325">
        <v>1.09055534079441</v>
      </c>
      <c r="E18" s="2326">
        <v>97.787680179782001</v>
      </c>
      <c r="F18" s="3269">
        <v>102.87973316714</v>
      </c>
      <c r="G18" s="2325">
        <v>85.154899610444602</v>
      </c>
      <c r="H18" s="2321"/>
      <c r="I18" s="309"/>
      <c r="J18" s="336"/>
      <c r="K18" s="309"/>
      <c r="L18" s="309"/>
      <c r="M18" s="1027"/>
      <c r="N18" s="1020"/>
      <c r="O18" s="3363">
        <v>45.2</v>
      </c>
      <c r="P18" s="2322">
        <v>46.7</v>
      </c>
      <c r="Q18" s="2204"/>
    </row>
    <row r="19" spans="1:17" s="20" customFormat="1">
      <c r="A19" s="2308">
        <v>1973.1</v>
      </c>
      <c r="B19" s="2324">
        <v>26.637921154124601</v>
      </c>
      <c r="C19" s="3269">
        <v>111.120251463755</v>
      </c>
      <c r="D19" s="2325">
        <v>1.0907135381561399</v>
      </c>
      <c r="E19" s="2326">
        <v>97.716977413611403</v>
      </c>
      <c r="F19" s="3269">
        <v>102.514149971234</v>
      </c>
      <c r="G19" s="2325">
        <v>85.875577702685604</v>
      </c>
      <c r="H19" s="2321"/>
      <c r="I19" s="309"/>
      <c r="J19" s="336"/>
      <c r="K19" s="309"/>
      <c r="L19" s="309"/>
      <c r="M19" s="1027"/>
      <c r="N19" s="1020"/>
      <c r="O19" s="3363">
        <v>45.6</v>
      </c>
      <c r="P19" s="2322">
        <v>46.3</v>
      </c>
      <c r="Q19" s="2204"/>
    </row>
    <row r="20" spans="1:17" s="20" customFormat="1">
      <c r="A20" s="2308">
        <v>1973.11</v>
      </c>
      <c r="B20" s="2324">
        <v>27.377257925415801</v>
      </c>
      <c r="C20" s="3269">
        <v>114.19921101215699</v>
      </c>
      <c r="D20" s="2325">
        <v>1.12118479397991</v>
      </c>
      <c r="E20" s="2326">
        <v>99.444682533610205</v>
      </c>
      <c r="F20" s="3269">
        <v>104.952846517227</v>
      </c>
      <c r="G20" s="2325">
        <v>85.722959632969605</v>
      </c>
      <c r="H20" s="2321"/>
      <c r="I20" s="309"/>
      <c r="J20" s="336"/>
      <c r="K20" s="309"/>
      <c r="L20" s="309"/>
      <c r="M20" s="1027"/>
      <c r="N20" s="1020"/>
      <c r="O20" s="3363">
        <v>45.9</v>
      </c>
      <c r="P20" s="2322">
        <v>46.5</v>
      </c>
      <c r="Q20" s="2204"/>
    </row>
    <row r="21" spans="1:17" s="20" customFormat="1">
      <c r="A21" s="2308">
        <v>1973.12</v>
      </c>
      <c r="B21" s="2324">
        <v>27.720529660422201</v>
      </c>
      <c r="C21" s="3269">
        <v>116.029349970106</v>
      </c>
      <c r="D21" s="2325">
        <v>1.12268503290993</v>
      </c>
      <c r="E21" s="2326">
        <v>99.984594970528093</v>
      </c>
      <c r="F21" s="3269">
        <v>105.975039875946</v>
      </c>
      <c r="G21" s="2325">
        <v>85.0071014403551</v>
      </c>
      <c r="H21" s="2321"/>
      <c r="I21" s="309"/>
      <c r="J21" s="336"/>
      <c r="K21" s="309"/>
      <c r="L21" s="309"/>
      <c r="M21" s="1027"/>
      <c r="N21" s="1020"/>
      <c r="O21" s="3363">
        <v>46.2</v>
      </c>
      <c r="P21" s="2322">
        <v>47.4</v>
      </c>
      <c r="Q21" s="2204"/>
    </row>
    <row r="22" spans="1:17" s="20" customFormat="1">
      <c r="A22" s="2308">
        <v>1974.01</v>
      </c>
      <c r="B22" s="2324">
        <v>28.485888921420202</v>
      </c>
      <c r="C22" s="3269">
        <v>119.92286560983599</v>
      </c>
      <c r="D22" s="2325">
        <v>1.13405917118933</v>
      </c>
      <c r="E22" s="2326">
        <v>101.717925686904</v>
      </c>
      <c r="F22" s="3269">
        <v>109.147996485875</v>
      </c>
      <c r="G22" s="2325">
        <v>83.393359703631404</v>
      </c>
      <c r="H22" s="2321"/>
      <c r="I22" s="309"/>
      <c r="J22" s="336"/>
      <c r="K22" s="309"/>
      <c r="L22" s="309"/>
      <c r="M22" s="1027"/>
      <c r="N22" s="1020"/>
      <c r="O22" s="3363">
        <v>46.6</v>
      </c>
      <c r="P22" s="2322">
        <v>49</v>
      </c>
      <c r="Q22" s="2204"/>
    </row>
    <row r="23" spans="1:17" s="20" customFormat="1">
      <c r="A23" s="2308">
        <v>1974.02</v>
      </c>
      <c r="B23" s="2324">
        <v>28.103334623299599</v>
      </c>
      <c r="C23" s="3269">
        <v>117.685811410414</v>
      </c>
      <c r="D23" s="2325">
        <v>1.13649293879665</v>
      </c>
      <c r="E23" s="2326">
        <v>99.1538010923976</v>
      </c>
      <c r="F23" s="3269">
        <v>106.52026310161899</v>
      </c>
      <c r="G23" s="2325">
        <v>81.012801848708705</v>
      </c>
      <c r="H23" s="2321"/>
      <c r="I23" s="309"/>
      <c r="J23" s="336"/>
      <c r="K23" s="309"/>
      <c r="L23" s="309"/>
      <c r="M23" s="1027"/>
      <c r="N23" s="1020"/>
      <c r="O23" s="3363">
        <v>47.2</v>
      </c>
      <c r="P23" s="2322">
        <v>50</v>
      </c>
      <c r="Q23" s="2204"/>
    </row>
    <row r="24" spans="1:17" s="20" customFormat="1">
      <c r="A24" s="2308">
        <v>1974.03</v>
      </c>
      <c r="B24" s="2324">
        <v>27.6816167549254</v>
      </c>
      <c r="C24" s="3269">
        <v>115.250305118572</v>
      </c>
      <c r="D24" s="2325">
        <v>1.1387401342866501</v>
      </c>
      <c r="E24" s="2326">
        <v>97.460026535116</v>
      </c>
      <c r="F24" s="3269">
        <v>104.372990293911</v>
      </c>
      <c r="G24" s="2325">
        <v>80.369198723278501</v>
      </c>
      <c r="H24" s="2321"/>
      <c r="I24" s="309"/>
      <c r="J24" s="336"/>
      <c r="K24" s="309"/>
      <c r="L24" s="309"/>
      <c r="M24" s="1027"/>
      <c r="N24" s="1020"/>
      <c r="O24" s="3363">
        <v>47.8</v>
      </c>
      <c r="P24" s="2322">
        <v>50.6</v>
      </c>
      <c r="Q24" s="2204"/>
    </row>
    <row r="25" spans="1:17" s="20" customFormat="1">
      <c r="A25" s="2308">
        <v>1974.04</v>
      </c>
      <c r="B25" s="2324">
        <v>27.413548775372799</v>
      </c>
      <c r="C25" s="3269">
        <v>113.70950888106</v>
      </c>
      <c r="D25" s="2325">
        <v>1.1401686466560501</v>
      </c>
      <c r="E25" s="2326">
        <v>95.989031307549794</v>
      </c>
      <c r="F25" s="3269">
        <v>102.518577323239</v>
      </c>
      <c r="G25" s="2325">
        <v>79.794011892894702</v>
      </c>
      <c r="H25" s="2321"/>
      <c r="I25" s="309"/>
      <c r="J25" s="336"/>
      <c r="K25" s="309"/>
      <c r="L25" s="309"/>
      <c r="M25" s="1027"/>
      <c r="N25" s="1020"/>
      <c r="O25" s="3363">
        <v>48</v>
      </c>
      <c r="P25" s="2322">
        <v>51</v>
      </c>
      <c r="Q25" s="2204"/>
    </row>
    <row r="26" spans="1:17" s="20" customFormat="1">
      <c r="A26" s="2308">
        <v>1974.05</v>
      </c>
      <c r="B26" s="2324">
        <v>27.2436110415344</v>
      </c>
      <c r="C26" s="3269">
        <v>112.688261805899</v>
      </c>
      <c r="D26" s="2325">
        <v>1.1425151396395901</v>
      </c>
      <c r="E26" s="2326">
        <v>95.199480681568303</v>
      </c>
      <c r="F26" s="3269">
        <v>101.396477873926</v>
      </c>
      <c r="G26" s="2325">
        <v>79.781899805771502</v>
      </c>
      <c r="H26" s="2321"/>
      <c r="I26" s="309"/>
      <c r="J26" s="336"/>
      <c r="K26" s="309"/>
      <c r="L26" s="309"/>
      <c r="M26" s="1027"/>
      <c r="N26" s="1020"/>
      <c r="O26" s="3363">
        <v>48.6</v>
      </c>
      <c r="P26" s="2322">
        <v>51.8</v>
      </c>
      <c r="Q26" s="2204"/>
    </row>
    <row r="27" spans="1:17" s="20" customFormat="1">
      <c r="A27" s="2308">
        <v>1974.06</v>
      </c>
      <c r="B27" s="2324">
        <v>27.5104027145697</v>
      </c>
      <c r="C27" s="3269">
        <v>113.981026329778</v>
      </c>
      <c r="D27" s="2325">
        <v>1.1480549847164201</v>
      </c>
      <c r="E27" s="2326">
        <v>95.917039405702695</v>
      </c>
      <c r="F27" s="3269">
        <v>102.438472243977</v>
      </c>
      <c r="G27" s="2325">
        <v>79.741556707469996</v>
      </c>
      <c r="H27" s="2321"/>
      <c r="I27" s="309"/>
      <c r="J27" s="336"/>
      <c r="K27" s="309"/>
      <c r="L27" s="309"/>
      <c r="M27" s="1027"/>
      <c r="N27" s="1020"/>
      <c r="O27" s="3363">
        <v>49</v>
      </c>
      <c r="P27" s="2322">
        <v>52</v>
      </c>
      <c r="Q27" s="2204"/>
    </row>
    <row r="28" spans="1:17" s="20" customFormat="1">
      <c r="A28" s="2308">
        <v>1974.07</v>
      </c>
      <c r="B28" s="2324">
        <v>27.725624588317402</v>
      </c>
      <c r="C28" s="3269">
        <v>114.878911749506</v>
      </c>
      <c r="D28" s="2325">
        <v>1.15685040162871</v>
      </c>
      <c r="E28" s="2326">
        <v>95.962439371411506</v>
      </c>
      <c r="F28" s="3269">
        <v>102.70326785605501</v>
      </c>
      <c r="G28" s="2325">
        <v>79.284255151124995</v>
      </c>
      <c r="H28" s="2321"/>
      <c r="I28" s="309"/>
      <c r="J28" s="336"/>
      <c r="K28" s="309"/>
      <c r="L28" s="309"/>
      <c r="M28" s="1027"/>
      <c r="N28" s="1020"/>
      <c r="O28" s="3363">
        <v>49.4</v>
      </c>
      <c r="P28" s="2322">
        <v>54</v>
      </c>
      <c r="Q28" s="2204"/>
    </row>
    <row r="29" spans="1:17" s="20" customFormat="1">
      <c r="A29" s="2308">
        <v>1974.08</v>
      </c>
      <c r="B29" s="2324">
        <v>28.093478270637799</v>
      </c>
      <c r="C29" s="3269">
        <v>116.793744391552</v>
      </c>
      <c r="D29" s="2325">
        <v>1.1606704014865099</v>
      </c>
      <c r="E29" s="2326">
        <v>97.275496814453007</v>
      </c>
      <c r="F29" s="3269">
        <v>104.538723749531</v>
      </c>
      <c r="G29" s="2325">
        <v>79.396676171127396</v>
      </c>
      <c r="H29" s="2321"/>
      <c r="I29" s="309"/>
      <c r="J29" s="336"/>
      <c r="K29" s="309"/>
      <c r="L29" s="309"/>
      <c r="M29" s="1027"/>
      <c r="N29" s="1020"/>
      <c r="O29" s="3363">
        <v>50</v>
      </c>
      <c r="P29" s="2322">
        <v>55.9</v>
      </c>
      <c r="Q29" s="2204"/>
    </row>
    <row r="30" spans="1:17" s="20" customFormat="1">
      <c r="A30" s="2308">
        <v>1974.09</v>
      </c>
      <c r="B30" s="2324">
        <v>28.2485552301269</v>
      </c>
      <c r="C30" s="3269">
        <v>117.51371454189901</v>
      </c>
      <c r="D30" s="2325">
        <v>1.16486257286654</v>
      </c>
      <c r="E30" s="2326">
        <v>98.091385249358098</v>
      </c>
      <c r="F30" s="3269">
        <v>105.53181761477499</v>
      </c>
      <c r="G30" s="2325">
        <v>79.802433904434594</v>
      </c>
      <c r="H30" s="2321"/>
      <c r="I30" s="309"/>
      <c r="J30" s="336"/>
      <c r="K30" s="309"/>
      <c r="L30" s="309"/>
      <c r="M30" s="1027"/>
      <c r="N30" s="1020"/>
      <c r="O30" s="3363">
        <v>50.6</v>
      </c>
      <c r="P30" s="2322">
        <v>55.9</v>
      </c>
      <c r="Q30" s="2204"/>
    </row>
    <row r="31" spans="1:17" s="20" customFormat="1">
      <c r="A31" s="2308">
        <v>1974.1</v>
      </c>
      <c r="B31" s="2324">
        <v>28.186865325926501</v>
      </c>
      <c r="C31" s="3269">
        <v>116.94755305013</v>
      </c>
      <c r="D31" s="2325">
        <v>1.1714225353865899</v>
      </c>
      <c r="E31" s="2326">
        <v>97.153857911747806</v>
      </c>
      <c r="F31" s="3269">
        <v>104.402004572941</v>
      </c>
      <c r="G31" s="2325">
        <v>79.310844295964699</v>
      </c>
      <c r="H31" s="2321"/>
      <c r="I31" s="309"/>
      <c r="J31" s="336"/>
      <c r="K31" s="309"/>
      <c r="L31" s="309"/>
      <c r="M31" s="1027"/>
      <c r="N31" s="1020"/>
      <c r="O31" s="3363">
        <v>51.1</v>
      </c>
      <c r="P31" s="2322">
        <v>56.9</v>
      </c>
      <c r="Q31" s="2204"/>
    </row>
    <row r="32" spans="1:17" s="20" customFormat="1">
      <c r="A32" s="2308">
        <v>1974.11</v>
      </c>
      <c r="B32" s="2324">
        <v>28.1319747457798</v>
      </c>
      <c r="C32" s="3269">
        <v>116.367300571554</v>
      </c>
      <c r="D32" s="2325">
        <v>1.17963273571259</v>
      </c>
      <c r="E32" s="2326">
        <v>96.653783271421801</v>
      </c>
      <c r="F32" s="3269">
        <v>103.705956124888</v>
      </c>
      <c r="G32" s="2325">
        <v>79.259537258154396</v>
      </c>
      <c r="H32" s="2321"/>
      <c r="I32" s="309"/>
      <c r="J32" s="336"/>
      <c r="K32" s="309"/>
      <c r="L32" s="309"/>
      <c r="M32" s="1027"/>
      <c r="N32" s="1020"/>
      <c r="O32" s="3363">
        <v>51.5</v>
      </c>
      <c r="P32" s="2322">
        <v>57.4</v>
      </c>
      <c r="Q32" s="2204"/>
    </row>
    <row r="33" spans="1:17" s="20" customFormat="1">
      <c r="A33" s="2308">
        <v>1974.12</v>
      </c>
      <c r="B33" s="2324">
        <v>28.121447331553</v>
      </c>
      <c r="C33" s="3269">
        <v>115.394652184332</v>
      </c>
      <c r="D33" s="2325">
        <v>1.20744158503642</v>
      </c>
      <c r="E33" s="2326">
        <v>96.224220066943303</v>
      </c>
      <c r="F33" s="3269">
        <v>102.55192765565999</v>
      </c>
      <c r="G33" s="2325">
        <v>80.492185175063099</v>
      </c>
      <c r="H33" s="2321"/>
      <c r="I33" s="309"/>
      <c r="J33" s="336"/>
      <c r="K33" s="309"/>
      <c r="L33" s="309"/>
      <c r="M33" s="1027"/>
      <c r="N33" s="1020"/>
      <c r="O33" s="3363">
        <v>51.9</v>
      </c>
      <c r="P33" s="2322">
        <v>57.3</v>
      </c>
      <c r="Q33" s="2204"/>
    </row>
    <row r="34" spans="1:17" s="20" customFormat="1">
      <c r="A34" s="2308">
        <v>1975.01</v>
      </c>
      <c r="B34" s="2324">
        <v>28.124557168681299</v>
      </c>
      <c r="C34" s="3269">
        <v>114.245650482424</v>
      </c>
      <c r="D34" s="2325">
        <v>1.24272397805593</v>
      </c>
      <c r="E34" s="2326">
        <v>96.123718648985999</v>
      </c>
      <c r="F34" s="3269">
        <v>101.680146725548</v>
      </c>
      <c r="G34" s="2325">
        <v>82.124546664412094</v>
      </c>
      <c r="H34" s="2321"/>
      <c r="I34" s="309"/>
      <c r="J34" s="336"/>
      <c r="K34" s="309"/>
      <c r="L34" s="309"/>
      <c r="M34" s="1027"/>
      <c r="N34" s="1020"/>
      <c r="O34" s="3363">
        <v>52.1</v>
      </c>
      <c r="P34" s="2322">
        <v>57.4</v>
      </c>
      <c r="Q34" s="2204"/>
    </row>
    <row r="35" spans="1:17" s="20" customFormat="1">
      <c r="A35" s="2308">
        <v>1975.02</v>
      </c>
      <c r="B35" s="2324">
        <v>27.911725641763599</v>
      </c>
      <c r="C35" s="3269">
        <v>113.051986362752</v>
      </c>
      <c r="D35" s="2325">
        <v>1.2434825854051299</v>
      </c>
      <c r="E35" s="2326">
        <v>95.040077951682903</v>
      </c>
      <c r="F35" s="3269">
        <v>100.33045509484199</v>
      </c>
      <c r="G35" s="2325">
        <v>81.663681860749904</v>
      </c>
      <c r="H35" s="2321"/>
      <c r="I35" s="309"/>
      <c r="J35" s="336"/>
      <c r="K35" s="309"/>
      <c r="L35" s="309"/>
      <c r="M35" s="1027"/>
      <c r="N35" s="1020"/>
      <c r="O35" s="3363">
        <v>52.5</v>
      </c>
      <c r="P35" s="2322">
        <v>57.2</v>
      </c>
      <c r="Q35" s="2204"/>
    </row>
    <row r="36" spans="1:17" s="20" customFormat="1">
      <c r="A36" s="2308">
        <v>1975.03</v>
      </c>
      <c r="B36" s="2324">
        <v>27.8758284912583</v>
      </c>
      <c r="C36" s="3269">
        <v>112.271139568732</v>
      </c>
      <c r="D36" s="2325">
        <v>1.26178416585997</v>
      </c>
      <c r="E36" s="2326">
        <v>94.530942573739097</v>
      </c>
      <c r="F36" s="3269">
        <v>99.324740872790599</v>
      </c>
      <c r="G36" s="2325">
        <v>82.310350546094</v>
      </c>
      <c r="H36" s="2321"/>
      <c r="I36" s="309"/>
      <c r="J36" s="336"/>
      <c r="K36" s="309"/>
      <c r="L36" s="309"/>
      <c r="M36" s="1027"/>
      <c r="N36" s="1020"/>
      <c r="O36" s="3363">
        <v>52.7</v>
      </c>
      <c r="P36" s="2322">
        <v>56.9</v>
      </c>
      <c r="Q36" s="2204"/>
    </row>
    <row r="37" spans="1:17" s="20" customFormat="1">
      <c r="A37" s="2308">
        <v>1975.04</v>
      </c>
      <c r="B37" s="2324">
        <v>28.239705265991098</v>
      </c>
      <c r="C37" s="3269">
        <v>113.856151007937</v>
      </c>
      <c r="D37" s="2325">
        <v>1.27447300579388</v>
      </c>
      <c r="E37" s="2326">
        <v>95.110073363414898</v>
      </c>
      <c r="F37" s="3269">
        <v>100.226721926891</v>
      </c>
      <c r="G37" s="2325">
        <v>82.132794865736003</v>
      </c>
      <c r="H37" s="2321"/>
      <c r="I37" s="309"/>
      <c r="J37" s="336"/>
      <c r="K37" s="309"/>
      <c r="L37" s="309"/>
      <c r="M37" s="1027"/>
      <c r="N37" s="1020"/>
      <c r="O37" s="3363">
        <v>52.9</v>
      </c>
      <c r="P37" s="2322">
        <v>57.5</v>
      </c>
      <c r="Q37" s="2204"/>
    </row>
    <row r="38" spans="1:17" s="20" customFormat="1">
      <c r="A38" s="2308">
        <v>1975.05</v>
      </c>
      <c r="B38" s="2324">
        <v>28.3277060234605</v>
      </c>
      <c r="C38" s="3269">
        <v>114.156789733686</v>
      </c>
      <c r="D38" s="2325">
        <v>1.28015288672289</v>
      </c>
      <c r="E38" s="2326">
        <v>94.387487227105595</v>
      </c>
      <c r="F38" s="3269">
        <v>99.578761452939403</v>
      </c>
      <c r="G38" s="2325">
        <v>81.247164289852094</v>
      </c>
      <c r="H38" s="2321"/>
      <c r="I38" s="309"/>
      <c r="J38" s="336"/>
      <c r="K38" s="309"/>
      <c r="L38" s="309"/>
      <c r="M38" s="1027"/>
      <c r="N38" s="1020"/>
      <c r="O38" s="3363">
        <v>53.2</v>
      </c>
      <c r="P38" s="2322">
        <v>57.9</v>
      </c>
      <c r="Q38" s="2204"/>
    </row>
    <row r="39" spans="1:17" s="20" customFormat="1">
      <c r="A39" s="2308">
        <v>1975.06</v>
      </c>
      <c r="B39" s="2324">
        <v>28.507463771864799</v>
      </c>
      <c r="C39" s="3269">
        <v>114.29667649274</v>
      </c>
      <c r="D39" s="2325">
        <v>1.30693767902388</v>
      </c>
      <c r="E39" s="2326">
        <v>94.5131313075712</v>
      </c>
      <c r="F39" s="3269">
        <v>99.484228924899199</v>
      </c>
      <c r="G39" s="2325">
        <v>81.8799392146055</v>
      </c>
      <c r="H39" s="2321"/>
      <c r="I39" s="309"/>
      <c r="J39" s="336"/>
      <c r="K39" s="309"/>
      <c r="L39" s="309"/>
      <c r="M39" s="1027"/>
      <c r="N39" s="1020"/>
      <c r="O39" s="3363">
        <v>53.6</v>
      </c>
      <c r="P39" s="2322">
        <v>58</v>
      </c>
      <c r="Q39" s="2204"/>
    </row>
    <row r="40" spans="1:17" s="20" customFormat="1">
      <c r="A40" s="2308">
        <v>1975.07</v>
      </c>
      <c r="B40" s="2324">
        <v>29.162337316471799</v>
      </c>
      <c r="C40" s="3269">
        <v>117.145029537868</v>
      </c>
      <c r="D40" s="2325">
        <v>1.3298354406244299</v>
      </c>
      <c r="E40" s="2326">
        <v>96.673010339643298</v>
      </c>
      <c r="F40" s="3269">
        <v>102.16804347931</v>
      </c>
      <c r="G40" s="2325">
        <v>82.806303501457194</v>
      </c>
      <c r="H40" s="2321"/>
      <c r="I40" s="309"/>
      <c r="J40" s="336"/>
      <c r="K40" s="309"/>
      <c r="L40" s="309"/>
      <c r="M40" s="1027"/>
      <c r="N40" s="1020"/>
      <c r="O40" s="3363">
        <v>54.2</v>
      </c>
      <c r="P40" s="2322">
        <v>58.7</v>
      </c>
      <c r="Q40" s="2204"/>
    </row>
    <row r="41" spans="1:17" s="20" customFormat="1">
      <c r="A41" s="2308">
        <v>1975.08</v>
      </c>
      <c r="B41" s="2324">
        <v>29.675939718851598</v>
      </c>
      <c r="C41" s="3269">
        <v>119.316545446448</v>
      </c>
      <c r="D41" s="2325">
        <v>1.34976151366877</v>
      </c>
      <c r="E41" s="2326">
        <v>97.725274207563203</v>
      </c>
      <c r="F41" s="3269">
        <v>103.613027469603</v>
      </c>
      <c r="G41" s="2325">
        <v>82.951623052475</v>
      </c>
      <c r="H41" s="2321"/>
      <c r="I41" s="309"/>
      <c r="J41" s="336"/>
      <c r="K41" s="309"/>
      <c r="L41" s="309"/>
      <c r="M41" s="1027"/>
      <c r="N41" s="1020"/>
      <c r="O41" s="3363">
        <v>54.3</v>
      </c>
      <c r="P41" s="2322">
        <v>59</v>
      </c>
      <c r="Q41" s="2204"/>
    </row>
    <row r="42" spans="1:17" s="20" customFormat="1">
      <c r="A42" s="2308">
        <v>1975.09</v>
      </c>
      <c r="B42" s="2324">
        <v>29.9349601696515</v>
      </c>
      <c r="C42" s="3269">
        <v>120.038258602203</v>
      </c>
      <c r="D42" s="2325">
        <v>1.37180889223115</v>
      </c>
      <c r="E42" s="2326">
        <v>98.502547503484607</v>
      </c>
      <c r="F42" s="3269">
        <v>104.26439357983099</v>
      </c>
      <c r="G42" s="2325">
        <v>84.002493007989898</v>
      </c>
      <c r="H42" s="2321"/>
      <c r="I42" s="309"/>
      <c r="J42" s="336"/>
      <c r="K42" s="309"/>
      <c r="L42" s="309"/>
      <c r="M42" s="1027"/>
      <c r="N42" s="1020"/>
      <c r="O42" s="3363">
        <v>54.6</v>
      </c>
      <c r="P42" s="2322">
        <v>59.4</v>
      </c>
      <c r="Q42" s="2204"/>
    </row>
    <row r="43" spans="1:17" s="20" customFormat="1">
      <c r="A43" s="2308">
        <v>1975.1</v>
      </c>
      <c r="B43" s="2324">
        <v>30.003846859657902</v>
      </c>
      <c r="C43" s="3269">
        <v>119.9660348252</v>
      </c>
      <c r="D43" s="2325">
        <v>1.3862429360027599</v>
      </c>
      <c r="E43" s="2326">
        <v>98.238499564563995</v>
      </c>
      <c r="F43" s="3269">
        <v>103.953549031704</v>
      </c>
      <c r="G43" s="2325">
        <v>83.848563960828599</v>
      </c>
      <c r="H43" s="2321"/>
      <c r="I43" s="309"/>
      <c r="J43" s="336"/>
      <c r="K43" s="309"/>
      <c r="L43" s="309"/>
      <c r="M43" s="1027"/>
      <c r="N43" s="1020"/>
      <c r="O43" s="3363">
        <v>54.9</v>
      </c>
      <c r="P43" s="2322">
        <v>59.8</v>
      </c>
      <c r="Q43" s="2204"/>
    </row>
    <row r="44" spans="1:17" s="20" customFormat="1">
      <c r="A44" s="2308">
        <v>1975.11</v>
      </c>
      <c r="B44" s="2324">
        <v>29.984148507470099</v>
      </c>
      <c r="C44" s="3269">
        <v>119.60549317979201</v>
      </c>
      <c r="D44" s="2325">
        <v>1.39454944335341</v>
      </c>
      <c r="E44" s="2326">
        <v>98.028574409436999</v>
      </c>
      <c r="F44" s="3269">
        <v>103.541669534758</v>
      </c>
      <c r="G44" s="2325">
        <v>84.102360788286106</v>
      </c>
      <c r="H44" s="2321"/>
      <c r="I44" s="309"/>
      <c r="J44" s="336"/>
      <c r="K44" s="309"/>
      <c r="L44" s="309"/>
      <c r="M44" s="1027"/>
      <c r="N44" s="1020"/>
      <c r="O44" s="3363">
        <v>55.3</v>
      </c>
      <c r="P44" s="2322">
        <v>59.5</v>
      </c>
      <c r="Q44" s="2204"/>
    </row>
    <row r="45" spans="1:17" s="20" customFormat="1">
      <c r="A45" s="2308">
        <v>1975.12</v>
      </c>
      <c r="B45" s="2324">
        <v>30.200596739453399</v>
      </c>
      <c r="C45" s="3269">
        <v>120.415380173632</v>
      </c>
      <c r="D45" s="2325">
        <v>1.40637417862237</v>
      </c>
      <c r="E45" s="2326">
        <v>98.479620463580403</v>
      </c>
      <c r="F45" s="3269">
        <v>104.077596487601</v>
      </c>
      <c r="G45" s="2325">
        <v>84.3531976907406</v>
      </c>
      <c r="H45" s="2321"/>
      <c r="I45" s="309"/>
      <c r="J45" s="336"/>
      <c r="K45" s="309"/>
      <c r="L45" s="309"/>
      <c r="M45" s="1027"/>
      <c r="N45" s="1020"/>
      <c r="O45" s="3363">
        <v>55.5</v>
      </c>
      <c r="P45" s="2322">
        <v>59.7</v>
      </c>
      <c r="Q45" s="2204"/>
    </row>
    <row r="46" spans="1:17" s="20" customFormat="1">
      <c r="A46" s="2308">
        <v>1976.01</v>
      </c>
      <c r="B46" s="2324">
        <v>30.173644690246199</v>
      </c>
      <c r="C46" s="3269">
        <v>120.021944862768</v>
      </c>
      <c r="D46" s="2325">
        <v>1.4144534959424699</v>
      </c>
      <c r="E46" s="2326">
        <v>97.818524004118999</v>
      </c>
      <c r="F46" s="3269">
        <v>103.265614818022</v>
      </c>
      <c r="G46" s="2325">
        <v>84.043172517833099</v>
      </c>
      <c r="H46" s="2321"/>
      <c r="I46" s="309"/>
      <c r="J46" s="336"/>
      <c r="K46" s="309"/>
      <c r="L46" s="309"/>
      <c r="M46" s="1027"/>
      <c r="N46" s="1020"/>
      <c r="O46" s="3363">
        <v>55.6</v>
      </c>
      <c r="P46" s="2322">
        <v>59.9</v>
      </c>
      <c r="Q46" s="2204"/>
    </row>
    <row r="47" spans="1:17" s="20" customFormat="1">
      <c r="A47" s="2308">
        <v>1976.02</v>
      </c>
      <c r="B47" s="2324">
        <v>30.1523276639833</v>
      </c>
      <c r="C47" s="3269">
        <v>119.65906318062601</v>
      </c>
      <c r="D47" s="2325">
        <v>1.4226193753226299</v>
      </c>
      <c r="E47" s="2326">
        <v>96.936534599873397</v>
      </c>
      <c r="F47" s="3269">
        <v>102.393968428035</v>
      </c>
      <c r="G47" s="2325">
        <v>83.150796581862807</v>
      </c>
      <c r="H47" s="2321"/>
      <c r="I47" s="309"/>
      <c r="J47" s="336"/>
      <c r="K47" s="309"/>
      <c r="L47" s="309"/>
      <c r="M47" s="1027"/>
      <c r="N47" s="1020"/>
      <c r="O47" s="3363">
        <v>55.8</v>
      </c>
      <c r="P47" s="2322">
        <v>59.9</v>
      </c>
      <c r="Q47" s="2204"/>
    </row>
    <row r="48" spans="1:17" s="20" customFormat="1">
      <c r="A48" s="2308">
        <v>1976.03</v>
      </c>
      <c r="B48" s="2324">
        <v>30.363308304578101</v>
      </c>
      <c r="C48" s="3269">
        <v>120.533332591479</v>
      </c>
      <c r="D48" s="2325">
        <v>1.4313525831571501</v>
      </c>
      <c r="E48" s="2326">
        <v>96.894557983831106</v>
      </c>
      <c r="F48" s="3269">
        <v>102.754327583378</v>
      </c>
      <c r="G48" s="2325">
        <v>82.206483196761596</v>
      </c>
      <c r="H48" s="2321"/>
      <c r="I48" s="309"/>
      <c r="J48" s="336"/>
      <c r="K48" s="309"/>
      <c r="L48" s="309"/>
      <c r="M48" s="1027"/>
      <c r="N48" s="1020"/>
      <c r="O48" s="3363">
        <v>55.9</v>
      </c>
      <c r="P48" s="2322">
        <v>60</v>
      </c>
      <c r="Q48" s="2204"/>
    </row>
    <row r="49" spans="1:17" s="20" customFormat="1">
      <c r="A49" s="2308">
        <v>1976.04</v>
      </c>
      <c r="B49" s="2324">
        <v>30.580803125557701</v>
      </c>
      <c r="C49" s="3269">
        <v>121.196049749078</v>
      </c>
      <c r="D49" s="2325">
        <v>1.4482602039641199</v>
      </c>
      <c r="E49" s="2326">
        <v>96.712822216884504</v>
      </c>
      <c r="F49" s="3269">
        <v>102.68202145355001</v>
      </c>
      <c r="G49" s="2325">
        <v>81.784632023582304</v>
      </c>
      <c r="H49" s="2321"/>
      <c r="I49" s="309"/>
      <c r="J49" s="336"/>
      <c r="K49" s="309"/>
      <c r="L49" s="309"/>
      <c r="M49" s="1027"/>
      <c r="N49" s="1020"/>
      <c r="O49" s="3363">
        <v>56.1</v>
      </c>
      <c r="P49" s="2322">
        <v>60.6</v>
      </c>
      <c r="Q49" s="2204"/>
    </row>
    <row r="50" spans="1:17" s="20" customFormat="1">
      <c r="A50" s="2308">
        <v>1976.05</v>
      </c>
      <c r="B50" s="2324">
        <v>30.659876908658401</v>
      </c>
      <c r="C50" s="3269">
        <v>121.39780247381</v>
      </c>
      <c r="D50" s="2325">
        <v>1.4557278049701601</v>
      </c>
      <c r="E50" s="2326">
        <v>96.618515230282497</v>
      </c>
      <c r="F50" s="3269">
        <v>102.665040589852</v>
      </c>
      <c r="G50" s="2325">
        <v>81.520759485027</v>
      </c>
      <c r="H50" s="2321"/>
      <c r="I50" s="309"/>
      <c r="J50" s="336"/>
      <c r="K50" s="309"/>
      <c r="L50" s="309"/>
      <c r="M50" s="1027"/>
      <c r="N50" s="1020"/>
      <c r="O50" s="3363">
        <v>56.5</v>
      </c>
      <c r="P50" s="2322">
        <v>60.8</v>
      </c>
      <c r="Q50" s="2204"/>
    </row>
    <row r="51" spans="1:17" s="20" customFormat="1">
      <c r="A51" s="2308">
        <v>1976.06</v>
      </c>
      <c r="B51" s="2324">
        <v>30.733802618980299</v>
      </c>
      <c r="C51" s="3269">
        <v>121.580623166349</v>
      </c>
      <c r="D51" s="2325">
        <v>1.46291316652437</v>
      </c>
      <c r="E51" s="2326">
        <v>96.644956235368696</v>
      </c>
      <c r="F51" s="3269">
        <v>102.789778499744</v>
      </c>
      <c r="G51" s="2325">
        <v>81.329769770508094</v>
      </c>
      <c r="H51" s="2321"/>
      <c r="I51" s="309"/>
      <c r="J51" s="336"/>
      <c r="K51" s="309"/>
      <c r="L51" s="309"/>
      <c r="M51" s="1027"/>
      <c r="N51" s="1020"/>
      <c r="O51" s="3363">
        <v>56.8</v>
      </c>
      <c r="P51" s="2322">
        <v>61.2</v>
      </c>
      <c r="Q51" s="2204"/>
    </row>
    <row r="52" spans="1:17" s="20" customFormat="1">
      <c r="A52" s="2308">
        <v>1976.07</v>
      </c>
      <c r="B52" s="2324">
        <v>30.634025277663699</v>
      </c>
      <c r="C52" s="3269">
        <v>121.034061684638</v>
      </c>
      <c r="D52" s="2325">
        <v>1.4632608527050299</v>
      </c>
      <c r="E52" s="2326">
        <v>96.228593229871905</v>
      </c>
      <c r="F52" s="3269">
        <v>102.36704008058901</v>
      </c>
      <c r="G52" s="2325">
        <v>80.935125279780493</v>
      </c>
      <c r="H52" s="2321"/>
      <c r="I52" s="309"/>
      <c r="J52" s="336"/>
      <c r="K52" s="309"/>
      <c r="L52" s="309"/>
      <c r="M52" s="1027"/>
      <c r="N52" s="1020"/>
      <c r="O52" s="3363">
        <v>57.1</v>
      </c>
      <c r="P52" s="2322">
        <v>61.6</v>
      </c>
      <c r="Q52" s="2204"/>
    </row>
    <row r="53" spans="1:17" s="20" customFormat="1">
      <c r="A53" s="2308">
        <v>1976.08</v>
      </c>
      <c r="B53" s="2324">
        <v>30.6473015662677</v>
      </c>
      <c r="C53" s="3269">
        <v>121.00000321690401</v>
      </c>
      <c r="D53" s="2325">
        <v>1.46681328250939</v>
      </c>
      <c r="E53" s="2326">
        <v>96.087040261105798</v>
      </c>
      <c r="F53" s="3269">
        <v>102.401995616145</v>
      </c>
      <c r="G53" s="2325">
        <v>80.408998583236894</v>
      </c>
      <c r="H53" s="2321"/>
      <c r="I53" s="309"/>
      <c r="J53" s="336"/>
      <c r="K53" s="309"/>
      <c r="L53" s="309"/>
      <c r="M53" s="1027"/>
      <c r="N53" s="1020"/>
      <c r="O53" s="3363">
        <v>57.4</v>
      </c>
      <c r="P53" s="2322">
        <v>61.4</v>
      </c>
      <c r="Q53" s="2204"/>
    </row>
    <row r="54" spans="1:17" s="20" customFormat="1">
      <c r="A54" s="2308">
        <v>1976.09</v>
      </c>
      <c r="B54" s="2324">
        <v>31.2425010939568</v>
      </c>
      <c r="C54" s="3269">
        <v>120.213979068561</v>
      </c>
      <c r="D54" s="2325">
        <v>1.6064590243686001</v>
      </c>
      <c r="E54" s="2326">
        <v>97.359244964757494</v>
      </c>
      <c r="F54" s="3269">
        <v>101.23777115359501</v>
      </c>
      <c r="G54" s="2325">
        <v>87.247039796268893</v>
      </c>
      <c r="H54" s="2321"/>
      <c r="I54" s="309"/>
      <c r="J54" s="336"/>
      <c r="K54" s="309"/>
      <c r="L54" s="309"/>
      <c r="M54" s="1027"/>
      <c r="N54" s="1020"/>
      <c r="O54" s="3363">
        <v>57.6</v>
      </c>
      <c r="P54" s="2322">
        <v>61.8</v>
      </c>
      <c r="Q54" s="2204"/>
    </row>
    <row r="55" spans="1:17" s="20" customFormat="1">
      <c r="A55" s="2308">
        <v>1976.1</v>
      </c>
      <c r="B55" s="2324">
        <v>31.3749540414777</v>
      </c>
      <c r="C55" s="3269">
        <v>120.632147931788</v>
      </c>
      <c r="D55" s="2325">
        <v>1.6166812163309201</v>
      </c>
      <c r="E55" s="2326">
        <v>97.226795986916798</v>
      </c>
      <c r="F55" s="3269">
        <v>101.30527290880499</v>
      </c>
      <c r="G55" s="2325">
        <v>86.637749068456998</v>
      </c>
      <c r="H55" s="2321"/>
      <c r="I55" s="309"/>
      <c r="J55" s="336"/>
      <c r="K55" s="309"/>
      <c r="L55" s="309"/>
      <c r="M55" s="1027"/>
      <c r="N55" s="1020"/>
      <c r="O55" s="3363">
        <v>57.9</v>
      </c>
      <c r="P55" s="2322">
        <v>61.9</v>
      </c>
      <c r="Q55" s="2204"/>
    </row>
    <row r="56" spans="1:17" s="20" customFormat="1">
      <c r="A56" s="2308">
        <v>1976.11</v>
      </c>
      <c r="B56" s="2324">
        <v>31.839937433141699</v>
      </c>
      <c r="C56" s="3269">
        <v>121.495196702822</v>
      </c>
      <c r="D56" s="2325">
        <v>1.67567260312727</v>
      </c>
      <c r="E56" s="2326">
        <v>97.947716993754796</v>
      </c>
      <c r="F56" s="3269">
        <v>101.538582196663</v>
      </c>
      <c r="G56" s="2325">
        <v>88.525283865917501</v>
      </c>
      <c r="H56" s="2321"/>
      <c r="I56" s="309"/>
      <c r="J56" s="336"/>
      <c r="K56" s="309"/>
      <c r="L56" s="309"/>
      <c r="M56" s="1027"/>
      <c r="N56" s="1020"/>
      <c r="O56" s="3363">
        <v>58</v>
      </c>
      <c r="P56" s="2322">
        <v>62</v>
      </c>
      <c r="Q56" s="2204"/>
    </row>
    <row r="57" spans="1:17" s="20" customFormat="1">
      <c r="A57" s="2308">
        <v>1976.12</v>
      </c>
      <c r="B57" s="2324">
        <v>31.929232445057799</v>
      </c>
      <c r="C57" s="3269">
        <v>122.721416071989</v>
      </c>
      <c r="D57" s="2325">
        <v>1.6468231497919199</v>
      </c>
      <c r="E57" s="2326">
        <v>97.649754361593295</v>
      </c>
      <c r="F57" s="3269">
        <v>102.10482644296</v>
      </c>
      <c r="G57" s="2325">
        <v>86.165757322780706</v>
      </c>
      <c r="H57" s="2321"/>
      <c r="I57" s="309"/>
      <c r="J57" s="336"/>
      <c r="K57" s="309"/>
      <c r="L57" s="309"/>
      <c r="M57" s="1027"/>
      <c r="N57" s="1020"/>
      <c r="O57" s="3363">
        <v>58.2</v>
      </c>
      <c r="P57" s="2322">
        <v>62.5</v>
      </c>
      <c r="Q57" s="2204"/>
    </row>
    <row r="58" spans="1:17" s="20" customFormat="1">
      <c r="A58" s="2308">
        <v>1977.01</v>
      </c>
      <c r="B58" s="2324">
        <v>31.869788917624401</v>
      </c>
      <c r="C58" s="3269">
        <v>121.984726165616</v>
      </c>
      <c r="D58" s="2325">
        <v>1.6627913185649099</v>
      </c>
      <c r="E58" s="2326">
        <v>96.962268675028298</v>
      </c>
      <c r="F58" s="3269">
        <v>101.150249509373</v>
      </c>
      <c r="G58" s="2325">
        <v>86.109548772263693</v>
      </c>
      <c r="H58" s="2321"/>
      <c r="I58" s="309"/>
      <c r="J58" s="336"/>
      <c r="K58" s="309"/>
      <c r="L58" s="309"/>
      <c r="M58" s="1027"/>
      <c r="N58" s="1020"/>
      <c r="O58" s="3363">
        <v>58.5</v>
      </c>
      <c r="P58" s="2322">
        <v>62.8</v>
      </c>
      <c r="Q58" s="2204"/>
    </row>
    <row r="59" spans="1:17" s="20" customFormat="1">
      <c r="A59" s="2308">
        <v>1977.02</v>
      </c>
      <c r="B59" s="2324">
        <v>32.089545271775698</v>
      </c>
      <c r="C59" s="3269">
        <v>122.337346994542</v>
      </c>
      <c r="D59" s="2325">
        <v>1.6927336654714</v>
      </c>
      <c r="E59" s="2326">
        <v>97.679299270243703</v>
      </c>
      <c r="F59" s="3269">
        <v>101.851839479605</v>
      </c>
      <c r="G59" s="2325">
        <v>86.855261372661005</v>
      </c>
      <c r="H59" s="2321"/>
      <c r="I59" s="309"/>
      <c r="J59" s="336"/>
      <c r="K59" s="309"/>
      <c r="L59" s="309"/>
      <c r="M59" s="1027"/>
      <c r="N59" s="1020"/>
      <c r="O59" s="3363">
        <v>59.1</v>
      </c>
      <c r="P59" s="2322">
        <v>63.5</v>
      </c>
      <c r="Q59" s="2204"/>
    </row>
    <row r="60" spans="1:17" s="20" customFormat="1">
      <c r="A60" s="2308">
        <v>1977.03</v>
      </c>
      <c r="B60" s="2324">
        <v>32.210189791020198</v>
      </c>
      <c r="C60" s="3269">
        <v>122.760519443093</v>
      </c>
      <c r="D60" s="2325">
        <v>1.7005003044911</v>
      </c>
      <c r="E60" s="2326">
        <v>97.590155883468398</v>
      </c>
      <c r="F60" s="3269">
        <v>101.84612422600399</v>
      </c>
      <c r="G60" s="2325">
        <v>86.571385170147394</v>
      </c>
      <c r="H60" s="2321"/>
      <c r="I60" s="309"/>
      <c r="J60" s="336"/>
      <c r="K60" s="309"/>
      <c r="L60" s="309"/>
      <c r="M60" s="1027"/>
      <c r="N60" s="1020"/>
      <c r="O60" s="3363">
        <v>59.5</v>
      </c>
      <c r="P60" s="2322">
        <v>64.099999999999994</v>
      </c>
      <c r="Q60" s="2204"/>
    </row>
    <row r="61" spans="1:17" s="20" customFormat="1">
      <c r="A61" s="2308">
        <v>1977.04</v>
      </c>
      <c r="B61" s="2324">
        <v>32.124700907806201</v>
      </c>
      <c r="C61" s="3269">
        <v>122.14597186468001</v>
      </c>
      <c r="D61" s="2325">
        <v>1.70705318490183</v>
      </c>
      <c r="E61" s="2326">
        <v>97.089856581957704</v>
      </c>
      <c r="F61" s="3269">
        <v>101.23391330561</v>
      </c>
      <c r="G61" s="2325">
        <v>86.338899433903293</v>
      </c>
      <c r="H61" s="2321"/>
      <c r="I61" s="309"/>
      <c r="J61" s="336"/>
      <c r="K61" s="309"/>
      <c r="L61" s="309"/>
      <c r="M61" s="1027"/>
      <c r="N61" s="1020"/>
      <c r="O61" s="3363">
        <v>60</v>
      </c>
      <c r="P61" s="2322">
        <v>64.900000000000006</v>
      </c>
      <c r="Q61" s="2204"/>
    </row>
    <row r="62" spans="1:17" s="20" customFormat="1">
      <c r="A62" s="2308">
        <v>1977.05</v>
      </c>
      <c r="B62" s="2324">
        <v>32.165002287516899</v>
      </c>
      <c r="C62" s="3269">
        <v>122.105864834787</v>
      </c>
      <c r="D62" s="2325">
        <v>1.71666001233773</v>
      </c>
      <c r="E62" s="2326">
        <v>96.622635145062304</v>
      </c>
      <c r="F62" s="3269">
        <v>100.699501054091</v>
      </c>
      <c r="G62" s="2325">
        <v>86.034525034985805</v>
      </c>
      <c r="H62" s="2321"/>
      <c r="I62" s="309"/>
      <c r="J62" s="336"/>
      <c r="K62" s="309"/>
      <c r="L62" s="309"/>
      <c r="M62" s="1027"/>
      <c r="N62" s="1020"/>
      <c r="O62" s="3363">
        <v>60.3</v>
      </c>
      <c r="P62" s="2322">
        <v>65.2</v>
      </c>
      <c r="Q62" s="2204"/>
    </row>
    <row r="63" spans="1:17" s="20" customFormat="1">
      <c r="A63" s="2308">
        <v>1977.06</v>
      </c>
      <c r="B63" s="2324">
        <v>32.200246018289</v>
      </c>
      <c r="C63" s="3269">
        <v>122.024849901992</v>
      </c>
      <c r="D63" s="2325">
        <v>1.7268892578433399</v>
      </c>
      <c r="E63" s="2326">
        <v>96.361746835076701</v>
      </c>
      <c r="F63" s="3269">
        <v>100.60793623859701</v>
      </c>
      <c r="G63" s="2325">
        <v>85.379207707461205</v>
      </c>
      <c r="H63" s="2321"/>
      <c r="I63" s="309"/>
      <c r="J63" s="336"/>
      <c r="K63" s="309"/>
      <c r="L63" s="309"/>
      <c r="M63" s="1027"/>
      <c r="N63" s="1020"/>
      <c r="O63" s="3363">
        <v>60.7</v>
      </c>
      <c r="P63" s="2322">
        <v>65</v>
      </c>
      <c r="Q63" s="2204"/>
    </row>
    <row r="64" spans="1:17" s="20" customFormat="1">
      <c r="A64" s="2308">
        <v>1977.07</v>
      </c>
      <c r="B64" s="2324">
        <v>32.020009051996098</v>
      </c>
      <c r="C64" s="3269">
        <v>120.945415466848</v>
      </c>
      <c r="D64" s="2325">
        <v>1.73277488181908</v>
      </c>
      <c r="E64" s="2326">
        <v>95.567612165544404</v>
      </c>
      <c r="F64" s="3269">
        <v>99.587621516894203</v>
      </c>
      <c r="G64" s="2325">
        <v>85.124167922384302</v>
      </c>
      <c r="H64" s="2321"/>
      <c r="I64" s="309"/>
      <c r="J64" s="336"/>
      <c r="K64" s="309"/>
      <c r="L64" s="309"/>
      <c r="M64" s="1027"/>
      <c r="N64" s="1020"/>
      <c r="O64" s="3363">
        <v>61</v>
      </c>
      <c r="P64" s="2322">
        <v>65.099999999999994</v>
      </c>
      <c r="Q64" s="2204"/>
    </row>
    <row r="65" spans="1:17" s="20" customFormat="1">
      <c r="A65" s="2308">
        <v>1977.08</v>
      </c>
      <c r="B65" s="2324">
        <v>32.255362652482603</v>
      </c>
      <c r="C65" s="3269">
        <v>121.989279583057</v>
      </c>
      <c r="D65" s="2325">
        <v>1.73941213966548</v>
      </c>
      <c r="E65" s="2326">
        <v>95.907049582026701</v>
      </c>
      <c r="F65" s="3269">
        <v>100.424029091362</v>
      </c>
      <c r="G65" s="2325">
        <v>84.300103450671003</v>
      </c>
      <c r="H65" s="2321"/>
      <c r="I65" s="309"/>
      <c r="J65" s="336"/>
      <c r="K65" s="309"/>
      <c r="L65" s="309"/>
      <c r="M65" s="1027"/>
      <c r="N65" s="1020"/>
      <c r="O65" s="3363">
        <v>61.2</v>
      </c>
      <c r="P65" s="2322">
        <v>65</v>
      </c>
      <c r="Q65" s="2204"/>
    </row>
    <row r="66" spans="1:17" s="20" customFormat="1">
      <c r="A66" s="2308">
        <v>1977.09</v>
      </c>
      <c r="B66" s="2324">
        <v>32.341403061458202</v>
      </c>
      <c r="C66" s="3269">
        <v>122.204760447523</v>
      </c>
      <c r="D66" s="2325">
        <v>1.7483749794532999</v>
      </c>
      <c r="E66" s="2326">
        <v>95.726528905036801</v>
      </c>
      <c r="F66" s="3269">
        <v>100.199699223604</v>
      </c>
      <c r="G66" s="2325">
        <v>84.223134101115505</v>
      </c>
      <c r="H66" s="2321"/>
      <c r="I66" s="309"/>
      <c r="J66" s="336"/>
      <c r="K66" s="309"/>
      <c r="L66" s="309"/>
      <c r="M66" s="1027"/>
      <c r="N66" s="1020"/>
      <c r="O66" s="3363">
        <v>61.4</v>
      </c>
      <c r="P66" s="2322">
        <v>65.3</v>
      </c>
      <c r="Q66" s="2204"/>
    </row>
    <row r="67" spans="1:17" s="20" customFormat="1">
      <c r="A67" s="2308">
        <v>1977.1</v>
      </c>
      <c r="B67" s="2324">
        <v>32.1600430578968</v>
      </c>
      <c r="C67" s="3269">
        <v>121.162636904</v>
      </c>
      <c r="D67" s="2325">
        <v>1.75271550063073</v>
      </c>
      <c r="E67" s="2326">
        <v>94.9858823197399</v>
      </c>
      <c r="F67" s="3269">
        <v>99.192287516808705</v>
      </c>
      <c r="G67" s="2325">
        <v>84.111442847737806</v>
      </c>
      <c r="H67" s="2321"/>
      <c r="I67" s="309"/>
      <c r="J67" s="336"/>
      <c r="K67" s="309"/>
      <c r="L67" s="309"/>
      <c r="M67" s="1027"/>
      <c r="N67" s="1020"/>
      <c r="O67" s="3363">
        <v>61.6</v>
      </c>
      <c r="P67" s="2322">
        <v>65.599999999999994</v>
      </c>
      <c r="Q67" s="2204"/>
    </row>
    <row r="68" spans="1:17" s="20" customFormat="1">
      <c r="A68" s="2308">
        <v>1977.11</v>
      </c>
      <c r="B68" s="2324">
        <v>32.024379277827101</v>
      </c>
      <c r="C68" s="3269">
        <v>119.795233454474</v>
      </c>
      <c r="D68" s="2325">
        <v>1.77991172357296</v>
      </c>
      <c r="E68" s="2326">
        <v>94.590865858377796</v>
      </c>
      <c r="F68" s="3269">
        <v>98.284175545457202</v>
      </c>
      <c r="G68" s="2325">
        <v>84.930392869414703</v>
      </c>
      <c r="H68" s="2321"/>
      <c r="I68" s="309"/>
      <c r="J68" s="336"/>
      <c r="K68" s="309"/>
      <c r="L68" s="309"/>
      <c r="M68" s="1027"/>
      <c r="N68" s="1020"/>
      <c r="O68" s="3363">
        <v>61.9</v>
      </c>
      <c r="P68" s="2322">
        <v>65.8</v>
      </c>
      <c r="Q68" s="2204"/>
    </row>
    <row r="69" spans="1:17" s="20" customFormat="1">
      <c r="A69" s="2308">
        <v>1977.12</v>
      </c>
      <c r="B69" s="2324">
        <v>31.623967020373701</v>
      </c>
      <c r="C69" s="3269">
        <v>117.615907059292</v>
      </c>
      <c r="D69" s="2325">
        <v>1.7858774415279901</v>
      </c>
      <c r="E69" s="2326">
        <v>93.236278180934903</v>
      </c>
      <c r="F69" s="3269">
        <v>96.434413113392296</v>
      </c>
      <c r="G69" s="2325">
        <v>84.776135169310606</v>
      </c>
      <c r="H69" s="2321"/>
      <c r="I69" s="309"/>
      <c r="J69" s="336"/>
      <c r="K69" s="309"/>
      <c r="L69" s="309"/>
      <c r="M69" s="1027"/>
      <c r="N69" s="1020"/>
      <c r="O69" s="3363">
        <v>62.1</v>
      </c>
      <c r="P69" s="2322">
        <v>66.2</v>
      </c>
      <c r="Q69" s="2204"/>
    </row>
    <row r="70" spans="1:17" s="20" customFormat="1">
      <c r="A70" s="2308">
        <v>1978.01</v>
      </c>
      <c r="B70" s="2324">
        <v>31.426547276291299</v>
      </c>
      <c r="C70" s="3269">
        <v>116.537585701013</v>
      </c>
      <c r="D70" s="2325">
        <v>1.7891959374425801</v>
      </c>
      <c r="E70" s="2326">
        <v>92.686868481210496</v>
      </c>
      <c r="F70" s="3269">
        <v>95.820787140853696</v>
      </c>
      <c r="G70" s="2325">
        <v>84.382060393776399</v>
      </c>
      <c r="H70" s="2321"/>
      <c r="I70" s="309"/>
      <c r="J70" s="336"/>
      <c r="K70" s="309"/>
      <c r="L70" s="309"/>
      <c r="M70" s="1027"/>
      <c r="N70" s="1020"/>
      <c r="O70" s="3363">
        <v>62.5</v>
      </c>
      <c r="P70" s="2322">
        <v>66.8</v>
      </c>
      <c r="Q70" s="2204"/>
    </row>
    <row r="71" spans="1:17" s="20" customFormat="1">
      <c r="A71" s="2308">
        <v>1978.02</v>
      </c>
      <c r="B71" s="2324">
        <v>31.440367543279098</v>
      </c>
      <c r="C71" s="3269">
        <v>116.48522188893899</v>
      </c>
      <c r="D71" s="2325">
        <v>1.79419028047705</v>
      </c>
      <c r="E71" s="2326">
        <v>92.522474391941202</v>
      </c>
      <c r="F71" s="3269">
        <v>95.693452250491802</v>
      </c>
      <c r="G71" s="2325">
        <v>84.133309523216795</v>
      </c>
      <c r="H71" s="2321"/>
      <c r="I71" s="309"/>
      <c r="J71" s="336"/>
      <c r="K71" s="309"/>
      <c r="L71" s="309"/>
      <c r="M71" s="1027"/>
      <c r="N71" s="1020"/>
      <c r="O71" s="3363">
        <v>62.9</v>
      </c>
      <c r="P71" s="2322">
        <v>67.5</v>
      </c>
      <c r="Q71" s="2204"/>
    </row>
    <row r="72" spans="1:17" s="20" customFormat="1">
      <c r="A72" s="2308">
        <v>1978.03</v>
      </c>
      <c r="B72" s="2324">
        <v>31.282447585698801</v>
      </c>
      <c r="C72" s="3269">
        <v>115.48574563086</v>
      </c>
      <c r="D72" s="2325">
        <v>1.80214982859075</v>
      </c>
      <c r="E72" s="2326">
        <v>91.933334251488105</v>
      </c>
      <c r="F72" s="3269">
        <v>94.807273113468298</v>
      </c>
      <c r="G72" s="2325">
        <v>84.244165638157796</v>
      </c>
      <c r="H72" s="2321"/>
      <c r="I72" s="309"/>
      <c r="J72" s="336"/>
      <c r="K72" s="309"/>
      <c r="L72" s="309"/>
      <c r="M72" s="1027"/>
      <c r="N72" s="1020"/>
      <c r="O72" s="3363">
        <v>63.4</v>
      </c>
      <c r="P72" s="2322">
        <v>68.099999999999994</v>
      </c>
      <c r="Q72" s="2204"/>
    </row>
    <row r="73" spans="1:17" s="20" customFormat="1">
      <c r="A73" s="2308">
        <v>1978.04</v>
      </c>
      <c r="B73" s="2324">
        <v>31.274015663226901</v>
      </c>
      <c r="C73" s="3269">
        <v>115.202822082891</v>
      </c>
      <c r="D73" s="2325">
        <v>1.81211442445122</v>
      </c>
      <c r="E73" s="2326">
        <v>92.054043039008405</v>
      </c>
      <c r="F73" s="3269">
        <v>94.942284716968302</v>
      </c>
      <c r="G73" s="2325">
        <v>84.330061388775306</v>
      </c>
      <c r="H73" s="2321"/>
      <c r="I73" s="309"/>
      <c r="J73" s="336"/>
      <c r="K73" s="309"/>
      <c r="L73" s="309"/>
      <c r="M73" s="1027"/>
      <c r="N73" s="1020"/>
      <c r="O73" s="3363">
        <v>63.9</v>
      </c>
      <c r="P73" s="2322">
        <v>69</v>
      </c>
      <c r="Q73" s="2204"/>
    </row>
    <row r="74" spans="1:17" s="20" customFormat="1">
      <c r="A74" s="2308">
        <v>1978.05</v>
      </c>
      <c r="B74" s="2324">
        <v>31.507761500251199</v>
      </c>
      <c r="C74" s="3269">
        <v>116.119253112867</v>
      </c>
      <c r="D74" s="2325">
        <v>1.82332707298545</v>
      </c>
      <c r="E74" s="2326">
        <v>92.870506991003595</v>
      </c>
      <c r="F74" s="3269">
        <v>95.956883273722895</v>
      </c>
      <c r="G74" s="2325">
        <v>84.674446802101002</v>
      </c>
      <c r="H74" s="2321"/>
      <c r="I74" s="309"/>
      <c r="J74" s="336"/>
      <c r="K74" s="309"/>
      <c r="L74" s="309"/>
      <c r="M74" s="1027"/>
      <c r="N74" s="1020"/>
      <c r="O74" s="3363">
        <v>64.5</v>
      </c>
      <c r="P74" s="2322">
        <v>69.5</v>
      </c>
      <c r="Q74" s="2204"/>
    </row>
    <row r="75" spans="1:17" s="20" customFormat="1">
      <c r="A75" s="2308">
        <v>1978.06</v>
      </c>
      <c r="B75" s="2324">
        <v>31.156095401661599</v>
      </c>
      <c r="C75" s="3269">
        <v>114.195690540396</v>
      </c>
      <c r="D75" s="2325">
        <v>1.8293062612736199</v>
      </c>
      <c r="E75" s="2326">
        <v>91.806322376824696</v>
      </c>
      <c r="F75" s="3269">
        <v>94.555450708351998</v>
      </c>
      <c r="G75" s="2325">
        <v>84.412161604615804</v>
      </c>
      <c r="H75" s="2321"/>
      <c r="I75" s="309"/>
      <c r="J75" s="336"/>
      <c r="K75" s="309"/>
      <c r="L75" s="309"/>
      <c r="M75" s="1027"/>
      <c r="N75" s="1020"/>
      <c r="O75" s="3363">
        <v>65.2</v>
      </c>
      <c r="P75" s="2322">
        <v>70</v>
      </c>
      <c r="Q75" s="2204"/>
    </row>
    <row r="76" spans="1:17" s="20" customFormat="1">
      <c r="A76" s="2308">
        <v>1978.07</v>
      </c>
      <c r="B76" s="2324">
        <v>30.604913291151501</v>
      </c>
      <c r="C76" s="3269">
        <v>111.539056100292</v>
      </c>
      <c r="D76" s="2325">
        <v>1.82415306025418</v>
      </c>
      <c r="E76" s="2326">
        <v>89.9772830238838</v>
      </c>
      <c r="F76" s="3269">
        <v>92.272834223733696</v>
      </c>
      <c r="G76" s="2325">
        <v>83.678593618254695</v>
      </c>
      <c r="H76" s="2321"/>
      <c r="I76" s="309"/>
      <c r="J76" s="336"/>
      <c r="K76" s="309"/>
      <c r="L76" s="309"/>
      <c r="M76" s="1027"/>
      <c r="N76" s="1020"/>
      <c r="O76" s="3363">
        <v>65.7</v>
      </c>
      <c r="P76" s="2322">
        <v>70.400000000000006</v>
      </c>
      <c r="Q76" s="2204"/>
    </row>
    <row r="77" spans="1:17" s="20" customFormat="1">
      <c r="A77" s="2308">
        <v>1978.08</v>
      </c>
      <c r="B77" s="2324">
        <v>30.150299043095</v>
      </c>
      <c r="C77" s="3269">
        <v>109.315507719365</v>
      </c>
      <c r="D77" s="2325">
        <v>1.82178505761124</v>
      </c>
      <c r="E77" s="2326">
        <v>88.496433040477697</v>
      </c>
      <c r="F77" s="3269">
        <v>90.482607159203894</v>
      </c>
      <c r="G77" s="2325">
        <v>82.9557783071551</v>
      </c>
      <c r="H77" s="2321"/>
      <c r="I77" s="309"/>
      <c r="J77" s="336"/>
      <c r="K77" s="309"/>
      <c r="L77" s="309"/>
      <c r="M77" s="1027"/>
      <c r="N77" s="1020"/>
      <c r="O77" s="3363">
        <v>66</v>
      </c>
      <c r="P77" s="2322">
        <v>70.400000000000006</v>
      </c>
      <c r="Q77" s="2204"/>
    </row>
    <row r="78" spans="1:17" s="20" customFormat="1">
      <c r="A78" s="2308">
        <v>1978.09</v>
      </c>
      <c r="B78" s="2324">
        <v>30.250680396101799</v>
      </c>
      <c r="C78" s="3269">
        <v>109.69553674687999</v>
      </c>
      <c r="D78" s="2325">
        <v>1.8271145650366301</v>
      </c>
      <c r="E78" s="2326">
        <v>89.218511377224104</v>
      </c>
      <c r="F78" s="3269">
        <v>91.501212144500798</v>
      </c>
      <c r="G78" s="2325">
        <v>82.957346263720297</v>
      </c>
      <c r="H78" s="2321"/>
      <c r="I78" s="309"/>
      <c r="J78" s="336"/>
      <c r="K78" s="309"/>
      <c r="L78" s="309"/>
      <c r="M78" s="1027"/>
      <c r="N78" s="1020"/>
      <c r="O78" s="3363">
        <v>66.5</v>
      </c>
      <c r="P78" s="2322">
        <v>71</v>
      </c>
      <c r="Q78" s="2204"/>
    </row>
    <row r="79" spans="1:17" s="20" customFormat="1">
      <c r="A79" s="2308">
        <v>1978.1</v>
      </c>
      <c r="B79" s="2324">
        <v>29.763962416037</v>
      </c>
      <c r="C79" s="3269">
        <v>107.32714999249301</v>
      </c>
      <c r="D79" s="2325">
        <v>1.8246839090817299</v>
      </c>
      <c r="E79" s="2326">
        <v>87.689894652072795</v>
      </c>
      <c r="F79" s="3269">
        <v>89.612878848467801</v>
      </c>
      <c r="G79" s="2325">
        <v>82.309064148200804</v>
      </c>
      <c r="H79" s="2321"/>
      <c r="I79" s="309"/>
      <c r="J79" s="336"/>
      <c r="K79" s="309"/>
      <c r="L79" s="309"/>
      <c r="M79" s="1027"/>
      <c r="N79" s="1020"/>
      <c r="O79" s="3363">
        <v>67.099999999999994</v>
      </c>
      <c r="P79" s="2322">
        <v>71.8</v>
      </c>
      <c r="Q79" s="2204"/>
    </row>
    <row r="80" spans="1:17" s="20" customFormat="1">
      <c r="A80" s="2308">
        <v>1978.11</v>
      </c>
      <c r="B80" s="2324">
        <v>30.335871805301501</v>
      </c>
      <c r="C80" s="3269">
        <v>109.672655690691</v>
      </c>
      <c r="D80" s="2325">
        <v>1.8469945026087999</v>
      </c>
      <c r="E80" s="2326">
        <v>89.374483873450203</v>
      </c>
      <c r="F80" s="3269">
        <v>91.793071639059207</v>
      </c>
      <c r="G80" s="2325">
        <v>82.787227611189394</v>
      </c>
      <c r="H80" s="2321"/>
      <c r="I80" s="309"/>
      <c r="J80" s="336"/>
      <c r="K80" s="309"/>
      <c r="L80" s="309"/>
      <c r="M80" s="1027"/>
      <c r="N80" s="1020"/>
      <c r="O80" s="3363">
        <v>67.400000000000006</v>
      </c>
      <c r="P80" s="2322">
        <v>72.099999999999994</v>
      </c>
      <c r="Q80" s="2204"/>
    </row>
    <row r="81" spans="1:17" s="20" customFormat="1">
      <c r="A81" s="2308">
        <v>1978.12</v>
      </c>
      <c r="B81" s="2324">
        <v>30.453870671892101</v>
      </c>
      <c r="C81" s="3269">
        <v>109.890901311319</v>
      </c>
      <c r="D81" s="2325">
        <v>1.8634674852754001</v>
      </c>
      <c r="E81" s="2326">
        <v>89.720283880760803</v>
      </c>
      <c r="F81" s="3269">
        <v>92.053889732227404</v>
      </c>
      <c r="G81" s="2325">
        <v>83.332780674667603</v>
      </c>
      <c r="H81" s="2321"/>
      <c r="I81" s="309"/>
      <c r="J81" s="336"/>
      <c r="K81" s="309"/>
      <c r="L81" s="309"/>
      <c r="M81" s="1027"/>
      <c r="N81" s="1020"/>
      <c r="O81" s="3363">
        <v>67.7</v>
      </c>
      <c r="P81" s="2322">
        <v>72.7</v>
      </c>
      <c r="Q81" s="2204"/>
    </row>
    <row r="82" spans="1:17" s="20" customFormat="1">
      <c r="A82" s="2308">
        <v>1979.01</v>
      </c>
      <c r="B82" s="2324">
        <v>30.450665424999599</v>
      </c>
      <c r="C82" s="3269">
        <v>109.777856210658</v>
      </c>
      <c r="D82" s="2325">
        <v>1.8684729279508501</v>
      </c>
      <c r="E82" s="2326">
        <v>89.773333997988701</v>
      </c>
      <c r="F82" s="3269">
        <v>92.312041611523895</v>
      </c>
      <c r="G82" s="2325">
        <v>82.923695358262094</v>
      </c>
      <c r="H82" s="2321"/>
      <c r="I82" s="309"/>
      <c r="J82" s="336"/>
      <c r="K82" s="309"/>
      <c r="L82" s="309"/>
      <c r="M82" s="1027"/>
      <c r="N82" s="1020"/>
      <c r="O82" s="3363">
        <v>68.3</v>
      </c>
      <c r="P82" s="2322">
        <v>73.8</v>
      </c>
      <c r="Q82" s="2204"/>
    </row>
    <row r="83" spans="1:17" s="20" customFormat="1">
      <c r="A83" s="2308">
        <v>1979.02</v>
      </c>
      <c r="B83" s="2324">
        <v>30.6421733803259</v>
      </c>
      <c r="C83" s="3269">
        <v>110.483104187283</v>
      </c>
      <c r="D83" s="2325">
        <v>1.87958650606654</v>
      </c>
      <c r="E83" s="2326">
        <v>90.545591358334207</v>
      </c>
      <c r="F83" s="3269">
        <v>93.305611976233095</v>
      </c>
      <c r="G83" s="2325">
        <v>83.191626669030001</v>
      </c>
      <c r="H83" s="2321"/>
      <c r="I83" s="309"/>
      <c r="J83" s="336"/>
      <c r="K83" s="309"/>
      <c r="L83" s="309"/>
      <c r="M83" s="1027"/>
      <c r="N83" s="1020"/>
      <c r="O83" s="3363">
        <v>69.099999999999994</v>
      </c>
      <c r="P83" s="2322">
        <v>74.900000000000006</v>
      </c>
      <c r="Q83" s="2204"/>
    </row>
    <row r="84" spans="1:17" s="20" customFormat="1">
      <c r="A84" s="2308">
        <v>1979.03</v>
      </c>
      <c r="B84" s="2324">
        <v>30.720242933290699</v>
      </c>
      <c r="C84" s="3269">
        <v>110.488483633912</v>
      </c>
      <c r="D84" s="2325">
        <v>1.8961376147262099</v>
      </c>
      <c r="E84" s="2326">
        <v>90.578864579066206</v>
      </c>
      <c r="F84" s="3269">
        <v>93.391241286891997</v>
      </c>
      <c r="G84" s="2325">
        <v>83.108094722194295</v>
      </c>
      <c r="H84" s="2321"/>
      <c r="I84" s="309"/>
      <c r="J84" s="336"/>
      <c r="K84" s="309"/>
      <c r="L84" s="309"/>
      <c r="M84" s="1027"/>
      <c r="N84" s="1020"/>
      <c r="O84" s="3363">
        <v>69.8</v>
      </c>
      <c r="P84" s="2322">
        <v>75.8</v>
      </c>
      <c r="Q84" s="2204"/>
    </row>
    <row r="85" spans="1:17" s="20" customFormat="1">
      <c r="A85" s="2308">
        <v>1979.04</v>
      </c>
      <c r="B85" s="2324">
        <v>30.974385779759199</v>
      </c>
      <c r="C85" s="3269">
        <v>111.23364359276</v>
      </c>
      <c r="D85" s="2325">
        <v>1.9190769379362</v>
      </c>
      <c r="E85" s="2326">
        <v>91.319716459049801</v>
      </c>
      <c r="F85" s="3269">
        <v>94.37492572859</v>
      </c>
      <c r="G85" s="2325">
        <v>83.301743569878397</v>
      </c>
      <c r="H85" s="2321"/>
      <c r="I85" s="309"/>
      <c r="J85" s="336"/>
      <c r="K85" s="309"/>
      <c r="L85" s="309"/>
      <c r="M85" s="1027"/>
      <c r="N85" s="1020"/>
      <c r="O85" s="3363">
        <v>70.599999999999994</v>
      </c>
      <c r="P85" s="2322">
        <v>76.900000000000006</v>
      </c>
      <c r="Q85" s="2204"/>
    </row>
    <row r="86" spans="1:17" s="20" customFormat="1">
      <c r="A86" s="2308">
        <v>1979.05</v>
      </c>
      <c r="B86" s="2324">
        <v>31.229571126710599</v>
      </c>
      <c r="C86" s="3269">
        <v>112.15976220621999</v>
      </c>
      <c r="D86" s="2325">
        <v>1.93447984167999</v>
      </c>
      <c r="E86" s="2326">
        <v>92.207551173257897</v>
      </c>
      <c r="F86" s="3269">
        <v>95.615398052489695</v>
      </c>
      <c r="G86" s="2325">
        <v>83.404632690289802</v>
      </c>
      <c r="H86" s="2321"/>
      <c r="I86" s="309"/>
      <c r="J86" s="336"/>
      <c r="K86" s="309"/>
      <c r="L86" s="309"/>
      <c r="M86" s="1027"/>
      <c r="N86" s="1020"/>
      <c r="O86" s="3363">
        <v>71.5</v>
      </c>
      <c r="P86" s="2322">
        <v>77.5</v>
      </c>
      <c r="Q86" s="2204"/>
    </row>
    <row r="87" spans="1:17" s="20" customFormat="1">
      <c r="A87" s="2308">
        <v>1979.06</v>
      </c>
      <c r="B87" s="2324">
        <v>31.2522374866303</v>
      </c>
      <c r="C87" s="3269">
        <v>111.99387003960599</v>
      </c>
      <c r="D87" s="2325">
        <v>1.94660311642267</v>
      </c>
      <c r="E87" s="2326">
        <v>92.403329564531305</v>
      </c>
      <c r="F87" s="3269">
        <v>95.804466778370696</v>
      </c>
      <c r="G87" s="2325">
        <v>83.612078304246396</v>
      </c>
      <c r="H87" s="2321"/>
      <c r="I87" s="309"/>
      <c r="J87" s="336"/>
      <c r="K87" s="309"/>
      <c r="L87" s="309"/>
      <c r="M87" s="1027"/>
      <c r="N87" s="1020"/>
      <c r="O87" s="3363">
        <v>72.3</v>
      </c>
      <c r="P87" s="2322">
        <v>78</v>
      </c>
      <c r="Q87" s="2204"/>
    </row>
    <row r="88" spans="1:17" s="20" customFormat="1">
      <c r="A88" s="2308">
        <v>1979.07</v>
      </c>
      <c r="B88" s="2324">
        <v>30.806783731226901</v>
      </c>
      <c r="C88" s="3269">
        <v>109.679036222642</v>
      </c>
      <c r="D88" s="2325">
        <v>1.95033926815388</v>
      </c>
      <c r="E88" s="2326">
        <v>90.822983636917598</v>
      </c>
      <c r="F88" s="3269">
        <v>93.670164701322193</v>
      </c>
      <c r="G88" s="2325">
        <v>83.271663566189702</v>
      </c>
      <c r="H88" s="2321"/>
      <c r="I88" s="309"/>
      <c r="J88" s="336"/>
      <c r="K88" s="309"/>
      <c r="L88" s="309"/>
      <c r="M88" s="1027"/>
      <c r="N88" s="1020"/>
      <c r="O88" s="3363">
        <v>73.099999999999994</v>
      </c>
      <c r="P88" s="2322">
        <v>79.2</v>
      </c>
      <c r="Q88" s="2204"/>
    </row>
    <row r="89" spans="1:17" s="20" customFormat="1">
      <c r="A89" s="2308">
        <v>1979.08</v>
      </c>
      <c r="B89" s="2324">
        <v>30.943148248608601</v>
      </c>
      <c r="C89" s="3269">
        <v>110.152559734311</v>
      </c>
      <c r="D89" s="2325">
        <v>1.9594902335618001</v>
      </c>
      <c r="E89" s="2326">
        <v>91.319405377546801</v>
      </c>
      <c r="F89" s="3269">
        <v>94.685686403900306</v>
      </c>
      <c r="G89" s="2325">
        <v>82.620304379541494</v>
      </c>
      <c r="H89" s="2321"/>
      <c r="I89" s="309"/>
      <c r="J89" s="336"/>
      <c r="K89" s="309"/>
      <c r="L89" s="309"/>
      <c r="M89" s="1027"/>
      <c r="N89" s="1020"/>
      <c r="O89" s="3363">
        <v>73.8</v>
      </c>
      <c r="P89" s="2322">
        <v>79.599999999999994</v>
      </c>
      <c r="Q89" s="2204"/>
    </row>
    <row r="90" spans="1:17" s="20" customFormat="1">
      <c r="A90" s="2308">
        <v>1979.09</v>
      </c>
      <c r="B90" s="2324">
        <v>30.993227104485399</v>
      </c>
      <c r="C90" s="3269">
        <v>110.102945949635</v>
      </c>
      <c r="D90" s="2325">
        <v>1.9728197052654</v>
      </c>
      <c r="E90" s="2326">
        <v>91.192908557586605</v>
      </c>
      <c r="F90" s="3269">
        <v>94.725755017924001</v>
      </c>
      <c r="G90" s="2325">
        <v>82.134257660212498</v>
      </c>
      <c r="H90" s="2321"/>
      <c r="I90" s="309"/>
      <c r="J90" s="336"/>
      <c r="K90" s="309"/>
      <c r="L90" s="309"/>
      <c r="M90" s="1027"/>
      <c r="N90" s="1020"/>
      <c r="O90" s="3363">
        <v>74.599999999999994</v>
      </c>
      <c r="P90" s="2322">
        <v>80.900000000000006</v>
      </c>
      <c r="Q90" s="2204"/>
    </row>
    <row r="91" spans="1:17" s="20" customFormat="1">
      <c r="A91" s="2308">
        <v>1979.1</v>
      </c>
      <c r="B91" s="2324">
        <v>31.354177585475899</v>
      </c>
      <c r="C91" s="3269">
        <v>111.613380781537</v>
      </c>
      <c r="D91" s="2325">
        <v>1.9857139486322399</v>
      </c>
      <c r="E91" s="2326">
        <v>92.239491449795807</v>
      </c>
      <c r="F91" s="3269">
        <v>96.270107414201107</v>
      </c>
      <c r="G91" s="2325">
        <v>82.095932477172198</v>
      </c>
      <c r="H91" s="2321"/>
      <c r="I91" s="309"/>
      <c r="J91" s="336"/>
      <c r="K91" s="309"/>
      <c r="L91" s="309"/>
      <c r="M91" s="1027"/>
      <c r="N91" s="1020"/>
      <c r="O91" s="3363">
        <v>75.2</v>
      </c>
      <c r="P91" s="2322">
        <v>82.1</v>
      </c>
      <c r="Q91" s="2204"/>
    </row>
    <row r="92" spans="1:17" s="20" customFormat="1">
      <c r="A92" s="2308">
        <v>1979.11</v>
      </c>
      <c r="B92" s="2324">
        <v>31.7575441067032</v>
      </c>
      <c r="C92" s="3269">
        <v>113.245459757593</v>
      </c>
      <c r="D92" s="2325">
        <v>2.0024957904824401</v>
      </c>
      <c r="E92" s="2326">
        <v>93.362150296596297</v>
      </c>
      <c r="F92" s="3269">
        <v>97.846061299366198</v>
      </c>
      <c r="G92" s="2325">
        <v>82.241252378510296</v>
      </c>
      <c r="H92" s="2321"/>
      <c r="I92" s="309"/>
      <c r="J92" s="336"/>
      <c r="K92" s="309"/>
      <c r="L92" s="309"/>
      <c r="M92" s="1027"/>
      <c r="N92" s="1020"/>
      <c r="O92" s="3363">
        <v>75.900000000000006</v>
      </c>
      <c r="P92" s="2322">
        <v>82.6</v>
      </c>
      <c r="Q92" s="2204"/>
    </row>
    <row r="93" spans="1:17" s="20" customFormat="1">
      <c r="A93" s="2308">
        <v>1979.12</v>
      </c>
      <c r="B93" s="2324">
        <v>31.553662814440798</v>
      </c>
      <c r="C93" s="3269">
        <v>111.34647109138901</v>
      </c>
      <c r="D93" s="2325">
        <v>2.0422989444867299</v>
      </c>
      <c r="E93" s="2326">
        <v>92.719633321615305</v>
      </c>
      <c r="F93" s="3269">
        <v>96.5459749466375</v>
      </c>
      <c r="G93" s="2325">
        <v>83.004493985277094</v>
      </c>
      <c r="H93" s="2321"/>
      <c r="I93" s="309"/>
      <c r="J93" s="336"/>
      <c r="K93" s="309"/>
      <c r="L93" s="309"/>
      <c r="M93" s="1027"/>
      <c r="N93" s="1020"/>
      <c r="O93" s="3363">
        <v>76.7</v>
      </c>
      <c r="P93" s="2322">
        <v>83.4</v>
      </c>
      <c r="Q93" s="2204"/>
    </row>
    <row r="94" spans="1:17" s="20" customFormat="1">
      <c r="A94" s="2308">
        <v>1980.01</v>
      </c>
      <c r="B94" s="2324">
        <v>31.531585567924001</v>
      </c>
      <c r="C94" s="3269">
        <v>110.383688002854</v>
      </c>
      <c r="D94" s="2325">
        <v>2.0790832023644601</v>
      </c>
      <c r="E94" s="2326">
        <v>92.594599906634997</v>
      </c>
      <c r="F94" s="3269">
        <v>96.096531849073997</v>
      </c>
      <c r="G94" s="2325">
        <v>83.527063534717996</v>
      </c>
      <c r="H94" s="2321"/>
      <c r="I94" s="309"/>
      <c r="J94" s="336"/>
      <c r="K94" s="309"/>
      <c r="L94" s="309"/>
      <c r="M94" s="1027"/>
      <c r="N94" s="1020"/>
      <c r="O94" s="3363">
        <v>77.8</v>
      </c>
      <c r="P94" s="2322">
        <v>85.2</v>
      </c>
      <c r="Q94" s="2204"/>
    </row>
    <row r="95" spans="1:17" s="20" customFormat="1">
      <c r="A95" s="2308">
        <v>1980.02</v>
      </c>
      <c r="B95" s="2324">
        <v>31.783906063485102</v>
      </c>
      <c r="C95" s="3269">
        <v>111.146823387935</v>
      </c>
      <c r="D95" s="2325">
        <v>2.1009412717218998</v>
      </c>
      <c r="E95" s="2326">
        <v>93.175132162786895</v>
      </c>
      <c r="F95" s="3269">
        <v>97.029033118451594</v>
      </c>
      <c r="G95" s="2325">
        <v>83.394949388132105</v>
      </c>
      <c r="H95" s="2321"/>
      <c r="I95" s="309"/>
      <c r="J95" s="336"/>
      <c r="K95" s="309"/>
      <c r="L95" s="309"/>
      <c r="M95" s="1027"/>
      <c r="N95" s="1020"/>
      <c r="O95" s="3363">
        <v>78.900000000000006</v>
      </c>
      <c r="P95" s="2322">
        <v>86.9</v>
      </c>
      <c r="Q95" s="2204"/>
    </row>
    <row r="96" spans="1:17" s="20" customFormat="1">
      <c r="A96" s="2308">
        <v>1980.03</v>
      </c>
      <c r="B96" s="2324">
        <v>32.619997849297697</v>
      </c>
      <c r="C96" s="3269">
        <v>114.78522032257899</v>
      </c>
      <c r="D96" s="2325">
        <v>2.1255994216123</v>
      </c>
      <c r="E96" s="2326">
        <v>95.828744764827505</v>
      </c>
      <c r="F96" s="3269">
        <v>100.92600601199899</v>
      </c>
      <c r="G96" s="2325">
        <v>83.571281077657702</v>
      </c>
      <c r="H96" s="2321"/>
      <c r="I96" s="309"/>
      <c r="J96" s="336"/>
      <c r="K96" s="309"/>
      <c r="L96" s="309"/>
      <c r="M96" s="1027"/>
      <c r="N96" s="1020"/>
      <c r="O96" s="3363">
        <v>80.099999999999994</v>
      </c>
      <c r="P96" s="2322">
        <v>87.5</v>
      </c>
      <c r="Q96" s="2204"/>
    </row>
    <row r="97" spans="1:17" s="20" customFormat="1">
      <c r="A97" s="2308">
        <v>1980.04</v>
      </c>
      <c r="B97" s="2324">
        <v>32.895587789832298</v>
      </c>
      <c r="C97" s="3269">
        <v>115.84087648549399</v>
      </c>
      <c r="D97" s="2325">
        <v>2.13998867173708</v>
      </c>
      <c r="E97" s="2326">
        <v>96.433426798983007</v>
      </c>
      <c r="F97" s="3269">
        <v>101.78542748392699</v>
      </c>
      <c r="G97" s="2325">
        <v>83.676414890483997</v>
      </c>
      <c r="H97" s="2321"/>
      <c r="I97" s="309"/>
      <c r="J97" s="336"/>
      <c r="K97" s="309"/>
      <c r="L97" s="309"/>
      <c r="M97" s="1027"/>
      <c r="N97" s="1020"/>
      <c r="O97" s="3363">
        <v>81</v>
      </c>
      <c r="P97" s="2322">
        <v>87.8</v>
      </c>
      <c r="Q97" s="2204"/>
    </row>
    <row r="98" spans="1:17" s="20" customFormat="1">
      <c r="A98" s="2308">
        <v>1980.05</v>
      </c>
      <c r="B98" s="2324">
        <v>31.880774242056201</v>
      </c>
      <c r="C98" s="3269">
        <v>110.80089854723001</v>
      </c>
      <c r="D98" s="2325">
        <v>2.13749195263753</v>
      </c>
      <c r="E98" s="2326">
        <v>93.369216807986305</v>
      </c>
      <c r="F98" s="3269">
        <v>97.719480002572993</v>
      </c>
      <c r="G98" s="2325">
        <v>82.611629877829898</v>
      </c>
      <c r="H98" s="2321"/>
      <c r="I98" s="309"/>
      <c r="J98" s="336"/>
      <c r="K98" s="309"/>
      <c r="L98" s="309"/>
      <c r="M98" s="1027"/>
      <c r="N98" s="1020"/>
      <c r="O98" s="3363">
        <v>81.8</v>
      </c>
      <c r="P98" s="2322">
        <v>88.3</v>
      </c>
      <c r="Q98" s="2204"/>
    </row>
    <row r="99" spans="1:17" s="20" customFormat="1">
      <c r="A99" s="2308">
        <v>1980.06</v>
      </c>
      <c r="B99" s="2324">
        <v>31.419339989654102</v>
      </c>
      <c r="C99" s="3269">
        <v>108.301055305144</v>
      </c>
      <c r="D99" s="2325">
        <v>2.1467554053619602</v>
      </c>
      <c r="E99" s="2326">
        <v>91.831467206928394</v>
      </c>
      <c r="F99" s="3269">
        <v>95.582177172937506</v>
      </c>
      <c r="G99" s="2325">
        <v>82.286488472704804</v>
      </c>
      <c r="H99" s="2321"/>
      <c r="I99" s="309"/>
      <c r="J99" s="336"/>
      <c r="K99" s="309"/>
      <c r="L99" s="309"/>
      <c r="M99" s="1027"/>
      <c r="N99" s="1020"/>
      <c r="O99" s="3363">
        <v>82.7</v>
      </c>
      <c r="P99" s="2322">
        <v>88.7</v>
      </c>
      <c r="Q99" s="2204"/>
    </row>
    <row r="100" spans="1:17" s="20" customFormat="1">
      <c r="A100" s="2308">
        <v>1980.07</v>
      </c>
      <c r="B100" s="2324">
        <v>31.425334390662901</v>
      </c>
      <c r="C100" s="3269">
        <v>108.068581783984</v>
      </c>
      <c r="D100" s="2325">
        <v>2.1587612323773202</v>
      </c>
      <c r="E100" s="2326">
        <v>90.976660553028196</v>
      </c>
      <c r="F100" s="3269">
        <v>94.821759951348596</v>
      </c>
      <c r="G100" s="2325">
        <v>81.265178361605805</v>
      </c>
      <c r="H100" s="2321"/>
      <c r="I100" s="309"/>
      <c r="J100" s="336"/>
      <c r="K100" s="309"/>
      <c r="L100" s="309"/>
      <c r="M100" s="1027"/>
      <c r="N100" s="1020"/>
      <c r="O100" s="3363">
        <v>82.7</v>
      </c>
      <c r="P100" s="2322">
        <v>90.3</v>
      </c>
      <c r="Q100" s="2204"/>
    </row>
    <row r="101" spans="1:17" s="20" customFormat="1">
      <c r="A101" s="2308">
        <v>1980.08</v>
      </c>
      <c r="B101" s="2324">
        <v>31.7884780487624</v>
      </c>
      <c r="C101" s="3269">
        <v>109.452962807196</v>
      </c>
      <c r="D101" s="2325">
        <v>2.1774707773814099</v>
      </c>
      <c r="E101" s="2326">
        <v>91.629535262677607</v>
      </c>
      <c r="F101" s="3269">
        <v>95.991938314841804</v>
      </c>
      <c r="G101" s="2325">
        <v>80.891537871021299</v>
      </c>
      <c r="H101" s="2321"/>
      <c r="I101" s="309"/>
      <c r="J101" s="336"/>
      <c r="K101" s="309"/>
      <c r="L101" s="309"/>
      <c r="M101" s="1027"/>
      <c r="N101" s="1020"/>
      <c r="O101" s="3363">
        <v>83.3</v>
      </c>
      <c r="P101" s="2322">
        <v>91.5</v>
      </c>
      <c r="Q101" s="2204"/>
    </row>
    <row r="102" spans="1:17" s="20" customFormat="1">
      <c r="A102" s="2308">
        <v>1980.09</v>
      </c>
      <c r="B102" s="2324">
        <v>31.617196758278698</v>
      </c>
      <c r="C102" s="3269">
        <v>108.410137807833</v>
      </c>
      <c r="D102" s="2325">
        <v>2.18660256142722</v>
      </c>
      <c r="E102" s="2326">
        <v>90.9279351799983</v>
      </c>
      <c r="F102" s="3269">
        <v>95.176097691379496</v>
      </c>
      <c r="G102" s="2325">
        <v>80.428995310466107</v>
      </c>
      <c r="H102" s="2321"/>
      <c r="I102" s="309"/>
      <c r="J102" s="336"/>
      <c r="K102" s="309"/>
      <c r="L102" s="309"/>
      <c r="M102" s="1027"/>
      <c r="N102" s="1020"/>
      <c r="O102" s="3363">
        <v>84</v>
      </c>
      <c r="P102" s="2322">
        <v>91.7</v>
      </c>
      <c r="Q102" s="2204"/>
    </row>
    <row r="103" spans="1:17" s="20" customFormat="1">
      <c r="A103" s="2308">
        <v>1980.1</v>
      </c>
      <c r="B103" s="2324">
        <v>31.786418747291101</v>
      </c>
      <c r="C103" s="3269">
        <v>108.78488373008599</v>
      </c>
      <c r="D103" s="2325">
        <v>2.2079001500892099</v>
      </c>
      <c r="E103" s="2326">
        <v>91.203743526148401</v>
      </c>
      <c r="F103" s="3269">
        <v>95.878135200392094</v>
      </c>
      <c r="G103" s="2325">
        <v>79.875587318283394</v>
      </c>
      <c r="H103" s="2321"/>
      <c r="I103" s="309"/>
      <c r="J103" s="336"/>
      <c r="K103" s="309"/>
      <c r="L103" s="309"/>
      <c r="M103" s="1027"/>
      <c r="N103" s="1020"/>
      <c r="O103" s="3363">
        <v>84.8</v>
      </c>
      <c r="P103" s="2322">
        <v>92.8</v>
      </c>
      <c r="Q103" s="2204"/>
    </row>
    <row r="104" spans="1:17" s="20" customFormat="1">
      <c r="A104" s="2308">
        <v>1980.11</v>
      </c>
      <c r="B104" s="2324">
        <v>32.431247703661803</v>
      </c>
      <c r="C104" s="3269">
        <v>111.34734108855</v>
      </c>
      <c r="D104" s="2325">
        <v>2.23616021040396</v>
      </c>
      <c r="E104" s="2326">
        <v>92.753623358797398</v>
      </c>
      <c r="F104" s="3269">
        <v>98.176849358858505</v>
      </c>
      <c r="G104" s="2325">
        <v>79.965191590318099</v>
      </c>
      <c r="H104" s="2321"/>
      <c r="I104" s="309"/>
      <c r="J104" s="336"/>
      <c r="K104" s="309"/>
      <c r="L104" s="309"/>
      <c r="M104" s="1027"/>
      <c r="N104" s="1020"/>
      <c r="O104" s="3363">
        <v>85.5</v>
      </c>
      <c r="P104" s="2322">
        <v>93.2</v>
      </c>
      <c r="Q104" s="2204"/>
    </row>
    <row r="105" spans="1:17" s="20" customFormat="1">
      <c r="A105" s="2308">
        <v>1980.12</v>
      </c>
      <c r="B105" s="2324">
        <v>32.779496077848101</v>
      </c>
      <c r="C105" s="3269">
        <v>112.55555436039199</v>
      </c>
      <c r="D105" s="2325">
        <v>2.25961297749248</v>
      </c>
      <c r="E105" s="2326">
        <v>93.556588330960096</v>
      </c>
      <c r="F105" s="3269">
        <v>99.455137018069294</v>
      </c>
      <c r="G105" s="2325">
        <v>79.860954206455702</v>
      </c>
      <c r="H105" s="2321"/>
      <c r="I105" s="309"/>
      <c r="J105" s="336"/>
      <c r="K105" s="309"/>
      <c r="L105" s="309"/>
      <c r="M105" s="1027"/>
      <c r="N105" s="1020"/>
      <c r="O105" s="3363">
        <v>86.3</v>
      </c>
      <c r="P105" s="2322">
        <v>93.8</v>
      </c>
      <c r="Q105" s="2204"/>
    </row>
    <row r="106" spans="1:17" s="20" customFormat="1">
      <c r="A106" s="2308">
        <v>1981.01</v>
      </c>
      <c r="B106" s="2324">
        <v>32.756355764691698</v>
      </c>
      <c r="C106" s="3269">
        <v>111.971549621164</v>
      </c>
      <c r="D106" s="2325">
        <v>2.2813102160739498</v>
      </c>
      <c r="E106" s="2326">
        <v>93.079749222018606</v>
      </c>
      <c r="F106" s="3269">
        <v>98.795405240461307</v>
      </c>
      <c r="G106" s="2325">
        <v>79.730310096021597</v>
      </c>
      <c r="H106" s="2321"/>
      <c r="I106" s="309"/>
      <c r="J106" s="336"/>
      <c r="K106" s="309"/>
      <c r="L106" s="309"/>
      <c r="M106" s="1027"/>
      <c r="N106" s="1020"/>
      <c r="O106" s="3363">
        <v>87</v>
      </c>
      <c r="P106" s="2322">
        <v>95.2</v>
      </c>
      <c r="Q106" s="2204"/>
    </row>
    <row r="107" spans="1:17" s="20" customFormat="1">
      <c r="A107" s="2308">
        <v>1981.02</v>
      </c>
      <c r="B107" s="2324">
        <v>33.664741432169798</v>
      </c>
      <c r="C107" s="3269">
        <v>115.702877998254</v>
      </c>
      <c r="D107" s="2325">
        <v>2.31613987131648</v>
      </c>
      <c r="E107" s="2326">
        <v>95.420747660177298</v>
      </c>
      <c r="F107" s="3269">
        <v>102.2335655481</v>
      </c>
      <c r="G107" s="2325">
        <v>80.033056947412703</v>
      </c>
      <c r="H107" s="2321"/>
      <c r="I107" s="309"/>
      <c r="J107" s="336"/>
      <c r="K107" s="309"/>
      <c r="L107" s="309"/>
      <c r="M107" s="1027"/>
      <c r="N107" s="1020"/>
      <c r="O107" s="3363">
        <v>87.9</v>
      </c>
      <c r="P107" s="2322">
        <v>96.1</v>
      </c>
      <c r="Q107" s="2204"/>
    </row>
    <row r="108" spans="1:17" s="20" customFormat="1">
      <c r="A108" s="2308">
        <v>1981.03</v>
      </c>
      <c r="B108" s="2324">
        <v>33.838694461734697</v>
      </c>
      <c r="C108" s="3269">
        <v>116.007700251692</v>
      </c>
      <c r="D108" s="2325">
        <v>2.3413359613066298</v>
      </c>
      <c r="E108" s="2326">
        <v>95.450262816945298</v>
      </c>
      <c r="F108" s="3269">
        <v>102.371259693038</v>
      </c>
      <c r="G108" s="2325">
        <v>79.871575509868407</v>
      </c>
      <c r="H108" s="2321"/>
      <c r="I108" s="309"/>
      <c r="J108" s="336"/>
      <c r="K108" s="309"/>
      <c r="L108" s="309"/>
      <c r="M108" s="1027"/>
      <c r="N108" s="1020"/>
      <c r="O108" s="3363">
        <v>88.5</v>
      </c>
      <c r="P108" s="2322">
        <v>97</v>
      </c>
      <c r="Q108" s="2204"/>
    </row>
    <row r="109" spans="1:17" s="20" customFormat="1">
      <c r="A109" s="2308">
        <v>1981.04</v>
      </c>
      <c r="B109" s="2324">
        <v>34.519141278359299</v>
      </c>
      <c r="C109" s="3269">
        <v>118.29861643026599</v>
      </c>
      <c r="D109" s="2325">
        <v>2.3903198909171901</v>
      </c>
      <c r="E109" s="2326">
        <v>96.879031638978503</v>
      </c>
      <c r="F109" s="3269">
        <v>104.25078894246801</v>
      </c>
      <c r="G109" s="2325">
        <v>80.461926312557594</v>
      </c>
      <c r="H109" s="2321"/>
      <c r="I109" s="309"/>
      <c r="J109" s="336"/>
      <c r="K109" s="309"/>
      <c r="L109" s="309"/>
      <c r="M109" s="1027"/>
      <c r="N109" s="1020"/>
      <c r="O109" s="3363">
        <v>89.1</v>
      </c>
      <c r="P109" s="2322">
        <v>98</v>
      </c>
      <c r="Q109" s="2204"/>
    </row>
    <row r="110" spans="1:17" s="20" customFormat="1">
      <c r="A110" s="2308">
        <v>1981.05</v>
      </c>
      <c r="B110" s="2324">
        <v>35.480905187737903</v>
      </c>
      <c r="C110" s="3269">
        <v>122.20639422291001</v>
      </c>
      <c r="D110" s="2325">
        <v>2.4293773221355499</v>
      </c>
      <c r="E110" s="2326">
        <v>99.195626053140302</v>
      </c>
      <c r="F110" s="3269">
        <v>107.686180924917</v>
      </c>
      <c r="G110" s="2325">
        <v>80.774815310267101</v>
      </c>
      <c r="H110" s="2321"/>
      <c r="I110" s="309"/>
      <c r="J110" s="336"/>
      <c r="K110" s="309"/>
      <c r="L110" s="309"/>
      <c r="M110" s="1027"/>
      <c r="N110" s="1020"/>
      <c r="O110" s="3363">
        <v>89.8</v>
      </c>
      <c r="P110" s="2322">
        <v>98.3</v>
      </c>
      <c r="Q110" s="2204"/>
    </row>
    <row r="111" spans="1:17" s="20" customFormat="1">
      <c r="A111" s="2308">
        <v>1981.06</v>
      </c>
      <c r="B111" s="2324">
        <v>36.282400151958001</v>
      </c>
      <c r="C111" s="3269">
        <v>124.789252702968</v>
      </c>
      <c r="D111" s="2325">
        <v>2.4921985702070102</v>
      </c>
      <c r="E111" s="2326">
        <v>101.130147072634</v>
      </c>
      <c r="F111" s="3269">
        <v>110.007819527647</v>
      </c>
      <c r="G111" s="2325">
        <v>81.977994479156095</v>
      </c>
      <c r="H111" s="2321"/>
      <c r="I111" s="309"/>
      <c r="J111" s="336"/>
      <c r="K111" s="309"/>
      <c r="L111" s="309"/>
      <c r="M111" s="1027"/>
      <c r="N111" s="1020"/>
      <c r="O111" s="3363">
        <v>90.6</v>
      </c>
      <c r="P111" s="2322">
        <v>98.5</v>
      </c>
      <c r="Q111" s="2204"/>
    </row>
    <row r="112" spans="1:17" s="20" customFormat="1">
      <c r="A112" s="2308">
        <v>1981.07</v>
      </c>
      <c r="B112" s="2324">
        <v>37.011599698530297</v>
      </c>
      <c r="C112" s="3269">
        <v>127.747619788449</v>
      </c>
      <c r="D112" s="2325">
        <v>2.5222036414844999</v>
      </c>
      <c r="E112" s="2326">
        <v>103.194254128857</v>
      </c>
      <c r="F112" s="3269">
        <v>113.065739818507</v>
      </c>
      <c r="G112" s="2325">
        <v>82.306579321095896</v>
      </c>
      <c r="H112" s="2321"/>
      <c r="I112" s="309"/>
      <c r="J112" s="336"/>
      <c r="K112" s="309"/>
      <c r="L112" s="309"/>
      <c r="M112" s="1027"/>
      <c r="N112" s="1020"/>
      <c r="O112" s="3363">
        <v>91.6</v>
      </c>
      <c r="P112" s="2322">
        <v>99</v>
      </c>
      <c r="Q112" s="2204"/>
    </row>
    <row r="113" spans="1:17" s="20" customFormat="1">
      <c r="A113" s="2308">
        <v>1981.08</v>
      </c>
      <c r="B113" s="2324">
        <v>37.633406117467104</v>
      </c>
      <c r="C113" s="3269">
        <v>129.758371909933</v>
      </c>
      <c r="D113" s="2325">
        <v>2.5706953605465901</v>
      </c>
      <c r="E113" s="2326">
        <v>104.59126983335101</v>
      </c>
      <c r="F113" s="3269">
        <v>114.897367098069</v>
      </c>
      <c r="G113" s="2325">
        <v>82.930700166387595</v>
      </c>
      <c r="H113" s="2321"/>
      <c r="I113" s="309"/>
      <c r="J113" s="336"/>
      <c r="K113" s="309"/>
      <c r="L113" s="309"/>
      <c r="M113" s="1027"/>
      <c r="N113" s="1020"/>
      <c r="O113" s="3363">
        <v>92.3</v>
      </c>
      <c r="P113" s="2322">
        <v>99</v>
      </c>
      <c r="Q113" s="2204"/>
    </row>
    <row r="114" spans="1:17" s="20" customFormat="1">
      <c r="A114" s="2308">
        <v>1981.09</v>
      </c>
      <c r="B114" s="2324">
        <v>37.044178441697198</v>
      </c>
      <c r="C114" s="3269">
        <v>126.22491564447699</v>
      </c>
      <c r="D114" s="2325">
        <v>2.5985390596807401</v>
      </c>
      <c r="E114" s="2326">
        <v>102.837704480659</v>
      </c>
      <c r="F114" s="3269">
        <v>111.9151230011</v>
      </c>
      <c r="G114" s="2325">
        <v>83.278778436787206</v>
      </c>
      <c r="H114" s="2321"/>
      <c r="I114" s="309"/>
      <c r="J114" s="336"/>
      <c r="K114" s="309"/>
      <c r="L114" s="309"/>
      <c r="M114" s="1027"/>
      <c r="N114" s="1020"/>
      <c r="O114" s="3363">
        <v>93.2</v>
      </c>
      <c r="P114" s="2322">
        <v>98.8</v>
      </c>
      <c r="Q114" s="2204"/>
    </row>
    <row r="115" spans="1:17" s="20" customFormat="1">
      <c r="A115" s="2308">
        <v>1981.1</v>
      </c>
      <c r="B115" s="2324">
        <v>36.950215168201801</v>
      </c>
      <c r="C115" s="3269">
        <v>125.262467715353</v>
      </c>
      <c r="D115" s="2325">
        <v>2.6218781862189902</v>
      </c>
      <c r="E115" s="2326">
        <v>101.963709302415</v>
      </c>
      <c r="F115" s="3269">
        <v>110.70924877912501</v>
      </c>
      <c r="G115" s="2325">
        <v>82.998446250081798</v>
      </c>
      <c r="H115" s="2321"/>
      <c r="I115" s="309"/>
      <c r="J115" s="336"/>
      <c r="K115" s="309"/>
      <c r="L115" s="309"/>
      <c r="M115" s="1027"/>
      <c r="N115" s="1020"/>
      <c r="O115" s="3363">
        <v>93.4</v>
      </c>
      <c r="P115" s="2322">
        <v>98.9</v>
      </c>
      <c r="Q115" s="2204"/>
    </row>
    <row r="116" spans="1:17" s="20" customFormat="1">
      <c r="A116" s="2308">
        <v>1981.11</v>
      </c>
      <c r="B116" s="2324">
        <v>36.551248162592103</v>
      </c>
      <c r="C116" s="3269">
        <v>122.978457247531</v>
      </c>
      <c r="D116" s="2325">
        <v>2.6378895800817199</v>
      </c>
      <c r="E116" s="2326">
        <v>100.218920110106</v>
      </c>
      <c r="F116" s="3269">
        <v>108.17188254608</v>
      </c>
      <c r="G116" s="2325">
        <v>82.671508878515596</v>
      </c>
      <c r="H116" s="2321"/>
      <c r="I116" s="309"/>
      <c r="J116" s="336"/>
      <c r="K116" s="309"/>
      <c r="L116" s="309"/>
      <c r="M116" s="1027"/>
      <c r="N116" s="1020"/>
      <c r="O116" s="3363">
        <v>93.7</v>
      </c>
      <c r="P116" s="2322">
        <v>98.8</v>
      </c>
      <c r="Q116" s="2204"/>
    </row>
    <row r="117" spans="1:17" s="20" customFormat="1">
      <c r="A117" s="2308">
        <v>1981.12</v>
      </c>
      <c r="B117" s="2324">
        <v>36.676715983665801</v>
      </c>
      <c r="C117" s="3269">
        <v>122.967690841145</v>
      </c>
      <c r="D117" s="2325">
        <v>2.66789913989399</v>
      </c>
      <c r="E117" s="2326">
        <v>99.950735299654397</v>
      </c>
      <c r="F117" s="3269">
        <v>107.809486502708</v>
      </c>
      <c r="G117" s="2325">
        <v>82.575635535320899</v>
      </c>
      <c r="H117" s="2321"/>
      <c r="I117" s="309"/>
      <c r="J117" s="336"/>
      <c r="K117" s="309"/>
      <c r="L117" s="309"/>
      <c r="M117" s="1027"/>
      <c r="N117" s="1020"/>
      <c r="O117" s="3363">
        <v>94</v>
      </c>
      <c r="P117" s="2322">
        <v>98.8</v>
      </c>
      <c r="Q117" s="2204"/>
    </row>
    <row r="118" spans="1:17" s="20" customFormat="1">
      <c r="A118" s="2308">
        <v>1982.01</v>
      </c>
      <c r="B118" s="2324">
        <v>37.291459216217</v>
      </c>
      <c r="C118" s="3269">
        <v>124.758935027898</v>
      </c>
      <c r="D118" s="2325">
        <v>2.7260085240038299</v>
      </c>
      <c r="E118" s="2326">
        <v>101.02150049597201</v>
      </c>
      <c r="F118" s="3269">
        <v>109.286284863456</v>
      </c>
      <c r="G118" s="2325">
        <v>82.896296464817695</v>
      </c>
      <c r="H118" s="2321"/>
      <c r="I118" s="309"/>
      <c r="J118" s="336"/>
      <c r="K118" s="309"/>
      <c r="L118" s="309"/>
      <c r="M118" s="1027"/>
      <c r="N118" s="1020"/>
      <c r="O118" s="3363">
        <v>94.3</v>
      </c>
      <c r="P118" s="2322">
        <v>99.7</v>
      </c>
      <c r="Q118" s="2204"/>
    </row>
    <row r="119" spans="1:17" s="20" customFormat="1">
      <c r="A119" s="2308">
        <v>1982.02</v>
      </c>
      <c r="B119" s="2324">
        <v>38.616761725114998</v>
      </c>
      <c r="C119" s="3269">
        <v>128.62900683688</v>
      </c>
      <c r="D119" s="2325">
        <v>2.8513804414027399</v>
      </c>
      <c r="E119" s="2326">
        <v>104.01702509602499</v>
      </c>
      <c r="F119" s="3269">
        <v>112.40941401348699</v>
      </c>
      <c r="G119" s="2325">
        <v>85.5595556354819</v>
      </c>
      <c r="H119" s="2321"/>
      <c r="I119" s="309"/>
      <c r="J119" s="336"/>
      <c r="K119" s="309"/>
      <c r="L119" s="309"/>
      <c r="M119" s="1027"/>
      <c r="N119" s="1020"/>
      <c r="O119" s="3363">
        <v>94.6</v>
      </c>
      <c r="P119" s="2322">
        <v>99.8</v>
      </c>
      <c r="Q119" s="2204"/>
    </row>
    <row r="120" spans="1:17" s="20" customFormat="1">
      <c r="A120" s="2308">
        <v>1982.03</v>
      </c>
      <c r="B120" s="2324">
        <v>40.041602963244301</v>
      </c>
      <c r="C120" s="3269">
        <v>130.84664286504201</v>
      </c>
      <c r="D120" s="2325">
        <v>3.0896321521711898</v>
      </c>
      <c r="E120" s="2326">
        <v>106.815720308979</v>
      </c>
      <c r="F120" s="3269">
        <v>113.616217942736</v>
      </c>
      <c r="G120" s="2325">
        <v>91.126781914962095</v>
      </c>
      <c r="H120" s="2321"/>
      <c r="I120" s="309"/>
      <c r="J120" s="336"/>
      <c r="K120" s="309"/>
      <c r="L120" s="309"/>
      <c r="M120" s="1027"/>
      <c r="N120" s="1020"/>
      <c r="O120" s="3363">
        <v>94.5</v>
      </c>
      <c r="P120" s="2322">
        <v>99.6</v>
      </c>
      <c r="Q120" s="2204"/>
    </row>
    <row r="121" spans="1:17" s="20" customFormat="1">
      <c r="A121" s="2308">
        <v>1982.04</v>
      </c>
      <c r="B121" s="2324">
        <v>40.532601378854302</v>
      </c>
      <c r="C121" s="3269">
        <v>132.36997933022101</v>
      </c>
      <c r="D121" s="2325">
        <v>3.1319052622092101</v>
      </c>
      <c r="E121" s="2326">
        <v>107.372026639331</v>
      </c>
      <c r="F121" s="3269">
        <v>114.557830777768</v>
      </c>
      <c r="G121" s="2325">
        <v>90.959472816623503</v>
      </c>
      <c r="H121" s="2321"/>
      <c r="I121" s="309"/>
      <c r="J121" s="336"/>
      <c r="K121" s="309"/>
      <c r="L121" s="309"/>
      <c r="M121" s="1027"/>
      <c r="N121" s="1020"/>
      <c r="O121" s="3363">
        <v>94.9</v>
      </c>
      <c r="P121" s="2322">
        <v>99.6</v>
      </c>
      <c r="Q121" s="2204"/>
    </row>
    <row r="122" spans="1:17" s="20" customFormat="1">
      <c r="A122" s="2308">
        <v>1982.05</v>
      </c>
      <c r="B122" s="2324">
        <v>40.161911238701997</v>
      </c>
      <c r="C122" s="3269">
        <v>130.03550550030701</v>
      </c>
      <c r="D122" s="2325">
        <v>3.1652585845825798</v>
      </c>
      <c r="E122" s="2326">
        <v>106.048463783443</v>
      </c>
      <c r="F122" s="3269">
        <v>112.68800534726</v>
      </c>
      <c r="G122" s="2325">
        <v>90.679271850984705</v>
      </c>
      <c r="H122" s="2321"/>
      <c r="I122" s="309"/>
      <c r="J122" s="336"/>
      <c r="K122" s="309"/>
      <c r="L122" s="309"/>
      <c r="M122" s="1027"/>
      <c r="N122" s="1020"/>
      <c r="O122" s="3363">
        <v>95.8</v>
      </c>
      <c r="P122" s="2322">
        <v>99.8</v>
      </c>
      <c r="Q122" s="2204"/>
    </row>
    <row r="123" spans="1:17" s="20" customFormat="1">
      <c r="A123" s="2308">
        <v>1982.06</v>
      </c>
      <c r="B123" s="2324">
        <v>41.773363513263497</v>
      </c>
      <c r="C123" s="3269">
        <v>136.25932749877001</v>
      </c>
      <c r="D123" s="2325">
        <v>3.23685019598526</v>
      </c>
      <c r="E123" s="2326">
        <v>110.263919842346</v>
      </c>
      <c r="F123" s="3269">
        <v>118.637154593811</v>
      </c>
      <c r="G123" s="2325">
        <v>91.620084387211193</v>
      </c>
      <c r="H123" s="2321"/>
      <c r="I123" s="309"/>
      <c r="J123" s="336"/>
      <c r="K123" s="309"/>
      <c r="L123" s="309"/>
      <c r="M123" s="1027"/>
      <c r="N123" s="1020"/>
      <c r="O123" s="3363">
        <v>97</v>
      </c>
      <c r="P123" s="2322">
        <v>100</v>
      </c>
      <c r="Q123" s="2204"/>
    </row>
    <row r="124" spans="1:17" s="20" customFormat="1">
      <c r="A124" s="2308">
        <v>1982.07</v>
      </c>
      <c r="B124" s="2324">
        <v>42.5632368139308</v>
      </c>
      <c r="C124" s="3269">
        <v>137.848340437969</v>
      </c>
      <c r="D124" s="2325">
        <v>3.3524130853753098</v>
      </c>
      <c r="E124" s="2326">
        <v>111.788025557144</v>
      </c>
      <c r="F124" s="3269">
        <v>120.176343223988</v>
      </c>
      <c r="G124" s="2325">
        <v>93.065438077746606</v>
      </c>
      <c r="H124" s="2321"/>
      <c r="I124" s="309"/>
      <c r="J124" s="336"/>
      <c r="K124" s="309"/>
      <c r="L124" s="309"/>
      <c r="M124" s="1027"/>
      <c r="N124" s="1020"/>
      <c r="O124" s="3363">
        <v>97.5</v>
      </c>
      <c r="P124" s="2322">
        <v>100.4</v>
      </c>
      <c r="Q124" s="2204"/>
    </row>
    <row r="125" spans="1:17" s="20" customFormat="1">
      <c r="A125" s="2308">
        <v>1982.08</v>
      </c>
      <c r="B125" s="2324">
        <v>44.016797878716403</v>
      </c>
      <c r="C125" s="3269">
        <v>138.093289811044</v>
      </c>
      <c r="D125" s="2325">
        <v>3.7298994421939602</v>
      </c>
      <c r="E125" s="2326">
        <v>114.057773808538</v>
      </c>
      <c r="F125" s="3269">
        <v>119.857254544184</v>
      </c>
      <c r="G125" s="2325">
        <v>100.05557297855199</v>
      </c>
      <c r="H125" s="2321"/>
      <c r="I125" s="309"/>
      <c r="J125" s="336"/>
      <c r="K125" s="309"/>
      <c r="L125" s="309"/>
      <c r="M125" s="1027"/>
      <c r="N125" s="1020"/>
      <c r="O125" s="3363">
        <v>97.7</v>
      </c>
      <c r="P125" s="2322">
        <v>100.3</v>
      </c>
      <c r="Q125" s="2204"/>
    </row>
    <row r="126" spans="1:17" s="20" customFormat="1">
      <c r="A126" s="2308">
        <v>1982.09</v>
      </c>
      <c r="B126" s="2324">
        <v>44.651022903875699</v>
      </c>
      <c r="C126" s="3269">
        <v>139.033208660068</v>
      </c>
      <c r="D126" s="2325">
        <v>3.8495895851587001</v>
      </c>
      <c r="E126" s="2326">
        <v>114.53230468224299</v>
      </c>
      <c r="F126" s="3269">
        <v>120.053189576028</v>
      </c>
      <c r="G126" s="2325">
        <v>101.055232956637</v>
      </c>
      <c r="H126" s="2321"/>
      <c r="I126" s="309"/>
      <c r="J126" s="336"/>
      <c r="K126" s="309"/>
      <c r="L126" s="309"/>
      <c r="M126" s="1027"/>
      <c r="N126" s="1020"/>
      <c r="O126" s="3363">
        <v>97.9</v>
      </c>
      <c r="P126" s="2322">
        <v>100</v>
      </c>
      <c r="Q126" s="2204"/>
    </row>
    <row r="127" spans="1:17" s="20" customFormat="1">
      <c r="A127" s="2308">
        <v>1982.1</v>
      </c>
      <c r="B127" s="2324">
        <v>44.749339781570299</v>
      </c>
      <c r="C127" s="3269">
        <v>141.116664062681</v>
      </c>
      <c r="D127" s="2325">
        <v>3.7472544115846</v>
      </c>
      <c r="E127" s="2326">
        <v>114.08472646296499</v>
      </c>
      <c r="F127" s="3269">
        <v>121.714262423921</v>
      </c>
      <c r="G127" s="2325">
        <v>96.656151140236503</v>
      </c>
      <c r="H127" s="2321"/>
      <c r="I127" s="309"/>
      <c r="J127" s="336"/>
      <c r="K127" s="309"/>
      <c r="L127" s="309"/>
      <c r="M127" s="1027"/>
      <c r="N127" s="1020"/>
      <c r="O127" s="3363">
        <v>98.2</v>
      </c>
      <c r="P127" s="2322">
        <v>100.2</v>
      </c>
      <c r="Q127" s="2204"/>
    </row>
    <row r="128" spans="1:17" s="20" customFormat="1">
      <c r="A128" s="2308">
        <v>1982.11</v>
      </c>
      <c r="B128" s="2324">
        <v>44.946095225760899</v>
      </c>
      <c r="C128" s="3269">
        <v>141.24852390679101</v>
      </c>
      <c r="D128" s="2325">
        <v>3.7938182461085002</v>
      </c>
      <c r="E128" s="2326">
        <v>113.453839082485</v>
      </c>
      <c r="F128" s="3269">
        <v>121.279125271569</v>
      </c>
      <c r="G128" s="2325">
        <v>95.688653675239394</v>
      </c>
      <c r="H128" s="2321"/>
      <c r="I128" s="309"/>
      <c r="J128" s="336"/>
      <c r="K128" s="309"/>
      <c r="L128" s="309"/>
      <c r="M128" s="1027"/>
      <c r="N128" s="1020"/>
      <c r="O128" s="3363">
        <v>98</v>
      </c>
      <c r="P128" s="2322">
        <v>100.3</v>
      </c>
      <c r="Q128" s="2204"/>
    </row>
    <row r="129" spans="1:17" s="20" customFormat="1">
      <c r="A129" s="2308">
        <v>1982.12</v>
      </c>
      <c r="B129" s="2324">
        <v>44.341850099421798</v>
      </c>
      <c r="C129" s="3269">
        <v>136.72299622019199</v>
      </c>
      <c r="D129" s="2325">
        <v>3.91013522749989</v>
      </c>
      <c r="E129" s="2326">
        <v>110.2677831228</v>
      </c>
      <c r="F129" s="3269">
        <v>116.563056517482</v>
      </c>
      <c r="G129" s="2325">
        <v>95.422377180490798</v>
      </c>
      <c r="H129" s="2321"/>
      <c r="I129" s="309"/>
      <c r="J129" s="336"/>
      <c r="K129" s="309"/>
      <c r="L129" s="309"/>
      <c r="M129" s="1027"/>
      <c r="N129" s="1020"/>
      <c r="O129" s="3363">
        <v>97.6</v>
      </c>
      <c r="P129" s="2322">
        <v>100.5</v>
      </c>
      <c r="Q129" s="2204"/>
    </row>
    <row r="130" spans="1:17" s="20" customFormat="1">
      <c r="A130" s="2308">
        <v>1983.01</v>
      </c>
      <c r="B130" s="2324">
        <v>44.470027896248702</v>
      </c>
      <c r="C130" s="3269">
        <v>134.77993887663001</v>
      </c>
      <c r="D130" s="2325">
        <v>4.0824753777589198</v>
      </c>
      <c r="E130" s="2326">
        <v>109.80313692655901</v>
      </c>
      <c r="F130" s="3269">
        <v>114.932167099404</v>
      </c>
      <c r="G130" s="2325">
        <v>97.249572609052905</v>
      </c>
      <c r="H130" s="2321"/>
      <c r="I130" s="309"/>
      <c r="J130" s="336"/>
      <c r="K130" s="309"/>
      <c r="L130" s="309"/>
      <c r="M130" s="1027"/>
      <c r="N130" s="1020"/>
      <c r="O130" s="3363">
        <v>97.8</v>
      </c>
      <c r="P130" s="2322">
        <v>100.2</v>
      </c>
      <c r="Q130" s="2204"/>
    </row>
    <row r="131" spans="1:17" s="20" customFormat="1">
      <c r="A131" s="2308">
        <v>1983.02</v>
      </c>
      <c r="B131" s="2324">
        <v>45.213523648370099</v>
      </c>
      <c r="C131" s="3269">
        <v>136.37976453118</v>
      </c>
      <c r="D131" s="2325">
        <v>4.1975133258162796</v>
      </c>
      <c r="E131" s="2326">
        <v>110.853150800497</v>
      </c>
      <c r="F131" s="3269">
        <v>116.157087619782</v>
      </c>
      <c r="G131" s="2325">
        <v>97.929715380468295</v>
      </c>
      <c r="H131" s="2321"/>
      <c r="I131" s="309"/>
      <c r="J131" s="336"/>
      <c r="K131" s="309"/>
      <c r="L131" s="309"/>
      <c r="M131" s="1027"/>
      <c r="N131" s="1020"/>
      <c r="O131" s="3363">
        <v>97.9</v>
      </c>
      <c r="P131" s="2322">
        <v>100.5</v>
      </c>
      <c r="Q131" s="2204"/>
    </row>
    <row r="132" spans="1:17" s="20" customFormat="1">
      <c r="A132" s="2308">
        <v>1983.03</v>
      </c>
      <c r="B132" s="2324">
        <v>45.919097290208398</v>
      </c>
      <c r="C132" s="3269">
        <v>137.73914726522901</v>
      </c>
      <c r="D132" s="2325">
        <v>4.3191389914749001</v>
      </c>
      <c r="E132" s="2326">
        <v>111.45548714361</v>
      </c>
      <c r="F132" s="3269">
        <v>116.72800642399901</v>
      </c>
      <c r="G132" s="2325">
        <v>98.581284906263505</v>
      </c>
      <c r="H132" s="2321"/>
      <c r="I132" s="309"/>
      <c r="J132" s="336"/>
      <c r="K132" s="309"/>
      <c r="L132" s="309"/>
      <c r="M132" s="1027"/>
      <c r="N132" s="1020"/>
      <c r="O132" s="3363">
        <v>97.9</v>
      </c>
      <c r="P132" s="2322">
        <v>100.4</v>
      </c>
      <c r="Q132" s="2204"/>
    </row>
    <row r="133" spans="1:17" s="20" customFormat="1">
      <c r="A133" s="2308">
        <v>1983.04</v>
      </c>
      <c r="B133" s="2324">
        <v>46.4789250758257</v>
      </c>
      <c r="C133" s="3269">
        <v>138.41263192398</v>
      </c>
      <c r="D133" s="2325">
        <v>4.4467780113631097</v>
      </c>
      <c r="E133" s="2326">
        <v>112.601585784318</v>
      </c>
      <c r="F133" s="3269">
        <v>117.805553209894</v>
      </c>
      <c r="G133" s="2325">
        <v>99.839093685450294</v>
      </c>
      <c r="H133" s="2321"/>
      <c r="I133" s="309"/>
      <c r="J133" s="336"/>
      <c r="K133" s="309"/>
      <c r="L133" s="309"/>
      <c r="M133" s="1027"/>
      <c r="N133" s="1020"/>
      <c r="O133" s="3363">
        <v>98.6</v>
      </c>
      <c r="P133" s="2322">
        <v>100.4</v>
      </c>
      <c r="Q133" s="2204"/>
    </row>
    <row r="134" spans="1:17" s="20" customFormat="1">
      <c r="A134" s="2308">
        <v>1983.05</v>
      </c>
      <c r="B134" s="2324">
        <v>46.642040154528303</v>
      </c>
      <c r="C134" s="3269">
        <v>138.01590495604199</v>
      </c>
      <c r="D134" s="2325">
        <v>4.5297423699922996</v>
      </c>
      <c r="E134" s="2326">
        <v>112.518004769889</v>
      </c>
      <c r="F134" s="3269">
        <v>117.455121991005</v>
      </c>
      <c r="G134" s="2325">
        <v>100.290749761811</v>
      </c>
      <c r="H134" s="2321"/>
      <c r="I134" s="309"/>
      <c r="J134" s="336"/>
      <c r="K134" s="309"/>
      <c r="L134" s="309"/>
      <c r="M134" s="1027"/>
      <c r="N134" s="1020"/>
      <c r="O134" s="3363">
        <v>99.2</v>
      </c>
      <c r="P134" s="2322">
        <v>100.8</v>
      </c>
      <c r="Q134" s="2204"/>
    </row>
    <row r="135" spans="1:17" s="20" customFormat="1">
      <c r="A135" s="2308">
        <v>1983.06</v>
      </c>
      <c r="B135" s="2324">
        <v>47.576869862977901</v>
      </c>
      <c r="C135" s="3269">
        <v>140.53211499169001</v>
      </c>
      <c r="D135" s="2325">
        <v>4.6398572422040099</v>
      </c>
      <c r="E135" s="2326">
        <v>113.944360599378</v>
      </c>
      <c r="F135" s="3269">
        <v>119.35395795818</v>
      </c>
      <c r="G135" s="2325">
        <v>100.744295189735</v>
      </c>
      <c r="H135" s="2321"/>
      <c r="I135" s="309"/>
      <c r="J135" s="336"/>
      <c r="K135" s="309"/>
      <c r="L135" s="309"/>
      <c r="M135" s="1027"/>
      <c r="N135" s="1020"/>
      <c r="O135" s="3363">
        <v>99.5</v>
      </c>
      <c r="P135" s="2322">
        <v>101</v>
      </c>
      <c r="Q135" s="2204"/>
    </row>
    <row r="136" spans="1:17" s="20" customFormat="1">
      <c r="A136" s="2308">
        <v>1983.07</v>
      </c>
      <c r="B136" s="2324">
        <v>48.079806092647203</v>
      </c>
      <c r="C136" s="3269">
        <v>141.52899145391899</v>
      </c>
      <c r="D136" s="2325">
        <v>4.7270491134550197</v>
      </c>
      <c r="E136" s="2326">
        <v>114.601387895225</v>
      </c>
      <c r="F136" s="3269">
        <v>120.214374635838</v>
      </c>
      <c r="G136" s="2325">
        <v>100.98444016793199</v>
      </c>
      <c r="H136" s="2321"/>
      <c r="I136" s="309"/>
      <c r="J136" s="336"/>
      <c r="K136" s="309"/>
      <c r="L136" s="309"/>
      <c r="M136" s="1027"/>
      <c r="N136" s="1020"/>
      <c r="O136" s="3363">
        <v>99.9</v>
      </c>
      <c r="P136" s="2322">
        <v>101.3</v>
      </c>
      <c r="Q136" s="2204"/>
    </row>
    <row r="137" spans="1:17" s="20" customFormat="1">
      <c r="A137" s="2308">
        <v>1983.08</v>
      </c>
      <c r="B137" s="2324">
        <v>49.021841179868296</v>
      </c>
      <c r="C137" s="3269">
        <v>143.87007206236001</v>
      </c>
      <c r="D137" s="2325">
        <v>4.85376607331923</v>
      </c>
      <c r="E137" s="2326">
        <v>116.023837563096</v>
      </c>
      <c r="F137" s="3269">
        <v>121.85732221430899</v>
      </c>
      <c r="G137" s="2325">
        <v>101.940725063673</v>
      </c>
      <c r="H137" s="2321"/>
      <c r="I137" s="309"/>
      <c r="J137" s="336"/>
      <c r="K137" s="309"/>
      <c r="L137" s="309"/>
      <c r="M137" s="1027"/>
      <c r="N137" s="1020"/>
      <c r="O137" s="3363">
        <v>100.2</v>
      </c>
      <c r="P137" s="2322">
        <v>101.8</v>
      </c>
      <c r="Q137" s="2204"/>
    </row>
    <row r="138" spans="1:17" s="20" customFormat="1">
      <c r="A138" s="2308">
        <v>1983.09</v>
      </c>
      <c r="B138" s="2324">
        <v>49.316557157359497</v>
      </c>
      <c r="C138" s="3269">
        <v>143.63632875039201</v>
      </c>
      <c r="D138" s="2325">
        <v>4.97124854054056</v>
      </c>
      <c r="E138" s="2326">
        <v>115.932989867996</v>
      </c>
      <c r="F138" s="3269">
        <v>121.518886550001</v>
      </c>
      <c r="G138" s="2325">
        <v>102.34029102533999</v>
      </c>
      <c r="H138" s="2321"/>
      <c r="I138" s="309"/>
      <c r="J138" s="336"/>
      <c r="K138" s="309"/>
      <c r="L138" s="309"/>
      <c r="M138" s="1027"/>
      <c r="N138" s="1020"/>
      <c r="O138" s="3363">
        <v>100.7</v>
      </c>
      <c r="P138" s="2322">
        <v>102</v>
      </c>
      <c r="Q138" s="2204"/>
    </row>
    <row r="139" spans="1:17" s="20" customFormat="1">
      <c r="A139" s="2308">
        <v>1983.1</v>
      </c>
      <c r="B139" s="2324">
        <v>49.160293488348501</v>
      </c>
      <c r="C139" s="3269">
        <v>141.18126053547499</v>
      </c>
      <c r="D139" s="2325">
        <v>5.1219721686628699</v>
      </c>
      <c r="E139" s="2326">
        <v>114.770205678159</v>
      </c>
      <c r="F139" s="3269">
        <v>119.37583421668501</v>
      </c>
      <c r="G139" s="2325">
        <v>103.166934351731</v>
      </c>
      <c r="H139" s="2321"/>
      <c r="I139" s="309"/>
      <c r="J139" s="336"/>
      <c r="K139" s="309"/>
      <c r="L139" s="309"/>
      <c r="M139" s="1027"/>
      <c r="N139" s="1020"/>
      <c r="O139" s="3363">
        <v>101</v>
      </c>
      <c r="P139" s="2322">
        <v>102.2</v>
      </c>
      <c r="Q139" s="2204"/>
    </row>
    <row r="140" spans="1:17" s="20" customFormat="1">
      <c r="A140" s="2308">
        <v>1983.11</v>
      </c>
      <c r="B140" s="2324">
        <v>49.921719606546603</v>
      </c>
      <c r="C140" s="3269">
        <v>143.184151047554</v>
      </c>
      <c r="D140" s="2325">
        <v>5.2170008654172504</v>
      </c>
      <c r="E140" s="2326">
        <v>115.668786246105</v>
      </c>
      <c r="F140" s="3269">
        <v>121.02511601655</v>
      </c>
      <c r="G140" s="2325">
        <v>102.537523662403</v>
      </c>
      <c r="H140" s="2321"/>
      <c r="I140" s="309"/>
      <c r="J140" s="336"/>
      <c r="K140" s="309"/>
      <c r="L140" s="309"/>
      <c r="M140" s="1027"/>
      <c r="N140" s="1020"/>
      <c r="O140" s="3363">
        <v>101.2</v>
      </c>
      <c r="P140" s="2322">
        <v>102.1</v>
      </c>
      <c r="Q140" s="2204"/>
    </row>
    <row r="141" spans="1:17" s="20" customFormat="1">
      <c r="A141" s="2308">
        <v>1983.12</v>
      </c>
      <c r="B141" s="2324">
        <v>50.727480560429697</v>
      </c>
      <c r="C141" s="3269">
        <v>145.07097936471399</v>
      </c>
      <c r="D141" s="2325">
        <v>5.3377125400435004</v>
      </c>
      <c r="E141" s="2326">
        <v>116.87190426585001</v>
      </c>
      <c r="F141" s="3269">
        <v>122.561093126587</v>
      </c>
      <c r="G141" s="2325">
        <v>103.054311625308</v>
      </c>
      <c r="H141" s="2321"/>
      <c r="I141" s="309"/>
      <c r="J141" s="336"/>
      <c r="K141" s="309"/>
      <c r="L141" s="309"/>
      <c r="M141" s="1027"/>
      <c r="N141" s="1020"/>
      <c r="O141" s="3363">
        <v>101.3</v>
      </c>
      <c r="P141" s="2322">
        <v>102.3</v>
      </c>
      <c r="Q141" s="2204"/>
    </row>
    <row r="142" spans="1:17" s="20" customFormat="1">
      <c r="A142" s="2308">
        <v>1984.01</v>
      </c>
      <c r="B142" s="2324">
        <v>51.331458575320099</v>
      </c>
      <c r="C142" s="3269">
        <v>146.15607425890099</v>
      </c>
      <c r="D142" s="2325">
        <v>5.4578844995995404</v>
      </c>
      <c r="E142" s="2326">
        <v>117.927741944649</v>
      </c>
      <c r="F142" s="3269">
        <v>123.935031233777</v>
      </c>
      <c r="G142" s="2325">
        <v>103.44528640293601</v>
      </c>
      <c r="H142" s="2321"/>
      <c r="I142" s="309"/>
      <c r="J142" s="336"/>
      <c r="K142" s="309"/>
      <c r="L142" s="309"/>
      <c r="M142" s="1027"/>
      <c r="N142" s="1020"/>
      <c r="O142" s="3363">
        <v>101.9</v>
      </c>
      <c r="P142" s="2322">
        <v>102.9</v>
      </c>
      <c r="Q142" s="2204"/>
    </row>
    <row r="143" spans="1:17" s="20" customFormat="1">
      <c r="A143" s="2308">
        <v>1984.02</v>
      </c>
      <c r="B143" s="2324">
        <v>51.206128247131502</v>
      </c>
      <c r="C143" s="3269">
        <v>144.27513866315101</v>
      </c>
      <c r="D143" s="2325">
        <v>5.5846777543966901</v>
      </c>
      <c r="E143" s="2326">
        <v>116.801841175465</v>
      </c>
      <c r="F143" s="3269">
        <v>122.176169734773</v>
      </c>
      <c r="G143" s="2325">
        <v>103.628253727816</v>
      </c>
      <c r="H143" s="2321"/>
      <c r="I143" s="309"/>
      <c r="J143" s="336"/>
      <c r="K143" s="309"/>
      <c r="L143" s="309"/>
      <c r="M143" s="1027"/>
      <c r="N143" s="1020"/>
      <c r="O143" s="3363">
        <v>102.4</v>
      </c>
      <c r="P143" s="2322">
        <v>103.2</v>
      </c>
      <c r="Q143" s="2204"/>
    </row>
    <row r="144" spans="1:17" s="20" customFormat="1">
      <c r="A144" s="2308">
        <v>1984.03</v>
      </c>
      <c r="B144" s="2324">
        <v>51.053539010134003</v>
      </c>
      <c r="C144" s="3269">
        <v>141.84533793279601</v>
      </c>
      <c r="D144" s="2325">
        <v>5.7596540242487304</v>
      </c>
      <c r="E144" s="2326">
        <v>115.816675013401</v>
      </c>
      <c r="F144" s="3269">
        <v>120.212046175917</v>
      </c>
      <c r="G144" s="2325">
        <v>104.693687688845</v>
      </c>
      <c r="H144" s="2321"/>
      <c r="I144" s="309"/>
      <c r="J144" s="336"/>
      <c r="K144" s="309"/>
      <c r="L144" s="309"/>
      <c r="M144" s="1027"/>
      <c r="N144" s="1020"/>
      <c r="O144" s="3363">
        <v>102.6</v>
      </c>
      <c r="P144" s="2322">
        <v>103.9</v>
      </c>
      <c r="Q144" s="2204"/>
    </row>
    <row r="145" spans="1:17" s="20" customFormat="1">
      <c r="A145" s="2308">
        <v>1984.04</v>
      </c>
      <c r="B145" s="2324">
        <v>51.718331677269497</v>
      </c>
      <c r="C145" s="3269">
        <v>143.35665884644001</v>
      </c>
      <c r="D145" s="2325">
        <v>5.8677145564174999</v>
      </c>
      <c r="E145" s="2326">
        <v>116.714585468533</v>
      </c>
      <c r="F145" s="3269">
        <v>121.72356009437</v>
      </c>
      <c r="G145" s="2325">
        <v>104.295370080579</v>
      </c>
      <c r="H145" s="2321"/>
      <c r="I145" s="309"/>
      <c r="J145" s="336"/>
      <c r="K145" s="309"/>
      <c r="L145" s="309"/>
      <c r="M145" s="1027"/>
      <c r="N145" s="1020"/>
      <c r="O145" s="3363">
        <v>103.1</v>
      </c>
      <c r="P145" s="2322">
        <v>104</v>
      </c>
      <c r="Q145" s="2204"/>
    </row>
    <row r="146" spans="1:17" s="20" customFormat="1">
      <c r="A146" s="2308">
        <v>1984.05</v>
      </c>
      <c r="B146" s="2324">
        <v>52.919868555167902</v>
      </c>
      <c r="C146" s="3269">
        <v>146.71422377148201</v>
      </c>
      <c r="D146" s="2325">
        <v>6.0013373824682601</v>
      </c>
      <c r="E146" s="2326">
        <v>118.612072166628</v>
      </c>
      <c r="F146" s="3269">
        <v>124.522496935258</v>
      </c>
      <c r="G146" s="2325">
        <v>104.31179753983101</v>
      </c>
      <c r="H146" s="2321"/>
      <c r="I146" s="309"/>
      <c r="J146" s="336"/>
      <c r="K146" s="309"/>
      <c r="L146" s="309"/>
      <c r="M146" s="1027"/>
      <c r="N146" s="1020"/>
      <c r="O146" s="3363">
        <v>103.4</v>
      </c>
      <c r="P146" s="2322">
        <v>104.1</v>
      </c>
      <c r="Q146" s="2204"/>
    </row>
    <row r="147" spans="1:17" s="20" customFormat="1">
      <c r="A147" s="2308">
        <v>1984.06</v>
      </c>
      <c r="B147" s="2324">
        <v>53.585761906631703</v>
      </c>
      <c r="C147" s="3269">
        <v>147.73666285939899</v>
      </c>
      <c r="D147" s="2325">
        <v>6.1592208175587198</v>
      </c>
      <c r="E147" s="2326">
        <v>119.20715508247601</v>
      </c>
      <c r="F147" s="3269">
        <v>125.310497442512</v>
      </c>
      <c r="G147" s="2325">
        <v>104.505307931497</v>
      </c>
      <c r="H147" s="2321"/>
      <c r="I147" s="309"/>
      <c r="J147" s="336"/>
      <c r="K147" s="309"/>
      <c r="L147" s="309"/>
      <c r="M147" s="1027"/>
      <c r="N147" s="1020"/>
      <c r="O147" s="3363">
        <v>103.7</v>
      </c>
      <c r="P147" s="2322">
        <v>104</v>
      </c>
      <c r="Q147" s="2204"/>
    </row>
    <row r="148" spans="1:17" s="20" customFormat="1">
      <c r="A148" s="2308">
        <v>1984.07</v>
      </c>
      <c r="B148" s="2324">
        <v>55.225070881123202</v>
      </c>
      <c r="C148" s="3269">
        <v>152.53556135391301</v>
      </c>
      <c r="D148" s="2325">
        <v>6.3194536019666998</v>
      </c>
      <c r="E148" s="2326">
        <v>122.19525805549</v>
      </c>
      <c r="F148" s="3269">
        <v>129.512349406548</v>
      </c>
      <c r="G148" s="2325">
        <v>105.016513910979</v>
      </c>
      <c r="H148" s="2321"/>
      <c r="I148" s="309"/>
      <c r="J148" s="336"/>
      <c r="K148" s="309"/>
      <c r="L148" s="309"/>
      <c r="M148" s="1027"/>
      <c r="N148" s="1020"/>
      <c r="O148" s="3363">
        <v>104.1</v>
      </c>
      <c r="P148" s="2322">
        <v>104.2</v>
      </c>
      <c r="Q148" s="2204"/>
    </row>
    <row r="149" spans="1:17" s="20" customFormat="1">
      <c r="A149" s="2308">
        <v>1984.08</v>
      </c>
      <c r="B149" s="2324">
        <v>55.5222800002621</v>
      </c>
      <c r="C149" s="3269">
        <v>152.33163088139301</v>
      </c>
      <c r="D149" s="2325">
        <v>6.4572495392619897</v>
      </c>
      <c r="E149" s="2326">
        <v>122.155206654133</v>
      </c>
      <c r="F149" s="3269">
        <v>129.440322320739</v>
      </c>
      <c r="G149" s="2325">
        <v>105.040082936489</v>
      </c>
      <c r="H149" s="2321"/>
      <c r="I149" s="309"/>
      <c r="J149" s="336"/>
      <c r="K149" s="309"/>
      <c r="L149" s="309"/>
      <c r="M149" s="1027"/>
      <c r="N149" s="1020"/>
      <c r="O149" s="3363">
        <v>104.5</v>
      </c>
      <c r="P149" s="2322">
        <v>103.8</v>
      </c>
      <c r="Q149" s="2204"/>
    </row>
    <row r="150" spans="1:17" s="20" customFormat="1">
      <c r="A150" s="2308">
        <v>1984.09</v>
      </c>
      <c r="B150" s="2324">
        <v>56.934451799926002</v>
      </c>
      <c r="C150" s="3269">
        <v>156.01619326034501</v>
      </c>
      <c r="D150" s="2325">
        <v>6.6411062194668196</v>
      </c>
      <c r="E150" s="2326">
        <v>124.378228297116</v>
      </c>
      <c r="F150" s="3269">
        <v>132.532413953125</v>
      </c>
      <c r="G150" s="2325">
        <v>105.52077508312099</v>
      </c>
      <c r="H150" s="2321"/>
      <c r="I150" s="309"/>
      <c r="J150" s="336"/>
      <c r="K150" s="309"/>
      <c r="L150" s="309"/>
      <c r="M150" s="1027"/>
      <c r="N150" s="1020"/>
      <c r="O150" s="3363">
        <v>105</v>
      </c>
      <c r="P150" s="2322">
        <v>103.4</v>
      </c>
      <c r="Q150" s="2204"/>
    </row>
    <row r="151" spans="1:17" s="20" customFormat="1">
      <c r="A151" s="2308">
        <v>1984.1</v>
      </c>
      <c r="B151" s="2324">
        <v>57.857905664860901</v>
      </c>
      <c r="C151" s="3269">
        <v>157.59783413567001</v>
      </c>
      <c r="D151" s="2325">
        <v>6.8473671123484303</v>
      </c>
      <c r="E151" s="2326">
        <v>125.349987460432</v>
      </c>
      <c r="F151" s="3269">
        <v>133.68603570699699</v>
      </c>
      <c r="G151" s="2325">
        <v>106.118170770121</v>
      </c>
      <c r="H151" s="2321"/>
      <c r="I151" s="309"/>
      <c r="J151" s="336"/>
      <c r="K151" s="309"/>
      <c r="L151" s="309"/>
      <c r="M151" s="1027"/>
      <c r="N151" s="1020"/>
      <c r="O151" s="3363">
        <v>105.3</v>
      </c>
      <c r="P151" s="2322">
        <v>103.4</v>
      </c>
      <c r="Q151" s="2204"/>
    </row>
    <row r="152" spans="1:17" s="20" customFormat="1">
      <c r="A152" s="2308">
        <v>1984.11</v>
      </c>
      <c r="B152" s="2324">
        <v>57.773353030649503</v>
      </c>
      <c r="C152" s="3269">
        <v>155.497605092361</v>
      </c>
      <c r="D152" s="2325">
        <v>7.03784270071945</v>
      </c>
      <c r="E152" s="2326">
        <v>124.277918637065</v>
      </c>
      <c r="F152" s="3269">
        <v>131.773674934128</v>
      </c>
      <c r="G152" s="2325">
        <v>106.70071617823599</v>
      </c>
      <c r="H152" s="2321"/>
      <c r="I152" s="309"/>
      <c r="J152" s="336"/>
      <c r="K152" s="309"/>
      <c r="L152" s="309"/>
      <c r="M152" s="1027"/>
      <c r="N152" s="1020"/>
      <c r="O152" s="3363">
        <v>105.3</v>
      </c>
      <c r="P152" s="2322">
        <v>103.7</v>
      </c>
      <c r="Q152" s="2204"/>
    </row>
    <row r="153" spans="1:17" s="20" customFormat="1">
      <c r="A153" s="2308">
        <v>1984.12</v>
      </c>
      <c r="B153" s="2324">
        <v>59.043192796394898</v>
      </c>
      <c r="C153" s="3269">
        <v>158.77745853396101</v>
      </c>
      <c r="D153" s="2325">
        <v>7.20754758408036</v>
      </c>
      <c r="E153" s="2326">
        <v>126.137344244977</v>
      </c>
      <c r="F153" s="3269">
        <v>134.22452063524199</v>
      </c>
      <c r="G153" s="2325">
        <v>107.364884608098</v>
      </c>
      <c r="H153" s="2321"/>
      <c r="I153" s="309"/>
      <c r="J153" s="336"/>
      <c r="K153" s="309"/>
      <c r="L153" s="309"/>
      <c r="M153" s="1027"/>
      <c r="N153" s="1020"/>
      <c r="O153" s="3363">
        <v>105.3</v>
      </c>
      <c r="P153" s="2322">
        <v>103.5</v>
      </c>
      <c r="Q153" s="2204"/>
    </row>
    <row r="154" spans="1:17" s="20" customFormat="1">
      <c r="A154" s="2308">
        <v>1985.01</v>
      </c>
      <c r="B154" s="2324">
        <v>60.249779757213297</v>
      </c>
      <c r="C154" s="3269">
        <v>161.876801499382</v>
      </c>
      <c r="D154" s="2325">
        <v>7.37430652499466</v>
      </c>
      <c r="E154" s="2326">
        <v>127.711946123678</v>
      </c>
      <c r="F154" s="3269">
        <v>136.60342749922901</v>
      </c>
      <c r="G154" s="2325">
        <v>107.288850825042</v>
      </c>
      <c r="H154" s="2321"/>
      <c r="I154" s="309"/>
      <c r="J154" s="336"/>
      <c r="K154" s="309"/>
      <c r="L154" s="309"/>
      <c r="M154" s="1027"/>
      <c r="N154" s="1020"/>
      <c r="O154" s="3363">
        <v>105.5</v>
      </c>
      <c r="P154" s="2322">
        <v>103.4</v>
      </c>
      <c r="Q154" s="2204"/>
    </row>
    <row r="155" spans="1:17" s="20" customFormat="1">
      <c r="A155" s="2308">
        <v>1985.02</v>
      </c>
      <c r="B155" s="2324">
        <v>62.029877929785201</v>
      </c>
      <c r="C155" s="3269">
        <v>167.05659533854299</v>
      </c>
      <c r="D155" s="2325">
        <v>7.5469056595501298</v>
      </c>
      <c r="E155" s="2326">
        <v>131.07106981219599</v>
      </c>
      <c r="F155" s="3269">
        <v>141.29775256123699</v>
      </c>
      <c r="G155" s="2325">
        <v>107.94349596408399</v>
      </c>
      <c r="H155" s="2321"/>
      <c r="I155" s="309"/>
      <c r="J155" s="336"/>
      <c r="K155" s="309"/>
      <c r="L155" s="309"/>
      <c r="M155" s="1027"/>
      <c r="N155" s="1020"/>
      <c r="O155" s="3363">
        <v>106</v>
      </c>
      <c r="P155" s="2322">
        <v>103.3</v>
      </c>
      <c r="Q155" s="2204"/>
    </row>
    <row r="156" spans="1:17" s="20" customFormat="1">
      <c r="A156" s="2308">
        <v>1985.03</v>
      </c>
      <c r="B156" s="2324">
        <v>62.692689165275702</v>
      </c>
      <c r="C156" s="3269">
        <v>167.756954617882</v>
      </c>
      <c r="D156" s="2325">
        <v>7.7538959992022098</v>
      </c>
      <c r="E156" s="2326">
        <v>131.627696369939</v>
      </c>
      <c r="F156" s="3269">
        <v>141.905059424401</v>
      </c>
      <c r="G156" s="2325">
        <v>108.38783575975999</v>
      </c>
      <c r="H156" s="2321"/>
      <c r="I156" s="309"/>
      <c r="J156" s="336"/>
      <c r="K156" s="309"/>
      <c r="L156" s="309"/>
      <c r="M156" s="1027"/>
      <c r="N156" s="1020"/>
      <c r="O156" s="3363">
        <v>106.4</v>
      </c>
      <c r="P156" s="2322">
        <v>103.1</v>
      </c>
      <c r="Q156" s="2204"/>
    </row>
    <row r="157" spans="1:17" s="20" customFormat="1">
      <c r="A157" s="2308">
        <v>1985.04</v>
      </c>
      <c r="B157" s="2324">
        <v>61.438245585801099</v>
      </c>
      <c r="C157" s="3269">
        <v>161.588123346174</v>
      </c>
      <c r="D157" s="2325">
        <v>7.9385850440494803</v>
      </c>
      <c r="E157" s="2326">
        <v>127.970039306513</v>
      </c>
      <c r="F157" s="3269">
        <v>136.35676810642701</v>
      </c>
      <c r="G157" s="2325">
        <v>108.555753742017</v>
      </c>
      <c r="H157" s="2321"/>
      <c r="I157" s="309"/>
      <c r="J157" s="336"/>
      <c r="K157" s="309"/>
      <c r="L157" s="309"/>
      <c r="M157" s="1027"/>
      <c r="N157" s="1020"/>
      <c r="O157" s="3363">
        <v>106.9</v>
      </c>
      <c r="P157" s="2322">
        <v>103.3</v>
      </c>
      <c r="Q157" s="2204"/>
    </row>
    <row r="158" spans="1:17" s="20" customFormat="1">
      <c r="A158" s="2308">
        <v>1985.05</v>
      </c>
      <c r="B158" s="2324">
        <v>61.964490812680197</v>
      </c>
      <c r="C158" s="3269">
        <v>161.91906199872599</v>
      </c>
      <c r="D158" s="2325">
        <v>8.1393889654414995</v>
      </c>
      <c r="E158" s="2326">
        <v>128.397358182126</v>
      </c>
      <c r="F158" s="3269">
        <v>136.606802379654</v>
      </c>
      <c r="G158" s="2325">
        <v>109.334552632437</v>
      </c>
      <c r="H158" s="2321"/>
      <c r="I158" s="309"/>
      <c r="J158" s="336"/>
      <c r="K158" s="309"/>
      <c r="L158" s="309"/>
      <c r="M158" s="1027"/>
      <c r="N158" s="1020"/>
      <c r="O158" s="3363">
        <v>107.3</v>
      </c>
      <c r="P158" s="2322">
        <v>103.5</v>
      </c>
      <c r="Q158" s="2204"/>
    </row>
    <row r="159" spans="1:17" s="20" customFormat="1">
      <c r="A159" s="2308">
        <v>1985.06</v>
      </c>
      <c r="B159" s="2324">
        <v>61.899585559765001</v>
      </c>
      <c r="C159" s="3269">
        <v>160.10928684288601</v>
      </c>
      <c r="D159" s="2325">
        <v>8.3439990937696997</v>
      </c>
      <c r="E159" s="2326">
        <v>127.40475882461099</v>
      </c>
      <c r="F159" s="3269">
        <v>134.976844778772</v>
      </c>
      <c r="G159" s="2325">
        <v>109.665024248884</v>
      </c>
      <c r="H159" s="2321"/>
      <c r="I159" s="309"/>
      <c r="J159" s="336"/>
      <c r="K159" s="309"/>
      <c r="L159" s="309"/>
      <c r="M159" s="1027"/>
      <c r="N159" s="1020"/>
      <c r="O159" s="3363">
        <v>107.6</v>
      </c>
      <c r="P159" s="2322">
        <v>103.3</v>
      </c>
      <c r="Q159" s="2204"/>
    </row>
    <row r="160" spans="1:17" s="20" customFormat="1">
      <c r="A160" s="2308">
        <v>1985.07</v>
      </c>
      <c r="B160" s="2324">
        <v>60.933002256001302</v>
      </c>
      <c r="C160" s="3269">
        <v>154.73317786877601</v>
      </c>
      <c r="D160" s="2325">
        <v>8.6077393076381803</v>
      </c>
      <c r="E160" s="2326">
        <v>124.331173518376</v>
      </c>
      <c r="F160" s="3269">
        <v>130.14956024855201</v>
      </c>
      <c r="G160" s="2325">
        <v>110.331844819648</v>
      </c>
      <c r="H160" s="2321"/>
      <c r="I160" s="309"/>
      <c r="J160" s="336"/>
      <c r="K160" s="309"/>
      <c r="L160" s="309"/>
      <c r="M160" s="1027"/>
      <c r="N160" s="1020"/>
      <c r="O160" s="3363">
        <v>107.8</v>
      </c>
      <c r="P160" s="2322">
        <v>103.2</v>
      </c>
      <c r="Q160" s="2204"/>
    </row>
    <row r="161" spans="1:17" s="20" customFormat="1">
      <c r="A161" s="2308">
        <v>1985.08</v>
      </c>
      <c r="B161" s="2324">
        <v>61.056325254622401</v>
      </c>
      <c r="C161" s="3269">
        <v>152.38074126573201</v>
      </c>
      <c r="D161" s="2325">
        <v>9.0130426417604195</v>
      </c>
      <c r="E161" s="2326">
        <v>124.00052537700201</v>
      </c>
      <c r="F161" s="3269">
        <v>128.31354371731999</v>
      </c>
      <c r="G161" s="2325">
        <v>113.31348991917601</v>
      </c>
      <c r="H161" s="2321"/>
      <c r="I161" s="309"/>
      <c r="J161" s="336"/>
      <c r="K161" s="309"/>
      <c r="L161" s="309"/>
      <c r="M161" s="1027"/>
      <c r="N161" s="1020"/>
      <c r="O161" s="3363">
        <v>108</v>
      </c>
      <c r="P161" s="2322">
        <v>102.7</v>
      </c>
      <c r="Q161" s="2204"/>
    </row>
    <row r="162" spans="1:17" s="20" customFormat="1">
      <c r="A162" s="2308">
        <v>1985.09</v>
      </c>
      <c r="B162" s="2324">
        <v>61.7893314889862</v>
      </c>
      <c r="C162" s="3269">
        <v>153.70878063684299</v>
      </c>
      <c r="D162" s="2325">
        <v>9.1984401848996509</v>
      </c>
      <c r="E162" s="2326">
        <v>124.90946465885</v>
      </c>
      <c r="F162" s="3269">
        <v>129.665554894373</v>
      </c>
      <c r="G162" s="2325">
        <v>113.226164600606</v>
      </c>
      <c r="H162" s="2321"/>
      <c r="I162" s="309"/>
      <c r="J162" s="336"/>
      <c r="K162" s="309"/>
      <c r="L162" s="309"/>
      <c r="M162" s="1027"/>
      <c r="N162" s="1020"/>
      <c r="O162" s="3363">
        <v>108.3</v>
      </c>
      <c r="P162" s="2322">
        <v>102.1</v>
      </c>
      <c r="Q162" s="2204"/>
    </row>
    <row r="163" spans="1:17" s="20" customFormat="1">
      <c r="A163" s="2308">
        <v>1985.1</v>
      </c>
      <c r="B163" s="2324">
        <v>59.805128710658302</v>
      </c>
      <c r="C163" s="3269">
        <v>145.97418021576399</v>
      </c>
      <c r="D163" s="2325">
        <v>9.3416265383178807</v>
      </c>
      <c r="E163" s="2326">
        <v>120.30730053932901</v>
      </c>
      <c r="F163" s="3269">
        <v>123.140820407917</v>
      </c>
      <c r="G163" s="2325">
        <v>113.028829111799</v>
      </c>
      <c r="H163" s="2321"/>
      <c r="I163" s="309"/>
      <c r="J163" s="336"/>
      <c r="K163" s="309"/>
      <c r="L163" s="309"/>
      <c r="M163" s="1027"/>
      <c r="N163" s="1020"/>
      <c r="O163" s="3363">
        <v>108.7</v>
      </c>
      <c r="P163" s="2322">
        <v>102.9</v>
      </c>
      <c r="Q163" s="2204"/>
    </row>
    <row r="164" spans="1:17" s="20" customFormat="1">
      <c r="A164" s="2308">
        <v>1985.11</v>
      </c>
      <c r="B164" s="2324">
        <v>59.356113515433698</v>
      </c>
      <c r="C164" s="3269">
        <v>143.402265871347</v>
      </c>
      <c r="D164" s="2325">
        <v>9.5159216800995399</v>
      </c>
      <c r="E164" s="2326">
        <v>119.20772780826501</v>
      </c>
      <c r="F164" s="3269">
        <v>121.317525801714</v>
      </c>
      <c r="G164" s="2325">
        <v>113.639633876292</v>
      </c>
      <c r="H164" s="2321"/>
      <c r="I164" s="309"/>
      <c r="J164" s="336"/>
      <c r="K164" s="309"/>
      <c r="L164" s="309"/>
      <c r="M164" s="1027"/>
      <c r="N164" s="1020"/>
      <c r="O164" s="3363">
        <v>109</v>
      </c>
      <c r="P164" s="2322">
        <v>103.4</v>
      </c>
      <c r="Q164" s="2204"/>
    </row>
    <row r="165" spans="1:17" s="20" customFormat="1">
      <c r="A165" s="2308">
        <v>1985.12</v>
      </c>
      <c r="B165" s="2324">
        <v>59.500115190413503</v>
      </c>
      <c r="C165" s="3269">
        <v>142.493044219365</v>
      </c>
      <c r="D165" s="2325">
        <v>9.7541497450685899</v>
      </c>
      <c r="E165" s="2326">
        <v>118.899993872487</v>
      </c>
      <c r="F165" s="3269">
        <v>120.56304077731799</v>
      </c>
      <c r="G165" s="2325">
        <v>114.40326751388299</v>
      </c>
      <c r="H165" s="2321"/>
      <c r="I165" s="309"/>
      <c r="J165" s="336"/>
      <c r="K165" s="309"/>
      <c r="L165" s="309"/>
      <c r="M165" s="1027"/>
      <c r="N165" s="1020"/>
      <c r="O165" s="3363">
        <v>109.3</v>
      </c>
      <c r="P165" s="2322">
        <v>103.6</v>
      </c>
      <c r="Q165" s="2204"/>
    </row>
    <row r="166" spans="1:17" s="20" customFormat="1">
      <c r="A166" s="2308">
        <v>1986.01</v>
      </c>
      <c r="B166" s="2324">
        <v>59.570538466606997</v>
      </c>
      <c r="C166" s="3269">
        <v>141.18176713876099</v>
      </c>
      <c r="D166" s="2325">
        <v>10.024117345443599</v>
      </c>
      <c r="E166" s="2326">
        <v>118.322332040633</v>
      </c>
      <c r="F166" s="3269">
        <v>119.391524617572</v>
      </c>
      <c r="G166" s="2325">
        <v>115.243736013193</v>
      </c>
      <c r="H166" s="2321"/>
      <c r="I166" s="309"/>
      <c r="J166" s="336"/>
      <c r="K166" s="309"/>
      <c r="L166" s="309"/>
      <c r="M166" s="1027"/>
      <c r="N166" s="1020"/>
      <c r="O166" s="3363">
        <v>109.6</v>
      </c>
      <c r="P166" s="2322">
        <v>103.2</v>
      </c>
      <c r="Q166" s="2204"/>
    </row>
    <row r="167" spans="1:17" s="20" customFormat="1">
      <c r="A167" s="2308">
        <v>1986.02</v>
      </c>
      <c r="B167" s="2324">
        <v>58.442987319278998</v>
      </c>
      <c r="C167" s="3269">
        <v>135.98061340455999</v>
      </c>
      <c r="D167" s="2325">
        <v>10.297204034192699</v>
      </c>
      <c r="E167" s="2326">
        <v>115.149066192085</v>
      </c>
      <c r="F167" s="3269">
        <v>114.605462525684</v>
      </c>
      <c r="G167" s="2325">
        <v>116.05391122240501</v>
      </c>
      <c r="H167" s="2321"/>
      <c r="I167" s="309"/>
      <c r="J167" s="336"/>
      <c r="K167" s="309"/>
      <c r="L167" s="309"/>
      <c r="M167" s="1027"/>
      <c r="N167" s="1020"/>
      <c r="O167" s="3363">
        <v>109.3</v>
      </c>
      <c r="P167" s="2322">
        <v>101.7</v>
      </c>
      <c r="Q167" s="2204"/>
    </row>
    <row r="168" spans="1:17" s="20" customFormat="1">
      <c r="A168" s="2308">
        <v>1986.03</v>
      </c>
      <c r="B168" s="2324">
        <v>57.937910309538303</v>
      </c>
      <c r="C168" s="3269">
        <v>133.20384129503199</v>
      </c>
      <c r="D168" s="2325">
        <v>10.5156884590919</v>
      </c>
      <c r="E168" s="2326">
        <v>113.008448070348</v>
      </c>
      <c r="F168" s="3269">
        <v>111.646690527153</v>
      </c>
      <c r="G168" s="2325">
        <v>116.012566985059</v>
      </c>
      <c r="H168" s="2321"/>
      <c r="I168" s="309"/>
      <c r="J168" s="336"/>
      <c r="K168" s="309"/>
      <c r="L168" s="309"/>
      <c r="M168" s="1027"/>
      <c r="N168" s="1020"/>
      <c r="O168" s="3363">
        <v>108.8</v>
      </c>
      <c r="P168" s="2322">
        <v>100.3</v>
      </c>
      <c r="Q168" s="2204"/>
    </row>
    <row r="169" spans="1:17" s="20" customFormat="1">
      <c r="A169" s="2308">
        <v>1986.04</v>
      </c>
      <c r="B169" s="2324">
        <v>57.778246604996703</v>
      </c>
      <c r="C169" s="3269">
        <v>131.97718899931601</v>
      </c>
      <c r="D169" s="2325">
        <v>10.659088884343101</v>
      </c>
      <c r="E169" s="2326">
        <v>111.87150093312501</v>
      </c>
      <c r="F169" s="3269">
        <v>110.180008092056</v>
      </c>
      <c r="G169" s="2325">
        <v>115.739053752882</v>
      </c>
      <c r="H169" s="2321"/>
      <c r="I169" s="309"/>
      <c r="J169" s="336"/>
      <c r="K169" s="309"/>
      <c r="L169" s="309"/>
      <c r="M169" s="1027"/>
      <c r="N169" s="1020"/>
      <c r="O169" s="3363">
        <v>108.6</v>
      </c>
      <c r="P169" s="2322">
        <v>99.6</v>
      </c>
      <c r="Q169" s="2204"/>
    </row>
    <row r="170" spans="1:17" s="20" customFormat="1">
      <c r="A170" s="2308">
        <v>1986.05</v>
      </c>
      <c r="B170" s="2324">
        <v>57.0707195737738</v>
      </c>
      <c r="C170" s="3269">
        <v>128.981713566004</v>
      </c>
      <c r="D170" s="2325">
        <v>10.8101280275981</v>
      </c>
      <c r="E170" s="2326">
        <v>110.083467284253</v>
      </c>
      <c r="F170" s="3269">
        <v>107.690268303571</v>
      </c>
      <c r="G170" s="2325">
        <v>115.8183883703</v>
      </c>
      <c r="H170" s="2321"/>
      <c r="I170" s="309"/>
      <c r="J170" s="336"/>
      <c r="K170" s="309"/>
      <c r="L170" s="309"/>
      <c r="M170" s="1027"/>
      <c r="N170" s="1020"/>
      <c r="O170" s="3363">
        <v>108.9</v>
      </c>
      <c r="P170" s="2322">
        <v>100</v>
      </c>
      <c r="Q170" s="2204"/>
    </row>
    <row r="171" spans="1:17" s="20" customFormat="1">
      <c r="A171" s="2308">
        <v>1986.06</v>
      </c>
      <c r="B171" s="2324">
        <v>57.569660048563001</v>
      </c>
      <c r="C171" s="3269">
        <v>129.797179200833</v>
      </c>
      <c r="D171" s="2325">
        <v>10.9697779175862</v>
      </c>
      <c r="E171" s="2326">
        <v>110.84811469352501</v>
      </c>
      <c r="F171" s="3269">
        <v>108.724254548082</v>
      </c>
      <c r="G171" s="2325">
        <v>115.86040432575101</v>
      </c>
      <c r="H171" s="2321"/>
      <c r="I171" s="309"/>
      <c r="J171" s="336"/>
      <c r="K171" s="309"/>
      <c r="L171" s="309"/>
      <c r="M171" s="1027"/>
      <c r="N171" s="1020"/>
      <c r="O171" s="3363">
        <v>109.5</v>
      </c>
      <c r="P171" s="2322">
        <v>99.9</v>
      </c>
      <c r="Q171" s="2204"/>
    </row>
    <row r="172" spans="1:17" s="20" customFormat="1">
      <c r="A172" s="2308">
        <v>1986.07</v>
      </c>
      <c r="B172" s="2324">
        <v>56.864456598510699</v>
      </c>
      <c r="C172" s="3269">
        <v>126.443407922904</v>
      </c>
      <c r="D172" s="2325">
        <v>11.2158013592993</v>
      </c>
      <c r="E172" s="2326">
        <v>108.96089270220899</v>
      </c>
      <c r="F172" s="3269">
        <v>105.797933536061</v>
      </c>
      <c r="G172" s="2325">
        <v>116.792554910479</v>
      </c>
      <c r="H172" s="2321"/>
      <c r="I172" s="309"/>
      <c r="J172" s="336"/>
      <c r="K172" s="309"/>
      <c r="L172" s="309"/>
      <c r="M172" s="1027"/>
      <c r="N172" s="1020"/>
      <c r="O172" s="3363">
        <v>109.5</v>
      </c>
      <c r="P172" s="2322">
        <v>99.4</v>
      </c>
      <c r="Q172" s="2204"/>
    </row>
    <row r="173" spans="1:17" s="20" customFormat="1">
      <c r="A173" s="2308">
        <v>1986.08</v>
      </c>
      <c r="B173" s="2324">
        <v>56.498249003554001</v>
      </c>
      <c r="C173" s="3269">
        <v>124.39274993604801</v>
      </c>
      <c r="D173" s="2325">
        <v>11.4211921986986</v>
      </c>
      <c r="E173" s="2326">
        <v>107.517016181317</v>
      </c>
      <c r="F173" s="3269">
        <v>104.029119548566</v>
      </c>
      <c r="G173" s="2325">
        <v>116.25975284016999</v>
      </c>
      <c r="H173" s="2321"/>
      <c r="I173" s="309"/>
      <c r="J173" s="336"/>
      <c r="K173" s="309"/>
      <c r="L173" s="309"/>
      <c r="M173" s="1027"/>
      <c r="N173" s="1020"/>
      <c r="O173" s="3363">
        <v>109.7</v>
      </c>
      <c r="P173" s="2322">
        <v>99.3</v>
      </c>
      <c r="Q173" s="2204"/>
    </row>
    <row r="174" spans="1:17" s="20" customFormat="1">
      <c r="A174" s="2308">
        <v>1986.09</v>
      </c>
      <c r="B174" s="2324">
        <v>56.813091218933401</v>
      </c>
      <c r="C174" s="3269">
        <v>124.26774391171899</v>
      </c>
      <c r="D174" s="2325">
        <v>11.6741742042061</v>
      </c>
      <c r="E174" s="2326">
        <v>107.61154072846401</v>
      </c>
      <c r="F174" s="3269">
        <v>104.101555273522</v>
      </c>
      <c r="G174" s="2325">
        <v>116.41492818280901</v>
      </c>
      <c r="H174" s="2321"/>
      <c r="I174" s="309"/>
      <c r="J174" s="336"/>
      <c r="K174" s="309"/>
      <c r="L174" s="309"/>
      <c r="M174" s="1027"/>
      <c r="N174" s="1020"/>
      <c r="O174" s="3363">
        <v>110.2</v>
      </c>
      <c r="P174" s="2322">
        <v>99.4</v>
      </c>
      <c r="Q174" s="2204"/>
    </row>
    <row r="175" spans="1:17" s="20" customFormat="1">
      <c r="A175" s="2308">
        <v>1986.1</v>
      </c>
      <c r="B175" s="2324">
        <v>57.108629915368397</v>
      </c>
      <c r="C175" s="3269">
        <v>124.30758549330901</v>
      </c>
      <c r="D175" s="2325">
        <v>11.878370691231201</v>
      </c>
      <c r="E175" s="2326">
        <v>107.710904942612</v>
      </c>
      <c r="F175" s="3269">
        <v>104.196173919377</v>
      </c>
      <c r="G175" s="2325">
        <v>116.526611794883</v>
      </c>
      <c r="H175" s="2321"/>
      <c r="I175" s="309"/>
      <c r="J175" s="336"/>
      <c r="K175" s="309"/>
      <c r="L175" s="309"/>
      <c r="M175" s="1027"/>
      <c r="N175" s="1020"/>
      <c r="O175" s="3363">
        <v>110.3</v>
      </c>
      <c r="P175" s="2322">
        <v>99.7</v>
      </c>
      <c r="Q175" s="2204"/>
    </row>
    <row r="176" spans="1:17" s="20" customFormat="1">
      <c r="A176" s="2308">
        <v>1986.11</v>
      </c>
      <c r="B176" s="2324">
        <v>57.953662352980402</v>
      </c>
      <c r="C176" s="3269">
        <v>126.132295816352</v>
      </c>
      <c r="D176" s="2325">
        <v>12.0573096895774</v>
      </c>
      <c r="E176" s="2326">
        <v>108.679067056512</v>
      </c>
      <c r="F176" s="3269">
        <v>105.605383606365</v>
      </c>
      <c r="G176" s="2325">
        <v>116.267806035448</v>
      </c>
      <c r="H176" s="2321"/>
      <c r="I176" s="309"/>
      <c r="J176" s="336"/>
      <c r="K176" s="309"/>
      <c r="L176" s="309"/>
      <c r="M176" s="1027"/>
      <c r="N176" s="1020"/>
      <c r="O176" s="3363">
        <v>110.4</v>
      </c>
      <c r="P176" s="2322">
        <v>99.8</v>
      </c>
      <c r="Q176" s="2204"/>
    </row>
    <row r="177" spans="1:17" s="20" customFormat="1">
      <c r="A177" s="2308">
        <v>1986.12</v>
      </c>
      <c r="B177" s="2324">
        <v>58.141629453944297</v>
      </c>
      <c r="C177" s="3269">
        <v>124.95629871225</v>
      </c>
      <c r="D177" s="2325">
        <v>12.482253517031699</v>
      </c>
      <c r="E177" s="2326">
        <v>108.539792137338</v>
      </c>
      <c r="F177" s="3269">
        <v>104.71586854245299</v>
      </c>
      <c r="G177" s="2325">
        <v>118.212913920105</v>
      </c>
      <c r="H177" s="2321"/>
      <c r="I177" s="309"/>
      <c r="J177" s="336"/>
      <c r="K177" s="309"/>
      <c r="L177" s="309"/>
      <c r="M177" s="1027"/>
      <c r="N177" s="1020"/>
      <c r="O177" s="3363">
        <v>110.5</v>
      </c>
      <c r="P177" s="2322">
        <v>99.7</v>
      </c>
      <c r="Q177" s="2204"/>
    </row>
    <row r="178" spans="1:17" s="20" customFormat="1">
      <c r="A178" s="2308">
        <v>1987.01</v>
      </c>
      <c r="B178" s="2324">
        <v>56.814481107083601</v>
      </c>
      <c r="C178" s="3269">
        <v>120.17227530784101</v>
      </c>
      <c r="D178" s="2325">
        <v>12.681294386413899</v>
      </c>
      <c r="E178" s="2326">
        <v>105.928675168469</v>
      </c>
      <c r="F178" s="3269">
        <v>101.074169316789</v>
      </c>
      <c r="G178" s="2325">
        <v>118.487576215527</v>
      </c>
      <c r="H178" s="2321"/>
      <c r="I178" s="309"/>
      <c r="J178" s="336"/>
      <c r="K178" s="309"/>
      <c r="L178" s="309"/>
      <c r="M178" s="1027"/>
      <c r="N178" s="1020"/>
      <c r="O178" s="3363">
        <v>111.2</v>
      </c>
      <c r="P178" s="2322">
        <v>100.5</v>
      </c>
      <c r="Q178" s="2204"/>
    </row>
    <row r="179" spans="1:17" s="20" customFormat="1">
      <c r="A179" s="2308">
        <v>1987.02</v>
      </c>
      <c r="B179" s="2324">
        <v>56.556035447175802</v>
      </c>
      <c r="C179" s="3269">
        <v>118.253481287844</v>
      </c>
      <c r="D179" s="2325">
        <v>12.9793949497084</v>
      </c>
      <c r="E179" s="2326">
        <v>104.957712870259</v>
      </c>
      <c r="F179" s="3269">
        <v>99.603035365696996</v>
      </c>
      <c r="G179" s="2325">
        <v>118.957774464998</v>
      </c>
      <c r="H179" s="2321"/>
      <c r="I179" s="309"/>
      <c r="J179" s="336"/>
      <c r="K179" s="309"/>
      <c r="L179" s="309"/>
      <c r="M179" s="1027"/>
      <c r="N179" s="1020"/>
      <c r="O179" s="3363">
        <v>111.6</v>
      </c>
      <c r="P179" s="2322">
        <v>101</v>
      </c>
      <c r="Q179" s="2204"/>
    </row>
    <row r="180" spans="1:17" s="20" customFormat="1">
      <c r="A180" s="2308">
        <v>1987.03</v>
      </c>
      <c r="B180" s="2324">
        <v>56.512469235645497</v>
      </c>
      <c r="C180" s="3269">
        <v>117.07595273104</v>
      </c>
      <c r="D180" s="2325">
        <v>13.262175900686501</v>
      </c>
      <c r="E180" s="2326">
        <v>104.31425052499</v>
      </c>
      <c r="F180" s="3269">
        <v>98.787247204964999</v>
      </c>
      <c r="G180" s="2325">
        <v>118.82224585246701</v>
      </c>
      <c r="H180" s="2321"/>
      <c r="I180" s="309"/>
      <c r="J180" s="336"/>
      <c r="K180" s="309"/>
      <c r="L180" s="309"/>
      <c r="M180" s="1027"/>
      <c r="N180" s="1020"/>
      <c r="O180" s="3363">
        <v>112.1</v>
      </c>
      <c r="P180" s="2322">
        <v>101.2</v>
      </c>
      <c r="Q180" s="2204"/>
    </row>
    <row r="181" spans="1:17" s="20" customFormat="1">
      <c r="A181" s="2308">
        <v>1987.04</v>
      </c>
      <c r="B181" s="2324">
        <v>55.801045261987397</v>
      </c>
      <c r="C181" s="3269">
        <v>114.365067766059</v>
      </c>
      <c r="D181" s="2325">
        <v>13.439656383157001</v>
      </c>
      <c r="E181" s="2326">
        <v>102.20966469750699</v>
      </c>
      <c r="F181" s="3269">
        <v>96.602530443533098</v>
      </c>
      <c r="G181" s="2325">
        <v>116.983463431971</v>
      </c>
      <c r="H181" s="2321"/>
      <c r="I181" s="309"/>
      <c r="J181" s="336"/>
      <c r="K181" s="309"/>
      <c r="L181" s="309"/>
      <c r="M181" s="1027"/>
      <c r="N181" s="1020"/>
      <c r="O181" s="3363">
        <v>112.7</v>
      </c>
      <c r="P181" s="2322">
        <v>101.9</v>
      </c>
      <c r="Q181" s="2204"/>
    </row>
    <row r="182" spans="1:17" s="20" customFormat="1">
      <c r="A182" s="2308">
        <v>1987.05</v>
      </c>
      <c r="B182" s="2324">
        <v>55.898747290623497</v>
      </c>
      <c r="C182" s="3269">
        <v>113.712706375675</v>
      </c>
      <c r="D182" s="2325">
        <v>13.7085621251959</v>
      </c>
      <c r="E182" s="2326">
        <v>101.523788757307</v>
      </c>
      <c r="F182" s="3269">
        <v>96.154510269668904</v>
      </c>
      <c r="G182" s="2325">
        <v>115.615011819559</v>
      </c>
      <c r="H182" s="2321"/>
      <c r="I182" s="309"/>
      <c r="J182" s="336"/>
      <c r="K182" s="309"/>
      <c r="L182" s="309"/>
      <c r="M182" s="1027"/>
      <c r="N182" s="1020"/>
      <c r="O182" s="3363">
        <v>113.1</v>
      </c>
      <c r="P182" s="2322">
        <v>102.6</v>
      </c>
      <c r="Q182" s="2204"/>
    </row>
    <row r="183" spans="1:17" s="20" customFormat="1">
      <c r="A183" s="2308">
        <v>1987.06</v>
      </c>
      <c r="B183" s="2324">
        <v>56.867515904047401</v>
      </c>
      <c r="C183" s="3269">
        <v>115.42360372949901</v>
      </c>
      <c r="D183" s="2325">
        <v>14.0218178459142</v>
      </c>
      <c r="E183" s="2326">
        <v>102.581366762711</v>
      </c>
      <c r="F183" s="3269">
        <v>97.793119266336603</v>
      </c>
      <c r="G183" s="2325">
        <v>114.990468271541</v>
      </c>
      <c r="H183" s="2321"/>
      <c r="I183" s="309"/>
      <c r="J183" s="336"/>
      <c r="K183" s="309"/>
      <c r="L183" s="309"/>
      <c r="M183" s="1027"/>
      <c r="N183" s="1020"/>
      <c r="O183" s="3363">
        <v>113.5</v>
      </c>
      <c r="P183" s="2322">
        <v>103</v>
      </c>
      <c r="Q183" s="2204"/>
    </row>
    <row r="184" spans="1:17" s="20" customFormat="1">
      <c r="A184" s="2308">
        <v>1987.07</v>
      </c>
      <c r="B184" s="2324">
        <v>57.781428725395003</v>
      </c>
      <c r="C184" s="3269">
        <v>117.08744272647399</v>
      </c>
      <c r="D184" s="2325">
        <v>14.3033252755622</v>
      </c>
      <c r="E184" s="2326">
        <v>103.46343793843199</v>
      </c>
      <c r="F184" s="3269">
        <v>99.2873443424416</v>
      </c>
      <c r="G184" s="2325">
        <v>114.144952471929</v>
      </c>
      <c r="H184" s="2321"/>
      <c r="I184" s="309"/>
      <c r="J184" s="336"/>
      <c r="K184" s="309"/>
      <c r="L184" s="309"/>
      <c r="M184" s="1027"/>
      <c r="N184" s="1020"/>
      <c r="O184" s="3363">
        <v>113.8</v>
      </c>
      <c r="P184" s="2322">
        <v>103.5</v>
      </c>
      <c r="Q184" s="2204"/>
    </row>
    <row r="185" spans="1:17" s="20" customFormat="1">
      <c r="A185" s="2308">
        <v>1987.08</v>
      </c>
      <c r="B185" s="2324">
        <v>57.807301754358598</v>
      </c>
      <c r="C185" s="3269">
        <v>116.65800947110201</v>
      </c>
      <c r="D185" s="2325">
        <v>14.4538206492168</v>
      </c>
      <c r="E185" s="2326">
        <v>102.841229954534</v>
      </c>
      <c r="F185" s="3269">
        <v>99.025993864430802</v>
      </c>
      <c r="G185" s="2325">
        <v>112.531831125279</v>
      </c>
      <c r="H185" s="2321"/>
      <c r="I185" s="309"/>
      <c r="J185" s="336"/>
      <c r="K185" s="309"/>
      <c r="L185" s="309"/>
      <c r="M185" s="1027"/>
      <c r="N185" s="1020"/>
      <c r="O185" s="3363">
        <v>114.4</v>
      </c>
      <c r="P185" s="2322">
        <v>103.8</v>
      </c>
      <c r="Q185" s="2204"/>
    </row>
    <row r="186" spans="1:17" s="20" customFormat="1">
      <c r="A186" s="2308">
        <v>1987.09</v>
      </c>
      <c r="B186" s="2324">
        <v>57.197111663145499</v>
      </c>
      <c r="C186" s="3269">
        <v>114.244621945768</v>
      </c>
      <c r="D186" s="2325">
        <v>14.660236681727801</v>
      </c>
      <c r="E186" s="2326">
        <v>101.205503532783</v>
      </c>
      <c r="F186" s="3269">
        <v>97.126837627703296</v>
      </c>
      <c r="G186" s="2325">
        <v>111.63644819228701</v>
      </c>
      <c r="H186" s="2321"/>
      <c r="I186" s="309"/>
      <c r="J186" s="336"/>
      <c r="K186" s="309"/>
      <c r="L186" s="309"/>
      <c r="M186" s="1027"/>
      <c r="N186" s="1020"/>
      <c r="O186" s="3363">
        <v>115</v>
      </c>
      <c r="P186" s="2322">
        <v>103.7</v>
      </c>
      <c r="Q186" s="2204"/>
    </row>
    <row r="187" spans="1:17" s="20" customFormat="1">
      <c r="A187" s="2308">
        <v>1987.1</v>
      </c>
      <c r="B187" s="2324">
        <v>57.3690743054105</v>
      </c>
      <c r="C187" s="3269">
        <v>113.828747665961</v>
      </c>
      <c r="D187" s="2325">
        <v>14.942718088104501</v>
      </c>
      <c r="E187" s="2326">
        <v>100.787343390636</v>
      </c>
      <c r="F187" s="3269">
        <v>96.876229194283795</v>
      </c>
      <c r="G187" s="2325">
        <v>110.758032227736</v>
      </c>
      <c r="H187" s="2321"/>
      <c r="I187" s="309"/>
      <c r="J187" s="336"/>
      <c r="K187" s="309"/>
      <c r="L187" s="309"/>
      <c r="M187" s="1027"/>
      <c r="N187" s="1020"/>
      <c r="O187" s="3363">
        <v>115.3</v>
      </c>
      <c r="P187" s="2322">
        <v>104.1</v>
      </c>
      <c r="Q187" s="2204"/>
    </row>
    <row r="188" spans="1:17" s="20" customFormat="1">
      <c r="A188" s="2308">
        <v>1987.11</v>
      </c>
      <c r="B188" s="2324">
        <v>56.009452741780201</v>
      </c>
      <c r="C188" s="3269">
        <v>109.375251588073</v>
      </c>
      <c r="D188" s="2325">
        <v>15.160215405377601</v>
      </c>
      <c r="E188" s="2326">
        <v>97.738318840114204</v>
      </c>
      <c r="F188" s="3269">
        <v>93.224265117193298</v>
      </c>
      <c r="G188" s="2325">
        <v>109.425018010488</v>
      </c>
      <c r="H188" s="2321"/>
      <c r="I188" s="309"/>
      <c r="J188" s="336"/>
      <c r="K188" s="309"/>
      <c r="L188" s="309"/>
      <c r="M188" s="1027"/>
      <c r="N188" s="1020"/>
      <c r="O188" s="3363">
        <v>115.4</v>
      </c>
      <c r="P188" s="2322">
        <v>104.2</v>
      </c>
      <c r="Q188" s="2204"/>
    </row>
    <row r="189" spans="1:17" s="20" customFormat="1">
      <c r="A189" s="2308">
        <v>1987.12</v>
      </c>
      <c r="B189" s="2324">
        <v>55.422741426775097</v>
      </c>
      <c r="C189" s="3269">
        <v>106.185922164944</v>
      </c>
      <c r="D189" s="2325">
        <v>15.708618808036</v>
      </c>
      <c r="E189" s="2326">
        <v>95.607396681192199</v>
      </c>
      <c r="F189" s="3269">
        <v>90.403405033879096</v>
      </c>
      <c r="G189" s="2325">
        <v>109.307228506318</v>
      </c>
      <c r="H189" s="2321"/>
      <c r="I189" s="309"/>
      <c r="J189" s="336"/>
      <c r="K189" s="309"/>
      <c r="L189" s="309"/>
      <c r="M189" s="1027"/>
      <c r="N189" s="1020"/>
      <c r="O189" s="3363">
        <v>115.4</v>
      </c>
      <c r="P189" s="2322">
        <v>104.2</v>
      </c>
      <c r="Q189" s="2204"/>
    </row>
    <row r="190" spans="1:17" s="20" customFormat="1">
      <c r="A190" s="2308">
        <v>1988.01</v>
      </c>
      <c r="B190" s="2324">
        <v>55.782288777900099</v>
      </c>
      <c r="C190" s="3269">
        <v>105.965080568358</v>
      </c>
      <c r="D190" s="2325">
        <v>16.139686719756099</v>
      </c>
      <c r="E190" s="2326">
        <v>95.682108740188895</v>
      </c>
      <c r="F190" s="3269">
        <v>90.617631980690007</v>
      </c>
      <c r="G190" s="2325">
        <v>108.992241805821</v>
      </c>
      <c r="H190" s="2321"/>
      <c r="I190" s="309"/>
      <c r="J190" s="336"/>
      <c r="K190" s="309"/>
      <c r="L190" s="309"/>
      <c r="M190" s="1027"/>
      <c r="N190" s="1020"/>
      <c r="O190" s="3363">
        <v>115.7</v>
      </c>
      <c r="P190" s="2322">
        <v>104.6</v>
      </c>
      <c r="Q190" s="2204"/>
    </row>
    <row r="191" spans="1:17" s="20" customFormat="1">
      <c r="A191" s="2308">
        <v>1988.02</v>
      </c>
      <c r="B191" s="2324">
        <v>56.433525005006203</v>
      </c>
      <c r="C191" s="3269">
        <v>107.09899481328399</v>
      </c>
      <c r="D191" s="2325">
        <v>16.364087723998299</v>
      </c>
      <c r="E191" s="2326">
        <v>95.852711092716405</v>
      </c>
      <c r="F191" s="3269">
        <v>91.456510753710603</v>
      </c>
      <c r="G191" s="2325">
        <v>107.32576509832199</v>
      </c>
      <c r="H191" s="2321"/>
      <c r="I191" s="309"/>
      <c r="J191" s="336"/>
      <c r="K191" s="309"/>
      <c r="L191" s="309"/>
      <c r="M191" s="1027"/>
      <c r="N191" s="1020"/>
      <c r="O191" s="3363">
        <v>116</v>
      </c>
      <c r="P191" s="2322">
        <v>104.8</v>
      </c>
      <c r="Q191" s="2204"/>
    </row>
    <row r="192" spans="1:17" s="20" customFormat="1">
      <c r="A192" s="2308">
        <v>1988.03</v>
      </c>
      <c r="B192" s="2324">
        <v>55.949232391889304</v>
      </c>
      <c r="C192" s="3269">
        <v>105.28854463615301</v>
      </c>
      <c r="D192" s="2325">
        <v>16.543242973048699</v>
      </c>
      <c r="E192" s="2326">
        <v>94.309933530381699</v>
      </c>
      <c r="F192" s="3269">
        <v>89.882589402162196</v>
      </c>
      <c r="G192" s="2325">
        <v>105.875378775773</v>
      </c>
      <c r="H192" s="2321"/>
      <c r="I192" s="309"/>
      <c r="J192" s="336"/>
      <c r="K192" s="309"/>
      <c r="L192" s="309"/>
      <c r="M192" s="1027"/>
      <c r="N192" s="1020"/>
      <c r="O192" s="3363">
        <v>116.5</v>
      </c>
      <c r="P192" s="2322">
        <v>104.9</v>
      </c>
      <c r="Q192" s="2204"/>
    </row>
    <row r="193" spans="1:17" s="20" customFormat="1">
      <c r="A193" s="2308">
        <v>1988.04</v>
      </c>
      <c r="B193" s="2324">
        <v>55.654588811566001</v>
      </c>
      <c r="C193" s="3269">
        <v>104.02152163963</v>
      </c>
      <c r="D193" s="2325">
        <v>16.7178099344139</v>
      </c>
      <c r="E193" s="2326">
        <v>93.567828501684502</v>
      </c>
      <c r="F193" s="3269">
        <v>89.185190714590306</v>
      </c>
      <c r="G193" s="2325">
        <v>105.01539150444</v>
      </c>
      <c r="H193" s="2321"/>
      <c r="I193" s="309"/>
      <c r="J193" s="336"/>
      <c r="K193" s="309"/>
      <c r="L193" s="309"/>
      <c r="M193" s="1027"/>
      <c r="N193" s="1020"/>
      <c r="O193" s="3363">
        <v>117.1</v>
      </c>
      <c r="P193" s="2322">
        <v>105.8</v>
      </c>
      <c r="Q193" s="2204"/>
    </row>
    <row r="194" spans="1:17" s="20" customFormat="1">
      <c r="A194" s="2308">
        <v>1988.05</v>
      </c>
      <c r="B194" s="2324">
        <v>56.036563496627501</v>
      </c>
      <c r="C194" s="3269">
        <v>104.444044682962</v>
      </c>
      <c r="D194" s="2325">
        <v>16.941294912385999</v>
      </c>
      <c r="E194" s="2326">
        <v>93.629496371436602</v>
      </c>
      <c r="F194" s="3269">
        <v>89.5814316995978</v>
      </c>
      <c r="G194" s="2325">
        <v>104.171442739802</v>
      </c>
      <c r="H194" s="2321"/>
      <c r="I194" s="309"/>
      <c r="J194" s="336"/>
      <c r="K194" s="309"/>
      <c r="L194" s="309"/>
      <c r="M194" s="1027"/>
      <c r="N194" s="1020"/>
      <c r="O194" s="3363">
        <v>117.5</v>
      </c>
      <c r="P194" s="2322">
        <v>106.5</v>
      </c>
      <c r="Q194" s="2204"/>
    </row>
    <row r="195" spans="1:17" s="20" customFormat="1">
      <c r="A195" s="2308">
        <v>1988.06</v>
      </c>
      <c r="B195" s="2324">
        <v>56.939808676798599</v>
      </c>
      <c r="C195" s="3269">
        <v>106.184743025835</v>
      </c>
      <c r="D195" s="2325">
        <v>17.193697983730299</v>
      </c>
      <c r="E195" s="2326">
        <v>94.581174371503494</v>
      </c>
      <c r="F195" s="3269">
        <v>91.217094982636297</v>
      </c>
      <c r="G195" s="2325">
        <v>103.305905125473</v>
      </c>
      <c r="H195" s="2321"/>
      <c r="I195" s="309"/>
      <c r="J195" s="336"/>
      <c r="K195" s="309"/>
      <c r="L195" s="309"/>
      <c r="M195" s="1027"/>
      <c r="N195" s="1020"/>
      <c r="O195" s="3363">
        <v>118</v>
      </c>
      <c r="P195" s="2322">
        <v>107.2</v>
      </c>
      <c r="Q195" s="2204"/>
    </row>
    <row r="196" spans="1:17" s="20" customFormat="1">
      <c r="A196" s="2308">
        <v>1988.07</v>
      </c>
      <c r="B196" s="2324">
        <v>58.3909112377127</v>
      </c>
      <c r="C196" s="3269">
        <v>109.29610830611099</v>
      </c>
      <c r="D196" s="2325">
        <v>17.480408196480798</v>
      </c>
      <c r="E196" s="2326">
        <v>96.346906938559997</v>
      </c>
      <c r="F196" s="3269">
        <v>93.956725112439301</v>
      </c>
      <c r="G196" s="2325">
        <v>102.56883788375799</v>
      </c>
      <c r="H196" s="2321"/>
      <c r="I196" s="309"/>
      <c r="J196" s="336"/>
      <c r="K196" s="309"/>
      <c r="L196" s="309"/>
      <c r="M196" s="1027"/>
      <c r="N196" s="1020"/>
      <c r="O196" s="3363">
        <v>118.5</v>
      </c>
      <c r="P196" s="2322">
        <v>107.9</v>
      </c>
      <c r="Q196" s="2204"/>
    </row>
    <row r="197" spans="1:17" s="20" customFormat="1">
      <c r="A197" s="2308">
        <v>1988.08</v>
      </c>
      <c r="B197" s="2324">
        <v>59.222025234234799</v>
      </c>
      <c r="C197" s="3269">
        <v>110.73198594583199</v>
      </c>
      <c r="D197" s="2325">
        <v>17.773600168221598</v>
      </c>
      <c r="E197" s="2326">
        <v>97.099255338355206</v>
      </c>
      <c r="F197" s="3269">
        <v>95.280811170132395</v>
      </c>
      <c r="G197" s="2325">
        <v>101.89459483382301</v>
      </c>
      <c r="H197" s="2321"/>
      <c r="I197" s="309"/>
      <c r="J197" s="336"/>
      <c r="K197" s="309"/>
      <c r="L197" s="309"/>
      <c r="M197" s="1027"/>
      <c r="N197" s="1020"/>
      <c r="O197" s="3363">
        <v>119</v>
      </c>
      <c r="P197" s="2322">
        <v>108</v>
      </c>
      <c r="Q197" s="2204"/>
    </row>
    <row r="198" spans="1:17" s="20" customFormat="1">
      <c r="A198" s="2308">
        <v>1988.09</v>
      </c>
      <c r="B198" s="2324">
        <v>59.4956287532396</v>
      </c>
      <c r="C198" s="3269">
        <v>110.798379654104</v>
      </c>
      <c r="D198" s="2325">
        <v>18.021914387115</v>
      </c>
      <c r="E198" s="2326">
        <v>96.999411240707801</v>
      </c>
      <c r="F198" s="3269">
        <v>95.441047088390803</v>
      </c>
      <c r="G198" s="2325">
        <v>101.154126582846</v>
      </c>
      <c r="H198" s="2321"/>
      <c r="I198" s="309"/>
      <c r="J198" s="336"/>
      <c r="K198" s="309"/>
      <c r="L198" s="309"/>
      <c r="M198" s="1027"/>
      <c r="N198" s="1020"/>
      <c r="O198" s="3363">
        <v>119.8</v>
      </c>
      <c r="P198" s="2322">
        <v>108.1</v>
      </c>
      <c r="Q198" s="2204"/>
    </row>
    <row r="199" spans="1:17" s="20" customFormat="1">
      <c r="A199" s="2308">
        <v>1988.1</v>
      </c>
      <c r="B199" s="2324">
        <v>58.546197444050598</v>
      </c>
      <c r="C199" s="3269">
        <v>107.71873196448</v>
      </c>
      <c r="D199" s="2325">
        <v>18.2385797533396</v>
      </c>
      <c r="E199" s="2326">
        <v>94.832044031273398</v>
      </c>
      <c r="F199" s="3269">
        <v>92.725385687189501</v>
      </c>
      <c r="G199" s="2325">
        <v>100.33800558462499</v>
      </c>
      <c r="H199" s="2321"/>
      <c r="I199" s="309"/>
      <c r="J199" s="336"/>
      <c r="K199" s="309"/>
      <c r="L199" s="309"/>
      <c r="M199" s="1027"/>
      <c r="N199" s="1020"/>
      <c r="O199" s="3363">
        <v>120.2</v>
      </c>
      <c r="P199" s="2322">
        <v>108.2</v>
      </c>
      <c r="Q199" s="2204"/>
    </row>
    <row r="200" spans="1:17" s="20" customFormat="1">
      <c r="A200" s="2308">
        <v>1988.11</v>
      </c>
      <c r="B200" s="2324">
        <v>57.5640841198271</v>
      </c>
      <c r="C200" s="3269">
        <v>104.834259408821</v>
      </c>
      <c r="D200" s="2325">
        <v>18.3615361859061</v>
      </c>
      <c r="E200" s="2326">
        <v>92.863802323619595</v>
      </c>
      <c r="F200" s="3269">
        <v>90.453601425585006</v>
      </c>
      <c r="G200" s="2325">
        <v>99.1299948232529</v>
      </c>
      <c r="H200" s="2321"/>
      <c r="I200" s="309"/>
      <c r="J200" s="336"/>
      <c r="K200" s="309"/>
      <c r="L200" s="309"/>
      <c r="M200" s="1027"/>
      <c r="N200" s="1020"/>
      <c r="O200" s="3363">
        <v>120.3</v>
      </c>
      <c r="P200" s="2322">
        <v>108.3</v>
      </c>
      <c r="Q200" s="2204"/>
    </row>
    <row r="201" spans="1:17" s="20" customFormat="1">
      <c r="A201" s="2308">
        <v>1988.12</v>
      </c>
      <c r="B201" s="2324">
        <v>57.646313385065397</v>
      </c>
      <c r="C201" s="3269">
        <v>104.40703913612001</v>
      </c>
      <c r="D201" s="2325">
        <v>18.6232069413815</v>
      </c>
      <c r="E201" s="2326">
        <v>92.500501392494201</v>
      </c>
      <c r="F201" s="3269">
        <v>90.106086863607004</v>
      </c>
      <c r="G201" s="2325">
        <v>98.726070253972196</v>
      </c>
      <c r="H201" s="2321"/>
      <c r="I201" s="309"/>
      <c r="J201" s="336"/>
      <c r="K201" s="309"/>
      <c r="L201" s="309"/>
      <c r="M201" s="1027"/>
      <c r="N201" s="1020"/>
      <c r="O201" s="3363">
        <v>120.5</v>
      </c>
      <c r="P201" s="2322">
        <v>109</v>
      </c>
      <c r="Q201" s="2204"/>
    </row>
    <row r="202" spans="1:17" s="20" customFormat="1">
      <c r="A202" s="2308">
        <v>1989.01</v>
      </c>
      <c r="B202" s="2324">
        <v>58.867322393242702</v>
      </c>
      <c r="C202" s="3269">
        <v>106.62961919761</v>
      </c>
      <c r="D202" s="2325">
        <v>19.012895219593499</v>
      </c>
      <c r="E202" s="2326">
        <v>94.189533246946198</v>
      </c>
      <c r="F202" s="3269">
        <v>92.250715017363802</v>
      </c>
      <c r="G202" s="2325">
        <v>99.280303337791906</v>
      </c>
      <c r="H202" s="2321"/>
      <c r="I202" s="309"/>
      <c r="J202" s="336"/>
      <c r="K202" s="309"/>
      <c r="L202" s="309"/>
      <c r="M202" s="1027"/>
      <c r="N202" s="1020"/>
      <c r="O202" s="3363">
        <v>121.1</v>
      </c>
      <c r="P202" s="2322">
        <v>110.5</v>
      </c>
      <c r="Q202" s="2204"/>
    </row>
    <row r="203" spans="1:17" s="20" customFormat="1">
      <c r="A203" s="2308">
        <v>1989.02</v>
      </c>
      <c r="B203" s="2324">
        <v>59.197664736149299</v>
      </c>
      <c r="C203" s="3269">
        <v>107.141133280654</v>
      </c>
      <c r="D203" s="2325">
        <v>19.1548319913523</v>
      </c>
      <c r="E203" s="2326">
        <v>94.279529814984002</v>
      </c>
      <c r="F203" s="3269">
        <v>92.713621236111194</v>
      </c>
      <c r="G203" s="2325">
        <v>98.452675246696899</v>
      </c>
      <c r="H203" s="2321"/>
      <c r="I203" s="309"/>
      <c r="J203" s="336"/>
      <c r="K203" s="309"/>
      <c r="L203" s="309"/>
      <c r="M203" s="1027"/>
      <c r="N203" s="1020"/>
      <c r="O203" s="3363">
        <v>121.6</v>
      </c>
      <c r="P203" s="2322">
        <v>110.8</v>
      </c>
      <c r="Q203" s="2204"/>
    </row>
    <row r="204" spans="1:17" s="20" customFormat="1">
      <c r="A204" s="2308">
        <v>1989.03</v>
      </c>
      <c r="B204" s="2324">
        <v>60.181756880013097</v>
      </c>
      <c r="C204" s="3269">
        <v>108.676857197217</v>
      </c>
      <c r="D204" s="2325">
        <v>19.574821574600598</v>
      </c>
      <c r="E204" s="2326">
        <v>95.639757197293505</v>
      </c>
      <c r="F204" s="3269">
        <v>94.173156303136295</v>
      </c>
      <c r="G204" s="2325">
        <v>99.575688270531003</v>
      </c>
      <c r="H204" s="2321"/>
      <c r="I204" s="309"/>
      <c r="J204" s="336"/>
      <c r="K204" s="309"/>
      <c r="L204" s="309"/>
      <c r="M204" s="1027"/>
      <c r="N204" s="1020"/>
      <c r="O204" s="3363">
        <v>122.3</v>
      </c>
      <c r="P204" s="2322">
        <v>111.5</v>
      </c>
      <c r="Q204" s="2204"/>
    </row>
    <row r="205" spans="1:17" s="20" customFormat="1">
      <c r="A205" s="2308">
        <v>1989.04</v>
      </c>
      <c r="B205" s="2324">
        <v>60.737924955458404</v>
      </c>
      <c r="C205" s="3269">
        <v>108.983519830237</v>
      </c>
      <c r="D205" s="2325">
        <v>20.047942916515201</v>
      </c>
      <c r="E205" s="2326">
        <v>96.162617294829502</v>
      </c>
      <c r="F205" s="3269">
        <v>94.530165323308594</v>
      </c>
      <c r="G205" s="2325">
        <v>100.50539936497</v>
      </c>
      <c r="H205" s="2321"/>
      <c r="I205" s="309"/>
      <c r="J205" s="336"/>
      <c r="K205" s="309"/>
      <c r="L205" s="309"/>
      <c r="M205" s="1027"/>
      <c r="N205" s="1020"/>
      <c r="O205" s="3363">
        <v>123.1</v>
      </c>
      <c r="P205" s="2322">
        <v>112.3</v>
      </c>
      <c r="Q205" s="2204"/>
    </row>
    <row r="206" spans="1:17" s="20" customFormat="1">
      <c r="A206" s="2308">
        <v>1989.05</v>
      </c>
      <c r="B206" s="2324">
        <v>62.307455280651702</v>
      </c>
      <c r="C206" s="3269">
        <v>112.400511804391</v>
      </c>
      <c r="D206" s="2325">
        <v>20.315922803761701</v>
      </c>
      <c r="E206" s="2326">
        <v>97.756985498738899</v>
      </c>
      <c r="F206" s="3269">
        <v>97.358988659842197</v>
      </c>
      <c r="G206" s="2325">
        <v>99.149112279615494</v>
      </c>
      <c r="H206" s="2321"/>
      <c r="I206" s="309"/>
      <c r="J206" s="336"/>
      <c r="K206" s="309"/>
      <c r="L206" s="309"/>
      <c r="M206" s="1027"/>
      <c r="N206" s="1020"/>
      <c r="O206" s="3363">
        <v>123.8</v>
      </c>
      <c r="P206" s="2322">
        <v>113.2</v>
      </c>
      <c r="Q206" s="2204"/>
    </row>
    <row r="207" spans="1:17" s="20" customFormat="1">
      <c r="A207" s="2308">
        <v>1989.06</v>
      </c>
      <c r="B207" s="2324">
        <v>63.800340279766203</v>
      </c>
      <c r="C207" s="3269">
        <v>114.98141461381201</v>
      </c>
      <c r="D207" s="2325">
        <v>20.847934194016599</v>
      </c>
      <c r="E207" s="2326">
        <v>99.221923247456402</v>
      </c>
      <c r="F207" s="3269">
        <v>99.655026067382593</v>
      </c>
      <c r="G207" s="2325">
        <v>98.699189120837701</v>
      </c>
      <c r="H207" s="2321"/>
      <c r="I207" s="309"/>
      <c r="J207" s="336"/>
      <c r="K207" s="309"/>
      <c r="L207" s="309"/>
      <c r="M207" s="1027"/>
      <c r="N207" s="1020"/>
      <c r="O207" s="3363">
        <v>124.1</v>
      </c>
      <c r="P207" s="2322">
        <v>112.9</v>
      </c>
      <c r="Q207" s="2204"/>
    </row>
    <row r="208" spans="1:17" s="20" customFormat="1">
      <c r="A208" s="2308">
        <v>1989.07</v>
      </c>
      <c r="B208" s="2324">
        <v>63.2982592940118</v>
      </c>
      <c r="C208" s="3269">
        <v>111.846579097203</v>
      </c>
      <c r="D208" s="2325">
        <v>21.6452927711893</v>
      </c>
      <c r="E208" s="2326">
        <v>97.335207567572397</v>
      </c>
      <c r="F208" s="3269">
        <v>96.831429226431993</v>
      </c>
      <c r="G208" s="2325">
        <v>98.973866179333001</v>
      </c>
      <c r="H208" s="2321"/>
      <c r="I208" s="309"/>
      <c r="J208" s="336"/>
      <c r="K208" s="309"/>
      <c r="L208" s="309"/>
      <c r="M208" s="1027"/>
      <c r="N208" s="1020"/>
      <c r="O208" s="3363">
        <v>124.4</v>
      </c>
      <c r="P208" s="2322">
        <v>112.8</v>
      </c>
      <c r="Q208" s="2204"/>
    </row>
    <row r="209" spans="1:17" s="20" customFormat="1">
      <c r="A209" s="2308">
        <v>1989.08</v>
      </c>
      <c r="B209" s="2324">
        <v>63.928012451094197</v>
      </c>
      <c r="C209" s="3269">
        <v>112.440989070336</v>
      </c>
      <c r="D209" s="2325">
        <v>22.094136139344201</v>
      </c>
      <c r="E209" s="2326">
        <v>97.325982467103501</v>
      </c>
      <c r="F209" s="3269">
        <v>97.223972712704494</v>
      </c>
      <c r="G209" s="2325">
        <v>98.025463284572595</v>
      </c>
      <c r="H209" s="2321"/>
      <c r="I209" s="309"/>
      <c r="J209" s="336"/>
      <c r="K209" s="309"/>
      <c r="L209" s="309"/>
      <c r="M209" s="1027"/>
      <c r="N209" s="1020"/>
      <c r="O209" s="3363">
        <v>124.6</v>
      </c>
      <c r="P209" s="2322">
        <v>112</v>
      </c>
      <c r="Q209" s="2204"/>
    </row>
    <row r="210" spans="1:17" s="20" customFormat="1">
      <c r="A210" s="2308">
        <v>1989.09</v>
      </c>
      <c r="B210" s="2324">
        <v>64.964459951684702</v>
      </c>
      <c r="C210" s="3269">
        <v>114.013823349215</v>
      </c>
      <c r="D210" s="2325">
        <v>22.566070075561498</v>
      </c>
      <c r="E210" s="2326">
        <v>97.938270842698699</v>
      </c>
      <c r="F210" s="3269">
        <v>98.436199354155207</v>
      </c>
      <c r="G210" s="2325">
        <v>97.261876292293096</v>
      </c>
      <c r="H210" s="2321"/>
      <c r="I210" s="309"/>
      <c r="J210" s="336"/>
      <c r="K210" s="309"/>
      <c r="L210" s="309"/>
      <c r="M210" s="1027"/>
      <c r="N210" s="1020"/>
      <c r="O210" s="3363">
        <v>125</v>
      </c>
      <c r="P210" s="2322">
        <v>112.4</v>
      </c>
      <c r="Q210" s="2204"/>
    </row>
    <row r="211" spans="1:17" s="20" customFormat="1">
      <c r="A211" s="2308">
        <v>1989.1</v>
      </c>
      <c r="B211" s="2324">
        <v>64.461812495199894</v>
      </c>
      <c r="C211" s="3269">
        <v>111.712459150524</v>
      </c>
      <c r="D211" s="2325">
        <v>23.0509623755493</v>
      </c>
      <c r="E211" s="2326">
        <v>96.489586225841407</v>
      </c>
      <c r="F211" s="3269">
        <v>96.517912018843603</v>
      </c>
      <c r="G211" s="2325">
        <v>96.883173821944297</v>
      </c>
      <c r="H211" s="2321"/>
      <c r="I211" s="309"/>
      <c r="J211" s="336"/>
      <c r="K211" s="309"/>
      <c r="L211" s="309"/>
      <c r="M211" s="1027"/>
      <c r="N211" s="1020"/>
      <c r="O211" s="3363">
        <v>125.6</v>
      </c>
      <c r="P211" s="2322">
        <v>112.8</v>
      </c>
      <c r="Q211" s="2204"/>
    </row>
    <row r="212" spans="1:17" s="20" customFormat="1">
      <c r="A212" s="2308">
        <v>1989.11</v>
      </c>
      <c r="B212" s="2324">
        <v>64.794307284427703</v>
      </c>
      <c r="C212" s="3269">
        <v>111.282838305593</v>
      </c>
      <c r="D212" s="2325">
        <v>23.654758681500699</v>
      </c>
      <c r="E212" s="2326">
        <v>96.657931817362893</v>
      </c>
      <c r="F212" s="3269">
        <v>96.475537812864303</v>
      </c>
      <c r="G212" s="2325">
        <v>97.541115585939707</v>
      </c>
      <c r="H212" s="2321"/>
      <c r="I212" s="309"/>
      <c r="J212" s="336"/>
      <c r="K212" s="309"/>
      <c r="L212" s="309"/>
      <c r="M212" s="1027"/>
      <c r="N212" s="1020"/>
      <c r="O212" s="3363">
        <v>125.9</v>
      </c>
      <c r="P212" s="2322">
        <v>112.7</v>
      </c>
      <c r="Q212" s="2204"/>
    </row>
    <row r="213" spans="1:17" s="20" customFormat="1">
      <c r="A213" s="2308">
        <v>1989.12</v>
      </c>
      <c r="B213" s="2324">
        <v>64.880130493075001</v>
      </c>
      <c r="C213" s="3269">
        <v>109.295413975356</v>
      </c>
      <c r="D213" s="2325">
        <v>24.766732257951801</v>
      </c>
      <c r="E213" s="2326">
        <v>95.906888231708393</v>
      </c>
      <c r="F213" s="3269">
        <v>94.709986207943899</v>
      </c>
      <c r="G213" s="2325">
        <v>99.190387548680604</v>
      </c>
      <c r="H213" s="2321"/>
      <c r="I213" s="309"/>
      <c r="J213" s="336"/>
      <c r="K213" s="309"/>
      <c r="L213" s="309"/>
      <c r="M213" s="1027"/>
      <c r="N213" s="1020"/>
      <c r="O213" s="3363">
        <v>126.1</v>
      </c>
      <c r="P213" s="2322">
        <v>113</v>
      </c>
      <c r="Q213" s="2204"/>
    </row>
    <row r="214" spans="1:17">
      <c r="A214" s="2308">
        <v>1990.01</v>
      </c>
      <c r="B214" s="2324">
        <v>65.286864805587996</v>
      </c>
      <c r="C214" s="3269">
        <v>108.53080951480599</v>
      </c>
      <c r="D214" s="2325">
        <v>25.6933231292413</v>
      </c>
      <c r="E214" s="2326">
        <v>95.763925348680999</v>
      </c>
      <c r="F214" s="3269">
        <v>94.395982048895107</v>
      </c>
      <c r="G214" s="2325">
        <v>99.460488598619705</v>
      </c>
      <c r="H214" s="2327"/>
      <c r="I214" s="310"/>
      <c r="J214" s="336"/>
      <c r="K214" s="309"/>
      <c r="L214" s="309"/>
      <c r="M214" s="1027"/>
      <c r="N214" s="1020"/>
      <c r="O214" s="3363">
        <v>127.4</v>
      </c>
      <c r="P214" s="2322">
        <v>114.9</v>
      </c>
      <c r="Q214" s="2204"/>
    </row>
    <row r="215" spans="1:17">
      <c r="A215" s="2308">
        <v>1990.02</v>
      </c>
      <c r="B215" s="2324">
        <v>66.187935649988802</v>
      </c>
      <c r="C215" s="3269">
        <v>108.72047324780399</v>
      </c>
      <c r="D215" s="2325">
        <v>26.775068759192202</v>
      </c>
      <c r="E215" s="2326">
        <v>95.876678424127604</v>
      </c>
      <c r="F215" s="3269">
        <v>94.548576368797697</v>
      </c>
      <c r="G215" s="2325">
        <v>99.477117058365295</v>
      </c>
      <c r="H215" s="2327"/>
      <c r="I215" s="310"/>
      <c r="J215" s="336"/>
      <c r="K215" s="309"/>
      <c r="L215" s="309"/>
      <c r="M215" s="1027"/>
      <c r="N215" s="1020"/>
      <c r="O215" s="3363">
        <v>128</v>
      </c>
      <c r="P215" s="2322">
        <v>114.4</v>
      </c>
      <c r="Q215" s="2204"/>
    </row>
    <row r="216" spans="1:17">
      <c r="A216" s="2308">
        <v>1990.03</v>
      </c>
      <c r="B216" s="2324">
        <v>67.764021039621099</v>
      </c>
      <c r="C216" s="3269">
        <v>110.72148157763399</v>
      </c>
      <c r="D216" s="2325">
        <v>27.7488684373239</v>
      </c>
      <c r="E216" s="2326">
        <v>96.946590932770306</v>
      </c>
      <c r="F216" s="3269">
        <v>96.452283517608095</v>
      </c>
      <c r="G216" s="2325">
        <v>98.561447448632407</v>
      </c>
      <c r="H216" s="2327"/>
      <c r="I216" s="310"/>
      <c r="J216" s="336"/>
      <c r="K216" s="309"/>
      <c r="L216" s="309"/>
      <c r="M216" s="1027"/>
      <c r="N216" s="1020"/>
      <c r="O216" s="3363">
        <v>128.69999999999999</v>
      </c>
      <c r="P216" s="2322">
        <v>114.2</v>
      </c>
      <c r="Q216" s="2204"/>
    </row>
    <row r="217" spans="1:17">
      <c r="A217" s="2308">
        <v>1990.04</v>
      </c>
      <c r="B217" s="2324">
        <v>68.104203753922306</v>
      </c>
      <c r="C217" s="3269">
        <v>110.610546274841</v>
      </c>
      <c r="D217" s="2325">
        <v>28.276696963876802</v>
      </c>
      <c r="E217" s="2326">
        <v>96.850562930247904</v>
      </c>
      <c r="F217" s="3269">
        <v>96.296356044002295</v>
      </c>
      <c r="G217" s="2325">
        <v>98.6060339114144</v>
      </c>
      <c r="H217" s="2327"/>
      <c r="I217" s="310"/>
      <c r="J217" s="336"/>
      <c r="K217" s="309"/>
      <c r="L217" s="309"/>
      <c r="M217" s="1027"/>
      <c r="N217" s="1020"/>
      <c r="O217" s="3363">
        <v>128.9</v>
      </c>
      <c r="P217" s="2322">
        <v>114.1</v>
      </c>
      <c r="Q217" s="2204"/>
    </row>
    <row r="218" spans="1:17">
      <c r="A218" s="2308">
        <v>1990.05</v>
      </c>
      <c r="B218" s="2324">
        <v>67.739233418284201</v>
      </c>
      <c r="C218" s="3269">
        <v>109.230481301826</v>
      </c>
      <c r="D218" s="2325">
        <v>28.594486723113999</v>
      </c>
      <c r="E218" s="2326">
        <v>95.682303041503602</v>
      </c>
      <c r="F218" s="3269">
        <v>94.9522467216932</v>
      </c>
      <c r="G218" s="2325">
        <v>97.848272682818703</v>
      </c>
      <c r="H218" s="2327"/>
      <c r="I218" s="310"/>
      <c r="J218" s="336"/>
      <c r="K218" s="309"/>
      <c r="L218" s="309"/>
      <c r="M218" s="1027"/>
      <c r="N218" s="1020"/>
      <c r="O218" s="3363">
        <v>129.19999999999999</v>
      </c>
      <c r="P218" s="2322">
        <v>114.6</v>
      </c>
      <c r="Q218" s="2204"/>
    </row>
    <row r="219" spans="1:17">
      <c r="A219" s="2308">
        <v>1990.06</v>
      </c>
      <c r="B219" s="2324">
        <v>67.975722198208601</v>
      </c>
      <c r="C219" s="3269">
        <v>109.22306389852299</v>
      </c>
      <c r="D219" s="2325">
        <v>28.929596717341202</v>
      </c>
      <c r="E219" s="2326">
        <v>95.947338073937502</v>
      </c>
      <c r="F219" s="3269">
        <v>95.283776290425195</v>
      </c>
      <c r="G219" s="2325">
        <v>97.956951206262602</v>
      </c>
      <c r="H219" s="2327"/>
      <c r="I219" s="310"/>
      <c r="J219" s="336"/>
      <c r="K219" s="309"/>
      <c r="L219" s="309"/>
      <c r="M219" s="1027"/>
      <c r="N219" s="1020"/>
      <c r="O219" s="3363">
        <v>129.9</v>
      </c>
      <c r="P219" s="2322">
        <v>114.3</v>
      </c>
      <c r="Q219" s="2204"/>
    </row>
    <row r="220" spans="1:17">
      <c r="A220" s="2308">
        <v>1990.07</v>
      </c>
      <c r="B220" s="2324">
        <v>66.931390614762805</v>
      </c>
      <c r="C220" s="3269">
        <v>106.348953243124</v>
      </c>
      <c r="D220" s="2325">
        <v>29.228470282205599</v>
      </c>
      <c r="E220" s="2326">
        <v>94.154100200536107</v>
      </c>
      <c r="F220" s="3269">
        <v>92.918105978396696</v>
      </c>
      <c r="G220" s="2325">
        <v>97.524746048255395</v>
      </c>
      <c r="H220" s="2327"/>
      <c r="I220" s="310"/>
      <c r="J220" s="336"/>
      <c r="K220" s="309"/>
      <c r="L220" s="309"/>
      <c r="M220" s="1027"/>
      <c r="N220" s="1020"/>
      <c r="O220" s="3363">
        <v>130.4</v>
      </c>
      <c r="P220" s="2322">
        <v>114.5</v>
      </c>
      <c r="Q220" s="2204"/>
    </row>
    <row r="221" spans="1:17">
      <c r="A221" s="2308">
        <v>1990.08</v>
      </c>
      <c r="B221" s="2324">
        <v>65.905176698095303</v>
      </c>
      <c r="C221" s="3269">
        <v>103.67712841818199</v>
      </c>
      <c r="D221" s="2325">
        <v>29.4505430486739</v>
      </c>
      <c r="E221" s="2326">
        <v>92.611025281220094</v>
      </c>
      <c r="F221" s="3269">
        <v>90.904354225339304</v>
      </c>
      <c r="G221" s="2325">
        <v>97.123284036267606</v>
      </c>
      <c r="H221" s="2327"/>
      <c r="I221" s="310"/>
      <c r="J221" s="336"/>
      <c r="K221" s="309"/>
      <c r="L221" s="309"/>
      <c r="M221" s="1027"/>
      <c r="N221" s="1020"/>
      <c r="O221" s="3363">
        <v>131.6</v>
      </c>
      <c r="P221" s="2322">
        <v>116.5</v>
      </c>
      <c r="Q221" s="2204"/>
    </row>
    <row r="222" spans="1:17">
      <c r="A222" s="2308">
        <v>1990.09</v>
      </c>
      <c r="B222" s="2324">
        <v>65.521813045607402</v>
      </c>
      <c r="C222" s="3269">
        <v>102.53115386420301</v>
      </c>
      <c r="D222" s="2325">
        <v>29.636813371854998</v>
      </c>
      <c r="E222" s="2326">
        <v>91.6886683045648</v>
      </c>
      <c r="F222" s="3269">
        <v>90.003682886686505</v>
      </c>
      <c r="G222" s="2325">
        <v>96.144457126373098</v>
      </c>
      <c r="H222" s="2327"/>
      <c r="I222" s="310"/>
      <c r="J222" s="336"/>
      <c r="K222" s="309"/>
      <c r="L222" s="309"/>
      <c r="M222" s="1027"/>
      <c r="N222" s="1020"/>
      <c r="O222" s="3363">
        <v>132.69999999999999</v>
      </c>
      <c r="P222" s="2322">
        <v>118.4</v>
      </c>
      <c r="Q222" s="2204"/>
    </row>
    <row r="223" spans="1:17">
      <c r="A223" s="2308">
        <v>1990.1</v>
      </c>
      <c r="B223" s="2324">
        <v>64.450652722800598</v>
      </c>
      <c r="C223" s="3269">
        <v>99.620049452732999</v>
      </c>
      <c r="D223" s="2325">
        <v>29.9913713609441</v>
      </c>
      <c r="E223" s="2326">
        <v>89.897786666589795</v>
      </c>
      <c r="F223" s="3269">
        <v>87.431871106099806</v>
      </c>
      <c r="G223" s="2325">
        <v>96.298873253984596</v>
      </c>
      <c r="H223" s="2327"/>
      <c r="I223" s="310"/>
      <c r="J223" s="336"/>
      <c r="K223" s="309"/>
      <c r="L223" s="309"/>
      <c r="M223" s="1027"/>
      <c r="N223" s="1020"/>
      <c r="O223" s="3363">
        <v>133.5</v>
      </c>
      <c r="P223" s="2322">
        <v>120.8</v>
      </c>
      <c r="Q223" s="2204"/>
    </row>
    <row r="224" spans="1:17">
      <c r="A224" s="2308">
        <v>1990.11</v>
      </c>
      <c r="B224" s="2324">
        <v>64.508994851568701</v>
      </c>
      <c r="C224" s="3269">
        <v>98.858927187721605</v>
      </c>
      <c r="D224" s="2325">
        <v>30.6165974834358</v>
      </c>
      <c r="E224" s="2326">
        <v>89.585732075882703</v>
      </c>
      <c r="F224" s="3269">
        <v>86.712552821648103</v>
      </c>
      <c r="G224" s="2325">
        <v>97.027352042524797</v>
      </c>
      <c r="H224" s="2327"/>
      <c r="I224" s="310"/>
      <c r="J224" s="336"/>
      <c r="K224" s="309"/>
      <c r="L224" s="309"/>
      <c r="M224" s="1027"/>
      <c r="N224" s="1020"/>
      <c r="O224" s="3363">
        <v>133.80000000000001</v>
      </c>
      <c r="P224" s="2322">
        <v>120.1</v>
      </c>
      <c r="Q224" s="2204"/>
    </row>
    <row r="225" spans="1:16">
      <c r="A225" s="2308">
        <v>1990.12</v>
      </c>
      <c r="B225" s="2324">
        <v>65.603748252726604</v>
      </c>
      <c r="C225" s="3269">
        <v>100.410217264575</v>
      </c>
      <c r="D225" s="2325">
        <v>31.226815935586199</v>
      </c>
      <c r="E225" s="2326">
        <v>90.789355693812098</v>
      </c>
      <c r="F225" s="3269">
        <v>88.174695157763296</v>
      </c>
      <c r="G225" s="2325">
        <v>97.569814421962704</v>
      </c>
      <c r="H225" s="2327"/>
      <c r="I225" s="310"/>
      <c r="J225" s="336"/>
      <c r="K225" s="309"/>
      <c r="L225" s="309"/>
      <c r="M225" s="1027"/>
      <c r="N225" s="1020"/>
      <c r="O225" s="3363">
        <v>133.80000000000001</v>
      </c>
      <c r="P225" s="2322">
        <v>118.7</v>
      </c>
    </row>
    <row r="226" spans="1:16">
      <c r="A226" s="2308">
        <v>1991.01</v>
      </c>
      <c r="B226" s="2324">
        <v>65.890008813539296</v>
      </c>
      <c r="C226" s="3269">
        <v>100.23706324164</v>
      </c>
      <c r="D226" s="2325">
        <v>31.772720730324799</v>
      </c>
      <c r="E226" s="2326">
        <v>90.476048322234703</v>
      </c>
      <c r="F226" s="3269">
        <v>87.506323435134405</v>
      </c>
      <c r="G226" s="2325">
        <v>98.104913578118598</v>
      </c>
      <c r="H226" s="2327"/>
      <c r="I226" s="310"/>
      <c r="J226" s="336"/>
      <c r="K226" s="309"/>
      <c r="L226" s="309"/>
      <c r="M226" s="1027"/>
      <c r="N226" s="1020"/>
      <c r="O226" s="3363">
        <v>134.6</v>
      </c>
      <c r="P226" s="2322">
        <v>119</v>
      </c>
    </row>
    <row r="227" spans="1:16">
      <c r="A227" s="2308">
        <v>1991.02</v>
      </c>
      <c r="B227" s="2324">
        <v>65.542101631735903</v>
      </c>
      <c r="C227" s="3269">
        <v>98.821590375009094</v>
      </c>
      <c r="D227" s="2325">
        <v>32.217724334664602</v>
      </c>
      <c r="E227" s="2326">
        <v>89.398929833504596</v>
      </c>
      <c r="F227" s="3269">
        <v>86.249849115002107</v>
      </c>
      <c r="G227" s="2325">
        <v>97.456498862292506</v>
      </c>
      <c r="H227" s="2327"/>
      <c r="I227" s="310"/>
      <c r="J227" s="336"/>
      <c r="K227" s="309"/>
      <c r="L227" s="309"/>
      <c r="M227" s="1027"/>
      <c r="N227" s="1020"/>
      <c r="O227" s="3363">
        <v>134.80000000000001</v>
      </c>
      <c r="P227" s="2322">
        <v>117.2</v>
      </c>
    </row>
    <row r="228" spans="1:16">
      <c r="A228" s="2308">
        <v>1991.03</v>
      </c>
      <c r="B228" s="2324">
        <v>67.998163799574996</v>
      </c>
      <c r="C228" s="3269">
        <v>103.812918498245</v>
      </c>
      <c r="D228" s="2325">
        <v>32.541645670416003</v>
      </c>
      <c r="E228" s="2326">
        <v>92.214143621182501</v>
      </c>
      <c r="F228" s="3269">
        <v>90.398085812944103</v>
      </c>
      <c r="G228" s="2325">
        <v>97.132730569745704</v>
      </c>
      <c r="H228" s="2327"/>
      <c r="I228" s="310"/>
      <c r="J228" s="336"/>
      <c r="K228" s="309"/>
      <c r="L228" s="309"/>
      <c r="M228" s="1027"/>
      <c r="N228" s="1020"/>
      <c r="O228" s="3363">
        <v>135</v>
      </c>
      <c r="P228" s="2322">
        <v>116.2</v>
      </c>
    </row>
    <row r="229" spans="1:16">
      <c r="A229" s="2308">
        <v>1991.04</v>
      </c>
      <c r="B229" s="2324">
        <v>69.096144354949999</v>
      </c>
      <c r="C229" s="3269">
        <v>105.76473048666099</v>
      </c>
      <c r="D229" s="2325">
        <v>32.880484871565798</v>
      </c>
      <c r="E229" s="2326">
        <v>93.313855556413799</v>
      </c>
      <c r="F229" s="3269">
        <v>91.950414700420396</v>
      </c>
      <c r="G229" s="2325">
        <v>97.204418050753304</v>
      </c>
      <c r="H229" s="2327"/>
      <c r="I229" s="310"/>
      <c r="J229" s="336"/>
      <c r="K229" s="309"/>
      <c r="L229" s="309"/>
      <c r="M229" s="1027"/>
      <c r="N229" s="1020"/>
      <c r="O229" s="3363">
        <v>135.19999999999999</v>
      </c>
      <c r="P229" s="2322">
        <v>116</v>
      </c>
    </row>
    <row r="230" spans="1:16">
      <c r="A230" s="2308">
        <v>1991.05</v>
      </c>
      <c r="B230" s="2324">
        <v>69.566942775819498</v>
      </c>
      <c r="C230" s="3269">
        <v>106.434410632447</v>
      </c>
      <c r="D230" s="2325">
        <v>33.1376602730315</v>
      </c>
      <c r="E230" s="2326">
        <v>93.594980880835493</v>
      </c>
      <c r="F230" s="3269">
        <v>92.566390938091203</v>
      </c>
      <c r="G230" s="2325">
        <v>96.731364520705498</v>
      </c>
      <c r="H230" s="2327"/>
      <c r="I230" s="310"/>
      <c r="J230" s="336"/>
      <c r="K230" s="309"/>
      <c r="L230" s="309"/>
      <c r="M230" s="1027"/>
      <c r="N230" s="1020"/>
      <c r="O230" s="3363">
        <v>135.6</v>
      </c>
      <c r="P230" s="2322">
        <v>116.5</v>
      </c>
    </row>
    <row r="231" spans="1:16">
      <c r="A231" s="2308">
        <v>1991.06</v>
      </c>
      <c r="B231" s="2324">
        <v>70.630347037612793</v>
      </c>
      <c r="C231" s="3269">
        <v>108.45271187193001</v>
      </c>
      <c r="D231" s="2325">
        <v>33.383928726948596</v>
      </c>
      <c r="E231" s="2326">
        <v>94.6540785849147</v>
      </c>
      <c r="F231" s="3269">
        <v>94.236551127856998</v>
      </c>
      <c r="G231" s="2325">
        <v>96.441545842657305</v>
      </c>
      <c r="H231" s="2327"/>
      <c r="I231" s="310"/>
      <c r="J231" s="336"/>
      <c r="K231" s="309"/>
      <c r="L231" s="309"/>
      <c r="M231" s="1027"/>
      <c r="N231" s="1020"/>
      <c r="O231" s="3363">
        <v>136</v>
      </c>
      <c r="P231" s="2322">
        <v>116.4</v>
      </c>
    </row>
    <row r="232" spans="1:16">
      <c r="A232" s="2308">
        <v>1991.07</v>
      </c>
      <c r="B232" s="2324">
        <v>70.811025905945101</v>
      </c>
      <c r="C232" s="3269">
        <v>108.319908008101</v>
      </c>
      <c r="D232" s="2325">
        <v>33.742752433199897</v>
      </c>
      <c r="E232" s="2326">
        <v>94.307298613651895</v>
      </c>
      <c r="F232" s="3269">
        <v>93.867718395696002</v>
      </c>
      <c r="G232" s="2325">
        <v>96.140121909012805</v>
      </c>
      <c r="H232" s="2327"/>
      <c r="I232" s="310"/>
      <c r="J232" s="336"/>
      <c r="K232" s="309"/>
      <c r="L232" s="309"/>
      <c r="M232" s="1027"/>
      <c r="N232" s="1020"/>
      <c r="O232" s="3363">
        <v>136.19999999999999</v>
      </c>
      <c r="P232" s="2322">
        <v>116.1</v>
      </c>
    </row>
    <row r="233" spans="1:16">
      <c r="A233" s="2308">
        <v>1991.08</v>
      </c>
      <c r="B233" s="2324">
        <v>70.277866552072297</v>
      </c>
      <c r="C233" s="3269">
        <v>106.896645404189</v>
      </c>
      <c r="D233" s="2325">
        <v>33.898999398125099</v>
      </c>
      <c r="E233" s="2326">
        <v>93.245584275761203</v>
      </c>
      <c r="F233" s="3269">
        <v>92.726061887185907</v>
      </c>
      <c r="G233" s="2325">
        <v>95.244961289817496</v>
      </c>
      <c r="H233" s="2327"/>
      <c r="I233" s="310"/>
      <c r="J233" s="336"/>
      <c r="K233" s="309"/>
      <c r="L233" s="309"/>
      <c r="M233" s="1027"/>
      <c r="N233" s="1020"/>
      <c r="O233" s="3363">
        <v>136.6</v>
      </c>
      <c r="P233" s="2322">
        <v>116.2</v>
      </c>
    </row>
    <row r="234" spans="1:16">
      <c r="A234" s="2308">
        <v>1991.09</v>
      </c>
      <c r="B234" s="2324">
        <v>69.582353697878503</v>
      </c>
      <c r="C234" s="3269">
        <v>104.977519611025</v>
      </c>
      <c r="D234" s="2325">
        <v>34.158634391158998</v>
      </c>
      <c r="E234" s="2326">
        <v>92.100359666200404</v>
      </c>
      <c r="F234" s="3269">
        <v>91.227815752159202</v>
      </c>
      <c r="G234" s="2325">
        <v>94.873750082016201</v>
      </c>
      <c r="H234" s="2327"/>
      <c r="I234" s="310"/>
      <c r="J234" s="336"/>
      <c r="K234" s="309"/>
      <c r="L234" s="309"/>
      <c r="M234" s="1027"/>
      <c r="N234" s="1020"/>
      <c r="O234" s="3363">
        <v>137.19999999999999</v>
      </c>
      <c r="P234" s="2322">
        <v>116.1</v>
      </c>
    </row>
    <row r="235" spans="1:16">
      <c r="A235" s="2308">
        <v>1991.1</v>
      </c>
      <c r="B235" s="2324">
        <v>69.474683266306897</v>
      </c>
      <c r="C235" s="3269">
        <v>103.87586869846</v>
      </c>
      <c r="D235" s="2325">
        <v>34.7714844116392</v>
      </c>
      <c r="E235" s="2326">
        <v>91.315400639134396</v>
      </c>
      <c r="F235" s="3269">
        <v>90.048778281146298</v>
      </c>
      <c r="G235" s="2325">
        <v>94.969149301967406</v>
      </c>
      <c r="H235" s="2327"/>
      <c r="I235" s="310"/>
      <c r="J235" s="336"/>
      <c r="K235" s="309"/>
      <c r="L235" s="309"/>
      <c r="M235" s="1027"/>
      <c r="N235" s="1020"/>
      <c r="O235" s="3363">
        <v>137.4</v>
      </c>
      <c r="P235" s="2322">
        <v>116.4</v>
      </c>
    </row>
    <row r="236" spans="1:16">
      <c r="A236" s="2308">
        <v>1991.11</v>
      </c>
      <c r="B236" s="2324">
        <v>68.884446424727699</v>
      </c>
      <c r="C236" s="3269">
        <v>102.14124309429501</v>
      </c>
      <c r="D236" s="2325">
        <v>35.0974911922765</v>
      </c>
      <c r="E236" s="2326">
        <v>90.062117424009301</v>
      </c>
      <c r="F236" s="3269">
        <v>88.517894750074902</v>
      </c>
      <c r="G236" s="2325">
        <v>94.338047652827996</v>
      </c>
      <c r="H236" s="2327"/>
      <c r="I236" s="310"/>
      <c r="J236" s="336"/>
      <c r="K236" s="309"/>
      <c r="L236" s="309"/>
      <c r="M236" s="1027"/>
      <c r="N236" s="1020"/>
      <c r="O236" s="3363">
        <v>137.80000000000001</v>
      </c>
      <c r="P236" s="2322">
        <v>116.4</v>
      </c>
    </row>
    <row r="237" spans="1:16">
      <c r="A237" s="2308">
        <v>1991.12</v>
      </c>
      <c r="B237" s="2324">
        <v>68.5179136163663</v>
      </c>
      <c r="C237" s="3269">
        <v>100.789431316033</v>
      </c>
      <c r="D237" s="2325">
        <v>35.516038821255201</v>
      </c>
      <c r="E237" s="2326">
        <v>89.451569343587906</v>
      </c>
      <c r="F237" s="3269">
        <v>87.685945586420402</v>
      </c>
      <c r="G237" s="2325">
        <v>94.231979604078006</v>
      </c>
      <c r="H237" s="2327"/>
      <c r="I237" s="310"/>
      <c r="J237" s="336"/>
      <c r="K237" s="309"/>
      <c r="L237" s="309"/>
      <c r="M237" s="1027"/>
      <c r="N237" s="1020"/>
      <c r="O237" s="3363">
        <v>137.9</v>
      </c>
      <c r="P237" s="2322">
        <v>115.9</v>
      </c>
    </row>
    <row r="238" spans="1:16">
      <c r="A238" s="2308">
        <v>1992.01</v>
      </c>
      <c r="B238" s="2324">
        <v>68.770111838992804</v>
      </c>
      <c r="C238" s="3269">
        <v>100.99991701928801</v>
      </c>
      <c r="D238" s="2325">
        <v>35.786599099587498</v>
      </c>
      <c r="E238" s="2326">
        <v>89.409120465190099</v>
      </c>
      <c r="F238" s="3269">
        <v>87.854171716225295</v>
      </c>
      <c r="G238" s="2325">
        <v>93.740392504108996</v>
      </c>
      <c r="H238" s="2328">
        <v>0.99</v>
      </c>
      <c r="I238" s="310"/>
      <c r="J238" s="336"/>
      <c r="K238" s="309"/>
      <c r="L238" s="309"/>
      <c r="M238" s="1027"/>
      <c r="N238" s="1020"/>
      <c r="O238" s="3363">
        <v>138.1</v>
      </c>
      <c r="P238" s="2322">
        <v>115.6</v>
      </c>
    </row>
    <row r="239" spans="1:16">
      <c r="A239" s="2308">
        <v>1992.02</v>
      </c>
      <c r="B239" s="2324">
        <v>69.919069028238397</v>
      </c>
      <c r="C239" s="3269">
        <v>103.128831850442</v>
      </c>
      <c r="D239" s="2325">
        <v>36.074411783601697</v>
      </c>
      <c r="E239" s="2326">
        <v>90.517725148550397</v>
      </c>
      <c r="F239" s="3269">
        <v>89.686168458771803</v>
      </c>
      <c r="G239" s="2325">
        <v>93.346196557814693</v>
      </c>
      <c r="H239" s="2326">
        <v>0.99</v>
      </c>
      <c r="I239" s="310"/>
      <c r="J239" s="336"/>
      <c r="K239" s="309"/>
      <c r="L239" s="309"/>
      <c r="M239" s="1027"/>
      <c r="N239" s="1020"/>
      <c r="O239" s="3363">
        <v>138.6</v>
      </c>
      <c r="P239" s="2322">
        <v>116</v>
      </c>
    </row>
    <row r="240" spans="1:16">
      <c r="A240" s="2308">
        <v>1992.03</v>
      </c>
      <c r="B240" s="2324">
        <v>71.418459749283301</v>
      </c>
      <c r="C240" s="3269">
        <v>105.64546543130299</v>
      </c>
      <c r="D240" s="2325">
        <v>36.635780464690903</v>
      </c>
      <c r="E240" s="2326">
        <v>92.118560670924495</v>
      </c>
      <c r="F240" s="3269">
        <v>91.9068574520645</v>
      </c>
      <c r="G240" s="2325">
        <v>93.697089398811599</v>
      </c>
      <c r="H240" s="2326">
        <v>0.99</v>
      </c>
      <c r="I240" s="310"/>
      <c r="J240" s="336"/>
      <c r="K240" s="309"/>
      <c r="L240" s="309"/>
      <c r="M240" s="1027"/>
      <c r="N240" s="1020"/>
      <c r="O240" s="3363">
        <v>139.30000000000001</v>
      </c>
      <c r="P240" s="2322">
        <v>116.1</v>
      </c>
    </row>
    <row r="241" spans="1:16">
      <c r="A241" s="2308">
        <v>1992.04</v>
      </c>
      <c r="B241" s="2324">
        <v>71.420647005017599</v>
      </c>
      <c r="C241" s="3269">
        <v>105.185428029335</v>
      </c>
      <c r="D241" s="2325">
        <v>36.958428407276998</v>
      </c>
      <c r="E241" s="2326">
        <v>91.689266743719699</v>
      </c>
      <c r="F241" s="3269">
        <v>91.476055703115804</v>
      </c>
      <c r="G241" s="2325">
        <v>93.265496769587998</v>
      </c>
      <c r="H241" s="2326">
        <v>0.99</v>
      </c>
      <c r="I241" s="310"/>
      <c r="J241" s="336"/>
      <c r="K241" s="309"/>
      <c r="L241" s="309"/>
      <c r="M241" s="1027"/>
      <c r="N241" s="1020"/>
      <c r="O241" s="3363">
        <v>139.5</v>
      </c>
      <c r="P241" s="2322">
        <v>116.3</v>
      </c>
    </row>
    <row r="242" spans="1:16">
      <c r="A242" s="2308">
        <v>1992.05</v>
      </c>
      <c r="B242" s="2324">
        <v>71.103204140924703</v>
      </c>
      <c r="C242" s="3269">
        <v>103.96998321651</v>
      </c>
      <c r="D242" s="2325">
        <v>37.322816509934498</v>
      </c>
      <c r="E242" s="2326">
        <v>90.862927392554795</v>
      </c>
      <c r="F242" s="3269">
        <v>90.476946732100302</v>
      </c>
      <c r="G242" s="2325">
        <v>92.780189045135998</v>
      </c>
      <c r="H242" s="2326">
        <v>0.99</v>
      </c>
      <c r="I242" s="310"/>
      <c r="J242" s="336"/>
      <c r="K242" s="309"/>
      <c r="L242" s="309"/>
      <c r="M242" s="1027"/>
      <c r="N242" s="1020"/>
      <c r="O242" s="3363">
        <v>139.69999999999999</v>
      </c>
      <c r="P242" s="2322">
        <v>117.2</v>
      </c>
    </row>
    <row r="243" spans="1:16">
      <c r="A243" s="2308">
        <v>1992.06</v>
      </c>
      <c r="B243" s="2324">
        <v>70.321696117565907</v>
      </c>
      <c r="C243" s="3269">
        <v>101.80994371110199</v>
      </c>
      <c r="D243" s="2325">
        <v>37.649874209821597</v>
      </c>
      <c r="E243" s="2326">
        <v>89.530310956703701</v>
      </c>
      <c r="F243" s="3269">
        <v>88.615525988658305</v>
      </c>
      <c r="G243" s="2325">
        <v>92.519277412587101</v>
      </c>
      <c r="H243" s="2326">
        <v>0.99</v>
      </c>
      <c r="I243" s="310"/>
      <c r="J243" s="336"/>
      <c r="K243" s="309"/>
      <c r="L243" s="309"/>
      <c r="M243" s="1027"/>
      <c r="N243" s="1020"/>
      <c r="O243" s="3363">
        <v>140.19999999999999</v>
      </c>
      <c r="P243" s="2322">
        <v>118</v>
      </c>
    </row>
    <row r="244" spans="1:16">
      <c r="A244" s="2308">
        <v>1992.07</v>
      </c>
      <c r="B244" s="2324">
        <v>69.396595461381096</v>
      </c>
      <c r="C244" s="3269">
        <v>99.484344172114604</v>
      </c>
      <c r="D244" s="2325">
        <v>37.890267669105697</v>
      </c>
      <c r="E244" s="2326">
        <v>88.157749177495006</v>
      </c>
      <c r="F244" s="3269">
        <v>86.832474505770605</v>
      </c>
      <c r="G244" s="2325">
        <v>91.988790021756202</v>
      </c>
      <c r="H244" s="2326">
        <v>0.99</v>
      </c>
      <c r="I244" s="310"/>
      <c r="J244" s="336"/>
      <c r="K244" s="309"/>
      <c r="L244" s="309"/>
      <c r="M244" s="1027"/>
      <c r="N244" s="1020"/>
      <c r="O244" s="3363">
        <v>140.5</v>
      </c>
      <c r="P244" s="2322">
        <v>117.9</v>
      </c>
    </row>
    <row r="245" spans="1:16">
      <c r="A245" s="2308">
        <v>1992.08</v>
      </c>
      <c r="B245" s="2324">
        <v>69.153407452147206</v>
      </c>
      <c r="C245" s="3269">
        <v>98.553408302491306</v>
      </c>
      <c r="D245" s="2325">
        <v>38.203115244801801</v>
      </c>
      <c r="E245" s="2326">
        <v>87.531500703639296</v>
      </c>
      <c r="F245" s="3269">
        <v>86.109131004454298</v>
      </c>
      <c r="G245" s="2325">
        <v>91.560141718319798</v>
      </c>
      <c r="H245" s="2326">
        <v>0.99</v>
      </c>
      <c r="I245" s="310"/>
      <c r="J245" s="336"/>
      <c r="K245" s="309"/>
      <c r="L245" s="309"/>
      <c r="M245" s="1027"/>
      <c r="N245" s="1020"/>
      <c r="O245" s="3363">
        <v>140.9</v>
      </c>
      <c r="P245" s="2322">
        <v>117.7</v>
      </c>
    </row>
    <row r="246" spans="1:16">
      <c r="A246" s="2308">
        <v>1992.09</v>
      </c>
      <c r="B246" s="2324">
        <v>69.812903190159602</v>
      </c>
      <c r="C246" s="3269">
        <v>99.440820338854195</v>
      </c>
      <c r="D246" s="2325">
        <v>38.610744845442497</v>
      </c>
      <c r="E246" s="2326">
        <v>87.942443775265403</v>
      </c>
      <c r="F246" s="3269">
        <v>87.022980786643998</v>
      </c>
      <c r="G246" s="2325">
        <v>90.921815602262399</v>
      </c>
      <c r="H246" s="2326">
        <v>0.99</v>
      </c>
      <c r="I246" s="310"/>
      <c r="J246" s="336"/>
      <c r="K246" s="309"/>
      <c r="L246" s="309"/>
      <c r="M246" s="1027"/>
      <c r="N246" s="1020"/>
      <c r="O246" s="3363">
        <v>141.30000000000001</v>
      </c>
      <c r="P246" s="2322">
        <v>118</v>
      </c>
    </row>
    <row r="247" spans="1:16">
      <c r="A247" s="2308">
        <v>1992.1</v>
      </c>
      <c r="B247" s="2324">
        <v>71.459011840958695</v>
      </c>
      <c r="C247" s="3269">
        <v>102.138327467113</v>
      </c>
      <c r="D247" s="2325">
        <v>39.248472490500298</v>
      </c>
      <c r="E247" s="2326">
        <v>89.719270408035797</v>
      </c>
      <c r="F247" s="3269">
        <v>89.551803100006694</v>
      </c>
      <c r="G247" s="2325">
        <v>91.178227383141504</v>
      </c>
      <c r="H247" s="2326">
        <v>0.99</v>
      </c>
      <c r="I247" s="310"/>
      <c r="J247" s="336"/>
      <c r="K247" s="309"/>
      <c r="L247" s="309"/>
      <c r="M247" s="1027"/>
      <c r="N247" s="1020"/>
      <c r="O247" s="3363">
        <v>141.80000000000001</v>
      </c>
      <c r="P247" s="2322">
        <v>118.1</v>
      </c>
    </row>
    <row r="248" spans="1:16">
      <c r="A248" s="2308">
        <v>1992.11</v>
      </c>
      <c r="B248" s="2324">
        <v>73.877826671776006</v>
      </c>
      <c r="C248" s="3269">
        <v>106.49415031145701</v>
      </c>
      <c r="D248" s="2325">
        <v>39.897318406295199</v>
      </c>
      <c r="E248" s="2326">
        <v>92.423419690685506</v>
      </c>
      <c r="F248" s="3269">
        <v>93.389648282914095</v>
      </c>
      <c r="G248" s="2325">
        <v>91.662381139598196</v>
      </c>
      <c r="H248" s="2326">
        <v>0.99</v>
      </c>
      <c r="I248" s="310"/>
      <c r="J248" s="336"/>
      <c r="K248" s="309"/>
      <c r="L248" s="309"/>
      <c r="M248" s="1027"/>
      <c r="N248" s="1020"/>
      <c r="O248" s="3363">
        <v>142</v>
      </c>
      <c r="P248" s="2322">
        <v>117.8</v>
      </c>
    </row>
    <row r="249" spans="1:16">
      <c r="A249" s="2308">
        <v>1992.12</v>
      </c>
      <c r="B249" s="2324">
        <v>74.3782293501922</v>
      </c>
      <c r="C249" s="3269">
        <v>106.704652984514</v>
      </c>
      <c r="D249" s="2325">
        <v>40.550869713214801</v>
      </c>
      <c r="E249" s="2326">
        <v>92.611836841572298</v>
      </c>
      <c r="F249" s="3269">
        <v>93.528865807843104</v>
      </c>
      <c r="G249" s="2325">
        <v>91.949209903868194</v>
      </c>
      <c r="H249" s="2326">
        <v>1</v>
      </c>
      <c r="I249" s="310"/>
      <c r="J249" s="336"/>
      <c r="K249" s="309"/>
      <c r="L249" s="309"/>
      <c r="M249" s="1027"/>
      <c r="N249" s="1020"/>
      <c r="O249" s="3363">
        <v>141.9</v>
      </c>
      <c r="P249" s="2322">
        <v>117.6</v>
      </c>
    </row>
    <row r="250" spans="1:16">
      <c r="A250" s="2308">
        <v>1993.01</v>
      </c>
      <c r="B250" s="2324">
        <v>75.431597151456302</v>
      </c>
      <c r="C250" s="3269">
        <v>108.190040792216</v>
      </c>
      <c r="D250" s="2325">
        <v>41.123064543990502</v>
      </c>
      <c r="E250" s="2326">
        <v>93.480131015169505</v>
      </c>
      <c r="F250" s="3269">
        <v>94.840918261367307</v>
      </c>
      <c r="G250" s="2325">
        <v>92.016471497654706</v>
      </c>
      <c r="H250" s="2326">
        <v>1</v>
      </c>
      <c r="I250" s="310"/>
      <c r="J250" s="336"/>
      <c r="K250" s="309"/>
      <c r="L250" s="309"/>
      <c r="M250" s="1027"/>
      <c r="N250" s="1020"/>
      <c r="O250" s="3363">
        <v>142.6</v>
      </c>
      <c r="P250" s="2322">
        <v>118</v>
      </c>
    </row>
    <row r="251" spans="1:16">
      <c r="A251" s="2308">
        <v>1993.02</v>
      </c>
      <c r="B251" s="2324">
        <v>75.875945499724693</v>
      </c>
      <c r="C251" s="3269">
        <v>108.267338876485</v>
      </c>
      <c r="D251" s="2325">
        <v>41.766747388299997</v>
      </c>
      <c r="E251" s="2326">
        <v>93.5161927386321</v>
      </c>
      <c r="F251" s="3269">
        <v>94.822970145604799</v>
      </c>
      <c r="G251" s="2325">
        <v>92.151002528090004</v>
      </c>
      <c r="H251" s="2326">
        <v>1</v>
      </c>
      <c r="I251" s="310"/>
      <c r="J251" s="336"/>
      <c r="K251" s="309"/>
      <c r="L251" s="309"/>
      <c r="M251" s="1027"/>
      <c r="N251" s="1020"/>
      <c r="O251" s="3363">
        <v>143.1</v>
      </c>
      <c r="P251" s="2322">
        <v>118.4</v>
      </c>
    </row>
    <row r="252" spans="1:16">
      <c r="A252" s="2308">
        <v>1993.03</v>
      </c>
      <c r="B252" s="2324">
        <v>75.6646765024649</v>
      </c>
      <c r="C252" s="3269">
        <v>107.017489829919</v>
      </c>
      <c r="D252" s="2325">
        <v>42.342932101963498</v>
      </c>
      <c r="E252" s="2326">
        <v>92.668010968741797</v>
      </c>
      <c r="F252" s="3269">
        <v>93.737135279556398</v>
      </c>
      <c r="G252" s="2325">
        <v>91.727010104332095</v>
      </c>
      <c r="H252" s="2326">
        <v>1</v>
      </c>
      <c r="I252" s="310"/>
      <c r="J252" s="336"/>
      <c r="K252" s="309"/>
      <c r="L252" s="309"/>
      <c r="M252" s="1027"/>
      <c r="N252" s="1020"/>
      <c r="O252" s="3363">
        <v>143.6</v>
      </c>
      <c r="P252" s="2322">
        <v>118.7</v>
      </c>
    </row>
    <row r="253" spans="1:16">
      <c r="A253" s="2308">
        <v>1993.04</v>
      </c>
      <c r="B253" s="2324">
        <v>74.755018591269106</v>
      </c>
      <c r="C253" s="3269">
        <v>104.591409131041</v>
      </c>
      <c r="D253" s="2325">
        <v>42.690430294535602</v>
      </c>
      <c r="E253" s="2326">
        <v>91.142843328258806</v>
      </c>
      <c r="F253" s="3269">
        <v>91.766676600355297</v>
      </c>
      <c r="G253" s="2325">
        <v>91.005283969420404</v>
      </c>
      <c r="H253" s="2326">
        <v>1</v>
      </c>
      <c r="I253" s="310"/>
      <c r="J253" s="336"/>
      <c r="K253" s="309"/>
      <c r="L253" s="309"/>
      <c r="M253" s="1027"/>
      <c r="N253" s="1020"/>
      <c r="O253" s="3363">
        <v>144</v>
      </c>
      <c r="P253" s="2322">
        <v>119.3</v>
      </c>
    </row>
    <row r="254" spans="1:16">
      <c r="A254" s="2308">
        <v>1993.05</v>
      </c>
      <c r="B254" s="2324">
        <v>75.032304171384396</v>
      </c>
      <c r="C254" s="3269">
        <v>104.24656441493499</v>
      </c>
      <c r="D254" s="2325">
        <v>43.413692140535602</v>
      </c>
      <c r="E254" s="2326">
        <v>91.100428283425799</v>
      </c>
      <c r="F254" s="3269">
        <v>91.676361501551398</v>
      </c>
      <c r="G254" s="2325">
        <v>91.051298548771697</v>
      </c>
      <c r="H254" s="2326">
        <v>1</v>
      </c>
      <c r="I254" s="310"/>
      <c r="J254" s="336"/>
      <c r="K254" s="309"/>
      <c r="L254" s="309"/>
      <c r="M254" s="1027"/>
      <c r="N254" s="1020"/>
      <c r="O254" s="3363">
        <v>144.19999999999999</v>
      </c>
      <c r="P254" s="2322">
        <v>119.7</v>
      </c>
    </row>
    <row r="255" spans="1:16">
      <c r="A255" s="2308">
        <v>1993.06</v>
      </c>
      <c r="B255" s="2324">
        <v>75.812005849328898</v>
      </c>
      <c r="C255" s="3269">
        <v>105.02529796276499</v>
      </c>
      <c r="D255" s="2325">
        <v>44.103700693459999</v>
      </c>
      <c r="E255" s="2326">
        <v>91.265718682032002</v>
      </c>
      <c r="F255" s="3269">
        <v>92.248377093427294</v>
      </c>
      <c r="G255" s="2325">
        <v>90.4677291145086</v>
      </c>
      <c r="H255" s="2326">
        <v>1</v>
      </c>
      <c r="I255" s="310"/>
      <c r="J255" s="336"/>
      <c r="K255" s="309"/>
      <c r="L255" s="309"/>
      <c r="M255" s="1027"/>
      <c r="N255" s="1020"/>
      <c r="O255" s="3363">
        <v>144.4</v>
      </c>
      <c r="P255" s="2322">
        <v>119.5</v>
      </c>
    </row>
    <row r="256" spans="1:16">
      <c r="A256" s="2308">
        <v>1993.07</v>
      </c>
      <c r="B256" s="2324">
        <v>76.996721471414105</v>
      </c>
      <c r="C256" s="3269">
        <v>106.682177425402</v>
      </c>
      <c r="D256" s="2325">
        <v>44.779538561760901</v>
      </c>
      <c r="E256" s="2326">
        <v>91.968373078472695</v>
      </c>
      <c r="F256" s="3269">
        <v>93.487910808319796</v>
      </c>
      <c r="G256" s="2325">
        <v>90.201313312092196</v>
      </c>
      <c r="H256" s="2326">
        <v>1</v>
      </c>
      <c r="I256" s="310"/>
      <c r="J256" s="336"/>
      <c r="K256" s="309"/>
      <c r="L256" s="309"/>
      <c r="M256" s="1027"/>
      <c r="N256" s="1020"/>
      <c r="O256" s="3363">
        <v>144.4</v>
      </c>
      <c r="P256" s="2322">
        <v>119.2</v>
      </c>
    </row>
    <row r="257" spans="1:16">
      <c r="A257" s="2308">
        <v>1993.08</v>
      </c>
      <c r="B257" s="2324">
        <v>77.207320015845596</v>
      </c>
      <c r="C257" s="3269">
        <v>106.380401588376</v>
      </c>
      <c r="D257" s="2325">
        <v>45.371700210022901</v>
      </c>
      <c r="E257" s="2326">
        <v>91.602860400478704</v>
      </c>
      <c r="F257" s="3269">
        <v>93.244880392599896</v>
      </c>
      <c r="G257" s="2325">
        <v>89.611374369613003</v>
      </c>
      <c r="H257" s="2326">
        <v>1</v>
      </c>
      <c r="I257" s="310"/>
      <c r="J257" s="336"/>
      <c r="K257" s="309"/>
      <c r="L257" s="309"/>
      <c r="M257" s="1027"/>
      <c r="N257" s="1020"/>
      <c r="O257" s="3363">
        <v>144.80000000000001</v>
      </c>
      <c r="P257" s="2322">
        <v>118.7</v>
      </c>
    </row>
    <row r="258" spans="1:16">
      <c r="A258" s="2308">
        <v>1993.09</v>
      </c>
      <c r="B258" s="2324">
        <v>77.288679428070495</v>
      </c>
      <c r="C258" s="3269">
        <v>105.764371083871</v>
      </c>
      <c r="D258" s="2325">
        <v>46.006362223535298</v>
      </c>
      <c r="E258" s="2326">
        <v>91.015162825830998</v>
      </c>
      <c r="F258" s="3269">
        <v>92.757926709207794</v>
      </c>
      <c r="G258" s="2325">
        <v>88.836796827261395</v>
      </c>
      <c r="H258" s="2326">
        <v>1</v>
      </c>
      <c r="I258" s="310"/>
      <c r="J258" s="336"/>
      <c r="K258" s="309"/>
      <c r="L258" s="309"/>
      <c r="M258" s="1027"/>
      <c r="N258" s="1020"/>
      <c r="O258" s="3363">
        <v>145.1</v>
      </c>
      <c r="P258" s="2322">
        <v>118.7</v>
      </c>
    </row>
    <row r="259" spans="1:16">
      <c r="A259" s="2308">
        <v>1993.1</v>
      </c>
      <c r="B259" s="2324">
        <v>78.165799322801803</v>
      </c>
      <c r="C259" s="3269">
        <v>106.758718293714</v>
      </c>
      <c r="D259" s="2325">
        <v>46.696638694694101</v>
      </c>
      <c r="E259" s="2326">
        <v>91.675082200062207</v>
      </c>
      <c r="F259" s="3269">
        <v>94.000457069468695</v>
      </c>
      <c r="G259" s="2325">
        <v>88.468897571856203</v>
      </c>
      <c r="H259" s="2326">
        <v>1</v>
      </c>
      <c r="I259" s="310"/>
      <c r="J259" s="336"/>
      <c r="K259" s="309"/>
      <c r="L259" s="309"/>
      <c r="M259" s="1027"/>
      <c r="N259" s="1020"/>
      <c r="O259" s="3363">
        <v>145.69999999999999</v>
      </c>
      <c r="P259" s="2322">
        <v>119.1</v>
      </c>
    </row>
    <row r="260" spans="1:16">
      <c r="A260" s="2308">
        <v>1993.11</v>
      </c>
      <c r="B260" s="2324">
        <v>79.258421742556195</v>
      </c>
      <c r="C260" s="3269">
        <v>108.019518311741</v>
      </c>
      <c r="D260" s="2325">
        <v>47.5396104066226</v>
      </c>
      <c r="E260" s="2326">
        <v>92.450536373631806</v>
      </c>
      <c r="F260" s="3269">
        <v>95.285215787299293</v>
      </c>
      <c r="G260" s="2325">
        <v>88.361760100044407</v>
      </c>
      <c r="H260" s="2326">
        <v>1</v>
      </c>
      <c r="I260" s="310"/>
      <c r="J260" s="336"/>
      <c r="K260" s="309"/>
      <c r="L260" s="309"/>
      <c r="M260" s="1027"/>
      <c r="N260" s="1020"/>
      <c r="O260" s="3363">
        <v>145.80000000000001</v>
      </c>
      <c r="P260" s="2322">
        <v>119</v>
      </c>
    </row>
    <row r="261" spans="1:16">
      <c r="A261" s="2308">
        <v>1993.12</v>
      </c>
      <c r="B261" s="2324">
        <v>79.936108870271994</v>
      </c>
      <c r="C261" s="3269">
        <v>108.782208765813</v>
      </c>
      <c r="D261" s="2325">
        <v>48.078156170086302</v>
      </c>
      <c r="E261" s="2326">
        <v>92.617893860009005</v>
      </c>
      <c r="F261" s="3269">
        <v>96.011216069161094</v>
      </c>
      <c r="G261" s="2325">
        <v>87.569696864296503</v>
      </c>
      <c r="H261" s="2326">
        <v>0.99</v>
      </c>
      <c r="I261" s="310"/>
      <c r="J261" s="336"/>
      <c r="K261" s="309"/>
      <c r="L261" s="309"/>
      <c r="M261" s="1027"/>
      <c r="N261" s="1020"/>
      <c r="O261" s="3363">
        <v>145.80000000000001</v>
      </c>
      <c r="P261" s="2322">
        <v>118.6</v>
      </c>
    </row>
    <row r="262" spans="1:16">
      <c r="A262" s="2308">
        <v>1994.01</v>
      </c>
      <c r="B262" s="2324">
        <v>81.980598326055599</v>
      </c>
      <c r="C262" s="3269">
        <v>109.144362022876</v>
      </c>
      <c r="D262" s="2325">
        <v>51.271160023548603</v>
      </c>
      <c r="E262" s="2326">
        <v>94.199483395107407</v>
      </c>
      <c r="F262" s="3269">
        <v>96.222807693623295</v>
      </c>
      <c r="G262" s="2325">
        <v>91.442364832102797</v>
      </c>
      <c r="H262" s="2326">
        <v>0.99</v>
      </c>
      <c r="I262" s="310"/>
      <c r="J262" s="336"/>
      <c r="K262" s="309"/>
      <c r="L262" s="309"/>
      <c r="M262" s="1027"/>
      <c r="N262" s="1020"/>
      <c r="O262" s="3363">
        <v>146.19999999999999</v>
      </c>
      <c r="P262" s="2322">
        <v>119.1</v>
      </c>
    </row>
    <row r="263" spans="1:16">
      <c r="A263" s="2308">
        <v>1994.02</v>
      </c>
      <c r="B263" s="2324">
        <v>82.061990705759897</v>
      </c>
      <c r="C263" s="3269">
        <v>108.210553112984</v>
      </c>
      <c r="D263" s="2325">
        <v>52.2098998731203</v>
      </c>
      <c r="E263" s="2326">
        <v>93.8790776149051</v>
      </c>
      <c r="F263" s="3269">
        <v>95.812516813595195</v>
      </c>
      <c r="G263" s="2325">
        <v>91.272557711800403</v>
      </c>
      <c r="H263" s="2326">
        <v>0.99</v>
      </c>
      <c r="I263" s="310"/>
      <c r="J263" s="336"/>
      <c r="K263" s="309"/>
      <c r="L263" s="309"/>
      <c r="M263" s="1027"/>
      <c r="N263" s="1020"/>
      <c r="O263" s="3363">
        <v>146.69999999999999</v>
      </c>
      <c r="P263" s="2322">
        <v>119.3</v>
      </c>
    </row>
    <row r="264" spans="1:16">
      <c r="A264" s="2308">
        <v>1994.03</v>
      </c>
      <c r="B264" s="2324">
        <v>82.620819671252704</v>
      </c>
      <c r="C264" s="3269">
        <v>107.727220099779</v>
      </c>
      <c r="D264" s="2325">
        <v>53.634146527324901</v>
      </c>
      <c r="E264" s="2326">
        <v>93.926554984628496</v>
      </c>
      <c r="F264" s="3269">
        <v>95.487746459880498</v>
      </c>
      <c r="G264" s="2325">
        <v>91.957954567141897</v>
      </c>
      <c r="H264" s="2326">
        <v>0.99</v>
      </c>
      <c r="I264" s="310"/>
      <c r="J264" s="336"/>
      <c r="K264" s="309"/>
      <c r="L264" s="309"/>
      <c r="M264" s="1027"/>
      <c r="N264" s="1020"/>
      <c r="O264" s="3363">
        <v>147.19999999999999</v>
      </c>
      <c r="P264" s="2322">
        <v>119.7</v>
      </c>
    </row>
    <row r="265" spans="1:16">
      <c r="A265" s="2308">
        <v>1994.04</v>
      </c>
      <c r="B265" s="2324">
        <v>83.251027328800205</v>
      </c>
      <c r="C265" s="3269">
        <v>107.81623024202599</v>
      </c>
      <c r="D265" s="2325">
        <v>54.701654854243799</v>
      </c>
      <c r="E265" s="2326">
        <v>93.9749536880188</v>
      </c>
      <c r="F265" s="3269">
        <v>95.627574314795595</v>
      </c>
      <c r="G265" s="2325">
        <v>91.849482416363898</v>
      </c>
      <c r="H265" s="2326">
        <v>0.99</v>
      </c>
      <c r="I265" s="310"/>
      <c r="J265" s="336"/>
      <c r="K265" s="309"/>
      <c r="L265" s="309"/>
      <c r="M265" s="1027"/>
      <c r="N265" s="1020"/>
      <c r="O265" s="3363">
        <v>147.4</v>
      </c>
      <c r="P265" s="2322">
        <v>119.7</v>
      </c>
    </row>
    <row r="266" spans="1:16">
      <c r="A266" s="2308">
        <v>1994.05</v>
      </c>
      <c r="B266" s="2324">
        <v>83.265180725053597</v>
      </c>
      <c r="C266" s="3269">
        <v>106.893019095489</v>
      </c>
      <c r="D266" s="2325">
        <v>55.575527952502298</v>
      </c>
      <c r="E266" s="2326">
        <v>93.346968218834903</v>
      </c>
      <c r="F266" s="3269">
        <v>94.961211877932399</v>
      </c>
      <c r="G266" s="2325">
        <v>91.282665063987693</v>
      </c>
      <c r="H266" s="2326">
        <v>0.99</v>
      </c>
      <c r="I266" s="310"/>
      <c r="J266" s="336"/>
      <c r="K266" s="309"/>
      <c r="L266" s="309"/>
      <c r="M266" s="1027"/>
      <c r="N266" s="1020"/>
      <c r="O266" s="3363">
        <v>147.5</v>
      </c>
      <c r="P266" s="2322">
        <v>119.9</v>
      </c>
    </row>
    <row r="267" spans="1:16">
      <c r="A267" s="2308">
        <v>1994.06</v>
      </c>
      <c r="B267" s="2324">
        <v>83.228306132174197</v>
      </c>
      <c r="C267" s="3269">
        <v>105.936922620201</v>
      </c>
      <c r="D267" s="2325">
        <v>56.408403379190098</v>
      </c>
      <c r="E267" s="2326">
        <v>92.573841224016903</v>
      </c>
      <c r="F267" s="3269">
        <v>94.284457543043999</v>
      </c>
      <c r="G267" s="2325">
        <v>90.338304295812506</v>
      </c>
      <c r="H267" s="2326">
        <v>0.99</v>
      </c>
      <c r="I267" s="310"/>
      <c r="J267" s="336"/>
      <c r="K267" s="309"/>
      <c r="L267" s="309"/>
      <c r="M267" s="1027"/>
      <c r="N267" s="1020"/>
      <c r="O267" s="3363">
        <v>148</v>
      </c>
      <c r="P267" s="2322">
        <v>120.5</v>
      </c>
    </row>
    <row r="268" spans="1:16">
      <c r="A268" s="2308">
        <v>1994.07</v>
      </c>
      <c r="B268" s="2324">
        <v>82.273467810150507</v>
      </c>
      <c r="C268" s="3269">
        <v>103.63606285674901</v>
      </c>
      <c r="D268" s="2325">
        <v>56.8078866080252</v>
      </c>
      <c r="E268" s="2326">
        <v>91.247502149666801</v>
      </c>
      <c r="F268" s="3269">
        <v>92.344029321166801</v>
      </c>
      <c r="G268" s="2325">
        <v>90.063150004405102</v>
      </c>
      <c r="H268" s="2326">
        <v>0.99</v>
      </c>
      <c r="I268" s="310"/>
      <c r="J268" s="336"/>
      <c r="K268" s="309"/>
      <c r="L268" s="309"/>
      <c r="M268" s="1027"/>
      <c r="N268" s="1020"/>
      <c r="O268" s="3363">
        <v>148.4</v>
      </c>
      <c r="P268" s="2322">
        <v>120.7</v>
      </c>
    </row>
    <row r="269" spans="1:16">
      <c r="A269" s="2308">
        <v>1994.08</v>
      </c>
      <c r="B269" s="2324">
        <v>82.233277420106404</v>
      </c>
      <c r="C269" s="3269">
        <v>103.93722046698301</v>
      </c>
      <c r="D269" s="2325">
        <v>56.436713500921101</v>
      </c>
      <c r="E269" s="2326">
        <v>91.035766253840805</v>
      </c>
      <c r="F269" s="3269">
        <v>92.776488551371997</v>
      </c>
      <c r="G269" s="2325">
        <v>88.737183359608295</v>
      </c>
      <c r="H269" s="2326">
        <v>0.99</v>
      </c>
      <c r="I269" s="310"/>
      <c r="J269" s="336"/>
      <c r="K269" s="309"/>
      <c r="L269" s="309"/>
      <c r="M269" s="1027"/>
      <c r="N269" s="1020"/>
      <c r="O269" s="3363">
        <v>149</v>
      </c>
      <c r="P269" s="2322">
        <v>121.2</v>
      </c>
    </row>
    <row r="270" spans="1:16">
      <c r="A270" s="2308">
        <v>1994.09</v>
      </c>
      <c r="B270" s="2324">
        <v>81.469932426917694</v>
      </c>
      <c r="C270" s="3269">
        <v>102.515323892711</v>
      </c>
      <c r="D270" s="2325">
        <v>56.359628418232496</v>
      </c>
      <c r="E270" s="2326">
        <v>89.977801178163205</v>
      </c>
      <c r="F270" s="3269">
        <v>91.591683467048199</v>
      </c>
      <c r="G270" s="2325">
        <v>87.888565248091993</v>
      </c>
      <c r="H270" s="2326">
        <v>0.99</v>
      </c>
      <c r="I270" s="310"/>
      <c r="J270" s="336"/>
      <c r="K270" s="309"/>
      <c r="L270" s="309"/>
      <c r="M270" s="1027"/>
      <c r="N270" s="1020"/>
      <c r="O270" s="3363">
        <v>149.4</v>
      </c>
      <c r="P270" s="2322">
        <v>121</v>
      </c>
    </row>
    <row r="271" spans="1:16">
      <c r="A271" s="2308">
        <v>1994.1</v>
      </c>
      <c r="B271" s="2324">
        <v>80.992722874047203</v>
      </c>
      <c r="C271" s="3269">
        <v>101.472364762704</v>
      </c>
      <c r="D271" s="2325">
        <v>56.467808809561902</v>
      </c>
      <c r="E271" s="2326">
        <v>89.095962762513594</v>
      </c>
      <c r="F271" s="3269">
        <v>90.618098328323995</v>
      </c>
      <c r="G271" s="2325">
        <v>87.157641084675603</v>
      </c>
      <c r="H271" s="2326">
        <v>0.99</v>
      </c>
      <c r="I271" s="310"/>
      <c r="J271" s="336"/>
      <c r="K271" s="309"/>
      <c r="L271" s="309"/>
      <c r="M271" s="1027"/>
      <c r="N271" s="1020"/>
      <c r="O271" s="3363">
        <v>149.5</v>
      </c>
      <c r="P271" s="2322">
        <v>120.9</v>
      </c>
    </row>
    <row r="272" spans="1:16">
      <c r="A272" s="2308">
        <v>1994.11</v>
      </c>
      <c r="B272" s="2324">
        <v>81.3964533682759</v>
      </c>
      <c r="C272" s="3269">
        <v>102.23538358027101</v>
      </c>
      <c r="D272" s="2325">
        <v>56.494216684937001</v>
      </c>
      <c r="E272" s="2326">
        <v>89.356944118737204</v>
      </c>
      <c r="F272" s="3269">
        <v>91.389658926379795</v>
      </c>
      <c r="G272" s="2325">
        <v>86.549182757123205</v>
      </c>
      <c r="H272" s="2326">
        <v>0.99</v>
      </c>
      <c r="I272" s="310"/>
      <c r="J272" s="336"/>
      <c r="K272" s="309"/>
      <c r="L272" s="309"/>
      <c r="M272" s="1027"/>
      <c r="N272" s="1020"/>
      <c r="O272" s="3363">
        <v>149.69999999999999</v>
      </c>
      <c r="P272" s="2322">
        <v>121.5</v>
      </c>
    </row>
    <row r="273" spans="1:16">
      <c r="A273" s="2308">
        <v>1994.12</v>
      </c>
      <c r="B273" s="2324">
        <v>83.466984346631506</v>
      </c>
      <c r="C273" s="3269">
        <v>104.270458572198</v>
      </c>
      <c r="D273" s="2325">
        <v>58.525869916264497</v>
      </c>
      <c r="E273" s="2326">
        <v>91.508891271723201</v>
      </c>
      <c r="F273" s="3269">
        <v>93.241904863306701</v>
      </c>
      <c r="G273" s="2325">
        <v>89.227026796274004</v>
      </c>
      <c r="H273" s="2326">
        <v>0.99</v>
      </c>
      <c r="I273" s="310"/>
      <c r="J273" s="336"/>
      <c r="K273" s="309"/>
      <c r="L273" s="309"/>
      <c r="M273" s="1027"/>
      <c r="N273" s="1020"/>
      <c r="O273" s="3363">
        <v>149.69999999999999</v>
      </c>
      <c r="P273" s="2322">
        <v>121.9</v>
      </c>
    </row>
    <row r="274" spans="1:16">
      <c r="A274" s="2308">
        <v>1995.01</v>
      </c>
      <c r="B274" s="2324">
        <v>85.825272936814102</v>
      </c>
      <c r="C274" s="3269">
        <v>103.91177473066899</v>
      </c>
      <c r="D274" s="2325">
        <v>63.577240451171903</v>
      </c>
      <c r="E274" s="2326">
        <v>93.581717359168906</v>
      </c>
      <c r="F274" s="3269">
        <v>92.958964100247499</v>
      </c>
      <c r="G274" s="2325">
        <v>95.352724214180398</v>
      </c>
      <c r="H274" s="2326">
        <v>1</v>
      </c>
      <c r="I274" s="310"/>
      <c r="J274" s="336"/>
      <c r="K274" s="309"/>
      <c r="L274" s="309"/>
      <c r="M274" s="1027"/>
      <c r="N274" s="1020"/>
      <c r="O274" s="3363">
        <v>150.30000000000001</v>
      </c>
      <c r="P274" s="2322">
        <v>122.9</v>
      </c>
    </row>
    <row r="275" spans="1:16">
      <c r="A275" s="2308">
        <v>1995.02</v>
      </c>
      <c r="B275" s="2324">
        <v>85.4359885731334</v>
      </c>
      <c r="C275" s="3269">
        <v>102.84041218597</v>
      </c>
      <c r="D275" s="2325">
        <v>63.930355194353602</v>
      </c>
      <c r="E275" s="2326">
        <v>92.758958140619598</v>
      </c>
      <c r="F275" s="3269">
        <v>92.036242414382201</v>
      </c>
      <c r="G275" s="2325">
        <v>94.701758573927606</v>
      </c>
      <c r="H275" s="2326">
        <v>1</v>
      </c>
      <c r="I275" s="310"/>
      <c r="J275" s="336"/>
      <c r="K275" s="309"/>
      <c r="L275" s="309"/>
      <c r="M275" s="1027"/>
      <c r="N275" s="1020"/>
      <c r="O275" s="3363">
        <v>150.9</v>
      </c>
      <c r="P275" s="2322">
        <v>123.5</v>
      </c>
    </row>
    <row r="276" spans="1:16">
      <c r="A276" s="2308">
        <v>1995.03</v>
      </c>
      <c r="B276" s="2324">
        <v>84.8004327077374</v>
      </c>
      <c r="C276" s="3269">
        <v>99.344548335104804</v>
      </c>
      <c r="D276" s="2325">
        <v>66.505227382717294</v>
      </c>
      <c r="E276" s="2326">
        <v>91.628993563941705</v>
      </c>
      <c r="F276" s="3269">
        <v>89.001849203671199</v>
      </c>
      <c r="G276" s="2325">
        <v>97.053710480480902</v>
      </c>
      <c r="H276" s="2326">
        <v>1</v>
      </c>
      <c r="I276" s="310"/>
      <c r="J276" s="336"/>
      <c r="K276" s="309"/>
      <c r="L276" s="309"/>
      <c r="M276" s="1027"/>
      <c r="N276" s="1020"/>
      <c r="O276" s="3363">
        <v>151.4</v>
      </c>
      <c r="P276" s="2322">
        <v>123.9</v>
      </c>
    </row>
    <row r="277" spans="1:16">
      <c r="A277" s="2308">
        <v>1995.04</v>
      </c>
      <c r="B277" s="2324">
        <v>82.338688517654703</v>
      </c>
      <c r="C277" s="3269">
        <v>96.139894888964093</v>
      </c>
      <c r="D277" s="2325">
        <v>64.939919469477601</v>
      </c>
      <c r="E277" s="2326">
        <v>88.505336013107794</v>
      </c>
      <c r="F277" s="3269">
        <v>86.378062464698004</v>
      </c>
      <c r="G277" s="2325">
        <v>92.976214582503601</v>
      </c>
      <c r="H277" s="2326">
        <v>1</v>
      </c>
      <c r="I277" s="310"/>
      <c r="J277" s="336"/>
      <c r="K277" s="309"/>
      <c r="L277" s="309"/>
      <c r="M277" s="1027"/>
      <c r="N277" s="1020"/>
      <c r="O277" s="3363">
        <v>151.9</v>
      </c>
      <c r="P277" s="2322">
        <v>124.6</v>
      </c>
    </row>
    <row r="278" spans="1:16">
      <c r="A278" s="2308">
        <v>1995.05</v>
      </c>
      <c r="B278" s="2324">
        <v>82.258384707742493</v>
      </c>
      <c r="C278" s="3269">
        <v>96.673153658475798</v>
      </c>
      <c r="D278" s="2325">
        <v>64.152616687656007</v>
      </c>
      <c r="E278" s="2326">
        <v>87.992134269230405</v>
      </c>
      <c r="F278" s="3269">
        <v>86.912644958987698</v>
      </c>
      <c r="G278" s="2325">
        <v>90.540521071802004</v>
      </c>
      <c r="H278" s="2326">
        <v>1</v>
      </c>
      <c r="I278" s="310"/>
      <c r="J278" s="336"/>
      <c r="K278" s="309"/>
      <c r="L278" s="309"/>
      <c r="M278" s="1027"/>
      <c r="N278" s="1020"/>
      <c r="O278" s="3363">
        <v>152.19999999999999</v>
      </c>
      <c r="P278" s="2322">
        <v>124.9</v>
      </c>
    </row>
    <row r="279" spans="1:16">
      <c r="A279" s="2308">
        <v>1995.06</v>
      </c>
      <c r="B279" s="2324">
        <v>82.526458047541993</v>
      </c>
      <c r="C279" s="3269">
        <v>96.685125745222095</v>
      </c>
      <c r="D279" s="2325">
        <v>64.708183334056102</v>
      </c>
      <c r="E279" s="2326">
        <v>87.922127202983205</v>
      </c>
      <c r="F279" s="3269">
        <v>86.931048626543799</v>
      </c>
      <c r="G279" s="2325">
        <v>90.310943770155305</v>
      </c>
      <c r="H279" s="2326">
        <v>1</v>
      </c>
      <c r="I279" s="310"/>
      <c r="J279" s="336"/>
      <c r="K279" s="309"/>
      <c r="L279" s="309"/>
      <c r="M279" s="1027"/>
      <c r="N279" s="1020"/>
      <c r="O279" s="3363">
        <v>152.5</v>
      </c>
      <c r="P279" s="2322">
        <v>125.3</v>
      </c>
    </row>
    <row r="280" spans="1:16">
      <c r="A280" s="2308">
        <v>1995.07</v>
      </c>
      <c r="B280" s="2324">
        <v>82.5077548432632</v>
      </c>
      <c r="C280" s="3269">
        <v>96.727405860618205</v>
      </c>
      <c r="D280" s="2325">
        <v>64.619364444155494</v>
      </c>
      <c r="E280" s="2326">
        <v>87.636782710390193</v>
      </c>
      <c r="F280" s="3269">
        <v>87.050048247260406</v>
      </c>
      <c r="G280" s="2325">
        <v>89.301569243729503</v>
      </c>
      <c r="H280" s="2326">
        <v>1</v>
      </c>
      <c r="I280" s="310"/>
      <c r="J280" s="336"/>
      <c r="K280" s="309"/>
      <c r="L280" s="309"/>
      <c r="M280" s="1027"/>
      <c r="N280" s="1020"/>
      <c r="O280" s="3363">
        <v>152.5</v>
      </c>
      <c r="P280" s="2322">
        <v>125.3</v>
      </c>
    </row>
    <row r="281" spans="1:16">
      <c r="A281" s="2308">
        <v>1995.08</v>
      </c>
      <c r="B281" s="2324">
        <v>84.462676030288307</v>
      </c>
      <c r="C281" s="3269">
        <v>99.699837366485497</v>
      </c>
      <c r="D281" s="2325">
        <v>65.373048125116199</v>
      </c>
      <c r="E281" s="2326">
        <v>89.504391959516198</v>
      </c>
      <c r="F281" s="3269">
        <v>89.850932289028606</v>
      </c>
      <c r="G281" s="2325">
        <v>89.550482077933793</v>
      </c>
      <c r="H281" s="2326">
        <v>1</v>
      </c>
      <c r="I281" s="310"/>
      <c r="J281" s="336"/>
      <c r="K281" s="309"/>
      <c r="L281" s="309"/>
      <c r="M281" s="1027"/>
      <c r="N281" s="1020"/>
      <c r="O281" s="3363">
        <v>152.9</v>
      </c>
      <c r="P281" s="2322">
        <v>125.1</v>
      </c>
    </row>
    <row r="282" spans="1:16">
      <c r="A282" s="2308">
        <v>1995.09</v>
      </c>
      <c r="B282" s="2324">
        <v>85.672700376721394</v>
      </c>
      <c r="C282" s="3269">
        <v>101.357452362475</v>
      </c>
      <c r="D282" s="2325">
        <v>66.050199347183906</v>
      </c>
      <c r="E282" s="2326">
        <v>90.401451627698506</v>
      </c>
      <c r="F282" s="3269">
        <v>91.311009212682904</v>
      </c>
      <c r="G282" s="2325">
        <v>89.491453877797298</v>
      </c>
      <c r="H282" s="2326">
        <v>1</v>
      </c>
      <c r="I282" s="310"/>
      <c r="J282" s="336"/>
      <c r="K282" s="309"/>
      <c r="L282" s="309"/>
      <c r="M282" s="1027"/>
      <c r="N282" s="1020"/>
      <c r="O282" s="3363">
        <v>153.19999999999999</v>
      </c>
      <c r="P282" s="2322">
        <v>125.2</v>
      </c>
    </row>
    <row r="283" spans="1:16">
      <c r="A283" s="2308">
        <v>1995.1</v>
      </c>
      <c r="B283" s="2324">
        <v>85.580727890202596</v>
      </c>
      <c r="C283" s="3269">
        <v>100.406997097568</v>
      </c>
      <c r="D283" s="2325">
        <v>66.937401267382896</v>
      </c>
      <c r="E283" s="2326">
        <v>90.225984098464394</v>
      </c>
      <c r="F283" s="3269">
        <v>90.748640455346802</v>
      </c>
      <c r="G283" s="2325">
        <v>89.974431895249396</v>
      </c>
      <c r="H283" s="2326">
        <v>1</v>
      </c>
      <c r="I283" s="310"/>
      <c r="J283" s="336"/>
      <c r="K283" s="309"/>
      <c r="L283" s="309"/>
      <c r="M283" s="1027"/>
      <c r="N283" s="1020"/>
      <c r="O283" s="3363">
        <v>153.69999999999999</v>
      </c>
      <c r="P283" s="2322">
        <v>125.3</v>
      </c>
    </row>
    <row r="284" spans="1:16">
      <c r="A284" s="2308">
        <v>1995.11</v>
      </c>
      <c r="B284" s="2324">
        <v>86.846689642546195</v>
      </c>
      <c r="C284" s="3269">
        <v>100.871834270496</v>
      </c>
      <c r="D284" s="2325">
        <v>69.121324302818095</v>
      </c>
      <c r="E284" s="2326">
        <v>91.2229862590805</v>
      </c>
      <c r="F284" s="3269">
        <v>91.170114830424893</v>
      </c>
      <c r="G284" s="2325">
        <v>91.974243509505499</v>
      </c>
      <c r="H284" s="2326">
        <v>1</v>
      </c>
      <c r="I284" s="310"/>
      <c r="J284" s="336"/>
      <c r="K284" s="309"/>
      <c r="L284" s="309"/>
      <c r="M284" s="1027"/>
      <c r="N284" s="1020"/>
      <c r="O284" s="3363">
        <v>153.6</v>
      </c>
      <c r="P284" s="2322">
        <v>125.4</v>
      </c>
    </row>
    <row r="285" spans="1:16">
      <c r="A285" s="2308">
        <v>1995.12</v>
      </c>
      <c r="B285" s="2324">
        <v>87.598845679144006</v>
      </c>
      <c r="C285" s="3269">
        <v>101.800675974787</v>
      </c>
      <c r="D285" s="2325">
        <v>69.6537282674213</v>
      </c>
      <c r="E285" s="2326">
        <v>91.691544941164693</v>
      </c>
      <c r="F285" s="3269">
        <v>92.001571757466706</v>
      </c>
      <c r="G285" s="2325">
        <v>91.816357568814098</v>
      </c>
      <c r="H285" s="2326">
        <v>1</v>
      </c>
      <c r="I285" s="310"/>
      <c r="J285" s="336"/>
      <c r="K285" s="309"/>
      <c r="L285" s="309"/>
      <c r="M285" s="1027"/>
      <c r="N285" s="1020"/>
      <c r="O285" s="3363">
        <v>153.5</v>
      </c>
      <c r="P285" s="2322">
        <v>125.7</v>
      </c>
    </row>
    <row r="286" spans="1:16">
      <c r="A286" s="2308">
        <v>1996.01</v>
      </c>
      <c r="B286" s="2324">
        <v>88.318502823765598</v>
      </c>
      <c r="C286" s="3269">
        <v>103.0577657478</v>
      </c>
      <c r="D286" s="2325">
        <v>69.768278185133298</v>
      </c>
      <c r="E286" s="2326">
        <v>92.462178382224394</v>
      </c>
      <c r="F286" s="3269">
        <v>93.551402701399198</v>
      </c>
      <c r="G286" s="2325">
        <v>91.323723821621101</v>
      </c>
      <c r="H286" s="2326">
        <v>1</v>
      </c>
      <c r="I286" s="310"/>
      <c r="J286" s="336"/>
      <c r="K286" s="309"/>
      <c r="L286" s="309"/>
      <c r="M286" s="1027"/>
      <c r="N286" s="1020"/>
      <c r="O286" s="3363">
        <v>154.4</v>
      </c>
      <c r="P286" s="2322">
        <v>126.3</v>
      </c>
    </row>
    <row r="287" spans="1:16">
      <c r="A287" s="2308">
        <v>1996.02</v>
      </c>
      <c r="B287" s="2324">
        <v>88.519950651594201</v>
      </c>
      <c r="C287" s="3269">
        <v>103.378920075083</v>
      </c>
      <c r="D287" s="2325">
        <v>69.829395080136294</v>
      </c>
      <c r="E287" s="2326">
        <v>92.401928703311995</v>
      </c>
      <c r="F287" s="3269">
        <v>93.821779794040395</v>
      </c>
      <c r="G287" s="2325">
        <v>90.733210115737705</v>
      </c>
      <c r="H287" s="2326">
        <v>1</v>
      </c>
      <c r="I287" s="310"/>
      <c r="J287" s="336"/>
      <c r="K287" s="309"/>
      <c r="L287" s="309"/>
      <c r="M287" s="1027"/>
      <c r="N287" s="1020"/>
      <c r="O287" s="3363">
        <v>154.9</v>
      </c>
      <c r="P287" s="2322">
        <v>126.2</v>
      </c>
    </row>
    <row r="288" spans="1:16">
      <c r="A288" s="2308">
        <v>1996.03</v>
      </c>
      <c r="B288" s="2324">
        <v>88.516747890584696</v>
      </c>
      <c r="C288" s="3269">
        <v>103.299783922752</v>
      </c>
      <c r="D288" s="2325">
        <v>69.910332885637402</v>
      </c>
      <c r="E288" s="2326">
        <v>92.213380976124995</v>
      </c>
      <c r="F288" s="3269">
        <v>93.794045357410994</v>
      </c>
      <c r="G288" s="2325">
        <v>90.287532541687995</v>
      </c>
      <c r="H288" s="2326">
        <v>1</v>
      </c>
      <c r="I288" s="310"/>
      <c r="J288" s="336"/>
      <c r="K288" s="309"/>
      <c r="L288" s="309"/>
      <c r="M288" s="1027"/>
      <c r="N288" s="1020"/>
      <c r="O288" s="3363">
        <v>155.69999999999999</v>
      </c>
      <c r="P288" s="2322">
        <v>126.4</v>
      </c>
    </row>
    <row r="289" spans="1:16">
      <c r="A289" s="2308">
        <v>1996.04</v>
      </c>
      <c r="B289" s="2324">
        <v>88.785959449455007</v>
      </c>
      <c r="C289" s="3269">
        <v>103.879272773392</v>
      </c>
      <c r="D289" s="2325">
        <v>69.828209992689096</v>
      </c>
      <c r="E289" s="2326">
        <v>92.3631157920763</v>
      </c>
      <c r="F289" s="3269">
        <v>94.535247947479206</v>
      </c>
      <c r="G289" s="2325">
        <v>89.506813701944395</v>
      </c>
      <c r="H289" s="2326">
        <v>0.99995000000000001</v>
      </c>
      <c r="I289" s="310"/>
      <c r="J289" s="336"/>
      <c r="K289" s="309"/>
      <c r="L289" s="309"/>
      <c r="M289" s="1027"/>
      <c r="N289" s="1020"/>
      <c r="O289" s="3363">
        <v>156.30000000000001</v>
      </c>
      <c r="P289" s="2322">
        <v>127.4</v>
      </c>
    </row>
    <row r="290" spans="1:16">
      <c r="A290" s="2308">
        <v>1996.05</v>
      </c>
      <c r="B290" s="2324">
        <v>89.287685660366606</v>
      </c>
      <c r="C290" s="3269">
        <v>104.41125036819</v>
      </c>
      <c r="D290" s="2325">
        <v>70.283848688506396</v>
      </c>
      <c r="E290" s="2326">
        <v>92.606128747297802</v>
      </c>
      <c r="F290" s="3269">
        <v>95.066429115373495</v>
      </c>
      <c r="G290" s="2325">
        <v>89.302943082363001</v>
      </c>
      <c r="H290" s="2326">
        <v>0.99950000000000006</v>
      </c>
      <c r="I290" s="310"/>
      <c r="J290" s="336"/>
      <c r="K290" s="309"/>
      <c r="L290" s="309"/>
      <c r="M290" s="1027"/>
      <c r="N290" s="1020"/>
      <c r="O290" s="3363">
        <v>156.6</v>
      </c>
      <c r="P290" s="2322">
        <v>128.1</v>
      </c>
    </row>
    <row r="291" spans="1:16">
      <c r="A291" s="2308">
        <v>1996.06</v>
      </c>
      <c r="B291" s="2324">
        <v>89.689566518696793</v>
      </c>
      <c r="C291" s="3269">
        <v>104.628841403401</v>
      </c>
      <c r="D291" s="2325">
        <v>70.881129870596496</v>
      </c>
      <c r="E291" s="2326">
        <v>92.885438886847297</v>
      </c>
      <c r="F291" s="3269">
        <v>95.439651021251294</v>
      </c>
      <c r="G291" s="2325">
        <v>89.438439724092007</v>
      </c>
      <c r="H291" s="2326">
        <v>0.99950000000000006</v>
      </c>
      <c r="I291" s="310"/>
      <c r="J291" s="336"/>
      <c r="K291" s="309"/>
      <c r="L291" s="309"/>
      <c r="M291" s="1027"/>
      <c r="N291" s="1020"/>
      <c r="O291" s="3363">
        <v>156.69999999999999</v>
      </c>
      <c r="P291" s="2322">
        <v>128</v>
      </c>
    </row>
    <row r="292" spans="1:16">
      <c r="A292" s="2308">
        <v>1996.07</v>
      </c>
      <c r="B292" s="2324">
        <v>89.581916826656098</v>
      </c>
      <c r="C292" s="3269">
        <v>104.20906036222</v>
      </c>
      <c r="D292" s="2325">
        <v>71.126444744797993</v>
      </c>
      <c r="E292" s="2326">
        <v>92.6260962162997</v>
      </c>
      <c r="F292" s="3269">
        <v>95.125595761825096</v>
      </c>
      <c r="G292" s="2325">
        <v>89.262316390403797</v>
      </c>
      <c r="H292" s="2326">
        <v>0.99950000000000006</v>
      </c>
      <c r="I292" s="310"/>
      <c r="J292" s="336"/>
      <c r="K292" s="309"/>
      <c r="L292" s="309"/>
      <c r="M292" s="1027"/>
      <c r="N292" s="1020"/>
      <c r="O292" s="3363">
        <v>157</v>
      </c>
      <c r="P292" s="2322">
        <v>128</v>
      </c>
    </row>
    <row r="293" spans="1:16">
      <c r="A293" s="2308">
        <v>1996.08</v>
      </c>
      <c r="B293" s="2324">
        <v>89.176229578621104</v>
      </c>
      <c r="C293" s="3269">
        <v>103.62537781134699</v>
      </c>
      <c r="D293" s="2325">
        <v>70.929739250175999</v>
      </c>
      <c r="E293" s="2326">
        <v>91.9698912874846</v>
      </c>
      <c r="F293" s="3269">
        <v>94.727602101533805</v>
      </c>
      <c r="G293" s="2325">
        <v>88.204533799700997</v>
      </c>
      <c r="H293" s="2326">
        <v>0.99950000000000006</v>
      </c>
      <c r="I293" s="310"/>
      <c r="J293" s="336"/>
      <c r="K293" s="309"/>
      <c r="L293" s="309"/>
      <c r="M293" s="1027"/>
      <c r="N293" s="1020"/>
      <c r="O293" s="3363">
        <v>157.30000000000001</v>
      </c>
      <c r="P293" s="2322">
        <v>128.30000000000001</v>
      </c>
    </row>
    <row r="294" spans="1:16">
      <c r="A294" s="2308">
        <v>1996.09</v>
      </c>
      <c r="B294" s="2324">
        <v>89.633067020830396</v>
      </c>
      <c r="C294" s="3269">
        <v>104.340757949566</v>
      </c>
      <c r="D294" s="2325">
        <v>71.085481666373695</v>
      </c>
      <c r="E294" s="2326">
        <v>92.3959760839127</v>
      </c>
      <c r="F294" s="3269">
        <v>95.590735821442493</v>
      </c>
      <c r="G294" s="2325">
        <v>87.965386550923</v>
      </c>
      <c r="H294" s="2326">
        <v>0.99950000000000006</v>
      </c>
      <c r="I294" s="310"/>
      <c r="J294" s="336"/>
      <c r="K294" s="309"/>
      <c r="L294" s="309"/>
      <c r="M294" s="1027"/>
      <c r="N294" s="1020"/>
      <c r="O294" s="3363">
        <v>157.80000000000001</v>
      </c>
      <c r="P294" s="2322">
        <v>128.19999999999999</v>
      </c>
    </row>
    <row r="295" spans="1:16">
      <c r="A295" s="2308">
        <v>1996.1</v>
      </c>
      <c r="B295" s="2324">
        <v>90.039267032670494</v>
      </c>
      <c r="C295" s="3269">
        <v>104.631869381557</v>
      </c>
      <c r="D295" s="2325">
        <v>71.613321616798601</v>
      </c>
      <c r="E295" s="2326">
        <v>92.741786725528499</v>
      </c>
      <c r="F295" s="3269">
        <v>95.960128504406995</v>
      </c>
      <c r="G295" s="2325">
        <v>88.276972678539295</v>
      </c>
      <c r="H295" s="2326">
        <v>0.99950000000000006</v>
      </c>
      <c r="I295" s="310"/>
      <c r="J295" s="336"/>
      <c r="K295" s="309"/>
      <c r="L295" s="309"/>
      <c r="M295" s="1027"/>
      <c r="N295" s="1020"/>
      <c r="O295" s="3363">
        <v>158.30000000000001</v>
      </c>
      <c r="P295" s="2322">
        <v>128</v>
      </c>
    </row>
    <row r="296" spans="1:16">
      <c r="A296" s="2308">
        <v>1996.11</v>
      </c>
      <c r="B296" s="2324">
        <v>89.654978312662394</v>
      </c>
      <c r="C296" s="3269">
        <v>103.522838711742</v>
      </c>
      <c r="D296" s="2325">
        <v>72.0609909996098</v>
      </c>
      <c r="E296" s="2326">
        <v>92.2378730835418</v>
      </c>
      <c r="F296" s="3269">
        <v>95.042672727561495</v>
      </c>
      <c r="G296" s="2325">
        <v>88.401596944149702</v>
      </c>
      <c r="H296" s="2326">
        <v>0.99950000000000006</v>
      </c>
      <c r="I296" s="310"/>
      <c r="J296" s="336"/>
      <c r="K296" s="309"/>
      <c r="L296" s="309"/>
      <c r="M296" s="1027"/>
      <c r="N296" s="1020"/>
      <c r="O296" s="3363">
        <v>158.6</v>
      </c>
      <c r="P296" s="2322">
        <v>128.19999999999999</v>
      </c>
    </row>
    <row r="297" spans="1:16">
      <c r="A297" s="2308">
        <v>1996.12</v>
      </c>
      <c r="B297" s="2324">
        <v>90.652040581736898</v>
      </c>
      <c r="C297" s="3269">
        <v>105.277892020995</v>
      </c>
      <c r="D297" s="2325">
        <v>72.174189243994604</v>
      </c>
      <c r="E297" s="2326">
        <v>93.0597961998226</v>
      </c>
      <c r="F297" s="3269">
        <v>96.695206722061499</v>
      </c>
      <c r="G297" s="2325">
        <v>87.966998499656498</v>
      </c>
      <c r="H297" s="2326">
        <v>0.99950000000000006</v>
      </c>
      <c r="I297" s="310"/>
      <c r="J297" s="336"/>
      <c r="K297" s="309"/>
      <c r="L297" s="309"/>
      <c r="M297" s="1027"/>
      <c r="N297" s="1020"/>
      <c r="O297" s="3363">
        <v>158.6</v>
      </c>
      <c r="P297" s="2322">
        <v>129.1</v>
      </c>
    </row>
    <row r="298" spans="1:16">
      <c r="A298" s="2308">
        <v>1997.01</v>
      </c>
      <c r="B298" s="2324">
        <v>91.526855231007005</v>
      </c>
      <c r="C298" s="3269">
        <v>106.90023588255499</v>
      </c>
      <c r="D298" s="2325">
        <v>72.221615641679406</v>
      </c>
      <c r="E298" s="2326">
        <v>93.8578290105946</v>
      </c>
      <c r="F298" s="3269">
        <v>98.2609728786597</v>
      </c>
      <c r="G298" s="2325">
        <v>87.671792799417403</v>
      </c>
      <c r="H298" s="2326">
        <v>0.99950000000000006</v>
      </c>
      <c r="I298" s="310"/>
      <c r="J298" s="336"/>
      <c r="K298" s="309"/>
      <c r="L298" s="309"/>
      <c r="M298" s="1027"/>
      <c r="N298" s="1020"/>
      <c r="O298" s="3363">
        <v>159.1</v>
      </c>
      <c r="P298" s="2322">
        <v>129.69999999999999</v>
      </c>
    </row>
    <row r="299" spans="1:16">
      <c r="A299" s="2308">
        <v>1997.02</v>
      </c>
      <c r="B299" s="2324">
        <v>93.251154244616103</v>
      </c>
      <c r="C299" s="3269">
        <v>109.98252815361801</v>
      </c>
      <c r="D299" s="2325">
        <v>72.453308624984203</v>
      </c>
      <c r="E299" s="2326">
        <v>95.465880002693098</v>
      </c>
      <c r="F299" s="3269">
        <v>101.138086202121</v>
      </c>
      <c r="G299" s="2325">
        <v>87.515040641486493</v>
      </c>
      <c r="H299" s="2326">
        <v>0.99950000000000006</v>
      </c>
      <c r="I299" s="310"/>
      <c r="J299" s="336"/>
      <c r="K299" s="309"/>
      <c r="L299" s="309"/>
      <c r="M299" s="1027"/>
      <c r="N299" s="1020"/>
      <c r="O299" s="3363">
        <v>159.6</v>
      </c>
      <c r="P299" s="2322">
        <v>128.5</v>
      </c>
    </row>
    <row r="300" spans="1:16">
      <c r="A300" s="2308">
        <v>1997.03</v>
      </c>
      <c r="B300" s="2324">
        <v>94.018684728570605</v>
      </c>
      <c r="C300" s="3269">
        <v>110.907864149391</v>
      </c>
      <c r="D300" s="2325">
        <v>73.0281620174122</v>
      </c>
      <c r="E300" s="2326">
        <v>96.191617920574203</v>
      </c>
      <c r="F300" s="3269">
        <v>102.066004039584</v>
      </c>
      <c r="G300" s="2325">
        <v>87.963086976468702</v>
      </c>
      <c r="H300" s="2326">
        <v>0.99950000000000006</v>
      </c>
      <c r="I300" s="310"/>
      <c r="J300" s="336"/>
      <c r="K300" s="309"/>
      <c r="L300" s="309"/>
      <c r="M300" s="1027"/>
      <c r="N300" s="1020"/>
      <c r="O300" s="3363">
        <v>160</v>
      </c>
      <c r="P300" s="2322">
        <v>127.3</v>
      </c>
    </row>
    <row r="301" spans="1:16">
      <c r="A301" s="2308">
        <v>1997.04</v>
      </c>
      <c r="B301" s="2324">
        <v>94.758666764309893</v>
      </c>
      <c r="C301" s="3269">
        <v>112.22698268892501</v>
      </c>
      <c r="D301" s="2325">
        <v>73.141498051296793</v>
      </c>
      <c r="E301" s="2326">
        <v>96.616549311342894</v>
      </c>
      <c r="F301" s="3269">
        <v>102.967494241624</v>
      </c>
      <c r="G301" s="2325">
        <v>87.740916707775497</v>
      </c>
      <c r="H301" s="2326">
        <v>0.99950000000000006</v>
      </c>
      <c r="I301" s="310"/>
      <c r="J301" s="336"/>
      <c r="K301" s="309"/>
      <c r="L301" s="309"/>
      <c r="M301" s="1027"/>
      <c r="N301" s="1020"/>
      <c r="O301" s="3363">
        <v>160.19999999999999</v>
      </c>
      <c r="P301" s="2322">
        <v>127</v>
      </c>
    </row>
    <row r="302" spans="1:16">
      <c r="A302" s="2308">
        <v>1997.05</v>
      </c>
      <c r="B302" s="2324">
        <v>93.809077627781406</v>
      </c>
      <c r="C302" s="3269">
        <v>110.34632781716</v>
      </c>
      <c r="D302" s="2325">
        <v>73.196421602707304</v>
      </c>
      <c r="E302" s="2326">
        <v>95.458497337026301</v>
      </c>
      <c r="F302" s="3269">
        <v>101.251430640775</v>
      </c>
      <c r="G302" s="2325">
        <v>87.342703152939194</v>
      </c>
      <c r="H302" s="2326">
        <v>0.99950000000000006</v>
      </c>
      <c r="I302" s="310"/>
      <c r="J302" s="336"/>
      <c r="K302" s="309"/>
      <c r="L302" s="309"/>
      <c r="M302" s="1027"/>
      <c r="N302" s="1020"/>
      <c r="O302" s="3363">
        <v>160.1</v>
      </c>
      <c r="P302" s="2322">
        <v>127.4</v>
      </c>
    </row>
    <row r="303" spans="1:16">
      <c r="A303" s="2308">
        <v>1997.06</v>
      </c>
      <c r="B303" s="2324">
        <v>93.5545880848575</v>
      </c>
      <c r="C303" s="3269">
        <v>109.821203274604</v>
      </c>
      <c r="D303" s="2325">
        <v>73.232936870665796</v>
      </c>
      <c r="E303" s="2326">
        <v>94.990359847553805</v>
      </c>
      <c r="F303" s="3269">
        <v>100.735969732529</v>
      </c>
      <c r="G303" s="2325">
        <v>86.940178529762605</v>
      </c>
      <c r="H303" s="2326">
        <v>0.99950000000000006</v>
      </c>
      <c r="I303" s="310"/>
      <c r="J303" s="336"/>
      <c r="K303" s="309"/>
      <c r="L303" s="309"/>
      <c r="M303" s="1027"/>
      <c r="N303" s="1020"/>
      <c r="O303" s="3363">
        <v>160.30000000000001</v>
      </c>
      <c r="P303" s="2322">
        <v>127.2</v>
      </c>
    </row>
    <row r="304" spans="1:16">
      <c r="A304" s="2308">
        <v>1997.07</v>
      </c>
      <c r="B304" s="2324">
        <v>94.476907924154602</v>
      </c>
      <c r="C304" s="3269">
        <v>110.839310625218</v>
      </c>
      <c r="D304" s="2325">
        <v>74.024286548192194</v>
      </c>
      <c r="E304" s="2326">
        <v>95.764016822729701</v>
      </c>
      <c r="F304" s="3269">
        <v>101.71981577005199</v>
      </c>
      <c r="G304" s="2325">
        <v>87.425696516835302</v>
      </c>
      <c r="H304" s="2326">
        <v>0.99950000000000006</v>
      </c>
      <c r="I304" s="310"/>
      <c r="J304" s="336"/>
      <c r="K304" s="309"/>
      <c r="L304" s="309"/>
      <c r="M304" s="1027"/>
      <c r="N304" s="1020"/>
      <c r="O304" s="3363">
        <v>160.5</v>
      </c>
      <c r="P304" s="2322">
        <v>126.9</v>
      </c>
    </row>
    <row r="305" spans="1:16">
      <c r="A305" s="2308">
        <v>1997.08</v>
      </c>
      <c r="B305" s="2324">
        <v>96.172763906679194</v>
      </c>
      <c r="C305" s="3269">
        <v>113.202617851524</v>
      </c>
      <c r="D305" s="2325">
        <v>74.9600752351502</v>
      </c>
      <c r="E305" s="2326">
        <v>97.332344231827093</v>
      </c>
      <c r="F305" s="3269">
        <v>103.943826679019</v>
      </c>
      <c r="G305" s="2325">
        <v>88.103994550134203</v>
      </c>
      <c r="H305" s="2326">
        <v>0.99950000000000006</v>
      </c>
      <c r="I305" s="310"/>
      <c r="J305" s="336"/>
      <c r="K305" s="309"/>
      <c r="L305" s="309"/>
      <c r="M305" s="1027"/>
      <c r="N305" s="1020"/>
      <c r="O305" s="3363">
        <v>160.80000000000001</v>
      </c>
      <c r="P305" s="2322">
        <v>127.2</v>
      </c>
    </row>
    <row r="306" spans="1:16">
      <c r="A306" s="2308">
        <v>1997.09</v>
      </c>
      <c r="B306" s="2324">
        <v>96.538519590796696</v>
      </c>
      <c r="C306" s="3269">
        <v>112.769990963295</v>
      </c>
      <c r="D306" s="2325">
        <v>76.157554318461806</v>
      </c>
      <c r="E306" s="2326">
        <v>97.626648151400104</v>
      </c>
      <c r="F306" s="3269">
        <v>103.67829685888999</v>
      </c>
      <c r="G306" s="2325">
        <v>89.153328754776894</v>
      </c>
      <c r="H306" s="2326">
        <v>0.99950000000000006</v>
      </c>
      <c r="I306" s="310"/>
      <c r="J306" s="336"/>
      <c r="K306" s="309"/>
      <c r="L306" s="309"/>
      <c r="M306" s="1027"/>
      <c r="N306" s="1020"/>
      <c r="O306" s="3363">
        <v>161.19999999999999</v>
      </c>
      <c r="P306" s="2322">
        <v>127.5</v>
      </c>
    </row>
    <row r="307" spans="1:16">
      <c r="A307" s="2308">
        <v>1997.1</v>
      </c>
      <c r="B307" s="2324">
        <v>96.956015478244396</v>
      </c>
      <c r="C307" s="3269">
        <v>112.03709748315499</v>
      </c>
      <c r="D307" s="2325">
        <v>77.814031065204503</v>
      </c>
      <c r="E307" s="2326">
        <v>98.051539958627302</v>
      </c>
      <c r="F307" s="3269">
        <v>103.146571649737</v>
      </c>
      <c r="G307" s="2325">
        <v>90.894683113279996</v>
      </c>
      <c r="H307" s="2326">
        <v>0.99950000000000006</v>
      </c>
      <c r="I307" s="310"/>
      <c r="J307" s="336"/>
      <c r="K307" s="309"/>
      <c r="L307" s="309"/>
      <c r="M307" s="1027"/>
      <c r="N307" s="1020"/>
      <c r="O307" s="3363">
        <v>161.6</v>
      </c>
      <c r="P307" s="2322">
        <v>127.8</v>
      </c>
    </row>
    <row r="308" spans="1:16">
      <c r="A308" s="2308">
        <v>1997.11</v>
      </c>
      <c r="B308" s="2324">
        <v>98.624466988662206</v>
      </c>
      <c r="C308" s="3269">
        <v>112.785708775109</v>
      </c>
      <c r="D308" s="2325">
        <v>80.460296377727801</v>
      </c>
      <c r="E308" s="2326">
        <v>99.605381289787402</v>
      </c>
      <c r="F308" s="3269">
        <v>103.92126264220499</v>
      </c>
      <c r="G308" s="2325">
        <v>93.546412730167006</v>
      </c>
      <c r="H308" s="2326">
        <v>0.99950000000000006</v>
      </c>
      <c r="I308" s="310"/>
      <c r="J308" s="336"/>
      <c r="K308" s="309"/>
      <c r="L308" s="309"/>
      <c r="M308" s="1027"/>
      <c r="N308" s="1020"/>
      <c r="O308" s="3363">
        <v>161.5</v>
      </c>
      <c r="P308" s="2322">
        <v>127.9</v>
      </c>
    </row>
    <row r="309" spans="1:16">
      <c r="A309" s="2308">
        <v>1997.12</v>
      </c>
      <c r="B309" s="2324">
        <v>102.231024013365</v>
      </c>
      <c r="C309" s="3269">
        <v>115.347665098574</v>
      </c>
      <c r="D309" s="2325">
        <v>85.205342206856301</v>
      </c>
      <c r="E309" s="2326">
        <v>103.03252742822301</v>
      </c>
      <c r="F309" s="3269">
        <v>106.34130993552201</v>
      </c>
      <c r="G309" s="2325">
        <v>98.433467708095606</v>
      </c>
      <c r="H309" s="2326">
        <v>0.99950000000000006</v>
      </c>
      <c r="I309" s="310"/>
      <c r="J309" s="336"/>
      <c r="K309" s="309"/>
      <c r="L309" s="309"/>
      <c r="M309" s="1027"/>
      <c r="N309" s="1020"/>
      <c r="O309" s="3363">
        <v>161.30000000000001</v>
      </c>
      <c r="P309" s="2322">
        <v>126.8</v>
      </c>
    </row>
    <row r="310" spans="1:16">
      <c r="A310" s="2308">
        <v>1998.01</v>
      </c>
      <c r="B310" s="2324">
        <v>105.103793063778</v>
      </c>
      <c r="C310" s="3269">
        <v>116.772620284662</v>
      </c>
      <c r="D310" s="2325">
        <v>89.7892601320154</v>
      </c>
      <c r="E310" s="2326">
        <v>105.602095360273</v>
      </c>
      <c r="F310" s="3269">
        <v>107.659551204355</v>
      </c>
      <c r="G310" s="2325">
        <v>102.911687434854</v>
      </c>
      <c r="H310" s="2326">
        <v>0.99950000000000006</v>
      </c>
      <c r="I310" s="310"/>
      <c r="J310" s="336"/>
      <c r="K310" s="309"/>
      <c r="L310" s="309"/>
      <c r="M310" s="1027"/>
      <c r="N310" s="1020"/>
      <c r="O310" s="3363">
        <v>161.6</v>
      </c>
      <c r="P310" s="2322">
        <v>125.4</v>
      </c>
    </row>
    <row r="311" spans="1:16">
      <c r="A311" s="2308">
        <v>1998.02</v>
      </c>
      <c r="B311" s="2324">
        <v>104.077605776563</v>
      </c>
      <c r="C311" s="3269">
        <v>115.759873064076</v>
      </c>
      <c r="D311" s="2325">
        <v>88.749541896976794</v>
      </c>
      <c r="E311" s="2326">
        <v>104.000791899682</v>
      </c>
      <c r="F311" s="3269">
        <v>106.58734376506401</v>
      </c>
      <c r="G311" s="2325">
        <v>100.493404759093</v>
      </c>
      <c r="H311" s="2326">
        <v>0.99950000000000006</v>
      </c>
      <c r="I311" s="310"/>
      <c r="J311" s="336"/>
      <c r="K311" s="309"/>
      <c r="L311" s="309"/>
      <c r="M311" s="1027"/>
      <c r="N311" s="1020"/>
      <c r="O311" s="3363">
        <v>161.9</v>
      </c>
      <c r="P311" s="2322">
        <v>125</v>
      </c>
    </row>
    <row r="312" spans="1:16">
      <c r="A312" s="2308">
        <v>1998.03</v>
      </c>
      <c r="B312" s="2324">
        <v>103.850571216925</v>
      </c>
      <c r="C312" s="3269">
        <v>116.056571096307</v>
      </c>
      <c r="D312" s="2325">
        <v>87.884544007109</v>
      </c>
      <c r="E312" s="2326">
        <v>103.476096148655</v>
      </c>
      <c r="F312" s="3269">
        <v>106.821277900718</v>
      </c>
      <c r="G312" s="2325">
        <v>98.824175600130104</v>
      </c>
      <c r="H312" s="2326">
        <v>0.99950000000000006</v>
      </c>
      <c r="I312" s="310"/>
      <c r="J312" s="336"/>
      <c r="K312" s="309"/>
      <c r="L312" s="309"/>
      <c r="M312" s="1027"/>
      <c r="N312" s="1020"/>
      <c r="O312" s="3363">
        <v>162.19999999999999</v>
      </c>
      <c r="P312" s="2322">
        <v>124.7</v>
      </c>
    </row>
    <row r="313" spans="1:16">
      <c r="A313" s="2308">
        <v>1998.04</v>
      </c>
      <c r="B313" s="2324">
        <v>103.760263564448</v>
      </c>
      <c r="C313" s="3269">
        <v>116.601916061179</v>
      </c>
      <c r="D313" s="2325">
        <v>87.020713354875099</v>
      </c>
      <c r="E313" s="2326">
        <v>103.280962487815</v>
      </c>
      <c r="F313" s="3269">
        <v>107.45668717192601</v>
      </c>
      <c r="G313" s="2325">
        <v>97.401996710904498</v>
      </c>
      <c r="H313" s="2326">
        <v>0.99950000000000006</v>
      </c>
      <c r="I313" s="310"/>
      <c r="J313" s="336"/>
      <c r="K313" s="309"/>
      <c r="L313" s="309"/>
      <c r="M313" s="1027"/>
      <c r="N313" s="1020"/>
      <c r="O313" s="3363">
        <v>162.5</v>
      </c>
      <c r="P313" s="2322">
        <v>124.9</v>
      </c>
    </row>
    <row r="314" spans="1:16">
      <c r="A314" s="2308">
        <v>1998.05</v>
      </c>
      <c r="B314" s="2324">
        <v>104.53755340689899</v>
      </c>
      <c r="C314" s="3269">
        <v>117.11850677109</v>
      </c>
      <c r="D314" s="2325">
        <v>88.104202582154798</v>
      </c>
      <c r="E314" s="2326">
        <v>104.00087066661099</v>
      </c>
      <c r="F314" s="3269">
        <v>108.06753487837901</v>
      </c>
      <c r="G314" s="2325">
        <v>98.283227113832794</v>
      </c>
      <c r="H314" s="2326">
        <v>0.99950000000000006</v>
      </c>
      <c r="I314" s="310"/>
      <c r="J314" s="336"/>
      <c r="K314" s="309"/>
      <c r="L314" s="309"/>
      <c r="M314" s="1027"/>
      <c r="N314" s="1020"/>
      <c r="O314" s="3363">
        <v>162.80000000000001</v>
      </c>
      <c r="P314" s="2322">
        <v>125.1</v>
      </c>
    </row>
    <row r="315" spans="1:16">
      <c r="A315" s="2308">
        <v>1998.06</v>
      </c>
      <c r="B315" s="2324">
        <v>106.731477066403</v>
      </c>
      <c r="C315" s="3269">
        <v>119.044553183896</v>
      </c>
      <c r="D315" s="2325">
        <v>90.602098882076106</v>
      </c>
      <c r="E315" s="2326">
        <v>105.96155837970799</v>
      </c>
      <c r="F315" s="3269">
        <v>109.932824270681</v>
      </c>
      <c r="G315" s="2325">
        <v>100.388993849304</v>
      </c>
      <c r="H315" s="2326">
        <v>0.99950000000000006</v>
      </c>
      <c r="I315" s="310"/>
      <c r="J315" s="336"/>
      <c r="K315" s="309"/>
      <c r="L315" s="309"/>
      <c r="M315" s="1027"/>
      <c r="N315" s="1020"/>
      <c r="O315" s="3363">
        <v>163</v>
      </c>
      <c r="P315" s="2322">
        <v>124.8</v>
      </c>
    </row>
    <row r="316" spans="1:16">
      <c r="A316" s="2308">
        <v>1998.07</v>
      </c>
      <c r="B316" s="2324">
        <v>107.072175726784</v>
      </c>
      <c r="C316" s="3269">
        <v>119.83604285696001</v>
      </c>
      <c r="D316" s="2325">
        <v>90.389117254679803</v>
      </c>
      <c r="E316" s="2326">
        <v>106.30352800249401</v>
      </c>
      <c r="F316" s="3269">
        <v>110.9363833717</v>
      </c>
      <c r="G316" s="2325">
        <v>99.764867614030607</v>
      </c>
      <c r="H316" s="2326">
        <v>0.99950000000000006</v>
      </c>
      <c r="I316" s="310"/>
      <c r="J316" s="336"/>
      <c r="K316" s="309"/>
      <c r="L316" s="309"/>
      <c r="M316" s="1027"/>
      <c r="N316" s="1020"/>
      <c r="O316" s="3363">
        <v>163.19999999999999</v>
      </c>
      <c r="P316" s="2322">
        <v>124.9</v>
      </c>
    </row>
    <row r="317" spans="1:16">
      <c r="A317" s="2308">
        <v>1998.08</v>
      </c>
      <c r="B317" s="2324">
        <v>108.995154514681</v>
      </c>
      <c r="C317" s="3269">
        <v>121.744681194089</v>
      </c>
      <c r="D317" s="2325">
        <v>92.313381187400793</v>
      </c>
      <c r="E317" s="2326">
        <v>108.126060021779</v>
      </c>
      <c r="F317" s="3269">
        <v>112.829796749062</v>
      </c>
      <c r="G317" s="2325">
        <v>101.48769343111999</v>
      </c>
      <c r="H317" s="2326">
        <v>0.99950000000000006</v>
      </c>
      <c r="I317" s="310"/>
      <c r="J317" s="336"/>
      <c r="K317" s="309"/>
      <c r="L317" s="309"/>
      <c r="M317" s="1027"/>
      <c r="N317" s="1020"/>
      <c r="O317" s="3363">
        <v>163.4</v>
      </c>
      <c r="P317" s="2322">
        <v>124.2</v>
      </c>
    </row>
    <row r="318" spans="1:16">
      <c r="A318" s="2308">
        <v>1998.09</v>
      </c>
      <c r="B318" s="2324">
        <v>107.88643724606899</v>
      </c>
      <c r="C318" s="3269">
        <v>117.257094570465</v>
      </c>
      <c r="D318" s="2325">
        <v>95.491689817362797</v>
      </c>
      <c r="E318" s="2326">
        <v>106.527596214143</v>
      </c>
      <c r="F318" s="3269">
        <v>108.66044689352</v>
      </c>
      <c r="G318" s="2325">
        <v>103.725244402806</v>
      </c>
      <c r="H318" s="2326">
        <v>0.99950000000000006</v>
      </c>
      <c r="I318" s="310"/>
      <c r="J318" s="336"/>
      <c r="K318" s="309"/>
      <c r="L318" s="309"/>
      <c r="M318" s="1027"/>
      <c r="N318" s="1020"/>
      <c r="O318" s="3363">
        <v>163.6</v>
      </c>
      <c r="P318" s="2322">
        <v>123.8</v>
      </c>
    </row>
    <row r="319" spans="1:16">
      <c r="A319" s="2308">
        <v>1998.1</v>
      </c>
      <c r="B319" s="2324">
        <v>105.22642317813499</v>
      </c>
      <c r="C319" s="3269">
        <v>113.616777938288</v>
      </c>
      <c r="D319" s="2325">
        <v>94.127446355035403</v>
      </c>
      <c r="E319" s="2326">
        <v>103.76984029098899</v>
      </c>
      <c r="F319" s="3269">
        <v>105.321742857877</v>
      </c>
      <c r="G319" s="2325">
        <v>101.854624228555</v>
      </c>
      <c r="H319" s="2326">
        <v>0.99950000000000006</v>
      </c>
      <c r="I319" s="310"/>
      <c r="J319" s="336"/>
      <c r="K319" s="309"/>
      <c r="L319" s="309"/>
      <c r="M319" s="1027"/>
      <c r="N319" s="1020"/>
      <c r="O319" s="3363">
        <v>164</v>
      </c>
      <c r="P319" s="2322">
        <v>124</v>
      </c>
    </row>
    <row r="320" spans="1:16">
      <c r="A320" s="2308">
        <v>1998.11</v>
      </c>
      <c r="B320" s="2324">
        <v>105.330539468282</v>
      </c>
      <c r="C320" s="3269">
        <v>114.729032371386</v>
      </c>
      <c r="D320" s="2325">
        <v>92.900910868585797</v>
      </c>
      <c r="E320" s="2326">
        <v>103.534527631993</v>
      </c>
      <c r="F320" s="3269">
        <v>106.219311809077</v>
      </c>
      <c r="G320" s="2325">
        <v>99.876103985073897</v>
      </c>
      <c r="H320" s="2326">
        <v>1</v>
      </c>
      <c r="I320" s="310"/>
      <c r="J320" s="336"/>
      <c r="K320" s="309"/>
      <c r="L320" s="309"/>
      <c r="M320" s="1027"/>
      <c r="N320" s="1020"/>
      <c r="O320" s="3363">
        <v>164</v>
      </c>
      <c r="P320" s="2322">
        <v>123.6</v>
      </c>
    </row>
    <row r="321" spans="1:18">
      <c r="A321" s="2308">
        <v>1998.12</v>
      </c>
      <c r="B321" s="2324">
        <v>104.60011950212601</v>
      </c>
      <c r="C321" s="3269">
        <v>113.788077260973</v>
      </c>
      <c r="D321" s="2325">
        <v>92.444269337848596</v>
      </c>
      <c r="E321" s="2326">
        <v>102.822628792152</v>
      </c>
      <c r="F321" s="3269">
        <v>105.650175214656</v>
      </c>
      <c r="G321" s="2325">
        <v>98.945381301475805</v>
      </c>
      <c r="H321" s="2326">
        <v>1</v>
      </c>
      <c r="I321" s="310"/>
      <c r="J321" s="336"/>
      <c r="K321" s="309"/>
      <c r="L321" s="309"/>
      <c r="M321" s="1027"/>
      <c r="N321" s="1020"/>
      <c r="O321" s="3363">
        <v>163.9</v>
      </c>
      <c r="P321" s="2322">
        <v>122.8</v>
      </c>
      <c r="Q321" s="2204"/>
      <c r="R321" s="2204"/>
    </row>
    <row r="322" spans="1:18">
      <c r="A322" s="2308">
        <v>1999.01</v>
      </c>
      <c r="B322" s="2324">
        <v>104.72398061964699</v>
      </c>
      <c r="C322" s="3269">
        <v>112.896023155761</v>
      </c>
      <c r="D322" s="2325">
        <v>93.914095173848494</v>
      </c>
      <c r="E322" s="2326">
        <v>102.857196723323</v>
      </c>
      <c r="F322" s="3269">
        <v>104.951935618506</v>
      </c>
      <c r="G322" s="2325">
        <v>100.09209221490801</v>
      </c>
      <c r="H322" s="2326">
        <v>1</v>
      </c>
      <c r="I322" s="310"/>
      <c r="J322" s="336"/>
      <c r="K322" s="309"/>
      <c r="L322" s="309"/>
      <c r="M322" s="1027"/>
      <c r="N322" s="1020"/>
      <c r="O322" s="3363">
        <v>164.3</v>
      </c>
      <c r="P322" s="2322">
        <v>122.9</v>
      </c>
      <c r="Q322" s="2204"/>
      <c r="R322" s="2204"/>
    </row>
    <row r="323" spans="1:18">
      <c r="A323" s="2308">
        <v>1999.02</v>
      </c>
      <c r="B323" s="2324">
        <v>106.04061053205901</v>
      </c>
      <c r="C323" s="3269">
        <v>114.343619745686</v>
      </c>
      <c r="D323" s="2325">
        <v>95.055442145050705</v>
      </c>
      <c r="E323" s="2326">
        <v>103.994395165149</v>
      </c>
      <c r="F323" s="3269">
        <v>106.357631887563</v>
      </c>
      <c r="G323" s="2325">
        <v>100.824164318356</v>
      </c>
      <c r="H323" s="2326">
        <v>1</v>
      </c>
      <c r="I323" s="310"/>
      <c r="J323" s="336"/>
      <c r="K323" s="309"/>
      <c r="L323" s="309"/>
      <c r="M323" s="1027"/>
      <c r="N323" s="1020"/>
      <c r="O323" s="3363">
        <v>164.5</v>
      </c>
      <c r="P323" s="2322">
        <v>122.3</v>
      </c>
      <c r="Q323" s="2204"/>
      <c r="R323" s="2204"/>
    </row>
    <row r="324" spans="1:18">
      <c r="A324" s="2308">
        <v>1999.03</v>
      </c>
      <c r="B324" s="2324">
        <v>107.265058049684</v>
      </c>
      <c r="C324" s="3269">
        <v>116.639607829563</v>
      </c>
      <c r="D324" s="2325">
        <v>94.864163082698198</v>
      </c>
      <c r="E324" s="2326">
        <v>105.020709328423</v>
      </c>
      <c r="F324" s="3269">
        <v>108.37879026668</v>
      </c>
      <c r="G324" s="2325">
        <v>100.35767548792499</v>
      </c>
      <c r="H324" s="2326">
        <v>1</v>
      </c>
      <c r="I324" s="310"/>
      <c r="J324" s="336"/>
      <c r="K324" s="309"/>
      <c r="L324" s="309"/>
      <c r="M324" s="1027"/>
      <c r="N324" s="1020"/>
      <c r="O324" s="3363">
        <v>165</v>
      </c>
      <c r="P324" s="2322">
        <v>122.6</v>
      </c>
      <c r="Q324" s="2204"/>
      <c r="R324" s="2204"/>
    </row>
    <row r="325" spans="1:18">
      <c r="A325" s="2308">
        <v>1999.04</v>
      </c>
      <c r="B325" s="2324">
        <v>106.613274640184</v>
      </c>
      <c r="C325" s="3269">
        <v>116.658373306523</v>
      </c>
      <c r="D325" s="2325">
        <v>93.344944014286796</v>
      </c>
      <c r="E325" s="2326">
        <v>104.78856771638</v>
      </c>
      <c r="F325" s="3269">
        <v>108.82799537246299</v>
      </c>
      <c r="G325" s="2325">
        <v>99.1202083434397</v>
      </c>
      <c r="H325" s="2326">
        <v>1</v>
      </c>
      <c r="I325" s="310"/>
      <c r="J325" s="336"/>
      <c r="K325" s="309"/>
      <c r="L325" s="309"/>
      <c r="M325" s="1027"/>
      <c r="N325" s="1020"/>
      <c r="O325" s="3363">
        <v>166.2</v>
      </c>
      <c r="P325" s="2322">
        <v>123.6</v>
      </c>
      <c r="Q325" s="2204"/>
      <c r="R325" s="2204"/>
    </row>
    <row r="326" spans="1:18">
      <c r="A326" s="2308">
        <v>1999.05</v>
      </c>
      <c r="B326" s="2324">
        <v>106.425569802447</v>
      </c>
      <c r="C326" s="3269">
        <v>116.56560832223001</v>
      </c>
      <c r="D326" s="2325">
        <v>93.035808536565398</v>
      </c>
      <c r="E326" s="2326">
        <v>104.446150173229</v>
      </c>
      <c r="F326" s="3269">
        <v>108.76114962536499</v>
      </c>
      <c r="G326" s="2325">
        <v>98.375470921332195</v>
      </c>
      <c r="H326" s="2326">
        <v>1</v>
      </c>
      <c r="I326" s="310"/>
      <c r="J326" s="336"/>
      <c r="K326" s="309"/>
      <c r="L326" s="309"/>
      <c r="M326" s="1027"/>
      <c r="N326" s="1020"/>
      <c r="O326" s="3363">
        <v>166.2</v>
      </c>
      <c r="P326" s="2322">
        <v>124.7</v>
      </c>
      <c r="Q326" s="2204"/>
      <c r="R326" s="2204"/>
    </row>
    <row r="327" spans="1:18">
      <c r="A327" s="2308">
        <v>1999.06</v>
      </c>
      <c r="B327" s="2324">
        <v>107.057318615339</v>
      </c>
      <c r="C327" s="3269">
        <v>117.578888178875</v>
      </c>
      <c r="D327" s="2325">
        <v>93.178935444877396</v>
      </c>
      <c r="E327" s="2326">
        <v>104.97524439147899</v>
      </c>
      <c r="F327" s="3269">
        <v>109.72799338628801</v>
      </c>
      <c r="G327" s="2325">
        <v>98.272788434052998</v>
      </c>
      <c r="H327" s="2326">
        <v>1</v>
      </c>
      <c r="I327" s="310"/>
      <c r="J327" s="336"/>
      <c r="K327" s="309"/>
      <c r="L327" s="309"/>
      <c r="M327" s="1027"/>
      <c r="N327" s="1020"/>
      <c r="O327" s="3363">
        <v>166.2</v>
      </c>
      <c r="P327" s="2322">
        <v>125.2</v>
      </c>
      <c r="Q327" s="2204"/>
      <c r="R327" s="2204"/>
    </row>
    <row r="328" spans="1:18">
      <c r="A328" s="2308">
        <v>1999.07</v>
      </c>
      <c r="B328" s="2324">
        <v>107.198860173423</v>
      </c>
      <c r="C328" s="3269">
        <v>118.021558209909</v>
      </c>
      <c r="D328" s="2325">
        <v>92.938768197026107</v>
      </c>
      <c r="E328" s="2326">
        <v>105.30349364019401</v>
      </c>
      <c r="F328" s="3269">
        <v>110.411933516792</v>
      </c>
      <c r="G328" s="2325">
        <v>98.091931511755902</v>
      </c>
      <c r="H328" s="2326">
        <v>1</v>
      </c>
      <c r="I328" s="310"/>
      <c r="J328" s="336"/>
      <c r="K328" s="309"/>
      <c r="L328" s="309"/>
      <c r="M328" s="1027"/>
      <c r="N328" s="1020"/>
      <c r="O328" s="3363">
        <v>166.7</v>
      </c>
      <c r="P328" s="2322">
        <v>125.7</v>
      </c>
      <c r="Q328" s="2204"/>
      <c r="R328" s="2204"/>
    </row>
    <row r="329" spans="1:18">
      <c r="A329" s="2308">
        <v>1999.08</v>
      </c>
      <c r="B329" s="2324">
        <v>106.24630485454099</v>
      </c>
      <c r="C329" s="3269">
        <v>115.802459952761</v>
      </c>
      <c r="D329" s="2325">
        <v>93.610128561415195</v>
      </c>
      <c r="E329" s="2326">
        <v>104.26083021491399</v>
      </c>
      <c r="F329" s="3269">
        <v>108.33740919892701</v>
      </c>
      <c r="G329" s="2325">
        <v>98.536995113312997</v>
      </c>
      <c r="H329" s="2326">
        <v>1</v>
      </c>
      <c r="I329" s="310"/>
      <c r="J329" s="336"/>
      <c r="K329" s="309"/>
      <c r="L329" s="309"/>
      <c r="M329" s="1027"/>
      <c r="N329" s="1020"/>
      <c r="O329" s="3363">
        <v>167.1</v>
      </c>
      <c r="P329" s="2322">
        <v>126.9</v>
      </c>
      <c r="Q329" s="2204"/>
      <c r="R329" s="2204"/>
    </row>
    <row r="330" spans="1:18">
      <c r="A330" s="2308">
        <v>1999.09</v>
      </c>
      <c r="B330" s="2324">
        <v>105.572715255426</v>
      </c>
      <c r="C330" s="3269">
        <v>114.28299953745901</v>
      </c>
      <c r="D330" s="2325">
        <v>94.046395185776305</v>
      </c>
      <c r="E330" s="2326">
        <v>103.746480992442</v>
      </c>
      <c r="F330" s="3269">
        <v>107.184090947832</v>
      </c>
      <c r="G330" s="2325">
        <v>98.961463141043396</v>
      </c>
      <c r="H330" s="2326">
        <v>1</v>
      </c>
      <c r="I330" s="310"/>
      <c r="J330" s="336"/>
      <c r="K330" s="309"/>
      <c r="L330" s="309"/>
      <c r="M330" s="1027"/>
      <c r="N330" s="1020"/>
      <c r="O330" s="3363">
        <v>167.9</v>
      </c>
      <c r="P330" s="2322">
        <v>128</v>
      </c>
      <c r="Q330" s="2204"/>
      <c r="R330" s="2204"/>
    </row>
    <row r="331" spans="1:18">
      <c r="A331" s="2308">
        <v>1999.1</v>
      </c>
      <c r="B331" s="2324">
        <v>105.165528248559</v>
      </c>
      <c r="C331" s="3269">
        <v>113.099705168344</v>
      </c>
      <c r="D331" s="2325">
        <v>94.671968306465203</v>
      </c>
      <c r="E331" s="2326">
        <v>103.318311678748</v>
      </c>
      <c r="F331" s="3269">
        <v>106.189816906293</v>
      </c>
      <c r="G331" s="2325">
        <v>99.376784596102098</v>
      </c>
      <c r="H331" s="2326">
        <v>1</v>
      </c>
      <c r="I331" s="310"/>
      <c r="J331" s="336"/>
      <c r="K331" s="309"/>
      <c r="L331" s="309"/>
      <c r="M331" s="1027"/>
      <c r="N331" s="1020"/>
      <c r="O331" s="3363">
        <v>168.2</v>
      </c>
      <c r="P331" s="2322">
        <v>127.7</v>
      </c>
      <c r="Q331" s="2204"/>
      <c r="R331" s="2204"/>
    </row>
    <row r="332" spans="1:18">
      <c r="A332" s="2308">
        <v>1999.11</v>
      </c>
      <c r="B332" s="2324">
        <v>105.411923221192</v>
      </c>
      <c r="C332" s="3269">
        <v>114.21997476426699</v>
      </c>
      <c r="D332" s="2325">
        <v>93.755991233479307</v>
      </c>
      <c r="E332" s="2326">
        <v>103.58979683655301</v>
      </c>
      <c r="F332" s="3269">
        <v>107.333699940242</v>
      </c>
      <c r="G332" s="2325">
        <v>98.351986065205594</v>
      </c>
      <c r="H332" s="2326">
        <v>1</v>
      </c>
      <c r="I332" s="310"/>
      <c r="J332" s="336"/>
      <c r="K332" s="309"/>
      <c r="L332" s="309"/>
      <c r="M332" s="1027"/>
      <c r="N332" s="1020"/>
      <c r="O332" s="3363">
        <v>168.3</v>
      </c>
      <c r="P332" s="2322">
        <v>128.30000000000001</v>
      </c>
      <c r="Q332" s="2204"/>
      <c r="R332" s="2204"/>
    </row>
    <row r="333" spans="1:18">
      <c r="A333" s="2308">
        <v>1999.12</v>
      </c>
      <c r="B333" s="2324">
        <v>105.491517380536</v>
      </c>
      <c r="C333" s="3269">
        <v>114.712283784126</v>
      </c>
      <c r="D333" s="2325">
        <v>93.293584038852003</v>
      </c>
      <c r="E333" s="2326">
        <v>103.71061926806</v>
      </c>
      <c r="F333" s="3269">
        <v>107.888832190722</v>
      </c>
      <c r="G333" s="2325">
        <v>97.837415014059701</v>
      </c>
      <c r="H333" s="2326">
        <v>1</v>
      </c>
      <c r="I333" s="310"/>
      <c r="J333" s="336"/>
      <c r="K333" s="309"/>
      <c r="L333" s="309"/>
      <c r="M333" s="1027"/>
      <c r="N333" s="1020"/>
      <c r="O333" s="3363">
        <v>168.3</v>
      </c>
      <c r="P333" s="2322">
        <v>127.8</v>
      </c>
      <c r="Q333" s="2204"/>
      <c r="R333" s="2204"/>
    </row>
    <row r="334" spans="1:18">
      <c r="A334" s="2308">
        <v>2000.01</v>
      </c>
      <c r="B334" s="2324">
        <v>105.24060467048599</v>
      </c>
      <c r="C334" s="3269">
        <v>114.396361182997</v>
      </c>
      <c r="D334" s="2325">
        <v>93.144992479861799</v>
      </c>
      <c r="E334" s="2326">
        <v>103.572801627022</v>
      </c>
      <c r="F334" s="3269">
        <v>107.808721841481</v>
      </c>
      <c r="G334" s="2325">
        <v>97.621277246584995</v>
      </c>
      <c r="H334" s="2326">
        <v>1</v>
      </c>
      <c r="I334" s="310"/>
      <c r="J334" s="336"/>
      <c r="K334" s="309"/>
      <c r="L334" s="309"/>
      <c r="M334" s="1027"/>
      <c r="N334" s="1020"/>
      <c r="O334" s="3363">
        <v>168.8</v>
      </c>
      <c r="P334" s="2322">
        <v>128.30000000000001</v>
      </c>
      <c r="Q334" s="2204"/>
      <c r="R334" s="2522"/>
    </row>
    <row r="335" spans="1:18">
      <c r="A335" s="2308">
        <v>2000.02</v>
      </c>
      <c r="B335" s="2324">
        <v>106.55483280423501</v>
      </c>
      <c r="C335" s="3269">
        <v>116.90383883112899</v>
      </c>
      <c r="D335" s="2325">
        <v>93.003126483230105</v>
      </c>
      <c r="E335" s="2326">
        <v>104.982722366435</v>
      </c>
      <c r="F335" s="3269">
        <v>110.44518791986</v>
      </c>
      <c r="G335" s="2325">
        <v>97.380992948937205</v>
      </c>
      <c r="H335" s="2326">
        <v>1</v>
      </c>
      <c r="I335" s="310"/>
      <c r="J335" s="336"/>
      <c r="K335" s="309"/>
      <c r="L335" s="309"/>
      <c r="M335" s="1027"/>
      <c r="N335" s="1020"/>
      <c r="O335" s="3363">
        <v>169.8</v>
      </c>
      <c r="P335" s="2322">
        <v>129.80000000000001</v>
      </c>
      <c r="Q335" s="2204"/>
      <c r="R335" s="2204"/>
    </row>
    <row r="336" spans="1:18">
      <c r="A336" s="2308">
        <v>2000.03</v>
      </c>
      <c r="B336" s="2324">
        <v>106.58445202439999</v>
      </c>
      <c r="C336" s="3269">
        <v>117.425950171407</v>
      </c>
      <c r="D336" s="2325">
        <v>92.446404152391906</v>
      </c>
      <c r="E336" s="2326">
        <v>105.469606047779</v>
      </c>
      <c r="F336" s="3269">
        <v>111.37923926422501</v>
      </c>
      <c r="G336" s="2325">
        <v>97.2764613535374</v>
      </c>
      <c r="H336" s="2326">
        <v>1</v>
      </c>
      <c r="I336" s="310"/>
      <c r="J336" s="336"/>
      <c r="K336" s="309"/>
      <c r="L336" s="309"/>
      <c r="M336" s="1027"/>
      <c r="N336" s="1020"/>
      <c r="O336" s="3363">
        <v>171.2</v>
      </c>
      <c r="P336" s="2322">
        <v>130.80000000000001</v>
      </c>
      <c r="Q336" s="2204"/>
      <c r="R336" s="2204"/>
    </row>
    <row r="337" spans="1:18">
      <c r="A337" s="2308">
        <v>2000.04</v>
      </c>
      <c r="B337" s="2324">
        <v>107.229923947948</v>
      </c>
      <c r="C337" s="3269">
        <v>118.25850507628699</v>
      </c>
      <c r="D337" s="2325">
        <v>92.864137177751402</v>
      </c>
      <c r="E337" s="2326">
        <v>106.090210006074</v>
      </c>
      <c r="F337" s="3269">
        <v>112.30953665479601</v>
      </c>
      <c r="G337" s="2325">
        <v>97.489212974893206</v>
      </c>
      <c r="H337" s="2326">
        <v>1</v>
      </c>
      <c r="I337" s="310"/>
      <c r="J337" s="336"/>
      <c r="K337" s="309"/>
      <c r="L337" s="309"/>
      <c r="M337" s="1027"/>
      <c r="N337" s="1020"/>
      <c r="O337" s="3363">
        <v>171.3</v>
      </c>
      <c r="P337" s="2322">
        <v>130.69999999999999</v>
      </c>
      <c r="Q337" s="2204"/>
      <c r="R337" s="2204"/>
    </row>
    <row r="338" spans="1:18">
      <c r="A338" s="2308">
        <v>2000.05</v>
      </c>
      <c r="B338" s="2324">
        <v>109.68038148448299</v>
      </c>
      <c r="C338" s="3269">
        <v>121.900127109135</v>
      </c>
      <c r="D338" s="2325">
        <v>93.888698110845596</v>
      </c>
      <c r="E338" s="2326">
        <v>108.489434885667</v>
      </c>
      <c r="F338" s="3269">
        <v>115.875254388923</v>
      </c>
      <c r="G338" s="2325">
        <v>98.370855824209499</v>
      </c>
      <c r="H338" s="2326">
        <v>1</v>
      </c>
      <c r="I338" s="310"/>
      <c r="J338" s="336"/>
      <c r="K338" s="309"/>
      <c r="L338" s="309"/>
      <c r="M338" s="1027"/>
      <c r="N338" s="1020"/>
      <c r="O338" s="3363">
        <v>171.5</v>
      </c>
      <c r="P338" s="2322">
        <v>131.6</v>
      </c>
      <c r="Q338" s="2204"/>
      <c r="R338" s="2204"/>
    </row>
    <row r="339" spans="1:18">
      <c r="A339" s="2308">
        <v>2000.06</v>
      </c>
      <c r="B339" s="2324">
        <v>108.572887483003</v>
      </c>
      <c r="C339" s="3269">
        <v>118.944340660055</v>
      </c>
      <c r="D339" s="2325">
        <v>94.973595750456695</v>
      </c>
      <c r="E339" s="2326">
        <v>107.547217019318</v>
      </c>
      <c r="F339" s="3269">
        <v>113.230634882863</v>
      </c>
      <c r="G339" s="2325">
        <v>99.643972707342797</v>
      </c>
      <c r="H339" s="2326">
        <v>1</v>
      </c>
      <c r="I339" s="310"/>
      <c r="J339" s="336"/>
      <c r="K339" s="309"/>
      <c r="L339" s="309"/>
      <c r="M339" s="1027"/>
      <c r="N339" s="1020"/>
      <c r="O339" s="3363">
        <v>172.4</v>
      </c>
      <c r="P339" s="2322">
        <v>133.80000000000001</v>
      </c>
      <c r="Q339" s="2204"/>
      <c r="R339" s="2204"/>
    </row>
    <row r="340" spans="1:18">
      <c r="A340" s="2308">
        <v>2000.07</v>
      </c>
      <c r="B340" s="2324">
        <v>108.720533948013</v>
      </c>
      <c r="C340" s="3269">
        <v>119.93136972879</v>
      </c>
      <c r="D340" s="2325">
        <v>94.120535700124606</v>
      </c>
      <c r="E340" s="2326">
        <v>107.693922766865</v>
      </c>
      <c r="F340" s="3269">
        <v>114.288322793305</v>
      </c>
      <c r="G340" s="2325">
        <v>98.597489003844998</v>
      </c>
      <c r="H340" s="2326">
        <v>1</v>
      </c>
      <c r="I340" s="310"/>
      <c r="J340" s="336"/>
      <c r="K340" s="309"/>
      <c r="L340" s="309"/>
      <c r="M340" s="1027"/>
      <c r="N340" s="1020"/>
      <c r="O340" s="3363">
        <v>172.8</v>
      </c>
      <c r="P340" s="2322">
        <v>133.69999999999999</v>
      </c>
      <c r="Q340" s="2204"/>
      <c r="R340" s="2204"/>
    </row>
    <row r="341" spans="1:18">
      <c r="A341" s="2308">
        <v>2000.08</v>
      </c>
      <c r="B341" s="2324">
        <v>109.49960990133999</v>
      </c>
      <c r="C341" s="3269">
        <v>121.774593552692</v>
      </c>
      <c r="D341" s="2325">
        <v>93.645714405002096</v>
      </c>
      <c r="E341" s="2326">
        <v>108.228246376953</v>
      </c>
      <c r="F341" s="3269">
        <v>115.93399202610701</v>
      </c>
      <c r="G341" s="2325">
        <v>97.704863067327906</v>
      </c>
      <c r="H341" s="2326">
        <v>1</v>
      </c>
      <c r="I341" s="310"/>
      <c r="J341" s="336"/>
      <c r="K341" s="309"/>
      <c r="L341" s="309"/>
      <c r="M341" s="1027"/>
      <c r="N341" s="1020"/>
      <c r="O341" s="3363">
        <v>172.8</v>
      </c>
      <c r="P341" s="2322">
        <v>132.9</v>
      </c>
      <c r="Q341" s="2204"/>
      <c r="R341" s="2204"/>
    </row>
    <row r="342" spans="1:18">
      <c r="A342" s="2308">
        <v>2000.09</v>
      </c>
      <c r="B342" s="2324">
        <v>110.817635620419</v>
      </c>
      <c r="C342" s="3269">
        <v>123.691264887866</v>
      </c>
      <c r="D342" s="2325">
        <v>94.255210163044097</v>
      </c>
      <c r="E342" s="2326">
        <v>109.804449817885</v>
      </c>
      <c r="F342" s="3269">
        <v>118.200574760046</v>
      </c>
      <c r="G342" s="2325">
        <v>98.400231001708406</v>
      </c>
      <c r="H342" s="2326">
        <v>1</v>
      </c>
      <c r="I342" s="310"/>
      <c r="J342" s="336"/>
      <c r="K342" s="309"/>
      <c r="L342" s="309"/>
      <c r="M342" s="1027"/>
      <c r="N342" s="1020"/>
      <c r="O342" s="3363">
        <v>173.7</v>
      </c>
      <c r="P342" s="2322">
        <v>134.69999999999999</v>
      </c>
      <c r="Q342" s="2204"/>
      <c r="R342" s="2204"/>
    </row>
    <row r="343" spans="1:18">
      <c r="A343" s="2308">
        <v>2000.1</v>
      </c>
      <c r="B343" s="2324">
        <v>112.462403894468</v>
      </c>
      <c r="C343" s="3269">
        <v>125.631007926474</v>
      </c>
      <c r="D343" s="2325">
        <v>95.534347827001</v>
      </c>
      <c r="E343" s="2326">
        <v>111.375020438676</v>
      </c>
      <c r="F343" s="3269">
        <v>120.03958674160999</v>
      </c>
      <c r="G343" s="2325">
        <v>99.622423488962994</v>
      </c>
      <c r="H343" s="2326">
        <v>1</v>
      </c>
      <c r="I343" s="310"/>
      <c r="J343" s="336"/>
      <c r="K343" s="309"/>
      <c r="L343" s="309"/>
      <c r="M343" s="1027"/>
      <c r="N343" s="1020"/>
      <c r="O343" s="3363">
        <v>174</v>
      </c>
      <c r="P343" s="2322">
        <v>135.4</v>
      </c>
      <c r="Q343" s="2204"/>
      <c r="R343" s="2204"/>
    </row>
    <row r="344" spans="1:18">
      <c r="A344" s="2308">
        <v>2000.11</v>
      </c>
      <c r="B344" s="2324">
        <v>113.404841735688</v>
      </c>
      <c r="C344" s="3269">
        <v>126.86202780179499</v>
      </c>
      <c r="D344" s="2325">
        <v>96.132957140789998</v>
      </c>
      <c r="E344" s="2326">
        <v>112.027285150404</v>
      </c>
      <c r="F344" s="3269">
        <v>120.930926710416</v>
      </c>
      <c r="G344" s="2325">
        <v>99.971489895219193</v>
      </c>
      <c r="H344" s="2326">
        <v>1</v>
      </c>
      <c r="I344" s="310"/>
      <c r="J344" s="336"/>
      <c r="K344" s="309"/>
      <c r="L344" s="309"/>
      <c r="M344" s="1027"/>
      <c r="N344" s="1020"/>
      <c r="O344" s="3363">
        <v>174.1</v>
      </c>
      <c r="P344" s="2322">
        <v>135</v>
      </c>
      <c r="Q344" s="2204"/>
      <c r="R344" s="2204"/>
    </row>
    <row r="345" spans="1:18">
      <c r="A345" s="2308">
        <v>2000.12</v>
      </c>
      <c r="B345" s="2324">
        <v>112.324928649245</v>
      </c>
      <c r="C345" s="3269">
        <v>124.39811273924199</v>
      </c>
      <c r="D345" s="2325">
        <v>96.668353470211102</v>
      </c>
      <c r="E345" s="2326">
        <v>110.972013020947</v>
      </c>
      <c r="F345" s="3269">
        <v>118.770326521201</v>
      </c>
      <c r="G345" s="2325">
        <v>100.312131220144</v>
      </c>
      <c r="H345" s="2326">
        <v>1</v>
      </c>
      <c r="I345" s="310"/>
      <c r="J345" s="336"/>
      <c r="K345" s="309"/>
      <c r="L345" s="309"/>
      <c r="M345" s="1027"/>
      <c r="N345" s="1020"/>
      <c r="O345" s="3363">
        <v>174</v>
      </c>
      <c r="P345" s="2322">
        <v>136.19999999999999</v>
      </c>
      <c r="Q345" s="2204"/>
      <c r="R345" s="2204"/>
    </row>
    <row r="346" spans="1:18">
      <c r="A346" s="2308">
        <v>2001.01</v>
      </c>
      <c r="B346" s="2324">
        <v>112.14246289050701</v>
      </c>
      <c r="C346" s="3269">
        <v>122.97141810543</v>
      </c>
      <c r="D346" s="2325">
        <v>97.955851852852902</v>
      </c>
      <c r="E346" s="2326">
        <v>111.337990518335</v>
      </c>
      <c r="F346" s="3269">
        <v>118.062181498589</v>
      </c>
      <c r="G346" s="2325">
        <v>102.06319364263101</v>
      </c>
      <c r="H346" s="2326">
        <v>1</v>
      </c>
      <c r="I346" s="310"/>
      <c r="J346" s="336"/>
      <c r="K346" s="309"/>
      <c r="L346" s="309"/>
      <c r="M346" s="1027"/>
      <c r="N346" s="1020"/>
      <c r="O346" s="3363">
        <v>175.1</v>
      </c>
      <c r="P346" s="2322">
        <v>140</v>
      </c>
      <c r="Q346" s="2204"/>
      <c r="R346" s="2522"/>
    </row>
    <row r="347" spans="1:18">
      <c r="A347" s="2308">
        <v>2001.02</v>
      </c>
      <c r="B347" s="2324">
        <v>112.864946085653</v>
      </c>
      <c r="C347" s="3269">
        <v>124.61559846068501</v>
      </c>
      <c r="D347" s="2325">
        <v>97.570663508429504</v>
      </c>
      <c r="E347" s="2326">
        <v>112.218751801243</v>
      </c>
      <c r="F347" s="3269">
        <v>119.714169258797</v>
      </c>
      <c r="G347" s="2325">
        <v>101.93958101173</v>
      </c>
      <c r="H347" s="2326">
        <v>1</v>
      </c>
      <c r="I347" s="310"/>
      <c r="J347" s="336"/>
      <c r="K347" s="309"/>
      <c r="L347" s="309"/>
      <c r="M347" s="1027"/>
      <c r="N347" s="1020"/>
      <c r="O347" s="3363">
        <v>175.8</v>
      </c>
      <c r="P347" s="2322">
        <v>137.4</v>
      </c>
      <c r="Q347" s="2204"/>
      <c r="R347" s="2204"/>
    </row>
    <row r="348" spans="1:18">
      <c r="A348" s="2308">
        <v>2001.03</v>
      </c>
      <c r="B348" s="2324">
        <v>114.688969919822</v>
      </c>
      <c r="C348" s="3269">
        <v>127.510964559039</v>
      </c>
      <c r="D348" s="2325">
        <v>98.114862625895796</v>
      </c>
      <c r="E348" s="2326">
        <v>113.839863276033</v>
      </c>
      <c r="F348" s="3269">
        <v>122.45210466570499</v>
      </c>
      <c r="G348" s="2325">
        <v>102.127763558514</v>
      </c>
      <c r="H348" s="2326">
        <v>1</v>
      </c>
      <c r="I348" s="310"/>
      <c r="J348" s="336"/>
      <c r="K348" s="309"/>
      <c r="L348" s="309"/>
      <c r="M348" s="1027"/>
      <c r="N348" s="1020"/>
      <c r="O348" s="3363">
        <v>176.2</v>
      </c>
      <c r="P348" s="2322">
        <v>135.9</v>
      </c>
      <c r="Q348" s="2204"/>
      <c r="R348" s="2204"/>
    </row>
    <row r="349" spans="1:18">
      <c r="A349" s="2308">
        <v>2001.04</v>
      </c>
      <c r="B349" s="2324">
        <v>115.438517555902</v>
      </c>
      <c r="C349" s="3269">
        <v>128.78542978197299</v>
      </c>
      <c r="D349" s="2325">
        <v>98.243011060674704</v>
      </c>
      <c r="E349" s="2326">
        <v>114.34253436594599</v>
      </c>
      <c r="F349" s="3269">
        <v>123.435460571015</v>
      </c>
      <c r="G349" s="2325">
        <v>102.023308457993</v>
      </c>
      <c r="H349" s="2326">
        <v>1</v>
      </c>
      <c r="I349" s="310"/>
      <c r="J349" s="336"/>
      <c r="K349" s="309"/>
      <c r="L349" s="309"/>
      <c r="M349" s="1027"/>
      <c r="N349" s="1020"/>
      <c r="O349" s="3363">
        <v>176.9</v>
      </c>
      <c r="P349" s="2322">
        <v>136.4</v>
      </c>
      <c r="Q349" s="2204"/>
      <c r="R349" s="2204"/>
    </row>
    <row r="350" spans="1:18">
      <c r="A350" s="2308">
        <v>2001.05</v>
      </c>
      <c r="B350" s="2324">
        <v>115.25880680531699</v>
      </c>
      <c r="C350" s="3269">
        <v>128.84018722924699</v>
      </c>
      <c r="D350" s="2325">
        <v>97.796548855621197</v>
      </c>
      <c r="E350" s="2326">
        <v>114.29457771894501</v>
      </c>
      <c r="F350" s="3269">
        <v>123.593304241393</v>
      </c>
      <c r="G350" s="2325">
        <v>101.719252990342</v>
      </c>
      <c r="H350" s="2326">
        <v>1</v>
      </c>
      <c r="I350" s="310"/>
      <c r="J350" s="336"/>
      <c r="K350" s="309"/>
      <c r="L350" s="309"/>
      <c r="M350" s="1027"/>
      <c r="N350" s="1020"/>
      <c r="O350" s="3363">
        <v>177.7</v>
      </c>
      <c r="P350" s="2322">
        <v>136.80000000000001</v>
      </c>
      <c r="Q350" s="2204"/>
      <c r="R350" s="2204"/>
    </row>
    <row r="351" spans="1:18">
      <c r="A351" s="2308">
        <v>2001.06</v>
      </c>
      <c r="B351" s="2324">
        <v>115.94725497802099</v>
      </c>
      <c r="C351" s="3269">
        <v>129.881649687205</v>
      </c>
      <c r="D351" s="2325">
        <v>98.068492125964596</v>
      </c>
      <c r="E351" s="2326">
        <v>115.07867370469801</v>
      </c>
      <c r="F351" s="3269">
        <v>124.804314782063</v>
      </c>
      <c r="G351" s="2325">
        <v>101.967090596936</v>
      </c>
      <c r="H351" s="2326">
        <v>1</v>
      </c>
      <c r="I351" s="310"/>
      <c r="J351" s="336"/>
      <c r="K351" s="309"/>
      <c r="L351" s="309"/>
      <c r="M351" s="1027"/>
      <c r="N351" s="1020"/>
      <c r="O351" s="3363">
        <v>178</v>
      </c>
      <c r="P351" s="2322">
        <v>135.5</v>
      </c>
      <c r="Q351" s="2204"/>
      <c r="R351" s="2204"/>
    </row>
    <row r="352" spans="1:18">
      <c r="A352" s="2308">
        <v>2001.07</v>
      </c>
      <c r="B352" s="2324">
        <v>116.333018613566</v>
      </c>
      <c r="C352" s="3269">
        <v>129.96001305500101</v>
      </c>
      <c r="D352" s="2325">
        <v>98.800901049036696</v>
      </c>
      <c r="E352" s="2326">
        <v>115.248149049228</v>
      </c>
      <c r="F352" s="3269">
        <v>124.804130624972</v>
      </c>
      <c r="G352" s="2325">
        <v>102.344838721215</v>
      </c>
      <c r="H352" s="2326">
        <v>1</v>
      </c>
      <c r="I352" s="310"/>
      <c r="J352" s="336"/>
      <c r="K352" s="309"/>
      <c r="L352" s="309"/>
      <c r="M352" s="1027"/>
      <c r="N352" s="1020"/>
      <c r="O352" s="3363">
        <v>177.5</v>
      </c>
      <c r="P352" s="2322">
        <v>133.4</v>
      </c>
      <c r="Q352" s="2204"/>
      <c r="R352" s="2204"/>
    </row>
    <row r="353" spans="1:18">
      <c r="A353" s="2308">
        <v>2001.08</v>
      </c>
      <c r="B353" s="2324">
        <v>114.541063411064</v>
      </c>
      <c r="C353" s="3269">
        <v>127.25839720014901</v>
      </c>
      <c r="D353" s="2325">
        <v>98.088662411672303</v>
      </c>
      <c r="E353" s="2326">
        <v>113.28695952263401</v>
      </c>
      <c r="F353" s="3269">
        <v>122.126169056123</v>
      </c>
      <c r="G353" s="2325">
        <v>101.293890624244</v>
      </c>
      <c r="H353" s="2326">
        <v>1</v>
      </c>
      <c r="I353" s="310"/>
      <c r="J353" s="336"/>
      <c r="K353" s="309"/>
      <c r="L353" s="309"/>
      <c r="M353" s="1027"/>
      <c r="N353" s="1020"/>
      <c r="O353" s="3363">
        <v>177.5</v>
      </c>
      <c r="P353" s="2322">
        <v>133.4</v>
      </c>
      <c r="Q353" s="2204"/>
      <c r="R353" s="2204"/>
    </row>
    <row r="354" spans="1:18">
      <c r="A354" s="2308">
        <v>2001.09</v>
      </c>
      <c r="B354" s="2324">
        <v>114.944007552607</v>
      </c>
      <c r="C354" s="3269">
        <v>126.87218235925</v>
      </c>
      <c r="D354" s="2325">
        <v>99.414955320928399</v>
      </c>
      <c r="E354" s="2326">
        <v>113.979145297866</v>
      </c>
      <c r="F354" s="3269">
        <v>122.118817475151</v>
      </c>
      <c r="G354" s="2325">
        <v>102.864645820734</v>
      </c>
      <c r="H354" s="2326">
        <v>1</v>
      </c>
      <c r="I354" s="310"/>
      <c r="J354" s="336"/>
      <c r="K354" s="309"/>
      <c r="L354" s="309"/>
      <c r="M354" s="1027"/>
      <c r="N354" s="1020"/>
      <c r="O354" s="3363">
        <v>178.3</v>
      </c>
      <c r="P354" s="2322">
        <v>133.30000000000001</v>
      </c>
      <c r="Q354" s="2204"/>
      <c r="R354" s="2204"/>
    </row>
    <row r="355" spans="1:18">
      <c r="A355" s="2308">
        <v>2001.1</v>
      </c>
      <c r="B355" s="2324">
        <v>115.6559349474</v>
      </c>
      <c r="C355" s="3269">
        <v>127.853842411524</v>
      </c>
      <c r="D355" s="2325">
        <v>99.799091250759204</v>
      </c>
      <c r="E355" s="2326">
        <v>114.325296440036</v>
      </c>
      <c r="F355" s="3269">
        <v>122.92896740637801</v>
      </c>
      <c r="G355" s="2325">
        <v>102.620369560387</v>
      </c>
      <c r="H355" s="2326">
        <v>1</v>
      </c>
      <c r="I355" s="310"/>
      <c r="J355" s="336"/>
      <c r="K355" s="309"/>
      <c r="L355" s="309"/>
      <c r="M355" s="1027"/>
      <c r="N355" s="1020"/>
      <c r="O355" s="3363">
        <v>177.7</v>
      </c>
      <c r="P355" s="2322">
        <v>130.30000000000001</v>
      </c>
      <c r="Q355" s="2204"/>
      <c r="R355" s="2204"/>
    </row>
    <row r="356" spans="1:18">
      <c r="A356" s="2308">
        <v>2001.11</v>
      </c>
      <c r="B356" s="2324">
        <v>116.174827524035</v>
      </c>
      <c r="C356" s="3269">
        <v>129.54361059809199</v>
      </c>
      <c r="D356" s="2325">
        <v>98.943265755626598</v>
      </c>
      <c r="E356" s="2326">
        <v>114.872305357164</v>
      </c>
      <c r="F356" s="3269">
        <v>124.688376610064</v>
      </c>
      <c r="G356" s="2325">
        <v>101.651192241739</v>
      </c>
      <c r="H356" s="2326">
        <v>1</v>
      </c>
      <c r="I356" s="310"/>
      <c r="J356" s="336"/>
      <c r="K356" s="309"/>
      <c r="L356" s="309"/>
      <c r="M356" s="1027"/>
      <c r="N356" s="1020"/>
      <c r="O356" s="3363">
        <v>177.4</v>
      </c>
      <c r="P356" s="2322">
        <v>129.80000000000001</v>
      </c>
      <c r="Q356" s="2204"/>
      <c r="R356" s="2204"/>
    </row>
    <row r="357" spans="1:18">
      <c r="A357" s="2308">
        <v>2001.12</v>
      </c>
      <c r="B357" s="2324">
        <v>116.23212464204801</v>
      </c>
      <c r="C357" s="3269">
        <v>130.07781779514301</v>
      </c>
      <c r="D357" s="2325">
        <v>98.451025027960299</v>
      </c>
      <c r="E357" s="2326">
        <v>114.731657213189</v>
      </c>
      <c r="F357" s="3269">
        <v>124.834314795506</v>
      </c>
      <c r="G357" s="2325">
        <v>101.159951640301</v>
      </c>
      <c r="H357" s="2326">
        <v>1</v>
      </c>
      <c r="I357" s="310"/>
      <c r="J357" s="336"/>
      <c r="K357" s="309"/>
      <c r="L357" s="309"/>
      <c r="M357" s="1027"/>
      <c r="N357" s="1020"/>
      <c r="O357" s="3363">
        <v>176.7</v>
      </c>
      <c r="P357" s="2322">
        <v>128.1</v>
      </c>
      <c r="Q357" s="2204"/>
      <c r="R357" s="2204"/>
    </row>
    <row r="358" spans="1:18">
      <c r="A358" s="2202">
        <v>2002.01</v>
      </c>
      <c r="B358" s="2324">
        <v>117.581394400417</v>
      </c>
      <c r="C358" s="3269">
        <v>131.94812329331899</v>
      </c>
      <c r="D358" s="2325">
        <v>99.188503552223395</v>
      </c>
      <c r="E358" s="2326">
        <v>115.955783724962</v>
      </c>
      <c r="F358" s="3269">
        <v>126.514131400173</v>
      </c>
      <c r="G358" s="2325">
        <v>101.829460421958</v>
      </c>
      <c r="H358" s="2326">
        <v>1.95</v>
      </c>
      <c r="I358" s="310"/>
      <c r="J358" s="336"/>
      <c r="K358" s="309"/>
      <c r="L358" s="309"/>
      <c r="M358" s="1027"/>
      <c r="N358" s="1020"/>
      <c r="O358" s="3363">
        <v>177.1</v>
      </c>
      <c r="P358" s="2322">
        <v>128.5</v>
      </c>
      <c r="Q358" s="2204"/>
      <c r="R358" s="2522"/>
    </row>
    <row r="359" spans="1:18">
      <c r="A359" s="2202">
        <v>2002.02</v>
      </c>
      <c r="B359" s="2324">
        <v>118.232190048585</v>
      </c>
      <c r="C359" s="3269">
        <v>132.82562544982801</v>
      </c>
      <c r="D359" s="2325">
        <v>99.575644602743097</v>
      </c>
      <c r="E359" s="2326">
        <v>116.606276781967</v>
      </c>
      <c r="F359" s="3269">
        <v>127.475902906185</v>
      </c>
      <c r="G359" s="2325">
        <v>102.10552551143699</v>
      </c>
      <c r="H359" s="2326">
        <v>2.1800000000000002</v>
      </c>
      <c r="I359" s="310"/>
      <c r="J359" s="336"/>
      <c r="K359" s="309"/>
      <c r="L359" s="309"/>
      <c r="M359" s="1027"/>
      <c r="N359" s="1020"/>
      <c r="O359" s="3363">
        <v>177.8</v>
      </c>
      <c r="P359" s="2322">
        <v>128.4</v>
      </c>
      <c r="Q359" s="2204"/>
      <c r="R359" s="2204"/>
    </row>
    <row r="360" spans="1:18">
      <c r="A360" s="2202">
        <v>2002.03</v>
      </c>
      <c r="B360" s="2324">
        <v>117.544886279435</v>
      </c>
      <c r="C360" s="3269">
        <v>131.69661342828499</v>
      </c>
      <c r="D360" s="2325">
        <v>99.388569542643197</v>
      </c>
      <c r="E360" s="2326">
        <v>115.945657524471</v>
      </c>
      <c r="F360" s="3269">
        <v>126.423354120239</v>
      </c>
      <c r="G360" s="2325">
        <v>101.914241177639</v>
      </c>
      <c r="H360" s="2326">
        <v>2.95</v>
      </c>
      <c r="I360" s="310"/>
      <c r="J360" s="336"/>
      <c r="K360" s="309"/>
      <c r="L360" s="309"/>
      <c r="M360" s="1027"/>
      <c r="N360" s="1020"/>
      <c r="O360" s="3363">
        <v>178.8</v>
      </c>
      <c r="P360" s="2322">
        <v>129.80000000000001</v>
      </c>
      <c r="Q360" s="2204"/>
      <c r="R360" s="2204"/>
    </row>
    <row r="361" spans="1:18">
      <c r="A361" s="2202">
        <v>2002.04</v>
      </c>
      <c r="B361" s="2324">
        <v>117.17338140291599</v>
      </c>
      <c r="C361" s="3269">
        <v>130.73966604924701</v>
      </c>
      <c r="D361" s="2325">
        <v>99.675751594036896</v>
      </c>
      <c r="E361" s="2326">
        <v>115.690573234358</v>
      </c>
      <c r="F361" s="3269">
        <v>125.644249150089</v>
      </c>
      <c r="G361" s="2325">
        <v>102.281958658202</v>
      </c>
      <c r="H361" s="2326">
        <v>3.01</v>
      </c>
      <c r="I361" s="3499">
        <v>2.9416666666666664</v>
      </c>
      <c r="J361" s="336"/>
      <c r="K361" s="309"/>
      <c r="L361" s="309"/>
      <c r="M361" s="1027"/>
      <c r="N361" s="1020"/>
      <c r="O361" s="3363">
        <v>179.8</v>
      </c>
      <c r="P361" s="2322">
        <v>130.80000000000001</v>
      </c>
      <c r="Q361" s="2204"/>
      <c r="R361" s="2204"/>
    </row>
    <row r="362" spans="1:18">
      <c r="A362" s="2202">
        <v>2002.05</v>
      </c>
      <c r="B362" s="2324">
        <v>115.759774800652</v>
      </c>
      <c r="C362" s="3269">
        <v>127.206928733696</v>
      </c>
      <c r="D362" s="2325">
        <v>100.68886705361101</v>
      </c>
      <c r="E362" s="2326">
        <v>114.21648349124</v>
      </c>
      <c r="F362" s="3269">
        <v>122.380457735435</v>
      </c>
      <c r="G362" s="2325">
        <v>102.986207663714</v>
      </c>
      <c r="H362" s="2326">
        <v>3.63</v>
      </c>
      <c r="I362" s="3500">
        <v>3.3063636363636362</v>
      </c>
      <c r="J362" s="336"/>
      <c r="K362" s="309"/>
      <c r="L362" s="309"/>
      <c r="M362" s="1027"/>
      <c r="N362" s="1020"/>
      <c r="O362" s="3363">
        <v>179.8</v>
      </c>
      <c r="P362" s="2322">
        <v>130.80000000000001</v>
      </c>
      <c r="Q362" s="2204"/>
      <c r="R362" s="2204"/>
    </row>
    <row r="363" spans="1:18">
      <c r="A363" s="2202">
        <v>2002.06</v>
      </c>
      <c r="B363" s="2324">
        <v>114.503599283185</v>
      </c>
      <c r="C363" s="3269">
        <v>124.006476567429</v>
      </c>
      <c r="D363" s="2325">
        <v>101.740115565724</v>
      </c>
      <c r="E363" s="2326">
        <v>112.761280623803</v>
      </c>
      <c r="F363" s="3269">
        <v>119.187784333698</v>
      </c>
      <c r="G363" s="2325">
        <v>103.71288150673701</v>
      </c>
      <c r="H363" s="2326">
        <v>3.85</v>
      </c>
      <c r="I363" s="3500">
        <v>3.620625</v>
      </c>
      <c r="J363" s="336"/>
      <c r="K363" s="309"/>
      <c r="L363" s="309"/>
      <c r="M363" s="1027"/>
      <c r="N363" s="1020"/>
      <c r="O363" s="3363">
        <v>179.9</v>
      </c>
      <c r="P363" s="2322">
        <v>130.9</v>
      </c>
      <c r="Q363" s="2204"/>
      <c r="R363" s="2204"/>
    </row>
    <row r="364" spans="1:18">
      <c r="A364" s="2202">
        <v>2002.07</v>
      </c>
      <c r="B364" s="2324">
        <v>112.925274260392</v>
      </c>
      <c r="C364" s="3269">
        <v>121.144638257202</v>
      </c>
      <c r="D364" s="2325">
        <v>101.72582672814001</v>
      </c>
      <c r="E364" s="2326">
        <v>111.089809106807</v>
      </c>
      <c r="F364" s="3269">
        <v>116.34542378961901</v>
      </c>
      <c r="G364" s="2325">
        <v>103.55625779241601</v>
      </c>
      <c r="H364" s="2326">
        <v>3.7</v>
      </c>
      <c r="I364" s="3500">
        <v>3.5718181818181809</v>
      </c>
      <c r="J364" s="336"/>
      <c r="K364" s="309"/>
      <c r="L364" s="309"/>
      <c r="M364" s="1027"/>
      <c r="N364" s="1020"/>
      <c r="O364" s="3363">
        <v>180.1</v>
      </c>
      <c r="P364" s="2322">
        <v>131.19999999999999</v>
      </c>
      <c r="Q364" s="2204"/>
      <c r="R364" s="2204"/>
    </row>
    <row r="365" spans="1:18">
      <c r="A365" s="2202">
        <v>2002.08</v>
      </c>
      <c r="B365" s="2324">
        <v>114.26197285806499</v>
      </c>
      <c r="C365" s="3269">
        <v>122.851750881979</v>
      </c>
      <c r="D365" s="2325">
        <v>102.596979169077</v>
      </c>
      <c r="E365" s="2326">
        <v>112.48634483425499</v>
      </c>
      <c r="F365" s="3269">
        <v>118.103829974761</v>
      </c>
      <c r="G365" s="2325">
        <v>104.475248381269</v>
      </c>
      <c r="H365" s="2326">
        <v>3.62</v>
      </c>
      <c r="I365" s="3500">
        <v>3.5749999999999997</v>
      </c>
      <c r="J365" s="336"/>
      <c r="K365" s="309"/>
      <c r="L365" s="309"/>
      <c r="M365" s="1027"/>
      <c r="N365" s="1020"/>
      <c r="O365" s="3363">
        <v>180.7</v>
      </c>
      <c r="P365" s="2322">
        <v>131.5</v>
      </c>
      <c r="Q365" s="2204"/>
      <c r="R365" s="2204"/>
    </row>
    <row r="366" spans="1:18">
      <c r="A366" s="2202">
        <v>2002.09</v>
      </c>
      <c r="B366" s="2324">
        <v>115.074088772191</v>
      </c>
      <c r="C366" s="3269">
        <v>123.05180437938699</v>
      </c>
      <c r="D366" s="2325">
        <v>104.152056252656</v>
      </c>
      <c r="E366" s="2326">
        <v>113.359139594141</v>
      </c>
      <c r="F366" s="3269">
        <v>118.445570024372</v>
      </c>
      <c r="G366" s="2325">
        <v>106.03174720338799</v>
      </c>
      <c r="H366" s="2326">
        <v>3.73</v>
      </c>
      <c r="I366" s="3500">
        <v>3.5933333333333328</v>
      </c>
      <c r="J366" s="336"/>
      <c r="K366" s="309"/>
      <c r="L366" s="309"/>
      <c r="M366" s="1027"/>
      <c r="N366" s="1020"/>
      <c r="O366" s="3363">
        <v>181</v>
      </c>
      <c r="P366" s="2322">
        <v>132.30000000000001</v>
      </c>
      <c r="Q366" s="2204"/>
      <c r="R366" s="2204"/>
    </row>
    <row r="367" spans="1:18">
      <c r="A367" s="2202">
        <v>2002.1</v>
      </c>
      <c r="B367" s="2324">
        <v>115.91850720884899</v>
      </c>
      <c r="C367" s="3269">
        <v>123.60165846147299</v>
      </c>
      <c r="D367" s="2325">
        <v>105.35234386564601</v>
      </c>
      <c r="E367" s="2326">
        <v>114.111232685033</v>
      </c>
      <c r="F367" s="3269">
        <v>118.931714654735</v>
      </c>
      <c r="G367" s="2325">
        <v>107.127752142085</v>
      </c>
      <c r="H367" s="2326">
        <v>3.54</v>
      </c>
      <c r="I367" s="3500">
        <v>3.6059090909090901</v>
      </c>
      <c r="J367" s="336"/>
      <c r="K367" s="309"/>
      <c r="L367" s="309"/>
      <c r="M367" s="1027"/>
      <c r="N367" s="1020"/>
      <c r="O367" s="3363">
        <v>181.3</v>
      </c>
      <c r="P367" s="2322">
        <v>133.19999999999999</v>
      </c>
      <c r="Q367" s="2204"/>
      <c r="R367" s="2204"/>
    </row>
    <row r="368" spans="1:18">
      <c r="A368" s="2202">
        <v>2002.11</v>
      </c>
      <c r="B368" s="2324">
        <v>114.741397839352</v>
      </c>
      <c r="C368" s="3269">
        <v>121.928527511022</v>
      </c>
      <c r="D368" s="2325">
        <v>104.80537061852399</v>
      </c>
      <c r="E368" s="2326">
        <v>112.845159301313</v>
      </c>
      <c r="F368" s="3269">
        <v>117.27245335254599</v>
      </c>
      <c r="G368" s="2325">
        <v>106.38705807001</v>
      </c>
      <c r="H368" s="2326">
        <v>3.63</v>
      </c>
      <c r="I368" s="3500">
        <v>3.4885714285714289</v>
      </c>
      <c r="J368" s="336"/>
      <c r="K368" s="309"/>
      <c r="L368" s="309"/>
      <c r="M368" s="1027"/>
      <c r="N368" s="1020"/>
      <c r="O368" s="3363">
        <v>181.3</v>
      </c>
      <c r="P368" s="2322">
        <v>133.1</v>
      </c>
      <c r="Q368" s="2204"/>
      <c r="R368" s="2204"/>
    </row>
    <row r="369" spans="1:18">
      <c r="A369" s="2202">
        <v>2002.12</v>
      </c>
      <c r="B369" s="2324">
        <v>114.093973648551</v>
      </c>
      <c r="C369" s="3269">
        <v>120.72175046683201</v>
      </c>
      <c r="D369" s="2325">
        <v>104.868668400098</v>
      </c>
      <c r="E369" s="2326">
        <v>112.20969941529199</v>
      </c>
      <c r="F369" s="3269">
        <v>116.219903879383</v>
      </c>
      <c r="G369" s="2325">
        <v>106.309017735541</v>
      </c>
      <c r="H369" s="2326">
        <v>3.39</v>
      </c>
      <c r="I369" s="3500">
        <v>3.44</v>
      </c>
      <c r="J369" s="336"/>
      <c r="K369" s="309"/>
      <c r="L369" s="309"/>
      <c r="M369" s="1027"/>
      <c r="N369" s="1020"/>
      <c r="O369" s="3363">
        <v>180.9</v>
      </c>
      <c r="P369" s="2322">
        <v>132.9</v>
      </c>
      <c r="Q369" s="2204"/>
      <c r="R369" s="2204"/>
    </row>
    <row r="370" spans="1:18">
      <c r="A370" s="2202">
        <v>2003.01</v>
      </c>
      <c r="B370" s="2324">
        <v>112.77885753861599</v>
      </c>
      <c r="C370" s="3269">
        <v>117.694887302146</v>
      </c>
      <c r="D370" s="2325">
        <v>105.771480929712</v>
      </c>
      <c r="E370" s="2326">
        <v>110.89452737750101</v>
      </c>
      <c r="F370" s="3269">
        <v>113.252104255712</v>
      </c>
      <c r="G370" s="2325">
        <v>107.237410315999</v>
      </c>
      <c r="H370" s="2326">
        <v>3.21</v>
      </c>
      <c r="I370" s="3500">
        <v>3.2113636363636373</v>
      </c>
      <c r="J370" s="336"/>
      <c r="K370" s="309"/>
      <c r="L370" s="309"/>
      <c r="M370" s="1027"/>
      <c r="N370" s="1020"/>
      <c r="O370" s="3363">
        <v>181.7</v>
      </c>
      <c r="P370" s="2322">
        <v>135.30000000000001</v>
      </c>
      <c r="Q370" s="2204"/>
      <c r="R370" s="2522"/>
    </row>
    <row r="371" spans="1:18">
      <c r="A371" s="2202">
        <v>2003.02</v>
      </c>
      <c r="B371" s="2324">
        <v>112.599682737786</v>
      </c>
      <c r="C371" s="3269">
        <v>116.36720307401799</v>
      </c>
      <c r="D371" s="2325">
        <v>107.104622727758</v>
      </c>
      <c r="E371" s="2326">
        <v>110.98782264275501</v>
      </c>
      <c r="F371" s="3269">
        <v>112.29426082203901</v>
      </c>
      <c r="G371" s="2325">
        <v>108.795386408805</v>
      </c>
      <c r="H371" s="2326">
        <v>3.19</v>
      </c>
      <c r="I371" s="3500">
        <v>3.1136842105263152</v>
      </c>
      <c r="J371" s="336"/>
      <c r="K371" s="309"/>
      <c r="L371" s="309"/>
      <c r="M371" s="1027"/>
      <c r="N371" s="1020"/>
      <c r="O371" s="3363">
        <v>183.1</v>
      </c>
      <c r="P371" s="2322">
        <v>137.6</v>
      </c>
      <c r="Q371" s="2204"/>
      <c r="R371" s="2204"/>
    </row>
    <row r="372" spans="1:18">
      <c r="A372" s="2202">
        <v>2003.03</v>
      </c>
      <c r="B372" s="2324">
        <v>112.07887658380901</v>
      </c>
      <c r="C372" s="3269">
        <v>115.469257143186</v>
      </c>
      <c r="D372" s="2325">
        <v>107.097211230093</v>
      </c>
      <c r="E372" s="2326">
        <v>110.39604009090699</v>
      </c>
      <c r="F372" s="3269">
        <v>111.46928322700001</v>
      </c>
      <c r="G372" s="2325">
        <v>108.535021219836</v>
      </c>
      <c r="H372" s="2326">
        <v>2.99</v>
      </c>
      <c r="I372" s="3500">
        <v>3.0214999999999996</v>
      </c>
      <c r="J372" s="336"/>
      <c r="K372" s="309"/>
      <c r="L372" s="309"/>
      <c r="M372" s="1027"/>
      <c r="N372" s="1020"/>
      <c r="O372" s="3363">
        <v>184.2</v>
      </c>
      <c r="P372" s="2322">
        <v>141.19999999999999</v>
      </c>
      <c r="Q372" s="2204"/>
      <c r="R372" s="2204"/>
    </row>
    <row r="373" spans="1:18">
      <c r="A373" s="2202">
        <v>2003.04</v>
      </c>
      <c r="B373" s="2324">
        <v>111.129854627665</v>
      </c>
      <c r="C373" s="3269">
        <v>115.020186234965</v>
      </c>
      <c r="D373" s="2325">
        <v>105.47629886967199</v>
      </c>
      <c r="E373" s="2326">
        <v>109.13974018439001</v>
      </c>
      <c r="F373" s="3269">
        <v>110.91172409868901</v>
      </c>
      <c r="G373" s="2325">
        <v>106.300529957338</v>
      </c>
      <c r="H373" s="2326">
        <v>2.79</v>
      </c>
      <c r="I373" s="3500">
        <v>2.8410526315789477</v>
      </c>
      <c r="J373" s="336"/>
      <c r="K373" s="309"/>
      <c r="L373" s="309"/>
      <c r="M373" s="1027"/>
      <c r="N373" s="1020"/>
      <c r="O373" s="3363">
        <v>183.8</v>
      </c>
      <c r="P373" s="2322">
        <v>136.80000000000001</v>
      </c>
      <c r="Q373" s="2204"/>
      <c r="R373" s="2204"/>
    </row>
    <row r="374" spans="1:18">
      <c r="A374" s="2202">
        <v>2003.05</v>
      </c>
      <c r="B374" s="2324">
        <v>107.21152516508199</v>
      </c>
      <c r="C374" s="3269">
        <v>109.57917546821901</v>
      </c>
      <c r="D374" s="2325">
        <v>103.639222353414</v>
      </c>
      <c r="E374" s="2326">
        <v>105.214665913986</v>
      </c>
      <c r="F374" s="3269">
        <v>105.672353990983</v>
      </c>
      <c r="G374" s="2325">
        <v>104.247012267513</v>
      </c>
      <c r="H374" s="2326">
        <v>2.86</v>
      </c>
      <c r="I374" s="3500">
        <v>2.7864999999999993</v>
      </c>
      <c r="J374" s="336"/>
      <c r="K374" s="309"/>
      <c r="L374" s="309"/>
      <c r="M374" s="1027"/>
      <c r="N374" s="1020"/>
      <c r="O374" s="3363">
        <v>183.5</v>
      </c>
      <c r="P374" s="2322">
        <v>136.69999999999999</v>
      </c>
      <c r="Q374" s="2204"/>
      <c r="R374" s="2204"/>
    </row>
    <row r="375" spans="1:18">
      <c r="A375" s="2202">
        <v>2003.06</v>
      </c>
      <c r="B375" s="2324">
        <v>106.612393376721</v>
      </c>
      <c r="C375" s="3269">
        <v>108.241488629976</v>
      </c>
      <c r="D375" s="2325">
        <v>104.063685362767</v>
      </c>
      <c r="E375" s="2326">
        <v>104.626696138008</v>
      </c>
      <c r="F375" s="3269">
        <v>104.333179032234</v>
      </c>
      <c r="G375" s="2325">
        <v>104.74860099937101</v>
      </c>
      <c r="H375" s="2326">
        <v>2.8</v>
      </c>
      <c r="I375" s="3500">
        <v>2.758</v>
      </c>
      <c r="J375" s="336"/>
      <c r="K375" s="309"/>
      <c r="L375" s="309"/>
      <c r="M375" s="1027"/>
      <c r="N375" s="1020"/>
      <c r="O375" s="3363">
        <v>183.7</v>
      </c>
      <c r="P375" s="2322">
        <v>138</v>
      </c>
      <c r="Q375" s="2204"/>
      <c r="R375" s="2204"/>
    </row>
    <row r="376" spans="1:18">
      <c r="A376" s="2202">
        <v>2003.07</v>
      </c>
      <c r="B376" s="2324">
        <v>107.769484532135</v>
      </c>
      <c r="C376" s="3269">
        <v>110.388491582893</v>
      </c>
      <c r="D376" s="2325">
        <v>103.84872224336</v>
      </c>
      <c r="E376" s="2326">
        <v>106.02976726038101</v>
      </c>
      <c r="F376" s="3269">
        <v>106.67077860677099</v>
      </c>
      <c r="G376" s="2325">
        <v>104.79708242378599</v>
      </c>
      <c r="H376" s="2326">
        <v>2.94</v>
      </c>
      <c r="I376" s="3500">
        <v>2.7518181818181815</v>
      </c>
      <c r="J376" s="336"/>
      <c r="K376" s="309"/>
      <c r="L376" s="309"/>
      <c r="M376" s="1027"/>
      <c r="N376" s="1020"/>
      <c r="O376" s="3363">
        <v>183.9</v>
      </c>
      <c r="P376" s="2322">
        <v>137.69999999999999</v>
      </c>
      <c r="Q376" s="2204"/>
      <c r="R376" s="2204"/>
    </row>
    <row r="377" spans="1:18">
      <c r="A377" s="2202">
        <v>2003.08</v>
      </c>
      <c r="B377" s="2324">
        <v>109.13037949994801</v>
      </c>
      <c r="C377" s="3269">
        <v>111.85961912869099</v>
      </c>
      <c r="D377" s="2325">
        <v>105.05245068395099</v>
      </c>
      <c r="E377" s="2326">
        <v>107.552873592533</v>
      </c>
      <c r="F377" s="3269">
        <v>108.270589493126</v>
      </c>
      <c r="G377" s="2325">
        <v>106.20606520616801</v>
      </c>
      <c r="H377" s="2326">
        <v>2.96</v>
      </c>
      <c r="I377" s="3500">
        <v>2.8765000000000001</v>
      </c>
      <c r="J377" s="336"/>
      <c r="K377" s="309"/>
      <c r="L377" s="309"/>
      <c r="M377" s="1027"/>
      <c r="N377" s="1020"/>
      <c r="O377" s="3363">
        <v>184.6</v>
      </c>
      <c r="P377" s="2322">
        <v>138</v>
      </c>
      <c r="Q377" s="2204"/>
      <c r="R377" s="2204"/>
    </row>
    <row r="378" spans="1:18">
      <c r="A378" s="2202">
        <v>2003.09</v>
      </c>
      <c r="B378" s="2324">
        <v>107.949042822287</v>
      </c>
      <c r="C378" s="3269">
        <v>109.84158825564199</v>
      </c>
      <c r="D378" s="2325">
        <v>105.03274138849</v>
      </c>
      <c r="E378" s="2326">
        <v>106.42323643193799</v>
      </c>
      <c r="F378" s="3269">
        <v>106.366030349588</v>
      </c>
      <c r="G378" s="2325">
        <v>106.19562447237</v>
      </c>
      <c r="H378" s="2326">
        <v>2.92</v>
      </c>
      <c r="I378" s="3500">
        <v>2.8713636363636366</v>
      </c>
      <c r="J378" s="336"/>
      <c r="K378" s="309"/>
      <c r="L378" s="309"/>
      <c r="M378" s="1027"/>
      <c r="N378" s="1020"/>
      <c r="O378" s="3363">
        <v>185.2</v>
      </c>
      <c r="P378" s="2322">
        <v>138.5</v>
      </c>
      <c r="Q378" s="2204"/>
      <c r="R378" s="2204"/>
    </row>
    <row r="379" spans="1:18">
      <c r="A379" s="2202">
        <v>2003.1</v>
      </c>
      <c r="B379" s="2324">
        <v>105.63390683523301</v>
      </c>
      <c r="C379" s="3269">
        <v>105.63112760098799</v>
      </c>
      <c r="D379" s="2325">
        <v>105.4125948809</v>
      </c>
      <c r="E379" s="2326">
        <v>103.97889706937301</v>
      </c>
      <c r="F379" s="3269">
        <v>102.29943483909599</v>
      </c>
      <c r="G379" s="2325">
        <v>106.161272551197</v>
      </c>
      <c r="H379" s="2326">
        <v>2.87</v>
      </c>
      <c r="I379" s="3500">
        <v>2.8081818181818177</v>
      </c>
      <c r="J379" s="336"/>
      <c r="K379" s="309"/>
      <c r="L379" s="309"/>
      <c r="M379" s="1027"/>
      <c r="N379" s="1020"/>
      <c r="O379" s="3363">
        <v>185</v>
      </c>
      <c r="P379" s="2322">
        <v>139.30000000000001</v>
      </c>
      <c r="Q379" s="2204"/>
      <c r="R379" s="2204"/>
    </row>
    <row r="380" spans="1:18">
      <c r="A380" s="2202">
        <v>2003.11</v>
      </c>
      <c r="B380" s="2324">
        <v>105.473387772726</v>
      </c>
      <c r="C380" s="3269">
        <v>105.22313525487201</v>
      </c>
      <c r="D380" s="2325">
        <v>105.61752223692901</v>
      </c>
      <c r="E380" s="2326">
        <v>103.55627040426801</v>
      </c>
      <c r="F380" s="3269">
        <v>101.813074620234</v>
      </c>
      <c r="G380" s="2325">
        <v>105.83641473816201</v>
      </c>
      <c r="H380" s="2326">
        <v>2.98</v>
      </c>
      <c r="I380" s="3500">
        <v>2.838947368421052</v>
      </c>
      <c r="J380" s="336"/>
      <c r="K380" s="309"/>
      <c r="L380" s="309"/>
      <c r="M380" s="1027"/>
      <c r="N380" s="1020"/>
      <c r="O380" s="3363">
        <v>184.5</v>
      </c>
      <c r="P380" s="2322">
        <v>138.9</v>
      </c>
      <c r="Q380" s="2204"/>
      <c r="R380" s="2204"/>
    </row>
    <row r="381" spans="1:18">
      <c r="A381" s="2202">
        <v>2003.12</v>
      </c>
      <c r="B381" s="2324">
        <v>103.980622203031</v>
      </c>
      <c r="C381" s="3269">
        <v>102.61377501171199</v>
      </c>
      <c r="D381" s="2325">
        <v>105.77565688449801</v>
      </c>
      <c r="E381" s="2326">
        <v>102.10579310146601</v>
      </c>
      <c r="F381" s="3269">
        <v>99.335239956570206</v>
      </c>
      <c r="G381" s="2325">
        <v>105.965642129892</v>
      </c>
      <c r="H381" s="2326">
        <v>2.93</v>
      </c>
      <c r="I381" s="3500">
        <v>2.9268421052631579</v>
      </c>
      <c r="J381" s="336"/>
      <c r="K381" s="309"/>
      <c r="L381" s="309"/>
      <c r="M381" s="1027"/>
      <c r="N381" s="1020"/>
      <c r="O381" s="3363">
        <v>184.3</v>
      </c>
      <c r="P381" s="2322">
        <v>139.5</v>
      </c>
      <c r="Q381" s="2204"/>
      <c r="R381" s="2204"/>
    </row>
    <row r="382" spans="1:18">
      <c r="A382" s="2202">
        <v>2004.01</v>
      </c>
      <c r="B382" s="2324">
        <v>102.19760839886</v>
      </c>
      <c r="C382" s="3269">
        <v>100.510824206717</v>
      </c>
      <c r="D382" s="2325">
        <v>104.496037587437</v>
      </c>
      <c r="E382" s="2326">
        <v>100.453476245362</v>
      </c>
      <c r="F382" s="3269">
        <v>97.489944729119799</v>
      </c>
      <c r="G382" s="2325">
        <v>104.606810147518</v>
      </c>
      <c r="H382" s="2326">
        <v>2.92</v>
      </c>
      <c r="I382" s="3500">
        <v>2.8752380952380956</v>
      </c>
      <c r="J382" s="336"/>
      <c r="K382" s="309"/>
      <c r="L382" s="309"/>
      <c r="M382" s="1027"/>
      <c r="N382" s="1020"/>
      <c r="O382" s="3363">
        <v>185.2</v>
      </c>
      <c r="P382" s="2322">
        <v>141.4</v>
      </c>
      <c r="Q382" s="2204"/>
      <c r="R382" s="2522"/>
    </row>
    <row r="383" spans="1:18">
      <c r="A383" s="2202">
        <v>2004.02</v>
      </c>
      <c r="B383" s="2324">
        <v>102.65775021234001</v>
      </c>
      <c r="C383" s="3269">
        <v>101.08586277905199</v>
      </c>
      <c r="D383" s="2325">
        <v>104.78858435876499</v>
      </c>
      <c r="E383" s="2326">
        <v>101.104815073842</v>
      </c>
      <c r="F383" s="3269">
        <v>98.2763693104109</v>
      </c>
      <c r="G383" s="2325">
        <v>105.053888655401</v>
      </c>
      <c r="H383" s="2326">
        <v>2.92</v>
      </c>
      <c r="I383" s="3500">
        <v>2.9129999999999998</v>
      </c>
      <c r="J383" s="336"/>
      <c r="K383" s="309"/>
      <c r="L383" s="309"/>
      <c r="M383" s="1027"/>
      <c r="N383" s="1020"/>
      <c r="O383" s="3363">
        <v>186.2</v>
      </c>
      <c r="P383" s="2322">
        <v>142.1</v>
      </c>
      <c r="Q383" s="2204"/>
      <c r="R383" s="2204"/>
    </row>
    <row r="384" spans="1:18">
      <c r="A384" s="2202">
        <v>2004.03</v>
      </c>
      <c r="B384" s="2324">
        <v>103.75078448833</v>
      </c>
      <c r="C384" s="3269">
        <v>102.863656795829</v>
      </c>
      <c r="D384" s="2325">
        <v>104.894942501434</v>
      </c>
      <c r="E384" s="2326">
        <v>102.12714904316699</v>
      </c>
      <c r="F384" s="3269">
        <v>100.102399607355</v>
      </c>
      <c r="G384" s="2325">
        <v>104.883867433246</v>
      </c>
      <c r="H384" s="2326">
        <v>2.86</v>
      </c>
      <c r="I384" s="3500">
        <v>2.8769565217391304</v>
      </c>
      <c r="J384" s="336"/>
      <c r="K384" s="309"/>
      <c r="L384" s="309"/>
      <c r="M384" s="1027"/>
      <c r="N384" s="1020"/>
      <c r="O384" s="3363">
        <v>187.4</v>
      </c>
      <c r="P384" s="2322">
        <v>143.1</v>
      </c>
      <c r="Q384" s="2204"/>
      <c r="R384" s="2204"/>
    </row>
    <row r="385" spans="1:18">
      <c r="A385" s="2202">
        <v>2004.04</v>
      </c>
      <c r="B385" s="2324">
        <v>104.61521112201601</v>
      </c>
      <c r="C385" s="3269">
        <v>104.06227754046699</v>
      </c>
      <c r="D385" s="2325">
        <v>105.285305529491</v>
      </c>
      <c r="E385" s="2326">
        <v>102.88033514096701</v>
      </c>
      <c r="F385" s="3269">
        <v>101.275184444187</v>
      </c>
      <c r="G385" s="2325">
        <v>105.02371236787501</v>
      </c>
      <c r="H385" s="2326">
        <v>2.85</v>
      </c>
      <c r="I385" s="3500">
        <v>2.812727272727273</v>
      </c>
      <c r="J385" s="336"/>
      <c r="K385" s="309"/>
      <c r="L385" s="309"/>
      <c r="M385" s="1027"/>
      <c r="N385" s="1020"/>
      <c r="O385" s="3363">
        <v>188</v>
      </c>
      <c r="P385" s="2322">
        <v>144.80000000000001</v>
      </c>
      <c r="Q385" s="2204"/>
      <c r="R385" s="2204"/>
    </row>
    <row r="386" spans="1:18">
      <c r="A386" s="2202">
        <v>2004.05</v>
      </c>
      <c r="B386" s="2324">
        <v>106.322550179212</v>
      </c>
      <c r="C386" s="3269">
        <v>105.820243899533</v>
      </c>
      <c r="D386" s="2325">
        <v>106.917899031809</v>
      </c>
      <c r="E386" s="2326">
        <v>104.728158356623</v>
      </c>
      <c r="F386" s="3269">
        <v>103.169544625765</v>
      </c>
      <c r="G386" s="2325">
        <v>106.800787140225</v>
      </c>
      <c r="H386" s="2326">
        <v>2.95</v>
      </c>
      <c r="I386" s="3500">
        <v>2.9042857142857148</v>
      </c>
      <c r="J386" s="336"/>
      <c r="K386" s="309"/>
      <c r="L386" s="309"/>
      <c r="M386" s="1027"/>
      <c r="N386" s="1020"/>
      <c r="O386" s="3363">
        <v>189.1</v>
      </c>
      <c r="P386" s="2322">
        <v>146.80000000000001</v>
      </c>
      <c r="Q386" s="2204"/>
      <c r="R386" s="2204"/>
    </row>
    <row r="387" spans="1:18">
      <c r="A387" s="2202">
        <v>2004.06</v>
      </c>
      <c r="B387" s="2324">
        <v>105.234397997183</v>
      </c>
      <c r="C387" s="3269">
        <v>104.18319812795301</v>
      </c>
      <c r="D387" s="2325">
        <v>106.610666740544</v>
      </c>
      <c r="E387" s="2326">
        <v>103.73818990481</v>
      </c>
      <c r="F387" s="3269">
        <v>101.724964107471</v>
      </c>
      <c r="G387" s="2325">
        <v>106.47471736105</v>
      </c>
      <c r="H387" s="2326">
        <v>2.96</v>
      </c>
      <c r="I387" s="3500">
        <v>2.9413636363636368</v>
      </c>
      <c r="J387" s="336"/>
      <c r="K387" s="309"/>
      <c r="L387" s="309"/>
      <c r="M387" s="1027"/>
      <c r="N387" s="1020"/>
      <c r="O387" s="3363">
        <v>189.7</v>
      </c>
      <c r="P387" s="2322">
        <v>147.19999999999999</v>
      </c>
      <c r="Q387" s="2204"/>
      <c r="R387" s="2204"/>
    </row>
    <row r="388" spans="1:18">
      <c r="A388" s="2202">
        <v>2004.07</v>
      </c>
      <c r="B388" s="2324">
        <v>104.411196677937</v>
      </c>
      <c r="C388" s="3269">
        <v>102.76652972686399</v>
      </c>
      <c r="D388" s="2325">
        <v>106.644848713871</v>
      </c>
      <c r="E388" s="2326">
        <v>102.8778926526</v>
      </c>
      <c r="F388" s="3269">
        <v>100.41976385927001</v>
      </c>
      <c r="G388" s="2325">
        <v>106.27138629404701</v>
      </c>
      <c r="H388" s="2326">
        <v>2.97</v>
      </c>
      <c r="I388" s="3500">
        <v>2.936363636363637</v>
      </c>
      <c r="J388" s="336"/>
      <c r="K388" s="309"/>
      <c r="L388" s="309"/>
      <c r="M388" s="1027"/>
      <c r="N388" s="1020"/>
      <c r="O388" s="3363">
        <v>189.4</v>
      </c>
      <c r="P388" s="2322">
        <v>147.4</v>
      </c>
      <c r="Q388" s="2204"/>
      <c r="R388" s="2204"/>
    </row>
    <row r="389" spans="1:18">
      <c r="A389" s="2202">
        <v>2004.08</v>
      </c>
      <c r="B389" s="2324">
        <v>104.545930101615</v>
      </c>
      <c r="C389" s="3269">
        <v>103.044494324517</v>
      </c>
      <c r="D389" s="2325">
        <v>106.571235511034</v>
      </c>
      <c r="E389" s="2326">
        <v>102.842343103248</v>
      </c>
      <c r="F389" s="3269">
        <v>100.708294041803</v>
      </c>
      <c r="G389" s="2325">
        <v>105.757954812913</v>
      </c>
      <c r="H389" s="2326">
        <v>3</v>
      </c>
      <c r="I389" s="3500">
        <v>2.9950000000000006</v>
      </c>
      <c r="J389" s="336"/>
      <c r="K389" s="309"/>
      <c r="L389" s="309"/>
      <c r="M389" s="1027"/>
      <c r="N389" s="1020"/>
      <c r="O389" s="3363">
        <v>189.5</v>
      </c>
      <c r="P389" s="2322">
        <v>148</v>
      </c>
      <c r="Q389" s="2204"/>
      <c r="R389" s="2204"/>
    </row>
    <row r="390" spans="1:18">
      <c r="A390" s="2202">
        <v>2004.09</v>
      </c>
      <c r="B390" s="2324">
        <v>104.15866900634499</v>
      </c>
      <c r="C390" s="3269">
        <v>102.504296725957</v>
      </c>
      <c r="D390" s="2325">
        <v>106.40601314514601</v>
      </c>
      <c r="E390" s="2326">
        <v>102.568541560919</v>
      </c>
      <c r="F390" s="3269">
        <v>100.363666605367</v>
      </c>
      <c r="G390" s="2325">
        <v>105.588894782414</v>
      </c>
      <c r="H390" s="2326">
        <v>2.99</v>
      </c>
      <c r="I390" s="3500">
        <v>2.9740909090909082</v>
      </c>
      <c r="J390" s="336"/>
      <c r="K390" s="309"/>
      <c r="L390" s="309"/>
      <c r="M390" s="1027"/>
      <c r="N390" s="1020"/>
      <c r="O390" s="3363">
        <v>189.9</v>
      </c>
      <c r="P390" s="2322">
        <v>147.69999999999999</v>
      </c>
      <c r="Q390" s="2204"/>
      <c r="R390" s="2204"/>
    </row>
    <row r="391" spans="1:18">
      <c r="A391" s="2202">
        <v>2004.1</v>
      </c>
      <c r="B391" s="2324">
        <v>102.54484091479399</v>
      </c>
      <c r="C391" s="3269">
        <v>100.146897660663</v>
      </c>
      <c r="D391" s="2325">
        <v>105.890408653517</v>
      </c>
      <c r="E391" s="2326">
        <v>101.22128552949</v>
      </c>
      <c r="F391" s="3269">
        <v>98.241696158021298</v>
      </c>
      <c r="G391" s="2325">
        <v>105.396467942219</v>
      </c>
      <c r="H391" s="2326">
        <v>2.98</v>
      </c>
      <c r="I391" s="3500">
        <v>2.9490476190476191</v>
      </c>
      <c r="J391" s="336"/>
      <c r="K391" s="309"/>
      <c r="L391" s="309"/>
      <c r="M391" s="1027"/>
      <c r="N391" s="1020"/>
      <c r="O391" s="3363">
        <v>190.9</v>
      </c>
      <c r="P391" s="2322">
        <v>150</v>
      </c>
      <c r="Q391" s="2204"/>
      <c r="R391" s="2204"/>
    </row>
    <row r="392" spans="1:18">
      <c r="A392" s="2202">
        <v>2004.11</v>
      </c>
      <c r="B392" s="2324">
        <v>99.765128453840703</v>
      </c>
      <c r="C392" s="3269">
        <v>96.264438803216507</v>
      </c>
      <c r="D392" s="2325">
        <v>104.767210648261</v>
      </c>
      <c r="E392" s="2326">
        <v>98.770226379626806</v>
      </c>
      <c r="F392" s="3269">
        <v>94.668168246116295</v>
      </c>
      <c r="G392" s="2325">
        <v>104.664485259732</v>
      </c>
      <c r="H392" s="2326">
        <v>2.96</v>
      </c>
      <c r="I392" s="3500">
        <v>2.933636363636364</v>
      </c>
      <c r="J392" s="336"/>
      <c r="K392" s="309"/>
      <c r="L392" s="309"/>
      <c r="M392" s="1027"/>
      <c r="N392" s="1020"/>
      <c r="O392" s="3363">
        <v>191</v>
      </c>
      <c r="P392" s="2322">
        <v>151.4</v>
      </c>
      <c r="Q392" s="2204"/>
      <c r="R392" s="2204"/>
    </row>
    <row r="393" spans="1:18">
      <c r="A393" s="2202">
        <v>2004.12</v>
      </c>
      <c r="B393" s="2324">
        <v>98.669384555663896</v>
      </c>
      <c r="C393" s="3269">
        <v>95.2895064037927</v>
      </c>
      <c r="D393" s="2325">
        <v>103.491063438316</v>
      </c>
      <c r="E393" s="2326">
        <v>97.593938165460997</v>
      </c>
      <c r="F393" s="3269">
        <v>93.644768864956603</v>
      </c>
      <c r="G393" s="2325">
        <v>103.25729916946101</v>
      </c>
      <c r="H393" s="2326">
        <v>2.97</v>
      </c>
      <c r="I393" s="3500">
        <v>2.9531818181818181</v>
      </c>
      <c r="J393" s="336"/>
      <c r="K393" s="309"/>
      <c r="L393" s="309"/>
      <c r="M393" s="1027"/>
      <c r="N393" s="1020"/>
      <c r="O393" s="3363">
        <v>190.3</v>
      </c>
      <c r="P393" s="2322">
        <v>150.19999999999999</v>
      </c>
      <c r="Q393" s="2204"/>
      <c r="R393" s="2204"/>
    </row>
    <row r="394" spans="1:18">
      <c r="A394" s="2202">
        <v>2005.01</v>
      </c>
      <c r="B394" s="2324">
        <v>99.291464291195396</v>
      </c>
      <c r="C394" s="3269">
        <v>96.425162139548206</v>
      </c>
      <c r="D394" s="2325">
        <v>103.363559323723</v>
      </c>
      <c r="E394" s="2326">
        <v>98.107042635559793</v>
      </c>
      <c r="F394" s="3269">
        <v>94.722477334053593</v>
      </c>
      <c r="G394" s="2325">
        <v>102.927180335304</v>
      </c>
      <c r="H394" s="2326">
        <v>2.93</v>
      </c>
      <c r="I394" s="3500">
        <v>2.9252380952380954</v>
      </c>
      <c r="J394" s="336"/>
      <c r="K394" s="309"/>
      <c r="L394" s="309"/>
      <c r="M394" s="1027"/>
      <c r="N394" s="1020"/>
      <c r="O394" s="3363">
        <v>190.7</v>
      </c>
      <c r="P394" s="2322">
        <v>150.9</v>
      </c>
      <c r="Q394" s="2204"/>
      <c r="R394" s="2522"/>
    </row>
    <row r="395" spans="1:18">
      <c r="A395" s="2202">
        <v>2005.02</v>
      </c>
      <c r="B395" s="2324">
        <v>99.5191933751547</v>
      </c>
      <c r="C395" s="3269">
        <v>97.299641751918401</v>
      </c>
      <c r="D395" s="2325">
        <v>102.65342880746999</v>
      </c>
      <c r="E395" s="2326">
        <v>98.442483239112207</v>
      </c>
      <c r="F395" s="3269">
        <v>95.835254342343205</v>
      </c>
      <c r="G395" s="2325">
        <v>102.122478155416</v>
      </c>
      <c r="H395" s="2326">
        <v>2.93</v>
      </c>
      <c r="I395" s="3500">
        <v>2.8988888888888891</v>
      </c>
      <c r="J395" s="336"/>
      <c r="K395" s="309"/>
      <c r="L395" s="309"/>
      <c r="M395" s="1027"/>
      <c r="N395" s="1020"/>
      <c r="O395" s="3363">
        <v>191.8</v>
      </c>
      <c r="P395" s="2322">
        <v>151.6</v>
      </c>
      <c r="Q395" s="2204"/>
      <c r="R395" s="2204"/>
    </row>
    <row r="396" spans="1:18">
      <c r="A396" s="2202">
        <v>2005.03</v>
      </c>
      <c r="B396" s="2324">
        <v>98.898581171535199</v>
      </c>
      <c r="C396" s="3269">
        <v>96.155213816753999</v>
      </c>
      <c r="D396" s="2325">
        <v>102.792307354397</v>
      </c>
      <c r="E396" s="2326">
        <v>97.941683129378006</v>
      </c>
      <c r="F396" s="3269">
        <v>94.827454561183004</v>
      </c>
      <c r="G396" s="2325">
        <v>102.363203146589</v>
      </c>
      <c r="H396" s="2326">
        <v>2.92</v>
      </c>
      <c r="I396" s="3500">
        <v>2.9066666666666658</v>
      </c>
      <c r="J396" s="336"/>
      <c r="K396" s="309"/>
      <c r="L396" s="309"/>
      <c r="M396" s="1027"/>
      <c r="N396" s="1020"/>
      <c r="O396" s="3363">
        <v>193.3</v>
      </c>
      <c r="P396" s="2322">
        <v>153.69999999999999</v>
      </c>
      <c r="Q396" s="2204"/>
      <c r="R396" s="2204"/>
    </row>
    <row r="397" spans="1:18">
      <c r="A397" s="2202">
        <v>2005.04</v>
      </c>
      <c r="B397" s="2324">
        <v>99.805994074441102</v>
      </c>
      <c r="C397" s="3269">
        <v>97.720128528486597</v>
      </c>
      <c r="D397" s="2325">
        <v>102.747823228855</v>
      </c>
      <c r="E397" s="2326">
        <v>98.970516794319295</v>
      </c>
      <c r="F397" s="3269">
        <v>96.584690191325095</v>
      </c>
      <c r="G397" s="2325">
        <v>102.329485904858</v>
      </c>
      <c r="H397" s="2326">
        <v>2.9</v>
      </c>
      <c r="I397" s="3500">
        <v>2.8800000000000008</v>
      </c>
      <c r="J397" s="336"/>
      <c r="K397" s="309"/>
      <c r="L397" s="309"/>
      <c r="M397" s="1027"/>
      <c r="N397" s="1020"/>
      <c r="O397" s="3363">
        <v>194.6</v>
      </c>
      <c r="P397" s="2322">
        <v>155</v>
      </c>
      <c r="Q397" s="2204"/>
      <c r="R397" s="2204"/>
    </row>
    <row r="398" spans="1:18">
      <c r="A398" s="2202">
        <v>2005.05</v>
      </c>
      <c r="B398" s="2324">
        <v>100.36556018773901</v>
      </c>
      <c r="C398" s="3269">
        <v>99.142622461052397</v>
      </c>
      <c r="D398" s="2325">
        <v>102.086539228666</v>
      </c>
      <c r="E398" s="2326">
        <v>99.333565017139307</v>
      </c>
      <c r="F398" s="3269">
        <v>97.884883059472699</v>
      </c>
      <c r="G398" s="2325">
        <v>101.355011047031</v>
      </c>
      <c r="H398" s="2326">
        <v>2.88</v>
      </c>
      <c r="I398" s="3500">
        <v>2.871999999999999</v>
      </c>
      <c r="J398" s="336"/>
      <c r="K398" s="309"/>
      <c r="L398" s="309"/>
      <c r="M398" s="1027"/>
      <c r="N398" s="1020"/>
      <c r="O398" s="3363">
        <v>194.4</v>
      </c>
      <c r="P398" s="2322">
        <v>154.30000000000001</v>
      </c>
      <c r="Q398" s="2204"/>
      <c r="R398" s="2204"/>
    </row>
    <row r="399" spans="1:18">
      <c r="A399" s="2202">
        <v>2005.06</v>
      </c>
      <c r="B399" s="2324">
        <v>101.33194686177499</v>
      </c>
      <c r="C399" s="3269">
        <v>100.846436355088</v>
      </c>
      <c r="D399" s="2325">
        <v>102.025119137255</v>
      </c>
      <c r="E399" s="2326">
        <v>100.228467612598</v>
      </c>
      <c r="F399" s="3269">
        <v>99.544202034844503</v>
      </c>
      <c r="G399" s="2325">
        <v>101.181403839312</v>
      </c>
      <c r="H399" s="2326">
        <v>2.89</v>
      </c>
      <c r="I399" s="3500">
        <v>2.8636363636363638</v>
      </c>
      <c r="J399" s="336"/>
      <c r="K399" s="309"/>
      <c r="L399" s="309"/>
      <c r="M399" s="1027"/>
      <c r="N399" s="1020"/>
      <c r="O399" s="3363">
        <v>194.5</v>
      </c>
      <c r="P399" s="2322">
        <v>154.30000000000001</v>
      </c>
      <c r="Q399" s="2204"/>
      <c r="R399" s="2204"/>
    </row>
    <row r="400" spans="1:18">
      <c r="A400" s="2202">
        <v>2005.07</v>
      </c>
      <c r="B400" s="2324">
        <v>101.766509546637</v>
      </c>
      <c r="C400" s="3269">
        <v>101.734227026222</v>
      </c>
      <c r="D400" s="2325">
        <v>101.83894036080601</v>
      </c>
      <c r="E400" s="2326">
        <v>100.934009343561</v>
      </c>
      <c r="F400" s="3269">
        <v>100.79281543158299</v>
      </c>
      <c r="G400" s="2325">
        <v>101.13976217039701</v>
      </c>
      <c r="H400" s="2326">
        <v>2.87</v>
      </c>
      <c r="I400" s="3500">
        <v>2.8485714285714296</v>
      </c>
      <c r="J400" s="336"/>
      <c r="K400" s="309"/>
      <c r="L400" s="309"/>
      <c r="M400" s="1027"/>
      <c r="N400" s="1020"/>
      <c r="O400" s="3363">
        <v>195.4</v>
      </c>
      <c r="P400" s="2322">
        <v>156.30000000000001</v>
      </c>
      <c r="Q400" s="2204"/>
      <c r="R400" s="2204"/>
    </row>
    <row r="401" spans="1:18">
      <c r="A401" s="2202">
        <v>2005.08</v>
      </c>
      <c r="B401" s="2324">
        <v>100.417296828066</v>
      </c>
      <c r="C401" s="3269">
        <v>99.889342889720794</v>
      </c>
      <c r="D401" s="2325">
        <v>101.17022082089601</v>
      </c>
      <c r="E401" s="2326">
        <v>100.039225566757</v>
      </c>
      <c r="F401" s="3269">
        <v>99.393329966779802</v>
      </c>
      <c r="G401" s="2325">
        <v>100.93903654706899</v>
      </c>
      <c r="H401" s="2326">
        <v>2.9</v>
      </c>
      <c r="I401" s="3500">
        <v>2.8686363636363641</v>
      </c>
      <c r="J401" s="336"/>
      <c r="K401" s="309"/>
      <c r="L401" s="309"/>
      <c r="M401" s="1027"/>
      <c r="N401" s="1020"/>
      <c r="O401" s="3363">
        <v>196.4</v>
      </c>
      <c r="P401" s="2322">
        <v>157.6</v>
      </c>
      <c r="Q401" s="2204"/>
      <c r="R401" s="2204"/>
    </row>
    <row r="402" spans="1:18">
      <c r="A402" s="2202">
        <v>2005.09</v>
      </c>
      <c r="B402" s="2324">
        <v>100.24145241677699</v>
      </c>
      <c r="C402" s="3269">
        <v>99.286425537312795</v>
      </c>
      <c r="D402" s="2325">
        <v>101.585783935105</v>
      </c>
      <c r="E402" s="2326">
        <v>100.86532597687901</v>
      </c>
      <c r="F402" s="3269">
        <v>99.646107023628204</v>
      </c>
      <c r="G402" s="2325">
        <v>102.563767612101</v>
      </c>
      <c r="H402" s="2326">
        <v>2.9</v>
      </c>
      <c r="I402" s="3500">
        <v>2.8918181818181816</v>
      </c>
      <c r="J402" s="336"/>
      <c r="K402" s="309"/>
      <c r="L402" s="309"/>
      <c r="M402" s="1027"/>
      <c r="N402" s="1020"/>
      <c r="O402" s="3363">
        <v>198.8</v>
      </c>
      <c r="P402" s="2322">
        <v>162.19999999999999</v>
      </c>
      <c r="Q402" s="2204"/>
      <c r="R402" s="2204"/>
    </row>
    <row r="403" spans="1:18">
      <c r="A403" s="2202">
        <v>2005.1</v>
      </c>
      <c r="B403" s="2324">
        <v>101.259068338519</v>
      </c>
      <c r="C403" s="3269">
        <v>100.761870520529</v>
      </c>
      <c r="D403" s="2325">
        <v>101.96832504669</v>
      </c>
      <c r="E403" s="2326">
        <v>101.884363526793</v>
      </c>
      <c r="F403" s="3269">
        <v>101.23716490801201</v>
      </c>
      <c r="G403" s="2325">
        <v>102.78609196630801</v>
      </c>
      <c r="H403" s="2326">
        <v>3.01</v>
      </c>
      <c r="I403" s="3500">
        <v>2.9471428571428571</v>
      </c>
      <c r="J403" s="336"/>
      <c r="K403" s="309"/>
      <c r="L403" s="309"/>
      <c r="M403" s="1027"/>
      <c r="N403" s="1020"/>
      <c r="O403" s="3363">
        <v>199.2</v>
      </c>
      <c r="P403" s="2322">
        <v>166.2</v>
      </c>
      <c r="Q403" s="2204"/>
      <c r="R403" s="2204"/>
    </row>
    <row r="404" spans="1:18">
      <c r="A404" s="2202">
        <v>2005.11</v>
      </c>
      <c r="B404" s="2324">
        <v>102.031994637347</v>
      </c>
      <c r="C404" s="3269">
        <v>102.417002609771</v>
      </c>
      <c r="D404" s="2325">
        <v>101.53846281952499</v>
      </c>
      <c r="E404" s="2326">
        <v>102.07163246063899</v>
      </c>
      <c r="F404" s="3269">
        <v>102.407759493917</v>
      </c>
      <c r="G404" s="2325">
        <v>101.62856835556499</v>
      </c>
      <c r="H404" s="2326">
        <v>2.98</v>
      </c>
      <c r="I404" s="3500">
        <v>2.9454545454545453</v>
      </c>
      <c r="J404" s="336"/>
      <c r="K404" s="309"/>
      <c r="L404" s="309"/>
      <c r="M404" s="1027"/>
      <c r="N404" s="1020"/>
      <c r="O404" s="3363">
        <v>197.6</v>
      </c>
      <c r="P404" s="2322">
        <v>163.69999999999999</v>
      </c>
      <c r="Q404" s="2204"/>
      <c r="R404" s="2204"/>
    </row>
    <row r="405" spans="1:18">
      <c r="A405" s="2202">
        <v>2005.12</v>
      </c>
      <c r="B405" s="2324">
        <v>101.329606824064</v>
      </c>
      <c r="C405" s="3269">
        <v>101.48907154814199</v>
      </c>
      <c r="D405" s="2325">
        <v>101.141708640757</v>
      </c>
      <c r="E405" s="2326">
        <v>101.194078070494</v>
      </c>
      <c r="F405" s="3269">
        <v>101.366194355697</v>
      </c>
      <c r="G405" s="2325">
        <v>100.973084788074</v>
      </c>
      <c r="H405" s="2326">
        <v>3.03</v>
      </c>
      <c r="I405" s="3500">
        <v>2.9945454545454551</v>
      </c>
      <c r="J405" s="336"/>
      <c r="K405" s="309"/>
      <c r="L405" s="309"/>
      <c r="M405" s="1027"/>
      <c r="N405" s="1020"/>
      <c r="O405" s="3363">
        <v>196.8</v>
      </c>
      <c r="P405" s="2322">
        <v>163</v>
      </c>
      <c r="Q405" s="2204"/>
      <c r="R405" s="2204"/>
    </row>
    <row r="406" spans="1:18">
      <c r="A406" s="2202">
        <v>2006.01</v>
      </c>
      <c r="B406" s="2324">
        <v>100</v>
      </c>
      <c r="C406" s="3269">
        <v>100</v>
      </c>
      <c r="D406" s="2325">
        <v>100</v>
      </c>
      <c r="E406" s="2326">
        <v>100</v>
      </c>
      <c r="F406" s="3269">
        <v>100</v>
      </c>
      <c r="G406" s="2325">
        <v>100</v>
      </c>
      <c r="H406" s="2326">
        <v>3.06</v>
      </c>
      <c r="I406" s="3500">
        <v>3.0290909090909097</v>
      </c>
      <c r="J406" s="336"/>
      <c r="K406" s="309"/>
      <c r="L406" s="309"/>
      <c r="M406" s="1027"/>
      <c r="N406" s="1020"/>
      <c r="O406" s="3363">
        <v>198.3</v>
      </c>
      <c r="P406" s="2322">
        <v>164.3</v>
      </c>
      <c r="Q406" s="2204"/>
      <c r="R406" s="2522"/>
    </row>
    <row r="407" spans="1:18">
      <c r="A407" s="2202">
        <v>2006.02</v>
      </c>
      <c r="B407" s="2324">
        <v>100.21120000000001</v>
      </c>
      <c r="C407" s="3269">
        <v>100.7907</v>
      </c>
      <c r="D407" s="2325">
        <v>99.467299999999994</v>
      </c>
      <c r="E407" s="2326">
        <v>100.2398</v>
      </c>
      <c r="F407" s="3269">
        <v>100.9186</v>
      </c>
      <c r="G407" s="2325">
        <v>99.369299999999996</v>
      </c>
      <c r="H407" s="2326">
        <v>3.08</v>
      </c>
      <c r="I407" s="3500">
        <v>3.0509999999999993</v>
      </c>
      <c r="J407" s="336"/>
      <c r="K407" s="309"/>
      <c r="L407" s="309"/>
      <c r="M407" s="1027"/>
      <c r="N407" s="1020"/>
      <c r="O407" s="3363">
        <v>198.7</v>
      </c>
      <c r="P407" s="2322">
        <v>161.80000000000001</v>
      </c>
      <c r="Q407" s="2204"/>
      <c r="R407" s="2204"/>
    </row>
    <row r="408" spans="1:18">
      <c r="A408" s="2202">
        <v>2006.03</v>
      </c>
      <c r="B408" s="2324">
        <v>100.4281</v>
      </c>
      <c r="C408" s="3269">
        <v>100.7567</v>
      </c>
      <c r="D408" s="2325">
        <v>100.0048</v>
      </c>
      <c r="E408" s="2326">
        <v>100.533</v>
      </c>
      <c r="F408" s="3269">
        <v>101.0025</v>
      </c>
      <c r="G408" s="2325">
        <v>99.929500000000004</v>
      </c>
      <c r="H408" s="2326">
        <v>3.08</v>
      </c>
      <c r="I408" s="3500">
        <v>3.0565217391304347</v>
      </c>
      <c r="J408" s="336"/>
      <c r="K408" s="309"/>
      <c r="L408" s="309"/>
      <c r="M408" s="1027"/>
      <c r="N408" s="1020"/>
      <c r="O408" s="3363">
        <v>199.8</v>
      </c>
      <c r="P408" s="2322">
        <v>162.19999999999999</v>
      </c>
      <c r="Q408" s="2204"/>
      <c r="R408" s="2204"/>
    </row>
    <row r="409" spans="1:18">
      <c r="A409" s="2202">
        <v>2006.04</v>
      </c>
      <c r="B409" s="2324">
        <v>99.743499999999997</v>
      </c>
      <c r="C409" s="3269">
        <v>99.411799999999999</v>
      </c>
      <c r="D409" s="2325">
        <v>100.1765</v>
      </c>
      <c r="E409" s="2326">
        <v>100.0359</v>
      </c>
      <c r="F409" s="3269">
        <v>99.851200000000006</v>
      </c>
      <c r="G409" s="2325">
        <v>100.2749</v>
      </c>
      <c r="H409" s="2326">
        <v>3.05</v>
      </c>
      <c r="I409" s="3500">
        <v>3.0472222222222225</v>
      </c>
      <c r="J409" s="336"/>
      <c r="K409" s="309"/>
      <c r="L409" s="309"/>
      <c r="M409" s="1027"/>
      <c r="N409" s="1020"/>
      <c r="O409" s="3363">
        <v>201.5</v>
      </c>
      <c r="P409" s="2322">
        <v>164.3</v>
      </c>
      <c r="Q409" s="2204"/>
      <c r="R409" s="2204"/>
    </row>
    <row r="410" spans="1:18">
      <c r="A410" s="2202">
        <v>2006.05</v>
      </c>
      <c r="B410" s="2324">
        <v>97.511799999999994</v>
      </c>
      <c r="C410" s="3269">
        <v>95.556899999999999</v>
      </c>
      <c r="D410" s="2325">
        <v>100.0994</v>
      </c>
      <c r="E410" s="2326">
        <v>97.853099999999998</v>
      </c>
      <c r="F410" s="3269">
        <v>96.095100000000002</v>
      </c>
      <c r="G410" s="2325">
        <v>100.17270000000001</v>
      </c>
      <c r="H410" s="2326">
        <v>3.09</v>
      </c>
      <c r="I410" s="3500">
        <v>3.0360869565217392</v>
      </c>
      <c r="J410" s="336"/>
      <c r="K410" s="309"/>
      <c r="L410" s="309"/>
      <c r="M410" s="1027"/>
      <c r="N410" s="1020"/>
      <c r="O410" s="3363">
        <v>202.5</v>
      </c>
      <c r="P410" s="2322">
        <v>165.8</v>
      </c>
      <c r="Q410" s="2204"/>
      <c r="R410" s="2204"/>
    </row>
    <row r="411" spans="1:18">
      <c r="A411" s="2202">
        <v>2006.06</v>
      </c>
      <c r="B411" s="2324">
        <v>98.692700000000002</v>
      </c>
      <c r="C411" s="3269">
        <v>96.561700000000002</v>
      </c>
      <c r="D411" s="2325">
        <v>101.51739999999999</v>
      </c>
      <c r="E411" s="2326">
        <v>99.186300000000003</v>
      </c>
      <c r="F411" s="3269">
        <v>97.286699999999996</v>
      </c>
      <c r="G411" s="2325">
        <v>101.6961</v>
      </c>
      <c r="H411" s="2326">
        <v>3.09</v>
      </c>
      <c r="I411" s="3500">
        <v>3.0622727272727275</v>
      </c>
      <c r="J411" s="336"/>
      <c r="K411" s="309"/>
      <c r="L411" s="309"/>
      <c r="M411" s="1027"/>
      <c r="N411" s="1020"/>
      <c r="O411" s="3363">
        <v>202.9</v>
      </c>
      <c r="P411" s="2322">
        <v>166.1</v>
      </c>
      <c r="Q411" s="2204"/>
      <c r="R411" s="2204"/>
    </row>
    <row r="412" spans="1:18">
      <c r="A412" s="2202">
        <v>2006.07</v>
      </c>
      <c r="B412" s="2324">
        <v>98.438699999999997</v>
      </c>
      <c r="C412" s="3269">
        <v>97.031599999999997</v>
      </c>
      <c r="D412" s="2325">
        <v>100.28830000000001</v>
      </c>
      <c r="E412" s="2326">
        <v>99.3613</v>
      </c>
      <c r="F412" s="3269">
        <v>98.191800000000001</v>
      </c>
      <c r="G412" s="2325">
        <v>100.8933</v>
      </c>
      <c r="H412" s="2326">
        <v>3.09</v>
      </c>
      <c r="I412" s="3500">
        <v>3.0619047619047626</v>
      </c>
      <c r="J412" s="336"/>
      <c r="K412" s="309"/>
      <c r="L412" s="309"/>
      <c r="M412" s="1027"/>
      <c r="N412" s="1020"/>
      <c r="O412" s="3363">
        <v>203.5</v>
      </c>
      <c r="P412" s="2322">
        <v>166.8</v>
      </c>
      <c r="Q412" s="2204"/>
      <c r="R412" s="2204"/>
    </row>
    <row r="413" spans="1:18">
      <c r="A413" s="2202">
        <v>2006.08</v>
      </c>
      <c r="B413" s="2324">
        <v>97.713800000000006</v>
      </c>
      <c r="C413" s="3269">
        <v>96.115499999999997</v>
      </c>
      <c r="D413" s="2325">
        <v>99.8185</v>
      </c>
      <c r="E413" s="2326">
        <v>98.820499999999996</v>
      </c>
      <c r="F413" s="3269">
        <v>97.482900000000001</v>
      </c>
      <c r="G413" s="2325">
        <v>100.57640000000001</v>
      </c>
      <c r="H413" s="2326">
        <v>3.1</v>
      </c>
      <c r="I413" s="3500">
        <v>3.0608695652173914</v>
      </c>
      <c r="J413" s="336"/>
      <c r="K413" s="309"/>
      <c r="L413" s="309"/>
      <c r="M413" s="1027"/>
      <c r="N413" s="1020"/>
      <c r="O413" s="3363">
        <v>203.9</v>
      </c>
      <c r="P413" s="2322">
        <v>167.9</v>
      </c>
      <c r="Q413" s="2204"/>
      <c r="R413" s="2204"/>
    </row>
    <row r="414" spans="1:18">
      <c r="A414" s="2202">
        <v>2006.09</v>
      </c>
      <c r="B414" s="2324">
        <v>97.981399999999994</v>
      </c>
      <c r="C414" s="3269">
        <v>96.546099999999996</v>
      </c>
      <c r="D414" s="2325">
        <v>99.867900000000006</v>
      </c>
      <c r="E414" s="2326">
        <v>98.553799999999995</v>
      </c>
      <c r="F414" s="3269">
        <v>97.600300000000004</v>
      </c>
      <c r="G414" s="2325">
        <v>99.8</v>
      </c>
      <c r="H414" s="2326">
        <v>3.1</v>
      </c>
      <c r="I414" s="3500">
        <v>3.0799999999999992</v>
      </c>
      <c r="J414" s="336"/>
      <c r="K414" s="309"/>
      <c r="L414" s="309"/>
      <c r="M414" s="1027"/>
      <c r="N414" s="1020"/>
      <c r="O414" s="3363">
        <v>202.9</v>
      </c>
      <c r="P414" s="2322">
        <v>165.4</v>
      </c>
      <c r="Q414" s="2204"/>
      <c r="R414" s="2204"/>
    </row>
    <row r="415" spans="1:18">
      <c r="A415" s="2202">
        <v>2006.1</v>
      </c>
      <c r="B415" s="2324">
        <v>98.315600000000003</v>
      </c>
      <c r="C415" s="3269">
        <v>97.481899999999996</v>
      </c>
      <c r="D415" s="2325">
        <v>99.404300000000006</v>
      </c>
      <c r="E415" s="2326">
        <v>98.341200000000001</v>
      </c>
      <c r="F415" s="3269">
        <v>98.060299999999998</v>
      </c>
      <c r="G415" s="2325">
        <v>98.705500000000001</v>
      </c>
      <c r="H415" s="2326">
        <v>3.1</v>
      </c>
      <c r="I415" s="3500">
        <v>3.0774999999999997</v>
      </c>
      <c r="J415" s="336"/>
      <c r="K415" s="309"/>
      <c r="L415" s="309"/>
      <c r="M415" s="1027"/>
      <c r="N415" s="1020"/>
      <c r="O415" s="3363">
        <v>201.8</v>
      </c>
      <c r="P415" s="2322">
        <v>162.19999999999999</v>
      </c>
      <c r="Q415" s="2204"/>
      <c r="R415" s="2204"/>
    </row>
    <row r="416" spans="1:18">
      <c r="A416" s="2202">
        <v>2006.11</v>
      </c>
      <c r="B416" s="2324">
        <v>97.513300000000001</v>
      </c>
      <c r="C416" s="3269">
        <v>96.464100000000002</v>
      </c>
      <c r="D416" s="2325">
        <v>98.887100000000004</v>
      </c>
      <c r="E416" s="2326">
        <v>97.353099999999998</v>
      </c>
      <c r="F416" s="3269">
        <v>96.865300000000005</v>
      </c>
      <c r="G416" s="2325">
        <v>97.986999999999995</v>
      </c>
      <c r="H416" s="2326">
        <v>3.08</v>
      </c>
      <c r="I416" s="3500">
        <v>3.0552380952380949</v>
      </c>
      <c r="J416" s="336"/>
      <c r="K416" s="309"/>
      <c r="L416" s="309"/>
      <c r="M416" s="1027"/>
      <c r="N416" s="1020"/>
      <c r="O416" s="3363">
        <v>201.5</v>
      </c>
      <c r="P416" s="2322">
        <v>164.6</v>
      </c>
      <c r="Q416" s="2204"/>
      <c r="R416" s="2204"/>
    </row>
    <row r="417" spans="1:18">
      <c r="A417" s="2202">
        <v>2006.12</v>
      </c>
      <c r="B417" s="2324">
        <v>96.795100000000005</v>
      </c>
      <c r="C417" s="3269">
        <v>95.783100000000005</v>
      </c>
      <c r="D417" s="2325">
        <v>98.119600000000005</v>
      </c>
      <c r="E417" s="2326">
        <v>96.770799999999994</v>
      </c>
      <c r="F417" s="3269">
        <v>96.435500000000005</v>
      </c>
      <c r="G417" s="2325">
        <v>97.205799999999996</v>
      </c>
      <c r="H417" s="2326">
        <v>3.08</v>
      </c>
      <c r="I417" s="3500">
        <v>3.0405263157894735</v>
      </c>
      <c r="J417" s="336"/>
      <c r="K417" s="309"/>
      <c r="L417" s="309"/>
      <c r="M417" s="1027"/>
      <c r="N417" s="1020"/>
      <c r="O417" s="3363">
        <v>201.8</v>
      </c>
      <c r="P417" s="2322">
        <v>165.6</v>
      </c>
      <c r="Q417" s="2204"/>
      <c r="R417" s="2204"/>
    </row>
    <row r="418" spans="1:18">
      <c r="A418" s="2202">
        <v>2007.01</v>
      </c>
      <c r="B418" s="2324">
        <v>97.833799999999997</v>
      </c>
      <c r="C418" s="3269">
        <v>97.485299999999995</v>
      </c>
      <c r="D418" s="2325">
        <v>98.288200000000003</v>
      </c>
      <c r="E418" s="2326">
        <v>97.799199999999999</v>
      </c>
      <c r="F418" s="3269">
        <v>98.1434</v>
      </c>
      <c r="G418" s="2325">
        <v>97.3613</v>
      </c>
      <c r="H418" s="2326">
        <v>3.08</v>
      </c>
      <c r="I418" s="3500">
        <v>3.0672727272727274</v>
      </c>
      <c r="J418" s="336"/>
      <c r="K418" s="309"/>
      <c r="L418" s="309"/>
      <c r="M418" s="1027"/>
      <c r="N418" s="1020"/>
      <c r="O418" s="3363">
        <v>202.416</v>
      </c>
      <c r="P418" s="2322">
        <v>164</v>
      </c>
      <c r="Q418" s="2204"/>
      <c r="R418" s="2522"/>
    </row>
    <row r="419" spans="1:18">
      <c r="A419" s="2202">
        <v>2007.02</v>
      </c>
      <c r="B419" s="2324">
        <v>97.476399999999998</v>
      </c>
      <c r="C419" s="3269">
        <v>97.075299999999999</v>
      </c>
      <c r="D419" s="2325">
        <v>97.999899999999997</v>
      </c>
      <c r="E419" s="2326">
        <v>97.682599999999994</v>
      </c>
      <c r="F419" s="3269">
        <v>97.977400000000003</v>
      </c>
      <c r="G419" s="2325">
        <v>97.3078</v>
      </c>
      <c r="H419" s="2326">
        <v>3.08</v>
      </c>
      <c r="I419" s="3500">
        <v>3.0819999999999994</v>
      </c>
      <c r="J419" s="336"/>
      <c r="K419" s="309"/>
      <c r="L419" s="309"/>
      <c r="M419" s="1027"/>
      <c r="N419" s="1020"/>
      <c r="O419" s="3363">
        <v>203.499</v>
      </c>
      <c r="P419" s="2322">
        <v>166.8</v>
      </c>
      <c r="Q419" s="2204"/>
      <c r="R419" s="2204"/>
    </row>
    <row r="420" spans="1:18">
      <c r="A420" s="2202">
        <v>2007.03</v>
      </c>
      <c r="B420" s="2324">
        <v>97.011799999999994</v>
      </c>
      <c r="C420" s="3269">
        <v>96.183000000000007</v>
      </c>
      <c r="D420" s="2325">
        <v>98.091899999999995</v>
      </c>
      <c r="E420" s="2326">
        <v>97.425899999999999</v>
      </c>
      <c r="F420" s="3269">
        <v>97.313100000000006</v>
      </c>
      <c r="G420" s="2325">
        <v>97.573400000000007</v>
      </c>
      <c r="H420" s="2326">
        <v>3.08</v>
      </c>
      <c r="I420" s="3500">
        <v>3.0813636363636352</v>
      </c>
      <c r="J420" s="336"/>
      <c r="K420" s="309"/>
      <c r="L420" s="309"/>
      <c r="M420" s="1027"/>
      <c r="N420" s="1020"/>
      <c r="O420" s="3363">
        <v>205.352</v>
      </c>
      <c r="P420" s="2322">
        <v>169.3</v>
      </c>
      <c r="Q420" s="2204"/>
      <c r="R420" s="2204"/>
    </row>
    <row r="421" spans="1:18">
      <c r="A421" s="2202">
        <v>2007.04</v>
      </c>
      <c r="B421" s="2324">
        <v>95.632199999999997</v>
      </c>
      <c r="C421" s="3269">
        <v>94.475700000000003</v>
      </c>
      <c r="D421" s="2325">
        <v>97.144599999999997</v>
      </c>
      <c r="E421" s="2326">
        <v>96.117900000000006</v>
      </c>
      <c r="F421" s="3269">
        <v>95.667299999999997</v>
      </c>
      <c r="G421" s="2325">
        <v>96.702500000000001</v>
      </c>
      <c r="H421" s="2326">
        <v>3.08</v>
      </c>
      <c r="I421" s="3500">
        <v>3.0700000000000003</v>
      </c>
      <c r="J421" s="336"/>
      <c r="K421" s="309"/>
      <c r="L421" s="309"/>
      <c r="M421" s="1027"/>
      <c r="N421" s="1020"/>
      <c r="O421" s="3363">
        <v>206.68600000000001</v>
      </c>
      <c r="P421" s="2322">
        <v>171.4</v>
      </c>
      <c r="Q421" s="2204"/>
      <c r="R421" s="2204"/>
    </row>
    <row r="422" spans="1:18">
      <c r="A422" s="2202">
        <v>2007.05</v>
      </c>
      <c r="B422" s="2324">
        <v>94.722499999999997</v>
      </c>
      <c r="C422" s="3269">
        <v>93.628699999999995</v>
      </c>
      <c r="D422" s="2325">
        <v>96.151700000000005</v>
      </c>
      <c r="E422" s="2326">
        <v>95.388499999999993</v>
      </c>
      <c r="F422" s="3269">
        <v>95.0976</v>
      </c>
      <c r="G422" s="2325">
        <v>95.765900000000002</v>
      </c>
      <c r="H422" s="2326">
        <v>3.08</v>
      </c>
      <c r="I422" s="3500">
        <v>3.0604761904761908</v>
      </c>
      <c r="J422" s="336"/>
      <c r="K422" s="309"/>
      <c r="L422" s="309"/>
      <c r="M422" s="1027"/>
      <c r="N422" s="1020"/>
      <c r="O422" s="3363">
        <v>207.94900000000001</v>
      </c>
      <c r="P422" s="2322">
        <v>173.3</v>
      </c>
      <c r="Q422" s="2204"/>
      <c r="R422" s="2204"/>
    </row>
    <row r="423" spans="1:18">
      <c r="A423" s="2202">
        <v>2007.06</v>
      </c>
      <c r="B423" s="2324">
        <v>94.444900000000004</v>
      </c>
      <c r="C423" s="3269">
        <v>93.253200000000007</v>
      </c>
      <c r="D423" s="2325">
        <v>96.003399999999999</v>
      </c>
      <c r="E423" s="2326">
        <v>95.121799999999993</v>
      </c>
      <c r="F423" s="3269">
        <v>94.941800000000001</v>
      </c>
      <c r="G423" s="2325">
        <v>95.355999999999995</v>
      </c>
      <c r="H423" s="2326">
        <v>3.09</v>
      </c>
      <c r="I423" s="3500">
        <v>3.0590000000000002</v>
      </c>
      <c r="J423" s="336"/>
      <c r="K423" s="309"/>
      <c r="L423" s="309"/>
      <c r="M423" s="1027"/>
      <c r="N423" s="1020"/>
      <c r="O423" s="3363">
        <v>208.352</v>
      </c>
      <c r="P423" s="2322">
        <v>173.8</v>
      </c>
      <c r="Q423" s="2204"/>
      <c r="R423" s="2204"/>
    </row>
    <row r="424" spans="1:18">
      <c r="A424" s="2202">
        <v>2007.07</v>
      </c>
      <c r="B424" s="2324">
        <v>93.2059</v>
      </c>
      <c r="C424" s="3269">
        <v>91.574399999999997</v>
      </c>
      <c r="D424" s="2325">
        <v>95.349800000000002</v>
      </c>
      <c r="E424" s="2326">
        <v>93.718199999999996</v>
      </c>
      <c r="F424" s="3269">
        <v>93.267600000000002</v>
      </c>
      <c r="G424" s="2325">
        <v>94.302800000000005</v>
      </c>
      <c r="H424" s="2326">
        <v>3.14</v>
      </c>
      <c r="I424" s="3500">
        <v>3.0928571428571425</v>
      </c>
      <c r="J424" s="336"/>
      <c r="K424" s="309"/>
      <c r="L424" s="309"/>
      <c r="M424" s="1027"/>
      <c r="N424" s="1020"/>
      <c r="O424" s="3363">
        <v>208.29900000000001</v>
      </c>
      <c r="P424" s="2322">
        <v>175.1</v>
      </c>
      <c r="Q424" s="2204"/>
      <c r="R424" s="2204"/>
    </row>
    <row r="425" spans="1:18">
      <c r="A425" s="2202">
        <v>2007.08</v>
      </c>
      <c r="B425" s="2324">
        <v>93.760300000000001</v>
      </c>
      <c r="C425" s="3269">
        <v>91.693899999999999</v>
      </c>
      <c r="D425" s="2325">
        <v>96.488799999999998</v>
      </c>
      <c r="E425" s="2326">
        <v>94.055999999999997</v>
      </c>
      <c r="F425" s="3269">
        <v>93.433300000000003</v>
      </c>
      <c r="G425" s="2325">
        <v>94.864699999999999</v>
      </c>
      <c r="H425" s="2326">
        <v>3.18</v>
      </c>
      <c r="I425" s="3500">
        <v>3.1331818181818178</v>
      </c>
      <c r="J425" s="336"/>
      <c r="K425" s="309"/>
      <c r="L425" s="309"/>
      <c r="M425" s="1027"/>
      <c r="N425" s="1020"/>
      <c r="O425" s="3363">
        <v>207.917</v>
      </c>
      <c r="P425" s="2322">
        <v>172.4</v>
      </c>
      <c r="Q425" s="2204"/>
      <c r="R425" s="2204"/>
    </row>
    <row r="426" spans="1:18">
      <c r="A426" s="2202">
        <v>2007.09</v>
      </c>
      <c r="B426" s="2324">
        <v>92.436599999999999</v>
      </c>
      <c r="C426" s="3269">
        <v>89.817700000000002</v>
      </c>
      <c r="D426" s="2325">
        <v>95.919399999999996</v>
      </c>
      <c r="E426" s="2326">
        <v>92.8566</v>
      </c>
      <c r="F426" s="3269">
        <v>91.662599999999998</v>
      </c>
      <c r="G426" s="2325">
        <v>94.415899999999993</v>
      </c>
      <c r="H426" s="2326">
        <v>3.16</v>
      </c>
      <c r="I426" s="3500">
        <v>3.1290000000000004</v>
      </c>
      <c r="J426" s="336"/>
      <c r="K426" s="309"/>
      <c r="L426" s="309"/>
      <c r="M426" s="1027"/>
      <c r="N426" s="1020"/>
      <c r="O426" s="3363">
        <v>208.49</v>
      </c>
      <c r="P426" s="2322">
        <v>173.5</v>
      </c>
      <c r="Q426" s="2204"/>
      <c r="R426" s="2204"/>
    </row>
    <row r="427" spans="1:18">
      <c r="A427" s="2202">
        <v>2007.1</v>
      </c>
      <c r="B427" s="2324">
        <v>90.400199999999998</v>
      </c>
      <c r="C427" s="3269">
        <v>87.408699999999996</v>
      </c>
      <c r="D427" s="2325">
        <v>94.399799999999999</v>
      </c>
      <c r="E427" s="2326">
        <v>90.730199999999996</v>
      </c>
      <c r="F427" s="3269">
        <v>89.184799999999996</v>
      </c>
      <c r="G427" s="2325">
        <v>92.757499999999993</v>
      </c>
      <c r="H427" s="2326">
        <v>3.16</v>
      </c>
      <c r="I427" s="3500">
        <v>3.1404545454545456</v>
      </c>
      <c r="J427" s="336"/>
      <c r="K427" s="309"/>
      <c r="L427" s="309"/>
      <c r="M427" s="1027"/>
      <c r="N427" s="1020"/>
      <c r="O427" s="3363">
        <v>208.93600000000001</v>
      </c>
      <c r="P427" s="2322">
        <v>174.7</v>
      </c>
      <c r="Q427" s="2204"/>
      <c r="R427" s="2204"/>
    </row>
    <row r="428" spans="1:18">
      <c r="A428" s="2202">
        <v>2007.11</v>
      </c>
      <c r="B428" s="2324">
        <v>89.052999999999997</v>
      </c>
      <c r="C428" s="3269">
        <v>85.383899999999997</v>
      </c>
      <c r="D428" s="2325">
        <v>94.004900000000006</v>
      </c>
      <c r="E428" s="2326">
        <v>89.662300000000002</v>
      </c>
      <c r="F428" s="3269">
        <v>87.462999999999994</v>
      </c>
      <c r="G428" s="2325">
        <v>92.571600000000004</v>
      </c>
      <c r="H428" s="2326">
        <v>3.15</v>
      </c>
      <c r="I428" s="3500">
        <v>3.1168181818181817</v>
      </c>
      <c r="J428" s="336"/>
      <c r="K428" s="309"/>
      <c r="L428" s="309"/>
      <c r="M428" s="1027"/>
      <c r="N428" s="1020"/>
      <c r="O428" s="3363">
        <v>210.17699999999999</v>
      </c>
      <c r="P428" s="2322">
        <v>179</v>
      </c>
      <c r="Q428" s="2204"/>
      <c r="R428" s="2204"/>
    </row>
    <row r="429" spans="1:18">
      <c r="A429" s="2202">
        <v>2007.12</v>
      </c>
      <c r="B429" s="2324">
        <v>90.004999999999995</v>
      </c>
      <c r="C429" s="3269">
        <v>87.229100000000003</v>
      </c>
      <c r="D429" s="2325">
        <v>93.706800000000001</v>
      </c>
      <c r="E429" s="2326">
        <v>90.509699999999995</v>
      </c>
      <c r="F429" s="3269">
        <v>89.285700000000006</v>
      </c>
      <c r="G429" s="2325">
        <v>92.109399999999994</v>
      </c>
      <c r="H429" s="2326">
        <v>3.15</v>
      </c>
      <c r="I429" s="3500">
        <v>3.1194444444444445</v>
      </c>
      <c r="J429" s="336"/>
      <c r="K429" s="309"/>
      <c r="L429" s="309"/>
      <c r="M429" s="1027"/>
      <c r="N429" s="1020"/>
      <c r="O429" s="3363">
        <v>210.036</v>
      </c>
      <c r="P429" s="2322">
        <v>178.6</v>
      </c>
      <c r="Q429" s="2204"/>
      <c r="R429" s="2204"/>
    </row>
    <row r="430" spans="1:18">
      <c r="A430" s="2202">
        <f t="shared" ref="A430:A493" si="0">A418+1</f>
        <v>2008.01</v>
      </c>
      <c r="B430" s="2324">
        <v>89.397099999999995</v>
      </c>
      <c r="C430" s="3269">
        <v>86.629099999999994</v>
      </c>
      <c r="D430" s="2325">
        <v>93.091200000000001</v>
      </c>
      <c r="E430" s="2326">
        <v>89.972899999999996</v>
      </c>
      <c r="F430" s="3269">
        <v>88.852099999999993</v>
      </c>
      <c r="G430" s="2325">
        <v>91.438500000000005</v>
      </c>
      <c r="H430" s="2326">
        <v>3.16</v>
      </c>
      <c r="I430" s="3500">
        <v>3.1265217391304354</v>
      </c>
      <c r="J430" s="336"/>
      <c r="K430" s="309"/>
      <c r="L430" s="309"/>
      <c r="M430" s="1027"/>
      <c r="N430" s="1020"/>
      <c r="O430" s="3363">
        <v>211.08</v>
      </c>
      <c r="P430" s="2322">
        <v>181</v>
      </c>
      <c r="Q430" s="2204"/>
      <c r="R430" s="2522"/>
    </row>
    <row r="431" spans="1:18">
      <c r="A431" s="2202">
        <f t="shared" si="0"/>
        <v>2008.02</v>
      </c>
      <c r="B431" s="2324">
        <v>88.6434</v>
      </c>
      <c r="C431" s="3269">
        <v>86.054199999999994</v>
      </c>
      <c r="D431" s="2325">
        <v>92.097200000000001</v>
      </c>
      <c r="E431" s="2326">
        <v>89.001099999999994</v>
      </c>
      <c r="F431" s="3269">
        <v>88.302300000000002</v>
      </c>
      <c r="G431" s="2325">
        <v>89.921999999999997</v>
      </c>
      <c r="H431" s="2326">
        <v>3.16</v>
      </c>
      <c r="I431" s="3500">
        <v>3.1395000000000008</v>
      </c>
      <c r="J431" s="336"/>
      <c r="K431" s="309"/>
      <c r="L431" s="309"/>
      <c r="M431" s="1027"/>
      <c r="N431" s="1020"/>
      <c r="O431" s="3363">
        <v>211.69300000000001</v>
      </c>
      <c r="P431" s="2322">
        <v>182.7</v>
      </c>
      <c r="Q431" s="2204"/>
      <c r="R431" s="2204"/>
    </row>
    <row r="432" spans="1:18">
      <c r="A432" s="2202">
        <f t="shared" si="0"/>
        <v>2008.03</v>
      </c>
      <c r="B432" s="2324">
        <v>86.8399</v>
      </c>
      <c r="C432" s="3269">
        <v>83.408900000000003</v>
      </c>
      <c r="D432" s="2325">
        <v>91.444500000000005</v>
      </c>
      <c r="E432" s="2326">
        <v>87.207999999999998</v>
      </c>
      <c r="F432" s="3269">
        <v>85.706599999999995</v>
      </c>
      <c r="G432" s="2325">
        <v>89.169799999999995</v>
      </c>
      <c r="H432" s="2326">
        <v>3.16</v>
      </c>
      <c r="I432" s="3500">
        <v>3.1366666666666663</v>
      </c>
      <c r="J432" s="336"/>
      <c r="K432" s="309"/>
      <c r="L432" s="309"/>
      <c r="M432" s="1027"/>
      <c r="N432" s="1020"/>
      <c r="O432" s="3363">
        <v>213.52799999999999</v>
      </c>
      <c r="P432" s="2322">
        <v>187.9</v>
      </c>
      <c r="Q432" s="2204"/>
      <c r="R432" s="2204"/>
    </row>
    <row r="433" spans="1:18">
      <c r="A433" s="2202">
        <f t="shared" si="0"/>
        <v>2008.04</v>
      </c>
      <c r="B433" s="2324">
        <v>86.547499999999999</v>
      </c>
      <c r="C433" s="3269">
        <v>83.517099999999999</v>
      </c>
      <c r="D433" s="2325">
        <v>90.601100000000002</v>
      </c>
      <c r="E433" s="2326">
        <v>86.819299999999998</v>
      </c>
      <c r="F433" s="3269">
        <v>85.879499999999993</v>
      </c>
      <c r="G433" s="2325">
        <v>88.05</v>
      </c>
      <c r="H433" s="2326">
        <v>3.18</v>
      </c>
      <c r="I433" s="3500">
        <v>3.1461904761904753</v>
      </c>
      <c r="J433" s="336"/>
      <c r="K433" s="309"/>
      <c r="L433" s="309"/>
      <c r="M433" s="1027"/>
      <c r="N433" s="1020"/>
      <c r="O433" s="3363">
        <v>214.82300000000001</v>
      </c>
      <c r="P433" s="2322">
        <v>190.9</v>
      </c>
      <c r="Q433" s="2204"/>
      <c r="R433" s="2204"/>
    </row>
    <row r="434" spans="1:18">
      <c r="A434" s="2202">
        <f t="shared" si="0"/>
        <v>2008.05</v>
      </c>
      <c r="B434" s="2324">
        <v>86.8245</v>
      </c>
      <c r="C434" s="3269">
        <v>83.810100000000006</v>
      </c>
      <c r="D434" s="2325">
        <v>90.856399999999994</v>
      </c>
      <c r="E434" s="2326">
        <v>87.147999999999996</v>
      </c>
      <c r="F434" s="3269">
        <v>86.211600000000004</v>
      </c>
      <c r="G434" s="2325">
        <v>88.374499999999998</v>
      </c>
      <c r="H434" s="2326">
        <v>3.11</v>
      </c>
      <c r="I434" s="3500">
        <v>3.1304761904761902</v>
      </c>
      <c r="J434" s="336"/>
      <c r="K434" s="309"/>
      <c r="L434" s="309"/>
      <c r="M434" s="1027"/>
      <c r="N434" s="1020"/>
      <c r="O434" s="3363">
        <v>216.63200000000001</v>
      </c>
      <c r="P434" s="2322">
        <v>196.6</v>
      </c>
      <c r="Q434" s="2204"/>
      <c r="R434" s="2204"/>
    </row>
    <row r="435" spans="1:18">
      <c r="A435" s="2202">
        <f t="shared" si="0"/>
        <v>2008.06</v>
      </c>
      <c r="B435" s="2324">
        <v>87.072800000000001</v>
      </c>
      <c r="C435" s="3269">
        <v>84.555800000000005</v>
      </c>
      <c r="D435" s="2325">
        <v>90.429199999999994</v>
      </c>
      <c r="E435" s="2326">
        <v>87.730500000000006</v>
      </c>
      <c r="F435" s="3269">
        <v>87.378200000000007</v>
      </c>
      <c r="G435" s="2325">
        <v>88.208399999999997</v>
      </c>
      <c r="H435" s="2326">
        <v>3.03</v>
      </c>
      <c r="I435" s="3500">
        <v>3.0270000000000001</v>
      </c>
      <c r="J435" s="336"/>
      <c r="K435" s="309"/>
      <c r="L435" s="309"/>
      <c r="M435" s="1027"/>
      <c r="N435" s="1020"/>
      <c r="O435" s="3363">
        <v>218.815</v>
      </c>
      <c r="P435" s="2322">
        <v>200.5</v>
      </c>
      <c r="Q435" s="2204"/>
      <c r="R435" s="2204"/>
    </row>
    <row r="436" spans="1:18">
      <c r="A436" s="2202">
        <f t="shared" si="0"/>
        <v>2008.07</v>
      </c>
      <c r="B436" s="2324">
        <v>86.453800000000001</v>
      </c>
      <c r="C436" s="3269">
        <v>83.927300000000002</v>
      </c>
      <c r="D436" s="2325">
        <v>89.824399999999997</v>
      </c>
      <c r="E436" s="2326">
        <v>87.330699999999993</v>
      </c>
      <c r="F436" s="3269">
        <v>86.988699999999994</v>
      </c>
      <c r="G436" s="2325">
        <v>87.795299999999997</v>
      </c>
      <c r="H436" s="2326">
        <v>3.03</v>
      </c>
      <c r="I436" s="3500">
        <v>3.002727272727272</v>
      </c>
      <c r="J436" s="336"/>
      <c r="K436" s="309"/>
      <c r="L436" s="309"/>
      <c r="M436" s="1027"/>
      <c r="N436" s="1020"/>
      <c r="O436" s="3363">
        <v>219.964</v>
      </c>
      <c r="P436" s="2322">
        <v>205.5</v>
      </c>
      <c r="Q436" s="2204"/>
      <c r="R436" s="2204"/>
    </row>
    <row r="437" spans="1:18">
      <c r="A437" s="2202">
        <f t="shared" si="0"/>
        <v>2008.08</v>
      </c>
      <c r="B437" s="2324">
        <v>88.944999999999993</v>
      </c>
      <c r="C437" s="3269">
        <v>87.791300000000007</v>
      </c>
      <c r="D437" s="2325">
        <v>90.498999999999995</v>
      </c>
      <c r="E437" s="2326">
        <v>89.676599999999993</v>
      </c>
      <c r="F437" s="3269">
        <v>90.878299999999996</v>
      </c>
      <c r="G437" s="2325">
        <v>88.216800000000006</v>
      </c>
      <c r="H437" s="2326">
        <v>3.04</v>
      </c>
      <c r="I437" s="3500">
        <v>3.0144999999999991</v>
      </c>
      <c r="J437" s="336"/>
      <c r="K437" s="309"/>
      <c r="L437" s="309"/>
      <c r="M437" s="1027"/>
      <c r="N437" s="1020"/>
      <c r="O437" s="3363">
        <v>219.08600000000001</v>
      </c>
      <c r="P437" s="2322">
        <v>199</v>
      </c>
      <c r="Q437" s="2204"/>
      <c r="R437" s="2204"/>
    </row>
    <row r="438" spans="1:18">
      <c r="A438" s="2202">
        <f t="shared" si="0"/>
        <v>2008.09</v>
      </c>
      <c r="B438" s="2324">
        <v>91.265100000000004</v>
      </c>
      <c r="C438" s="3269">
        <v>89.686999999999998</v>
      </c>
      <c r="D438" s="2325">
        <v>93.3797</v>
      </c>
      <c r="E438" s="2326">
        <v>92.031999999999996</v>
      </c>
      <c r="F438" s="3269">
        <v>92.829599999999999</v>
      </c>
      <c r="G438" s="2325">
        <v>91.069599999999994</v>
      </c>
      <c r="H438" s="2326">
        <v>3.13</v>
      </c>
      <c r="I438" s="3500">
        <v>3.0650000000000004</v>
      </c>
      <c r="J438" s="336"/>
      <c r="K438" s="309"/>
      <c r="L438" s="309"/>
      <c r="M438" s="1027"/>
      <c r="N438" s="1020"/>
      <c r="O438" s="3363">
        <v>218.78299999999999</v>
      </c>
      <c r="P438" s="2322">
        <v>196.9</v>
      </c>
      <c r="Q438" s="2204"/>
      <c r="R438" s="2204"/>
    </row>
    <row r="439" spans="1:18">
      <c r="A439" s="2202">
        <f t="shared" si="0"/>
        <v>2008.1</v>
      </c>
      <c r="B439" s="2324">
        <v>98.04</v>
      </c>
      <c r="C439" s="3269">
        <v>96.041300000000007</v>
      </c>
      <c r="D439" s="2325">
        <v>100.7111</v>
      </c>
      <c r="E439" s="2326">
        <v>97.993399999999994</v>
      </c>
      <c r="F439" s="3269">
        <v>98.787199999999999</v>
      </c>
      <c r="G439" s="2325">
        <v>97.037199999999999</v>
      </c>
      <c r="H439" s="2326">
        <v>3.38</v>
      </c>
      <c r="I439" s="3500">
        <v>3.2227272727272731</v>
      </c>
      <c r="J439" s="336"/>
      <c r="K439" s="309"/>
      <c r="L439" s="309"/>
      <c r="M439" s="1027"/>
      <c r="N439" s="1020"/>
      <c r="O439" s="3363">
        <v>216.57300000000001</v>
      </c>
      <c r="P439" s="2322">
        <v>186.4</v>
      </c>
      <c r="Q439" s="2204"/>
      <c r="R439" s="2204"/>
    </row>
    <row r="440" spans="1:18">
      <c r="A440" s="2202">
        <f t="shared" si="0"/>
        <v>2008.11</v>
      </c>
      <c r="B440" s="2324">
        <v>100.7667</v>
      </c>
      <c r="C440" s="3269">
        <v>99.173100000000005</v>
      </c>
      <c r="D440" s="2325">
        <v>102.901</v>
      </c>
      <c r="E440" s="2326">
        <v>99.167400000000001</v>
      </c>
      <c r="F440" s="3269">
        <v>100.5686</v>
      </c>
      <c r="G440" s="2325">
        <v>97.464699999999993</v>
      </c>
      <c r="H440" s="2326">
        <v>3.38</v>
      </c>
      <c r="I440" s="3500">
        <v>3.31</v>
      </c>
      <c r="J440" s="336"/>
      <c r="K440" s="309"/>
      <c r="L440" s="309"/>
      <c r="M440" s="1027"/>
      <c r="N440" s="1020"/>
      <c r="O440" s="3363">
        <v>212.42500000000001</v>
      </c>
      <c r="P440" s="2322">
        <v>176.8</v>
      </c>
      <c r="Q440" s="2204"/>
      <c r="R440" s="2204"/>
    </row>
    <row r="441" spans="1:18">
      <c r="A441" s="2202">
        <f t="shared" si="0"/>
        <v>2008.12</v>
      </c>
      <c r="B441" s="2324">
        <v>99.662199999999999</v>
      </c>
      <c r="C441" s="3269">
        <v>96.818200000000004</v>
      </c>
      <c r="D441" s="2325">
        <v>103.4603</v>
      </c>
      <c r="E441" s="2326">
        <v>97.557199999999995</v>
      </c>
      <c r="F441" s="3269">
        <v>97.732299999999995</v>
      </c>
      <c r="G441" s="2325">
        <v>97.372299999999996</v>
      </c>
      <c r="H441" s="2326">
        <v>3.45</v>
      </c>
      <c r="I441" s="3500">
        <v>3.4085000000000001</v>
      </c>
      <c r="J441" s="336"/>
      <c r="K441" s="309"/>
      <c r="L441" s="309"/>
      <c r="M441" s="1027"/>
      <c r="N441" s="1020"/>
      <c r="O441" s="3363">
        <v>210.22800000000001</v>
      </c>
      <c r="P441" s="2322">
        <v>170.9</v>
      </c>
      <c r="Q441" s="2204"/>
      <c r="R441" s="2204"/>
    </row>
    <row r="442" spans="1:18">
      <c r="A442" s="2202">
        <f t="shared" si="0"/>
        <v>2009.01</v>
      </c>
      <c r="B442" s="2324">
        <v>100.35209999999999</v>
      </c>
      <c r="C442" s="3269">
        <v>97.412199999999999</v>
      </c>
      <c r="D442" s="2325">
        <v>104.3126</v>
      </c>
      <c r="E442" s="2326">
        <v>98.521299999999997</v>
      </c>
      <c r="F442" s="3269">
        <v>98.675600000000003</v>
      </c>
      <c r="G442" s="2325">
        <v>98.361199999999997</v>
      </c>
      <c r="H442" s="2326">
        <v>3.5</v>
      </c>
      <c r="I442" s="3500">
        <v>3.4447619047619051</v>
      </c>
      <c r="J442" s="336"/>
      <c r="K442" s="309"/>
      <c r="L442" s="309"/>
      <c r="M442" s="1027"/>
      <c r="N442" s="1020"/>
      <c r="O442" s="3363">
        <v>211.143</v>
      </c>
      <c r="P442" s="2322">
        <v>171.2</v>
      </c>
      <c r="Q442" s="2204"/>
      <c r="R442" s="2522"/>
    </row>
    <row r="443" spans="1:18">
      <c r="A443" s="2202">
        <f t="shared" si="0"/>
        <v>2009.02</v>
      </c>
      <c r="B443" s="2324">
        <v>102.97369999999999</v>
      </c>
      <c r="C443" s="3269">
        <v>100.0127</v>
      </c>
      <c r="D443" s="2325">
        <v>106.96429999999999</v>
      </c>
      <c r="E443" s="2326">
        <v>101.20740000000001</v>
      </c>
      <c r="F443" s="3269">
        <v>101.3308</v>
      </c>
      <c r="G443" s="2325">
        <v>101.0844</v>
      </c>
      <c r="H443" s="2326">
        <v>3.57</v>
      </c>
      <c r="I443" s="3500">
        <v>3.4939999999999998</v>
      </c>
      <c r="J443" s="336"/>
      <c r="K443" s="309"/>
      <c r="L443" s="309"/>
      <c r="M443" s="1027"/>
      <c r="N443" s="1020"/>
      <c r="O443" s="3363">
        <v>212.19300000000001</v>
      </c>
      <c r="P443" s="2322">
        <v>169.3</v>
      </c>
      <c r="Q443" s="2204"/>
      <c r="R443" s="2204"/>
    </row>
    <row r="444" spans="1:18">
      <c r="A444" s="2202">
        <f t="shared" si="0"/>
        <v>2009.03</v>
      </c>
      <c r="B444" s="2324">
        <v>103.4397</v>
      </c>
      <c r="C444" s="3269">
        <v>100.55710000000001</v>
      </c>
      <c r="D444" s="2325">
        <v>107.3343</v>
      </c>
      <c r="E444" s="2326">
        <v>101.541</v>
      </c>
      <c r="F444" s="3269">
        <v>101.9474</v>
      </c>
      <c r="G444" s="2325">
        <v>101.08450000000001</v>
      </c>
      <c r="H444" s="2326">
        <v>3.72</v>
      </c>
      <c r="I444" s="3500">
        <v>3.6366666666666676</v>
      </c>
      <c r="J444" s="336"/>
      <c r="K444" s="309"/>
      <c r="L444" s="309"/>
      <c r="M444" s="1027"/>
      <c r="N444" s="1020"/>
      <c r="O444" s="3363">
        <v>212.709</v>
      </c>
      <c r="P444" s="2322">
        <v>168.1</v>
      </c>
      <c r="Q444" s="2204"/>
      <c r="R444" s="2204"/>
    </row>
    <row r="445" spans="1:18">
      <c r="A445" s="2202">
        <f t="shared" si="0"/>
        <v>2009.04</v>
      </c>
      <c r="B445" s="2324">
        <v>100.7162</v>
      </c>
      <c r="C445" s="3269">
        <v>98.585999999999999</v>
      </c>
      <c r="D445" s="2325">
        <v>103.65770000000001</v>
      </c>
      <c r="E445" s="2326">
        <v>98.895799999999994</v>
      </c>
      <c r="F445" s="3269">
        <v>100.1431</v>
      </c>
      <c r="G445" s="2325">
        <v>97.459500000000006</v>
      </c>
      <c r="H445" s="2326">
        <v>3.71</v>
      </c>
      <c r="I445" s="3500">
        <v>3.6721052631578952</v>
      </c>
      <c r="J445" s="336"/>
      <c r="K445" s="309"/>
      <c r="L445" s="309"/>
      <c r="M445" s="1027"/>
      <c r="N445" s="1020"/>
      <c r="O445" s="3363">
        <v>213.24</v>
      </c>
      <c r="P445" s="2322">
        <v>169.1</v>
      </c>
      <c r="Q445" s="2204"/>
      <c r="R445" s="2204"/>
    </row>
    <row r="446" spans="1:18">
      <c r="A446" s="2202">
        <f t="shared" si="0"/>
        <v>2009.05</v>
      </c>
      <c r="B446" s="2324">
        <v>97.551900000000003</v>
      </c>
      <c r="C446" s="3269">
        <v>94.473299999999995</v>
      </c>
      <c r="D446" s="2325">
        <v>101.6853</v>
      </c>
      <c r="E446" s="2326">
        <v>95.737499999999997</v>
      </c>
      <c r="F446" s="3269">
        <v>95.948099999999997</v>
      </c>
      <c r="G446" s="2325">
        <v>95.510099999999994</v>
      </c>
      <c r="H446" s="2326">
        <v>3.75</v>
      </c>
      <c r="I446" s="3500">
        <v>3.7073684210526316</v>
      </c>
      <c r="J446" s="336"/>
      <c r="K446" s="309"/>
      <c r="L446" s="309"/>
      <c r="M446" s="1027"/>
      <c r="N446" s="1020"/>
      <c r="O446" s="3363">
        <v>213.85599999999999</v>
      </c>
      <c r="P446" s="2322">
        <v>170.8</v>
      </c>
      <c r="Q446" s="2204"/>
      <c r="R446" s="2204"/>
    </row>
    <row r="447" spans="1:18">
      <c r="A447" s="2202">
        <f t="shared" si="0"/>
        <v>2009.06</v>
      </c>
      <c r="B447" s="2324">
        <v>96.042599999999993</v>
      </c>
      <c r="C447" s="3269">
        <v>92.031000000000006</v>
      </c>
      <c r="D447" s="2325">
        <v>101.37350000000001</v>
      </c>
      <c r="E447" s="2326">
        <v>94.8232</v>
      </c>
      <c r="F447" s="3269">
        <v>94.0227</v>
      </c>
      <c r="G447" s="2325">
        <v>95.802899999999994</v>
      </c>
      <c r="H447" s="2326">
        <v>3.8</v>
      </c>
      <c r="I447" s="3500">
        <v>3.7500000000000009</v>
      </c>
      <c r="J447" s="336"/>
      <c r="K447" s="309"/>
      <c r="L447" s="309"/>
      <c r="M447" s="1027"/>
      <c r="N447" s="1020"/>
      <c r="O447" s="3363">
        <v>215.69300000000001</v>
      </c>
      <c r="P447" s="2322">
        <v>174.1</v>
      </c>
      <c r="Q447" s="2204"/>
      <c r="R447" s="2204"/>
    </row>
    <row r="448" spans="1:18">
      <c r="A448" s="2202">
        <f t="shared" si="0"/>
        <v>2009.07</v>
      </c>
      <c r="B448" s="2324">
        <v>95.660499999999999</v>
      </c>
      <c r="C448" s="3269">
        <v>91.362799999999993</v>
      </c>
      <c r="D448" s="2325">
        <v>101.367</v>
      </c>
      <c r="E448" s="2326">
        <v>94.386300000000006</v>
      </c>
      <c r="F448" s="3269">
        <v>93.466200000000001</v>
      </c>
      <c r="G448" s="2325">
        <v>95.5107</v>
      </c>
      <c r="H448" s="2326">
        <v>3.83</v>
      </c>
      <c r="I448" s="3500">
        <v>3.7909523809523811</v>
      </c>
      <c r="J448" s="336"/>
      <c r="K448" s="309"/>
      <c r="L448" s="309"/>
      <c r="M448" s="1027"/>
      <c r="N448" s="1020"/>
      <c r="O448" s="3363">
        <v>215.351</v>
      </c>
      <c r="P448" s="2322">
        <v>172.5</v>
      </c>
      <c r="Q448" s="2204"/>
      <c r="R448" s="2204"/>
    </row>
    <row r="449" spans="1:18">
      <c r="A449" s="2202">
        <f t="shared" si="0"/>
        <v>2009.08</v>
      </c>
      <c r="B449" s="2324">
        <v>94.373000000000005</v>
      </c>
      <c r="C449" s="3269">
        <v>89.907799999999995</v>
      </c>
      <c r="D449" s="2325">
        <v>100.29900000000001</v>
      </c>
      <c r="E449" s="2326">
        <v>93.152100000000004</v>
      </c>
      <c r="F449" s="3269">
        <v>92.023399999999995</v>
      </c>
      <c r="G449" s="2325">
        <v>94.529600000000002</v>
      </c>
      <c r="H449" s="2326">
        <v>3.85</v>
      </c>
      <c r="I449" s="3500">
        <v>3.8204999999999991</v>
      </c>
      <c r="J449" s="336"/>
      <c r="K449" s="309"/>
      <c r="L449" s="309"/>
      <c r="M449" s="1027"/>
      <c r="N449" s="1020"/>
      <c r="O449" s="3363">
        <v>215.834</v>
      </c>
      <c r="P449" s="2322">
        <v>175</v>
      </c>
      <c r="Q449" s="2204"/>
      <c r="R449" s="2204"/>
    </row>
    <row r="450" spans="1:18">
      <c r="A450" s="2202">
        <f t="shared" si="0"/>
        <v>2009.09</v>
      </c>
      <c r="B450" s="2324">
        <v>93.663799999999995</v>
      </c>
      <c r="C450" s="3269">
        <v>88.501400000000004</v>
      </c>
      <c r="D450" s="2325">
        <v>100.51949999999999</v>
      </c>
      <c r="E450" s="2326">
        <v>92.507199999999997</v>
      </c>
      <c r="F450" s="3269">
        <v>90.757900000000006</v>
      </c>
      <c r="G450" s="2325">
        <v>94.646100000000004</v>
      </c>
      <c r="H450" s="2326">
        <v>3.84</v>
      </c>
      <c r="I450" s="3500">
        <v>3.822727272727271</v>
      </c>
      <c r="J450" s="336"/>
      <c r="K450" s="309"/>
      <c r="L450" s="309"/>
      <c r="M450" s="1027"/>
      <c r="N450" s="1020"/>
      <c r="O450" s="3363">
        <v>215.96899999999999</v>
      </c>
      <c r="P450" s="2322">
        <v>174.1</v>
      </c>
      <c r="Q450" s="2204"/>
      <c r="R450" s="2204"/>
    </row>
    <row r="451" spans="1:18">
      <c r="A451" s="2202">
        <f t="shared" si="0"/>
        <v>2009.1</v>
      </c>
      <c r="B451" s="2324">
        <v>92.259799999999998</v>
      </c>
      <c r="C451" s="3269">
        <v>87.045699999999997</v>
      </c>
      <c r="D451" s="2325">
        <v>99.186400000000006</v>
      </c>
      <c r="E451" s="2326">
        <v>91.247699999999995</v>
      </c>
      <c r="F451" s="3269">
        <v>89.46</v>
      </c>
      <c r="G451" s="2325">
        <v>93.434700000000007</v>
      </c>
      <c r="H451" s="2326">
        <v>3.82</v>
      </c>
      <c r="I451" s="3500">
        <v>3.8052380952380935</v>
      </c>
      <c r="J451" s="336"/>
      <c r="K451" s="309"/>
      <c r="L451" s="309"/>
      <c r="M451" s="1027"/>
      <c r="N451" s="1020"/>
      <c r="O451" s="3363">
        <v>216.17699999999999</v>
      </c>
      <c r="P451" s="2322">
        <v>175.2</v>
      </c>
      <c r="Q451" s="2204"/>
      <c r="R451" s="2204"/>
    </row>
    <row r="452" spans="1:18">
      <c r="A452" s="2202">
        <f t="shared" si="0"/>
        <v>2009.11</v>
      </c>
      <c r="B452" s="2324">
        <v>91.799599999999998</v>
      </c>
      <c r="C452" s="3269">
        <v>86.521699999999996</v>
      </c>
      <c r="D452" s="2325">
        <v>98.813199999999995</v>
      </c>
      <c r="E452" s="2326">
        <v>90.776499999999999</v>
      </c>
      <c r="F452" s="3269">
        <v>88.905199999999994</v>
      </c>
      <c r="G452" s="2325">
        <v>93.067099999999996</v>
      </c>
      <c r="H452" s="2326">
        <v>3.81</v>
      </c>
      <c r="I452" s="3500">
        <v>3.7910000000000013</v>
      </c>
      <c r="J452" s="336"/>
      <c r="K452" s="309"/>
      <c r="L452" s="309"/>
      <c r="M452" s="1027"/>
      <c r="N452" s="1020"/>
      <c r="O452" s="3363">
        <v>216.33</v>
      </c>
      <c r="P452" s="2322">
        <v>177.4</v>
      </c>
      <c r="Q452" s="2204"/>
      <c r="R452" s="2204"/>
    </row>
    <row r="453" spans="1:18">
      <c r="A453" s="2202">
        <f t="shared" si="0"/>
        <v>2009.12</v>
      </c>
      <c r="B453" s="2324">
        <v>92.258600000000001</v>
      </c>
      <c r="C453" s="3269">
        <v>87.531899999999993</v>
      </c>
      <c r="D453" s="2325">
        <v>98.533100000000005</v>
      </c>
      <c r="E453" s="2326">
        <v>91.117800000000003</v>
      </c>
      <c r="F453" s="3269">
        <v>89.971199999999996</v>
      </c>
      <c r="G453" s="2325">
        <v>92.516999999999996</v>
      </c>
      <c r="H453" s="2326">
        <v>3.81</v>
      </c>
      <c r="I453" s="3500">
        <v>3.7861904761904763</v>
      </c>
      <c r="J453" s="336"/>
      <c r="K453" s="309"/>
      <c r="L453" s="309"/>
      <c r="M453" s="1027"/>
      <c r="N453" s="1020"/>
      <c r="O453" s="3363">
        <v>215.94900000000001</v>
      </c>
      <c r="P453" s="2322">
        <v>178.1</v>
      </c>
      <c r="Q453" s="2204"/>
      <c r="R453" s="2204"/>
    </row>
    <row r="454" spans="1:18">
      <c r="A454" s="2202">
        <f t="shared" si="0"/>
        <v>2010.01</v>
      </c>
      <c r="B454" s="2324">
        <v>92.440299999999993</v>
      </c>
      <c r="C454" s="3269">
        <v>88.192800000000005</v>
      </c>
      <c r="D454" s="2325">
        <v>98.100499999999997</v>
      </c>
      <c r="E454" s="2326">
        <v>90.99</v>
      </c>
      <c r="F454" s="3269">
        <v>90.416899999999998</v>
      </c>
      <c r="G454" s="2325">
        <v>91.749899999999997</v>
      </c>
      <c r="H454" s="2326">
        <v>3.83</v>
      </c>
      <c r="I454" s="3500">
        <v>3.7850000000000001</v>
      </c>
      <c r="J454" s="337">
        <v>3.8750999999999998</v>
      </c>
      <c r="K454" s="309"/>
      <c r="L454" s="309"/>
      <c r="M454" s="1027"/>
      <c r="N454" s="1020"/>
      <c r="O454" s="3363">
        <v>216.68700000000001</v>
      </c>
      <c r="P454" s="2322">
        <v>181.9</v>
      </c>
      <c r="Q454" s="2204"/>
      <c r="R454" s="2522"/>
    </row>
    <row r="455" spans="1:18">
      <c r="A455" s="2202">
        <f t="shared" si="0"/>
        <v>2010.02</v>
      </c>
      <c r="B455" s="2324">
        <v>93.886700000000005</v>
      </c>
      <c r="C455" s="3269">
        <v>90.285300000000007</v>
      </c>
      <c r="D455" s="2325">
        <v>98.778099999999995</v>
      </c>
      <c r="E455" s="2326">
        <v>92.188400000000001</v>
      </c>
      <c r="F455" s="3269">
        <v>92.423100000000005</v>
      </c>
      <c r="G455" s="2325">
        <v>92.0642</v>
      </c>
      <c r="H455" s="2326">
        <v>3.86</v>
      </c>
      <c r="I455" s="3500">
        <v>3.8305000000000016</v>
      </c>
      <c r="J455" s="338">
        <v>3.9215999999999993</v>
      </c>
      <c r="K455" s="2321"/>
      <c r="L455" s="3503">
        <v>3.9221849999999998</v>
      </c>
      <c r="M455" s="1027"/>
      <c r="N455" s="1020"/>
      <c r="O455" s="3363">
        <v>216.74100000000001</v>
      </c>
      <c r="P455" s="2322">
        <v>181</v>
      </c>
      <c r="Q455" s="2204"/>
      <c r="R455" s="2204"/>
    </row>
    <row r="456" spans="1:18">
      <c r="A456" s="2202">
        <f t="shared" si="0"/>
        <v>2010.03</v>
      </c>
      <c r="B456" s="2324">
        <v>93.149900000000002</v>
      </c>
      <c r="C456" s="3269">
        <v>89.945999999999998</v>
      </c>
      <c r="D456" s="2325">
        <v>97.564499999999995</v>
      </c>
      <c r="E456" s="2326">
        <v>91.292299999999997</v>
      </c>
      <c r="F456" s="3269">
        <v>92.041600000000003</v>
      </c>
      <c r="G456" s="2325">
        <v>90.610900000000001</v>
      </c>
      <c r="H456" s="2326">
        <v>3.87</v>
      </c>
      <c r="I456" s="3500">
        <v>3.8436363636363637</v>
      </c>
      <c r="J456" s="338">
        <v>3.9006363636363632</v>
      </c>
      <c r="K456" s="2321"/>
      <c r="L456" s="2329">
        <v>3.8938380000000001</v>
      </c>
      <c r="M456" s="1027"/>
      <c r="N456" s="1020"/>
      <c r="O456" s="3363">
        <v>217.631</v>
      </c>
      <c r="P456" s="2322">
        <v>183.3</v>
      </c>
      <c r="Q456" s="2204"/>
      <c r="R456" s="2204"/>
    </row>
    <row r="457" spans="1:18">
      <c r="A457" s="2202">
        <f t="shared" si="0"/>
        <v>2010.04</v>
      </c>
      <c r="B457" s="2324">
        <v>92.639099999999999</v>
      </c>
      <c r="C457" s="3269">
        <v>90.0137</v>
      </c>
      <c r="D457" s="2325">
        <v>96.369799999999998</v>
      </c>
      <c r="E457" s="2326">
        <v>90.642700000000005</v>
      </c>
      <c r="F457" s="3269">
        <v>92.036199999999994</v>
      </c>
      <c r="G457" s="2325">
        <v>89.273700000000005</v>
      </c>
      <c r="H457" s="2326">
        <v>3.88</v>
      </c>
      <c r="I457" s="3500">
        <v>3.8565000000000005</v>
      </c>
      <c r="J457" s="338">
        <v>3.9028333333333323</v>
      </c>
      <c r="K457" s="2321"/>
      <c r="L457" s="2329">
        <v>3.8718119999999998</v>
      </c>
      <c r="M457" s="1027"/>
      <c r="N457" s="1020"/>
      <c r="O457" s="3363">
        <v>218.00899999999999</v>
      </c>
      <c r="P457" s="2322">
        <v>184.4</v>
      </c>
      <c r="Q457" s="2204"/>
      <c r="R457" s="2204"/>
    </row>
    <row r="458" spans="1:18">
      <c r="A458" s="2202">
        <f t="shared" si="0"/>
        <v>2010.05</v>
      </c>
      <c r="B458" s="2324">
        <v>95.530600000000007</v>
      </c>
      <c r="C458" s="3269">
        <v>93.832400000000007</v>
      </c>
      <c r="D458" s="2325">
        <v>98.212800000000001</v>
      </c>
      <c r="E458" s="2326">
        <v>93.267300000000006</v>
      </c>
      <c r="F458" s="3269">
        <v>95.815899999999999</v>
      </c>
      <c r="G458" s="2325">
        <v>90.693399999999997</v>
      </c>
      <c r="H458" s="2326">
        <v>3.91</v>
      </c>
      <c r="I458" s="3500">
        <v>3.8852631578947374</v>
      </c>
      <c r="J458" s="338">
        <v>3.938078947368421</v>
      </c>
      <c r="K458" s="2321"/>
      <c r="L458" s="2329">
        <v>3.9128940000000001</v>
      </c>
      <c r="M458" s="1027"/>
      <c r="N458" s="1020"/>
      <c r="O458" s="3363">
        <v>218.178</v>
      </c>
      <c r="P458" s="2322">
        <v>184.8</v>
      </c>
      <c r="Q458" s="2204"/>
      <c r="R458" s="2204"/>
    </row>
    <row r="459" spans="1:18">
      <c r="A459" s="2202">
        <f t="shared" si="0"/>
        <v>2010.06</v>
      </c>
      <c r="B459" s="2324">
        <v>96.060599999999994</v>
      </c>
      <c r="C459" s="3269">
        <v>94.4833</v>
      </c>
      <c r="D459" s="2325">
        <v>98.608699999999999</v>
      </c>
      <c r="E459" s="2326">
        <v>93.638199999999998</v>
      </c>
      <c r="F459" s="3269">
        <v>96.335599999999999</v>
      </c>
      <c r="G459" s="2325">
        <v>90.911000000000001</v>
      </c>
      <c r="H459" s="2326">
        <v>3.93</v>
      </c>
      <c r="I459" s="3500">
        <v>3.906666666666665</v>
      </c>
      <c r="J459" s="338">
        <v>4.0079047619047614</v>
      </c>
      <c r="K459" s="2321"/>
      <c r="L459" s="2329">
        <v>3.9919899999999999</v>
      </c>
      <c r="M459" s="1027"/>
      <c r="N459" s="1020"/>
      <c r="O459" s="3363">
        <v>217.965</v>
      </c>
      <c r="P459" s="2322">
        <v>183.5</v>
      </c>
      <c r="Q459" s="2204"/>
      <c r="R459" s="2204"/>
    </row>
    <row r="460" spans="1:18">
      <c r="A460" s="2202">
        <f t="shared" si="0"/>
        <v>2010.07</v>
      </c>
      <c r="B460" s="2324">
        <v>94.454700000000003</v>
      </c>
      <c r="C460" s="3269">
        <v>91.790599999999998</v>
      </c>
      <c r="D460" s="2325">
        <v>98.243700000000004</v>
      </c>
      <c r="E460" s="2326">
        <v>92.023200000000003</v>
      </c>
      <c r="F460" s="3269">
        <v>93.57</v>
      </c>
      <c r="G460" s="2325">
        <v>90.493799999999993</v>
      </c>
      <c r="H460" s="2326">
        <v>3.94</v>
      </c>
      <c r="I460" s="3500">
        <v>3.9147619047619044</v>
      </c>
      <c r="J460" s="338">
        <v>4.0051666666666668</v>
      </c>
      <c r="K460" s="2321"/>
      <c r="L460" s="2329">
        <v>3.9378700000000002</v>
      </c>
      <c r="M460" s="1027"/>
      <c r="N460" s="1020"/>
      <c r="O460" s="3363">
        <v>218.011</v>
      </c>
      <c r="P460" s="2322">
        <v>184.1</v>
      </c>
      <c r="Q460" s="2204"/>
      <c r="R460" s="2204"/>
    </row>
    <row r="461" spans="1:18">
      <c r="A461" s="2202">
        <f t="shared" si="0"/>
        <v>2010.08</v>
      </c>
      <c r="B461" s="2324">
        <v>93.682199999999995</v>
      </c>
      <c r="C461" s="3269">
        <v>90.824100000000001</v>
      </c>
      <c r="D461" s="2325">
        <v>97.693100000000001</v>
      </c>
      <c r="E461" s="2326">
        <v>91.217699999999994</v>
      </c>
      <c r="F461" s="3269">
        <v>92.682400000000001</v>
      </c>
      <c r="G461" s="2325">
        <v>89.774100000000004</v>
      </c>
      <c r="H461" s="2326">
        <v>3.95</v>
      </c>
      <c r="I461" s="3500">
        <v>3.9166666666666679</v>
      </c>
      <c r="J461" s="338">
        <v>4.0064523809523802</v>
      </c>
      <c r="K461" s="2321"/>
      <c r="L461" s="2329">
        <v>3.9116740000000001</v>
      </c>
      <c r="M461" s="1027"/>
      <c r="N461" s="1020"/>
      <c r="O461" s="3363">
        <v>218.31200000000001</v>
      </c>
      <c r="P461" s="2322">
        <v>184.9</v>
      </c>
      <c r="Q461" s="2204"/>
      <c r="R461" s="2204"/>
    </row>
    <row r="462" spans="1:18">
      <c r="A462" s="2202">
        <f t="shared" si="0"/>
        <v>2010.09</v>
      </c>
      <c r="B462" s="2324">
        <v>92.762600000000006</v>
      </c>
      <c r="C462" s="3269">
        <v>89.714100000000002</v>
      </c>
      <c r="D462" s="2325">
        <v>96.990700000000004</v>
      </c>
      <c r="E462" s="2326">
        <v>90.238699999999994</v>
      </c>
      <c r="F462" s="3269">
        <v>91.577100000000002</v>
      </c>
      <c r="G462" s="2325">
        <v>88.927499999999995</v>
      </c>
      <c r="H462" s="2326">
        <v>3.97</v>
      </c>
      <c r="I462" s="3500">
        <v>3.9327272727272726</v>
      </c>
      <c r="J462" s="338">
        <v>4.0068636363636356</v>
      </c>
      <c r="K462" s="2321"/>
      <c r="L462" s="2329">
        <v>3.9388528571428569</v>
      </c>
      <c r="M462" s="1027"/>
      <c r="N462" s="1020"/>
      <c r="O462" s="3363">
        <v>218.43899999999999</v>
      </c>
      <c r="P462" s="2322">
        <v>184.9</v>
      </c>
      <c r="Q462" s="2204"/>
      <c r="R462" s="2204"/>
    </row>
    <row r="463" spans="1:18">
      <c r="A463" s="2202">
        <f t="shared" si="0"/>
        <v>2010.1</v>
      </c>
      <c r="B463" s="2324">
        <v>90.229100000000003</v>
      </c>
      <c r="C463" s="3269">
        <v>86.587000000000003</v>
      </c>
      <c r="D463" s="2325">
        <v>95.146199999999993</v>
      </c>
      <c r="E463" s="2326">
        <v>87.681399999999996</v>
      </c>
      <c r="F463" s="3269">
        <v>88.3977</v>
      </c>
      <c r="G463" s="2325">
        <v>87.030600000000007</v>
      </c>
      <c r="H463" s="2326">
        <v>3.97</v>
      </c>
      <c r="I463" s="3500">
        <v>3.9384210526315782</v>
      </c>
      <c r="J463" s="338">
        <v>4.0231315789473685</v>
      </c>
      <c r="K463" s="2321"/>
      <c r="L463" s="2329">
        <v>3.9261875000000002</v>
      </c>
      <c r="M463" s="1027"/>
      <c r="N463" s="1020"/>
      <c r="O463" s="3363">
        <v>218.71100000000001</v>
      </c>
      <c r="P463" s="2322">
        <v>186.6</v>
      </c>
      <c r="Q463" s="2204"/>
      <c r="R463" s="2204"/>
    </row>
    <row r="464" spans="1:18">
      <c r="A464" s="2202">
        <f t="shared" si="0"/>
        <v>2010.11</v>
      </c>
      <c r="B464" s="2324">
        <v>90.509500000000003</v>
      </c>
      <c r="C464" s="3269">
        <v>87.158000000000001</v>
      </c>
      <c r="D464" s="2325">
        <v>95.083399999999997</v>
      </c>
      <c r="E464" s="2326">
        <v>87.8005</v>
      </c>
      <c r="F464" s="3269">
        <v>88.9773</v>
      </c>
      <c r="G464" s="2325">
        <v>86.658000000000001</v>
      </c>
      <c r="H464" s="2326">
        <v>3.98</v>
      </c>
      <c r="I464" s="3500">
        <v>3.9485714285714288</v>
      </c>
      <c r="J464" s="338">
        <v>4.0398809523809529</v>
      </c>
      <c r="K464" s="2321"/>
      <c r="L464" s="2329">
        <v>3.9419562500000001</v>
      </c>
      <c r="M464" s="1027"/>
      <c r="N464" s="1020"/>
      <c r="O464" s="3363">
        <v>218.803</v>
      </c>
      <c r="P464" s="2322">
        <v>187.7</v>
      </c>
      <c r="Q464" s="2204"/>
      <c r="R464" s="2204"/>
    </row>
    <row r="465" spans="1:18">
      <c r="A465" s="2202">
        <f t="shared" si="0"/>
        <v>2010.12</v>
      </c>
      <c r="B465" s="2324">
        <v>91.183499999999995</v>
      </c>
      <c r="C465" s="3269">
        <v>88.284099999999995</v>
      </c>
      <c r="D465" s="2325">
        <v>95.224800000000002</v>
      </c>
      <c r="E465" s="2326">
        <v>88.502399999999994</v>
      </c>
      <c r="F465" s="3269">
        <v>90.193100000000001</v>
      </c>
      <c r="G465" s="2325">
        <v>86.817700000000002</v>
      </c>
      <c r="H465" s="2326">
        <v>3.99</v>
      </c>
      <c r="I465" s="3500">
        <v>3.9584210526315786</v>
      </c>
      <c r="J465" s="338">
        <v>4.0667500000000008</v>
      </c>
      <c r="K465" s="2321"/>
      <c r="L465" s="2329">
        <v>4.0030633333333334</v>
      </c>
      <c r="M465" s="1027"/>
      <c r="N465" s="1020"/>
      <c r="O465" s="3363">
        <v>219.179</v>
      </c>
      <c r="P465" s="2322">
        <v>189.7</v>
      </c>
      <c r="Q465" s="2204"/>
      <c r="R465" s="2204"/>
    </row>
    <row r="466" spans="1:18">
      <c r="A466" s="2202">
        <f t="shared" si="0"/>
        <v>2011.01</v>
      </c>
      <c r="B466" s="2324">
        <v>90.111199999999997</v>
      </c>
      <c r="C466" s="3269">
        <v>87.2483</v>
      </c>
      <c r="D466" s="2325">
        <v>94.102599999999995</v>
      </c>
      <c r="E466" s="2326">
        <v>87.417400000000001</v>
      </c>
      <c r="F466" s="3269">
        <v>89.208600000000004</v>
      </c>
      <c r="G466" s="2325">
        <v>85.629800000000003</v>
      </c>
      <c r="H466" s="2326">
        <v>4</v>
      </c>
      <c r="I466" s="3500">
        <v>3.9628571428571435</v>
      </c>
      <c r="J466" s="338">
        <v>4.1334999999999997</v>
      </c>
      <c r="K466" s="2321"/>
      <c r="L466" s="2329">
        <v>4.0386877777777777</v>
      </c>
      <c r="M466" s="1027"/>
      <c r="N466" s="1020"/>
      <c r="O466" s="3363">
        <v>220.22300000000001</v>
      </c>
      <c r="P466" s="2322">
        <v>192.7</v>
      </c>
      <c r="Q466" s="2204"/>
      <c r="R466" s="2522"/>
    </row>
    <row r="467" spans="1:18">
      <c r="A467" s="2202">
        <f t="shared" si="0"/>
        <v>2011.02</v>
      </c>
      <c r="B467" s="2324">
        <v>89.396699999999996</v>
      </c>
      <c r="C467" s="3269">
        <v>86.106899999999996</v>
      </c>
      <c r="D467" s="2325">
        <v>93.873099999999994</v>
      </c>
      <c r="E467" s="2326">
        <v>86.792299999999997</v>
      </c>
      <c r="F467" s="3269">
        <v>88.232699999999994</v>
      </c>
      <c r="G467" s="2325">
        <v>85.362899999999996</v>
      </c>
      <c r="H467" s="2326">
        <v>4.04</v>
      </c>
      <c r="I467" s="3500">
        <v>4.0026315789473692</v>
      </c>
      <c r="J467" s="338">
        <v>4.1456</v>
      </c>
      <c r="K467" s="2321"/>
      <c r="L467" s="2329">
        <v>4.1620480000000004</v>
      </c>
      <c r="M467" s="1027"/>
      <c r="N467" s="1020"/>
      <c r="O467" s="3363">
        <v>221.309</v>
      </c>
      <c r="P467" s="2322">
        <v>195.8</v>
      </c>
      <c r="Q467" s="2204"/>
      <c r="R467" s="2204"/>
    </row>
    <row r="468" spans="1:18">
      <c r="A468" s="2202">
        <f t="shared" si="0"/>
        <v>2011.03</v>
      </c>
      <c r="B468" s="2324">
        <v>88.487200000000001</v>
      </c>
      <c r="C468" s="3269">
        <v>84.707300000000004</v>
      </c>
      <c r="D468" s="2325">
        <v>93.526600000000002</v>
      </c>
      <c r="E468" s="2326">
        <v>86.019499999999994</v>
      </c>
      <c r="F468" s="3269">
        <v>86.893299999999996</v>
      </c>
      <c r="G468" s="2325">
        <v>85.174499999999995</v>
      </c>
      <c r="H468" s="2326">
        <v>4.04</v>
      </c>
      <c r="I468" s="3500">
        <v>4.0178947368421039</v>
      </c>
      <c r="J468" s="338">
        <v>4.1484473684210528</v>
      </c>
      <c r="K468" s="2321"/>
      <c r="L468" s="2329">
        <v>4.2103124999999997</v>
      </c>
      <c r="M468" s="1027"/>
      <c r="N468" s="1020"/>
      <c r="O468" s="3363">
        <v>223.46700000000001</v>
      </c>
      <c r="P468" s="2322">
        <v>199.2</v>
      </c>
      <c r="Q468" s="2204"/>
      <c r="R468" s="2204"/>
    </row>
    <row r="469" spans="1:18">
      <c r="A469" s="2202">
        <f t="shared" si="0"/>
        <v>2011.04</v>
      </c>
      <c r="B469" s="2324">
        <v>86.921400000000006</v>
      </c>
      <c r="C469" s="3269">
        <v>83.144000000000005</v>
      </c>
      <c r="D469" s="2325">
        <v>91.947199999999995</v>
      </c>
      <c r="E469" s="2326">
        <v>84.564099999999996</v>
      </c>
      <c r="F469" s="3269">
        <v>85.383899999999997</v>
      </c>
      <c r="G469" s="2325">
        <v>83.7744</v>
      </c>
      <c r="H469" s="2326">
        <v>4.09</v>
      </c>
      <c r="I469" s="3500">
        <v>4.045789473684211</v>
      </c>
      <c r="J469" s="338">
        <v>4.2054999999999989</v>
      </c>
      <c r="K469" s="2321"/>
      <c r="L469" s="2329">
        <v>4.2041599999999999</v>
      </c>
      <c r="M469" s="1027"/>
      <c r="N469" s="1020"/>
      <c r="O469" s="3363">
        <v>224.90600000000001</v>
      </c>
      <c r="P469" s="2322">
        <v>203.1</v>
      </c>
      <c r="Q469" s="2204"/>
      <c r="R469" s="2204"/>
    </row>
    <row r="470" spans="1:18">
      <c r="A470" s="2202">
        <f t="shared" si="0"/>
        <v>2011.05</v>
      </c>
      <c r="B470" s="2324">
        <v>86.946399999999997</v>
      </c>
      <c r="C470" s="3269">
        <v>83.304699999999997</v>
      </c>
      <c r="D470" s="2325">
        <v>91.814300000000003</v>
      </c>
      <c r="E470" s="2326">
        <v>84.656499999999994</v>
      </c>
      <c r="F470" s="3269">
        <v>85.710599999999999</v>
      </c>
      <c r="G470" s="2325">
        <v>83.623800000000003</v>
      </c>
      <c r="H470" s="2326">
        <v>4.0999999999999996</v>
      </c>
      <c r="I470" s="3500">
        <v>4.0647619047619044</v>
      </c>
      <c r="J470" s="338">
        <v>4.300023809523811</v>
      </c>
      <c r="K470" s="2321"/>
      <c r="L470" s="2329">
        <v>4.3534450000000007</v>
      </c>
      <c r="M470" s="1027"/>
      <c r="N470" s="1020"/>
      <c r="O470" s="3363">
        <v>225.964</v>
      </c>
      <c r="P470" s="2322">
        <v>204.1</v>
      </c>
      <c r="Q470" s="2204"/>
      <c r="R470" s="2204"/>
    </row>
    <row r="471" spans="1:18">
      <c r="A471" s="2202">
        <f t="shared" si="0"/>
        <v>2011.06</v>
      </c>
      <c r="B471" s="2324">
        <v>86.941199999999995</v>
      </c>
      <c r="C471" s="3269">
        <v>83.228099999999998</v>
      </c>
      <c r="D471" s="2325">
        <v>91.8917</v>
      </c>
      <c r="E471" s="2326">
        <v>84.504300000000001</v>
      </c>
      <c r="F471" s="3269">
        <v>85.689700000000002</v>
      </c>
      <c r="G471" s="2325">
        <v>83.335800000000006</v>
      </c>
      <c r="H471" s="2326">
        <v>4.12</v>
      </c>
      <c r="I471" s="3500">
        <v>4.0752380952380953</v>
      </c>
      <c r="J471" s="338">
        <v>4.2839285714285706</v>
      </c>
      <c r="K471" s="2321"/>
      <c r="L471" s="2329">
        <v>4.3060850000000004</v>
      </c>
      <c r="M471" s="1027"/>
      <c r="N471" s="1020"/>
      <c r="O471" s="3363">
        <v>225.72200000000001</v>
      </c>
      <c r="P471" s="2322">
        <v>203.9</v>
      </c>
      <c r="Q471" s="2204"/>
      <c r="R471" s="2204"/>
    </row>
    <row r="472" spans="1:18">
      <c r="A472" s="2202">
        <f t="shared" si="0"/>
        <v>2011.07</v>
      </c>
      <c r="B472" s="2324">
        <v>86.317800000000005</v>
      </c>
      <c r="C472" s="3269">
        <v>82.678299999999993</v>
      </c>
      <c r="D472" s="2325">
        <v>91.178200000000004</v>
      </c>
      <c r="E472" s="2326">
        <v>83.904700000000005</v>
      </c>
      <c r="F472" s="3269">
        <v>85.241</v>
      </c>
      <c r="G472" s="2325">
        <v>82.580699999999993</v>
      </c>
      <c r="H472" s="2326">
        <v>4.1500000000000004</v>
      </c>
      <c r="I472" s="3500">
        <v>4.10952380952381</v>
      </c>
      <c r="J472" s="338">
        <v>4.2945952380952388</v>
      </c>
      <c r="K472" s="2321"/>
      <c r="L472" s="2329">
        <v>4.2267984615384613</v>
      </c>
      <c r="M472" s="1027"/>
      <c r="N472" s="1020"/>
      <c r="O472" s="3363">
        <v>225.922</v>
      </c>
      <c r="P472" s="2322">
        <v>204.6</v>
      </c>
      <c r="Q472" s="2204"/>
      <c r="R472" s="2204"/>
    </row>
    <row r="473" spans="1:18">
      <c r="A473" s="2202">
        <f t="shared" si="0"/>
        <v>2011.08</v>
      </c>
      <c r="B473" s="2324">
        <v>86.898300000000006</v>
      </c>
      <c r="C473" s="3269">
        <v>82.693799999999996</v>
      </c>
      <c r="D473" s="2325">
        <v>92.427499999999995</v>
      </c>
      <c r="E473" s="2326">
        <v>84.567999999999998</v>
      </c>
      <c r="F473" s="3269">
        <v>85.409099999999995</v>
      </c>
      <c r="G473" s="2325">
        <v>83.756</v>
      </c>
      <c r="H473" s="2326">
        <v>4.2</v>
      </c>
      <c r="I473" s="3500">
        <v>4.1490909090909094</v>
      </c>
      <c r="J473" s="338">
        <v>4.3627272727272732</v>
      </c>
      <c r="K473" s="2321"/>
      <c r="L473" s="2329">
        <v>4.3438129999999999</v>
      </c>
      <c r="M473" s="1027"/>
      <c r="N473" s="1020"/>
      <c r="O473" s="3363">
        <v>226.54499999999999</v>
      </c>
      <c r="P473" s="2322">
        <v>203.2</v>
      </c>
      <c r="Q473" s="2204"/>
      <c r="R473" s="2204"/>
    </row>
    <row r="474" spans="1:18">
      <c r="A474" s="2202">
        <f t="shared" si="0"/>
        <v>2011.09</v>
      </c>
      <c r="B474" s="2324">
        <v>89.725300000000004</v>
      </c>
      <c r="C474" s="3269">
        <v>85.338200000000001</v>
      </c>
      <c r="D474" s="2325">
        <v>95.489599999999996</v>
      </c>
      <c r="E474" s="2326">
        <v>87.273200000000003</v>
      </c>
      <c r="F474" s="3269">
        <v>88.034800000000004</v>
      </c>
      <c r="G474" s="2325">
        <v>86.546000000000006</v>
      </c>
      <c r="H474" s="2326">
        <v>4.22</v>
      </c>
      <c r="I474" s="3500">
        <v>4.1854545454545447</v>
      </c>
      <c r="J474" s="338">
        <v>4.4359999999999999</v>
      </c>
      <c r="K474" s="2321"/>
      <c r="L474" s="2329">
        <v>4.5864799999999999</v>
      </c>
      <c r="M474" s="1027"/>
      <c r="N474" s="1020"/>
      <c r="O474" s="3363">
        <v>226.88900000000001</v>
      </c>
      <c r="P474" s="2322">
        <v>203.7</v>
      </c>
      <c r="Q474" s="2204"/>
      <c r="R474" s="2204"/>
    </row>
    <row r="475" spans="1:18">
      <c r="A475" s="2202">
        <f t="shared" si="0"/>
        <v>2011.1</v>
      </c>
      <c r="B475" s="2324">
        <v>90.609800000000007</v>
      </c>
      <c r="C475" s="3269">
        <v>85.899100000000004</v>
      </c>
      <c r="D475" s="2325">
        <v>96.765000000000001</v>
      </c>
      <c r="E475" s="2326">
        <v>87.930099999999996</v>
      </c>
      <c r="F475" s="3269">
        <v>88.476399999999998</v>
      </c>
      <c r="G475" s="2325">
        <v>87.428399999999996</v>
      </c>
      <c r="H475" s="2326">
        <v>4.24</v>
      </c>
      <c r="I475" s="3500">
        <v>4.2060000000000004</v>
      </c>
      <c r="J475" s="338">
        <v>4.4382000000000001</v>
      </c>
      <c r="K475" s="2321"/>
      <c r="L475" s="2329">
        <v>4.7072007692307691</v>
      </c>
      <c r="M475" s="1027"/>
      <c r="N475" s="1020"/>
      <c r="O475" s="3363">
        <v>226.42099999999999</v>
      </c>
      <c r="P475" s="2322">
        <v>201.1</v>
      </c>
      <c r="Q475" s="2204"/>
      <c r="R475" s="2204"/>
    </row>
    <row r="476" spans="1:18">
      <c r="A476" s="2202">
        <f t="shared" si="0"/>
        <v>2011.11</v>
      </c>
      <c r="B476" s="2324">
        <v>91.264899999999997</v>
      </c>
      <c r="C476" s="3269">
        <v>86.620199999999997</v>
      </c>
      <c r="D476" s="2325">
        <v>97.343299999999999</v>
      </c>
      <c r="E476" s="2326">
        <v>88.545400000000001</v>
      </c>
      <c r="F476" s="3269">
        <v>89.284400000000005</v>
      </c>
      <c r="G476" s="2325">
        <v>87.842799999999997</v>
      </c>
      <c r="H476" s="2326">
        <v>4.28</v>
      </c>
      <c r="I476" s="3500">
        <v>4.241428571428572</v>
      </c>
      <c r="J476" s="338">
        <v>4.714047619047621</v>
      </c>
      <c r="K476" s="2321"/>
      <c r="L476" s="2329">
        <v>4.6709633333333329</v>
      </c>
      <c r="M476" s="1027"/>
      <c r="N476" s="1020"/>
      <c r="O476" s="3363">
        <v>226.23</v>
      </c>
      <c r="P476" s="2322">
        <v>201.4</v>
      </c>
      <c r="Q476" s="2204"/>
      <c r="R476" s="2204"/>
    </row>
    <row r="477" spans="1:18">
      <c r="A477" s="2202">
        <f t="shared" si="0"/>
        <v>2011.12</v>
      </c>
      <c r="B477" s="2324">
        <v>92.205600000000004</v>
      </c>
      <c r="C477" s="3269">
        <v>87.818200000000004</v>
      </c>
      <c r="D477" s="2325">
        <v>97.9846</v>
      </c>
      <c r="E477" s="2326">
        <v>89.348200000000006</v>
      </c>
      <c r="F477" s="3269">
        <v>90.529799999999994</v>
      </c>
      <c r="G477" s="2325">
        <v>88.186800000000005</v>
      </c>
      <c r="H477" s="2326">
        <v>4.3</v>
      </c>
      <c r="I477" s="3500">
        <v>4.2678947368421039</v>
      </c>
      <c r="J477" s="338">
        <v>4.6531578947368422</v>
      </c>
      <c r="K477" s="2321"/>
      <c r="L477" s="2329">
        <v>4.6596074999999999</v>
      </c>
      <c r="M477" s="1027"/>
      <c r="N477" s="1020"/>
      <c r="O477" s="3363">
        <v>225.672</v>
      </c>
      <c r="P477" s="2322">
        <v>199.8</v>
      </c>
      <c r="Q477" s="2204"/>
      <c r="R477" s="2204"/>
    </row>
    <row r="478" spans="1:18">
      <c r="A478" s="2202">
        <f t="shared" si="0"/>
        <v>2012.01</v>
      </c>
      <c r="B478" s="2324">
        <v>91.646299999999997</v>
      </c>
      <c r="C478" s="3269">
        <v>87.963099999999997</v>
      </c>
      <c r="D478" s="2325">
        <v>96.613</v>
      </c>
      <c r="E478" s="2326">
        <v>88.735299999999995</v>
      </c>
      <c r="F478" s="3269">
        <v>90.613399999999999</v>
      </c>
      <c r="G478" s="2325">
        <v>86.874300000000005</v>
      </c>
      <c r="H478" s="2326">
        <v>4.34</v>
      </c>
      <c r="I478" s="3500">
        <v>4.3014285714285689</v>
      </c>
      <c r="J478" s="338">
        <v>4.8040476190476182</v>
      </c>
      <c r="K478" s="2321"/>
      <c r="L478" s="2329">
        <v>4.6730514285714282</v>
      </c>
      <c r="M478" s="1027"/>
      <c r="N478" s="1020"/>
      <c r="O478" s="3363">
        <v>226.66499999999999</v>
      </c>
      <c r="P478" s="2322">
        <v>200.7</v>
      </c>
      <c r="Q478" s="2204"/>
      <c r="R478" s="2522"/>
    </row>
    <row r="479" spans="1:18">
      <c r="A479" s="2202">
        <f t="shared" si="0"/>
        <v>2012.02</v>
      </c>
      <c r="B479" s="2324">
        <v>89.960499999999996</v>
      </c>
      <c r="C479" s="3269">
        <v>86.618600000000001</v>
      </c>
      <c r="D479" s="2325">
        <v>94.524199999999993</v>
      </c>
      <c r="E479" s="2326">
        <v>87.170500000000004</v>
      </c>
      <c r="F479" s="3269">
        <v>89.322500000000005</v>
      </c>
      <c r="G479" s="2325">
        <v>85.037599999999998</v>
      </c>
      <c r="H479" s="2326">
        <v>4.3499999999999996</v>
      </c>
      <c r="I479" s="3500">
        <v>4.3266666666666662</v>
      </c>
      <c r="J479" s="338">
        <v>4.7418055555555556</v>
      </c>
      <c r="K479" s="2321"/>
      <c r="L479" s="2329">
        <v>4.7612877777777776</v>
      </c>
      <c r="M479" s="1027"/>
      <c r="N479" s="1020"/>
      <c r="O479" s="3363">
        <v>227.66300000000001</v>
      </c>
      <c r="P479" s="2322">
        <v>201.6</v>
      </c>
      <c r="Q479" s="2204"/>
      <c r="R479" s="2204"/>
    </row>
    <row r="480" spans="1:18">
      <c r="A480" s="2202">
        <f t="shared" si="0"/>
        <v>2012.03</v>
      </c>
      <c r="B480" s="2324">
        <v>90.511200000000002</v>
      </c>
      <c r="C480" s="3269">
        <v>87.316599999999994</v>
      </c>
      <c r="D480" s="2325">
        <v>94.913200000000003</v>
      </c>
      <c r="E480" s="2326">
        <v>87.6541</v>
      </c>
      <c r="F480" s="3269">
        <v>90.0428</v>
      </c>
      <c r="G480" s="2325">
        <v>85.287499999999994</v>
      </c>
      <c r="H480" s="2326">
        <v>4.38</v>
      </c>
      <c r="I480" s="3500">
        <v>4.337727272727272</v>
      </c>
      <c r="J480" s="338">
        <v>4.7915909090909086</v>
      </c>
      <c r="K480" s="2321"/>
      <c r="L480" s="2329">
        <v>4.92723625</v>
      </c>
      <c r="M480" s="1027"/>
      <c r="N480" s="1020"/>
      <c r="O480" s="3363">
        <v>229.392</v>
      </c>
      <c r="P480" s="2322">
        <v>204.2</v>
      </c>
      <c r="Q480" s="2204"/>
      <c r="R480" s="2204"/>
    </row>
    <row r="481" spans="1:18">
      <c r="A481" s="2202">
        <f t="shared" si="0"/>
        <v>2012.04</v>
      </c>
      <c r="B481" s="2324">
        <v>90.815600000000003</v>
      </c>
      <c r="C481" s="3269">
        <v>87.161000000000001</v>
      </c>
      <c r="D481" s="2325">
        <v>95.742999999999995</v>
      </c>
      <c r="E481" s="2326">
        <v>87.879099999999994</v>
      </c>
      <c r="F481" s="3269">
        <v>89.8125</v>
      </c>
      <c r="G481" s="2325">
        <v>85.962999999999994</v>
      </c>
      <c r="H481" s="2326">
        <v>4.41</v>
      </c>
      <c r="I481" s="3500">
        <v>4.3788235294117657</v>
      </c>
      <c r="J481" s="338">
        <v>4.9823529411764707</v>
      </c>
      <c r="K481" s="2321"/>
      <c r="L481" s="2329">
        <v>5.3987444444444446</v>
      </c>
      <c r="M481" s="1027"/>
      <c r="N481" s="1020"/>
      <c r="O481" s="3363">
        <v>230.08500000000001</v>
      </c>
      <c r="P481" s="2322">
        <v>203.7</v>
      </c>
      <c r="Q481" s="2204"/>
      <c r="R481" s="2204"/>
    </row>
    <row r="482" spans="1:18">
      <c r="A482" s="2202">
        <f t="shared" si="0"/>
        <v>2012.05</v>
      </c>
      <c r="B482" s="2324">
        <v>92.492800000000003</v>
      </c>
      <c r="C482" s="3269">
        <v>88.510800000000003</v>
      </c>
      <c r="D482" s="2325">
        <v>97.8078</v>
      </c>
      <c r="E482" s="2326">
        <v>89.2774</v>
      </c>
      <c r="F482" s="3269">
        <v>91.186400000000006</v>
      </c>
      <c r="G482" s="2325">
        <v>87.3857</v>
      </c>
      <c r="H482" s="2326">
        <v>4.4800000000000004</v>
      </c>
      <c r="I482" s="3500">
        <v>4.4319047619047627</v>
      </c>
      <c r="J482" s="338">
        <v>5.4885714285714284</v>
      </c>
      <c r="K482" s="2321"/>
      <c r="L482" s="2329">
        <v>5.8975042857142856</v>
      </c>
      <c r="M482" s="1027"/>
      <c r="N482" s="1020"/>
      <c r="O482" s="3363">
        <v>229.815</v>
      </c>
      <c r="P482" s="2322">
        <v>201.9</v>
      </c>
      <c r="Q482" s="2204"/>
      <c r="R482" s="2204"/>
    </row>
    <row r="483" spans="1:18">
      <c r="A483" s="2202">
        <f t="shared" si="0"/>
        <v>2012.06</v>
      </c>
      <c r="B483" s="2324">
        <v>93.880899999999997</v>
      </c>
      <c r="C483" s="3269">
        <v>89.888400000000004</v>
      </c>
      <c r="D483" s="2325">
        <v>99.219300000000004</v>
      </c>
      <c r="E483" s="2326">
        <v>90.508799999999994</v>
      </c>
      <c r="F483" s="3269">
        <v>92.67</v>
      </c>
      <c r="G483" s="2325">
        <v>88.366500000000002</v>
      </c>
      <c r="H483" s="2326">
        <v>4.5199999999999996</v>
      </c>
      <c r="I483" s="3500">
        <v>4.479000000000001</v>
      </c>
      <c r="J483" s="338">
        <v>5.9324999999999983</v>
      </c>
      <c r="K483" s="2321"/>
      <c r="L483" s="2329">
        <v>6.4637060000000002</v>
      </c>
      <c r="M483" s="1027"/>
      <c r="N483" s="1020"/>
      <c r="O483" s="3363">
        <v>229.47800000000001</v>
      </c>
      <c r="P483" s="2322">
        <v>199.8</v>
      </c>
      <c r="Q483" s="2204"/>
      <c r="R483" s="2204"/>
    </row>
    <row r="484" spans="1:18">
      <c r="A484" s="2202">
        <f t="shared" si="0"/>
        <v>2012.07</v>
      </c>
      <c r="B484" s="2324">
        <v>93.406199999999998</v>
      </c>
      <c r="C484" s="3269">
        <v>90.070099999999996</v>
      </c>
      <c r="D484" s="2325">
        <v>97.993300000000005</v>
      </c>
      <c r="E484" s="2326">
        <v>89.947999999999993</v>
      </c>
      <c r="F484" s="3269">
        <v>92.802499999999995</v>
      </c>
      <c r="G484" s="2325">
        <v>87.124300000000005</v>
      </c>
      <c r="H484" s="2326">
        <v>4.58</v>
      </c>
      <c r="I484" s="3500">
        <v>4.5347619047619041</v>
      </c>
      <c r="J484" s="338">
        <v>6.2509523809523815</v>
      </c>
      <c r="K484" s="2321"/>
      <c r="L484" s="2329">
        <v>6.7823407142857146</v>
      </c>
      <c r="M484" s="1027"/>
      <c r="N484" s="1020"/>
      <c r="O484" s="3363">
        <v>229.10400000000001</v>
      </c>
      <c r="P484" s="2322">
        <v>200.1</v>
      </c>
      <c r="Q484" s="2204"/>
      <c r="R484" s="2204"/>
    </row>
    <row r="485" spans="1:18">
      <c r="A485" s="2202">
        <f t="shared" si="0"/>
        <v>2012.08</v>
      </c>
      <c r="B485" s="2324">
        <v>92.528300000000002</v>
      </c>
      <c r="C485" s="3269">
        <v>88.892200000000003</v>
      </c>
      <c r="D485" s="2325">
        <v>97.448499999999996</v>
      </c>
      <c r="E485" s="2326">
        <v>89.297700000000006</v>
      </c>
      <c r="F485" s="3269">
        <v>91.874300000000005</v>
      </c>
      <c r="G485" s="2325">
        <v>86.746200000000002</v>
      </c>
      <c r="H485" s="2326">
        <v>4.6399999999999997</v>
      </c>
      <c r="I485" s="3500">
        <v>4.5922727272727277</v>
      </c>
      <c r="J485" s="338">
        <v>6.3011363636363633</v>
      </c>
      <c r="K485" s="2321"/>
      <c r="L485" s="2329">
        <v>6.4775700000000001</v>
      </c>
      <c r="M485" s="1027"/>
      <c r="N485" s="1020"/>
      <c r="O485" s="3363">
        <v>230.37899999999999</v>
      </c>
      <c r="P485" s="2322">
        <v>202.7</v>
      </c>
      <c r="Q485" s="2204"/>
      <c r="R485" s="2204"/>
    </row>
    <row r="486" spans="1:18">
      <c r="A486" s="2202">
        <f t="shared" si="0"/>
        <v>2012.09</v>
      </c>
      <c r="B486" s="2324">
        <v>90.980199999999996</v>
      </c>
      <c r="C486" s="3269">
        <v>86.9071</v>
      </c>
      <c r="D486" s="2325">
        <v>96.388300000000001</v>
      </c>
      <c r="E486" s="2326">
        <v>87.985500000000002</v>
      </c>
      <c r="F486" s="3269">
        <v>90.045599999999993</v>
      </c>
      <c r="G486" s="2325">
        <v>85.9435</v>
      </c>
      <c r="H486" s="2326">
        <v>4.6900000000000004</v>
      </c>
      <c r="I486" s="3500">
        <v>4.6510526315789473</v>
      </c>
      <c r="J486" s="338">
        <v>6.3078947368421057</v>
      </c>
      <c r="K486" s="2321"/>
      <c r="L486" s="2329">
        <v>6.4089447058823534</v>
      </c>
      <c r="M486" s="1027"/>
      <c r="N486" s="1020"/>
      <c r="O486" s="3363">
        <v>231.40700000000001</v>
      </c>
      <c r="P486" s="2322">
        <v>204.4</v>
      </c>
      <c r="Q486" s="2204"/>
      <c r="R486" s="2204"/>
    </row>
    <row r="487" spans="1:18">
      <c r="A487" s="2202">
        <f t="shared" si="0"/>
        <v>2012.1</v>
      </c>
      <c r="B487" s="2324">
        <v>90.756600000000006</v>
      </c>
      <c r="C487" s="3269">
        <v>87.062700000000007</v>
      </c>
      <c r="D487" s="2325">
        <v>95.727699999999999</v>
      </c>
      <c r="E487" s="2326">
        <v>87.849000000000004</v>
      </c>
      <c r="F487" s="3269">
        <v>90.340500000000006</v>
      </c>
      <c r="G487" s="2325">
        <v>85.381299999999996</v>
      </c>
      <c r="H487" s="2326">
        <v>4.75</v>
      </c>
      <c r="I487" s="3500">
        <v>4.7109090909090918</v>
      </c>
      <c r="J487" s="338">
        <v>6.2677272727272735</v>
      </c>
      <c r="K487" s="2321"/>
      <c r="L487" s="2329">
        <v>6.386164285714286</v>
      </c>
      <c r="M487" s="1027"/>
      <c r="N487" s="1020"/>
      <c r="O487" s="3363">
        <v>231.31700000000001</v>
      </c>
      <c r="P487" s="2322">
        <v>203.5</v>
      </c>
      <c r="Q487" s="2204"/>
      <c r="R487" s="2204"/>
    </row>
    <row r="488" spans="1:18">
      <c r="A488" s="2202">
        <f t="shared" si="0"/>
        <v>2012.11</v>
      </c>
      <c r="B488" s="2324">
        <v>91.475099999999998</v>
      </c>
      <c r="C488" s="3269">
        <v>88.103399999999993</v>
      </c>
      <c r="D488" s="2325">
        <v>96.085400000000007</v>
      </c>
      <c r="E488" s="2326">
        <v>88.257199999999997</v>
      </c>
      <c r="F488" s="3269">
        <v>91.211500000000001</v>
      </c>
      <c r="G488" s="2325">
        <v>85.337100000000007</v>
      </c>
      <c r="H488" s="2326">
        <v>4.83</v>
      </c>
      <c r="I488" s="3500">
        <v>4.778999999999999</v>
      </c>
      <c r="J488" s="338">
        <v>6.3639999999999999</v>
      </c>
      <c r="K488" s="2321"/>
      <c r="L488" s="2329">
        <v>6.8496661111111106</v>
      </c>
      <c r="M488" s="1027"/>
      <c r="N488" s="1020"/>
      <c r="O488" s="3363">
        <v>230.221</v>
      </c>
      <c r="P488" s="2322">
        <v>201.8</v>
      </c>
      <c r="Q488" s="2204"/>
      <c r="R488" s="2204"/>
    </row>
    <row r="489" spans="1:18">
      <c r="A489" s="2202">
        <f t="shared" si="0"/>
        <v>2012.12</v>
      </c>
      <c r="B489" s="2324">
        <v>90.880399999999995</v>
      </c>
      <c r="C489" s="3269">
        <v>87.468800000000002</v>
      </c>
      <c r="D489" s="2325">
        <v>95.530900000000003</v>
      </c>
      <c r="E489" s="2326">
        <v>87.484899999999996</v>
      </c>
      <c r="F489" s="3269">
        <v>90.4816</v>
      </c>
      <c r="G489" s="2325">
        <v>84.524199999999993</v>
      </c>
      <c r="H489" s="2326">
        <v>4.9000000000000004</v>
      </c>
      <c r="I489" s="3500">
        <v>4.8610526315789482</v>
      </c>
      <c r="J489" s="338">
        <v>6.5431578947368427</v>
      </c>
      <c r="K489" s="2321"/>
      <c r="L489" s="2329">
        <v>6.6212329411764701</v>
      </c>
      <c r="M489" s="1027"/>
      <c r="N489" s="1020"/>
      <c r="O489" s="3363">
        <v>229.601</v>
      </c>
      <c r="P489" s="2322">
        <v>201.5</v>
      </c>
      <c r="Q489" s="2204"/>
      <c r="R489" s="2204"/>
    </row>
    <row r="490" spans="1:18">
      <c r="A490" s="2202">
        <f t="shared" si="0"/>
        <v>2013.01</v>
      </c>
      <c r="B490" s="2324">
        <v>90.825500000000005</v>
      </c>
      <c r="C490" s="3269">
        <v>87.957999999999998</v>
      </c>
      <c r="D490" s="2325">
        <v>94.877200000000002</v>
      </c>
      <c r="E490" s="2326">
        <v>87.3994</v>
      </c>
      <c r="F490" s="3269">
        <v>91.050899999999999</v>
      </c>
      <c r="G490" s="2325">
        <v>83.830299999999994</v>
      </c>
      <c r="H490" s="2326">
        <v>4.9800000000000004</v>
      </c>
      <c r="I490" s="3500">
        <v>4.93047619047619</v>
      </c>
      <c r="J490" s="338">
        <v>7.3571428571428568</v>
      </c>
      <c r="K490" s="2321"/>
      <c r="L490" s="2329">
        <v>7.2428438095238086</v>
      </c>
      <c r="M490" s="1027"/>
      <c r="N490" s="1020"/>
      <c r="O490" s="3363">
        <v>230.28</v>
      </c>
      <c r="P490" s="2322">
        <v>202.5</v>
      </c>
      <c r="Q490" s="2204"/>
      <c r="R490" s="2522"/>
    </row>
    <row r="491" spans="1:18">
      <c r="A491" s="2202">
        <f t="shared" si="0"/>
        <v>2013.02</v>
      </c>
      <c r="B491" s="2324">
        <v>91.550899999999999</v>
      </c>
      <c r="C491" s="3269">
        <v>89.197800000000001</v>
      </c>
      <c r="D491" s="2325">
        <v>95.058899999999994</v>
      </c>
      <c r="E491" s="2326">
        <v>88.2791</v>
      </c>
      <c r="F491" s="3269">
        <v>92.590400000000002</v>
      </c>
      <c r="G491" s="2325">
        <v>84.102900000000005</v>
      </c>
      <c r="H491" s="2326">
        <v>5.03</v>
      </c>
      <c r="I491" s="3500">
        <v>4.9923529411764704</v>
      </c>
      <c r="J491" s="338">
        <v>7.7364705882352949</v>
      </c>
      <c r="K491" s="2321"/>
      <c r="L491" s="2329">
        <v>7.7753556250000004</v>
      </c>
      <c r="M491" s="1027"/>
      <c r="N491" s="1020"/>
      <c r="O491" s="3363">
        <v>232.166</v>
      </c>
      <c r="P491" s="2322">
        <v>204.3</v>
      </c>
      <c r="Q491" s="2204"/>
      <c r="R491" s="2204"/>
    </row>
    <row r="492" spans="1:18">
      <c r="A492" s="2202">
        <f t="shared" si="0"/>
        <v>2013.03</v>
      </c>
      <c r="B492" s="2324">
        <v>92.413200000000003</v>
      </c>
      <c r="C492" s="3269">
        <v>91.150999999999996</v>
      </c>
      <c r="D492" s="2325">
        <v>94.778700000000001</v>
      </c>
      <c r="E492" s="2326">
        <v>88.767499999999998</v>
      </c>
      <c r="F492" s="3269">
        <v>94.296499999999995</v>
      </c>
      <c r="G492" s="2325">
        <v>83.495099999999994</v>
      </c>
      <c r="H492" s="2326">
        <v>5.0999999999999996</v>
      </c>
      <c r="I492" s="3500">
        <v>5.0663157894736841</v>
      </c>
      <c r="J492" s="338">
        <v>8.0697368421052627</v>
      </c>
      <c r="K492" s="2321"/>
      <c r="L492" s="2329">
        <v>8.2683121052631581</v>
      </c>
      <c r="M492" s="1027"/>
      <c r="N492" s="1020"/>
      <c r="O492" s="3363">
        <v>232.773</v>
      </c>
      <c r="P492" s="2322">
        <v>204</v>
      </c>
      <c r="Q492" s="2204"/>
      <c r="R492" s="2204"/>
    </row>
    <row r="493" spans="1:18">
      <c r="A493" s="2202">
        <f t="shared" si="0"/>
        <v>2013.04</v>
      </c>
      <c r="B493" s="2324">
        <v>92.047799999999995</v>
      </c>
      <c r="C493" s="3269">
        <v>91.018900000000002</v>
      </c>
      <c r="D493" s="2325">
        <v>94.166700000000006</v>
      </c>
      <c r="E493" s="2326">
        <v>88.020099999999999</v>
      </c>
      <c r="F493" s="3269">
        <v>94.145700000000005</v>
      </c>
      <c r="G493" s="2325">
        <v>82.225300000000004</v>
      </c>
      <c r="H493" s="2326">
        <v>5.16</v>
      </c>
      <c r="I493" s="3500">
        <v>5.136000000000001</v>
      </c>
      <c r="J493" s="338">
        <v>8.6660000000000004</v>
      </c>
      <c r="K493" s="2321"/>
      <c r="L493" s="2329">
        <v>8.7742775000000002</v>
      </c>
      <c r="M493" s="1027"/>
      <c r="N493" s="1020"/>
      <c r="O493" s="3363">
        <v>232.53100000000001</v>
      </c>
      <c r="P493" s="2322">
        <v>203.5</v>
      </c>
      <c r="Q493" s="2204"/>
      <c r="R493" s="2204"/>
    </row>
    <row r="494" spans="1:18">
      <c r="A494" s="2202">
        <f t="shared" ref="A494:A559" si="1">A482+1</f>
        <v>2013.05</v>
      </c>
      <c r="B494" s="2324">
        <v>92.528999999999996</v>
      </c>
      <c r="C494" s="3269">
        <v>91.811300000000003</v>
      </c>
      <c r="D494" s="2325">
        <v>94.332700000000003</v>
      </c>
      <c r="E494" s="2326">
        <v>88.418099999999995</v>
      </c>
      <c r="F494" s="3269">
        <v>94.940100000000001</v>
      </c>
      <c r="G494" s="2325">
        <v>82.275700000000001</v>
      </c>
      <c r="H494" s="2326">
        <v>5.26</v>
      </c>
      <c r="I494" s="3500">
        <v>5.2213636363636367</v>
      </c>
      <c r="J494" s="338">
        <v>9.2565909090909084</v>
      </c>
      <c r="K494" s="2321"/>
      <c r="L494" s="2329">
        <v>8.8384745454545453</v>
      </c>
      <c r="M494" s="1027"/>
      <c r="N494" s="1020"/>
      <c r="O494" s="3363">
        <v>232.94499999999999</v>
      </c>
      <c r="P494" s="2322">
        <v>204.1</v>
      </c>
      <c r="Q494" s="2204"/>
      <c r="R494" s="2204"/>
    </row>
    <row r="495" spans="1:18">
      <c r="A495" s="2202">
        <f t="shared" si="1"/>
        <v>2013.06</v>
      </c>
      <c r="B495" s="2324">
        <v>93.283600000000007</v>
      </c>
      <c r="C495" s="3269">
        <v>91.045299999999997</v>
      </c>
      <c r="D495" s="2325">
        <v>96.688599999999994</v>
      </c>
      <c r="E495" s="2326">
        <v>89.137100000000004</v>
      </c>
      <c r="F495" s="3269">
        <v>94.208600000000004</v>
      </c>
      <c r="G495" s="2325">
        <v>84.271500000000003</v>
      </c>
      <c r="H495" s="2326">
        <v>5.38</v>
      </c>
      <c r="I495" s="3500">
        <v>5.3122222222222231</v>
      </c>
      <c r="J495" s="338">
        <v>8.2122222222222216</v>
      </c>
      <c r="K495" s="2321"/>
      <c r="L495" s="2329">
        <v>8.0762205555555564</v>
      </c>
      <c r="M495" s="1027"/>
      <c r="N495" s="1020"/>
      <c r="O495" s="3363">
        <v>233.50399999999999</v>
      </c>
      <c r="P495" s="2322">
        <v>204.3</v>
      </c>
      <c r="Q495" s="2204"/>
      <c r="R495" s="2204"/>
    </row>
    <row r="496" spans="1:18">
      <c r="A496" s="2202">
        <f t="shared" si="1"/>
        <v>2013.07</v>
      </c>
      <c r="B496" s="2324">
        <v>93.872399999999999</v>
      </c>
      <c r="C496" s="3269">
        <v>92.220399999999998</v>
      </c>
      <c r="D496" s="2325">
        <v>96.663399999999996</v>
      </c>
      <c r="E496" s="2326">
        <v>89.691400000000002</v>
      </c>
      <c r="F496" s="3269">
        <v>95.445099999999996</v>
      </c>
      <c r="G496" s="2325">
        <v>84.216099999999997</v>
      </c>
      <c r="H496" s="2326">
        <v>5.48</v>
      </c>
      <c r="I496" s="3500">
        <v>5.4204999999999988</v>
      </c>
      <c r="J496" s="338">
        <v>8.3293181818181825</v>
      </c>
      <c r="K496" s="2321"/>
      <c r="L496" s="2329">
        <v>8.2197972727272735</v>
      </c>
      <c r="M496" s="1027"/>
      <c r="N496" s="1020"/>
      <c r="O496" s="3363">
        <v>233.596</v>
      </c>
      <c r="P496" s="2322">
        <v>204.4</v>
      </c>
      <c r="Q496" s="2204"/>
      <c r="R496" s="2204"/>
    </row>
    <row r="497" spans="1:18">
      <c r="A497" s="2202">
        <f t="shared" si="1"/>
        <v>2013.08</v>
      </c>
      <c r="B497" s="2324">
        <v>93.7149</v>
      </c>
      <c r="C497" s="3269">
        <v>91.166700000000006</v>
      </c>
      <c r="D497" s="2325">
        <v>97.454999999999998</v>
      </c>
      <c r="E497" s="2326">
        <v>89.601900000000001</v>
      </c>
      <c r="F497" s="3269">
        <v>94.490399999999994</v>
      </c>
      <c r="G497" s="2325">
        <v>84.899100000000004</v>
      </c>
      <c r="H497" s="2326">
        <v>5.64</v>
      </c>
      <c r="I497" s="3500">
        <v>5.5619047619047617</v>
      </c>
      <c r="J497" s="338">
        <v>8.8634999999999984</v>
      </c>
      <c r="K497" s="2321"/>
      <c r="L497" s="2329">
        <v>8.494761904761905</v>
      </c>
      <c r="M497" s="1027"/>
      <c r="N497" s="1020"/>
      <c r="O497" s="3363">
        <v>233.87700000000001</v>
      </c>
      <c r="P497" s="2322">
        <v>204.2</v>
      </c>
      <c r="Q497" s="2204"/>
      <c r="R497" s="2204"/>
    </row>
    <row r="498" spans="1:18">
      <c r="A498" s="2202">
        <f t="shared" si="1"/>
        <v>2013.09</v>
      </c>
      <c r="B498" s="2324">
        <v>93.470600000000005</v>
      </c>
      <c r="C498" s="3269">
        <v>90.724100000000007</v>
      </c>
      <c r="D498" s="2325">
        <v>97.419700000000006</v>
      </c>
      <c r="E498" s="2326">
        <v>89.151799999999994</v>
      </c>
      <c r="F498" s="3269">
        <v>93.915499999999994</v>
      </c>
      <c r="G498" s="2325">
        <v>84.563000000000002</v>
      </c>
      <c r="H498" s="2326">
        <v>5.77</v>
      </c>
      <c r="I498" s="3500">
        <v>5.7166666666666668</v>
      </c>
      <c r="J498" s="338">
        <v>9.2826190476190487</v>
      </c>
      <c r="K498" s="2321"/>
      <c r="L498" s="2329">
        <v>9.0366666666666671</v>
      </c>
      <c r="M498" s="1027"/>
      <c r="N498" s="1020"/>
      <c r="O498" s="3363">
        <v>234.149</v>
      </c>
      <c r="P498" s="2322">
        <v>203.9</v>
      </c>
      <c r="Q498" s="2204"/>
      <c r="R498" s="2204"/>
    </row>
    <row r="499" spans="1:18">
      <c r="A499" s="2202">
        <f t="shared" si="1"/>
        <v>2013.1</v>
      </c>
      <c r="B499" s="2324">
        <v>92.499300000000005</v>
      </c>
      <c r="C499" s="3269">
        <v>89.622200000000007</v>
      </c>
      <c r="D499" s="2325">
        <v>96.579099999999997</v>
      </c>
      <c r="E499" s="2326">
        <v>88.147800000000004</v>
      </c>
      <c r="F499" s="3269">
        <v>92.895200000000003</v>
      </c>
      <c r="G499" s="2325">
        <v>83.576899999999995</v>
      </c>
      <c r="H499" s="2326">
        <v>5.9</v>
      </c>
      <c r="I499" s="3500">
        <v>5.828181818181819</v>
      </c>
      <c r="J499" s="338">
        <v>9.734</v>
      </c>
      <c r="K499" s="2321"/>
      <c r="L499" s="2329">
        <v>9.1381818181818186</v>
      </c>
      <c r="M499" s="1027"/>
      <c r="N499" s="1020"/>
      <c r="O499" s="3363">
        <v>233.54599999999999</v>
      </c>
      <c r="P499" s="2322">
        <v>202.5</v>
      </c>
      <c r="Q499" s="2204"/>
      <c r="R499" s="2204"/>
    </row>
    <row r="500" spans="1:18">
      <c r="A500" s="2202">
        <f t="shared" si="1"/>
        <v>2013.11</v>
      </c>
      <c r="B500" s="2324">
        <v>93.373699999999999</v>
      </c>
      <c r="C500" s="3269">
        <v>90.750799999999998</v>
      </c>
      <c r="D500" s="2325">
        <v>97.188699999999997</v>
      </c>
      <c r="E500" s="2326">
        <v>88.900499999999994</v>
      </c>
      <c r="F500" s="3269">
        <v>94.057199999999995</v>
      </c>
      <c r="G500" s="2325">
        <v>83.959400000000002</v>
      </c>
      <c r="H500" s="2326">
        <v>6.12</v>
      </c>
      <c r="I500" s="3500">
        <v>5.9989473684210539</v>
      </c>
      <c r="J500" s="338">
        <v>9.8177500000000002</v>
      </c>
      <c r="K500" s="2321"/>
      <c r="L500" s="2329">
        <v>9.1183333333333341</v>
      </c>
      <c r="M500" s="1027"/>
      <c r="N500" s="1020"/>
      <c r="O500" s="3363">
        <v>233.06899999999999</v>
      </c>
      <c r="P500" s="2322">
        <v>201.2</v>
      </c>
      <c r="Q500" s="2204"/>
      <c r="R500" s="2204"/>
    </row>
    <row r="501" spans="1:18">
      <c r="A501" s="2202">
        <f t="shared" si="1"/>
        <v>2013.12</v>
      </c>
      <c r="B501" s="2324">
        <v>93.534000000000006</v>
      </c>
      <c r="C501" s="3269">
        <v>90.932000000000002</v>
      </c>
      <c r="D501" s="2325">
        <v>97.328400000000002</v>
      </c>
      <c r="E501" s="2326">
        <v>89.0779</v>
      </c>
      <c r="F501" s="3269">
        <v>94.285899999999998</v>
      </c>
      <c r="G501" s="2325">
        <v>84.090299999999999</v>
      </c>
      <c r="H501" s="2326">
        <v>6.5</v>
      </c>
      <c r="I501" s="3500">
        <v>6.3031578947368425</v>
      </c>
      <c r="J501" s="338">
        <v>9.6165789473684207</v>
      </c>
      <c r="K501" s="2321"/>
      <c r="L501" s="2329">
        <v>8.5269121052631576</v>
      </c>
      <c r="M501" s="1027"/>
      <c r="N501" s="1020"/>
      <c r="O501" s="3363">
        <v>233.04900000000001</v>
      </c>
      <c r="P501" s="2322">
        <v>202</v>
      </c>
      <c r="Q501" s="2204"/>
      <c r="R501" s="2204"/>
    </row>
    <row r="502" spans="1:18">
      <c r="A502" s="2202">
        <f t="shared" si="1"/>
        <v>2014.01</v>
      </c>
      <c r="B502" s="2324">
        <v>94.464799999999997</v>
      </c>
      <c r="C502" s="3269">
        <v>91.994399999999999</v>
      </c>
      <c r="D502" s="2325">
        <v>98.131500000000003</v>
      </c>
      <c r="E502" s="2326">
        <v>89.982600000000005</v>
      </c>
      <c r="F502" s="3269">
        <v>95.519900000000007</v>
      </c>
      <c r="G502" s="2325">
        <v>84.700500000000005</v>
      </c>
      <c r="H502" s="2326">
        <v>8</v>
      </c>
      <c r="I502" s="3500">
        <v>7.0831818181818189</v>
      </c>
      <c r="J502" s="338">
        <v>11.291818181818183</v>
      </c>
      <c r="K502" s="2321"/>
      <c r="L502" s="2329">
        <v>10.09939</v>
      </c>
      <c r="M502" s="1027"/>
      <c r="N502" s="1020"/>
      <c r="O502" s="3363">
        <v>233.916</v>
      </c>
      <c r="P502" s="2322">
        <v>203.8</v>
      </c>
      <c r="Q502" s="2204"/>
      <c r="R502" s="2522"/>
    </row>
    <row r="503" spans="1:18">
      <c r="A503" s="2202">
        <f t="shared" si="1"/>
        <v>2014.02</v>
      </c>
      <c r="B503" s="2324">
        <v>94.645600000000002</v>
      </c>
      <c r="C503" s="3269">
        <v>91.848500000000001</v>
      </c>
      <c r="D503" s="2325">
        <v>98.661000000000001</v>
      </c>
      <c r="E503" s="2326">
        <v>90.081900000000005</v>
      </c>
      <c r="F503" s="3269">
        <v>95.32</v>
      </c>
      <c r="G503" s="2325">
        <v>85.063299999999998</v>
      </c>
      <c r="H503" s="2326">
        <v>7.85</v>
      </c>
      <c r="I503" s="3500">
        <v>7.7944999999999993</v>
      </c>
      <c r="J503" s="338">
        <v>11.762</v>
      </c>
      <c r="K503" s="2321"/>
      <c r="L503" s="2329">
        <v>11.03315789473684</v>
      </c>
      <c r="M503" s="1027"/>
      <c r="N503" s="1020"/>
      <c r="O503" s="3363">
        <v>234.78100000000001</v>
      </c>
      <c r="P503" s="2322">
        <v>205.7</v>
      </c>
      <c r="Q503" s="2204"/>
      <c r="R503" s="2204"/>
    </row>
    <row r="504" spans="1:18">
      <c r="A504" s="2202">
        <f t="shared" si="1"/>
        <v>2014.03</v>
      </c>
      <c r="B504" s="2324">
        <v>94.440799999999996</v>
      </c>
      <c r="C504" s="3269">
        <v>91.47</v>
      </c>
      <c r="D504" s="2325">
        <v>98.639600000000002</v>
      </c>
      <c r="E504" s="2326">
        <v>89.922899999999998</v>
      </c>
      <c r="F504" s="3269">
        <v>95.046099999999996</v>
      </c>
      <c r="G504" s="2325">
        <v>85.006900000000002</v>
      </c>
      <c r="H504" s="2326">
        <v>7.98</v>
      </c>
      <c r="I504" s="3500">
        <v>7.8827777777777772</v>
      </c>
      <c r="J504" s="338">
        <v>10.847222222222221</v>
      </c>
      <c r="K504" s="2321"/>
      <c r="L504" s="2329">
        <v>10.23</v>
      </c>
      <c r="M504" s="1027"/>
      <c r="N504" s="1020"/>
      <c r="O504" s="3363">
        <v>236.29300000000001</v>
      </c>
      <c r="P504" s="2322">
        <v>207</v>
      </c>
      <c r="Q504" s="2204"/>
      <c r="R504" s="2204"/>
    </row>
    <row r="505" spans="1:18">
      <c r="A505" s="2202">
        <f t="shared" si="1"/>
        <v>2014.04</v>
      </c>
      <c r="B505" s="2324">
        <v>93.995599999999996</v>
      </c>
      <c r="C505" s="3269">
        <v>91.104699999999994</v>
      </c>
      <c r="D505" s="2325">
        <v>98.103999999999999</v>
      </c>
      <c r="E505" s="2326">
        <v>89.395200000000003</v>
      </c>
      <c r="F505" s="3269">
        <v>94.497399999999999</v>
      </c>
      <c r="G505" s="2325">
        <v>84.5</v>
      </c>
      <c r="H505" s="2326">
        <v>7.99</v>
      </c>
      <c r="I505" s="3500">
        <v>7.95</v>
      </c>
      <c r="J505" s="338">
        <v>10.468421052631578</v>
      </c>
      <c r="K505" s="2321"/>
      <c r="L505" s="2329">
        <v>9.7484210526315795</v>
      </c>
      <c r="M505" s="1027"/>
      <c r="N505" s="1020"/>
      <c r="O505" s="3363">
        <v>237.072</v>
      </c>
      <c r="P505" s="2322">
        <v>208.3</v>
      </c>
      <c r="Q505" s="2204"/>
      <c r="R505" s="2204"/>
    </row>
    <row r="506" spans="1:18">
      <c r="A506" s="2202">
        <f t="shared" si="1"/>
        <v>2014.05</v>
      </c>
      <c r="B506" s="2324">
        <v>93.67</v>
      </c>
      <c r="C506" s="3269">
        <v>90.928299999999993</v>
      </c>
      <c r="D506" s="2325">
        <v>97.616200000000006</v>
      </c>
      <c r="E506" s="2326">
        <v>89.076599999999999</v>
      </c>
      <c r="F506" s="3269">
        <v>94.493799999999993</v>
      </c>
      <c r="G506" s="2325">
        <v>83.904200000000003</v>
      </c>
      <c r="H506" s="2326">
        <v>8.07</v>
      </c>
      <c r="I506" s="3500">
        <v>7.9947368421052651</v>
      </c>
      <c r="J506" s="338">
        <v>11.1275</v>
      </c>
      <c r="K506" s="2321"/>
      <c r="L506" s="2329">
        <v>10.3695</v>
      </c>
      <c r="M506" s="1027"/>
      <c r="N506" s="1020"/>
      <c r="O506" s="3363">
        <v>237.9</v>
      </c>
      <c r="P506" s="2322">
        <v>208</v>
      </c>
      <c r="Q506" s="2204"/>
      <c r="R506" s="2204"/>
    </row>
    <row r="507" spans="1:18">
      <c r="A507" s="2202">
        <f t="shared" si="1"/>
        <v>2014.06</v>
      </c>
      <c r="B507" s="2324">
        <v>93.827399999999997</v>
      </c>
      <c r="C507" s="3269">
        <v>91.148799999999994</v>
      </c>
      <c r="D507" s="2325">
        <v>97.707899999999995</v>
      </c>
      <c r="E507" s="2326">
        <v>89.179299999999998</v>
      </c>
      <c r="F507" s="3269">
        <v>94.692499999999995</v>
      </c>
      <c r="G507" s="2325">
        <v>83.921999999999997</v>
      </c>
      <c r="H507" s="2326">
        <v>8.1300000000000008</v>
      </c>
      <c r="I507" s="3500">
        <v>8.0755000000000017</v>
      </c>
      <c r="J507" s="338">
        <v>11.779999999999998</v>
      </c>
      <c r="K507" s="2321"/>
      <c r="L507" s="2329">
        <v>10.459</v>
      </c>
      <c r="M507" s="1027"/>
      <c r="N507" s="1020"/>
      <c r="O507" s="3363">
        <v>238.34299999999999</v>
      </c>
      <c r="P507" s="2322">
        <v>208.3</v>
      </c>
      <c r="Q507" s="2204"/>
      <c r="R507" s="2204"/>
    </row>
    <row r="508" spans="1:18">
      <c r="A508" s="2202">
        <f t="shared" si="1"/>
        <v>2014.07</v>
      </c>
      <c r="B508" s="2324">
        <v>93.603899999999996</v>
      </c>
      <c r="C508" s="3269">
        <v>90.9619</v>
      </c>
      <c r="D508" s="2325">
        <v>97.442999999999998</v>
      </c>
      <c r="E508" s="2326">
        <v>88.935000000000002</v>
      </c>
      <c r="F508" s="3269">
        <v>94.594899999999996</v>
      </c>
      <c r="G508" s="2325">
        <v>83.550200000000004</v>
      </c>
      <c r="H508" s="2326">
        <v>8.1999999999999993</v>
      </c>
      <c r="I508" s="3500">
        <v>8.1113636363636363</v>
      </c>
      <c r="J508" s="338">
        <v>12.214545454545453</v>
      </c>
      <c r="K508" s="2321"/>
      <c r="L508" s="2329">
        <v>10.04045454545455</v>
      </c>
      <c r="M508" s="1027"/>
      <c r="N508" s="1020"/>
      <c r="O508" s="3363">
        <v>238.25</v>
      </c>
      <c r="P508" s="2322">
        <v>208</v>
      </c>
      <c r="Q508" s="2204"/>
      <c r="R508" s="2204"/>
    </row>
    <row r="509" spans="1:18">
      <c r="A509" s="2202">
        <f t="shared" si="1"/>
        <v>2014.08</v>
      </c>
      <c r="B509" s="2324">
        <v>94.580799999999996</v>
      </c>
      <c r="C509" s="3269">
        <v>92.4375</v>
      </c>
      <c r="D509" s="2325">
        <v>97.904200000000003</v>
      </c>
      <c r="E509" s="2326">
        <v>89.750200000000007</v>
      </c>
      <c r="F509" s="3269">
        <v>96.047200000000004</v>
      </c>
      <c r="G509" s="2325">
        <v>83.806100000000001</v>
      </c>
      <c r="H509" s="2326">
        <v>8.4</v>
      </c>
      <c r="I509" s="3500">
        <v>8.2699999999999978</v>
      </c>
      <c r="J509" s="338">
        <v>13.270526315789477</v>
      </c>
      <c r="K509" s="2321"/>
      <c r="L509" s="2329">
        <v>11.451000000000001</v>
      </c>
      <c r="M509" s="1027"/>
      <c r="N509" s="1020"/>
      <c r="O509" s="3363">
        <v>237.852</v>
      </c>
      <c r="P509" s="2322">
        <v>207</v>
      </c>
      <c r="Q509" s="2204"/>
      <c r="R509" s="2204"/>
    </row>
    <row r="510" spans="1:18">
      <c r="A510" s="2202">
        <f t="shared" si="1"/>
        <v>2014.09</v>
      </c>
      <c r="B510" s="2324">
        <v>96.120900000000006</v>
      </c>
      <c r="C510" s="3269">
        <v>94.805999999999997</v>
      </c>
      <c r="D510" s="2325">
        <v>98.5989</v>
      </c>
      <c r="E510" s="2326">
        <v>91.073400000000007</v>
      </c>
      <c r="F510" s="3269">
        <v>98.4465</v>
      </c>
      <c r="G510" s="2325">
        <v>84.198999999999998</v>
      </c>
      <c r="H510" s="2326">
        <v>8.42</v>
      </c>
      <c r="I510" s="3500">
        <v>8.3659090909090903</v>
      </c>
      <c r="J510" s="338">
        <v>14.746818181818183</v>
      </c>
      <c r="K510" s="2321"/>
      <c r="L510" s="2329">
        <v>13.616666666666671</v>
      </c>
      <c r="M510" s="1027"/>
      <c r="N510" s="1020"/>
      <c r="O510" s="3363">
        <v>238.03100000000001</v>
      </c>
      <c r="P510" s="2322">
        <v>206.4</v>
      </c>
      <c r="Q510" s="2204"/>
      <c r="R510" s="2204"/>
    </row>
    <row r="511" spans="1:18">
      <c r="A511" s="2202">
        <f t="shared" si="1"/>
        <v>2014.1</v>
      </c>
      <c r="B511" s="2324">
        <v>97.439599999999999</v>
      </c>
      <c r="C511" s="3269">
        <v>96.294300000000007</v>
      </c>
      <c r="D511" s="2325">
        <v>99.758600000000001</v>
      </c>
      <c r="E511" s="2326">
        <v>92.181200000000004</v>
      </c>
      <c r="F511" s="3269">
        <v>99.987200000000001</v>
      </c>
      <c r="G511" s="2325">
        <v>84.933000000000007</v>
      </c>
      <c r="H511" s="2326">
        <v>8.49</v>
      </c>
      <c r="I511" s="3500">
        <v>8.4281818181818142</v>
      </c>
      <c r="J511" s="338">
        <v>14.731363636363637</v>
      </c>
      <c r="K511" s="2321"/>
      <c r="L511" s="2329">
        <v>13.69136363636364</v>
      </c>
      <c r="M511" s="1027"/>
      <c r="N511" s="1020"/>
      <c r="O511" s="3363">
        <v>237.43299999999999</v>
      </c>
      <c r="P511" s="2322">
        <v>203.4</v>
      </c>
      <c r="Q511" s="2204"/>
      <c r="R511" s="2204"/>
    </row>
    <row r="512" spans="1:18">
      <c r="A512" s="2202">
        <f t="shared" si="1"/>
        <v>2014.11</v>
      </c>
      <c r="B512" s="2324">
        <v>99.114699999999999</v>
      </c>
      <c r="C512" s="3269">
        <v>98.461600000000004</v>
      </c>
      <c r="D512" s="2325">
        <v>100.9498</v>
      </c>
      <c r="E512" s="2326">
        <v>93.526799999999994</v>
      </c>
      <c r="F512" s="3269">
        <v>102.0686</v>
      </c>
      <c r="G512" s="2325">
        <v>85.651799999999994</v>
      </c>
      <c r="H512" s="2326">
        <v>8.52</v>
      </c>
      <c r="I512" s="3500">
        <v>8.4635294117647071</v>
      </c>
      <c r="J512" s="338">
        <v>13.332631578947369</v>
      </c>
      <c r="K512" s="2321"/>
      <c r="L512" s="2329">
        <v>12.400588235294119</v>
      </c>
      <c r="M512" s="1027"/>
      <c r="N512" s="1020"/>
      <c r="O512" s="3363">
        <v>236.15100000000001</v>
      </c>
      <c r="P512" s="2322">
        <v>200.9</v>
      </c>
      <c r="Q512" s="2204"/>
      <c r="R512" s="2204"/>
    </row>
    <row r="513" spans="1:18">
      <c r="A513" s="2202">
        <f t="shared" si="1"/>
        <v>2014.12</v>
      </c>
      <c r="B513" s="2324">
        <v>101.44410000000001</v>
      </c>
      <c r="C513" s="3269">
        <v>100.0838</v>
      </c>
      <c r="D513" s="2325">
        <v>104.03189999999999</v>
      </c>
      <c r="E513" s="2326">
        <v>95.397300000000001</v>
      </c>
      <c r="F513" s="3269">
        <v>103.5992</v>
      </c>
      <c r="G513" s="2325">
        <v>87.792000000000002</v>
      </c>
      <c r="H513" s="2326">
        <v>8.5399999999999991</v>
      </c>
      <c r="I513" s="3500">
        <v>8.4984210526315795</v>
      </c>
      <c r="J513" s="338">
        <v>13.036666666666669</v>
      </c>
      <c r="K513" s="2321"/>
      <c r="L513" s="2329">
        <v>11.621111111111111</v>
      </c>
      <c r="M513" s="1027"/>
      <c r="N513" s="1020"/>
      <c r="O513" s="3363">
        <v>234.81200000000001</v>
      </c>
      <c r="P513" s="2322">
        <v>197</v>
      </c>
      <c r="Q513" s="2204"/>
      <c r="R513" s="2204"/>
    </row>
    <row r="514" spans="1:18">
      <c r="A514" s="2202">
        <f t="shared" si="1"/>
        <v>2015.01</v>
      </c>
      <c r="B514" s="2324">
        <v>103.7607</v>
      </c>
      <c r="C514" s="3269">
        <v>104.05929999999999</v>
      </c>
      <c r="D514" s="2325">
        <v>104.742</v>
      </c>
      <c r="E514" s="2326">
        <v>97.139499999999998</v>
      </c>
      <c r="F514" s="3269">
        <v>107.32559999999999</v>
      </c>
      <c r="G514" s="2325">
        <v>87.928200000000004</v>
      </c>
      <c r="H514" s="2326">
        <v>8.64</v>
      </c>
      <c r="I514" s="3500">
        <v>8.5542857142857169</v>
      </c>
      <c r="J514" s="338">
        <v>13.633333333333335</v>
      </c>
      <c r="K514" s="2321"/>
      <c r="L514" s="2329">
        <v>12.19380952380952</v>
      </c>
      <c r="M514" s="1027"/>
      <c r="N514" s="1020"/>
      <c r="O514" s="3363">
        <v>233.70699999999999</v>
      </c>
      <c r="P514" s="2322">
        <v>192</v>
      </c>
      <c r="Q514" s="2204"/>
      <c r="R514" s="2522"/>
    </row>
    <row r="515" spans="1:18">
      <c r="A515" s="2202">
        <f t="shared" si="1"/>
        <v>2015.02</v>
      </c>
      <c r="B515" s="2324">
        <v>105.16849999999999</v>
      </c>
      <c r="C515" s="3269">
        <v>105.9354</v>
      </c>
      <c r="D515" s="2325">
        <v>105.71210000000001</v>
      </c>
      <c r="E515" s="2326">
        <v>98.5107</v>
      </c>
      <c r="F515" s="3269">
        <v>109.2997</v>
      </c>
      <c r="G515" s="2325">
        <v>88.809899999999999</v>
      </c>
      <c r="H515" s="2326">
        <v>8.7200000000000006</v>
      </c>
      <c r="I515" s="3500">
        <v>8.6377777777777762</v>
      </c>
      <c r="J515" s="338">
        <v>13.09611111111111</v>
      </c>
      <c r="K515" s="2321"/>
      <c r="L515" s="2329">
        <v>12.111111111111111</v>
      </c>
      <c r="M515" s="1027"/>
      <c r="N515" s="1020"/>
      <c r="O515" s="3363">
        <v>234.72200000000001</v>
      </c>
      <c r="P515" s="2322">
        <v>191.1</v>
      </c>
      <c r="Q515" s="2204"/>
      <c r="R515" s="2204"/>
    </row>
    <row r="516" spans="1:18">
      <c r="A516" s="2202">
        <f t="shared" si="1"/>
        <v>2015.03</v>
      </c>
      <c r="B516" s="2324">
        <v>107.3647</v>
      </c>
      <c r="C516" s="3269">
        <v>109.0181</v>
      </c>
      <c r="D516" s="2325">
        <v>107.0934</v>
      </c>
      <c r="E516" s="2326">
        <v>100.4782</v>
      </c>
      <c r="F516" s="3269">
        <v>112.4303</v>
      </c>
      <c r="G516" s="2325">
        <v>89.8506</v>
      </c>
      <c r="H516" s="2326">
        <v>8.82</v>
      </c>
      <c r="I516" s="3500">
        <v>8.7289473684210517</v>
      </c>
      <c r="J516" s="338">
        <v>12.788500000000001</v>
      </c>
      <c r="K516" s="2321"/>
      <c r="L516" s="2329">
        <v>11.9025</v>
      </c>
      <c r="M516" s="1027"/>
      <c r="N516" s="1020"/>
      <c r="O516" s="3363">
        <v>236.119</v>
      </c>
      <c r="P516" s="2322">
        <v>191.5</v>
      </c>
      <c r="Q516" s="2204"/>
      <c r="R516" s="2204"/>
    </row>
    <row r="517" spans="1:18">
      <c r="A517" s="2202">
        <f t="shared" si="1"/>
        <v>2015.04</v>
      </c>
      <c r="B517" s="2324">
        <v>106.3523</v>
      </c>
      <c r="C517" s="3269">
        <v>108.01600000000001</v>
      </c>
      <c r="D517" s="2325">
        <v>106.0605</v>
      </c>
      <c r="E517" s="2326">
        <v>99.564999999999998</v>
      </c>
      <c r="F517" s="3269">
        <v>111.5399</v>
      </c>
      <c r="G517" s="2325">
        <v>88.933300000000003</v>
      </c>
      <c r="H517" s="2326">
        <v>8.89</v>
      </c>
      <c r="I517" s="3500">
        <v>8.8189999999999973</v>
      </c>
      <c r="J517" s="338">
        <v>12.575500000000002</v>
      </c>
      <c r="K517" s="2321"/>
      <c r="L517" s="2329">
        <v>11.975</v>
      </c>
      <c r="M517" s="1027"/>
      <c r="N517" s="1020"/>
      <c r="O517" s="3363">
        <v>236.59899999999999</v>
      </c>
      <c r="P517" s="2322">
        <v>190.9</v>
      </c>
      <c r="Q517" s="2204"/>
      <c r="R517" s="2204"/>
    </row>
    <row r="518" spans="1:18">
      <c r="A518" s="2202">
        <f t="shared" si="1"/>
        <v>2015.05</v>
      </c>
      <c r="B518" s="2324">
        <v>105.40649999999999</v>
      </c>
      <c r="C518" s="3269">
        <v>105.8434</v>
      </c>
      <c r="D518" s="2325">
        <v>106.27209999999999</v>
      </c>
      <c r="E518" s="2326">
        <v>98.762799999999999</v>
      </c>
      <c r="F518" s="3269">
        <v>109.4012</v>
      </c>
      <c r="G518" s="2325">
        <v>89.176299999999998</v>
      </c>
      <c r="H518" s="2326">
        <v>8.98</v>
      </c>
      <c r="I518" s="3500">
        <v>8.9011111111111116</v>
      </c>
      <c r="J518" s="338">
        <v>12.578421052631576</v>
      </c>
      <c r="K518" s="2321"/>
      <c r="L518" s="2329">
        <v>11.87789473684211</v>
      </c>
      <c r="M518" s="1027"/>
      <c r="N518" s="1020"/>
      <c r="O518" s="3363">
        <v>237.80500000000001</v>
      </c>
      <c r="P518" s="2322">
        <v>193.4</v>
      </c>
      <c r="Q518" s="2204"/>
      <c r="R518" s="2204"/>
    </row>
    <row r="519" spans="1:18">
      <c r="A519" s="2202">
        <f t="shared" si="1"/>
        <v>2015.06</v>
      </c>
      <c r="B519" s="2324">
        <v>106.179</v>
      </c>
      <c r="C519" s="3269">
        <v>106.4023</v>
      </c>
      <c r="D519" s="2325">
        <v>107.2589</v>
      </c>
      <c r="E519" s="2326">
        <v>99.554699999999997</v>
      </c>
      <c r="F519" s="3269">
        <v>110.1653</v>
      </c>
      <c r="G519" s="2325">
        <v>89.98</v>
      </c>
      <c r="H519" s="2326">
        <v>9.07</v>
      </c>
      <c r="I519" s="3500">
        <v>8.9922727272727272</v>
      </c>
      <c r="J519" s="338">
        <v>12.881363636363641</v>
      </c>
      <c r="K519" s="2321"/>
      <c r="L519" s="2329">
        <v>12.065</v>
      </c>
      <c r="M519" s="1027"/>
      <c r="N519" s="1020"/>
      <c r="O519" s="3363">
        <v>238.63800000000001</v>
      </c>
      <c r="P519" s="2322">
        <v>194.8</v>
      </c>
      <c r="Q519" s="2204"/>
      <c r="R519" s="2204"/>
    </row>
    <row r="520" spans="1:18">
      <c r="A520" s="2202">
        <f t="shared" si="1"/>
        <v>2015.07</v>
      </c>
      <c r="B520" s="2324">
        <v>108.1236</v>
      </c>
      <c r="C520" s="3269">
        <v>108.7243</v>
      </c>
      <c r="D520" s="2325">
        <v>108.8631</v>
      </c>
      <c r="E520" s="2326">
        <v>101.3704</v>
      </c>
      <c r="F520" s="3269">
        <v>112.67829999999999</v>
      </c>
      <c r="G520" s="2325">
        <v>91.227800000000002</v>
      </c>
      <c r="H520" s="2326">
        <v>9.18</v>
      </c>
      <c r="I520" s="3500">
        <v>9.0936363636363637</v>
      </c>
      <c r="J520" s="338">
        <v>14.149545454545455</v>
      </c>
      <c r="K520" s="2321"/>
      <c r="L520" s="2329">
        <v>13.308095238095239</v>
      </c>
      <c r="M520" s="1027"/>
      <c r="N520" s="1020"/>
      <c r="O520" s="3363">
        <v>238.654</v>
      </c>
      <c r="P520" s="2322">
        <v>193.9</v>
      </c>
      <c r="Q520" s="2204"/>
      <c r="R520" s="2204"/>
    </row>
    <row r="521" spans="1:18">
      <c r="A521" s="2202">
        <f t="shared" si="1"/>
        <v>2015.08</v>
      </c>
      <c r="B521" s="2324">
        <v>109.9768</v>
      </c>
      <c r="C521" s="3269">
        <v>108.98139999999999</v>
      </c>
      <c r="D521" s="2325">
        <v>112.30540000000001</v>
      </c>
      <c r="E521" s="2326">
        <v>103.006</v>
      </c>
      <c r="F521" s="3269">
        <v>112.9653</v>
      </c>
      <c r="G521" s="2325">
        <v>93.905299999999997</v>
      </c>
      <c r="H521" s="2326">
        <v>9.2899999999999991</v>
      </c>
      <c r="I521" s="3500">
        <v>9.1905555555555551</v>
      </c>
      <c r="J521" s="338">
        <v>15.161499999999998</v>
      </c>
      <c r="K521" s="2321"/>
      <c r="L521" s="2329">
        <v>13.500500000000001</v>
      </c>
      <c r="M521" s="1027"/>
      <c r="N521" s="1020"/>
      <c r="O521" s="3363">
        <v>238.316</v>
      </c>
      <c r="P521" s="2322">
        <v>191.9</v>
      </c>
      <c r="Q521" s="2204"/>
      <c r="R521" s="2204"/>
    </row>
    <row r="522" spans="1:18">
      <c r="A522" s="2202">
        <f t="shared" si="1"/>
        <v>2015.09</v>
      </c>
      <c r="B522" s="2324">
        <v>110.85129999999999</v>
      </c>
      <c r="C522" s="3269">
        <v>108.88420000000001</v>
      </c>
      <c r="D522" s="2325">
        <v>114.149</v>
      </c>
      <c r="E522" s="2326">
        <v>103.5996</v>
      </c>
      <c r="F522" s="3269">
        <v>112.71599999999999</v>
      </c>
      <c r="G522" s="2325">
        <v>95.170599999999993</v>
      </c>
      <c r="H522" s="2326">
        <v>9.42</v>
      </c>
      <c r="I522" s="3500">
        <v>9.3142105263157884</v>
      </c>
      <c r="J522" s="338">
        <v>15.679545454545456</v>
      </c>
      <c r="K522" s="2321"/>
      <c r="L522" s="2329">
        <v>13.92714285714286</v>
      </c>
      <c r="M522" s="1027"/>
      <c r="N522" s="1020"/>
      <c r="O522" s="3363">
        <v>237.94499999999999</v>
      </c>
      <c r="P522" s="2322">
        <v>189.1</v>
      </c>
      <c r="Q522" s="2204"/>
      <c r="R522" s="2204"/>
    </row>
    <row r="523" spans="1:18">
      <c r="A523" s="2202">
        <f t="shared" si="1"/>
        <v>2015.1</v>
      </c>
      <c r="B523" s="2324">
        <v>109.9036</v>
      </c>
      <c r="C523" s="3269">
        <v>108.32299999999999</v>
      </c>
      <c r="D523" s="2325">
        <v>112.8038</v>
      </c>
      <c r="E523" s="2326">
        <v>102.6435</v>
      </c>
      <c r="F523" s="3269">
        <v>112.1511</v>
      </c>
      <c r="G523" s="2325">
        <v>93.908600000000007</v>
      </c>
      <c r="H523" s="2326">
        <v>9.5299999999999994</v>
      </c>
      <c r="I523" s="3500">
        <v>9.4488888888888898</v>
      </c>
      <c r="J523" s="338">
        <v>15.79452380952381</v>
      </c>
      <c r="K523" s="2321"/>
      <c r="L523" s="2329">
        <v>13.89619047619048</v>
      </c>
      <c r="M523" s="1027"/>
      <c r="N523" s="1020"/>
      <c r="O523" s="3363">
        <v>237.83799999999999</v>
      </c>
      <c r="P523" s="2322">
        <v>187.5</v>
      </c>
      <c r="Q523" s="2204"/>
      <c r="R523" s="2204"/>
    </row>
    <row r="524" spans="1:18">
      <c r="A524" s="2202">
        <f t="shared" si="1"/>
        <v>2015.11</v>
      </c>
      <c r="B524" s="2324">
        <v>111.69159999999999</v>
      </c>
      <c r="C524" s="3269">
        <v>111.44159999999999</v>
      </c>
      <c r="D524" s="2325">
        <v>113.2985</v>
      </c>
      <c r="E524" s="2326">
        <v>104.34059999999999</v>
      </c>
      <c r="F524" s="3269">
        <v>115.52330000000001</v>
      </c>
      <c r="G524" s="2325">
        <v>94.257099999999994</v>
      </c>
      <c r="H524" s="2326">
        <v>9.69</v>
      </c>
      <c r="I524" s="3500">
        <v>9.5789473684210531</v>
      </c>
      <c r="J524" s="338">
        <v>15.078684210526315</v>
      </c>
      <c r="K524" s="2321"/>
      <c r="L524" s="2329">
        <v>14.35277777777778</v>
      </c>
      <c r="M524" s="1027"/>
      <c r="N524" s="1020"/>
      <c r="O524" s="3363">
        <v>237.33600000000001</v>
      </c>
      <c r="P524" s="2322">
        <v>185.7</v>
      </c>
      <c r="Q524" s="2204"/>
      <c r="R524" s="2204"/>
    </row>
    <row r="525" spans="1:18">
      <c r="A525" s="2202">
        <f t="shared" si="1"/>
        <v>2015.12</v>
      </c>
      <c r="B525" s="2324">
        <v>112.78570000000001</v>
      </c>
      <c r="C525" s="3269">
        <v>111.7345</v>
      </c>
      <c r="D525" s="2325">
        <v>115.1947</v>
      </c>
      <c r="E525" s="2326">
        <v>105.1386</v>
      </c>
      <c r="F525" s="3269">
        <v>115.7672</v>
      </c>
      <c r="G525" s="2325">
        <v>95.481399999999994</v>
      </c>
      <c r="H525" s="2326">
        <v>13.26</v>
      </c>
      <c r="I525" s="3500">
        <v>11.44</v>
      </c>
      <c r="J525" s="338">
        <v>14.372</v>
      </c>
      <c r="K525" s="2321"/>
      <c r="L525" s="2329">
        <v>14.52888888888889</v>
      </c>
      <c r="M525" s="1027"/>
      <c r="N525" s="1020"/>
      <c r="O525" s="3363">
        <v>236.52500000000001</v>
      </c>
      <c r="P525" s="2322">
        <v>183.5</v>
      </c>
      <c r="Q525" s="2204"/>
      <c r="R525" s="2204"/>
    </row>
    <row r="526" spans="1:18">
      <c r="A526" s="2202">
        <f t="shared" si="1"/>
        <v>2016.01</v>
      </c>
      <c r="B526" s="2324">
        <v>115.23439999999999</v>
      </c>
      <c r="C526" s="3269">
        <v>113.245</v>
      </c>
      <c r="D526" s="2325">
        <v>118.6131</v>
      </c>
      <c r="E526" s="2326">
        <v>107.4299</v>
      </c>
      <c r="F526" s="3269">
        <v>117.45269999999999</v>
      </c>
      <c r="G526" s="2325">
        <v>98.234399999999994</v>
      </c>
      <c r="H526" s="2326">
        <v>14</v>
      </c>
      <c r="I526" s="3500">
        <v>13.595263157894736</v>
      </c>
      <c r="J526" s="338">
        <v>14.175499999999996</v>
      </c>
      <c r="K526" s="2321"/>
      <c r="L526" s="2329">
        <v>13.991578947368421</v>
      </c>
      <c r="M526" s="1027"/>
      <c r="N526" s="1020"/>
      <c r="O526" s="3363">
        <v>236.916</v>
      </c>
      <c r="P526" s="2322">
        <v>182.6</v>
      </c>
      <c r="Q526" s="2204"/>
      <c r="R526" s="2522"/>
    </row>
    <row r="527" spans="1:18">
      <c r="A527" s="2202">
        <f t="shared" si="1"/>
        <v>2016.02</v>
      </c>
      <c r="B527" s="2324">
        <v>114.2817</v>
      </c>
      <c r="C527" s="3269">
        <v>110.88549999999999</v>
      </c>
      <c r="D527" s="2325">
        <v>119.09269999999999</v>
      </c>
      <c r="E527" s="2326">
        <v>106.1049</v>
      </c>
      <c r="F527" s="3269">
        <v>114.88160000000001</v>
      </c>
      <c r="G527" s="2325">
        <v>97.938599999999994</v>
      </c>
      <c r="H527" s="2326">
        <v>15.85</v>
      </c>
      <c r="I527" s="3500">
        <v>14.770666666666665</v>
      </c>
      <c r="J527" s="338">
        <v>14.819473684210529</v>
      </c>
      <c r="K527" s="2321"/>
      <c r="L527" s="2329">
        <v>15.005000000000001</v>
      </c>
      <c r="M527" s="1027"/>
      <c r="N527" s="1020"/>
      <c r="O527" s="3363">
        <v>237.11099999999999</v>
      </c>
      <c r="P527" s="2322">
        <v>181.3</v>
      </c>
      <c r="Q527" s="2204"/>
      <c r="R527" s="2204"/>
    </row>
    <row r="528" spans="1:18">
      <c r="A528" s="2202">
        <f t="shared" si="1"/>
        <v>2016.03</v>
      </c>
      <c r="B528" s="2324">
        <v>111.8934</v>
      </c>
      <c r="C528" s="3269">
        <v>108.99720000000001</v>
      </c>
      <c r="D528" s="2325">
        <v>116.15779999999999</v>
      </c>
      <c r="E528" s="2326">
        <v>103.9589</v>
      </c>
      <c r="F528" s="3269">
        <v>112.9875</v>
      </c>
      <c r="G528" s="2325">
        <v>95.605400000000003</v>
      </c>
      <c r="H528" s="2326">
        <v>14.85</v>
      </c>
      <c r="I528" s="3500">
        <v>14.872999999999999</v>
      </c>
      <c r="J528" s="338">
        <v>15.355238095238096</v>
      </c>
      <c r="K528" s="2321"/>
      <c r="L528" s="2329">
        <v>15.084761904761899</v>
      </c>
      <c r="M528" s="1027"/>
      <c r="N528" s="1020"/>
      <c r="O528" s="3363">
        <v>238.13200000000001</v>
      </c>
      <c r="P528" s="2322">
        <v>182.1</v>
      </c>
      <c r="Q528" s="2204"/>
      <c r="R528" s="2204"/>
    </row>
    <row r="529" spans="1:18">
      <c r="A529" s="2202">
        <f t="shared" si="1"/>
        <v>2016.04</v>
      </c>
      <c r="B529" s="2324">
        <v>110.0171</v>
      </c>
      <c r="C529" s="3269">
        <v>106.563</v>
      </c>
      <c r="D529" s="2325">
        <v>114.8381</v>
      </c>
      <c r="E529" s="2326">
        <v>102.47920000000001</v>
      </c>
      <c r="F529" s="3269">
        <v>110.8871</v>
      </c>
      <c r="G529" s="2325">
        <v>94.648899999999998</v>
      </c>
      <c r="H529" s="2326">
        <v>14.35</v>
      </c>
      <c r="I529" s="3500">
        <v>14.326499999999999</v>
      </c>
      <c r="J529" s="338">
        <v>14.695238095238093</v>
      </c>
      <c r="K529" s="2321"/>
      <c r="L529" s="2329">
        <v>14.51285714285714</v>
      </c>
      <c r="M529" s="1027"/>
      <c r="N529" s="1020"/>
      <c r="O529" s="3363">
        <v>239.261</v>
      </c>
      <c r="P529" s="2322">
        <v>183.2</v>
      </c>
      <c r="Q529" s="2204"/>
      <c r="R529" s="2204"/>
    </row>
    <row r="530" spans="1:18">
      <c r="A530" s="2202">
        <f t="shared" si="1"/>
        <v>2016.05</v>
      </c>
      <c r="B530" s="2324">
        <v>111.1405</v>
      </c>
      <c r="C530" s="3269">
        <v>106.97199999999999</v>
      </c>
      <c r="D530" s="2325">
        <v>116.7221</v>
      </c>
      <c r="E530" s="2326">
        <v>103.54819999999999</v>
      </c>
      <c r="F530" s="3269">
        <v>111.34139999999999</v>
      </c>
      <c r="G530" s="2325">
        <v>96.219099999999997</v>
      </c>
      <c r="H530" s="2326">
        <v>14.15</v>
      </c>
      <c r="I530" s="3500">
        <v>14.086842105263159</v>
      </c>
      <c r="J530" s="338">
        <v>14.434999999999999</v>
      </c>
      <c r="K530" s="2321"/>
      <c r="L530" s="2329">
        <v>14.129</v>
      </c>
      <c r="M530" s="1027"/>
      <c r="N530" s="1020"/>
      <c r="O530" s="3363">
        <v>240.22900000000001</v>
      </c>
      <c r="P530" s="2322">
        <v>185.3</v>
      </c>
      <c r="Q530" s="2204"/>
      <c r="R530" s="2204"/>
    </row>
    <row r="531" spans="1:18">
      <c r="A531" s="2202">
        <f t="shared" si="1"/>
        <v>2016.06</v>
      </c>
      <c r="B531" s="2324">
        <v>111.5596</v>
      </c>
      <c r="C531" s="3269">
        <v>106.8843</v>
      </c>
      <c r="D531" s="2325">
        <v>117.6835</v>
      </c>
      <c r="E531" s="2326">
        <v>103.9983</v>
      </c>
      <c r="F531" s="3269">
        <v>111.3514</v>
      </c>
      <c r="G531" s="2325">
        <v>97.034800000000004</v>
      </c>
      <c r="H531" s="2326">
        <v>15.15</v>
      </c>
      <c r="I531" s="3500">
        <v>14.096842105263157</v>
      </c>
      <c r="J531" s="338">
        <v>14.358500000000001</v>
      </c>
      <c r="K531" s="2321"/>
      <c r="L531" s="2329">
        <v>14.263</v>
      </c>
      <c r="M531" s="1028">
        <v>17.55</v>
      </c>
      <c r="N531" s="341">
        <v>17.520543395310987</v>
      </c>
      <c r="O531" s="3363">
        <v>241.018</v>
      </c>
      <c r="P531" s="2322">
        <v>187.6</v>
      </c>
      <c r="Q531" s="2204"/>
      <c r="R531" s="2204"/>
    </row>
    <row r="532" spans="1:18">
      <c r="A532" s="2202">
        <f t="shared" si="1"/>
        <v>2016.07</v>
      </c>
      <c r="B532" s="2324">
        <v>112.4773</v>
      </c>
      <c r="C532" s="3269">
        <v>108.7294</v>
      </c>
      <c r="D532" s="2325">
        <v>117.6327</v>
      </c>
      <c r="E532" s="2326">
        <v>104.6718</v>
      </c>
      <c r="F532" s="3269">
        <v>113.2038</v>
      </c>
      <c r="G532" s="2325">
        <v>96.719800000000006</v>
      </c>
      <c r="H532" s="2326">
        <v>15.05</v>
      </c>
      <c r="I532" s="3500">
        <v>14.83578947368421</v>
      </c>
      <c r="J532" s="338">
        <v>15.041999999999998</v>
      </c>
      <c r="K532" s="2321"/>
      <c r="L532" s="2329">
        <v>15.029473684210529</v>
      </c>
      <c r="M532" s="1029">
        <v>17.726709681840063</v>
      </c>
      <c r="N532" s="1026">
        <v>17.69374138722398</v>
      </c>
      <c r="O532" s="3363">
        <v>240.62799999999999</v>
      </c>
      <c r="P532" s="2322">
        <v>187.7</v>
      </c>
      <c r="Q532" s="2204"/>
      <c r="R532" s="2204"/>
    </row>
    <row r="533" spans="1:18">
      <c r="A533" s="2202">
        <f t="shared" si="1"/>
        <v>2016.08</v>
      </c>
      <c r="B533" s="2324">
        <v>111.4384</v>
      </c>
      <c r="C533" s="3269">
        <v>107.53449999999999</v>
      </c>
      <c r="D533" s="2325">
        <v>116.74590000000001</v>
      </c>
      <c r="E533" s="2326">
        <v>103.85169999999999</v>
      </c>
      <c r="F533" s="3269">
        <v>112.1429</v>
      </c>
      <c r="G533" s="2325">
        <v>96.106099999999998</v>
      </c>
      <c r="H533" s="2326">
        <v>15.2</v>
      </c>
      <c r="I533" s="3500">
        <v>14.790555555555557</v>
      </c>
      <c r="J533" s="338">
        <v>15.202727272727271</v>
      </c>
      <c r="K533" s="2321"/>
      <c r="L533" s="2329">
        <v>14.935</v>
      </c>
      <c r="M533" s="1029">
        <v>17.75</v>
      </c>
      <c r="N533" s="1026">
        <v>17.735650883559263</v>
      </c>
      <c r="O533" s="3363">
        <v>240.84899999999999</v>
      </c>
      <c r="P533" s="2322">
        <v>186.6</v>
      </c>
      <c r="Q533" s="2204"/>
      <c r="R533" s="2204"/>
    </row>
    <row r="534" spans="1:18">
      <c r="A534" s="2202">
        <f t="shared" si="1"/>
        <v>2016.09</v>
      </c>
      <c r="B534" s="2324">
        <v>112.3169</v>
      </c>
      <c r="C534" s="3269">
        <v>107.8257</v>
      </c>
      <c r="D534" s="2325">
        <v>118.2525</v>
      </c>
      <c r="E534" s="2326">
        <v>104.7345</v>
      </c>
      <c r="F534" s="3269">
        <v>112.6245</v>
      </c>
      <c r="G534" s="2325">
        <v>97.315100000000001</v>
      </c>
      <c r="H534" s="2326">
        <v>15.35</v>
      </c>
      <c r="I534" s="3500">
        <v>15.073999999999998</v>
      </c>
      <c r="J534" s="338">
        <v>15.337727272727276</v>
      </c>
      <c r="K534" s="2321"/>
      <c r="L534" s="2329">
        <v>15.155714285714289</v>
      </c>
      <c r="M534" s="1029">
        <v>17.8</v>
      </c>
      <c r="N534" s="1026">
        <v>17.815105327179783</v>
      </c>
      <c r="O534" s="3363">
        <v>241.428</v>
      </c>
      <c r="P534" s="2322">
        <v>186.9</v>
      </c>
      <c r="Q534" s="2204"/>
      <c r="R534" s="2204"/>
    </row>
    <row r="535" spans="1:18">
      <c r="A535" s="2202">
        <f t="shared" si="1"/>
        <v>2016.1</v>
      </c>
      <c r="B535" s="2324">
        <v>113.4747</v>
      </c>
      <c r="C535" s="3269">
        <v>110.1048</v>
      </c>
      <c r="D535" s="2325">
        <v>118.2488</v>
      </c>
      <c r="E535" s="2326">
        <v>105.8027</v>
      </c>
      <c r="F535" s="3269">
        <v>115.0047</v>
      </c>
      <c r="G535" s="2325">
        <v>97.290199999999999</v>
      </c>
      <c r="H535" s="2326">
        <v>15.32</v>
      </c>
      <c r="I535" s="3500">
        <v>15.128421052631579</v>
      </c>
      <c r="J535" s="338">
        <v>15.387</v>
      </c>
      <c r="K535" s="2321"/>
      <c r="L535" s="2329">
        <v>15.243</v>
      </c>
      <c r="M535" s="1029">
        <v>18</v>
      </c>
      <c r="N535" s="1026">
        <v>17.81515127096484</v>
      </c>
      <c r="O535" s="3363">
        <v>241.72900000000001</v>
      </c>
      <c r="P535" s="2322">
        <v>186.7</v>
      </c>
      <c r="Q535" s="2204"/>
      <c r="R535" s="2204"/>
    </row>
    <row r="536" spans="1:18">
      <c r="A536" s="2202">
        <f t="shared" si="1"/>
        <v>2016.11</v>
      </c>
      <c r="B536" s="2324">
        <v>116.1075</v>
      </c>
      <c r="C536" s="3269">
        <v>112.06010000000001</v>
      </c>
      <c r="D536" s="2325">
        <v>121.6163</v>
      </c>
      <c r="E536" s="2326">
        <v>108.2196</v>
      </c>
      <c r="F536" s="3269">
        <v>117.15689999999999</v>
      </c>
      <c r="G536" s="2325">
        <v>99.902299999999997</v>
      </c>
      <c r="H536" s="2326">
        <v>15.9</v>
      </c>
      <c r="I536" s="3500">
        <v>15.306666666666665</v>
      </c>
      <c r="J536" s="338">
        <v>15.507142857142856</v>
      </c>
      <c r="K536" s="2321"/>
      <c r="L536" s="2329">
        <v>15.39368421052631</v>
      </c>
      <c r="M536" s="1029">
        <v>18.299251692948417</v>
      </c>
      <c r="N536" s="1026">
        <v>18.116913918064473</v>
      </c>
      <c r="O536" s="3363">
        <v>241.35300000000001</v>
      </c>
      <c r="P536" s="2322">
        <v>186.3</v>
      </c>
      <c r="Q536" s="2204"/>
      <c r="R536" s="2204"/>
    </row>
    <row r="537" spans="1:18">
      <c r="A537" s="2202">
        <f t="shared" si="1"/>
        <v>2016.12</v>
      </c>
      <c r="B537" s="2324">
        <v>117.90479999999999</v>
      </c>
      <c r="C537" s="3269">
        <v>114.0189</v>
      </c>
      <c r="D537" s="2325">
        <v>123.26479999999999</v>
      </c>
      <c r="E537" s="2326">
        <v>109.9359</v>
      </c>
      <c r="F537" s="3269">
        <v>119.1992</v>
      </c>
      <c r="G537" s="2325">
        <v>101.3352</v>
      </c>
      <c r="H537" s="2329">
        <v>15.97</v>
      </c>
      <c r="I537" s="3500">
        <v>15.765714285714285</v>
      </c>
      <c r="J537" s="338">
        <v>16.361499999999999</v>
      </c>
      <c r="K537" s="2321"/>
      <c r="L537" s="2329">
        <v>15.97222222222222</v>
      </c>
      <c r="M537" s="1029">
        <v>18.4925</v>
      </c>
      <c r="N537" s="1026">
        <v>18.389248150219093</v>
      </c>
      <c r="O537" s="3363">
        <v>241.43199999999999</v>
      </c>
      <c r="P537" s="2322">
        <v>188.2</v>
      </c>
      <c r="Q537" s="2204"/>
      <c r="R537" s="2204"/>
    </row>
    <row r="538" spans="1:18">
      <c r="A538" s="2202">
        <f t="shared" si="1"/>
        <v>2017.01</v>
      </c>
      <c r="B538" s="2324">
        <v>117.78579999999999</v>
      </c>
      <c r="C538" s="3269">
        <v>113.08159999999999</v>
      </c>
      <c r="D538" s="2325">
        <v>123.99420000000001</v>
      </c>
      <c r="E538" s="2326">
        <v>109.7774</v>
      </c>
      <c r="F538" s="3269">
        <v>118.3151</v>
      </c>
      <c r="G538" s="2325">
        <v>101.7705</v>
      </c>
      <c r="H538" s="2326">
        <v>16.010000000000002</v>
      </c>
      <c r="I538" s="3500">
        <v>15.860000000000001</v>
      </c>
      <c r="J538" s="338">
        <v>16.653181818181821</v>
      </c>
      <c r="K538" s="2321"/>
      <c r="L538" s="2329">
        <v>15.972</v>
      </c>
      <c r="M538" s="1029">
        <v>18.600000000000001</v>
      </c>
      <c r="N538" s="1026">
        <v>18.576325462994642</v>
      </c>
      <c r="O538" s="3363">
        <v>242.839</v>
      </c>
      <c r="P538" s="2322">
        <v>190.7</v>
      </c>
      <c r="Q538" s="2204"/>
      <c r="R538" s="2522"/>
    </row>
    <row r="539" spans="1:18">
      <c r="A539" s="2202">
        <f t="shared" si="1"/>
        <v>2017.02</v>
      </c>
      <c r="B539" s="2324">
        <v>116.1204</v>
      </c>
      <c r="C539" s="3269">
        <v>112.3228</v>
      </c>
      <c r="D539" s="2325">
        <v>121.369</v>
      </c>
      <c r="E539" s="2326">
        <v>108.2713</v>
      </c>
      <c r="F539" s="3269">
        <v>117.60899999999999</v>
      </c>
      <c r="G539" s="2325">
        <v>99.626999999999995</v>
      </c>
      <c r="H539" s="2326">
        <v>15.6</v>
      </c>
      <c r="I539" s="3500">
        <v>15.55</v>
      </c>
      <c r="J539" s="338">
        <v>16.23</v>
      </c>
      <c r="K539" s="2321"/>
      <c r="L539" s="2329">
        <v>15.68705882352941</v>
      </c>
      <c r="M539" s="1029">
        <v>18.3</v>
      </c>
      <c r="N539" s="1026">
        <v>18.318727647475651</v>
      </c>
      <c r="O539" s="3363">
        <v>243.60300000000001</v>
      </c>
      <c r="P539" s="2322">
        <v>191.6</v>
      </c>
      <c r="Q539" s="2204"/>
      <c r="R539" s="2204"/>
    </row>
    <row r="540" spans="1:18">
      <c r="A540" s="2202">
        <f t="shared" si="1"/>
        <v>2017.03</v>
      </c>
      <c r="B540" s="2324">
        <v>115.6558</v>
      </c>
      <c r="C540" s="3269">
        <v>112.9909</v>
      </c>
      <c r="D540" s="2325">
        <v>119.7403</v>
      </c>
      <c r="E540" s="2326">
        <v>107.6302</v>
      </c>
      <c r="F540" s="3269">
        <v>118.29</v>
      </c>
      <c r="G540" s="2325">
        <v>97.9358</v>
      </c>
      <c r="H540" s="2326">
        <v>15.5</v>
      </c>
      <c r="I540" s="3500">
        <v>15.48</v>
      </c>
      <c r="J540" s="338">
        <v>15.86</v>
      </c>
      <c r="K540" s="2321"/>
      <c r="L540" s="2329">
        <v>15.58636363636364</v>
      </c>
      <c r="M540" s="1029">
        <v>18.39</v>
      </c>
      <c r="N540" s="1026">
        <v>18.316772524895391</v>
      </c>
      <c r="O540" s="3363">
        <v>243.80099999999999</v>
      </c>
      <c r="P540" s="2322">
        <v>191.5</v>
      </c>
      <c r="Q540" s="2204"/>
      <c r="R540" s="2204"/>
    </row>
    <row r="541" spans="1:18">
      <c r="A541" s="2202">
        <f t="shared" si="1"/>
        <v>2017.04</v>
      </c>
      <c r="B541" s="2324">
        <v>114.7698</v>
      </c>
      <c r="C541" s="3269">
        <v>112.395</v>
      </c>
      <c r="D541" s="2325">
        <v>118.55110000000001</v>
      </c>
      <c r="E541" s="2326">
        <v>106.6263</v>
      </c>
      <c r="F541" s="3269">
        <v>117.5403</v>
      </c>
      <c r="G541" s="2325">
        <v>96.743799999999993</v>
      </c>
      <c r="H541" s="2326">
        <v>15.44</v>
      </c>
      <c r="I541" s="3500">
        <v>15.3</v>
      </c>
      <c r="J541" s="338">
        <v>15.72</v>
      </c>
      <c r="K541" s="2321"/>
      <c r="L541" s="2329">
        <v>15.50611111111111</v>
      </c>
      <c r="M541" s="1029">
        <v>18.314999999999998</v>
      </c>
      <c r="N541" s="1026">
        <v>18.203155622809405</v>
      </c>
      <c r="O541" s="3363">
        <v>244.524</v>
      </c>
      <c r="P541" s="2322">
        <v>193</v>
      </c>
      <c r="Q541" s="2204"/>
      <c r="R541" s="2204"/>
    </row>
    <row r="542" spans="1:18">
      <c r="A542" s="2202">
        <f t="shared" si="1"/>
        <v>2017.05</v>
      </c>
      <c r="B542" s="2324">
        <v>114.2591</v>
      </c>
      <c r="C542" s="3269">
        <v>111.3986</v>
      </c>
      <c r="D542" s="2325">
        <v>118.52630000000001</v>
      </c>
      <c r="E542" s="2326">
        <v>105.9924</v>
      </c>
      <c r="F542" s="3269">
        <v>116.5176</v>
      </c>
      <c r="G542" s="2325">
        <v>96.4238</v>
      </c>
      <c r="H542" s="2326">
        <v>16.100000000000001</v>
      </c>
      <c r="I542" s="3500">
        <v>15.69</v>
      </c>
      <c r="J542" s="338">
        <v>15.9</v>
      </c>
      <c r="K542" s="2321"/>
      <c r="L542" s="2329">
        <v>15.702500000000001</v>
      </c>
      <c r="M542" s="1029">
        <v>18.568547724648131</v>
      </c>
      <c r="N542" s="1026">
        <v>18.579919577797572</v>
      </c>
      <c r="O542" s="3363">
        <v>244.733</v>
      </c>
      <c r="P542" s="2322">
        <v>192.8</v>
      </c>
      <c r="Q542" s="2204"/>
      <c r="R542" s="2204"/>
    </row>
    <row r="543" spans="1:18">
      <c r="A543" s="2202">
        <f t="shared" si="1"/>
        <v>2017.06</v>
      </c>
      <c r="B543" s="2324">
        <v>112.7603</v>
      </c>
      <c r="C543" s="3269">
        <v>109.7338</v>
      </c>
      <c r="D543" s="2325">
        <v>117.17789999999999</v>
      </c>
      <c r="E543" s="2326">
        <v>104.58159999999999</v>
      </c>
      <c r="F543" s="3269">
        <v>114.82259999999999</v>
      </c>
      <c r="G543" s="2325">
        <v>95.254199999999997</v>
      </c>
      <c r="H543" s="2326">
        <v>16.68</v>
      </c>
      <c r="I543" s="3500">
        <v>16.100000000000001</v>
      </c>
      <c r="J543" s="338">
        <v>16.309999999999999</v>
      </c>
      <c r="K543" s="2321"/>
      <c r="L543" s="2329">
        <v>16.126666666666669</v>
      </c>
      <c r="M543" s="1029">
        <v>18.809999999999999</v>
      </c>
      <c r="N543" s="1026">
        <v>18.803151850606561</v>
      </c>
      <c r="O543" s="3363">
        <v>244.95500000000001</v>
      </c>
      <c r="P543" s="2322">
        <v>193.6</v>
      </c>
      <c r="Q543" s="2204"/>
      <c r="R543" s="2204"/>
    </row>
    <row r="544" spans="1:18">
      <c r="A544" s="2202">
        <f t="shared" si="1"/>
        <v>2017.07</v>
      </c>
      <c r="B544" s="2324">
        <v>111.06059999999999</v>
      </c>
      <c r="C544" s="3269">
        <v>107.06270000000001</v>
      </c>
      <c r="D544" s="2325">
        <v>116.4584</v>
      </c>
      <c r="E544" s="2326">
        <v>102.85720000000001</v>
      </c>
      <c r="F544" s="3269">
        <v>111.9372</v>
      </c>
      <c r="G544" s="2325">
        <v>94.476299999999995</v>
      </c>
      <c r="H544" s="2326">
        <v>17.7</v>
      </c>
      <c r="I544" s="3500">
        <v>17.14</v>
      </c>
      <c r="J544" s="338">
        <v>17.46</v>
      </c>
      <c r="K544" s="2321"/>
      <c r="L544" s="2329">
        <v>17.222999999999999</v>
      </c>
      <c r="M544" s="1029">
        <v>19.8</v>
      </c>
      <c r="N544" s="1026">
        <v>19.852094101840823</v>
      </c>
      <c r="O544" s="3363">
        <v>244.786</v>
      </c>
      <c r="P544" s="2322">
        <v>193.5</v>
      </c>
      <c r="Q544" s="2204"/>
      <c r="R544" s="2204"/>
    </row>
    <row r="545" spans="1:18">
      <c r="A545" s="2202">
        <f t="shared" si="1"/>
        <v>2017.08</v>
      </c>
      <c r="B545" s="2324">
        <v>109.9059</v>
      </c>
      <c r="C545" s="3269">
        <v>105.5474</v>
      </c>
      <c r="D545" s="2325">
        <v>115.66589999999999</v>
      </c>
      <c r="E545" s="2326">
        <v>101.9038</v>
      </c>
      <c r="F545" s="3269">
        <v>110.56189999999999</v>
      </c>
      <c r="G545" s="2325">
        <v>93.873400000000004</v>
      </c>
      <c r="H545" s="2326">
        <v>17.399999999999999</v>
      </c>
      <c r="I545" s="3500">
        <v>17.372727272727275</v>
      </c>
      <c r="J545" s="338">
        <v>18.079999999999998</v>
      </c>
      <c r="K545" s="2321"/>
      <c r="L545" s="2329">
        <v>17.50545454545454</v>
      </c>
      <c r="M545" s="1029">
        <v>19.86</v>
      </c>
      <c r="N545" s="1026">
        <v>19.796894765617008</v>
      </c>
      <c r="O545" s="3363">
        <v>245.51900000000001</v>
      </c>
      <c r="P545" s="2322">
        <v>193.8</v>
      </c>
      <c r="Q545" s="2204"/>
      <c r="R545" s="2204"/>
    </row>
    <row r="546" spans="1:18">
      <c r="A546" s="2202">
        <f t="shared" si="1"/>
        <v>2017.09</v>
      </c>
      <c r="B546" s="2324">
        <v>108.85420000000001</v>
      </c>
      <c r="C546" s="3269">
        <v>104.1614</v>
      </c>
      <c r="D546" s="2325">
        <v>114.9538</v>
      </c>
      <c r="E546" s="2326">
        <v>101.2668</v>
      </c>
      <c r="F546" s="3269">
        <v>109.45099999999999</v>
      </c>
      <c r="G546" s="2325">
        <v>93.628200000000007</v>
      </c>
      <c r="H546" s="2326">
        <v>17.600000000000001</v>
      </c>
      <c r="I546" s="3500">
        <v>17.189523809523809</v>
      </c>
      <c r="J546" s="338">
        <v>17.747619047619001</v>
      </c>
      <c r="K546" s="2321"/>
      <c r="L546" s="2329">
        <v>17.297000000000001</v>
      </c>
      <c r="M546" s="1029">
        <v>19.899999999999999</v>
      </c>
      <c r="N546" s="1026">
        <v>19.864901960784302</v>
      </c>
      <c r="O546" s="3363">
        <v>246.81899999999999</v>
      </c>
      <c r="P546" s="2322">
        <v>194.8</v>
      </c>
      <c r="Q546" s="2204"/>
      <c r="R546" s="2204"/>
    </row>
    <row r="547" spans="1:18">
      <c r="A547" s="2202">
        <f t="shared" si="1"/>
        <v>2017.1</v>
      </c>
      <c r="B547" s="2324">
        <v>110.8892</v>
      </c>
      <c r="C547" s="3269">
        <v>106.07259999999999</v>
      </c>
      <c r="D547" s="2325">
        <v>117.14109999999999</v>
      </c>
      <c r="E547" s="2326">
        <v>103.071</v>
      </c>
      <c r="F547" s="3269">
        <v>111.49120000000001</v>
      </c>
      <c r="G547" s="2325">
        <v>95.222700000000003</v>
      </c>
      <c r="H547" s="2326">
        <v>17.73</v>
      </c>
      <c r="I547" s="3501">
        <v>17.414285714285715</v>
      </c>
      <c r="J547" s="338">
        <v>17.774999999999999</v>
      </c>
      <c r="K547" s="2321"/>
      <c r="L547" s="2329">
        <v>17.511904761904759</v>
      </c>
      <c r="M547" s="1029">
        <v>20.100000000000001</v>
      </c>
      <c r="N547" s="1026">
        <v>19.960392156862699</v>
      </c>
      <c r="O547" s="3363">
        <v>246.66300000000001</v>
      </c>
      <c r="P547" s="2322">
        <v>194.9</v>
      </c>
      <c r="Q547" s="2204"/>
      <c r="R547" s="2204"/>
    </row>
    <row r="548" spans="1:18">
      <c r="A548" s="2202">
        <f t="shared" si="1"/>
        <v>2017.11</v>
      </c>
      <c r="B548" s="2324">
        <v>111.1635</v>
      </c>
      <c r="C548" s="3269">
        <v>106.6396</v>
      </c>
      <c r="D548" s="2325">
        <v>117.1105</v>
      </c>
      <c r="E548" s="2326">
        <v>103.2307</v>
      </c>
      <c r="F548" s="3269">
        <v>111.9713</v>
      </c>
      <c r="G548" s="2325">
        <v>95.120199999999997</v>
      </c>
      <c r="H548" s="2326">
        <v>17.48</v>
      </c>
      <c r="I548" s="3501">
        <v>17.427499999999998</v>
      </c>
      <c r="J548" s="338">
        <v>17.8535</v>
      </c>
      <c r="K548" s="2321"/>
      <c r="L548" s="2329">
        <v>17.541578947368421</v>
      </c>
      <c r="M548" s="1029">
        <v>20.2</v>
      </c>
      <c r="N548" s="1026">
        <v>20</v>
      </c>
      <c r="O548" s="3363">
        <v>246.66900000000001</v>
      </c>
      <c r="P548" s="2322">
        <v>195.9</v>
      </c>
      <c r="Q548" s="2204"/>
      <c r="R548" s="2204"/>
    </row>
    <row r="549" spans="1:18">
      <c r="A549" s="2202">
        <f t="shared" si="1"/>
        <v>2017.12</v>
      </c>
      <c r="B549" s="2324">
        <v>110.8758</v>
      </c>
      <c r="C549" s="3269">
        <v>106.1181</v>
      </c>
      <c r="D549" s="2325">
        <v>117.06610000000001</v>
      </c>
      <c r="E549" s="2326">
        <v>102.9152</v>
      </c>
      <c r="F549" s="3269">
        <v>111.4392</v>
      </c>
      <c r="G549" s="2325">
        <v>94.983900000000006</v>
      </c>
      <c r="H549" s="2326">
        <v>18.75</v>
      </c>
      <c r="I549" s="3501">
        <v>17.685789473684213</v>
      </c>
      <c r="J549" s="338">
        <v>18.095263157894699</v>
      </c>
      <c r="K549" s="2321"/>
      <c r="L549" s="2329">
        <v>17.698947368421049</v>
      </c>
      <c r="M549" s="1029">
        <v>20.399999999999999</v>
      </c>
      <c r="N549" s="1026">
        <v>20.399999999999999</v>
      </c>
      <c r="O549" s="3363">
        <v>246.524</v>
      </c>
      <c r="P549" s="2322">
        <v>196.3</v>
      </c>
      <c r="Q549" s="2204"/>
      <c r="R549" s="2204"/>
    </row>
    <row r="550" spans="1:18">
      <c r="A550" s="2202">
        <f t="shared" si="1"/>
        <v>2018.01</v>
      </c>
      <c r="B550" s="2324">
        <v>108.3567</v>
      </c>
      <c r="C550" s="3269">
        <v>103.1943</v>
      </c>
      <c r="D550" s="2325">
        <v>114.94970000000001</v>
      </c>
      <c r="E550" s="2326">
        <v>100.7612</v>
      </c>
      <c r="F550" s="3269">
        <v>108.57850000000001</v>
      </c>
      <c r="G550" s="2325">
        <v>93.4255</v>
      </c>
      <c r="H550" s="2326">
        <v>19.75</v>
      </c>
      <c r="I550" s="3501">
        <v>18.989090909090912</v>
      </c>
      <c r="J550" s="338">
        <v>19.476086956521733</v>
      </c>
      <c r="K550" s="2321"/>
      <c r="L550" s="2329">
        <v>19.06666666666667</v>
      </c>
      <c r="M550" s="1029">
        <v>22.2</v>
      </c>
      <c r="N550" s="1026">
        <v>22</v>
      </c>
      <c r="O550" s="3363">
        <v>247.86699999999999</v>
      </c>
      <c r="P550" s="2322">
        <v>197.9</v>
      </c>
      <c r="Q550" s="2204"/>
      <c r="R550" s="2522"/>
    </row>
    <row r="551" spans="1:18">
      <c r="A551" s="2202">
        <f t="shared" si="1"/>
        <v>2018.02</v>
      </c>
      <c r="B551" s="2324">
        <v>107.65</v>
      </c>
      <c r="C551" s="3269">
        <v>102.5035</v>
      </c>
      <c r="D551" s="2325">
        <v>114.2188</v>
      </c>
      <c r="E551" s="2326">
        <v>100.1832</v>
      </c>
      <c r="F551" s="3269">
        <v>108.05070000000001</v>
      </c>
      <c r="G551" s="2325">
        <v>92.811999999999998</v>
      </c>
      <c r="H551" s="2326">
        <v>20.239999999999998</v>
      </c>
      <c r="I551" s="3501">
        <v>19.783888888888885</v>
      </c>
      <c r="J551" s="338">
        <v>19.91611111111111</v>
      </c>
      <c r="K551" s="2321"/>
      <c r="L551" s="2329">
        <v>19.911176470588231</v>
      </c>
      <c r="M551" s="1029">
        <v>22.6</v>
      </c>
      <c r="N551" s="1026">
        <v>22.6</v>
      </c>
      <c r="O551" s="3363">
        <v>248.99100000000001</v>
      </c>
      <c r="P551" s="2322">
        <v>199.3</v>
      </c>
      <c r="Q551" s="2204"/>
      <c r="R551" s="2204"/>
    </row>
    <row r="552" spans="1:18">
      <c r="A552" s="2202">
        <f t="shared" si="1"/>
        <v>2018.03</v>
      </c>
      <c r="B552" s="2324">
        <v>107.9473</v>
      </c>
      <c r="C552" s="3269">
        <v>103.1641</v>
      </c>
      <c r="D552" s="2325">
        <v>114.136</v>
      </c>
      <c r="E552" s="2326">
        <v>100.39830000000001</v>
      </c>
      <c r="F552" s="3269">
        <v>108.6627</v>
      </c>
      <c r="G552" s="2325">
        <v>92.702399999999997</v>
      </c>
      <c r="H552" s="2326">
        <v>20.25</v>
      </c>
      <c r="I552" s="3501">
        <v>20.193999999999999</v>
      </c>
      <c r="J552" s="338">
        <v>20.5443</v>
      </c>
      <c r="K552" s="2321"/>
      <c r="L552" s="2329">
        <v>20.29</v>
      </c>
      <c r="M552" s="1029">
        <v>23.2</v>
      </c>
      <c r="N552" s="1026">
        <v>23.1</v>
      </c>
      <c r="O552" s="3363">
        <v>249.554</v>
      </c>
      <c r="P552" s="2322">
        <v>199.3</v>
      </c>
      <c r="Q552" s="2204"/>
      <c r="R552" s="2204"/>
    </row>
    <row r="553" spans="1:18">
      <c r="A553" s="2202">
        <f t="shared" si="1"/>
        <v>2018.04</v>
      </c>
      <c r="B553" s="2324">
        <v>107.94280000000001</v>
      </c>
      <c r="C553" s="3269">
        <v>103.23990000000001</v>
      </c>
      <c r="D553" s="2325">
        <v>114.04730000000001</v>
      </c>
      <c r="E553" s="2326">
        <v>100.5247</v>
      </c>
      <c r="F553" s="3269">
        <v>108.9922</v>
      </c>
      <c r="G553" s="2325">
        <v>92.663200000000003</v>
      </c>
      <c r="H553" s="2326">
        <v>20.7</v>
      </c>
      <c r="I553" s="3501">
        <v>20.18</v>
      </c>
      <c r="J553" s="338">
        <v>20.47157</v>
      </c>
      <c r="K553" s="2321"/>
      <c r="L553" s="2329">
        <v>20.245789473684209</v>
      </c>
      <c r="M553" s="1029">
        <v>23.4</v>
      </c>
      <c r="N553" s="1026">
        <v>23.4</v>
      </c>
      <c r="O553" s="3363">
        <v>250.54599999999999</v>
      </c>
      <c r="P553" s="2322">
        <v>200.3</v>
      </c>
      <c r="Q553" s="2204"/>
      <c r="R553" s="2204"/>
    </row>
    <row r="554" spans="1:18">
      <c r="A554" s="2202">
        <f t="shared" si="1"/>
        <v>2018.05</v>
      </c>
      <c r="B554" s="2324">
        <v>111.04600000000001</v>
      </c>
      <c r="C554" s="3269">
        <v>106.0902</v>
      </c>
      <c r="D554" s="2325">
        <v>117.4495</v>
      </c>
      <c r="E554" s="2326">
        <v>103.5029</v>
      </c>
      <c r="F554" s="3269">
        <v>111.9372</v>
      </c>
      <c r="G554" s="2325">
        <v>95.638499999999993</v>
      </c>
      <c r="H554" s="2326">
        <v>25.15</v>
      </c>
      <c r="I554" s="3501">
        <v>23.68</v>
      </c>
      <c r="J554" s="338">
        <v>24.245000000000001</v>
      </c>
      <c r="K554" s="2321"/>
      <c r="L554" s="2329">
        <v>23.701000000000001</v>
      </c>
      <c r="M554" s="1029">
        <v>29.2</v>
      </c>
      <c r="N554" s="1026">
        <v>29.1</v>
      </c>
      <c r="O554" s="3363">
        <v>251.58799999999999</v>
      </c>
      <c r="P554" s="2322">
        <v>203.2</v>
      </c>
      <c r="Q554" s="2204"/>
      <c r="R554" s="2204"/>
    </row>
    <row r="555" spans="1:18">
      <c r="A555" s="2202">
        <f t="shared" si="1"/>
        <v>2018.06</v>
      </c>
      <c r="B555" s="2324">
        <v>112.84350000000001</v>
      </c>
      <c r="C555" s="3269">
        <v>107.3633</v>
      </c>
      <c r="D555" s="2325">
        <v>119.8197</v>
      </c>
      <c r="E555" s="2326">
        <v>105.05</v>
      </c>
      <c r="F555" s="3269">
        <v>113.2843</v>
      </c>
      <c r="G555" s="2325">
        <v>97.333299999999994</v>
      </c>
      <c r="H555" s="2326">
        <v>28.58</v>
      </c>
      <c r="I555" s="3501">
        <v>26.595000000000006</v>
      </c>
      <c r="J555" s="338">
        <v>26.972499999999997</v>
      </c>
      <c r="K555" s="2321"/>
      <c r="L555" s="2329">
        <v>26.641999999999999</v>
      </c>
      <c r="M555" s="1029">
        <v>32.9</v>
      </c>
      <c r="N555" s="1026">
        <v>33.1</v>
      </c>
      <c r="O555" s="3363">
        <v>251.989</v>
      </c>
      <c r="P555" s="2322">
        <v>204.2</v>
      </c>
      <c r="Q555" s="2204"/>
      <c r="R555" s="2204"/>
    </row>
    <row r="556" spans="1:18">
      <c r="A556" s="2202">
        <f t="shared" si="1"/>
        <v>2018.07</v>
      </c>
      <c r="B556" s="2324">
        <v>113.0594</v>
      </c>
      <c r="C556" s="3269">
        <v>107.7347</v>
      </c>
      <c r="D556" s="2325">
        <v>119.8733</v>
      </c>
      <c r="E556" s="2326">
        <v>105.03489999999999</v>
      </c>
      <c r="F556" s="3269">
        <v>113.4346</v>
      </c>
      <c r="G556" s="2325">
        <v>97.183499999999995</v>
      </c>
      <c r="H556" s="2326">
        <v>27.55</v>
      </c>
      <c r="I556" s="3501">
        <v>27.524699999999999</v>
      </c>
      <c r="J556" s="338">
        <v>28.24</v>
      </c>
      <c r="K556" s="2321"/>
      <c r="L556" s="2329">
        <v>27.6875</v>
      </c>
      <c r="M556" s="1029">
        <v>33.5</v>
      </c>
      <c r="N556" s="1026">
        <v>33.4</v>
      </c>
      <c r="O556" s="3363">
        <v>252.006</v>
      </c>
      <c r="P556" s="2322">
        <v>204.3</v>
      </c>
      <c r="Q556" s="2204"/>
      <c r="R556" s="2204"/>
    </row>
    <row r="557" spans="1:18">
      <c r="A557" s="2202">
        <f t="shared" si="1"/>
        <v>2018.08</v>
      </c>
      <c r="B557" s="2324">
        <v>113.8309</v>
      </c>
      <c r="C557" s="3269">
        <v>108.2546</v>
      </c>
      <c r="D557" s="2325">
        <v>120.92</v>
      </c>
      <c r="E557" s="2326">
        <v>105.6138</v>
      </c>
      <c r="F557" s="3269">
        <v>113.93819999999999</v>
      </c>
      <c r="G557" s="2325">
        <v>97.818200000000004</v>
      </c>
      <c r="H557" s="2326">
        <v>37</v>
      </c>
      <c r="I557" s="3501">
        <v>30.11363636363636</v>
      </c>
      <c r="J557" s="338">
        <v>30.4522727272727</v>
      </c>
      <c r="K557" s="2321"/>
      <c r="L557" s="2329">
        <v>29.925000000000001</v>
      </c>
      <c r="M557" s="1029">
        <v>46.67</v>
      </c>
      <c r="N557" s="1026">
        <v>46.713333333333303</v>
      </c>
      <c r="O557" s="3363">
        <v>252.14599999999999</v>
      </c>
      <c r="P557" s="2322">
        <v>203.4</v>
      </c>
      <c r="Q557" s="2204"/>
      <c r="R557" s="2204"/>
    </row>
    <row r="558" spans="1:18">
      <c r="A558" s="2202">
        <f>A546+1</f>
        <v>2018.09</v>
      </c>
      <c r="B558" s="2324">
        <v>114.0783</v>
      </c>
      <c r="C558" s="3269">
        <v>107.6764</v>
      </c>
      <c r="D558" s="2325">
        <v>122.05110000000001</v>
      </c>
      <c r="E558" s="2326">
        <v>105.82</v>
      </c>
      <c r="F558" s="3269">
        <v>113.4654</v>
      </c>
      <c r="G558" s="2325">
        <v>98.579599999999999</v>
      </c>
      <c r="H558" s="2326">
        <v>39.5</v>
      </c>
      <c r="I558" s="3501">
        <v>38.433999999999997</v>
      </c>
      <c r="J558" s="338">
        <v>38.35</v>
      </c>
      <c r="K558" s="3503"/>
      <c r="L558" s="2329">
        <v>38.585789473684208</v>
      </c>
      <c r="M558" s="1029">
        <v>48.2</v>
      </c>
      <c r="N558" s="1026">
        <v>49.6</v>
      </c>
      <c r="O558" s="3363">
        <v>252.43899999999999</v>
      </c>
      <c r="P558" s="2322">
        <v>203.6</v>
      </c>
      <c r="Q558" s="2204"/>
      <c r="R558" s="2204"/>
    </row>
    <row r="559" spans="1:18">
      <c r="A559" s="2202">
        <f t="shared" si="1"/>
        <v>2018.1</v>
      </c>
      <c r="B559" s="2324">
        <v>114.8301</v>
      </c>
      <c r="C559" s="3269">
        <v>108.59690000000001</v>
      </c>
      <c r="D559" s="2325">
        <v>122.62909999999999</v>
      </c>
      <c r="E559" s="2326">
        <v>106.54810000000001</v>
      </c>
      <c r="F559" s="3269">
        <v>114.4819</v>
      </c>
      <c r="G559" s="2325">
        <v>99.063699999999997</v>
      </c>
      <c r="H559" s="2326">
        <v>35.700000000000003</v>
      </c>
      <c r="I559" s="3501">
        <v>36.956818181818178</v>
      </c>
      <c r="J559" s="338">
        <v>36.83</v>
      </c>
      <c r="K559" s="2326">
        <v>36.51</v>
      </c>
      <c r="L559" s="2329">
        <v>37.382380952380949</v>
      </c>
      <c r="M559" s="1029">
        <v>47.2</v>
      </c>
      <c r="N559" s="1026">
        <v>46.8</v>
      </c>
      <c r="O559" s="3363">
        <v>252.88499999999999</v>
      </c>
      <c r="P559" s="2322">
        <v>204.6</v>
      </c>
      <c r="Q559" s="2204"/>
      <c r="R559" s="2204"/>
    </row>
    <row r="560" spans="1:18">
      <c r="A560" s="2202">
        <f t="shared" ref="A560:A623" si="2">A548+1</f>
        <v>2018.11</v>
      </c>
      <c r="B560" s="2324">
        <v>116.1678</v>
      </c>
      <c r="C560" s="3269">
        <v>109.68470000000001</v>
      </c>
      <c r="D560" s="2325">
        <v>124.2479</v>
      </c>
      <c r="E560" s="2326">
        <v>107.70699999999999</v>
      </c>
      <c r="F560" s="3269">
        <v>115.6507</v>
      </c>
      <c r="G560" s="2325">
        <v>100.2041</v>
      </c>
      <c r="H560" s="2326">
        <v>37.82</v>
      </c>
      <c r="I560" s="3501">
        <v>36.340000000000003</v>
      </c>
      <c r="J560" s="338">
        <v>35.529000000000003</v>
      </c>
      <c r="K560" s="2326">
        <v>36.514000000000003</v>
      </c>
      <c r="L560" s="2329">
        <v>36.401000000000003</v>
      </c>
      <c r="M560" s="1029">
        <v>47.7</v>
      </c>
      <c r="N560" s="1026">
        <v>48</v>
      </c>
      <c r="O560" s="3363">
        <v>252.03800000000001</v>
      </c>
      <c r="P560" s="2322">
        <v>202.3</v>
      </c>
      <c r="Q560" s="2204"/>
      <c r="R560" s="2204"/>
    </row>
    <row r="561" spans="1:18">
      <c r="A561" s="2202">
        <f t="shared" si="2"/>
        <v>2018.12</v>
      </c>
      <c r="B561" s="2324">
        <v>116.2111</v>
      </c>
      <c r="C561" s="3269">
        <v>110.2118</v>
      </c>
      <c r="D561" s="2325">
        <v>123.7735</v>
      </c>
      <c r="E561" s="2326">
        <v>107.75409999999999</v>
      </c>
      <c r="F561" s="3269">
        <v>116.2948</v>
      </c>
      <c r="G561" s="2325">
        <v>99.761700000000005</v>
      </c>
      <c r="H561" s="2326">
        <v>37.83</v>
      </c>
      <c r="I561" s="3501">
        <v>37.734999999999999</v>
      </c>
      <c r="J561" s="338">
        <v>37.22</v>
      </c>
      <c r="K561" s="2326">
        <v>38.033225806451611</v>
      </c>
      <c r="L561" s="2329">
        <v>37.988387096774197</v>
      </c>
      <c r="M561" s="1029">
        <v>48.349999999999902</v>
      </c>
      <c r="N561" s="1026">
        <v>48.636249999999997</v>
      </c>
      <c r="O561" s="3363">
        <v>251.233</v>
      </c>
      <c r="P561" s="2322">
        <v>201</v>
      </c>
      <c r="Q561" s="2204"/>
      <c r="R561" s="2204"/>
    </row>
    <row r="562" spans="1:18">
      <c r="A562" s="2202">
        <f t="shared" si="2"/>
        <v>2019.01</v>
      </c>
      <c r="B562" s="2324">
        <v>114.44029999999999</v>
      </c>
      <c r="C562" s="3269">
        <v>109.1527</v>
      </c>
      <c r="D562" s="2325">
        <v>121.2135</v>
      </c>
      <c r="E562" s="2326">
        <v>106.0295</v>
      </c>
      <c r="F562" s="3269">
        <v>115.1058</v>
      </c>
      <c r="G562" s="2325">
        <v>97.589799999999997</v>
      </c>
      <c r="H562" s="2326">
        <v>37.31</v>
      </c>
      <c r="I562" s="3501">
        <v>37.272499999999994</v>
      </c>
      <c r="J562" s="338">
        <v>37.436363636363637</v>
      </c>
      <c r="K562" s="2326">
        <v>37.515483870967742</v>
      </c>
      <c r="L562" s="2329">
        <v>37.49677419354839</v>
      </c>
      <c r="M562" s="1029">
        <v>48.4</v>
      </c>
      <c r="N562" s="1026">
        <v>48.4</v>
      </c>
      <c r="O562" s="3363">
        <v>251.71199999999999</v>
      </c>
      <c r="P562" s="2322">
        <v>199.1</v>
      </c>
      <c r="Q562" s="2204"/>
      <c r="R562" s="2522"/>
    </row>
    <row r="563" spans="1:18">
      <c r="A563" s="2202">
        <f t="shared" si="2"/>
        <v>2019.02</v>
      </c>
      <c r="B563" s="2324">
        <v>114.4106</v>
      </c>
      <c r="C563" s="3269">
        <v>109.4097</v>
      </c>
      <c r="D563" s="2325">
        <v>120.86450000000001</v>
      </c>
      <c r="E563" s="2326">
        <v>106.1332</v>
      </c>
      <c r="F563" s="3269">
        <v>115.53489999999999</v>
      </c>
      <c r="G563" s="2325">
        <v>97.416600000000003</v>
      </c>
      <c r="H563" s="2326">
        <v>39.1</v>
      </c>
      <c r="I563" s="3501">
        <v>38.3035</v>
      </c>
      <c r="J563" s="338">
        <v>37.787999999999997</v>
      </c>
      <c r="K563" s="2326">
        <v>38.506785714285712</v>
      </c>
      <c r="L563" s="2329">
        <v>38.446785714285717</v>
      </c>
      <c r="M563" s="1029">
        <v>49.3</v>
      </c>
      <c r="N563" s="1026">
        <v>49.6</v>
      </c>
      <c r="O563" s="3363">
        <v>252.77600000000001</v>
      </c>
      <c r="P563" s="2322">
        <v>199.2</v>
      </c>
      <c r="Q563" s="2204"/>
      <c r="R563" s="2204"/>
    </row>
    <row r="564" spans="1:18">
      <c r="A564" s="2202">
        <f t="shared" si="2"/>
        <v>2019.03</v>
      </c>
      <c r="B564" s="2324">
        <v>114.78230000000001</v>
      </c>
      <c r="C564" s="3269">
        <v>109.94759999999999</v>
      </c>
      <c r="D564" s="2325">
        <v>121.0553</v>
      </c>
      <c r="E564" s="2326">
        <v>106.553</v>
      </c>
      <c r="F564" s="3269">
        <v>116.2946</v>
      </c>
      <c r="G564" s="2325">
        <v>97.546499999999995</v>
      </c>
      <c r="H564" s="2326">
        <v>43.2</v>
      </c>
      <c r="I564" s="3501">
        <v>41.415700000000001</v>
      </c>
      <c r="J564" s="338">
        <v>40.981499999999997</v>
      </c>
      <c r="K564" s="2326">
        <v>41.507096774193549</v>
      </c>
      <c r="L564" s="2329">
        <v>41.295806451612897</v>
      </c>
      <c r="M564" s="1029">
        <v>52.7</v>
      </c>
      <c r="N564" s="1026">
        <v>53.5</v>
      </c>
      <c r="O564" s="3363">
        <v>254.202</v>
      </c>
      <c r="P564" s="2322">
        <v>200.8</v>
      </c>
      <c r="Q564" s="2204"/>
      <c r="R564" s="2204"/>
    </row>
    <row r="565" spans="1:18">
      <c r="A565" s="2202">
        <f t="shared" si="2"/>
        <v>2019.04</v>
      </c>
      <c r="B565" s="2324">
        <v>114.9024</v>
      </c>
      <c r="C565" s="3269">
        <v>110.4379</v>
      </c>
      <c r="D565" s="2325">
        <v>120.7688</v>
      </c>
      <c r="E565" s="2326">
        <v>106.66759999999999</v>
      </c>
      <c r="F565" s="3269">
        <v>116.91200000000001</v>
      </c>
      <c r="G565" s="2325">
        <v>97.238799999999998</v>
      </c>
      <c r="H565" s="2329">
        <v>44.26</v>
      </c>
      <c r="I565" s="3501">
        <v>43.16</v>
      </c>
      <c r="J565" s="338">
        <v>43.747100000000003</v>
      </c>
      <c r="K565" s="2326">
        <v>43.43933333333333</v>
      </c>
      <c r="L565" s="2329">
        <v>43.465000000000003</v>
      </c>
      <c r="M565" s="1029">
        <v>54.6</v>
      </c>
      <c r="N565" s="1026">
        <v>54.8</v>
      </c>
      <c r="O565" s="3363">
        <v>255.548</v>
      </c>
      <c r="P565" s="2322">
        <v>202.1</v>
      </c>
      <c r="Q565" s="2204"/>
      <c r="R565" s="2204"/>
    </row>
    <row r="566" spans="1:18">
      <c r="A566" s="2202">
        <f t="shared" si="2"/>
        <v>2019.05</v>
      </c>
      <c r="B566" s="2324">
        <v>115.95699999999999</v>
      </c>
      <c r="C566" s="3269">
        <v>110.8764</v>
      </c>
      <c r="D566" s="2325">
        <v>122.51220000000001</v>
      </c>
      <c r="E566" s="2326">
        <v>107.4312</v>
      </c>
      <c r="F566" s="3269">
        <v>117.26560000000001</v>
      </c>
      <c r="G566" s="2325">
        <v>98.3399</v>
      </c>
      <c r="H566" s="2326">
        <v>45.1</v>
      </c>
      <c r="I566" s="3501">
        <v>44.78</v>
      </c>
      <c r="J566" s="338">
        <v>45.41</v>
      </c>
      <c r="K566" s="2326">
        <v>44.856451612903228</v>
      </c>
      <c r="L566" s="2329">
        <v>44.987419354838707</v>
      </c>
      <c r="M566" s="1029">
        <v>55.5</v>
      </c>
      <c r="N566" s="1026">
        <v>55.7</v>
      </c>
      <c r="O566" s="3363">
        <v>256.09199999999998</v>
      </c>
      <c r="P566" s="2322">
        <v>201.7</v>
      </c>
      <c r="Q566" s="1147"/>
      <c r="R566" s="1147"/>
    </row>
    <row r="567" spans="1:18">
      <c r="A567" s="2202">
        <f t="shared" si="2"/>
        <v>2019.06</v>
      </c>
      <c r="B567" s="2324">
        <v>115.42789999999999</v>
      </c>
      <c r="C567" s="3269">
        <v>109.8312</v>
      </c>
      <c r="D567" s="2325">
        <v>122.5539</v>
      </c>
      <c r="E567" s="2326">
        <v>106.8087</v>
      </c>
      <c r="F567" s="3269">
        <v>116.0834</v>
      </c>
      <c r="G567" s="2325">
        <v>98.195099999999996</v>
      </c>
      <c r="H567" s="2326">
        <v>42.15</v>
      </c>
      <c r="I567" s="3501">
        <v>43.63</v>
      </c>
      <c r="J567" s="338">
        <v>44.22</v>
      </c>
      <c r="K567" s="2326">
        <v>43.774999999999999</v>
      </c>
      <c r="L567" s="2329">
        <v>43.866666666666667</v>
      </c>
      <c r="M567" s="1029">
        <v>55</v>
      </c>
      <c r="N567" s="1026">
        <v>55.2</v>
      </c>
      <c r="O567" s="3363">
        <v>256.14299999999997</v>
      </c>
      <c r="P567" s="2322">
        <v>200.3</v>
      </c>
      <c r="Q567" s="1147"/>
      <c r="R567" s="1147"/>
    </row>
    <row r="568" spans="1:18">
      <c r="A568" s="2202">
        <f t="shared" si="2"/>
        <v>2019.07</v>
      </c>
      <c r="B568" s="2324">
        <v>115.07850000000001</v>
      </c>
      <c r="C568" s="3269">
        <v>109.97410000000001</v>
      </c>
      <c r="D568" s="2325">
        <v>121.6529</v>
      </c>
      <c r="E568" s="2326">
        <v>106.56489999999999</v>
      </c>
      <c r="F568" s="3269">
        <v>116.3539</v>
      </c>
      <c r="G568" s="2325">
        <v>97.5184</v>
      </c>
      <c r="H568" s="2326">
        <v>43.92</v>
      </c>
      <c r="I568" s="3502">
        <v>43.78</v>
      </c>
      <c r="J568" s="338">
        <v>43.23</v>
      </c>
      <c r="K568" s="2326">
        <v>42.498064516129027</v>
      </c>
      <c r="L568" s="2329">
        <v>42.559677419354841</v>
      </c>
      <c r="M568" s="1029">
        <v>56</v>
      </c>
      <c r="N568" s="1026">
        <v>56.169287505739398</v>
      </c>
      <c r="O568" s="3363">
        <v>256.57100000000003</v>
      </c>
      <c r="P568" s="2322">
        <v>200.7</v>
      </c>
      <c r="Q568" s="1147"/>
      <c r="R568" s="1147"/>
    </row>
    <row r="569" spans="1:18">
      <c r="A569" s="2202">
        <f t="shared" si="2"/>
        <v>2019.08</v>
      </c>
      <c r="B569" s="2324">
        <v>117.102</v>
      </c>
      <c r="C569" s="3269">
        <v>110.75709999999999</v>
      </c>
      <c r="D569" s="2325">
        <v>125.08450000000001</v>
      </c>
      <c r="E569" s="2326">
        <v>108.3729</v>
      </c>
      <c r="F569" s="3269">
        <v>117.16719999999999</v>
      </c>
      <c r="G569" s="2325">
        <v>100.1589</v>
      </c>
      <c r="H569" s="2326">
        <v>59</v>
      </c>
      <c r="I569" s="3502">
        <v>52.49</v>
      </c>
      <c r="J569" s="338">
        <v>53.41</v>
      </c>
      <c r="K569" s="2326">
        <v>52.69064516129032</v>
      </c>
      <c r="L569" s="2329">
        <v>52.541612903225797</v>
      </c>
      <c r="M569" s="1029">
        <v>80</v>
      </c>
      <c r="N569" s="1026">
        <v>83.0137513888195</v>
      </c>
      <c r="O569" s="3363">
        <v>256.55799999999999</v>
      </c>
      <c r="P569" s="2322">
        <v>199.2</v>
      </c>
      <c r="Q569" s="1147"/>
      <c r="R569" s="1147"/>
    </row>
    <row r="570" spans="1:18">
      <c r="A570" s="2202">
        <f t="shared" si="2"/>
        <v>2019.09</v>
      </c>
      <c r="B570" s="2324">
        <v>117.32559999999999</v>
      </c>
      <c r="C570" s="3269">
        <v>111.19670000000001</v>
      </c>
      <c r="D570" s="2325">
        <v>125.0637</v>
      </c>
      <c r="E570" s="2326">
        <v>108.55110000000001</v>
      </c>
      <c r="F570" s="3269">
        <v>117.7749</v>
      </c>
      <c r="G570" s="2325">
        <v>99.968800000000002</v>
      </c>
      <c r="H570" s="2326">
        <v>57.25</v>
      </c>
      <c r="I570" s="3502">
        <v>56.36</v>
      </c>
      <c r="J570" s="2326">
        <v>59.220238095238095</v>
      </c>
      <c r="K570" s="2326">
        <v>63.212000000000003</v>
      </c>
      <c r="L570" s="2329">
        <v>65.837666666666664</v>
      </c>
      <c r="M570" s="1029">
        <v>82.2</v>
      </c>
      <c r="N570" s="1026">
        <v>82.8</v>
      </c>
      <c r="O570" s="3363">
        <v>256.75900000000001</v>
      </c>
      <c r="P570" s="2322">
        <v>198.4</v>
      </c>
      <c r="Q570" s="1147"/>
      <c r="R570" s="1147"/>
    </row>
    <row r="571" spans="1:18">
      <c r="A571" s="2202">
        <f t="shared" si="2"/>
        <v>2019.1</v>
      </c>
      <c r="B571" s="2324">
        <v>116.7479</v>
      </c>
      <c r="C571" s="3269">
        <v>110.7273</v>
      </c>
      <c r="D571" s="2325">
        <v>124.35939999999999</v>
      </c>
      <c r="E571" s="2326">
        <v>108.0244</v>
      </c>
      <c r="F571" s="3269">
        <v>117.50749999999999</v>
      </c>
      <c r="G571" s="2325">
        <v>99.225399999999993</v>
      </c>
      <c r="H571" s="2326">
        <v>60.5</v>
      </c>
      <c r="I571" s="3502">
        <v>58.44</v>
      </c>
      <c r="J571" s="2326">
        <v>64.13636363636364</v>
      </c>
      <c r="K571" s="2326">
        <v>69.004838709677415</v>
      </c>
      <c r="L571" s="2329">
        <v>71.954193548387096</v>
      </c>
      <c r="M571" s="1029">
        <v>83</v>
      </c>
      <c r="N571" s="1026">
        <v>84.2</v>
      </c>
      <c r="O571" s="3363">
        <v>257.346</v>
      </c>
      <c r="P571" s="2322">
        <v>198.6</v>
      </c>
      <c r="Q571" s="1147"/>
      <c r="R571" s="1147"/>
    </row>
    <row r="572" spans="1:18">
      <c r="A572" s="2202">
        <f t="shared" si="2"/>
        <v>2019.11</v>
      </c>
      <c r="B572" s="2324">
        <v>116.5605</v>
      </c>
      <c r="C572" s="3269">
        <v>110.7073</v>
      </c>
      <c r="D572" s="2325">
        <v>123.9824</v>
      </c>
      <c r="E572" s="2326">
        <v>107.8501</v>
      </c>
      <c r="F572" s="3269">
        <v>117.6751</v>
      </c>
      <c r="G572" s="2325">
        <v>98.763599999999997</v>
      </c>
      <c r="H572" s="2326">
        <v>60.86</v>
      </c>
      <c r="I572" s="3502">
        <v>59.64050000000001</v>
      </c>
      <c r="J572" s="2326">
        <v>65.25</v>
      </c>
      <c r="K572" s="2326">
        <v>72.594666666666669</v>
      </c>
      <c r="L572" s="2329">
        <v>76.60766666666666</v>
      </c>
      <c r="M572" s="1029">
        <v>82.5</v>
      </c>
      <c r="N572" s="1026">
        <v>83</v>
      </c>
      <c r="O572" s="3363">
        <v>257.20800000000003</v>
      </c>
      <c r="P572" s="2322">
        <v>199</v>
      </c>
      <c r="Q572" s="1147"/>
      <c r="R572" s="1147"/>
    </row>
    <row r="573" spans="1:18">
      <c r="A573" s="2202">
        <f t="shared" si="2"/>
        <v>2019.12</v>
      </c>
      <c r="B573" s="2324">
        <v>115.91070000000001</v>
      </c>
      <c r="C573" s="3269">
        <v>109.99809999999999</v>
      </c>
      <c r="D573" s="2325">
        <v>123.3951</v>
      </c>
      <c r="E573" s="2326">
        <v>107.19759999999999</v>
      </c>
      <c r="F573" s="3269">
        <v>116.99930000000001</v>
      </c>
      <c r="G573" s="2325">
        <v>98.1357</v>
      </c>
      <c r="H573" s="2326">
        <v>60.5</v>
      </c>
      <c r="I573" s="3502">
        <v>59.777894736842114</v>
      </c>
      <c r="J573" s="2326">
        <v>70.236842105263165</v>
      </c>
      <c r="K573" s="2326">
        <v>72.457419354838706</v>
      </c>
      <c r="L573" s="2329">
        <v>74.704193548387096</v>
      </c>
      <c r="M573" s="1029">
        <v>80.5</v>
      </c>
      <c r="N573" s="1026">
        <v>79.599999999999994</v>
      </c>
      <c r="O573" s="3363">
        <v>256.97399999999999</v>
      </c>
      <c r="P573" s="2322">
        <v>199</v>
      </c>
      <c r="Q573" s="1147"/>
      <c r="R573" s="1147"/>
    </row>
    <row r="574" spans="1:18">
      <c r="A574" s="2202">
        <f t="shared" si="2"/>
        <v>2020.01</v>
      </c>
      <c r="B574" s="2324">
        <v>115.2786</v>
      </c>
      <c r="C574" s="3269">
        <v>109.87949999999999</v>
      </c>
      <c r="D574" s="2325">
        <v>122.21210000000001</v>
      </c>
      <c r="E574" s="2326">
        <v>106.6671</v>
      </c>
      <c r="F574" s="3269">
        <v>117.0641</v>
      </c>
      <c r="G574" s="2325">
        <v>97.135999999999996</v>
      </c>
      <c r="H574" s="2326">
        <v>60.5</v>
      </c>
      <c r="I574" s="3502">
        <v>59.952800000000003</v>
      </c>
      <c r="J574" s="2326">
        <v>73.113636400000004</v>
      </c>
      <c r="K574" s="2326">
        <v>78.989354838709673</v>
      </c>
      <c r="L574" s="2329">
        <v>80.30935483870968</v>
      </c>
      <c r="M574" s="1029">
        <v>80.5</v>
      </c>
      <c r="N574" s="1026">
        <v>79.7</v>
      </c>
      <c r="O574" s="3363">
        <v>257.971</v>
      </c>
      <c r="P574" s="2322">
        <v>199.3</v>
      </c>
      <c r="Q574" s="1147"/>
      <c r="R574" s="1147"/>
    </row>
    <row r="575" spans="1:18">
      <c r="A575" s="2202">
        <f t="shared" si="2"/>
        <v>2020.02</v>
      </c>
      <c r="B575" s="2324">
        <v>116.70950000000001</v>
      </c>
      <c r="C575" s="3269">
        <v>111.4348</v>
      </c>
      <c r="D575" s="2325">
        <v>123.5265</v>
      </c>
      <c r="E575" s="2326">
        <v>107.8599</v>
      </c>
      <c r="F575" s="3269">
        <v>118.7706</v>
      </c>
      <c r="G575" s="2325">
        <v>97.907499999999999</v>
      </c>
      <c r="H575" s="2326">
        <v>61.9</v>
      </c>
      <c r="I575" s="3502">
        <v>61.238117600000002</v>
      </c>
      <c r="J575" s="2326">
        <v>76.191666666666663</v>
      </c>
      <c r="K575" s="2326">
        <v>81.491379310344826</v>
      </c>
      <c r="L575" s="2329">
        <v>82.946551724137933</v>
      </c>
      <c r="M575" s="1029">
        <v>83</v>
      </c>
      <c r="N575" s="1026">
        <v>82.4</v>
      </c>
      <c r="O575" s="3363">
        <v>258.678</v>
      </c>
      <c r="P575" s="2322">
        <v>196.7</v>
      </c>
      <c r="Q575" s="1147"/>
      <c r="R575" s="1147"/>
    </row>
    <row r="576" spans="1:18">
      <c r="A576" s="2202">
        <f t="shared" si="2"/>
        <v>2020.03</v>
      </c>
      <c r="B576" s="2324">
        <v>121.02849999999999</v>
      </c>
      <c r="C576" s="3269">
        <v>112.7139</v>
      </c>
      <c r="D576" s="2325">
        <v>131.19589999999999</v>
      </c>
      <c r="E576" s="2326">
        <v>111.7732</v>
      </c>
      <c r="F576" s="3269">
        <v>120.0335</v>
      </c>
      <c r="G576" s="2325">
        <v>103.9228</v>
      </c>
      <c r="H576" s="2326">
        <v>64.08</v>
      </c>
      <c r="I576" s="3502">
        <v>62.85733333333333</v>
      </c>
      <c r="J576" s="2326">
        <v>80.276315789473685</v>
      </c>
      <c r="K576" s="2326">
        <v>85.86354838709677</v>
      </c>
      <c r="L576" s="2329">
        <v>86.634193548387103</v>
      </c>
      <c r="M576" s="1029">
        <v>88</v>
      </c>
      <c r="N576" s="1026">
        <v>88</v>
      </c>
      <c r="O576" s="3363">
        <v>258.11500000000001</v>
      </c>
      <c r="P576" s="2322">
        <v>193.1</v>
      </c>
      <c r="Q576" s="1147"/>
      <c r="R576" s="1147"/>
    </row>
    <row r="577" spans="1:18">
      <c r="A577" s="2202">
        <f t="shared" si="2"/>
        <v>2020.04</v>
      </c>
      <c r="B577" s="2324">
        <v>123.2894</v>
      </c>
      <c r="C577" s="3269">
        <v>113.6233</v>
      </c>
      <c r="D577" s="2325">
        <v>134.9863</v>
      </c>
      <c r="E577" s="2326">
        <v>113.3817</v>
      </c>
      <c r="F577" s="3269">
        <v>120.4718</v>
      </c>
      <c r="G577" s="2325">
        <v>106.4979</v>
      </c>
      <c r="H577" s="2326">
        <v>66.66</v>
      </c>
      <c r="I577" s="3502">
        <v>65.400000000000006</v>
      </c>
      <c r="J577" s="2326">
        <v>97.41</v>
      </c>
      <c r="K577" s="2326">
        <v>100.6276666666667</v>
      </c>
      <c r="L577" s="2329">
        <v>101.994</v>
      </c>
      <c r="M577" s="1029">
        <v>96.14</v>
      </c>
      <c r="N577" s="1026">
        <v>95.855346378162238</v>
      </c>
      <c r="O577" s="3363">
        <v>256.38900000000001</v>
      </c>
      <c r="P577" s="2322">
        <v>185.5</v>
      </c>
      <c r="Q577" s="1147"/>
      <c r="R577" s="1147"/>
    </row>
    <row r="578" spans="1:18">
      <c r="A578" s="2202">
        <f t="shared" si="2"/>
        <v>2020.05</v>
      </c>
      <c r="B578" s="2324">
        <v>122.6238</v>
      </c>
      <c r="C578" s="3269">
        <v>113.2055</v>
      </c>
      <c r="D578" s="2325">
        <v>134.036</v>
      </c>
      <c r="E578" s="2326">
        <v>112.70869999999999</v>
      </c>
      <c r="F578" s="3269">
        <v>120.083</v>
      </c>
      <c r="G578" s="2325">
        <v>105.5903</v>
      </c>
      <c r="H578" s="2326">
        <v>68.22</v>
      </c>
      <c r="I578" s="3502">
        <v>67.72</v>
      </c>
      <c r="J578" s="2326">
        <v>121.23684210526316</v>
      </c>
      <c r="K578" s="2326">
        <v>113.1474193548387</v>
      </c>
      <c r="L578" s="2329">
        <v>116.6112903225806</v>
      </c>
      <c r="M578" s="1029">
        <v>104.1</v>
      </c>
      <c r="N578" s="1026">
        <v>103</v>
      </c>
      <c r="O578" s="3363">
        <v>256.39400000000001</v>
      </c>
      <c r="P578" s="2322">
        <v>188.6</v>
      </c>
      <c r="Q578" s="1147"/>
      <c r="R578" s="1147"/>
    </row>
    <row r="579" spans="1:18">
      <c r="A579" s="2202">
        <f t="shared" si="2"/>
        <v>2020.06</v>
      </c>
      <c r="B579" s="2324">
        <v>119.6845</v>
      </c>
      <c r="C579" s="3269">
        <v>110.3417</v>
      </c>
      <c r="D579" s="2325">
        <v>130.99359999999999</v>
      </c>
      <c r="E579" s="2326">
        <v>110.1071</v>
      </c>
      <c r="F579" s="3269">
        <v>117.1828</v>
      </c>
      <c r="G579" s="2325">
        <v>103.2612</v>
      </c>
      <c r="H579" s="2326">
        <v>71</v>
      </c>
      <c r="I579" s="3502">
        <v>69.723571428571432</v>
      </c>
      <c r="J579" s="2326">
        <v>120.85714285714286</v>
      </c>
      <c r="K579" s="2326">
        <v>106.77200000000001</v>
      </c>
      <c r="L579" s="2329">
        <v>110.31966666666671</v>
      </c>
      <c r="M579" s="1029">
        <v>105.32</v>
      </c>
      <c r="N579" s="1026">
        <v>104.4834177248007</v>
      </c>
      <c r="O579" s="3363">
        <v>257.79700000000003</v>
      </c>
      <c r="P579" s="2322">
        <v>191.2</v>
      </c>
      <c r="Q579" s="1147"/>
      <c r="R579" s="1147"/>
    </row>
    <row r="580" spans="1:18">
      <c r="A580" s="2202">
        <f t="shared" si="2"/>
        <v>2020.07</v>
      </c>
      <c r="B580" s="2324">
        <v>118.7004</v>
      </c>
      <c r="C580" s="3269">
        <v>108.82640000000001</v>
      </c>
      <c r="D580" s="2325">
        <v>130.61250000000001</v>
      </c>
      <c r="E580" s="2326">
        <v>109.47490000000001</v>
      </c>
      <c r="F580" s="3269">
        <v>115.95740000000001</v>
      </c>
      <c r="G580" s="2325">
        <v>103.1366</v>
      </c>
      <c r="H580" s="2326">
        <v>73</v>
      </c>
      <c r="I580" s="3502">
        <v>71.22499999999998</v>
      </c>
      <c r="J580" s="2326">
        <v>126.68181800000001</v>
      </c>
      <c r="K580" s="2326">
        <v>112.09</v>
      </c>
      <c r="L580" s="2329">
        <v>114.00290322580641</v>
      </c>
      <c r="M580" s="1029">
        <v>105.1</v>
      </c>
      <c r="N580" s="1026">
        <v>104.9896777923114</v>
      </c>
      <c r="O580" s="3363">
        <v>259.101</v>
      </c>
      <c r="P580" s="2322">
        <v>193</v>
      </c>
      <c r="Q580" s="1147"/>
      <c r="R580" s="1147"/>
    </row>
    <row r="581" spans="1:18">
      <c r="A581" s="2202">
        <f t="shared" si="2"/>
        <v>2020.08</v>
      </c>
      <c r="B581" s="2324">
        <v>116.9576</v>
      </c>
      <c r="C581" s="3269">
        <v>106.22</v>
      </c>
      <c r="D581" s="2325">
        <v>129.8622</v>
      </c>
      <c r="E581" s="2326">
        <v>108.173</v>
      </c>
      <c r="F581" s="3269">
        <v>113.7846</v>
      </c>
      <c r="G581" s="2325">
        <v>102.5904</v>
      </c>
      <c r="H581" s="2326">
        <v>76</v>
      </c>
      <c r="I581" s="3502">
        <v>73.067222222222213</v>
      </c>
      <c r="J581" s="2326">
        <v>131.04</v>
      </c>
      <c r="K581" s="2326">
        <v>124.42870967741941</v>
      </c>
      <c r="L581" s="2329">
        <v>127.5751612903226</v>
      </c>
      <c r="M581" s="1029">
        <v>108.1</v>
      </c>
      <c r="N581" s="1026">
        <v>108.65</v>
      </c>
      <c r="O581" s="3363">
        <v>259.91800000000001</v>
      </c>
      <c r="P581" s="2322">
        <v>194.3</v>
      </c>
      <c r="Q581" s="1147"/>
      <c r="R581" s="1147"/>
    </row>
    <row r="582" spans="1:18">
      <c r="A582" s="2202">
        <f t="shared" si="2"/>
        <v>2020.09</v>
      </c>
      <c r="B582" s="2324">
        <v>116.35339999999999</v>
      </c>
      <c r="C582" s="3269">
        <v>106.554</v>
      </c>
      <c r="D582" s="2325">
        <v>128.1678</v>
      </c>
      <c r="E582" s="2326">
        <v>107.8018</v>
      </c>
      <c r="F582" s="3269">
        <v>114.3507</v>
      </c>
      <c r="G582" s="2325">
        <v>101.4196</v>
      </c>
      <c r="H582" s="2326">
        <v>78.3</v>
      </c>
      <c r="I582" s="3502">
        <v>75.104761904761929</v>
      </c>
      <c r="J582" s="2326">
        <v>135.36363636363637</v>
      </c>
      <c r="K582" s="2326">
        <v>126.32153846153849</v>
      </c>
      <c r="L582" s="2329">
        <v>133.25</v>
      </c>
      <c r="M582" s="1029">
        <v>109.85</v>
      </c>
      <c r="N582" s="1026">
        <v>110.0032285444881</v>
      </c>
      <c r="O582" s="3363">
        <v>260.27999999999997</v>
      </c>
      <c r="P582" s="2322">
        <v>195.5</v>
      </c>
      <c r="Q582" s="1147"/>
      <c r="R582" s="1147"/>
    </row>
    <row r="583" spans="1:18">
      <c r="A583" s="2202">
        <f t="shared" si="2"/>
        <v>2020.1</v>
      </c>
      <c r="B583" s="2324">
        <v>115.7882</v>
      </c>
      <c r="C583" s="3269">
        <v>106.5321</v>
      </c>
      <c r="D583" s="2325">
        <v>126.9764</v>
      </c>
      <c r="E583" s="2326">
        <v>107.26560000000001</v>
      </c>
      <c r="F583" s="3269">
        <v>114.39530000000001</v>
      </c>
      <c r="G583" s="2325">
        <v>100.39709999999999</v>
      </c>
      <c r="H583" s="2326">
        <v>81</v>
      </c>
      <c r="I583" s="3502">
        <v>77.37833333333333</v>
      </c>
      <c r="J583" s="2326">
        <v>167.61904761904762</v>
      </c>
      <c r="K583" s="2326">
        <v>150.0371428571429</v>
      </c>
      <c r="L583" s="2329">
        <v>163.46857142857141</v>
      </c>
      <c r="M583" s="1029">
        <v>117.4</v>
      </c>
      <c r="N583" s="1026">
        <v>118.59</v>
      </c>
      <c r="O583" s="3363">
        <v>260.38799999999998</v>
      </c>
      <c r="P583" s="2322">
        <v>196.5</v>
      </c>
      <c r="Q583" s="1147"/>
      <c r="R583" s="1147"/>
    </row>
    <row r="584" spans="1:18">
      <c r="A584" s="2202">
        <f t="shared" si="2"/>
        <v>2020.11</v>
      </c>
      <c r="B584" s="2324">
        <v>114.1033</v>
      </c>
      <c r="C584" s="3269">
        <v>105.634</v>
      </c>
      <c r="D584" s="2325">
        <v>124.3896</v>
      </c>
      <c r="E584" s="2326">
        <v>105.9084</v>
      </c>
      <c r="F584" s="3269">
        <v>113.5866</v>
      </c>
      <c r="G584" s="2325">
        <v>98.593299999999999</v>
      </c>
      <c r="H584" s="2326">
        <v>83.72</v>
      </c>
      <c r="I584" s="3502">
        <v>80.852000000000004</v>
      </c>
      <c r="J584" s="2326">
        <v>157.4</v>
      </c>
      <c r="K584" s="2326">
        <v>144.83349999999999</v>
      </c>
      <c r="L584" s="2329">
        <v>151.44684210526319</v>
      </c>
      <c r="M584" s="1029">
        <v>121.1408880683679</v>
      </c>
      <c r="N584" s="1026">
        <v>124.26525704994719</v>
      </c>
      <c r="O584" s="3363">
        <v>260.22899999999998</v>
      </c>
      <c r="P584" s="2322">
        <v>198.3</v>
      </c>
      <c r="Q584" s="1147"/>
      <c r="R584" s="1147"/>
    </row>
    <row r="585" spans="1:18">
      <c r="A585" s="2202">
        <f t="shared" si="2"/>
        <v>2020.12</v>
      </c>
      <c r="B585" s="2324">
        <v>111.9051</v>
      </c>
      <c r="C585" s="3269">
        <v>103.2852</v>
      </c>
      <c r="D585" s="2325">
        <v>122.3475</v>
      </c>
      <c r="E585" s="2326">
        <v>103.961</v>
      </c>
      <c r="F585" s="3269">
        <v>111.22790000000001</v>
      </c>
      <c r="G585" s="2325">
        <v>97.005300000000005</v>
      </c>
      <c r="H585" s="2326">
        <v>86.25</v>
      </c>
      <c r="I585" s="3502">
        <v>82.538333333333355</v>
      </c>
      <c r="J585" s="2326">
        <v>150.05263157894737</v>
      </c>
      <c r="K585" s="2326">
        <v>141.3727777777778</v>
      </c>
      <c r="L585" s="2329">
        <v>143.54</v>
      </c>
      <c r="M585" s="1029">
        <v>125.8</v>
      </c>
      <c r="N585" s="1026">
        <v>126.0821535708475</v>
      </c>
      <c r="O585" s="3363">
        <v>260.47399999999999</v>
      </c>
      <c r="P585" s="2322">
        <v>200.5</v>
      </c>
      <c r="Q585" s="1147"/>
      <c r="R585" s="1147"/>
    </row>
    <row r="586" spans="1:18">
      <c r="A586" s="2202">
        <f t="shared" si="2"/>
        <v>2021.01</v>
      </c>
      <c r="B586" s="2324">
        <v>111.4953</v>
      </c>
      <c r="C586" s="3269">
        <v>102.80589999999999</v>
      </c>
      <c r="D586" s="2325">
        <v>122.0179</v>
      </c>
      <c r="E586" s="2326">
        <v>103.246</v>
      </c>
      <c r="F586" s="3269">
        <v>110.2985</v>
      </c>
      <c r="G586" s="2325">
        <v>96.468299999999999</v>
      </c>
      <c r="H586" s="2326">
        <v>89.7</v>
      </c>
      <c r="I586" s="3502">
        <v>85.875499999999988</v>
      </c>
      <c r="J586" s="2326">
        <v>154.25</v>
      </c>
      <c r="K586" s="2326">
        <v>147.15199999999999</v>
      </c>
      <c r="L586" s="2329">
        <v>151.285</v>
      </c>
      <c r="M586" s="1029">
        <v>129</v>
      </c>
      <c r="N586" s="1026">
        <v>127.9103938627772</v>
      </c>
      <c r="O586" s="3363">
        <v>261.58199999999999</v>
      </c>
      <c r="P586" s="2322">
        <v>204.8</v>
      </c>
      <c r="Q586" s="1147"/>
      <c r="R586" s="1147"/>
    </row>
    <row r="587" spans="1:18">
      <c r="A587" s="2202">
        <f t="shared" si="2"/>
        <v>2021.02</v>
      </c>
      <c r="B587" s="2324">
        <v>112.0275</v>
      </c>
      <c r="C587" s="3269">
        <v>103.131</v>
      </c>
      <c r="D587" s="2325">
        <v>122.78</v>
      </c>
      <c r="E587" s="2326">
        <v>103.9096</v>
      </c>
      <c r="F587" s="3269">
        <v>111.01179999999999</v>
      </c>
      <c r="G587" s="2325">
        <v>97.084999999999994</v>
      </c>
      <c r="H587" s="2326">
        <v>92.4</v>
      </c>
      <c r="I587" s="3502">
        <v>88.574444444444438</v>
      </c>
      <c r="J587" s="2326">
        <v>147</v>
      </c>
      <c r="K587" s="2326">
        <v>145.9672222222222</v>
      </c>
      <c r="L587" s="2329">
        <v>150.8822222222222</v>
      </c>
      <c r="M587" s="1029">
        <v>125</v>
      </c>
      <c r="N587" s="1026">
        <v>126.1321480300201</v>
      </c>
      <c r="O587" s="3363">
        <v>263.01400000000001</v>
      </c>
      <c r="P587" s="2322">
        <v>210.6</v>
      </c>
      <c r="Q587" s="1147"/>
      <c r="R587" s="1147"/>
    </row>
    <row r="588" spans="1:18">
      <c r="A588" s="2202">
        <f t="shared" si="2"/>
        <v>2021.03</v>
      </c>
      <c r="B588" s="2324">
        <v>113.3497</v>
      </c>
      <c r="C588" s="3269">
        <v>104.16930000000001</v>
      </c>
      <c r="D588" s="2325">
        <v>124.4216</v>
      </c>
      <c r="E588" s="2326">
        <v>105.35680000000001</v>
      </c>
      <c r="F588" s="3269">
        <v>112.50579999999999</v>
      </c>
      <c r="G588" s="2325">
        <v>98.478399999999993</v>
      </c>
      <c r="H588" s="2326">
        <v>94.7</v>
      </c>
      <c r="I588" s="3502">
        <v>91.065909090909088</v>
      </c>
      <c r="J588" s="2326">
        <v>141.11538461538461</v>
      </c>
      <c r="K588" s="2326">
        <v>144.00863636363641</v>
      </c>
      <c r="L588" s="2329">
        <v>150.09681818181821</v>
      </c>
      <c r="M588" s="1029">
        <v>125.57964568669939</v>
      </c>
      <c r="N588" s="1026">
        <v>126.6774881729896</v>
      </c>
      <c r="O588" s="3363">
        <v>264.87700000000001</v>
      </c>
      <c r="P588" s="2322">
        <v>215</v>
      </c>
      <c r="Q588" s="1147"/>
      <c r="R588" s="1147"/>
    </row>
    <row r="589" spans="1:18">
      <c r="A589" s="2202">
        <f t="shared" si="2"/>
        <v>2021.04</v>
      </c>
      <c r="B589" s="2324">
        <v>112.6426</v>
      </c>
      <c r="C589" s="3269">
        <v>103.7628</v>
      </c>
      <c r="D589" s="2325">
        <v>123.3822</v>
      </c>
      <c r="E589" s="2326">
        <v>105.1665</v>
      </c>
      <c r="F589" s="3269">
        <v>112.72329999999999</v>
      </c>
      <c r="G589" s="2325">
        <v>97.968000000000004</v>
      </c>
      <c r="H589" s="2326">
        <v>95.97</v>
      </c>
      <c r="I589" s="3502">
        <v>92.764000000000024</v>
      </c>
      <c r="J589" s="2326">
        <v>143.75</v>
      </c>
      <c r="K589" s="2326">
        <v>146.41800000000001</v>
      </c>
      <c r="L589" s="2329">
        <v>152.99600000000001</v>
      </c>
      <c r="M589" s="1029">
        <v>126.6454607445169</v>
      </c>
      <c r="N589" s="1026">
        <v>128.2287222895057</v>
      </c>
      <c r="O589" s="3363">
        <v>267.05399999999997</v>
      </c>
      <c r="P589" s="2322">
        <v>217.9</v>
      </c>
      <c r="Q589" s="1147"/>
      <c r="R589" s="1147"/>
    </row>
    <row r="590" spans="1:18">
      <c r="A590" s="2202">
        <f t="shared" si="2"/>
        <v>2021.05</v>
      </c>
      <c r="B590" s="2324">
        <v>111.2252</v>
      </c>
      <c r="C590" s="3269">
        <v>101.9286</v>
      </c>
      <c r="D590" s="2325">
        <v>122.40179999999999</v>
      </c>
      <c r="E590" s="2326">
        <v>104.2094</v>
      </c>
      <c r="F590" s="3269">
        <v>111.1677</v>
      </c>
      <c r="G590" s="2325">
        <v>97.495500000000007</v>
      </c>
      <c r="H590" s="2326">
        <v>96.19</v>
      </c>
      <c r="I590" s="3502">
        <v>94.004210526315788</v>
      </c>
      <c r="J590" s="2326">
        <v>150.94999999999999</v>
      </c>
      <c r="K590" s="2326">
        <v>156.03157894736839</v>
      </c>
      <c r="L590" s="2329">
        <v>161.5221052631579</v>
      </c>
      <c r="M590" s="1029">
        <v>128</v>
      </c>
      <c r="N590" s="1026">
        <v>129.74623578582549</v>
      </c>
      <c r="O590" s="3363">
        <v>269.19499999999999</v>
      </c>
      <c r="P590" s="2322">
        <v>224.9</v>
      </c>
      <c r="Q590" s="1147"/>
      <c r="R590" s="1147"/>
    </row>
    <row r="591" spans="1:18">
      <c r="A591" s="2202">
        <f t="shared" si="2"/>
        <v>2021.06</v>
      </c>
      <c r="B591" s="2324">
        <v>111.58880000000001</v>
      </c>
      <c r="C591" s="3269">
        <v>102.72620000000001</v>
      </c>
      <c r="D591" s="2325">
        <v>122.2996</v>
      </c>
      <c r="E591" s="2326">
        <v>105.1583</v>
      </c>
      <c r="F591" s="3269">
        <v>112.70180000000001</v>
      </c>
      <c r="G591" s="2325">
        <v>97.970399999999998</v>
      </c>
      <c r="H591" s="2326">
        <v>98.17</v>
      </c>
      <c r="I591" s="3502">
        <v>95.085555555555558</v>
      </c>
      <c r="J591" s="2326">
        <v>159.5</v>
      </c>
      <c r="K591" s="2326">
        <v>161.36523809523811</v>
      </c>
      <c r="L591" s="2329">
        <v>167.61380952380949</v>
      </c>
      <c r="M591" s="1029">
        <v>130.4634376995453</v>
      </c>
      <c r="N591" s="1026">
        <v>128.77287800378099</v>
      </c>
      <c r="O591" s="3363">
        <v>271.69600000000003</v>
      </c>
      <c r="P591" s="2322">
        <v>228.9</v>
      </c>
      <c r="Q591" s="1147"/>
      <c r="R591" s="1147"/>
    </row>
    <row r="592" spans="1:18">
      <c r="A592" s="2202">
        <f t="shared" si="2"/>
        <v>2021.07</v>
      </c>
      <c r="B592" s="2324">
        <v>113.07210000000001</v>
      </c>
      <c r="C592" s="3269">
        <v>104.59650000000001</v>
      </c>
      <c r="D592" s="2325">
        <v>123.3826</v>
      </c>
      <c r="E592" s="2326">
        <v>106.654</v>
      </c>
      <c r="F592" s="3269">
        <v>114.8875</v>
      </c>
      <c r="G592" s="2325">
        <v>98.9071</v>
      </c>
      <c r="H592" s="2326">
        <v>99.1</v>
      </c>
      <c r="I592" s="3502">
        <v>96.134761904761888</v>
      </c>
      <c r="J592" s="2326">
        <v>175.97826086956522</v>
      </c>
      <c r="K592" s="2326">
        <v>168.08</v>
      </c>
      <c r="L592" s="2329">
        <v>176.7885714285714</v>
      </c>
      <c r="M592" s="1029">
        <v>133.0305617614716</v>
      </c>
      <c r="N592" s="1026">
        <v>135.15144490759101</v>
      </c>
      <c r="O592" s="3363">
        <v>273.00299999999999</v>
      </c>
      <c r="P592" s="2322">
        <v>231.85</v>
      </c>
      <c r="Q592" s="1147"/>
      <c r="R592" s="1147"/>
    </row>
    <row r="593" spans="1:18">
      <c r="A593" s="2202">
        <f t="shared" si="2"/>
        <v>2021.08</v>
      </c>
      <c r="B593" s="2324">
        <v>113.41240000000001</v>
      </c>
      <c r="C593" s="3269">
        <v>104.9485</v>
      </c>
      <c r="D593" s="2325">
        <v>123.71420000000001</v>
      </c>
      <c r="E593" s="2326">
        <v>106.9603</v>
      </c>
      <c r="F593" s="3269">
        <v>115.1405</v>
      </c>
      <c r="G593" s="2325">
        <v>99.251300000000001</v>
      </c>
      <c r="H593" s="2326">
        <v>100.2</v>
      </c>
      <c r="I593" s="3502">
        <v>97.110952380952384</v>
      </c>
      <c r="J593" s="2326">
        <v>178.37878787878788</v>
      </c>
      <c r="K593" s="2326">
        <v>170.96523809523811</v>
      </c>
      <c r="L593" s="2329">
        <v>177.9680952380952</v>
      </c>
      <c r="M593" s="1029">
        <v>139.04499999999999</v>
      </c>
      <c r="N593" s="1026">
        <v>138.5418935711408</v>
      </c>
      <c r="O593" s="3363">
        <v>273.56700000000001</v>
      </c>
      <c r="P593" s="2322">
        <v>233.41499999999999</v>
      </c>
      <c r="Q593" s="1147"/>
      <c r="R593" s="1147"/>
    </row>
    <row r="594" spans="1:18">
      <c r="A594" s="2202">
        <f t="shared" si="2"/>
        <v>2021.09</v>
      </c>
      <c r="B594" s="2324">
        <v>113.4532</v>
      </c>
      <c r="C594" s="3269">
        <v>105.2595</v>
      </c>
      <c r="D594" s="2325">
        <v>123.4676</v>
      </c>
      <c r="E594" s="2326">
        <v>107.13200000000001</v>
      </c>
      <c r="F594" s="3269">
        <v>115.4845</v>
      </c>
      <c r="G594" s="2325">
        <v>99.2864</v>
      </c>
      <c r="H594" s="2326">
        <v>101.3</v>
      </c>
      <c r="I594" s="3502">
        <v>98.179090909090917</v>
      </c>
      <c r="J594" s="2326">
        <v>182.36363636363637</v>
      </c>
      <c r="K594" s="2326">
        <v>175.61500000000001</v>
      </c>
      <c r="L594" s="2329">
        <v>184.36</v>
      </c>
      <c r="M594" s="1029">
        <v>143</v>
      </c>
      <c r="N594" s="1026">
        <v>146.8767748523334</v>
      </c>
      <c r="O594" s="3363">
        <v>274.31</v>
      </c>
      <c r="P594" s="2322">
        <v>235.678</v>
      </c>
      <c r="Q594" s="1147"/>
      <c r="R594" s="1147"/>
    </row>
    <row r="595" spans="1:18">
      <c r="A595" s="2202">
        <f t="shared" si="2"/>
        <v>2021.1</v>
      </c>
      <c r="B595" s="2324">
        <v>114.0758</v>
      </c>
      <c r="C595" s="3269">
        <v>105.6189</v>
      </c>
      <c r="D595" s="2325">
        <v>124.37739999999999</v>
      </c>
      <c r="E595" s="2326">
        <v>108.0595</v>
      </c>
      <c r="F595" s="3269">
        <v>116.3745</v>
      </c>
      <c r="G595" s="2325">
        <v>100.2316</v>
      </c>
      <c r="H595" s="2326">
        <v>102.3</v>
      </c>
      <c r="I595" s="3502">
        <v>99.149473684210506</v>
      </c>
      <c r="J595" s="2326">
        <v>187.31578947368422</v>
      </c>
      <c r="K595" s="2326">
        <v>187.75</v>
      </c>
      <c r="L595" s="2329">
        <v>196.42052631578949</v>
      </c>
      <c r="M595" s="1029">
        <v>149.02000000000001</v>
      </c>
      <c r="N595" s="1026">
        <v>150.0817772898836</v>
      </c>
      <c r="O595" s="3363">
        <v>276.589</v>
      </c>
      <c r="P595" s="2322">
        <v>240.465</v>
      </c>
      <c r="Q595" s="1147"/>
      <c r="R595" s="1147"/>
    </row>
    <row r="596" spans="1:18">
      <c r="A596" s="2202">
        <f t="shared" si="2"/>
        <v>2021.11</v>
      </c>
      <c r="B596" s="2324">
        <v>115.00360000000001</v>
      </c>
      <c r="C596" s="3269">
        <v>106.9534</v>
      </c>
      <c r="D596" s="2325">
        <v>124.88509999999999</v>
      </c>
      <c r="E596" s="2326">
        <v>109.1467</v>
      </c>
      <c r="F596" s="3269">
        <v>118.08629999999999</v>
      </c>
      <c r="G596" s="2325">
        <v>100.8199</v>
      </c>
      <c r="H596" s="2326">
        <v>103.3</v>
      </c>
      <c r="I596" s="3502">
        <v>100.21238095238093</v>
      </c>
      <c r="J596" s="2326">
        <v>198.52380952380952</v>
      </c>
      <c r="K596" s="2326">
        <v>202.09</v>
      </c>
      <c r="L596" s="2329">
        <v>214.50380952380951</v>
      </c>
      <c r="M596" s="1029">
        <v>154.505</v>
      </c>
      <c r="N596" s="1026">
        <v>155.36740245944961</v>
      </c>
      <c r="O596" s="3363">
        <v>277.94799999999998</v>
      </c>
      <c r="P596" s="2322">
        <v>243.28700000000001</v>
      </c>
      <c r="Q596" s="1147"/>
      <c r="R596" s="1147"/>
    </row>
    <row r="597" spans="1:18">
      <c r="A597" s="2202">
        <f t="shared" si="2"/>
        <v>2021.12</v>
      </c>
      <c r="B597" s="2324">
        <v>115.8172</v>
      </c>
      <c r="C597" s="3269">
        <v>108.1473</v>
      </c>
      <c r="D597" s="2325">
        <v>125.3066</v>
      </c>
      <c r="E597" s="2326">
        <v>110.33199999999999</v>
      </c>
      <c r="F597" s="3269">
        <v>119.7483</v>
      </c>
      <c r="G597" s="2325">
        <v>101.62179999999999</v>
      </c>
      <c r="H597" s="2326">
        <v>104.8</v>
      </c>
      <c r="I597" s="3502">
        <v>101.78600000000002</v>
      </c>
      <c r="J597" s="2326">
        <v>198.5</v>
      </c>
      <c r="K597" s="2326">
        <v>197.87888888888889</v>
      </c>
      <c r="L597" s="2329">
        <v>207.81899999999999</v>
      </c>
      <c r="M597" s="1029">
        <v>163.7438682036352</v>
      </c>
      <c r="N597" s="1026">
        <v>160.7209053044418</v>
      </c>
      <c r="O597" s="3363">
        <v>278.80200000000002</v>
      </c>
      <c r="P597" s="2322">
        <v>241.33799999999999</v>
      </c>
      <c r="Q597" s="1147"/>
      <c r="R597" s="1147"/>
    </row>
    <row r="598" spans="1:18">
      <c r="A598" s="2202">
        <f t="shared" si="2"/>
        <v>2022.01</v>
      </c>
      <c r="B598" s="2324">
        <v>115.05070000000001</v>
      </c>
      <c r="C598" s="3269">
        <v>107.5673</v>
      </c>
      <c r="D598" s="2325">
        <v>124.3387</v>
      </c>
      <c r="E598" s="2326">
        <v>109.70099999999999</v>
      </c>
      <c r="F598" s="3269">
        <v>118.9524</v>
      </c>
      <c r="G598" s="2325">
        <v>101.1283</v>
      </c>
      <c r="H598" s="2326">
        <v>107.5</v>
      </c>
      <c r="I598" s="3502">
        <v>103.88809523809526</v>
      </c>
      <c r="J598" s="2326">
        <v>210.02380952380952</v>
      </c>
      <c r="K598" s="2326">
        <v>207.52238095238101</v>
      </c>
      <c r="L598" s="2329">
        <v>215.98</v>
      </c>
      <c r="M598" s="1029">
        <v>163.93212285210089</v>
      </c>
      <c r="N598" s="1026">
        <v>162.8331764077281</v>
      </c>
      <c r="O598" s="3363">
        <v>281.14800000000002</v>
      </c>
      <c r="P598" s="2322">
        <v>246.453</v>
      </c>
      <c r="Q598" s="1147"/>
      <c r="R598" s="1147"/>
    </row>
    <row r="599" spans="1:18">
      <c r="A599" s="2202">
        <f t="shared" si="2"/>
        <v>2022.02</v>
      </c>
      <c r="B599" s="2324">
        <v>115.0057</v>
      </c>
      <c r="C599" s="3269">
        <v>107.7568</v>
      </c>
      <c r="D599" s="2325">
        <v>124.0419</v>
      </c>
      <c r="E599" s="2326">
        <v>109.7754</v>
      </c>
      <c r="F599" s="3269">
        <v>119.2681</v>
      </c>
      <c r="G599" s="2325">
        <v>101.0115</v>
      </c>
      <c r="H599" s="2326">
        <v>110</v>
      </c>
      <c r="I599" s="3502">
        <v>106.20473684210526</v>
      </c>
      <c r="J599" s="2326">
        <v>211.68421052631578</v>
      </c>
      <c r="K599" s="2326">
        <v>204.91263157894741</v>
      </c>
      <c r="L599" s="2329">
        <v>211.79210526315791</v>
      </c>
      <c r="M599" s="1029">
        <v>163.065</v>
      </c>
      <c r="N599" s="1026">
        <v>163.47949848782289</v>
      </c>
      <c r="O599" s="3363">
        <v>283.71600000000001</v>
      </c>
      <c r="P599" s="2322">
        <v>252.66</v>
      </c>
      <c r="Q599" s="1147"/>
      <c r="R599" s="1147"/>
    </row>
    <row r="600" spans="1:18">
      <c r="A600" s="2202">
        <f t="shared" si="2"/>
        <v>2022.03</v>
      </c>
      <c r="B600" s="2324">
        <v>116.2984</v>
      </c>
      <c r="C600" s="3269">
        <v>109.6053</v>
      </c>
      <c r="D600" s="2325">
        <v>124.7578</v>
      </c>
      <c r="E600" s="2326">
        <v>110.9932</v>
      </c>
      <c r="F600" s="3269">
        <v>121.09610000000001</v>
      </c>
      <c r="G600" s="2325">
        <v>101.736</v>
      </c>
      <c r="H600" s="2326">
        <v>113.5</v>
      </c>
      <c r="I600" s="3502">
        <v>109.35523809523811</v>
      </c>
      <c r="J600" s="2326">
        <v>199.67</v>
      </c>
      <c r="K600" s="2329">
        <v>194.67388888888891</v>
      </c>
      <c r="L600" s="2329">
        <v>196.14</v>
      </c>
      <c r="M600" s="1029">
        <v>168</v>
      </c>
      <c r="N600" s="1026">
        <v>168.94</v>
      </c>
      <c r="O600" s="3363">
        <v>287.50400000000002</v>
      </c>
      <c r="P600" s="2322">
        <v>260.01400000000001</v>
      </c>
      <c r="Q600" s="1147"/>
      <c r="R600" s="1147"/>
    </row>
    <row r="601" spans="1:18">
      <c r="A601" s="2202">
        <f t="shared" si="2"/>
        <v>2022.04</v>
      </c>
      <c r="B601" s="2324">
        <v>117.17019999999999</v>
      </c>
      <c r="C601" s="3269">
        <v>111.5351</v>
      </c>
      <c r="D601" s="2325">
        <v>124.53100000000001</v>
      </c>
      <c r="E601" s="2326">
        <v>111.5998</v>
      </c>
      <c r="F601" s="3269">
        <v>123.16070000000001</v>
      </c>
      <c r="G601" s="2325">
        <v>101.20820000000001</v>
      </c>
      <c r="H601" s="2326">
        <v>117</v>
      </c>
      <c r="I601" s="3502">
        <v>113.23736842105264</v>
      </c>
      <c r="J601" s="2326">
        <v>197.73684210526315</v>
      </c>
      <c r="K601" s="2329">
        <v>197.12157894736839</v>
      </c>
      <c r="L601" s="2329">
        <v>197.3915789473684</v>
      </c>
      <c r="M601" s="1029">
        <v>176.75054549597519</v>
      </c>
      <c r="N601" s="1026">
        <v>174.07208554910011</v>
      </c>
      <c r="O601" s="3363">
        <v>289.10899999999998</v>
      </c>
      <c r="P601" s="2322">
        <v>265.31</v>
      </c>
      <c r="Q601" s="1147"/>
      <c r="R601" s="1147"/>
    </row>
    <row r="602" spans="1:18">
      <c r="A602" s="2202">
        <f t="shared" si="2"/>
        <v>2022.05</v>
      </c>
      <c r="B602" s="2324">
        <v>119.6926</v>
      </c>
      <c r="C602" s="3269">
        <v>114.253</v>
      </c>
      <c r="D602" s="2325">
        <v>126.8835</v>
      </c>
      <c r="E602" s="2326">
        <v>114.24299999999999</v>
      </c>
      <c r="F602" s="3269">
        <v>126.3387</v>
      </c>
      <c r="G602" s="2325">
        <v>103.4062</v>
      </c>
      <c r="H602" s="2326">
        <v>122.6</v>
      </c>
      <c r="I602" s="3502">
        <v>117.67449999999999</v>
      </c>
      <c r="J602" s="2326">
        <v>202.35</v>
      </c>
      <c r="K602" s="2329">
        <v>208.68450000000001</v>
      </c>
      <c r="L602" s="2329">
        <v>210.25</v>
      </c>
      <c r="M602" s="1029">
        <v>186.85</v>
      </c>
      <c r="N602" s="1026">
        <v>187.37967602311491</v>
      </c>
      <c r="O602" s="3363">
        <v>292.29599999999999</v>
      </c>
      <c r="P602" s="2322">
        <v>273.25099999999998</v>
      </c>
      <c r="Q602" s="1147"/>
      <c r="R602" s="1147"/>
    </row>
    <row r="603" spans="1:18">
      <c r="A603" s="2202">
        <f t="shared" si="2"/>
        <v>2022.06</v>
      </c>
      <c r="B603" s="2324">
        <v>120.0269</v>
      </c>
      <c r="C603" s="3269">
        <v>114.6669</v>
      </c>
      <c r="D603" s="2325">
        <v>127.1401</v>
      </c>
      <c r="E603" s="2326">
        <v>115.23520000000001</v>
      </c>
      <c r="F603" s="3269">
        <v>127.5638</v>
      </c>
      <c r="G603" s="2325">
        <v>104.2071</v>
      </c>
      <c r="H603" s="2326">
        <v>127</v>
      </c>
      <c r="I603" s="3502">
        <v>122.64250000000001</v>
      </c>
      <c r="J603" s="2326">
        <v>216.45</v>
      </c>
      <c r="K603" s="2329">
        <v>225.95599999999999</v>
      </c>
      <c r="L603" s="2329">
        <v>231.15100000000001</v>
      </c>
      <c r="M603" s="1029">
        <v>197.5</v>
      </c>
      <c r="N603" s="1026">
        <v>200.19710119463781</v>
      </c>
      <c r="O603" s="3363">
        <v>296.31099999999998</v>
      </c>
      <c r="P603" s="2322">
        <v>280.25099999999998</v>
      </c>
      <c r="Q603" s="1147"/>
      <c r="R603" s="1147"/>
    </row>
    <row r="604" spans="1:18">
      <c r="A604" s="2202">
        <f t="shared" si="2"/>
        <v>2022.07</v>
      </c>
      <c r="B604" s="2324">
        <v>122.76090000000001</v>
      </c>
      <c r="C604" s="3269">
        <v>117.5436</v>
      </c>
      <c r="D604" s="2325">
        <v>129.7638</v>
      </c>
      <c r="E604" s="2326">
        <v>117.246</v>
      </c>
      <c r="F604" s="3269">
        <v>130.1969</v>
      </c>
      <c r="G604" s="2325">
        <v>105.717</v>
      </c>
      <c r="H604" s="2326">
        <v>135</v>
      </c>
      <c r="I604" s="3502">
        <v>128.45189999999999</v>
      </c>
      <c r="J604" s="2326">
        <v>285.89999999999998</v>
      </c>
      <c r="K604" s="2329">
        <v>292.02999999999997</v>
      </c>
      <c r="L604" s="2329">
        <v>302.50619047619051</v>
      </c>
      <c r="M604" s="1029">
        <v>228.29</v>
      </c>
      <c r="N604" s="1026">
        <v>231.16046930442991</v>
      </c>
      <c r="O604" s="3363">
        <v>296.27600000000001</v>
      </c>
      <c r="P604" s="2322">
        <v>272.274</v>
      </c>
      <c r="Q604" s="1147"/>
      <c r="R604" s="1147"/>
    </row>
    <row r="605" spans="1:18">
      <c r="A605" s="2202">
        <f t="shared" si="2"/>
        <v>2022.08</v>
      </c>
      <c r="B605" s="2324">
        <v>122.3262</v>
      </c>
      <c r="C605" s="3269">
        <v>117.414</v>
      </c>
      <c r="D605" s="2325">
        <v>129.01240000000001</v>
      </c>
      <c r="E605" s="2326">
        <v>116.6833</v>
      </c>
      <c r="F605" s="3269">
        <v>129.7054</v>
      </c>
      <c r="G605" s="2325">
        <v>105.1091</v>
      </c>
      <c r="H605" s="2326">
        <v>142.80000000000001</v>
      </c>
      <c r="I605" s="3502">
        <v>135.20409090000001</v>
      </c>
      <c r="J605" s="2326">
        <v>289.11363636363637</v>
      </c>
      <c r="K605" s="2329">
        <v>282.38272727272732</v>
      </c>
      <c r="L605" s="2329">
        <v>290.83333333333331</v>
      </c>
      <c r="M605" s="1029">
        <v>237.91249999999999</v>
      </c>
      <c r="N605" s="1026">
        <v>239.0929152370652</v>
      </c>
      <c r="O605" s="3363">
        <v>296.17099999999999</v>
      </c>
      <c r="P605" s="2322">
        <v>269.54599999999999</v>
      </c>
      <c r="Q605" s="1147"/>
      <c r="R605" s="1147"/>
    </row>
    <row r="606" spans="1:18">
      <c r="A606" s="2202">
        <f t="shared" si="2"/>
        <v>2022.09</v>
      </c>
      <c r="B606" s="2324">
        <v>125.59990000000001</v>
      </c>
      <c r="C606" s="3269">
        <v>121.3802</v>
      </c>
      <c r="D606" s="2325">
        <v>131.62780000000001</v>
      </c>
      <c r="E606" s="2326">
        <v>119.5414</v>
      </c>
      <c r="F606" s="3269">
        <v>133.62710000000001</v>
      </c>
      <c r="G606" s="2325">
        <v>107.12560000000001</v>
      </c>
      <c r="H606" s="2326">
        <v>150.30000000000001</v>
      </c>
      <c r="I606" s="3502">
        <v>143.346</v>
      </c>
      <c r="J606" s="2326">
        <v>279.73913043478262</v>
      </c>
      <c r="K606" s="2329">
        <v>286.21136363636361</v>
      </c>
      <c r="L606" s="2329">
        <v>296.58363636363629</v>
      </c>
      <c r="M606" s="1029">
        <v>269.2</v>
      </c>
      <c r="N606" s="1026">
        <v>268.68874224102473</v>
      </c>
      <c r="O606" s="3363">
        <v>296.80799999999999</v>
      </c>
      <c r="P606" s="2322">
        <v>267.89800000000002</v>
      </c>
      <c r="Q606" s="1147"/>
      <c r="R606" s="1147"/>
    </row>
    <row r="607" spans="1:18">
      <c r="A607" s="2202">
        <f t="shared" si="2"/>
        <v>2022.1</v>
      </c>
      <c r="B607" s="2324">
        <v>127.4828</v>
      </c>
      <c r="C607" s="3269">
        <v>123.15989999999999</v>
      </c>
      <c r="D607" s="2325">
        <v>133.6421</v>
      </c>
      <c r="E607" s="2326">
        <v>121.1322</v>
      </c>
      <c r="F607" s="3269">
        <v>135.04910000000001</v>
      </c>
      <c r="G607" s="2325">
        <v>108.81740000000001</v>
      </c>
      <c r="H607" s="2326">
        <v>159.4</v>
      </c>
      <c r="I607" s="3502">
        <v>152.48947368421051</v>
      </c>
      <c r="J607" s="2326">
        <v>286.15789473684208</v>
      </c>
      <c r="K607" s="2329">
        <v>294.46947368421053</v>
      </c>
      <c r="L607" s="2329">
        <v>307.18105263157901</v>
      </c>
      <c r="M607" s="1029">
        <v>284.39999999999998</v>
      </c>
      <c r="N607" s="1026">
        <v>290.98362148150602</v>
      </c>
      <c r="O607" s="3363">
        <v>298.012</v>
      </c>
      <c r="P607" s="2322">
        <v>265.06099999999998</v>
      </c>
      <c r="Q607" s="1147"/>
      <c r="R607" s="1147"/>
    </row>
    <row r="608" spans="1:18">
      <c r="A608" s="2202">
        <f t="shared" si="2"/>
        <v>2022.11</v>
      </c>
      <c r="B608" s="2324">
        <v>124.8627</v>
      </c>
      <c r="C608" s="3269">
        <v>119.6758</v>
      </c>
      <c r="D608" s="2325">
        <v>131.86529999999999</v>
      </c>
      <c r="E608" s="2326">
        <v>118.5419</v>
      </c>
      <c r="F608" s="3269">
        <v>131.00630000000001</v>
      </c>
      <c r="G608" s="2325">
        <v>107.36320000000001</v>
      </c>
      <c r="H608" s="2326">
        <v>170.1</v>
      </c>
      <c r="I608" s="3502">
        <v>162.02333333333334</v>
      </c>
      <c r="J608" s="2326">
        <v>300.26086956521738</v>
      </c>
      <c r="K608" s="2329">
        <v>303.54619047619047</v>
      </c>
      <c r="L608" s="2329">
        <v>316.28619047619048</v>
      </c>
      <c r="M608" s="1029">
        <v>301.5288111500372</v>
      </c>
      <c r="N608" s="1026">
        <v>309.36834163881048</v>
      </c>
      <c r="O608" s="3363">
        <v>297.71100000000001</v>
      </c>
      <c r="P608" s="2322">
        <v>263.15699999999998</v>
      </c>
      <c r="Q608" s="1147"/>
      <c r="R608" s="1147"/>
    </row>
    <row r="609" spans="1:22">
      <c r="A609" s="2202">
        <f t="shared" si="2"/>
        <v>2022.12</v>
      </c>
      <c r="B609" s="2324">
        <v>122.24760000000001</v>
      </c>
      <c r="C609" s="3269">
        <v>116.5498</v>
      </c>
      <c r="D609" s="2325">
        <v>129.73910000000001</v>
      </c>
      <c r="E609" s="2326">
        <v>116.0672</v>
      </c>
      <c r="F609" s="3269">
        <v>127.6938</v>
      </c>
      <c r="G609" s="2325">
        <v>105.56399999999999</v>
      </c>
      <c r="H609" s="2326">
        <v>180.1</v>
      </c>
      <c r="I609" s="3502">
        <v>172.69686842105264</v>
      </c>
      <c r="J609" s="2326">
        <v>325.85000000000002</v>
      </c>
      <c r="K609" s="2329">
        <v>324.92450000000002</v>
      </c>
      <c r="L609" s="2329">
        <v>334.37849999999997</v>
      </c>
      <c r="M609" s="1029">
        <v>328.32</v>
      </c>
      <c r="N609" s="1026">
        <v>331.01</v>
      </c>
      <c r="O609" s="3363">
        <v>296.79700000000003</v>
      </c>
      <c r="P609" s="2322">
        <v>257.89699999999999</v>
      </c>
      <c r="Q609" s="1147"/>
      <c r="R609" s="1147"/>
      <c r="S609" s="2204"/>
      <c r="T609" s="2204"/>
      <c r="U609" s="2204"/>
      <c r="V609" s="2204"/>
    </row>
    <row r="610" spans="1:22">
      <c r="A610" s="2202">
        <f t="shared" si="2"/>
        <v>2023.01</v>
      </c>
      <c r="B610" s="2324">
        <v>119.8133</v>
      </c>
      <c r="C610" s="3269">
        <v>114.7033</v>
      </c>
      <c r="D610" s="2325">
        <v>126.6658</v>
      </c>
      <c r="E610" s="2326">
        <v>113.9868</v>
      </c>
      <c r="F610" s="3269">
        <v>125.83799999999999</v>
      </c>
      <c r="G610" s="2325">
        <v>103.3398</v>
      </c>
      <c r="H610" s="2326">
        <v>190</v>
      </c>
      <c r="I610" s="3502">
        <v>182.14454545454544</v>
      </c>
      <c r="J610" s="2326">
        <v>366.19</v>
      </c>
      <c r="K610" s="2329">
        <v>341.09636363636372</v>
      </c>
      <c r="L610" s="2329">
        <v>352.65090909090912</v>
      </c>
      <c r="M610" s="1029">
        <v>357.96</v>
      </c>
      <c r="N610" s="1026">
        <v>367.37635146951061</v>
      </c>
      <c r="O610" s="3363">
        <v>299.17</v>
      </c>
      <c r="P610" s="2322">
        <v>260.22699999999998</v>
      </c>
      <c r="Q610" s="1147"/>
      <c r="R610" s="1147"/>
      <c r="S610" s="2204"/>
      <c r="T610" s="2204"/>
      <c r="U610" s="2204"/>
      <c r="V610" s="2204"/>
    </row>
    <row r="611" spans="1:22">
      <c r="A611" s="2202">
        <f t="shared" si="2"/>
        <v>2023.02</v>
      </c>
      <c r="B611" s="2324">
        <v>120.3366</v>
      </c>
      <c r="C611" s="3269">
        <v>115.553</v>
      </c>
      <c r="D611" s="2325">
        <v>126.8622</v>
      </c>
      <c r="E611" s="2326">
        <v>114.5506</v>
      </c>
      <c r="F611" s="3269">
        <v>126.7649</v>
      </c>
      <c r="G611" s="2325">
        <v>103.61879999999999</v>
      </c>
      <c r="H611" s="2326">
        <v>200</v>
      </c>
      <c r="I611" s="3502">
        <v>191.78777777777779</v>
      </c>
      <c r="J611" s="2326">
        <v>375.94</v>
      </c>
      <c r="K611" s="2329">
        <v>355.57888888888891</v>
      </c>
      <c r="L611" s="2329">
        <v>367.80888888888887</v>
      </c>
      <c r="M611" s="1029">
        <v>409</v>
      </c>
      <c r="N611" s="1026">
        <v>421.45002642620739</v>
      </c>
      <c r="O611" s="3363">
        <v>300.83999999999997</v>
      </c>
      <c r="P611" s="2322">
        <v>258.66899999999998</v>
      </c>
      <c r="Q611" s="1147"/>
      <c r="R611" s="1147"/>
      <c r="S611" s="2204"/>
      <c r="T611" s="2204"/>
      <c r="U611" s="2204"/>
      <c r="V611" s="2204"/>
    </row>
    <row r="612" spans="1:22">
      <c r="A612" s="2202">
        <f t="shared" si="2"/>
        <v>2023.03</v>
      </c>
      <c r="B612" s="3269">
        <v>120.80710000000001</v>
      </c>
      <c r="C612" s="3269">
        <v>116.1593</v>
      </c>
      <c r="D612" s="2325">
        <v>127.2021</v>
      </c>
      <c r="E612" s="2326">
        <v>114.75709999999999</v>
      </c>
      <c r="F612" s="3269">
        <v>127.17529999999999</v>
      </c>
      <c r="G612" s="2325">
        <v>103.6674</v>
      </c>
      <c r="H612" s="2326">
        <v>211</v>
      </c>
      <c r="I612" s="3502">
        <v>202.95090909090911</v>
      </c>
      <c r="J612" s="2326">
        <v>380.195652173913</v>
      </c>
      <c r="K612" s="2326">
        <v>379.08954545454537</v>
      </c>
      <c r="L612" s="2326">
        <v>390.34318181818179</v>
      </c>
      <c r="M612" s="1029">
        <v>455</v>
      </c>
      <c r="N612" s="1026">
        <v>466.08416334371873</v>
      </c>
      <c r="O612" s="3363">
        <v>301.83600000000001</v>
      </c>
      <c r="P612" s="2322">
        <v>257.06200000000001</v>
      </c>
      <c r="Q612" s="1147"/>
      <c r="R612" s="1147"/>
      <c r="S612" s="2204"/>
      <c r="T612" s="2204"/>
      <c r="U612" s="2204"/>
      <c r="V612" s="2204"/>
    </row>
    <row r="613" spans="1:22">
      <c r="A613" s="2202">
        <f t="shared" si="2"/>
        <v>2023.04</v>
      </c>
      <c r="B613" s="2324">
        <v>119.37439999999999</v>
      </c>
      <c r="C613" s="3269">
        <v>114.0521</v>
      </c>
      <c r="D613" s="2325">
        <v>126.43980000000001</v>
      </c>
      <c r="E613" s="2326">
        <v>113.54089999999999</v>
      </c>
      <c r="F613" s="3269">
        <v>124.9631</v>
      </c>
      <c r="G613" s="2325">
        <v>103.2289</v>
      </c>
      <c r="H613" s="2326">
        <v>225</v>
      </c>
      <c r="I613" s="3500">
        <v>216.36611111111114</v>
      </c>
      <c r="J613" s="338">
        <v>419.79411764705878</v>
      </c>
      <c r="K613" s="2329">
        <v>413.42888888888888</v>
      </c>
      <c r="L613" s="2329">
        <v>427.54611111111109</v>
      </c>
      <c r="M613" s="1029">
        <v>616.5</v>
      </c>
      <c r="N613" s="1026">
        <v>617.53683170912586</v>
      </c>
      <c r="O613" s="3363">
        <v>303.363</v>
      </c>
      <c r="P613" s="2322">
        <v>256.90800000000002</v>
      </c>
      <c r="Q613" s="1147"/>
      <c r="R613" s="1147"/>
      <c r="S613" s="2204"/>
      <c r="T613" s="2204"/>
      <c r="U613" s="2204"/>
      <c r="V613" s="2204"/>
    </row>
    <row r="614" spans="1:22">
      <c r="A614" s="2202">
        <f t="shared" si="2"/>
        <v>2023.05</v>
      </c>
      <c r="B614" s="2324">
        <v>119.79559999999999</v>
      </c>
      <c r="C614" s="3269">
        <v>114.874</v>
      </c>
      <c r="D614" s="2325">
        <v>126.45529999999999</v>
      </c>
      <c r="E614" s="2326">
        <v>113.9209</v>
      </c>
      <c r="F614" s="3269">
        <v>125.90170000000001</v>
      </c>
      <c r="G614" s="2325">
        <v>103.1758</v>
      </c>
      <c r="H614" s="2326">
        <v>244</v>
      </c>
      <c r="I614" s="3502">
        <v>231.00750000000002</v>
      </c>
      <c r="J614" s="338">
        <v>477.72727272727275</v>
      </c>
      <c r="K614" s="2329">
        <v>446.26299999999998</v>
      </c>
      <c r="L614" s="2329">
        <v>474.1395</v>
      </c>
      <c r="M614" s="1029">
        <v>659.5</v>
      </c>
      <c r="N614" s="1026">
        <v>701.31</v>
      </c>
      <c r="O614" s="3363">
        <v>304.12700000000001</v>
      </c>
      <c r="P614" s="2322">
        <v>253.67</v>
      </c>
      <c r="Q614" s="1147"/>
      <c r="R614" s="1147"/>
      <c r="S614" s="2204"/>
      <c r="T614" s="2204"/>
      <c r="U614" s="2204"/>
      <c r="V614" s="2204"/>
    </row>
    <row r="615" spans="1:22">
      <c r="A615" s="2202">
        <f t="shared" si="2"/>
        <v>2023.06</v>
      </c>
      <c r="B615" s="2324">
        <v>119.5789</v>
      </c>
      <c r="C615" s="3269">
        <v>114.7334</v>
      </c>
      <c r="D615" s="2325">
        <v>126.15779999999999</v>
      </c>
      <c r="E615" s="2326">
        <v>113.7544</v>
      </c>
      <c r="F615" s="3269">
        <v>125.78270000000001</v>
      </c>
      <c r="G615" s="2325">
        <v>102.9756</v>
      </c>
      <c r="H615" s="2326">
        <v>265</v>
      </c>
      <c r="I615" s="3500">
        <v>248.57499999999999</v>
      </c>
      <c r="J615" s="338">
        <v>487.61904761904759</v>
      </c>
      <c r="K615" s="2329">
        <v>475.976</v>
      </c>
      <c r="L615" s="2329">
        <v>503.702</v>
      </c>
      <c r="M615" s="1029">
        <v>690.92499999999995</v>
      </c>
      <c r="N615" s="1026">
        <v>725.06230557511719</v>
      </c>
      <c r="O615" s="3363">
        <v>305.10899999999998</v>
      </c>
      <c r="P615" s="2322">
        <v>253.86</v>
      </c>
      <c r="Q615" s="1147"/>
      <c r="R615" s="1147"/>
      <c r="S615" s="1147"/>
      <c r="T615" s="2204"/>
      <c r="U615" s="2204"/>
      <c r="V615" s="2204"/>
    </row>
    <row r="616" spans="1:22">
      <c r="A616" s="2202">
        <f t="shared" si="2"/>
        <v>2023.07</v>
      </c>
      <c r="B616" s="2324">
        <v>118.4119</v>
      </c>
      <c r="C616" s="3269">
        <v>113.0386</v>
      </c>
      <c r="D616" s="2325">
        <v>125.518</v>
      </c>
      <c r="E616" s="2326">
        <v>112.4564</v>
      </c>
      <c r="F616" s="3269">
        <v>123.7337</v>
      </c>
      <c r="G616" s="2325">
        <v>102.2704</v>
      </c>
      <c r="H616" s="2326">
        <v>284</v>
      </c>
      <c r="I616" s="3500">
        <v>266.22619047619048</v>
      </c>
      <c r="J616" s="338">
        <v>515.02499999999998</v>
      </c>
      <c r="K616" s="2329">
        <v>491.28571428571428</v>
      </c>
      <c r="L616" s="2329">
        <v>528.00428571428574</v>
      </c>
      <c r="M616" s="1029">
        <v>740.28</v>
      </c>
      <c r="N616" s="1026">
        <v>787.56791560804925</v>
      </c>
      <c r="O616" s="3363">
        <v>305.69099999999997</v>
      </c>
      <c r="P616" s="2322">
        <v>253.83500000000001</v>
      </c>
      <c r="Q616" s="1147"/>
      <c r="R616" s="1147"/>
      <c r="S616" s="1147"/>
      <c r="T616" s="2204"/>
      <c r="U616" s="2204"/>
      <c r="V616" s="2204"/>
    </row>
    <row r="617" spans="1:22">
      <c r="A617" s="2202">
        <f t="shared" si="2"/>
        <v>2023.08</v>
      </c>
      <c r="B617" s="2324">
        <v>120.21769999999999</v>
      </c>
      <c r="C617" s="3269">
        <v>115.05459999999999</v>
      </c>
      <c r="D617" s="2325">
        <v>127.1309</v>
      </c>
      <c r="E617" s="2326">
        <v>114.0793</v>
      </c>
      <c r="F617" s="3269">
        <v>126.0262</v>
      </c>
      <c r="G617" s="2325">
        <v>103.358</v>
      </c>
      <c r="H617" s="2326">
        <v>357</v>
      </c>
      <c r="I617" s="3500">
        <v>321.75227272727273</v>
      </c>
      <c r="J617" s="338">
        <v>672.83333333333326</v>
      </c>
      <c r="K617" s="2329">
        <v>603.40909090909088</v>
      </c>
      <c r="L617" s="2329">
        <v>683.66727272727269</v>
      </c>
      <c r="M617" s="1029">
        <v>975.50122448137404</v>
      </c>
      <c r="N617" s="1026">
        <v>1000.724810631316</v>
      </c>
      <c r="O617" s="3363">
        <v>307.02600000000001</v>
      </c>
      <c r="P617" s="2322">
        <v>257.68</v>
      </c>
      <c r="Q617" s="1147"/>
      <c r="R617" s="1147"/>
      <c r="S617" s="1147"/>
      <c r="T617" s="2204"/>
      <c r="U617" s="2204"/>
      <c r="V617" s="2204"/>
    </row>
    <row r="618" spans="1:22">
      <c r="A618" s="2202">
        <f t="shared" si="2"/>
        <v>2023.09</v>
      </c>
      <c r="B618" s="2324">
        <v>121.98269999999999</v>
      </c>
      <c r="C618" s="3269">
        <v>117.04179999999999</v>
      </c>
      <c r="D618" s="2325">
        <v>128.69120000000001</v>
      </c>
      <c r="E618" s="2326">
        <v>115.7927</v>
      </c>
      <c r="F618" s="3269">
        <v>128.2878</v>
      </c>
      <c r="G618" s="2325">
        <v>104.62949999999999</v>
      </c>
      <c r="H618" s="2326">
        <v>357</v>
      </c>
      <c r="I618" s="3500">
        <v>349.50476190476195</v>
      </c>
      <c r="J618" s="338">
        <v>734.96428571428567</v>
      </c>
      <c r="K618" s="2329">
        <v>679.92619047619053</v>
      </c>
      <c r="L618" s="2329">
        <v>758.36571428571426</v>
      </c>
      <c r="M618" s="1029">
        <v>1074.76</v>
      </c>
      <c r="N618" s="1026">
        <v>1116.653410078464</v>
      </c>
      <c r="O618" s="3363">
        <v>307.78899999999999</v>
      </c>
      <c r="P618" s="2322">
        <v>258.93400000000003</v>
      </c>
      <c r="Q618" s="1147"/>
      <c r="R618" s="1147"/>
      <c r="S618" s="1147"/>
      <c r="T618" s="2204"/>
      <c r="U618" s="2204"/>
      <c r="V618" s="2204"/>
    </row>
    <row r="619" spans="1:22">
      <c r="A619" s="2202">
        <f t="shared" si="2"/>
        <v>2023.1</v>
      </c>
      <c r="B619" s="2324">
        <v>123.7914</v>
      </c>
      <c r="C619" s="3269">
        <v>118.3751</v>
      </c>
      <c r="D619" s="2325">
        <v>131.01249999999999</v>
      </c>
      <c r="E619" s="2326">
        <v>117.4268</v>
      </c>
      <c r="F619" s="3269">
        <v>129.8819</v>
      </c>
      <c r="G619" s="2325">
        <v>106.2706</v>
      </c>
      <c r="H619" s="2326">
        <v>358</v>
      </c>
      <c r="I619" s="3500">
        <v>349.51666666666659</v>
      </c>
      <c r="J619" s="338">
        <v>932.4</v>
      </c>
      <c r="K619" s="2329">
        <v>837.25149999999996</v>
      </c>
      <c r="L619" s="2329">
        <v>912.36149999999998</v>
      </c>
      <c r="M619" s="1029">
        <v>1204.9000000000001</v>
      </c>
      <c r="N619" s="1026">
        <v>1215.5</v>
      </c>
      <c r="O619" s="3363">
        <v>307.67099999999999</v>
      </c>
      <c r="P619" s="2322">
        <v>255.19200000000001</v>
      </c>
      <c r="Q619" s="1147"/>
      <c r="R619" s="1147"/>
      <c r="S619" s="1147"/>
      <c r="T619" s="2204"/>
      <c r="U619" s="2204"/>
      <c r="V619" s="2204"/>
    </row>
    <row r="620" spans="1:22">
      <c r="A620" s="2202">
        <f t="shared" si="2"/>
        <v>2023.11</v>
      </c>
      <c r="B620" s="2324">
        <v>121.5369</v>
      </c>
      <c r="C620" s="3269">
        <v>116.73269999999999</v>
      </c>
      <c r="D620" s="2325">
        <v>128.09950000000001</v>
      </c>
      <c r="E620" s="2326">
        <v>115.4178</v>
      </c>
      <c r="F620" s="3269">
        <v>128.20330000000001</v>
      </c>
      <c r="G620" s="2325">
        <v>104.0403</v>
      </c>
      <c r="H620" s="2326">
        <v>368</v>
      </c>
      <c r="I620" s="3500">
        <v>353.3175</v>
      </c>
      <c r="J620" s="338">
        <v>931.75</v>
      </c>
      <c r="K620" s="2329">
        <v>884.04399999999998</v>
      </c>
      <c r="L620" s="2329">
        <v>875.54200000000003</v>
      </c>
      <c r="M620" s="1029">
        <v>1576</v>
      </c>
      <c r="N620" s="1026">
        <v>1652</v>
      </c>
      <c r="O620" s="3363">
        <v>307.05099999999999</v>
      </c>
      <c r="P620" s="2322">
        <v>252.85599999999999</v>
      </c>
      <c r="Q620" s="1147"/>
      <c r="R620" s="1147"/>
      <c r="S620" s="1147"/>
      <c r="T620" s="2204"/>
      <c r="U620" s="2204"/>
      <c r="V620" s="2204"/>
    </row>
    <row r="621" spans="1:22">
      <c r="A621" s="2202">
        <f t="shared" si="2"/>
        <v>2023.12</v>
      </c>
      <c r="B621" s="2324">
        <v>120.1585</v>
      </c>
      <c r="C621" s="3269">
        <v>114.60509999999999</v>
      </c>
      <c r="D621" s="2325">
        <v>127.47499999999999</v>
      </c>
      <c r="E621" s="2326">
        <v>113.8544</v>
      </c>
      <c r="F621" s="3269">
        <v>125.8472</v>
      </c>
      <c r="G621" s="2325">
        <v>103.1011</v>
      </c>
      <c r="H621" s="2326">
        <v>808</v>
      </c>
      <c r="I621" s="3500">
        <v>641.93947368421061</v>
      </c>
      <c r="J621" s="338">
        <v>960</v>
      </c>
      <c r="K621" s="2329">
        <v>965.09052631578948</v>
      </c>
      <c r="L621" s="2329">
        <v>952.57052631578949</v>
      </c>
      <c r="M621" s="1029">
        <v>1699.9649999999999</v>
      </c>
      <c r="N621" s="1026">
        <v>1779.9040396687319</v>
      </c>
      <c r="O621" s="3363">
        <v>306.74599999999998</v>
      </c>
      <c r="P621" s="2322">
        <v>249.86600000000001</v>
      </c>
      <c r="Q621" s="1147"/>
      <c r="R621" s="1147"/>
      <c r="S621" s="2204"/>
      <c r="T621" s="2204"/>
      <c r="U621" s="2204"/>
      <c r="V621" s="2204"/>
    </row>
    <row r="622" spans="1:22">
      <c r="A622" s="2202">
        <f t="shared" si="2"/>
        <v>2024.01</v>
      </c>
      <c r="B622" s="2324">
        <v>120.57689999999999</v>
      </c>
      <c r="C622" s="3269">
        <v>114.81619999999999</v>
      </c>
      <c r="D622" s="2325">
        <v>128.11150000000001</v>
      </c>
      <c r="E622" s="2326">
        <v>114.1752</v>
      </c>
      <c r="F622" s="3269">
        <v>126.32389999999999</v>
      </c>
      <c r="G622" s="2325">
        <v>103.2987</v>
      </c>
      <c r="H622" s="2326">
        <v>846</v>
      </c>
      <c r="I622" s="3500">
        <v>816.81363636363642</v>
      </c>
      <c r="J622" s="338">
        <v>1141.8</v>
      </c>
      <c r="K622" s="2329">
        <v>1161.755454545455</v>
      </c>
      <c r="L622" s="2329">
        <v>1208.052272727273</v>
      </c>
      <c r="M622" s="1029">
        <v>1770</v>
      </c>
      <c r="N622" s="1026">
        <v>1886</v>
      </c>
      <c r="O622" s="3363">
        <v>308.41699999999997</v>
      </c>
      <c r="P622" s="2322">
        <v>251.30600000000001</v>
      </c>
      <c r="Q622" s="1147"/>
      <c r="R622" s="1147"/>
      <c r="S622" s="2204"/>
      <c r="T622" s="2204"/>
      <c r="U622" s="2204"/>
      <c r="V622" s="2204"/>
    </row>
    <row r="623" spans="1:22">
      <c r="A623" s="2202">
        <f t="shared" si="2"/>
        <v>2024.02</v>
      </c>
      <c r="B623" s="2324">
        <v>121.41549999999999</v>
      </c>
      <c r="C623" s="3269">
        <v>116.0261</v>
      </c>
      <c r="D623" s="2325">
        <v>128.5771</v>
      </c>
      <c r="E623" s="2326">
        <v>115.0895</v>
      </c>
      <c r="F623" s="3269">
        <v>127.84990000000001</v>
      </c>
      <c r="G623" s="2325">
        <v>103.7359</v>
      </c>
      <c r="H623" s="2326">
        <v>858</v>
      </c>
      <c r="I623" s="3500">
        <v>833.38421052631577</v>
      </c>
      <c r="J623" s="338">
        <v>1081.354</v>
      </c>
      <c r="K623" s="2329">
        <v>1119.0231578947371</v>
      </c>
      <c r="L623" s="2329">
        <v>1169.542105263158</v>
      </c>
      <c r="M623" s="1029">
        <v>1805.66</v>
      </c>
      <c r="N623" s="1026">
        <v>1813.4281014331959</v>
      </c>
      <c r="O623" s="3363">
        <v>310.32600000000002</v>
      </c>
      <c r="P623" s="2322">
        <v>254.92599999999999</v>
      </c>
      <c r="Q623" s="1147"/>
      <c r="R623" s="1147"/>
      <c r="S623" s="2204"/>
      <c r="T623" s="2204"/>
      <c r="U623" s="2204"/>
      <c r="V623" s="2204"/>
    </row>
    <row r="624" spans="1:22">
      <c r="A624" s="2202">
        <f t="shared" ref="A624:A645" si="3">A612+1</f>
        <v>2024.03</v>
      </c>
      <c r="B624" s="2324">
        <v>121.04130000000001</v>
      </c>
      <c r="C624" s="3269">
        <v>115.7831</v>
      </c>
      <c r="D624" s="2325">
        <v>128.06290000000001</v>
      </c>
      <c r="E624" s="2326">
        <v>114.9481</v>
      </c>
      <c r="F624" s="3269">
        <v>127.7778</v>
      </c>
      <c r="G624" s="2325">
        <v>103.54430000000001</v>
      </c>
      <c r="H624" s="2326">
        <v>872</v>
      </c>
      <c r="I624" s="3500">
        <v>848.68421052631584</v>
      </c>
      <c r="J624" s="338">
        <v>1001.604</v>
      </c>
      <c r="K624" s="2329">
        <v>1019.846315789474</v>
      </c>
      <c r="L624" s="2329">
        <v>1068.118947368421</v>
      </c>
      <c r="M624" s="1029">
        <v>1628</v>
      </c>
      <c r="N624" s="1026">
        <v>1717.92</v>
      </c>
      <c r="O624" s="3363">
        <v>312.33199999999999</v>
      </c>
      <c r="P624" s="2322">
        <v>255.095</v>
      </c>
      <c r="Q624" s="1147"/>
      <c r="R624" s="1147"/>
      <c r="S624" s="2204"/>
      <c r="T624" s="2204"/>
      <c r="U624" s="2204"/>
      <c r="V624" s="1147"/>
    </row>
    <row r="625" spans="1:19">
      <c r="A625" s="2202">
        <f t="shared" si="3"/>
        <v>2024.04</v>
      </c>
      <c r="B625" s="2324">
        <v>122.5142</v>
      </c>
      <c r="C625" s="3269">
        <v>117.53959999999999</v>
      </c>
      <c r="D625" s="2325">
        <v>129.2645</v>
      </c>
      <c r="E625" s="2326">
        <v>116.3869</v>
      </c>
      <c r="F625" s="3269">
        <v>129.9066</v>
      </c>
      <c r="G625" s="2325">
        <v>104.4426</v>
      </c>
      <c r="H625" s="2326">
        <v>892</v>
      </c>
      <c r="I625" s="3500">
        <v>867.375</v>
      </c>
      <c r="J625" s="338">
        <v>1004.75</v>
      </c>
      <c r="K625" s="2329">
        <v>1014.0895</v>
      </c>
      <c r="L625" s="2329">
        <v>1062.904</v>
      </c>
      <c r="M625" s="1029">
        <v>1526</v>
      </c>
      <c r="N625" s="1026">
        <v>1568.3672172709339</v>
      </c>
      <c r="O625" s="3363">
        <v>313.548</v>
      </c>
      <c r="P625" s="2330">
        <v>256.97800000000001</v>
      </c>
      <c r="Q625" s="1147"/>
      <c r="R625" s="1147"/>
      <c r="S625" s="2204"/>
    </row>
    <row r="626" spans="1:19">
      <c r="A626" s="2202">
        <f t="shared" si="3"/>
        <v>2024.05</v>
      </c>
      <c r="B626" s="2324">
        <v>122.2444</v>
      </c>
      <c r="C626" s="3269">
        <v>117.1117</v>
      </c>
      <c r="D626" s="2325">
        <v>129.15289999999999</v>
      </c>
      <c r="E626" s="2326">
        <v>115.9387</v>
      </c>
      <c r="F626" s="3269">
        <v>129.16990000000001</v>
      </c>
      <c r="G626" s="2325">
        <v>104.2178</v>
      </c>
      <c r="H626" s="311">
        <v>905</v>
      </c>
      <c r="I626" s="3500">
        <v>885.2045454545455</v>
      </c>
      <c r="J626" s="338">
        <v>1119.5833333333333</v>
      </c>
      <c r="K626" s="2329">
        <v>1117.409545454545</v>
      </c>
      <c r="L626" s="2329">
        <v>1153.6072727272731</v>
      </c>
      <c r="M626" s="1029">
        <v>1429.3</v>
      </c>
      <c r="N626" s="1026">
        <v>1468.5</v>
      </c>
      <c r="O626" s="3363">
        <v>314.06900000000002</v>
      </c>
      <c r="P626" s="2330">
        <v>255.31299999999999</v>
      </c>
      <c r="Q626" s="1147"/>
      <c r="R626" s="1147"/>
      <c r="S626" s="2204"/>
    </row>
    <row r="627" spans="1:19">
      <c r="A627" s="2202">
        <f t="shared" si="3"/>
        <v>2024.06</v>
      </c>
      <c r="B627" s="2324">
        <v>124.0309</v>
      </c>
      <c r="C627" s="3269">
        <v>117.3398</v>
      </c>
      <c r="D627" s="2325">
        <v>132.58179999999999</v>
      </c>
      <c r="E627" s="2326">
        <v>117.3862</v>
      </c>
      <c r="F627" s="3269">
        <v>129.20699999999999</v>
      </c>
      <c r="G627" s="2325">
        <v>106.7159</v>
      </c>
      <c r="H627" s="2326">
        <v>922</v>
      </c>
      <c r="I627" s="3500">
        <v>902.32352941176475</v>
      </c>
      <c r="J627" s="338">
        <v>1278.6111111111111</v>
      </c>
      <c r="K627" s="2329">
        <v>1284.4064705882349</v>
      </c>
      <c r="L627" s="2329">
        <v>1305.784117647059</v>
      </c>
      <c r="M627" s="1029">
        <v>1429</v>
      </c>
      <c r="N627" s="1026">
        <v>1484</v>
      </c>
      <c r="O627" s="3363">
        <v>314.17500000000001</v>
      </c>
      <c r="P627" s="2330">
        <v>255.91399999999999</v>
      </c>
      <c r="Q627" s="1147"/>
      <c r="R627" s="1147"/>
      <c r="S627" s="2204"/>
    </row>
    <row r="628" spans="1:19">
      <c r="A628" s="2202">
        <f t="shared" si="3"/>
        <v>2024.07</v>
      </c>
      <c r="B628" s="2324">
        <v>123.7208</v>
      </c>
      <c r="C628" s="3269">
        <v>116.804</v>
      </c>
      <c r="D628" s="2325">
        <v>132.50579999999999</v>
      </c>
      <c r="E628" s="2326">
        <v>116.8321</v>
      </c>
      <c r="F628" s="3269">
        <v>128.4186</v>
      </c>
      <c r="G628" s="2325">
        <v>106.3496</v>
      </c>
      <c r="H628" s="2326">
        <v>942</v>
      </c>
      <c r="I628" s="3500">
        <v>922.13636363636363</v>
      </c>
      <c r="J628" s="338">
        <v>1416.0227272727275</v>
      </c>
      <c r="K628" s="2329">
        <v>1347.3986363636359</v>
      </c>
      <c r="L628" s="2329">
        <v>1350.154545454546</v>
      </c>
      <c r="M628" s="1029">
        <v>1405.4</v>
      </c>
      <c r="N628" s="1026">
        <v>1464.27602422226</v>
      </c>
      <c r="O628" s="3363">
        <v>314.54000000000002</v>
      </c>
      <c r="P628" s="2330">
        <v>257.32100000000003</v>
      </c>
      <c r="Q628" s="1147"/>
      <c r="R628" s="1147"/>
      <c r="S628" s="2204"/>
    </row>
    <row r="629" spans="1:19">
      <c r="A629" s="2202">
        <f t="shared" si="3"/>
        <v>2024.08</v>
      </c>
      <c r="B629" s="2324">
        <v>122.8802</v>
      </c>
      <c r="C629" s="3269">
        <v>114.60080000000001</v>
      </c>
      <c r="D629" s="2325">
        <v>133.11359999999999</v>
      </c>
      <c r="E629" s="2326">
        <v>116.1502</v>
      </c>
      <c r="F629" s="3269">
        <v>126.096</v>
      </c>
      <c r="G629" s="2325">
        <v>106.95569999999999</v>
      </c>
      <c r="H629" s="2326">
        <v>962</v>
      </c>
      <c r="I629" s="3500">
        <v>941.2954545454545</v>
      </c>
      <c r="J629" s="338">
        <v>1340.6818181818182</v>
      </c>
      <c r="K629" s="2329">
        <v>1295.3645454545449</v>
      </c>
      <c r="L629" s="2329">
        <v>1296.534090909091</v>
      </c>
      <c r="M629" s="1029">
        <v>1387.9</v>
      </c>
      <c r="N629" s="1026">
        <v>1407.5</v>
      </c>
      <c r="O629" s="3363">
        <v>314.79599999999999</v>
      </c>
      <c r="P629" s="2330">
        <v>255.46299999999999</v>
      </c>
      <c r="Q629" s="1147"/>
      <c r="R629" s="1147"/>
      <c r="S629" s="2204"/>
    </row>
    <row r="630" spans="1:19">
      <c r="A630" s="2202">
        <f t="shared" si="3"/>
        <v>2024.09</v>
      </c>
      <c r="B630" s="2324">
        <v>122.1296</v>
      </c>
      <c r="C630" s="3269">
        <v>113.2979</v>
      </c>
      <c r="D630" s="2325">
        <v>132.95310000000001</v>
      </c>
      <c r="E630" s="2326">
        <v>115.6853</v>
      </c>
      <c r="F630" s="3269">
        <v>124.98309999999999</v>
      </c>
      <c r="G630" s="2325">
        <v>107.01</v>
      </c>
      <c r="H630" s="2326">
        <v>976</v>
      </c>
      <c r="I630" s="3500">
        <v>960.30952380952385</v>
      </c>
      <c r="J630" s="338">
        <v>1249.6031746031745</v>
      </c>
      <c r="K630" s="2329">
        <v>1228.6371428571431</v>
      </c>
      <c r="L630" s="2329">
        <v>1248.2738095238101</v>
      </c>
      <c r="M630" s="1029">
        <v>1279.2</v>
      </c>
      <c r="N630" s="1026">
        <v>1350.6</v>
      </c>
      <c r="O630" s="3363">
        <v>315.30099999999999</v>
      </c>
      <c r="P630" s="2330">
        <v>252.68199999999999</v>
      </c>
      <c r="Q630" s="1147"/>
      <c r="R630" s="1147"/>
      <c r="S630" s="2204"/>
    </row>
    <row r="631" spans="1:19">
      <c r="A631" s="2202">
        <f t="shared" si="3"/>
        <v>2024.1</v>
      </c>
      <c r="B631" s="2324">
        <v>123.831</v>
      </c>
      <c r="C631" s="3269">
        <v>115.62220000000001</v>
      </c>
      <c r="D631" s="2325">
        <v>133.99539999999999</v>
      </c>
      <c r="E631" s="2326">
        <v>117.2799</v>
      </c>
      <c r="F631" s="3269">
        <v>127.5949</v>
      </c>
      <c r="G631" s="2325">
        <v>107.78149999999999</v>
      </c>
      <c r="H631" s="2326">
        <v>992</v>
      </c>
      <c r="I631" s="3500">
        <v>978.95</v>
      </c>
      <c r="J631" s="338">
        <v>1198.5507246376812</v>
      </c>
      <c r="K631" s="2329">
        <v>1161.008636363636</v>
      </c>
      <c r="L631" s="2329">
        <v>1191.1240909090909</v>
      </c>
      <c r="M631" s="1029">
        <v>1245</v>
      </c>
      <c r="N631" s="1026">
        <v>1309.7076144030741</v>
      </c>
      <c r="O631" s="3363">
        <v>315.66399999999999</v>
      </c>
      <c r="P631" s="2330">
        <v>253.08099999999999</v>
      </c>
      <c r="Q631" s="1147"/>
      <c r="R631" s="1147"/>
      <c r="S631" s="2204"/>
    </row>
    <row r="632" spans="1:19">
      <c r="A632" s="2202">
        <f t="shared" si="3"/>
        <v>2024.11</v>
      </c>
      <c r="B632" s="2324">
        <v>126.5329</v>
      </c>
      <c r="C632" s="3269">
        <v>118.2611</v>
      </c>
      <c r="D632" s="2325">
        <v>136.7944</v>
      </c>
      <c r="E632" s="2326">
        <v>119.9089</v>
      </c>
      <c r="F632" s="3269">
        <v>130.5882</v>
      </c>
      <c r="G632" s="2325">
        <v>110.093</v>
      </c>
      <c r="H632" s="2326">
        <v>1011</v>
      </c>
      <c r="I632" s="3500">
        <v>1001.2352941176471</v>
      </c>
      <c r="J632" s="338">
        <v>1126.0294117647059</v>
      </c>
      <c r="K632" s="2329">
        <v>1106.5074999999999</v>
      </c>
      <c r="L632" s="2329">
        <v>1138.6994999999999</v>
      </c>
      <c r="M632" s="1029">
        <v>1228.948553896055</v>
      </c>
      <c r="N632" s="1026">
        <v>1262.3114296287149</v>
      </c>
      <c r="O632" s="3363">
        <v>315.49299999999999</v>
      </c>
      <c r="P632" s="2330">
        <v>253.21100000000001</v>
      </c>
      <c r="Q632" s="1147"/>
      <c r="R632" s="2204"/>
      <c r="S632" s="2204"/>
    </row>
    <row r="633" spans="1:19">
      <c r="A633" s="2202">
        <f t="shared" si="3"/>
        <v>2024.12</v>
      </c>
      <c r="B633" s="2324">
        <v>127.81399999999999</v>
      </c>
      <c r="C633" s="3269">
        <v>119.8771</v>
      </c>
      <c r="D633" s="2325">
        <v>137.73079999999999</v>
      </c>
      <c r="E633" s="2326">
        <v>121.23220000000001</v>
      </c>
      <c r="F633" s="3269">
        <v>132.41300000000001</v>
      </c>
      <c r="G633" s="2325">
        <v>111.0078</v>
      </c>
      <c r="H633" s="2326">
        <v>1032</v>
      </c>
      <c r="I633" s="3500">
        <v>1019.2105263157895</v>
      </c>
      <c r="J633" s="338">
        <v>1114.0277777777778</v>
      </c>
      <c r="K633" s="2329">
        <v>1105.8240000000001</v>
      </c>
      <c r="L633" s="2329">
        <v>1125.7139999999999</v>
      </c>
      <c r="M633" s="1029">
        <v>1205.5</v>
      </c>
      <c r="N633" s="1026">
        <v>1236.9000000000001</v>
      </c>
      <c r="O633" s="3363">
        <v>315.60500000000002</v>
      </c>
      <c r="P633" s="2330">
        <v>253.423</v>
      </c>
      <c r="Q633" s="2204"/>
      <c r="R633" s="2204"/>
      <c r="S633" s="2204"/>
    </row>
    <row r="634" spans="1:19">
      <c r="A634" s="2202">
        <f t="shared" si="3"/>
        <v>2025.01</v>
      </c>
      <c r="B634" s="2324">
        <v>129.04130000000001</v>
      </c>
      <c r="C634" s="3269">
        <v>121.4927</v>
      </c>
      <c r="D634" s="2325">
        <v>138.5574</v>
      </c>
      <c r="E634" s="2326">
        <v>122.64149999999999</v>
      </c>
      <c r="F634" s="3269">
        <v>134.3939</v>
      </c>
      <c r="G634" s="2325">
        <v>111.95480000000001</v>
      </c>
      <c r="H634" s="2326">
        <v>1051</v>
      </c>
      <c r="I634" s="3500">
        <v>1042.1136363636363</v>
      </c>
      <c r="J634" s="338">
        <v>1217</v>
      </c>
      <c r="K634" s="2329">
        <v>1164.4709090909089</v>
      </c>
      <c r="L634" s="2329">
        <v>1184.6440909090909</v>
      </c>
      <c r="M634" s="1029">
        <v>1215</v>
      </c>
      <c r="N634" s="1026">
        <v>1256</v>
      </c>
      <c r="O634" s="3363">
        <v>317.67099999999999</v>
      </c>
      <c r="P634" s="2330">
        <v>257.36</v>
      </c>
      <c r="Q634" s="2204"/>
      <c r="R634" s="2522"/>
      <c r="S634" s="2204"/>
    </row>
    <row r="635" spans="1:19">
      <c r="A635" s="2202">
        <f t="shared" si="3"/>
        <v>2025.02</v>
      </c>
      <c r="B635" s="2324">
        <v>128.06649999999999</v>
      </c>
      <c r="C635" s="3269">
        <v>120.27290000000001</v>
      </c>
      <c r="D635" s="2325">
        <v>137.83260000000001</v>
      </c>
      <c r="E635" s="2326">
        <v>121.8647</v>
      </c>
      <c r="F635" s="3269">
        <v>133.0204</v>
      </c>
      <c r="G635" s="2325">
        <v>111.65219999999999</v>
      </c>
      <c r="H635" s="2326">
        <v>1064</v>
      </c>
      <c r="I635" s="3500">
        <v>1056.925</v>
      </c>
      <c r="J635" s="338">
        <v>1212.7272727272727</v>
      </c>
      <c r="K635" s="2329">
        <v>1198.356</v>
      </c>
      <c r="L635" s="2329">
        <v>1204.173</v>
      </c>
      <c r="M635" s="1029">
        <v>1287.0999999999999</v>
      </c>
      <c r="N635" s="1026">
        <v>1302.8</v>
      </c>
      <c r="O635" s="3363">
        <v>319.08199999999999</v>
      </c>
      <c r="P635" s="2330">
        <v>259.529</v>
      </c>
      <c r="Q635" s="2204"/>
      <c r="R635" s="2204"/>
      <c r="S635" s="2204"/>
    </row>
    <row r="636" spans="1:19">
      <c r="A636" s="2202">
        <f t="shared" si="3"/>
        <v>2025.03</v>
      </c>
      <c r="B636" s="2324">
        <v>126.4864</v>
      </c>
      <c r="C636" s="3269">
        <v>117.7286</v>
      </c>
      <c r="D636" s="2325">
        <v>137.27260000000001</v>
      </c>
      <c r="E636" s="2326">
        <v>120.15389999999999</v>
      </c>
      <c r="F636" s="3269">
        <v>130.08879999999999</v>
      </c>
      <c r="G636" s="2325">
        <v>110.9226</v>
      </c>
      <c r="H636" s="2326">
        <v>1074</v>
      </c>
      <c r="I636" s="3502">
        <v>1067.4722222222222</v>
      </c>
      <c r="J636" s="338">
        <v>1251.7647058823529</v>
      </c>
      <c r="K636" s="2329">
        <v>1264.711111111111</v>
      </c>
      <c r="L636" s="2329">
        <v>1266.145555555556</v>
      </c>
      <c r="M636" s="1029">
        <v>1313</v>
      </c>
      <c r="N636" s="1026">
        <v>1348.79956580985</v>
      </c>
      <c r="O636" s="3363">
        <v>319.79899999999998</v>
      </c>
      <c r="P636" s="2330">
        <v>258.57299999999998</v>
      </c>
      <c r="Q636" s="2538"/>
      <c r="R636" s="2204"/>
      <c r="S636" s="2204"/>
    </row>
    <row r="637" spans="1:19">
      <c r="A637" s="2202">
        <f t="shared" si="3"/>
        <v>2025.04</v>
      </c>
      <c r="B637" s="2324">
        <v>124.45569999999999</v>
      </c>
      <c r="C637" s="3269">
        <v>113.9881</v>
      </c>
      <c r="D637" s="2325">
        <v>137.1113</v>
      </c>
      <c r="E637" s="2326">
        <v>118.22539999999999</v>
      </c>
      <c r="F637" s="3269">
        <v>126.13890000000001</v>
      </c>
      <c r="G637" s="2325">
        <v>110.6407</v>
      </c>
      <c r="H637" s="2326">
        <v>1169</v>
      </c>
      <c r="I637" s="3502">
        <v>1120.7368421052631</v>
      </c>
      <c r="J637" s="338">
        <v>1263.8888888888887</v>
      </c>
      <c r="K637" s="2329">
        <v>1250.097368421053</v>
      </c>
      <c r="L637" s="2329">
        <v>1255.9452631578949</v>
      </c>
      <c r="M637" s="1029">
        <v>1379</v>
      </c>
      <c r="N637" s="1026">
        <v>1417.888892436315</v>
      </c>
      <c r="O637" s="3363">
        <v>320.79500000000002</v>
      </c>
      <c r="P637" s="2330">
        <v>258.60300000000001</v>
      </c>
      <c r="Q637" s="2204"/>
      <c r="R637" s="2204"/>
      <c r="S637" s="2204"/>
    </row>
    <row r="638" spans="1:19">
      <c r="A638" s="2202">
        <f t="shared" si="3"/>
        <v>2025.05</v>
      </c>
      <c r="B638" s="2324">
        <v>122.68689999999999</v>
      </c>
      <c r="C638" s="3269">
        <v>113.3019</v>
      </c>
      <c r="D638" s="2325">
        <v>134.1232</v>
      </c>
      <c r="E638" s="2326">
        <v>116.64319999999999</v>
      </c>
      <c r="F638" s="3269">
        <v>125.4127</v>
      </c>
      <c r="G638" s="2325">
        <v>108.3807</v>
      </c>
      <c r="H638" s="2326">
        <v>1185</v>
      </c>
      <c r="I638" s="3502">
        <v>1143.8</v>
      </c>
      <c r="J638" s="338">
        <v>1162.1428571428571</v>
      </c>
      <c r="K638" s="2329">
        <v>1175.5920000000001</v>
      </c>
      <c r="L638" s="2329">
        <v>1179.542857142857</v>
      </c>
      <c r="M638" s="1029">
        <v>1392.028129663227</v>
      </c>
      <c r="N638" s="1026">
        <v>1416.2114149997151</v>
      </c>
      <c r="O638" s="1029">
        <v>321.46499999999997</v>
      </c>
      <c r="P638" s="2330">
        <v>259.03300000000002</v>
      </c>
      <c r="Q638" s="2204"/>
      <c r="R638" s="2204"/>
      <c r="S638" s="2204"/>
    </row>
    <row r="639" spans="1:19">
      <c r="A639" s="2202">
        <f t="shared" si="3"/>
        <v>2025.06</v>
      </c>
      <c r="B639" s="2324" t="e">
        <v>#N/A</v>
      </c>
      <c r="C639" s="3269" t="e">
        <v>#N/A</v>
      </c>
      <c r="D639" s="2325" t="e">
        <v>#N/A</v>
      </c>
      <c r="E639" s="2326" t="e">
        <v>#N/A</v>
      </c>
      <c r="F639" s="3269" t="e">
        <v>#N/A</v>
      </c>
      <c r="G639" s="2325" t="e">
        <v>#N/A</v>
      </c>
      <c r="H639" s="2326" t="e">
        <v>#N/A</v>
      </c>
      <c r="I639" s="2333" t="e">
        <v>#N/A</v>
      </c>
      <c r="J639" s="2334" t="e">
        <v>#N/A</v>
      </c>
      <c r="K639" s="2334" t="e">
        <v>#N/A</v>
      </c>
      <c r="L639" s="2334" t="e">
        <v>#N/A</v>
      </c>
      <c r="M639" s="2331" t="e">
        <v>#N/A</v>
      </c>
      <c r="N639" s="2335" t="e">
        <v>#N/A</v>
      </c>
      <c r="O639" s="2331" t="e">
        <v>#N/A</v>
      </c>
      <c r="P639" s="2332" t="e">
        <v>#N/A</v>
      </c>
      <c r="Q639" s="2204"/>
      <c r="R639" s="2204"/>
      <c r="S639" s="2204"/>
    </row>
    <row r="640" spans="1:19">
      <c r="A640" s="2202">
        <f t="shared" si="3"/>
        <v>2025.07</v>
      </c>
      <c r="B640" s="2324" t="e">
        <v>#N/A</v>
      </c>
      <c r="C640" s="3269" t="e">
        <v>#N/A</v>
      </c>
      <c r="D640" s="2325" t="e">
        <v>#N/A</v>
      </c>
      <c r="E640" s="2326" t="e">
        <v>#N/A</v>
      </c>
      <c r="F640" s="3269" t="e">
        <v>#N/A</v>
      </c>
      <c r="G640" s="2325" t="e">
        <v>#N/A</v>
      </c>
      <c r="H640" s="2326" t="e">
        <v>#N/A</v>
      </c>
      <c r="I640" s="2333" t="e">
        <v>#N/A</v>
      </c>
      <c r="J640" s="2334" t="e">
        <v>#N/A</v>
      </c>
      <c r="K640" s="2334" t="e">
        <v>#N/A</v>
      </c>
      <c r="L640" s="2334" t="e">
        <v>#N/A</v>
      </c>
      <c r="M640" s="2331" t="e">
        <v>#N/A</v>
      </c>
      <c r="N640" s="2335" t="e">
        <v>#N/A</v>
      </c>
      <c r="O640" s="2331" t="e">
        <v>#N/A</v>
      </c>
      <c r="P640" s="2332" t="e">
        <v>#N/A</v>
      </c>
      <c r="Q640" s="2204"/>
      <c r="R640" s="2204"/>
      <c r="S640" s="2204"/>
    </row>
    <row r="641" spans="1:18">
      <c r="A641" s="2202">
        <f t="shared" si="3"/>
        <v>2025.08</v>
      </c>
      <c r="B641" s="2324" t="e">
        <v>#N/A</v>
      </c>
      <c r="C641" s="3269" t="e">
        <v>#N/A</v>
      </c>
      <c r="D641" s="2325" t="e">
        <v>#N/A</v>
      </c>
      <c r="E641" s="2326" t="e">
        <v>#N/A</v>
      </c>
      <c r="F641" s="3269" t="e">
        <v>#N/A</v>
      </c>
      <c r="G641" s="2325" t="e">
        <v>#N/A</v>
      </c>
      <c r="H641" s="2326" t="e">
        <v>#N/A</v>
      </c>
      <c r="I641" s="2333" t="e">
        <v>#N/A</v>
      </c>
      <c r="J641" s="2334" t="e">
        <v>#N/A</v>
      </c>
      <c r="K641" s="2334" t="e">
        <v>#N/A</v>
      </c>
      <c r="L641" s="2334" t="e">
        <v>#N/A</v>
      </c>
      <c r="M641" s="2331" t="e">
        <v>#N/A</v>
      </c>
      <c r="N641" s="2335" t="e">
        <v>#N/A</v>
      </c>
      <c r="O641" s="2331" t="e">
        <v>#N/A</v>
      </c>
      <c r="P641" s="2332" t="e">
        <v>#N/A</v>
      </c>
      <c r="Q641" s="2204"/>
      <c r="R641" s="2204"/>
    </row>
    <row r="642" spans="1:18">
      <c r="A642" s="2202">
        <f t="shared" si="3"/>
        <v>2025.09</v>
      </c>
      <c r="B642" s="2324" t="e">
        <v>#N/A</v>
      </c>
      <c r="C642" s="3269" t="e">
        <v>#N/A</v>
      </c>
      <c r="D642" s="2325" t="e">
        <v>#N/A</v>
      </c>
      <c r="E642" s="2326" t="e">
        <v>#N/A</v>
      </c>
      <c r="F642" s="3269" t="e">
        <v>#N/A</v>
      </c>
      <c r="G642" s="2325" t="e">
        <v>#N/A</v>
      </c>
      <c r="H642" s="2326" t="e">
        <v>#N/A</v>
      </c>
      <c r="I642" s="2333" t="e">
        <v>#N/A</v>
      </c>
      <c r="J642" s="2334" t="e">
        <v>#N/A</v>
      </c>
      <c r="K642" s="2334" t="e">
        <v>#N/A</v>
      </c>
      <c r="L642" s="2334" t="e">
        <v>#N/A</v>
      </c>
      <c r="M642" s="2331" t="e">
        <v>#N/A</v>
      </c>
      <c r="N642" s="2335" t="e">
        <v>#N/A</v>
      </c>
      <c r="O642" s="2331" t="e">
        <v>#N/A</v>
      </c>
      <c r="P642" s="2332" t="e">
        <v>#N/A</v>
      </c>
      <c r="Q642" s="2204"/>
      <c r="R642" s="2204"/>
    </row>
    <row r="643" spans="1:18">
      <c r="A643" s="2202">
        <f t="shared" si="3"/>
        <v>2025.1</v>
      </c>
      <c r="B643" s="2324" t="e">
        <v>#N/A</v>
      </c>
      <c r="C643" s="3269" t="e">
        <v>#N/A</v>
      </c>
      <c r="D643" s="2325" t="e">
        <v>#N/A</v>
      </c>
      <c r="E643" s="2326" t="e">
        <v>#N/A</v>
      </c>
      <c r="F643" s="3269" t="e">
        <v>#N/A</v>
      </c>
      <c r="G643" s="2325" t="e">
        <v>#N/A</v>
      </c>
      <c r="H643" s="2326" t="e">
        <v>#N/A</v>
      </c>
      <c r="I643" s="2333" t="e">
        <v>#N/A</v>
      </c>
      <c r="J643" s="2334" t="e">
        <v>#N/A</v>
      </c>
      <c r="K643" s="2334" t="e">
        <v>#N/A</v>
      </c>
      <c r="L643" s="2334" t="e">
        <v>#N/A</v>
      </c>
      <c r="M643" s="2331" t="e">
        <v>#N/A</v>
      </c>
      <c r="N643" s="2335" t="e">
        <v>#N/A</v>
      </c>
      <c r="O643" s="2331" t="e">
        <v>#N/A</v>
      </c>
      <c r="P643" s="2332" t="e">
        <v>#N/A</v>
      </c>
      <c r="Q643" s="2204"/>
      <c r="R643" s="2204"/>
    </row>
    <row r="644" spans="1:18">
      <c r="A644" s="2202">
        <f t="shared" si="3"/>
        <v>2025.11</v>
      </c>
      <c r="B644" s="2324" t="e">
        <v>#N/A</v>
      </c>
      <c r="C644" s="3269" t="e">
        <v>#N/A</v>
      </c>
      <c r="D644" s="2325" t="e">
        <v>#N/A</v>
      </c>
      <c r="E644" s="2326" t="e">
        <v>#N/A</v>
      </c>
      <c r="F644" s="3269" t="e">
        <v>#N/A</v>
      </c>
      <c r="G644" s="2325" t="e">
        <v>#N/A</v>
      </c>
      <c r="H644" s="2326" t="e">
        <v>#N/A</v>
      </c>
      <c r="I644" s="2333" t="e">
        <v>#N/A</v>
      </c>
      <c r="J644" s="2334" t="e">
        <v>#N/A</v>
      </c>
      <c r="K644" s="2334" t="e">
        <v>#N/A</v>
      </c>
      <c r="L644" s="2334" t="e">
        <v>#N/A</v>
      </c>
      <c r="M644" s="2331" t="e">
        <v>#N/A</v>
      </c>
      <c r="N644" s="2335" t="e">
        <v>#N/A</v>
      </c>
      <c r="O644" s="2331" t="e">
        <v>#N/A</v>
      </c>
      <c r="P644" s="2332" t="e">
        <v>#N/A</v>
      </c>
      <c r="Q644" s="2204"/>
      <c r="R644" s="2204"/>
    </row>
    <row r="645" spans="1:18">
      <c r="A645" s="2202">
        <f t="shared" si="3"/>
        <v>2025.12</v>
      </c>
      <c r="B645" s="2324" t="e">
        <v>#N/A</v>
      </c>
      <c r="C645" s="3269" t="e">
        <v>#N/A</v>
      </c>
      <c r="D645" s="2325" t="e">
        <v>#N/A</v>
      </c>
      <c r="E645" s="2326" t="e">
        <v>#N/A</v>
      </c>
      <c r="F645" s="3269" t="e">
        <v>#N/A</v>
      </c>
      <c r="G645" s="2325" t="e">
        <v>#N/A</v>
      </c>
      <c r="H645" s="2326" t="e">
        <v>#N/A</v>
      </c>
      <c r="I645" s="2333" t="e">
        <v>#N/A</v>
      </c>
      <c r="J645" s="2334" t="e">
        <v>#N/A</v>
      </c>
      <c r="K645" s="2334" t="e">
        <v>#N/A</v>
      </c>
      <c r="L645" s="2334" t="e">
        <v>#N/A</v>
      </c>
      <c r="M645" s="2331" t="e">
        <v>#N/A</v>
      </c>
      <c r="N645" s="2335" t="e">
        <v>#N/A</v>
      </c>
      <c r="O645" s="2331" t="e">
        <v>#N/A</v>
      </c>
      <c r="P645" s="2332" t="e">
        <v>#N/A</v>
      </c>
      <c r="Q645" s="2204"/>
      <c r="R645" s="2204"/>
    </row>
    <row r="646" spans="1:18">
      <c r="A646" s="1340">
        <v>2026.01</v>
      </c>
      <c r="B646" s="2324" t="e">
        <v>#N/A</v>
      </c>
      <c r="C646" s="3269" t="e">
        <v>#N/A</v>
      </c>
      <c r="D646" s="2325" t="e">
        <v>#N/A</v>
      </c>
      <c r="E646" s="2326" t="e">
        <v>#N/A</v>
      </c>
      <c r="F646" s="3269" t="e">
        <v>#N/A</v>
      </c>
      <c r="G646" s="2325" t="e">
        <v>#N/A</v>
      </c>
      <c r="H646" s="2326" t="e">
        <v>#N/A</v>
      </c>
      <c r="I646" s="2333" t="e">
        <v>#N/A</v>
      </c>
      <c r="J646" s="2334" t="e">
        <v>#N/A</v>
      </c>
      <c r="K646" s="2334" t="e">
        <v>#N/A</v>
      </c>
      <c r="L646" s="2334" t="e">
        <v>#N/A</v>
      </c>
      <c r="M646" s="2331" t="e">
        <v>#N/A</v>
      </c>
      <c r="N646" s="2335" t="e">
        <v>#N/A</v>
      </c>
      <c r="O646" s="2331" t="e">
        <v>#N/A</v>
      </c>
      <c r="P646" s="2332" t="e">
        <v>#N/A</v>
      </c>
      <c r="Q646" s="2204"/>
      <c r="R646" s="2522"/>
    </row>
    <row r="647" spans="1:18">
      <c r="A647" s="1340">
        <v>2026.02</v>
      </c>
      <c r="B647" s="2324" t="e">
        <v>#N/A</v>
      </c>
      <c r="C647" s="3269" t="e">
        <v>#N/A</v>
      </c>
      <c r="D647" s="2325" t="e">
        <v>#N/A</v>
      </c>
      <c r="E647" s="2326" t="e">
        <v>#N/A</v>
      </c>
      <c r="F647" s="3269" t="e">
        <v>#N/A</v>
      </c>
      <c r="G647" s="2325" t="e">
        <v>#N/A</v>
      </c>
      <c r="H647" s="2326" t="e">
        <v>#N/A</v>
      </c>
      <c r="I647" s="2333" t="e">
        <v>#N/A</v>
      </c>
      <c r="J647" s="2334" t="e">
        <v>#N/A</v>
      </c>
      <c r="K647" s="2334" t="e">
        <v>#N/A</v>
      </c>
      <c r="L647" s="2334" t="e">
        <v>#N/A</v>
      </c>
      <c r="M647" s="2331" t="e">
        <v>#N/A</v>
      </c>
      <c r="N647" s="2335" t="e">
        <v>#N/A</v>
      </c>
      <c r="O647" s="2331" t="e">
        <v>#N/A</v>
      </c>
      <c r="P647" s="2332" t="e">
        <v>#N/A</v>
      </c>
      <c r="Q647" s="2204"/>
      <c r="R647" s="2204"/>
    </row>
    <row r="648" spans="1:18">
      <c r="A648" s="1340">
        <v>2026.03</v>
      </c>
      <c r="B648" s="2324" t="e">
        <v>#N/A</v>
      </c>
      <c r="C648" s="3269" t="e">
        <v>#N/A</v>
      </c>
      <c r="D648" s="2325" t="e">
        <v>#N/A</v>
      </c>
      <c r="E648" s="2326" t="e">
        <v>#N/A</v>
      </c>
      <c r="F648" s="3269" t="e">
        <v>#N/A</v>
      </c>
      <c r="G648" s="2325" t="e">
        <v>#N/A</v>
      </c>
      <c r="H648" s="2326" t="e">
        <v>#N/A</v>
      </c>
      <c r="I648" s="2333" t="e">
        <v>#N/A</v>
      </c>
      <c r="J648" s="2334" t="e">
        <v>#N/A</v>
      </c>
      <c r="K648" s="2334" t="e">
        <v>#N/A</v>
      </c>
      <c r="L648" s="2334" t="e">
        <v>#N/A</v>
      </c>
      <c r="M648" s="2331" t="e">
        <v>#N/A</v>
      </c>
      <c r="N648" s="2335" t="e">
        <v>#N/A</v>
      </c>
      <c r="O648" s="2331" t="e">
        <v>#N/A</v>
      </c>
      <c r="P648" s="2332" t="e">
        <v>#N/A</v>
      </c>
      <c r="Q648" s="2204"/>
      <c r="R648" s="2204"/>
    </row>
    <row r="649" spans="1:18">
      <c r="A649" s="1340">
        <v>2026.04</v>
      </c>
      <c r="B649" s="2324" t="e">
        <v>#N/A</v>
      </c>
      <c r="C649" s="3269" t="e">
        <v>#N/A</v>
      </c>
      <c r="D649" s="2325" t="e">
        <v>#N/A</v>
      </c>
      <c r="E649" s="2326" t="e">
        <v>#N/A</v>
      </c>
      <c r="F649" s="3269" t="e">
        <v>#N/A</v>
      </c>
      <c r="G649" s="2325" t="e">
        <v>#N/A</v>
      </c>
      <c r="H649" s="2326" t="e">
        <v>#N/A</v>
      </c>
      <c r="I649" s="2333" t="e">
        <v>#N/A</v>
      </c>
      <c r="J649" s="2334" t="e">
        <v>#N/A</v>
      </c>
      <c r="K649" s="2334" t="e">
        <v>#N/A</v>
      </c>
      <c r="L649" s="2334" t="e">
        <v>#N/A</v>
      </c>
      <c r="M649" s="2331" t="e">
        <v>#N/A</v>
      </c>
      <c r="N649" s="2335" t="e">
        <v>#N/A</v>
      </c>
      <c r="O649" s="2331" t="e">
        <v>#N/A</v>
      </c>
      <c r="P649" s="2332" t="e">
        <v>#N/A</v>
      </c>
      <c r="Q649" s="2204"/>
      <c r="R649" s="2204"/>
    </row>
    <row r="650" spans="1:18">
      <c r="A650" s="1340">
        <v>2026.05</v>
      </c>
      <c r="B650" s="2324" t="e">
        <v>#N/A</v>
      </c>
      <c r="C650" s="3269" t="e">
        <v>#N/A</v>
      </c>
      <c r="D650" s="2325" t="e">
        <v>#N/A</v>
      </c>
      <c r="E650" s="2326" t="e">
        <v>#N/A</v>
      </c>
      <c r="F650" s="3269" t="e">
        <v>#N/A</v>
      </c>
      <c r="G650" s="2325" t="e">
        <v>#N/A</v>
      </c>
      <c r="H650" s="2326" t="e">
        <v>#N/A</v>
      </c>
      <c r="I650" s="2333" t="e">
        <v>#N/A</v>
      </c>
      <c r="J650" s="2334" t="e">
        <v>#N/A</v>
      </c>
      <c r="K650" s="2334" t="e">
        <v>#N/A</v>
      </c>
      <c r="L650" s="2334" t="e">
        <v>#N/A</v>
      </c>
      <c r="M650" s="2331" t="e">
        <v>#N/A</v>
      </c>
      <c r="N650" s="2335" t="e">
        <v>#N/A</v>
      </c>
      <c r="O650" s="2331" t="e">
        <v>#N/A</v>
      </c>
      <c r="P650" s="2332" t="e">
        <v>#N/A</v>
      </c>
      <c r="Q650" s="2204"/>
      <c r="R650" s="2204"/>
    </row>
    <row r="651" spans="1:18">
      <c r="A651" s="1340">
        <v>2026.06</v>
      </c>
      <c r="B651" s="2324" t="e">
        <v>#N/A</v>
      </c>
      <c r="C651" s="3269" t="e">
        <v>#N/A</v>
      </c>
      <c r="D651" s="2325" t="e">
        <v>#N/A</v>
      </c>
      <c r="E651" s="2326" t="e">
        <v>#N/A</v>
      </c>
      <c r="F651" s="3269" t="e">
        <v>#N/A</v>
      </c>
      <c r="G651" s="2325" t="e">
        <v>#N/A</v>
      </c>
      <c r="H651" s="2326" t="e">
        <v>#N/A</v>
      </c>
      <c r="I651" s="2333" t="e">
        <v>#N/A</v>
      </c>
      <c r="J651" s="2334" t="e">
        <v>#N/A</v>
      </c>
      <c r="K651" s="2334" t="e">
        <v>#N/A</v>
      </c>
      <c r="L651" s="2334" t="e">
        <v>#N/A</v>
      </c>
      <c r="M651" s="2331" t="e">
        <v>#N/A</v>
      </c>
      <c r="N651" s="2335" t="e">
        <v>#N/A</v>
      </c>
      <c r="O651" s="2331" t="e">
        <v>#N/A</v>
      </c>
      <c r="P651" s="2332" t="e">
        <v>#N/A</v>
      </c>
      <c r="Q651" s="2204"/>
      <c r="R651" s="2204"/>
    </row>
    <row r="652" spans="1:18">
      <c r="A652" s="1340">
        <v>2026.07</v>
      </c>
      <c r="B652" s="2324" t="e">
        <v>#N/A</v>
      </c>
      <c r="C652" s="3269" t="e">
        <v>#N/A</v>
      </c>
      <c r="D652" s="2325" t="e">
        <v>#N/A</v>
      </c>
      <c r="E652" s="2326" t="e">
        <v>#N/A</v>
      </c>
      <c r="F652" s="3269" t="e">
        <v>#N/A</v>
      </c>
      <c r="G652" s="2325" t="e">
        <v>#N/A</v>
      </c>
      <c r="H652" s="2326" t="e">
        <v>#N/A</v>
      </c>
      <c r="I652" s="2333" t="e">
        <v>#N/A</v>
      </c>
      <c r="J652" s="2334" t="e">
        <v>#N/A</v>
      </c>
      <c r="K652" s="2334" t="e">
        <v>#N/A</v>
      </c>
      <c r="L652" s="2334" t="e">
        <v>#N/A</v>
      </c>
      <c r="M652" s="2331" t="e">
        <v>#N/A</v>
      </c>
      <c r="N652" s="2335" t="e">
        <v>#N/A</v>
      </c>
      <c r="O652" s="2331" t="e">
        <v>#N/A</v>
      </c>
      <c r="P652" s="2332" t="e">
        <v>#N/A</v>
      </c>
      <c r="Q652" s="2204"/>
      <c r="R652" s="2204"/>
    </row>
    <row r="653" spans="1:18">
      <c r="A653" s="1340">
        <v>2026.08</v>
      </c>
      <c r="B653" s="2324" t="e">
        <v>#N/A</v>
      </c>
      <c r="C653" s="3269" t="e">
        <v>#N/A</v>
      </c>
      <c r="D653" s="2325" t="e">
        <v>#N/A</v>
      </c>
      <c r="E653" s="2326" t="e">
        <v>#N/A</v>
      </c>
      <c r="F653" s="3269" t="e">
        <v>#N/A</v>
      </c>
      <c r="G653" s="2325" t="e">
        <v>#N/A</v>
      </c>
      <c r="H653" s="2326" t="e">
        <v>#N/A</v>
      </c>
      <c r="I653" s="2333" t="e">
        <v>#N/A</v>
      </c>
      <c r="J653" s="2334" t="e">
        <v>#N/A</v>
      </c>
      <c r="K653" s="2334" t="e">
        <v>#N/A</v>
      </c>
      <c r="L653" s="2334" t="e">
        <v>#N/A</v>
      </c>
      <c r="M653" s="2331" t="e">
        <v>#N/A</v>
      </c>
      <c r="N653" s="2335" t="e">
        <v>#N/A</v>
      </c>
      <c r="O653" s="2331" t="e">
        <v>#N/A</v>
      </c>
      <c r="P653" s="2332" t="e">
        <v>#N/A</v>
      </c>
      <c r="Q653" s="2204"/>
      <c r="R653" s="2204"/>
    </row>
    <row r="654" spans="1:18">
      <c r="A654" s="1340">
        <v>2026.09</v>
      </c>
      <c r="B654" s="2324" t="e">
        <v>#N/A</v>
      </c>
      <c r="C654" s="3269" t="e">
        <v>#N/A</v>
      </c>
      <c r="D654" s="2325" t="e">
        <v>#N/A</v>
      </c>
      <c r="E654" s="2326" t="e">
        <v>#N/A</v>
      </c>
      <c r="F654" s="3269" t="e">
        <v>#N/A</v>
      </c>
      <c r="G654" s="2325" t="e">
        <v>#N/A</v>
      </c>
      <c r="H654" s="2326" t="e">
        <v>#N/A</v>
      </c>
      <c r="I654" s="2333" t="e">
        <v>#N/A</v>
      </c>
      <c r="J654" s="2334" t="e">
        <v>#N/A</v>
      </c>
      <c r="K654" s="2334" t="e">
        <v>#N/A</v>
      </c>
      <c r="L654" s="2334" t="e">
        <v>#N/A</v>
      </c>
      <c r="M654" s="2331" t="e">
        <v>#N/A</v>
      </c>
      <c r="N654" s="2335" t="e">
        <v>#N/A</v>
      </c>
      <c r="O654" s="2331" t="e">
        <v>#N/A</v>
      </c>
      <c r="P654" s="2332" t="e">
        <v>#N/A</v>
      </c>
      <c r="Q654" s="2204"/>
      <c r="R654" s="2204"/>
    </row>
    <row r="655" spans="1:18">
      <c r="A655" s="1340">
        <v>2026.1</v>
      </c>
      <c r="B655" s="2324" t="e">
        <v>#N/A</v>
      </c>
      <c r="C655" s="3269" t="e">
        <v>#N/A</v>
      </c>
      <c r="D655" s="2325" t="e">
        <v>#N/A</v>
      </c>
      <c r="E655" s="2326" t="e">
        <v>#N/A</v>
      </c>
      <c r="F655" s="3269" t="e">
        <v>#N/A</v>
      </c>
      <c r="G655" s="2325" t="e">
        <v>#N/A</v>
      </c>
      <c r="H655" s="2326" t="e">
        <v>#N/A</v>
      </c>
      <c r="I655" s="2333" t="e">
        <v>#N/A</v>
      </c>
      <c r="J655" s="2334" t="e">
        <v>#N/A</v>
      </c>
      <c r="K655" s="2334" t="e">
        <v>#N/A</v>
      </c>
      <c r="L655" s="2334" t="e">
        <v>#N/A</v>
      </c>
      <c r="M655" s="2331" t="e">
        <v>#N/A</v>
      </c>
      <c r="N655" s="2335" t="e">
        <v>#N/A</v>
      </c>
      <c r="O655" s="2331" t="e">
        <v>#N/A</v>
      </c>
      <c r="P655" s="2332" t="e">
        <v>#N/A</v>
      </c>
      <c r="Q655" s="2204"/>
      <c r="R655" s="2204"/>
    </row>
    <row r="656" spans="1:18">
      <c r="A656" s="1340">
        <v>2026.11</v>
      </c>
      <c r="B656" s="2324" t="e">
        <v>#N/A</v>
      </c>
      <c r="C656" s="3269" t="e">
        <v>#N/A</v>
      </c>
      <c r="D656" s="2325" t="e">
        <v>#N/A</v>
      </c>
      <c r="E656" s="2326" t="e">
        <v>#N/A</v>
      </c>
      <c r="F656" s="3269" t="e">
        <v>#N/A</v>
      </c>
      <c r="G656" s="2325" t="e">
        <v>#N/A</v>
      </c>
      <c r="H656" s="2326" t="e">
        <v>#N/A</v>
      </c>
      <c r="I656" s="2333" t="e">
        <v>#N/A</v>
      </c>
      <c r="J656" s="2334" t="e">
        <v>#N/A</v>
      </c>
      <c r="K656" s="2334" t="e">
        <v>#N/A</v>
      </c>
      <c r="L656" s="2334" t="e">
        <v>#N/A</v>
      </c>
      <c r="M656" s="2331" t="e">
        <v>#N/A</v>
      </c>
      <c r="N656" s="2335" t="e">
        <v>#N/A</v>
      </c>
      <c r="O656" s="2331" t="e">
        <v>#N/A</v>
      </c>
      <c r="P656" s="2332" t="e">
        <v>#N/A</v>
      </c>
      <c r="Q656" s="2204"/>
      <c r="R656" s="2204"/>
    </row>
    <row r="657" spans="1:16">
      <c r="A657" s="1340">
        <v>2026.12</v>
      </c>
      <c r="B657" s="2324" t="e">
        <v>#N/A</v>
      </c>
      <c r="C657" s="3269" t="e">
        <v>#N/A</v>
      </c>
      <c r="D657" s="2325" t="e">
        <v>#N/A</v>
      </c>
      <c r="E657" s="2326" t="e">
        <v>#N/A</v>
      </c>
      <c r="F657" s="3269" t="e">
        <v>#N/A</v>
      </c>
      <c r="G657" s="2325" t="e">
        <v>#N/A</v>
      </c>
      <c r="H657" s="2326" t="e">
        <v>#N/A</v>
      </c>
      <c r="I657" s="2333" t="e">
        <v>#N/A</v>
      </c>
      <c r="J657" s="2334" t="e">
        <v>#N/A</v>
      </c>
      <c r="K657" s="2334" t="e">
        <v>#N/A</v>
      </c>
      <c r="L657" s="2334" t="e">
        <v>#N/A</v>
      </c>
      <c r="M657" s="2331" t="e">
        <v>#N/A</v>
      </c>
      <c r="N657" s="2335" t="e">
        <v>#N/A</v>
      </c>
      <c r="O657" s="2331" t="e">
        <v>#N/A</v>
      </c>
      <c r="P657" s="2332" t="e">
        <v>#N/A</v>
      </c>
    </row>
    <row r="658" spans="1:16">
      <c r="A658" s="1340">
        <v>2027.01</v>
      </c>
      <c r="B658" s="2324" t="e">
        <v>#N/A</v>
      </c>
      <c r="C658" s="3269" t="e">
        <v>#N/A</v>
      </c>
      <c r="D658" s="2325" t="e">
        <v>#N/A</v>
      </c>
      <c r="E658" s="2326" t="e">
        <v>#N/A</v>
      </c>
      <c r="F658" s="3269" t="e">
        <v>#N/A</v>
      </c>
      <c r="G658" s="2325" t="e">
        <v>#N/A</v>
      </c>
      <c r="H658" s="2326" t="e">
        <v>#N/A</v>
      </c>
      <c r="I658" s="2333" t="e">
        <v>#N/A</v>
      </c>
      <c r="J658" s="2334" t="e">
        <v>#N/A</v>
      </c>
      <c r="K658" s="2334" t="e">
        <v>#N/A</v>
      </c>
      <c r="L658" s="2334" t="e">
        <v>#N/A</v>
      </c>
      <c r="M658" s="2331" t="e">
        <v>#N/A</v>
      </c>
      <c r="N658" s="2335" t="e">
        <v>#N/A</v>
      </c>
      <c r="O658" s="2331" t="e">
        <v>#N/A</v>
      </c>
      <c r="P658" s="2332" t="e">
        <v>#N/A</v>
      </c>
    </row>
    <row r="659" spans="1:16">
      <c r="A659" s="1340">
        <v>2027.02</v>
      </c>
      <c r="B659" s="2324" t="e">
        <v>#N/A</v>
      </c>
      <c r="C659" s="3269" t="e">
        <v>#N/A</v>
      </c>
      <c r="D659" s="2325" t="e">
        <v>#N/A</v>
      </c>
      <c r="E659" s="2326" t="e">
        <v>#N/A</v>
      </c>
      <c r="F659" s="3269" t="e">
        <v>#N/A</v>
      </c>
      <c r="G659" s="2325" t="e">
        <v>#N/A</v>
      </c>
      <c r="H659" s="2326" t="e">
        <v>#N/A</v>
      </c>
      <c r="I659" s="2333" t="e">
        <v>#N/A</v>
      </c>
      <c r="J659" s="2334" t="e">
        <v>#N/A</v>
      </c>
      <c r="K659" s="2334" t="e">
        <v>#N/A</v>
      </c>
      <c r="L659" s="2334" t="e">
        <v>#N/A</v>
      </c>
      <c r="M659" s="2331" t="e">
        <v>#N/A</v>
      </c>
      <c r="N659" s="2335" t="e">
        <v>#N/A</v>
      </c>
      <c r="O659" s="2331" t="e">
        <v>#N/A</v>
      </c>
      <c r="P659" s="2332" t="e">
        <v>#N/A</v>
      </c>
    </row>
    <row r="660" spans="1:16">
      <c r="A660" s="1340">
        <v>2027.03</v>
      </c>
      <c r="B660" s="2324" t="e">
        <v>#N/A</v>
      </c>
      <c r="C660" s="3269" t="e">
        <v>#N/A</v>
      </c>
      <c r="D660" s="2325" t="e">
        <v>#N/A</v>
      </c>
      <c r="E660" s="2326" t="e">
        <v>#N/A</v>
      </c>
      <c r="F660" s="3269" t="e">
        <v>#N/A</v>
      </c>
      <c r="G660" s="2325" t="e">
        <v>#N/A</v>
      </c>
      <c r="H660" s="2326" t="e">
        <v>#N/A</v>
      </c>
      <c r="I660" s="2333" t="e">
        <v>#N/A</v>
      </c>
      <c r="J660" s="2334" t="e">
        <v>#N/A</v>
      </c>
      <c r="K660" s="2334" t="e">
        <v>#N/A</v>
      </c>
      <c r="L660" s="2334" t="e">
        <v>#N/A</v>
      </c>
      <c r="M660" s="2331" t="e">
        <v>#N/A</v>
      </c>
      <c r="N660" s="2335" t="e">
        <v>#N/A</v>
      </c>
      <c r="O660" s="2331" t="e">
        <v>#N/A</v>
      </c>
      <c r="P660" s="2332" t="e">
        <v>#N/A</v>
      </c>
    </row>
    <row r="661" spans="1:16">
      <c r="A661" s="1340">
        <v>2027.04</v>
      </c>
      <c r="B661" s="2324" t="e">
        <v>#N/A</v>
      </c>
      <c r="C661" s="3269" t="e">
        <v>#N/A</v>
      </c>
      <c r="D661" s="2325" t="e">
        <v>#N/A</v>
      </c>
      <c r="E661" s="2326" t="e">
        <v>#N/A</v>
      </c>
      <c r="F661" s="3269" t="e">
        <v>#N/A</v>
      </c>
      <c r="G661" s="2325" t="e">
        <v>#N/A</v>
      </c>
      <c r="H661" s="2326" t="e">
        <v>#N/A</v>
      </c>
      <c r="I661" s="2333" t="e">
        <v>#N/A</v>
      </c>
      <c r="J661" s="2334" t="e">
        <v>#N/A</v>
      </c>
      <c r="K661" s="2334" t="e">
        <v>#N/A</v>
      </c>
      <c r="L661" s="2334" t="e">
        <v>#N/A</v>
      </c>
      <c r="M661" s="2331" t="e">
        <v>#N/A</v>
      </c>
      <c r="N661" s="2335" t="e">
        <v>#N/A</v>
      </c>
      <c r="O661" s="2331" t="e">
        <v>#N/A</v>
      </c>
      <c r="P661" s="2332" t="e">
        <v>#N/A</v>
      </c>
    </row>
    <row r="662" spans="1:16">
      <c r="A662" s="1340">
        <v>2027.05</v>
      </c>
      <c r="B662" s="2324" t="e">
        <v>#N/A</v>
      </c>
      <c r="C662" s="3269" t="e">
        <v>#N/A</v>
      </c>
      <c r="D662" s="2325" t="e">
        <v>#N/A</v>
      </c>
      <c r="E662" s="2326" t="e">
        <v>#N/A</v>
      </c>
      <c r="F662" s="3269" t="e">
        <v>#N/A</v>
      </c>
      <c r="G662" s="2325" t="e">
        <v>#N/A</v>
      </c>
      <c r="H662" s="2326" t="e">
        <v>#N/A</v>
      </c>
      <c r="I662" s="2333" t="e">
        <v>#N/A</v>
      </c>
      <c r="J662" s="2334" t="e">
        <v>#N/A</v>
      </c>
      <c r="K662" s="2334" t="e">
        <v>#N/A</v>
      </c>
      <c r="L662" s="2334" t="e">
        <v>#N/A</v>
      </c>
      <c r="M662" s="2331" t="e">
        <v>#N/A</v>
      </c>
      <c r="N662" s="2335" t="e">
        <v>#N/A</v>
      </c>
      <c r="O662" s="2331" t="e">
        <v>#N/A</v>
      </c>
      <c r="P662" s="2332" t="e">
        <v>#N/A</v>
      </c>
    </row>
    <row r="663" spans="1:16">
      <c r="A663" s="1340">
        <v>2027.06</v>
      </c>
      <c r="B663" s="2324" t="e">
        <v>#N/A</v>
      </c>
      <c r="C663" s="3269" t="e">
        <v>#N/A</v>
      </c>
      <c r="D663" s="2325" t="e">
        <v>#N/A</v>
      </c>
      <c r="E663" s="2326" t="e">
        <v>#N/A</v>
      </c>
      <c r="F663" s="3269" t="e">
        <v>#N/A</v>
      </c>
      <c r="G663" s="2325" t="e">
        <v>#N/A</v>
      </c>
      <c r="H663" s="2326" t="e">
        <v>#N/A</v>
      </c>
      <c r="I663" s="2333" t="e">
        <v>#N/A</v>
      </c>
      <c r="J663" s="2334" t="e">
        <v>#N/A</v>
      </c>
      <c r="K663" s="2334" t="e">
        <v>#N/A</v>
      </c>
      <c r="L663" s="2334" t="e">
        <v>#N/A</v>
      </c>
      <c r="M663" s="2331" t="e">
        <v>#N/A</v>
      </c>
      <c r="N663" s="2335" t="e">
        <v>#N/A</v>
      </c>
      <c r="O663" s="2331" t="e">
        <v>#N/A</v>
      </c>
      <c r="P663" s="2332" t="e">
        <v>#N/A</v>
      </c>
    </row>
    <row r="664" spans="1:16">
      <c r="A664" s="1340">
        <v>2027.07</v>
      </c>
      <c r="B664" s="2324" t="e">
        <v>#N/A</v>
      </c>
      <c r="C664" s="3269" t="e">
        <v>#N/A</v>
      </c>
      <c r="D664" s="2325" t="e">
        <v>#N/A</v>
      </c>
      <c r="E664" s="2326" t="e">
        <v>#N/A</v>
      </c>
      <c r="F664" s="3269" t="e">
        <v>#N/A</v>
      </c>
      <c r="G664" s="2325" t="e">
        <v>#N/A</v>
      </c>
      <c r="H664" s="2326" t="e">
        <v>#N/A</v>
      </c>
      <c r="I664" s="2333" t="e">
        <v>#N/A</v>
      </c>
      <c r="J664" s="2334" t="e">
        <v>#N/A</v>
      </c>
      <c r="K664" s="2334" t="e">
        <v>#N/A</v>
      </c>
      <c r="L664" s="2334" t="e">
        <v>#N/A</v>
      </c>
      <c r="M664" s="2331" t="e">
        <v>#N/A</v>
      </c>
      <c r="N664" s="2335" t="e">
        <v>#N/A</v>
      </c>
      <c r="O664" s="2331" t="e">
        <v>#N/A</v>
      </c>
      <c r="P664" s="2332" t="e">
        <v>#N/A</v>
      </c>
    </row>
    <row r="665" spans="1:16">
      <c r="A665" s="1340">
        <v>2027.08</v>
      </c>
      <c r="B665" s="2324" t="e">
        <v>#N/A</v>
      </c>
      <c r="C665" s="3269" t="e">
        <v>#N/A</v>
      </c>
      <c r="D665" s="2325" t="e">
        <v>#N/A</v>
      </c>
      <c r="E665" s="2326" t="e">
        <v>#N/A</v>
      </c>
      <c r="F665" s="3269" t="e">
        <v>#N/A</v>
      </c>
      <c r="G665" s="2325" t="e">
        <v>#N/A</v>
      </c>
      <c r="H665" s="2326" t="e">
        <v>#N/A</v>
      </c>
      <c r="I665" s="2333" t="e">
        <v>#N/A</v>
      </c>
      <c r="J665" s="2334" t="e">
        <v>#N/A</v>
      </c>
      <c r="K665" s="2334" t="e">
        <v>#N/A</v>
      </c>
      <c r="L665" s="2334" t="e">
        <v>#N/A</v>
      </c>
      <c r="M665" s="2331" t="e">
        <v>#N/A</v>
      </c>
      <c r="N665" s="2335" t="e">
        <v>#N/A</v>
      </c>
      <c r="O665" s="2331" t="e">
        <v>#N/A</v>
      </c>
      <c r="P665" s="2332" t="e">
        <v>#N/A</v>
      </c>
    </row>
    <row r="666" spans="1:16">
      <c r="A666" s="1340">
        <v>2027.09</v>
      </c>
      <c r="B666" s="2324" t="e">
        <v>#N/A</v>
      </c>
      <c r="C666" s="3269" t="e">
        <v>#N/A</v>
      </c>
      <c r="D666" s="2325" t="e">
        <v>#N/A</v>
      </c>
      <c r="E666" s="2326" t="e">
        <v>#N/A</v>
      </c>
      <c r="F666" s="3269" t="e">
        <v>#N/A</v>
      </c>
      <c r="G666" s="2325" t="e">
        <v>#N/A</v>
      </c>
      <c r="H666" s="2326" t="e">
        <v>#N/A</v>
      </c>
      <c r="I666" s="2333" t="e">
        <v>#N/A</v>
      </c>
      <c r="J666" s="2334" t="e">
        <v>#N/A</v>
      </c>
      <c r="K666" s="2334" t="e">
        <v>#N/A</v>
      </c>
      <c r="L666" s="2334" t="e">
        <v>#N/A</v>
      </c>
      <c r="M666" s="2331" t="e">
        <v>#N/A</v>
      </c>
      <c r="N666" s="2335" t="e">
        <v>#N/A</v>
      </c>
      <c r="O666" s="2331" t="e">
        <v>#N/A</v>
      </c>
      <c r="P666" s="2332" t="e">
        <v>#N/A</v>
      </c>
    </row>
    <row r="667" spans="1:16">
      <c r="A667" s="1340">
        <v>2027.1</v>
      </c>
      <c r="B667" s="2324" t="e">
        <v>#N/A</v>
      </c>
      <c r="C667" s="3269" t="e">
        <v>#N/A</v>
      </c>
      <c r="D667" s="2325" t="e">
        <v>#N/A</v>
      </c>
      <c r="E667" s="2326" t="e">
        <v>#N/A</v>
      </c>
      <c r="F667" s="3269" t="e">
        <v>#N/A</v>
      </c>
      <c r="G667" s="2325" t="e">
        <v>#N/A</v>
      </c>
      <c r="H667" s="2326" t="e">
        <v>#N/A</v>
      </c>
      <c r="I667" s="2333" t="e">
        <v>#N/A</v>
      </c>
      <c r="J667" s="2334" t="e">
        <v>#N/A</v>
      </c>
      <c r="K667" s="2334" t="e">
        <v>#N/A</v>
      </c>
      <c r="L667" s="2334" t="e">
        <v>#N/A</v>
      </c>
      <c r="M667" s="2331" t="e">
        <v>#N/A</v>
      </c>
      <c r="N667" s="2335" t="e">
        <v>#N/A</v>
      </c>
      <c r="O667" s="2331" t="e">
        <v>#N/A</v>
      </c>
      <c r="P667" s="2332" t="e">
        <v>#N/A</v>
      </c>
    </row>
    <row r="668" spans="1:16">
      <c r="A668" s="1340">
        <v>2027.11</v>
      </c>
      <c r="B668" s="2324" t="e">
        <v>#N/A</v>
      </c>
      <c r="C668" s="3269" t="e">
        <v>#N/A</v>
      </c>
      <c r="D668" s="2325" t="e">
        <v>#N/A</v>
      </c>
      <c r="E668" s="2326" t="e">
        <v>#N/A</v>
      </c>
      <c r="F668" s="3269" t="e">
        <v>#N/A</v>
      </c>
      <c r="G668" s="2325" t="e">
        <v>#N/A</v>
      </c>
      <c r="H668" s="2326" t="e">
        <v>#N/A</v>
      </c>
      <c r="I668" s="2333" t="e">
        <v>#N/A</v>
      </c>
      <c r="J668" s="2334" t="e">
        <v>#N/A</v>
      </c>
      <c r="K668" s="2334" t="e">
        <v>#N/A</v>
      </c>
      <c r="L668" s="2334" t="e">
        <v>#N/A</v>
      </c>
      <c r="M668" s="2331" t="e">
        <v>#N/A</v>
      </c>
      <c r="N668" s="2335" t="e">
        <v>#N/A</v>
      </c>
      <c r="O668" s="2331" t="e">
        <v>#N/A</v>
      </c>
      <c r="P668" s="2332" t="e">
        <v>#N/A</v>
      </c>
    </row>
    <row r="669" spans="1:16">
      <c r="A669" s="1340">
        <v>2027.12</v>
      </c>
      <c r="B669" s="2324" t="e">
        <v>#N/A</v>
      </c>
      <c r="C669" s="3269" t="e">
        <v>#N/A</v>
      </c>
      <c r="D669" s="2325" t="e">
        <v>#N/A</v>
      </c>
      <c r="E669" s="2326" t="e">
        <v>#N/A</v>
      </c>
      <c r="F669" s="3269" t="e">
        <v>#N/A</v>
      </c>
      <c r="G669" s="2325" t="e">
        <v>#N/A</v>
      </c>
      <c r="H669" s="2326" t="e">
        <v>#N/A</v>
      </c>
      <c r="I669" s="2333" t="e">
        <v>#N/A</v>
      </c>
      <c r="J669" s="2334" t="e">
        <v>#N/A</v>
      </c>
      <c r="K669" s="2334" t="e">
        <v>#N/A</v>
      </c>
      <c r="L669" s="2334" t="e">
        <v>#N/A</v>
      </c>
      <c r="M669" s="2331" t="e">
        <v>#N/A</v>
      </c>
      <c r="N669" s="2335" t="e">
        <v>#N/A</v>
      </c>
      <c r="O669" s="2331" t="e">
        <v>#N/A</v>
      </c>
      <c r="P669" s="2332" t="e">
        <v>#N/A</v>
      </c>
    </row>
    <row r="670" spans="1:16">
      <c r="A670" s="1340">
        <v>2028.01</v>
      </c>
      <c r="B670" s="2324" t="e">
        <v>#N/A</v>
      </c>
      <c r="C670" s="3269" t="e">
        <v>#N/A</v>
      </c>
      <c r="D670" s="2325" t="e">
        <v>#N/A</v>
      </c>
      <c r="E670" s="2326" t="e">
        <v>#N/A</v>
      </c>
      <c r="F670" s="3269" t="e">
        <v>#N/A</v>
      </c>
      <c r="G670" s="2325" t="e">
        <v>#N/A</v>
      </c>
      <c r="H670" s="2326" t="e">
        <v>#N/A</v>
      </c>
      <c r="I670" s="2333" t="e">
        <v>#N/A</v>
      </c>
      <c r="J670" s="2334" t="e">
        <v>#N/A</v>
      </c>
      <c r="K670" s="2334" t="e">
        <v>#N/A</v>
      </c>
      <c r="L670" s="2334" t="e">
        <v>#N/A</v>
      </c>
      <c r="M670" s="2331" t="e">
        <v>#N/A</v>
      </c>
      <c r="N670" s="2335" t="e">
        <v>#N/A</v>
      </c>
      <c r="O670" s="2331" t="e">
        <v>#N/A</v>
      </c>
      <c r="P670" s="2332" t="e">
        <v>#N/A</v>
      </c>
    </row>
    <row r="671" spans="1:16">
      <c r="A671" s="1340">
        <v>2028.02</v>
      </c>
      <c r="B671" s="2324" t="e">
        <v>#N/A</v>
      </c>
      <c r="C671" s="3269" t="e">
        <v>#N/A</v>
      </c>
      <c r="D671" s="2325" t="e">
        <v>#N/A</v>
      </c>
      <c r="E671" s="2326" t="e">
        <v>#N/A</v>
      </c>
      <c r="F671" s="3269" t="e">
        <v>#N/A</v>
      </c>
      <c r="G671" s="2325" t="e">
        <v>#N/A</v>
      </c>
      <c r="H671" s="2326" t="e">
        <v>#N/A</v>
      </c>
      <c r="I671" s="2333" t="e">
        <v>#N/A</v>
      </c>
      <c r="J671" s="2334" t="e">
        <v>#N/A</v>
      </c>
      <c r="K671" s="2334" t="e">
        <v>#N/A</v>
      </c>
      <c r="L671" s="2334" t="e">
        <v>#N/A</v>
      </c>
      <c r="M671" s="2331" t="e">
        <v>#N/A</v>
      </c>
      <c r="N671" s="2335" t="e">
        <v>#N/A</v>
      </c>
      <c r="O671" s="2331" t="e">
        <v>#N/A</v>
      </c>
      <c r="P671" s="2332" t="e">
        <v>#N/A</v>
      </c>
    </row>
    <row r="672" spans="1:16">
      <c r="A672" s="1340">
        <v>2028.03</v>
      </c>
      <c r="B672" s="2324" t="e">
        <v>#N/A</v>
      </c>
      <c r="C672" s="3269" t="e">
        <v>#N/A</v>
      </c>
      <c r="D672" s="2325" t="e">
        <v>#N/A</v>
      </c>
      <c r="E672" s="2326" t="e">
        <v>#N/A</v>
      </c>
      <c r="F672" s="3269" t="e">
        <v>#N/A</v>
      </c>
      <c r="G672" s="2325" t="e">
        <v>#N/A</v>
      </c>
      <c r="H672" s="2326" t="e">
        <v>#N/A</v>
      </c>
      <c r="I672" s="2333" t="e">
        <v>#N/A</v>
      </c>
      <c r="J672" s="2334" t="e">
        <v>#N/A</v>
      </c>
      <c r="K672" s="2334" t="e">
        <v>#N/A</v>
      </c>
      <c r="L672" s="2334" t="e">
        <v>#N/A</v>
      </c>
      <c r="M672" s="2331" t="e">
        <v>#N/A</v>
      </c>
      <c r="N672" s="2335" t="e">
        <v>#N/A</v>
      </c>
      <c r="O672" s="2331" t="e">
        <v>#N/A</v>
      </c>
      <c r="P672" s="2332" t="e">
        <v>#N/A</v>
      </c>
    </row>
    <row r="673" spans="1:16">
      <c r="A673" s="1340">
        <v>2028.04</v>
      </c>
      <c r="B673" s="2324" t="e">
        <v>#N/A</v>
      </c>
      <c r="C673" s="3269" t="e">
        <v>#N/A</v>
      </c>
      <c r="D673" s="2325" t="e">
        <v>#N/A</v>
      </c>
      <c r="E673" s="2326" t="e">
        <v>#N/A</v>
      </c>
      <c r="F673" s="3269" t="e">
        <v>#N/A</v>
      </c>
      <c r="G673" s="2325" t="e">
        <v>#N/A</v>
      </c>
      <c r="H673" s="2326" t="e">
        <v>#N/A</v>
      </c>
      <c r="I673" s="2333" t="e">
        <v>#N/A</v>
      </c>
      <c r="J673" s="2334" t="e">
        <v>#N/A</v>
      </c>
      <c r="K673" s="2334" t="e">
        <v>#N/A</v>
      </c>
      <c r="L673" s="2334" t="e">
        <v>#N/A</v>
      </c>
      <c r="M673" s="2331" t="e">
        <v>#N/A</v>
      </c>
      <c r="N673" s="2335" t="e">
        <v>#N/A</v>
      </c>
      <c r="O673" s="2331" t="e">
        <v>#N/A</v>
      </c>
      <c r="P673" s="2332" t="e">
        <v>#N/A</v>
      </c>
    </row>
    <row r="674" spans="1:16">
      <c r="A674" s="1340">
        <v>2028.05</v>
      </c>
      <c r="B674" s="2324" t="e">
        <v>#N/A</v>
      </c>
      <c r="C674" s="3269" t="e">
        <v>#N/A</v>
      </c>
      <c r="D674" s="2325" t="e">
        <v>#N/A</v>
      </c>
      <c r="E674" s="2326" t="e">
        <v>#N/A</v>
      </c>
      <c r="F674" s="3269" t="e">
        <v>#N/A</v>
      </c>
      <c r="G674" s="2325" t="e">
        <v>#N/A</v>
      </c>
      <c r="H674" s="2326" t="e">
        <v>#N/A</v>
      </c>
      <c r="I674" s="2333" t="e">
        <v>#N/A</v>
      </c>
      <c r="J674" s="2334" t="e">
        <v>#N/A</v>
      </c>
      <c r="K674" s="2334" t="e">
        <v>#N/A</v>
      </c>
      <c r="L674" s="2334" t="e">
        <v>#N/A</v>
      </c>
      <c r="M674" s="2331" t="e">
        <v>#N/A</v>
      </c>
      <c r="N674" s="2335" t="e">
        <v>#N/A</v>
      </c>
      <c r="O674" s="2331" t="e">
        <v>#N/A</v>
      </c>
      <c r="P674" s="2332" t="e">
        <v>#N/A</v>
      </c>
    </row>
    <row r="675" spans="1:16">
      <c r="A675" s="1340">
        <v>2028.06</v>
      </c>
      <c r="B675" s="2324" t="e">
        <v>#N/A</v>
      </c>
      <c r="C675" s="3269" t="e">
        <v>#N/A</v>
      </c>
      <c r="D675" s="2325" t="e">
        <v>#N/A</v>
      </c>
      <c r="E675" s="2326" t="e">
        <v>#N/A</v>
      </c>
      <c r="F675" s="3269" t="e">
        <v>#N/A</v>
      </c>
      <c r="G675" s="2325" t="e">
        <v>#N/A</v>
      </c>
      <c r="H675" s="2326" t="e">
        <v>#N/A</v>
      </c>
      <c r="I675" s="2333" t="e">
        <v>#N/A</v>
      </c>
      <c r="J675" s="2334" t="e">
        <v>#N/A</v>
      </c>
      <c r="K675" s="2334" t="e">
        <v>#N/A</v>
      </c>
      <c r="L675" s="2334" t="e">
        <v>#N/A</v>
      </c>
      <c r="M675" s="2331" t="e">
        <v>#N/A</v>
      </c>
      <c r="N675" s="2335" t="e">
        <v>#N/A</v>
      </c>
      <c r="O675" s="2331" t="e">
        <v>#N/A</v>
      </c>
      <c r="P675" s="2332" t="e">
        <v>#N/A</v>
      </c>
    </row>
    <row r="676" spans="1:16">
      <c r="A676" s="1340">
        <v>2028.07</v>
      </c>
      <c r="B676" s="2324" t="e">
        <v>#N/A</v>
      </c>
      <c r="C676" s="3269" t="e">
        <v>#N/A</v>
      </c>
      <c r="D676" s="2325" t="e">
        <v>#N/A</v>
      </c>
      <c r="E676" s="2326" t="e">
        <v>#N/A</v>
      </c>
      <c r="F676" s="3269" t="e">
        <v>#N/A</v>
      </c>
      <c r="G676" s="2325" t="e">
        <v>#N/A</v>
      </c>
      <c r="H676" s="2326" t="e">
        <v>#N/A</v>
      </c>
      <c r="I676" s="2333" t="e">
        <v>#N/A</v>
      </c>
      <c r="J676" s="2334" t="e">
        <v>#N/A</v>
      </c>
      <c r="K676" s="2334" t="e">
        <v>#N/A</v>
      </c>
      <c r="L676" s="2334" t="e">
        <v>#N/A</v>
      </c>
      <c r="M676" s="2331" t="e">
        <v>#N/A</v>
      </c>
      <c r="N676" s="2335" t="e">
        <v>#N/A</v>
      </c>
      <c r="O676" s="2331" t="e">
        <v>#N/A</v>
      </c>
      <c r="P676" s="2332" t="e">
        <v>#N/A</v>
      </c>
    </row>
    <row r="677" spans="1:16">
      <c r="A677" s="1340">
        <v>2028.08</v>
      </c>
      <c r="B677" s="2324" t="e">
        <v>#N/A</v>
      </c>
      <c r="C677" s="3269" t="e">
        <v>#N/A</v>
      </c>
      <c r="D677" s="2325" t="e">
        <v>#N/A</v>
      </c>
      <c r="E677" s="2326" t="e">
        <v>#N/A</v>
      </c>
      <c r="F677" s="3269" t="e">
        <v>#N/A</v>
      </c>
      <c r="G677" s="2325" t="e">
        <v>#N/A</v>
      </c>
      <c r="H677" s="2326" t="e">
        <v>#N/A</v>
      </c>
      <c r="I677" s="2333" t="e">
        <v>#N/A</v>
      </c>
      <c r="J677" s="2334" t="e">
        <v>#N/A</v>
      </c>
      <c r="K677" s="2334" t="e">
        <v>#N/A</v>
      </c>
      <c r="L677" s="2334" t="e">
        <v>#N/A</v>
      </c>
      <c r="M677" s="2331" t="e">
        <v>#N/A</v>
      </c>
      <c r="N677" s="2335" t="e">
        <v>#N/A</v>
      </c>
      <c r="O677" s="2331" t="e">
        <v>#N/A</v>
      </c>
      <c r="P677" s="2332" t="e">
        <v>#N/A</v>
      </c>
    </row>
    <row r="678" spans="1:16">
      <c r="A678" s="1340">
        <v>2028.09</v>
      </c>
      <c r="B678" s="2324" t="e">
        <v>#N/A</v>
      </c>
      <c r="C678" s="3269" t="e">
        <v>#N/A</v>
      </c>
      <c r="D678" s="2325" t="e">
        <v>#N/A</v>
      </c>
      <c r="E678" s="2326" t="e">
        <v>#N/A</v>
      </c>
      <c r="F678" s="3269" t="e">
        <v>#N/A</v>
      </c>
      <c r="G678" s="2325" t="e">
        <v>#N/A</v>
      </c>
      <c r="H678" s="2326" t="e">
        <v>#N/A</v>
      </c>
      <c r="I678" s="2333" t="e">
        <v>#N/A</v>
      </c>
      <c r="J678" s="2334" t="e">
        <v>#N/A</v>
      </c>
      <c r="K678" s="2334" t="e">
        <v>#N/A</v>
      </c>
      <c r="L678" s="2334" t="e">
        <v>#N/A</v>
      </c>
      <c r="M678" s="2331" t="e">
        <v>#N/A</v>
      </c>
      <c r="N678" s="2335" t="e">
        <v>#N/A</v>
      </c>
      <c r="O678" s="2331" t="e">
        <v>#N/A</v>
      </c>
      <c r="P678" s="2332" t="e">
        <v>#N/A</v>
      </c>
    </row>
    <row r="679" spans="1:16">
      <c r="A679" s="1340">
        <v>2028.1</v>
      </c>
      <c r="B679" s="2324" t="e">
        <v>#N/A</v>
      </c>
      <c r="C679" s="3269" t="e">
        <v>#N/A</v>
      </c>
      <c r="D679" s="2325" t="e">
        <v>#N/A</v>
      </c>
      <c r="E679" s="2326" t="e">
        <v>#N/A</v>
      </c>
      <c r="F679" s="3269" t="e">
        <v>#N/A</v>
      </c>
      <c r="G679" s="2325" t="e">
        <v>#N/A</v>
      </c>
      <c r="H679" s="2326" t="e">
        <v>#N/A</v>
      </c>
      <c r="I679" s="2333" t="e">
        <v>#N/A</v>
      </c>
      <c r="J679" s="2334" t="e">
        <v>#N/A</v>
      </c>
      <c r="K679" s="2334" t="e">
        <v>#N/A</v>
      </c>
      <c r="L679" s="2334" t="e">
        <v>#N/A</v>
      </c>
      <c r="M679" s="2331" t="e">
        <v>#N/A</v>
      </c>
      <c r="N679" s="2335" t="e">
        <v>#N/A</v>
      </c>
      <c r="O679" s="2331" t="e">
        <v>#N/A</v>
      </c>
      <c r="P679" s="2332" t="e">
        <v>#N/A</v>
      </c>
    </row>
    <row r="680" spans="1:16">
      <c r="A680" s="1340">
        <v>2028.11</v>
      </c>
      <c r="B680" s="2324" t="e">
        <v>#N/A</v>
      </c>
      <c r="C680" s="3269" t="e">
        <v>#N/A</v>
      </c>
      <c r="D680" s="2325" t="e">
        <v>#N/A</v>
      </c>
      <c r="E680" s="2326" t="e">
        <v>#N/A</v>
      </c>
      <c r="F680" s="3269" t="e">
        <v>#N/A</v>
      </c>
      <c r="G680" s="2325" t="e">
        <v>#N/A</v>
      </c>
      <c r="H680" s="2326" t="e">
        <v>#N/A</v>
      </c>
      <c r="I680" s="2333" t="e">
        <v>#N/A</v>
      </c>
      <c r="J680" s="2334" t="e">
        <v>#N/A</v>
      </c>
      <c r="K680" s="2334" t="e">
        <v>#N/A</v>
      </c>
      <c r="L680" s="2334" t="e">
        <v>#N/A</v>
      </c>
      <c r="M680" s="2331" t="e">
        <v>#N/A</v>
      </c>
      <c r="N680" s="2335" t="e">
        <v>#N/A</v>
      </c>
      <c r="O680" s="2331" t="e">
        <v>#N/A</v>
      </c>
      <c r="P680" s="2332" t="e">
        <v>#N/A</v>
      </c>
    </row>
    <row r="681" spans="1:16">
      <c r="A681" s="1340">
        <v>2028.12</v>
      </c>
      <c r="B681" s="2324" t="e">
        <v>#N/A</v>
      </c>
      <c r="C681" s="3269" t="e">
        <v>#N/A</v>
      </c>
      <c r="D681" s="2325" t="e">
        <v>#N/A</v>
      </c>
      <c r="E681" s="2326" t="e">
        <v>#N/A</v>
      </c>
      <c r="F681" s="3269" t="e">
        <v>#N/A</v>
      </c>
      <c r="G681" s="2325" t="e">
        <v>#N/A</v>
      </c>
      <c r="H681" s="2326" t="e">
        <v>#N/A</v>
      </c>
      <c r="I681" s="2333" t="e">
        <v>#N/A</v>
      </c>
      <c r="J681" s="2334" t="e">
        <v>#N/A</v>
      </c>
      <c r="K681" s="2334" t="e">
        <v>#N/A</v>
      </c>
      <c r="L681" s="2334" t="e">
        <v>#N/A</v>
      </c>
      <c r="M681" s="2331" t="e">
        <v>#N/A</v>
      </c>
      <c r="N681" s="2335" t="e">
        <v>#N/A</v>
      </c>
      <c r="O681" s="2331" t="e">
        <v>#N/A</v>
      </c>
      <c r="P681" s="2332" t="e">
        <v>#N/A</v>
      </c>
    </row>
    <row r="682" spans="1:16">
      <c r="A682" s="1340">
        <v>2029.01</v>
      </c>
      <c r="B682" s="2324" t="e">
        <v>#N/A</v>
      </c>
      <c r="C682" s="3269" t="e">
        <v>#N/A</v>
      </c>
      <c r="D682" s="2325" t="e">
        <v>#N/A</v>
      </c>
      <c r="E682" s="2326" t="e">
        <v>#N/A</v>
      </c>
      <c r="F682" s="3269" t="e">
        <v>#N/A</v>
      </c>
      <c r="G682" s="2325" t="e">
        <v>#N/A</v>
      </c>
      <c r="H682" s="2326" t="e">
        <v>#N/A</v>
      </c>
      <c r="I682" s="2333" t="e">
        <v>#N/A</v>
      </c>
      <c r="J682" s="2334" t="e">
        <v>#N/A</v>
      </c>
      <c r="K682" s="2334" t="e">
        <v>#N/A</v>
      </c>
      <c r="L682" s="2334" t="e">
        <v>#N/A</v>
      </c>
      <c r="M682" s="2331" t="e">
        <v>#N/A</v>
      </c>
      <c r="N682" s="2335" t="e">
        <v>#N/A</v>
      </c>
      <c r="O682" s="2331" t="e">
        <v>#N/A</v>
      </c>
      <c r="P682" s="2332" t="e">
        <v>#N/A</v>
      </c>
    </row>
    <row r="683" spans="1:16">
      <c r="A683" s="1340">
        <v>2029.02</v>
      </c>
      <c r="B683" s="2324" t="e">
        <v>#N/A</v>
      </c>
      <c r="C683" s="3269" t="e">
        <v>#N/A</v>
      </c>
      <c r="D683" s="2325" t="e">
        <v>#N/A</v>
      </c>
      <c r="E683" s="2326" t="e">
        <v>#N/A</v>
      </c>
      <c r="F683" s="3269" t="e">
        <v>#N/A</v>
      </c>
      <c r="G683" s="2325" t="e">
        <v>#N/A</v>
      </c>
      <c r="H683" s="2326" t="e">
        <v>#N/A</v>
      </c>
      <c r="I683" s="2333" t="e">
        <v>#N/A</v>
      </c>
      <c r="J683" s="2334" t="e">
        <v>#N/A</v>
      </c>
      <c r="K683" s="2334" t="e">
        <v>#N/A</v>
      </c>
      <c r="L683" s="2334" t="e">
        <v>#N/A</v>
      </c>
      <c r="M683" s="2331" t="e">
        <v>#N/A</v>
      </c>
      <c r="N683" s="2335" t="e">
        <v>#N/A</v>
      </c>
      <c r="O683" s="2331" t="e">
        <v>#N/A</v>
      </c>
      <c r="P683" s="2332" t="e">
        <v>#N/A</v>
      </c>
    </row>
    <row r="684" spans="1:16">
      <c r="A684" s="1340">
        <v>2029.03</v>
      </c>
      <c r="B684" s="2324" t="e">
        <v>#N/A</v>
      </c>
      <c r="C684" s="3269" t="e">
        <v>#N/A</v>
      </c>
      <c r="D684" s="2325" t="e">
        <v>#N/A</v>
      </c>
      <c r="E684" s="2326" t="e">
        <v>#N/A</v>
      </c>
      <c r="F684" s="3269" t="e">
        <v>#N/A</v>
      </c>
      <c r="G684" s="2325" t="e">
        <v>#N/A</v>
      </c>
      <c r="H684" s="2326" t="e">
        <v>#N/A</v>
      </c>
      <c r="I684" s="2333" t="e">
        <v>#N/A</v>
      </c>
      <c r="J684" s="2334" t="e">
        <v>#N/A</v>
      </c>
      <c r="K684" s="2334" t="e">
        <v>#N/A</v>
      </c>
      <c r="L684" s="2334" t="e">
        <v>#N/A</v>
      </c>
      <c r="M684" s="2331" t="e">
        <v>#N/A</v>
      </c>
      <c r="N684" s="2335" t="e">
        <v>#N/A</v>
      </c>
      <c r="O684" s="2331" t="e">
        <v>#N/A</v>
      </c>
      <c r="P684" s="2332" t="e">
        <v>#N/A</v>
      </c>
    </row>
    <row r="685" spans="1:16">
      <c r="A685" s="1340">
        <v>2029.04</v>
      </c>
      <c r="B685" s="2324" t="e">
        <v>#N/A</v>
      </c>
      <c r="C685" s="3269" t="e">
        <v>#N/A</v>
      </c>
      <c r="D685" s="2325" t="e">
        <v>#N/A</v>
      </c>
      <c r="E685" s="2326" t="e">
        <v>#N/A</v>
      </c>
      <c r="F685" s="3269" t="e">
        <v>#N/A</v>
      </c>
      <c r="G685" s="2325" t="e">
        <v>#N/A</v>
      </c>
      <c r="H685" s="2326" t="e">
        <v>#N/A</v>
      </c>
      <c r="I685" s="2333" t="e">
        <v>#N/A</v>
      </c>
      <c r="J685" s="2334" t="e">
        <v>#N/A</v>
      </c>
      <c r="K685" s="2334" t="e">
        <v>#N/A</v>
      </c>
      <c r="L685" s="2334" t="e">
        <v>#N/A</v>
      </c>
      <c r="M685" s="2331" t="e">
        <v>#N/A</v>
      </c>
      <c r="N685" s="2335" t="e">
        <v>#N/A</v>
      </c>
      <c r="O685" s="2331" t="e">
        <v>#N/A</v>
      </c>
      <c r="P685" s="2332" t="e">
        <v>#N/A</v>
      </c>
    </row>
    <row r="686" spans="1:16">
      <c r="A686" s="1340">
        <v>2029.05</v>
      </c>
      <c r="B686" s="2324" t="e">
        <v>#N/A</v>
      </c>
      <c r="C686" s="3269" t="e">
        <v>#N/A</v>
      </c>
      <c r="D686" s="2325" t="e">
        <v>#N/A</v>
      </c>
      <c r="E686" s="2326" t="e">
        <v>#N/A</v>
      </c>
      <c r="F686" s="3269" t="e">
        <v>#N/A</v>
      </c>
      <c r="G686" s="2325" t="e">
        <v>#N/A</v>
      </c>
      <c r="H686" s="2326" t="e">
        <v>#N/A</v>
      </c>
      <c r="I686" s="2333" t="e">
        <v>#N/A</v>
      </c>
      <c r="J686" s="2334" t="e">
        <v>#N/A</v>
      </c>
      <c r="K686" s="2334" t="e">
        <v>#N/A</v>
      </c>
      <c r="L686" s="2334" t="e">
        <v>#N/A</v>
      </c>
      <c r="M686" s="2331" t="e">
        <v>#N/A</v>
      </c>
      <c r="N686" s="2335" t="e">
        <v>#N/A</v>
      </c>
      <c r="O686" s="2331" t="e">
        <v>#N/A</v>
      </c>
      <c r="P686" s="2332" t="e">
        <v>#N/A</v>
      </c>
    </row>
    <row r="687" spans="1:16">
      <c r="A687" s="1340">
        <v>2029.06</v>
      </c>
      <c r="B687" s="2324" t="e">
        <v>#N/A</v>
      </c>
      <c r="C687" s="3269" t="e">
        <v>#N/A</v>
      </c>
      <c r="D687" s="2325" t="e">
        <v>#N/A</v>
      </c>
      <c r="E687" s="2326" t="e">
        <v>#N/A</v>
      </c>
      <c r="F687" s="3269" t="e">
        <v>#N/A</v>
      </c>
      <c r="G687" s="2325" t="e">
        <v>#N/A</v>
      </c>
      <c r="H687" s="2326" t="e">
        <v>#N/A</v>
      </c>
      <c r="I687" s="2333" t="e">
        <v>#N/A</v>
      </c>
      <c r="J687" s="2334" t="e">
        <v>#N/A</v>
      </c>
      <c r="K687" s="2334" t="e">
        <v>#N/A</v>
      </c>
      <c r="L687" s="2334" t="e">
        <v>#N/A</v>
      </c>
      <c r="M687" s="2331" t="e">
        <v>#N/A</v>
      </c>
      <c r="N687" s="2335" t="e">
        <v>#N/A</v>
      </c>
      <c r="O687" s="2331" t="e">
        <v>#N/A</v>
      </c>
      <c r="P687" s="2332" t="e">
        <v>#N/A</v>
      </c>
    </row>
    <row r="688" spans="1:16">
      <c r="A688" s="1340">
        <v>2029.07</v>
      </c>
      <c r="B688" s="2324" t="e">
        <v>#N/A</v>
      </c>
      <c r="C688" s="3269" t="e">
        <v>#N/A</v>
      </c>
      <c r="D688" s="2325" t="e">
        <v>#N/A</v>
      </c>
      <c r="E688" s="2326" t="e">
        <v>#N/A</v>
      </c>
      <c r="F688" s="3269" t="e">
        <v>#N/A</v>
      </c>
      <c r="G688" s="2325" t="e">
        <v>#N/A</v>
      </c>
      <c r="H688" s="2326" t="e">
        <v>#N/A</v>
      </c>
      <c r="I688" s="2333" t="e">
        <v>#N/A</v>
      </c>
      <c r="J688" s="2334" t="e">
        <v>#N/A</v>
      </c>
      <c r="K688" s="2334" t="e">
        <v>#N/A</v>
      </c>
      <c r="L688" s="2334" t="e">
        <v>#N/A</v>
      </c>
      <c r="M688" s="2331" t="e">
        <v>#N/A</v>
      </c>
      <c r="N688" s="2335" t="e">
        <v>#N/A</v>
      </c>
      <c r="O688" s="2331" t="e">
        <v>#N/A</v>
      </c>
      <c r="P688" s="2332" t="e">
        <v>#N/A</v>
      </c>
    </row>
    <row r="689" spans="1:16">
      <c r="A689" s="1340">
        <v>2029.08</v>
      </c>
      <c r="B689" s="2324" t="e">
        <v>#N/A</v>
      </c>
      <c r="C689" s="3269" t="e">
        <v>#N/A</v>
      </c>
      <c r="D689" s="2325" t="e">
        <v>#N/A</v>
      </c>
      <c r="E689" s="2326" t="e">
        <v>#N/A</v>
      </c>
      <c r="F689" s="3269" t="e">
        <v>#N/A</v>
      </c>
      <c r="G689" s="2325" t="e">
        <v>#N/A</v>
      </c>
      <c r="H689" s="2326" t="e">
        <v>#N/A</v>
      </c>
      <c r="I689" s="2333" t="e">
        <v>#N/A</v>
      </c>
      <c r="J689" s="2334" t="e">
        <v>#N/A</v>
      </c>
      <c r="K689" s="2334" t="e">
        <v>#N/A</v>
      </c>
      <c r="L689" s="2334" t="e">
        <v>#N/A</v>
      </c>
      <c r="M689" s="2331" t="e">
        <v>#N/A</v>
      </c>
      <c r="N689" s="2335" t="e">
        <v>#N/A</v>
      </c>
      <c r="O689" s="2331" t="e">
        <v>#N/A</v>
      </c>
      <c r="P689" s="2332" t="e">
        <v>#N/A</v>
      </c>
    </row>
    <row r="690" spans="1:16">
      <c r="A690" s="1340">
        <v>2029.09</v>
      </c>
      <c r="B690" s="2324" t="e">
        <v>#N/A</v>
      </c>
      <c r="C690" s="3269" t="e">
        <v>#N/A</v>
      </c>
      <c r="D690" s="2325" t="e">
        <v>#N/A</v>
      </c>
      <c r="E690" s="2326" t="e">
        <v>#N/A</v>
      </c>
      <c r="F690" s="3269" t="e">
        <v>#N/A</v>
      </c>
      <c r="G690" s="2325" t="e">
        <v>#N/A</v>
      </c>
      <c r="H690" s="2326" t="e">
        <v>#N/A</v>
      </c>
      <c r="I690" s="2333" t="e">
        <v>#N/A</v>
      </c>
      <c r="J690" s="2334" t="e">
        <v>#N/A</v>
      </c>
      <c r="K690" s="2334" t="e">
        <v>#N/A</v>
      </c>
      <c r="L690" s="2334" t="e">
        <v>#N/A</v>
      </c>
      <c r="M690" s="2331" t="e">
        <v>#N/A</v>
      </c>
      <c r="N690" s="2335" t="e">
        <v>#N/A</v>
      </c>
      <c r="O690" s="2331" t="e">
        <v>#N/A</v>
      </c>
      <c r="P690" s="2332" t="e">
        <v>#N/A</v>
      </c>
    </row>
    <row r="691" spans="1:16">
      <c r="A691" s="1340">
        <v>2029.1</v>
      </c>
      <c r="B691" s="2324" t="e">
        <v>#N/A</v>
      </c>
      <c r="C691" s="3269" t="e">
        <v>#N/A</v>
      </c>
      <c r="D691" s="2325" t="e">
        <v>#N/A</v>
      </c>
      <c r="E691" s="2326" t="e">
        <v>#N/A</v>
      </c>
      <c r="F691" s="3269" t="e">
        <v>#N/A</v>
      </c>
      <c r="G691" s="2325" t="e">
        <v>#N/A</v>
      </c>
      <c r="H691" s="2326" t="e">
        <v>#N/A</v>
      </c>
      <c r="I691" s="2333" t="e">
        <v>#N/A</v>
      </c>
      <c r="J691" s="2334" t="e">
        <v>#N/A</v>
      </c>
      <c r="K691" s="2334" t="e">
        <v>#N/A</v>
      </c>
      <c r="L691" s="2334" t="e">
        <v>#N/A</v>
      </c>
      <c r="M691" s="2331" t="e">
        <v>#N/A</v>
      </c>
      <c r="N691" s="2335" t="e">
        <v>#N/A</v>
      </c>
      <c r="O691" s="2331" t="e">
        <v>#N/A</v>
      </c>
      <c r="P691" s="2332" t="e">
        <v>#N/A</v>
      </c>
    </row>
    <row r="692" spans="1:16">
      <c r="A692" s="1340">
        <v>2029.11</v>
      </c>
      <c r="B692" s="2324" t="e">
        <v>#N/A</v>
      </c>
      <c r="C692" s="3269" t="e">
        <v>#N/A</v>
      </c>
      <c r="D692" s="2325" t="e">
        <v>#N/A</v>
      </c>
      <c r="E692" s="2326" t="e">
        <v>#N/A</v>
      </c>
      <c r="F692" s="3269" t="e">
        <v>#N/A</v>
      </c>
      <c r="G692" s="2325" t="e">
        <v>#N/A</v>
      </c>
      <c r="H692" s="2326" t="e">
        <v>#N/A</v>
      </c>
      <c r="I692" s="2333" t="e">
        <v>#N/A</v>
      </c>
      <c r="J692" s="2334" t="e">
        <v>#N/A</v>
      </c>
      <c r="K692" s="2334" t="e">
        <v>#N/A</v>
      </c>
      <c r="L692" s="2334" t="e">
        <v>#N/A</v>
      </c>
      <c r="M692" s="2331" t="e">
        <v>#N/A</v>
      </c>
      <c r="N692" s="2335" t="e">
        <v>#N/A</v>
      </c>
      <c r="O692" s="2331" t="e">
        <v>#N/A</v>
      </c>
      <c r="P692" s="2332" t="e">
        <v>#N/A</v>
      </c>
    </row>
    <row r="693" spans="1:16">
      <c r="A693" s="1340">
        <v>2029.12</v>
      </c>
      <c r="B693" s="2324" t="e">
        <v>#N/A</v>
      </c>
      <c r="C693" s="3269" t="e">
        <v>#N/A</v>
      </c>
      <c r="D693" s="2325" t="e">
        <v>#N/A</v>
      </c>
      <c r="E693" s="2326" t="e">
        <v>#N/A</v>
      </c>
      <c r="F693" s="3269" t="e">
        <v>#N/A</v>
      </c>
      <c r="G693" s="2325" t="e">
        <v>#N/A</v>
      </c>
      <c r="H693" s="2326" t="e">
        <v>#N/A</v>
      </c>
      <c r="I693" s="2333" t="e">
        <v>#N/A</v>
      </c>
      <c r="J693" s="2334" t="e">
        <v>#N/A</v>
      </c>
      <c r="K693" s="2334" t="e">
        <v>#N/A</v>
      </c>
      <c r="L693" s="2334" t="e">
        <v>#N/A</v>
      </c>
      <c r="M693" s="2331" t="e">
        <v>#N/A</v>
      </c>
      <c r="N693" s="2335" t="e">
        <v>#N/A</v>
      </c>
      <c r="O693" s="2331" t="e">
        <v>#N/A</v>
      </c>
      <c r="P693" s="2332" t="e">
        <v>#N/A</v>
      </c>
    </row>
    <row r="694" spans="1:16">
      <c r="A694" s="1340">
        <v>2030.01</v>
      </c>
      <c r="B694" s="2324" t="e">
        <v>#N/A</v>
      </c>
      <c r="C694" s="3269" t="e">
        <v>#N/A</v>
      </c>
      <c r="D694" s="2325" t="e">
        <v>#N/A</v>
      </c>
      <c r="E694" s="2326" t="e">
        <v>#N/A</v>
      </c>
      <c r="F694" s="3269" t="e">
        <v>#N/A</v>
      </c>
      <c r="G694" s="2325" t="e">
        <v>#N/A</v>
      </c>
      <c r="H694" s="2326" t="e">
        <v>#N/A</v>
      </c>
      <c r="I694" s="2333" t="e">
        <v>#N/A</v>
      </c>
      <c r="J694" s="2334" t="e">
        <v>#N/A</v>
      </c>
      <c r="K694" s="2334" t="e">
        <v>#N/A</v>
      </c>
      <c r="L694" s="2334" t="e">
        <v>#N/A</v>
      </c>
      <c r="M694" s="2331" t="e">
        <v>#N/A</v>
      </c>
      <c r="N694" s="2335" t="e">
        <v>#N/A</v>
      </c>
      <c r="O694" s="2331" t="e">
        <v>#N/A</v>
      </c>
      <c r="P694" s="2332" t="e">
        <v>#N/A</v>
      </c>
    </row>
    <row r="695" spans="1:16">
      <c r="A695" s="1340">
        <v>2030.02</v>
      </c>
      <c r="B695" s="2324" t="e">
        <v>#N/A</v>
      </c>
      <c r="C695" s="3269" t="e">
        <v>#N/A</v>
      </c>
      <c r="D695" s="2325" t="e">
        <v>#N/A</v>
      </c>
      <c r="E695" s="2326" t="e">
        <v>#N/A</v>
      </c>
      <c r="F695" s="3269" t="e">
        <v>#N/A</v>
      </c>
      <c r="G695" s="2325" t="e">
        <v>#N/A</v>
      </c>
      <c r="H695" s="2326" t="e">
        <v>#N/A</v>
      </c>
      <c r="I695" s="2333" t="e">
        <v>#N/A</v>
      </c>
      <c r="J695" s="2334" t="e">
        <v>#N/A</v>
      </c>
      <c r="K695" s="2334" t="e">
        <v>#N/A</v>
      </c>
      <c r="L695" s="2334" t="e">
        <v>#N/A</v>
      </c>
      <c r="M695" s="2331" t="e">
        <v>#N/A</v>
      </c>
      <c r="N695" s="2335" t="e">
        <v>#N/A</v>
      </c>
      <c r="O695" s="2331" t="e">
        <v>#N/A</v>
      </c>
      <c r="P695" s="2332" t="e">
        <v>#N/A</v>
      </c>
    </row>
    <row r="696" spans="1:16">
      <c r="A696" s="1340">
        <v>2030.03</v>
      </c>
      <c r="B696" s="2324" t="e">
        <v>#N/A</v>
      </c>
      <c r="C696" s="3269" t="e">
        <v>#N/A</v>
      </c>
      <c r="D696" s="2325" t="e">
        <v>#N/A</v>
      </c>
      <c r="E696" s="2326" t="e">
        <v>#N/A</v>
      </c>
      <c r="F696" s="3269" t="e">
        <v>#N/A</v>
      </c>
      <c r="G696" s="2325" t="e">
        <v>#N/A</v>
      </c>
      <c r="H696" s="2326" t="e">
        <v>#N/A</v>
      </c>
      <c r="I696" s="2333" t="e">
        <v>#N/A</v>
      </c>
      <c r="J696" s="2334" t="e">
        <v>#N/A</v>
      </c>
      <c r="K696" s="2334" t="e">
        <v>#N/A</v>
      </c>
      <c r="L696" s="2334" t="e">
        <v>#N/A</v>
      </c>
      <c r="M696" s="2331" t="e">
        <v>#N/A</v>
      </c>
      <c r="N696" s="2335" t="e">
        <v>#N/A</v>
      </c>
      <c r="O696" s="2331" t="e">
        <v>#N/A</v>
      </c>
      <c r="P696" s="2332" t="e">
        <v>#N/A</v>
      </c>
    </row>
    <row r="697" spans="1:16">
      <c r="A697" s="1340">
        <v>2030.04</v>
      </c>
      <c r="B697" s="2324" t="e">
        <v>#N/A</v>
      </c>
      <c r="C697" s="3269" t="e">
        <v>#N/A</v>
      </c>
      <c r="D697" s="2325" t="e">
        <v>#N/A</v>
      </c>
      <c r="E697" s="2326" t="e">
        <v>#N/A</v>
      </c>
      <c r="F697" s="3269" t="e">
        <v>#N/A</v>
      </c>
      <c r="G697" s="2325" t="e">
        <v>#N/A</v>
      </c>
      <c r="H697" s="2326" t="e">
        <v>#N/A</v>
      </c>
      <c r="I697" s="2333" t="e">
        <v>#N/A</v>
      </c>
      <c r="J697" s="2334" t="e">
        <v>#N/A</v>
      </c>
      <c r="K697" s="2334" t="e">
        <v>#N/A</v>
      </c>
      <c r="L697" s="2334" t="e">
        <v>#N/A</v>
      </c>
      <c r="M697" s="2331" t="e">
        <v>#N/A</v>
      </c>
      <c r="N697" s="2335" t="e">
        <v>#N/A</v>
      </c>
      <c r="O697" s="2331" t="e">
        <v>#N/A</v>
      </c>
      <c r="P697" s="2332" t="e">
        <v>#N/A</v>
      </c>
    </row>
    <row r="698" spans="1:16">
      <c r="A698" s="1340">
        <v>2030.05</v>
      </c>
      <c r="B698" s="2324" t="e">
        <v>#N/A</v>
      </c>
      <c r="C698" s="3269" t="e">
        <v>#N/A</v>
      </c>
      <c r="D698" s="2325" t="e">
        <v>#N/A</v>
      </c>
      <c r="E698" s="2326" t="e">
        <v>#N/A</v>
      </c>
      <c r="F698" s="3269" t="e">
        <v>#N/A</v>
      </c>
      <c r="G698" s="2325" t="e">
        <v>#N/A</v>
      </c>
      <c r="H698" s="2326" t="e">
        <v>#N/A</v>
      </c>
      <c r="I698" s="2333" t="e">
        <v>#N/A</v>
      </c>
      <c r="J698" s="2334" t="e">
        <v>#N/A</v>
      </c>
      <c r="K698" s="2334" t="e">
        <v>#N/A</v>
      </c>
      <c r="L698" s="2334" t="e">
        <v>#N/A</v>
      </c>
      <c r="M698" s="2331" t="e">
        <v>#N/A</v>
      </c>
      <c r="N698" s="2335" t="e">
        <v>#N/A</v>
      </c>
      <c r="O698" s="2331" t="e">
        <v>#N/A</v>
      </c>
      <c r="P698" s="2332" t="e">
        <v>#N/A</v>
      </c>
    </row>
    <row r="699" spans="1:16">
      <c r="A699" s="1340">
        <v>2030.06</v>
      </c>
      <c r="B699" s="2324" t="e">
        <v>#N/A</v>
      </c>
      <c r="C699" s="3269" t="e">
        <v>#N/A</v>
      </c>
      <c r="D699" s="2325" t="e">
        <v>#N/A</v>
      </c>
      <c r="E699" s="2326" t="e">
        <v>#N/A</v>
      </c>
      <c r="F699" s="3269" t="e">
        <v>#N/A</v>
      </c>
      <c r="G699" s="2325" t="e">
        <v>#N/A</v>
      </c>
      <c r="H699" s="2326" t="e">
        <v>#N/A</v>
      </c>
      <c r="I699" s="2333" t="e">
        <v>#N/A</v>
      </c>
      <c r="J699" s="2334" t="e">
        <v>#N/A</v>
      </c>
      <c r="K699" s="2334" t="e">
        <v>#N/A</v>
      </c>
      <c r="L699" s="2334" t="e">
        <v>#N/A</v>
      </c>
      <c r="M699" s="2331" t="e">
        <v>#N/A</v>
      </c>
      <c r="N699" s="2335" t="e">
        <v>#N/A</v>
      </c>
      <c r="O699" s="2331" t="e">
        <v>#N/A</v>
      </c>
      <c r="P699" s="2332" t="e">
        <v>#N/A</v>
      </c>
    </row>
    <row r="700" spans="1:16">
      <c r="A700" s="1340">
        <v>2030.07</v>
      </c>
      <c r="B700" s="2324" t="e">
        <v>#N/A</v>
      </c>
      <c r="C700" s="3269" t="e">
        <v>#N/A</v>
      </c>
      <c r="D700" s="2325" t="e">
        <v>#N/A</v>
      </c>
      <c r="E700" s="2326" t="e">
        <v>#N/A</v>
      </c>
      <c r="F700" s="3269" t="e">
        <v>#N/A</v>
      </c>
      <c r="G700" s="2325" t="e">
        <v>#N/A</v>
      </c>
      <c r="H700" s="2326" t="e">
        <v>#N/A</v>
      </c>
      <c r="I700" s="2333" t="e">
        <v>#N/A</v>
      </c>
      <c r="J700" s="2334" t="e">
        <v>#N/A</v>
      </c>
      <c r="K700" s="2334" t="e">
        <v>#N/A</v>
      </c>
      <c r="L700" s="2334" t="e">
        <v>#N/A</v>
      </c>
      <c r="M700" s="2331" t="e">
        <v>#N/A</v>
      </c>
      <c r="N700" s="2335" t="e">
        <v>#N/A</v>
      </c>
      <c r="O700" s="2331" t="e">
        <v>#N/A</v>
      </c>
      <c r="P700" s="2332" t="e">
        <v>#N/A</v>
      </c>
    </row>
    <row r="701" spans="1:16">
      <c r="A701" s="1340">
        <v>2030.08</v>
      </c>
      <c r="B701" s="2324" t="e">
        <v>#N/A</v>
      </c>
      <c r="C701" s="3269" t="e">
        <v>#N/A</v>
      </c>
      <c r="D701" s="2325" t="e">
        <v>#N/A</v>
      </c>
      <c r="E701" s="2326" t="e">
        <v>#N/A</v>
      </c>
      <c r="F701" s="3269" t="e">
        <v>#N/A</v>
      </c>
      <c r="G701" s="2325" t="e">
        <v>#N/A</v>
      </c>
      <c r="H701" s="2326" t="e">
        <v>#N/A</v>
      </c>
      <c r="I701" s="2333" t="e">
        <v>#N/A</v>
      </c>
      <c r="J701" s="2334" t="e">
        <v>#N/A</v>
      </c>
      <c r="K701" s="2334" t="e">
        <v>#N/A</v>
      </c>
      <c r="L701" s="2334" t="e">
        <v>#N/A</v>
      </c>
      <c r="M701" s="2331" t="e">
        <v>#N/A</v>
      </c>
      <c r="N701" s="2335" t="e">
        <v>#N/A</v>
      </c>
      <c r="O701" s="2331" t="e">
        <v>#N/A</v>
      </c>
      <c r="P701" s="2332" t="e">
        <v>#N/A</v>
      </c>
    </row>
    <row r="702" spans="1:16">
      <c r="A702" s="1340">
        <v>2030.09</v>
      </c>
      <c r="B702" s="2324" t="e">
        <v>#N/A</v>
      </c>
      <c r="C702" s="3269" t="e">
        <v>#N/A</v>
      </c>
      <c r="D702" s="2325" t="e">
        <v>#N/A</v>
      </c>
      <c r="E702" s="2326" t="e">
        <v>#N/A</v>
      </c>
      <c r="F702" s="3269" t="e">
        <v>#N/A</v>
      </c>
      <c r="G702" s="2325" t="e">
        <v>#N/A</v>
      </c>
      <c r="H702" s="2326" t="e">
        <v>#N/A</v>
      </c>
      <c r="I702" s="2333" t="e">
        <v>#N/A</v>
      </c>
      <c r="J702" s="2334" t="e">
        <v>#N/A</v>
      </c>
      <c r="K702" s="2334" t="e">
        <v>#N/A</v>
      </c>
      <c r="L702" s="2334" t="e">
        <v>#N/A</v>
      </c>
      <c r="M702" s="2331" t="e">
        <v>#N/A</v>
      </c>
      <c r="N702" s="2335" t="e">
        <v>#N/A</v>
      </c>
      <c r="O702" s="2331" t="e">
        <v>#N/A</v>
      </c>
      <c r="P702" s="2332" t="e">
        <v>#N/A</v>
      </c>
    </row>
    <row r="703" spans="1:16">
      <c r="A703" s="1340">
        <v>2030.1</v>
      </c>
      <c r="B703" s="2324" t="e">
        <v>#N/A</v>
      </c>
      <c r="C703" s="3269" t="e">
        <v>#N/A</v>
      </c>
      <c r="D703" s="2325" t="e">
        <v>#N/A</v>
      </c>
      <c r="E703" s="2326" t="e">
        <v>#N/A</v>
      </c>
      <c r="F703" s="3269" t="e">
        <v>#N/A</v>
      </c>
      <c r="G703" s="2325" t="e">
        <v>#N/A</v>
      </c>
      <c r="H703" s="2326" t="e">
        <v>#N/A</v>
      </c>
      <c r="I703" s="2333" t="e">
        <v>#N/A</v>
      </c>
      <c r="J703" s="2334" t="e">
        <v>#N/A</v>
      </c>
      <c r="K703" s="2334" t="e">
        <v>#N/A</v>
      </c>
      <c r="L703" s="2334" t="e">
        <v>#N/A</v>
      </c>
      <c r="M703" s="2331" t="e">
        <v>#N/A</v>
      </c>
      <c r="N703" s="2335" t="e">
        <v>#N/A</v>
      </c>
      <c r="O703" s="2331" t="e">
        <v>#N/A</v>
      </c>
      <c r="P703" s="2332" t="e">
        <v>#N/A</v>
      </c>
    </row>
    <row r="704" spans="1:16">
      <c r="A704" s="1340">
        <v>2030.11</v>
      </c>
      <c r="B704" s="2324" t="e">
        <v>#N/A</v>
      </c>
      <c r="C704" s="3269" t="e">
        <v>#N/A</v>
      </c>
      <c r="D704" s="2325" t="e">
        <v>#N/A</v>
      </c>
      <c r="E704" s="2326" t="e">
        <v>#N/A</v>
      </c>
      <c r="F704" s="3269" t="e">
        <v>#N/A</v>
      </c>
      <c r="G704" s="2325" t="e">
        <v>#N/A</v>
      </c>
      <c r="H704" s="2326" t="e">
        <v>#N/A</v>
      </c>
      <c r="I704" s="2333" t="e">
        <v>#N/A</v>
      </c>
      <c r="J704" s="2334" t="e">
        <v>#N/A</v>
      </c>
      <c r="K704" s="2334" t="e">
        <v>#N/A</v>
      </c>
      <c r="L704" s="2334" t="e">
        <v>#N/A</v>
      </c>
      <c r="M704" s="2331" t="e">
        <v>#N/A</v>
      </c>
      <c r="N704" s="2335" t="e">
        <v>#N/A</v>
      </c>
      <c r="O704" s="2331" t="e">
        <v>#N/A</v>
      </c>
      <c r="P704" s="2332" t="e">
        <v>#N/A</v>
      </c>
    </row>
    <row r="705" spans="1:16">
      <c r="A705" s="1340">
        <v>2030.12</v>
      </c>
      <c r="B705" s="2324" t="e">
        <v>#N/A</v>
      </c>
      <c r="C705" s="3269" t="e">
        <v>#N/A</v>
      </c>
      <c r="D705" s="2325" t="e">
        <v>#N/A</v>
      </c>
      <c r="E705" s="2326" t="e">
        <v>#N/A</v>
      </c>
      <c r="F705" s="3269" t="e">
        <v>#N/A</v>
      </c>
      <c r="G705" s="2325" t="e">
        <v>#N/A</v>
      </c>
      <c r="H705" s="2326" t="e">
        <v>#N/A</v>
      </c>
      <c r="I705" s="2333" t="e">
        <v>#N/A</v>
      </c>
      <c r="J705" s="2334" t="e">
        <v>#N/A</v>
      </c>
      <c r="K705" s="2334" t="e">
        <v>#N/A</v>
      </c>
      <c r="L705" s="2334" t="e">
        <v>#N/A</v>
      </c>
      <c r="M705" s="2331" t="e">
        <v>#N/A</v>
      </c>
      <c r="N705" s="2335" t="e">
        <v>#N/A</v>
      </c>
      <c r="O705" s="2331" t="e">
        <v>#N/A</v>
      </c>
      <c r="P705" s="2332" t="e">
        <v>#N/A</v>
      </c>
    </row>
  </sheetData>
  <dataConsolidate link="1"/>
  <mergeCells count="2">
    <mergeCell ref="O3:P3"/>
    <mergeCell ref="M5:N5"/>
  </mergeCells>
  <phoneticPr fontId="68" type="noConversion"/>
  <hyperlinks>
    <hyperlink ref="A1:A3" location="Indice!A1" display="ÍNDICE" xr:uid="{00000000-0004-0000-3A00-000000000000}"/>
    <hyperlink ref="A5" location="INDICE!A13" display="VOLVER AL INDICE" xr:uid="{00000000-0004-0000-3A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2"/>
  <dimension ref="A1:L309"/>
  <sheetViews>
    <sheetView zoomScale="130" zoomScaleNormal="130" workbookViewId="0">
      <pane xSplit="1" ySplit="9" topLeftCell="D233" activePane="bottomRight" state="frozen"/>
      <selection pane="topRight" sqref="A1:A5"/>
      <selection pane="bottomLeft" sqref="A1:A5"/>
      <selection pane="bottomRight" activeCell="A5" sqref="A5"/>
    </sheetView>
  </sheetViews>
  <sheetFormatPr baseColWidth="10" defaultColWidth="12.5703125" defaultRowHeight="12.75"/>
  <cols>
    <col min="1" max="1" width="11" style="103" customWidth="1"/>
    <col min="2" max="7" width="18.5703125" style="103" customWidth="1"/>
    <col min="8" max="16384" width="12.5703125" style="21"/>
  </cols>
  <sheetData>
    <row r="1" spans="1:7" s="19" customFormat="1" ht="3.75" customHeight="1">
      <c r="A1" s="34"/>
      <c r="B1" s="2336"/>
      <c r="C1" s="2303"/>
      <c r="D1" s="2303"/>
      <c r="E1" s="2303"/>
      <c r="F1" s="2303"/>
      <c r="G1" s="2337"/>
    </row>
    <row r="2" spans="1:7" s="19" customFormat="1">
      <c r="A2" s="59" t="s">
        <v>105</v>
      </c>
      <c r="B2" s="3225" t="s">
        <v>1609</v>
      </c>
      <c r="C2" s="3260"/>
      <c r="D2" s="3226"/>
      <c r="E2" s="3270"/>
      <c r="F2" s="3226"/>
      <c r="G2" s="3270"/>
    </row>
    <row r="3" spans="1:7" s="19" customFormat="1" ht="22.5">
      <c r="A3" s="59" t="s">
        <v>212</v>
      </c>
      <c r="B3" s="224" t="s">
        <v>111</v>
      </c>
      <c r="C3" s="106"/>
      <c r="D3" s="2192"/>
      <c r="E3" s="333"/>
      <c r="F3" s="2192" t="s">
        <v>115</v>
      </c>
      <c r="G3" s="133"/>
    </row>
    <row r="4" spans="1:7" s="19" customFormat="1" ht="2.25" hidden="1" customHeight="1">
      <c r="A4" s="104"/>
      <c r="B4" s="107"/>
      <c r="C4" s="132"/>
      <c r="D4" s="132"/>
      <c r="E4" s="332"/>
      <c r="F4" s="132"/>
      <c r="G4" s="108"/>
    </row>
    <row r="5" spans="1:7" s="19" customFormat="1" ht="22.5">
      <c r="A5" s="2390" t="s">
        <v>137</v>
      </c>
      <c r="B5" s="2338" t="s">
        <v>1610</v>
      </c>
      <c r="C5" s="285" t="s">
        <v>1611</v>
      </c>
      <c r="D5" s="2339" t="s">
        <v>1612</v>
      </c>
      <c r="E5" s="933" t="s">
        <v>1613</v>
      </c>
      <c r="F5" s="2339" t="s">
        <v>1614</v>
      </c>
      <c r="G5" s="2305" t="s">
        <v>1615</v>
      </c>
    </row>
    <row r="6" spans="1:7" s="19" customFormat="1" ht="2.25" hidden="1" customHeight="1">
      <c r="A6" s="104"/>
      <c r="B6" s="1033"/>
      <c r="C6" s="132"/>
      <c r="D6" s="1034"/>
      <c r="E6" s="332"/>
      <c r="F6" s="1030"/>
      <c r="G6" s="108"/>
    </row>
    <row r="7" spans="1:7" s="19" customFormat="1" ht="22.5">
      <c r="A7" s="2373" t="s">
        <v>123</v>
      </c>
      <c r="B7" s="2340" t="s">
        <v>262</v>
      </c>
      <c r="C7" s="933" t="s">
        <v>262</v>
      </c>
      <c r="D7" s="2341" t="s">
        <v>262</v>
      </c>
      <c r="E7" s="933" t="s">
        <v>262</v>
      </c>
      <c r="F7" s="2341" t="s">
        <v>262</v>
      </c>
      <c r="G7" s="2305" t="s">
        <v>262</v>
      </c>
    </row>
    <row r="8" spans="1:7" s="19" customFormat="1" ht="13.5" customHeight="1" thickBot="1">
      <c r="A8" s="105" t="s">
        <v>141</v>
      </c>
      <c r="B8" s="773" t="s">
        <v>1616</v>
      </c>
      <c r="C8" s="149" t="s">
        <v>1617</v>
      </c>
      <c r="D8" s="773" t="s">
        <v>1618</v>
      </c>
      <c r="E8" s="149" t="s">
        <v>1619</v>
      </c>
      <c r="F8" s="773" t="s">
        <v>1620</v>
      </c>
      <c r="G8" s="148" t="s">
        <v>1621</v>
      </c>
    </row>
    <row r="9" spans="1:7" s="20" customFormat="1" ht="13.5" hidden="1" thickBot="1">
      <c r="A9" s="72"/>
      <c r="B9" s="2342"/>
      <c r="C9" s="1569"/>
      <c r="D9" s="1571"/>
      <c r="E9" s="2343"/>
      <c r="F9" s="1571"/>
      <c r="G9" s="2344"/>
    </row>
    <row r="10" spans="1:7" s="20" customFormat="1">
      <c r="A10" s="2320">
        <v>2006.01</v>
      </c>
      <c r="B10" s="2709"/>
      <c r="C10" s="2710"/>
      <c r="D10" s="2711"/>
      <c r="E10" s="2712"/>
      <c r="F10" s="2711"/>
      <c r="G10" s="2713"/>
    </row>
    <row r="11" spans="1:7" s="20" customFormat="1">
      <c r="A11" s="2202">
        <v>2006.02</v>
      </c>
      <c r="B11" s="2345"/>
      <c r="C11" s="2346"/>
      <c r="D11" s="2347"/>
      <c r="E11" s="2348"/>
      <c r="F11" s="2347"/>
      <c r="G11" s="2349"/>
    </row>
    <row r="12" spans="1:7" s="20" customFormat="1">
      <c r="A12" s="2202">
        <v>2006.03</v>
      </c>
      <c r="B12" s="2345"/>
      <c r="C12" s="2346"/>
      <c r="D12" s="2347"/>
      <c r="E12" s="2348"/>
      <c r="F12" s="2347"/>
      <c r="G12" s="2349"/>
    </row>
    <row r="13" spans="1:7" s="20" customFormat="1">
      <c r="A13" s="2202">
        <v>2006.04</v>
      </c>
      <c r="B13" s="2345"/>
      <c r="C13" s="2346"/>
      <c r="D13" s="2347"/>
      <c r="E13" s="2348"/>
      <c r="F13" s="2347"/>
      <c r="G13" s="2349"/>
    </row>
    <row r="14" spans="1:7" s="20" customFormat="1">
      <c r="A14" s="2202">
        <v>2006.05</v>
      </c>
      <c r="B14" s="2345"/>
      <c r="C14" s="2346"/>
      <c r="D14" s="2347"/>
      <c r="E14" s="2348"/>
      <c r="F14" s="2347"/>
      <c r="G14" s="2349"/>
    </row>
    <row r="15" spans="1:7" s="20" customFormat="1">
      <c r="A15" s="2202">
        <v>2006.06</v>
      </c>
      <c r="B15" s="2345"/>
      <c r="C15" s="2346"/>
      <c r="D15" s="2347"/>
      <c r="E15" s="2348"/>
      <c r="F15" s="2347"/>
      <c r="G15" s="2349"/>
    </row>
    <row r="16" spans="1:7" s="20" customFormat="1">
      <c r="A16" s="2202">
        <v>2006.07</v>
      </c>
      <c r="B16" s="2345"/>
      <c r="C16" s="2346"/>
      <c r="D16" s="2347"/>
      <c r="E16" s="2348"/>
      <c r="F16" s="2347"/>
      <c r="G16" s="2349"/>
    </row>
    <row r="17" spans="1:12" s="20" customFormat="1">
      <c r="A17" s="2202">
        <v>2006.08</v>
      </c>
      <c r="B17" s="1032">
        <v>10</v>
      </c>
      <c r="C17" s="331">
        <v>13.7323154157</v>
      </c>
      <c r="D17" s="2347"/>
      <c r="E17" s="2348"/>
      <c r="F17" s="2347"/>
      <c r="G17" s="2349"/>
      <c r="H17" s="1565"/>
      <c r="I17" s="1565"/>
      <c r="J17" s="1565"/>
      <c r="K17" s="3348"/>
      <c r="L17" s="3348"/>
    </row>
    <row r="18" spans="1:12" s="20" customFormat="1">
      <c r="A18" s="2202">
        <v>2006.09</v>
      </c>
      <c r="B18" s="1744">
        <v>10</v>
      </c>
      <c r="C18" s="1745">
        <v>11.8859146675</v>
      </c>
      <c r="D18" s="2347"/>
      <c r="E18" s="2348"/>
      <c r="F18" s="2347"/>
      <c r="G18" s="2349"/>
      <c r="H18" s="1565"/>
      <c r="I18" s="1565"/>
      <c r="J18" s="1565"/>
      <c r="K18" s="3348"/>
      <c r="L18" s="3348"/>
    </row>
    <row r="19" spans="1:12" s="20" customFormat="1">
      <c r="A19" s="2202">
        <v>2006.1</v>
      </c>
      <c r="B19" s="1744">
        <v>10</v>
      </c>
      <c r="C19" s="1745">
        <v>11.7282029256</v>
      </c>
      <c r="D19" s="2347"/>
      <c r="E19" s="2348"/>
      <c r="F19" s="2347"/>
      <c r="G19" s="2349"/>
      <c r="H19" s="1565"/>
      <c r="I19" s="1565"/>
      <c r="J19" s="1565"/>
      <c r="K19" s="3348"/>
      <c r="L19" s="3348"/>
    </row>
    <row r="20" spans="1:12" s="20" customFormat="1">
      <c r="A20" s="2202">
        <v>2006.11</v>
      </c>
      <c r="B20" s="1744">
        <v>10</v>
      </c>
      <c r="C20" s="1745">
        <v>12.7266854551</v>
      </c>
      <c r="D20" s="2347"/>
      <c r="E20" s="2348"/>
      <c r="F20" s="2347"/>
      <c r="G20" s="2349"/>
      <c r="H20" s="1565"/>
      <c r="I20" s="1565"/>
      <c r="J20" s="1565"/>
      <c r="K20" s="3348"/>
      <c r="L20" s="3348"/>
    </row>
    <row r="21" spans="1:12" s="20" customFormat="1">
      <c r="A21" s="2202">
        <v>2006.12</v>
      </c>
      <c r="B21" s="1744">
        <v>10</v>
      </c>
      <c r="C21" s="1745">
        <v>13.8634469293</v>
      </c>
      <c r="D21" s="2347"/>
      <c r="E21" s="2348"/>
      <c r="F21" s="2347"/>
      <c r="G21" s="2349"/>
      <c r="H21" s="1565"/>
      <c r="I21" s="1565"/>
      <c r="J21" s="1565"/>
      <c r="K21" s="3348"/>
      <c r="L21" s="3348"/>
    </row>
    <row r="22" spans="1:12" s="20" customFormat="1">
      <c r="A22" s="2202">
        <v>2007.01</v>
      </c>
      <c r="B22" s="1744">
        <v>10</v>
      </c>
      <c r="C22" s="1745">
        <v>13.763961481699999</v>
      </c>
      <c r="D22" s="2347"/>
      <c r="E22" s="2348"/>
      <c r="F22" s="2347"/>
      <c r="G22" s="2349"/>
      <c r="H22" s="1565"/>
      <c r="I22" s="1565"/>
      <c r="J22" s="1565"/>
      <c r="K22" s="3348"/>
      <c r="L22" s="3348"/>
    </row>
    <row r="23" spans="1:12" s="20" customFormat="1">
      <c r="A23" s="2202">
        <v>2007.02</v>
      </c>
      <c r="B23" s="1744">
        <v>10</v>
      </c>
      <c r="C23" s="1745">
        <v>13.181151679999999</v>
      </c>
      <c r="D23" s="2347"/>
      <c r="E23" s="2348"/>
      <c r="F23" s="2347"/>
      <c r="G23" s="2349"/>
      <c r="H23" s="1565"/>
      <c r="I23" s="1565"/>
      <c r="J23" s="1565"/>
      <c r="K23" s="3348"/>
      <c r="L23" s="3348"/>
    </row>
    <row r="24" spans="1:12" s="20" customFormat="1">
      <c r="A24" s="2202">
        <v>2007.03</v>
      </c>
      <c r="B24" s="1744">
        <v>10</v>
      </c>
      <c r="C24" s="1745">
        <v>13.490551612200001</v>
      </c>
      <c r="D24" s="2347"/>
      <c r="E24" s="2348"/>
      <c r="F24" s="2347"/>
      <c r="G24" s="2349"/>
      <c r="H24" s="1565"/>
      <c r="I24" s="1565"/>
      <c r="J24" s="1565"/>
      <c r="K24" s="3348"/>
      <c r="L24" s="3348"/>
    </row>
    <row r="25" spans="1:12" s="20" customFormat="1">
      <c r="A25" s="2202">
        <v>2007.04</v>
      </c>
      <c r="B25" s="1744">
        <v>15</v>
      </c>
      <c r="C25" s="1745">
        <v>15.441637994799999</v>
      </c>
      <c r="D25" s="2347"/>
      <c r="E25" s="2348"/>
      <c r="F25" s="2347"/>
      <c r="G25" s="2349"/>
      <c r="H25" s="1565"/>
      <c r="I25" s="1565"/>
      <c r="J25" s="1565"/>
      <c r="K25" s="3348"/>
      <c r="L25" s="3348"/>
    </row>
    <row r="26" spans="1:12" s="20" customFormat="1">
      <c r="A26" s="2202">
        <v>2007.05</v>
      </c>
      <c r="B26" s="1744">
        <v>15</v>
      </c>
      <c r="C26" s="1745">
        <v>18.965335534200001</v>
      </c>
      <c r="D26" s="2347"/>
      <c r="E26" s="2348"/>
      <c r="F26" s="2347"/>
      <c r="G26" s="2349"/>
      <c r="H26" s="1565"/>
      <c r="I26" s="1565"/>
      <c r="J26" s="1565"/>
      <c r="K26" s="3348"/>
      <c r="L26" s="3348"/>
    </row>
    <row r="27" spans="1:12" s="20" customFormat="1">
      <c r="A27" s="2202">
        <v>2007.06</v>
      </c>
      <c r="B27" s="1744">
        <v>15</v>
      </c>
      <c r="C27" s="1745">
        <v>18.906665226099999</v>
      </c>
      <c r="D27" s="2347"/>
      <c r="E27" s="2348"/>
      <c r="F27" s="2347"/>
      <c r="G27" s="2349"/>
      <c r="H27" s="1565"/>
      <c r="I27" s="1565"/>
      <c r="J27" s="1565"/>
      <c r="K27" s="3348"/>
      <c r="L27" s="3348"/>
    </row>
    <row r="28" spans="1:12" s="20" customFormat="1">
      <c r="A28" s="2202">
        <v>2007.07</v>
      </c>
      <c r="B28" s="1744">
        <v>15</v>
      </c>
      <c r="C28" s="1745">
        <v>20.898196258900001</v>
      </c>
      <c r="D28" s="2347"/>
      <c r="E28" s="2348"/>
      <c r="F28" s="2347"/>
      <c r="G28" s="2349"/>
      <c r="H28" s="1565"/>
      <c r="I28" s="1565"/>
      <c r="J28" s="1565"/>
      <c r="K28" s="3348"/>
      <c r="L28" s="3348"/>
    </row>
    <row r="29" spans="1:12" s="20" customFormat="1">
      <c r="A29" s="2202">
        <v>2007.08</v>
      </c>
      <c r="B29" s="1744">
        <v>20</v>
      </c>
      <c r="C29" s="1745">
        <v>22.755979459199999</v>
      </c>
      <c r="D29" s="2347"/>
      <c r="E29" s="2348"/>
      <c r="F29" s="2347"/>
      <c r="G29" s="2349"/>
      <c r="H29" s="1565"/>
      <c r="I29" s="1565"/>
      <c r="J29" s="1565"/>
      <c r="K29" s="3348"/>
      <c r="L29" s="3348"/>
    </row>
    <row r="30" spans="1:12" s="20" customFormat="1">
      <c r="A30" s="2202">
        <v>2007.09</v>
      </c>
      <c r="B30" s="1744">
        <v>20</v>
      </c>
      <c r="C30" s="1745">
        <v>22.9571970533</v>
      </c>
      <c r="D30" s="2347"/>
      <c r="E30" s="2348"/>
      <c r="F30" s="2347"/>
      <c r="G30" s="2349"/>
      <c r="H30" s="1565"/>
      <c r="I30" s="1565"/>
      <c r="J30" s="1565"/>
      <c r="K30" s="3348"/>
      <c r="L30" s="3348"/>
    </row>
    <row r="31" spans="1:12" s="20" customFormat="1">
      <c r="A31" s="2202">
        <v>2007.1</v>
      </c>
      <c r="B31" s="1744">
        <v>20</v>
      </c>
      <c r="C31" s="1745">
        <v>25.225440726999999</v>
      </c>
      <c r="D31" s="2347"/>
      <c r="E31" s="2348"/>
      <c r="F31" s="2347"/>
      <c r="G31" s="2349"/>
      <c r="H31" s="1565"/>
      <c r="I31" s="1565"/>
      <c r="J31" s="1565"/>
      <c r="K31" s="3348"/>
      <c r="L31" s="3348"/>
    </row>
    <row r="32" spans="1:12" s="20" customFormat="1">
      <c r="A32" s="2202">
        <v>2007.11</v>
      </c>
      <c r="B32" s="1744">
        <v>20</v>
      </c>
      <c r="C32" s="1745">
        <v>22.372526188899997</v>
      </c>
      <c r="D32" s="2347"/>
      <c r="E32" s="2348"/>
      <c r="F32" s="2347"/>
      <c r="G32" s="2349"/>
      <c r="H32" s="1565"/>
      <c r="I32" s="1565"/>
      <c r="J32" s="1565"/>
      <c r="K32" s="3348"/>
      <c r="L32" s="3348"/>
    </row>
    <row r="33" spans="1:12" s="20" customFormat="1">
      <c r="A33" s="2202">
        <v>2007.12</v>
      </c>
      <c r="B33" s="1744">
        <v>20</v>
      </c>
      <c r="C33" s="1745">
        <v>23.265140814900001</v>
      </c>
      <c r="D33" s="2347"/>
      <c r="E33" s="2348"/>
      <c r="F33" s="2347"/>
      <c r="G33" s="2349"/>
      <c r="H33" s="1565"/>
      <c r="I33" s="1565"/>
      <c r="J33" s="1565"/>
      <c r="K33" s="3348"/>
      <c r="L33" s="3348"/>
    </row>
    <row r="34" spans="1:12">
      <c r="A34" s="2202">
        <v>2008.01</v>
      </c>
      <c r="B34" s="1744">
        <v>20</v>
      </c>
      <c r="C34" s="1745">
        <v>22.504985046600002</v>
      </c>
      <c r="D34" s="1035"/>
      <c r="E34" s="331">
        <v>23.3</v>
      </c>
      <c r="F34" s="1031"/>
      <c r="G34" s="2349"/>
      <c r="H34" s="2204"/>
      <c r="I34" s="2204"/>
      <c r="J34" s="2204"/>
      <c r="K34" s="3348"/>
      <c r="L34" s="3348"/>
    </row>
    <row r="35" spans="1:12">
      <c r="A35" s="2202">
        <v>2008.02</v>
      </c>
      <c r="B35" s="1744">
        <v>20</v>
      </c>
      <c r="C35" s="1745">
        <v>23.301251042299999</v>
      </c>
      <c r="D35" s="2350"/>
      <c r="E35" s="1745">
        <v>22.8</v>
      </c>
      <c r="F35" s="2351"/>
      <c r="G35" s="2349"/>
      <c r="H35" s="2204"/>
      <c r="I35" s="2204"/>
      <c r="J35" s="2204"/>
      <c r="K35" s="3348"/>
      <c r="L35" s="3348"/>
    </row>
    <row r="36" spans="1:12">
      <c r="A36" s="2202">
        <v>2008.03</v>
      </c>
      <c r="B36" s="1744">
        <v>25</v>
      </c>
      <c r="C36" s="1745">
        <v>31.121919460400001</v>
      </c>
      <c r="D36" s="2350"/>
      <c r="E36" s="1745">
        <v>27.1</v>
      </c>
      <c r="F36" s="2351"/>
      <c r="G36" s="2349"/>
      <c r="H36" s="2204"/>
      <c r="I36" s="2204"/>
      <c r="J36" s="2204"/>
      <c r="K36" s="3348"/>
      <c r="L36" s="3348"/>
    </row>
    <row r="37" spans="1:12">
      <c r="A37" s="2202">
        <v>2008.04</v>
      </c>
      <c r="B37" s="1744">
        <v>25</v>
      </c>
      <c r="C37" s="1745">
        <v>32.816553708100002</v>
      </c>
      <c r="D37" s="2350"/>
      <c r="E37" s="1745">
        <v>31.8</v>
      </c>
      <c r="F37" s="2351"/>
      <c r="G37" s="2349"/>
      <c r="H37" s="2204"/>
      <c r="I37" s="2204"/>
      <c r="J37" s="2204"/>
      <c r="K37" s="3348"/>
      <c r="L37" s="3348"/>
    </row>
    <row r="38" spans="1:12">
      <c r="A38" s="2202">
        <v>2008.05</v>
      </c>
      <c r="B38" s="1744">
        <v>30</v>
      </c>
      <c r="C38" s="1745">
        <v>36.479644834999995</v>
      </c>
      <c r="D38" s="2350"/>
      <c r="E38" s="1745">
        <v>35.799999999999997</v>
      </c>
      <c r="F38" s="2351"/>
      <c r="G38" s="2349"/>
      <c r="H38" s="2204"/>
      <c r="I38" s="2204"/>
      <c r="J38" s="2204"/>
      <c r="K38" s="3348"/>
      <c r="L38" s="3348"/>
    </row>
    <row r="39" spans="1:12">
      <c r="A39" s="2202">
        <v>2008.06</v>
      </c>
      <c r="B39" s="1744">
        <v>30</v>
      </c>
      <c r="C39" s="1745">
        <v>34.718966242500002</v>
      </c>
      <c r="D39" s="2350"/>
      <c r="E39" s="1745">
        <v>36.700000000000003</v>
      </c>
      <c r="F39" s="2351"/>
      <c r="G39" s="2349"/>
      <c r="H39" s="2204"/>
      <c r="I39" s="2204"/>
      <c r="J39" s="2204"/>
      <c r="K39" s="3348"/>
      <c r="L39" s="3348"/>
    </row>
    <row r="40" spans="1:12">
      <c r="A40" s="2202">
        <v>2008.07</v>
      </c>
      <c r="B40" s="1744">
        <v>30</v>
      </c>
      <c r="C40" s="1745">
        <v>32.592564729100005</v>
      </c>
      <c r="D40" s="2350"/>
      <c r="E40" s="1745">
        <v>33.700000000000003</v>
      </c>
      <c r="F40" s="2351"/>
      <c r="G40" s="2349"/>
      <c r="H40" s="2204"/>
      <c r="I40" s="2204"/>
      <c r="J40" s="2204"/>
      <c r="K40" s="3348"/>
      <c r="L40" s="3348"/>
    </row>
    <row r="41" spans="1:12">
      <c r="A41" s="2202">
        <v>2008.08</v>
      </c>
      <c r="B41" s="1744">
        <v>25</v>
      </c>
      <c r="C41" s="1745">
        <v>30.724019797099999</v>
      </c>
      <c r="D41" s="2350"/>
      <c r="E41" s="1745">
        <v>30.8</v>
      </c>
      <c r="F41" s="2351"/>
      <c r="G41" s="2349"/>
      <c r="H41" s="2204"/>
      <c r="I41" s="2204"/>
      <c r="J41" s="2204"/>
      <c r="K41" s="3348"/>
      <c r="L41" s="3348"/>
    </row>
    <row r="42" spans="1:12">
      <c r="A42" s="2202">
        <v>2008.09</v>
      </c>
      <c r="B42" s="1744">
        <v>30</v>
      </c>
      <c r="C42" s="1745">
        <v>31.994726688200004</v>
      </c>
      <c r="D42" s="2350"/>
      <c r="E42" s="1745">
        <v>32.4</v>
      </c>
      <c r="F42" s="2351"/>
      <c r="G42" s="2349"/>
      <c r="H42" s="2204"/>
      <c r="I42" s="2204"/>
      <c r="J42" s="2204"/>
      <c r="K42" s="3348"/>
      <c r="L42" s="3348"/>
    </row>
    <row r="43" spans="1:12">
      <c r="A43" s="2202">
        <v>2008.1</v>
      </c>
      <c r="B43" s="1744">
        <v>25</v>
      </c>
      <c r="C43" s="1745">
        <v>34.1534632364</v>
      </c>
      <c r="D43" s="2350"/>
      <c r="E43" s="1745">
        <v>34.1</v>
      </c>
      <c r="F43" s="2351"/>
      <c r="G43" s="2349"/>
      <c r="H43" s="2204"/>
      <c r="I43" s="2204"/>
      <c r="J43" s="2204"/>
      <c r="K43" s="3348"/>
      <c r="L43" s="3348"/>
    </row>
    <row r="44" spans="1:12">
      <c r="A44" s="2202">
        <v>2008.11</v>
      </c>
      <c r="B44" s="1744">
        <v>25</v>
      </c>
      <c r="C44" s="1745">
        <v>31.927213896300003</v>
      </c>
      <c r="D44" s="2350"/>
      <c r="E44" s="1745">
        <v>30.8</v>
      </c>
      <c r="F44" s="2351"/>
      <c r="G44" s="2349"/>
      <c r="H44" s="2204"/>
      <c r="I44" s="2204"/>
      <c r="J44" s="2204"/>
      <c r="K44" s="3348"/>
      <c r="L44" s="3348"/>
    </row>
    <row r="45" spans="1:12">
      <c r="A45" s="2202">
        <v>2008.12</v>
      </c>
      <c r="B45" s="1744">
        <v>20</v>
      </c>
      <c r="C45" s="1745">
        <v>23.450210968200004</v>
      </c>
      <c r="D45" s="2350"/>
      <c r="E45" s="1745">
        <v>24.2</v>
      </c>
      <c r="F45" s="2351"/>
      <c r="G45" s="2349"/>
      <c r="H45" s="2204"/>
      <c r="I45" s="2204"/>
      <c r="J45" s="2204"/>
      <c r="K45" s="3348"/>
      <c r="L45" s="3348"/>
    </row>
    <row r="46" spans="1:12">
      <c r="A46" s="2202">
        <v>2009.01</v>
      </c>
      <c r="B46" s="1744">
        <v>20</v>
      </c>
      <c r="C46" s="1745">
        <v>28.568333224900002</v>
      </c>
      <c r="D46" s="2350"/>
      <c r="E46" s="1745">
        <v>27.4</v>
      </c>
      <c r="F46" s="2351"/>
      <c r="G46" s="2349"/>
      <c r="H46" s="2204"/>
      <c r="I46" s="2204"/>
      <c r="J46" s="2204"/>
      <c r="K46" s="3348"/>
      <c r="L46" s="3348"/>
    </row>
    <row r="47" spans="1:12">
      <c r="A47" s="2202">
        <v>2009.02</v>
      </c>
      <c r="B47" s="1744">
        <v>25</v>
      </c>
      <c r="C47" s="1745">
        <v>32.757519810399998</v>
      </c>
      <c r="D47" s="2350"/>
      <c r="E47" s="1745">
        <v>31.9</v>
      </c>
      <c r="F47" s="2351"/>
      <c r="G47" s="2349"/>
      <c r="H47" s="2204"/>
      <c r="I47" s="2204"/>
      <c r="J47" s="2204"/>
      <c r="K47" s="3348"/>
      <c r="L47" s="3348"/>
    </row>
    <row r="48" spans="1:12">
      <c r="A48" s="2202">
        <v>2009.03</v>
      </c>
      <c r="B48" s="1744">
        <v>20</v>
      </c>
      <c r="C48" s="1745">
        <v>31.0518320682</v>
      </c>
      <c r="D48" s="2350"/>
      <c r="E48" s="1745">
        <v>30.9</v>
      </c>
      <c r="F48" s="2351"/>
      <c r="G48" s="2349"/>
      <c r="H48" s="2204"/>
      <c r="I48" s="2204"/>
      <c r="J48" s="2204"/>
      <c r="K48" s="3348"/>
      <c r="L48" s="3348"/>
    </row>
    <row r="49" spans="1:12">
      <c r="A49" s="2202">
        <v>2009.04</v>
      </c>
      <c r="B49" s="1744">
        <v>20</v>
      </c>
      <c r="C49" s="1745">
        <v>28.647507621199999</v>
      </c>
      <c r="D49" s="2350"/>
      <c r="E49" s="1745">
        <v>29.8</v>
      </c>
      <c r="F49" s="2351"/>
      <c r="G49" s="2349"/>
      <c r="H49" s="2204"/>
      <c r="I49" s="2204"/>
      <c r="J49" s="2204"/>
      <c r="K49" s="3348"/>
      <c r="L49" s="3348"/>
    </row>
    <row r="50" spans="1:12">
      <c r="A50" s="2202">
        <v>2009.05</v>
      </c>
      <c r="B50" s="1744">
        <v>20</v>
      </c>
      <c r="C50" s="1745">
        <v>29.880422371599998</v>
      </c>
      <c r="D50" s="2350"/>
      <c r="E50" s="1745">
        <v>27.3</v>
      </c>
      <c r="F50" s="2351"/>
      <c r="G50" s="2349"/>
      <c r="H50" s="2204"/>
      <c r="I50" s="2204"/>
      <c r="J50" s="2204"/>
      <c r="K50" s="3348"/>
      <c r="L50" s="3348"/>
    </row>
    <row r="51" spans="1:12">
      <c r="A51" s="2202">
        <v>2009.06</v>
      </c>
      <c r="B51" s="1744">
        <v>20</v>
      </c>
      <c r="C51" s="1745">
        <v>31.452739764399997</v>
      </c>
      <c r="D51" s="2350"/>
      <c r="E51" s="1745">
        <v>28.3</v>
      </c>
      <c r="F51" s="2351"/>
      <c r="G51" s="2349"/>
      <c r="H51" s="2204"/>
      <c r="I51" s="2204"/>
      <c r="J51" s="2204"/>
      <c r="K51" s="3348"/>
      <c r="L51" s="3348"/>
    </row>
    <row r="52" spans="1:12">
      <c r="A52" s="2202">
        <v>2009.07</v>
      </c>
      <c r="B52" s="1744">
        <v>20</v>
      </c>
      <c r="C52" s="1745">
        <v>30.050719125999997</v>
      </c>
      <c r="D52" s="2351"/>
      <c r="E52" s="1745">
        <v>31.8</v>
      </c>
      <c r="F52" s="2351"/>
      <c r="G52" s="2349"/>
      <c r="H52" s="2204"/>
      <c r="I52" s="2204"/>
      <c r="J52" s="2204"/>
      <c r="K52" s="3348"/>
      <c r="L52" s="3348"/>
    </row>
    <row r="53" spans="1:12">
      <c r="A53" s="2202">
        <v>2009.08</v>
      </c>
      <c r="B53" s="1744">
        <v>25</v>
      </c>
      <c r="C53" s="1745">
        <v>34.0909851937</v>
      </c>
      <c r="D53" s="2351"/>
      <c r="E53" s="1745">
        <v>33.799999999999997</v>
      </c>
      <c r="F53" s="2351"/>
      <c r="G53" s="2349"/>
      <c r="H53" s="2204"/>
      <c r="I53" s="2204"/>
      <c r="J53" s="2204"/>
      <c r="K53" s="3348"/>
      <c r="L53" s="3348"/>
    </row>
    <row r="54" spans="1:12">
      <c r="A54" s="2202">
        <v>2009.09</v>
      </c>
      <c r="B54" s="1744">
        <v>20</v>
      </c>
      <c r="C54" s="1745">
        <v>29.315979478400003</v>
      </c>
      <c r="D54" s="1032">
        <v>20</v>
      </c>
      <c r="E54" s="1745">
        <v>30.6</v>
      </c>
      <c r="F54" s="2351"/>
      <c r="G54" s="2349"/>
      <c r="H54" s="2204"/>
      <c r="I54" s="2204"/>
      <c r="J54" s="2204"/>
      <c r="K54" s="3348"/>
      <c r="L54" s="3348"/>
    </row>
    <row r="55" spans="1:12">
      <c r="A55" s="2202">
        <v>2009.1</v>
      </c>
      <c r="B55" s="1744">
        <v>20</v>
      </c>
      <c r="C55" s="1745">
        <v>31.4596291493</v>
      </c>
      <c r="D55" s="1746">
        <v>25</v>
      </c>
      <c r="E55" s="1745">
        <v>31</v>
      </c>
      <c r="F55" s="2351"/>
      <c r="G55" s="2349"/>
      <c r="H55" s="2204"/>
      <c r="I55" s="2204"/>
      <c r="J55" s="2204"/>
      <c r="K55" s="3348"/>
      <c r="L55" s="3348"/>
    </row>
    <row r="56" spans="1:12">
      <c r="A56" s="2202">
        <v>2009.11</v>
      </c>
      <c r="B56" s="1744">
        <v>22.5</v>
      </c>
      <c r="C56" s="1745">
        <v>29.568107180799998</v>
      </c>
      <c r="D56" s="1746">
        <v>25</v>
      </c>
      <c r="E56" s="1745">
        <v>31.8</v>
      </c>
      <c r="F56" s="2351"/>
      <c r="G56" s="2349"/>
      <c r="H56" s="2204"/>
      <c r="I56" s="2204"/>
      <c r="J56" s="2204"/>
      <c r="K56" s="3348"/>
      <c r="L56" s="3348"/>
    </row>
    <row r="57" spans="1:12">
      <c r="A57" s="2202">
        <v>2009.12</v>
      </c>
      <c r="B57" s="1744">
        <v>25</v>
      </c>
      <c r="C57" s="1745">
        <v>32.983686344500001</v>
      </c>
      <c r="D57" s="1746">
        <v>25</v>
      </c>
      <c r="E57" s="1745">
        <v>30.7</v>
      </c>
      <c r="F57" s="2351"/>
      <c r="G57" s="2349"/>
      <c r="H57" s="2204"/>
      <c r="I57" s="2204"/>
      <c r="J57" s="2204"/>
      <c r="K57" s="3348"/>
      <c r="L57" s="3348"/>
    </row>
    <row r="58" spans="1:12">
      <c r="A58" s="2202">
        <v>2010.01</v>
      </c>
      <c r="B58" s="1744">
        <v>20</v>
      </c>
      <c r="C58" s="1745">
        <v>30.709405453600002</v>
      </c>
      <c r="D58" s="1746">
        <v>20</v>
      </c>
      <c r="E58" s="1745">
        <v>28.6</v>
      </c>
      <c r="F58" s="2351"/>
      <c r="G58" s="2349"/>
      <c r="H58" s="2204"/>
      <c r="I58" s="2204"/>
      <c r="J58" s="2204"/>
      <c r="K58" s="3348"/>
      <c r="L58" s="3348"/>
    </row>
    <row r="59" spans="1:12">
      <c r="A59" s="2202">
        <v>2010.02</v>
      </c>
      <c r="B59" s="1744">
        <v>25</v>
      </c>
      <c r="C59" s="1745">
        <v>31.076806033</v>
      </c>
      <c r="D59" s="1746">
        <v>25</v>
      </c>
      <c r="E59" s="1745">
        <v>30.1</v>
      </c>
      <c r="F59" s="2351"/>
      <c r="G59" s="2349"/>
      <c r="H59" s="2204"/>
      <c r="I59" s="2204"/>
      <c r="J59" s="2204"/>
      <c r="K59" s="3348"/>
      <c r="L59" s="3348"/>
    </row>
    <row r="60" spans="1:12">
      <c r="A60" s="2202">
        <v>2010.03</v>
      </c>
      <c r="B60" s="1744">
        <v>25</v>
      </c>
      <c r="C60" s="1745">
        <v>31.8345163989</v>
      </c>
      <c r="D60" s="1746">
        <v>30</v>
      </c>
      <c r="E60" s="1745">
        <v>33.5</v>
      </c>
      <c r="F60" s="2351"/>
      <c r="G60" s="2349"/>
      <c r="H60" s="2204"/>
      <c r="I60" s="2204"/>
      <c r="J60" s="2204"/>
      <c r="K60" s="3348"/>
      <c r="L60" s="3348"/>
    </row>
    <row r="61" spans="1:12">
      <c r="A61" s="2202">
        <v>2010.04</v>
      </c>
      <c r="B61" s="1744">
        <v>30</v>
      </c>
      <c r="C61" s="1745">
        <v>32.385932046999997</v>
      </c>
      <c r="D61" s="1746">
        <v>30</v>
      </c>
      <c r="E61" s="1745">
        <v>33.4</v>
      </c>
      <c r="F61" s="2351"/>
      <c r="G61" s="2349"/>
      <c r="H61" s="2204"/>
      <c r="I61" s="2204"/>
      <c r="J61" s="2204"/>
      <c r="K61" s="3348"/>
      <c r="L61" s="3348"/>
    </row>
    <row r="62" spans="1:12">
      <c r="A62" s="2202">
        <v>2010.05</v>
      </c>
      <c r="B62" s="1744">
        <v>25</v>
      </c>
      <c r="C62" s="1745">
        <v>30.2487180181</v>
      </c>
      <c r="D62" s="1746">
        <v>21</v>
      </c>
      <c r="E62" s="1745">
        <v>30.5</v>
      </c>
      <c r="F62" s="2351"/>
      <c r="G62" s="2349"/>
      <c r="H62" s="2204"/>
      <c r="I62" s="2204"/>
      <c r="J62" s="2204"/>
      <c r="K62" s="3348"/>
      <c r="L62" s="3348"/>
    </row>
    <row r="63" spans="1:12">
      <c r="A63" s="2202">
        <v>2010.06</v>
      </c>
      <c r="B63" s="1744">
        <v>25</v>
      </c>
      <c r="C63" s="1745">
        <v>32.527592538199997</v>
      </c>
      <c r="D63" s="1746">
        <v>30</v>
      </c>
      <c r="E63" s="1745">
        <v>34.6</v>
      </c>
      <c r="F63" s="2351"/>
      <c r="G63" s="2349"/>
      <c r="H63" s="2204"/>
      <c r="I63" s="2204"/>
      <c r="J63" s="2204"/>
      <c r="K63" s="3348"/>
      <c r="L63" s="3348"/>
    </row>
    <row r="64" spans="1:12">
      <c r="A64" s="2202">
        <v>2010.07</v>
      </c>
      <c r="B64" s="1744">
        <v>25</v>
      </c>
      <c r="C64" s="1745">
        <v>32.518056786000002</v>
      </c>
      <c r="D64" s="1746">
        <v>25</v>
      </c>
      <c r="E64" s="1745">
        <v>32.200000000000003</v>
      </c>
      <c r="F64" s="2351"/>
      <c r="G64" s="2349"/>
      <c r="H64" s="2204"/>
      <c r="I64" s="2204"/>
      <c r="J64" s="2204"/>
      <c r="K64" s="3348"/>
      <c r="L64" s="3348"/>
    </row>
    <row r="65" spans="1:12">
      <c r="A65" s="2202">
        <v>2010.08</v>
      </c>
      <c r="B65" s="1744">
        <v>25</v>
      </c>
      <c r="C65" s="1745">
        <v>32.821795521999995</v>
      </c>
      <c r="D65" s="1746">
        <v>25</v>
      </c>
      <c r="E65" s="1745">
        <v>32.200000000000003</v>
      </c>
      <c r="F65" s="2351"/>
      <c r="G65" s="2349"/>
      <c r="H65" s="2204"/>
      <c r="I65" s="2204"/>
      <c r="J65" s="2204"/>
      <c r="K65" s="3348"/>
      <c r="L65" s="3348"/>
    </row>
    <row r="66" spans="1:12">
      <c r="A66" s="2202">
        <v>2010.09</v>
      </c>
      <c r="B66" s="1744">
        <v>25</v>
      </c>
      <c r="C66" s="1745">
        <v>31.372826195200002</v>
      </c>
      <c r="D66" s="1746">
        <v>25</v>
      </c>
      <c r="E66" s="1745">
        <v>31.1</v>
      </c>
      <c r="F66" s="2351"/>
      <c r="G66" s="2349"/>
      <c r="H66" s="2204"/>
      <c r="I66" s="2204"/>
      <c r="J66" s="2204"/>
      <c r="K66" s="3348"/>
      <c r="L66" s="3348"/>
    </row>
    <row r="67" spans="1:12">
      <c r="A67" s="2202">
        <v>2010.1</v>
      </c>
      <c r="B67" s="1744">
        <v>30</v>
      </c>
      <c r="C67" s="1745">
        <v>33.6992752317</v>
      </c>
      <c r="D67" s="1746">
        <v>30</v>
      </c>
      <c r="E67" s="1745">
        <v>33.9</v>
      </c>
      <c r="F67" s="2351"/>
      <c r="G67" s="2349"/>
      <c r="H67" s="2204"/>
      <c r="I67" s="2204"/>
      <c r="J67" s="2204"/>
      <c r="K67" s="3348"/>
      <c r="L67" s="3348"/>
    </row>
    <row r="68" spans="1:12">
      <c r="A68" s="2202">
        <v>2010.11</v>
      </c>
      <c r="B68" s="1744">
        <v>30</v>
      </c>
      <c r="C68" s="1745">
        <v>34.016420708599995</v>
      </c>
      <c r="D68" s="1746">
        <v>30</v>
      </c>
      <c r="E68" s="1745">
        <v>34.799999999999997</v>
      </c>
      <c r="F68" s="2351"/>
      <c r="G68" s="2349"/>
      <c r="H68" s="2204"/>
      <c r="I68" s="2204"/>
      <c r="J68" s="2204"/>
      <c r="K68" s="3348"/>
      <c r="L68" s="3348"/>
    </row>
    <row r="69" spans="1:12">
      <c r="A69" s="2202">
        <v>2010.12</v>
      </c>
      <c r="B69" s="1744">
        <v>30</v>
      </c>
      <c r="C69" s="1745">
        <v>35.141475975999995</v>
      </c>
      <c r="D69" s="1746">
        <v>30</v>
      </c>
      <c r="E69" s="1745">
        <v>34.6</v>
      </c>
      <c r="F69" s="2351"/>
      <c r="G69" s="2349"/>
      <c r="H69" s="2204"/>
      <c r="I69" s="2204"/>
      <c r="J69" s="2204"/>
      <c r="K69" s="3348"/>
      <c r="L69" s="3348"/>
    </row>
    <row r="70" spans="1:12">
      <c r="A70" s="2202">
        <v>2011.01</v>
      </c>
      <c r="B70" s="1744">
        <v>25</v>
      </c>
      <c r="C70" s="1745">
        <v>30.731724506399999</v>
      </c>
      <c r="D70" s="1746">
        <v>25</v>
      </c>
      <c r="E70" s="1745">
        <v>32.4</v>
      </c>
      <c r="F70" s="2351"/>
      <c r="G70" s="2349"/>
      <c r="H70" s="2204"/>
      <c r="I70" s="2204"/>
      <c r="J70" s="2204"/>
      <c r="K70" s="3348"/>
      <c r="L70" s="3348"/>
    </row>
    <row r="71" spans="1:12">
      <c r="A71" s="2202">
        <v>2011.02</v>
      </c>
      <c r="B71" s="1744">
        <v>30</v>
      </c>
      <c r="C71" s="1745">
        <v>33.292047182400005</v>
      </c>
      <c r="D71" s="1746">
        <v>30</v>
      </c>
      <c r="E71" s="1745">
        <v>33.6</v>
      </c>
      <c r="F71" s="2351"/>
      <c r="G71" s="2349"/>
      <c r="H71" s="2204"/>
      <c r="I71" s="2204"/>
      <c r="J71" s="2204"/>
      <c r="K71" s="3348"/>
      <c r="L71" s="3348"/>
    </row>
    <row r="72" spans="1:12">
      <c r="A72" s="2202">
        <v>2011.03</v>
      </c>
      <c r="B72" s="1744">
        <v>25</v>
      </c>
      <c r="C72" s="1745">
        <v>32.7752956657</v>
      </c>
      <c r="D72" s="1746">
        <v>30</v>
      </c>
      <c r="E72" s="1745">
        <v>31.8</v>
      </c>
      <c r="F72" s="2351"/>
      <c r="G72" s="2349"/>
      <c r="H72" s="2204"/>
      <c r="I72" s="2204"/>
      <c r="J72" s="2204"/>
      <c r="K72" s="3348"/>
      <c r="L72" s="3348"/>
    </row>
    <row r="73" spans="1:12">
      <c r="A73" s="2202">
        <v>2011.04</v>
      </c>
      <c r="B73" s="1744">
        <v>25</v>
      </c>
      <c r="C73" s="1745">
        <v>30.275186742199999</v>
      </c>
      <c r="D73" s="1746">
        <v>25</v>
      </c>
      <c r="E73" s="1745">
        <v>29.9</v>
      </c>
      <c r="F73" s="2351"/>
      <c r="G73" s="2349"/>
      <c r="H73" s="2204"/>
      <c r="I73" s="2204"/>
      <c r="J73" s="2204"/>
      <c r="K73" s="3348"/>
      <c r="L73" s="3348"/>
    </row>
    <row r="74" spans="1:12">
      <c r="A74" s="2202">
        <v>2011.05</v>
      </c>
      <c r="B74" s="1744">
        <v>25</v>
      </c>
      <c r="C74" s="1745">
        <v>29.493976907699999</v>
      </c>
      <c r="D74" s="1746">
        <v>25</v>
      </c>
      <c r="E74" s="1745">
        <v>30.7</v>
      </c>
      <c r="F74" s="2351"/>
      <c r="G74" s="2349"/>
      <c r="H74" s="2204"/>
      <c r="I74" s="2204"/>
      <c r="J74" s="2204"/>
      <c r="K74" s="3348"/>
      <c r="L74" s="3348"/>
    </row>
    <row r="75" spans="1:12">
      <c r="A75" s="2202">
        <v>2011.06</v>
      </c>
      <c r="B75" s="1744">
        <v>25</v>
      </c>
      <c r="C75" s="1745">
        <v>32.500401342000004</v>
      </c>
      <c r="D75" s="1746">
        <v>30</v>
      </c>
      <c r="E75" s="1745">
        <v>32.700000000000003</v>
      </c>
      <c r="F75" s="2351"/>
      <c r="G75" s="2349"/>
      <c r="H75" s="2204"/>
      <c r="I75" s="2204"/>
      <c r="J75" s="2204"/>
      <c r="K75" s="3348"/>
      <c r="L75" s="3348"/>
    </row>
    <row r="76" spans="1:12">
      <c r="A76" s="2202">
        <v>2011.07</v>
      </c>
      <c r="B76" s="1744">
        <v>25</v>
      </c>
      <c r="C76" s="1745">
        <v>28.396334220900002</v>
      </c>
      <c r="D76" s="1746">
        <v>25</v>
      </c>
      <c r="E76" s="1745">
        <v>29.1</v>
      </c>
      <c r="F76" s="2351"/>
      <c r="G76" s="2349"/>
      <c r="H76" s="2204"/>
      <c r="I76" s="2204"/>
      <c r="J76" s="2204"/>
      <c r="K76" s="3348"/>
      <c r="L76" s="3348"/>
    </row>
    <row r="77" spans="1:12">
      <c r="A77" s="2202">
        <v>2011.08</v>
      </c>
      <c r="B77" s="1744">
        <v>25</v>
      </c>
      <c r="C77" s="1745">
        <v>29.173113767700002</v>
      </c>
      <c r="D77" s="1746">
        <v>25</v>
      </c>
      <c r="E77" s="1745">
        <v>29.2</v>
      </c>
      <c r="F77" s="2351"/>
      <c r="G77" s="2349"/>
      <c r="H77" s="2204"/>
      <c r="I77" s="2204"/>
      <c r="J77" s="2204"/>
      <c r="K77" s="3348"/>
      <c r="L77" s="3348"/>
    </row>
    <row r="78" spans="1:12">
      <c r="A78" s="2202">
        <v>2011.09</v>
      </c>
      <c r="B78" s="1744">
        <v>25</v>
      </c>
      <c r="C78" s="1745">
        <v>29.081163657600001</v>
      </c>
      <c r="D78" s="1746">
        <v>25</v>
      </c>
      <c r="E78" s="1745">
        <v>29.7</v>
      </c>
      <c r="F78" s="2351"/>
      <c r="G78" s="2349"/>
      <c r="H78" s="2204"/>
      <c r="I78" s="2204"/>
      <c r="J78" s="2204"/>
      <c r="K78" s="3348"/>
      <c r="L78" s="3348"/>
    </row>
    <row r="79" spans="1:12">
      <c r="A79" s="2202">
        <v>2011.1</v>
      </c>
      <c r="B79" s="1744">
        <v>25</v>
      </c>
      <c r="C79" s="1745">
        <v>29.823984733499998</v>
      </c>
      <c r="D79" s="1746">
        <v>25</v>
      </c>
      <c r="E79" s="1745">
        <v>31.2</v>
      </c>
      <c r="F79" s="2351"/>
      <c r="G79" s="2349"/>
      <c r="H79" s="2204"/>
      <c r="I79" s="2204"/>
      <c r="J79" s="2204"/>
      <c r="K79" s="3348"/>
      <c r="L79" s="3348"/>
    </row>
    <row r="80" spans="1:12">
      <c r="A80" s="2202">
        <v>2011.11</v>
      </c>
      <c r="B80" s="1744">
        <v>25</v>
      </c>
      <c r="C80" s="1745">
        <v>30.161781363099998</v>
      </c>
      <c r="D80" s="1746">
        <v>30</v>
      </c>
      <c r="E80" s="1745">
        <v>30</v>
      </c>
      <c r="F80" s="2351"/>
      <c r="G80" s="2349"/>
      <c r="H80" s="2204"/>
      <c r="I80" s="2204"/>
      <c r="J80" s="2204"/>
      <c r="K80" s="3348"/>
      <c r="L80" s="3348"/>
    </row>
    <row r="81" spans="1:12">
      <c r="A81" s="2202">
        <v>2011.12</v>
      </c>
      <c r="B81" s="1744">
        <v>25</v>
      </c>
      <c r="C81" s="1745">
        <v>34.4026595606</v>
      </c>
      <c r="D81" s="1746">
        <v>25</v>
      </c>
      <c r="E81" s="1745">
        <v>30</v>
      </c>
      <c r="F81" s="2351"/>
      <c r="G81" s="2349"/>
      <c r="H81" s="2204"/>
      <c r="I81" s="2204"/>
      <c r="J81" s="2204"/>
      <c r="K81" s="3348"/>
      <c r="L81" s="3348"/>
    </row>
    <row r="82" spans="1:12">
      <c r="A82" s="2202">
        <v>2012.01</v>
      </c>
      <c r="B82" s="1744">
        <v>25</v>
      </c>
      <c r="C82" s="1745">
        <v>28.9194279771</v>
      </c>
      <c r="D82" s="1746">
        <v>25</v>
      </c>
      <c r="E82" s="1745">
        <v>29.9</v>
      </c>
      <c r="F82" s="2351"/>
      <c r="G82" s="2349"/>
      <c r="H82" s="2204"/>
      <c r="I82" s="2204"/>
      <c r="J82" s="2204"/>
      <c r="K82" s="3348"/>
      <c r="L82" s="3348"/>
    </row>
    <row r="83" spans="1:12">
      <c r="A83" s="2202">
        <v>2012.02</v>
      </c>
      <c r="B83" s="1744">
        <v>25</v>
      </c>
      <c r="C83" s="1745">
        <v>30.710226946799999</v>
      </c>
      <c r="D83" s="1746">
        <v>25</v>
      </c>
      <c r="E83" s="1745">
        <v>28.8</v>
      </c>
      <c r="F83" s="2351"/>
      <c r="G83" s="2349"/>
      <c r="H83" s="2204"/>
      <c r="I83" s="2204"/>
      <c r="J83" s="2204"/>
      <c r="K83" s="3348"/>
      <c r="L83" s="3348"/>
    </row>
    <row r="84" spans="1:12">
      <c r="A84" s="2202">
        <v>2012.03</v>
      </c>
      <c r="B84" s="1744">
        <v>30</v>
      </c>
      <c r="C84" s="1745">
        <v>35.011444825299996</v>
      </c>
      <c r="D84" s="1746">
        <v>30</v>
      </c>
      <c r="E84" s="1745">
        <v>35.6</v>
      </c>
      <c r="F84" s="2351"/>
      <c r="G84" s="2349"/>
      <c r="H84" s="2204"/>
      <c r="I84" s="2204"/>
      <c r="J84" s="2204"/>
      <c r="K84" s="3348"/>
      <c r="L84" s="3348"/>
    </row>
    <row r="85" spans="1:12">
      <c r="A85" s="2202">
        <v>2012.04</v>
      </c>
      <c r="B85" s="1744">
        <v>30</v>
      </c>
      <c r="C85" s="1745">
        <v>37.1254186683</v>
      </c>
      <c r="D85" s="1746">
        <v>30</v>
      </c>
      <c r="E85" s="1745">
        <v>37.9</v>
      </c>
      <c r="F85" s="2351"/>
      <c r="G85" s="2349"/>
      <c r="H85" s="2204"/>
      <c r="I85" s="2204"/>
      <c r="J85" s="2204"/>
      <c r="K85" s="3348"/>
      <c r="L85" s="3348"/>
    </row>
    <row r="86" spans="1:12">
      <c r="A86" s="2202">
        <v>2012.05</v>
      </c>
      <c r="B86" s="1744">
        <v>30</v>
      </c>
      <c r="C86" s="1745">
        <v>33.889369582299999</v>
      </c>
      <c r="D86" s="1746">
        <v>30</v>
      </c>
      <c r="E86" s="1745">
        <v>34.700000000000003</v>
      </c>
      <c r="F86" s="2351"/>
      <c r="G86" s="2349"/>
      <c r="H86" s="2204"/>
      <c r="I86" s="2204"/>
      <c r="J86" s="2204"/>
      <c r="K86" s="3348"/>
      <c r="L86" s="3348"/>
    </row>
    <row r="87" spans="1:12">
      <c r="A87" s="2202">
        <v>2012.06</v>
      </c>
      <c r="B87" s="1744">
        <v>30</v>
      </c>
      <c r="C87" s="1745">
        <v>34.884066958799998</v>
      </c>
      <c r="D87" s="1746">
        <v>30</v>
      </c>
      <c r="E87" s="1745">
        <v>35.200000000000003</v>
      </c>
      <c r="F87" s="2351"/>
      <c r="G87" s="2349"/>
      <c r="H87" s="2204"/>
      <c r="I87" s="2204"/>
      <c r="J87" s="2204"/>
      <c r="K87" s="3348"/>
      <c r="L87" s="3348"/>
    </row>
    <row r="88" spans="1:12">
      <c r="A88" s="2202">
        <v>2012.07</v>
      </c>
      <c r="B88" s="1744">
        <v>30</v>
      </c>
      <c r="C88" s="1745">
        <v>35.741967950800003</v>
      </c>
      <c r="D88" s="1746">
        <v>30</v>
      </c>
      <c r="E88" s="1745">
        <v>37</v>
      </c>
      <c r="F88" s="2351"/>
      <c r="G88" s="2349"/>
      <c r="H88" s="2204"/>
      <c r="I88" s="2204"/>
      <c r="J88" s="2204"/>
      <c r="K88" s="3348"/>
      <c r="L88" s="3348"/>
    </row>
    <row r="89" spans="1:12">
      <c r="A89" s="2202">
        <v>2012.08</v>
      </c>
      <c r="B89" s="1744">
        <v>30</v>
      </c>
      <c r="C89" s="1745">
        <v>39.836353209500004</v>
      </c>
      <c r="D89" s="1746">
        <v>30</v>
      </c>
      <c r="E89" s="1745">
        <v>34.700000000000003</v>
      </c>
      <c r="F89" s="2351"/>
      <c r="G89" s="2349"/>
      <c r="H89" s="2204"/>
      <c r="I89" s="2204"/>
      <c r="J89" s="2204"/>
      <c r="K89" s="3348"/>
      <c r="L89" s="3348"/>
    </row>
    <row r="90" spans="1:12">
      <c r="A90" s="2202">
        <v>2012.09</v>
      </c>
      <c r="B90" s="1744">
        <v>30</v>
      </c>
      <c r="C90" s="1745">
        <v>34.884066958799998</v>
      </c>
      <c r="D90" s="1746">
        <v>30</v>
      </c>
      <c r="E90" s="1745">
        <v>35.200000000000003</v>
      </c>
      <c r="F90" s="2351"/>
      <c r="G90" s="2349"/>
      <c r="H90" s="2204"/>
      <c r="I90" s="2204"/>
      <c r="J90" s="2204"/>
      <c r="K90" s="3348"/>
      <c r="L90" s="3348"/>
    </row>
    <row r="91" spans="1:12">
      <c r="A91" s="2202">
        <v>2012.1</v>
      </c>
      <c r="B91" s="1744">
        <v>27</v>
      </c>
      <c r="C91" s="1745">
        <v>35.1448399756</v>
      </c>
      <c r="D91" s="1746">
        <v>30</v>
      </c>
      <c r="E91" s="1745">
        <v>35.799999999999997</v>
      </c>
      <c r="F91" s="2351"/>
      <c r="G91" s="2349"/>
      <c r="H91" s="2204"/>
      <c r="I91" s="2204"/>
      <c r="J91" s="2204"/>
      <c r="K91" s="3348"/>
      <c r="L91" s="3348"/>
    </row>
    <row r="92" spans="1:12">
      <c r="A92" s="2202">
        <v>2012.11</v>
      </c>
      <c r="B92" s="1744">
        <v>30</v>
      </c>
      <c r="C92" s="1745">
        <v>37.3544906594</v>
      </c>
      <c r="D92" s="1746">
        <v>30</v>
      </c>
      <c r="E92" s="1745">
        <v>38.4</v>
      </c>
      <c r="F92" s="2351"/>
      <c r="G92" s="2349"/>
      <c r="H92" s="2204"/>
      <c r="I92" s="2204"/>
      <c r="J92" s="2204"/>
      <c r="K92" s="3348"/>
      <c r="L92" s="3348"/>
    </row>
    <row r="93" spans="1:12">
      <c r="A93" s="2202">
        <v>2012.12</v>
      </c>
      <c r="B93" s="1744">
        <v>30</v>
      </c>
      <c r="C93" s="1745">
        <v>37.171196291299999</v>
      </c>
      <c r="D93" s="1746">
        <v>30</v>
      </c>
      <c r="E93" s="1745">
        <v>35.200000000000003</v>
      </c>
      <c r="F93" s="2351"/>
      <c r="G93" s="2349"/>
      <c r="H93" s="2204"/>
      <c r="I93" s="2204"/>
      <c r="J93" s="2204"/>
      <c r="K93" s="3348"/>
      <c r="L93" s="3348"/>
    </row>
    <row r="94" spans="1:12">
      <c r="A94" s="2202">
        <v>2013.01</v>
      </c>
      <c r="B94" s="1744">
        <v>30</v>
      </c>
      <c r="C94" s="1745">
        <v>35.338708541400003</v>
      </c>
      <c r="D94" s="1746">
        <v>30</v>
      </c>
      <c r="E94" s="1745">
        <v>34.299999999999997</v>
      </c>
      <c r="F94" s="2351"/>
      <c r="G94" s="2349"/>
      <c r="H94" s="2204"/>
      <c r="I94" s="2204"/>
      <c r="J94" s="2204"/>
      <c r="K94" s="3348"/>
      <c r="L94" s="3348"/>
    </row>
    <row r="95" spans="1:12">
      <c r="A95" s="2202">
        <v>2013.02</v>
      </c>
      <c r="B95" s="1744">
        <v>30</v>
      </c>
      <c r="C95" s="1745">
        <v>33.015893212199998</v>
      </c>
      <c r="D95" s="1746">
        <v>30</v>
      </c>
      <c r="E95" s="1745">
        <v>33.1</v>
      </c>
      <c r="F95" s="2351"/>
      <c r="G95" s="2349"/>
      <c r="H95" s="2204"/>
      <c r="I95" s="2204"/>
      <c r="J95" s="2204"/>
      <c r="K95" s="3348"/>
      <c r="L95" s="3348"/>
    </row>
    <row r="96" spans="1:12">
      <c r="A96" s="2202">
        <v>2013.03</v>
      </c>
      <c r="B96" s="1744">
        <v>30</v>
      </c>
      <c r="C96" s="1745">
        <v>33.450476131599999</v>
      </c>
      <c r="D96" s="1746">
        <v>30</v>
      </c>
      <c r="E96" s="1745">
        <v>33.1</v>
      </c>
      <c r="F96" s="2351"/>
      <c r="G96" s="2349"/>
      <c r="H96" s="2204"/>
      <c r="I96" s="2204"/>
      <c r="J96" s="2204"/>
      <c r="K96" s="3348"/>
      <c r="L96" s="3348"/>
    </row>
    <row r="97" spans="1:12">
      <c r="A97" s="2202">
        <v>2013.04</v>
      </c>
      <c r="B97" s="1744">
        <v>30</v>
      </c>
      <c r="C97" s="1745">
        <v>34.204704739900002</v>
      </c>
      <c r="D97" s="1746">
        <v>30</v>
      </c>
      <c r="E97" s="1745">
        <v>33.5</v>
      </c>
      <c r="F97" s="2351"/>
      <c r="G97" s="2349"/>
      <c r="H97" s="2204"/>
      <c r="I97" s="2204"/>
      <c r="J97" s="2204"/>
      <c r="K97" s="3348"/>
      <c r="L97" s="3348"/>
    </row>
    <row r="98" spans="1:12">
      <c r="A98" s="2202">
        <v>2013.05</v>
      </c>
      <c r="B98" s="1744">
        <v>30</v>
      </c>
      <c r="C98" s="1745">
        <v>34.925913459</v>
      </c>
      <c r="D98" s="1746">
        <v>30</v>
      </c>
      <c r="E98" s="1745">
        <v>35.5</v>
      </c>
      <c r="F98" s="2351"/>
      <c r="G98" s="2349"/>
      <c r="H98" s="2204"/>
      <c r="I98" s="2204"/>
      <c r="J98" s="2204"/>
      <c r="K98" s="3348"/>
      <c r="L98" s="3348"/>
    </row>
    <row r="99" spans="1:12">
      <c r="A99" s="2202">
        <v>2013.06</v>
      </c>
      <c r="B99" s="1744">
        <v>30</v>
      </c>
      <c r="C99" s="1745">
        <v>35.284813961699996</v>
      </c>
      <c r="D99" s="1746">
        <v>30</v>
      </c>
      <c r="E99" s="1745">
        <v>33.6</v>
      </c>
      <c r="F99" s="2351"/>
      <c r="G99" s="2349"/>
      <c r="H99" s="2204"/>
      <c r="I99" s="2204"/>
      <c r="J99" s="2204"/>
      <c r="K99" s="3348"/>
      <c r="L99" s="3348"/>
    </row>
    <row r="100" spans="1:12">
      <c r="A100" s="2202">
        <v>2013.07</v>
      </c>
      <c r="B100" s="1744">
        <v>30</v>
      </c>
      <c r="C100" s="1745">
        <v>34.581322216800004</v>
      </c>
      <c r="D100" s="1746">
        <v>30</v>
      </c>
      <c r="E100" s="1745">
        <v>35.299999999999997</v>
      </c>
      <c r="F100" s="2351"/>
      <c r="G100" s="2349"/>
      <c r="H100" s="2204"/>
      <c r="I100" s="2204"/>
      <c r="J100" s="2204"/>
      <c r="K100" s="3348"/>
      <c r="L100" s="3348"/>
    </row>
    <row r="101" spans="1:12">
      <c r="A101" s="2202">
        <v>2013.08</v>
      </c>
      <c r="B101" s="1744">
        <v>30</v>
      </c>
      <c r="C101" s="1745">
        <v>31.465826692099998</v>
      </c>
      <c r="D101" s="1746">
        <v>30</v>
      </c>
      <c r="E101" s="1745">
        <v>32.299999999999997</v>
      </c>
      <c r="F101" s="2351"/>
      <c r="G101" s="2349"/>
      <c r="H101" s="2204"/>
      <c r="I101" s="2204"/>
      <c r="J101" s="2204"/>
      <c r="K101" s="3348"/>
      <c r="L101" s="3348"/>
    </row>
    <row r="102" spans="1:12">
      <c r="A102" s="2202">
        <v>2013.09</v>
      </c>
      <c r="B102" s="1744">
        <v>30</v>
      </c>
      <c r="C102" s="1745">
        <v>32.825614935899999</v>
      </c>
      <c r="D102" s="1746">
        <v>30</v>
      </c>
      <c r="E102" s="1745">
        <v>34.5</v>
      </c>
      <c r="F102" s="2351"/>
      <c r="G102" s="2349"/>
      <c r="H102" s="2204"/>
      <c r="I102" s="2204"/>
      <c r="J102" s="2204"/>
      <c r="K102" s="3348"/>
      <c r="L102" s="3348"/>
    </row>
    <row r="103" spans="1:12">
      <c r="A103" s="2202">
        <v>2013.1</v>
      </c>
      <c r="B103" s="1744">
        <v>28</v>
      </c>
      <c r="C103" s="1745">
        <v>31.250247662</v>
      </c>
      <c r="D103" s="1746">
        <v>30</v>
      </c>
      <c r="E103" s="1745">
        <v>32.5</v>
      </c>
      <c r="F103" s="2351"/>
      <c r="G103" s="2349"/>
      <c r="H103" s="2204"/>
      <c r="I103" s="2204"/>
      <c r="J103" s="2204"/>
      <c r="K103" s="3348"/>
      <c r="L103" s="3348"/>
    </row>
    <row r="104" spans="1:12">
      <c r="A104" s="2202">
        <v>2013.11</v>
      </c>
      <c r="B104" s="1744">
        <v>30</v>
      </c>
      <c r="C104" s="1745">
        <v>32.729984354300001</v>
      </c>
      <c r="D104" s="1746">
        <v>30</v>
      </c>
      <c r="E104" s="1745">
        <v>35.299999999999997</v>
      </c>
      <c r="F104" s="2351"/>
      <c r="G104" s="2349"/>
      <c r="H104" s="2204"/>
      <c r="I104" s="2204"/>
      <c r="J104" s="2204"/>
      <c r="K104" s="3348"/>
      <c r="L104" s="3348"/>
    </row>
    <row r="105" spans="1:12">
      <c r="A105" s="2202">
        <v>2013.12</v>
      </c>
      <c r="B105" s="1744">
        <v>30</v>
      </c>
      <c r="C105" s="1745">
        <v>35.305430041199998</v>
      </c>
      <c r="D105" s="1746">
        <v>30</v>
      </c>
      <c r="E105" s="1745">
        <v>35.5</v>
      </c>
      <c r="F105" s="2351"/>
      <c r="G105" s="2349"/>
      <c r="H105" s="2204"/>
      <c r="I105" s="2204"/>
      <c r="J105" s="2204"/>
      <c r="K105" s="3348"/>
      <c r="L105" s="3348"/>
    </row>
    <row r="106" spans="1:12">
      <c r="A106" s="2202">
        <v>2014.01</v>
      </c>
      <c r="B106" s="1744">
        <v>30</v>
      </c>
      <c r="C106" s="1745">
        <v>37.597169815699999</v>
      </c>
      <c r="D106" s="1746">
        <v>30</v>
      </c>
      <c r="E106" s="1745">
        <v>37.4</v>
      </c>
      <c r="F106" s="2351"/>
      <c r="G106" s="2349"/>
      <c r="H106" s="2204"/>
      <c r="I106" s="2204"/>
      <c r="J106" s="2204"/>
      <c r="K106" s="3348"/>
      <c r="L106" s="3348"/>
    </row>
    <row r="107" spans="1:12">
      <c r="A107" s="2202">
        <v>2014.02</v>
      </c>
      <c r="B107" s="1744">
        <v>35</v>
      </c>
      <c r="C107" s="1745">
        <v>41.318692872599996</v>
      </c>
      <c r="D107" s="1746">
        <v>35</v>
      </c>
      <c r="E107" s="1745">
        <v>40.299999999999997</v>
      </c>
      <c r="F107" s="2351"/>
      <c r="G107" s="2349"/>
      <c r="H107" s="2204"/>
      <c r="I107" s="2204"/>
      <c r="J107" s="2204"/>
      <c r="K107" s="3348"/>
      <c r="L107" s="3348"/>
    </row>
    <row r="108" spans="1:12">
      <c r="A108" s="2202">
        <v>2014.03</v>
      </c>
      <c r="B108" s="1744">
        <v>30</v>
      </c>
      <c r="C108" s="1745">
        <v>38.635487343299999</v>
      </c>
      <c r="D108" s="1746">
        <v>30</v>
      </c>
      <c r="E108" s="1745">
        <v>38.799999999999997</v>
      </c>
      <c r="F108" s="2351"/>
      <c r="G108" s="2349"/>
      <c r="H108" s="2204"/>
      <c r="I108" s="2204"/>
      <c r="J108" s="2204"/>
      <c r="K108" s="3348"/>
      <c r="L108" s="3348"/>
    </row>
    <row r="109" spans="1:12">
      <c r="A109" s="2202">
        <v>2014.04</v>
      </c>
      <c r="B109" s="1744">
        <v>30</v>
      </c>
      <c r="C109" s="1745">
        <v>37.539090636699996</v>
      </c>
      <c r="D109" s="1746">
        <v>30</v>
      </c>
      <c r="E109" s="1745">
        <v>37.6</v>
      </c>
      <c r="F109" s="2351"/>
      <c r="G109" s="2349"/>
      <c r="H109" s="2204"/>
      <c r="I109" s="2204"/>
      <c r="J109" s="2204"/>
      <c r="K109" s="3348"/>
      <c r="L109" s="3348"/>
    </row>
    <row r="110" spans="1:12">
      <c r="A110" s="2202">
        <v>2014.05</v>
      </c>
      <c r="B110" s="1744">
        <v>30</v>
      </c>
      <c r="C110" s="1745">
        <v>38.566718769999994</v>
      </c>
      <c r="D110" s="1746">
        <v>30</v>
      </c>
      <c r="E110" s="1745">
        <v>38.4</v>
      </c>
      <c r="F110" s="2351"/>
      <c r="G110" s="2349"/>
      <c r="H110" s="2204"/>
      <c r="I110" s="2204"/>
      <c r="J110" s="2204"/>
      <c r="K110" s="3348"/>
      <c r="L110" s="3348"/>
    </row>
    <row r="111" spans="1:12">
      <c r="A111" s="2202">
        <v>2014.06</v>
      </c>
      <c r="B111" s="1744">
        <v>30</v>
      </c>
      <c r="C111" s="1745">
        <v>35.2444520066</v>
      </c>
      <c r="D111" s="1746">
        <v>30</v>
      </c>
      <c r="E111" s="1745">
        <v>37.5</v>
      </c>
      <c r="F111" s="2351"/>
      <c r="G111" s="2349"/>
      <c r="H111" s="2204"/>
      <c r="I111" s="2204"/>
      <c r="J111" s="2204"/>
      <c r="K111" s="3348"/>
      <c r="L111" s="3348"/>
    </row>
    <row r="112" spans="1:12">
      <c r="A112" s="2202">
        <v>2014.07</v>
      </c>
      <c r="B112" s="1744">
        <v>30</v>
      </c>
      <c r="C112" s="1745">
        <v>37.381615989400004</v>
      </c>
      <c r="D112" s="1746">
        <v>30</v>
      </c>
      <c r="E112" s="1745">
        <v>35.200000000000003</v>
      </c>
      <c r="F112" s="2351"/>
      <c r="G112" s="2349"/>
      <c r="H112" s="2204"/>
      <c r="I112" s="2204"/>
      <c r="J112" s="2204"/>
      <c r="K112" s="3348"/>
      <c r="L112" s="3348"/>
    </row>
    <row r="113" spans="1:12">
      <c r="A113" s="2202">
        <v>2014.08</v>
      </c>
      <c r="B113" s="1744">
        <v>30</v>
      </c>
      <c r="C113" s="1745">
        <v>36.984330274299992</v>
      </c>
      <c r="D113" s="1746">
        <v>35</v>
      </c>
      <c r="E113" s="1745">
        <v>39.700000000000003</v>
      </c>
      <c r="F113" s="2351"/>
      <c r="G113" s="2349"/>
      <c r="H113" s="2204"/>
      <c r="I113" s="2204"/>
      <c r="J113" s="2204"/>
      <c r="K113" s="3348"/>
      <c r="L113" s="3348"/>
    </row>
    <row r="114" spans="1:12">
      <c r="A114" s="2202">
        <v>2014.09</v>
      </c>
      <c r="B114" s="1744">
        <v>35</v>
      </c>
      <c r="C114" s="1745">
        <v>41.097060782599996</v>
      </c>
      <c r="D114" s="1746">
        <v>30</v>
      </c>
      <c r="E114" s="1745">
        <v>38.4</v>
      </c>
      <c r="F114" s="2351"/>
      <c r="G114" s="2349"/>
      <c r="H114" s="2204"/>
      <c r="I114" s="2204"/>
      <c r="J114" s="2204"/>
      <c r="K114" s="3348"/>
      <c r="L114" s="3348"/>
    </row>
    <row r="115" spans="1:12">
      <c r="A115" s="2202">
        <v>2014.1</v>
      </c>
      <c r="B115" s="1744">
        <v>35</v>
      </c>
      <c r="C115" s="1745">
        <v>39.100485079899997</v>
      </c>
      <c r="D115" s="1746">
        <v>35</v>
      </c>
      <c r="E115" s="1745">
        <v>39.700000000000003</v>
      </c>
      <c r="F115" s="2351"/>
      <c r="G115" s="2349"/>
      <c r="H115" s="2204"/>
      <c r="I115" s="2204"/>
      <c r="J115" s="2204"/>
      <c r="K115" s="3348"/>
      <c r="L115" s="3348"/>
    </row>
    <row r="116" spans="1:12">
      <c r="A116" s="2202">
        <v>2014.11</v>
      </c>
      <c r="B116" s="1744">
        <v>30</v>
      </c>
      <c r="C116" s="1745">
        <v>37.554011027599998</v>
      </c>
      <c r="D116" s="1746">
        <v>30</v>
      </c>
      <c r="E116" s="1745">
        <v>38.4</v>
      </c>
      <c r="F116" s="2351"/>
      <c r="G116" s="2349"/>
      <c r="H116" s="2204"/>
      <c r="I116" s="2204"/>
      <c r="J116" s="2204"/>
      <c r="K116" s="3348"/>
      <c r="L116" s="3348"/>
    </row>
    <row r="117" spans="1:12">
      <c r="A117" s="2202">
        <v>2014.12</v>
      </c>
      <c r="B117" s="1744">
        <v>30</v>
      </c>
      <c r="C117" s="1745">
        <v>35.8321987697</v>
      </c>
      <c r="D117" s="1746">
        <v>30</v>
      </c>
      <c r="E117" s="1745">
        <v>35.1</v>
      </c>
      <c r="F117" s="2351"/>
      <c r="G117" s="2349"/>
      <c r="H117" s="2204"/>
      <c r="I117" s="2204"/>
      <c r="J117" s="2204"/>
      <c r="K117" s="3348"/>
      <c r="L117" s="3348"/>
    </row>
    <row r="118" spans="1:12">
      <c r="A118" s="2202">
        <v>2015.01</v>
      </c>
      <c r="B118" s="1744">
        <v>30</v>
      </c>
      <c r="C118" s="1745">
        <v>31.295445547699998</v>
      </c>
      <c r="D118" s="1746">
        <v>30</v>
      </c>
      <c r="E118" s="1745">
        <v>31.9</v>
      </c>
      <c r="F118" s="2351"/>
      <c r="G118" s="2349"/>
      <c r="H118" s="2204"/>
      <c r="I118" s="2204"/>
      <c r="J118" s="2204"/>
      <c r="K118" s="3348"/>
      <c r="L118" s="3348"/>
    </row>
    <row r="119" spans="1:12">
      <c r="A119" s="2202">
        <v>2015.02</v>
      </c>
      <c r="B119" s="1744">
        <v>30</v>
      </c>
      <c r="C119" s="1745">
        <v>29.618846993999998</v>
      </c>
      <c r="D119" s="1746">
        <v>30</v>
      </c>
      <c r="E119" s="1745">
        <v>32.6</v>
      </c>
      <c r="F119" s="2351"/>
      <c r="G119" s="2349"/>
      <c r="H119" s="2204"/>
      <c r="I119" s="2204"/>
      <c r="J119" s="2204"/>
      <c r="K119" s="3348"/>
      <c r="L119" s="3348"/>
    </row>
    <row r="120" spans="1:12">
      <c r="A120" s="2202">
        <v>2015.03</v>
      </c>
      <c r="B120" s="1744">
        <v>30</v>
      </c>
      <c r="C120" s="1745">
        <v>29.5689435271</v>
      </c>
      <c r="D120" s="1746">
        <v>30</v>
      </c>
      <c r="E120" s="1745">
        <v>31.6</v>
      </c>
      <c r="F120" s="2351"/>
      <c r="G120" s="2349"/>
      <c r="H120" s="2204"/>
      <c r="I120" s="2204"/>
      <c r="J120" s="2204"/>
      <c r="K120" s="3348"/>
      <c r="L120" s="3348"/>
    </row>
    <row r="121" spans="1:12">
      <c r="A121" s="2202">
        <v>2015.04</v>
      </c>
      <c r="B121" s="1744">
        <v>30</v>
      </c>
      <c r="C121" s="1745">
        <v>30.5603568147</v>
      </c>
      <c r="D121" s="1746">
        <v>30</v>
      </c>
      <c r="E121" s="1745">
        <v>31</v>
      </c>
      <c r="F121" s="2351"/>
      <c r="G121" s="2349"/>
      <c r="H121" s="2204"/>
      <c r="I121" s="2204"/>
      <c r="J121" s="2204"/>
      <c r="K121" s="3348"/>
      <c r="L121" s="3348"/>
    </row>
    <row r="122" spans="1:12">
      <c r="A122" s="2202">
        <v>2015.05</v>
      </c>
      <c r="B122" s="1744">
        <v>28</v>
      </c>
      <c r="C122" s="1745">
        <v>27.504020296199997</v>
      </c>
      <c r="D122" s="1746">
        <v>30</v>
      </c>
      <c r="E122" s="1745">
        <v>28.5</v>
      </c>
      <c r="F122" s="2351"/>
      <c r="G122" s="2349"/>
      <c r="H122" s="2204"/>
      <c r="I122" s="2204"/>
      <c r="J122" s="2204"/>
      <c r="K122" s="3348"/>
      <c r="L122" s="3348"/>
    </row>
    <row r="123" spans="1:12">
      <c r="A123" s="2202">
        <v>2015.06</v>
      </c>
      <c r="B123" s="1744">
        <v>30</v>
      </c>
      <c r="C123" s="1745">
        <v>30.539026632999999</v>
      </c>
      <c r="D123" s="1746">
        <v>30</v>
      </c>
      <c r="E123" s="1745">
        <v>30.2</v>
      </c>
      <c r="F123" s="2351"/>
      <c r="G123" s="2349"/>
      <c r="H123" s="2204"/>
      <c r="I123" s="2204"/>
      <c r="J123" s="2204"/>
      <c r="K123" s="3348"/>
      <c r="L123" s="3348"/>
    </row>
    <row r="124" spans="1:12">
      <c r="A124" s="2202">
        <v>2015.07</v>
      </c>
      <c r="B124" s="1744">
        <v>25</v>
      </c>
      <c r="C124" s="1745">
        <v>27.695384702799998</v>
      </c>
      <c r="D124" s="1746">
        <v>25</v>
      </c>
      <c r="E124" s="1745">
        <v>27</v>
      </c>
      <c r="F124" s="2351"/>
      <c r="G124" s="2349"/>
      <c r="H124" s="2204"/>
      <c r="I124" s="2204"/>
      <c r="J124" s="2204"/>
      <c r="K124" s="3348"/>
      <c r="L124" s="3348"/>
    </row>
    <row r="125" spans="1:12">
      <c r="A125" s="2202">
        <v>2015.08</v>
      </c>
      <c r="B125" s="1744">
        <v>22</v>
      </c>
      <c r="C125" s="1745">
        <v>26.275479548100002</v>
      </c>
      <c r="D125" s="1746">
        <v>25</v>
      </c>
      <c r="E125" s="1745">
        <v>29</v>
      </c>
      <c r="F125" s="2351"/>
      <c r="G125" s="2349"/>
      <c r="H125" s="2204"/>
      <c r="I125" s="2204"/>
      <c r="J125" s="2204"/>
      <c r="K125" s="3348"/>
      <c r="L125" s="3348"/>
    </row>
    <row r="126" spans="1:12">
      <c r="A126" s="2202">
        <v>2015.09</v>
      </c>
      <c r="B126" s="1744">
        <v>30</v>
      </c>
      <c r="C126" s="1745">
        <v>30.731866132900002</v>
      </c>
      <c r="D126" s="1746">
        <v>30</v>
      </c>
      <c r="E126" s="1745">
        <v>31.2</v>
      </c>
      <c r="F126" s="2351"/>
      <c r="G126" s="2349"/>
      <c r="H126" s="2204"/>
      <c r="I126" s="2204"/>
      <c r="J126" s="2204"/>
      <c r="K126" s="3348"/>
      <c r="L126" s="3348"/>
    </row>
    <row r="127" spans="1:12">
      <c r="A127" s="2202">
        <v>2015.1</v>
      </c>
      <c r="B127" s="1744">
        <v>25</v>
      </c>
      <c r="C127" s="1745">
        <v>27.464381588000002</v>
      </c>
      <c r="D127" s="1746">
        <v>25</v>
      </c>
      <c r="E127" s="1745">
        <v>29.8</v>
      </c>
      <c r="F127" s="2351"/>
      <c r="G127" s="2349"/>
      <c r="H127" s="2204"/>
      <c r="I127" s="2204"/>
      <c r="J127" s="2204"/>
      <c r="K127" s="3348"/>
      <c r="L127" s="3348"/>
    </row>
    <row r="128" spans="1:12">
      <c r="A128" s="2202">
        <v>2015.11</v>
      </c>
      <c r="B128" s="1744">
        <v>20</v>
      </c>
      <c r="C128" s="1745">
        <v>22.2</v>
      </c>
      <c r="D128" s="1746">
        <v>20</v>
      </c>
      <c r="E128" s="1745">
        <v>22.2</v>
      </c>
      <c r="F128" s="2351"/>
      <c r="G128" s="2349"/>
      <c r="H128" s="2204"/>
      <c r="I128" s="2204"/>
      <c r="J128" s="2204"/>
      <c r="K128" s="3348"/>
      <c r="L128" s="3348"/>
    </row>
    <row r="129" spans="1:12">
      <c r="A129" s="2202">
        <v>2015.12</v>
      </c>
      <c r="B129" s="1744">
        <v>30</v>
      </c>
      <c r="C129" s="1745">
        <v>30.5232259032</v>
      </c>
      <c r="D129" s="1746">
        <v>30</v>
      </c>
      <c r="E129" s="1745">
        <v>28.8</v>
      </c>
      <c r="F129" s="2351"/>
      <c r="G129" s="2349"/>
      <c r="H129" s="2204"/>
      <c r="I129" s="2204"/>
      <c r="J129" s="2204"/>
      <c r="K129" s="3348"/>
      <c r="L129" s="3348"/>
    </row>
    <row r="130" spans="1:12">
      <c r="A130" s="2202">
        <f>A118+1</f>
        <v>2016.01</v>
      </c>
      <c r="B130" s="1744">
        <v>25</v>
      </c>
      <c r="C130" s="1745">
        <v>26.9</v>
      </c>
      <c r="D130" s="1746">
        <v>25</v>
      </c>
      <c r="E130" s="1745">
        <v>27.1</v>
      </c>
      <c r="F130" s="2351"/>
      <c r="G130" s="2349"/>
      <c r="H130" s="2204"/>
      <c r="I130" s="2204"/>
      <c r="J130" s="2204"/>
      <c r="K130" s="3348"/>
      <c r="L130" s="3348"/>
    </row>
    <row r="131" spans="1:12">
      <c r="A131" s="2202">
        <f t="shared" ref="A131:A153" si="0">A119+1</f>
        <v>2016.02</v>
      </c>
      <c r="B131" s="1744">
        <v>30</v>
      </c>
      <c r="C131" s="1745">
        <v>33.6</v>
      </c>
      <c r="D131" s="1746">
        <v>30</v>
      </c>
      <c r="E131" s="1745">
        <v>31.4</v>
      </c>
      <c r="F131" s="2351"/>
      <c r="G131" s="2349"/>
      <c r="H131" s="2204"/>
      <c r="I131" s="2204"/>
      <c r="J131" s="2204"/>
      <c r="K131" s="3348"/>
      <c r="L131" s="3348"/>
    </row>
    <row r="132" spans="1:12">
      <c r="A132" s="2202">
        <f t="shared" si="0"/>
        <v>2016.03</v>
      </c>
      <c r="B132" s="1744">
        <v>30</v>
      </c>
      <c r="C132" s="1745">
        <v>31.4</v>
      </c>
      <c r="D132" s="1746">
        <v>30</v>
      </c>
      <c r="E132" s="1745">
        <v>29.9</v>
      </c>
      <c r="F132" s="2351"/>
      <c r="G132" s="2349"/>
      <c r="H132" s="2204"/>
      <c r="I132" s="2204"/>
      <c r="J132" s="2204"/>
      <c r="K132" s="3348"/>
      <c r="L132" s="3348"/>
    </row>
    <row r="133" spans="1:12">
      <c r="A133" s="2202">
        <f t="shared" si="0"/>
        <v>2016.04</v>
      </c>
      <c r="B133" s="1744">
        <v>30</v>
      </c>
      <c r="C133" s="1745">
        <v>36</v>
      </c>
      <c r="D133" s="1746">
        <v>30</v>
      </c>
      <c r="E133" s="1745">
        <v>34.4</v>
      </c>
      <c r="F133" s="2351"/>
      <c r="G133" s="2349"/>
      <c r="H133" s="2204"/>
      <c r="I133" s="2204"/>
      <c r="J133" s="2204"/>
      <c r="K133" s="3348"/>
      <c r="L133" s="3348"/>
    </row>
    <row r="134" spans="1:12">
      <c r="A134" s="2202">
        <f t="shared" si="0"/>
        <v>2016.05</v>
      </c>
      <c r="B134" s="1744">
        <v>28</v>
      </c>
      <c r="C134" s="1745">
        <v>32.4</v>
      </c>
      <c r="D134" s="1746">
        <v>25</v>
      </c>
      <c r="E134" s="1745">
        <v>29</v>
      </c>
      <c r="F134" s="2351"/>
      <c r="G134" s="2349"/>
      <c r="H134" s="2204"/>
      <c r="I134" s="2204"/>
      <c r="J134" s="2204"/>
      <c r="K134" s="3348"/>
      <c r="L134" s="3348"/>
    </row>
    <row r="135" spans="1:12">
      <c r="A135" s="2202">
        <f t="shared" si="0"/>
        <v>2016.06</v>
      </c>
      <c r="B135" s="1744">
        <v>25</v>
      </c>
      <c r="C135" s="1745">
        <v>32.9</v>
      </c>
      <c r="D135" s="1746">
        <v>25</v>
      </c>
      <c r="E135" s="1745">
        <v>29.9</v>
      </c>
      <c r="F135" s="1032">
        <v>21.5</v>
      </c>
      <c r="G135" s="331">
        <v>21.562295807030278</v>
      </c>
      <c r="H135" s="1983"/>
      <c r="I135" s="1983"/>
      <c r="J135" s="2204"/>
      <c r="K135" s="3348"/>
      <c r="L135" s="3348"/>
    </row>
    <row r="136" spans="1:12">
      <c r="A136" s="2202">
        <f t="shared" si="0"/>
        <v>2016.07</v>
      </c>
      <c r="B136" s="1744">
        <v>25</v>
      </c>
      <c r="C136" s="1745">
        <v>29.8</v>
      </c>
      <c r="D136" s="1746">
        <v>20</v>
      </c>
      <c r="E136" s="1745">
        <v>28.3</v>
      </c>
      <c r="F136" s="1746">
        <v>21.700000000000003</v>
      </c>
      <c r="G136" s="934">
        <v>21.847120522444349</v>
      </c>
      <c r="H136" s="1983"/>
      <c r="I136" s="1983"/>
      <c r="J136" s="2204"/>
      <c r="K136" s="3348"/>
      <c r="L136" s="3348"/>
    </row>
    <row r="137" spans="1:12">
      <c r="A137" s="2202">
        <f>A125+1</f>
        <v>2016.08</v>
      </c>
      <c r="B137" s="1744">
        <v>25</v>
      </c>
      <c r="C137" s="1745">
        <v>30.9</v>
      </c>
      <c r="D137" s="1746">
        <v>25</v>
      </c>
      <c r="E137" s="1745">
        <v>29.6</v>
      </c>
      <c r="F137" s="1746">
        <v>21.9</v>
      </c>
      <c r="G137" s="934">
        <v>21.388487785052419</v>
      </c>
      <c r="H137" s="1983"/>
      <c r="I137" s="1983"/>
      <c r="J137" s="2204"/>
      <c r="K137" s="3348"/>
      <c r="L137" s="3348"/>
    </row>
    <row r="138" spans="1:12">
      <c r="A138" s="2202">
        <f t="shared" si="0"/>
        <v>2016.09</v>
      </c>
      <c r="B138" s="1744">
        <v>20</v>
      </c>
      <c r="C138" s="1745">
        <v>29.8</v>
      </c>
      <c r="D138" s="1746">
        <v>20</v>
      </c>
      <c r="E138" s="1745">
        <v>27.8</v>
      </c>
      <c r="F138" s="1746">
        <v>21.1</v>
      </c>
      <c r="G138" s="934">
        <v>20.584118892518088</v>
      </c>
      <c r="H138" s="1983"/>
      <c r="I138" s="1983"/>
      <c r="J138" s="2204"/>
      <c r="K138" s="3348"/>
      <c r="L138" s="3348"/>
    </row>
    <row r="139" spans="1:12">
      <c r="A139" s="2202">
        <f t="shared" si="0"/>
        <v>2016.1</v>
      </c>
      <c r="B139" s="1744">
        <v>20</v>
      </c>
      <c r="C139" s="1745">
        <v>27.6</v>
      </c>
      <c r="D139" s="1746">
        <v>20</v>
      </c>
      <c r="E139" s="1745">
        <v>23.7</v>
      </c>
      <c r="F139" s="1746">
        <v>19.425992025811041</v>
      </c>
      <c r="G139" s="934">
        <v>19.506999386600853</v>
      </c>
      <c r="H139" s="1983"/>
      <c r="I139" s="1983"/>
      <c r="J139" s="2204"/>
      <c r="K139" s="3348"/>
      <c r="L139" s="3348"/>
    </row>
    <row r="140" spans="1:12">
      <c r="A140" s="2202">
        <f t="shared" si="0"/>
        <v>2016.11</v>
      </c>
      <c r="B140" s="1744">
        <v>25</v>
      </c>
      <c r="C140" s="1745">
        <v>30.4</v>
      </c>
      <c r="D140" s="1746">
        <v>25</v>
      </c>
      <c r="E140" s="1745">
        <v>28.8</v>
      </c>
      <c r="F140" s="1746">
        <v>20</v>
      </c>
      <c r="G140" s="934">
        <v>19.688537848139312</v>
      </c>
      <c r="H140" s="1983"/>
      <c r="I140" s="1983"/>
      <c r="J140" s="2204"/>
      <c r="K140" s="3348"/>
      <c r="L140" s="3348"/>
    </row>
    <row r="141" spans="1:12">
      <c r="A141" s="2202">
        <f t="shared" si="0"/>
        <v>2016.12</v>
      </c>
      <c r="B141" s="1744">
        <v>25</v>
      </c>
      <c r="C141" s="1745">
        <v>28.9</v>
      </c>
      <c r="D141" s="1746">
        <v>20</v>
      </c>
      <c r="E141" s="1745">
        <v>26.4</v>
      </c>
      <c r="F141" s="1746">
        <v>19.600000000000001</v>
      </c>
      <c r="G141" s="934">
        <v>19.606868727368319</v>
      </c>
      <c r="H141" s="1983"/>
      <c r="I141" s="1983"/>
      <c r="J141" s="2204"/>
      <c r="K141" s="3348"/>
      <c r="L141" s="3348"/>
    </row>
    <row r="142" spans="1:12">
      <c r="A142" s="2202">
        <f t="shared" si="0"/>
        <v>2017.01</v>
      </c>
      <c r="B142" s="1744">
        <v>25</v>
      </c>
      <c r="C142" s="1745">
        <v>29.2</v>
      </c>
      <c r="D142" s="1746">
        <v>20</v>
      </c>
      <c r="E142" s="1745">
        <v>27.5</v>
      </c>
      <c r="F142" s="1746">
        <v>19.649999999999999</v>
      </c>
      <c r="G142" s="934">
        <v>19.364615384615387</v>
      </c>
      <c r="H142" s="1983"/>
      <c r="I142" s="1983"/>
      <c r="J142" s="2204"/>
      <c r="K142" s="3348"/>
      <c r="L142" s="3348"/>
    </row>
    <row r="143" spans="1:12">
      <c r="A143" s="2202">
        <f>A131+1</f>
        <v>2017.02</v>
      </c>
      <c r="B143" s="1744">
        <v>25</v>
      </c>
      <c r="C143" s="1745">
        <v>31.2</v>
      </c>
      <c r="D143" s="1746">
        <v>25</v>
      </c>
      <c r="E143" s="1745">
        <v>29.4</v>
      </c>
      <c r="F143" s="1746">
        <v>19.450000000000003</v>
      </c>
      <c r="G143" s="934">
        <v>18.998333333333331</v>
      </c>
      <c r="H143" s="1983"/>
      <c r="I143" s="1983"/>
      <c r="J143" s="2204"/>
      <c r="K143" s="3348"/>
      <c r="L143" s="3348"/>
    </row>
    <row r="144" spans="1:12">
      <c r="A144" s="2202">
        <f t="shared" si="0"/>
        <v>2017.03</v>
      </c>
      <c r="B144" s="1744">
        <v>25</v>
      </c>
      <c r="C144" s="1745">
        <v>31.3</v>
      </c>
      <c r="D144" s="1746">
        <v>20</v>
      </c>
      <c r="E144" s="1745">
        <v>27.4</v>
      </c>
      <c r="F144" s="1746">
        <v>18.399999999999999</v>
      </c>
      <c r="G144" s="934">
        <v>18.236250000000002</v>
      </c>
      <c r="H144" s="1983"/>
      <c r="I144" s="1983"/>
      <c r="J144" s="2204"/>
      <c r="K144" s="3348"/>
      <c r="L144" s="3348"/>
    </row>
    <row r="145" spans="1:12">
      <c r="A145" s="2202">
        <f t="shared" si="0"/>
        <v>2017.04</v>
      </c>
      <c r="B145" s="1744">
        <v>20</v>
      </c>
      <c r="C145" s="1745">
        <v>27.4</v>
      </c>
      <c r="D145" s="1746">
        <v>20</v>
      </c>
      <c r="E145" s="1745">
        <v>26.7</v>
      </c>
      <c r="F145" s="1746">
        <v>17.509999999999998</v>
      </c>
      <c r="G145" s="934">
        <v>17.502272727272729</v>
      </c>
      <c r="H145" s="1983"/>
      <c r="I145" s="1983"/>
      <c r="J145" s="2204"/>
      <c r="K145" s="3348"/>
      <c r="L145" s="3348"/>
    </row>
    <row r="146" spans="1:12">
      <c r="A146" s="2202">
        <f t="shared" si="0"/>
        <v>2017.05</v>
      </c>
      <c r="B146" s="1744">
        <v>21</v>
      </c>
      <c r="C146" s="1745">
        <v>27.9</v>
      </c>
      <c r="D146" s="1746">
        <v>20</v>
      </c>
      <c r="E146" s="1745">
        <v>26.7</v>
      </c>
      <c r="F146" s="1746">
        <v>17</v>
      </c>
      <c r="G146" s="934">
        <v>17.505652173913042</v>
      </c>
      <c r="H146" s="1983"/>
      <c r="I146" s="1983"/>
      <c r="J146" s="2204"/>
      <c r="K146" s="3348"/>
      <c r="L146" s="3348"/>
    </row>
    <row r="147" spans="1:12">
      <c r="A147" s="2202">
        <f>A135+1</f>
        <v>2017.06</v>
      </c>
      <c r="B147" s="1744">
        <v>20</v>
      </c>
      <c r="C147" s="1745">
        <v>27.3</v>
      </c>
      <c r="D147" s="1746">
        <v>20</v>
      </c>
      <c r="E147" s="1745">
        <v>26.6</v>
      </c>
      <c r="F147" s="1746">
        <v>17</v>
      </c>
      <c r="G147" s="934">
        <v>17.053461538461537</v>
      </c>
      <c r="H147" s="1983"/>
      <c r="I147" s="1983"/>
      <c r="J147" s="2204"/>
      <c r="K147" s="3348"/>
      <c r="L147" s="3348"/>
    </row>
    <row r="148" spans="1:12">
      <c r="A148" s="2202">
        <f t="shared" si="0"/>
        <v>2017.07</v>
      </c>
      <c r="B148" s="1744">
        <v>20</v>
      </c>
      <c r="C148" s="1745">
        <v>29.3</v>
      </c>
      <c r="D148" s="1746">
        <v>20</v>
      </c>
      <c r="E148" s="1745">
        <v>28.3</v>
      </c>
      <c r="F148" s="1746">
        <v>17.100000000000001</v>
      </c>
      <c r="G148" s="934">
        <v>17.346932102700723</v>
      </c>
      <c r="H148" s="1983"/>
      <c r="I148" s="1983"/>
      <c r="J148" s="2204"/>
      <c r="K148" s="3348"/>
      <c r="L148" s="3348"/>
    </row>
    <row r="149" spans="1:12">
      <c r="A149" s="2202">
        <f t="shared" si="0"/>
        <v>2017.08</v>
      </c>
      <c r="B149" s="1744">
        <v>20</v>
      </c>
      <c r="C149" s="1745">
        <v>27.9</v>
      </c>
      <c r="D149" s="1746">
        <v>20</v>
      </c>
      <c r="E149" s="1745">
        <v>28.3</v>
      </c>
      <c r="F149" s="1746">
        <v>17.2</v>
      </c>
      <c r="G149" s="934">
        <v>17.102728604002934</v>
      </c>
      <c r="H149" s="1983"/>
      <c r="I149" s="1983"/>
      <c r="J149" s="2204"/>
      <c r="K149" s="3348"/>
      <c r="L149" s="3348"/>
    </row>
    <row r="150" spans="1:12">
      <c r="A150" s="2202">
        <f t="shared" si="0"/>
        <v>2017.09</v>
      </c>
      <c r="B150" s="1744">
        <v>20</v>
      </c>
      <c r="C150" s="1745">
        <v>25.1</v>
      </c>
      <c r="D150" s="1746">
        <v>20</v>
      </c>
      <c r="E150" s="1745">
        <v>22.9</v>
      </c>
      <c r="F150" s="1746">
        <v>16.899999999999999</v>
      </c>
      <c r="G150" s="934">
        <v>16.969583333333301</v>
      </c>
      <c r="H150" s="1983"/>
      <c r="I150" s="1983"/>
      <c r="J150" s="2204"/>
      <c r="K150" s="3348"/>
      <c r="L150" s="3348"/>
    </row>
    <row r="151" spans="1:12">
      <c r="A151" s="2202">
        <f t="shared" si="0"/>
        <v>2017.1</v>
      </c>
      <c r="B151" s="1744">
        <v>20</v>
      </c>
      <c r="C151" s="1745">
        <v>27.7</v>
      </c>
      <c r="D151" s="1746">
        <v>20</v>
      </c>
      <c r="E151" s="1745">
        <v>23.6</v>
      </c>
      <c r="F151" s="1746">
        <v>17.3</v>
      </c>
      <c r="G151" s="934">
        <v>17.329574468085099</v>
      </c>
      <c r="H151" s="1983"/>
      <c r="I151" s="1983"/>
      <c r="J151" s="2204"/>
      <c r="K151" s="3348"/>
      <c r="L151" s="3348"/>
    </row>
    <row r="152" spans="1:12">
      <c r="A152" s="2202">
        <f t="shared" si="0"/>
        <v>2017.11</v>
      </c>
      <c r="B152" s="1744">
        <v>20</v>
      </c>
      <c r="C152" s="1745">
        <v>24.7</v>
      </c>
      <c r="D152" s="1746">
        <v>20</v>
      </c>
      <c r="E152" s="1745">
        <v>23.5</v>
      </c>
      <c r="F152" s="1746">
        <v>17.5</v>
      </c>
      <c r="G152" s="934">
        <v>17.600000000000001</v>
      </c>
      <c r="H152" s="1983"/>
      <c r="I152" s="1983"/>
      <c r="J152" s="2204"/>
      <c r="K152" s="3348"/>
      <c r="L152" s="3348"/>
    </row>
    <row r="153" spans="1:12">
      <c r="A153" s="2202">
        <f t="shared" si="0"/>
        <v>2017.12</v>
      </c>
      <c r="B153" s="1744">
        <v>20</v>
      </c>
      <c r="C153" s="1745">
        <v>29.1</v>
      </c>
      <c r="D153" s="1746">
        <v>23</v>
      </c>
      <c r="E153" s="1745">
        <v>29.3</v>
      </c>
      <c r="F153" s="1746">
        <v>17.399999999999999</v>
      </c>
      <c r="G153" s="934">
        <v>17</v>
      </c>
      <c r="H153" s="1983"/>
      <c r="I153" s="1983"/>
      <c r="J153" s="2204"/>
      <c r="K153" s="3348"/>
      <c r="L153" s="3348"/>
    </row>
    <row r="154" spans="1:12">
      <c r="A154" s="2202">
        <f t="shared" ref="A154:A163" si="1">A142+1</f>
        <v>2018.01</v>
      </c>
      <c r="B154" s="1744">
        <v>20</v>
      </c>
      <c r="C154" s="1745">
        <v>28.4</v>
      </c>
      <c r="D154" s="1746">
        <v>20</v>
      </c>
      <c r="E154" s="1745">
        <v>27.6</v>
      </c>
      <c r="F154" s="1746">
        <v>18.600000000000001</v>
      </c>
      <c r="G154" s="934">
        <v>18.5</v>
      </c>
      <c r="H154" s="1983"/>
      <c r="I154" s="1983"/>
      <c r="J154" s="2204"/>
      <c r="K154" s="3348"/>
      <c r="L154" s="3348"/>
    </row>
    <row r="155" spans="1:12">
      <c r="A155" s="2202">
        <f t="shared" si="1"/>
        <v>2018.02</v>
      </c>
      <c r="B155" s="1744">
        <v>20</v>
      </c>
      <c r="C155" s="1745">
        <v>27</v>
      </c>
      <c r="D155" s="1746">
        <v>20</v>
      </c>
      <c r="E155" s="1745">
        <v>28.4</v>
      </c>
      <c r="F155" s="1746">
        <v>17.600000000000001</v>
      </c>
      <c r="G155" s="934">
        <v>18</v>
      </c>
      <c r="H155" s="1983"/>
      <c r="I155" s="1983"/>
      <c r="J155" s="2204"/>
      <c r="K155" s="3348"/>
      <c r="L155" s="3348"/>
    </row>
    <row r="156" spans="1:12">
      <c r="A156" s="2202">
        <f t="shared" si="1"/>
        <v>2018.03</v>
      </c>
      <c r="B156" s="1744">
        <v>20</v>
      </c>
      <c r="C156" s="1745">
        <v>29.2</v>
      </c>
      <c r="D156" s="1746">
        <v>20</v>
      </c>
      <c r="E156" s="1745">
        <v>27.7</v>
      </c>
      <c r="F156" s="1746">
        <v>17.8</v>
      </c>
      <c r="G156" s="934">
        <v>18</v>
      </c>
      <c r="H156" s="1983"/>
      <c r="I156" s="1983"/>
      <c r="J156" s="2204"/>
      <c r="K156" s="3348"/>
      <c r="L156" s="3348"/>
    </row>
    <row r="157" spans="1:12">
      <c r="A157" s="2202">
        <f t="shared" si="1"/>
        <v>2018.04</v>
      </c>
      <c r="B157" s="1744">
        <v>25</v>
      </c>
      <c r="C157" s="1745">
        <v>33.1</v>
      </c>
      <c r="D157" s="1746">
        <v>25</v>
      </c>
      <c r="E157" s="1745">
        <v>30.3</v>
      </c>
      <c r="F157" s="1746">
        <v>18.2</v>
      </c>
      <c r="G157" s="934">
        <v>18.3</v>
      </c>
      <c r="H157" s="1983"/>
      <c r="I157" s="1983"/>
      <c r="J157" s="2204"/>
      <c r="K157" s="3348"/>
      <c r="L157" s="3348"/>
    </row>
    <row r="158" spans="1:12">
      <c r="A158" s="2202">
        <f t="shared" si="1"/>
        <v>2018.05</v>
      </c>
      <c r="B158" s="1744">
        <v>25</v>
      </c>
      <c r="C158" s="1745">
        <v>33.299999999999997</v>
      </c>
      <c r="D158" s="1746">
        <v>25</v>
      </c>
      <c r="E158" s="1745">
        <v>30.6</v>
      </c>
      <c r="F158" s="1746">
        <v>22.2</v>
      </c>
      <c r="G158" s="934">
        <v>22.6</v>
      </c>
      <c r="H158" s="1983"/>
      <c r="I158" s="1983"/>
      <c r="J158" s="2204"/>
      <c r="K158" s="3348"/>
      <c r="L158" s="3348"/>
    </row>
    <row r="159" spans="1:12">
      <c r="A159" s="2202">
        <f t="shared" si="1"/>
        <v>2018.06</v>
      </c>
      <c r="B159" s="1744">
        <v>30</v>
      </c>
      <c r="C159" s="1745">
        <v>35.799999999999997</v>
      </c>
      <c r="D159" s="1746">
        <v>30</v>
      </c>
      <c r="E159" s="1745">
        <v>34</v>
      </c>
      <c r="F159" s="1746">
        <v>24.2</v>
      </c>
      <c r="G159" s="934">
        <v>24.3</v>
      </c>
      <c r="H159" s="1983"/>
      <c r="I159" s="1983"/>
      <c r="J159" s="2204"/>
      <c r="K159" s="3348"/>
      <c r="L159" s="3348"/>
    </row>
    <row r="160" spans="1:12">
      <c r="A160" s="2202">
        <f t="shared" si="1"/>
        <v>2018.07</v>
      </c>
      <c r="B160" s="1744">
        <v>30</v>
      </c>
      <c r="C160" s="1745">
        <v>32.200000000000003</v>
      </c>
      <c r="D160" s="1746">
        <v>30</v>
      </c>
      <c r="E160" s="1745">
        <v>30.8</v>
      </c>
      <c r="F160" s="1746">
        <v>23.7</v>
      </c>
      <c r="G160" s="934">
        <v>24.1</v>
      </c>
      <c r="H160" s="1983"/>
      <c r="I160" s="1983"/>
      <c r="J160" s="2204"/>
      <c r="K160" s="3348"/>
      <c r="L160" s="3348"/>
    </row>
    <row r="161" spans="1:12">
      <c r="A161" s="2202">
        <f t="shared" si="1"/>
        <v>2018.08</v>
      </c>
      <c r="B161" s="1744">
        <v>30</v>
      </c>
      <c r="C161" s="1745">
        <v>35.299999999999997</v>
      </c>
      <c r="D161" s="1746">
        <v>30</v>
      </c>
      <c r="E161" s="1745">
        <v>33.5</v>
      </c>
      <c r="F161" s="1746">
        <v>31.5</v>
      </c>
      <c r="G161" s="934">
        <v>33.370769230769199</v>
      </c>
      <c r="H161" s="1983"/>
      <c r="I161" s="1983"/>
      <c r="J161" s="2204"/>
      <c r="K161" s="3348"/>
      <c r="L161" s="3348"/>
    </row>
    <row r="162" spans="1:12">
      <c r="A162" s="2202">
        <f t="shared" si="1"/>
        <v>2018.09</v>
      </c>
      <c r="B162" s="1744">
        <v>30</v>
      </c>
      <c r="C162" s="1745">
        <v>40.4</v>
      </c>
      <c r="D162" s="1746">
        <v>30</v>
      </c>
      <c r="E162" s="1745">
        <v>38.700000000000003</v>
      </c>
      <c r="F162" s="1746">
        <v>31.9</v>
      </c>
      <c r="G162" s="934">
        <v>32.9</v>
      </c>
      <c r="H162" s="1983"/>
      <c r="I162" s="1983"/>
      <c r="J162" s="2204"/>
      <c r="K162" s="3348"/>
      <c r="L162" s="3348"/>
    </row>
    <row r="163" spans="1:12">
      <c r="A163" s="2202">
        <f t="shared" si="1"/>
        <v>2018.1</v>
      </c>
      <c r="B163" s="1744">
        <v>40</v>
      </c>
      <c r="C163" s="1745">
        <v>39.9</v>
      </c>
      <c r="D163" s="1746">
        <v>40</v>
      </c>
      <c r="E163" s="1745">
        <v>41.1</v>
      </c>
      <c r="F163" s="1746">
        <v>30.6</v>
      </c>
      <c r="G163" s="934">
        <v>32.1</v>
      </c>
      <c r="H163" s="1983"/>
      <c r="I163" s="1983"/>
      <c r="J163" s="2204"/>
      <c r="K163" s="3348"/>
      <c r="L163" s="3348"/>
    </row>
    <row r="164" spans="1:12">
      <c r="A164" s="2202">
        <f t="shared" ref="A164:A227" si="2">A152+1</f>
        <v>2018.11</v>
      </c>
      <c r="B164" s="1744">
        <v>30</v>
      </c>
      <c r="C164" s="1745">
        <v>38.299999999999997</v>
      </c>
      <c r="D164" s="1746">
        <v>30</v>
      </c>
      <c r="E164" s="1745">
        <v>37.9</v>
      </c>
      <c r="F164" s="1746">
        <v>28.6</v>
      </c>
      <c r="G164" s="934">
        <v>29</v>
      </c>
      <c r="H164" s="1983"/>
      <c r="I164" s="1983"/>
      <c r="J164" s="2204"/>
      <c r="K164" s="3348"/>
      <c r="L164" s="3348"/>
    </row>
    <row r="165" spans="1:12">
      <c r="A165" s="2202">
        <f t="shared" si="2"/>
        <v>2018.12</v>
      </c>
      <c r="B165" s="1744">
        <v>30</v>
      </c>
      <c r="C165" s="1745">
        <v>35.700000000000003</v>
      </c>
      <c r="D165" s="1746">
        <v>30</v>
      </c>
      <c r="E165" s="1745">
        <v>33.6</v>
      </c>
      <c r="F165" s="1746">
        <v>28.65</v>
      </c>
      <c r="G165" s="934">
        <v>29.349999999999898</v>
      </c>
      <c r="H165" s="1983"/>
      <c r="I165" s="1983"/>
      <c r="J165" s="2204"/>
      <c r="K165" s="3348"/>
      <c r="L165" s="3348"/>
    </row>
    <row r="166" spans="1:12">
      <c r="A166" s="2202">
        <f t="shared" si="2"/>
        <v>2019.01</v>
      </c>
      <c r="B166" s="1744">
        <v>30</v>
      </c>
      <c r="C166" s="1745">
        <v>39.200000000000003</v>
      </c>
      <c r="D166" s="1746">
        <v>30</v>
      </c>
      <c r="E166" s="1745">
        <v>35.4</v>
      </c>
      <c r="F166" s="1746">
        <v>28.5</v>
      </c>
      <c r="G166" s="934">
        <v>28.9</v>
      </c>
      <c r="H166" s="1983"/>
      <c r="I166" s="1983"/>
      <c r="J166" s="2204"/>
      <c r="K166" s="3348"/>
      <c r="L166" s="3348"/>
    </row>
    <row r="167" spans="1:12">
      <c r="A167" s="2202">
        <f t="shared" si="2"/>
        <v>2019.02</v>
      </c>
      <c r="B167" s="1744">
        <v>30</v>
      </c>
      <c r="C167" s="1745">
        <v>36.8511393506</v>
      </c>
      <c r="D167" s="1746">
        <v>30</v>
      </c>
      <c r="E167" s="1745">
        <v>34.6</v>
      </c>
      <c r="F167" s="1746">
        <v>29</v>
      </c>
      <c r="G167" s="934">
        <v>29</v>
      </c>
      <c r="H167" s="1983"/>
      <c r="I167" s="1983"/>
      <c r="J167" s="2204"/>
      <c r="K167" s="3348"/>
      <c r="L167" s="3348"/>
    </row>
    <row r="168" spans="1:12">
      <c r="A168" s="2202">
        <f t="shared" si="2"/>
        <v>2019.03</v>
      </c>
      <c r="B168" s="1744">
        <v>40</v>
      </c>
      <c r="C168" s="1745">
        <v>40.799999999999997</v>
      </c>
      <c r="D168" s="1746">
        <v>40</v>
      </c>
      <c r="E168" s="1745">
        <v>40.6</v>
      </c>
      <c r="F168" s="1746">
        <v>30.7</v>
      </c>
      <c r="G168" s="934">
        <v>30.6</v>
      </c>
      <c r="H168" s="1983"/>
      <c r="I168" s="1983"/>
      <c r="J168" s="2204"/>
      <c r="K168" s="3348"/>
      <c r="L168" s="3348"/>
    </row>
    <row r="169" spans="1:12">
      <c r="A169" s="2202">
        <f t="shared" si="2"/>
        <v>2019.04</v>
      </c>
      <c r="B169" s="1744">
        <v>40</v>
      </c>
      <c r="C169" s="1745">
        <v>40.6</v>
      </c>
      <c r="D169" s="1746">
        <v>40</v>
      </c>
      <c r="E169" s="1745">
        <v>40.200000000000003</v>
      </c>
      <c r="F169" s="1746">
        <v>31.4</v>
      </c>
      <c r="G169" s="934">
        <v>32.6</v>
      </c>
      <c r="H169" s="1983"/>
      <c r="I169" s="1983"/>
      <c r="J169" s="2204"/>
      <c r="K169" s="3348"/>
      <c r="L169" s="3348"/>
    </row>
    <row r="170" spans="1:12">
      <c r="A170" s="2202">
        <f t="shared" si="2"/>
        <v>2019.05</v>
      </c>
      <c r="B170" s="1744">
        <v>30</v>
      </c>
      <c r="C170" s="1745">
        <v>36.6</v>
      </c>
      <c r="D170" s="1746">
        <v>30</v>
      </c>
      <c r="E170" s="1745">
        <v>34.299999999999997</v>
      </c>
      <c r="F170" s="1746">
        <v>31</v>
      </c>
      <c r="G170" s="934">
        <v>31.7</v>
      </c>
      <c r="H170" s="1983"/>
      <c r="I170" s="1983"/>
      <c r="J170" s="2204"/>
      <c r="K170" s="3348"/>
      <c r="L170" s="3348"/>
    </row>
    <row r="171" spans="1:12">
      <c r="A171" s="2202">
        <f t="shared" si="2"/>
        <v>2019.06</v>
      </c>
      <c r="B171" s="1744">
        <v>30</v>
      </c>
      <c r="C171" s="1745">
        <v>34.5</v>
      </c>
      <c r="D171" s="1746">
        <v>30</v>
      </c>
      <c r="E171" s="1745">
        <v>32.200000000000003</v>
      </c>
      <c r="F171" s="1746">
        <v>30</v>
      </c>
      <c r="G171" s="934">
        <v>30.8</v>
      </c>
      <c r="H171" s="1983"/>
      <c r="I171" s="1983"/>
      <c r="J171" s="2204"/>
      <c r="K171" s="3348"/>
      <c r="L171" s="3348"/>
    </row>
    <row r="172" spans="1:12">
      <c r="A172" s="2202">
        <f t="shared" si="2"/>
        <v>2019.07</v>
      </c>
      <c r="B172" s="1744">
        <v>30</v>
      </c>
      <c r="C172" s="1745">
        <v>31.9</v>
      </c>
      <c r="D172" s="1746">
        <v>25</v>
      </c>
      <c r="E172" s="1745">
        <v>28.1</v>
      </c>
      <c r="F172" s="1746">
        <v>30.2</v>
      </c>
      <c r="G172" s="934">
        <v>30.4889311062099</v>
      </c>
      <c r="H172" s="1983"/>
      <c r="I172" s="1983"/>
      <c r="J172" s="2204"/>
      <c r="K172" s="3348"/>
      <c r="L172" s="3348"/>
    </row>
    <row r="173" spans="1:12">
      <c r="A173" s="2202">
        <f t="shared" si="2"/>
        <v>2019.08</v>
      </c>
      <c r="B173" s="1744">
        <v>30</v>
      </c>
      <c r="C173" s="1745">
        <v>34.700000000000003</v>
      </c>
      <c r="D173" s="1746">
        <v>30</v>
      </c>
      <c r="E173" s="1745">
        <v>37.5</v>
      </c>
      <c r="F173" s="1746">
        <v>48.29</v>
      </c>
      <c r="G173" s="934">
        <v>48.936509293768097</v>
      </c>
      <c r="H173" s="1983"/>
      <c r="I173" s="1983"/>
      <c r="J173" s="2204"/>
      <c r="K173" s="3348"/>
      <c r="L173" s="3348"/>
    </row>
    <row r="174" spans="1:12">
      <c r="A174" s="2202">
        <f t="shared" si="2"/>
        <v>2019.09</v>
      </c>
      <c r="B174" s="1744">
        <v>30</v>
      </c>
      <c r="C174" s="1745">
        <v>33.1</v>
      </c>
      <c r="D174" s="1746">
        <v>30</v>
      </c>
      <c r="E174" s="1745">
        <v>32.200000000000003</v>
      </c>
      <c r="F174" s="1746">
        <v>48</v>
      </c>
      <c r="G174" s="934">
        <v>47.4</v>
      </c>
      <c r="H174" s="1983"/>
      <c r="I174" s="1983"/>
      <c r="J174" s="2204"/>
      <c r="K174" s="3348"/>
      <c r="L174" s="3348"/>
    </row>
    <row r="175" spans="1:12">
      <c r="A175" s="2202">
        <f t="shared" si="2"/>
        <v>2019.1</v>
      </c>
      <c r="B175" s="1744">
        <v>30</v>
      </c>
      <c r="C175" s="1745">
        <v>31.2</v>
      </c>
      <c r="D175" s="1746">
        <v>30</v>
      </c>
      <c r="E175" s="1745">
        <v>32.700000000000003</v>
      </c>
      <c r="F175" s="1746">
        <v>48.2</v>
      </c>
      <c r="G175" s="934">
        <v>46.7</v>
      </c>
      <c r="H175" s="1983"/>
      <c r="I175" s="1983"/>
      <c r="J175" s="2204"/>
      <c r="K175" s="3348"/>
      <c r="L175" s="3348"/>
    </row>
    <row r="176" spans="1:12">
      <c r="A176" s="2202">
        <f t="shared" si="2"/>
        <v>2019.11</v>
      </c>
      <c r="B176" s="1744">
        <v>30</v>
      </c>
      <c r="C176" s="1745">
        <v>32.700000000000003</v>
      </c>
      <c r="D176" s="1746">
        <v>30</v>
      </c>
      <c r="E176" s="1745">
        <v>34.1</v>
      </c>
      <c r="F176" s="1746">
        <v>45.6</v>
      </c>
      <c r="G176" s="934">
        <v>45.3</v>
      </c>
      <c r="H176" s="1983"/>
      <c r="I176" s="1983"/>
      <c r="J176" s="2204"/>
      <c r="K176" s="3348"/>
      <c r="L176" s="3348"/>
    </row>
    <row r="177" spans="1:12">
      <c r="A177" s="2202">
        <f t="shared" si="2"/>
        <v>2019.12</v>
      </c>
      <c r="B177" s="1744">
        <v>30</v>
      </c>
      <c r="C177" s="1745">
        <v>31.6</v>
      </c>
      <c r="D177" s="1746">
        <v>30</v>
      </c>
      <c r="E177" s="1745">
        <v>30.3</v>
      </c>
      <c r="F177" s="1746">
        <v>42.2</v>
      </c>
      <c r="G177" s="934">
        <v>41.6</v>
      </c>
      <c r="H177" s="1983"/>
      <c r="I177" s="1983"/>
      <c r="J177" s="2204"/>
      <c r="K177" s="3348"/>
      <c r="L177" s="3348"/>
    </row>
    <row r="178" spans="1:12">
      <c r="A178" s="2202">
        <f t="shared" si="2"/>
        <v>2020.01</v>
      </c>
      <c r="B178" s="1744">
        <v>30</v>
      </c>
      <c r="C178" s="1745">
        <v>31.8</v>
      </c>
      <c r="D178" s="1746">
        <v>30</v>
      </c>
      <c r="E178" s="1745">
        <v>32.299999999999997</v>
      </c>
      <c r="F178" s="1746">
        <v>40</v>
      </c>
      <c r="G178" s="934">
        <v>40.5</v>
      </c>
      <c r="H178" s="1983"/>
      <c r="I178" s="1983"/>
      <c r="J178" s="2204"/>
      <c r="K178" s="3348"/>
      <c r="L178" s="3348"/>
    </row>
    <row r="179" spans="1:12">
      <c r="A179" s="2202">
        <f t="shared" si="2"/>
        <v>2020.02</v>
      </c>
      <c r="B179" s="1744">
        <v>30</v>
      </c>
      <c r="C179" s="1745">
        <v>35.799999999999997</v>
      </c>
      <c r="D179" s="1746">
        <v>30</v>
      </c>
      <c r="E179" s="1745">
        <v>36.1</v>
      </c>
      <c r="F179" s="1746">
        <v>39.9</v>
      </c>
      <c r="G179" s="934">
        <v>39.799999999999997</v>
      </c>
      <c r="H179" s="1983"/>
      <c r="I179" s="1983"/>
      <c r="J179" s="2204"/>
      <c r="K179" s="3348"/>
      <c r="L179" s="3348"/>
    </row>
    <row r="180" spans="1:12">
      <c r="A180" s="2202">
        <f t="shared" si="2"/>
        <v>2020.03</v>
      </c>
      <c r="B180" s="1744">
        <v>30</v>
      </c>
      <c r="C180" s="1745">
        <v>33.799999999999997</v>
      </c>
      <c r="D180" s="1746">
        <v>30</v>
      </c>
      <c r="E180" s="1745">
        <v>35.799999999999997</v>
      </c>
      <c r="F180" s="1746">
        <v>39.5</v>
      </c>
      <c r="G180" s="934">
        <v>41</v>
      </c>
      <c r="H180" s="1983"/>
      <c r="I180" s="1983"/>
      <c r="J180" s="2204"/>
      <c r="K180" s="3348"/>
      <c r="L180" s="3348"/>
    </row>
    <row r="181" spans="1:12">
      <c r="A181" s="2202">
        <f t="shared" si="2"/>
        <v>2020.04</v>
      </c>
      <c r="B181" s="1744">
        <v>40</v>
      </c>
      <c r="C181" s="1745">
        <v>40.299999999999997</v>
      </c>
      <c r="D181" s="1746">
        <v>40</v>
      </c>
      <c r="E181" s="1745">
        <v>42.9</v>
      </c>
      <c r="F181" s="1746">
        <v>48.976630930426737</v>
      </c>
      <c r="G181" s="934">
        <v>48.353144161168778</v>
      </c>
      <c r="H181" s="1983"/>
      <c r="I181" s="1983"/>
      <c r="J181" s="2204"/>
      <c r="K181" s="3348"/>
      <c r="L181" s="3348"/>
    </row>
    <row r="182" spans="1:12">
      <c r="A182" s="2202">
        <f t="shared" si="2"/>
        <v>2020.05</v>
      </c>
      <c r="B182" s="1744">
        <v>50</v>
      </c>
      <c r="C182" s="1745">
        <v>47.4</v>
      </c>
      <c r="D182" s="1746">
        <v>50</v>
      </c>
      <c r="E182" s="1745">
        <v>48.2</v>
      </c>
      <c r="F182" s="1746">
        <v>51</v>
      </c>
      <c r="G182" s="934">
        <v>51.203544394972901</v>
      </c>
      <c r="H182" s="1983"/>
      <c r="I182" s="1983"/>
      <c r="J182" s="2204"/>
      <c r="K182" s="3348"/>
      <c r="L182" s="3348"/>
    </row>
    <row r="183" spans="1:12">
      <c r="A183" s="2202">
        <f t="shared" si="2"/>
        <v>2020.06</v>
      </c>
      <c r="B183" s="1744">
        <v>40</v>
      </c>
      <c r="C183" s="1745">
        <v>44.5</v>
      </c>
      <c r="D183" s="1746">
        <v>40</v>
      </c>
      <c r="E183" s="1745">
        <v>45.8</v>
      </c>
      <c r="F183" s="1746">
        <v>52.5</v>
      </c>
      <c r="G183" s="934">
        <v>53.003394439645049</v>
      </c>
      <c r="H183" s="1983"/>
      <c r="I183" s="1983"/>
      <c r="J183" s="2204"/>
      <c r="K183" s="3348"/>
      <c r="L183" s="3348"/>
    </row>
    <row r="184" spans="1:12">
      <c r="A184" s="2202">
        <f t="shared" si="2"/>
        <v>2020.07</v>
      </c>
      <c r="B184" s="1744">
        <v>40</v>
      </c>
      <c r="C184" s="1745">
        <v>43.1</v>
      </c>
      <c r="D184" s="1746">
        <v>40</v>
      </c>
      <c r="E184" s="1745">
        <v>43.6</v>
      </c>
      <c r="F184" s="1746">
        <v>51.9</v>
      </c>
      <c r="G184" s="934">
        <v>52.328307199346611</v>
      </c>
      <c r="H184" s="1983"/>
      <c r="I184" s="1983"/>
      <c r="J184" s="2204"/>
      <c r="K184" s="3348"/>
      <c r="L184" s="3348"/>
    </row>
    <row r="185" spans="1:12">
      <c r="A185" s="2202">
        <f t="shared" si="2"/>
        <v>2020.08</v>
      </c>
      <c r="B185" s="1744">
        <v>40</v>
      </c>
      <c r="C185" s="1745">
        <v>45</v>
      </c>
      <c r="D185" s="1746">
        <v>40</v>
      </c>
      <c r="E185" s="1745">
        <v>46.7</v>
      </c>
      <c r="F185" s="1746">
        <v>51.2</v>
      </c>
      <c r="G185" s="934">
        <v>50.3</v>
      </c>
      <c r="H185" s="1983"/>
      <c r="I185" s="1983"/>
      <c r="J185" s="2204"/>
      <c r="K185" s="3348"/>
      <c r="L185" s="3348"/>
    </row>
    <row r="186" spans="1:12">
      <c r="A186" s="2202">
        <f t="shared" si="2"/>
        <v>2020.09</v>
      </c>
      <c r="B186" s="1744">
        <v>40</v>
      </c>
      <c r="C186" s="1745">
        <v>43.3</v>
      </c>
      <c r="D186" s="1746">
        <v>40</v>
      </c>
      <c r="E186" s="1745">
        <v>43.5</v>
      </c>
      <c r="F186" s="1746">
        <v>50.13</v>
      </c>
      <c r="G186" s="934">
        <v>50.8080202577856</v>
      </c>
      <c r="H186" s="1983"/>
      <c r="I186" s="1983"/>
      <c r="J186" s="2204"/>
      <c r="K186" s="3348"/>
      <c r="L186" s="3348"/>
    </row>
    <row r="187" spans="1:12">
      <c r="A187" s="2202">
        <f t="shared" si="2"/>
        <v>2020.1</v>
      </c>
      <c r="B187" s="1744">
        <v>45</v>
      </c>
      <c r="C187" s="1745">
        <v>47</v>
      </c>
      <c r="D187" s="1746">
        <v>45</v>
      </c>
      <c r="E187" s="1745">
        <v>47.5</v>
      </c>
      <c r="F187" s="1746">
        <v>52.1</v>
      </c>
      <c r="G187" s="934">
        <v>50.33061255070011</v>
      </c>
      <c r="H187" s="1983"/>
      <c r="I187" s="1983"/>
      <c r="J187" s="2204"/>
      <c r="K187" s="3348"/>
      <c r="L187" s="3348"/>
    </row>
    <row r="188" spans="1:12">
      <c r="A188" s="2202">
        <f t="shared" si="2"/>
        <v>2020.11</v>
      </c>
      <c r="B188" s="1744">
        <v>40</v>
      </c>
      <c r="C188" s="1745">
        <v>44.5</v>
      </c>
      <c r="D188" s="1746">
        <v>40</v>
      </c>
      <c r="E188" s="1745">
        <v>44.9</v>
      </c>
      <c r="F188" s="1746">
        <v>52.45</v>
      </c>
      <c r="G188" s="934">
        <v>51.098591835271499</v>
      </c>
      <c r="H188" s="1983"/>
      <c r="I188" s="1983"/>
      <c r="J188" s="2204"/>
      <c r="K188" s="3348"/>
      <c r="L188" s="3348"/>
    </row>
    <row r="189" spans="1:12">
      <c r="A189" s="2202">
        <f t="shared" si="2"/>
        <v>2020.12</v>
      </c>
      <c r="B189" s="1744">
        <v>40</v>
      </c>
      <c r="C189" s="1745">
        <v>42.9</v>
      </c>
      <c r="D189" s="1746">
        <v>40</v>
      </c>
      <c r="E189" s="1745">
        <v>44.3</v>
      </c>
      <c r="F189" s="1746">
        <v>49.8</v>
      </c>
      <c r="G189" s="934">
        <v>48.604486801973827</v>
      </c>
      <c r="H189" s="1983"/>
      <c r="I189" s="1983"/>
      <c r="J189" s="2204"/>
      <c r="K189" s="3348"/>
      <c r="L189" s="3348"/>
    </row>
    <row r="190" spans="1:12">
      <c r="A190" s="2202">
        <f t="shared" si="2"/>
        <v>2021.01</v>
      </c>
      <c r="B190" s="1744">
        <v>45</v>
      </c>
      <c r="C190" s="1745">
        <v>44.1</v>
      </c>
      <c r="D190" s="1746">
        <v>50</v>
      </c>
      <c r="E190" s="1745">
        <v>46.8</v>
      </c>
      <c r="F190" s="1746">
        <v>49.35</v>
      </c>
      <c r="G190" s="934">
        <v>48.302584665891551</v>
      </c>
      <c r="H190" s="1983"/>
      <c r="I190" s="1983"/>
      <c r="J190" s="2204"/>
      <c r="K190" s="3348"/>
      <c r="L190" s="3348"/>
    </row>
    <row r="191" spans="1:12">
      <c r="A191" s="2202">
        <f t="shared" si="2"/>
        <v>2021.02</v>
      </c>
      <c r="B191" s="1744">
        <v>45</v>
      </c>
      <c r="C191" s="1745">
        <v>45.2</v>
      </c>
      <c r="D191" s="1746">
        <v>50</v>
      </c>
      <c r="E191" s="1745">
        <v>49.1</v>
      </c>
      <c r="F191" s="1746">
        <v>44.95</v>
      </c>
      <c r="G191" s="934">
        <v>45.028628351457392</v>
      </c>
      <c r="H191" s="1983"/>
      <c r="I191" s="1983"/>
      <c r="J191" s="2204"/>
      <c r="K191" s="3348"/>
      <c r="L191" s="3348"/>
    </row>
    <row r="192" spans="1:12">
      <c r="A192" s="2202">
        <f t="shared" si="2"/>
        <v>2021.03</v>
      </c>
      <c r="B192" s="1744">
        <v>50</v>
      </c>
      <c r="C192" s="1745">
        <v>46.3</v>
      </c>
      <c r="D192" s="1746">
        <v>50</v>
      </c>
      <c r="E192" s="1745">
        <v>49.2</v>
      </c>
      <c r="F192" s="1746">
        <v>43.1</v>
      </c>
      <c r="G192" s="934">
        <v>43.546858780757297</v>
      </c>
      <c r="H192" s="1983"/>
      <c r="I192" s="1983"/>
      <c r="J192" s="2204"/>
      <c r="K192" s="3348"/>
      <c r="L192" s="3348"/>
    </row>
    <row r="193" spans="1:12">
      <c r="A193" s="2202">
        <f t="shared" si="2"/>
        <v>2021.04</v>
      </c>
      <c r="B193" s="1744">
        <v>50</v>
      </c>
      <c r="C193" s="1745">
        <v>47.9</v>
      </c>
      <c r="D193" s="1746">
        <v>50</v>
      </c>
      <c r="E193" s="1745">
        <v>50.6</v>
      </c>
      <c r="F193" s="1746">
        <v>43.3</v>
      </c>
      <c r="G193" s="934">
        <v>43.355152719129457</v>
      </c>
      <c r="H193" s="1983"/>
      <c r="I193" s="1983"/>
      <c r="J193" s="2204"/>
      <c r="K193" s="3348"/>
      <c r="L193" s="3348"/>
    </row>
    <row r="194" spans="1:12">
      <c r="A194" s="2202">
        <f t="shared" si="2"/>
        <v>2021.05</v>
      </c>
      <c r="B194" s="1744">
        <v>50</v>
      </c>
      <c r="C194" s="1745">
        <v>50.2</v>
      </c>
      <c r="D194" s="1746">
        <v>50</v>
      </c>
      <c r="E194" s="1745">
        <v>50.8</v>
      </c>
      <c r="F194" s="1746">
        <v>43.263878478822107</v>
      </c>
      <c r="G194" s="934">
        <v>42.561837363446926</v>
      </c>
      <c r="H194" s="1983"/>
      <c r="I194" s="1983"/>
      <c r="J194" s="2204"/>
      <c r="K194" s="3348"/>
      <c r="L194" s="3348"/>
    </row>
    <row r="195" spans="1:12">
      <c r="A195" s="2202">
        <f t="shared" si="2"/>
        <v>2021.06</v>
      </c>
      <c r="B195" s="1744">
        <v>50</v>
      </c>
      <c r="C195" s="1745">
        <v>51.4</v>
      </c>
      <c r="D195" s="1746">
        <v>50</v>
      </c>
      <c r="E195" s="1745">
        <v>51.8</v>
      </c>
      <c r="F195" s="1746">
        <v>43.136171755699827</v>
      </c>
      <c r="G195" s="934">
        <v>42.025858778499199</v>
      </c>
      <c r="H195" s="1983"/>
      <c r="I195" s="1983"/>
      <c r="J195" s="2204"/>
      <c r="K195" s="3348"/>
      <c r="L195" s="3348"/>
    </row>
    <row r="196" spans="1:12">
      <c r="A196" s="2202">
        <f t="shared" si="2"/>
        <v>2021.07</v>
      </c>
      <c r="B196" s="1744">
        <v>50</v>
      </c>
      <c r="C196" s="1745">
        <v>49.1</v>
      </c>
      <c r="D196" s="1746">
        <v>50</v>
      </c>
      <c r="E196" s="1745">
        <v>49.5</v>
      </c>
      <c r="F196" s="1746">
        <v>43.2</v>
      </c>
      <c r="G196" s="934">
        <v>42.997569014975468</v>
      </c>
      <c r="H196" s="1983"/>
      <c r="I196" s="1983"/>
      <c r="J196" s="2204"/>
      <c r="K196" s="3348"/>
      <c r="L196" s="3348"/>
    </row>
    <row r="197" spans="1:12">
      <c r="A197" s="2202">
        <f t="shared" si="2"/>
        <v>2021.08</v>
      </c>
      <c r="B197" s="1744">
        <v>50</v>
      </c>
      <c r="C197" s="1745">
        <v>48</v>
      </c>
      <c r="D197" s="1746">
        <v>50</v>
      </c>
      <c r="E197" s="1745">
        <v>47.6</v>
      </c>
      <c r="F197" s="1746">
        <v>43.666122211181111</v>
      </c>
      <c r="G197" s="934">
        <v>43.980232025066421</v>
      </c>
      <c r="H197" s="1983"/>
      <c r="I197" s="1983"/>
      <c r="J197" s="2204"/>
      <c r="K197" s="3348"/>
      <c r="L197" s="3348"/>
    </row>
    <row r="198" spans="1:12">
      <c r="A198" s="2202">
        <f t="shared" si="2"/>
        <v>2021.09</v>
      </c>
      <c r="B198" s="1744">
        <v>50</v>
      </c>
      <c r="C198" s="1745">
        <v>48.6</v>
      </c>
      <c r="D198" s="1746">
        <v>50</v>
      </c>
      <c r="E198" s="1745">
        <v>50</v>
      </c>
      <c r="F198" s="1746">
        <v>45.6</v>
      </c>
      <c r="G198" s="934">
        <v>46.535558210789567</v>
      </c>
      <c r="H198" s="1983"/>
      <c r="I198" s="1983"/>
      <c r="J198" s="2204"/>
      <c r="K198" s="3348"/>
      <c r="L198" s="3348"/>
    </row>
    <row r="199" spans="1:12">
      <c r="A199" s="2202">
        <f t="shared" si="2"/>
        <v>2021.1</v>
      </c>
      <c r="B199" s="1744">
        <v>50</v>
      </c>
      <c r="C199" s="1745">
        <v>46.7</v>
      </c>
      <c r="D199" s="1746">
        <v>45</v>
      </c>
      <c r="E199" s="1745">
        <v>47.5</v>
      </c>
      <c r="F199" s="1746">
        <v>48.644346310156962</v>
      </c>
      <c r="G199" s="934">
        <v>49.513988531809041</v>
      </c>
      <c r="H199" s="1983"/>
      <c r="I199" s="1983"/>
      <c r="J199" s="2204"/>
      <c r="K199" s="3348"/>
      <c r="L199" s="3348"/>
    </row>
    <row r="200" spans="1:12">
      <c r="A200" s="2202">
        <f t="shared" si="2"/>
        <v>2021.11</v>
      </c>
      <c r="B200" s="1744">
        <v>50</v>
      </c>
      <c r="C200" s="1745">
        <v>50.4</v>
      </c>
      <c r="D200" s="1746">
        <v>50</v>
      </c>
      <c r="E200" s="1745">
        <v>50.9</v>
      </c>
      <c r="F200" s="1746">
        <v>52.3</v>
      </c>
      <c r="G200" s="934">
        <v>52.2</v>
      </c>
      <c r="H200" s="1983"/>
      <c r="I200" s="1983"/>
      <c r="J200" s="2204"/>
      <c r="K200" s="3348"/>
      <c r="L200" s="3348"/>
    </row>
    <row r="201" spans="1:12">
      <c r="A201" s="2202">
        <f t="shared" si="2"/>
        <v>2021.12</v>
      </c>
      <c r="B201" s="1744">
        <v>50</v>
      </c>
      <c r="C201" s="1745">
        <v>51.31</v>
      </c>
      <c r="D201" s="1746">
        <v>50</v>
      </c>
      <c r="E201" s="1745">
        <v>53.1</v>
      </c>
      <c r="F201" s="1746">
        <v>54.774214209225967</v>
      </c>
      <c r="G201" s="934">
        <v>53.900999608220367</v>
      </c>
      <c r="H201" s="1983"/>
      <c r="I201" s="1983"/>
      <c r="J201" s="2204"/>
      <c r="K201" s="3348"/>
      <c r="L201" s="3348"/>
    </row>
    <row r="202" spans="1:12">
      <c r="A202" s="2202">
        <f t="shared" si="2"/>
        <v>2022.01</v>
      </c>
      <c r="B202" s="1744">
        <v>50</v>
      </c>
      <c r="C202" s="1745">
        <v>51.1</v>
      </c>
      <c r="D202" s="1746">
        <v>50</v>
      </c>
      <c r="E202" s="1745">
        <v>51.3</v>
      </c>
      <c r="F202" s="1746">
        <v>53.85</v>
      </c>
      <c r="G202" s="934">
        <v>53.850351206796297</v>
      </c>
      <c r="H202" s="1983"/>
      <c r="I202" s="1983"/>
      <c r="J202" s="2204"/>
      <c r="K202" s="3348"/>
      <c r="L202" s="3348"/>
    </row>
    <row r="203" spans="1:12">
      <c r="A203" s="2202">
        <f t="shared" si="2"/>
        <v>2022.02</v>
      </c>
      <c r="B203" s="1744">
        <v>50</v>
      </c>
      <c r="C203" s="1745">
        <v>50.3</v>
      </c>
      <c r="D203" s="1746">
        <v>50</v>
      </c>
      <c r="E203" s="1745">
        <v>50.8</v>
      </c>
      <c r="F203" s="1746">
        <v>52.9</v>
      </c>
      <c r="G203" s="934">
        <v>53.266908422217213</v>
      </c>
      <c r="H203" s="1983"/>
      <c r="I203" s="1983"/>
      <c r="J203" s="2204"/>
      <c r="K203" s="3348"/>
      <c r="L203" s="3348"/>
    </row>
    <row r="204" spans="1:12">
      <c r="A204" s="2202">
        <f t="shared" si="2"/>
        <v>2022.03</v>
      </c>
      <c r="B204" s="1744">
        <v>50</v>
      </c>
      <c r="C204" s="1745">
        <v>53.7</v>
      </c>
      <c r="D204" s="1746">
        <v>50</v>
      </c>
      <c r="E204" s="1745">
        <v>55.3</v>
      </c>
      <c r="F204" s="1746">
        <v>55.4</v>
      </c>
      <c r="G204" s="934">
        <v>55.3</v>
      </c>
      <c r="H204" s="1983"/>
      <c r="I204" s="1983"/>
      <c r="J204" s="2204"/>
      <c r="K204" s="3348"/>
      <c r="L204" s="3348"/>
    </row>
    <row r="205" spans="1:12">
      <c r="A205" s="2202">
        <f t="shared" si="2"/>
        <v>2022.04</v>
      </c>
      <c r="B205" s="1744">
        <v>50</v>
      </c>
      <c r="C205" s="1745">
        <v>52.2</v>
      </c>
      <c r="D205" s="1746">
        <v>50</v>
      </c>
      <c r="E205" s="1745">
        <v>52.8</v>
      </c>
      <c r="F205" s="1746">
        <v>56.108286814838969</v>
      </c>
      <c r="G205" s="934">
        <v>58.148759144124057</v>
      </c>
      <c r="H205" s="1983"/>
      <c r="I205" s="1983"/>
      <c r="J205" s="2204"/>
      <c r="K205" s="3348"/>
      <c r="L205" s="3348"/>
    </row>
    <row r="206" spans="1:12">
      <c r="A206" s="2202">
        <f t="shared" si="2"/>
        <v>2022.05</v>
      </c>
      <c r="B206" s="1744">
        <v>50</v>
      </c>
      <c r="C206" s="1745">
        <v>58.4</v>
      </c>
      <c r="D206" s="1746">
        <v>50</v>
      </c>
      <c r="E206" s="1745">
        <v>59.4</v>
      </c>
      <c r="F206" s="1746">
        <v>60.1</v>
      </c>
      <c r="G206" s="934">
        <v>63.399125526750197</v>
      </c>
      <c r="H206" s="1983"/>
      <c r="I206" s="1983"/>
      <c r="J206" s="2204"/>
      <c r="K206" s="3348"/>
      <c r="L206" s="3348"/>
    </row>
    <row r="207" spans="1:12">
      <c r="A207" s="2202">
        <f t="shared" si="2"/>
        <v>2022.06</v>
      </c>
      <c r="B207" s="1744">
        <v>50</v>
      </c>
      <c r="C207" s="1745">
        <v>57.9</v>
      </c>
      <c r="D207" s="1746">
        <v>50</v>
      </c>
      <c r="E207" s="1745">
        <v>57.4</v>
      </c>
      <c r="F207" s="1746">
        <v>68.75</v>
      </c>
      <c r="G207" s="934">
        <v>68.621602247314684</v>
      </c>
      <c r="H207" s="1983"/>
      <c r="I207" s="1983"/>
      <c r="J207" s="2204"/>
      <c r="K207" s="3348"/>
      <c r="L207" s="3348"/>
    </row>
    <row r="208" spans="1:12">
      <c r="A208" s="2202">
        <f t="shared" si="2"/>
        <v>2022.07</v>
      </c>
      <c r="B208" s="1744">
        <v>60</v>
      </c>
      <c r="C208" s="1745">
        <v>62.5</v>
      </c>
      <c r="D208" s="1746">
        <v>60</v>
      </c>
      <c r="E208" s="1745">
        <v>63.6</v>
      </c>
      <c r="F208" s="1746">
        <v>83.7</v>
      </c>
      <c r="G208" s="934">
        <v>83.089501061756508</v>
      </c>
      <c r="H208" s="1983"/>
      <c r="I208" s="1983"/>
      <c r="J208" s="2204"/>
      <c r="K208" s="3348"/>
      <c r="L208" s="3348"/>
    </row>
    <row r="209" spans="1:12">
      <c r="A209" s="2202">
        <f t="shared" si="2"/>
        <v>2022.08</v>
      </c>
      <c r="B209" s="1744">
        <v>50</v>
      </c>
      <c r="C209" s="1745">
        <v>60.6</v>
      </c>
      <c r="D209" s="1746">
        <v>50</v>
      </c>
      <c r="E209" s="1745">
        <v>59.8</v>
      </c>
      <c r="F209" s="1746">
        <v>98</v>
      </c>
      <c r="G209" s="934">
        <v>100.2822246577053</v>
      </c>
      <c r="H209" s="1983"/>
      <c r="I209" s="1983"/>
      <c r="J209" s="2204"/>
      <c r="K209" s="3348"/>
      <c r="L209" s="3348"/>
    </row>
    <row r="210" spans="1:12">
      <c r="A210" s="2202">
        <f t="shared" si="2"/>
        <v>2022.09</v>
      </c>
      <c r="B210" s="1744">
        <v>60</v>
      </c>
      <c r="C210" s="1745">
        <v>61.7</v>
      </c>
      <c r="D210" s="1746">
        <v>50</v>
      </c>
      <c r="E210" s="1745">
        <v>61.2</v>
      </c>
      <c r="F210" s="1746">
        <v>94.050000000000011</v>
      </c>
      <c r="G210" s="934">
        <v>95.175839065404034</v>
      </c>
      <c r="H210" s="1983"/>
      <c r="I210" s="1983"/>
      <c r="J210" s="2204"/>
      <c r="K210" s="3348"/>
      <c r="L210" s="3348"/>
    </row>
    <row r="211" spans="1:12">
      <c r="A211" s="2202">
        <f t="shared" si="2"/>
        <v>2022.1</v>
      </c>
      <c r="B211" s="1744">
        <v>70</v>
      </c>
      <c r="C211" s="1745">
        <v>68.400000000000006</v>
      </c>
      <c r="D211" s="1746">
        <v>70</v>
      </c>
      <c r="E211" s="1745">
        <v>68.5</v>
      </c>
      <c r="F211" s="1746">
        <v>98.844999999999999</v>
      </c>
      <c r="G211" s="934">
        <v>97.623155122493699</v>
      </c>
      <c r="H211" s="1983"/>
      <c r="I211" s="1983"/>
      <c r="J211" s="2204"/>
      <c r="K211" s="3348"/>
      <c r="L211" s="3348"/>
    </row>
    <row r="212" spans="1:12">
      <c r="A212" s="2202">
        <f t="shared" si="2"/>
        <v>2022.11</v>
      </c>
      <c r="B212" s="1744">
        <v>80</v>
      </c>
      <c r="C212" s="1745">
        <v>72.400000000000006</v>
      </c>
      <c r="D212" s="1746">
        <v>80</v>
      </c>
      <c r="E212" s="1745">
        <v>72.3</v>
      </c>
      <c r="F212" s="1746">
        <v>100.7</v>
      </c>
      <c r="G212" s="934">
        <v>98.009514697451806</v>
      </c>
      <c r="H212" s="1983"/>
      <c r="I212" s="1983"/>
      <c r="J212" s="2204"/>
      <c r="K212" s="3348"/>
      <c r="L212" s="3348"/>
    </row>
    <row r="213" spans="1:12">
      <c r="A213" s="2202">
        <f t="shared" si="2"/>
        <v>2022.12</v>
      </c>
      <c r="B213" s="1744">
        <v>70</v>
      </c>
      <c r="C213" s="1745">
        <v>69.599999999999994</v>
      </c>
      <c r="D213" s="1746">
        <v>70</v>
      </c>
      <c r="E213" s="1745">
        <v>69.8</v>
      </c>
      <c r="F213" s="1746">
        <v>98.4</v>
      </c>
      <c r="G213" s="934">
        <v>96.7</v>
      </c>
      <c r="H213" s="1983"/>
      <c r="I213" s="1983"/>
      <c r="J213" s="2204"/>
      <c r="K213" s="3348"/>
      <c r="L213" s="3348"/>
    </row>
    <row r="214" spans="1:12">
      <c r="A214" s="2202">
        <f t="shared" si="2"/>
        <v>2023.01</v>
      </c>
      <c r="B214" s="1744">
        <v>70</v>
      </c>
      <c r="C214" s="1745">
        <v>70.2</v>
      </c>
      <c r="D214" s="1746">
        <v>75</v>
      </c>
      <c r="E214" s="1745">
        <v>70.599999999999994</v>
      </c>
      <c r="F214" s="1746">
        <v>98.495000000000005</v>
      </c>
      <c r="G214" s="934">
        <v>96.025235107225683</v>
      </c>
      <c r="H214" s="1983"/>
      <c r="I214" s="1983"/>
      <c r="J214" s="2204"/>
      <c r="K214" s="3348"/>
      <c r="L214" s="3348"/>
    </row>
    <row r="215" spans="1:12">
      <c r="A215" s="2202">
        <f t="shared" si="2"/>
        <v>2023.02</v>
      </c>
      <c r="B215" s="1744">
        <v>80</v>
      </c>
      <c r="C215" s="1745">
        <v>69.900000000000006</v>
      </c>
      <c r="D215" s="1746">
        <v>70</v>
      </c>
      <c r="E215" s="1745">
        <v>69.099999999999994</v>
      </c>
      <c r="F215" s="1746">
        <v>103.52500000000001</v>
      </c>
      <c r="G215" s="934">
        <v>100.980671599475</v>
      </c>
      <c r="H215" s="1983"/>
      <c r="I215" s="1983"/>
      <c r="J215" s="2204"/>
      <c r="K215" s="3348"/>
      <c r="L215" s="3348"/>
    </row>
    <row r="216" spans="1:12">
      <c r="A216" s="2202">
        <f t="shared" si="2"/>
        <v>2023.03</v>
      </c>
      <c r="B216" s="1744">
        <v>80</v>
      </c>
      <c r="C216" s="1745">
        <v>75.400000000000006</v>
      </c>
      <c r="D216" s="1746">
        <v>80</v>
      </c>
      <c r="E216" s="1745">
        <v>76.2</v>
      </c>
      <c r="F216" s="1746">
        <v>113.26</v>
      </c>
      <c r="G216" s="934">
        <v>113.0161927457184</v>
      </c>
      <c r="H216" s="1983"/>
      <c r="I216" s="1983"/>
      <c r="J216" s="2204"/>
      <c r="K216" s="3348"/>
      <c r="L216" s="3348"/>
    </row>
    <row r="217" spans="1:12">
      <c r="A217" s="2202">
        <f t="shared" si="2"/>
        <v>2023.04</v>
      </c>
      <c r="B217" s="1744">
        <v>90</v>
      </c>
      <c r="C217" s="1745">
        <v>82</v>
      </c>
      <c r="D217" s="1746">
        <v>90</v>
      </c>
      <c r="E217" s="1745">
        <v>82.3</v>
      </c>
      <c r="F217" s="1746">
        <v>146.5</v>
      </c>
      <c r="G217" s="934">
        <v>146.66423535717831</v>
      </c>
      <c r="H217" s="1983"/>
      <c r="I217" s="1983"/>
      <c r="J217" s="2204"/>
      <c r="K217" s="3348"/>
      <c r="L217" s="3348"/>
    </row>
    <row r="218" spans="1:12">
      <c r="A218" s="2202">
        <f t="shared" si="2"/>
        <v>2023.05</v>
      </c>
      <c r="B218" s="1744">
        <v>100</v>
      </c>
      <c r="C218" s="1745">
        <v>96.4</v>
      </c>
      <c r="D218" s="1746">
        <v>100</v>
      </c>
      <c r="E218" s="1745">
        <v>96.2</v>
      </c>
      <c r="F218" s="1746">
        <v>171.1</v>
      </c>
      <c r="G218" s="934">
        <v>168.3</v>
      </c>
      <c r="H218" s="1983"/>
      <c r="I218" s="1983"/>
      <c r="J218" s="2204"/>
      <c r="K218" s="3348"/>
      <c r="L218" s="3348"/>
    </row>
    <row r="219" spans="1:12">
      <c r="A219" s="2202">
        <f t="shared" si="2"/>
        <v>2023.06</v>
      </c>
      <c r="B219" s="1744">
        <v>100</v>
      </c>
      <c r="C219" s="1745">
        <v>94.1</v>
      </c>
      <c r="D219" s="1746">
        <v>100</v>
      </c>
      <c r="E219" s="1745">
        <v>93.9</v>
      </c>
      <c r="F219" s="1746">
        <v>161.42418806775049</v>
      </c>
      <c r="G219" s="934">
        <v>158.86574708158469</v>
      </c>
      <c r="H219" s="1983"/>
      <c r="I219" s="1983"/>
      <c r="J219" s="2204"/>
      <c r="K219" s="3348"/>
      <c r="L219" s="3348"/>
    </row>
    <row r="220" spans="1:12">
      <c r="A220" s="2202">
        <f t="shared" si="2"/>
        <v>2023.07</v>
      </c>
      <c r="B220" s="1744">
        <v>100</v>
      </c>
      <c r="C220" s="1745">
        <v>89.6</v>
      </c>
      <c r="D220" s="1746">
        <v>100</v>
      </c>
      <c r="E220" s="1745">
        <v>90.1</v>
      </c>
      <c r="F220" s="1746">
        <v>154.91499999999999</v>
      </c>
      <c r="G220" s="934">
        <v>154.07911361661371</v>
      </c>
      <c r="H220" s="1983"/>
      <c r="I220" s="1983"/>
      <c r="J220" s="2204"/>
      <c r="K220" s="3348"/>
      <c r="L220" s="3348"/>
    </row>
    <row r="221" spans="1:12">
      <c r="A221" s="2202">
        <f t="shared" si="2"/>
        <v>2023.08</v>
      </c>
      <c r="B221" s="1744">
        <v>100</v>
      </c>
      <c r="C221" s="1745">
        <v>90.9</v>
      </c>
      <c r="D221" s="1746">
        <v>100</v>
      </c>
      <c r="E221" s="1745">
        <v>90.7</v>
      </c>
      <c r="F221" s="1746">
        <v>208.83500000000001</v>
      </c>
      <c r="G221" s="934">
        <v>203.18442344567561</v>
      </c>
      <c r="H221" s="1983"/>
      <c r="I221" s="1983"/>
      <c r="J221" s="2204"/>
      <c r="K221" s="3348"/>
      <c r="L221" s="3348"/>
    </row>
    <row r="222" spans="1:12">
      <c r="A222" s="2202">
        <f t="shared" si="2"/>
        <v>2023.09</v>
      </c>
      <c r="B222" s="1744">
        <v>100</v>
      </c>
      <c r="C222" s="1745">
        <v>99.1</v>
      </c>
      <c r="D222" s="1746">
        <v>100</v>
      </c>
      <c r="E222" s="1745">
        <v>98.5</v>
      </c>
      <c r="F222" s="1746">
        <v>185.86</v>
      </c>
      <c r="G222" s="934">
        <v>191.2143340469751</v>
      </c>
      <c r="H222" s="1983"/>
      <c r="I222" s="1983"/>
      <c r="J222" s="2204"/>
      <c r="K222" s="3348"/>
      <c r="L222" s="3348"/>
    </row>
    <row r="223" spans="1:12">
      <c r="A223" s="2202">
        <f t="shared" si="2"/>
        <v>2023.1</v>
      </c>
      <c r="B223" s="1744">
        <v>100</v>
      </c>
      <c r="C223" s="1745">
        <v>115.9</v>
      </c>
      <c r="D223" s="1746">
        <v>100</v>
      </c>
      <c r="E223" s="1745">
        <v>117.6</v>
      </c>
      <c r="F223" s="1746">
        <v>213.5</v>
      </c>
      <c r="G223" s="934">
        <v>203.5</v>
      </c>
      <c r="H223" s="1983"/>
      <c r="I223" s="1983"/>
      <c r="J223" s="2204"/>
      <c r="K223" s="3348"/>
      <c r="L223" s="3348"/>
    </row>
    <row r="224" spans="1:12">
      <c r="A224" s="2202">
        <f t="shared" si="2"/>
        <v>2023.11</v>
      </c>
      <c r="B224" s="1744">
        <v>100</v>
      </c>
      <c r="C224" s="1745">
        <v>107.2</v>
      </c>
      <c r="D224" s="1746">
        <v>100</v>
      </c>
      <c r="E224" s="1745">
        <v>108.9</v>
      </c>
      <c r="F224" s="1746">
        <v>226.7</v>
      </c>
      <c r="G224" s="934">
        <v>250</v>
      </c>
      <c r="H224" s="1983"/>
      <c r="I224" s="1983"/>
      <c r="J224" s="2204"/>
      <c r="K224" s="3348"/>
      <c r="L224" s="3348"/>
    </row>
    <row r="225" spans="1:12">
      <c r="A225" s="2202">
        <f t="shared" si="2"/>
        <v>2023.12</v>
      </c>
      <c r="B225" s="1744">
        <v>150</v>
      </c>
      <c r="C225" s="1745">
        <v>225.9</v>
      </c>
      <c r="D225" s="1746">
        <v>150</v>
      </c>
      <c r="E225" s="1745">
        <v>228.4</v>
      </c>
      <c r="F225" s="1746">
        <v>212.99580129090381</v>
      </c>
      <c r="G225" s="934">
        <v>252.46520601530349</v>
      </c>
      <c r="H225" s="1983"/>
      <c r="I225" s="1983"/>
      <c r="J225" s="2204"/>
      <c r="K225" s="3348"/>
      <c r="L225" s="3348"/>
    </row>
    <row r="226" spans="1:12">
      <c r="A226" s="2202">
        <f t="shared" si="2"/>
        <v>2024.01</v>
      </c>
      <c r="B226" s="1744">
        <v>150</v>
      </c>
      <c r="C226" s="1745">
        <v>230</v>
      </c>
      <c r="D226" s="1746">
        <v>150</v>
      </c>
      <c r="E226" s="1745">
        <v>236.1</v>
      </c>
      <c r="F226" s="1746">
        <v>183.2</v>
      </c>
      <c r="G226" s="934">
        <v>186.6</v>
      </c>
      <c r="H226" s="1983"/>
      <c r="I226" s="1983"/>
      <c r="J226" s="2204"/>
      <c r="K226" s="3348"/>
      <c r="L226" s="3348"/>
    </row>
    <row r="227" spans="1:12">
      <c r="A227" s="2202">
        <f t="shared" si="2"/>
        <v>2024.02</v>
      </c>
      <c r="B227" s="1744">
        <v>100</v>
      </c>
      <c r="C227" s="1745">
        <v>170.8</v>
      </c>
      <c r="D227" s="1737" t="s">
        <v>356</v>
      </c>
      <c r="E227" s="1745">
        <v>147.1</v>
      </c>
      <c r="F227" s="1746">
        <v>146.9</v>
      </c>
      <c r="G227" s="934">
        <v>147.43588167526761</v>
      </c>
      <c r="H227" s="1983"/>
      <c r="I227" s="1983"/>
      <c r="J227" s="2204"/>
      <c r="K227" s="3348"/>
      <c r="L227" s="3348"/>
    </row>
    <row r="228" spans="1:12">
      <c r="A228" s="2202">
        <f t="shared" ref="A228:A249" si="3">A216+1</f>
        <v>2024.03</v>
      </c>
      <c r="B228" s="1744">
        <v>100</v>
      </c>
      <c r="C228" s="1745">
        <v>123.8</v>
      </c>
      <c r="D228" s="1737"/>
      <c r="E228" s="1745">
        <v>111.2</v>
      </c>
      <c r="F228" s="1746">
        <v>120</v>
      </c>
      <c r="G228" s="934">
        <v>120.9</v>
      </c>
      <c r="H228" s="1983"/>
      <c r="I228" s="1983"/>
      <c r="J228" s="2204"/>
      <c r="K228" s="3348"/>
      <c r="L228" s="3348"/>
    </row>
    <row r="229" spans="1:12">
      <c r="A229" s="2202">
        <f t="shared" si="3"/>
        <v>2024.04</v>
      </c>
      <c r="B229" s="1744">
        <v>70</v>
      </c>
      <c r="C229" s="1745">
        <v>98.5</v>
      </c>
      <c r="D229" s="1737"/>
      <c r="E229" s="1745">
        <v>96.4</v>
      </c>
      <c r="F229" s="1746">
        <v>88</v>
      </c>
      <c r="G229" s="934">
        <v>89.8</v>
      </c>
      <c r="H229" s="1983"/>
      <c r="I229" s="1983"/>
      <c r="J229" s="2204"/>
      <c r="K229" s="3348"/>
      <c r="L229" s="3348"/>
    </row>
    <row r="230" spans="1:12">
      <c r="A230" s="2202">
        <f t="shared" si="3"/>
        <v>2024.05</v>
      </c>
      <c r="B230" s="1744">
        <v>50</v>
      </c>
      <c r="C230" s="1745">
        <v>85.1</v>
      </c>
      <c r="D230" s="1737"/>
      <c r="E230" s="1745">
        <v>77.900000000000006</v>
      </c>
      <c r="F230" s="1746">
        <v>68.900000000000006</v>
      </c>
      <c r="G230" s="934">
        <v>72.3</v>
      </c>
      <c r="H230" s="1983"/>
      <c r="I230" s="1983"/>
      <c r="J230" s="2204"/>
      <c r="K230" s="3348"/>
      <c r="L230" s="3348"/>
    </row>
    <row r="231" spans="1:12">
      <c r="A231" s="2202">
        <f t="shared" si="3"/>
        <v>2024.06</v>
      </c>
      <c r="B231" s="1744">
        <v>50</v>
      </c>
      <c r="C231" s="1745">
        <v>87</v>
      </c>
      <c r="D231" s="1737"/>
      <c r="E231" s="1745">
        <v>74.3</v>
      </c>
      <c r="F231" s="1746">
        <v>63.3</v>
      </c>
      <c r="G231" s="934">
        <v>64.599999999999994</v>
      </c>
      <c r="H231" s="1983"/>
      <c r="I231" s="1983"/>
      <c r="J231" s="2204"/>
      <c r="K231" s="3348"/>
      <c r="L231" s="3348"/>
    </row>
    <row r="232" spans="1:12">
      <c r="A232" s="2202">
        <f t="shared" si="3"/>
        <v>2024.07</v>
      </c>
      <c r="B232" s="1744">
        <v>50</v>
      </c>
      <c r="C232" s="1745">
        <v>80.599999999999994</v>
      </c>
      <c r="D232" s="1737"/>
      <c r="E232" s="1745">
        <v>82.3</v>
      </c>
      <c r="F232" s="1746">
        <v>53.7</v>
      </c>
      <c r="G232" s="934">
        <v>52.4</v>
      </c>
      <c r="H232" s="1983"/>
      <c r="I232" s="1983"/>
      <c r="J232" s="2204"/>
      <c r="K232" s="3348"/>
      <c r="L232" s="3348"/>
    </row>
    <row r="233" spans="1:12">
      <c r="A233" s="2202">
        <f t="shared" si="3"/>
        <v>2024.08</v>
      </c>
      <c r="B233" s="1744">
        <v>50</v>
      </c>
      <c r="C233" s="1745">
        <v>73.5</v>
      </c>
      <c r="D233" s="1737"/>
      <c r="E233" s="1745">
        <v>71.7</v>
      </c>
      <c r="F233" s="1746">
        <v>44.7</v>
      </c>
      <c r="G233" s="934">
        <v>45.4</v>
      </c>
      <c r="H233" s="1983"/>
      <c r="I233" s="1983"/>
      <c r="J233" s="2204"/>
      <c r="K233" s="3348"/>
      <c r="L233" s="3348"/>
    </row>
    <row r="234" spans="1:12">
      <c r="A234" s="2202">
        <f t="shared" si="3"/>
        <v>2024.09</v>
      </c>
      <c r="B234" s="1744">
        <v>50</v>
      </c>
      <c r="C234" s="1745">
        <v>64.599999999999994</v>
      </c>
      <c r="D234" s="1737"/>
      <c r="E234" s="1745">
        <v>65.599999999999994</v>
      </c>
      <c r="F234" s="1746">
        <v>40.9</v>
      </c>
      <c r="G234" s="934">
        <v>41.5</v>
      </c>
      <c r="H234" s="1983"/>
      <c r="I234" s="1983"/>
      <c r="J234" s="2204"/>
      <c r="K234" s="3348"/>
      <c r="L234" s="3348"/>
    </row>
    <row r="235" spans="1:12">
      <c r="A235" s="2202">
        <f t="shared" si="3"/>
        <v>2024.1</v>
      </c>
      <c r="B235" s="1744">
        <v>40</v>
      </c>
      <c r="C235" s="1745">
        <v>54.5</v>
      </c>
      <c r="D235" s="1737"/>
      <c r="E235" s="1745">
        <v>51.8</v>
      </c>
      <c r="F235" s="1746">
        <v>34.961424911950949</v>
      </c>
      <c r="G235" s="934">
        <v>35.914762278749528</v>
      </c>
      <c r="H235" s="1983"/>
      <c r="I235" s="1983"/>
      <c r="J235" s="2204"/>
      <c r="K235" s="3348"/>
      <c r="L235" s="3348"/>
    </row>
    <row r="236" spans="1:12">
      <c r="A236" s="2202">
        <f t="shared" si="3"/>
        <v>2024.11</v>
      </c>
      <c r="B236" s="1744">
        <v>40</v>
      </c>
      <c r="C236" s="1745">
        <v>50.2</v>
      </c>
      <c r="D236" s="1737"/>
      <c r="E236" s="1745">
        <v>46.8</v>
      </c>
      <c r="F236" s="1746">
        <v>29.4</v>
      </c>
      <c r="G236" s="934">
        <v>30.226514569657219</v>
      </c>
      <c r="H236" s="1983"/>
      <c r="I236" s="1983"/>
      <c r="J236" s="2204"/>
      <c r="K236" s="3348"/>
      <c r="L236" s="3348"/>
    </row>
    <row r="237" spans="1:12">
      <c r="A237" s="2202">
        <f t="shared" si="3"/>
        <v>2024.12</v>
      </c>
      <c r="B237" s="1744">
        <v>30</v>
      </c>
      <c r="C237" s="1745">
        <v>45</v>
      </c>
      <c r="D237" s="1737"/>
      <c r="E237" s="1745">
        <v>40.6</v>
      </c>
      <c r="F237" s="1746">
        <v>25.858817768730368</v>
      </c>
      <c r="G237" s="934">
        <v>26.18954304420766</v>
      </c>
      <c r="H237" s="1983"/>
      <c r="I237" s="1983"/>
      <c r="J237" s="2204"/>
      <c r="K237" s="3348"/>
      <c r="L237" s="3348"/>
    </row>
    <row r="238" spans="1:12">
      <c r="A238" s="2202">
        <f t="shared" si="3"/>
        <v>2025.01</v>
      </c>
      <c r="B238" s="1744">
        <v>30</v>
      </c>
      <c r="C238" s="1745">
        <v>41.2</v>
      </c>
      <c r="D238" s="1737"/>
      <c r="E238" s="1745">
        <v>38.799999999999997</v>
      </c>
      <c r="F238" s="1746">
        <v>21.86647008146381</v>
      </c>
      <c r="G238" s="934">
        <v>23.009294533842269</v>
      </c>
      <c r="H238" s="1983"/>
      <c r="I238" s="1983"/>
      <c r="J238" s="2204"/>
      <c r="K238" s="3348"/>
      <c r="L238" s="3348"/>
    </row>
    <row r="239" spans="1:12">
      <c r="A239" s="2202">
        <f t="shared" si="3"/>
        <v>2025.02</v>
      </c>
      <c r="B239" s="1744">
        <v>30</v>
      </c>
      <c r="C239" s="1745">
        <v>41.6</v>
      </c>
      <c r="D239" s="1737"/>
      <c r="E239" s="1745">
        <v>39.4</v>
      </c>
      <c r="F239" s="1746">
        <v>22.2</v>
      </c>
      <c r="G239" s="934">
        <v>23</v>
      </c>
      <c r="H239" s="1983"/>
      <c r="I239" s="1983"/>
      <c r="J239" s="2204"/>
      <c r="K239" s="3348"/>
      <c r="L239" s="3348"/>
    </row>
    <row r="240" spans="1:12">
      <c r="A240" s="2202">
        <f t="shared" si="3"/>
        <v>2025.03</v>
      </c>
      <c r="B240" s="1744">
        <v>30</v>
      </c>
      <c r="C240" s="1745">
        <v>40.5</v>
      </c>
      <c r="D240" s="1737"/>
      <c r="E240" s="1745">
        <v>39</v>
      </c>
      <c r="F240" s="1746">
        <v>24.506885341278249</v>
      </c>
      <c r="G240" s="934">
        <v>24.935166594712541</v>
      </c>
      <c r="H240" s="1983"/>
      <c r="I240" s="1983"/>
      <c r="J240" s="2204"/>
      <c r="K240" s="3348"/>
      <c r="L240" s="3348"/>
    </row>
    <row r="241" spans="1:12">
      <c r="A241" s="2202">
        <f t="shared" si="3"/>
        <v>2025.04</v>
      </c>
      <c r="B241" s="1744">
        <v>30</v>
      </c>
      <c r="C241" s="1745">
        <v>41.3</v>
      </c>
      <c r="D241" s="1737"/>
      <c r="E241" s="1745">
        <v>39.799999999999997</v>
      </c>
      <c r="F241" s="1746">
        <v>26.3</v>
      </c>
      <c r="G241" s="934">
        <v>25.9</v>
      </c>
      <c r="H241" s="1983"/>
      <c r="I241" s="1983"/>
      <c r="J241" s="2204"/>
      <c r="K241" s="3348"/>
      <c r="L241" s="3348"/>
    </row>
    <row r="242" spans="1:12">
      <c r="A242" s="2202">
        <f t="shared" si="3"/>
        <v>2025.05</v>
      </c>
      <c r="B242" s="1744">
        <v>30</v>
      </c>
      <c r="C242" s="1745">
        <v>38.799999999999997</v>
      </c>
      <c r="D242" s="1737"/>
      <c r="E242" s="1745">
        <v>37.299999999999997</v>
      </c>
      <c r="F242" s="1746">
        <v>20.941509440511499</v>
      </c>
      <c r="G242" s="934">
        <v>21.186825083230431</v>
      </c>
      <c r="H242" s="1983"/>
      <c r="I242" s="1983"/>
      <c r="J242" s="2204"/>
      <c r="K242" s="2204"/>
      <c r="L242" s="2204"/>
    </row>
    <row r="243" spans="1:12">
      <c r="A243" s="2202">
        <f t="shared" si="3"/>
        <v>2025.06</v>
      </c>
      <c r="B243" s="1744" t="e">
        <v>#N/A</v>
      </c>
      <c r="C243" s="1745" t="e">
        <v>#N/A</v>
      </c>
      <c r="D243" s="1737"/>
      <c r="E243" s="1745" t="e">
        <v>#N/A</v>
      </c>
      <c r="F243" s="1746" t="e">
        <v>#N/A</v>
      </c>
      <c r="G243" s="934" t="e">
        <v>#N/A</v>
      </c>
      <c r="H243" s="1983"/>
      <c r="I243" s="1983"/>
      <c r="J243" s="2204"/>
      <c r="K243" s="2204"/>
      <c r="L243" s="2204"/>
    </row>
    <row r="244" spans="1:12">
      <c r="A244" s="2202">
        <f t="shared" si="3"/>
        <v>2025.07</v>
      </c>
      <c r="B244" s="1744" t="e">
        <v>#N/A</v>
      </c>
      <c r="C244" s="1745" t="e">
        <v>#N/A</v>
      </c>
      <c r="D244" s="1737"/>
      <c r="E244" s="1745" t="e">
        <v>#N/A</v>
      </c>
      <c r="F244" s="1746" t="e">
        <v>#N/A</v>
      </c>
      <c r="G244" s="934" t="e">
        <v>#N/A</v>
      </c>
      <c r="H244" s="1983"/>
      <c r="I244" s="1983"/>
      <c r="J244" s="2204"/>
      <c r="K244" s="2204"/>
      <c r="L244" s="2204"/>
    </row>
    <row r="245" spans="1:12">
      <c r="A245" s="2202">
        <f t="shared" si="3"/>
        <v>2025.08</v>
      </c>
      <c r="B245" s="1744" t="e">
        <v>#N/A</v>
      </c>
      <c r="C245" s="1745" t="e">
        <v>#N/A</v>
      </c>
      <c r="D245" s="1737"/>
      <c r="E245" s="1745" t="e">
        <v>#N/A</v>
      </c>
      <c r="F245" s="1746" t="e">
        <v>#N/A</v>
      </c>
      <c r="G245" s="934" t="e">
        <v>#N/A</v>
      </c>
      <c r="H245" s="1983"/>
      <c r="I245" s="1983"/>
      <c r="J245" s="2204"/>
      <c r="K245" s="2204"/>
      <c r="L245" s="2204"/>
    </row>
    <row r="246" spans="1:12">
      <c r="A246" s="2202">
        <f t="shared" si="3"/>
        <v>2025.09</v>
      </c>
      <c r="B246" s="1744" t="e">
        <v>#N/A</v>
      </c>
      <c r="C246" s="1745" t="e">
        <v>#N/A</v>
      </c>
      <c r="D246" s="1737"/>
      <c r="E246" s="1745" t="e">
        <v>#N/A</v>
      </c>
      <c r="F246" s="1746" t="e">
        <v>#N/A</v>
      </c>
      <c r="G246" s="934" t="e">
        <v>#N/A</v>
      </c>
      <c r="H246" s="1983"/>
      <c r="I246" s="1983"/>
      <c r="J246" s="2204"/>
      <c r="K246" s="2204"/>
      <c r="L246" s="2204"/>
    </row>
    <row r="247" spans="1:12">
      <c r="A247" s="2202">
        <f t="shared" si="3"/>
        <v>2025.1</v>
      </c>
      <c r="B247" s="1744" t="e">
        <v>#N/A</v>
      </c>
      <c r="C247" s="1745" t="e">
        <v>#N/A</v>
      </c>
      <c r="D247" s="1737"/>
      <c r="E247" s="1745" t="e">
        <v>#N/A</v>
      </c>
      <c r="F247" s="1746" t="e">
        <v>#N/A</v>
      </c>
      <c r="G247" s="934" t="e">
        <v>#N/A</v>
      </c>
      <c r="H247" s="1983"/>
      <c r="I247" s="1983"/>
      <c r="J247" s="2204"/>
      <c r="K247" s="2204"/>
      <c r="L247" s="2204"/>
    </row>
    <row r="248" spans="1:12">
      <c r="A248" s="2202">
        <f t="shared" si="3"/>
        <v>2025.11</v>
      </c>
      <c r="B248" s="1744" t="e">
        <v>#N/A</v>
      </c>
      <c r="C248" s="1745" t="e">
        <v>#N/A</v>
      </c>
      <c r="D248" s="1737"/>
      <c r="E248" s="1745" t="e">
        <v>#N/A</v>
      </c>
      <c r="F248" s="1746" t="e">
        <v>#N/A</v>
      </c>
      <c r="G248" s="934" t="e">
        <v>#N/A</v>
      </c>
      <c r="H248" s="1983"/>
      <c r="I248" s="1983"/>
      <c r="J248" s="2204"/>
      <c r="K248" s="2204"/>
      <c r="L248" s="2204"/>
    </row>
    <row r="249" spans="1:12">
      <c r="A249" s="2202">
        <f t="shared" si="3"/>
        <v>2025.12</v>
      </c>
      <c r="B249" s="1744" t="e">
        <v>#N/A</v>
      </c>
      <c r="C249" s="1745" t="e">
        <v>#N/A</v>
      </c>
      <c r="D249" s="1737"/>
      <c r="E249" s="1745" t="e">
        <v>#N/A</v>
      </c>
      <c r="F249" s="1746" t="e">
        <v>#N/A</v>
      </c>
      <c r="G249" s="934" t="e">
        <v>#N/A</v>
      </c>
      <c r="H249" s="1983"/>
      <c r="I249" s="1983"/>
      <c r="J249" s="2204"/>
      <c r="K249" s="2204"/>
      <c r="L249" s="2204"/>
    </row>
    <row r="250" spans="1:12">
      <c r="A250" s="1340">
        <v>2026.01</v>
      </c>
      <c r="B250" s="1744" t="e">
        <v>#N/A</v>
      </c>
      <c r="C250" s="1745" t="e">
        <v>#N/A</v>
      </c>
      <c r="D250" s="1737"/>
      <c r="E250" s="1745" t="e">
        <v>#N/A</v>
      </c>
      <c r="F250" s="1746" t="e">
        <v>#N/A</v>
      </c>
      <c r="G250" s="934" t="e">
        <v>#N/A</v>
      </c>
      <c r="H250" s="1983"/>
      <c r="I250" s="1983"/>
      <c r="J250" s="2204"/>
      <c r="K250" s="2204"/>
      <c r="L250" s="2204"/>
    </row>
    <row r="251" spans="1:12">
      <c r="A251" s="1340">
        <v>2026.02</v>
      </c>
      <c r="B251" s="1744" t="e">
        <v>#N/A</v>
      </c>
      <c r="C251" s="1745" t="e">
        <v>#N/A</v>
      </c>
      <c r="D251" s="1737"/>
      <c r="E251" s="1745" t="e">
        <v>#N/A</v>
      </c>
      <c r="F251" s="1746" t="e">
        <v>#N/A</v>
      </c>
      <c r="G251" s="934" t="e">
        <v>#N/A</v>
      </c>
      <c r="H251" s="1983"/>
      <c r="I251" s="1983"/>
      <c r="J251" s="2204"/>
      <c r="K251" s="2204"/>
      <c r="L251" s="2204"/>
    </row>
    <row r="252" spans="1:12">
      <c r="A252" s="1340">
        <v>2026.03</v>
      </c>
      <c r="B252" s="1744" t="e">
        <v>#N/A</v>
      </c>
      <c r="C252" s="1745" t="e">
        <v>#N/A</v>
      </c>
      <c r="D252" s="1737"/>
      <c r="E252" s="1745" t="e">
        <v>#N/A</v>
      </c>
      <c r="F252" s="1746" t="e">
        <v>#N/A</v>
      </c>
      <c r="G252" s="934" t="e">
        <v>#N/A</v>
      </c>
      <c r="H252" s="1983"/>
      <c r="I252" s="1983"/>
      <c r="J252" s="2204"/>
      <c r="K252" s="2204"/>
      <c r="L252" s="2204"/>
    </row>
    <row r="253" spans="1:12">
      <c r="A253" s="1340">
        <v>2026.04</v>
      </c>
      <c r="B253" s="1744" t="e">
        <v>#N/A</v>
      </c>
      <c r="C253" s="1745" t="e">
        <v>#N/A</v>
      </c>
      <c r="D253" s="1737"/>
      <c r="E253" s="1745" t="e">
        <v>#N/A</v>
      </c>
      <c r="F253" s="1746" t="e">
        <v>#N/A</v>
      </c>
      <c r="G253" s="934" t="e">
        <v>#N/A</v>
      </c>
      <c r="H253" s="1983"/>
      <c r="I253" s="1983"/>
      <c r="J253" s="2204"/>
      <c r="K253" s="2204"/>
      <c r="L253" s="2204"/>
    </row>
    <row r="254" spans="1:12">
      <c r="A254" s="1340">
        <v>2026.05</v>
      </c>
      <c r="B254" s="1744" t="e">
        <v>#N/A</v>
      </c>
      <c r="C254" s="1745" t="e">
        <v>#N/A</v>
      </c>
      <c r="D254" s="1737"/>
      <c r="E254" s="1745" t="e">
        <v>#N/A</v>
      </c>
      <c r="F254" s="1746" t="e">
        <v>#N/A</v>
      </c>
      <c r="G254" s="934" t="e">
        <v>#N/A</v>
      </c>
      <c r="H254" s="1983"/>
      <c r="I254" s="1983"/>
      <c r="J254" s="2204"/>
      <c r="K254" s="2204"/>
      <c r="L254" s="2204"/>
    </row>
    <row r="255" spans="1:12">
      <c r="A255" s="1340">
        <v>2026.06</v>
      </c>
      <c r="B255" s="1744" t="e">
        <v>#N/A</v>
      </c>
      <c r="C255" s="1745" t="e">
        <v>#N/A</v>
      </c>
      <c r="D255" s="1737"/>
      <c r="E255" s="1745" t="e">
        <v>#N/A</v>
      </c>
      <c r="F255" s="1746" t="e">
        <v>#N/A</v>
      </c>
      <c r="G255" s="934" t="e">
        <v>#N/A</v>
      </c>
      <c r="H255" s="1983"/>
      <c r="I255" s="1983"/>
      <c r="J255" s="2204"/>
      <c r="K255" s="2204"/>
      <c r="L255" s="2204"/>
    </row>
    <row r="256" spans="1:12">
      <c r="A256" s="1340">
        <v>2026.07</v>
      </c>
      <c r="B256" s="1744" t="e">
        <v>#N/A</v>
      </c>
      <c r="C256" s="1745" t="e">
        <v>#N/A</v>
      </c>
      <c r="D256" s="1737"/>
      <c r="E256" s="1745" t="e">
        <v>#N/A</v>
      </c>
      <c r="F256" s="1746" t="e">
        <v>#N/A</v>
      </c>
      <c r="G256" s="934" t="e">
        <v>#N/A</v>
      </c>
      <c r="H256" s="1983"/>
      <c r="I256" s="1983"/>
      <c r="J256" s="2204"/>
      <c r="K256" s="2204"/>
      <c r="L256" s="2204"/>
    </row>
    <row r="257" spans="1:9">
      <c r="A257" s="1340">
        <v>2026.08</v>
      </c>
      <c r="B257" s="1744" t="e">
        <v>#N/A</v>
      </c>
      <c r="C257" s="1745" t="e">
        <v>#N/A</v>
      </c>
      <c r="D257" s="1737"/>
      <c r="E257" s="1745" t="e">
        <v>#N/A</v>
      </c>
      <c r="F257" s="1746" t="e">
        <v>#N/A</v>
      </c>
      <c r="G257" s="934" t="e">
        <v>#N/A</v>
      </c>
      <c r="H257" s="1983"/>
      <c r="I257" s="1983"/>
    </row>
    <row r="258" spans="1:9">
      <c r="A258" s="1340">
        <v>2026.09</v>
      </c>
      <c r="B258" s="1744" t="e">
        <v>#N/A</v>
      </c>
      <c r="C258" s="1745" t="e">
        <v>#N/A</v>
      </c>
      <c r="D258" s="1737"/>
      <c r="E258" s="1745" t="e">
        <v>#N/A</v>
      </c>
      <c r="F258" s="1746" t="e">
        <v>#N/A</v>
      </c>
      <c r="G258" s="934" t="e">
        <v>#N/A</v>
      </c>
      <c r="H258" s="1983"/>
      <c r="I258" s="1983"/>
    </row>
    <row r="259" spans="1:9">
      <c r="A259" s="1340">
        <v>2026.1</v>
      </c>
      <c r="B259" s="1744" t="e">
        <v>#N/A</v>
      </c>
      <c r="C259" s="1745" t="e">
        <v>#N/A</v>
      </c>
      <c r="D259" s="1737"/>
      <c r="E259" s="1745" t="e">
        <v>#N/A</v>
      </c>
      <c r="F259" s="1746" t="e">
        <v>#N/A</v>
      </c>
      <c r="G259" s="934" t="e">
        <v>#N/A</v>
      </c>
      <c r="H259" s="1983"/>
      <c r="I259" s="1983"/>
    </row>
    <row r="260" spans="1:9">
      <c r="A260" s="1340">
        <v>2026.11</v>
      </c>
      <c r="B260" s="1744" t="e">
        <v>#N/A</v>
      </c>
      <c r="C260" s="1745" t="e">
        <v>#N/A</v>
      </c>
      <c r="D260" s="1737"/>
      <c r="E260" s="1745" t="e">
        <v>#N/A</v>
      </c>
      <c r="F260" s="1746" t="e">
        <v>#N/A</v>
      </c>
      <c r="G260" s="934" t="e">
        <v>#N/A</v>
      </c>
      <c r="H260" s="1983"/>
      <c r="I260" s="1983"/>
    </row>
    <row r="261" spans="1:9">
      <c r="A261" s="1340">
        <v>2026.12</v>
      </c>
      <c r="B261" s="1744" t="e">
        <v>#N/A</v>
      </c>
      <c r="C261" s="1745" t="e">
        <v>#N/A</v>
      </c>
      <c r="D261" s="1737"/>
      <c r="E261" s="1745" t="e">
        <v>#N/A</v>
      </c>
      <c r="F261" s="1746" t="e">
        <v>#N/A</v>
      </c>
      <c r="G261" s="934" t="e">
        <v>#N/A</v>
      </c>
      <c r="H261" s="1983"/>
      <c r="I261" s="1983"/>
    </row>
    <row r="262" spans="1:9">
      <c r="A262" s="1340">
        <v>2027.01</v>
      </c>
      <c r="B262" s="1744" t="e">
        <v>#N/A</v>
      </c>
      <c r="C262" s="1745" t="e">
        <v>#N/A</v>
      </c>
      <c r="D262" s="1737"/>
      <c r="E262" s="1745" t="e">
        <v>#N/A</v>
      </c>
      <c r="F262" s="1746" t="e">
        <v>#N/A</v>
      </c>
      <c r="G262" s="934" t="e">
        <v>#N/A</v>
      </c>
      <c r="H262" s="1983"/>
      <c r="I262" s="1983"/>
    </row>
    <row r="263" spans="1:9">
      <c r="A263" s="1340">
        <v>2027.02</v>
      </c>
      <c r="B263" s="1744" t="e">
        <v>#N/A</v>
      </c>
      <c r="C263" s="1745" t="e">
        <v>#N/A</v>
      </c>
      <c r="D263" s="1737"/>
      <c r="E263" s="1745" t="e">
        <v>#N/A</v>
      </c>
      <c r="F263" s="1746" t="e">
        <v>#N/A</v>
      </c>
      <c r="G263" s="934" t="e">
        <v>#N/A</v>
      </c>
      <c r="H263" s="1983"/>
      <c r="I263" s="1983"/>
    </row>
    <row r="264" spans="1:9">
      <c r="A264" s="1340">
        <v>2027.03</v>
      </c>
      <c r="B264" s="1744" t="e">
        <v>#N/A</v>
      </c>
      <c r="C264" s="1745" t="e">
        <v>#N/A</v>
      </c>
      <c r="D264" s="1737"/>
      <c r="E264" s="1745" t="e">
        <v>#N/A</v>
      </c>
      <c r="F264" s="1746" t="e">
        <v>#N/A</v>
      </c>
      <c r="G264" s="934" t="e">
        <v>#N/A</v>
      </c>
      <c r="H264" s="1983"/>
      <c r="I264" s="1983"/>
    </row>
    <row r="265" spans="1:9">
      <c r="A265" s="1340">
        <v>2027.04</v>
      </c>
      <c r="B265" s="1744" t="e">
        <v>#N/A</v>
      </c>
      <c r="C265" s="1745" t="e">
        <v>#N/A</v>
      </c>
      <c r="D265" s="1737"/>
      <c r="E265" s="1745" t="e">
        <v>#N/A</v>
      </c>
      <c r="F265" s="1746" t="e">
        <v>#N/A</v>
      </c>
      <c r="G265" s="934" t="e">
        <v>#N/A</v>
      </c>
      <c r="H265" s="1983"/>
      <c r="I265" s="1983"/>
    </row>
    <row r="266" spans="1:9">
      <c r="A266" s="1340">
        <v>2027.05</v>
      </c>
      <c r="B266" s="1744" t="e">
        <v>#N/A</v>
      </c>
      <c r="C266" s="1745" t="e">
        <v>#N/A</v>
      </c>
      <c r="D266" s="1737"/>
      <c r="E266" s="1745" t="e">
        <v>#N/A</v>
      </c>
      <c r="F266" s="1746" t="e">
        <v>#N/A</v>
      </c>
      <c r="G266" s="934" t="e">
        <v>#N/A</v>
      </c>
      <c r="H266" s="1983"/>
      <c r="I266" s="1983"/>
    </row>
    <row r="267" spans="1:9">
      <c r="A267" s="1340">
        <v>2027.06</v>
      </c>
      <c r="B267" s="1744" t="e">
        <v>#N/A</v>
      </c>
      <c r="C267" s="1745" t="e">
        <v>#N/A</v>
      </c>
      <c r="D267" s="1737"/>
      <c r="E267" s="1745" t="e">
        <v>#N/A</v>
      </c>
      <c r="F267" s="1746" t="e">
        <v>#N/A</v>
      </c>
      <c r="G267" s="934" t="e">
        <v>#N/A</v>
      </c>
      <c r="H267" s="1983"/>
      <c r="I267" s="1983"/>
    </row>
    <row r="268" spans="1:9">
      <c r="A268" s="1340">
        <v>2027.07</v>
      </c>
      <c r="B268" s="1744" t="e">
        <v>#N/A</v>
      </c>
      <c r="C268" s="1745" t="e">
        <v>#N/A</v>
      </c>
      <c r="D268" s="1737"/>
      <c r="E268" s="1745" t="e">
        <v>#N/A</v>
      </c>
      <c r="F268" s="1746" t="e">
        <v>#N/A</v>
      </c>
      <c r="G268" s="934" t="e">
        <v>#N/A</v>
      </c>
      <c r="H268" s="1983"/>
      <c r="I268" s="1983"/>
    </row>
    <row r="269" spans="1:9">
      <c r="A269" s="1340">
        <v>2027.08</v>
      </c>
      <c r="B269" s="1744" t="e">
        <v>#N/A</v>
      </c>
      <c r="C269" s="1745" t="e">
        <v>#N/A</v>
      </c>
      <c r="D269" s="1737"/>
      <c r="E269" s="1745" t="e">
        <v>#N/A</v>
      </c>
      <c r="F269" s="1746" t="e">
        <v>#N/A</v>
      </c>
      <c r="G269" s="934" t="e">
        <v>#N/A</v>
      </c>
      <c r="H269" s="1983"/>
      <c r="I269" s="1983"/>
    </row>
    <row r="270" spans="1:9">
      <c r="A270" s="1340">
        <v>2027.09</v>
      </c>
      <c r="B270" s="1744" t="e">
        <v>#N/A</v>
      </c>
      <c r="C270" s="1745" t="e">
        <v>#N/A</v>
      </c>
      <c r="D270" s="1737"/>
      <c r="E270" s="1745" t="e">
        <v>#N/A</v>
      </c>
      <c r="F270" s="1746" t="e">
        <v>#N/A</v>
      </c>
      <c r="G270" s="934" t="e">
        <v>#N/A</v>
      </c>
      <c r="H270" s="1983"/>
      <c r="I270" s="1983"/>
    </row>
    <row r="271" spans="1:9">
      <c r="A271" s="1340">
        <v>2027.1</v>
      </c>
      <c r="B271" s="1744" t="e">
        <v>#N/A</v>
      </c>
      <c r="C271" s="1745" t="e">
        <v>#N/A</v>
      </c>
      <c r="D271" s="1737"/>
      <c r="E271" s="1745" t="e">
        <v>#N/A</v>
      </c>
      <c r="F271" s="1746" t="e">
        <v>#N/A</v>
      </c>
      <c r="G271" s="934" t="e">
        <v>#N/A</v>
      </c>
      <c r="H271" s="1983"/>
      <c r="I271" s="1983"/>
    </row>
    <row r="272" spans="1:9">
      <c r="A272" s="1340">
        <v>2027.11</v>
      </c>
      <c r="B272" s="1744" t="e">
        <v>#N/A</v>
      </c>
      <c r="C272" s="1745" t="e">
        <v>#N/A</v>
      </c>
      <c r="D272" s="1737"/>
      <c r="E272" s="1745" t="e">
        <v>#N/A</v>
      </c>
      <c r="F272" s="1746" t="e">
        <v>#N/A</v>
      </c>
      <c r="G272" s="934" t="e">
        <v>#N/A</v>
      </c>
      <c r="H272" s="1983"/>
      <c r="I272" s="1983"/>
    </row>
    <row r="273" spans="1:9">
      <c r="A273" s="1340">
        <v>2027.12</v>
      </c>
      <c r="B273" s="1744" t="e">
        <v>#N/A</v>
      </c>
      <c r="C273" s="1745" t="e">
        <v>#N/A</v>
      </c>
      <c r="D273" s="1737"/>
      <c r="E273" s="1745" t="e">
        <v>#N/A</v>
      </c>
      <c r="F273" s="1746" t="e">
        <v>#N/A</v>
      </c>
      <c r="G273" s="934" t="e">
        <v>#N/A</v>
      </c>
      <c r="H273" s="1983"/>
      <c r="I273" s="1983"/>
    </row>
    <row r="274" spans="1:9">
      <c r="A274" s="1340">
        <v>2028.01</v>
      </c>
      <c r="B274" s="1744" t="e">
        <v>#N/A</v>
      </c>
      <c r="C274" s="1745" t="e">
        <v>#N/A</v>
      </c>
      <c r="D274" s="1737"/>
      <c r="E274" s="1745" t="e">
        <v>#N/A</v>
      </c>
      <c r="F274" s="1746" t="e">
        <v>#N/A</v>
      </c>
      <c r="G274" s="934" t="e">
        <v>#N/A</v>
      </c>
      <c r="H274" s="1983"/>
      <c r="I274" s="1983"/>
    </row>
    <row r="275" spans="1:9">
      <c r="A275" s="1340">
        <v>2028.02</v>
      </c>
      <c r="B275" s="1744" t="e">
        <v>#N/A</v>
      </c>
      <c r="C275" s="1745" t="e">
        <v>#N/A</v>
      </c>
      <c r="D275" s="1737"/>
      <c r="E275" s="1745" t="e">
        <v>#N/A</v>
      </c>
      <c r="F275" s="1746" t="e">
        <v>#N/A</v>
      </c>
      <c r="G275" s="934" t="e">
        <v>#N/A</v>
      </c>
      <c r="H275" s="1983"/>
      <c r="I275" s="1983"/>
    </row>
    <row r="276" spans="1:9">
      <c r="A276" s="1340">
        <v>2028.03</v>
      </c>
      <c r="B276" s="1744" t="e">
        <v>#N/A</v>
      </c>
      <c r="C276" s="1745" t="e">
        <v>#N/A</v>
      </c>
      <c r="D276" s="1737"/>
      <c r="E276" s="1745" t="e">
        <v>#N/A</v>
      </c>
      <c r="F276" s="1746" t="e">
        <v>#N/A</v>
      </c>
      <c r="G276" s="934" t="e">
        <v>#N/A</v>
      </c>
      <c r="H276" s="1983"/>
      <c r="I276" s="1983"/>
    </row>
    <row r="277" spans="1:9">
      <c r="A277" s="1340">
        <v>2028.04</v>
      </c>
      <c r="B277" s="1744" t="e">
        <v>#N/A</v>
      </c>
      <c r="C277" s="1745" t="e">
        <v>#N/A</v>
      </c>
      <c r="D277" s="1737"/>
      <c r="E277" s="1745" t="e">
        <v>#N/A</v>
      </c>
      <c r="F277" s="1746" t="e">
        <v>#N/A</v>
      </c>
      <c r="G277" s="934" t="e">
        <v>#N/A</v>
      </c>
      <c r="H277" s="1983"/>
      <c r="I277" s="1983"/>
    </row>
    <row r="278" spans="1:9">
      <c r="A278" s="1340">
        <v>2028.05</v>
      </c>
      <c r="B278" s="1744" t="e">
        <v>#N/A</v>
      </c>
      <c r="C278" s="1745" t="e">
        <v>#N/A</v>
      </c>
      <c r="D278" s="1737"/>
      <c r="E278" s="1745" t="e">
        <v>#N/A</v>
      </c>
      <c r="F278" s="1746" t="e">
        <v>#N/A</v>
      </c>
      <c r="G278" s="934" t="e">
        <v>#N/A</v>
      </c>
      <c r="H278" s="1983"/>
      <c r="I278" s="1983"/>
    </row>
    <row r="279" spans="1:9">
      <c r="A279" s="1340">
        <v>2028.06</v>
      </c>
      <c r="B279" s="1744" t="e">
        <v>#N/A</v>
      </c>
      <c r="C279" s="1745" t="e">
        <v>#N/A</v>
      </c>
      <c r="D279" s="1737"/>
      <c r="E279" s="1745" t="e">
        <v>#N/A</v>
      </c>
      <c r="F279" s="1746" t="e">
        <v>#N/A</v>
      </c>
      <c r="G279" s="934" t="e">
        <v>#N/A</v>
      </c>
      <c r="H279" s="1983"/>
      <c r="I279" s="1983"/>
    </row>
    <row r="280" spans="1:9">
      <c r="A280" s="1340">
        <v>2028.07</v>
      </c>
      <c r="B280" s="1744" t="e">
        <v>#N/A</v>
      </c>
      <c r="C280" s="1745" t="e">
        <v>#N/A</v>
      </c>
      <c r="D280" s="1737"/>
      <c r="E280" s="1745" t="e">
        <v>#N/A</v>
      </c>
      <c r="F280" s="1746" t="e">
        <v>#N/A</v>
      </c>
      <c r="G280" s="934" t="e">
        <v>#N/A</v>
      </c>
      <c r="H280" s="1983"/>
      <c r="I280" s="1983"/>
    </row>
    <row r="281" spans="1:9">
      <c r="A281" s="1340">
        <v>2028.08</v>
      </c>
      <c r="B281" s="1744" t="e">
        <v>#N/A</v>
      </c>
      <c r="C281" s="1745" t="e">
        <v>#N/A</v>
      </c>
      <c r="D281" s="1737"/>
      <c r="E281" s="1745" t="e">
        <v>#N/A</v>
      </c>
      <c r="F281" s="1746" t="e">
        <v>#N/A</v>
      </c>
      <c r="G281" s="934" t="e">
        <v>#N/A</v>
      </c>
      <c r="H281" s="1983"/>
      <c r="I281" s="1983"/>
    </row>
    <row r="282" spans="1:9">
      <c r="A282" s="1340">
        <v>2028.09</v>
      </c>
      <c r="B282" s="1744" t="e">
        <v>#N/A</v>
      </c>
      <c r="C282" s="1745" t="e">
        <v>#N/A</v>
      </c>
      <c r="D282" s="1737"/>
      <c r="E282" s="1745" t="e">
        <v>#N/A</v>
      </c>
      <c r="F282" s="1746" t="e">
        <v>#N/A</v>
      </c>
      <c r="G282" s="934" t="e">
        <v>#N/A</v>
      </c>
      <c r="H282" s="1983"/>
      <c r="I282" s="1983"/>
    </row>
    <row r="283" spans="1:9">
      <c r="A283" s="1340">
        <v>2028.1</v>
      </c>
      <c r="B283" s="1744" t="e">
        <v>#N/A</v>
      </c>
      <c r="C283" s="1745" t="e">
        <v>#N/A</v>
      </c>
      <c r="D283" s="1737"/>
      <c r="E283" s="1745" t="e">
        <v>#N/A</v>
      </c>
      <c r="F283" s="1746" t="e">
        <v>#N/A</v>
      </c>
      <c r="G283" s="934" t="e">
        <v>#N/A</v>
      </c>
      <c r="H283" s="1983"/>
      <c r="I283" s="1983"/>
    </row>
    <row r="284" spans="1:9">
      <c r="A284" s="1340">
        <v>2028.11</v>
      </c>
      <c r="B284" s="1744" t="e">
        <v>#N/A</v>
      </c>
      <c r="C284" s="1745" t="e">
        <v>#N/A</v>
      </c>
      <c r="D284" s="1737"/>
      <c r="E284" s="1745" t="e">
        <v>#N/A</v>
      </c>
      <c r="F284" s="1746" t="e">
        <v>#N/A</v>
      </c>
      <c r="G284" s="934" t="e">
        <v>#N/A</v>
      </c>
      <c r="H284" s="1983"/>
      <c r="I284" s="1983"/>
    </row>
    <row r="285" spans="1:9">
      <c r="A285" s="1340">
        <v>2028.12</v>
      </c>
      <c r="B285" s="1744" t="e">
        <v>#N/A</v>
      </c>
      <c r="C285" s="1745" t="e">
        <v>#N/A</v>
      </c>
      <c r="D285" s="1737"/>
      <c r="E285" s="1745" t="e">
        <v>#N/A</v>
      </c>
      <c r="F285" s="1746" t="e">
        <v>#N/A</v>
      </c>
      <c r="G285" s="934" t="e">
        <v>#N/A</v>
      </c>
      <c r="H285" s="1983"/>
      <c r="I285" s="1983"/>
    </row>
    <row r="286" spans="1:9">
      <c r="A286" s="1340">
        <v>2029.01</v>
      </c>
      <c r="B286" s="1744" t="e">
        <v>#N/A</v>
      </c>
      <c r="C286" s="1745" t="e">
        <v>#N/A</v>
      </c>
      <c r="D286" s="1737"/>
      <c r="E286" s="1745" t="e">
        <v>#N/A</v>
      </c>
      <c r="F286" s="1746" t="e">
        <v>#N/A</v>
      </c>
      <c r="G286" s="934" t="e">
        <v>#N/A</v>
      </c>
      <c r="H286" s="1983"/>
      <c r="I286" s="1983"/>
    </row>
    <row r="287" spans="1:9">
      <c r="A287" s="1340">
        <v>2029.02</v>
      </c>
      <c r="B287" s="1744" t="e">
        <v>#N/A</v>
      </c>
      <c r="C287" s="1745" t="e">
        <v>#N/A</v>
      </c>
      <c r="D287" s="1737"/>
      <c r="E287" s="1745" t="e">
        <v>#N/A</v>
      </c>
      <c r="F287" s="1746" t="e">
        <v>#N/A</v>
      </c>
      <c r="G287" s="934" t="e">
        <v>#N/A</v>
      </c>
      <c r="H287" s="1983"/>
      <c r="I287" s="1983"/>
    </row>
    <row r="288" spans="1:9">
      <c r="A288" s="1340">
        <v>2029.03</v>
      </c>
      <c r="B288" s="1744" t="e">
        <v>#N/A</v>
      </c>
      <c r="C288" s="1745" t="e">
        <v>#N/A</v>
      </c>
      <c r="D288" s="1737"/>
      <c r="E288" s="1745" t="e">
        <v>#N/A</v>
      </c>
      <c r="F288" s="1746" t="e">
        <v>#N/A</v>
      </c>
      <c r="G288" s="934" t="e">
        <v>#N/A</v>
      </c>
      <c r="H288" s="1983"/>
      <c r="I288" s="1983"/>
    </row>
    <row r="289" spans="1:9">
      <c r="A289" s="1340">
        <v>2029.04</v>
      </c>
      <c r="B289" s="1744" t="e">
        <v>#N/A</v>
      </c>
      <c r="C289" s="1745" t="e">
        <v>#N/A</v>
      </c>
      <c r="D289" s="1737"/>
      <c r="E289" s="1745" t="e">
        <v>#N/A</v>
      </c>
      <c r="F289" s="1746" t="e">
        <v>#N/A</v>
      </c>
      <c r="G289" s="934" t="e">
        <v>#N/A</v>
      </c>
      <c r="H289" s="1983"/>
      <c r="I289" s="1983"/>
    </row>
    <row r="290" spans="1:9">
      <c r="A290" s="1340">
        <v>2029.05</v>
      </c>
      <c r="B290" s="1744" t="e">
        <v>#N/A</v>
      </c>
      <c r="C290" s="1745" t="e">
        <v>#N/A</v>
      </c>
      <c r="D290" s="1737"/>
      <c r="E290" s="1745" t="e">
        <v>#N/A</v>
      </c>
      <c r="F290" s="1746" t="e">
        <v>#N/A</v>
      </c>
      <c r="G290" s="934" t="e">
        <v>#N/A</v>
      </c>
      <c r="H290" s="1983"/>
      <c r="I290" s="1983"/>
    </row>
    <row r="291" spans="1:9">
      <c r="A291" s="1340">
        <v>2029.06</v>
      </c>
      <c r="B291" s="1744" t="e">
        <v>#N/A</v>
      </c>
      <c r="C291" s="1745" t="e">
        <v>#N/A</v>
      </c>
      <c r="D291" s="1737"/>
      <c r="E291" s="1745" t="e">
        <v>#N/A</v>
      </c>
      <c r="F291" s="1746" t="e">
        <v>#N/A</v>
      </c>
      <c r="G291" s="934" t="e">
        <v>#N/A</v>
      </c>
      <c r="H291" s="1983"/>
      <c r="I291" s="1983"/>
    </row>
    <row r="292" spans="1:9">
      <c r="A292" s="1340">
        <v>2029.07</v>
      </c>
      <c r="B292" s="1744" t="e">
        <v>#N/A</v>
      </c>
      <c r="C292" s="1745" t="e">
        <v>#N/A</v>
      </c>
      <c r="D292" s="1737"/>
      <c r="E292" s="1745" t="e">
        <v>#N/A</v>
      </c>
      <c r="F292" s="1746" t="e">
        <v>#N/A</v>
      </c>
      <c r="G292" s="934" t="e">
        <v>#N/A</v>
      </c>
      <c r="H292" s="1983"/>
      <c r="I292" s="1983"/>
    </row>
    <row r="293" spans="1:9">
      <c r="A293" s="1340">
        <v>2029.08</v>
      </c>
      <c r="B293" s="1744" t="e">
        <v>#N/A</v>
      </c>
      <c r="C293" s="1745" t="e">
        <v>#N/A</v>
      </c>
      <c r="D293" s="1737"/>
      <c r="E293" s="1745" t="e">
        <v>#N/A</v>
      </c>
      <c r="F293" s="1746" t="e">
        <v>#N/A</v>
      </c>
      <c r="G293" s="934" t="e">
        <v>#N/A</v>
      </c>
      <c r="H293" s="1983"/>
      <c r="I293" s="1983"/>
    </row>
    <row r="294" spans="1:9">
      <c r="A294" s="1340">
        <v>2029.09</v>
      </c>
      <c r="B294" s="1744" t="e">
        <v>#N/A</v>
      </c>
      <c r="C294" s="1745" t="e">
        <v>#N/A</v>
      </c>
      <c r="D294" s="1737"/>
      <c r="E294" s="1745" t="e">
        <v>#N/A</v>
      </c>
      <c r="F294" s="1746" t="e">
        <v>#N/A</v>
      </c>
      <c r="G294" s="934" t="e">
        <v>#N/A</v>
      </c>
      <c r="H294" s="1983"/>
      <c r="I294" s="1983"/>
    </row>
    <row r="295" spans="1:9">
      <c r="A295" s="1340">
        <v>2029.1</v>
      </c>
      <c r="B295" s="1744" t="e">
        <v>#N/A</v>
      </c>
      <c r="C295" s="1745" t="e">
        <v>#N/A</v>
      </c>
      <c r="D295" s="1737"/>
      <c r="E295" s="1745" t="e">
        <v>#N/A</v>
      </c>
      <c r="F295" s="1746" t="e">
        <v>#N/A</v>
      </c>
      <c r="G295" s="934" t="e">
        <v>#N/A</v>
      </c>
      <c r="H295" s="1983"/>
      <c r="I295" s="1983"/>
    </row>
    <row r="296" spans="1:9">
      <c r="A296" s="1340">
        <v>2029.11</v>
      </c>
      <c r="B296" s="1744" t="e">
        <v>#N/A</v>
      </c>
      <c r="C296" s="1745" t="e">
        <v>#N/A</v>
      </c>
      <c r="D296" s="1737"/>
      <c r="E296" s="1745" t="e">
        <v>#N/A</v>
      </c>
      <c r="F296" s="1746" t="e">
        <v>#N/A</v>
      </c>
      <c r="G296" s="934" t="e">
        <v>#N/A</v>
      </c>
      <c r="H296" s="1983"/>
      <c r="I296" s="1983"/>
    </row>
    <row r="297" spans="1:9">
      <c r="A297" s="1340">
        <v>2029.12</v>
      </c>
      <c r="B297" s="1744" t="e">
        <v>#N/A</v>
      </c>
      <c r="C297" s="1745" t="e">
        <v>#N/A</v>
      </c>
      <c r="D297" s="1737"/>
      <c r="E297" s="1745" t="e">
        <v>#N/A</v>
      </c>
      <c r="F297" s="1746" t="e">
        <v>#N/A</v>
      </c>
      <c r="G297" s="934" t="e">
        <v>#N/A</v>
      </c>
      <c r="H297" s="1983"/>
      <c r="I297" s="1983"/>
    </row>
    <row r="298" spans="1:9">
      <c r="A298" s="1340">
        <v>2030.01</v>
      </c>
      <c r="B298" s="1744" t="e">
        <v>#N/A</v>
      </c>
      <c r="C298" s="1745" t="e">
        <v>#N/A</v>
      </c>
      <c r="D298" s="1737"/>
      <c r="E298" s="1745" t="e">
        <v>#N/A</v>
      </c>
      <c r="F298" s="1746" t="e">
        <v>#N/A</v>
      </c>
      <c r="G298" s="934" t="e">
        <v>#N/A</v>
      </c>
      <c r="H298" s="1983"/>
      <c r="I298" s="1983"/>
    </row>
    <row r="299" spans="1:9">
      <c r="A299" s="1340">
        <v>2030.02</v>
      </c>
      <c r="B299" s="1744" t="e">
        <v>#N/A</v>
      </c>
      <c r="C299" s="1745" t="e">
        <v>#N/A</v>
      </c>
      <c r="D299" s="1737"/>
      <c r="E299" s="1745" t="e">
        <v>#N/A</v>
      </c>
      <c r="F299" s="1746" t="e">
        <v>#N/A</v>
      </c>
      <c r="G299" s="934" t="e">
        <v>#N/A</v>
      </c>
      <c r="H299" s="1983"/>
      <c r="I299" s="1983"/>
    </row>
    <row r="300" spans="1:9">
      <c r="A300" s="1340">
        <v>2030.03</v>
      </c>
      <c r="B300" s="1744" t="e">
        <v>#N/A</v>
      </c>
      <c r="C300" s="1745" t="e">
        <v>#N/A</v>
      </c>
      <c r="D300" s="1737"/>
      <c r="E300" s="1745" t="e">
        <v>#N/A</v>
      </c>
      <c r="F300" s="1746" t="e">
        <v>#N/A</v>
      </c>
      <c r="G300" s="934" t="e">
        <v>#N/A</v>
      </c>
      <c r="H300" s="1983"/>
      <c r="I300" s="1983"/>
    </row>
    <row r="301" spans="1:9">
      <c r="A301" s="1340">
        <v>2030.04</v>
      </c>
      <c r="B301" s="1744" t="e">
        <v>#N/A</v>
      </c>
      <c r="C301" s="1745" t="e">
        <v>#N/A</v>
      </c>
      <c r="D301" s="1737"/>
      <c r="E301" s="1745" t="e">
        <v>#N/A</v>
      </c>
      <c r="F301" s="1746" t="e">
        <v>#N/A</v>
      </c>
      <c r="G301" s="934" t="e">
        <v>#N/A</v>
      </c>
      <c r="H301" s="1983"/>
      <c r="I301" s="1983"/>
    </row>
    <row r="302" spans="1:9">
      <c r="A302" s="1340">
        <v>2030.05</v>
      </c>
      <c r="B302" s="1744" t="e">
        <v>#N/A</v>
      </c>
      <c r="C302" s="1745" t="e">
        <v>#N/A</v>
      </c>
      <c r="D302" s="1737"/>
      <c r="E302" s="1745" t="e">
        <v>#N/A</v>
      </c>
      <c r="F302" s="1746" t="e">
        <v>#N/A</v>
      </c>
      <c r="G302" s="934" t="e">
        <v>#N/A</v>
      </c>
      <c r="H302" s="1983"/>
      <c r="I302" s="1983"/>
    </row>
    <row r="303" spans="1:9">
      <c r="A303" s="1340">
        <v>2030.06</v>
      </c>
      <c r="B303" s="1744" t="e">
        <v>#N/A</v>
      </c>
      <c r="C303" s="1745" t="e">
        <v>#N/A</v>
      </c>
      <c r="D303" s="1737"/>
      <c r="E303" s="1745" t="e">
        <v>#N/A</v>
      </c>
      <c r="F303" s="1746" t="e">
        <v>#N/A</v>
      </c>
      <c r="G303" s="934" t="e">
        <v>#N/A</v>
      </c>
      <c r="H303" s="1983"/>
      <c r="I303" s="1983"/>
    </row>
    <row r="304" spans="1:9">
      <c r="A304" s="1340">
        <v>2030.07</v>
      </c>
      <c r="B304" s="1744" t="e">
        <v>#N/A</v>
      </c>
      <c r="C304" s="1745" t="e">
        <v>#N/A</v>
      </c>
      <c r="D304" s="1737"/>
      <c r="E304" s="1745" t="e">
        <v>#N/A</v>
      </c>
      <c r="F304" s="1746" t="e">
        <v>#N/A</v>
      </c>
      <c r="G304" s="934" t="e">
        <v>#N/A</v>
      </c>
      <c r="H304" s="1983"/>
      <c r="I304" s="1983"/>
    </row>
    <row r="305" spans="1:9">
      <c r="A305" s="1340">
        <v>2030.08</v>
      </c>
      <c r="B305" s="1744" t="e">
        <v>#N/A</v>
      </c>
      <c r="C305" s="1745" t="e">
        <v>#N/A</v>
      </c>
      <c r="D305" s="1737"/>
      <c r="E305" s="1745" t="e">
        <v>#N/A</v>
      </c>
      <c r="F305" s="1746" t="e">
        <v>#N/A</v>
      </c>
      <c r="G305" s="934" t="e">
        <v>#N/A</v>
      </c>
      <c r="H305" s="1983"/>
      <c r="I305" s="1983"/>
    </row>
    <row r="306" spans="1:9">
      <c r="A306" s="1340">
        <v>2030.09</v>
      </c>
      <c r="B306" s="1744" t="e">
        <v>#N/A</v>
      </c>
      <c r="C306" s="1745" t="e">
        <v>#N/A</v>
      </c>
      <c r="D306" s="1737"/>
      <c r="E306" s="1745" t="e">
        <v>#N/A</v>
      </c>
      <c r="F306" s="1746" t="e">
        <v>#N/A</v>
      </c>
      <c r="G306" s="934" t="e">
        <v>#N/A</v>
      </c>
      <c r="H306" s="1983"/>
      <c r="I306" s="1983"/>
    </row>
    <row r="307" spans="1:9">
      <c r="A307" s="1340">
        <v>2030.1</v>
      </c>
      <c r="B307" s="1744" t="e">
        <v>#N/A</v>
      </c>
      <c r="C307" s="1745" t="e">
        <v>#N/A</v>
      </c>
      <c r="D307" s="1737"/>
      <c r="E307" s="1745" t="e">
        <v>#N/A</v>
      </c>
      <c r="F307" s="1746" t="e">
        <v>#N/A</v>
      </c>
      <c r="G307" s="934" t="e">
        <v>#N/A</v>
      </c>
      <c r="H307" s="1983"/>
      <c r="I307" s="1983"/>
    </row>
    <row r="308" spans="1:9">
      <c r="A308" s="1340">
        <v>2030.11</v>
      </c>
      <c r="B308" s="1744" t="e">
        <v>#N/A</v>
      </c>
      <c r="C308" s="1745" t="e">
        <v>#N/A</v>
      </c>
      <c r="D308" s="1737"/>
      <c r="E308" s="1745" t="e">
        <v>#N/A</v>
      </c>
      <c r="F308" s="1746" t="e">
        <v>#N/A</v>
      </c>
      <c r="G308" s="934" t="e">
        <v>#N/A</v>
      </c>
      <c r="H308" s="1983"/>
      <c r="I308" s="1983"/>
    </row>
    <row r="309" spans="1:9">
      <c r="A309" s="1340">
        <v>2030.12</v>
      </c>
      <c r="B309" s="1744" t="e">
        <v>#N/A</v>
      </c>
      <c r="C309" s="1745" t="e">
        <v>#N/A</v>
      </c>
      <c r="D309" s="1737"/>
      <c r="E309" s="1745" t="e">
        <v>#N/A</v>
      </c>
      <c r="F309" s="1746" t="e">
        <v>#N/A</v>
      </c>
      <c r="G309" s="934" t="e">
        <v>#N/A</v>
      </c>
      <c r="H309" s="1983"/>
      <c r="I309" s="1983"/>
    </row>
  </sheetData>
  <sortState xmlns:xlrd2="http://schemas.microsoft.com/office/spreadsheetml/2017/richdata2" ref="H224:H234">
    <sortCondition ref="H224:H234"/>
  </sortState>
  <phoneticPr fontId="68" type="noConversion"/>
  <hyperlinks>
    <hyperlink ref="A1:A3" location="Indice!A1" display="ÍNDICE" xr:uid="{00000000-0004-0000-3B00-000000000000}"/>
    <hyperlink ref="A5" location="INDICE!A13" display="VOLVER AL INDICE" xr:uid="{00000000-0004-0000-3B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D44B-1B5F-46E1-B20E-BD6BE1C27D72}">
  <sheetPr codeName="Hoja69">
    <pageSetUpPr autoPageBreaks="0"/>
  </sheetPr>
  <dimension ref="A1:M465"/>
  <sheetViews>
    <sheetView zoomScale="130" zoomScaleNormal="130" workbookViewId="0">
      <pane xSplit="1" ySplit="9" topLeftCell="B388" activePane="bottomRight" state="frozen"/>
      <selection pane="topRight" activeCell="A5" sqref="A5"/>
      <selection pane="bottomLeft" activeCell="A5" sqref="A5"/>
      <selection pane="bottomRight" activeCell="A5" sqref="A5"/>
    </sheetView>
  </sheetViews>
  <sheetFormatPr baseColWidth="10" defaultColWidth="19.5703125" defaultRowHeight="11.25"/>
  <cols>
    <col min="1" max="1" width="12.28515625" style="346" customWidth="1"/>
    <col min="2" max="13" width="12.7109375" style="346" customWidth="1"/>
    <col min="14" max="14" width="9.28515625" style="346" customWidth="1"/>
    <col min="15" max="16384" width="19.5703125" style="346"/>
  </cols>
  <sheetData>
    <row r="1" spans="1:13" ht="3" customHeight="1">
      <c r="A1" s="34"/>
      <c r="B1" s="3419" t="s">
        <v>5</v>
      </c>
      <c r="C1" s="3420"/>
      <c r="D1" s="3420"/>
      <c r="E1" s="3420"/>
      <c r="F1" s="3420"/>
      <c r="G1" s="3420"/>
      <c r="H1" s="3420"/>
      <c r="I1" s="3421"/>
      <c r="J1" s="3420"/>
      <c r="K1" s="3420"/>
      <c r="L1" s="3420"/>
      <c r="M1" s="3422"/>
    </row>
    <row r="2" spans="1:13">
      <c r="A2" s="94" t="s">
        <v>105</v>
      </c>
      <c r="B2" s="3423" t="s">
        <v>1691</v>
      </c>
      <c r="C2" s="3424"/>
      <c r="D2" s="3424"/>
      <c r="E2" s="3424"/>
      <c r="F2" s="1328" t="s">
        <v>1713</v>
      </c>
      <c r="G2" s="3424"/>
      <c r="H2" s="2450"/>
      <c r="I2" s="3425"/>
      <c r="J2" s="1328"/>
      <c r="K2" s="3424"/>
      <c r="L2" s="2450"/>
      <c r="M2" s="3426"/>
    </row>
    <row r="3" spans="1:13">
      <c r="A3" s="94" t="s">
        <v>212</v>
      </c>
      <c r="B3" s="3424" t="s">
        <v>113</v>
      </c>
      <c r="C3" s="3424"/>
      <c r="D3" s="3424"/>
      <c r="E3" s="3424"/>
      <c r="F3" s="1328" t="s">
        <v>1692</v>
      </c>
      <c r="G3" s="3424"/>
      <c r="H3" s="2450"/>
      <c r="I3" s="3425"/>
      <c r="J3" s="1328"/>
      <c r="K3" s="3424"/>
      <c r="L3" s="2450"/>
      <c r="M3" s="3426"/>
    </row>
    <row r="4" spans="1:13" hidden="1">
      <c r="A4" s="95"/>
      <c r="B4" s="3427"/>
      <c r="C4" s="667"/>
      <c r="D4" s="326"/>
      <c r="E4" s="3428"/>
      <c r="F4" s="2392"/>
      <c r="G4" s="983"/>
      <c r="H4" s="318"/>
      <c r="I4" s="3429"/>
      <c r="J4" s="2392"/>
      <c r="K4" s="983"/>
      <c r="L4" s="318"/>
      <c r="M4" s="2257"/>
    </row>
    <row r="5" spans="1:13" ht="22.5">
      <c r="A5" s="2390" t="s">
        <v>137</v>
      </c>
      <c r="B5" s="3427" t="s">
        <v>1693</v>
      </c>
      <c r="C5" s="667" t="s">
        <v>1694</v>
      </c>
      <c r="D5" s="326" t="s">
        <v>1695</v>
      </c>
      <c r="E5" s="3428" t="s">
        <v>1696</v>
      </c>
      <c r="F5" s="2392" t="s">
        <v>338</v>
      </c>
      <c r="G5" s="983" t="s">
        <v>1694</v>
      </c>
      <c r="H5" s="318" t="s">
        <v>1695</v>
      </c>
      <c r="I5" s="3429" t="s">
        <v>1696</v>
      </c>
      <c r="J5" s="2392" t="s">
        <v>338</v>
      </c>
      <c r="K5" s="983" t="s">
        <v>1694</v>
      </c>
      <c r="L5" s="318" t="s">
        <v>1695</v>
      </c>
      <c r="M5" s="2257" t="s">
        <v>1696</v>
      </c>
    </row>
    <row r="6" spans="1:13" ht="11.45" customHeight="1">
      <c r="A6" s="100"/>
      <c r="B6" s="3430" t="s">
        <v>1697</v>
      </c>
      <c r="C6" s="3431"/>
      <c r="D6" s="3432"/>
      <c r="E6" s="3433"/>
      <c r="F6" s="3430" t="s">
        <v>1698</v>
      </c>
      <c r="G6" s="3431"/>
      <c r="H6" s="3432"/>
      <c r="I6" s="3433"/>
      <c r="J6" s="3430" t="s">
        <v>1699</v>
      </c>
      <c r="K6" s="3431"/>
      <c r="L6" s="3432"/>
      <c r="M6" s="3434"/>
    </row>
    <row r="7" spans="1:13" ht="33.75">
      <c r="A7" s="1900" t="s">
        <v>123</v>
      </c>
      <c r="B7" s="3427" t="s">
        <v>1700</v>
      </c>
      <c r="C7" s="3435" t="s">
        <v>1700</v>
      </c>
      <c r="D7" s="3436" t="s">
        <v>1700</v>
      </c>
      <c r="E7" s="3437" t="s">
        <v>1700</v>
      </c>
      <c r="F7" s="3427" t="s">
        <v>1714</v>
      </c>
      <c r="G7" s="3438" t="s">
        <v>1714</v>
      </c>
      <c r="H7" s="3438" t="s">
        <v>1714</v>
      </c>
      <c r="I7" s="3437" t="s">
        <v>1714</v>
      </c>
      <c r="J7" s="3427" t="s">
        <v>1714</v>
      </c>
      <c r="K7" s="3438" t="s">
        <v>1714</v>
      </c>
      <c r="L7" s="3438" t="s">
        <v>1714</v>
      </c>
      <c r="M7" s="3439" t="s">
        <v>1714</v>
      </c>
    </row>
    <row r="8" spans="1:13" ht="14.25" customHeight="1">
      <c r="A8" s="105" t="s">
        <v>141</v>
      </c>
      <c r="B8" s="907" t="s">
        <v>1701</v>
      </c>
      <c r="C8" s="1327" t="s">
        <v>1702</v>
      </c>
      <c r="D8" s="323" t="s">
        <v>1703</v>
      </c>
      <c r="E8" s="3440" t="s">
        <v>1704</v>
      </c>
      <c r="F8" s="2424" t="s">
        <v>1705</v>
      </c>
      <c r="G8" s="972" t="s">
        <v>1706</v>
      </c>
      <c r="H8" s="323" t="s">
        <v>1707</v>
      </c>
      <c r="I8" s="3440" t="s">
        <v>1708</v>
      </c>
      <c r="J8" s="2424" t="s">
        <v>1709</v>
      </c>
      <c r="K8" s="972" t="s">
        <v>1710</v>
      </c>
      <c r="L8" s="323" t="s">
        <v>1711</v>
      </c>
      <c r="M8" s="634" t="s">
        <v>1712</v>
      </c>
    </row>
    <row r="9" spans="1:13" ht="12" hidden="1" thickBot="1">
      <c r="A9" s="93" t="s">
        <v>517</v>
      </c>
      <c r="B9" s="3441"/>
      <c r="C9" s="3442"/>
      <c r="D9" s="3443"/>
      <c r="E9" s="1326"/>
      <c r="F9" s="3444"/>
      <c r="G9" s="3442"/>
      <c r="H9" s="3443"/>
      <c r="I9" s="3445"/>
      <c r="J9" s="3444"/>
      <c r="K9" s="3442"/>
      <c r="L9" s="3443"/>
      <c r="M9" s="3446"/>
    </row>
    <row r="10" spans="1:13" ht="12.75" customHeight="1">
      <c r="A10" s="3447">
        <v>1993.01</v>
      </c>
      <c r="B10" s="3484">
        <v>0.82253544361622444</v>
      </c>
      <c r="C10" s="3484">
        <v>0.88089424259795102</v>
      </c>
      <c r="D10" s="3485">
        <v>0.73166593362071208</v>
      </c>
      <c r="E10" s="3486">
        <v>0.73137214606143952</v>
      </c>
      <c r="F10" s="3448"/>
      <c r="G10" s="3449"/>
      <c r="H10" s="3450"/>
      <c r="I10" s="3451"/>
      <c r="J10" s="3448"/>
      <c r="K10" s="3449"/>
      <c r="L10" s="3450"/>
      <c r="M10" s="3452"/>
    </row>
    <row r="11" spans="1:13" ht="12.75" customHeight="1">
      <c r="A11" s="3447">
        <v>1993.02</v>
      </c>
      <c r="B11" s="3487">
        <v>0.82319764244371751</v>
      </c>
      <c r="C11" s="3487">
        <v>0.88211020403479101</v>
      </c>
      <c r="D11" s="3488">
        <v>0.73148372983586785</v>
      </c>
      <c r="E11" s="3489">
        <v>0.73151642174917897</v>
      </c>
      <c r="F11" s="3448"/>
      <c r="G11" s="3449"/>
      <c r="H11" s="3450"/>
      <c r="I11" s="3451"/>
      <c r="J11" s="3448"/>
      <c r="K11" s="3449"/>
      <c r="L11" s="3450"/>
      <c r="M11" s="3452"/>
    </row>
    <row r="12" spans="1:13" ht="12.75" customHeight="1">
      <c r="A12" s="3447">
        <v>1993.03</v>
      </c>
      <c r="B12" s="3487">
        <v>0.83609579108435328</v>
      </c>
      <c r="C12" s="3487">
        <v>0.88584501001114313</v>
      </c>
      <c r="D12" s="3488">
        <v>0.75995062955901871</v>
      </c>
      <c r="E12" s="3489">
        <v>0.74556876667781258</v>
      </c>
      <c r="F12" s="3448"/>
      <c r="G12" s="3449"/>
      <c r="H12" s="3450"/>
      <c r="I12" s="3451"/>
      <c r="J12" s="3448"/>
      <c r="K12" s="3449"/>
      <c r="L12" s="3450"/>
      <c r="M12" s="3452"/>
    </row>
    <row r="13" spans="1:13" ht="12.75" customHeight="1">
      <c r="A13" s="3447">
        <v>1993.04</v>
      </c>
      <c r="B13" s="3487">
        <v>0.8474076926538473</v>
      </c>
      <c r="C13" s="3487">
        <v>0.88949356032003601</v>
      </c>
      <c r="D13" s="3488">
        <v>0.78520290732483811</v>
      </c>
      <c r="E13" s="3489">
        <v>0.75433825251219444</v>
      </c>
      <c r="F13" s="3448"/>
      <c r="G13" s="3449"/>
      <c r="H13" s="3450"/>
      <c r="I13" s="3451"/>
      <c r="J13" s="3448"/>
      <c r="K13" s="3449"/>
      <c r="L13" s="3450"/>
      <c r="M13" s="3452"/>
    </row>
    <row r="14" spans="1:13" ht="12.75" customHeight="1">
      <c r="A14" s="3447">
        <v>1993.05</v>
      </c>
      <c r="B14" s="3487">
        <v>0.85346052066081401</v>
      </c>
      <c r="C14" s="3487">
        <v>0.89370774321805657</v>
      </c>
      <c r="D14" s="3488">
        <v>0.794447463433265</v>
      </c>
      <c r="E14" s="3489">
        <v>0.76016526784757188</v>
      </c>
      <c r="F14" s="3448"/>
      <c r="G14" s="3449"/>
      <c r="H14" s="3450"/>
      <c r="I14" s="3451"/>
      <c r="J14" s="3448"/>
      <c r="K14" s="3449"/>
      <c r="L14" s="3450"/>
      <c r="M14" s="3452"/>
    </row>
    <row r="15" spans="1:13" ht="12.75" customHeight="1">
      <c r="A15" s="3447">
        <v>1993.06</v>
      </c>
      <c r="B15" s="3487">
        <v>0.85896559094767655</v>
      </c>
      <c r="C15" s="3487">
        <v>0.89500162716774856</v>
      </c>
      <c r="D15" s="3488">
        <v>0.80757209139168185</v>
      </c>
      <c r="E15" s="3489">
        <v>0.76446942094622672</v>
      </c>
      <c r="F15" s="3448"/>
      <c r="G15" s="3449"/>
      <c r="H15" s="3450"/>
      <c r="I15" s="3451"/>
      <c r="J15" s="3448"/>
      <c r="K15" s="3449"/>
      <c r="L15" s="3450"/>
      <c r="M15" s="3452"/>
    </row>
    <row r="16" spans="1:13" ht="12.75" customHeight="1">
      <c r="A16" s="3447">
        <v>1993.07</v>
      </c>
      <c r="B16" s="3487">
        <v>0.85543349387126821</v>
      </c>
      <c r="C16" s="3487">
        <v>0.89694501150671258</v>
      </c>
      <c r="D16" s="3488">
        <v>0.79441880088711614</v>
      </c>
      <c r="E16" s="3489">
        <v>0.76120782125158359</v>
      </c>
      <c r="F16" s="3448"/>
      <c r="G16" s="3449"/>
      <c r="H16" s="3450"/>
      <c r="I16" s="3451"/>
      <c r="J16" s="3448"/>
      <c r="K16" s="3449"/>
      <c r="L16" s="3450"/>
      <c r="M16" s="3452"/>
    </row>
    <row r="17" spans="1:13" ht="12.75" customHeight="1">
      <c r="A17" s="3447">
        <v>1993.08</v>
      </c>
      <c r="B17" s="3487">
        <v>0.88143797284643532</v>
      </c>
      <c r="C17" s="3487">
        <v>0.89857423673687431</v>
      </c>
      <c r="D17" s="3488">
        <v>0.86472584601617297</v>
      </c>
      <c r="E17" s="3489">
        <v>0.77984953293104531</v>
      </c>
      <c r="F17" s="3448"/>
      <c r="G17" s="3449"/>
      <c r="H17" s="3450"/>
      <c r="I17" s="3451"/>
      <c r="J17" s="3448"/>
      <c r="K17" s="3449"/>
      <c r="L17" s="3450"/>
      <c r="M17" s="3452"/>
    </row>
    <row r="18" spans="1:13" ht="12.75" customHeight="1">
      <c r="A18" s="3447">
        <v>1993.09</v>
      </c>
      <c r="B18" s="3487">
        <v>0.90021802303982301</v>
      </c>
      <c r="C18" s="3487">
        <v>0.90010666392778971</v>
      </c>
      <c r="D18" s="3488">
        <v>0.91458783043146785</v>
      </c>
      <c r="E18" s="3489">
        <v>0.79440296673304989</v>
      </c>
      <c r="F18" s="3448"/>
      <c r="G18" s="3449"/>
      <c r="H18" s="3450"/>
      <c r="I18" s="3451"/>
      <c r="J18" s="3448"/>
      <c r="K18" s="3449"/>
      <c r="L18" s="3450"/>
      <c r="M18" s="3452"/>
    </row>
    <row r="19" spans="1:13" ht="12.75" customHeight="1">
      <c r="A19" s="3447">
        <v>1993.1</v>
      </c>
      <c r="B19" s="3487">
        <v>0.91327333253579523</v>
      </c>
      <c r="C19" s="3487">
        <v>0.9015479622405741</v>
      </c>
      <c r="D19" s="3488">
        <v>0.9486124160091467</v>
      </c>
      <c r="E19" s="3489">
        <v>0.80443852560087281</v>
      </c>
      <c r="F19" s="3448"/>
      <c r="G19" s="3449"/>
      <c r="H19" s="3450"/>
      <c r="I19" s="3451"/>
      <c r="J19" s="3448"/>
      <c r="K19" s="3449"/>
      <c r="L19" s="3450"/>
      <c r="M19" s="3452"/>
    </row>
    <row r="20" spans="1:13" ht="12.75" customHeight="1">
      <c r="A20" s="3447">
        <v>1993.11</v>
      </c>
      <c r="B20" s="3487">
        <v>0.91619726846313343</v>
      </c>
      <c r="C20" s="3487">
        <v>0.90170044473445377</v>
      </c>
      <c r="D20" s="3488">
        <v>0.95663052262446602</v>
      </c>
      <c r="E20" s="3489">
        <v>0.80631184859742933</v>
      </c>
      <c r="F20" s="3448"/>
      <c r="G20" s="3449"/>
      <c r="H20" s="3450"/>
      <c r="I20" s="3451"/>
      <c r="J20" s="3448"/>
      <c r="K20" s="3449"/>
      <c r="L20" s="3450"/>
      <c r="M20" s="3452"/>
    </row>
    <row r="21" spans="1:13" ht="12.75" customHeight="1">
      <c r="A21" s="3447">
        <v>1993.12</v>
      </c>
      <c r="B21" s="3487">
        <v>0.93219766980189744</v>
      </c>
      <c r="C21" s="3487">
        <v>0.90234130331896401</v>
      </c>
      <c r="D21" s="3488">
        <v>1.0002246110433621</v>
      </c>
      <c r="E21" s="3489">
        <v>0.81891433046443407</v>
      </c>
      <c r="F21" s="3448"/>
      <c r="G21" s="3449"/>
      <c r="H21" s="3450"/>
      <c r="I21" s="3451"/>
      <c r="J21" s="3448"/>
      <c r="K21" s="3449"/>
      <c r="L21" s="3450"/>
      <c r="M21" s="3452"/>
    </row>
    <row r="22" spans="1:13" ht="12.75" customHeight="1">
      <c r="A22" s="3447">
        <f>A10+1</f>
        <v>1994.01</v>
      </c>
      <c r="B22" s="3487">
        <v>0.91852277687550876</v>
      </c>
      <c r="C22" s="3487">
        <v>0.90302108255687064</v>
      </c>
      <c r="D22" s="3488">
        <v>0.9607936585283714</v>
      </c>
      <c r="E22" s="3489">
        <v>0.80821854878383192</v>
      </c>
      <c r="F22" s="3448"/>
      <c r="G22" s="3449"/>
      <c r="H22" s="3450"/>
      <c r="I22" s="3451"/>
      <c r="J22" s="3448"/>
      <c r="K22" s="3449"/>
      <c r="L22" s="3450"/>
      <c r="M22" s="3452"/>
    </row>
    <row r="23" spans="1:13" ht="12.75" customHeight="1">
      <c r="A23" s="3447">
        <f t="shared" ref="A23:A86" si="0">A11+1</f>
        <v>1994.02</v>
      </c>
      <c r="B23" s="3487">
        <v>0.90301316408633503</v>
      </c>
      <c r="C23" s="3487">
        <v>0.90552676946113353</v>
      </c>
      <c r="D23" s="3488">
        <v>0.91310783417276098</v>
      </c>
      <c r="E23" s="3489">
        <v>0.79579264314478504</v>
      </c>
      <c r="F23" s="3448"/>
      <c r="G23" s="3449"/>
      <c r="H23" s="3450"/>
      <c r="I23" s="3451"/>
      <c r="J23" s="3448"/>
      <c r="K23" s="3449"/>
      <c r="L23" s="3450"/>
      <c r="M23" s="3452"/>
    </row>
    <row r="24" spans="1:13" ht="12.75" customHeight="1">
      <c r="A24" s="3447">
        <f t="shared" si="0"/>
        <v>1994.03</v>
      </c>
      <c r="B24" s="3487">
        <v>0.90137692078798404</v>
      </c>
      <c r="C24" s="3487">
        <v>0.90611241466926762</v>
      </c>
      <c r="D24" s="3488">
        <v>0.90754419358908978</v>
      </c>
      <c r="E24" s="3489">
        <v>0.79436571345187679</v>
      </c>
      <c r="F24" s="3448"/>
      <c r="G24" s="3449"/>
      <c r="H24" s="3450"/>
      <c r="I24" s="3451"/>
      <c r="J24" s="3448"/>
      <c r="K24" s="3449"/>
      <c r="L24" s="3450"/>
      <c r="M24" s="3452"/>
    </row>
    <row r="25" spans="1:13" ht="12.75" customHeight="1">
      <c r="A25" s="3447">
        <f t="shared" si="0"/>
        <v>1994.04</v>
      </c>
      <c r="B25" s="3487">
        <v>0.90762702049051602</v>
      </c>
      <c r="C25" s="3487">
        <v>0.90676256483487916</v>
      </c>
      <c r="D25" s="3488">
        <v>0.92387991054970131</v>
      </c>
      <c r="E25" s="3489">
        <v>0.79925752082502388</v>
      </c>
      <c r="F25" s="3448"/>
      <c r="G25" s="3449"/>
      <c r="H25" s="3450"/>
      <c r="I25" s="3451"/>
      <c r="J25" s="3448"/>
      <c r="K25" s="3449"/>
      <c r="L25" s="3450"/>
      <c r="M25" s="3452"/>
    </row>
    <row r="26" spans="1:13" ht="12.75" customHeight="1">
      <c r="A26" s="3447">
        <f t="shared" si="0"/>
        <v>1994.05</v>
      </c>
      <c r="B26" s="3487">
        <v>0.91056113591477261</v>
      </c>
      <c r="C26" s="3487">
        <v>0.9065963074054415</v>
      </c>
      <c r="D26" s="3488">
        <v>0.93226949067217091</v>
      </c>
      <c r="E26" s="3489">
        <v>0.80195526097392422</v>
      </c>
      <c r="F26" s="3448"/>
      <c r="G26" s="3449"/>
      <c r="H26" s="3450"/>
      <c r="I26" s="3451"/>
      <c r="J26" s="3448"/>
      <c r="K26" s="3449"/>
      <c r="L26" s="3450"/>
      <c r="M26" s="3452"/>
    </row>
    <row r="27" spans="1:13" ht="12.75" customHeight="1">
      <c r="A27" s="3447">
        <f t="shared" si="0"/>
        <v>1994.06</v>
      </c>
      <c r="B27" s="3487">
        <v>0.91570723887428318</v>
      </c>
      <c r="C27" s="3487">
        <v>0.90662189172550522</v>
      </c>
      <c r="D27" s="3488">
        <v>0.94662489883456369</v>
      </c>
      <c r="E27" s="3489">
        <v>0.80594093086095608</v>
      </c>
      <c r="F27" s="3448"/>
      <c r="G27" s="3449"/>
      <c r="H27" s="3450"/>
      <c r="I27" s="3451"/>
      <c r="J27" s="3448"/>
      <c r="K27" s="3449"/>
      <c r="L27" s="3450"/>
      <c r="M27" s="3452"/>
    </row>
    <row r="28" spans="1:13" ht="12.75" customHeight="1">
      <c r="A28" s="3447">
        <f t="shared" si="0"/>
        <v>1994.07</v>
      </c>
      <c r="B28" s="3487">
        <v>0.90869120998968922</v>
      </c>
      <c r="C28" s="3487">
        <v>0.90637951489018265</v>
      </c>
      <c r="D28" s="3488">
        <v>0.92706467331369302</v>
      </c>
      <c r="E28" s="3489">
        <v>0.80183897906946455</v>
      </c>
      <c r="F28" s="3448"/>
      <c r="G28" s="3449"/>
      <c r="H28" s="3450"/>
      <c r="I28" s="3451"/>
      <c r="J28" s="3448"/>
      <c r="K28" s="3449"/>
      <c r="L28" s="3450"/>
      <c r="M28" s="3452"/>
    </row>
    <row r="29" spans="1:13" ht="12.75" customHeight="1">
      <c r="A29" s="3447">
        <f t="shared" si="0"/>
        <v>1994.08</v>
      </c>
      <c r="B29" s="3487">
        <v>0.91211568705850499</v>
      </c>
      <c r="C29" s="3487">
        <v>0.90692583335069066</v>
      </c>
      <c r="D29" s="3488">
        <v>0.93574612141868752</v>
      </c>
      <c r="E29" s="3489">
        <v>0.8042758386053529</v>
      </c>
      <c r="F29" s="3448"/>
      <c r="G29" s="3449"/>
      <c r="H29" s="3450"/>
      <c r="I29" s="3451"/>
      <c r="J29" s="3448"/>
      <c r="K29" s="3449"/>
      <c r="L29" s="3450"/>
      <c r="M29" s="3452"/>
    </row>
    <row r="30" spans="1:13" ht="12.75" customHeight="1">
      <c r="A30" s="3447">
        <f t="shared" si="0"/>
        <v>1994.09</v>
      </c>
      <c r="B30" s="3487">
        <v>0.9121112851224652</v>
      </c>
      <c r="C30" s="3487">
        <v>0.90941519502397739</v>
      </c>
      <c r="D30" s="3488">
        <v>0.93149671295774839</v>
      </c>
      <c r="E30" s="3489">
        <v>0.80378422456268184</v>
      </c>
      <c r="F30" s="3448"/>
      <c r="G30" s="3449"/>
      <c r="H30" s="3450"/>
      <c r="I30" s="3451"/>
      <c r="J30" s="3448"/>
      <c r="K30" s="3449"/>
      <c r="L30" s="3450"/>
      <c r="M30" s="3452"/>
    </row>
    <row r="31" spans="1:13" ht="12.75" customHeight="1">
      <c r="A31" s="3447">
        <f t="shared" si="0"/>
        <v>1994.1</v>
      </c>
      <c r="B31" s="3487">
        <v>0.91562065144328264</v>
      </c>
      <c r="C31" s="3487">
        <v>0.90950288018020553</v>
      </c>
      <c r="D31" s="3488">
        <v>0.9411541693607105</v>
      </c>
      <c r="E31" s="3489">
        <v>0.80653612192768598</v>
      </c>
      <c r="F31" s="3448"/>
      <c r="G31" s="3449"/>
      <c r="H31" s="3450"/>
      <c r="I31" s="3451"/>
      <c r="J31" s="3448"/>
      <c r="K31" s="3449"/>
      <c r="L31" s="3450"/>
      <c r="M31" s="3452"/>
    </row>
    <row r="32" spans="1:13" ht="12.75" customHeight="1">
      <c r="A32" s="3447">
        <f t="shared" si="0"/>
        <v>1994.11</v>
      </c>
      <c r="B32" s="3487">
        <v>0.91594269555645125</v>
      </c>
      <c r="C32" s="3487">
        <v>0.90739744562410196</v>
      </c>
      <c r="D32" s="3488">
        <v>0.94560039781174954</v>
      </c>
      <c r="E32" s="3489">
        <v>0.80734417348431597</v>
      </c>
      <c r="F32" s="3448"/>
      <c r="G32" s="3449"/>
      <c r="H32" s="3450"/>
      <c r="I32" s="3451"/>
      <c r="J32" s="3448"/>
      <c r="K32" s="3449"/>
      <c r="L32" s="3450"/>
      <c r="M32" s="3452"/>
    </row>
    <row r="33" spans="1:13" ht="12.75" customHeight="1">
      <c r="A33" s="3447">
        <f t="shared" si="0"/>
        <v>1994.12</v>
      </c>
      <c r="B33" s="3487">
        <v>0.91883891061760015</v>
      </c>
      <c r="C33" s="3487">
        <v>0.908785528555629</v>
      </c>
      <c r="D33" s="3488">
        <v>0.95135735392360166</v>
      </c>
      <c r="E33" s="3489">
        <v>0.8092578721237399</v>
      </c>
      <c r="F33" s="3448"/>
      <c r="G33" s="3449"/>
      <c r="H33" s="3450"/>
      <c r="I33" s="3451"/>
      <c r="J33" s="3448"/>
      <c r="K33" s="3449"/>
      <c r="L33" s="3450"/>
      <c r="M33" s="3452"/>
    </row>
    <row r="34" spans="1:13" ht="12.75" customHeight="1">
      <c r="A34" s="3447">
        <f t="shared" si="0"/>
        <v>1995.01</v>
      </c>
      <c r="B34" s="3487">
        <v>0.92228027446092331</v>
      </c>
      <c r="C34" s="3487">
        <v>0.91077941552036557</v>
      </c>
      <c r="D34" s="3488">
        <v>0.9575780678424054</v>
      </c>
      <c r="E34" s="3489">
        <v>0.8115906162963531</v>
      </c>
      <c r="F34" s="3448"/>
      <c r="G34" s="3449"/>
      <c r="H34" s="3450"/>
      <c r="I34" s="3451"/>
      <c r="J34" s="3448"/>
      <c r="K34" s="3449"/>
      <c r="L34" s="3450"/>
      <c r="M34" s="3452"/>
    </row>
    <row r="35" spans="1:13" ht="12.75" customHeight="1">
      <c r="A35" s="3447">
        <f t="shared" si="0"/>
        <v>1995.02</v>
      </c>
      <c r="B35" s="3487">
        <v>0.92334880899258531</v>
      </c>
      <c r="C35" s="3487">
        <v>0.911330331033404</v>
      </c>
      <c r="D35" s="3488">
        <v>0.95951347387094466</v>
      </c>
      <c r="E35" s="3489">
        <v>0.81275214330090673</v>
      </c>
      <c r="F35" s="3448"/>
      <c r="G35" s="3449"/>
      <c r="H35" s="3450"/>
      <c r="I35" s="3451"/>
      <c r="J35" s="3448"/>
      <c r="K35" s="3449"/>
      <c r="L35" s="3450"/>
      <c r="M35" s="3452"/>
    </row>
    <row r="36" spans="1:13" ht="12.75" customHeight="1">
      <c r="A36" s="3447">
        <f t="shared" si="0"/>
        <v>1995.03</v>
      </c>
      <c r="B36" s="3487">
        <v>0.95086273813044608</v>
      </c>
      <c r="C36" s="3487">
        <v>0.91294305236647144</v>
      </c>
      <c r="D36" s="3488">
        <v>1.0335881914529053</v>
      </c>
      <c r="E36" s="3489">
        <v>0.83439629678205818</v>
      </c>
      <c r="F36" s="3448"/>
      <c r="G36" s="3449"/>
      <c r="H36" s="3450"/>
      <c r="I36" s="3451"/>
      <c r="J36" s="3448"/>
      <c r="K36" s="3449"/>
      <c r="L36" s="3450"/>
      <c r="M36" s="3452"/>
    </row>
    <row r="37" spans="1:13" ht="12.75" customHeight="1">
      <c r="A37" s="3447">
        <f t="shared" si="0"/>
        <v>1995.04</v>
      </c>
      <c r="B37" s="3487">
        <v>0.96724474267261951</v>
      </c>
      <c r="C37" s="3487">
        <v>0.93529904654143758</v>
      </c>
      <c r="D37" s="3488">
        <v>1.0399749829194893</v>
      </c>
      <c r="E37" s="3489">
        <v>0.84800214074784208</v>
      </c>
      <c r="F37" s="3448"/>
      <c r="G37" s="3449"/>
      <c r="H37" s="3450"/>
      <c r="I37" s="3451"/>
      <c r="J37" s="3448"/>
      <c r="K37" s="3449"/>
      <c r="L37" s="3450"/>
      <c r="M37" s="3452"/>
    </row>
    <row r="38" spans="1:13" ht="12.75" customHeight="1">
      <c r="A38" s="3447">
        <f t="shared" si="0"/>
        <v>1995.05</v>
      </c>
      <c r="B38" s="3487">
        <v>0.96272943673823641</v>
      </c>
      <c r="C38" s="3487">
        <v>0.93657282039608347</v>
      </c>
      <c r="D38" s="3488">
        <v>1.0252349666104688</v>
      </c>
      <c r="E38" s="3489">
        <v>0.84401647086081011</v>
      </c>
      <c r="F38" s="3448"/>
      <c r="G38" s="3449"/>
      <c r="H38" s="3450"/>
      <c r="I38" s="3451"/>
      <c r="J38" s="3448"/>
      <c r="K38" s="3449"/>
      <c r="L38" s="3450"/>
      <c r="M38" s="3452"/>
    </row>
    <row r="39" spans="1:13" ht="12.75" customHeight="1">
      <c r="A39" s="3447">
        <f t="shared" si="0"/>
        <v>1995.06</v>
      </c>
      <c r="B39" s="3487">
        <v>0.96617746042693442</v>
      </c>
      <c r="C39" s="3487">
        <v>0.93777776838287963</v>
      </c>
      <c r="D39" s="3488">
        <v>1.0328509712491905</v>
      </c>
      <c r="E39" s="3489">
        <v>0.84638130022643321</v>
      </c>
      <c r="F39" s="3448"/>
      <c r="G39" s="3449"/>
      <c r="H39" s="3450"/>
      <c r="I39" s="3451"/>
      <c r="J39" s="3448"/>
      <c r="K39" s="3449"/>
      <c r="L39" s="3450"/>
      <c r="M39" s="3452"/>
    </row>
    <row r="40" spans="1:13" ht="12.75" customHeight="1">
      <c r="A40" s="3447">
        <f t="shared" si="0"/>
        <v>1995.07</v>
      </c>
      <c r="B40" s="3487">
        <v>0.9638534130173827</v>
      </c>
      <c r="C40" s="3487">
        <v>0.93712451562155052</v>
      </c>
      <c r="D40" s="3488">
        <v>1.027459875806775</v>
      </c>
      <c r="E40" s="3489">
        <v>0.8447080251801744</v>
      </c>
      <c r="F40" s="3448"/>
      <c r="G40" s="3449"/>
      <c r="H40" s="3450"/>
      <c r="I40" s="3451"/>
      <c r="J40" s="3448"/>
      <c r="K40" s="3449"/>
      <c r="L40" s="3450"/>
      <c r="M40" s="3452"/>
    </row>
    <row r="41" spans="1:13" ht="12.75" customHeight="1">
      <c r="A41" s="3447">
        <f t="shared" si="0"/>
        <v>1995.08</v>
      </c>
      <c r="B41" s="3487">
        <v>0.95866684820415438</v>
      </c>
      <c r="C41" s="3487">
        <v>0.93603442899595268</v>
      </c>
      <c r="D41" s="3488">
        <v>1.0151073702731404</v>
      </c>
      <c r="E41" s="3489">
        <v>0.83975000172334335</v>
      </c>
      <c r="F41" s="3448"/>
      <c r="G41" s="3449"/>
      <c r="H41" s="3450"/>
      <c r="I41" s="3451"/>
      <c r="J41" s="3448"/>
      <c r="K41" s="3449"/>
      <c r="L41" s="3450"/>
      <c r="M41" s="3452"/>
    </row>
    <row r="42" spans="1:13" ht="12.75" customHeight="1">
      <c r="A42" s="3447">
        <f t="shared" si="0"/>
        <v>1995.09</v>
      </c>
      <c r="B42" s="3487">
        <v>0.95313131531807926</v>
      </c>
      <c r="C42" s="3487">
        <v>0.93497270441394842</v>
      </c>
      <c r="D42" s="3488">
        <v>1.0014987269987725</v>
      </c>
      <c r="E42" s="3489">
        <v>0.83539039938294335</v>
      </c>
      <c r="F42" s="3448"/>
      <c r="G42" s="3449"/>
      <c r="H42" s="3450"/>
      <c r="I42" s="3451"/>
      <c r="J42" s="3448"/>
      <c r="K42" s="3449"/>
      <c r="L42" s="3450"/>
      <c r="M42" s="3452"/>
    </row>
    <row r="43" spans="1:13" ht="12.75" customHeight="1">
      <c r="A43" s="3447">
        <f t="shared" si="0"/>
        <v>1995.1</v>
      </c>
      <c r="B43" s="3487">
        <v>0.95460826317551495</v>
      </c>
      <c r="C43" s="3487">
        <v>0.93572900916795221</v>
      </c>
      <c r="D43" s="3488">
        <v>1.0043260341304769</v>
      </c>
      <c r="E43" s="3489">
        <v>0.83645524014285477</v>
      </c>
      <c r="F43" s="3448"/>
      <c r="G43" s="3449"/>
      <c r="H43" s="3450"/>
      <c r="I43" s="3451"/>
      <c r="J43" s="3448"/>
      <c r="K43" s="3449"/>
      <c r="L43" s="3450"/>
      <c r="M43" s="3452"/>
    </row>
    <row r="44" spans="1:13" ht="12.75" customHeight="1">
      <c r="A44" s="3447">
        <f t="shared" si="0"/>
        <v>1995.11</v>
      </c>
      <c r="B44" s="3487">
        <v>0.93835240664557207</v>
      </c>
      <c r="C44" s="3487">
        <v>0.93274828250639086</v>
      </c>
      <c r="D44" s="3488">
        <v>0.96403888047552577</v>
      </c>
      <c r="E44" s="3489">
        <v>0.82396591778981032</v>
      </c>
      <c r="F44" s="3448"/>
      <c r="G44" s="3449"/>
      <c r="H44" s="3450"/>
      <c r="I44" s="3451"/>
      <c r="J44" s="3448"/>
      <c r="K44" s="3449"/>
      <c r="L44" s="3450"/>
      <c r="M44" s="3452"/>
    </row>
    <row r="45" spans="1:13" ht="12.75" customHeight="1">
      <c r="A45" s="3447">
        <f t="shared" si="0"/>
        <v>1995.12</v>
      </c>
      <c r="B45" s="3487">
        <v>0.94013585900717989</v>
      </c>
      <c r="C45" s="3487">
        <v>0.93200018097090964</v>
      </c>
      <c r="D45" s="3488">
        <v>0.97034014015437398</v>
      </c>
      <c r="E45" s="3489">
        <v>0.82535290247665805</v>
      </c>
      <c r="F45" s="3448"/>
      <c r="G45" s="3449"/>
      <c r="H45" s="3450"/>
      <c r="I45" s="3451"/>
      <c r="J45" s="3448"/>
      <c r="K45" s="3449"/>
      <c r="L45" s="3450"/>
      <c r="M45" s="3452"/>
    </row>
    <row r="46" spans="1:13" ht="12.75" customHeight="1">
      <c r="A46" s="3447">
        <f t="shared" si="0"/>
        <v>1996.01</v>
      </c>
      <c r="B46" s="3487">
        <v>0.93739759922365895</v>
      </c>
      <c r="C46" s="3487">
        <v>0.93019047188164572</v>
      </c>
      <c r="D46" s="3488">
        <v>0.96565703136984515</v>
      </c>
      <c r="E46" s="3489">
        <v>0.82452423490388971</v>
      </c>
      <c r="F46" s="3448"/>
      <c r="G46" s="3449"/>
      <c r="H46" s="3450"/>
      <c r="I46" s="3451"/>
      <c r="J46" s="3448"/>
      <c r="K46" s="3449"/>
      <c r="L46" s="3450"/>
      <c r="M46" s="3452"/>
    </row>
    <row r="47" spans="1:13" ht="12.75" customHeight="1">
      <c r="A47" s="3447">
        <f t="shared" si="0"/>
        <v>1996.02</v>
      </c>
      <c r="B47" s="3487">
        <v>0.93283383291779887</v>
      </c>
      <c r="C47" s="3487">
        <v>0.9283807627923818</v>
      </c>
      <c r="D47" s="3488">
        <v>0.95629081380078751</v>
      </c>
      <c r="E47" s="3489">
        <v>0.82783890519496073</v>
      </c>
      <c r="F47" s="3448"/>
      <c r="G47" s="3449"/>
      <c r="H47" s="3450"/>
      <c r="I47" s="3451"/>
      <c r="J47" s="3448"/>
      <c r="K47" s="3449"/>
      <c r="L47" s="3450"/>
      <c r="M47" s="3452"/>
    </row>
    <row r="48" spans="1:13" ht="12.75" customHeight="1">
      <c r="A48" s="3447">
        <f t="shared" si="0"/>
        <v>1996.03</v>
      </c>
      <c r="B48" s="3487">
        <v>0.93100832639545483</v>
      </c>
      <c r="C48" s="3487">
        <v>0.92566619915848602</v>
      </c>
      <c r="D48" s="3488">
        <v>0.95629081380078751</v>
      </c>
      <c r="E48" s="3489">
        <v>0.82535290247665738</v>
      </c>
      <c r="F48" s="3448"/>
      <c r="G48" s="3449"/>
      <c r="H48" s="3450"/>
      <c r="I48" s="3451"/>
      <c r="J48" s="3448"/>
      <c r="K48" s="3449"/>
      <c r="L48" s="3450"/>
      <c r="M48" s="3452"/>
    </row>
    <row r="49" spans="1:13" ht="12.75" customHeight="1">
      <c r="A49" s="3447">
        <f t="shared" si="0"/>
        <v>1996.04</v>
      </c>
      <c r="B49" s="3487">
        <v>0.93009557313428282</v>
      </c>
      <c r="C49" s="3487">
        <v>0.92566619915848602</v>
      </c>
      <c r="D49" s="3488">
        <v>0.95441757028697605</v>
      </c>
      <c r="E49" s="3489">
        <v>0.82286689975835425</v>
      </c>
      <c r="F49" s="3448"/>
      <c r="G49" s="3449"/>
      <c r="H49" s="3450"/>
      <c r="I49" s="3451"/>
      <c r="J49" s="3448"/>
      <c r="K49" s="3449"/>
      <c r="L49" s="3450"/>
      <c r="M49" s="3452"/>
    </row>
    <row r="50" spans="1:13" ht="12.75" customHeight="1">
      <c r="A50" s="3447">
        <f t="shared" si="0"/>
        <v>1996.05</v>
      </c>
      <c r="B50" s="3487">
        <v>0.93009557313428282</v>
      </c>
      <c r="C50" s="3487">
        <v>0.92657105370311799</v>
      </c>
      <c r="D50" s="3488">
        <v>0.95348094853007026</v>
      </c>
      <c r="E50" s="3489">
        <v>0.82535290247665738</v>
      </c>
      <c r="F50" s="3448"/>
      <c r="G50" s="3449"/>
      <c r="H50" s="3450"/>
      <c r="I50" s="3451"/>
      <c r="J50" s="3448"/>
      <c r="K50" s="3449"/>
      <c r="L50" s="3450"/>
      <c r="M50" s="3452"/>
    </row>
    <row r="51" spans="1:13" ht="12.75" customHeight="1">
      <c r="A51" s="3447">
        <f t="shared" si="0"/>
        <v>1996.06</v>
      </c>
      <c r="B51" s="3487">
        <v>0.93009557313428282</v>
      </c>
      <c r="C51" s="3487">
        <v>0.92566619915848591</v>
      </c>
      <c r="D51" s="3488">
        <v>0.9516077050162588</v>
      </c>
      <c r="E51" s="3489">
        <v>0.82618157004942516</v>
      </c>
      <c r="F51" s="3448"/>
      <c r="G51" s="3449"/>
      <c r="H51" s="3450"/>
      <c r="I51" s="3451"/>
      <c r="J51" s="3448"/>
      <c r="K51" s="3449"/>
      <c r="L51" s="3450"/>
      <c r="M51" s="3452"/>
    </row>
    <row r="52" spans="1:13" ht="12.75" customHeight="1">
      <c r="A52" s="3447">
        <f t="shared" si="0"/>
        <v>1996.07</v>
      </c>
      <c r="B52" s="3487">
        <v>0.90088746877677839</v>
      </c>
      <c r="C52" s="3487">
        <v>0.92476134461385395</v>
      </c>
      <c r="D52" s="3488">
        <v>0.88979066906047821</v>
      </c>
      <c r="E52" s="3489">
        <v>0.82701023762219283</v>
      </c>
      <c r="F52" s="3448"/>
      <c r="G52" s="3449"/>
      <c r="H52" s="3450"/>
      <c r="I52" s="3451"/>
      <c r="J52" s="3448"/>
      <c r="K52" s="3449"/>
      <c r="L52" s="3450"/>
      <c r="M52" s="3452"/>
    </row>
    <row r="53" spans="1:13" ht="12.75" customHeight="1">
      <c r="A53" s="3447">
        <f t="shared" si="0"/>
        <v>1996.08</v>
      </c>
      <c r="B53" s="3487">
        <v>0.89723645573209032</v>
      </c>
      <c r="C53" s="3487">
        <v>0.92295163552459003</v>
      </c>
      <c r="D53" s="3488">
        <v>0.88323431676213782</v>
      </c>
      <c r="E53" s="3489">
        <v>0.82286689975835425</v>
      </c>
      <c r="F53" s="3448"/>
      <c r="G53" s="3449"/>
      <c r="H53" s="3450"/>
      <c r="I53" s="3451"/>
      <c r="J53" s="3448"/>
      <c r="K53" s="3449"/>
      <c r="L53" s="3450"/>
      <c r="M53" s="3452"/>
    </row>
    <row r="54" spans="1:13" ht="12.75" customHeight="1">
      <c r="A54" s="3447">
        <f t="shared" si="0"/>
        <v>1996.09</v>
      </c>
      <c r="B54" s="3487">
        <v>0.89541094920974629</v>
      </c>
      <c r="C54" s="3487">
        <v>0.92204678097995807</v>
      </c>
      <c r="D54" s="3488">
        <v>0.88136107324832624</v>
      </c>
      <c r="E54" s="3489">
        <v>0.82203823218558658</v>
      </c>
      <c r="F54" s="3448"/>
      <c r="G54" s="3449"/>
      <c r="H54" s="3450"/>
      <c r="I54" s="3451"/>
      <c r="J54" s="3448"/>
      <c r="K54" s="3449"/>
      <c r="L54" s="3450"/>
      <c r="M54" s="3452"/>
    </row>
    <row r="55" spans="1:13" ht="12.75" customHeight="1">
      <c r="A55" s="3447">
        <f t="shared" si="0"/>
        <v>1996.1</v>
      </c>
      <c r="B55" s="3487">
        <v>0.89449819594857438</v>
      </c>
      <c r="C55" s="3487">
        <v>0.92204678097995807</v>
      </c>
      <c r="D55" s="3488">
        <v>0.87855120797760899</v>
      </c>
      <c r="E55" s="3489">
        <v>0.81872356189451556</v>
      </c>
      <c r="F55" s="3448"/>
      <c r="G55" s="3449"/>
      <c r="H55" s="3450"/>
      <c r="I55" s="3451"/>
      <c r="J55" s="3448"/>
      <c r="K55" s="3449"/>
      <c r="L55" s="3450"/>
      <c r="M55" s="3452"/>
    </row>
    <row r="56" spans="1:13" ht="12.75" customHeight="1">
      <c r="A56" s="3447">
        <f t="shared" si="0"/>
        <v>1996.11</v>
      </c>
      <c r="B56" s="3487">
        <v>0.89175993616505844</v>
      </c>
      <c r="C56" s="3487">
        <v>0.92114192643532611</v>
      </c>
      <c r="D56" s="3488">
        <v>0.87761458622070321</v>
      </c>
      <c r="E56" s="3489">
        <v>0.80795088344853516</v>
      </c>
      <c r="F56" s="3448"/>
      <c r="G56" s="3449"/>
      <c r="H56" s="3450"/>
      <c r="I56" s="3451"/>
      <c r="J56" s="3448"/>
      <c r="K56" s="3449"/>
      <c r="L56" s="3450"/>
      <c r="M56" s="3452"/>
    </row>
    <row r="57" spans="1:13" ht="12.75" customHeight="1">
      <c r="A57" s="3447">
        <f t="shared" si="0"/>
        <v>1996.12</v>
      </c>
      <c r="B57" s="3487">
        <v>0.89267268942623035</v>
      </c>
      <c r="C57" s="3487">
        <v>0.92023707189069415</v>
      </c>
      <c r="D57" s="3488">
        <v>0.87855120797760899</v>
      </c>
      <c r="E57" s="3489">
        <v>0.80546488073023192</v>
      </c>
      <c r="F57" s="3448"/>
      <c r="G57" s="3449"/>
      <c r="H57" s="3450"/>
      <c r="I57" s="3451"/>
      <c r="J57" s="3448"/>
      <c r="K57" s="3449"/>
      <c r="L57" s="3450"/>
      <c r="M57" s="3452"/>
    </row>
    <row r="58" spans="1:13" ht="12.75" customHeight="1">
      <c r="A58" s="3447">
        <f t="shared" si="0"/>
        <v>1997.01</v>
      </c>
      <c r="B58" s="3487">
        <v>0.89175993616505844</v>
      </c>
      <c r="C58" s="3487">
        <v>0.92114192643532611</v>
      </c>
      <c r="D58" s="3488">
        <v>0.87761458622070321</v>
      </c>
      <c r="E58" s="3489">
        <v>0.80463621315746414</v>
      </c>
      <c r="F58" s="3448"/>
      <c r="G58" s="3449"/>
      <c r="H58" s="3450"/>
      <c r="I58" s="3451"/>
      <c r="J58" s="3448"/>
      <c r="K58" s="3449"/>
      <c r="L58" s="3450"/>
      <c r="M58" s="3452"/>
    </row>
    <row r="59" spans="1:13" ht="12.75" customHeight="1">
      <c r="A59" s="3447">
        <f t="shared" si="0"/>
        <v>1997.02</v>
      </c>
      <c r="B59" s="3487">
        <v>0.89358544268740248</v>
      </c>
      <c r="C59" s="3487">
        <v>0.92204678097995818</v>
      </c>
      <c r="D59" s="3488">
        <v>0.87948782973451467</v>
      </c>
      <c r="E59" s="3489">
        <v>0.80877955102130272</v>
      </c>
      <c r="F59" s="3448"/>
      <c r="G59" s="3449"/>
      <c r="H59" s="3450"/>
      <c r="I59" s="3451"/>
      <c r="J59" s="3448"/>
      <c r="K59" s="3449"/>
      <c r="L59" s="3450"/>
      <c r="M59" s="3452"/>
    </row>
    <row r="60" spans="1:13" ht="12.75" customHeight="1">
      <c r="A60" s="3447">
        <f t="shared" si="0"/>
        <v>1997.03</v>
      </c>
      <c r="B60" s="3487">
        <v>0.89449819594857438</v>
      </c>
      <c r="C60" s="3487">
        <v>0.92204678097995818</v>
      </c>
      <c r="D60" s="3488">
        <v>0.88136107324832613</v>
      </c>
      <c r="E60" s="3489">
        <v>0.80960821859407051</v>
      </c>
      <c r="F60" s="3448"/>
      <c r="G60" s="3449"/>
      <c r="H60" s="3450"/>
      <c r="I60" s="3451"/>
      <c r="J60" s="3448"/>
      <c r="K60" s="3449"/>
      <c r="L60" s="3450"/>
      <c r="M60" s="3452"/>
    </row>
    <row r="61" spans="1:13" ht="12.75" customHeight="1">
      <c r="A61" s="3447">
        <f t="shared" si="0"/>
        <v>1997.04</v>
      </c>
      <c r="B61" s="3487">
        <v>0.89541094920974629</v>
      </c>
      <c r="C61" s="3487">
        <v>0.92023707189069426</v>
      </c>
      <c r="D61" s="3488">
        <v>0.88510756027594917</v>
      </c>
      <c r="E61" s="3489">
        <v>0.81126555373960596</v>
      </c>
      <c r="F61" s="3448"/>
      <c r="G61" s="3449"/>
      <c r="H61" s="3450"/>
      <c r="I61" s="3451"/>
      <c r="J61" s="3448"/>
      <c r="K61" s="3449"/>
      <c r="L61" s="3450"/>
      <c r="M61" s="3452"/>
    </row>
    <row r="62" spans="1:13" ht="12.75" customHeight="1">
      <c r="A62" s="3447">
        <f t="shared" si="0"/>
        <v>1997.05</v>
      </c>
      <c r="B62" s="3487">
        <v>0.89814920899326245</v>
      </c>
      <c r="C62" s="3487">
        <v>0.92023707189069426</v>
      </c>
      <c r="D62" s="3488">
        <v>0.89072729081738378</v>
      </c>
      <c r="E62" s="3489">
        <v>0.80877955102130272</v>
      </c>
      <c r="F62" s="3448"/>
      <c r="G62" s="3449"/>
      <c r="H62" s="3450"/>
      <c r="I62" s="3451"/>
      <c r="J62" s="3448"/>
      <c r="K62" s="3449"/>
      <c r="L62" s="3450"/>
      <c r="M62" s="3452"/>
    </row>
    <row r="63" spans="1:13" ht="12.75" customHeight="1">
      <c r="A63" s="3447">
        <f t="shared" si="0"/>
        <v>1997.06</v>
      </c>
      <c r="B63" s="3487">
        <v>0.89997471551560637</v>
      </c>
      <c r="C63" s="3487">
        <v>0.91933221734606219</v>
      </c>
      <c r="D63" s="3488">
        <v>0.8963470213588185</v>
      </c>
      <c r="E63" s="3489">
        <v>0.80795088344853505</v>
      </c>
      <c r="F63" s="3448"/>
      <c r="G63" s="3449"/>
      <c r="H63" s="3450"/>
      <c r="I63" s="3451"/>
      <c r="J63" s="3448"/>
      <c r="K63" s="3449"/>
      <c r="L63" s="3450"/>
      <c r="M63" s="3452"/>
    </row>
    <row r="64" spans="1:13" ht="12.75" customHeight="1">
      <c r="A64" s="3447">
        <f t="shared" si="0"/>
        <v>1997.07</v>
      </c>
      <c r="B64" s="3487">
        <v>0.90362572856029455</v>
      </c>
      <c r="C64" s="3487">
        <v>0.92023707189069415</v>
      </c>
      <c r="D64" s="3488">
        <v>0.90477661717097035</v>
      </c>
      <c r="E64" s="3489">
        <v>0.80795088344853505</v>
      </c>
      <c r="F64" s="3448"/>
      <c r="G64" s="3449"/>
      <c r="H64" s="3450"/>
      <c r="I64" s="3451"/>
      <c r="J64" s="3448"/>
      <c r="K64" s="3449"/>
      <c r="L64" s="3450"/>
      <c r="M64" s="3452"/>
    </row>
    <row r="65" spans="1:13" ht="12.75" customHeight="1">
      <c r="A65" s="3447">
        <f t="shared" si="0"/>
        <v>1997.08</v>
      </c>
      <c r="B65" s="3487">
        <v>0.90636398834381049</v>
      </c>
      <c r="C65" s="3487">
        <v>0.92023707189069415</v>
      </c>
      <c r="D65" s="3488">
        <v>0.91039634771240507</v>
      </c>
      <c r="E65" s="3489">
        <v>0.81043688616683818</v>
      </c>
      <c r="F65" s="3448"/>
      <c r="G65" s="3449"/>
      <c r="H65" s="3450"/>
      <c r="I65" s="3451"/>
      <c r="J65" s="3448"/>
      <c r="K65" s="3449"/>
      <c r="L65" s="3450"/>
      <c r="M65" s="3452"/>
    </row>
    <row r="66" spans="1:13" ht="12.75" customHeight="1">
      <c r="A66" s="3447">
        <f t="shared" si="0"/>
        <v>1997.09</v>
      </c>
      <c r="B66" s="3487">
        <v>0.90636398834381049</v>
      </c>
      <c r="C66" s="3487">
        <v>0.92023707189069415</v>
      </c>
      <c r="D66" s="3488">
        <v>0.90945972595549929</v>
      </c>
      <c r="E66" s="3489">
        <v>0.81043688616683818</v>
      </c>
      <c r="F66" s="3448"/>
      <c r="G66" s="3449"/>
      <c r="H66" s="3450"/>
      <c r="I66" s="3451"/>
      <c r="J66" s="3448"/>
      <c r="K66" s="3449"/>
      <c r="L66" s="3450"/>
      <c r="M66" s="3452"/>
    </row>
    <row r="67" spans="1:13" ht="12.75" customHeight="1">
      <c r="A67" s="3447">
        <f t="shared" si="0"/>
        <v>1997.1</v>
      </c>
      <c r="B67" s="3487">
        <v>0.90545123508263858</v>
      </c>
      <c r="C67" s="3487">
        <v>0.92114192643532611</v>
      </c>
      <c r="D67" s="3488">
        <v>0.90664986068478193</v>
      </c>
      <c r="E67" s="3489">
        <v>0.81209422131237363</v>
      </c>
      <c r="F67" s="3448"/>
      <c r="G67" s="3449"/>
      <c r="H67" s="3450"/>
      <c r="I67" s="3451"/>
      <c r="J67" s="3448"/>
      <c r="K67" s="3449"/>
      <c r="L67" s="3450"/>
      <c r="M67" s="3452"/>
    </row>
    <row r="68" spans="1:13" ht="12.75" customHeight="1">
      <c r="A68" s="3447">
        <f t="shared" si="0"/>
        <v>1997.11</v>
      </c>
      <c r="B68" s="3487">
        <v>0.90362572856029455</v>
      </c>
      <c r="C68" s="3487">
        <v>0.92114192643532611</v>
      </c>
      <c r="D68" s="3488">
        <v>0.90103013014334743</v>
      </c>
      <c r="E68" s="3489">
        <v>0.81623755917621221</v>
      </c>
      <c r="F68" s="3448"/>
      <c r="G68" s="3449"/>
      <c r="H68" s="3450"/>
      <c r="I68" s="3451"/>
      <c r="J68" s="3448"/>
      <c r="K68" s="3449"/>
      <c r="L68" s="3450"/>
      <c r="M68" s="3452"/>
    </row>
    <row r="69" spans="1:13" ht="12.75" customHeight="1">
      <c r="A69" s="3447">
        <f t="shared" si="0"/>
        <v>1997.12</v>
      </c>
      <c r="B69" s="3487">
        <v>0.90271297529912264</v>
      </c>
      <c r="C69" s="3487">
        <v>0.92114192643532611</v>
      </c>
      <c r="D69" s="3488">
        <v>0.90009350838644164</v>
      </c>
      <c r="E69" s="3489">
        <v>0.82038089704005079</v>
      </c>
      <c r="F69" s="3448"/>
      <c r="G69" s="3449"/>
      <c r="H69" s="3450"/>
      <c r="I69" s="3451"/>
      <c r="J69" s="3448"/>
      <c r="K69" s="3449"/>
      <c r="L69" s="3450"/>
      <c r="M69" s="3452"/>
    </row>
    <row r="70" spans="1:13" ht="12.75" customHeight="1">
      <c r="A70" s="3447">
        <f t="shared" si="0"/>
        <v>1998.01</v>
      </c>
      <c r="B70" s="3487">
        <v>0.89997471551560648</v>
      </c>
      <c r="C70" s="3487">
        <v>0.91933221734606219</v>
      </c>
      <c r="D70" s="3488">
        <v>0.89541039960191282</v>
      </c>
      <c r="E70" s="3489">
        <v>0.81955222946728312</v>
      </c>
      <c r="F70" s="3448"/>
      <c r="G70" s="3449"/>
      <c r="H70" s="3450"/>
      <c r="I70" s="3451"/>
      <c r="J70" s="3448"/>
      <c r="K70" s="3449"/>
      <c r="L70" s="3450"/>
      <c r="M70" s="3452"/>
    </row>
    <row r="71" spans="1:13" ht="12.75" customHeight="1">
      <c r="A71" s="3447">
        <f t="shared" si="0"/>
        <v>1998.02</v>
      </c>
      <c r="B71" s="3487">
        <v>0.9008874687767785</v>
      </c>
      <c r="C71" s="3487">
        <v>0.91933221734606219</v>
      </c>
      <c r="D71" s="3488">
        <v>0.89728364311572428</v>
      </c>
      <c r="E71" s="3489">
        <v>0.81955222946728312</v>
      </c>
      <c r="F71" s="3448"/>
      <c r="G71" s="3449"/>
      <c r="H71" s="3450"/>
      <c r="I71" s="3451"/>
      <c r="J71" s="3448"/>
      <c r="K71" s="3449"/>
      <c r="L71" s="3450"/>
      <c r="M71" s="3452"/>
    </row>
    <row r="72" spans="1:13" ht="12.75" customHeight="1">
      <c r="A72" s="3447">
        <f t="shared" si="0"/>
        <v>1998.03</v>
      </c>
      <c r="B72" s="3487">
        <v>0.90271297529912264</v>
      </c>
      <c r="C72" s="3487">
        <v>0.91933221734606219</v>
      </c>
      <c r="D72" s="3488">
        <v>0.90103013014334732</v>
      </c>
      <c r="E72" s="3489">
        <v>0.81955222946728312</v>
      </c>
      <c r="F72" s="3448"/>
      <c r="G72" s="3449"/>
      <c r="H72" s="3450"/>
      <c r="I72" s="3451"/>
      <c r="J72" s="3448"/>
      <c r="K72" s="3449"/>
      <c r="L72" s="3450"/>
      <c r="M72" s="3452"/>
    </row>
    <row r="73" spans="1:13" ht="12.75" customHeight="1">
      <c r="A73" s="3447">
        <f t="shared" si="0"/>
        <v>1998.04</v>
      </c>
      <c r="B73" s="3487">
        <v>0.90271297529912264</v>
      </c>
      <c r="C73" s="3487">
        <v>0.91752250825679837</v>
      </c>
      <c r="D73" s="3488">
        <v>0.90196675190025311</v>
      </c>
      <c r="E73" s="3489">
        <v>0.82038089704005079</v>
      </c>
      <c r="F73" s="3448"/>
      <c r="G73" s="3449"/>
      <c r="H73" s="3450"/>
      <c r="I73" s="3451"/>
      <c r="J73" s="3448"/>
      <c r="K73" s="3449"/>
      <c r="L73" s="3450"/>
      <c r="M73" s="3452"/>
    </row>
    <row r="74" spans="1:13" ht="12.75" customHeight="1">
      <c r="A74" s="3447">
        <f t="shared" si="0"/>
        <v>1998.05</v>
      </c>
      <c r="B74" s="3487">
        <v>0.90180022203795052</v>
      </c>
      <c r="C74" s="3487">
        <v>0.91752250825679837</v>
      </c>
      <c r="D74" s="3488">
        <v>0.90196675190025311</v>
      </c>
      <c r="E74" s="3489">
        <v>0.81375155645790898</v>
      </c>
      <c r="F74" s="3448"/>
      <c r="G74" s="3449"/>
      <c r="H74" s="3450"/>
      <c r="I74" s="3451"/>
      <c r="J74" s="3448"/>
      <c r="K74" s="3449"/>
      <c r="L74" s="3450"/>
      <c r="M74" s="3452"/>
    </row>
    <row r="75" spans="1:13" ht="12.75" customHeight="1">
      <c r="A75" s="3447">
        <f t="shared" si="0"/>
        <v>1998.06</v>
      </c>
      <c r="B75" s="3487">
        <v>0.89997471551560637</v>
      </c>
      <c r="C75" s="3487">
        <v>0.91571279916753445</v>
      </c>
      <c r="D75" s="3488">
        <v>0.90009350838644153</v>
      </c>
      <c r="E75" s="3489">
        <v>0.81375155645790898</v>
      </c>
      <c r="F75" s="3448"/>
      <c r="G75" s="3449"/>
      <c r="H75" s="3450"/>
      <c r="I75" s="3451"/>
      <c r="J75" s="3448"/>
      <c r="K75" s="3449"/>
      <c r="L75" s="3450"/>
      <c r="M75" s="3452"/>
    </row>
    <row r="76" spans="1:13" ht="12.75" customHeight="1">
      <c r="A76" s="3447">
        <f t="shared" si="0"/>
        <v>1998.07</v>
      </c>
      <c r="B76" s="3487">
        <v>0.89814920899326245</v>
      </c>
      <c r="C76" s="3487">
        <v>0.91571279916753445</v>
      </c>
      <c r="D76" s="3488">
        <v>0.8963470213588185</v>
      </c>
      <c r="E76" s="3489">
        <v>0.81458022403067665</v>
      </c>
      <c r="F76" s="3448"/>
      <c r="G76" s="3449"/>
      <c r="H76" s="3450"/>
      <c r="I76" s="3451"/>
      <c r="J76" s="3448"/>
      <c r="K76" s="3449"/>
      <c r="L76" s="3450"/>
      <c r="M76" s="3452"/>
    </row>
    <row r="77" spans="1:13" ht="12.75" customHeight="1">
      <c r="A77" s="3447">
        <f t="shared" si="0"/>
        <v>1998.08</v>
      </c>
      <c r="B77" s="3487">
        <v>0.89906196225443447</v>
      </c>
      <c r="C77" s="3487">
        <v>0.9166176537121663</v>
      </c>
      <c r="D77" s="3488">
        <v>0.8963470213588185</v>
      </c>
      <c r="E77" s="3489">
        <v>0.81375155645790898</v>
      </c>
      <c r="F77" s="3448"/>
      <c r="G77" s="3449"/>
      <c r="H77" s="3450"/>
      <c r="I77" s="3451"/>
      <c r="J77" s="3448"/>
      <c r="K77" s="3449"/>
      <c r="L77" s="3450"/>
      <c r="M77" s="3452"/>
    </row>
    <row r="78" spans="1:13" ht="12.75" customHeight="1">
      <c r="A78" s="3447">
        <f t="shared" si="0"/>
        <v>1998.09</v>
      </c>
      <c r="B78" s="3487">
        <v>0.89814920899326245</v>
      </c>
      <c r="C78" s="3487">
        <v>0.91571279916753445</v>
      </c>
      <c r="D78" s="3488">
        <v>0.8963470213588185</v>
      </c>
      <c r="E78" s="3489">
        <v>0.81375155645790898</v>
      </c>
      <c r="F78" s="3448"/>
      <c r="G78" s="3449"/>
      <c r="H78" s="3450"/>
      <c r="I78" s="3451"/>
      <c r="J78" s="3448"/>
      <c r="K78" s="3449"/>
      <c r="L78" s="3450"/>
      <c r="M78" s="3452"/>
    </row>
    <row r="79" spans="1:13" ht="12.75" customHeight="1">
      <c r="A79" s="3447">
        <f t="shared" si="0"/>
        <v>1998.1</v>
      </c>
      <c r="B79" s="3487">
        <v>0.89814920899326245</v>
      </c>
      <c r="C79" s="3487">
        <v>0.91480794462290238</v>
      </c>
      <c r="D79" s="3488">
        <v>0.89541039960191271</v>
      </c>
      <c r="E79" s="3489">
        <v>0.81458022403067665</v>
      </c>
      <c r="F79" s="3448"/>
      <c r="G79" s="3449"/>
      <c r="H79" s="3450"/>
      <c r="I79" s="3451"/>
      <c r="J79" s="3448"/>
      <c r="K79" s="3449"/>
      <c r="L79" s="3450"/>
      <c r="M79" s="3452"/>
    </row>
    <row r="80" spans="1:13" ht="12.75" customHeight="1">
      <c r="A80" s="3447">
        <f t="shared" si="0"/>
        <v>1998.11</v>
      </c>
      <c r="B80" s="3487">
        <v>0.90180022203795041</v>
      </c>
      <c r="C80" s="3487">
        <v>0.91390309007827042</v>
      </c>
      <c r="D80" s="3488">
        <v>0.90477661717097047</v>
      </c>
      <c r="E80" s="3489">
        <v>0.81955222946728312</v>
      </c>
      <c r="F80" s="3448"/>
      <c r="G80" s="3449"/>
      <c r="H80" s="3450"/>
      <c r="I80" s="3451"/>
      <c r="J80" s="3448"/>
      <c r="K80" s="3449"/>
      <c r="L80" s="3450"/>
      <c r="M80" s="3452"/>
    </row>
    <row r="81" spans="1:13" ht="12.75" customHeight="1">
      <c r="A81" s="3447">
        <f t="shared" si="0"/>
        <v>1998.12</v>
      </c>
      <c r="B81" s="3487">
        <v>0.90271297529912253</v>
      </c>
      <c r="C81" s="3487">
        <v>0.91299823553363857</v>
      </c>
      <c r="D81" s="3488">
        <v>0.90664986068478204</v>
      </c>
      <c r="E81" s="3489">
        <v>0.82120956461281847</v>
      </c>
      <c r="F81" s="3448"/>
      <c r="G81" s="3449"/>
      <c r="H81" s="3450"/>
      <c r="I81" s="3451"/>
      <c r="J81" s="3448"/>
      <c r="K81" s="3449"/>
      <c r="L81" s="3450"/>
      <c r="M81" s="3452"/>
    </row>
    <row r="82" spans="1:13" ht="12.75" customHeight="1">
      <c r="A82" s="3447">
        <f t="shared" si="0"/>
        <v>1999.01</v>
      </c>
      <c r="B82" s="3487">
        <v>0.90271297529912253</v>
      </c>
      <c r="C82" s="3487">
        <v>0.91299823553363857</v>
      </c>
      <c r="D82" s="3488">
        <v>0.90664986068478204</v>
      </c>
      <c r="E82" s="3489">
        <v>0.8236955673311217</v>
      </c>
      <c r="F82" s="3448"/>
      <c r="G82" s="3449"/>
      <c r="H82" s="3450"/>
      <c r="I82" s="3451"/>
      <c r="J82" s="3448"/>
      <c r="K82" s="3449"/>
      <c r="L82" s="3450"/>
      <c r="M82" s="3452"/>
    </row>
    <row r="83" spans="1:13" ht="12.75" customHeight="1">
      <c r="A83" s="3447">
        <f t="shared" si="0"/>
        <v>1999.02</v>
      </c>
      <c r="B83" s="3487">
        <v>0.90545123508263847</v>
      </c>
      <c r="C83" s="3487">
        <v>0.91118852644437465</v>
      </c>
      <c r="D83" s="3488">
        <v>0.91320621298312243</v>
      </c>
      <c r="E83" s="3489">
        <v>0.83115357548603119</v>
      </c>
      <c r="F83" s="3448"/>
      <c r="G83" s="3449"/>
      <c r="H83" s="3450"/>
      <c r="I83" s="3451"/>
      <c r="J83" s="3448"/>
      <c r="K83" s="3449"/>
      <c r="L83" s="3450"/>
      <c r="M83" s="3452"/>
    </row>
    <row r="84" spans="1:13" ht="12.75" customHeight="1">
      <c r="A84" s="3447">
        <f t="shared" si="0"/>
        <v>1999.03</v>
      </c>
      <c r="B84" s="3487">
        <v>0.9072767416049824</v>
      </c>
      <c r="C84" s="3487">
        <v>0.91118852644437465</v>
      </c>
      <c r="D84" s="3488">
        <v>0.91601607825383968</v>
      </c>
      <c r="E84" s="3489">
        <v>0.83529691334986989</v>
      </c>
      <c r="F84" s="3448"/>
      <c r="G84" s="3449"/>
      <c r="H84" s="3450"/>
      <c r="I84" s="3451"/>
      <c r="J84" s="3448"/>
      <c r="K84" s="3449"/>
      <c r="L84" s="3450"/>
      <c r="M84" s="3452"/>
    </row>
    <row r="85" spans="1:13" ht="12.75" customHeight="1">
      <c r="A85" s="3447">
        <f t="shared" si="0"/>
        <v>1999.04</v>
      </c>
      <c r="B85" s="3487">
        <v>0.90453848182146623</v>
      </c>
      <c r="C85" s="3487">
        <v>0.91118852644437465</v>
      </c>
      <c r="D85" s="3488">
        <v>0.91133296946931086</v>
      </c>
      <c r="E85" s="3489">
        <v>0.83281091063156676</v>
      </c>
      <c r="F85" s="3448"/>
      <c r="G85" s="3449"/>
      <c r="H85" s="3450"/>
      <c r="I85" s="3451"/>
      <c r="J85" s="3448"/>
      <c r="K85" s="3449"/>
      <c r="L85" s="3450"/>
      <c r="M85" s="3452"/>
    </row>
    <row r="86" spans="1:13" ht="12.75" customHeight="1">
      <c r="A86" s="3447">
        <f t="shared" si="0"/>
        <v>1999.05</v>
      </c>
      <c r="B86" s="3487">
        <v>0.90545123508263836</v>
      </c>
      <c r="C86" s="3487">
        <v>0.91028367189974257</v>
      </c>
      <c r="D86" s="3488">
        <v>0.9150794564969339</v>
      </c>
      <c r="E86" s="3489">
        <v>0.82949624034049585</v>
      </c>
      <c r="F86" s="3448"/>
      <c r="G86" s="3449"/>
      <c r="H86" s="3450"/>
      <c r="I86" s="3451"/>
      <c r="J86" s="3448"/>
      <c r="K86" s="3449"/>
      <c r="L86" s="3450"/>
      <c r="M86" s="3452"/>
    </row>
    <row r="87" spans="1:13" ht="12.75" customHeight="1">
      <c r="A87" s="3447">
        <f t="shared" ref="A87:A150" si="1">A75+1</f>
        <v>1999.06</v>
      </c>
      <c r="B87" s="3487">
        <v>0.90453848182146623</v>
      </c>
      <c r="C87" s="3487">
        <v>0.90937881735511061</v>
      </c>
      <c r="D87" s="3488">
        <v>0.91226959122621654</v>
      </c>
      <c r="E87" s="3489">
        <v>0.83032490791326363</v>
      </c>
      <c r="F87" s="3448"/>
      <c r="G87" s="3449"/>
      <c r="H87" s="3450"/>
      <c r="I87" s="3451"/>
      <c r="J87" s="3448"/>
      <c r="K87" s="3449"/>
      <c r="L87" s="3450"/>
      <c r="M87" s="3452"/>
    </row>
    <row r="88" spans="1:13" ht="12.75" customHeight="1">
      <c r="A88" s="3447">
        <f t="shared" si="1"/>
        <v>1999.07</v>
      </c>
      <c r="B88" s="3487">
        <v>0.90453848182146623</v>
      </c>
      <c r="C88" s="3487">
        <v>0.90937881735511061</v>
      </c>
      <c r="D88" s="3488">
        <v>0.91320621298312221</v>
      </c>
      <c r="E88" s="3489">
        <v>0.8311535754860313</v>
      </c>
      <c r="F88" s="3448"/>
      <c r="G88" s="3449"/>
      <c r="H88" s="3450"/>
      <c r="I88" s="3451"/>
      <c r="J88" s="3448"/>
      <c r="K88" s="3449"/>
      <c r="L88" s="3450"/>
      <c r="M88" s="3452"/>
    </row>
    <row r="89" spans="1:13" ht="12.75" customHeight="1">
      <c r="A89" s="3447">
        <f t="shared" si="1"/>
        <v>1999.08</v>
      </c>
      <c r="B89" s="3487">
        <v>0.90088746877677828</v>
      </c>
      <c r="C89" s="3487">
        <v>0.90847396281047865</v>
      </c>
      <c r="D89" s="3488">
        <v>0.90758648244168771</v>
      </c>
      <c r="E89" s="3489">
        <v>0.82452423490388949</v>
      </c>
      <c r="F89" s="3448"/>
      <c r="G89" s="3449"/>
      <c r="H89" s="3450"/>
      <c r="I89" s="3451"/>
      <c r="J89" s="3448"/>
      <c r="K89" s="3449"/>
      <c r="L89" s="3450"/>
      <c r="M89" s="3452"/>
    </row>
    <row r="90" spans="1:13" ht="12.75" customHeight="1">
      <c r="A90" s="3447">
        <f t="shared" si="1"/>
        <v>1999.09</v>
      </c>
      <c r="B90" s="3487">
        <v>0.89906196225443424</v>
      </c>
      <c r="C90" s="3487">
        <v>0.90666425372121473</v>
      </c>
      <c r="D90" s="3488">
        <v>0.90571323892787614</v>
      </c>
      <c r="E90" s="3489">
        <v>0.82286689975835403</v>
      </c>
      <c r="F90" s="3448"/>
      <c r="G90" s="3449"/>
      <c r="H90" s="3450"/>
      <c r="I90" s="3451"/>
      <c r="J90" s="3448"/>
      <c r="K90" s="3449"/>
      <c r="L90" s="3450"/>
      <c r="M90" s="3452"/>
    </row>
    <row r="91" spans="1:13" ht="12.75" customHeight="1">
      <c r="A91" s="3447">
        <f t="shared" si="1"/>
        <v>1999.1</v>
      </c>
      <c r="B91" s="3487">
        <v>0.89814920899326223</v>
      </c>
      <c r="C91" s="3487">
        <v>0.90575939917658266</v>
      </c>
      <c r="D91" s="3488">
        <v>0.90383999541406457</v>
      </c>
      <c r="E91" s="3489">
        <v>0.8203808970400509</v>
      </c>
      <c r="F91" s="3448"/>
      <c r="G91" s="3449"/>
      <c r="H91" s="3450"/>
      <c r="I91" s="3451"/>
      <c r="J91" s="3448"/>
      <c r="K91" s="3449"/>
      <c r="L91" s="3450"/>
      <c r="M91" s="3452"/>
    </row>
    <row r="92" spans="1:13" ht="12.75" customHeight="1">
      <c r="A92" s="3447">
        <f t="shared" si="1"/>
        <v>1999.11</v>
      </c>
      <c r="B92" s="3487">
        <v>0.89906196225443424</v>
      </c>
      <c r="C92" s="3487">
        <v>0.90575939917658266</v>
      </c>
      <c r="D92" s="3488">
        <v>0.90571323892787614</v>
      </c>
      <c r="E92" s="3489">
        <v>0.82203823218558636</v>
      </c>
      <c r="F92" s="3448"/>
      <c r="G92" s="3449"/>
      <c r="H92" s="3450"/>
      <c r="I92" s="3451"/>
      <c r="J92" s="3448"/>
      <c r="K92" s="3449"/>
      <c r="L92" s="3450"/>
      <c r="M92" s="3452"/>
    </row>
    <row r="93" spans="1:13" ht="12.75" customHeight="1">
      <c r="A93" s="3447">
        <f t="shared" si="1"/>
        <v>1999.12</v>
      </c>
      <c r="B93" s="3487">
        <v>0.89997471551560615</v>
      </c>
      <c r="C93" s="3487">
        <v>0.90666425372121473</v>
      </c>
      <c r="D93" s="3488">
        <v>0.90664986068478193</v>
      </c>
      <c r="E93" s="3489">
        <v>0.82203823218558636</v>
      </c>
      <c r="F93" s="3448"/>
      <c r="G93" s="3449"/>
      <c r="H93" s="3450"/>
      <c r="I93" s="3451"/>
      <c r="J93" s="3448"/>
      <c r="K93" s="3449"/>
      <c r="L93" s="3450"/>
      <c r="M93" s="3452"/>
    </row>
    <row r="94" spans="1:13" ht="12.75" customHeight="1">
      <c r="A94" s="3447">
        <f t="shared" si="1"/>
        <v>2000.01</v>
      </c>
      <c r="B94" s="3487">
        <v>0.8972364557320901</v>
      </c>
      <c r="C94" s="3487">
        <v>0.90666425372121473</v>
      </c>
      <c r="D94" s="3488">
        <v>0.90196675190025311</v>
      </c>
      <c r="E94" s="3489">
        <v>0.81955222946728312</v>
      </c>
      <c r="F94" s="3448"/>
      <c r="G94" s="3449"/>
      <c r="H94" s="3450"/>
      <c r="I94" s="3451"/>
      <c r="J94" s="3448"/>
      <c r="K94" s="3449"/>
      <c r="L94" s="3450"/>
      <c r="M94" s="3452"/>
    </row>
    <row r="95" spans="1:13" ht="12.75" customHeight="1">
      <c r="A95" s="3447">
        <f t="shared" si="1"/>
        <v>2000.02</v>
      </c>
      <c r="B95" s="3487">
        <v>0.89632370247091819</v>
      </c>
      <c r="C95" s="3487">
        <v>0.90485454463195081</v>
      </c>
      <c r="D95" s="3488">
        <v>0.90103013014334732</v>
      </c>
      <c r="E95" s="3489">
        <v>0.81955222946728312</v>
      </c>
      <c r="F95" s="3448"/>
      <c r="G95" s="3449"/>
      <c r="H95" s="3450"/>
      <c r="I95" s="3451"/>
      <c r="J95" s="3448"/>
      <c r="K95" s="3449"/>
      <c r="L95" s="3450"/>
      <c r="M95" s="3452"/>
    </row>
    <row r="96" spans="1:13" ht="12.75" customHeight="1">
      <c r="A96" s="3447">
        <f t="shared" si="1"/>
        <v>2000.03</v>
      </c>
      <c r="B96" s="3487">
        <v>0.89632370247091819</v>
      </c>
      <c r="C96" s="3487">
        <v>0.90485454463195081</v>
      </c>
      <c r="D96" s="3488">
        <v>0.90103013014334732</v>
      </c>
      <c r="E96" s="3489">
        <v>0.81955222946728312</v>
      </c>
      <c r="F96" s="3448"/>
      <c r="G96" s="3449"/>
      <c r="H96" s="3450"/>
      <c r="I96" s="3451"/>
      <c r="J96" s="3448"/>
      <c r="K96" s="3449"/>
      <c r="L96" s="3450"/>
      <c r="M96" s="3452"/>
    </row>
    <row r="97" spans="1:13" ht="12.75" customHeight="1">
      <c r="A97" s="3447">
        <f t="shared" si="1"/>
        <v>2000.04</v>
      </c>
      <c r="B97" s="3487">
        <v>0.89175993616505811</v>
      </c>
      <c r="C97" s="3487">
        <v>0.89942541736415915</v>
      </c>
      <c r="D97" s="3488">
        <v>0.89822026487263007</v>
      </c>
      <c r="E97" s="3489">
        <v>0.81872356189451534</v>
      </c>
      <c r="F97" s="3448"/>
      <c r="G97" s="3449"/>
      <c r="H97" s="3450"/>
      <c r="I97" s="3451"/>
      <c r="J97" s="3448"/>
      <c r="K97" s="3449"/>
      <c r="L97" s="3450"/>
      <c r="M97" s="3452"/>
    </row>
    <row r="98" spans="1:13" ht="12.75" customHeight="1">
      <c r="A98" s="3447">
        <f t="shared" si="1"/>
        <v>2000.05</v>
      </c>
      <c r="B98" s="3487">
        <v>0.89084718290388598</v>
      </c>
      <c r="C98" s="3487">
        <v>0.89942541736415915</v>
      </c>
      <c r="D98" s="3488">
        <v>0.89447377784500692</v>
      </c>
      <c r="E98" s="3489">
        <v>0.82120956461281858</v>
      </c>
      <c r="F98" s="3448"/>
      <c r="G98" s="3449"/>
      <c r="H98" s="3450"/>
      <c r="I98" s="3451"/>
      <c r="J98" s="3448"/>
      <c r="K98" s="3449"/>
      <c r="L98" s="3450"/>
      <c r="M98" s="3452"/>
    </row>
    <row r="99" spans="1:13" ht="12.75" customHeight="1">
      <c r="A99" s="3447">
        <f t="shared" si="1"/>
        <v>2000.06</v>
      </c>
      <c r="B99" s="3487">
        <v>0.88810892312036993</v>
      </c>
      <c r="C99" s="3487">
        <v>0.89852056281952719</v>
      </c>
      <c r="D99" s="3488">
        <v>0.8897906690604781</v>
      </c>
      <c r="E99" s="3489">
        <v>0.82120956461281858</v>
      </c>
      <c r="F99" s="3448"/>
      <c r="G99" s="3449"/>
      <c r="H99" s="3450"/>
      <c r="I99" s="3451"/>
      <c r="J99" s="3448"/>
      <c r="K99" s="3449"/>
      <c r="L99" s="3450"/>
      <c r="M99" s="3452"/>
    </row>
    <row r="100" spans="1:13" ht="12.75" customHeight="1">
      <c r="A100" s="3447">
        <f t="shared" si="1"/>
        <v>2000.07</v>
      </c>
      <c r="B100" s="3487">
        <v>0.88537066333685388</v>
      </c>
      <c r="C100" s="3487">
        <v>0.89580599918563131</v>
      </c>
      <c r="D100" s="3488">
        <v>0.88510756027594928</v>
      </c>
      <c r="E100" s="3489">
        <v>0.8203808970400509</v>
      </c>
      <c r="F100" s="3448"/>
      <c r="G100" s="3449"/>
      <c r="H100" s="3450"/>
      <c r="I100" s="3451"/>
      <c r="J100" s="3448"/>
      <c r="K100" s="3449"/>
      <c r="L100" s="3450"/>
      <c r="M100" s="3452"/>
    </row>
    <row r="101" spans="1:13" ht="12.75" customHeight="1">
      <c r="A101" s="3447">
        <f t="shared" si="1"/>
        <v>2000.08</v>
      </c>
      <c r="B101" s="3487">
        <v>0.88263240355333783</v>
      </c>
      <c r="C101" s="3487">
        <v>0.89399629009636739</v>
      </c>
      <c r="D101" s="3488">
        <v>0.88229769500523203</v>
      </c>
      <c r="E101" s="3489">
        <v>0.81540889160344454</v>
      </c>
      <c r="F101" s="3448"/>
      <c r="G101" s="3449"/>
      <c r="H101" s="3450"/>
      <c r="I101" s="3451"/>
      <c r="J101" s="3448"/>
      <c r="K101" s="3449"/>
      <c r="L101" s="3450"/>
      <c r="M101" s="3452"/>
    </row>
    <row r="102" spans="1:13" ht="12.75" customHeight="1">
      <c r="A102" s="3447">
        <f t="shared" si="1"/>
        <v>2000.09</v>
      </c>
      <c r="B102" s="3487">
        <v>0.87989414376982178</v>
      </c>
      <c r="C102" s="3487">
        <v>0.89399629009636739</v>
      </c>
      <c r="D102" s="3488">
        <v>0.87761458622070321</v>
      </c>
      <c r="E102" s="3489">
        <v>0.81126555373960585</v>
      </c>
      <c r="F102" s="3448"/>
      <c r="G102" s="3449"/>
      <c r="H102" s="3450"/>
      <c r="I102" s="3451"/>
      <c r="J102" s="3448"/>
      <c r="K102" s="3449"/>
      <c r="L102" s="3450"/>
      <c r="M102" s="3452"/>
    </row>
    <row r="103" spans="1:13" ht="12.75" customHeight="1">
      <c r="A103" s="3447">
        <f t="shared" si="1"/>
        <v>2000.1</v>
      </c>
      <c r="B103" s="3487">
        <v>0.87715588398630562</v>
      </c>
      <c r="C103" s="3487">
        <v>0.89218658100710346</v>
      </c>
      <c r="D103" s="3488">
        <v>0.87386809919308006</v>
      </c>
      <c r="E103" s="3489">
        <v>0.80960821859407039</v>
      </c>
      <c r="F103" s="3448"/>
      <c r="G103" s="3449"/>
      <c r="H103" s="3450"/>
      <c r="I103" s="3451"/>
      <c r="J103" s="3448"/>
      <c r="K103" s="3449"/>
      <c r="L103" s="3450"/>
      <c r="M103" s="3452"/>
    </row>
    <row r="104" spans="1:13" ht="12.75" customHeight="1">
      <c r="A104" s="3447">
        <f t="shared" si="1"/>
        <v>2000.11</v>
      </c>
      <c r="B104" s="3487">
        <v>0.87441762420278957</v>
      </c>
      <c r="C104" s="3487">
        <v>0.89037687191783965</v>
      </c>
      <c r="D104" s="3488">
        <v>0.86918499040855124</v>
      </c>
      <c r="E104" s="3489">
        <v>0.81043688616683807</v>
      </c>
      <c r="F104" s="3448"/>
      <c r="G104" s="3449"/>
      <c r="H104" s="3450"/>
      <c r="I104" s="3451"/>
      <c r="J104" s="3448"/>
      <c r="K104" s="3449"/>
      <c r="L104" s="3450"/>
      <c r="M104" s="3452"/>
    </row>
    <row r="105" spans="1:13" ht="12.75" customHeight="1">
      <c r="A105" s="3447">
        <f t="shared" si="1"/>
        <v>2000.12</v>
      </c>
      <c r="B105" s="3487">
        <v>0.87167936441927352</v>
      </c>
      <c r="C105" s="3487">
        <v>0.88947201737320758</v>
      </c>
      <c r="D105" s="3488">
        <v>0.86450188162402242</v>
      </c>
      <c r="E105" s="3489">
        <v>0.80795088344853494</v>
      </c>
      <c r="F105" s="3448"/>
      <c r="G105" s="3449"/>
      <c r="H105" s="3450"/>
      <c r="I105" s="3451"/>
      <c r="J105" s="3448"/>
      <c r="K105" s="3449"/>
      <c r="L105" s="3450"/>
      <c r="M105" s="3452"/>
    </row>
    <row r="106" spans="1:13" ht="12.75" customHeight="1">
      <c r="A106" s="3447">
        <f t="shared" si="1"/>
        <v>2001.01</v>
      </c>
      <c r="B106" s="3487">
        <v>0.87167936441927352</v>
      </c>
      <c r="C106" s="3487">
        <v>0.88947201737320758</v>
      </c>
      <c r="D106" s="3488">
        <v>0.86450188162402242</v>
      </c>
      <c r="E106" s="3489">
        <v>0.81043688616683807</v>
      </c>
      <c r="F106" s="3448"/>
      <c r="G106" s="3449"/>
      <c r="H106" s="3450"/>
      <c r="I106" s="3451"/>
      <c r="J106" s="3448"/>
      <c r="K106" s="3449"/>
      <c r="L106" s="3450"/>
      <c r="M106" s="3452"/>
    </row>
    <row r="107" spans="1:13" ht="12.75" customHeight="1">
      <c r="A107" s="3447">
        <f t="shared" si="1"/>
        <v>2001.02</v>
      </c>
      <c r="B107" s="3487">
        <v>0.87167936441927352</v>
      </c>
      <c r="C107" s="3487">
        <v>0.88766230828394366</v>
      </c>
      <c r="D107" s="3488">
        <v>0.86543850338092831</v>
      </c>
      <c r="E107" s="3489">
        <v>0.80960821859407039</v>
      </c>
      <c r="F107" s="3448"/>
      <c r="G107" s="3449"/>
      <c r="H107" s="3450"/>
      <c r="I107" s="3451"/>
      <c r="J107" s="3448"/>
      <c r="K107" s="3449"/>
      <c r="L107" s="3450"/>
      <c r="M107" s="3452"/>
    </row>
    <row r="108" spans="1:13" ht="12.75" customHeight="1">
      <c r="A108" s="3447">
        <f t="shared" si="1"/>
        <v>2001.03</v>
      </c>
      <c r="B108" s="3487">
        <v>0.88628341659802568</v>
      </c>
      <c r="C108" s="3487">
        <v>0.88675745373931181</v>
      </c>
      <c r="D108" s="3488">
        <v>0.89915688662953586</v>
      </c>
      <c r="E108" s="3489">
        <v>0.81043688616683807</v>
      </c>
      <c r="F108" s="3448"/>
      <c r="G108" s="3449"/>
      <c r="H108" s="3450"/>
      <c r="I108" s="3451"/>
      <c r="J108" s="3448"/>
      <c r="K108" s="3449"/>
      <c r="L108" s="3450"/>
      <c r="M108" s="3452"/>
    </row>
    <row r="109" spans="1:13" ht="12.75" customHeight="1">
      <c r="A109" s="3447">
        <f t="shared" si="1"/>
        <v>2001.04</v>
      </c>
      <c r="B109" s="3487">
        <v>0.88628341659802568</v>
      </c>
      <c r="C109" s="3487">
        <v>0.88585259919467996</v>
      </c>
      <c r="D109" s="3488">
        <v>0.90009350838644153</v>
      </c>
      <c r="E109" s="3489">
        <v>0.80712221587576727</v>
      </c>
      <c r="F109" s="3448"/>
      <c r="G109" s="3449"/>
      <c r="H109" s="3450"/>
      <c r="I109" s="3451"/>
      <c r="J109" s="3448"/>
      <c r="K109" s="3449"/>
      <c r="L109" s="3450"/>
      <c r="M109" s="3452"/>
    </row>
    <row r="110" spans="1:13" ht="12.75" customHeight="1">
      <c r="A110" s="3447">
        <f t="shared" si="1"/>
        <v>2001.05</v>
      </c>
      <c r="B110" s="3487">
        <v>0.88445791007568175</v>
      </c>
      <c r="C110" s="3487">
        <v>0.88585259919467996</v>
      </c>
      <c r="D110" s="3488">
        <v>0.8963470213588185</v>
      </c>
      <c r="E110" s="3489">
        <v>0.80877955102130272</v>
      </c>
      <c r="F110" s="3448"/>
      <c r="G110" s="3449"/>
      <c r="H110" s="3450"/>
      <c r="I110" s="3451"/>
      <c r="J110" s="3448"/>
      <c r="K110" s="3449"/>
      <c r="L110" s="3450"/>
      <c r="M110" s="3452"/>
    </row>
    <row r="111" spans="1:13" ht="12.75" customHeight="1">
      <c r="A111" s="3447">
        <f t="shared" si="1"/>
        <v>2001.06</v>
      </c>
      <c r="B111" s="3487">
        <v>0.88171965029216559</v>
      </c>
      <c r="C111" s="3487">
        <v>0.88404289010541603</v>
      </c>
      <c r="D111" s="3488">
        <v>0.89260053433119535</v>
      </c>
      <c r="E111" s="3489">
        <v>0.81043688616683818</v>
      </c>
      <c r="F111" s="3448"/>
      <c r="G111" s="3449"/>
      <c r="H111" s="3450"/>
      <c r="I111" s="3451"/>
      <c r="J111" s="3448"/>
      <c r="K111" s="3449"/>
      <c r="L111" s="3450"/>
      <c r="M111" s="3452"/>
    </row>
    <row r="112" spans="1:13" ht="12.75" customHeight="1">
      <c r="A112" s="3447">
        <f t="shared" si="1"/>
        <v>2001.07</v>
      </c>
      <c r="B112" s="3487">
        <v>0.87989414376982167</v>
      </c>
      <c r="C112" s="3487">
        <v>0.88404289010541603</v>
      </c>
      <c r="D112" s="3488">
        <v>0.88698080378976074</v>
      </c>
      <c r="E112" s="3489">
        <v>0.81458022403067687</v>
      </c>
      <c r="F112" s="3448"/>
      <c r="G112" s="3449"/>
      <c r="H112" s="3450"/>
      <c r="I112" s="3451"/>
      <c r="J112" s="3448"/>
      <c r="K112" s="3449"/>
      <c r="L112" s="3450"/>
      <c r="M112" s="3452"/>
    </row>
    <row r="113" spans="1:13" ht="12.75" customHeight="1">
      <c r="A113" s="3447">
        <f t="shared" si="1"/>
        <v>2001.08</v>
      </c>
      <c r="B113" s="3487">
        <v>0.87350487094161755</v>
      </c>
      <c r="C113" s="3487">
        <v>0.87951861738225623</v>
      </c>
      <c r="D113" s="3488">
        <v>0.87948782973451467</v>
      </c>
      <c r="E113" s="3489">
        <v>0.81043688616683818</v>
      </c>
      <c r="F113" s="3448"/>
      <c r="G113" s="3449"/>
      <c r="H113" s="3450"/>
      <c r="I113" s="3451"/>
      <c r="J113" s="3448"/>
      <c r="K113" s="3449"/>
      <c r="L113" s="3450"/>
      <c r="M113" s="3452"/>
    </row>
    <row r="114" spans="1:13" ht="12.75" customHeight="1">
      <c r="A114" s="3447">
        <f t="shared" si="1"/>
        <v>2001.09</v>
      </c>
      <c r="B114" s="3487">
        <v>0.86985385789692937</v>
      </c>
      <c r="C114" s="3487">
        <v>0.87951861738225623</v>
      </c>
      <c r="D114" s="3488">
        <v>0.87199485567926849</v>
      </c>
      <c r="E114" s="3489">
        <v>0.80877955102130272</v>
      </c>
      <c r="F114" s="3448"/>
      <c r="G114" s="3449"/>
      <c r="H114" s="3450"/>
      <c r="I114" s="3451"/>
      <c r="J114" s="3448"/>
      <c r="K114" s="3449"/>
      <c r="L114" s="3450"/>
      <c r="M114" s="3452"/>
    </row>
    <row r="115" spans="1:13" ht="12.75" customHeight="1">
      <c r="A115" s="3447">
        <f t="shared" si="1"/>
        <v>2001.1</v>
      </c>
      <c r="B115" s="3487">
        <v>0.86894110463575747</v>
      </c>
      <c r="C115" s="3487">
        <v>0.87861376283762416</v>
      </c>
      <c r="D115" s="3488">
        <v>0.87012161216545703</v>
      </c>
      <c r="E115" s="3489">
        <v>0.8062935483029996</v>
      </c>
      <c r="F115" s="3448"/>
      <c r="G115" s="3449"/>
      <c r="H115" s="3450"/>
      <c r="I115" s="3451"/>
      <c r="J115" s="3448"/>
      <c r="K115" s="3449"/>
      <c r="L115" s="3450"/>
      <c r="M115" s="3452"/>
    </row>
    <row r="116" spans="1:13" ht="12.75" customHeight="1">
      <c r="A116" s="3447">
        <f t="shared" si="1"/>
        <v>2001.11</v>
      </c>
      <c r="B116" s="3487">
        <v>0.86894110463575747</v>
      </c>
      <c r="C116" s="3487">
        <v>0.87680405374836035</v>
      </c>
      <c r="D116" s="3488">
        <v>0.87386809919307995</v>
      </c>
      <c r="E116" s="3489">
        <v>0.80132154286639334</v>
      </c>
      <c r="F116" s="3448"/>
      <c r="G116" s="3449"/>
      <c r="H116" s="3450"/>
      <c r="I116" s="3451"/>
      <c r="J116" s="3448"/>
      <c r="K116" s="3449"/>
      <c r="L116" s="3450"/>
      <c r="M116" s="3452"/>
    </row>
    <row r="117" spans="1:13" ht="12.75" customHeight="1">
      <c r="A117" s="3447">
        <f t="shared" si="1"/>
        <v>2001.12</v>
      </c>
      <c r="B117" s="3487">
        <v>0.86711559811341343</v>
      </c>
      <c r="C117" s="3487">
        <v>0.8731846355698325</v>
      </c>
      <c r="D117" s="3488">
        <v>0.87293147743617427</v>
      </c>
      <c r="E117" s="3489">
        <v>0.80132154286639334</v>
      </c>
      <c r="F117" s="3448"/>
      <c r="G117" s="3449"/>
      <c r="H117" s="3450"/>
      <c r="I117" s="3451"/>
      <c r="J117" s="3448"/>
      <c r="K117" s="3449"/>
      <c r="L117" s="3450"/>
      <c r="M117" s="3452"/>
    </row>
    <row r="118" spans="1:13" ht="12.75" customHeight="1">
      <c r="A118" s="3447">
        <f t="shared" si="1"/>
        <v>2002.01</v>
      </c>
      <c r="B118" s="3487">
        <v>0.89084718290388576</v>
      </c>
      <c r="C118" s="3487">
        <v>0.92114192643532578</v>
      </c>
      <c r="D118" s="3488">
        <v>0.87199485567926849</v>
      </c>
      <c r="E118" s="3489">
        <v>0.81292288888514153</v>
      </c>
      <c r="F118" s="3448"/>
      <c r="G118" s="3449"/>
      <c r="H118" s="3450"/>
      <c r="I118" s="3451"/>
      <c r="J118" s="3448"/>
      <c r="K118" s="3449"/>
      <c r="L118" s="3450"/>
      <c r="M118" s="3452"/>
    </row>
    <row r="119" spans="1:13" ht="12.75" customHeight="1">
      <c r="A119" s="3447">
        <f t="shared" si="1"/>
        <v>2002.02</v>
      </c>
      <c r="B119" s="3487">
        <v>0.94013585900717445</v>
      </c>
      <c r="C119" s="3487">
        <v>1.0261050536126322</v>
      </c>
      <c r="D119" s="3488">
        <v>0.87293147743617427</v>
      </c>
      <c r="E119" s="3489">
        <v>0.82452423490388982</v>
      </c>
      <c r="F119" s="3448"/>
      <c r="G119" s="3449"/>
      <c r="H119" s="3450"/>
      <c r="I119" s="3451"/>
      <c r="J119" s="3448"/>
      <c r="K119" s="3449"/>
      <c r="L119" s="3450"/>
      <c r="M119" s="3452"/>
    </row>
    <row r="120" spans="1:13" ht="12.75" customHeight="1">
      <c r="A120" s="3447">
        <f t="shared" si="1"/>
        <v>2002.03</v>
      </c>
      <c r="B120" s="3487">
        <v>0.98029700249874319</v>
      </c>
      <c r="C120" s="3487">
        <v>1.1075419626295075</v>
      </c>
      <c r="D120" s="3488">
        <v>0.87574134270689163</v>
      </c>
      <c r="E120" s="3489">
        <v>0.83032490791326385</v>
      </c>
      <c r="F120" s="3448"/>
      <c r="G120" s="3449"/>
      <c r="H120" s="3450"/>
      <c r="I120" s="3451"/>
      <c r="J120" s="3448"/>
      <c r="K120" s="3449"/>
      <c r="L120" s="3450"/>
      <c r="M120" s="3452"/>
    </row>
    <row r="121" spans="1:13" ht="12.75" customHeight="1">
      <c r="A121" s="3447">
        <f t="shared" si="1"/>
        <v>2002.04</v>
      </c>
      <c r="B121" s="3487">
        <v>1.0441897307807841</v>
      </c>
      <c r="C121" s="3487">
        <v>1.2324118897887166</v>
      </c>
      <c r="D121" s="3488">
        <v>0.88136107324832613</v>
      </c>
      <c r="E121" s="3489">
        <v>0.87010095140611476</v>
      </c>
      <c r="F121" s="3448"/>
      <c r="G121" s="3449"/>
      <c r="H121" s="3450"/>
      <c r="I121" s="3451"/>
      <c r="J121" s="3448"/>
      <c r="K121" s="3449"/>
      <c r="L121" s="3450"/>
      <c r="M121" s="3452"/>
    </row>
    <row r="122" spans="1:13" ht="12.75" customHeight="1">
      <c r="A122" s="3447">
        <f t="shared" si="1"/>
        <v>2002.05</v>
      </c>
      <c r="B122" s="3487">
        <v>1.0889146405782126</v>
      </c>
      <c r="C122" s="3487">
        <v>1.323802198796544</v>
      </c>
      <c r="D122" s="3488">
        <v>0.88417093851904349</v>
      </c>
      <c r="E122" s="3489">
        <v>0.88750297043423709</v>
      </c>
      <c r="F122" s="3448"/>
      <c r="G122" s="3449"/>
      <c r="H122" s="3450"/>
      <c r="I122" s="3451"/>
      <c r="J122" s="3448"/>
      <c r="K122" s="3449"/>
      <c r="L122" s="3450"/>
      <c r="M122" s="3452"/>
    </row>
    <row r="123" spans="1:13" ht="12.75" customHeight="1">
      <c r="A123" s="3447">
        <f t="shared" si="1"/>
        <v>2002.06</v>
      </c>
      <c r="B123" s="3487">
        <v>1.1226865112415771</v>
      </c>
      <c r="C123" s="3487">
        <v>1.3889517260100444</v>
      </c>
      <c r="D123" s="3488">
        <v>0.88604418203285495</v>
      </c>
      <c r="E123" s="3489">
        <v>0.91153433004450135</v>
      </c>
      <c r="F123" s="3448"/>
      <c r="G123" s="3449"/>
      <c r="H123" s="3450"/>
      <c r="I123" s="3451"/>
      <c r="J123" s="3448"/>
      <c r="K123" s="3449"/>
      <c r="L123" s="3450"/>
      <c r="M123" s="3452"/>
    </row>
    <row r="124" spans="1:13" ht="12.75" customHeight="1">
      <c r="A124" s="3447">
        <f t="shared" si="1"/>
        <v>2002.07</v>
      </c>
      <c r="B124" s="3487">
        <v>1.1719751873448658</v>
      </c>
      <c r="C124" s="3487">
        <v>1.4378138714201696</v>
      </c>
      <c r="D124" s="3488">
        <v>0.93662175690576632</v>
      </c>
      <c r="E124" s="3489">
        <v>0.95545371140119084</v>
      </c>
      <c r="F124" s="3448"/>
      <c r="G124" s="3449"/>
      <c r="H124" s="3450"/>
      <c r="I124" s="3451"/>
      <c r="J124" s="3448"/>
      <c r="K124" s="3449"/>
      <c r="L124" s="3450"/>
      <c r="M124" s="3452"/>
    </row>
    <row r="125" spans="1:13" ht="12.75" customHeight="1">
      <c r="A125" s="3447">
        <f t="shared" si="1"/>
        <v>2002.08</v>
      </c>
      <c r="B125" s="3487">
        <v>1.1938812656129942</v>
      </c>
      <c r="C125" s="3487">
        <v>1.4631497986698641</v>
      </c>
      <c r="D125" s="3488">
        <v>0.95348094853007015</v>
      </c>
      <c r="E125" s="3489">
        <v>0.98197107372975811</v>
      </c>
      <c r="F125" s="3448"/>
      <c r="G125" s="3449"/>
      <c r="H125" s="3450"/>
      <c r="I125" s="3451"/>
      <c r="J125" s="3448"/>
      <c r="K125" s="3449"/>
      <c r="L125" s="3450"/>
      <c r="M125" s="3452"/>
    </row>
    <row r="126" spans="1:13" ht="12.75" customHeight="1">
      <c r="A126" s="3447">
        <f t="shared" si="1"/>
        <v>2002.09</v>
      </c>
      <c r="B126" s="3487">
        <v>1.2084853177917463</v>
      </c>
      <c r="C126" s="3487">
        <v>1.4857711622856626</v>
      </c>
      <c r="D126" s="3488">
        <v>0.96097392258531622</v>
      </c>
      <c r="E126" s="3489">
        <v>0.99440108732127408</v>
      </c>
      <c r="F126" s="3448"/>
      <c r="G126" s="3449"/>
      <c r="H126" s="3450"/>
      <c r="I126" s="3451"/>
      <c r="J126" s="3448"/>
      <c r="K126" s="3449"/>
      <c r="L126" s="3450"/>
      <c r="M126" s="3452"/>
    </row>
    <row r="127" spans="1:13" ht="12.75" customHeight="1">
      <c r="A127" s="3447">
        <f t="shared" si="1"/>
        <v>2002.1</v>
      </c>
      <c r="B127" s="3487">
        <v>1.2148745906199503</v>
      </c>
      <c r="C127" s="3487">
        <v>1.5047731077229338</v>
      </c>
      <c r="D127" s="3488">
        <v>0.95535419204388172</v>
      </c>
      <c r="E127" s="3489">
        <v>0.99854442518511266</v>
      </c>
      <c r="F127" s="3448"/>
      <c r="G127" s="3449"/>
      <c r="H127" s="3450"/>
      <c r="I127" s="3451"/>
      <c r="J127" s="3448"/>
      <c r="K127" s="3449"/>
      <c r="L127" s="3450"/>
      <c r="M127" s="3452"/>
    </row>
    <row r="128" spans="1:13" ht="12.75" customHeight="1">
      <c r="A128" s="3447">
        <f t="shared" si="1"/>
        <v>2002.11</v>
      </c>
      <c r="B128" s="3487">
        <v>1.2221766167093266</v>
      </c>
      <c r="C128" s="3487">
        <v>1.5165362168031491</v>
      </c>
      <c r="D128" s="3488">
        <v>0.95910067907150476</v>
      </c>
      <c r="E128" s="3489">
        <v>1.0026877630489512</v>
      </c>
      <c r="F128" s="3448"/>
      <c r="G128" s="3449"/>
      <c r="H128" s="3450"/>
      <c r="I128" s="3451"/>
      <c r="J128" s="3448"/>
      <c r="K128" s="3449"/>
      <c r="L128" s="3450"/>
      <c r="M128" s="3452"/>
    </row>
    <row r="129" spans="1:13" ht="12.75" customHeight="1">
      <c r="A129" s="3447">
        <f t="shared" si="1"/>
        <v>2002.12</v>
      </c>
      <c r="B129" s="3487">
        <v>1.2249148764928426</v>
      </c>
      <c r="C129" s="3487">
        <v>1.5192507804370452</v>
      </c>
      <c r="D129" s="3488">
        <v>0.96284716609912779</v>
      </c>
      <c r="E129" s="3489">
        <v>1.003516430621719</v>
      </c>
      <c r="F129" s="3448"/>
      <c r="G129" s="3449"/>
      <c r="H129" s="3450"/>
      <c r="I129" s="3451"/>
      <c r="J129" s="3448"/>
      <c r="K129" s="3449"/>
      <c r="L129" s="3450"/>
      <c r="M129" s="3452"/>
    </row>
    <row r="130" spans="1:13" ht="12.75" customHeight="1">
      <c r="A130" s="3447">
        <f t="shared" si="1"/>
        <v>2003.01</v>
      </c>
      <c r="B130" s="3487">
        <v>1.2386061754104229</v>
      </c>
      <c r="C130" s="3487">
        <v>1.5138216531692537</v>
      </c>
      <c r="D130" s="3488">
        <v>0.99469230583392398</v>
      </c>
      <c r="E130" s="3489">
        <v>1.0258904550864478</v>
      </c>
      <c r="F130" s="3448"/>
      <c r="G130" s="3449"/>
      <c r="H130" s="3450"/>
      <c r="I130" s="3451"/>
      <c r="J130" s="3448"/>
      <c r="K130" s="3449"/>
      <c r="L130" s="3450"/>
      <c r="M130" s="3452"/>
    </row>
    <row r="131" spans="1:13" ht="12.75" customHeight="1">
      <c r="A131" s="3447">
        <f t="shared" si="1"/>
        <v>2003.02</v>
      </c>
      <c r="B131" s="3487">
        <v>1.2386061754104229</v>
      </c>
      <c r="C131" s="3487">
        <v>1.5120119440799895</v>
      </c>
      <c r="D131" s="3488">
        <v>0.99188244056320674</v>
      </c>
      <c r="E131" s="3489">
        <v>1.0358344659596606</v>
      </c>
      <c r="F131" s="3448"/>
      <c r="G131" s="3449"/>
      <c r="H131" s="3450"/>
      <c r="I131" s="3451"/>
      <c r="J131" s="3448"/>
      <c r="K131" s="3449"/>
      <c r="L131" s="3450"/>
      <c r="M131" s="3452"/>
    </row>
    <row r="132" spans="1:13" ht="12.75" customHeight="1">
      <c r="A132" s="3447">
        <f t="shared" si="1"/>
        <v>2003.03</v>
      </c>
      <c r="B132" s="3487">
        <v>1.2440826949774553</v>
      </c>
      <c r="C132" s="3487">
        <v>1.5156313622585174</v>
      </c>
      <c r="D132" s="3488">
        <v>0.99937541461845292</v>
      </c>
      <c r="E132" s="3489">
        <v>1.049921814696712</v>
      </c>
      <c r="F132" s="3448"/>
      <c r="G132" s="3449"/>
      <c r="H132" s="3450"/>
      <c r="I132" s="3451"/>
      <c r="J132" s="3448"/>
      <c r="K132" s="3449"/>
      <c r="L132" s="3450"/>
      <c r="M132" s="3452"/>
    </row>
    <row r="133" spans="1:13" ht="12.75" customHeight="1">
      <c r="A133" s="3447">
        <f t="shared" si="1"/>
        <v>2003.04</v>
      </c>
      <c r="B133" s="3487">
        <v>1.237693422149251</v>
      </c>
      <c r="C133" s="3487">
        <v>1.5165362168031493</v>
      </c>
      <c r="D133" s="3488">
        <v>0.98345284475105488</v>
      </c>
      <c r="E133" s="3489">
        <v>1.049921814696712</v>
      </c>
      <c r="F133" s="3448"/>
      <c r="G133" s="3449"/>
      <c r="H133" s="3450"/>
      <c r="I133" s="3451"/>
      <c r="J133" s="3448"/>
      <c r="K133" s="3449"/>
      <c r="L133" s="3450"/>
      <c r="M133" s="3452"/>
    </row>
    <row r="134" spans="1:13" ht="12.75" customHeight="1">
      <c r="A134" s="3447">
        <f t="shared" si="1"/>
        <v>2003.05</v>
      </c>
      <c r="B134" s="3487">
        <v>1.2550357341115193</v>
      </c>
      <c r="C134" s="3487">
        <v>1.5156313622585174</v>
      </c>
      <c r="D134" s="3488">
        <v>1.0181078497565683</v>
      </c>
      <c r="E134" s="3489">
        <v>1.0722958391614408</v>
      </c>
      <c r="F134" s="3448"/>
      <c r="G134" s="3449"/>
      <c r="H134" s="3450"/>
      <c r="I134" s="3451"/>
      <c r="J134" s="3448"/>
      <c r="K134" s="3449"/>
      <c r="L134" s="3450"/>
      <c r="M134" s="3452"/>
    </row>
    <row r="135" spans="1:13" ht="12.75" customHeight="1">
      <c r="A135" s="3447">
        <f t="shared" si="1"/>
        <v>2003.06</v>
      </c>
      <c r="B135" s="3487">
        <v>1.2559484873726912</v>
      </c>
      <c r="C135" s="3487">
        <v>1.5174410713477813</v>
      </c>
      <c r="D135" s="3488">
        <v>1.0181078497565683</v>
      </c>
      <c r="E135" s="3489">
        <v>1.0772678445980473</v>
      </c>
      <c r="F135" s="3448"/>
      <c r="G135" s="3449"/>
      <c r="H135" s="3450"/>
      <c r="I135" s="3451"/>
      <c r="J135" s="3448"/>
      <c r="K135" s="3449"/>
      <c r="L135" s="3450"/>
      <c r="M135" s="3452"/>
    </row>
    <row r="136" spans="1:13" ht="12.75" customHeight="1">
      <c r="A136" s="3447">
        <f t="shared" si="1"/>
        <v>2003.07</v>
      </c>
      <c r="B136" s="3487">
        <v>1.2659887732455832</v>
      </c>
      <c r="C136" s="3487">
        <v>1.5192507804370454</v>
      </c>
      <c r="D136" s="3488">
        <v>1.0377769066515892</v>
      </c>
      <c r="E136" s="3489">
        <v>1.0814111824618859</v>
      </c>
      <c r="F136" s="3448"/>
      <c r="G136" s="3449"/>
      <c r="H136" s="3450"/>
      <c r="I136" s="3451"/>
      <c r="J136" s="3448"/>
      <c r="K136" s="3449"/>
      <c r="L136" s="3450"/>
      <c r="M136" s="3452"/>
    </row>
    <row r="137" spans="1:13" ht="12.75" customHeight="1">
      <c r="A137" s="3447">
        <f t="shared" si="1"/>
        <v>2003.08</v>
      </c>
      <c r="B137" s="3487">
        <v>1.2860693449913676</v>
      </c>
      <c r="C137" s="3487">
        <v>1.5310138895172607</v>
      </c>
      <c r="D137" s="3488">
        <v>1.0696220463863853</v>
      </c>
      <c r="E137" s="3489">
        <v>1.0847258527529569</v>
      </c>
      <c r="F137" s="3448"/>
      <c r="G137" s="3449"/>
      <c r="H137" s="3450"/>
      <c r="I137" s="3451"/>
      <c r="J137" s="3448"/>
      <c r="K137" s="3449"/>
      <c r="L137" s="3450"/>
      <c r="M137" s="3452"/>
    </row>
    <row r="138" spans="1:13" ht="12.75" customHeight="1">
      <c r="A138" s="3447">
        <f t="shared" si="1"/>
        <v>2003.09</v>
      </c>
      <c r="B138" s="3487">
        <v>1.3015861504312918</v>
      </c>
      <c r="C138" s="3487">
        <v>1.5436818531421079</v>
      </c>
      <c r="D138" s="3488">
        <v>1.0883544815245005</v>
      </c>
      <c r="E138" s="3489">
        <v>1.0921838609078665</v>
      </c>
      <c r="F138" s="3448"/>
      <c r="G138" s="3449"/>
      <c r="H138" s="3450"/>
      <c r="I138" s="3451"/>
      <c r="J138" s="3448"/>
      <c r="K138" s="3449"/>
      <c r="L138" s="3450"/>
      <c r="M138" s="3452"/>
    </row>
    <row r="139" spans="1:13" ht="12.75" customHeight="1">
      <c r="A139" s="3447">
        <f t="shared" si="1"/>
        <v>2003.1</v>
      </c>
      <c r="B139" s="3487">
        <v>1.3152774493488721</v>
      </c>
      <c r="C139" s="3487">
        <v>1.5463964167760038</v>
      </c>
      <c r="D139" s="3488">
        <v>1.1145798907178621</v>
      </c>
      <c r="E139" s="3489">
        <v>1.1029565393538467</v>
      </c>
      <c r="F139" s="3448"/>
      <c r="G139" s="3449"/>
      <c r="H139" s="3450"/>
      <c r="I139" s="3451"/>
      <c r="J139" s="3448"/>
      <c r="K139" s="3449"/>
      <c r="L139" s="3450"/>
      <c r="M139" s="3452"/>
    </row>
    <row r="140" spans="1:13" ht="12.75" customHeight="1">
      <c r="A140" s="3447">
        <f t="shared" si="1"/>
        <v>2003.11</v>
      </c>
      <c r="B140" s="3487">
        <v>1.3307942547887965</v>
      </c>
      <c r="C140" s="3487">
        <v>1.560874089490115</v>
      </c>
      <c r="D140" s="3488">
        <v>1.1333123258559774</v>
      </c>
      <c r="E140" s="3489">
        <v>1.1095858799359888</v>
      </c>
      <c r="F140" s="3448"/>
      <c r="G140" s="3449"/>
      <c r="H140" s="3450"/>
      <c r="I140" s="3451"/>
      <c r="J140" s="3448"/>
      <c r="K140" s="3449"/>
      <c r="L140" s="3450"/>
      <c r="M140" s="3452"/>
    </row>
    <row r="141" spans="1:13" ht="12.75" customHeight="1">
      <c r="A141" s="3447">
        <f t="shared" si="1"/>
        <v>2003.12</v>
      </c>
      <c r="B141" s="3487">
        <v>1.3481365667510645</v>
      </c>
      <c r="C141" s="3487">
        <v>1.5780663258381222</v>
      </c>
      <c r="D141" s="3488">
        <v>1.1539180045079045</v>
      </c>
      <c r="E141" s="3489">
        <v>1.1170438880908986</v>
      </c>
      <c r="F141" s="3448"/>
      <c r="G141" s="3449"/>
      <c r="H141" s="3450"/>
      <c r="I141" s="3451"/>
      <c r="J141" s="3448"/>
      <c r="K141" s="3449"/>
      <c r="L141" s="3450"/>
      <c r="M141" s="3452"/>
    </row>
    <row r="142" spans="1:13" ht="12.75" customHeight="1">
      <c r="A142" s="3447">
        <f t="shared" si="1"/>
        <v>2004.01</v>
      </c>
      <c r="B142" s="3487">
        <v>1.3782574243697412</v>
      </c>
      <c r="C142" s="3487">
        <v>1.5880197258290736</v>
      </c>
      <c r="D142" s="3488">
        <v>1.2073054446515332</v>
      </c>
      <c r="E142" s="3489">
        <v>1.1319599044007176</v>
      </c>
      <c r="F142" s="3448"/>
      <c r="G142" s="3449"/>
      <c r="H142" s="3450"/>
      <c r="I142" s="3451"/>
      <c r="J142" s="3448"/>
      <c r="K142" s="3449"/>
      <c r="L142" s="3450"/>
      <c r="M142" s="3452"/>
    </row>
    <row r="143" spans="1:13" ht="12.75" customHeight="1">
      <c r="A143" s="3447">
        <f t="shared" si="1"/>
        <v>2004.02</v>
      </c>
      <c r="B143" s="3487">
        <v>1.4065527754660736</v>
      </c>
      <c r="C143" s="3487">
        <v>1.6160702167126639</v>
      </c>
      <c r="D143" s="3488">
        <v>1.2391505843863293</v>
      </c>
      <c r="E143" s="3489">
        <v>1.1501905910016079</v>
      </c>
      <c r="F143" s="3448"/>
      <c r="G143" s="3449"/>
      <c r="H143" s="3450"/>
      <c r="I143" s="3451"/>
      <c r="J143" s="3448"/>
      <c r="K143" s="3449"/>
      <c r="L143" s="3450"/>
      <c r="M143" s="3452"/>
    </row>
    <row r="144" spans="1:13" ht="12.75" customHeight="1">
      <c r="A144" s="3447">
        <f t="shared" si="1"/>
        <v>2004.03</v>
      </c>
      <c r="B144" s="3487">
        <v>1.4257205939506856</v>
      </c>
      <c r="C144" s="3487">
        <v>1.6522643984979422</v>
      </c>
      <c r="D144" s="3488">
        <v>1.2428970714139522</v>
      </c>
      <c r="E144" s="3489">
        <v>1.1518479261471433</v>
      </c>
      <c r="F144" s="3448"/>
      <c r="G144" s="3449"/>
      <c r="H144" s="3450"/>
      <c r="I144" s="3451"/>
      <c r="J144" s="3448"/>
      <c r="K144" s="3449"/>
      <c r="L144" s="3450"/>
      <c r="M144" s="3452"/>
    </row>
    <row r="145" spans="1:13" ht="12.75" customHeight="1">
      <c r="A145" s="3447">
        <f t="shared" si="1"/>
        <v>2004.04</v>
      </c>
      <c r="B145" s="3487">
        <v>1.439411892868266</v>
      </c>
      <c r="C145" s="3487">
        <v>1.6803148893815325</v>
      </c>
      <c r="D145" s="3488">
        <v>1.2428970714139522</v>
      </c>
      <c r="E145" s="3489">
        <v>1.1617919370203558</v>
      </c>
      <c r="F145" s="3448"/>
      <c r="G145" s="3449"/>
      <c r="H145" s="3450"/>
      <c r="I145" s="3451"/>
      <c r="J145" s="3448"/>
      <c r="K145" s="3449"/>
      <c r="L145" s="3450"/>
      <c r="M145" s="3452"/>
    </row>
    <row r="146" spans="1:13" ht="12.75" customHeight="1">
      <c r="A146" s="3447">
        <f t="shared" si="1"/>
        <v>2004.05</v>
      </c>
      <c r="B146" s="3487">
        <v>1.4521904385246742</v>
      </c>
      <c r="C146" s="3487">
        <v>1.7083653802651231</v>
      </c>
      <c r="D146" s="3488">
        <v>1.2419604496570467</v>
      </c>
      <c r="E146" s="3489">
        <v>1.1659352748841945</v>
      </c>
      <c r="F146" s="3448"/>
      <c r="G146" s="3449"/>
      <c r="H146" s="3450"/>
      <c r="I146" s="3451"/>
      <c r="J146" s="3448"/>
      <c r="K146" s="3449"/>
      <c r="L146" s="3450"/>
      <c r="M146" s="3452"/>
    </row>
    <row r="147" spans="1:13" ht="12.75" customHeight="1">
      <c r="A147" s="3447">
        <f t="shared" si="1"/>
        <v>2004.06</v>
      </c>
      <c r="B147" s="3487">
        <v>1.4622307243975661</v>
      </c>
      <c r="C147" s="3487">
        <v>1.7337013075148175</v>
      </c>
      <c r="D147" s="3488">
        <v>1.237277340872518</v>
      </c>
      <c r="E147" s="3489">
        <v>1.1700786127480329</v>
      </c>
      <c r="F147" s="3448"/>
      <c r="G147" s="3449"/>
      <c r="H147" s="3450"/>
      <c r="I147" s="3451"/>
      <c r="J147" s="3448"/>
      <c r="K147" s="3449"/>
      <c r="L147" s="3450"/>
      <c r="M147" s="3452"/>
    </row>
    <row r="148" spans="1:13" ht="12.75" customHeight="1">
      <c r="A148" s="3447">
        <f t="shared" si="1"/>
        <v>2004.07</v>
      </c>
      <c r="B148" s="3487">
        <v>1.4686199972257703</v>
      </c>
      <c r="C148" s="3487">
        <v>1.7472741256842967</v>
      </c>
      <c r="D148" s="3488">
        <v>1.2344674756018008</v>
      </c>
      <c r="E148" s="3489">
        <v>1.1808512911940134</v>
      </c>
      <c r="F148" s="3448"/>
      <c r="G148" s="3449"/>
      <c r="H148" s="3450"/>
      <c r="I148" s="3451"/>
      <c r="J148" s="3448"/>
      <c r="K148" s="3449"/>
      <c r="L148" s="3450"/>
      <c r="M148" s="3452"/>
    </row>
    <row r="149" spans="1:13" ht="12.75" customHeight="1">
      <c r="A149" s="3447">
        <f t="shared" si="1"/>
        <v>2004.08</v>
      </c>
      <c r="B149" s="3487">
        <v>1.4768347765763186</v>
      </c>
      <c r="C149" s="3487">
        <v>1.7635615074876718</v>
      </c>
      <c r="D149" s="3488">
        <v>1.2354040973587064</v>
      </c>
      <c r="E149" s="3489">
        <v>1.1833372939123168</v>
      </c>
      <c r="F149" s="3448"/>
      <c r="G149" s="3449"/>
      <c r="H149" s="3450"/>
      <c r="I149" s="3451"/>
      <c r="J149" s="3448"/>
      <c r="K149" s="3449"/>
      <c r="L149" s="3450"/>
      <c r="M149" s="3452"/>
    </row>
    <row r="150" spans="1:13" ht="12.75" customHeight="1">
      <c r="A150" s="3447">
        <f t="shared" si="1"/>
        <v>2004.09</v>
      </c>
      <c r="B150" s="3487">
        <v>1.4804857896210064</v>
      </c>
      <c r="C150" s="3487">
        <v>1.7698954893000953</v>
      </c>
      <c r="D150" s="3488">
        <v>1.2354040973587064</v>
      </c>
      <c r="E150" s="3489">
        <v>1.1949386399310646</v>
      </c>
      <c r="F150" s="3448"/>
      <c r="G150" s="3449"/>
      <c r="H150" s="3450"/>
      <c r="I150" s="3451"/>
      <c r="J150" s="3448"/>
      <c r="K150" s="3449"/>
      <c r="L150" s="3450"/>
      <c r="M150" s="3452"/>
    </row>
    <row r="151" spans="1:13" ht="12.75" customHeight="1">
      <c r="A151" s="3447">
        <f t="shared" ref="A151:A214" si="2">A139+1</f>
        <v>2004.1</v>
      </c>
      <c r="B151" s="3487">
        <v>1.4923515820162427</v>
      </c>
      <c r="C151" s="3487">
        <v>1.7870877256481026</v>
      </c>
      <c r="D151" s="3488">
        <v>1.2419604496570467</v>
      </c>
      <c r="E151" s="3489">
        <v>1.2007393129404389</v>
      </c>
      <c r="F151" s="3448"/>
      <c r="G151" s="3449"/>
      <c r="H151" s="3450"/>
      <c r="I151" s="3451"/>
      <c r="J151" s="3448"/>
      <c r="K151" s="3449"/>
      <c r="L151" s="3450"/>
      <c r="M151" s="3452"/>
    </row>
    <row r="152" spans="1:13" ht="12.75" customHeight="1">
      <c r="A152" s="3447">
        <f t="shared" si="2"/>
        <v>2004.11</v>
      </c>
      <c r="B152" s="3487">
        <v>1.4987408548444467</v>
      </c>
      <c r="C152" s="3487">
        <v>1.79975568927295</v>
      </c>
      <c r="D152" s="3488">
        <v>1.2419604496570467</v>
      </c>
      <c r="E152" s="3489">
        <v>1.2081973210953485</v>
      </c>
      <c r="F152" s="3448"/>
      <c r="G152" s="3449"/>
      <c r="H152" s="3450"/>
      <c r="I152" s="3451"/>
      <c r="J152" s="3448"/>
      <c r="K152" s="3449"/>
      <c r="L152" s="3450"/>
      <c r="M152" s="3452"/>
    </row>
    <row r="153" spans="1:13" ht="12.75" customHeight="1">
      <c r="A153" s="3447">
        <f t="shared" si="2"/>
        <v>2004.12</v>
      </c>
      <c r="B153" s="3487">
        <v>1.5060428809338231</v>
      </c>
      <c r="C153" s="3487">
        <v>1.8115187983531653</v>
      </c>
      <c r="D153" s="3488">
        <v>1.2438336931708585</v>
      </c>
      <c r="E153" s="3489">
        <v>1.2206273346868644</v>
      </c>
      <c r="F153" s="3448"/>
      <c r="G153" s="3449"/>
      <c r="H153" s="3450"/>
      <c r="I153" s="3451"/>
      <c r="J153" s="3448"/>
      <c r="K153" s="3449"/>
      <c r="L153" s="3450"/>
      <c r="M153" s="3452"/>
    </row>
    <row r="154" spans="1:13" ht="12.75" customHeight="1">
      <c r="A154" s="3447">
        <f t="shared" si="2"/>
        <v>2005.01</v>
      </c>
      <c r="B154" s="3487">
        <v>1.5498550374700797</v>
      </c>
      <c r="C154" s="3487">
        <v>1.8323304528797002</v>
      </c>
      <c r="D154" s="3488">
        <v>1.3112704596680738</v>
      </c>
      <c r="E154" s="3489">
        <v>1.2628893808980186</v>
      </c>
      <c r="F154" s="3448"/>
      <c r="G154" s="3449"/>
      <c r="H154" s="3450"/>
      <c r="I154" s="3451"/>
      <c r="J154" s="3448"/>
      <c r="K154" s="3449"/>
      <c r="L154" s="3450"/>
      <c r="M154" s="3452"/>
    </row>
    <row r="155" spans="1:13" ht="12.75" customHeight="1">
      <c r="A155" s="3447">
        <f t="shared" si="2"/>
        <v>2005.02</v>
      </c>
      <c r="B155" s="3487">
        <v>1.5562443102982839</v>
      </c>
      <c r="C155" s="3487">
        <v>1.8486178346830755</v>
      </c>
      <c r="D155" s="3488">
        <v>1.3047141073697335</v>
      </c>
      <c r="E155" s="3489">
        <v>1.2778053972078378</v>
      </c>
      <c r="F155" s="3448"/>
      <c r="G155" s="3449"/>
      <c r="H155" s="3450"/>
      <c r="I155" s="3451"/>
      <c r="J155" s="3448"/>
      <c r="K155" s="3449"/>
      <c r="L155" s="3450"/>
      <c r="M155" s="3452"/>
    </row>
    <row r="156" spans="1:13" ht="12.75" customHeight="1">
      <c r="A156" s="3447">
        <f t="shared" si="2"/>
        <v>2005.03</v>
      </c>
      <c r="B156" s="3487">
        <v>1.6128350124909487</v>
      </c>
      <c r="C156" s="3487">
        <v>1.8676197801203467</v>
      </c>
      <c r="D156" s="3488">
        <v>1.4039960136017446</v>
      </c>
      <c r="E156" s="3489">
        <v>1.3184101082734567</v>
      </c>
      <c r="F156" s="3448"/>
      <c r="G156" s="3449"/>
      <c r="H156" s="3450"/>
      <c r="I156" s="3451"/>
      <c r="J156" s="3448"/>
      <c r="K156" s="3449"/>
      <c r="L156" s="3450"/>
      <c r="M156" s="3452"/>
    </row>
    <row r="157" spans="1:13" ht="12.75" customHeight="1">
      <c r="A157" s="3447">
        <f t="shared" si="2"/>
        <v>2005.04</v>
      </c>
      <c r="B157" s="3487">
        <v>1.6475196364154852</v>
      </c>
      <c r="C157" s="3487">
        <v>1.8802877437451939</v>
      </c>
      <c r="D157" s="3488">
        <v>1.4639398060437137</v>
      </c>
      <c r="E157" s="3489">
        <v>1.3457561381747918</v>
      </c>
      <c r="F157" s="3448"/>
      <c r="G157" s="3449"/>
      <c r="H157" s="3450"/>
      <c r="I157" s="3451"/>
      <c r="J157" s="3448"/>
      <c r="K157" s="3449"/>
      <c r="L157" s="3450"/>
      <c r="M157" s="3452"/>
    </row>
    <row r="158" spans="1:13" ht="12.75" customHeight="1">
      <c r="A158" s="3447">
        <f t="shared" si="2"/>
        <v>2005.05</v>
      </c>
      <c r="B158" s="3487">
        <v>1.6602981820718934</v>
      </c>
      <c r="C158" s="3487">
        <v>1.8947654164593051</v>
      </c>
      <c r="D158" s="3488">
        <v>1.4779891323973002</v>
      </c>
      <c r="E158" s="3489">
        <v>1.350728143611398</v>
      </c>
      <c r="F158" s="3448"/>
      <c r="G158" s="3449"/>
      <c r="H158" s="3450"/>
      <c r="I158" s="3451"/>
      <c r="J158" s="3448"/>
      <c r="K158" s="3449"/>
      <c r="L158" s="3450"/>
      <c r="M158" s="3452"/>
    </row>
    <row r="159" spans="1:13" ht="12.75" customHeight="1">
      <c r="A159" s="3447">
        <f t="shared" si="2"/>
        <v>2005.06</v>
      </c>
      <c r="B159" s="3487">
        <v>1.6657747016389255</v>
      </c>
      <c r="C159" s="3487">
        <v>1.9020042528163605</v>
      </c>
      <c r="D159" s="3488">
        <v>1.4798623759111116</v>
      </c>
      <c r="E159" s="3489">
        <v>1.3573574841935399</v>
      </c>
      <c r="F159" s="3448"/>
      <c r="G159" s="3449"/>
      <c r="H159" s="3450"/>
      <c r="I159" s="3451"/>
      <c r="J159" s="3448"/>
      <c r="K159" s="3449"/>
      <c r="L159" s="3450"/>
      <c r="M159" s="3452"/>
    </row>
    <row r="160" spans="1:13" ht="12.75" customHeight="1">
      <c r="A160" s="3447">
        <f t="shared" si="2"/>
        <v>2005.07</v>
      </c>
      <c r="B160" s="3487">
        <v>1.6721639744671295</v>
      </c>
      <c r="C160" s="3487">
        <v>1.9110527982626802</v>
      </c>
      <c r="D160" s="3488">
        <v>1.4836088629387347</v>
      </c>
      <c r="E160" s="3489">
        <v>1.365644159921217</v>
      </c>
      <c r="F160" s="3448"/>
      <c r="G160" s="3449"/>
      <c r="H160" s="3450"/>
      <c r="I160" s="3451"/>
      <c r="J160" s="3448"/>
      <c r="K160" s="3449"/>
      <c r="L160" s="3450"/>
      <c r="M160" s="3452"/>
    </row>
    <row r="161" spans="1:13" ht="12.75" customHeight="1">
      <c r="A161" s="3447">
        <f t="shared" si="2"/>
        <v>2005.08</v>
      </c>
      <c r="B161" s="3487">
        <v>1.6867680266458818</v>
      </c>
      <c r="C161" s="3487">
        <v>1.9255304709767918</v>
      </c>
      <c r="D161" s="3488">
        <v>1.4967215675354155</v>
      </c>
      <c r="E161" s="3489">
        <v>1.3838748465221069</v>
      </c>
      <c r="F161" s="3448"/>
      <c r="G161" s="3449"/>
      <c r="H161" s="3450"/>
      <c r="I161" s="3451"/>
      <c r="J161" s="3448"/>
      <c r="K161" s="3449"/>
      <c r="L161" s="3450"/>
      <c r="M161" s="3452"/>
    </row>
    <row r="162" spans="1:13" ht="12.75" customHeight="1">
      <c r="A162" s="3447">
        <f t="shared" si="2"/>
        <v>2005.09</v>
      </c>
      <c r="B162" s="3487">
        <v>1.6968083125187738</v>
      </c>
      <c r="C162" s="3487">
        <v>1.9363887255123748</v>
      </c>
      <c r="D162" s="3488">
        <v>1.507024406861379</v>
      </c>
      <c r="E162" s="3489">
        <v>1.3863608492404103</v>
      </c>
      <c r="F162" s="3448"/>
      <c r="G162" s="3449"/>
      <c r="H162" s="3450"/>
      <c r="I162" s="3451"/>
      <c r="J162" s="3448"/>
      <c r="K162" s="3449"/>
      <c r="L162" s="3450"/>
      <c r="M162" s="3452"/>
    </row>
    <row r="163" spans="1:13" ht="12.75" customHeight="1">
      <c r="A163" s="3447">
        <f t="shared" si="2"/>
        <v>2005.1</v>
      </c>
      <c r="B163" s="3487">
        <v>1.7597882875396427</v>
      </c>
      <c r="C163" s="3487">
        <v>1.9535809618603819</v>
      </c>
      <c r="D163" s="3488">
        <v>1.6250387482315054</v>
      </c>
      <c r="E163" s="3489">
        <v>1.4137068791417453</v>
      </c>
      <c r="F163" s="3448"/>
      <c r="G163" s="3449"/>
      <c r="H163" s="3450"/>
      <c r="I163" s="3451"/>
      <c r="J163" s="3448"/>
      <c r="K163" s="3449"/>
      <c r="L163" s="3450"/>
      <c r="M163" s="3452"/>
    </row>
    <row r="164" spans="1:13" ht="12.75" customHeight="1">
      <c r="A164" s="3447">
        <f t="shared" si="2"/>
        <v>2005.11</v>
      </c>
      <c r="B164" s="3487">
        <v>1.8036004440758993</v>
      </c>
      <c r="C164" s="3487">
        <v>1.9816314527439725</v>
      </c>
      <c r="D164" s="3488">
        <v>1.6896656494580033</v>
      </c>
      <c r="E164" s="3489">
        <v>1.4377382387520095</v>
      </c>
      <c r="F164" s="3448"/>
      <c r="G164" s="3449"/>
      <c r="H164" s="3450"/>
      <c r="I164" s="3451"/>
      <c r="J164" s="3448"/>
      <c r="K164" s="3449"/>
      <c r="L164" s="3450"/>
      <c r="M164" s="3452"/>
    </row>
    <row r="165" spans="1:13" ht="12.75" customHeight="1">
      <c r="A165" s="3447">
        <f t="shared" si="2"/>
        <v>2005.12</v>
      </c>
      <c r="B165" s="3487">
        <v>1.8218555092993394</v>
      </c>
      <c r="C165" s="3487">
        <v>2.0006333981812432</v>
      </c>
      <c r="D165" s="3488">
        <v>1.7083980845961186</v>
      </c>
      <c r="E165" s="3489">
        <v>1.4501682523435253</v>
      </c>
      <c r="F165" s="3448"/>
      <c r="G165" s="3449"/>
      <c r="H165" s="3450"/>
      <c r="I165" s="3451"/>
      <c r="J165" s="3448"/>
      <c r="K165" s="3449"/>
      <c r="L165" s="3450"/>
      <c r="M165" s="3452"/>
    </row>
    <row r="166" spans="1:13" ht="12.75" customHeight="1">
      <c r="A166" s="3447">
        <f t="shared" si="2"/>
        <v>2006.01</v>
      </c>
      <c r="B166" s="3487">
        <v>1.8382850680004357</v>
      </c>
      <c r="C166" s="3487">
        <v>2.023254761797042</v>
      </c>
      <c r="D166" s="3488">
        <v>1.7205741674358936</v>
      </c>
      <c r="E166" s="3489">
        <v>1.4559689253528993</v>
      </c>
      <c r="F166" s="3448"/>
      <c r="G166" s="3449"/>
      <c r="H166" s="3450"/>
      <c r="I166" s="3451"/>
      <c r="J166" s="3448"/>
      <c r="K166" s="3449"/>
      <c r="L166" s="3450"/>
      <c r="M166" s="3452"/>
    </row>
    <row r="167" spans="1:13" ht="12.75" customHeight="1">
      <c r="A167" s="3447">
        <f t="shared" si="2"/>
        <v>2006.02</v>
      </c>
      <c r="B167" s="3487">
        <v>1.861103899529736</v>
      </c>
      <c r="C167" s="3487">
        <v>2.0476858345021047</v>
      </c>
      <c r="D167" s="3488">
        <v>1.7430530896016321</v>
      </c>
      <c r="E167" s="3489">
        <v>1.4700562740899508</v>
      </c>
      <c r="F167" s="3448"/>
      <c r="G167" s="3449"/>
      <c r="H167" s="3450"/>
      <c r="I167" s="3451"/>
      <c r="J167" s="3448"/>
      <c r="K167" s="3449"/>
      <c r="L167" s="3450"/>
      <c r="M167" s="3452"/>
    </row>
    <row r="168" spans="1:13" ht="12.75" customHeight="1">
      <c r="A168" s="3447">
        <f t="shared" si="2"/>
        <v>2006.03</v>
      </c>
      <c r="B168" s="3487">
        <v>1.886660990842552</v>
      </c>
      <c r="C168" s="3487">
        <v>2.076641179930327</v>
      </c>
      <c r="D168" s="3488">
        <v>1.7674052552811819</v>
      </c>
      <c r="E168" s="3489">
        <v>1.4891156282636084</v>
      </c>
      <c r="F168" s="3448"/>
      <c r="G168" s="3449"/>
      <c r="H168" s="3450"/>
      <c r="I168" s="3451"/>
      <c r="J168" s="3448"/>
      <c r="K168" s="3449"/>
      <c r="L168" s="3450"/>
      <c r="M168" s="3452"/>
    </row>
    <row r="169" spans="1:13" ht="12.75" customHeight="1">
      <c r="A169" s="3447">
        <f t="shared" si="2"/>
        <v>2006.04</v>
      </c>
      <c r="B169" s="3487">
        <v>1.9067415625883366</v>
      </c>
      <c r="C169" s="3487">
        <v>2.1101207980817094</v>
      </c>
      <c r="D169" s="3488">
        <v>1.7777080946071455</v>
      </c>
      <c r="E169" s="3489">
        <v>1.4891156282636084</v>
      </c>
      <c r="F169" s="3448"/>
      <c r="G169" s="3449"/>
      <c r="H169" s="3450"/>
      <c r="I169" s="3451"/>
      <c r="J169" s="3448"/>
      <c r="K169" s="3449"/>
      <c r="L169" s="3450"/>
      <c r="M169" s="3452"/>
    </row>
    <row r="170" spans="1:13" ht="12.75" customHeight="1">
      <c r="A170" s="3447">
        <f t="shared" si="2"/>
        <v>2006.05</v>
      </c>
      <c r="B170" s="3487">
        <v>1.9998423952278819</v>
      </c>
      <c r="C170" s="3487">
        <v>2.1861285798307932</v>
      </c>
      <c r="D170" s="3488">
        <v>1.8994689230048953</v>
      </c>
      <c r="E170" s="3489">
        <v>1.5305490069019949</v>
      </c>
      <c r="F170" s="3448"/>
      <c r="G170" s="3449"/>
      <c r="H170" s="3450"/>
      <c r="I170" s="3451"/>
      <c r="J170" s="3448"/>
      <c r="K170" s="3449"/>
      <c r="L170" s="3450"/>
      <c r="M170" s="3452"/>
    </row>
    <row r="171" spans="1:13" ht="12.75" customHeight="1">
      <c r="A171" s="3447">
        <f t="shared" si="2"/>
        <v>2006.06</v>
      </c>
      <c r="B171" s="3487">
        <v>2.0436545517641389</v>
      </c>
      <c r="C171" s="3487">
        <v>2.2078450889019599</v>
      </c>
      <c r="D171" s="3488">
        <v>1.9678423112590162</v>
      </c>
      <c r="E171" s="3489">
        <v>1.5678390476765427</v>
      </c>
      <c r="F171" s="3448"/>
      <c r="G171" s="3449"/>
      <c r="H171" s="3450"/>
      <c r="I171" s="3451"/>
      <c r="J171" s="3448"/>
      <c r="K171" s="3449"/>
      <c r="L171" s="3450"/>
      <c r="M171" s="3452"/>
    </row>
    <row r="172" spans="1:13" ht="12.75" customHeight="1">
      <c r="A172" s="3447">
        <f t="shared" si="2"/>
        <v>2006.07</v>
      </c>
      <c r="B172" s="3487">
        <v>2.0436545517641389</v>
      </c>
      <c r="C172" s="3487">
        <v>2.2286567434284947</v>
      </c>
      <c r="D172" s="3488">
        <v>1.9453633890932778</v>
      </c>
      <c r="E172" s="3489">
        <v>1.5628670422399364</v>
      </c>
      <c r="F172" s="3448"/>
      <c r="G172" s="3449"/>
      <c r="H172" s="3450"/>
      <c r="I172" s="3451"/>
      <c r="J172" s="3448"/>
      <c r="K172" s="3449"/>
      <c r="L172" s="3450"/>
      <c r="M172" s="3452"/>
    </row>
    <row r="173" spans="1:13" ht="12.75" customHeight="1">
      <c r="A173" s="3447">
        <f t="shared" si="2"/>
        <v>2006.08</v>
      </c>
      <c r="B173" s="3487">
        <v>2.0619096169875792</v>
      </c>
      <c r="C173" s="3487">
        <v>2.2440392706872379</v>
      </c>
      <c r="D173" s="3488">
        <v>1.9687789330159222</v>
      </c>
      <c r="E173" s="3489">
        <v>1.5769543909769879</v>
      </c>
      <c r="F173" s="3448"/>
      <c r="G173" s="3449"/>
      <c r="H173" s="3450"/>
      <c r="I173" s="3451"/>
      <c r="J173" s="3448"/>
      <c r="K173" s="3449"/>
      <c r="L173" s="3450"/>
      <c r="M173" s="3452"/>
    </row>
    <row r="174" spans="1:13" ht="12.75" customHeight="1">
      <c r="A174" s="3447">
        <f t="shared" si="2"/>
        <v>2006.09</v>
      </c>
      <c r="B174" s="3487">
        <v>2.1102855398296958</v>
      </c>
      <c r="C174" s="3487">
        <v>2.2558023797674536</v>
      </c>
      <c r="D174" s="3488">
        <v>2.0605678651926875</v>
      </c>
      <c r="E174" s="3489">
        <v>1.6026430857327874</v>
      </c>
      <c r="F174" s="3448"/>
      <c r="G174" s="3449"/>
      <c r="H174" s="3450"/>
      <c r="I174" s="3451"/>
      <c r="J174" s="3448"/>
      <c r="K174" s="3449"/>
      <c r="L174" s="3450"/>
      <c r="M174" s="3452"/>
    </row>
    <row r="175" spans="1:13" ht="12.75" customHeight="1">
      <c r="A175" s="3447">
        <f t="shared" si="2"/>
        <v>2006.1</v>
      </c>
      <c r="B175" s="3487">
        <v>2.1239768387472759</v>
      </c>
      <c r="C175" s="3487">
        <v>2.2775188888386202</v>
      </c>
      <c r="D175" s="3488">
        <v>2.0661875957341223</v>
      </c>
      <c r="E175" s="3489">
        <v>1.6092724263149292</v>
      </c>
      <c r="F175" s="3448"/>
      <c r="G175" s="3449"/>
      <c r="H175" s="3450"/>
      <c r="I175" s="3451"/>
      <c r="J175" s="3448"/>
      <c r="K175" s="3449"/>
      <c r="L175" s="3450"/>
      <c r="M175" s="3452"/>
    </row>
    <row r="176" spans="1:13" ht="12.75" customHeight="1">
      <c r="A176" s="3447">
        <f t="shared" si="2"/>
        <v>2006.11</v>
      </c>
      <c r="B176" s="3487">
        <v>2.1431446572318884</v>
      </c>
      <c r="C176" s="3487">
        <v>2.2929014160973633</v>
      </c>
      <c r="D176" s="3488">
        <v>2.0905397614136718</v>
      </c>
      <c r="E176" s="3489">
        <v>1.6200451047609099</v>
      </c>
      <c r="F176" s="3448"/>
      <c r="G176" s="3449"/>
      <c r="H176" s="3450"/>
      <c r="I176" s="3451"/>
      <c r="J176" s="3448"/>
      <c r="K176" s="3449"/>
      <c r="L176" s="3450"/>
      <c r="M176" s="3452"/>
    </row>
    <row r="177" spans="1:13" ht="12.75" customHeight="1">
      <c r="A177" s="3447">
        <f t="shared" si="2"/>
        <v>2006.12</v>
      </c>
      <c r="B177" s="3487">
        <v>2.1504466833212645</v>
      </c>
      <c r="C177" s="3487">
        <v>2.2983305433651551</v>
      </c>
      <c r="D177" s="3488">
        <v>2.0999059789827297</v>
      </c>
      <c r="E177" s="3489">
        <v>1.6308177832068906</v>
      </c>
      <c r="F177" s="3448"/>
      <c r="G177" s="3449"/>
      <c r="H177" s="3450"/>
      <c r="I177" s="3451"/>
      <c r="J177" s="3448"/>
      <c r="K177" s="3449"/>
      <c r="L177" s="3450"/>
      <c r="M177" s="3452"/>
    </row>
    <row r="178" spans="1:13" ht="12.75" customHeight="1">
      <c r="A178" s="3447">
        <f t="shared" si="2"/>
        <v>2007.01</v>
      </c>
      <c r="B178" s="3487">
        <v>2.2143394116033051</v>
      </c>
      <c r="C178" s="3487">
        <v>2.331810161516537</v>
      </c>
      <c r="D178" s="3488">
        <v>2.204807615756176</v>
      </c>
      <c r="E178" s="3489">
        <v>1.648219802235013</v>
      </c>
      <c r="F178" s="3448"/>
      <c r="G178" s="3449"/>
      <c r="H178" s="3450"/>
      <c r="I178" s="3451"/>
      <c r="J178" s="3448"/>
      <c r="K178" s="3449"/>
      <c r="L178" s="3450"/>
      <c r="M178" s="3452"/>
    </row>
    <row r="179" spans="1:13" ht="12.75" customHeight="1">
      <c r="A179" s="3447">
        <f t="shared" si="2"/>
        <v>2007.02</v>
      </c>
      <c r="B179" s="3487">
        <v>2.2271179572597131</v>
      </c>
      <c r="C179" s="3487">
        <v>2.3462878342306488</v>
      </c>
      <c r="D179" s="3488">
        <v>2.2038709939992702</v>
      </c>
      <c r="E179" s="3489">
        <v>1.7194852134930378</v>
      </c>
      <c r="F179" s="3448"/>
      <c r="G179" s="3449"/>
      <c r="H179" s="3450"/>
      <c r="I179" s="3451"/>
      <c r="J179" s="3448"/>
      <c r="K179" s="3449"/>
      <c r="L179" s="3450"/>
      <c r="M179" s="3452"/>
    </row>
    <row r="180" spans="1:13" ht="12.75" customHeight="1">
      <c r="A180" s="3447">
        <f t="shared" si="2"/>
        <v>2007.03</v>
      </c>
      <c r="B180" s="3487">
        <v>2.245373022483153</v>
      </c>
      <c r="C180" s="3487">
        <v>2.3833868705605585</v>
      </c>
      <c r="D180" s="3488">
        <v>2.2029343722423644</v>
      </c>
      <c r="E180" s="3489">
        <v>1.7377159000939277</v>
      </c>
      <c r="F180" s="3448"/>
      <c r="G180" s="3449"/>
      <c r="H180" s="3450"/>
      <c r="I180" s="3451"/>
      <c r="J180" s="3448"/>
      <c r="K180" s="3449"/>
      <c r="L180" s="3450"/>
      <c r="M180" s="3452"/>
    </row>
    <row r="181" spans="1:13" ht="12.75" customHeight="1">
      <c r="A181" s="3447">
        <f t="shared" si="2"/>
        <v>2007.04</v>
      </c>
      <c r="B181" s="3487">
        <v>2.2727556203183132</v>
      </c>
      <c r="C181" s="3487">
        <v>2.4277247432475244</v>
      </c>
      <c r="D181" s="3488">
        <v>2.2132372115683281</v>
      </c>
      <c r="E181" s="3489">
        <v>1.7509745812582118</v>
      </c>
      <c r="F181" s="3448"/>
      <c r="G181" s="3449"/>
      <c r="H181" s="3450"/>
      <c r="I181" s="3451"/>
      <c r="J181" s="3448"/>
      <c r="K181" s="3449"/>
      <c r="L181" s="3450"/>
      <c r="M181" s="3452"/>
    </row>
    <row r="182" spans="1:13" ht="12.75" customHeight="1">
      <c r="A182" s="3447">
        <f t="shared" si="2"/>
        <v>2007.05</v>
      </c>
      <c r="B182" s="3487">
        <v>2.3713329725248906</v>
      </c>
      <c r="C182" s="3487">
        <v>2.472967470479122</v>
      </c>
      <c r="D182" s="3488">
        <v>2.3790192625406488</v>
      </c>
      <c r="E182" s="3489">
        <v>1.8023519707698108</v>
      </c>
      <c r="F182" s="3448"/>
      <c r="G182" s="3449"/>
      <c r="H182" s="3450"/>
      <c r="I182" s="3451"/>
      <c r="J182" s="3448"/>
      <c r="K182" s="3449"/>
      <c r="L182" s="3450"/>
      <c r="M182" s="3452"/>
    </row>
    <row r="183" spans="1:13" ht="12.75" customHeight="1">
      <c r="A183" s="3447">
        <f t="shared" si="2"/>
        <v>2007.06</v>
      </c>
      <c r="B183" s="3487">
        <v>2.4069303497105992</v>
      </c>
      <c r="C183" s="3487">
        <v>2.523639324978511</v>
      </c>
      <c r="D183" s="3488">
        <v>2.3958784541649529</v>
      </c>
      <c r="E183" s="3489">
        <v>1.8504146899903391</v>
      </c>
      <c r="F183" s="3448"/>
      <c r="G183" s="3449"/>
      <c r="H183" s="3450"/>
      <c r="I183" s="3451"/>
      <c r="J183" s="3448"/>
      <c r="K183" s="3449"/>
      <c r="L183" s="3450"/>
      <c r="M183" s="3452"/>
    </row>
    <row r="184" spans="1:13" ht="12.75" customHeight="1">
      <c r="A184" s="3447">
        <f t="shared" si="2"/>
        <v>2007.07</v>
      </c>
      <c r="B184" s="3487">
        <v>2.4762995975596724</v>
      </c>
      <c r="C184" s="3487">
        <v>2.5770257431117964</v>
      </c>
      <c r="D184" s="3488">
        <v>2.4895406298555298</v>
      </c>
      <c r="E184" s="3489">
        <v>1.8885333983376549</v>
      </c>
      <c r="F184" s="3448"/>
      <c r="G184" s="3449"/>
      <c r="H184" s="3450"/>
      <c r="I184" s="3451"/>
      <c r="J184" s="3448"/>
      <c r="K184" s="3449"/>
      <c r="L184" s="3450"/>
      <c r="M184" s="3452"/>
    </row>
    <row r="185" spans="1:13" ht="12.75" customHeight="1">
      <c r="A185" s="3447">
        <f t="shared" si="2"/>
        <v>2007.08</v>
      </c>
      <c r="B185" s="3487">
        <v>2.5036821953948327</v>
      </c>
      <c r="C185" s="3487">
        <v>2.617744197620234</v>
      </c>
      <c r="D185" s="3488">
        <v>2.504526577966022</v>
      </c>
      <c r="E185" s="3489">
        <v>1.8993060767836352</v>
      </c>
      <c r="F185" s="3448"/>
      <c r="G185" s="3449"/>
      <c r="H185" s="3450"/>
      <c r="I185" s="3451"/>
      <c r="J185" s="3448"/>
      <c r="K185" s="3449"/>
      <c r="L185" s="3450"/>
      <c r="M185" s="3452"/>
    </row>
    <row r="186" spans="1:13" ht="12.75" customHeight="1">
      <c r="A186" s="3447">
        <f t="shared" si="2"/>
        <v>2007.09</v>
      </c>
      <c r="B186" s="3487">
        <v>2.5018566888724889</v>
      </c>
      <c r="C186" s="3487">
        <v>2.6584626521286721</v>
      </c>
      <c r="D186" s="3488">
        <v>2.4576954901207335</v>
      </c>
      <c r="E186" s="3489">
        <v>1.9017920795019385</v>
      </c>
      <c r="F186" s="3448"/>
      <c r="G186" s="3449"/>
      <c r="H186" s="3450"/>
      <c r="I186" s="3451"/>
      <c r="J186" s="3448"/>
      <c r="K186" s="3449"/>
      <c r="L186" s="3450"/>
      <c r="M186" s="3452"/>
    </row>
    <row r="187" spans="1:13" ht="12.75" customHeight="1">
      <c r="A187" s="3447">
        <f t="shared" si="2"/>
        <v>2007.1</v>
      </c>
      <c r="B187" s="3487">
        <v>2.5776152095497653</v>
      </c>
      <c r="C187" s="3487">
        <v>2.6982762520924775</v>
      </c>
      <c r="D187" s="3488">
        <v>2.5738365879770488</v>
      </c>
      <c r="E187" s="3489">
        <v>1.9672568177505891</v>
      </c>
      <c r="F187" s="3448"/>
      <c r="G187" s="3449"/>
      <c r="H187" s="3450"/>
      <c r="I187" s="3451"/>
      <c r="J187" s="3448"/>
      <c r="K187" s="3449"/>
      <c r="L187" s="3450"/>
      <c r="M187" s="3452"/>
    </row>
    <row r="188" spans="1:13" ht="12.75" customHeight="1">
      <c r="A188" s="3447">
        <f t="shared" si="2"/>
        <v>2007.11</v>
      </c>
      <c r="B188" s="3487">
        <v>2.6086488204296137</v>
      </c>
      <c r="C188" s="3487">
        <v>2.7344704338777555</v>
      </c>
      <c r="D188" s="3488">
        <v>2.6047451059549389</v>
      </c>
      <c r="E188" s="3489">
        <v>1.9730574907599634</v>
      </c>
      <c r="F188" s="3448"/>
      <c r="G188" s="3449"/>
      <c r="H188" s="3450"/>
      <c r="I188" s="3451"/>
      <c r="J188" s="3448"/>
      <c r="K188" s="3449"/>
      <c r="L188" s="3450"/>
      <c r="M188" s="3452"/>
    </row>
    <row r="189" spans="1:13" ht="12.75" customHeight="1">
      <c r="A189" s="3447">
        <f t="shared" si="2"/>
        <v>2007.12</v>
      </c>
      <c r="B189" s="3487">
        <v>2.6113870802131296</v>
      </c>
      <c r="C189" s="3487">
        <v>2.7706646156630335</v>
      </c>
      <c r="D189" s="3488">
        <v>2.57570983149086</v>
      </c>
      <c r="E189" s="3489">
        <v>1.9548268041590735</v>
      </c>
      <c r="F189" s="3448"/>
      <c r="G189" s="3449"/>
      <c r="H189" s="3450"/>
      <c r="I189" s="3451"/>
      <c r="J189" s="3448"/>
      <c r="K189" s="3449"/>
      <c r="L189" s="3450"/>
      <c r="M189" s="3452"/>
    </row>
    <row r="190" spans="1:13" ht="12.75" customHeight="1">
      <c r="A190" s="3447">
        <f t="shared" si="2"/>
        <v>2008.01</v>
      </c>
      <c r="B190" s="3487">
        <v>2.6323804052200854</v>
      </c>
      <c r="C190" s="3487">
        <v>2.8014296701805197</v>
      </c>
      <c r="D190" s="3488">
        <v>2.5813295620322947</v>
      </c>
      <c r="E190" s="3489">
        <v>2.0095188639617438</v>
      </c>
      <c r="F190" s="3448"/>
      <c r="G190" s="3449"/>
      <c r="H190" s="3450"/>
      <c r="I190" s="3451"/>
      <c r="J190" s="3448"/>
      <c r="K190" s="3449"/>
      <c r="L190" s="3450"/>
      <c r="M190" s="3452"/>
    </row>
    <row r="191" spans="1:13" ht="12.75" customHeight="1">
      <c r="A191" s="3447">
        <f t="shared" si="2"/>
        <v>2008.02</v>
      </c>
      <c r="B191" s="3487">
        <v>2.646071704137666</v>
      </c>
      <c r="C191" s="3487">
        <v>2.8240510337963185</v>
      </c>
      <c r="D191" s="3488">
        <v>2.5832028055461058</v>
      </c>
      <c r="E191" s="3489">
        <v>2.0285782181354017</v>
      </c>
      <c r="F191" s="3448"/>
      <c r="G191" s="3449"/>
      <c r="H191" s="3450"/>
      <c r="I191" s="3451"/>
      <c r="J191" s="3448"/>
      <c r="K191" s="3449"/>
      <c r="L191" s="3450"/>
      <c r="M191" s="3452"/>
    </row>
    <row r="192" spans="1:13" ht="12.75" customHeight="1">
      <c r="A192" s="3447">
        <f t="shared" si="2"/>
        <v>2008.03</v>
      </c>
      <c r="B192" s="3487">
        <v>2.6606757563164183</v>
      </c>
      <c r="C192" s="3487">
        <v>2.8493869610460125</v>
      </c>
      <c r="D192" s="3488">
        <v>2.5860126708168227</v>
      </c>
      <c r="E192" s="3489">
        <v>2.0443229020179885</v>
      </c>
      <c r="F192" s="3448"/>
      <c r="G192" s="3449"/>
      <c r="H192" s="3450"/>
      <c r="I192" s="3451"/>
      <c r="J192" s="3448"/>
      <c r="K192" s="3449"/>
      <c r="L192" s="3450"/>
      <c r="M192" s="3452"/>
    </row>
    <row r="193" spans="1:13" ht="12.75" customHeight="1">
      <c r="A193" s="3447">
        <f t="shared" si="2"/>
        <v>2008.04</v>
      </c>
      <c r="B193" s="3487">
        <v>2.7683806411347156</v>
      </c>
      <c r="C193" s="3487">
        <v>2.9009636700900341</v>
      </c>
      <c r="D193" s="3488">
        <v>2.7583510740874835</v>
      </c>
      <c r="E193" s="3489">
        <v>2.1213889862853876</v>
      </c>
      <c r="F193" s="3448"/>
      <c r="G193" s="3449"/>
      <c r="H193" s="3450"/>
      <c r="I193" s="3451"/>
      <c r="J193" s="3448"/>
      <c r="K193" s="3449"/>
      <c r="L193" s="3450"/>
      <c r="M193" s="3452"/>
    </row>
    <row r="194" spans="1:13" ht="12.75" customHeight="1">
      <c r="A194" s="3447">
        <f t="shared" si="2"/>
        <v>2008.05</v>
      </c>
      <c r="B194" s="3487">
        <v>2.8350116292002729</v>
      </c>
      <c r="C194" s="3487">
        <v>2.9453015427769995</v>
      </c>
      <c r="D194" s="3488">
        <v>2.8538864932918715</v>
      </c>
      <c r="E194" s="3489">
        <v>2.1636510324965421</v>
      </c>
      <c r="F194" s="3448"/>
      <c r="G194" s="3449"/>
      <c r="H194" s="3450"/>
      <c r="I194" s="3451"/>
      <c r="J194" s="3448"/>
      <c r="K194" s="3449"/>
      <c r="L194" s="3450"/>
      <c r="M194" s="3452"/>
    </row>
    <row r="195" spans="1:13" ht="12.75" customHeight="1">
      <c r="A195" s="3447">
        <f t="shared" si="2"/>
        <v>2008.06</v>
      </c>
      <c r="B195" s="3487">
        <v>2.8368371357226172</v>
      </c>
      <c r="C195" s="3487">
        <v>2.9896394154639645</v>
      </c>
      <c r="D195" s="3488">
        <v>2.811738514231112</v>
      </c>
      <c r="E195" s="3489">
        <v>2.1636510324965421</v>
      </c>
      <c r="F195" s="3448"/>
      <c r="G195" s="3449"/>
      <c r="H195" s="3450"/>
      <c r="I195" s="3451"/>
      <c r="J195" s="3448"/>
      <c r="K195" s="3449"/>
      <c r="L195" s="3450"/>
      <c r="M195" s="3452"/>
    </row>
    <row r="196" spans="1:13" ht="12.75" customHeight="1">
      <c r="A196" s="3447">
        <f t="shared" si="2"/>
        <v>2008.07</v>
      </c>
      <c r="B196" s="3487">
        <v>2.9381527477127105</v>
      </c>
      <c r="C196" s="3487">
        <v>3.0231190336153473</v>
      </c>
      <c r="D196" s="3488">
        <v>2.98033043047415</v>
      </c>
      <c r="E196" s="3489">
        <v>2.276349822392953</v>
      </c>
      <c r="F196" s="3448"/>
      <c r="G196" s="3449"/>
      <c r="H196" s="3450"/>
      <c r="I196" s="3451"/>
      <c r="J196" s="3448"/>
      <c r="K196" s="3449"/>
      <c r="L196" s="3450"/>
      <c r="M196" s="3452"/>
    </row>
    <row r="197" spans="1:13" ht="12.75" customHeight="1">
      <c r="A197" s="3447">
        <f t="shared" si="2"/>
        <v>2008.08</v>
      </c>
      <c r="B197" s="3487">
        <v>2.9390655009738831</v>
      </c>
      <c r="C197" s="3487">
        <v>3.0520743790435696</v>
      </c>
      <c r="D197" s="3488">
        <v>2.9512951560100715</v>
      </c>
      <c r="E197" s="3489">
        <v>2.2838078305478628</v>
      </c>
      <c r="F197" s="3448"/>
      <c r="G197" s="3449"/>
      <c r="H197" s="3450"/>
      <c r="I197" s="3451"/>
      <c r="J197" s="3448"/>
      <c r="K197" s="3449"/>
      <c r="L197" s="3450"/>
      <c r="M197" s="3452"/>
    </row>
    <row r="198" spans="1:13" ht="12.75" customHeight="1">
      <c r="A198" s="3447">
        <f t="shared" si="2"/>
        <v>2008.09</v>
      </c>
      <c r="B198" s="3487">
        <v>2.9810521509877961</v>
      </c>
      <c r="C198" s="3487">
        <v>3.0710763244808401</v>
      </c>
      <c r="D198" s="3488">
        <v>3.0187319225072868</v>
      </c>
      <c r="E198" s="3489">
        <v>2.3169545334585724</v>
      </c>
      <c r="F198" s="3448"/>
      <c r="G198" s="3449"/>
      <c r="H198" s="3450"/>
      <c r="I198" s="3451"/>
      <c r="J198" s="3448"/>
      <c r="K198" s="3449"/>
      <c r="L198" s="3450"/>
      <c r="M198" s="3452"/>
    </row>
    <row r="199" spans="1:13" ht="12.75" customHeight="1">
      <c r="A199" s="3447">
        <f t="shared" si="2"/>
        <v>2008.1</v>
      </c>
      <c r="B199" s="3487">
        <v>2.9910924368606882</v>
      </c>
      <c r="C199" s="3487">
        <v>3.0792200153825275</v>
      </c>
      <c r="D199" s="3488">
        <v>3.0337178706177785</v>
      </c>
      <c r="E199" s="3489">
        <v>2.3210978713224111</v>
      </c>
      <c r="F199" s="3448"/>
      <c r="G199" s="3449"/>
      <c r="H199" s="3450"/>
      <c r="I199" s="3451"/>
      <c r="J199" s="3448"/>
      <c r="K199" s="3449"/>
      <c r="L199" s="3450"/>
      <c r="M199" s="3452"/>
    </row>
    <row r="200" spans="1:13" ht="12.75" customHeight="1">
      <c r="A200" s="3447">
        <f t="shared" si="2"/>
        <v>2008.11</v>
      </c>
      <c r="B200" s="3487">
        <v>3.0047837357782683</v>
      </c>
      <c r="C200" s="3487">
        <v>3.0946025426412707</v>
      </c>
      <c r="D200" s="3488">
        <v>3.0430840881868364</v>
      </c>
      <c r="E200" s="3489">
        <v>2.3335278849139272</v>
      </c>
      <c r="F200" s="3448"/>
      <c r="G200" s="3449"/>
      <c r="H200" s="3450"/>
      <c r="I200" s="3451"/>
      <c r="J200" s="3448"/>
      <c r="K200" s="3449"/>
      <c r="L200" s="3450"/>
      <c r="M200" s="3452"/>
    </row>
    <row r="201" spans="1:13" ht="12.75" customHeight="1">
      <c r="A201" s="3447">
        <f t="shared" si="2"/>
        <v>2008.12</v>
      </c>
      <c r="B201" s="3487">
        <v>3.0029582292559245</v>
      </c>
      <c r="C201" s="3487">
        <v>3.091887979007375</v>
      </c>
      <c r="D201" s="3488">
        <v>3.0393376011592137</v>
      </c>
      <c r="E201" s="3489">
        <v>2.3492725687965135</v>
      </c>
      <c r="F201" s="3448"/>
      <c r="G201" s="3449"/>
      <c r="H201" s="3450"/>
      <c r="I201" s="3451"/>
      <c r="J201" s="3448"/>
      <c r="K201" s="3449"/>
      <c r="L201" s="3450"/>
      <c r="M201" s="3452"/>
    </row>
    <row r="202" spans="1:13" ht="12.75" customHeight="1">
      <c r="A202" s="3447">
        <f t="shared" si="2"/>
        <v>2009.01</v>
      </c>
      <c r="B202" s="3487">
        <v>3.012998515128817</v>
      </c>
      <c r="C202" s="3487">
        <v>3.0973171062751672</v>
      </c>
      <c r="D202" s="3488">
        <v>3.0533869275128005</v>
      </c>
      <c r="E202" s="3489">
        <v>2.3675032553974034</v>
      </c>
      <c r="F202" s="3448"/>
      <c r="G202" s="3449"/>
      <c r="H202" s="3450"/>
      <c r="I202" s="3451"/>
      <c r="J202" s="3448"/>
      <c r="K202" s="3449"/>
      <c r="L202" s="3450"/>
      <c r="M202" s="3452"/>
    </row>
    <row r="203" spans="1:13" ht="12.75" customHeight="1">
      <c r="A203" s="3447">
        <f t="shared" si="2"/>
        <v>2009.02</v>
      </c>
      <c r="B203" s="3487">
        <v>3.0139112683899887</v>
      </c>
      <c r="C203" s="3487">
        <v>3.0982219608197989</v>
      </c>
      <c r="D203" s="3488">
        <v>3.0515136839989889</v>
      </c>
      <c r="E203" s="3489">
        <v>2.3832479392799906</v>
      </c>
      <c r="F203" s="3448"/>
      <c r="G203" s="3449"/>
      <c r="H203" s="3450"/>
      <c r="I203" s="3451"/>
      <c r="J203" s="3448"/>
      <c r="K203" s="3449"/>
      <c r="L203" s="3450"/>
      <c r="M203" s="3452"/>
    </row>
    <row r="204" spans="1:13" ht="12.75" customHeight="1">
      <c r="A204" s="3447">
        <f t="shared" si="2"/>
        <v>2009.03</v>
      </c>
      <c r="B204" s="3487">
        <v>3.0221260477405374</v>
      </c>
      <c r="C204" s="3487">
        <v>3.1126996335339103</v>
      </c>
      <c r="D204" s="3488">
        <v>3.0477671969713653</v>
      </c>
      <c r="E204" s="3489">
        <v>2.4180519773362352</v>
      </c>
      <c r="F204" s="3448"/>
      <c r="G204" s="3449"/>
      <c r="H204" s="3450"/>
      <c r="I204" s="3451"/>
      <c r="J204" s="3448"/>
      <c r="K204" s="3449"/>
      <c r="L204" s="3450"/>
      <c r="M204" s="3452"/>
    </row>
    <row r="205" spans="1:13" ht="12.75" customHeight="1">
      <c r="A205" s="3447">
        <f t="shared" si="2"/>
        <v>2009.04</v>
      </c>
      <c r="B205" s="3487">
        <v>3.0248643075240533</v>
      </c>
      <c r="C205" s="3487">
        <v>3.1208433244355978</v>
      </c>
      <c r="D205" s="3488">
        <v>3.0421474664299311</v>
      </c>
      <c r="E205" s="3489">
        <v>2.4313106585005184</v>
      </c>
      <c r="F205" s="3448"/>
      <c r="G205" s="3449"/>
      <c r="H205" s="3450"/>
      <c r="I205" s="3451"/>
      <c r="J205" s="3448"/>
      <c r="K205" s="3449"/>
      <c r="L205" s="3450"/>
      <c r="M205" s="3452"/>
    </row>
    <row r="206" spans="1:13" ht="12.75" customHeight="1">
      <c r="A206" s="3447">
        <f t="shared" si="2"/>
        <v>2009.05</v>
      </c>
      <c r="B206" s="3487">
        <v>3.103361087984847</v>
      </c>
      <c r="C206" s="3487">
        <v>3.1307967244265495</v>
      </c>
      <c r="D206" s="3488">
        <v>3.1901337040210418</v>
      </c>
      <c r="E206" s="3489">
        <v>2.5208067563594332</v>
      </c>
      <c r="F206" s="3448"/>
      <c r="G206" s="3449"/>
      <c r="H206" s="3450"/>
      <c r="I206" s="3451"/>
      <c r="J206" s="3448"/>
      <c r="K206" s="3449"/>
      <c r="L206" s="3450"/>
      <c r="M206" s="3452"/>
    </row>
    <row r="207" spans="1:13" ht="12.75" customHeight="1">
      <c r="A207" s="3447">
        <f t="shared" si="2"/>
        <v>2009.06</v>
      </c>
      <c r="B207" s="3487">
        <v>3.1499115043046202</v>
      </c>
      <c r="C207" s="3487">
        <v>3.1425598335067653</v>
      </c>
      <c r="D207" s="3488">
        <v>3.2875423667392409</v>
      </c>
      <c r="E207" s="3489">
        <v>2.4992613994674726</v>
      </c>
      <c r="F207" s="3448"/>
      <c r="G207" s="3449"/>
      <c r="H207" s="3450"/>
      <c r="I207" s="3451"/>
      <c r="J207" s="3448"/>
      <c r="K207" s="3449"/>
      <c r="L207" s="3450"/>
      <c r="M207" s="3452"/>
    </row>
    <row r="208" spans="1:13" ht="12.75" customHeight="1">
      <c r="A208" s="3447">
        <f t="shared" si="2"/>
        <v>2009.07</v>
      </c>
      <c r="B208" s="3487">
        <v>3.180032361923296</v>
      </c>
      <c r="C208" s="3487">
        <v>3.1597520698547719</v>
      </c>
      <c r="D208" s="3488">
        <v>3.3306269675569062</v>
      </c>
      <c r="E208" s="3489">
        <v>2.527436096941575</v>
      </c>
      <c r="F208" s="3448"/>
      <c r="G208" s="3449"/>
      <c r="H208" s="3450"/>
      <c r="I208" s="3451"/>
      <c r="J208" s="3448"/>
      <c r="K208" s="3449"/>
      <c r="L208" s="3450"/>
      <c r="M208" s="3452"/>
    </row>
    <row r="209" spans="1:13" ht="12.75" customHeight="1">
      <c r="A209" s="3447">
        <f t="shared" si="2"/>
        <v>2009.08</v>
      </c>
      <c r="B209" s="3487">
        <v>3.1982874271467363</v>
      </c>
      <c r="C209" s="3487">
        <v>3.1896122698276259</v>
      </c>
      <c r="D209" s="3488">
        <v>3.3343734545845294</v>
      </c>
      <c r="E209" s="3489">
        <v>2.5514674565518387</v>
      </c>
      <c r="F209" s="3448"/>
      <c r="G209" s="3449"/>
      <c r="H209" s="3450"/>
      <c r="I209" s="3451"/>
      <c r="J209" s="3448"/>
      <c r="K209" s="3449"/>
      <c r="L209" s="3450"/>
      <c r="M209" s="3452"/>
    </row>
    <row r="210" spans="1:13" ht="12.75" customHeight="1">
      <c r="A210" s="3447">
        <f t="shared" si="2"/>
        <v>2009.09</v>
      </c>
      <c r="B210" s="3487">
        <v>3.212891479325489</v>
      </c>
      <c r="C210" s="3487">
        <v>3.2158530516219526</v>
      </c>
      <c r="D210" s="3488">
        <v>3.3381199416121521</v>
      </c>
      <c r="E210" s="3489">
        <v>2.5663834728616579</v>
      </c>
      <c r="F210" s="3448"/>
      <c r="G210" s="3449"/>
      <c r="H210" s="3450"/>
      <c r="I210" s="3451"/>
      <c r="J210" s="3448"/>
      <c r="K210" s="3449"/>
      <c r="L210" s="3450"/>
      <c r="M210" s="3452"/>
    </row>
    <row r="211" spans="1:13" ht="12.75" customHeight="1">
      <c r="A211" s="3447">
        <f t="shared" si="2"/>
        <v>2009.1</v>
      </c>
      <c r="B211" s="3487">
        <v>3.3059923119650345</v>
      </c>
      <c r="C211" s="3487">
        <v>3.2420938334162792</v>
      </c>
      <c r="D211" s="3488">
        <v>3.5085851013690017</v>
      </c>
      <c r="E211" s="3489">
        <v>2.6144461920821862</v>
      </c>
      <c r="F211" s="3448"/>
      <c r="G211" s="3449"/>
      <c r="H211" s="3450"/>
      <c r="I211" s="3451"/>
      <c r="J211" s="3448"/>
      <c r="K211" s="3449"/>
      <c r="L211" s="3450"/>
      <c r="M211" s="3452"/>
    </row>
    <row r="212" spans="1:13" ht="12.75" customHeight="1">
      <c r="A212" s="3447">
        <f t="shared" si="2"/>
        <v>2009.11</v>
      </c>
      <c r="B212" s="3487">
        <v>3.3260728837108187</v>
      </c>
      <c r="C212" s="3487">
        <v>3.2656200515767093</v>
      </c>
      <c r="D212" s="3488">
        <v>3.5245076712363996</v>
      </c>
      <c r="E212" s="3489">
        <v>2.6409635544107535</v>
      </c>
      <c r="F212" s="3448"/>
      <c r="G212" s="3449"/>
      <c r="H212" s="3450"/>
      <c r="I212" s="3451"/>
      <c r="J212" s="3448"/>
      <c r="K212" s="3449"/>
      <c r="L212" s="3450"/>
      <c r="M212" s="3452"/>
    </row>
    <row r="213" spans="1:13" ht="12.75" customHeight="1">
      <c r="A213" s="3447">
        <f t="shared" si="2"/>
        <v>2009.12</v>
      </c>
      <c r="B213" s="3487">
        <v>3.331549403277851</v>
      </c>
      <c r="C213" s="3487">
        <v>3.2791928697461885</v>
      </c>
      <c r="D213" s="3488">
        <v>3.5226344277225881</v>
      </c>
      <c r="E213" s="3489">
        <v>2.6442782247018246</v>
      </c>
      <c r="F213" s="3448"/>
      <c r="G213" s="3449"/>
      <c r="H213" s="3450"/>
      <c r="I213" s="3451"/>
      <c r="J213" s="3448"/>
      <c r="K213" s="3449"/>
      <c r="L213" s="3450"/>
      <c r="M213" s="3452"/>
    </row>
    <row r="214" spans="1:13" ht="12.75" customHeight="1">
      <c r="A214" s="3447">
        <f t="shared" si="2"/>
        <v>2010.01</v>
      </c>
      <c r="B214" s="3487">
        <v>3.3598447543741834</v>
      </c>
      <c r="C214" s="3487">
        <v>3.3063385060851469</v>
      </c>
      <c r="D214" s="3488">
        <v>3.5535429457004777</v>
      </c>
      <c r="E214" s="3489">
        <v>2.6674809167393208</v>
      </c>
      <c r="F214" s="3448"/>
      <c r="G214" s="3449"/>
      <c r="H214" s="3450"/>
      <c r="I214" s="3451"/>
      <c r="J214" s="3448"/>
      <c r="K214" s="3449"/>
      <c r="L214" s="3450"/>
      <c r="M214" s="3452"/>
    </row>
    <row r="215" spans="1:13" ht="12.75" customHeight="1">
      <c r="A215" s="3447">
        <f t="shared" ref="A215:A278" si="3">A203+1</f>
        <v>2010.02</v>
      </c>
      <c r="B215" s="3487">
        <v>3.4319522620067722</v>
      </c>
      <c r="C215" s="3487">
        <v>3.3434375424150566</v>
      </c>
      <c r="D215" s="3488">
        <v>3.6668741782860752</v>
      </c>
      <c r="E215" s="3489">
        <v>2.7138863008143135</v>
      </c>
      <c r="F215" s="3448"/>
      <c r="G215" s="3449"/>
      <c r="H215" s="3450"/>
      <c r="I215" s="3451"/>
      <c r="J215" s="3448"/>
      <c r="K215" s="3449"/>
      <c r="L215" s="3450"/>
      <c r="M215" s="3452"/>
    </row>
    <row r="216" spans="1:13" ht="12.75" customHeight="1">
      <c r="A216" s="3447">
        <f t="shared" si="3"/>
        <v>2010.03</v>
      </c>
      <c r="B216" s="3487">
        <v>3.4538583402749001</v>
      </c>
      <c r="C216" s="3487">
        <v>3.3796317242003346</v>
      </c>
      <c r="D216" s="3488">
        <v>3.6734305305844157</v>
      </c>
      <c r="E216" s="3489">
        <v>2.7387463279973452</v>
      </c>
      <c r="F216" s="3448"/>
      <c r="G216" s="3449"/>
      <c r="H216" s="3450"/>
      <c r="I216" s="3451"/>
      <c r="J216" s="3448"/>
      <c r="K216" s="3449"/>
      <c r="L216" s="3450"/>
      <c r="M216" s="3452"/>
    </row>
    <row r="217" spans="1:13" ht="12.75" customHeight="1">
      <c r="A217" s="3447">
        <f t="shared" si="3"/>
        <v>2010.04</v>
      </c>
      <c r="B217" s="3487">
        <v>3.5204893283404575</v>
      </c>
      <c r="C217" s="3487">
        <v>3.4103967787178209</v>
      </c>
      <c r="D217" s="3488">
        <v>3.7802054108716736</v>
      </c>
      <c r="E217" s="3489">
        <v>2.7851517120723384</v>
      </c>
      <c r="F217" s="3448"/>
      <c r="G217" s="3449"/>
      <c r="H217" s="3450"/>
      <c r="I217" s="3451"/>
      <c r="J217" s="3448"/>
      <c r="K217" s="3449"/>
      <c r="L217" s="3450"/>
      <c r="M217" s="3452"/>
    </row>
    <row r="218" spans="1:13" ht="12.75" customHeight="1">
      <c r="A218" s="3447">
        <f t="shared" si="3"/>
        <v>2010.05</v>
      </c>
      <c r="B218" s="3487">
        <v>3.6574023175162593</v>
      </c>
      <c r="C218" s="3487">
        <v>3.444781251413835</v>
      </c>
      <c r="D218" s="3488">
        <v>4.0312200417224187</v>
      </c>
      <c r="E218" s="3489">
        <v>2.8887351586683043</v>
      </c>
      <c r="F218" s="3448"/>
      <c r="G218" s="3449"/>
      <c r="H218" s="3450"/>
      <c r="I218" s="3451"/>
      <c r="J218" s="3448"/>
      <c r="K218" s="3449"/>
      <c r="L218" s="3450"/>
      <c r="M218" s="3452"/>
    </row>
    <row r="219" spans="1:13" ht="12.75" customHeight="1">
      <c r="A219" s="3447">
        <f t="shared" si="3"/>
        <v>2010.06</v>
      </c>
      <c r="B219" s="3487">
        <v>3.6838721620902479</v>
      </c>
      <c r="C219" s="3487">
        <v>3.4800705786544817</v>
      </c>
      <c r="D219" s="3488">
        <v>4.0480792333467228</v>
      </c>
      <c r="E219" s="3489">
        <v>2.9210531940062454</v>
      </c>
      <c r="F219" s="3448"/>
      <c r="G219" s="3449"/>
      <c r="H219" s="3450"/>
      <c r="I219" s="3451"/>
      <c r="J219" s="3448"/>
      <c r="K219" s="3449"/>
      <c r="L219" s="3450"/>
      <c r="M219" s="3452"/>
    </row>
    <row r="220" spans="1:13" ht="12.75" customHeight="1">
      <c r="A220" s="3447">
        <f t="shared" si="3"/>
        <v>2010.07</v>
      </c>
      <c r="B220" s="3487">
        <v>3.7121675131865799</v>
      </c>
      <c r="C220" s="3487">
        <v>3.5117404877166001</v>
      </c>
      <c r="D220" s="3488">
        <v>4.0752412642969897</v>
      </c>
      <c r="E220" s="3489">
        <v>2.9309972048794579</v>
      </c>
      <c r="F220" s="3448"/>
      <c r="G220" s="3449"/>
      <c r="H220" s="3450"/>
      <c r="I220" s="3451"/>
      <c r="J220" s="3448"/>
      <c r="K220" s="3449"/>
      <c r="L220" s="3450"/>
      <c r="M220" s="3452"/>
    </row>
    <row r="221" spans="1:13" ht="12.75" customHeight="1">
      <c r="A221" s="3447">
        <f t="shared" si="3"/>
        <v>2010.08</v>
      </c>
      <c r="B221" s="3487">
        <v>3.8107448653931577</v>
      </c>
      <c r="C221" s="3487">
        <v>3.5406958331448224</v>
      </c>
      <c r="D221" s="3488">
        <v>4.2513261545952732</v>
      </c>
      <c r="E221" s="3489">
        <v>3.0122066270106957</v>
      </c>
      <c r="F221" s="3448"/>
      <c r="G221" s="3449"/>
      <c r="H221" s="3450"/>
      <c r="I221" s="3451"/>
      <c r="J221" s="3448"/>
      <c r="K221" s="3449"/>
      <c r="L221" s="3450"/>
      <c r="M221" s="3452"/>
    </row>
    <row r="222" spans="1:13" ht="12.75" customHeight="1">
      <c r="A222" s="3447">
        <f t="shared" si="3"/>
        <v>2010.09</v>
      </c>
      <c r="B222" s="3487">
        <v>3.8344764501836299</v>
      </c>
      <c r="C222" s="3487">
        <v>3.5696511785730451</v>
      </c>
      <c r="D222" s="3488">
        <v>4.2700585897333889</v>
      </c>
      <c r="E222" s="3489">
        <v>3.0287799784660505</v>
      </c>
      <c r="F222" s="3448"/>
      <c r="G222" s="3449"/>
      <c r="H222" s="3450"/>
      <c r="I222" s="3451"/>
      <c r="J222" s="3448"/>
      <c r="K222" s="3449"/>
      <c r="L222" s="3450"/>
      <c r="M222" s="3452"/>
    </row>
    <row r="223" spans="1:13" ht="12.75" customHeight="1">
      <c r="A223" s="3447">
        <f t="shared" si="3"/>
        <v>2010.1</v>
      </c>
      <c r="B223" s="3487">
        <v>3.8509060088847256</v>
      </c>
      <c r="C223" s="3487">
        <v>3.6031307967244275</v>
      </c>
      <c r="D223" s="3488">
        <v>4.256009263379803</v>
      </c>
      <c r="E223" s="3489">
        <v>3.1058460627334492</v>
      </c>
      <c r="F223" s="3448"/>
      <c r="G223" s="3449"/>
      <c r="H223" s="3450"/>
      <c r="I223" s="3451"/>
      <c r="J223" s="3448"/>
      <c r="K223" s="3449"/>
      <c r="L223" s="3450"/>
      <c r="M223" s="3452"/>
    </row>
    <row r="224" spans="1:13" ht="12.75" customHeight="1">
      <c r="A224" s="3447">
        <f t="shared" si="3"/>
        <v>2010.11</v>
      </c>
      <c r="B224" s="3487">
        <v>3.8782886067198858</v>
      </c>
      <c r="C224" s="3487">
        <v>3.6366104148758094</v>
      </c>
      <c r="D224" s="3488">
        <v>4.2766149420317303</v>
      </c>
      <c r="E224" s="3489">
        <v>3.1447934386535321</v>
      </c>
      <c r="F224" s="3448"/>
      <c r="G224" s="3449"/>
      <c r="H224" s="3450"/>
      <c r="I224" s="3451"/>
      <c r="J224" s="3448"/>
      <c r="K224" s="3449"/>
      <c r="L224" s="3450"/>
      <c r="M224" s="3452"/>
    </row>
    <row r="225" spans="1:13" ht="12.75" customHeight="1">
      <c r="A225" s="3447">
        <f t="shared" si="3"/>
        <v>2010.12</v>
      </c>
      <c r="B225" s="3487">
        <v>4.0471479600367086</v>
      </c>
      <c r="C225" s="3487">
        <v>3.6700900330271922</v>
      </c>
      <c r="D225" s="3488">
        <v>4.5931930958658791</v>
      </c>
      <c r="E225" s="3489">
        <v>3.2757229151508334</v>
      </c>
      <c r="F225" s="3448"/>
      <c r="G225" s="3449"/>
      <c r="H225" s="3450"/>
      <c r="I225" s="3451"/>
      <c r="J225" s="3448"/>
      <c r="K225" s="3449"/>
      <c r="L225" s="3450"/>
      <c r="M225" s="3452"/>
    </row>
    <row r="226" spans="1:13" ht="12.75" customHeight="1">
      <c r="A226" s="3447">
        <f t="shared" si="3"/>
        <v>2011.01</v>
      </c>
      <c r="B226" s="3487">
        <v>4.1156044546246093</v>
      </c>
      <c r="C226" s="3487">
        <v>3.6999502330000462</v>
      </c>
      <c r="D226" s="3488">
        <v>4.6924750020978907</v>
      </c>
      <c r="E226" s="3489">
        <v>3.3875930374744767</v>
      </c>
      <c r="F226" s="3448"/>
      <c r="G226" s="3449"/>
      <c r="H226" s="3450"/>
      <c r="I226" s="3451"/>
      <c r="J226" s="3448"/>
      <c r="K226" s="3449"/>
      <c r="L226" s="3450"/>
      <c r="M226" s="3452"/>
    </row>
    <row r="227" spans="1:13" ht="12.75" customHeight="1">
      <c r="A227" s="3447">
        <f t="shared" si="3"/>
        <v>2011.02</v>
      </c>
      <c r="B227" s="3487">
        <v>4.1895374687795428</v>
      </c>
      <c r="C227" s="3487">
        <v>3.7298104329729007</v>
      </c>
      <c r="D227" s="3488">
        <v>4.815172452252547</v>
      </c>
      <c r="E227" s="3489">
        <v>3.4464284351409855</v>
      </c>
      <c r="F227" s="3448"/>
      <c r="G227" s="3449"/>
      <c r="H227" s="3450"/>
      <c r="I227" s="3451"/>
      <c r="J227" s="3448"/>
      <c r="K227" s="3449"/>
      <c r="L227" s="3450"/>
      <c r="M227" s="3452"/>
    </row>
    <row r="228" spans="1:13" ht="12.75" customHeight="1">
      <c r="A228" s="3447">
        <f t="shared" si="3"/>
        <v>2011.03</v>
      </c>
      <c r="B228" s="3487">
        <v>4.1767589231231348</v>
      </c>
      <c r="C228" s="3487">
        <v>3.7614803420350187</v>
      </c>
      <c r="D228" s="3488">
        <v>4.7552286598105775</v>
      </c>
      <c r="E228" s="3489">
        <v>3.4381417594133081</v>
      </c>
      <c r="F228" s="3448"/>
      <c r="G228" s="3449"/>
      <c r="H228" s="3450"/>
      <c r="I228" s="3451"/>
      <c r="J228" s="3448"/>
      <c r="K228" s="3449"/>
      <c r="L228" s="3450"/>
      <c r="M228" s="3452"/>
    </row>
    <row r="229" spans="1:13" ht="12.75" customHeight="1">
      <c r="A229" s="3447">
        <f t="shared" si="3"/>
        <v>2011.04</v>
      </c>
      <c r="B229" s="3487">
        <v>4.357484068835193</v>
      </c>
      <c r="C229" s="3487">
        <v>3.7931502510971367</v>
      </c>
      <c r="D229" s="3488">
        <v>5.0933491140535594</v>
      </c>
      <c r="E229" s="3489">
        <v>3.6071899442579252</v>
      </c>
      <c r="F229" s="3448"/>
      <c r="G229" s="3449"/>
      <c r="H229" s="3450"/>
      <c r="I229" s="3451"/>
      <c r="J229" s="3448"/>
      <c r="K229" s="3449"/>
      <c r="L229" s="3450"/>
      <c r="M229" s="3452"/>
    </row>
    <row r="230" spans="1:13" ht="12.75" customHeight="1">
      <c r="A230" s="3447">
        <f t="shared" si="3"/>
        <v>2011.05</v>
      </c>
      <c r="B230" s="3487">
        <v>4.3629605884022258</v>
      </c>
      <c r="C230" s="3487">
        <v>3.8293444328824147</v>
      </c>
      <c r="D230" s="3488">
        <v>5.0605673525618577</v>
      </c>
      <c r="E230" s="3489">
        <v>3.6477946553235441</v>
      </c>
      <c r="F230" s="3448"/>
      <c r="G230" s="3449"/>
      <c r="H230" s="3450"/>
      <c r="I230" s="3451"/>
      <c r="J230" s="3448"/>
      <c r="K230" s="3449"/>
      <c r="L230" s="3450"/>
      <c r="M230" s="3452"/>
    </row>
    <row r="231" spans="1:13" ht="12.75" customHeight="1">
      <c r="A231" s="3447">
        <f t="shared" si="3"/>
        <v>2011.06</v>
      </c>
      <c r="B231" s="3487">
        <v>4.3392290036117531</v>
      </c>
      <c r="C231" s="3487">
        <v>3.8691580328462205</v>
      </c>
      <c r="D231" s="3488">
        <v>4.9734615291696223</v>
      </c>
      <c r="E231" s="3489">
        <v>3.6013892712485518</v>
      </c>
      <c r="F231" s="3448"/>
      <c r="G231" s="3449"/>
      <c r="H231" s="3450"/>
      <c r="I231" s="3451"/>
      <c r="J231" s="3448"/>
      <c r="K231" s="3449"/>
      <c r="L231" s="3450"/>
      <c r="M231" s="3452"/>
    </row>
    <row r="232" spans="1:13" ht="12.75" customHeight="1">
      <c r="A232" s="3447">
        <f t="shared" si="3"/>
        <v>2011.07</v>
      </c>
      <c r="B232" s="3487">
        <v>4.4168130308113742</v>
      </c>
      <c r="C232" s="3487">
        <v>3.907161923720762</v>
      </c>
      <c r="D232" s="3488">
        <v>5.085856139998314</v>
      </c>
      <c r="E232" s="3489">
        <v>3.7074587205628204</v>
      </c>
      <c r="F232" s="3448"/>
      <c r="G232" s="3449"/>
      <c r="H232" s="3450"/>
      <c r="I232" s="3451"/>
      <c r="J232" s="3448"/>
      <c r="K232" s="3449"/>
      <c r="L232" s="3450"/>
      <c r="M232" s="3452"/>
    </row>
    <row r="233" spans="1:13" ht="12.75" customHeight="1">
      <c r="A233" s="3447">
        <f t="shared" si="3"/>
        <v>2011.08</v>
      </c>
      <c r="B233" s="3487">
        <v>4.5290816819355317</v>
      </c>
      <c r="C233" s="3487">
        <v>3.9478803782292</v>
      </c>
      <c r="D233" s="3488">
        <v>5.2834833307054305</v>
      </c>
      <c r="E233" s="3489">
        <v>3.7762381291025422</v>
      </c>
      <c r="F233" s="3448"/>
      <c r="G233" s="3449"/>
      <c r="H233" s="3450"/>
      <c r="I233" s="3451"/>
      <c r="J233" s="3448"/>
      <c r="K233" s="3449"/>
      <c r="L233" s="3450"/>
      <c r="M233" s="3452"/>
    </row>
    <row r="234" spans="1:13" ht="12.75" customHeight="1">
      <c r="A234" s="3447">
        <f t="shared" si="3"/>
        <v>2011.09</v>
      </c>
      <c r="B234" s="3487">
        <v>4.582021371083508</v>
      </c>
      <c r="C234" s="3487">
        <v>3.984074560014478</v>
      </c>
      <c r="D234" s="3488">
        <v>5.3359341490921537</v>
      </c>
      <c r="E234" s="3489">
        <v>3.9162829489002888</v>
      </c>
      <c r="F234" s="3448"/>
      <c r="G234" s="3449"/>
      <c r="H234" s="3450"/>
      <c r="I234" s="3451"/>
      <c r="J234" s="3448"/>
      <c r="K234" s="3449"/>
      <c r="L234" s="3450"/>
      <c r="M234" s="3452"/>
    </row>
    <row r="235" spans="1:13" ht="12.75" customHeight="1">
      <c r="A235" s="3447">
        <f t="shared" si="3"/>
        <v>2011.1</v>
      </c>
      <c r="B235" s="3487">
        <v>4.6167059950080445</v>
      </c>
      <c r="C235" s="3487">
        <v>4.0238881599782834</v>
      </c>
      <c r="D235" s="3488">
        <v>5.3640328017993273</v>
      </c>
      <c r="E235" s="3489">
        <v>3.9502583193837655</v>
      </c>
      <c r="F235" s="3448"/>
      <c r="G235" s="3449"/>
      <c r="H235" s="3450"/>
      <c r="I235" s="3451"/>
      <c r="J235" s="3448"/>
      <c r="K235" s="3449"/>
      <c r="L235" s="3450"/>
      <c r="M235" s="3452"/>
    </row>
    <row r="236" spans="1:13" ht="12.75" customHeight="1">
      <c r="A236" s="3447">
        <f t="shared" si="3"/>
        <v>2011.11</v>
      </c>
      <c r="B236" s="3487">
        <v>4.6933772689464943</v>
      </c>
      <c r="C236" s="3487">
        <v>4.0655114690313532</v>
      </c>
      <c r="D236" s="3488">
        <v>5.4904767389816058</v>
      </c>
      <c r="E236" s="3489">
        <v>3.9660030032663527</v>
      </c>
      <c r="F236" s="3448"/>
      <c r="G236" s="3449"/>
      <c r="H236" s="3450"/>
      <c r="I236" s="3451"/>
      <c r="J236" s="3448"/>
      <c r="K236" s="3449"/>
      <c r="L236" s="3450"/>
      <c r="M236" s="3452"/>
    </row>
    <row r="237" spans="1:13" ht="12.75" customHeight="1">
      <c r="A237" s="3447">
        <f t="shared" si="3"/>
        <v>2011.12</v>
      </c>
      <c r="B237" s="3487">
        <v>4.7490552178779861</v>
      </c>
      <c r="C237" s="3487">
        <v>4.1080396326290547</v>
      </c>
      <c r="D237" s="3488">
        <v>5.5260683657440248</v>
      </c>
      <c r="E237" s="3489">
        <v>4.1822852397587296</v>
      </c>
      <c r="F237" s="3448"/>
      <c r="G237" s="3449"/>
      <c r="H237" s="3450"/>
      <c r="I237" s="3451"/>
      <c r="J237" s="3448"/>
      <c r="K237" s="3449"/>
      <c r="L237" s="3450"/>
      <c r="M237" s="3452"/>
    </row>
    <row r="238" spans="1:13" ht="12.75" customHeight="1">
      <c r="A238" s="3447">
        <f t="shared" si="3"/>
        <v>2012.01</v>
      </c>
      <c r="B238" s="3487">
        <v>4.9808945462156782</v>
      </c>
      <c r="C238" s="3487">
        <v>4.1505677962267562</v>
      </c>
      <c r="D238" s="3488">
        <v>5.9503580216223373</v>
      </c>
      <c r="E238" s="3489">
        <v>4.4333715143073515</v>
      </c>
      <c r="F238" s="3448"/>
      <c r="G238" s="3449"/>
      <c r="H238" s="3450"/>
      <c r="I238" s="3451"/>
      <c r="J238" s="3448"/>
      <c r="K238" s="3449"/>
      <c r="L238" s="3450"/>
      <c r="M238" s="3452"/>
    </row>
    <row r="239" spans="1:13" ht="12.75" customHeight="1">
      <c r="A239" s="3447">
        <f t="shared" si="3"/>
        <v>2012.02</v>
      </c>
      <c r="B239" s="3487">
        <v>5.0539148071094395</v>
      </c>
      <c r="C239" s="3487">
        <v>4.1994299416368817</v>
      </c>
      <c r="D239" s="3488">
        <v>6.0412103320421977</v>
      </c>
      <c r="E239" s="3489">
        <v>4.5460703042037629</v>
      </c>
      <c r="F239" s="3448"/>
      <c r="G239" s="3449"/>
      <c r="H239" s="3450"/>
      <c r="I239" s="3451"/>
      <c r="J239" s="3448"/>
      <c r="K239" s="3449"/>
      <c r="L239" s="3450"/>
      <c r="M239" s="3452"/>
    </row>
    <row r="240" spans="1:13" ht="12.75" customHeight="1">
      <c r="A240" s="3447">
        <f t="shared" si="3"/>
        <v>2012.03</v>
      </c>
      <c r="B240" s="3487">
        <v>5.0949887038621799</v>
      </c>
      <c r="C240" s="3487">
        <v>4.251911505225535</v>
      </c>
      <c r="D240" s="3488">
        <v>6.0739920935338994</v>
      </c>
      <c r="E240" s="3489">
        <v>4.5643009908046519</v>
      </c>
      <c r="F240" s="3448"/>
      <c r="G240" s="3449"/>
      <c r="H240" s="3450"/>
      <c r="I240" s="3451"/>
      <c r="J240" s="3448"/>
      <c r="K240" s="3449"/>
      <c r="L240" s="3450"/>
      <c r="M240" s="3452"/>
    </row>
    <row r="241" spans="1:13" ht="12.75" customHeight="1">
      <c r="A241" s="3447">
        <f t="shared" si="3"/>
        <v>2012.04</v>
      </c>
      <c r="B241" s="3487">
        <v>5.4336201637569959</v>
      </c>
      <c r="C241" s="3487">
        <v>4.3034882142695565</v>
      </c>
      <c r="D241" s="3488">
        <v>6.709958266472916</v>
      </c>
      <c r="E241" s="3489">
        <v>4.9197993795220087</v>
      </c>
      <c r="F241" s="3448"/>
      <c r="G241" s="3449"/>
      <c r="H241" s="3450"/>
      <c r="I241" s="3451"/>
      <c r="J241" s="3448"/>
      <c r="K241" s="3449"/>
      <c r="L241" s="3450"/>
      <c r="M241" s="3452"/>
    </row>
    <row r="242" spans="1:13" ht="12.75" customHeight="1">
      <c r="A242" s="3447">
        <f t="shared" si="3"/>
        <v>2012.05</v>
      </c>
      <c r="B242" s="3487">
        <v>5.2757138495742382</v>
      </c>
      <c r="C242" s="3487">
        <v>4.3496357960457859</v>
      </c>
      <c r="D242" s="3488">
        <v>6.3409292942520441</v>
      </c>
      <c r="E242" s="3489">
        <v>4.7507511946773908</v>
      </c>
      <c r="F242" s="3448"/>
      <c r="G242" s="3449"/>
      <c r="H242" s="3450"/>
      <c r="I242" s="3451"/>
      <c r="J242" s="3448"/>
      <c r="K242" s="3449"/>
      <c r="L242" s="3450"/>
      <c r="M242" s="3452"/>
    </row>
    <row r="243" spans="1:13" ht="12.75" customHeight="1">
      <c r="A243" s="3447">
        <f t="shared" si="3"/>
        <v>2012.06</v>
      </c>
      <c r="B243" s="3487">
        <v>5.6645467388335167</v>
      </c>
      <c r="C243" s="3487">
        <v>4.4039270687237027</v>
      </c>
      <c r="D243" s="3488">
        <v>7.1295648135667005</v>
      </c>
      <c r="E243" s="3489">
        <v>4.8916246820479046</v>
      </c>
      <c r="F243" s="3448"/>
      <c r="G243" s="3449"/>
      <c r="H243" s="3450"/>
      <c r="I243" s="3451"/>
      <c r="J243" s="3448"/>
      <c r="K243" s="3449"/>
      <c r="L243" s="3450"/>
      <c r="M243" s="3452"/>
    </row>
    <row r="244" spans="1:13" ht="12.75" customHeight="1">
      <c r="A244" s="3447">
        <f t="shared" si="3"/>
        <v>2012.07</v>
      </c>
      <c r="B244" s="3487">
        <v>5.7448690258166533</v>
      </c>
      <c r="C244" s="3487">
        <v>4.456408632312356</v>
      </c>
      <c r="D244" s="3488">
        <v>7.2279100980418063</v>
      </c>
      <c r="E244" s="3489">
        <v>5.0225541585452067</v>
      </c>
      <c r="F244" s="3448"/>
      <c r="G244" s="3449"/>
      <c r="H244" s="3450"/>
      <c r="I244" s="3451"/>
      <c r="J244" s="3448"/>
      <c r="K244" s="3449"/>
      <c r="L244" s="3450"/>
      <c r="M244" s="3452"/>
    </row>
    <row r="245" spans="1:13" ht="12.75" customHeight="1">
      <c r="A245" s="3447">
        <f t="shared" si="3"/>
        <v>2012.08</v>
      </c>
      <c r="B245" s="3487">
        <v>5.8215402997551022</v>
      </c>
      <c r="C245" s="3487">
        <v>4.5070804868117449</v>
      </c>
      <c r="D245" s="3488">
        <v>7.3253187607600063</v>
      </c>
      <c r="E245" s="3489">
        <v>5.1294522754322438</v>
      </c>
      <c r="F245" s="3448"/>
      <c r="G245" s="3449"/>
      <c r="H245" s="3450"/>
      <c r="I245" s="3451"/>
      <c r="J245" s="3448"/>
      <c r="K245" s="3449"/>
      <c r="L245" s="3450"/>
      <c r="M245" s="3452"/>
    </row>
    <row r="246" spans="1:13" ht="12.75" customHeight="1">
      <c r="A246" s="3447">
        <f t="shared" si="3"/>
        <v>2012.09</v>
      </c>
      <c r="B246" s="3487">
        <v>5.846184637806747</v>
      </c>
      <c r="C246" s="3487">
        <v>4.5577523413111338</v>
      </c>
      <c r="D246" s="3488">
        <v>7.3159525431909485</v>
      </c>
      <c r="E246" s="3489">
        <v>5.1808296649438441</v>
      </c>
      <c r="F246" s="3448"/>
      <c r="G246" s="3449"/>
      <c r="H246" s="3450"/>
      <c r="I246" s="3451"/>
      <c r="J246" s="3448"/>
      <c r="K246" s="3449"/>
      <c r="L246" s="3450"/>
      <c r="M246" s="3452"/>
    </row>
    <row r="247" spans="1:13" ht="12.75" customHeight="1">
      <c r="A247" s="3447">
        <f t="shared" si="3"/>
        <v>2012.1</v>
      </c>
      <c r="B247" s="3487">
        <v>5.8626141965078427</v>
      </c>
      <c r="C247" s="3487">
        <v>4.6129484685336832</v>
      </c>
      <c r="D247" s="3488">
        <v>7.2953468645390211</v>
      </c>
      <c r="E247" s="3489">
        <v>5.1849730028076833</v>
      </c>
      <c r="F247" s="3448"/>
      <c r="G247" s="3449"/>
      <c r="H247" s="3450"/>
      <c r="I247" s="3451"/>
      <c r="J247" s="3448"/>
      <c r="K247" s="3449"/>
      <c r="L247" s="3450"/>
      <c r="M247" s="3452"/>
    </row>
    <row r="248" spans="1:13" ht="12.75" customHeight="1">
      <c r="A248" s="3447">
        <f t="shared" si="3"/>
        <v>2012.11</v>
      </c>
      <c r="B248" s="3487">
        <v>5.9374599639239474</v>
      </c>
      <c r="C248" s="3487">
        <v>4.6699543048454961</v>
      </c>
      <c r="D248" s="3488">
        <v>7.3936921490141261</v>
      </c>
      <c r="E248" s="3489">
        <v>5.2322070544554435</v>
      </c>
      <c r="F248" s="3448"/>
      <c r="G248" s="3449"/>
      <c r="H248" s="3450"/>
      <c r="I248" s="3451"/>
      <c r="J248" s="3448"/>
      <c r="K248" s="3449"/>
      <c r="L248" s="3450"/>
      <c r="M248" s="3452"/>
    </row>
    <row r="249" spans="1:13" ht="12.75" customHeight="1">
      <c r="A249" s="3447">
        <f t="shared" si="3"/>
        <v>2012.12</v>
      </c>
      <c r="B249" s="3487">
        <v>5.9529767693638727</v>
      </c>
      <c r="C249" s="3487">
        <v>4.7142921775324611</v>
      </c>
      <c r="D249" s="3488">
        <v>7.3815160661743517</v>
      </c>
      <c r="E249" s="3489">
        <v>5.2462944031924952</v>
      </c>
      <c r="F249" s="3448"/>
      <c r="G249" s="3449"/>
      <c r="H249" s="3450"/>
      <c r="I249" s="3451"/>
      <c r="J249" s="3448"/>
      <c r="K249" s="3449"/>
      <c r="L249" s="3450"/>
      <c r="M249" s="3452"/>
    </row>
    <row r="250" spans="1:13" ht="12.75" customHeight="1">
      <c r="A250" s="3447">
        <f t="shared" si="3"/>
        <v>2013.01</v>
      </c>
      <c r="B250" s="3487">
        <v>5.9785338606766878</v>
      </c>
      <c r="C250" s="3487">
        <v>4.7568203411301635</v>
      </c>
      <c r="D250" s="3488">
        <v>7.3852625532019749</v>
      </c>
      <c r="E250" s="3489">
        <v>5.283584443967043</v>
      </c>
      <c r="F250" s="3448"/>
      <c r="G250" s="3449"/>
      <c r="H250" s="3450"/>
      <c r="I250" s="3451"/>
      <c r="J250" s="3448"/>
      <c r="K250" s="3449"/>
      <c r="L250" s="3450"/>
      <c r="M250" s="3452"/>
    </row>
    <row r="251" spans="1:13" ht="12.75" customHeight="1">
      <c r="A251" s="3447">
        <f t="shared" si="3"/>
        <v>2013.02</v>
      </c>
      <c r="B251" s="3487">
        <v>6.0232587704741158</v>
      </c>
      <c r="C251" s="3487">
        <v>4.8156358865312399</v>
      </c>
      <c r="D251" s="3488">
        <v>7.3974386360417501</v>
      </c>
      <c r="E251" s="3489">
        <v>5.4194859259009514</v>
      </c>
      <c r="F251" s="3448"/>
      <c r="G251" s="3449"/>
      <c r="H251" s="3450"/>
      <c r="I251" s="3451"/>
      <c r="J251" s="3448"/>
      <c r="K251" s="3449"/>
      <c r="L251" s="3450"/>
      <c r="M251" s="3452"/>
    </row>
    <row r="252" spans="1:13" ht="12.75" customHeight="1">
      <c r="A252" s="3447">
        <f t="shared" si="3"/>
        <v>2013.03</v>
      </c>
      <c r="B252" s="3487">
        <v>6.1975946433579701</v>
      </c>
      <c r="C252" s="3487">
        <v>4.875356286476948</v>
      </c>
      <c r="D252" s="3488">
        <v>7.6756152978427634</v>
      </c>
      <c r="E252" s="3489">
        <v>5.6581421868580577</v>
      </c>
      <c r="F252" s="3448"/>
      <c r="G252" s="3449"/>
      <c r="H252" s="3450"/>
      <c r="I252" s="3451"/>
      <c r="J252" s="3448"/>
      <c r="K252" s="3449"/>
      <c r="L252" s="3450"/>
      <c r="M252" s="3452"/>
    </row>
    <row r="253" spans="1:13" ht="12.75" customHeight="1">
      <c r="A253" s="3447">
        <f t="shared" si="3"/>
        <v>2013.04</v>
      </c>
      <c r="B253" s="3487">
        <v>6.2240644879319582</v>
      </c>
      <c r="C253" s="3487">
        <v>4.9341718318780252</v>
      </c>
      <c r="D253" s="3488">
        <v>7.664375836759894</v>
      </c>
      <c r="E253" s="3489">
        <v>5.7120055790879602</v>
      </c>
      <c r="F253" s="3448"/>
      <c r="G253" s="3449"/>
      <c r="H253" s="3450"/>
      <c r="I253" s="3451"/>
      <c r="J253" s="3448"/>
      <c r="K253" s="3449"/>
      <c r="L253" s="3450"/>
      <c r="M253" s="3452"/>
    </row>
    <row r="254" spans="1:13" ht="12.75" customHeight="1">
      <c r="A254" s="3447">
        <f t="shared" si="3"/>
        <v>2013.05</v>
      </c>
      <c r="B254" s="3487">
        <v>6.2715276575129026</v>
      </c>
      <c r="C254" s="3487">
        <v>5.0056553409039504</v>
      </c>
      <c r="D254" s="3488">
        <v>7.6728054325720469</v>
      </c>
      <c r="E254" s="3489">
        <v>5.8238757014116036</v>
      </c>
      <c r="F254" s="3448"/>
      <c r="G254" s="3449"/>
      <c r="H254" s="3450"/>
      <c r="I254" s="3451"/>
      <c r="J254" s="3448"/>
      <c r="K254" s="3449"/>
      <c r="L254" s="3450"/>
      <c r="M254" s="3452"/>
    </row>
    <row r="255" spans="1:13" ht="12.75" customHeight="1">
      <c r="A255" s="3447">
        <f t="shared" si="3"/>
        <v>2013.06</v>
      </c>
      <c r="B255" s="3487">
        <v>6.8009245489926702</v>
      </c>
      <c r="C255" s="3487">
        <v>5.0771388499298737</v>
      </c>
      <c r="D255" s="3488">
        <v>8.724631665577224</v>
      </c>
      <c r="E255" s="3489">
        <v>6.1313113709084313</v>
      </c>
      <c r="F255" s="3448"/>
      <c r="G255" s="3449"/>
      <c r="H255" s="3450"/>
      <c r="I255" s="3451"/>
      <c r="J255" s="3448"/>
      <c r="K255" s="3449"/>
      <c r="L255" s="3450"/>
      <c r="M255" s="3452"/>
    </row>
    <row r="256" spans="1:13" ht="12.75" customHeight="1">
      <c r="A256" s="3447">
        <f t="shared" si="3"/>
        <v>2013.07</v>
      </c>
      <c r="B256" s="3487">
        <v>6.8018373022538423</v>
      </c>
      <c r="C256" s="3487">
        <v>5.139573813509478</v>
      </c>
      <c r="D256" s="3488">
        <v>8.6834203082733694</v>
      </c>
      <c r="E256" s="3489">
        <v>6.0351859324673747</v>
      </c>
      <c r="F256" s="3448"/>
      <c r="G256" s="3449"/>
      <c r="H256" s="3450"/>
      <c r="I256" s="3451"/>
      <c r="J256" s="3448"/>
      <c r="K256" s="3449"/>
      <c r="L256" s="3450"/>
      <c r="M256" s="3452"/>
    </row>
    <row r="257" spans="1:13" ht="12.75" customHeight="1">
      <c r="A257" s="3447">
        <f t="shared" si="3"/>
        <v>2013.08</v>
      </c>
      <c r="B257" s="3487">
        <v>6.8702937968417439</v>
      </c>
      <c r="C257" s="3487">
        <v>5.2128670316246657</v>
      </c>
      <c r="D257" s="3488">
        <v>8.7480472094998678</v>
      </c>
      <c r="E257" s="3489">
        <v>6.0898779922700452</v>
      </c>
      <c r="F257" s="3448"/>
      <c r="G257" s="3449"/>
      <c r="H257" s="3450"/>
      <c r="I257" s="3451"/>
      <c r="J257" s="3448"/>
      <c r="K257" s="3449"/>
      <c r="L257" s="3450"/>
      <c r="M257" s="3452"/>
    </row>
    <row r="258" spans="1:13" ht="12.75" customHeight="1">
      <c r="A258" s="3447">
        <f t="shared" si="3"/>
        <v>2013.09</v>
      </c>
      <c r="B258" s="3487">
        <v>7.0528444490761473</v>
      </c>
      <c r="C258" s="3487">
        <v>5.2825408315613256</v>
      </c>
      <c r="D258" s="3488">
        <v>9.0608788763063952</v>
      </c>
      <c r="E258" s="3489">
        <v>6.2100347903213668</v>
      </c>
      <c r="F258" s="3448"/>
      <c r="G258" s="3449"/>
      <c r="H258" s="3450"/>
      <c r="I258" s="3451"/>
      <c r="J258" s="3448"/>
      <c r="K258" s="3449"/>
      <c r="L258" s="3450"/>
      <c r="M258" s="3452"/>
    </row>
    <row r="259" spans="1:13" ht="12.75" customHeight="1">
      <c r="A259" s="3447">
        <f t="shared" si="3"/>
        <v>2013.1</v>
      </c>
      <c r="B259" s="3487">
        <v>7.0802270469113084</v>
      </c>
      <c r="C259" s="3487">
        <v>5.3531194860426181</v>
      </c>
      <c r="D259" s="3488">
        <v>9.0421464411682795</v>
      </c>
      <c r="E259" s="3489">
        <v>6.2489821662414506</v>
      </c>
      <c r="F259" s="3448"/>
      <c r="G259" s="3449"/>
      <c r="H259" s="3450"/>
      <c r="I259" s="3451"/>
      <c r="J259" s="3448"/>
      <c r="K259" s="3449"/>
      <c r="L259" s="3450"/>
      <c r="M259" s="3452"/>
    </row>
    <row r="260" spans="1:13" ht="12.75" customHeight="1">
      <c r="A260" s="3447">
        <f t="shared" si="3"/>
        <v>2013.11</v>
      </c>
      <c r="B260" s="3487">
        <v>7.1459452817156937</v>
      </c>
      <c r="C260" s="3487">
        <v>5.4345563950594942</v>
      </c>
      <c r="D260" s="3488">
        <v>9.0992803683395316</v>
      </c>
      <c r="E260" s="3489">
        <v>6.2796428664338562</v>
      </c>
      <c r="F260" s="3448"/>
      <c r="G260" s="3449"/>
      <c r="H260" s="3450"/>
      <c r="I260" s="3451"/>
      <c r="J260" s="3448"/>
      <c r="K260" s="3449"/>
      <c r="L260" s="3450"/>
      <c r="M260" s="3452"/>
    </row>
    <row r="261" spans="1:13" ht="12.75" customHeight="1">
      <c r="A261" s="3447">
        <f t="shared" si="3"/>
        <v>2013.12</v>
      </c>
      <c r="B261" s="3487">
        <v>7.218965542609455</v>
      </c>
      <c r="C261" s="3487">
        <v>5.5938107949147184</v>
      </c>
      <c r="D261" s="3488">
        <v>9.0824211767152292</v>
      </c>
      <c r="E261" s="3489">
        <v>6.3475936074008104</v>
      </c>
      <c r="F261" s="3448"/>
      <c r="G261" s="3449"/>
      <c r="H261" s="3450"/>
      <c r="I261" s="3451"/>
      <c r="J261" s="3448"/>
      <c r="K261" s="3449"/>
      <c r="L261" s="3450"/>
      <c r="M261" s="3452"/>
    </row>
    <row r="262" spans="1:13" ht="12.75" customHeight="1">
      <c r="A262" s="3447">
        <f t="shared" si="3"/>
        <v>2014.01</v>
      </c>
      <c r="B262" s="3487">
        <v>7.3321469469947846</v>
      </c>
      <c r="C262" s="3487">
        <v>5.8227389947066008</v>
      </c>
      <c r="D262" s="3488">
        <v>9.0777380679306994</v>
      </c>
      <c r="E262" s="3489">
        <v>6.4420617106963318</v>
      </c>
      <c r="F262" s="3448"/>
      <c r="G262" s="3449"/>
      <c r="H262" s="3450"/>
      <c r="I262" s="3451"/>
      <c r="J262" s="3448"/>
      <c r="K262" s="3449"/>
      <c r="L262" s="3450"/>
      <c r="M262" s="3452"/>
    </row>
    <row r="263" spans="1:13" ht="12.75" customHeight="1">
      <c r="A263" s="3447">
        <f t="shared" si="3"/>
        <v>2014.02</v>
      </c>
      <c r="B263" s="3487">
        <v>7.6205769775251415</v>
      </c>
      <c r="C263" s="3487">
        <v>6.3710808487535626</v>
      </c>
      <c r="D263" s="3488">
        <v>9.0805479332014158</v>
      </c>
      <c r="E263" s="3489">
        <v>6.7992174345592229</v>
      </c>
      <c r="F263" s="3448"/>
      <c r="G263" s="3449"/>
      <c r="H263" s="3450"/>
      <c r="I263" s="3451"/>
      <c r="J263" s="3448"/>
      <c r="K263" s="3449"/>
      <c r="L263" s="3450"/>
      <c r="M263" s="3452"/>
    </row>
    <row r="264" spans="1:13" ht="12.75" customHeight="1">
      <c r="A264" s="3447">
        <f t="shared" si="3"/>
        <v>2014.03</v>
      </c>
      <c r="B264" s="3487">
        <v>7.7565772134397717</v>
      </c>
      <c r="C264" s="3487">
        <v>6.5963896303669181</v>
      </c>
      <c r="D264" s="3488">
        <v>9.1152029382069291</v>
      </c>
      <c r="E264" s="3489">
        <v>6.967436951831071</v>
      </c>
      <c r="F264" s="3448"/>
      <c r="G264" s="3449"/>
      <c r="H264" s="3450"/>
      <c r="I264" s="3451"/>
      <c r="J264" s="3448"/>
      <c r="K264" s="3449"/>
      <c r="L264" s="3450"/>
      <c r="M264" s="3452"/>
    </row>
    <row r="265" spans="1:13" ht="12.75" customHeight="1">
      <c r="A265" s="3447">
        <f t="shared" si="3"/>
        <v>2014.04</v>
      </c>
      <c r="B265" s="3487">
        <v>8.4429676658411257</v>
      </c>
      <c r="C265" s="3487">
        <v>6.7348323756956052</v>
      </c>
      <c r="D265" s="3488">
        <v>10.403057853952358</v>
      </c>
      <c r="E265" s="3489">
        <v>7.5052422065573285</v>
      </c>
      <c r="F265" s="3448"/>
      <c r="G265" s="3449"/>
      <c r="H265" s="3450"/>
      <c r="I265" s="3451"/>
      <c r="J265" s="3448"/>
      <c r="K265" s="3449"/>
      <c r="L265" s="3450"/>
      <c r="M265" s="3452"/>
    </row>
    <row r="266" spans="1:13" ht="12.75" customHeight="1">
      <c r="A266" s="3447">
        <f t="shared" si="3"/>
        <v>2014.05</v>
      </c>
      <c r="B266" s="3487">
        <v>8.6355586039484216</v>
      </c>
      <c r="C266" s="3487">
        <v>6.867845993756502</v>
      </c>
      <c r="D266" s="3488">
        <v>10.684044381024089</v>
      </c>
      <c r="E266" s="3489">
        <v>7.5715356123787467</v>
      </c>
      <c r="F266" s="3448"/>
      <c r="G266" s="3449"/>
      <c r="H266" s="3450"/>
      <c r="I266" s="3451"/>
      <c r="J266" s="3448"/>
      <c r="K266" s="3449"/>
      <c r="L266" s="3450"/>
      <c r="M266" s="3452"/>
    </row>
    <row r="267" spans="1:13" ht="12.75" customHeight="1">
      <c r="A267" s="3447">
        <f t="shared" si="3"/>
        <v>2014.06</v>
      </c>
      <c r="B267" s="3487">
        <v>8.7250084235432777</v>
      </c>
      <c r="C267" s="3487">
        <v>6.9881916481925508</v>
      </c>
      <c r="D267" s="3488">
        <v>10.727128981841755</v>
      </c>
      <c r="E267" s="3489">
        <v>7.7306397863501504</v>
      </c>
      <c r="F267" s="3448"/>
      <c r="G267" s="3449"/>
      <c r="H267" s="3450"/>
      <c r="I267" s="3451"/>
      <c r="J267" s="3448"/>
      <c r="K267" s="3449"/>
      <c r="L267" s="3450"/>
      <c r="M267" s="3452"/>
    </row>
    <row r="268" spans="1:13" ht="12.75" customHeight="1">
      <c r="A268" s="3447">
        <f t="shared" si="3"/>
        <v>2014.07</v>
      </c>
      <c r="B268" s="3487">
        <v>9.1969018595692091</v>
      </c>
      <c r="C268" s="3487">
        <v>7.0922499208252257</v>
      </c>
      <c r="D268" s="3488">
        <v>11.629095733742007</v>
      </c>
      <c r="E268" s="3489">
        <v>7.974268052743863</v>
      </c>
      <c r="F268" s="3448"/>
      <c r="G268" s="3449"/>
      <c r="H268" s="3450"/>
      <c r="I268" s="3451"/>
      <c r="J268" s="3448"/>
      <c r="K268" s="3449"/>
      <c r="L268" s="3450"/>
      <c r="M268" s="3452"/>
    </row>
    <row r="269" spans="1:13" ht="12.75" customHeight="1">
      <c r="A269" s="3447">
        <f t="shared" si="3"/>
        <v>2014.08</v>
      </c>
      <c r="B269" s="3487">
        <v>9.2991302248204732</v>
      </c>
      <c r="C269" s="3487">
        <v>7.2460751934126577</v>
      </c>
      <c r="D269" s="3488">
        <v>11.650638034150841</v>
      </c>
      <c r="E269" s="3489">
        <v>8.2087809758371311</v>
      </c>
      <c r="F269" s="3448"/>
      <c r="G269" s="3449"/>
      <c r="H269" s="3450"/>
      <c r="I269" s="3451"/>
      <c r="J269" s="3448"/>
      <c r="K269" s="3449"/>
      <c r="L269" s="3450"/>
      <c r="M269" s="3452"/>
    </row>
    <row r="270" spans="1:13" ht="12.75" customHeight="1">
      <c r="A270" s="3447">
        <f t="shared" si="3"/>
        <v>2014.09</v>
      </c>
      <c r="B270" s="3487">
        <v>9.39314381072119</v>
      </c>
      <c r="C270" s="3487">
        <v>7.3944713387322976</v>
      </c>
      <c r="D270" s="3488">
        <v>11.69746912199613</v>
      </c>
      <c r="E270" s="3489">
        <v>8.2518716896210531</v>
      </c>
      <c r="F270" s="3448"/>
      <c r="G270" s="3449"/>
      <c r="H270" s="3450"/>
      <c r="I270" s="3451"/>
      <c r="J270" s="3448"/>
      <c r="K270" s="3449"/>
      <c r="L270" s="3450"/>
      <c r="M270" s="3452"/>
    </row>
    <row r="271" spans="1:13" ht="12.75" customHeight="1">
      <c r="A271" s="3447">
        <f t="shared" si="3"/>
        <v>2014.1</v>
      </c>
      <c r="B271" s="3487">
        <v>9.4853318900995642</v>
      </c>
      <c r="C271" s="3487">
        <v>7.54377233859657</v>
      </c>
      <c r="D271" s="3488">
        <v>11.738680479299981</v>
      </c>
      <c r="E271" s="3489">
        <v>8.2999344088415814</v>
      </c>
      <c r="F271" s="3448"/>
      <c r="G271" s="3449"/>
      <c r="H271" s="3450"/>
      <c r="I271" s="3451"/>
      <c r="J271" s="3448"/>
      <c r="K271" s="3449"/>
      <c r="L271" s="3450"/>
      <c r="M271" s="3452"/>
    </row>
    <row r="272" spans="1:13" ht="12.75" customHeight="1">
      <c r="A272" s="3447">
        <f t="shared" si="3"/>
        <v>2014.11</v>
      </c>
      <c r="B272" s="3487">
        <v>9.5437480988145715</v>
      </c>
      <c r="C272" s="3487">
        <v>7.6641179930326189</v>
      </c>
      <c r="D272" s="3488">
        <v>11.726504396460207</v>
      </c>
      <c r="E272" s="3489">
        <v>8.3919165094188006</v>
      </c>
      <c r="F272" s="3448"/>
      <c r="G272" s="3449"/>
      <c r="H272" s="3450"/>
      <c r="I272" s="3451"/>
      <c r="J272" s="3448"/>
      <c r="K272" s="3449"/>
      <c r="L272" s="3450"/>
      <c r="M272" s="3452"/>
    </row>
    <row r="273" spans="1:13" ht="12.75" customHeight="1">
      <c r="A273" s="3447">
        <f t="shared" si="3"/>
        <v>2014.12</v>
      </c>
      <c r="B273" s="3487">
        <v>9.5966877879625514</v>
      </c>
      <c r="C273" s="3487">
        <v>7.7772248111116129</v>
      </c>
      <c r="D273" s="3488">
        <v>11.728377639974019</v>
      </c>
      <c r="E273" s="3489">
        <v>8.3869445039821944</v>
      </c>
      <c r="F273" s="3448"/>
      <c r="G273" s="3449"/>
      <c r="H273" s="3450"/>
      <c r="I273" s="3451"/>
      <c r="J273" s="3448"/>
      <c r="K273" s="3449"/>
      <c r="L273" s="3450"/>
      <c r="M273" s="3452"/>
    </row>
    <row r="274" spans="1:13" ht="12.75" customHeight="1">
      <c r="A274" s="3447">
        <f t="shared" si="3"/>
        <v>2015.01</v>
      </c>
      <c r="B274" s="3487">
        <v>9.6541912434163883</v>
      </c>
      <c r="C274" s="3487">
        <v>7.8613762837623833</v>
      </c>
      <c r="D274" s="3488">
        <v>11.733060748758549</v>
      </c>
      <c r="E274" s="3489">
        <v>8.5642793645544888</v>
      </c>
      <c r="F274" s="3448"/>
      <c r="G274" s="3449"/>
      <c r="H274" s="3450"/>
      <c r="I274" s="3451"/>
      <c r="J274" s="3448"/>
      <c r="K274" s="3449"/>
      <c r="L274" s="3450"/>
      <c r="M274" s="3452"/>
    </row>
    <row r="275" spans="1:13" ht="12.75" customHeight="1">
      <c r="A275" s="3447">
        <f t="shared" si="3"/>
        <v>2015.02</v>
      </c>
      <c r="B275" s="3487">
        <v>9.7381645434442135</v>
      </c>
      <c r="C275" s="3487">
        <v>8.000723883635704</v>
      </c>
      <c r="D275" s="3488">
        <v>11.757412914438099</v>
      </c>
      <c r="E275" s="3489">
        <v>8.6504607921223329</v>
      </c>
      <c r="F275" s="3448"/>
      <c r="G275" s="3449"/>
      <c r="H275" s="3450"/>
      <c r="I275" s="3451"/>
      <c r="J275" s="3448"/>
      <c r="K275" s="3449"/>
      <c r="L275" s="3450"/>
      <c r="M275" s="3452"/>
    </row>
    <row r="276" spans="1:13" ht="12.75" customHeight="1">
      <c r="A276" s="3447">
        <f t="shared" si="3"/>
        <v>2015.03</v>
      </c>
      <c r="B276" s="3487">
        <v>9.81848683042735</v>
      </c>
      <c r="C276" s="3487">
        <v>8.1120209926254336</v>
      </c>
      <c r="D276" s="3488">
        <v>11.819229950393881</v>
      </c>
      <c r="E276" s="3489">
        <v>8.6703488138687561</v>
      </c>
      <c r="F276" s="3448"/>
      <c r="G276" s="3449"/>
      <c r="H276" s="3450"/>
      <c r="I276" s="3451"/>
      <c r="J276" s="3448"/>
      <c r="K276" s="3449"/>
      <c r="L276" s="3450"/>
      <c r="M276" s="3452"/>
    </row>
    <row r="277" spans="1:13" ht="12.75" customHeight="1">
      <c r="A277" s="3447">
        <f t="shared" si="3"/>
        <v>2015.04</v>
      </c>
      <c r="B277" s="3487">
        <v>10.680125908973729</v>
      </c>
      <c r="C277" s="3487">
        <v>8.2577025743111783</v>
      </c>
      <c r="D277" s="3488">
        <v>13.493909651741394</v>
      </c>
      <c r="E277" s="3489">
        <v>9.2006960604401034</v>
      </c>
      <c r="F277" s="3448"/>
      <c r="G277" s="3449"/>
      <c r="H277" s="3450"/>
      <c r="I277" s="3451"/>
      <c r="J277" s="3448"/>
      <c r="K277" s="3449"/>
      <c r="L277" s="3450"/>
      <c r="M277" s="3452"/>
    </row>
    <row r="278" spans="1:13" ht="12.75" customHeight="1">
      <c r="A278" s="3447">
        <f t="shared" si="3"/>
        <v>2015.05</v>
      </c>
      <c r="B278" s="3487">
        <v>10.795132819881402</v>
      </c>
      <c r="C278" s="3487">
        <v>8.3925259014613385</v>
      </c>
      <c r="D278" s="3488">
        <v>13.554790065940267</v>
      </c>
      <c r="E278" s="3489">
        <v>9.4758136945989904</v>
      </c>
      <c r="F278" s="3448"/>
      <c r="G278" s="3449"/>
      <c r="H278" s="3450"/>
      <c r="I278" s="3451"/>
      <c r="J278" s="3448"/>
      <c r="K278" s="3449"/>
      <c r="L278" s="3450"/>
      <c r="M278" s="3452"/>
    </row>
    <row r="279" spans="1:13" ht="12.75" customHeight="1">
      <c r="A279" s="3447">
        <f t="shared" ref="A279:A342" si="4">A267+1</f>
        <v>2015.06</v>
      </c>
      <c r="B279" s="3487">
        <v>10.919267263400796</v>
      </c>
      <c r="C279" s="3487">
        <v>8.5047278649957008</v>
      </c>
      <c r="D279" s="3488">
        <v>13.709332655829717</v>
      </c>
      <c r="E279" s="3489">
        <v>9.5089603975096981</v>
      </c>
      <c r="F279" s="3448"/>
      <c r="G279" s="3449"/>
      <c r="H279" s="3450"/>
      <c r="I279" s="3451"/>
      <c r="J279" s="3448"/>
      <c r="K279" s="3449"/>
      <c r="L279" s="3450"/>
      <c r="M279" s="3452"/>
    </row>
    <row r="280" spans="1:13" ht="12.75" customHeight="1">
      <c r="A280" s="3447">
        <f t="shared" si="4"/>
        <v>2015.07</v>
      </c>
      <c r="B280" s="3487">
        <v>11.058918512360114</v>
      </c>
      <c r="C280" s="3487">
        <v>8.6712211012079798</v>
      </c>
      <c r="D280" s="3488">
        <v>13.83296672774128</v>
      </c>
      <c r="E280" s="3489">
        <v>9.5926558223592373</v>
      </c>
      <c r="F280" s="3448"/>
      <c r="G280" s="3449"/>
      <c r="H280" s="3450"/>
      <c r="I280" s="3451"/>
      <c r="J280" s="3448"/>
      <c r="K280" s="3449"/>
      <c r="L280" s="3450"/>
      <c r="M280" s="3452"/>
    </row>
    <row r="281" spans="1:13" ht="12.75" customHeight="1">
      <c r="A281" s="3447">
        <f t="shared" si="4"/>
        <v>2015.08</v>
      </c>
      <c r="B281" s="3487">
        <v>11.559107299482379</v>
      </c>
      <c r="C281" s="3487">
        <v>8.8395240465095224</v>
      </c>
      <c r="D281" s="3488">
        <v>14.710581313961981</v>
      </c>
      <c r="E281" s="3489">
        <v>9.9373815326306136</v>
      </c>
      <c r="F281" s="3448"/>
      <c r="G281" s="3449"/>
      <c r="H281" s="3450"/>
      <c r="I281" s="3451"/>
      <c r="J281" s="3448"/>
      <c r="K281" s="3449"/>
      <c r="L281" s="3450"/>
      <c r="M281" s="3452"/>
    </row>
    <row r="282" spans="1:13" ht="12.75" customHeight="1">
      <c r="A282" s="3447">
        <f t="shared" si="4"/>
        <v>2015.09</v>
      </c>
      <c r="B282" s="3487">
        <v>11.708798834314589</v>
      </c>
      <c r="C282" s="3487">
        <v>9.0557842826765587</v>
      </c>
      <c r="D282" s="3488">
        <v>14.803306867895653</v>
      </c>
      <c r="E282" s="3489">
        <v>10.030192300780598</v>
      </c>
      <c r="F282" s="3448"/>
      <c r="G282" s="3449"/>
      <c r="H282" s="3450"/>
      <c r="I282" s="3451"/>
      <c r="J282" s="3448"/>
      <c r="K282" s="3449"/>
      <c r="L282" s="3450"/>
      <c r="M282" s="3452"/>
    </row>
    <row r="283" spans="1:13" ht="12.75" customHeight="1">
      <c r="A283" s="3447">
        <f t="shared" si="4"/>
        <v>2015.1</v>
      </c>
      <c r="B283" s="3487">
        <v>11.791859381081244</v>
      </c>
      <c r="C283" s="3487">
        <v>9.1661765371216575</v>
      </c>
      <c r="D283" s="3488">
        <v>14.823912546547579</v>
      </c>
      <c r="E283" s="3489">
        <v>10.27050589688324</v>
      </c>
      <c r="F283" s="3448"/>
      <c r="G283" s="3449"/>
      <c r="H283" s="3450"/>
      <c r="I283" s="3451"/>
      <c r="J283" s="3448"/>
      <c r="K283" s="3449"/>
      <c r="L283" s="3450"/>
      <c r="M283" s="3452"/>
    </row>
    <row r="284" spans="1:13" ht="12.75" customHeight="1">
      <c r="A284" s="3447">
        <f t="shared" si="4"/>
        <v>2015.11</v>
      </c>
      <c r="B284" s="3487">
        <v>11.892327326375998</v>
      </c>
      <c r="C284" s="3487">
        <v>9.3525765733158384</v>
      </c>
      <c r="D284" s="3488">
        <v>14.846140080042343</v>
      </c>
      <c r="E284" s="3489">
        <v>10.32216921350672</v>
      </c>
      <c r="F284" s="3448"/>
      <c r="G284" s="3449"/>
      <c r="H284" s="3450"/>
      <c r="I284" s="3451"/>
      <c r="J284" s="3448"/>
      <c r="K284" s="3449"/>
      <c r="L284" s="3450"/>
      <c r="M284" s="3452"/>
    </row>
    <row r="285" spans="1:13" ht="12.75" customHeight="1">
      <c r="A285" s="3447">
        <f t="shared" si="4"/>
        <v>2015.12</v>
      </c>
      <c r="B285" s="3487">
        <v>12.225410244109948</v>
      </c>
      <c r="C285" s="3487">
        <v>10.000452427272316</v>
      </c>
      <c r="D285" s="3488">
        <v>14.884112116429225</v>
      </c>
      <c r="E285" s="3489">
        <v>10.51671389016701</v>
      </c>
      <c r="F285" s="3448"/>
      <c r="G285" s="3449"/>
      <c r="H285" s="3450"/>
      <c r="I285" s="3451"/>
      <c r="J285" s="3448"/>
      <c r="K285" s="3449"/>
      <c r="L285" s="3450"/>
      <c r="M285" s="3452"/>
    </row>
    <row r="286" spans="1:13" ht="12.75" customHeight="1">
      <c r="A286" s="3447">
        <f t="shared" si="4"/>
        <v>2016.01</v>
      </c>
      <c r="B286" s="3487">
        <v>12.549441995601127</v>
      </c>
      <c r="C286" s="3487">
        <v>10.60489526308646</v>
      </c>
      <c r="D286" s="3488">
        <v>14.917453416671368</v>
      </c>
      <c r="E286" s="3489">
        <v>10.843645815674964</v>
      </c>
      <c r="F286" s="3448"/>
      <c r="G286" s="3449"/>
      <c r="H286" s="3450"/>
      <c r="I286" s="3451"/>
      <c r="J286" s="3448"/>
      <c r="K286" s="3449"/>
      <c r="L286" s="3450"/>
      <c r="M286" s="3452"/>
    </row>
    <row r="287" spans="1:13" ht="12.75" customHeight="1">
      <c r="A287" s="3447">
        <f t="shared" si="4"/>
        <v>2016.02</v>
      </c>
      <c r="B287" s="3487">
        <v>12.802874650398698</v>
      </c>
      <c r="C287" s="3487">
        <v>10.927023480975436</v>
      </c>
      <c r="D287" s="3488">
        <v>14.940607097395075</v>
      </c>
      <c r="E287" s="3489">
        <v>11.858345643732987</v>
      </c>
      <c r="F287" s="3479">
        <v>9363.4648257584631</v>
      </c>
      <c r="G287" s="3480">
        <v>4886.0264156547228</v>
      </c>
      <c r="H287" s="3481">
        <v>3805.1102412064192</v>
      </c>
      <c r="I287" s="3482">
        <v>674.02280235049477</v>
      </c>
      <c r="J287" s="3448"/>
      <c r="K287" s="3449"/>
      <c r="L287" s="3450"/>
      <c r="M287" s="3452"/>
    </row>
    <row r="288" spans="1:13" ht="12.75" customHeight="1">
      <c r="A288" s="3447">
        <f t="shared" si="4"/>
        <v>2016.03</v>
      </c>
      <c r="B288" s="3487">
        <v>12.963080292895734</v>
      </c>
      <c r="C288" s="3487">
        <v>11.124281771705203</v>
      </c>
      <c r="D288" s="3488">
        <v>15.030443378603067</v>
      </c>
      <c r="E288" s="3489">
        <v>12.172361740085073</v>
      </c>
      <c r="F288" s="3479">
        <v>9501.519978601862</v>
      </c>
      <c r="G288" s="3480">
        <v>5014.3371625487671</v>
      </c>
      <c r="H288" s="3481">
        <v>3805.1102412064192</v>
      </c>
      <c r="I288" s="3482">
        <v>683.06639575538634</v>
      </c>
      <c r="J288" s="3448"/>
      <c r="K288" s="3449"/>
      <c r="L288" s="3450"/>
      <c r="M288" s="3452"/>
    </row>
    <row r="289" spans="1:13" ht="12.75" customHeight="1">
      <c r="A289" s="3447">
        <f t="shared" si="4"/>
        <v>2016.04</v>
      </c>
      <c r="B289" s="3487">
        <v>14.375062226767914</v>
      </c>
      <c r="C289" s="3487">
        <v>11.354114826041716</v>
      </c>
      <c r="D289" s="3488">
        <v>17.783879090266566</v>
      </c>
      <c r="E289" s="3489">
        <v>12.999782045382984</v>
      </c>
      <c r="F289" s="3479">
        <v>9594.5067427001413</v>
      </c>
      <c r="G289" s="3480">
        <v>5099.3742757057034</v>
      </c>
      <c r="H289" s="3481">
        <v>3805.1102412064192</v>
      </c>
      <c r="I289" s="3482">
        <v>690.52753131860527</v>
      </c>
      <c r="J289" s="3448"/>
      <c r="K289" s="3449"/>
      <c r="L289" s="3450"/>
      <c r="M289" s="3452"/>
    </row>
    <row r="290" spans="1:13" ht="12.75" customHeight="1">
      <c r="A290" s="3447">
        <f t="shared" si="4"/>
        <v>2016.05</v>
      </c>
      <c r="B290" s="3487">
        <v>14.691853045264876</v>
      </c>
      <c r="C290" s="3487">
        <v>11.565850789485593</v>
      </c>
      <c r="D290" s="3488">
        <v>18.185826987630158</v>
      </c>
      <c r="E290" s="3489">
        <v>13.428426125493413</v>
      </c>
      <c r="F290" s="3479">
        <v>10625.740625296621</v>
      </c>
      <c r="G290" s="3480">
        <v>5199.0209844058481</v>
      </c>
      <c r="H290" s="3481">
        <v>4642.2145545828707</v>
      </c>
      <c r="I290" s="3482">
        <v>790.37702260534763</v>
      </c>
      <c r="J290" s="3448"/>
      <c r="K290" s="3449"/>
      <c r="L290" s="3450"/>
      <c r="M290" s="3452"/>
    </row>
    <row r="291" spans="1:13" ht="12.75" customHeight="1">
      <c r="A291" s="3447">
        <f t="shared" si="4"/>
        <v>2016.06</v>
      </c>
      <c r="B291" s="3487">
        <v>14.830335888779263</v>
      </c>
      <c r="C291" s="3487">
        <v>11.652716825770259</v>
      </c>
      <c r="D291" s="3488">
        <v>18.29418621341712</v>
      </c>
      <c r="E291" s="3489">
        <v>13.963625796139768</v>
      </c>
      <c r="F291" s="3479">
        <v>10694.131537954929</v>
      </c>
      <c r="G291" s="3480">
        <v>5264.4509220771079</v>
      </c>
      <c r="H291" s="3481">
        <v>4642.2145545828707</v>
      </c>
      <c r="I291" s="3482">
        <v>793.01301491500135</v>
      </c>
      <c r="J291" s="3448"/>
      <c r="K291" s="3449"/>
      <c r="L291" s="3450"/>
      <c r="M291" s="3452"/>
    </row>
    <row r="292" spans="1:13" ht="12.75" customHeight="1">
      <c r="A292" s="3447">
        <f t="shared" si="4"/>
        <v>2016.07</v>
      </c>
      <c r="B292" s="3487">
        <v>14.95071639980811</v>
      </c>
      <c r="C292" s="3487">
        <v>11.924173189159845</v>
      </c>
      <c r="D292" s="3488">
        <v>18.215463698956508</v>
      </c>
      <c r="E292" s="3489">
        <v>14.284099807069788</v>
      </c>
      <c r="F292" s="3479">
        <v>10762.33685462476</v>
      </c>
      <c r="G292" s="3480">
        <v>5332.1714485738148</v>
      </c>
      <c r="H292" s="3481">
        <v>4642.2145545828707</v>
      </c>
      <c r="I292" s="3482">
        <v>793.20305260732016</v>
      </c>
      <c r="J292" s="3448"/>
      <c r="K292" s="3449"/>
      <c r="L292" s="3450"/>
      <c r="M292" s="3452"/>
    </row>
    <row r="293" spans="1:13" ht="12.75" customHeight="1">
      <c r="A293" s="3447">
        <f t="shared" si="4"/>
        <v>2016.08</v>
      </c>
      <c r="B293" s="3487">
        <v>14.999592697519073</v>
      </c>
      <c r="C293" s="3487">
        <v>12.02732660724789</v>
      </c>
      <c r="D293" s="3488">
        <v>18.164525601364346</v>
      </c>
      <c r="E293" s="3489">
        <v>14.539994672220459</v>
      </c>
      <c r="F293" s="3479">
        <v>10863.159154900924</v>
      </c>
      <c r="G293" s="3480">
        <v>5426.6818267305453</v>
      </c>
      <c r="H293" s="3481">
        <v>4642.2145545828707</v>
      </c>
      <c r="I293" s="3482">
        <v>799.01273385841546</v>
      </c>
      <c r="J293" s="3448"/>
      <c r="K293" s="3449"/>
      <c r="L293" s="3450"/>
      <c r="M293" s="3452"/>
    </row>
    <row r="294" spans="1:13" ht="12.75" customHeight="1">
      <c r="A294" s="3447">
        <f t="shared" si="4"/>
        <v>2016.09</v>
      </c>
      <c r="B294" s="3487">
        <v>15.102775992686656</v>
      </c>
      <c r="C294" s="3487">
        <v>12.171198479844369</v>
      </c>
      <c r="D294" s="3488">
        <v>18.235838937993368</v>
      </c>
      <c r="E294" s="3489">
        <v>14.60134486071084</v>
      </c>
      <c r="F294" s="3453">
        <v>10943.601564729375</v>
      </c>
      <c r="G294" s="3454">
        <v>5505.7284353625109</v>
      </c>
      <c r="H294" s="3455">
        <v>4642.2145545828707</v>
      </c>
      <c r="I294" s="3456">
        <v>800.05110099884041</v>
      </c>
      <c r="J294" s="3448"/>
      <c r="K294" s="3449"/>
      <c r="L294" s="3450"/>
      <c r="M294" s="3452"/>
    </row>
    <row r="295" spans="1:13" ht="12.75" customHeight="1">
      <c r="A295" s="3447">
        <f t="shared" si="4"/>
        <v>2016.1</v>
      </c>
      <c r="B295" s="3487">
        <v>15.961731669125566</v>
      </c>
      <c r="C295" s="3487">
        <v>12.348549970592233</v>
      </c>
      <c r="D295" s="3488">
        <v>19.812141521663488</v>
      </c>
      <c r="E295" s="3489">
        <v>15.393246635830112</v>
      </c>
      <c r="F295" s="3453">
        <v>10983.973982010433</v>
      </c>
      <c r="G295" s="3454">
        <v>5550.08197616298</v>
      </c>
      <c r="H295" s="3455">
        <v>4642.2145545828707</v>
      </c>
      <c r="I295" s="3456">
        <v>795.94625710489379</v>
      </c>
      <c r="J295" s="3448"/>
      <c r="K295" s="3449"/>
      <c r="L295" s="3450"/>
      <c r="M295" s="3452"/>
    </row>
    <row r="296" spans="1:13" ht="12.75" customHeight="1">
      <c r="A296" s="3447">
        <f t="shared" si="4"/>
        <v>2016.11</v>
      </c>
      <c r="B296" s="3487">
        <v>16.202492691183256</v>
      </c>
      <c r="C296" s="3487">
        <v>12.581097588562645</v>
      </c>
      <c r="D296" s="3488">
        <v>20.026081531550563</v>
      </c>
      <c r="E296" s="3489">
        <v>15.799288014917771</v>
      </c>
      <c r="F296" s="3453">
        <v>11478.344414458747</v>
      </c>
      <c r="G296" s="3454">
        <v>5585.1007015871619</v>
      </c>
      <c r="H296" s="3455">
        <v>5098.8395314141317</v>
      </c>
      <c r="I296" s="3456">
        <v>802.46954624756859</v>
      </c>
      <c r="J296" s="3448"/>
      <c r="K296" s="3449"/>
      <c r="L296" s="3450"/>
      <c r="M296" s="3452"/>
    </row>
    <row r="297" spans="1:13" ht="12.75" customHeight="1">
      <c r="A297" s="3447">
        <f t="shared" si="4"/>
        <v>2016.12</v>
      </c>
      <c r="B297" s="3487">
        <v>16.329209018582041</v>
      </c>
      <c r="C297" s="3487">
        <v>12.747590824774923</v>
      </c>
      <c r="D297" s="3488">
        <v>20.129810021192778</v>
      </c>
      <c r="E297" s="3489">
        <v>15.844493416963314</v>
      </c>
      <c r="F297" s="3479">
        <v>11546.076975223084</v>
      </c>
      <c r="G297" s="3480">
        <v>5652.5428239496414</v>
      </c>
      <c r="H297" s="3481">
        <v>5098.8395314141317</v>
      </c>
      <c r="I297" s="3482">
        <v>802.46954624756859</v>
      </c>
      <c r="J297" s="3448"/>
      <c r="K297" s="3449"/>
      <c r="L297" s="3450"/>
      <c r="M297" s="3452"/>
    </row>
    <row r="298" spans="1:13" ht="12.75" customHeight="1">
      <c r="A298" s="3447">
        <f t="shared" si="4"/>
        <v>2017.01</v>
      </c>
      <c r="B298" s="3487">
        <v>16.7645701148593</v>
      </c>
      <c r="C298" s="3487">
        <v>12.984662715468495</v>
      </c>
      <c r="D298" s="3488">
        <v>20.810528234469828</v>
      </c>
      <c r="E298" s="3489">
        <v>16.078592820413455</v>
      </c>
      <c r="F298" s="3479">
        <v>11610.113032171383</v>
      </c>
      <c r="G298" s="3480">
        <v>5715.2358232483621</v>
      </c>
      <c r="H298" s="3481">
        <v>5098.8395314141317</v>
      </c>
      <c r="I298" s="3482">
        <v>803.52531120489584</v>
      </c>
      <c r="J298" s="3448"/>
      <c r="K298" s="3449"/>
      <c r="L298" s="3450"/>
      <c r="M298" s="3452"/>
    </row>
    <row r="299" spans="1:13" ht="12.75" customHeight="1">
      <c r="A299" s="3447">
        <f t="shared" si="4"/>
        <v>2017.02</v>
      </c>
      <c r="B299" s="3487">
        <v>17.047871618258011</v>
      </c>
      <c r="C299" s="3487">
        <v>13.206352078903324</v>
      </c>
      <c r="D299" s="3488">
        <v>20.833681915193541</v>
      </c>
      <c r="E299" s="3489">
        <v>17.892459577490925</v>
      </c>
      <c r="F299" s="3479">
        <v>12088.040687771125</v>
      </c>
      <c r="G299" s="3480">
        <v>5886.3625676783349</v>
      </c>
      <c r="H299" s="3481">
        <v>5289.5282849114856</v>
      </c>
      <c r="I299" s="3482">
        <v>918.70555056705882</v>
      </c>
      <c r="J299" s="3448"/>
      <c r="K299" s="3449"/>
      <c r="L299" s="3450"/>
      <c r="M299" s="3452"/>
    </row>
    <row r="300" spans="1:13" ht="12.75" customHeight="1">
      <c r="A300" s="3447">
        <f t="shared" si="4"/>
        <v>2017.03</v>
      </c>
      <c r="B300" s="3487">
        <v>17.23161029298625</v>
      </c>
      <c r="C300" s="3487">
        <v>13.465140478668062</v>
      </c>
      <c r="D300" s="3488">
        <v>20.833681915193541</v>
      </c>
      <c r="E300" s="3489">
        <v>18.534214838673208</v>
      </c>
      <c r="F300" s="3479">
        <v>12127.130860454285</v>
      </c>
      <c r="G300" s="3480">
        <v>5920.1016875061187</v>
      </c>
      <c r="H300" s="3481">
        <v>5289.5282849114856</v>
      </c>
      <c r="I300" s="3482">
        <v>923.82734890370398</v>
      </c>
      <c r="J300" s="3448"/>
      <c r="K300" s="3449"/>
      <c r="L300" s="3450"/>
      <c r="M300" s="3452"/>
    </row>
    <row r="301" spans="1:13" ht="12.75" customHeight="1">
      <c r="A301" s="3447">
        <f t="shared" si="4"/>
        <v>2017.04</v>
      </c>
      <c r="B301" s="3487">
        <v>18.184698098349973</v>
      </c>
      <c r="C301" s="3487">
        <v>13.599963805818224</v>
      </c>
      <c r="D301" s="3488">
        <v>22.656374516767173</v>
      </c>
      <c r="E301" s="3489">
        <v>19.367285819226812</v>
      </c>
      <c r="F301" s="3479">
        <v>12190.127851913363</v>
      </c>
      <c r="G301" s="3480">
        <v>5977.818024794622</v>
      </c>
      <c r="H301" s="3481">
        <v>5289.5282849114856</v>
      </c>
      <c r="I301" s="3482">
        <v>928.77829175641</v>
      </c>
      <c r="J301" s="3448"/>
      <c r="K301" s="3449"/>
      <c r="L301" s="3450"/>
      <c r="M301" s="3452"/>
    </row>
    <row r="302" spans="1:13" ht="12.75" customHeight="1">
      <c r="A302" s="3447">
        <f t="shared" si="4"/>
        <v>2017.05</v>
      </c>
      <c r="B302" s="3487">
        <v>18.393780038557971</v>
      </c>
      <c r="C302" s="3487">
        <v>13.842464823779586</v>
      </c>
      <c r="D302" s="3488">
        <v>22.817445371350114</v>
      </c>
      <c r="E302" s="3489">
        <v>19.643361667433531</v>
      </c>
      <c r="F302" s="3479">
        <v>12821.616086781207</v>
      </c>
      <c r="G302" s="3480">
        <v>6027.7685421141132</v>
      </c>
      <c r="H302" s="3481">
        <v>5871.4082393677536</v>
      </c>
      <c r="I302" s="3482">
        <v>933.31302529706534</v>
      </c>
      <c r="J302" s="3448"/>
      <c r="K302" s="3449"/>
      <c r="L302" s="3450"/>
      <c r="M302" s="3452"/>
    </row>
    <row r="303" spans="1:13" ht="12.75" customHeight="1">
      <c r="A303" s="3447">
        <f t="shared" si="4"/>
        <v>2017.06</v>
      </c>
      <c r="B303" s="3487">
        <v>18.587474996153254</v>
      </c>
      <c r="C303" s="3487">
        <v>13.994480387277754</v>
      </c>
      <c r="D303" s="3488">
        <v>23.004435673796976</v>
      </c>
      <c r="E303" s="3489">
        <v>20.065547832966026</v>
      </c>
      <c r="F303" s="3479">
        <v>12887.19736635667</v>
      </c>
      <c r="G303" s="3480">
        <v>6095.023757484857</v>
      </c>
      <c r="H303" s="3481">
        <v>5871.4082393677536</v>
      </c>
      <c r="I303" s="3482">
        <v>931.38112412444616</v>
      </c>
      <c r="J303" s="3448"/>
      <c r="K303" s="3449"/>
      <c r="L303" s="3450"/>
      <c r="M303" s="3452"/>
    </row>
    <row r="304" spans="1:13" ht="12.75" customHeight="1">
      <c r="A304" s="3447">
        <f t="shared" si="4"/>
        <v>2017.07</v>
      </c>
      <c r="B304" s="3487">
        <v>19.689907044522691</v>
      </c>
      <c r="C304" s="3487">
        <v>14.257793059765653</v>
      </c>
      <c r="D304" s="3488">
        <v>25.065957473545314</v>
      </c>
      <c r="E304" s="3489">
        <v>20.726676837882113</v>
      </c>
      <c r="F304" s="3479">
        <v>12963.19212248087</v>
      </c>
      <c r="G304" s="3480">
        <v>6163.3730258587539</v>
      </c>
      <c r="H304" s="3481">
        <v>5871.4082393677536</v>
      </c>
      <c r="I304" s="3482">
        <v>938.61370887929718</v>
      </c>
      <c r="J304" s="3448"/>
      <c r="K304" s="3449"/>
      <c r="L304" s="3450"/>
      <c r="M304" s="3452"/>
    </row>
    <row r="305" spans="1:13" ht="12.75" customHeight="1">
      <c r="A305" s="3447">
        <f t="shared" si="4"/>
        <v>2017.08</v>
      </c>
      <c r="B305" s="3487">
        <v>19.938814116198877</v>
      </c>
      <c r="C305" s="3487">
        <v>14.566348459485148</v>
      </c>
      <c r="D305" s="3488">
        <v>25.277941529289528</v>
      </c>
      <c r="E305" s="3489">
        <v>20.852606172151845</v>
      </c>
      <c r="F305" s="3479">
        <v>13643.125293307601</v>
      </c>
      <c r="G305" s="3480">
        <v>6256.336680938949</v>
      </c>
      <c r="H305" s="3481">
        <v>6458.5367725510096</v>
      </c>
      <c r="I305" s="3482">
        <v>943.19230871043305</v>
      </c>
      <c r="J305" s="3448"/>
      <c r="K305" s="3449"/>
      <c r="L305" s="3450"/>
      <c r="M305" s="3452"/>
    </row>
    <row r="306" spans="1:13" ht="12.75" customHeight="1">
      <c r="A306" s="3447">
        <f t="shared" si="4"/>
        <v>2017.09</v>
      </c>
      <c r="B306" s="3487">
        <v>20.097209525447358</v>
      </c>
      <c r="C306" s="3487">
        <v>14.843233950142524</v>
      </c>
      <c r="D306" s="3488">
        <v>25.334408897850217</v>
      </c>
      <c r="E306" s="3489">
        <v>20.922028753864648</v>
      </c>
      <c r="F306" s="3479">
        <v>13829.583214943123</v>
      </c>
      <c r="G306" s="3480">
        <v>6372.7323328429402</v>
      </c>
      <c r="H306" s="3481">
        <v>6458.5367725510096</v>
      </c>
      <c r="I306" s="3482">
        <v>1011.6314542230806</v>
      </c>
      <c r="J306" s="3448"/>
      <c r="K306" s="3449"/>
      <c r="L306" s="3450"/>
      <c r="M306" s="3452"/>
    </row>
    <row r="307" spans="1:13" ht="12.75" customHeight="1">
      <c r="A307" s="3447">
        <f t="shared" si="4"/>
        <v>2017.1</v>
      </c>
      <c r="B307" s="3487">
        <v>20.249269118325895</v>
      </c>
      <c r="C307" s="3487">
        <v>15.074876713568303</v>
      </c>
      <c r="D307" s="3488">
        <v>25.421424187107668</v>
      </c>
      <c r="E307" s="3489">
        <v>20.986607899644</v>
      </c>
      <c r="F307" s="3479">
        <v>13891.880745299064</v>
      </c>
      <c r="G307" s="3480">
        <v>6419.9878981431093</v>
      </c>
      <c r="H307" s="3481">
        <v>6458.5367725510096</v>
      </c>
      <c r="I307" s="3482">
        <v>1026.2306017928604</v>
      </c>
      <c r="J307" s="3448"/>
      <c r="K307" s="3449"/>
      <c r="L307" s="3450"/>
      <c r="M307" s="3452"/>
    </row>
    <row r="308" spans="1:13" ht="12.75" customHeight="1">
      <c r="A308" s="3447">
        <f t="shared" si="4"/>
        <v>2017.11</v>
      </c>
      <c r="B308" s="3487">
        <v>20.338875664129322</v>
      </c>
      <c r="C308" s="3487">
        <v>15.305614622449452</v>
      </c>
      <c r="D308" s="3488">
        <v>25.360328345714141</v>
      </c>
      <c r="E308" s="3489">
        <v>21.103657601369068</v>
      </c>
      <c r="F308" s="3479">
        <v>13988.900292589891</v>
      </c>
      <c r="G308" s="3480">
        <v>6507.0316279085791</v>
      </c>
      <c r="H308" s="3481">
        <v>6458.5367725510096</v>
      </c>
      <c r="I308" s="3482">
        <v>1035.6767241751443</v>
      </c>
      <c r="J308" s="3448"/>
      <c r="K308" s="3449"/>
      <c r="L308" s="3450"/>
      <c r="M308" s="3452"/>
    </row>
    <row r="309" spans="1:13" ht="12.75" customHeight="1">
      <c r="A309" s="3447">
        <f t="shared" si="4"/>
        <v>2017.12</v>
      </c>
      <c r="B309" s="3487">
        <v>20.633038567019359</v>
      </c>
      <c r="C309" s="3487">
        <v>15.545401076776919</v>
      </c>
      <c r="D309" s="3488">
        <v>25.402910295776294</v>
      </c>
      <c r="E309" s="3489">
        <v>22.853752451989429</v>
      </c>
      <c r="F309" s="3453">
        <v>14133.561483755941</v>
      </c>
      <c r="G309" s="3454">
        <v>6641.7300190628503</v>
      </c>
      <c r="H309" s="3455">
        <v>6458.5367725510096</v>
      </c>
      <c r="I309" s="3456">
        <v>1044.9081247830084</v>
      </c>
      <c r="J309" s="3448"/>
      <c r="K309" s="3449"/>
      <c r="L309" s="3450"/>
      <c r="M309" s="3452"/>
    </row>
    <row r="310" spans="1:13" ht="12.75" customHeight="1">
      <c r="A310" s="3447">
        <f t="shared" si="4"/>
        <v>2018.01</v>
      </c>
      <c r="B310" s="3487">
        <v>20.862938189585726</v>
      </c>
      <c r="C310" s="3487">
        <v>15.920915712799177</v>
      </c>
      <c r="D310" s="3488">
        <v>25.439012383872473</v>
      </c>
      <c r="E310" s="3489">
        <v>23.289661686000038</v>
      </c>
      <c r="F310" s="3453">
        <v>14260.855394277412</v>
      </c>
      <c r="G310" s="3454">
        <v>6761.2285979093494</v>
      </c>
      <c r="H310" s="3455">
        <v>6458.5367725510096</v>
      </c>
      <c r="I310" s="3456">
        <v>1052.0714156688291</v>
      </c>
      <c r="J310" s="3448"/>
      <c r="K310" s="3449"/>
      <c r="L310" s="3450"/>
      <c r="M310" s="3452"/>
    </row>
    <row r="311" spans="1:13" ht="12.75" customHeight="1">
      <c r="A311" s="3447">
        <f t="shared" si="4"/>
        <v>2018.02</v>
      </c>
      <c r="B311" s="3487">
        <v>21.36256256618665</v>
      </c>
      <c r="C311" s="3487">
        <v>16.370628421481257</v>
      </c>
      <c r="D311" s="3488">
        <v>25.900933972590224</v>
      </c>
      <c r="E311" s="3489">
        <v>24.209107274033524</v>
      </c>
      <c r="F311" s="3453">
        <v>14424.26011777456</v>
      </c>
      <c r="G311" s="3454">
        <v>6924.9631858650573</v>
      </c>
      <c r="H311" s="3455">
        <v>6458.5367725510096</v>
      </c>
      <c r="I311" s="3456">
        <v>1051.0531229325225</v>
      </c>
      <c r="J311" s="3448"/>
      <c r="K311" s="3449"/>
      <c r="L311" s="3450"/>
      <c r="M311" s="3452"/>
    </row>
    <row r="312" spans="1:13" ht="12.75" customHeight="1">
      <c r="A312" s="3447">
        <f t="shared" si="4"/>
        <v>2018.03</v>
      </c>
      <c r="B312" s="3487">
        <v>21.702886416914819</v>
      </c>
      <c r="C312" s="3487">
        <v>16.785051802922691</v>
      </c>
      <c r="D312" s="3488">
        <v>26.192527761059342</v>
      </c>
      <c r="E312" s="3489">
        <v>24.416567779849682</v>
      </c>
      <c r="F312" s="3453">
        <v>14646.860439976634</v>
      </c>
      <c r="G312" s="3454">
        <v>7120.4563115887822</v>
      </c>
      <c r="H312" s="3455">
        <v>6458.5367725510096</v>
      </c>
      <c r="I312" s="3456">
        <v>1076.8948290042299</v>
      </c>
      <c r="J312" s="3448"/>
      <c r="K312" s="3449"/>
      <c r="L312" s="3450"/>
      <c r="M312" s="3452"/>
    </row>
    <row r="313" spans="1:13" ht="12.75" customHeight="1">
      <c r="A313" s="3447">
        <f t="shared" si="4"/>
        <v>2018.04</v>
      </c>
      <c r="B313" s="3487">
        <v>22.941991075550082</v>
      </c>
      <c r="C313" s="3487">
        <v>17.066461566303229</v>
      </c>
      <c r="D313" s="3488">
        <v>28.485473202449832</v>
      </c>
      <c r="E313" s="3489">
        <v>25.344085761105585</v>
      </c>
      <c r="F313" s="3453">
        <v>14985.311652280523</v>
      </c>
      <c r="G313" s="3454">
        <v>7262.3032179776883</v>
      </c>
      <c r="H313" s="3455">
        <v>6652.3075163633384</v>
      </c>
      <c r="I313" s="3456">
        <v>1080.7743934741834</v>
      </c>
      <c r="J313" s="3448"/>
      <c r="K313" s="3449"/>
      <c r="L313" s="3450"/>
      <c r="M313" s="3452"/>
    </row>
    <row r="314" spans="1:13" ht="12.75" customHeight="1">
      <c r="A314" s="3447">
        <f t="shared" si="4"/>
        <v>2018.05</v>
      </c>
      <c r="B314" s="3487">
        <v>23.589149461908164</v>
      </c>
      <c r="C314" s="3487">
        <v>18.124236528977981</v>
      </c>
      <c r="D314" s="3488">
        <v>28.720599622358264</v>
      </c>
      <c r="E314" s="3489">
        <v>25.938213902275596</v>
      </c>
      <c r="F314" s="3453">
        <v>15884.940447180268</v>
      </c>
      <c r="G314" s="3454">
        <v>7424.5628659768754</v>
      </c>
      <c r="H314" s="3455">
        <v>7317.4832493412359</v>
      </c>
      <c r="I314" s="3456">
        <v>1156.9267198462005</v>
      </c>
      <c r="J314" s="3448"/>
      <c r="K314" s="3449"/>
      <c r="L314" s="3450"/>
      <c r="M314" s="3452"/>
    </row>
    <row r="315" spans="1:13" ht="12.75" customHeight="1">
      <c r="A315" s="3447">
        <f t="shared" si="4"/>
        <v>2018.06</v>
      </c>
      <c r="B315" s="3487">
        <v>24.173854801191133</v>
      </c>
      <c r="C315" s="3487">
        <v>19.144912455322821</v>
      </c>
      <c r="D315" s="3488">
        <v>28.893704506306598</v>
      </c>
      <c r="E315" s="3489">
        <v>26.336990127463078</v>
      </c>
      <c r="F315" s="3453">
        <v>16292.095576452017</v>
      </c>
      <c r="G315" s="3454">
        <v>7828.4515689141981</v>
      </c>
      <c r="H315" s="3455">
        <v>7317.4832493412359</v>
      </c>
      <c r="I315" s="3456">
        <v>1158.42917746998</v>
      </c>
      <c r="J315" s="3448"/>
      <c r="K315" s="3449"/>
      <c r="L315" s="3450"/>
      <c r="M315" s="3452"/>
    </row>
    <row r="316" spans="1:13" ht="12.75" customHeight="1">
      <c r="A316" s="3447">
        <f t="shared" si="4"/>
        <v>2018.07</v>
      </c>
      <c r="B316" s="3487">
        <v>24.591113564982845</v>
      </c>
      <c r="C316" s="3487">
        <v>19.911324254626081</v>
      </c>
      <c r="D316" s="3488">
        <v>28.893704506306598</v>
      </c>
      <c r="E316" s="3489">
        <v>27.083686500536803</v>
      </c>
      <c r="F316" s="3453">
        <v>16772.774072920012</v>
      </c>
      <c r="G316" s="3454">
        <v>8250.4564050875069</v>
      </c>
      <c r="H316" s="3455">
        <v>7317.4832493412359</v>
      </c>
      <c r="I316" s="3456">
        <v>1214.3685119857419</v>
      </c>
      <c r="J316" s="3448"/>
      <c r="K316" s="3449"/>
      <c r="L316" s="3450"/>
      <c r="M316" s="3452"/>
    </row>
    <row r="317" spans="1:13" ht="12.75" customHeight="1">
      <c r="A317" s="3447">
        <f t="shared" si="4"/>
        <v>2018.08</v>
      </c>
      <c r="B317" s="3487">
        <v>25.507996705375483</v>
      </c>
      <c r="C317" s="3487">
        <v>20.526625344975805</v>
      </c>
      <c r="D317" s="3488">
        <v>30.0503787668315</v>
      </c>
      <c r="E317" s="3489">
        <v>28.338943646622901</v>
      </c>
      <c r="F317" s="3453">
        <v>17248.12650861128</v>
      </c>
      <c r="G317" s="3454">
        <v>8714.3971807551425</v>
      </c>
      <c r="H317" s="3455">
        <v>7317.4832493412359</v>
      </c>
      <c r="I317" s="3456">
        <v>1223.6303959480076</v>
      </c>
      <c r="J317" s="3448"/>
      <c r="K317" s="3449"/>
      <c r="L317" s="3450"/>
      <c r="M317" s="3452"/>
    </row>
    <row r="318" spans="1:13" ht="12.75" customHeight="1">
      <c r="A318" s="3447">
        <f t="shared" si="4"/>
        <v>2018.09</v>
      </c>
      <c r="B318" s="3487">
        <v>27.418697899224316</v>
      </c>
      <c r="C318" s="3487">
        <v>23.416730760530257</v>
      </c>
      <c r="D318" s="3488">
        <v>31.127410123909527</v>
      </c>
      <c r="E318" s="3489">
        <v>29.406921269948889</v>
      </c>
      <c r="F318" s="3453">
        <v>17854.565935054252</v>
      </c>
      <c r="G318" s="3454">
        <v>8942.4966977021486</v>
      </c>
      <c r="H318" s="3455">
        <v>7683.4134445301443</v>
      </c>
      <c r="I318" s="3456">
        <v>1238.07013787916</v>
      </c>
      <c r="J318" s="3448"/>
      <c r="K318" s="3449"/>
      <c r="L318" s="3450"/>
      <c r="M318" s="3452"/>
    </row>
    <row r="319" spans="1:13" ht="12.75" customHeight="1">
      <c r="A319" s="3447">
        <f t="shared" si="4"/>
        <v>2018.1</v>
      </c>
      <c r="B319" s="3487">
        <v>28.030556737235592</v>
      </c>
      <c r="C319" s="3487">
        <v>24.361398905126013</v>
      </c>
      <c r="D319" s="3488">
        <v>31.358930192069035</v>
      </c>
      <c r="E319" s="3489">
        <v>30.194786848456946</v>
      </c>
      <c r="F319" s="3453">
        <v>19743.268549217573</v>
      </c>
      <c r="G319" s="3454">
        <v>10401.657309849899</v>
      </c>
      <c r="H319" s="3455">
        <v>7990.9909237777429</v>
      </c>
      <c r="I319" s="3456">
        <v>1354.5720165287489</v>
      </c>
      <c r="J319" s="3448"/>
      <c r="K319" s="3449"/>
      <c r="L319" s="3450"/>
      <c r="M319" s="3452"/>
    </row>
    <row r="320" spans="1:13" ht="12.75" customHeight="1">
      <c r="A320" s="3447">
        <f t="shared" si="4"/>
        <v>2018.11</v>
      </c>
      <c r="B320" s="3487">
        <v>29.022564557443228</v>
      </c>
      <c r="C320" s="3487">
        <v>24.724245577523423</v>
      </c>
      <c r="D320" s="3488">
        <v>32.990683632457248</v>
      </c>
      <c r="E320" s="3489">
        <v>31.230474898893263</v>
      </c>
      <c r="F320" s="3453">
        <v>20028.123630061633</v>
      </c>
      <c r="G320" s="3454">
        <v>10673.251678954188</v>
      </c>
      <c r="H320" s="3455">
        <v>7990.9909237777429</v>
      </c>
      <c r="I320" s="3456">
        <v>1366.468108409191</v>
      </c>
      <c r="J320" s="3448"/>
      <c r="K320" s="3449"/>
      <c r="L320" s="3450"/>
      <c r="M320" s="3452"/>
    </row>
    <row r="321" spans="1:13" ht="12.75" customHeight="1">
      <c r="A321" s="3447">
        <f t="shared" si="4"/>
        <v>2018.12</v>
      </c>
      <c r="B321" s="3487">
        <v>29.979272829304058</v>
      </c>
      <c r="C321" s="3487">
        <v>25.126000995340007</v>
      </c>
      <c r="D321" s="3488">
        <v>34.552054972124971</v>
      </c>
      <c r="E321" s="3489">
        <v>32.036906981812884</v>
      </c>
      <c r="F321" s="3453">
        <v>20630.50246414114</v>
      </c>
      <c r="G321" s="3454">
        <v>10792.832575131182</v>
      </c>
      <c r="H321" s="3455">
        <v>8470.7046758096767</v>
      </c>
      <c r="I321" s="3456">
        <v>1373.1864910200368</v>
      </c>
      <c r="J321" s="3448"/>
      <c r="K321" s="3449"/>
      <c r="L321" s="3450"/>
      <c r="M321" s="3452"/>
    </row>
    <row r="322" spans="1:13" ht="12.75" customHeight="1">
      <c r="A322" s="3447">
        <f t="shared" si="4"/>
        <v>2019.01</v>
      </c>
      <c r="B322" s="3487">
        <v>30.321406913280779</v>
      </c>
      <c r="C322" s="3487">
        <v>25.435461249604131</v>
      </c>
      <c r="D322" s="3488">
        <v>34.972495415902642</v>
      </c>
      <c r="E322" s="3489">
        <v>32.170908709305031</v>
      </c>
      <c r="F322" s="3453">
        <v>20835.894048200196</v>
      </c>
      <c r="G322" s="3454">
        <v>10981.314732311455</v>
      </c>
      <c r="H322" s="3455">
        <v>8470.7046758096767</v>
      </c>
      <c r="I322" s="3456">
        <v>1389.0246010721335</v>
      </c>
      <c r="J322" s="3448"/>
      <c r="K322" s="3449"/>
      <c r="L322" s="3450"/>
      <c r="M322" s="3452"/>
    </row>
    <row r="323" spans="1:13" ht="12.75" customHeight="1">
      <c r="A323" s="3447">
        <f t="shared" si="4"/>
        <v>2019.02</v>
      </c>
      <c r="B323" s="3487">
        <v>30.703366128725687</v>
      </c>
      <c r="C323" s="3487">
        <v>25.878839976473788</v>
      </c>
      <c r="D323" s="3488">
        <v>35.096590172436144</v>
      </c>
      <c r="E323" s="3489">
        <v>33.477021932692374</v>
      </c>
      <c r="F323" s="3453">
        <v>21290.498575339559</v>
      </c>
      <c r="G323" s="3454">
        <v>11141.085597839368</v>
      </c>
      <c r="H323" s="3455">
        <v>8725.1574315932612</v>
      </c>
      <c r="I323" s="3456">
        <v>1430.3001038270684</v>
      </c>
      <c r="J323" s="3448"/>
      <c r="K323" s="3449"/>
      <c r="L323" s="3450"/>
      <c r="M323" s="3452"/>
    </row>
    <row r="324" spans="1:13" ht="12.75" customHeight="1">
      <c r="A324" s="3447">
        <f t="shared" si="4"/>
        <v>2019.03</v>
      </c>
      <c r="B324" s="3487">
        <v>31.774119095245425</v>
      </c>
      <c r="C324" s="3487">
        <v>26.466995430484555</v>
      </c>
      <c r="D324" s="3488">
        <v>36.436628326943371</v>
      </c>
      <c r="E324" s="3489">
        <v>35.62185681188901</v>
      </c>
      <c r="F324" s="3453">
        <v>21614.760158185894</v>
      </c>
      <c r="G324" s="3454">
        <v>11443.433089565307</v>
      </c>
      <c r="H324" s="3455">
        <v>8725.1574315932612</v>
      </c>
      <c r="I324" s="3456">
        <v>1450.579712965138</v>
      </c>
      <c r="J324" s="3448"/>
      <c r="K324" s="3449"/>
      <c r="L324" s="3450"/>
      <c r="M324" s="3452"/>
    </row>
    <row r="325" spans="1:13" ht="12.75" customHeight="1">
      <c r="A325" s="3447">
        <f t="shared" si="4"/>
        <v>2019.04</v>
      </c>
      <c r="B325" s="3487">
        <v>33.759039852284971</v>
      </c>
      <c r="C325" s="3487">
        <v>27.577251956747958</v>
      </c>
      <c r="D325" s="3488">
        <v>39.475097701468755</v>
      </c>
      <c r="E325" s="3489">
        <v>36.897294941031156</v>
      </c>
      <c r="F325" s="3453">
        <v>22829.471847026427</v>
      </c>
      <c r="G325" s="3454">
        <v>11792.275727083172</v>
      </c>
      <c r="H325" s="3455">
        <v>9336.3174377223368</v>
      </c>
      <c r="I325" s="3456">
        <v>1705.0416699730586</v>
      </c>
      <c r="J325" s="3448"/>
      <c r="K325" s="3449"/>
      <c r="L325" s="3450"/>
      <c r="M325" s="3452"/>
    </row>
    <row r="326" spans="1:13" ht="12.75" customHeight="1">
      <c r="A326" s="3447">
        <f t="shared" si="4"/>
        <v>2019.05</v>
      </c>
      <c r="B326" s="3487">
        <v>34.911253314989636</v>
      </c>
      <c r="C326" s="3487">
        <v>28.152739447133882</v>
      </c>
      <c r="D326" s="3488">
        <v>41.17445500175954</v>
      </c>
      <c r="E326" s="3489">
        <v>38.276059703420259</v>
      </c>
      <c r="F326" s="3453">
        <v>24215.519011725002</v>
      </c>
      <c r="G326" s="3454">
        <v>12233.698122953438</v>
      </c>
      <c r="H326" s="3455">
        <v>10270.491255571642</v>
      </c>
      <c r="I326" s="3456">
        <v>1721.6143545165914</v>
      </c>
      <c r="J326" s="3448"/>
      <c r="K326" s="3449"/>
      <c r="L326" s="3450"/>
      <c r="M326" s="3452"/>
    </row>
    <row r="327" spans="1:13" ht="12.75" customHeight="1">
      <c r="A327" s="3447">
        <f t="shared" si="4"/>
        <v>2019.06</v>
      </c>
      <c r="B327" s="3487">
        <v>35.463374455798629</v>
      </c>
      <c r="C327" s="3487">
        <v>28.863955119214594</v>
      </c>
      <c r="D327" s="3488">
        <v>41.577299920357078</v>
      </c>
      <c r="E327" s="3489">
        <v>38.759596057443133</v>
      </c>
      <c r="F327" s="3453">
        <v>25033.496755819247</v>
      </c>
      <c r="G327" s="3454">
        <v>12538.414758617291</v>
      </c>
      <c r="H327" s="3455">
        <v>10784.227521242425</v>
      </c>
      <c r="I327" s="3456">
        <v>1724.3435812809271</v>
      </c>
      <c r="J327" s="3448"/>
      <c r="K327" s="3449"/>
      <c r="L327" s="3450"/>
      <c r="M327" s="3452"/>
    </row>
    <row r="328" spans="1:13" ht="12.75" customHeight="1">
      <c r="A328" s="3447">
        <f t="shared" si="4"/>
        <v>2019.07</v>
      </c>
      <c r="B328" s="3487">
        <v>36.414652027913796</v>
      </c>
      <c r="C328" s="3487">
        <v>29.129982355336388</v>
      </c>
      <c r="D328" s="3488">
        <v>43.281287622011057</v>
      </c>
      <c r="E328" s="3489">
        <v>39.495798319327719</v>
      </c>
      <c r="F328" s="3453">
        <v>25310.621038286728</v>
      </c>
      <c r="G328" s="3454">
        <v>12810.542760726968</v>
      </c>
      <c r="H328" s="3455">
        <v>10784.227521242425</v>
      </c>
      <c r="I328" s="3456">
        <v>1728.1062681091257</v>
      </c>
      <c r="J328" s="3448"/>
      <c r="K328" s="3449"/>
      <c r="L328" s="3450"/>
      <c r="M328" s="3452"/>
    </row>
    <row r="329" spans="1:13" ht="12.75" customHeight="1">
      <c r="A329" s="3447">
        <f t="shared" si="4"/>
        <v>2019.08</v>
      </c>
      <c r="B329" s="3487">
        <v>39.126381434247804</v>
      </c>
      <c r="C329" s="3487">
        <v>33.194588969823108</v>
      </c>
      <c r="D329" s="3488">
        <v>44.897297697764422</v>
      </c>
      <c r="E329" s="3489">
        <v>40.78576675627022</v>
      </c>
      <c r="F329" s="3453">
        <v>25939.013235838698</v>
      </c>
      <c r="G329" s="3454">
        <v>12981.572289443042</v>
      </c>
      <c r="H329" s="3455">
        <v>11244.514868139231</v>
      </c>
      <c r="I329" s="3456">
        <v>1728.5250053091024</v>
      </c>
      <c r="J329" s="3448"/>
      <c r="K329" s="3449"/>
      <c r="L329" s="3450"/>
      <c r="M329" s="3452"/>
    </row>
    <row r="330" spans="1:13" ht="12.75" customHeight="1">
      <c r="A330" s="3447">
        <f t="shared" si="4"/>
        <v>2019.09</v>
      </c>
      <c r="B330" s="3487">
        <v>40.05593620738032</v>
      </c>
      <c r="C330" s="3487">
        <v>34.701171786635307</v>
      </c>
      <c r="D330" s="3488">
        <v>45.140856809468218</v>
      </c>
      <c r="E330" s="3489">
        <v>42.137892621025344</v>
      </c>
      <c r="F330" s="3458">
        <v>27600.342174295074</v>
      </c>
      <c r="G330" s="3459">
        <v>14212.902307988579</v>
      </c>
      <c r="H330" s="3459">
        <v>11638.292007040918</v>
      </c>
      <c r="I330" s="3460">
        <v>1762.3853205813552</v>
      </c>
      <c r="J330" s="3448"/>
      <c r="K330" s="3449"/>
      <c r="L330" s="3450"/>
      <c r="M330" s="3452"/>
    </row>
    <row r="331" spans="1:13" ht="12.75" customHeight="1">
      <c r="A331" s="3447">
        <f t="shared" si="4"/>
        <v>2019.1</v>
      </c>
      <c r="B331" s="3487">
        <v>41.905994587402581</v>
      </c>
      <c r="C331" s="3487">
        <v>35.381622404198531</v>
      </c>
      <c r="D331" s="3488">
        <v>48.108944083273109</v>
      </c>
      <c r="E331" s="3489">
        <v>44.40946407381395</v>
      </c>
      <c r="F331" s="3458">
        <v>28784.683074627566</v>
      </c>
      <c r="G331" s="3459">
        <v>15384.264527487676</v>
      </c>
      <c r="H331" s="3459">
        <v>11638.292007040918</v>
      </c>
      <c r="I331" s="3460">
        <v>1770.1915871961171</v>
      </c>
      <c r="J331" s="3448"/>
      <c r="K331" s="3449"/>
      <c r="L331" s="3450"/>
      <c r="M331" s="3452"/>
    </row>
    <row r="332" spans="1:13" ht="12.75" customHeight="1">
      <c r="A332" s="3447">
        <f t="shared" si="4"/>
        <v>2019.11</v>
      </c>
      <c r="B332" s="3487">
        <v>43.994098639609717</v>
      </c>
      <c r="C332" s="3487">
        <v>36.977785820929299</v>
      </c>
      <c r="D332" s="3488">
        <v>50.883480580096659</v>
      </c>
      <c r="E332" s="3489">
        <v>45.651805390744187</v>
      </c>
      <c r="F332" s="3458">
        <v>30168.200360457195</v>
      </c>
      <c r="G332" s="3459">
        <v>15735.143427892153</v>
      </c>
      <c r="H332" s="3459">
        <v>12546.10856320144</v>
      </c>
      <c r="I332" s="3460">
        <v>1899.4439838451347</v>
      </c>
      <c r="J332" s="3448"/>
      <c r="K332" s="3449"/>
      <c r="L332" s="3450"/>
      <c r="M332" s="3452"/>
    </row>
    <row r="333" spans="1:13" ht="12.75" customHeight="1">
      <c r="A333" s="3447">
        <f t="shared" si="4"/>
        <v>2019.12</v>
      </c>
      <c r="B333" s="3487">
        <v>45.285700062453046</v>
      </c>
      <c r="C333" s="3487">
        <v>37.850970456499134</v>
      </c>
      <c r="D333" s="3488">
        <v>52.571724917115795</v>
      </c>
      <c r="E333" s="3489">
        <v>47.108872367390745</v>
      </c>
      <c r="F333" s="3458">
        <v>31674.938420090562</v>
      </c>
      <c r="G333" s="3459">
        <v>16456.833008358415</v>
      </c>
      <c r="H333" s="3459">
        <v>13298.707236537335</v>
      </c>
      <c r="I333" s="3460">
        <v>1934.88705435764</v>
      </c>
      <c r="J333" s="3448"/>
      <c r="K333" s="3449"/>
      <c r="L333" s="3450"/>
      <c r="M333" s="3452"/>
    </row>
    <row r="334" spans="1:13" ht="12.75" customHeight="1">
      <c r="A334" s="3447">
        <f t="shared" si="4"/>
        <v>2020.01</v>
      </c>
      <c r="B334" s="3487">
        <v>47.972086203307292</v>
      </c>
      <c r="C334" s="3487">
        <v>38.521467674071403</v>
      </c>
      <c r="D334" s="3488">
        <v>57.395677057287301</v>
      </c>
      <c r="E334" s="3489">
        <v>49.521710701571685</v>
      </c>
      <c r="F334" s="3458">
        <v>32005.643871474829</v>
      </c>
      <c r="G334" s="3459">
        <v>16742.526063797424</v>
      </c>
      <c r="H334" s="3459">
        <v>13298.707236537335</v>
      </c>
      <c r="I334" s="3460">
        <v>1977.963008113042</v>
      </c>
      <c r="J334" s="3448"/>
      <c r="K334" s="3449"/>
      <c r="L334" s="3450"/>
      <c r="M334" s="3452"/>
    </row>
    <row r="335" spans="1:13" ht="12.75" customHeight="1">
      <c r="A335" s="3447">
        <f t="shared" si="4"/>
        <v>2020.02</v>
      </c>
      <c r="B335" s="3487">
        <v>49.996832091815023</v>
      </c>
      <c r="C335" s="3487">
        <v>39.04447360086867</v>
      </c>
      <c r="D335" s="3488">
        <v>61.150006482561885</v>
      </c>
      <c r="E335" s="3489">
        <v>50.698665633400324</v>
      </c>
      <c r="F335" s="3458">
        <v>33034.084897173096</v>
      </c>
      <c r="G335" s="3459">
        <v>16888.27484174971</v>
      </c>
      <c r="H335" s="3459">
        <v>14111.973587715071</v>
      </c>
      <c r="I335" s="3460">
        <v>2052.756074277323</v>
      </c>
      <c r="J335" s="3448"/>
      <c r="K335" s="3449"/>
      <c r="L335" s="3450"/>
      <c r="M335" s="3452"/>
    </row>
    <row r="336" spans="1:13" ht="12.75" customHeight="1">
      <c r="A336" s="3447">
        <f t="shared" si="4"/>
        <v>2020.03</v>
      </c>
      <c r="B336" s="3487">
        <v>50.004073024809244</v>
      </c>
      <c r="C336" s="3487">
        <v>39.532190200425291</v>
      </c>
      <c r="D336" s="3488">
        <v>60.645292733974159</v>
      </c>
      <c r="E336" s="3489">
        <v>50.777775086980029</v>
      </c>
      <c r="F336" s="3458">
        <v>33819.869142970194</v>
      </c>
      <c r="G336" s="3459">
        <v>17107.426148845199</v>
      </c>
      <c r="H336" s="3459">
        <v>14677.274596595442</v>
      </c>
      <c r="I336" s="3460">
        <v>2058.0762374665142</v>
      </c>
      <c r="J336" s="3448"/>
      <c r="K336" s="3449"/>
      <c r="L336" s="3450"/>
      <c r="M336" s="3452"/>
    </row>
    <row r="337" spans="1:13" ht="12.75" customHeight="1">
      <c r="A337" s="3447">
        <f t="shared" si="4"/>
        <v>2020.04</v>
      </c>
      <c r="B337" s="3487">
        <v>49.42389326864766</v>
      </c>
      <c r="C337" s="3487">
        <v>40.413518526896816</v>
      </c>
      <c r="D337" s="3488">
        <v>58.469004093274783</v>
      </c>
      <c r="E337" s="3489">
        <v>50.613098265242684</v>
      </c>
      <c r="F337" s="3458">
        <v>33996.415966774977</v>
      </c>
      <c r="G337" s="3459">
        <v>17269.870747482746</v>
      </c>
      <c r="H337" s="3459">
        <v>14677.274596595442</v>
      </c>
      <c r="I337" s="3460">
        <v>2071.262741783532</v>
      </c>
      <c r="J337" s="3448"/>
      <c r="K337" s="3449"/>
      <c r="L337" s="3450"/>
      <c r="M337" s="3452"/>
    </row>
    <row r="338" spans="1:13" ht="12.75" customHeight="1">
      <c r="A338" s="3447">
        <f t="shared" si="4"/>
        <v>2020.05</v>
      </c>
      <c r="B338" s="3487">
        <v>49.217526678312495</v>
      </c>
      <c r="C338" s="3487">
        <v>41.491200289553461</v>
      </c>
      <c r="D338" s="3488">
        <v>56.851141856976135</v>
      </c>
      <c r="E338" s="3489">
        <v>50.818944292414358</v>
      </c>
      <c r="F338" s="3458">
        <v>34244.190994355013</v>
      </c>
      <c r="G338" s="3459">
        <v>17515.906112177738</v>
      </c>
      <c r="H338" s="3459">
        <v>14677.274596595442</v>
      </c>
      <c r="I338" s="3460">
        <v>2071.9318885874718</v>
      </c>
      <c r="J338" s="3448"/>
      <c r="K338" s="3449"/>
      <c r="L338" s="3450"/>
      <c r="M338" s="3452"/>
    </row>
    <row r="339" spans="1:13" ht="12.75" customHeight="1">
      <c r="A339" s="3447">
        <f t="shared" si="4"/>
        <v>2020.06</v>
      </c>
      <c r="B339" s="3487">
        <v>49.756976186381621</v>
      </c>
      <c r="C339" s="3487">
        <v>43.227616160702183</v>
      </c>
      <c r="D339" s="3488">
        <v>56.179733659313563</v>
      </c>
      <c r="E339" s="3489">
        <v>51.247588372524795</v>
      </c>
      <c r="F339" s="3458">
        <v>34960.988999644789</v>
      </c>
      <c r="G339" s="3459">
        <v>18202.493295490825</v>
      </c>
      <c r="H339" s="3459">
        <v>14677.274596595442</v>
      </c>
      <c r="I339" s="3460">
        <v>2098.7463854128173</v>
      </c>
      <c r="J339" s="3448"/>
      <c r="K339" s="3449"/>
      <c r="L339" s="3450"/>
      <c r="M339" s="3452"/>
    </row>
    <row r="340" spans="1:13" ht="12.75" customHeight="1">
      <c r="A340" s="3447">
        <f t="shared" si="4"/>
        <v>2020.07</v>
      </c>
      <c r="B340" s="3487">
        <v>50.861218467999606</v>
      </c>
      <c r="C340" s="3487">
        <v>45.40469619508665</v>
      </c>
      <c r="D340" s="3488">
        <v>56.207516067492705</v>
      </c>
      <c r="E340" s="3489">
        <v>52.197709054803475</v>
      </c>
      <c r="F340" s="3458">
        <v>35593.061075964979</v>
      </c>
      <c r="G340" s="3459">
        <v>18802.237049526371</v>
      </c>
      <c r="H340" s="3459">
        <v>14677.274596595442</v>
      </c>
      <c r="I340" s="3460">
        <v>2128.01219002993</v>
      </c>
      <c r="J340" s="3448"/>
      <c r="K340" s="3449"/>
      <c r="L340" s="3450"/>
      <c r="M340" s="3452"/>
    </row>
    <row r="341" spans="1:13" ht="12.75" customHeight="1">
      <c r="A341" s="3447">
        <f t="shared" si="4"/>
        <v>2020.08</v>
      </c>
      <c r="B341" s="3487">
        <v>52.143768724600172</v>
      </c>
      <c r="C341" s="3487">
        <v>47.897570465547673</v>
      </c>
      <c r="D341" s="3488">
        <v>56.346428108388416</v>
      </c>
      <c r="E341" s="3489">
        <v>52.989610829922746</v>
      </c>
      <c r="F341" s="3458">
        <v>36486.281066064032</v>
      </c>
      <c r="G341" s="3459">
        <v>19671.688947034625</v>
      </c>
      <c r="H341" s="3459">
        <v>14677.274596595442</v>
      </c>
      <c r="I341" s="3460">
        <v>2147.7130615322367</v>
      </c>
      <c r="J341" s="3448"/>
      <c r="K341" s="3449"/>
      <c r="L341" s="3450"/>
      <c r="M341" s="3452"/>
    </row>
    <row r="342" spans="1:13" ht="12.75" customHeight="1">
      <c r="A342" s="3447">
        <f t="shared" si="4"/>
        <v>2020.09</v>
      </c>
      <c r="B342" s="3487">
        <v>53.671605586379819</v>
      </c>
      <c r="C342" s="3487">
        <v>50.565081663122662</v>
      </c>
      <c r="D342" s="3488">
        <v>56.652034598358966</v>
      </c>
      <c r="E342" s="3489">
        <v>54.734862244609658</v>
      </c>
      <c r="F342" s="3458">
        <v>37514.638664249564</v>
      </c>
      <c r="G342" s="3459">
        <v>20674.120955478447</v>
      </c>
      <c r="H342" s="3459">
        <v>14677.274596595442</v>
      </c>
      <c r="I342" s="3460">
        <v>2168.9731937870129</v>
      </c>
      <c r="J342" s="3448"/>
      <c r="K342" s="3449"/>
      <c r="L342" s="3450"/>
      <c r="M342" s="3452"/>
    </row>
    <row r="343" spans="1:13" ht="12.75" customHeight="1">
      <c r="A343" s="3447">
        <f t="shared" ref="A343:A406" si="5">A331+1</f>
        <v>2020.1</v>
      </c>
      <c r="B343" s="3487">
        <v>55.523474199650636</v>
      </c>
      <c r="C343" s="3487">
        <v>54.525630004976712</v>
      </c>
      <c r="D343" s="3488">
        <v>56.403845085291984</v>
      </c>
      <c r="E343" s="3489">
        <v>56.232291187368311</v>
      </c>
      <c r="F343" s="3458">
        <v>38836.671535698821</v>
      </c>
      <c r="G343" s="3459">
        <v>21661.850968304243</v>
      </c>
      <c r="H343" s="3459">
        <v>14677.274596595442</v>
      </c>
      <c r="I343" s="3460">
        <v>2493.6994313901491</v>
      </c>
      <c r="J343" s="3448"/>
      <c r="K343" s="3449"/>
      <c r="L343" s="3450"/>
      <c r="M343" s="3452"/>
    </row>
    <row r="344" spans="1:13" ht="12.75" customHeight="1">
      <c r="A344" s="3447">
        <f t="shared" si="5"/>
        <v>2020.11</v>
      </c>
      <c r="B344" s="3487">
        <v>62.955386801589398</v>
      </c>
      <c r="C344" s="3487">
        <v>58.615572546713125</v>
      </c>
      <c r="D344" s="3488">
        <v>67.61312070530272</v>
      </c>
      <c r="E344" s="3489">
        <v>62.103342778033401</v>
      </c>
      <c r="F344" s="3458">
        <v>40243.120203407292</v>
      </c>
      <c r="G344" s="3459">
        <v>23019.128609354757</v>
      </c>
      <c r="H344" s="3459">
        <v>14677.274596595442</v>
      </c>
      <c r="I344" s="3460">
        <v>2536.3266106890424</v>
      </c>
      <c r="J344" s="3448"/>
      <c r="K344" s="3449"/>
      <c r="L344" s="3450"/>
      <c r="M344" s="3452"/>
    </row>
    <row r="345" spans="1:13" ht="12.75" customHeight="1">
      <c r="A345" s="3447">
        <f t="shared" si="5"/>
        <v>2020.12</v>
      </c>
      <c r="B345" s="3487">
        <v>65.056162486536408</v>
      </c>
      <c r="C345" s="3487">
        <v>62.22775188888388</v>
      </c>
      <c r="D345" s="3488">
        <v>68.149321183160126</v>
      </c>
      <c r="E345" s="3489">
        <v>64.235261828074158</v>
      </c>
      <c r="F345" s="3458">
        <v>44600.043011409085</v>
      </c>
      <c r="G345" s="3459">
        <v>23730.099480164539</v>
      </c>
      <c r="H345" s="3459">
        <v>18346.727856943675</v>
      </c>
      <c r="I345" s="3460">
        <v>2542.2469242117231</v>
      </c>
      <c r="J345" s="3448"/>
      <c r="K345" s="3449"/>
      <c r="L345" s="3450"/>
      <c r="M345" s="3452"/>
    </row>
    <row r="346" spans="1:13" ht="12.75" customHeight="1">
      <c r="A346" s="3447">
        <f t="shared" si="5"/>
        <v>2021.01</v>
      </c>
      <c r="B346" s="3487">
        <v>66.953286931021069</v>
      </c>
      <c r="C346" s="3487">
        <v>65.882459394652329</v>
      </c>
      <c r="D346" s="3488">
        <v>68.381767331592272</v>
      </c>
      <c r="E346" s="3489">
        <v>65.417867435158485</v>
      </c>
      <c r="F346" s="3458">
        <v>45850.645004636368</v>
      </c>
      <c r="G346" s="3459">
        <v>24905.106536491199</v>
      </c>
      <c r="H346" s="3459">
        <v>18346.727856943675</v>
      </c>
      <c r="I346" s="3460">
        <v>2611.6441392483225</v>
      </c>
      <c r="J346" s="3448"/>
      <c r="K346" s="3449"/>
      <c r="L346" s="3450"/>
      <c r="M346" s="3452"/>
    </row>
    <row r="347" spans="1:13" ht="12.75" customHeight="1">
      <c r="A347" s="3447">
        <f t="shared" si="5"/>
        <v>2021.02</v>
      </c>
      <c r="B347" s="3487">
        <v>70.432555234742011</v>
      </c>
      <c r="C347" s="3487">
        <v>68.894720173732097</v>
      </c>
      <c r="D347" s="3488">
        <v>72.039784408512503</v>
      </c>
      <c r="E347" s="3489">
        <v>70.339605582867136</v>
      </c>
      <c r="F347" s="3458">
        <v>47426.843723187354</v>
      </c>
      <c r="G347" s="3459">
        <v>26435.184055574035</v>
      </c>
      <c r="H347" s="3459">
        <v>18346.727856943675</v>
      </c>
      <c r="I347" s="3460">
        <v>2650.4973305729955</v>
      </c>
      <c r="J347" s="3448"/>
      <c r="K347" s="3449"/>
      <c r="L347" s="3450"/>
      <c r="M347" s="3452"/>
    </row>
    <row r="348" spans="1:13" ht="12.75" customHeight="1">
      <c r="A348" s="3447">
        <f t="shared" si="5"/>
        <v>2021.03</v>
      </c>
      <c r="B348" s="3487">
        <v>72.13145913851001</v>
      </c>
      <c r="C348" s="3487">
        <v>71.644573134868594</v>
      </c>
      <c r="D348" s="3488">
        <v>72.527828712192743</v>
      </c>
      <c r="E348" s="3489">
        <v>72.630550779389537</v>
      </c>
      <c r="F348" s="3458">
        <v>49546.904130201074</v>
      </c>
      <c r="G348" s="3459">
        <v>27329.384274750464</v>
      </c>
      <c r="H348" s="3459">
        <v>19520.96982672708</v>
      </c>
      <c r="I348" s="3460">
        <v>2707.793248709278</v>
      </c>
      <c r="J348" s="3448"/>
      <c r="K348" s="3449"/>
      <c r="L348" s="3450"/>
      <c r="M348" s="3452"/>
    </row>
    <row r="349" spans="1:13" ht="12.75" customHeight="1">
      <c r="A349" s="3447">
        <f t="shared" si="5"/>
        <v>2021.04</v>
      </c>
      <c r="B349" s="3487">
        <v>77.105980105536602</v>
      </c>
      <c r="C349" s="3487">
        <v>74.586255259467066</v>
      </c>
      <c r="D349" s="3488">
        <v>79.842936785760571</v>
      </c>
      <c r="E349" s="3489">
        <v>76.464130320716137</v>
      </c>
      <c r="F349" s="3458">
        <v>50884.242322953898</v>
      </c>
      <c r="G349" s="3459">
        <v>28629.687638396732</v>
      </c>
      <c r="H349" s="3459">
        <v>19520.96982672708</v>
      </c>
      <c r="I349" s="3460">
        <v>2738.7213626866669</v>
      </c>
      <c r="J349" s="3448"/>
      <c r="K349" s="3449"/>
      <c r="L349" s="3450"/>
      <c r="M349" s="3452"/>
    </row>
    <row r="350" spans="1:13" ht="12.75" customHeight="1">
      <c r="A350" s="3447">
        <f t="shared" si="5"/>
        <v>2021.05</v>
      </c>
      <c r="B350" s="3487">
        <v>79.213091606853553</v>
      </c>
      <c r="C350" s="3490">
        <v>77.651902456680119</v>
      </c>
      <c r="D350" s="3490">
        <v>80.703265359041296</v>
      </c>
      <c r="E350" s="3491">
        <v>79.78592013174142</v>
      </c>
      <c r="F350" s="3458">
        <v>54529.720995613548</v>
      </c>
      <c r="G350" s="3459">
        <v>29945.109851418762</v>
      </c>
      <c r="H350" s="3459">
        <v>21863.593699705682</v>
      </c>
      <c r="I350" s="3460">
        <v>2741.2474662211844</v>
      </c>
      <c r="J350" s="3448"/>
      <c r="K350" s="3449"/>
      <c r="L350" s="3450"/>
      <c r="M350" s="3452"/>
    </row>
    <row r="351" spans="1:13" ht="12.75" customHeight="1">
      <c r="A351" s="3447">
        <f t="shared" si="5"/>
        <v>2021.06</v>
      </c>
      <c r="B351" s="3487">
        <v>80.808812215453969</v>
      </c>
      <c r="C351" s="3490">
        <v>80.456951545039161</v>
      </c>
      <c r="D351" s="3490">
        <v>81.125557963364244</v>
      </c>
      <c r="E351" s="3491">
        <v>81.030683166638397</v>
      </c>
      <c r="F351" s="3458">
        <v>55859.419676616053</v>
      </c>
      <c r="G351" s="3459">
        <v>30976.286860988494</v>
      </c>
      <c r="H351" s="3459">
        <v>21863.593699705682</v>
      </c>
      <c r="I351" s="3460">
        <v>3030.5855033497387</v>
      </c>
      <c r="J351" s="3448"/>
      <c r="K351" s="3449"/>
      <c r="L351" s="3450"/>
      <c r="M351" s="3452"/>
    </row>
    <row r="352" spans="1:13" ht="12.75" customHeight="1">
      <c r="A352" s="3447">
        <f t="shared" si="5"/>
        <v>2021.07</v>
      </c>
      <c r="B352" s="3487">
        <v>85.183240860584874</v>
      </c>
      <c r="C352" s="3490">
        <v>82.719992761163653</v>
      </c>
      <c r="D352" s="3490">
        <v>87.72851030727341</v>
      </c>
      <c r="E352" s="3491">
        <v>85.166170214483472</v>
      </c>
      <c r="F352" s="3458">
        <v>57142.31023318669</v>
      </c>
      <c r="G352" s="3459">
        <v>32122.248239724282</v>
      </c>
      <c r="H352" s="3459">
        <v>21863.593699705682</v>
      </c>
      <c r="I352" s="3460">
        <v>3160.4508384711648</v>
      </c>
      <c r="J352" s="3448"/>
      <c r="K352" s="3449"/>
      <c r="L352" s="3450"/>
      <c r="M352" s="3452"/>
    </row>
    <row r="353" spans="1:13" ht="12.75" customHeight="1">
      <c r="A353" s="3447">
        <f t="shared" si="5"/>
        <v>2021.08</v>
      </c>
      <c r="B353" s="3487">
        <v>86.896626630341316</v>
      </c>
      <c r="C353" s="3490">
        <v>85.466226304121619</v>
      </c>
      <c r="D353" s="3490">
        <v>88.201737326591456</v>
      </c>
      <c r="E353" s="3491">
        <v>87.700094447000694</v>
      </c>
      <c r="F353" s="3458">
        <v>60332.187480384506</v>
      </c>
      <c r="G353" s="3459">
        <v>33310.82245622237</v>
      </c>
      <c r="H353" s="3459">
        <v>23814.04295895305</v>
      </c>
      <c r="I353" s="3460">
        <v>3222.486843867267</v>
      </c>
      <c r="J353" s="3448"/>
      <c r="K353" s="3449"/>
      <c r="L353" s="3450"/>
      <c r="M353" s="3452"/>
    </row>
    <row r="354" spans="1:13" ht="12.75" customHeight="1">
      <c r="A354" s="3447">
        <f t="shared" si="5"/>
        <v>2021.09</v>
      </c>
      <c r="B354" s="3487">
        <v>89.644560701646412</v>
      </c>
      <c r="C354" s="3490">
        <v>87.678595665746741</v>
      </c>
      <c r="D354" s="3490">
        <v>91.590265044174004</v>
      </c>
      <c r="E354" s="3491">
        <v>90.031401609635196</v>
      </c>
      <c r="F354" s="3458">
        <v>61636.984711340614</v>
      </c>
      <c r="G354" s="3459">
        <v>34545.015974154987</v>
      </c>
      <c r="H354" s="3459">
        <v>23814.04295895305</v>
      </c>
      <c r="I354" s="3460">
        <v>3286.7224091575649</v>
      </c>
      <c r="J354" s="3448"/>
      <c r="K354" s="3449"/>
      <c r="L354" s="3450"/>
      <c r="M354" s="3452"/>
    </row>
    <row r="355" spans="1:13" ht="12.75" customHeight="1">
      <c r="A355" s="3447">
        <f t="shared" si="5"/>
        <v>2021.1</v>
      </c>
      <c r="B355" s="3487">
        <v>93.382692359910592</v>
      </c>
      <c r="C355" s="3490">
        <v>90.732479753879559</v>
      </c>
      <c r="D355" s="3490">
        <v>96.119723657646617</v>
      </c>
      <c r="E355" s="3491">
        <v>93.371757925072032</v>
      </c>
      <c r="F355" s="3458">
        <v>63532.755993566592</v>
      </c>
      <c r="G355" s="3459">
        <v>35393.443543889989</v>
      </c>
      <c r="H355" s="3459">
        <v>24789.936107974139</v>
      </c>
      <c r="I355" s="3460">
        <v>3361.9507181429858</v>
      </c>
      <c r="J355" s="3448"/>
      <c r="K355" s="3449"/>
      <c r="L355" s="3450"/>
      <c r="M355" s="3452"/>
    </row>
    <row r="356" spans="1:13" ht="12.75" customHeight="1">
      <c r="A356" s="3447">
        <f t="shared" si="5"/>
        <v>2021.11</v>
      </c>
      <c r="B356" s="3487">
        <v>95.383905216187102</v>
      </c>
      <c r="C356" s="3490">
        <v>94.274985296113641</v>
      </c>
      <c r="D356" s="3490">
        <v>96.585542034783543</v>
      </c>
      <c r="E356" s="3491">
        <v>95.112165903825499</v>
      </c>
      <c r="F356" s="3458">
        <v>66715.495805458471</v>
      </c>
      <c r="G356" s="3459">
        <v>36705.020920573974</v>
      </c>
      <c r="H356" s="3459">
        <v>26156.278133039326</v>
      </c>
      <c r="I356" s="3460">
        <v>3865.0085938769107</v>
      </c>
      <c r="J356" s="3448"/>
      <c r="K356" s="3449"/>
      <c r="L356" s="3450"/>
      <c r="M356" s="3452"/>
    </row>
    <row r="357" spans="1:13" ht="12.75" customHeight="1">
      <c r="A357" s="3447">
        <f t="shared" si="5"/>
        <v>2021.12</v>
      </c>
      <c r="B357" s="3487">
        <v>96.89092439560838</v>
      </c>
      <c r="C357" s="3490">
        <v>96.655657603040297</v>
      </c>
      <c r="D357" s="3490">
        <v>97.131003315367352</v>
      </c>
      <c r="E357" s="3491">
        <v>96.899393763268989</v>
      </c>
      <c r="F357" s="3458">
        <v>67759.670020736667</v>
      </c>
      <c r="G357" s="3459">
        <v>37692.280957123454</v>
      </c>
      <c r="H357" s="3459">
        <v>26156.277980548584</v>
      </c>
      <c r="I357" s="3460">
        <v>3916.8216718009999</v>
      </c>
      <c r="J357" s="3448"/>
      <c r="K357" s="3449"/>
      <c r="L357" s="3450"/>
      <c r="M357" s="3452"/>
    </row>
    <row r="358" spans="1:13" ht="12.75" customHeight="1">
      <c r="A358" s="3447">
        <f t="shared" si="5"/>
        <v>2022.01</v>
      </c>
      <c r="B358" s="3487">
        <v>100</v>
      </c>
      <c r="C358" s="3490">
        <v>100</v>
      </c>
      <c r="D358" s="3490">
        <v>100</v>
      </c>
      <c r="E358" s="3491">
        <v>100</v>
      </c>
      <c r="F358" s="3473">
        <v>68796.421756707088</v>
      </c>
      <c r="G358" s="3474">
        <v>38618.19110621095</v>
      </c>
      <c r="H358" s="3475">
        <v>26156.278133039323</v>
      </c>
      <c r="I358" s="3476">
        <v>4021.9526644615948</v>
      </c>
      <c r="J358" s="3477">
        <v>69366.241381844913</v>
      </c>
      <c r="K358" s="3474">
        <v>38759.997206909225</v>
      </c>
      <c r="L358" s="3475">
        <v>26156.278133039323</v>
      </c>
      <c r="M358" s="3478">
        <v>4449.9660418963613</v>
      </c>
    </row>
    <row r="359" spans="1:13" ht="12.75" customHeight="1">
      <c r="A359" s="3447">
        <f t="shared" si="5"/>
        <v>2022.02</v>
      </c>
      <c r="B359" s="3487">
        <v>103.80963587158207</v>
      </c>
      <c r="C359" s="3490">
        <v>103.46197348776185</v>
      </c>
      <c r="D359" s="3490">
        <v>104.20903483913986</v>
      </c>
      <c r="E359" s="3491">
        <v>103.62208283889926</v>
      </c>
      <c r="F359" s="3463">
        <v>71325.981918412348</v>
      </c>
      <c r="G359" s="3464">
        <v>39782.85953693495</v>
      </c>
      <c r="H359" s="3464">
        <v>27435.788460124953</v>
      </c>
      <c r="I359" s="3465">
        <v>4107.3339213524441</v>
      </c>
      <c r="J359" s="3463">
        <v>72099.829915472248</v>
      </c>
      <c r="K359" s="3464">
        <v>40143.672326350606</v>
      </c>
      <c r="L359" s="3464">
        <v>27435.788460124953</v>
      </c>
      <c r="M359" s="3466">
        <v>4520.3691289966919</v>
      </c>
    </row>
    <row r="360" spans="1:13" ht="12.75" customHeight="1">
      <c r="A360" s="3447">
        <f t="shared" si="5"/>
        <v>2022.03</v>
      </c>
      <c r="B360" s="3487">
        <v>108.95703411384557</v>
      </c>
      <c r="C360" s="3490">
        <v>107.61073157489935</v>
      </c>
      <c r="D360" s="3490">
        <v>110.38876849845344</v>
      </c>
      <c r="E360" s="3491">
        <v>108.74966701377957</v>
      </c>
      <c r="F360" s="3463">
        <v>74208.54818081588</v>
      </c>
      <c r="G360" s="3464">
        <v>41114.932304299888</v>
      </c>
      <c r="H360" s="3464">
        <v>28978.84057331863</v>
      </c>
      <c r="I360" s="3465">
        <v>4114.7754502021307</v>
      </c>
      <c r="J360" s="3463">
        <v>74775.250569643511</v>
      </c>
      <c r="K360" s="3464">
        <v>41261.11723631018</v>
      </c>
      <c r="L360" s="3464">
        <v>28978.84057331863</v>
      </c>
      <c r="M360" s="3466">
        <v>4535.2929070194778</v>
      </c>
    </row>
    <row r="361" spans="1:13" ht="12.75" customHeight="1">
      <c r="A361" s="3447">
        <f t="shared" si="5"/>
        <v>2022.04</v>
      </c>
      <c r="B361" s="3487">
        <v>111.47778391245711</v>
      </c>
      <c r="C361" s="3490">
        <v>112.46618106139439</v>
      </c>
      <c r="D361" s="3490">
        <v>110.43692467263064</v>
      </c>
      <c r="E361" s="3491">
        <v>111.57581188094834</v>
      </c>
      <c r="F361" s="3463">
        <v>75838.240499816238</v>
      </c>
      <c r="G361" s="3464">
        <v>42538.427342888637</v>
      </c>
      <c r="H361" s="3464">
        <v>28978.84057331863</v>
      </c>
      <c r="I361" s="3465">
        <v>4320.9725836089665</v>
      </c>
      <c r="J361" s="3463">
        <v>77295.283057699373</v>
      </c>
      <c r="K361" s="3464">
        <v>43548.174200661517</v>
      </c>
      <c r="L361" s="3464">
        <v>28978.84057331863</v>
      </c>
      <c r="M361" s="3466">
        <v>4768.2682837192206</v>
      </c>
    </row>
    <row r="362" spans="1:13" ht="12.75" customHeight="1">
      <c r="A362" s="3447">
        <f t="shared" si="5"/>
        <v>2022.05</v>
      </c>
      <c r="B362" s="3487">
        <v>118.87711231592189</v>
      </c>
      <c r="C362" s="3490">
        <v>117.43292765687917</v>
      </c>
      <c r="D362" s="3490">
        <v>120.53583004574838</v>
      </c>
      <c r="E362" s="3491">
        <v>118.08377529686226</v>
      </c>
      <c r="F362" s="3463">
        <v>81068.43586916574</v>
      </c>
      <c r="G362" s="3464">
        <v>44189.72333700845</v>
      </c>
      <c r="H362" s="3464">
        <v>31876.669753766993</v>
      </c>
      <c r="I362" s="3465">
        <v>5002.0426313855196</v>
      </c>
      <c r="J362" s="3463">
        <v>83299.686732818809</v>
      </c>
      <c r="K362" s="3464">
        <v>45906.221242190368</v>
      </c>
      <c r="L362" s="3464">
        <v>31876.669753766993</v>
      </c>
      <c r="M362" s="3466">
        <v>5516.7958838662253</v>
      </c>
    </row>
    <row r="363" spans="1:13" ht="12.75" customHeight="1">
      <c r="A363" s="3447">
        <f t="shared" si="5"/>
        <v>2022.06</v>
      </c>
      <c r="B363" s="3487">
        <v>126.70999158241538</v>
      </c>
      <c r="C363" s="3490">
        <v>123.56603176039454</v>
      </c>
      <c r="D363" s="3490">
        <v>130.22540793836012</v>
      </c>
      <c r="E363" s="3491">
        <v>125.42884588994099</v>
      </c>
      <c r="F363" s="3463">
        <v>86477.042263873562</v>
      </c>
      <c r="G363" s="3464">
        <v>46605.941933112823</v>
      </c>
      <c r="H363" s="3464">
        <v>34774.660492465999</v>
      </c>
      <c r="I363" s="3465">
        <v>5096.4396912899665</v>
      </c>
      <c r="J363" s="3463">
        <v>88332.001029033432</v>
      </c>
      <c r="K363" s="3464">
        <v>47962.162734288861</v>
      </c>
      <c r="L363" s="3464">
        <v>34774.660492465999</v>
      </c>
      <c r="M363" s="3466">
        <v>5595.1778022785729</v>
      </c>
    </row>
    <row r="364" spans="1:13" ht="12.75" customHeight="1">
      <c r="A364" s="3447">
        <f t="shared" si="5"/>
        <v>2022.07</v>
      </c>
      <c r="B364" s="3487">
        <v>135.48328702153273</v>
      </c>
      <c r="C364" s="3490">
        <v>138.76125412839889</v>
      </c>
      <c r="D364" s="3490">
        <v>132.82213702283718</v>
      </c>
      <c r="E364" s="3491">
        <v>132.07242551199153</v>
      </c>
      <c r="F364" s="3463">
        <v>92962.667548695317</v>
      </c>
      <c r="G364" s="3464">
        <v>52901.326865123112</v>
      </c>
      <c r="H364" s="3464">
        <v>34774.660492465999</v>
      </c>
      <c r="I364" s="3465">
        <v>5286.6801911062103</v>
      </c>
      <c r="J364" s="3463">
        <v>94172.596398382942</v>
      </c>
      <c r="K364" s="3464">
        <v>53714.54421168688</v>
      </c>
      <c r="L364" s="3464">
        <v>34774.660492465999</v>
      </c>
      <c r="M364" s="3466">
        <v>5683.3916942300611</v>
      </c>
    </row>
    <row r="365" spans="1:13" ht="12.75" customHeight="1">
      <c r="A365" s="3447">
        <f t="shared" si="5"/>
        <v>2022.08</v>
      </c>
      <c r="B365" s="3487">
        <v>145.61063693056852</v>
      </c>
      <c r="C365" s="3490">
        <v>151.11885264443745</v>
      </c>
      <c r="D365" s="3490">
        <v>141.25131966438857</v>
      </c>
      <c r="E365" s="3491">
        <v>139.3448445660685</v>
      </c>
      <c r="F365" s="3463">
        <v>99691.832120543913</v>
      </c>
      <c r="G365" s="3464">
        <v>57105.102241822853</v>
      </c>
      <c r="H365" s="3464">
        <v>37096.246527012125</v>
      </c>
      <c r="I365" s="3465">
        <v>5490.4834987137083</v>
      </c>
      <c r="J365" s="3463">
        <v>100661.25806688717</v>
      </c>
      <c r="K365" s="3464">
        <v>57783.029768467473</v>
      </c>
      <c r="L365" s="3464">
        <v>37096.246527012125</v>
      </c>
      <c r="M365" s="3466">
        <v>5781.9817714075698</v>
      </c>
    </row>
    <row r="366" spans="1:13" ht="12.75" customHeight="1">
      <c r="A366" s="3447">
        <f t="shared" si="5"/>
        <v>2022.09</v>
      </c>
      <c r="B366" s="3487">
        <v>156.44216757329184</v>
      </c>
      <c r="C366" s="3490">
        <v>160.06424467266891</v>
      </c>
      <c r="D366" s="3490">
        <v>154.30256894667639</v>
      </c>
      <c r="E366" s="3491">
        <v>148.88560611564509</v>
      </c>
      <c r="F366" s="3463">
        <v>106123.86887173832</v>
      </c>
      <c r="G366" s="3464">
        <v>59433.564424843804</v>
      </c>
      <c r="H366" s="3464">
        <v>40860.154355016537</v>
      </c>
      <c r="I366" s="3465">
        <v>5830.150238882763</v>
      </c>
      <c r="J366" s="3463">
        <v>108228.52995222344</v>
      </c>
      <c r="K366" s="3464">
        <v>61447.490775450198</v>
      </c>
      <c r="L366" s="3464">
        <v>40860.154355016537</v>
      </c>
      <c r="M366" s="3466">
        <v>5920.8848217567065</v>
      </c>
    </row>
    <row r="367" spans="1:13" ht="12.75" customHeight="1">
      <c r="A367" s="3447">
        <f t="shared" si="5"/>
        <v>2022.1</v>
      </c>
      <c r="B367" s="3487">
        <v>167.8393961061883</v>
      </c>
      <c r="C367" s="3490">
        <v>169.53264262769767</v>
      </c>
      <c r="D367" s="3490">
        <v>167.86131021836982</v>
      </c>
      <c r="E367" s="3491">
        <v>159.47577878413611</v>
      </c>
      <c r="F367" s="3463">
        <v>113371.33950753399</v>
      </c>
      <c r="G367" s="3464">
        <v>61404.487320837921</v>
      </c>
      <c r="H367" s="3464">
        <v>44627.383461962505</v>
      </c>
      <c r="I367" s="3465">
        <v>7339.4688717383306</v>
      </c>
      <c r="J367" s="3463">
        <v>117066.00793825799</v>
      </c>
      <c r="K367" s="3464">
        <v>64910.83660418963</v>
      </c>
      <c r="L367" s="3464">
        <v>44627.383461962505</v>
      </c>
      <c r="M367" s="3466">
        <v>7527.7880191106206</v>
      </c>
    </row>
    <row r="368" spans="1:13" ht="12.75" customHeight="1">
      <c r="A368" s="3447">
        <f t="shared" si="5"/>
        <v>2022.11</v>
      </c>
      <c r="B368" s="3487">
        <v>179.13706181041428</v>
      </c>
      <c r="C368" s="3490">
        <v>178.97479980093206</v>
      </c>
      <c r="D368" s="3490">
        <v>181.37467355670398</v>
      </c>
      <c r="E368" s="3491">
        <v>169.34185778057619</v>
      </c>
      <c r="F368" s="3463">
        <v>120543.24968761484</v>
      </c>
      <c r="G368" s="3464">
        <v>64766.56846747519</v>
      </c>
      <c r="H368" s="3464">
        <v>48104.907313487682</v>
      </c>
      <c r="I368" s="3465">
        <v>7671.7739066519653</v>
      </c>
      <c r="J368" s="3463">
        <v>124856.18993017272</v>
      </c>
      <c r="K368" s="3464">
        <v>69061.123116501287</v>
      </c>
      <c r="L368" s="3464">
        <v>48104.907313487682</v>
      </c>
      <c r="M368" s="3466">
        <v>7690.1593531789777</v>
      </c>
    </row>
    <row r="369" spans="1:13" ht="12.75" customHeight="1">
      <c r="A369" s="3447">
        <f t="shared" si="5"/>
        <v>2022.12</v>
      </c>
      <c r="B369" s="3487">
        <v>186.86585266511594</v>
      </c>
      <c r="C369" s="3490">
        <v>187.78446364746873</v>
      </c>
      <c r="D369" s="3490">
        <v>187.84982682298912</v>
      </c>
      <c r="E369" s="3491">
        <v>177.73230329595813</v>
      </c>
      <c r="F369" s="3463">
        <v>126193.01359794193</v>
      </c>
      <c r="G369" s="3464">
        <v>68013.19500183755</v>
      </c>
      <c r="H369" s="3464">
        <v>50423.204557148107</v>
      </c>
      <c r="I369" s="3465">
        <v>7756.6141859610434</v>
      </c>
      <c r="J369" s="3463">
        <v>130515.82976846746</v>
      </c>
      <c r="K369" s="3464">
        <v>71979.471811833879</v>
      </c>
      <c r="L369" s="3464">
        <v>50423.204557148107</v>
      </c>
      <c r="M369" s="3466">
        <v>8113.1535464902609</v>
      </c>
    </row>
    <row r="370" spans="1:13" ht="12.75" customHeight="1">
      <c r="A370" s="3447">
        <f t="shared" si="5"/>
        <v>2023.01</v>
      </c>
      <c r="B370" s="3487">
        <v>199.35012626376914</v>
      </c>
      <c r="C370" s="3490">
        <v>198.34864045604672</v>
      </c>
      <c r="D370" s="3490">
        <v>202.35872645440915</v>
      </c>
      <c r="E370" s="3491">
        <v>190.0047627120012</v>
      </c>
      <c r="F370" s="3463">
        <v>134625.48401323042</v>
      </c>
      <c r="G370" s="3464">
        <v>72486.153031973532</v>
      </c>
      <c r="H370" s="3464">
        <v>54190.433664094082</v>
      </c>
      <c r="I370" s="3465">
        <v>7948.8973171628068</v>
      </c>
      <c r="J370" s="3463">
        <v>136898.00882028666</v>
      </c>
      <c r="K370" s="3464">
        <v>74353.945755237044</v>
      </c>
      <c r="L370" s="3464">
        <v>54190.433664094082</v>
      </c>
      <c r="M370" s="3466">
        <v>8353.6294009555313</v>
      </c>
    </row>
    <row r="371" spans="1:13" ht="12.75" customHeight="1">
      <c r="A371" s="3447">
        <f t="shared" si="5"/>
        <v>2023.02</v>
      </c>
      <c r="B371" s="3487">
        <v>211.37007503416822</v>
      </c>
      <c r="C371" s="3490">
        <v>208.55449486495053</v>
      </c>
      <c r="D371" s="3490">
        <v>216.65740586394037</v>
      </c>
      <c r="E371" s="3491">
        <v>200.09929043663573</v>
      </c>
      <c r="F371" s="3463">
        <v>141735.08195516351</v>
      </c>
      <c r="G371" s="3464">
        <v>75583.510621095178</v>
      </c>
      <c r="H371" s="3464">
        <v>57957.630282984188</v>
      </c>
      <c r="I371" s="3465">
        <v>8193.941051084159</v>
      </c>
      <c r="J371" s="3463">
        <v>143824.64564498345</v>
      </c>
      <c r="K371" s="3464">
        <v>77364.76957001102</v>
      </c>
      <c r="L371" s="3464">
        <v>57958.552296949645</v>
      </c>
      <c r="M371" s="3466">
        <v>8501.3239250275637</v>
      </c>
    </row>
    <row r="372" spans="1:13" ht="12.75" customHeight="1">
      <c r="A372" s="3447">
        <f t="shared" si="5"/>
        <v>2023.03</v>
      </c>
      <c r="B372" s="3487">
        <v>221.31459138510004</v>
      </c>
      <c r="C372" s="3490">
        <v>220.12125050898072</v>
      </c>
      <c r="D372" s="3490">
        <v>225.34496490155774</v>
      </c>
      <c r="E372" s="3491">
        <v>208.07077874377416</v>
      </c>
      <c r="F372" s="3463">
        <v>148499.80477765528</v>
      </c>
      <c r="G372" s="3464">
        <v>79133.597353913996</v>
      </c>
      <c r="H372" s="3464">
        <v>59405.228077912529</v>
      </c>
      <c r="I372" s="3465">
        <v>9960.9793458287386</v>
      </c>
      <c r="J372" s="3463">
        <v>150608.7926497611</v>
      </c>
      <c r="K372" s="3464">
        <v>81110.575964718839</v>
      </c>
      <c r="L372" s="3464">
        <v>59405.228077912529</v>
      </c>
      <c r="M372" s="3466">
        <v>10092.988754134509</v>
      </c>
    </row>
    <row r="373" spans="1:13" ht="12.75" customHeight="1">
      <c r="A373" s="3447">
        <f t="shared" si="5"/>
        <v>2023.04</v>
      </c>
      <c r="B373" s="3487">
        <v>239.20693681380854</v>
      </c>
      <c r="C373" s="3490">
        <v>235.71370402207847</v>
      </c>
      <c r="D373" s="3490">
        <v>244.52964382952723</v>
      </c>
      <c r="E373" s="3491">
        <v>231.08436458156748</v>
      </c>
      <c r="F373" s="3463">
        <v>158949.49797868429</v>
      </c>
      <c r="G373" s="3464">
        <v>83349.747151782416</v>
      </c>
      <c r="H373" s="3464">
        <v>65347.429621462696</v>
      </c>
      <c r="I373" s="3465">
        <v>10252.321352443954</v>
      </c>
      <c r="J373" s="3463">
        <v>161281.12590959205</v>
      </c>
      <c r="K373" s="3464">
        <v>85609.203969128983</v>
      </c>
      <c r="L373" s="3464">
        <v>65347.429621462696</v>
      </c>
      <c r="M373" s="3466">
        <v>10324.492319000366</v>
      </c>
    </row>
    <row r="374" spans="1:13" ht="12.75" customHeight="1">
      <c r="A374" s="3447">
        <f t="shared" si="5"/>
        <v>2023.05</v>
      </c>
      <c r="B374" s="3487">
        <v>257.81975507544161</v>
      </c>
      <c r="C374" s="3490">
        <v>254.06867845993759</v>
      </c>
      <c r="D374" s="3490">
        <v>263.8819432868442</v>
      </c>
      <c r="E374" s="3491">
        <v>247.45921423324373</v>
      </c>
      <c r="F374" s="3463">
        <v>169233.90121278941</v>
      </c>
      <c r="G374" s="3464">
        <v>88278.671664829089</v>
      </c>
      <c r="H374" s="3464">
        <v>70099.900036751191</v>
      </c>
      <c r="I374" s="3465">
        <v>10855.329511209115</v>
      </c>
      <c r="J374" s="3463">
        <v>174083.29952223445</v>
      </c>
      <c r="K374" s="3464">
        <v>93436.106725468577</v>
      </c>
      <c r="L374" s="3464">
        <v>70099.900036751191</v>
      </c>
      <c r="M374" s="3466">
        <v>10547.292907019477</v>
      </c>
    </row>
    <row r="375" spans="1:13" ht="12.75" customHeight="1">
      <c r="A375" s="3447">
        <f t="shared" si="5"/>
        <v>2023.06</v>
      </c>
      <c r="B375" s="3487">
        <v>272.8455961550647</v>
      </c>
      <c r="C375" s="3490">
        <v>272.17753246165682</v>
      </c>
      <c r="D375" s="3490">
        <v>273.52336500527872</v>
      </c>
      <c r="E375" s="3491">
        <v>272.89451803776268</v>
      </c>
      <c r="F375" s="3463">
        <v>177375.69790518191</v>
      </c>
      <c r="G375" s="3464">
        <v>93984.288717383315</v>
      </c>
      <c r="H375" s="3464">
        <v>72476.056743844165</v>
      </c>
      <c r="I375" s="3465">
        <v>10915.352590959204</v>
      </c>
      <c r="J375" s="3463">
        <v>182390.29077545018</v>
      </c>
      <c r="K375" s="3464">
        <v>99156.074237412715</v>
      </c>
      <c r="L375" s="3464">
        <v>72475.86152149945</v>
      </c>
      <c r="M375" s="3466">
        <v>10758.354869533259</v>
      </c>
    </row>
    <row r="376" spans="1:13" ht="12.75" customHeight="1">
      <c r="A376" s="3447">
        <f t="shared" si="5"/>
        <v>2023.07</v>
      </c>
      <c r="B376" s="3487">
        <v>295.71155743417546</v>
      </c>
      <c r="C376" s="3490">
        <v>291.68981586210015</v>
      </c>
      <c r="D376" s="3490">
        <v>300.22596358652373</v>
      </c>
      <c r="E376" s="3491">
        <v>293.99252496387606</v>
      </c>
      <c r="F376" s="3463">
        <v>193647.01212789415</v>
      </c>
      <c r="G376" s="3464">
        <v>100156.04072032341</v>
      </c>
      <c r="H376" s="3464">
        <v>79723.777140757069</v>
      </c>
      <c r="I376" s="3465">
        <v>13767.194266813671</v>
      </c>
      <c r="J376" s="3463">
        <v>198384.48629180447</v>
      </c>
      <c r="K376" s="3464">
        <v>105446.65270121278</v>
      </c>
      <c r="L376" s="3464">
        <v>79723.777140757069</v>
      </c>
      <c r="M376" s="3466">
        <v>13214.056302829842</v>
      </c>
    </row>
    <row r="377" spans="1:13" ht="12.75" customHeight="1">
      <c r="A377" s="3447">
        <f t="shared" si="5"/>
        <v>2023.08</v>
      </c>
      <c r="B377" s="3487">
        <v>339.43864666962344</v>
      </c>
      <c r="C377" s="3490">
        <v>356.49730805772975</v>
      </c>
      <c r="D377" s="3490">
        <v>325.33385193828605</v>
      </c>
      <c r="E377" s="3491">
        <v>322.89249993945702</v>
      </c>
      <c r="F377" s="3463">
        <v>217366.27151782429</v>
      </c>
      <c r="G377" s="3464">
        <v>116257.97412715913</v>
      </c>
      <c r="H377" s="3464">
        <v>86908.310033076064</v>
      </c>
      <c r="I377" s="3465">
        <v>14199.987504593899</v>
      </c>
      <c r="J377" s="3463">
        <v>222589.56413083422</v>
      </c>
      <c r="K377" s="3464">
        <v>122143.60529217198</v>
      </c>
      <c r="L377" s="3464">
        <v>86908.310033076064</v>
      </c>
      <c r="M377" s="3466">
        <v>13537.648805586181</v>
      </c>
    </row>
    <row r="378" spans="1:13" ht="12.75" customHeight="1">
      <c r="A378" s="3447">
        <f t="shared" si="5"/>
        <v>2023.09</v>
      </c>
      <c r="B378" s="3487">
        <v>389.21372518849063</v>
      </c>
      <c r="C378" s="3490">
        <v>390.77048364475411</v>
      </c>
      <c r="D378" s="3490">
        <v>392.36724639291742</v>
      </c>
      <c r="E378" s="3491">
        <v>366.70379967548979</v>
      </c>
      <c r="F378" s="3463">
        <v>239298.61286291803</v>
      </c>
      <c r="G378" s="3464">
        <v>130533.0209481808</v>
      </c>
      <c r="H378" s="3464">
        <v>93850.899081220137</v>
      </c>
      <c r="I378" s="3465">
        <v>14914.692833517087</v>
      </c>
      <c r="J378" s="3463">
        <v>246418.29489158397</v>
      </c>
      <c r="K378" s="3464">
        <v>138612.5256890849</v>
      </c>
      <c r="L378" s="3464">
        <v>93850.899081220137</v>
      </c>
      <c r="M378" s="3466">
        <v>13954.87012127894</v>
      </c>
    </row>
    <row r="379" spans="1:13" ht="12.75" customHeight="1">
      <c r="A379" s="3447">
        <f t="shared" si="5"/>
        <v>2023.1</v>
      </c>
      <c r="B379" s="3487">
        <v>416.98632368780727</v>
      </c>
      <c r="C379" s="3490">
        <v>445.99828077636516</v>
      </c>
      <c r="D379" s="3490">
        <v>392.61543590598444</v>
      </c>
      <c r="E379" s="3491">
        <v>390.66185552030612</v>
      </c>
      <c r="F379" s="3463">
        <v>272228.15141492098</v>
      </c>
      <c r="G379" s="3464">
        <v>147101.63836824693</v>
      </c>
      <c r="H379" s="3464">
        <v>105113.00301359793</v>
      </c>
      <c r="I379" s="3465">
        <v>20013.510033076072</v>
      </c>
      <c r="J379" s="3463">
        <v>278813.64307239983</v>
      </c>
      <c r="K379" s="3464">
        <v>155521.02065417124</v>
      </c>
      <c r="L379" s="3464">
        <v>105113.00301359793</v>
      </c>
      <c r="M379" s="3466">
        <v>18179.619551635427</v>
      </c>
    </row>
    <row r="380" spans="1:13" ht="12.75" customHeight="1">
      <c r="A380" s="3447">
        <f t="shared" si="5"/>
        <v>2023.11</v>
      </c>
      <c r="B380" s="3487">
        <v>465.07245458577347</v>
      </c>
      <c r="C380" s="3490">
        <v>503.21313848798798</v>
      </c>
      <c r="D380" s="3490">
        <v>433.00364875627429</v>
      </c>
      <c r="E380" s="3491">
        <v>430.59679203093339</v>
      </c>
      <c r="F380" s="3463">
        <v>309646.40132304298</v>
      </c>
      <c r="G380" s="3464">
        <v>172540.34443219402</v>
      </c>
      <c r="H380" s="3464">
        <v>116675.36126424109</v>
      </c>
      <c r="I380" s="3465">
        <v>20430.695479603088</v>
      </c>
      <c r="J380" s="3463">
        <v>313742.23711870634</v>
      </c>
      <c r="K380" s="3464">
        <v>178598.11657478867</v>
      </c>
      <c r="L380" s="3464">
        <v>116675.36126424109</v>
      </c>
      <c r="M380" s="3466">
        <v>18468.759279676589</v>
      </c>
    </row>
    <row r="381" spans="1:13" ht="12.75" customHeight="1">
      <c r="A381" s="3447">
        <f t="shared" si="5"/>
        <v>2023.12</v>
      </c>
      <c r="B381" s="3487">
        <v>607.60660011042432</v>
      </c>
      <c r="C381" s="3490">
        <v>746.25254490340683</v>
      </c>
      <c r="D381" s="3490">
        <v>482.49708284714126</v>
      </c>
      <c r="E381" s="3491">
        <v>522.668894647196</v>
      </c>
      <c r="F381" s="3463">
        <v>394424.36207276734</v>
      </c>
      <c r="G381" s="3464">
        <v>242419.48122013966</v>
      </c>
      <c r="H381" s="3464">
        <v>129509.64248438073</v>
      </c>
      <c r="I381" s="3465">
        <v>22495.238368246966</v>
      </c>
      <c r="J381" s="3463">
        <v>397390.30121278937</v>
      </c>
      <c r="K381" s="3464">
        <v>247350.98360896728</v>
      </c>
      <c r="L381" s="3464">
        <v>129509.64248438073</v>
      </c>
      <c r="M381" s="3466">
        <v>20529.675119441377</v>
      </c>
    </row>
    <row r="382" spans="1:13" ht="12.75" customHeight="1">
      <c r="A382" s="3447">
        <f t="shared" si="5"/>
        <v>2024.01</v>
      </c>
      <c r="B382" s="3487">
        <v>702.60221029479669</v>
      </c>
      <c r="C382" s="3490">
        <v>845.05180292268017</v>
      </c>
      <c r="D382" s="3490">
        <v>576.43310922190744</v>
      </c>
      <c r="E382" s="3491">
        <v>604.11611330411131</v>
      </c>
      <c r="F382" s="3463">
        <v>460222.17302462325</v>
      </c>
      <c r="G382" s="3464">
        <v>280553.15192943771</v>
      </c>
      <c r="H382" s="3464">
        <v>155411.4596104373</v>
      </c>
      <c r="I382" s="3465">
        <v>24257.561484748254</v>
      </c>
      <c r="J382" s="3463">
        <v>467715.29393605288</v>
      </c>
      <c r="K382" s="3464">
        <v>290334.61256890849</v>
      </c>
      <c r="L382" s="3464">
        <v>155411.4596104373</v>
      </c>
      <c r="M382" s="3466">
        <v>21969.22190371187</v>
      </c>
    </row>
    <row r="383" spans="1:13" ht="12.75" customHeight="1">
      <c r="A383" s="3447">
        <f t="shared" si="5"/>
        <v>2024.02</v>
      </c>
      <c r="B383" s="3487">
        <v>747.93769177158481</v>
      </c>
      <c r="C383" s="3490">
        <v>898.35497443785914</v>
      </c>
      <c r="D383" s="3490">
        <v>588.57494767646472</v>
      </c>
      <c r="E383" s="3491">
        <v>767.56754575028867</v>
      </c>
      <c r="F383" s="3463">
        <v>489277.19911797129</v>
      </c>
      <c r="G383" s="3464">
        <v>301471.99573686143</v>
      </c>
      <c r="H383" s="3464">
        <v>155411.4596104373</v>
      </c>
      <c r="I383" s="3465">
        <v>32393.743917677326</v>
      </c>
      <c r="J383" s="3463">
        <v>497603.36787945608</v>
      </c>
      <c r="K383" s="3464">
        <v>314476.54965086363</v>
      </c>
      <c r="L383" s="3464">
        <v>155411.4596104373</v>
      </c>
      <c r="M383" s="3466">
        <v>27715.358618155089</v>
      </c>
    </row>
    <row r="384" spans="1:13" ht="12.75" customHeight="1">
      <c r="A384" s="3447">
        <f t="shared" si="5"/>
        <v>2024.03</v>
      </c>
      <c r="B384" s="3487">
        <v>808.76152892300183</v>
      </c>
      <c r="C384" s="3490">
        <v>943.63570556033108</v>
      </c>
      <c r="D384" s="3490">
        <v>669.45231612676207</v>
      </c>
      <c r="E384" s="3491">
        <v>809.3986874288621</v>
      </c>
      <c r="F384" s="3463">
        <v>515989.6518926865</v>
      </c>
      <c r="G384" s="3464">
        <v>305686.3203234105</v>
      </c>
      <c r="H384" s="3464">
        <v>177169.25203969126</v>
      </c>
      <c r="I384" s="3465">
        <v>33134.079676589485</v>
      </c>
      <c r="J384" s="3463">
        <v>530318.99007717741</v>
      </c>
      <c r="K384" s="3464">
        <v>324879.81418596103</v>
      </c>
      <c r="L384" s="3464">
        <v>177169.25203969126</v>
      </c>
      <c r="M384" s="3466">
        <v>28269.92399852995</v>
      </c>
    </row>
    <row r="385" spans="1:13" ht="12.75" customHeight="1">
      <c r="A385" s="3447">
        <f t="shared" si="5"/>
        <v>2024.04</v>
      </c>
      <c r="B385" s="3487">
        <v>847.37018364816322</v>
      </c>
      <c r="C385" s="3490">
        <v>971.16590508075819</v>
      </c>
      <c r="D385" s="3490">
        <v>713.62264081050557</v>
      </c>
      <c r="E385" s="3491">
        <v>875.77716965748846</v>
      </c>
      <c r="F385" s="3463">
        <v>546027.71</v>
      </c>
      <c r="G385" s="3464">
        <v>310000.94</v>
      </c>
      <c r="H385" s="3464">
        <v>201972.85</v>
      </c>
      <c r="I385" s="3465">
        <v>34053.919999999998</v>
      </c>
      <c r="J385" s="3463">
        <v>559810.74</v>
      </c>
      <c r="K385" s="3464">
        <v>328388.68</v>
      </c>
      <c r="L385" s="3464">
        <v>201972.85</v>
      </c>
      <c r="M385" s="3466">
        <v>29449.22</v>
      </c>
    </row>
    <row r="386" spans="1:13" ht="12.75" customHeight="1">
      <c r="A386" s="3447">
        <f t="shared" si="5"/>
        <v>2024.05</v>
      </c>
      <c r="B386" s="3487">
        <v>939.09017676927681</v>
      </c>
      <c r="C386" s="3490">
        <v>985.52232728588865</v>
      </c>
      <c r="D386" s="3490">
        <v>888.28971495249232</v>
      </c>
      <c r="E386" s="3491">
        <v>952.74663179392815</v>
      </c>
      <c r="F386" s="3463">
        <v>571803.01</v>
      </c>
      <c r="G386" s="3464">
        <v>312860.61</v>
      </c>
      <c r="H386" s="3464">
        <v>224189.8</v>
      </c>
      <c r="I386" s="3465">
        <v>34752.6</v>
      </c>
      <c r="J386" s="3463">
        <v>584967.15</v>
      </c>
      <c r="K386" s="3464">
        <v>330128.89</v>
      </c>
      <c r="L386" s="3464">
        <v>224189.8</v>
      </c>
      <c r="M386" s="3466">
        <v>30648.45</v>
      </c>
    </row>
    <row r="387" spans="1:13" ht="12.75" customHeight="1">
      <c r="A387" s="3447">
        <f t="shared" si="5"/>
        <v>2024.06</v>
      </c>
      <c r="B387" s="3487">
        <v>968.87122905786418</v>
      </c>
      <c r="C387" s="3490">
        <v>997.70981314753624</v>
      </c>
      <c r="D387" s="3490">
        <v>933.14163471689744</v>
      </c>
      <c r="E387" s="3491">
        <v>997.11734838027451</v>
      </c>
      <c r="F387" s="3463">
        <v>609053.40066152147</v>
      </c>
      <c r="G387" s="3464">
        <v>316030.366923925</v>
      </c>
      <c r="H387" s="3464">
        <v>248850.76530687243</v>
      </c>
      <c r="I387" s="3465">
        <v>44172.268430723998</v>
      </c>
      <c r="J387" s="3463">
        <v>619450.37192208739</v>
      </c>
      <c r="K387" s="3464">
        <v>331453.86137449468</v>
      </c>
      <c r="L387" s="3464">
        <v>248850.76530687243</v>
      </c>
      <c r="M387" s="3466">
        <v>39145.745387725095</v>
      </c>
    </row>
    <row r="388" spans="1:13" ht="12.75" customHeight="1">
      <c r="A388" s="3447">
        <f t="shared" si="5"/>
        <v>2024.07</v>
      </c>
      <c r="B388" s="3487">
        <v>986.73099028809872</v>
      </c>
      <c r="C388" s="3490">
        <v>1023.1878025607382</v>
      </c>
      <c r="D388" s="3490">
        <v>942.71545257542937</v>
      </c>
      <c r="E388" s="3491">
        <v>1016.9883515365804</v>
      </c>
      <c r="F388" s="3463">
        <v>617021.53517089295</v>
      </c>
      <c r="G388" s="3464">
        <v>322816.73531789781</v>
      </c>
      <c r="H388" s="3464">
        <v>248850.76530687243</v>
      </c>
      <c r="I388" s="3465">
        <v>45354.034546122748</v>
      </c>
      <c r="J388" s="3463">
        <v>625506.38544652693</v>
      </c>
      <c r="K388" s="3464">
        <v>336811.57309812569</v>
      </c>
      <c r="L388" s="3464">
        <v>248850.76530687243</v>
      </c>
      <c r="M388" s="3466">
        <v>39844.047041528844</v>
      </c>
    </row>
    <row r="389" spans="1:13" ht="12.75" customHeight="1">
      <c r="A389" s="3447">
        <f t="shared" si="5"/>
        <v>2024.08</v>
      </c>
      <c r="B389" s="3487">
        <v>1003.1479956192358</v>
      </c>
      <c r="C389" s="3490">
        <v>1044.6464280866851</v>
      </c>
      <c r="D389" s="3490">
        <v>950.71030356911353</v>
      </c>
      <c r="E389" s="3491">
        <v>1048.6337474471061</v>
      </c>
      <c r="F389" s="3463">
        <v>646981.77611172362</v>
      </c>
      <c r="G389" s="3464">
        <v>329442.82263873576</v>
      </c>
      <c r="H389" s="3464">
        <v>261293.45461227489</v>
      </c>
      <c r="I389" s="3465">
        <v>56245.498860712971</v>
      </c>
      <c r="J389" s="3463">
        <v>651552.2424108783</v>
      </c>
      <c r="K389" s="3464">
        <v>340742.65211319365</v>
      </c>
      <c r="L389" s="3464">
        <v>261293.45461227489</v>
      </c>
      <c r="M389" s="3466">
        <v>49516.135685409768</v>
      </c>
    </row>
    <row r="390" spans="1:13" ht="12.75" customHeight="1">
      <c r="A390" s="3447">
        <f t="shared" si="5"/>
        <v>2024.09</v>
      </c>
      <c r="B390" s="3487">
        <v>1050.4448648208324</v>
      </c>
      <c r="C390" s="3490">
        <v>1062.8946296882777</v>
      </c>
      <c r="D390" s="3490">
        <v>1024.4188846289198</v>
      </c>
      <c r="E390" s="3491">
        <v>1112.7898998216006</v>
      </c>
      <c r="F390" s="3463">
        <v>663002.03072399844</v>
      </c>
      <c r="G390" s="3464">
        <v>334220.94950385886</v>
      </c>
      <c r="H390" s="3464">
        <v>271744.99860345462</v>
      </c>
      <c r="I390" s="3465">
        <v>57036.08276368981</v>
      </c>
      <c r="J390" s="3463">
        <v>665760.91095920594</v>
      </c>
      <c r="K390" s="3464">
        <v>344354.29265711113</v>
      </c>
      <c r="L390" s="3464">
        <v>271744.99860345462</v>
      </c>
      <c r="M390" s="3466">
        <v>49661.619698640206</v>
      </c>
    </row>
    <row r="391" spans="1:13" ht="12.75" customHeight="1">
      <c r="A391" s="3447">
        <f t="shared" si="5"/>
        <v>2024.1</v>
      </c>
      <c r="B391" s="3487">
        <v>1062.7327281120174</v>
      </c>
      <c r="C391" s="3490">
        <v>1077.485409220468</v>
      </c>
      <c r="D391" s="3490">
        <v>1032.2044414809877</v>
      </c>
      <c r="E391" s="3491">
        <v>1135.1294408253223</v>
      </c>
      <c r="F391" s="3463">
        <v>681000.91069459752</v>
      </c>
      <c r="G391" s="3464">
        <v>340541.58030135976</v>
      </c>
      <c r="H391" s="3464">
        <v>282614.87835354649</v>
      </c>
      <c r="I391" s="3465">
        <v>57844.452186696064</v>
      </c>
      <c r="J391" s="3463">
        <v>679272.85790812154</v>
      </c>
      <c r="K391" s="3464">
        <v>346691.16206100653</v>
      </c>
      <c r="L391" s="3464">
        <v>282614.87835354649</v>
      </c>
      <c r="M391" s="3466">
        <v>49966.817493568531</v>
      </c>
    </row>
    <row r="392" spans="1:13" ht="12.75" customHeight="1">
      <c r="A392" s="3447">
        <f t="shared" si="5"/>
        <v>2024.11</v>
      </c>
      <c r="B392" s="3487">
        <v>1073.0754957776312</v>
      </c>
      <c r="C392" s="3490">
        <v>1090.2384291725107</v>
      </c>
      <c r="D392" s="3490">
        <v>1035.2790279861458</v>
      </c>
      <c r="E392" s="3491">
        <v>1168.0882151131354</v>
      </c>
      <c r="F392" s="3463">
        <v>709529.12149944867</v>
      </c>
      <c r="G392" s="3464">
        <v>343164.69312752661</v>
      </c>
      <c r="H392" s="3464">
        <v>293919.44270488789</v>
      </c>
      <c r="I392" s="3465">
        <v>72444.985667034183</v>
      </c>
      <c r="J392" s="3463">
        <v>703692.21668504213</v>
      </c>
      <c r="K392" s="3464">
        <v>346040.59843880933</v>
      </c>
      <c r="L392" s="3464">
        <v>293919.44270488789</v>
      </c>
      <c r="M392" s="3466">
        <v>63747.734068357218</v>
      </c>
    </row>
    <row r="393" spans="1:13" ht="12.75" customHeight="1">
      <c r="A393" s="3447">
        <f t="shared" si="5"/>
        <v>2024.12</v>
      </c>
      <c r="B393" s="3487">
        <v>1165.8879646642472</v>
      </c>
      <c r="C393" s="3490">
        <v>1099.7810252001993</v>
      </c>
      <c r="D393" s="3490">
        <v>1222.0240410438778</v>
      </c>
      <c r="E393" s="3491">
        <v>1223.02650166695</v>
      </c>
      <c r="F393" s="3463">
        <v>723901.28452774708</v>
      </c>
      <c r="G393" s="3464">
        <v>345417.42256523337</v>
      </c>
      <c r="H393" s="3464">
        <v>305676.15038588748</v>
      </c>
      <c r="I393" s="3465">
        <v>72807.711723631015</v>
      </c>
      <c r="J393" s="3463">
        <v>712667.50327085622</v>
      </c>
      <c r="K393" s="3464">
        <v>343047.81513855205</v>
      </c>
      <c r="L393" s="3464">
        <v>305676.14671076805</v>
      </c>
      <c r="M393" s="3466">
        <v>63959.208673281872</v>
      </c>
    </row>
    <row r="394" spans="1:13" ht="12.75" customHeight="1">
      <c r="A394" s="3447">
        <f t="shared" si="5"/>
        <v>2025.01</v>
      </c>
      <c r="B394" s="3487">
        <v>1176.1184978684505</v>
      </c>
      <c r="C394" s="3490">
        <v>1113.1574899334935</v>
      </c>
      <c r="D394" s="3490">
        <v>1223.5650386175473</v>
      </c>
      <c r="E394" s="3491">
        <v>1259.0011220626586</v>
      </c>
      <c r="F394" s="3463">
        <v>726802.69974274153</v>
      </c>
      <c r="G394" s="3464">
        <v>347464.98463800066</v>
      </c>
      <c r="H394" s="3464">
        <v>305676.14685777284</v>
      </c>
      <c r="I394" s="3465">
        <v>73661.568393972804</v>
      </c>
      <c r="J394" s="3463">
        <v>715019.96427783894</v>
      </c>
      <c r="K394" s="3464">
        <v>344559.31422271224</v>
      </c>
      <c r="L394" s="3464">
        <v>305676.14685777284</v>
      </c>
      <c r="M394" s="3466">
        <v>64784.503197353908</v>
      </c>
    </row>
    <row r="395" spans="1:13" ht="12.75" customHeight="1">
      <c r="A395" s="3447">
        <f t="shared" si="5"/>
        <v>2025.02</v>
      </c>
      <c r="B395" s="3487">
        <v>1201.8554890797682</v>
      </c>
      <c r="C395" s="3490">
        <v>1134.274985296114</v>
      </c>
      <c r="D395" s="3490">
        <v>1254.0275231057026</v>
      </c>
      <c r="E395" s="3491">
        <v>1284.9336852896786</v>
      </c>
      <c r="F395" s="3463">
        <v>747715.12796765892</v>
      </c>
      <c r="G395" s="3464">
        <v>357642.07658948918</v>
      </c>
      <c r="H395" s="3464">
        <v>315904.61403895624</v>
      </c>
      <c r="I395" s="3465">
        <v>74168.437486218289</v>
      </c>
      <c r="J395" s="3463">
        <v>730922.43910327076</v>
      </c>
      <c r="K395" s="3464">
        <v>349774.10599044466</v>
      </c>
      <c r="L395" s="3464">
        <v>315904.61403895624</v>
      </c>
      <c r="M395" s="3466">
        <v>65243.719073869899</v>
      </c>
    </row>
    <row r="396" spans="1:13" ht="12.75" customHeight="1">
      <c r="A396" s="3447">
        <f t="shared" si="5"/>
        <v>2025.03</v>
      </c>
      <c r="B396" s="3487">
        <v>1205.6424970357434</v>
      </c>
      <c r="C396" s="3490">
        <v>1141.5011536895449</v>
      </c>
      <c r="D396" s="3490">
        <v>1253.0764386657036</v>
      </c>
      <c r="E396" s="3491">
        <v>1294.349324744308</v>
      </c>
      <c r="F396" s="3463">
        <v>755901.04020580661</v>
      </c>
      <c r="G396" s="3464">
        <v>362248.11187063577</v>
      </c>
      <c r="H396" s="3464">
        <v>319004.61447997054</v>
      </c>
      <c r="I396" s="3465">
        <v>74648.314002205065</v>
      </c>
      <c r="J396" s="3463">
        <v>743377.60617420054</v>
      </c>
      <c r="K396" s="3464">
        <v>358419.93958103633</v>
      </c>
      <c r="L396" s="3464">
        <v>319004.61447997054</v>
      </c>
      <c r="M396" s="3466">
        <v>65953.052113193669</v>
      </c>
    </row>
    <row r="397" spans="1:13" ht="12.75" customHeight="1">
      <c r="A397" s="3447">
        <f t="shared" si="5"/>
        <v>2025.04</v>
      </c>
      <c r="B397" s="3487">
        <v>1212.2426074599716</v>
      </c>
      <c r="C397" s="3490">
        <v>1174.8839524046516</v>
      </c>
      <c r="D397" s="3490">
        <v>1228.8974088273969</v>
      </c>
      <c r="E397" s="3491">
        <v>1315.8089748867858</v>
      </c>
      <c r="F397" s="3463">
        <v>765954.48526277102</v>
      </c>
      <c r="G397" s="3464">
        <v>366638.95023888274</v>
      </c>
      <c r="H397" s="3464">
        <v>319004.61447997054</v>
      </c>
      <c r="I397" s="3465">
        <v>80310.920690922445</v>
      </c>
      <c r="J397" s="3463">
        <v>754890.39059169416</v>
      </c>
      <c r="K397" s="3464">
        <v>364705.35464902606</v>
      </c>
      <c r="L397" s="3464">
        <v>319004.61447997054</v>
      </c>
      <c r="M397" s="3466">
        <v>71180.421609702302</v>
      </c>
    </row>
    <row r="398" spans="1:13" ht="12.75" customHeight="1">
      <c r="A398" s="3447">
        <f t="shared" si="5"/>
        <v>2025.05</v>
      </c>
      <c r="B398" s="3487" t="e">
        <v>#N/A</v>
      </c>
      <c r="C398" s="3490" t="e">
        <v>#N/A</v>
      </c>
      <c r="D398" s="3490" t="e">
        <v>#N/A</v>
      </c>
      <c r="E398" s="3491" t="e">
        <v>#N/A</v>
      </c>
      <c r="F398" s="3463" t="e">
        <v>#N/A</v>
      </c>
      <c r="G398" s="3464" t="e">
        <v>#N/A</v>
      </c>
      <c r="H398" s="3464" t="e">
        <v>#N/A</v>
      </c>
      <c r="I398" s="3465" t="e">
        <v>#N/A</v>
      </c>
      <c r="J398" s="3463" t="e">
        <v>#N/A</v>
      </c>
      <c r="K398" s="3464" t="e">
        <v>#N/A</v>
      </c>
      <c r="L398" s="3464" t="e">
        <v>#N/A</v>
      </c>
      <c r="M398" s="3466" t="e">
        <v>#N/A</v>
      </c>
    </row>
    <row r="399" spans="1:13" ht="12.75" customHeight="1">
      <c r="A399" s="3447">
        <f t="shared" si="5"/>
        <v>2025.06</v>
      </c>
      <c r="B399" s="3487" t="e">
        <v>#N/A</v>
      </c>
      <c r="C399" s="3490" t="e">
        <v>#N/A</v>
      </c>
      <c r="D399" s="3490" t="e">
        <v>#N/A</v>
      </c>
      <c r="E399" s="3491" t="e">
        <v>#N/A</v>
      </c>
      <c r="F399" s="3463" t="e">
        <v>#N/A</v>
      </c>
      <c r="G399" s="3464" t="e">
        <v>#N/A</v>
      </c>
      <c r="H399" s="3464" t="e">
        <v>#N/A</v>
      </c>
      <c r="I399" s="3465" t="e">
        <v>#N/A</v>
      </c>
      <c r="J399" s="3463" t="e">
        <v>#N/A</v>
      </c>
      <c r="K399" s="3464" t="e">
        <v>#N/A</v>
      </c>
      <c r="L399" s="3464" t="e">
        <v>#N/A</v>
      </c>
      <c r="M399" s="3466" t="e">
        <v>#N/A</v>
      </c>
    </row>
    <row r="400" spans="1:13" ht="12.75" customHeight="1">
      <c r="A400" s="3447">
        <f t="shared" si="5"/>
        <v>2025.07</v>
      </c>
      <c r="B400" s="3487" t="e">
        <v>#N/A</v>
      </c>
      <c r="C400" s="3490" t="e">
        <v>#N/A</v>
      </c>
      <c r="D400" s="3490" t="e">
        <v>#N/A</v>
      </c>
      <c r="E400" s="3491" t="e">
        <v>#N/A</v>
      </c>
      <c r="F400" s="3463" t="e">
        <v>#N/A</v>
      </c>
      <c r="G400" s="3464" t="e">
        <v>#N/A</v>
      </c>
      <c r="H400" s="3464" t="e">
        <v>#N/A</v>
      </c>
      <c r="I400" s="3465" t="e">
        <v>#N/A</v>
      </c>
      <c r="J400" s="3463" t="e">
        <v>#N/A</v>
      </c>
      <c r="K400" s="3464" t="e">
        <v>#N/A</v>
      </c>
      <c r="L400" s="3464" t="e">
        <v>#N/A</v>
      </c>
      <c r="M400" s="3466" t="e">
        <v>#N/A</v>
      </c>
    </row>
    <row r="401" spans="1:13" ht="12.75" customHeight="1">
      <c r="A401" s="3447">
        <f t="shared" si="5"/>
        <v>2025.08</v>
      </c>
      <c r="B401" s="3487" t="e">
        <v>#N/A</v>
      </c>
      <c r="C401" s="3490" t="e">
        <v>#N/A</v>
      </c>
      <c r="D401" s="3490" t="e">
        <v>#N/A</v>
      </c>
      <c r="E401" s="3491" t="e">
        <v>#N/A</v>
      </c>
      <c r="F401" s="3463" t="e">
        <v>#N/A</v>
      </c>
      <c r="G401" s="3464" t="e">
        <v>#N/A</v>
      </c>
      <c r="H401" s="3464" t="e">
        <v>#N/A</v>
      </c>
      <c r="I401" s="3465" t="e">
        <v>#N/A</v>
      </c>
      <c r="J401" s="3463" t="e">
        <v>#N/A</v>
      </c>
      <c r="K401" s="3464" t="e">
        <v>#N/A</v>
      </c>
      <c r="L401" s="3464" t="e">
        <v>#N/A</v>
      </c>
      <c r="M401" s="3466" t="e">
        <v>#N/A</v>
      </c>
    </row>
    <row r="402" spans="1:13" ht="12.75" customHeight="1">
      <c r="A402" s="3447">
        <f t="shared" si="5"/>
        <v>2025.09</v>
      </c>
      <c r="B402" s="3487" t="e">
        <v>#N/A</v>
      </c>
      <c r="C402" s="3490" t="e">
        <v>#N/A</v>
      </c>
      <c r="D402" s="3490" t="e">
        <v>#N/A</v>
      </c>
      <c r="E402" s="3491" t="e">
        <v>#N/A</v>
      </c>
      <c r="F402" s="3463" t="e">
        <v>#N/A</v>
      </c>
      <c r="G402" s="3464" t="e">
        <v>#N/A</v>
      </c>
      <c r="H402" s="3464" t="e">
        <v>#N/A</v>
      </c>
      <c r="I402" s="3465" t="e">
        <v>#N/A</v>
      </c>
      <c r="J402" s="3463" t="e">
        <v>#N/A</v>
      </c>
      <c r="K402" s="3464" t="e">
        <v>#N/A</v>
      </c>
      <c r="L402" s="3464" t="e">
        <v>#N/A</v>
      </c>
      <c r="M402" s="3466" t="e">
        <v>#N/A</v>
      </c>
    </row>
    <row r="403" spans="1:13" ht="12.75" customHeight="1">
      <c r="A403" s="3447">
        <f t="shared" si="5"/>
        <v>2025.1</v>
      </c>
      <c r="B403" s="3487" t="e">
        <v>#N/A</v>
      </c>
      <c r="C403" s="3490" t="e">
        <v>#N/A</v>
      </c>
      <c r="D403" s="3490" t="e">
        <v>#N/A</v>
      </c>
      <c r="E403" s="3491" t="e">
        <v>#N/A</v>
      </c>
      <c r="F403" s="3463" t="e">
        <v>#N/A</v>
      </c>
      <c r="G403" s="3464" t="e">
        <v>#N/A</v>
      </c>
      <c r="H403" s="3464" t="e">
        <v>#N/A</v>
      </c>
      <c r="I403" s="3465" t="e">
        <v>#N/A</v>
      </c>
      <c r="J403" s="3463" t="e">
        <v>#N/A</v>
      </c>
      <c r="K403" s="3464" t="e">
        <v>#N/A</v>
      </c>
      <c r="L403" s="3464" t="e">
        <v>#N/A</v>
      </c>
      <c r="M403" s="3466" t="e">
        <v>#N/A</v>
      </c>
    </row>
    <row r="404" spans="1:13" ht="12.75" customHeight="1">
      <c r="A404" s="3447">
        <f t="shared" si="5"/>
        <v>2025.11</v>
      </c>
      <c r="B404" s="3487" t="e">
        <v>#N/A</v>
      </c>
      <c r="C404" s="3490" t="e">
        <v>#N/A</v>
      </c>
      <c r="D404" s="3490" t="e">
        <v>#N/A</v>
      </c>
      <c r="E404" s="3491" t="e">
        <v>#N/A</v>
      </c>
      <c r="F404" s="3457" t="e">
        <v>#N/A</v>
      </c>
      <c r="G404" s="3461" t="e">
        <v>#N/A</v>
      </c>
      <c r="H404" s="3461" t="e">
        <v>#N/A</v>
      </c>
      <c r="I404" s="3462" t="e">
        <v>#N/A</v>
      </c>
      <c r="J404" s="3457" t="e">
        <v>#N/A</v>
      </c>
      <c r="K404" s="3461" t="e">
        <v>#N/A</v>
      </c>
      <c r="L404" s="3461" t="e">
        <v>#N/A</v>
      </c>
      <c r="M404" s="3467" t="e">
        <v>#N/A</v>
      </c>
    </row>
    <row r="405" spans="1:13" ht="12.75" customHeight="1">
      <c r="A405" s="3447">
        <f t="shared" si="5"/>
        <v>2025.12</v>
      </c>
      <c r="B405" s="3487" t="e">
        <v>#N/A</v>
      </c>
      <c r="C405" s="3490" t="e">
        <v>#N/A</v>
      </c>
      <c r="D405" s="3490" t="e">
        <v>#N/A</v>
      </c>
      <c r="E405" s="3491" t="e">
        <v>#N/A</v>
      </c>
      <c r="F405" s="3457" t="e">
        <v>#N/A</v>
      </c>
      <c r="G405" s="3461" t="e">
        <v>#N/A</v>
      </c>
      <c r="H405" s="3461" t="e">
        <v>#N/A</v>
      </c>
      <c r="I405" s="3462" t="e">
        <v>#N/A</v>
      </c>
      <c r="J405" s="3457" t="e">
        <v>#N/A</v>
      </c>
      <c r="K405" s="3461" t="e">
        <v>#N/A</v>
      </c>
      <c r="L405" s="3461" t="e">
        <v>#N/A</v>
      </c>
      <c r="M405" s="3467" t="e">
        <v>#N/A</v>
      </c>
    </row>
    <row r="406" spans="1:13" ht="12.75" customHeight="1">
      <c r="A406" s="3447">
        <f t="shared" si="5"/>
        <v>2026.01</v>
      </c>
      <c r="B406" s="3487" t="e">
        <v>#N/A</v>
      </c>
      <c r="C406" s="3490" t="e">
        <v>#N/A</v>
      </c>
      <c r="D406" s="3490" t="e">
        <v>#N/A</v>
      </c>
      <c r="E406" s="3491" t="e">
        <v>#N/A</v>
      </c>
      <c r="F406" s="3457" t="e">
        <v>#N/A</v>
      </c>
      <c r="G406" s="3461" t="e">
        <v>#N/A</v>
      </c>
      <c r="H406" s="3461" t="e">
        <v>#N/A</v>
      </c>
      <c r="I406" s="3462" t="e">
        <v>#N/A</v>
      </c>
      <c r="J406" s="3457" t="e">
        <v>#N/A</v>
      </c>
      <c r="K406" s="3461" t="e">
        <v>#N/A</v>
      </c>
      <c r="L406" s="3461" t="e">
        <v>#N/A</v>
      </c>
      <c r="M406" s="3467" t="e">
        <v>#N/A</v>
      </c>
    </row>
    <row r="407" spans="1:13" ht="12.75" customHeight="1">
      <c r="A407" s="3447">
        <f t="shared" ref="A407:A465" si="6">A395+1</f>
        <v>2026.02</v>
      </c>
      <c r="B407" s="3487" t="e">
        <v>#N/A</v>
      </c>
      <c r="C407" s="3490" t="e">
        <v>#N/A</v>
      </c>
      <c r="D407" s="3490" t="e">
        <v>#N/A</v>
      </c>
      <c r="E407" s="3491" t="e">
        <v>#N/A</v>
      </c>
      <c r="F407" s="3457" t="e">
        <v>#N/A</v>
      </c>
      <c r="G407" s="3461" t="e">
        <v>#N/A</v>
      </c>
      <c r="H407" s="3461" t="e">
        <v>#N/A</v>
      </c>
      <c r="I407" s="3462" t="e">
        <v>#N/A</v>
      </c>
      <c r="J407" s="3457" t="e">
        <v>#N/A</v>
      </c>
      <c r="K407" s="3461" t="e">
        <v>#N/A</v>
      </c>
      <c r="L407" s="3461" t="e">
        <v>#N/A</v>
      </c>
      <c r="M407" s="3467" t="e">
        <v>#N/A</v>
      </c>
    </row>
    <row r="408" spans="1:13" ht="12.75" customHeight="1">
      <c r="A408" s="3447">
        <f t="shared" si="6"/>
        <v>2026.03</v>
      </c>
      <c r="B408" s="3487" t="e">
        <v>#N/A</v>
      </c>
      <c r="C408" s="3490" t="e">
        <v>#N/A</v>
      </c>
      <c r="D408" s="3490" t="e">
        <v>#N/A</v>
      </c>
      <c r="E408" s="3491" t="e">
        <v>#N/A</v>
      </c>
      <c r="F408" s="3457" t="e">
        <v>#N/A</v>
      </c>
      <c r="G408" s="3461" t="e">
        <v>#N/A</v>
      </c>
      <c r="H408" s="3461" t="e">
        <v>#N/A</v>
      </c>
      <c r="I408" s="3462" t="e">
        <v>#N/A</v>
      </c>
      <c r="J408" s="3457" t="e">
        <v>#N/A</v>
      </c>
      <c r="K408" s="3461" t="e">
        <v>#N/A</v>
      </c>
      <c r="L408" s="3461" t="e">
        <v>#N/A</v>
      </c>
      <c r="M408" s="3467" t="e">
        <v>#N/A</v>
      </c>
    </row>
    <row r="409" spans="1:13" ht="12.75" customHeight="1">
      <c r="A409" s="3447">
        <f t="shared" si="6"/>
        <v>2026.04</v>
      </c>
      <c r="B409" s="3487" t="e">
        <v>#N/A</v>
      </c>
      <c r="C409" s="3490" t="e">
        <v>#N/A</v>
      </c>
      <c r="D409" s="3490" t="e">
        <v>#N/A</v>
      </c>
      <c r="E409" s="3491" t="e">
        <v>#N/A</v>
      </c>
      <c r="F409" s="3457" t="e">
        <v>#N/A</v>
      </c>
      <c r="G409" s="3461" t="e">
        <v>#N/A</v>
      </c>
      <c r="H409" s="3461" t="e">
        <v>#N/A</v>
      </c>
      <c r="I409" s="3462" t="e">
        <v>#N/A</v>
      </c>
      <c r="J409" s="3457" t="e">
        <v>#N/A</v>
      </c>
      <c r="K409" s="3461" t="e">
        <v>#N/A</v>
      </c>
      <c r="L409" s="3461" t="e">
        <v>#N/A</v>
      </c>
      <c r="M409" s="3467" t="e">
        <v>#N/A</v>
      </c>
    </row>
    <row r="410" spans="1:13" ht="12.75" customHeight="1">
      <c r="A410" s="3447">
        <f t="shared" si="6"/>
        <v>2026.05</v>
      </c>
      <c r="B410" s="3487" t="e">
        <v>#N/A</v>
      </c>
      <c r="C410" s="3490" t="e">
        <v>#N/A</v>
      </c>
      <c r="D410" s="3490" t="e">
        <v>#N/A</v>
      </c>
      <c r="E410" s="3491" t="e">
        <v>#N/A</v>
      </c>
      <c r="F410" s="3457" t="e">
        <v>#N/A</v>
      </c>
      <c r="G410" s="3461" t="e">
        <v>#N/A</v>
      </c>
      <c r="H410" s="3461" t="e">
        <v>#N/A</v>
      </c>
      <c r="I410" s="3462" t="e">
        <v>#N/A</v>
      </c>
      <c r="J410" s="3457" t="e">
        <v>#N/A</v>
      </c>
      <c r="K410" s="3461" t="e">
        <v>#N/A</v>
      </c>
      <c r="L410" s="3461" t="e">
        <v>#N/A</v>
      </c>
      <c r="M410" s="3467" t="e">
        <v>#N/A</v>
      </c>
    </row>
    <row r="411" spans="1:13" ht="12.75" customHeight="1">
      <c r="A411" s="3447">
        <f t="shared" si="6"/>
        <v>2026.06</v>
      </c>
      <c r="B411" s="3487" t="e">
        <v>#N/A</v>
      </c>
      <c r="C411" s="3490" t="e">
        <v>#N/A</v>
      </c>
      <c r="D411" s="3490" t="e">
        <v>#N/A</v>
      </c>
      <c r="E411" s="3491" t="e">
        <v>#N/A</v>
      </c>
      <c r="F411" s="3457" t="e">
        <v>#N/A</v>
      </c>
      <c r="G411" s="3461" t="e">
        <v>#N/A</v>
      </c>
      <c r="H411" s="3461" t="e">
        <v>#N/A</v>
      </c>
      <c r="I411" s="3462" t="e">
        <v>#N/A</v>
      </c>
      <c r="J411" s="3457" t="e">
        <v>#N/A</v>
      </c>
      <c r="K411" s="3461" t="e">
        <v>#N/A</v>
      </c>
      <c r="L411" s="3461" t="e">
        <v>#N/A</v>
      </c>
      <c r="M411" s="3467" t="e">
        <v>#N/A</v>
      </c>
    </row>
    <row r="412" spans="1:13" ht="12.75" customHeight="1">
      <c r="A412" s="3447">
        <f t="shared" si="6"/>
        <v>2026.07</v>
      </c>
      <c r="B412" s="3487" t="e">
        <v>#N/A</v>
      </c>
      <c r="C412" s="3490" t="e">
        <v>#N/A</v>
      </c>
      <c r="D412" s="3490" t="e">
        <v>#N/A</v>
      </c>
      <c r="E412" s="3491" t="e">
        <v>#N/A</v>
      </c>
      <c r="F412" s="3457" t="e">
        <v>#N/A</v>
      </c>
      <c r="G412" s="3461" t="e">
        <v>#N/A</v>
      </c>
      <c r="H412" s="3461" t="e">
        <v>#N/A</v>
      </c>
      <c r="I412" s="3462" t="e">
        <v>#N/A</v>
      </c>
      <c r="J412" s="3457" t="e">
        <v>#N/A</v>
      </c>
      <c r="K412" s="3461" t="e">
        <v>#N/A</v>
      </c>
      <c r="L412" s="3461" t="e">
        <v>#N/A</v>
      </c>
      <c r="M412" s="3467" t="e">
        <v>#N/A</v>
      </c>
    </row>
    <row r="413" spans="1:13" ht="12.75" customHeight="1">
      <c r="A413" s="3447">
        <f t="shared" si="6"/>
        <v>2026.08</v>
      </c>
      <c r="B413" s="3487" t="e">
        <v>#N/A</v>
      </c>
      <c r="C413" s="3490" t="e">
        <v>#N/A</v>
      </c>
      <c r="D413" s="3490" t="e">
        <v>#N/A</v>
      </c>
      <c r="E413" s="3491" t="e">
        <v>#N/A</v>
      </c>
      <c r="F413" s="3457" t="e">
        <v>#N/A</v>
      </c>
      <c r="G413" s="3461" t="e">
        <v>#N/A</v>
      </c>
      <c r="H413" s="3461" t="e">
        <v>#N/A</v>
      </c>
      <c r="I413" s="3462" t="e">
        <v>#N/A</v>
      </c>
      <c r="J413" s="3457" t="e">
        <v>#N/A</v>
      </c>
      <c r="K413" s="3461" t="e">
        <v>#N/A</v>
      </c>
      <c r="L413" s="3461" t="e">
        <v>#N/A</v>
      </c>
      <c r="M413" s="3467" t="e">
        <v>#N/A</v>
      </c>
    </row>
    <row r="414" spans="1:13" ht="12.75" customHeight="1">
      <c r="A414" s="3447">
        <f t="shared" si="6"/>
        <v>2026.09</v>
      </c>
      <c r="B414" s="3487" t="e">
        <v>#N/A</v>
      </c>
      <c r="C414" s="3490" t="e">
        <v>#N/A</v>
      </c>
      <c r="D414" s="3490" t="e">
        <v>#N/A</v>
      </c>
      <c r="E414" s="3491" t="e">
        <v>#N/A</v>
      </c>
      <c r="F414" s="3457" t="e">
        <v>#N/A</v>
      </c>
      <c r="G414" s="3461" t="e">
        <v>#N/A</v>
      </c>
      <c r="H414" s="3461" t="e">
        <v>#N/A</v>
      </c>
      <c r="I414" s="3462" t="e">
        <v>#N/A</v>
      </c>
      <c r="J414" s="3457" t="e">
        <v>#N/A</v>
      </c>
      <c r="K414" s="3461" t="e">
        <v>#N/A</v>
      </c>
      <c r="L414" s="3461" t="e">
        <v>#N/A</v>
      </c>
      <c r="M414" s="3467" t="e">
        <v>#N/A</v>
      </c>
    </row>
    <row r="415" spans="1:13" ht="12.75" customHeight="1">
      <c r="A415" s="3447">
        <f t="shared" si="6"/>
        <v>2026.1</v>
      </c>
      <c r="B415" s="3487" t="e">
        <v>#N/A</v>
      </c>
      <c r="C415" s="3490" t="e">
        <v>#N/A</v>
      </c>
      <c r="D415" s="3490" t="e">
        <v>#N/A</v>
      </c>
      <c r="E415" s="3491" t="e">
        <v>#N/A</v>
      </c>
      <c r="F415" s="3457" t="e">
        <v>#N/A</v>
      </c>
      <c r="G415" s="3461" t="e">
        <v>#N/A</v>
      </c>
      <c r="H415" s="3461" t="e">
        <v>#N/A</v>
      </c>
      <c r="I415" s="3462" t="e">
        <v>#N/A</v>
      </c>
      <c r="J415" s="3457" t="e">
        <v>#N/A</v>
      </c>
      <c r="K415" s="3461" t="e">
        <v>#N/A</v>
      </c>
      <c r="L415" s="3461" t="e">
        <v>#N/A</v>
      </c>
      <c r="M415" s="3467" t="e">
        <v>#N/A</v>
      </c>
    </row>
    <row r="416" spans="1:13" ht="12.75" customHeight="1">
      <c r="A416" s="3447">
        <f t="shared" si="6"/>
        <v>2026.11</v>
      </c>
      <c r="B416" s="3487" t="e">
        <v>#N/A</v>
      </c>
      <c r="C416" s="3490" t="e">
        <v>#N/A</v>
      </c>
      <c r="D416" s="3490" t="e">
        <v>#N/A</v>
      </c>
      <c r="E416" s="3491" t="e">
        <v>#N/A</v>
      </c>
      <c r="F416" s="3457" t="e">
        <v>#N/A</v>
      </c>
      <c r="G416" s="3461" t="e">
        <v>#N/A</v>
      </c>
      <c r="H416" s="3461" t="e">
        <v>#N/A</v>
      </c>
      <c r="I416" s="3462" t="e">
        <v>#N/A</v>
      </c>
      <c r="J416" s="3457" t="e">
        <v>#N/A</v>
      </c>
      <c r="K416" s="3461" t="e">
        <v>#N/A</v>
      </c>
      <c r="L416" s="3461" t="e">
        <v>#N/A</v>
      </c>
      <c r="M416" s="3467" t="e">
        <v>#N/A</v>
      </c>
    </row>
    <row r="417" spans="1:13" ht="12.75" customHeight="1">
      <c r="A417" s="3447">
        <f t="shared" si="6"/>
        <v>2026.12</v>
      </c>
      <c r="B417" s="3487" t="e">
        <v>#N/A</v>
      </c>
      <c r="C417" s="3490" t="e">
        <v>#N/A</v>
      </c>
      <c r="D417" s="3490" t="e">
        <v>#N/A</v>
      </c>
      <c r="E417" s="3491" t="e">
        <v>#N/A</v>
      </c>
      <c r="F417" s="3457" t="e">
        <v>#N/A</v>
      </c>
      <c r="G417" s="3461" t="e">
        <v>#N/A</v>
      </c>
      <c r="H417" s="3461" t="e">
        <v>#N/A</v>
      </c>
      <c r="I417" s="3462" t="e">
        <v>#N/A</v>
      </c>
      <c r="J417" s="3457" t="e">
        <v>#N/A</v>
      </c>
      <c r="K417" s="3461" t="e">
        <v>#N/A</v>
      </c>
      <c r="L417" s="3461" t="e">
        <v>#N/A</v>
      </c>
      <c r="M417" s="3467" t="e">
        <v>#N/A</v>
      </c>
    </row>
    <row r="418" spans="1:13" ht="12.75" customHeight="1">
      <c r="A418" s="3447">
        <f t="shared" si="6"/>
        <v>2027.01</v>
      </c>
      <c r="B418" s="3487" t="e">
        <v>#N/A</v>
      </c>
      <c r="C418" s="3490" t="e">
        <v>#N/A</v>
      </c>
      <c r="D418" s="3490" t="e">
        <v>#N/A</v>
      </c>
      <c r="E418" s="3491" t="e">
        <v>#N/A</v>
      </c>
      <c r="F418" s="3457" t="e">
        <v>#N/A</v>
      </c>
      <c r="G418" s="3461" t="e">
        <v>#N/A</v>
      </c>
      <c r="H418" s="3461" t="e">
        <v>#N/A</v>
      </c>
      <c r="I418" s="3462" t="e">
        <v>#N/A</v>
      </c>
      <c r="J418" s="3457" t="e">
        <v>#N/A</v>
      </c>
      <c r="K418" s="3461" t="e">
        <v>#N/A</v>
      </c>
      <c r="L418" s="3461" t="e">
        <v>#N/A</v>
      </c>
      <c r="M418" s="3467" t="e">
        <v>#N/A</v>
      </c>
    </row>
    <row r="419" spans="1:13" ht="12.75" customHeight="1">
      <c r="A419" s="3447">
        <f t="shared" si="6"/>
        <v>2027.02</v>
      </c>
      <c r="B419" s="3487" t="e">
        <v>#N/A</v>
      </c>
      <c r="C419" s="3490" t="e">
        <v>#N/A</v>
      </c>
      <c r="D419" s="3490" t="e">
        <v>#N/A</v>
      </c>
      <c r="E419" s="3491" t="e">
        <v>#N/A</v>
      </c>
      <c r="F419" s="3457" t="e">
        <v>#N/A</v>
      </c>
      <c r="G419" s="3461" t="e">
        <v>#N/A</v>
      </c>
      <c r="H419" s="3461" t="e">
        <v>#N/A</v>
      </c>
      <c r="I419" s="3462" t="e">
        <v>#N/A</v>
      </c>
      <c r="J419" s="3457" t="e">
        <v>#N/A</v>
      </c>
      <c r="K419" s="3461" t="e">
        <v>#N/A</v>
      </c>
      <c r="L419" s="3461" t="e">
        <v>#N/A</v>
      </c>
      <c r="M419" s="3467" t="e">
        <v>#N/A</v>
      </c>
    </row>
    <row r="420" spans="1:13" ht="12.75" customHeight="1">
      <c r="A420" s="3447">
        <f t="shared" si="6"/>
        <v>2027.03</v>
      </c>
      <c r="B420" s="3487" t="e">
        <v>#N/A</v>
      </c>
      <c r="C420" s="3490" t="e">
        <v>#N/A</v>
      </c>
      <c r="D420" s="3490" t="e">
        <v>#N/A</v>
      </c>
      <c r="E420" s="3491" t="e">
        <v>#N/A</v>
      </c>
      <c r="F420" s="3457" t="e">
        <v>#N/A</v>
      </c>
      <c r="G420" s="3461" t="e">
        <v>#N/A</v>
      </c>
      <c r="H420" s="3461" t="e">
        <v>#N/A</v>
      </c>
      <c r="I420" s="3462" t="e">
        <v>#N/A</v>
      </c>
      <c r="J420" s="3457" t="e">
        <v>#N/A</v>
      </c>
      <c r="K420" s="3461" t="e">
        <v>#N/A</v>
      </c>
      <c r="L420" s="3461" t="e">
        <v>#N/A</v>
      </c>
      <c r="M420" s="3467" t="e">
        <v>#N/A</v>
      </c>
    </row>
    <row r="421" spans="1:13" ht="12.75" customHeight="1">
      <c r="A421" s="3447">
        <f t="shared" si="6"/>
        <v>2027.04</v>
      </c>
      <c r="B421" s="3487" t="e">
        <v>#N/A</v>
      </c>
      <c r="C421" s="3490" t="e">
        <v>#N/A</v>
      </c>
      <c r="D421" s="3490" t="e">
        <v>#N/A</v>
      </c>
      <c r="E421" s="3491" t="e">
        <v>#N/A</v>
      </c>
      <c r="F421" s="3457" t="e">
        <v>#N/A</v>
      </c>
      <c r="G421" s="3461" t="e">
        <v>#N/A</v>
      </c>
      <c r="H421" s="3461" t="e">
        <v>#N/A</v>
      </c>
      <c r="I421" s="3462" t="e">
        <v>#N/A</v>
      </c>
      <c r="J421" s="3457" t="e">
        <v>#N/A</v>
      </c>
      <c r="K421" s="3461" t="e">
        <v>#N/A</v>
      </c>
      <c r="L421" s="3461" t="e">
        <v>#N/A</v>
      </c>
      <c r="M421" s="3467" t="e">
        <v>#N/A</v>
      </c>
    </row>
    <row r="422" spans="1:13" ht="12.75" customHeight="1">
      <c r="A422" s="3447">
        <f t="shared" si="6"/>
        <v>2027.05</v>
      </c>
      <c r="B422" s="3487" t="e">
        <v>#N/A</v>
      </c>
      <c r="C422" s="3490" t="e">
        <v>#N/A</v>
      </c>
      <c r="D422" s="3490" t="e">
        <v>#N/A</v>
      </c>
      <c r="E422" s="3491" t="e">
        <v>#N/A</v>
      </c>
      <c r="F422" s="3457" t="e">
        <v>#N/A</v>
      </c>
      <c r="G422" s="3461" t="e">
        <v>#N/A</v>
      </c>
      <c r="H422" s="3461" t="e">
        <v>#N/A</v>
      </c>
      <c r="I422" s="3462" t="e">
        <v>#N/A</v>
      </c>
      <c r="J422" s="3457" t="e">
        <v>#N/A</v>
      </c>
      <c r="K422" s="3461" t="e">
        <v>#N/A</v>
      </c>
      <c r="L422" s="3461" t="e">
        <v>#N/A</v>
      </c>
      <c r="M422" s="3467" t="e">
        <v>#N/A</v>
      </c>
    </row>
    <row r="423" spans="1:13" ht="12.75" customHeight="1">
      <c r="A423" s="3447">
        <f t="shared" si="6"/>
        <v>2027.06</v>
      </c>
      <c r="B423" s="3487" t="e">
        <v>#N/A</v>
      </c>
      <c r="C423" s="3490" t="e">
        <v>#N/A</v>
      </c>
      <c r="D423" s="3490" t="e">
        <v>#N/A</v>
      </c>
      <c r="E423" s="3491" t="e">
        <v>#N/A</v>
      </c>
      <c r="F423" s="3457" t="e">
        <v>#N/A</v>
      </c>
      <c r="G423" s="3461" t="e">
        <v>#N/A</v>
      </c>
      <c r="H423" s="3461" t="e">
        <v>#N/A</v>
      </c>
      <c r="I423" s="3462" t="e">
        <v>#N/A</v>
      </c>
      <c r="J423" s="3457" t="e">
        <v>#N/A</v>
      </c>
      <c r="K423" s="3461" t="e">
        <v>#N/A</v>
      </c>
      <c r="L423" s="3461" t="e">
        <v>#N/A</v>
      </c>
      <c r="M423" s="3467" t="e">
        <v>#N/A</v>
      </c>
    </row>
    <row r="424" spans="1:13" ht="12.75" customHeight="1">
      <c r="A424" s="3447">
        <f t="shared" si="6"/>
        <v>2027.07</v>
      </c>
      <c r="B424" s="3487" t="e">
        <v>#N/A</v>
      </c>
      <c r="C424" s="3490" t="e">
        <v>#N/A</v>
      </c>
      <c r="D424" s="3490" t="e">
        <v>#N/A</v>
      </c>
      <c r="E424" s="3491" t="e">
        <v>#N/A</v>
      </c>
      <c r="F424" s="3457" t="e">
        <v>#N/A</v>
      </c>
      <c r="G424" s="3461" t="e">
        <v>#N/A</v>
      </c>
      <c r="H424" s="3461" t="e">
        <v>#N/A</v>
      </c>
      <c r="I424" s="3462" t="e">
        <v>#N/A</v>
      </c>
      <c r="J424" s="3457" t="e">
        <v>#N/A</v>
      </c>
      <c r="K424" s="3461" t="e">
        <v>#N/A</v>
      </c>
      <c r="L424" s="3461" t="e">
        <v>#N/A</v>
      </c>
      <c r="M424" s="3467" t="e">
        <v>#N/A</v>
      </c>
    </row>
    <row r="425" spans="1:13" ht="12.75" customHeight="1">
      <c r="A425" s="3447">
        <f t="shared" si="6"/>
        <v>2027.08</v>
      </c>
      <c r="B425" s="3487" t="e">
        <v>#N/A</v>
      </c>
      <c r="C425" s="3490" t="e">
        <v>#N/A</v>
      </c>
      <c r="D425" s="3490" t="e">
        <v>#N/A</v>
      </c>
      <c r="E425" s="3491" t="e">
        <v>#N/A</v>
      </c>
      <c r="F425" s="3457" t="e">
        <v>#N/A</v>
      </c>
      <c r="G425" s="3461" t="e">
        <v>#N/A</v>
      </c>
      <c r="H425" s="3461" t="e">
        <v>#N/A</v>
      </c>
      <c r="I425" s="3462" t="e">
        <v>#N/A</v>
      </c>
      <c r="J425" s="3457" t="e">
        <v>#N/A</v>
      </c>
      <c r="K425" s="3461" t="e">
        <v>#N/A</v>
      </c>
      <c r="L425" s="3461" t="e">
        <v>#N/A</v>
      </c>
      <c r="M425" s="3467" t="e">
        <v>#N/A</v>
      </c>
    </row>
    <row r="426" spans="1:13" ht="12.75" customHeight="1">
      <c r="A426" s="3447">
        <f t="shared" si="6"/>
        <v>2027.09</v>
      </c>
      <c r="B426" s="3487" t="e">
        <v>#N/A</v>
      </c>
      <c r="C426" s="3490" t="e">
        <v>#N/A</v>
      </c>
      <c r="D426" s="3490" t="e">
        <v>#N/A</v>
      </c>
      <c r="E426" s="3491" t="e">
        <v>#N/A</v>
      </c>
      <c r="F426" s="3457" t="e">
        <v>#N/A</v>
      </c>
      <c r="G426" s="3461" t="e">
        <v>#N/A</v>
      </c>
      <c r="H426" s="3461" t="e">
        <v>#N/A</v>
      </c>
      <c r="I426" s="3462" t="e">
        <v>#N/A</v>
      </c>
      <c r="J426" s="3457" t="e">
        <v>#N/A</v>
      </c>
      <c r="K426" s="3461" t="e">
        <v>#N/A</v>
      </c>
      <c r="L426" s="3461" t="e">
        <v>#N/A</v>
      </c>
      <c r="M426" s="3467" t="e">
        <v>#N/A</v>
      </c>
    </row>
    <row r="427" spans="1:13" ht="12.75" customHeight="1">
      <c r="A427" s="3447">
        <f t="shared" si="6"/>
        <v>2027.1</v>
      </c>
      <c r="B427" s="3487" t="e">
        <v>#N/A</v>
      </c>
      <c r="C427" s="3490" t="e">
        <v>#N/A</v>
      </c>
      <c r="D427" s="3490" t="e">
        <v>#N/A</v>
      </c>
      <c r="E427" s="3491" t="e">
        <v>#N/A</v>
      </c>
      <c r="F427" s="3457" t="e">
        <v>#N/A</v>
      </c>
      <c r="G427" s="3461" t="e">
        <v>#N/A</v>
      </c>
      <c r="H427" s="3461" t="e">
        <v>#N/A</v>
      </c>
      <c r="I427" s="3462" t="e">
        <v>#N/A</v>
      </c>
      <c r="J427" s="3457" t="e">
        <v>#N/A</v>
      </c>
      <c r="K427" s="3461" t="e">
        <v>#N/A</v>
      </c>
      <c r="L427" s="3461" t="e">
        <v>#N/A</v>
      </c>
      <c r="M427" s="3467" t="e">
        <v>#N/A</v>
      </c>
    </row>
    <row r="428" spans="1:13" ht="12.75" customHeight="1">
      <c r="A428" s="3447">
        <f t="shared" si="6"/>
        <v>2027.11</v>
      </c>
      <c r="B428" s="3487" t="e">
        <v>#N/A</v>
      </c>
      <c r="C428" s="3490" t="e">
        <v>#N/A</v>
      </c>
      <c r="D428" s="3490" t="e">
        <v>#N/A</v>
      </c>
      <c r="E428" s="3491" t="e">
        <v>#N/A</v>
      </c>
      <c r="F428" s="3457" t="e">
        <v>#N/A</v>
      </c>
      <c r="G428" s="3461" t="e">
        <v>#N/A</v>
      </c>
      <c r="H428" s="3461" t="e">
        <v>#N/A</v>
      </c>
      <c r="I428" s="3462" t="e">
        <v>#N/A</v>
      </c>
      <c r="J428" s="3457" t="e">
        <v>#N/A</v>
      </c>
      <c r="K428" s="3461" t="e">
        <v>#N/A</v>
      </c>
      <c r="L428" s="3461" t="e">
        <v>#N/A</v>
      </c>
      <c r="M428" s="3467" t="e">
        <v>#N/A</v>
      </c>
    </row>
    <row r="429" spans="1:13" ht="12.75" customHeight="1">
      <c r="A429" s="3447">
        <f t="shared" si="6"/>
        <v>2027.12</v>
      </c>
      <c r="B429" s="3487" t="e">
        <v>#N/A</v>
      </c>
      <c r="C429" s="3490" t="e">
        <v>#N/A</v>
      </c>
      <c r="D429" s="3490" t="e">
        <v>#N/A</v>
      </c>
      <c r="E429" s="3491" t="e">
        <v>#N/A</v>
      </c>
      <c r="F429" s="3457" t="e">
        <v>#N/A</v>
      </c>
      <c r="G429" s="3461" t="e">
        <v>#N/A</v>
      </c>
      <c r="H429" s="3461" t="e">
        <v>#N/A</v>
      </c>
      <c r="I429" s="3462" t="e">
        <v>#N/A</v>
      </c>
      <c r="J429" s="3457" t="e">
        <v>#N/A</v>
      </c>
      <c r="K429" s="3461" t="e">
        <v>#N/A</v>
      </c>
      <c r="L429" s="3461" t="e">
        <v>#N/A</v>
      </c>
      <c r="M429" s="3467" t="e">
        <v>#N/A</v>
      </c>
    </row>
    <row r="430" spans="1:13" ht="12.75" customHeight="1">
      <c r="A430" s="3447">
        <f t="shared" si="6"/>
        <v>2028.01</v>
      </c>
      <c r="B430" s="3487" t="e">
        <v>#N/A</v>
      </c>
      <c r="C430" s="3490" t="e">
        <v>#N/A</v>
      </c>
      <c r="D430" s="3490" t="e">
        <v>#N/A</v>
      </c>
      <c r="E430" s="3491" t="e">
        <v>#N/A</v>
      </c>
      <c r="F430" s="3457" t="e">
        <v>#N/A</v>
      </c>
      <c r="G430" s="3461" t="e">
        <v>#N/A</v>
      </c>
      <c r="H430" s="3461" t="e">
        <v>#N/A</v>
      </c>
      <c r="I430" s="3462" t="e">
        <v>#N/A</v>
      </c>
      <c r="J430" s="3457" t="e">
        <v>#N/A</v>
      </c>
      <c r="K430" s="3461" t="e">
        <v>#N/A</v>
      </c>
      <c r="L430" s="3461" t="e">
        <v>#N/A</v>
      </c>
      <c r="M430" s="3467" t="e">
        <v>#N/A</v>
      </c>
    </row>
    <row r="431" spans="1:13" ht="12.75" customHeight="1">
      <c r="A431" s="3447">
        <f t="shared" si="6"/>
        <v>2028.02</v>
      </c>
      <c r="B431" s="3487" t="e">
        <v>#N/A</v>
      </c>
      <c r="C431" s="3490" t="e">
        <v>#N/A</v>
      </c>
      <c r="D431" s="3490" t="e">
        <v>#N/A</v>
      </c>
      <c r="E431" s="3491" t="e">
        <v>#N/A</v>
      </c>
      <c r="F431" s="3457" t="e">
        <v>#N/A</v>
      </c>
      <c r="G431" s="3461" t="e">
        <v>#N/A</v>
      </c>
      <c r="H431" s="3461" t="e">
        <v>#N/A</v>
      </c>
      <c r="I431" s="3462" t="e">
        <v>#N/A</v>
      </c>
      <c r="J431" s="3457" t="e">
        <v>#N/A</v>
      </c>
      <c r="K431" s="3461" t="e">
        <v>#N/A</v>
      </c>
      <c r="L431" s="3461" t="e">
        <v>#N/A</v>
      </c>
      <c r="M431" s="3467" t="e">
        <v>#N/A</v>
      </c>
    </row>
    <row r="432" spans="1:13" ht="12.75" customHeight="1">
      <c r="A432" s="3447">
        <f t="shared" si="6"/>
        <v>2028.03</v>
      </c>
      <c r="B432" s="3487" t="e">
        <v>#N/A</v>
      </c>
      <c r="C432" s="3490" t="e">
        <v>#N/A</v>
      </c>
      <c r="D432" s="3490" t="e">
        <v>#N/A</v>
      </c>
      <c r="E432" s="3491" t="e">
        <v>#N/A</v>
      </c>
      <c r="F432" s="3457" t="e">
        <v>#N/A</v>
      </c>
      <c r="G432" s="3461" t="e">
        <v>#N/A</v>
      </c>
      <c r="H432" s="3461" t="e">
        <v>#N/A</v>
      </c>
      <c r="I432" s="3462" t="e">
        <v>#N/A</v>
      </c>
      <c r="J432" s="3457" t="e">
        <v>#N/A</v>
      </c>
      <c r="K432" s="3461" t="e">
        <v>#N/A</v>
      </c>
      <c r="L432" s="3461" t="e">
        <v>#N/A</v>
      </c>
      <c r="M432" s="3467" t="e">
        <v>#N/A</v>
      </c>
    </row>
    <row r="433" spans="1:13" ht="12.75" customHeight="1">
      <c r="A433" s="3447">
        <f t="shared" si="6"/>
        <v>2028.04</v>
      </c>
      <c r="B433" s="3487" t="e">
        <v>#N/A</v>
      </c>
      <c r="C433" s="3490" t="e">
        <v>#N/A</v>
      </c>
      <c r="D433" s="3490" t="e">
        <v>#N/A</v>
      </c>
      <c r="E433" s="3491" t="e">
        <v>#N/A</v>
      </c>
      <c r="F433" s="3457" t="e">
        <v>#N/A</v>
      </c>
      <c r="G433" s="3461" t="e">
        <v>#N/A</v>
      </c>
      <c r="H433" s="3461" t="e">
        <v>#N/A</v>
      </c>
      <c r="I433" s="3462" t="e">
        <v>#N/A</v>
      </c>
      <c r="J433" s="3457" t="e">
        <v>#N/A</v>
      </c>
      <c r="K433" s="3461" t="e">
        <v>#N/A</v>
      </c>
      <c r="L433" s="3461" t="e">
        <v>#N/A</v>
      </c>
      <c r="M433" s="3467" t="e">
        <v>#N/A</v>
      </c>
    </row>
    <row r="434" spans="1:13" ht="12.75" customHeight="1">
      <c r="A434" s="3447">
        <f t="shared" si="6"/>
        <v>2028.05</v>
      </c>
      <c r="B434" s="3487" t="e">
        <v>#N/A</v>
      </c>
      <c r="C434" s="3490" t="e">
        <v>#N/A</v>
      </c>
      <c r="D434" s="3490" t="e">
        <v>#N/A</v>
      </c>
      <c r="E434" s="3491" t="e">
        <v>#N/A</v>
      </c>
      <c r="F434" s="3457" t="e">
        <v>#N/A</v>
      </c>
      <c r="G434" s="3461" t="e">
        <v>#N/A</v>
      </c>
      <c r="H434" s="3461" t="e">
        <v>#N/A</v>
      </c>
      <c r="I434" s="3462" t="e">
        <v>#N/A</v>
      </c>
      <c r="J434" s="3457" t="e">
        <v>#N/A</v>
      </c>
      <c r="K434" s="3461" t="e">
        <v>#N/A</v>
      </c>
      <c r="L434" s="3461" t="e">
        <v>#N/A</v>
      </c>
      <c r="M434" s="3467" t="e">
        <v>#N/A</v>
      </c>
    </row>
    <row r="435" spans="1:13" ht="12.75" customHeight="1">
      <c r="A435" s="3447">
        <f t="shared" si="6"/>
        <v>2028.06</v>
      </c>
      <c r="B435" s="3487" t="e">
        <v>#N/A</v>
      </c>
      <c r="C435" s="3490" t="e">
        <v>#N/A</v>
      </c>
      <c r="D435" s="3490" t="e">
        <v>#N/A</v>
      </c>
      <c r="E435" s="3491" t="e">
        <v>#N/A</v>
      </c>
      <c r="F435" s="3457" t="e">
        <v>#N/A</v>
      </c>
      <c r="G435" s="3461" t="e">
        <v>#N/A</v>
      </c>
      <c r="H435" s="3461" t="e">
        <v>#N/A</v>
      </c>
      <c r="I435" s="3462" t="e">
        <v>#N/A</v>
      </c>
      <c r="J435" s="3457" t="e">
        <v>#N/A</v>
      </c>
      <c r="K435" s="3461" t="e">
        <v>#N/A</v>
      </c>
      <c r="L435" s="3461" t="e">
        <v>#N/A</v>
      </c>
      <c r="M435" s="3467" t="e">
        <v>#N/A</v>
      </c>
    </row>
    <row r="436" spans="1:13" ht="12.75" customHeight="1">
      <c r="A436" s="3447">
        <f t="shared" si="6"/>
        <v>2028.07</v>
      </c>
      <c r="B436" s="3487" t="e">
        <v>#N/A</v>
      </c>
      <c r="C436" s="3490" t="e">
        <v>#N/A</v>
      </c>
      <c r="D436" s="3490" t="e">
        <v>#N/A</v>
      </c>
      <c r="E436" s="3491" t="e">
        <v>#N/A</v>
      </c>
      <c r="F436" s="3457" t="e">
        <v>#N/A</v>
      </c>
      <c r="G436" s="3461" t="e">
        <v>#N/A</v>
      </c>
      <c r="H436" s="3461" t="e">
        <v>#N/A</v>
      </c>
      <c r="I436" s="3462" t="e">
        <v>#N/A</v>
      </c>
      <c r="J436" s="3457" t="e">
        <v>#N/A</v>
      </c>
      <c r="K436" s="3461" t="e">
        <v>#N/A</v>
      </c>
      <c r="L436" s="3461" t="e">
        <v>#N/A</v>
      </c>
      <c r="M436" s="3467" t="e">
        <v>#N/A</v>
      </c>
    </row>
    <row r="437" spans="1:13" ht="12.75" customHeight="1">
      <c r="A437" s="3447">
        <f t="shared" si="6"/>
        <v>2028.08</v>
      </c>
      <c r="B437" s="3487" t="e">
        <v>#N/A</v>
      </c>
      <c r="C437" s="3490" t="e">
        <v>#N/A</v>
      </c>
      <c r="D437" s="3490" t="e">
        <v>#N/A</v>
      </c>
      <c r="E437" s="3491" t="e">
        <v>#N/A</v>
      </c>
      <c r="F437" s="3457" t="e">
        <v>#N/A</v>
      </c>
      <c r="G437" s="3461" t="e">
        <v>#N/A</v>
      </c>
      <c r="H437" s="3461" t="e">
        <v>#N/A</v>
      </c>
      <c r="I437" s="3462" t="e">
        <v>#N/A</v>
      </c>
      <c r="J437" s="3457" t="e">
        <v>#N/A</v>
      </c>
      <c r="K437" s="3461" t="e">
        <v>#N/A</v>
      </c>
      <c r="L437" s="3461" t="e">
        <v>#N/A</v>
      </c>
      <c r="M437" s="3467" t="e">
        <v>#N/A</v>
      </c>
    </row>
    <row r="438" spans="1:13" ht="12.75" customHeight="1">
      <c r="A438" s="3447">
        <f t="shared" si="6"/>
        <v>2028.09</v>
      </c>
      <c r="B438" s="3487" t="e">
        <v>#N/A</v>
      </c>
      <c r="C438" s="3490" t="e">
        <v>#N/A</v>
      </c>
      <c r="D438" s="3490" t="e">
        <v>#N/A</v>
      </c>
      <c r="E438" s="3491" t="e">
        <v>#N/A</v>
      </c>
      <c r="F438" s="3457" t="e">
        <v>#N/A</v>
      </c>
      <c r="G438" s="3461" t="e">
        <v>#N/A</v>
      </c>
      <c r="H438" s="3461" t="e">
        <v>#N/A</v>
      </c>
      <c r="I438" s="3462" t="e">
        <v>#N/A</v>
      </c>
      <c r="J438" s="3457" t="e">
        <v>#N/A</v>
      </c>
      <c r="K438" s="3461" t="e">
        <v>#N/A</v>
      </c>
      <c r="L438" s="3461" t="e">
        <v>#N/A</v>
      </c>
      <c r="M438" s="3467" t="e">
        <v>#N/A</v>
      </c>
    </row>
    <row r="439" spans="1:13" ht="12.75" customHeight="1">
      <c r="A439" s="3447">
        <f t="shared" si="6"/>
        <v>2028.1</v>
      </c>
      <c r="B439" s="3487" t="e">
        <v>#N/A</v>
      </c>
      <c r="C439" s="3490" t="e">
        <v>#N/A</v>
      </c>
      <c r="D439" s="3490" t="e">
        <v>#N/A</v>
      </c>
      <c r="E439" s="3491" t="e">
        <v>#N/A</v>
      </c>
      <c r="F439" s="3457" t="e">
        <v>#N/A</v>
      </c>
      <c r="G439" s="3461" t="e">
        <v>#N/A</v>
      </c>
      <c r="H439" s="3461" t="e">
        <v>#N/A</v>
      </c>
      <c r="I439" s="3462" t="e">
        <v>#N/A</v>
      </c>
      <c r="J439" s="3457" t="e">
        <v>#N/A</v>
      </c>
      <c r="K439" s="3461" t="e">
        <v>#N/A</v>
      </c>
      <c r="L439" s="3461" t="e">
        <v>#N/A</v>
      </c>
      <c r="M439" s="3467" t="e">
        <v>#N/A</v>
      </c>
    </row>
    <row r="440" spans="1:13" ht="12.75" customHeight="1">
      <c r="A440" s="3447">
        <f t="shared" si="6"/>
        <v>2028.11</v>
      </c>
      <c r="B440" s="3487" t="e">
        <v>#N/A</v>
      </c>
      <c r="C440" s="3490" t="e">
        <v>#N/A</v>
      </c>
      <c r="D440" s="3490" t="e">
        <v>#N/A</v>
      </c>
      <c r="E440" s="3491" t="e">
        <v>#N/A</v>
      </c>
      <c r="F440" s="3457" t="e">
        <v>#N/A</v>
      </c>
      <c r="G440" s="3461" t="e">
        <v>#N/A</v>
      </c>
      <c r="H440" s="3461" t="e">
        <v>#N/A</v>
      </c>
      <c r="I440" s="3462" t="e">
        <v>#N/A</v>
      </c>
      <c r="J440" s="3457" t="e">
        <v>#N/A</v>
      </c>
      <c r="K440" s="3461" t="e">
        <v>#N/A</v>
      </c>
      <c r="L440" s="3461" t="e">
        <v>#N/A</v>
      </c>
      <c r="M440" s="3467" t="e">
        <v>#N/A</v>
      </c>
    </row>
    <row r="441" spans="1:13" ht="12.75" customHeight="1">
      <c r="A441" s="3447">
        <f t="shared" si="6"/>
        <v>2028.12</v>
      </c>
      <c r="B441" s="3487" t="e">
        <v>#N/A</v>
      </c>
      <c r="C441" s="3490" t="e">
        <v>#N/A</v>
      </c>
      <c r="D441" s="3490" t="e">
        <v>#N/A</v>
      </c>
      <c r="E441" s="3491" t="e">
        <v>#N/A</v>
      </c>
      <c r="F441" s="3457" t="e">
        <v>#N/A</v>
      </c>
      <c r="G441" s="3461" t="e">
        <v>#N/A</v>
      </c>
      <c r="H441" s="3461" t="e">
        <v>#N/A</v>
      </c>
      <c r="I441" s="3462" t="e">
        <v>#N/A</v>
      </c>
      <c r="J441" s="3457" t="e">
        <v>#N/A</v>
      </c>
      <c r="K441" s="3461" t="e">
        <v>#N/A</v>
      </c>
      <c r="L441" s="3461" t="e">
        <v>#N/A</v>
      </c>
      <c r="M441" s="3467" t="e">
        <v>#N/A</v>
      </c>
    </row>
    <row r="442" spans="1:13" ht="12.75" customHeight="1">
      <c r="A442" s="3447">
        <f t="shared" si="6"/>
        <v>2029.01</v>
      </c>
      <c r="B442" s="3487" t="e">
        <v>#N/A</v>
      </c>
      <c r="C442" s="3490" t="e">
        <v>#N/A</v>
      </c>
      <c r="D442" s="3490" t="e">
        <v>#N/A</v>
      </c>
      <c r="E442" s="3491" t="e">
        <v>#N/A</v>
      </c>
      <c r="F442" s="3457" t="e">
        <v>#N/A</v>
      </c>
      <c r="G442" s="3461" t="e">
        <v>#N/A</v>
      </c>
      <c r="H442" s="3461" t="e">
        <v>#N/A</v>
      </c>
      <c r="I442" s="3462" t="e">
        <v>#N/A</v>
      </c>
      <c r="J442" s="3457" t="e">
        <v>#N/A</v>
      </c>
      <c r="K442" s="3461" t="e">
        <v>#N/A</v>
      </c>
      <c r="L442" s="3461" t="e">
        <v>#N/A</v>
      </c>
      <c r="M442" s="3467" t="e">
        <v>#N/A</v>
      </c>
    </row>
    <row r="443" spans="1:13" ht="12.75" customHeight="1">
      <c r="A443" s="3447">
        <f t="shared" si="6"/>
        <v>2029.02</v>
      </c>
      <c r="B443" s="3487" t="e">
        <v>#N/A</v>
      </c>
      <c r="C443" s="3490" t="e">
        <v>#N/A</v>
      </c>
      <c r="D443" s="3490" t="e">
        <v>#N/A</v>
      </c>
      <c r="E443" s="3491" t="e">
        <v>#N/A</v>
      </c>
      <c r="F443" s="3457" t="e">
        <v>#N/A</v>
      </c>
      <c r="G443" s="3461" t="e">
        <v>#N/A</v>
      </c>
      <c r="H443" s="3461" t="e">
        <v>#N/A</v>
      </c>
      <c r="I443" s="3462" t="e">
        <v>#N/A</v>
      </c>
      <c r="J443" s="3457" t="e">
        <v>#N/A</v>
      </c>
      <c r="K443" s="3461" t="e">
        <v>#N/A</v>
      </c>
      <c r="L443" s="3461" t="e">
        <v>#N/A</v>
      </c>
      <c r="M443" s="3467" t="e">
        <v>#N/A</v>
      </c>
    </row>
    <row r="444" spans="1:13" ht="12.75" customHeight="1">
      <c r="A444" s="3447">
        <f t="shared" si="6"/>
        <v>2029.03</v>
      </c>
      <c r="B444" s="3487" t="e">
        <v>#N/A</v>
      </c>
      <c r="C444" s="3490" t="e">
        <v>#N/A</v>
      </c>
      <c r="D444" s="3490" t="e">
        <v>#N/A</v>
      </c>
      <c r="E444" s="3491" t="e">
        <v>#N/A</v>
      </c>
      <c r="F444" s="3457" t="e">
        <v>#N/A</v>
      </c>
      <c r="G444" s="3461" t="e">
        <v>#N/A</v>
      </c>
      <c r="H444" s="3461" t="e">
        <v>#N/A</v>
      </c>
      <c r="I444" s="3462" t="e">
        <v>#N/A</v>
      </c>
      <c r="J444" s="3457" t="e">
        <v>#N/A</v>
      </c>
      <c r="K444" s="3461" t="e">
        <v>#N/A</v>
      </c>
      <c r="L444" s="3461" t="e">
        <v>#N/A</v>
      </c>
      <c r="M444" s="3467" t="e">
        <v>#N/A</v>
      </c>
    </row>
    <row r="445" spans="1:13" ht="12.75" customHeight="1">
      <c r="A445" s="3447">
        <f t="shared" si="6"/>
        <v>2029.04</v>
      </c>
      <c r="B445" s="3487" t="e">
        <v>#N/A</v>
      </c>
      <c r="C445" s="3490" t="e">
        <v>#N/A</v>
      </c>
      <c r="D445" s="3490" t="e">
        <v>#N/A</v>
      </c>
      <c r="E445" s="3491" t="e">
        <v>#N/A</v>
      </c>
      <c r="F445" s="3457" t="e">
        <v>#N/A</v>
      </c>
      <c r="G445" s="3461" t="e">
        <v>#N/A</v>
      </c>
      <c r="H445" s="3461" t="e">
        <v>#N/A</v>
      </c>
      <c r="I445" s="3462" t="e">
        <v>#N/A</v>
      </c>
      <c r="J445" s="3457" t="e">
        <v>#N/A</v>
      </c>
      <c r="K445" s="3461" t="e">
        <v>#N/A</v>
      </c>
      <c r="L445" s="3461" t="e">
        <v>#N/A</v>
      </c>
      <c r="M445" s="3467" t="e">
        <v>#N/A</v>
      </c>
    </row>
    <row r="446" spans="1:13" ht="12.75" customHeight="1">
      <c r="A446" s="3447">
        <f t="shared" si="6"/>
        <v>2029.05</v>
      </c>
      <c r="B446" s="3487" t="e">
        <v>#N/A</v>
      </c>
      <c r="C446" s="3490" t="e">
        <v>#N/A</v>
      </c>
      <c r="D446" s="3490" t="e">
        <v>#N/A</v>
      </c>
      <c r="E446" s="3491" t="e">
        <v>#N/A</v>
      </c>
      <c r="F446" s="3457" t="e">
        <v>#N/A</v>
      </c>
      <c r="G446" s="3461" t="e">
        <v>#N/A</v>
      </c>
      <c r="H446" s="3461" t="e">
        <v>#N/A</v>
      </c>
      <c r="I446" s="3462" t="e">
        <v>#N/A</v>
      </c>
      <c r="J446" s="3457" t="e">
        <v>#N/A</v>
      </c>
      <c r="K446" s="3461" t="e">
        <v>#N/A</v>
      </c>
      <c r="L446" s="3461" t="e">
        <v>#N/A</v>
      </c>
      <c r="M446" s="3467" t="e">
        <v>#N/A</v>
      </c>
    </row>
    <row r="447" spans="1:13" ht="12.75" customHeight="1">
      <c r="A447" s="3447">
        <f t="shared" si="6"/>
        <v>2029.06</v>
      </c>
      <c r="B447" s="3487" t="e">
        <v>#N/A</v>
      </c>
      <c r="C447" s="3490" t="e">
        <v>#N/A</v>
      </c>
      <c r="D447" s="3490" t="e">
        <v>#N/A</v>
      </c>
      <c r="E447" s="3491" t="e">
        <v>#N/A</v>
      </c>
      <c r="F447" s="3457" t="e">
        <v>#N/A</v>
      </c>
      <c r="G447" s="3461" t="e">
        <v>#N/A</v>
      </c>
      <c r="H447" s="3461" t="e">
        <v>#N/A</v>
      </c>
      <c r="I447" s="3462" t="e">
        <v>#N/A</v>
      </c>
      <c r="J447" s="3457" t="e">
        <v>#N/A</v>
      </c>
      <c r="K447" s="3461" t="e">
        <v>#N/A</v>
      </c>
      <c r="L447" s="3461" t="e">
        <v>#N/A</v>
      </c>
      <c r="M447" s="3467" t="e">
        <v>#N/A</v>
      </c>
    </row>
    <row r="448" spans="1:13" ht="12.75" customHeight="1">
      <c r="A448" s="3447">
        <f t="shared" si="6"/>
        <v>2029.07</v>
      </c>
      <c r="B448" s="3487" t="e">
        <v>#N/A</v>
      </c>
      <c r="C448" s="3490" t="e">
        <v>#N/A</v>
      </c>
      <c r="D448" s="3490" t="e">
        <v>#N/A</v>
      </c>
      <c r="E448" s="3491" t="e">
        <v>#N/A</v>
      </c>
      <c r="F448" s="3457" t="e">
        <v>#N/A</v>
      </c>
      <c r="G448" s="3461" t="e">
        <v>#N/A</v>
      </c>
      <c r="H448" s="3461" t="e">
        <v>#N/A</v>
      </c>
      <c r="I448" s="3462" t="e">
        <v>#N/A</v>
      </c>
      <c r="J448" s="3457" t="e">
        <v>#N/A</v>
      </c>
      <c r="K448" s="3461" t="e">
        <v>#N/A</v>
      </c>
      <c r="L448" s="3461" t="e">
        <v>#N/A</v>
      </c>
      <c r="M448" s="3467" t="e">
        <v>#N/A</v>
      </c>
    </row>
    <row r="449" spans="1:13" ht="12.75" customHeight="1">
      <c r="A449" s="3447">
        <f t="shared" si="6"/>
        <v>2029.08</v>
      </c>
      <c r="B449" s="3487" t="e">
        <v>#N/A</v>
      </c>
      <c r="C449" s="3490" t="e">
        <v>#N/A</v>
      </c>
      <c r="D449" s="3490" t="e">
        <v>#N/A</v>
      </c>
      <c r="E449" s="3491" t="e">
        <v>#N/A</v>
      </c>
      <c r="F449" s="3457" t="e">
        <v>#N/A</v>
      </c>
      <c r="G449" s="3461" t="e">
        <v>#N/A</v>
      </c>
      <c r="H449" s="3461" t="e">
        <v>#N/A</v>
      </c>
      <c r="I449" s="3462" t="e">
        <v>#N/A</v>
      </c>
      <c r="J449" s="3457" t="e">
        <v>#N/A</v>
      </c>
      <c r="K449" s="3461" t="e">
        <v>#N/A</v>
      </c>
      <c r="L449" s="3461" t="e">
        <v>#N/A</v>
      </c>
      <c r="M449" s="3467" t="e">
        <v>#N/A</v>
      </c>
    </row>
    <row r="450" spans="1:13" ht="12.75" customHeight="1">
      <c r="A450" s="3447">
        <f t="shared" si="6"/>
        <v>2029.09</v>
      </c>
      <c r="B450" s="3487" t="e">
        <v>#N/A</v>
      </c>
      <c r="C450" s="3490" t="e">
        <v>#N/A</v>
      </c>
      <c r="D450" s="3490" t="e">
        <v>#N/A</v>
      </c>
      <c r="E450" s="3491" t="e">
        <v>#N/A</v>
      </c>
      <c r="F450" s="3457" t="e">
        <v>#N/A</v>
      </c>
      <c r="G450" s="3461" t="e">
        <v>#N/A</v>
      </c>
      <c r="H450" s="3461" t="e">
        <v>#N/A</v>
      </c>
      <c r="I450" s="3462" t="e">
        <v>#N/A</v>
      </c>
      <c r="J450" s="3457" t="e">
        <v>#N/A</v>
      </c>
      <c r="K450" s="3461" t="e">
        <v>#N/A</v>
      </c>
      <c r="L450" s="3461" t="e">
        <v>#N/A</v>
      </c>
      <c r="M450" s="3467" t="e">
        <v>#N/A</v>
      </c>
    </row>
    <row r="451" spans="1:13" ht="12.75" customHeight="1">
      <c r="A451" s="3447">
        <f t="shared" si="6"/>
        <v>2029.1</v>
      </c>
      <c r="B451" s="3487" t="e">
        <v>#N/A</v>
      </c>
      <c r="C451" s="3490" t="e">
        <v>#N/A</v>
      </c>
      <c r="D451" s="3490" t="e">
        <v>#N/A</v>
      </c>
      <c r="E451" s="3491" t="e">
        <v>#N/A</v>
      </c>
      <c r="F451" s="3457" t="e">
        <v>#N/A</v>
      </c>
      <c r="G451" s="3461" t="e">
        <v>#N/A</v>
      </c>
      <c r="H451" s="3461" t="e">
        <v>#N/A</v>
      </c>
      <c r="I451" s="3462" t="e">
        <v>#N/A</v>
      </c>
      <c r="J451" s="3457" t="e">
        <v>#N/A</v>
      </c>
      <c r="K451" s="3461" t="e">
        <v>#N/A</v>
      </c>
      <c r="L451" s="3461" t="e">
        <v>#N/A</v>
      </c>
      <c r="M451" s="3467" t="e">
        <v>#N/A</v>
      </c>
    </row>
    <row r="452" spans="1:13" ht="12.75" customHeight="1">
      <c r="A452" s="3447">
        <f t="shared" si="6"/>
        <v>2029.11</v>
      </c>
      <c r="B452" s="3487" t="e">
        <v>#N/A</v>
      </c>
      <c r="C452" s="3490" t="e">
        <v>#N/A</v>
      </c>
      <c r="D452" s="3490" t="e">
        <v>#N/A</v>
      </c>
      <c r="E452" s="3491" t="e">
        <v>#N/A</v>
      </c>
      <c r="F452" s="3457" t="e">
        <v>#N/A</v>
      </c>
      <c r="G452" s="3461" t="e">
        <v>#N/A</v>
      </c>
      <c r="H452" s="3461" t="e">
        <v>#N/A</v>
      </c>
      <c r="I452" s="3462" t="e">
        <v>#N/A</v>
      </c>
      <c r="J452" s="3457" t="e">
        <v>#N/A</v>
      </c>
      <c r="K452" s="3461" t="e">
        <v>#N/A</v>
      </c>
      <c r="L452" s="3461" t="e">
        <v>#N/A</v>
      </c>
      <c r="M452" s="3467" t="e">
        <v>#N/A</v>
      </c>
    </row>
    <row r="453" spans="1:13" ht="12.75" customHeight="1">
      <c r="A453" s="3447">
        <f t="shared" si="6"/>
        <v>2029.12</v>
      </c>
      <c r="B453" s="3487" t="e">
        <v>#N/A</v>
      </c>
      <c r="C453" s="3490" t="e">
        <v>#N/A</v>
      </c>
      <c r="D453" s="3490" t="e">
        <v>#N/A</v>
      </c>
      <c r="E453" s="3491" t="e">
        <v>#N/A</v>
      </c>
      <c r="F453" s="3457" t="e">
        <v>#N/A</v>
      </c>
      <c r="G453" s="3461" t="e">
        <v>#N/A</v>
      </c>
      <c r="H453" s="3461" t="e">
        <v>#N/A</v>
      </c>
      <c r="I453" s="3462" t="e">
        <v>#N/A</v>
      </c>
      <c r="J453" s="3457" t="e">
        <v>#N/A</v>
      </c>
      <c r="K453" s="3461" t="e">
        <v>#N/A</v>
      </c>
      <c r="L453" s="3461" t="e">
        <v>#N/A</v>
      </c>
      <c r="M453" s="3467" t="e">
        <v>#N/A</v>
      </c>
    </row>
    <row r="454" spans="1:13" ht="12.75" customHeight="1">
      <c r="A454" s="3447">
        <f t="shared" si="6"/>
        <v>2030.01</v>
      </c>
      <c r="B454" s="3487" t="e">
        <v>#N/A</v>
      </c>
      <c r="C454" s="3490" t="e">
        <v>#N/A</v>
      </c>
      <c r="D454" s="3490" t="e">
        <v>#N/A</v>
      </c>
      <c r="E454" s="3491" t="e">
        <v>#N/A</v>
      </c>
      <c r="F454" s="3457" t="e">
        <v>#N/A</v>
      </c>
      <c r="G454" s="3461" t="e">
        <v>#N/A</v>
      </c>
      <c r="H454" s="3461" t="e">
        <v>#N/A</v>
      </c>
      <c r="I454" s="3462" t="e">
        <v>#N/A</v>
      </c>
      <c r="J454" s="3457" t="e">
        <v>#N/A</v>
      </c>
      <c r="K454" s="3461" t="e">
        <v>#N/A</v>
      </c>
      <c r="L454" s="3461" t="e">
        <v>#N/A</v>
      </c>
      <c r="M454" s="3467" t="e">
        <v>#N/A</v>
      </c>
    </row>
    <row r="455" spans="1:13" ht="12.75" customHeight="1">
      <c r="A455" s="3447">
        <f t="shared" si="6"/>
        <v>2030.02</v>
      </c>
      <c r="B455" s="3487" t="e">
        <v>#N/A</v>
      </c>
      <c r="C455" s="3490" t="e">
        <v>#N/A</v>
      </c>
      <c r="D455" s="3490" t="e">
        <v>#N/A</v>
      </c>
      <c r="E455" s="3491" t="e">
        <v>#N/A</v>
      </c>
      <c r="F455" s="3457" t="e">
        <v>#N/A</v>
      </c>
      <c r="G455" s="3461" t="e">
        <v>#N/A</v>
      </c>
      <c r="H455" s="3461" t="e">
        <v>#N/A</v>
      </c>
      <c r="I455" s="3462" t="e">
        <v>#N/A</v>
      </c>
      <c r="J455" s="3457" t="e">
        <v>#N/A</v>
      </c>
      <c r="K455" s="3461" t="e">
        <v>#N/A</v>
      </c>
      <c r="L455" s="3461" t="e">
        <v>#N/A</v>
      </c>
      <c r="M455" s="3467" t="e">
        <v>#N/A</v>
      </c>
    </row>
    <row r="456" spans="1:13" ht="12.75" customHeight="1">
      <c r="A456" s="3447">
        <f t="shared" si="6"/>
        <v>2030.03</v>
      </c>
      <c r="B456" s="3487" t="e">
        <v>#N/A</v>
      </c>
      <c r="C456" s="3490" t="e">
        <v>#N/A</v>
      </c>
      <c r="D456" s="3490" t="e">
        <v>#N/A</v>
      </c>
      <c r="E456" s="3491" t="e">
        <v>#N/A</v>
      </c>
      <c r="F456" s="3457" t="e">
        <v>#N/A</v>
      </c>
      <c r="G456" s="3461" t="e">
        <v>#N/A</v>
      </c>
      <c r="H456" s="3461" t="e">
        <v>#N/A</v>
      </c>
      <c r="I456" s="3462" t="e">
        <v>#N/A</v>
      </c>
      <c r="J456" s="3457" t="e">
        <v>#N/A</v>
      </c>
      <c r="K456" s="3461" t="e">
        <v>#N/A</v>
      </c>
      <c r="L456" s="3461" t="e">
        <v>#N/A</v>
      </c>
      <c r="M456" s="3467" t="e">
        <v>#N/A</v>
      </c>
    </row>
    <row r="457" spans="1:13" ht="12.75" customHeight="1">
      <c r="A457" s="3447">
        <f t="shared" si="6"/>
        <v>2030.04</v>
      </c>
      <c r="B457" s="3487" t="e">
        <v>#N/A</v>
      </c>
      <c r="C457" s="3490" t="e">
        <v>#N/A</v>
      </c>
      <c r="D457" s="3490" t="e">
        <v>#N/A</v>
      </c>
      <c r="E457" s="3491" t="e">
        <v>#N/A</v>
      </c>
      <c r="F457" s="3457" t="e">
        <v>#N/A</v>
      </c>
      <c r="G457" s="3461" t="e">
        <v>#N/A</v>
      </c>
      <c r="H457" s="3461" t="e">
        <v>#N/A</v>
      </c>
      <c r="I457" s="3462" t="e">
        <v>#N/A</v>
      </c>
      <c r="J457" s="3457" t="e">
        <v>#N/A</v>
      </c>
      <c r="K457" s="3461" t="e">
        <v>#N/A</v>
      </c>
      <c r="L457" s="3461" t="e">
        <v>#N/A</v>
      </c>
      <c r="M457" s="3467" t="e">
        <v>#N/A</v>
      </c>
    </row>
    <row r="458" spans="1:13" ht="12.75" customHeight="1">
      <c r="A458" s="3447">
        <f t="shared" si="6"/>
        <v>2030.05</v>
      </c>
      <c r="B458" s="3487" t="e">
        <v>#N/A</v>
      </c>
      <c r="C458" s="3490" t="e">
        <v>#N/A</v>
      </c>
      <c r="D458" s="3490" t="e">
        <v>#N/A</v>
      </c>
      <c r="E458" s="3491" t="e">
        <v>#N/A</v>
      </c>
      <c r="F458" s="3457" t="e">
        <v>#N/A</v>
      </c>
      <c r="G458" s="3461" t="e">
        <v>#N/A</v>
      </c>
      <c r="H458" s="3461" t="e">
        <v>#N/A</v>
      </c>
      <c r="I458" s="3462" t="e">
        <v>#N/A</v>
      </c>
      <c r="J458" s="3457" t="e">
        <v>#N/A</v>
      </c>
      <c r="K458" s="3461" t="e">
        <v>#N/A</v>
      </c>
      <c r="L458" s="3461" t="e">
        <v>#N/A</v>
      </c>
      <c r="M458" s="3467" t="e">
        <v>#N/A</v>
      </c>
    </row>
    <row r="459" spans="1:13" ht="12.75" customHeight="1">
      <c r="A459" s="3447">
        <f t="shared" si="6"/>
        <v>2030.06</v>
      </c>
      <c r="B459" s="3487" t="e">
        <v>#N/A</v>
      </c>
      <c r="C459" s="3490" t="e">
        <v>#N/A</v>
      </c>
      <c r="D459" s="3490" t="e">
        <v>#N/A</v>
      </c>
      <c r="E459" s="3491" t="e">
        <v>#N/A</v>
      </c>
      <c r="F459" s="3457" t="e">
        <v>#N/A</v>
      </c>
      <c r="G459" s="3461" t="e">
        <v>#N/A</v>
      </c>
      <c r="H459" s="3461" t="e">
        <v>#N/A</v>
      </c>
      <c r="I459" s="3462" t="e">
        <v>#N/A</v>
      </c>
      <c r="J459" s="3457" t="e">
        <v>#N/A</v>
      </c>
      <c r="K459" s="3461" t="e">
        <v>#N/A</v>
      </c>
      <c r="L459" s="3461" t="e">
        <v>#N/A</v>
      </c>
      <c r="M459" s="3467" t="e">
        <v>#N/A</v>
      </c>
    </row>
    <row r="460" spans="1:13" ht="12.75" customHeight="1">
      <c r="A460" s="3447">
        <f t="shared" si="6"/>
        <v>2030.07</v>
      </c>
      <c r="B460" s="3487" t="e">
        <v>#N/A</v>
      </c>
      <c r="C460" s="3490" t="e">
        <v>#N/A</v>
      </c>
      <c r="D460" s="3490" t="e">
        <v>#N/A</v>
      </c>
      <c r="E460" s="3491" t="e">
        <v>#N/A</v>
      </c>
      <c r="F460" s="3457" t="e">
        <v>#N/A</v>
      </c>
      <c r="G460" s="3461" t="e">
        <v>#N/A</v>
      </c>
      <c r="H460" s="3461" t="e">
        <v>#N/A</v>
      </c>
      <c r="I460" s="3462" t="e">
        <v>#N/A</v>
      </c>
      <c r="J460" s="3457" t="e">
        <v>#N/A</v>
      </c>
      <c r="K460" s="3461" t="e">
        <v>#N/A</v>
      </c>
      <c r="L460" s="3461" t="e">
        <v>#N/A</v>
      </c>
      <c r="M460" s="3467" t="e">
        <v>#N/A</v>
      </c>
    </row>
    <row r="461" spans="1:13" ht="12.75" customHeight="1">
      <c r="A461" s="3447">
        <f t="shared" si="6"/>
        <v>2030.08</v>
      </c>
      <c r="B461" s="3487" t="e">
        <v>#N/A</v>
      </c>
      <c r="C461" s="3490" t="e">
        <v>#N/A</v>
      </c>
      <c r="D461" s="3490" t="e">
        <v>#N/A</v>
      </c>
      <c r="E461" s="3491" t="e">
        <v>#N/A</v>
      </c>
      <c r="F461" s="3457" t="e">
        <v>#N/A</v>
      </c>
      <c r="G461" s="3461" t="e">
        <v>#N/A</v>
      </c>
      <c r="H461" s="3461" t="e">
        <v>#N/A</v>
      </c>
      <c r="I461" s="3462" t="e">
        <v>#N/A</v>
      </c>
      <c r="J461" s="3457" t="e">
        <v>#N/A</v>
      </c>
      <c r="K461" s="3461" t="e">
        <v>#N/A</v>
      </c>
      <c r="L461" s="3461" t="e">
        <v>#N/A</v>
      </c>
      <c r="M461" s="3467" t="e">
        <v>#N/A</v>
      </c>
    </row>
    <row r="462" spans="1:13" ht="12.75" customHeight="1">
      <c r="A462" s="3447">
        <f t="shared" si="6"/>
        <v>2030.09</v>
      </c>
      <c r="B462" s="3487" t="e">
        <v>#N/A</v>
      </c>
      <c r="C462" s="3490" t="e">
        <v>#N/A</v>
      </c>
      <c r="D462" s="3490" t="e">
        <v>#N/A</v>
      </c>
      <c r="E462" s="3491" t="e">
        <v>#N/A</v>
      </c>
      <c r="F462" s="3457" t="e">
        <v>#N/A</v>
      </c>
      <c r="G462" s="3461" t="e">
        <v>#N/A</v>
      </c>
      <c r="H462" s="3461" t="e">
        <v>#N/A</v>
      </c>
      <c r="I462" s="3462" t="e">
        <v>#N/A</v>
      </c>
      <c r="J462" s="3457" t="e">
        <v>#N/A</v>
      </c>
      <c r="K462" s="3461" t="e">
        <v>#N/A</v>
      </c>
      <c r="L462" s="3461" t="e">
        <v>#N/A</v>
      </c>
      <c r="M462" s="3467" t="e">
        <v>#N/A</v>
      </c>
    </row>
    <row r="463" spans="1:13" ht="12.75" customHeight="1">
      <c r="A463" s="3447">
        <f t="shared" si="6"/>
        <v>2030.1</v>
      </c>
      <c r="B463" s="3487" t="e">
        <v>#N/A</v>
      </c>
      <c r="C463" s="3490" t="e">
        <v>#N/A</v>
      </c>
      <c r="D463" s="3492" t="e">
        <v>#N/A</v>
      </c>
      <c r="E463" s="3493" t="e">
        <v>#N/A</v>
      </c>
      <c r="F463" s="3470" t="e">
        <v>#N/A</v>
      </c>
      <c r="G463" s="3471" t="e">
        <v>#N/A</v>
      </c>
      <c r="H463" s="3468" t="e">
        <v>#N/A</v>
      </c>
      <c r="I463" s="3469" t="e">
        <v>#N/A</v>
      </c>
      <c r="J463" s="3470" t="e">
        <v>#N/A</v>
      </c>
      <c r="K463" s="3471" t="e">
        <v>#N/A</v>
      </c>
      <c r="L463" s="3468" t="e">
        <v>#N/A</v>
      </c>
      <c r="M463" s="3472" t="e">
        <v>#N/A</v>
      </c>
    </row>
    <row r="464" spans="1:13" ht="12.75" customHeight="1">
      <c r="A464" s="3447">
        <f t="shared" si="6"/>
        <v>2030.11</v>
      </c>
      <c r="B464" s="3487" t="e">
        <v>#N/A</v>
      </c>
      <c r="C464" s="3490" t="e">
        <v>#N/A</v>
      </c>
      <c r="D464" s="3492" t="e">
        <v>#N/A</v>
      </c>
      <c r="E464" s="3493" t="e">
        <v>#N/A</v>
      </c>
      <c r="F464" s="3470" t="e">
        <v>#N/A</v>
      </c>
      <c r="G464" s="3471" t="e">
        <v>#N/A</v>
      </c>
      <c r="H464" s="3468" t="e">
        <v>#N/A</v>
      </c>
      <c r="I464" s="3469" t="e">
        <v>#N/A</v>
      </c>
      <c r="J464" s="3470" t="e">
        <v>#N/A</v>
      </c>
      <c r="K464" s="3471" t="e">
        <v>#N/A</v>
      </c>
      <c r="L464" s="3468" t="e">
        <v>#N/A</v>
      </c>
      <c r="M464" s="3472" t="e">
        <v>#N/A</v>
      </c>
    </row>
    <row r="465" spans="1:13" ht="12.75" customHeight="1">
      <c r="A465" s="3447">
        <f t="shared" si="6"/>
        <v>2030.12</v>
      </c>
      <c r="B465" s="3487" t="e">
        <v>#N/A</v>
      </c>
      <c r="C465" s="3490" t="e">
        <v>#N/A</v>
      </c>
      <c r="D465" s="3492" t="e">
        <v>#N/A</v>
      </c>
      <c r="E465" s="3493" t="e">
        <v>#N/A</v>
      </c>
      <c r="F465" s="3470" t="e">
        <v>#N/A</v>
      </c>
      <c r="G465" s="3471" t="e">
        <v>#N/A</v>
      </c>
      <c r="H465" s="3468" t="e">
        <v>#N/A</v>
      </c>
      <c r="I465" s="3469" t="e">
        <v>#N/A</v>
      </c>
      <c r="J465" s="3470" t="e">
        <v>#N/A</v>
      </c>
      <c r="K465" s="3471" t="e">
        <v>#N/A</v>
      </c>
      <c r="L465" s="3468" t="e">
        <v>#N/A</v>
      </c>
      <c r="M465" s="3472" t="e">
        <v>#N/A</v>
      </c>
    </row>
  </sheetData>
  <hyperlinks>
    <hyperlink ref="A1:A3" location="Indice!A1" display="ÍNDICE" xr:uid="{440B876B-C8F1-4A54-AF39-594BB7E25C5B}"/>
    <hyperlink ref="A5" location="INDICE!A13" display="VOLVER AL INDICE" xr:uid="{F21A4A12-9BAC-4C6C-BD34-FFAEC3EE50D9}"/>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47"/>
  <dimension ref="A1:O453"/>
  <sheetViews>
    <sheetView zoomScale="130" zoomScaleNormal="130" workbookViewId="0">
      <pane xSplit="1" ySplit="9" topLeftCell="B91" activePane="bottomRight" state="frozen"/>
      <selection pane="topRight" activeCell="A5" sqref="A5"/>
      <selection pane="bottomLeft" activeCell="A5" sqref="A5"/>
      <selection pane="bottomRight" activeCell="G14" sqref="G14"/>
    </sheetView>
  </sheetViews>
  <sheetFormatPr baseColWidth="10" defaultColWidth="11.42578125" defaultRowHeight="12.75"/>
  <cols>
    <col min="1" max="1" width="9.28515625" style="24" bestFit="1" customWidth="1"/>
    <col min="2" max="2" width="13.5703125" style="24" customWidth="1"/>
    <col min="3" max="3" width="13.7109375" style="24" customWidth="1"/>
    <col min="4" max="4" width="15.28515625" style="24" bestFit="1" customWidth="1"/>
    <col min="5" max="5" width="13.5703125" style="24" customWidth="1"/>
    <col min="6" max="6" width="13.7109375" style="24" customWidth="1"/>
    <col min="7" max="7" width="15.28515625" style="24" bestFit="1" customWidth="1"/>
    <col min="8" max="8" width="13.5703125" style="24" customWidth="1"/>
    <col min="9" max="9" width="13.7109375" style="24" customWidth="1"/>
    <col min="10" max="10" width="15.28515625" style="24" bestFit="1" customWidth="1"/>
    <col min="11" max="16384" width="11.42578125" style="9"/>
  </cols>
  <sheetData>
    <row r="1" spans="1:10" ht="4.5" customHeight="1">
      <c r="A1" s="34"/>
      <c r="B1" s="2215"/>
      <c r="C1" s="62"/>
      <c r="D1" s="62"/>
      <c r="E1" s="1987"/>
      <c r="F1" s="62"/>
      <c r="G1" s="62"/>
      <c r="H1" s="1987"/>
      <c r="I1" s="62"/>
      <c r="J1" s="1989"/>
    </row>
    <row r="2" spans="1:10" ht="22.5">
      <c r="A2" s="36" t="s">
        <v>105</v>
      </c>
      <c r="B2" s="383" t="s">
        <v>1622</v>
      </c>
      <c r="C2" s="382"/>
      <c r="D2" s="382"/>
      <c r="E2" s="2379" t="s">
        <v>1623</v>
      </c>
      <c r="F2" s="382"/>
      <c r="G2" s="382"/>
      <c r="H2" s="2379" t="s">
        <v>1624</v>
      </c>
      <c r="I2" s="382"/>
      <c r="J2" s="378"/>
    </row>
    <row r="3" spans="1:10">
      <c r="A3" s="37" t="s">
        <v>109</v>
      </c>
      <c r="B3" s="383" t="s">
        <v>1625</v>
      </c>
      <c r="C3" s="46"/>
      <c r="D3" s="46"/>
      <c r="E3" s="2379"/>
      <c r="F3" s="46"/>
      <c r="G3" s="46"/>
      <c r="H3" s="2379"/>
      <c r="I3" s="46"/>
      <c r="J3" s="56"/>
    </row>
    <row r="4" spans="1:10" ht="4.5" hidden="1" customHeight="1">
      <c r="A4" s="35"/>
      <c r="B4" s="2215"/>
      <c r="C4" s="62"/>
      <c r="D4" s="62"/>
      <c r="E4" s="1987"/>
      <c r="F4" s="62"/>
      <c r="G4" s="62"/>
      <c r="H4" s="1987"/>
      <c r="I4" s="62"/>
      <c r="J4" s="1989"/>
    </row>
    <row r="5" spans="1:10" ht="33.75">
      <c r="A5" s="2390" t="s">
        <v>137</v>
      </c>
      <c r="B5" s="7" t="s">
        <v>1626</v>
      </c>
      <c r="C5" s="1318" t="s">
        <v>1627</v>
      </c>
      <c r="D5" s="8" t="s">
        <v>1628</v>
      </c>
      <c r="E5" s="6" t="s">
        <v>1626</v>
      </c>
      <c r="F5" s="1318" t="s">
        <v>1627</v>
      </c>
      <c r="G5" s="8" t="s">
        <v>1629</v>
      </c>
      <c r="H5" s="6" t="s">
        <v>1626</v>
      </c>
      <c r="I5" s="1318" t="s">
        <v>1627</v>
      </c>
      <c r="J5" s="1" t="s">
        <v>1628</v>
      </c>
    </row>
    <row r="6" spans="1:10" ht="4.5" hidden="1" customHeight="1">
      <c r="A6" s="33"/>
      <c r="B6" s="1970"/>
      <c r="C6" s="906"/>
      <c r="D6" s="70"/>
      <c r="E6" s="2434"/>
      <c r="F6" s="906"/>
      <c r="G6" s="70"/>
      <c r="H6" s="2434"/>
      <c r="I6" s="906"/>
      <c r="J6" s="71"/>
    </row>
    <row r="7" spans="1:10" ht="22.5">
      <c r="A7" s="2373" t="s">
        <v>123</v>
      </c>
      <c r="B7" s="1970" t="s">
        <v>1630</v>
      </c>
      <c r="C7" s="906" t="s">
        <v>1630</v>
      </c>
      <c r="D7" s="901" t="s">
        <v>1630</v>
      </c>
      <c r="E7" s="2434" t="s">
        <v>1630</v>
      </c>
      <c r="F7" s="906" t="s">
        <v>1630</v>
      </c>
      <c r="G7" s="901" t="s">
        <v>1630</v>
      </c>
      <c r="H7" s="2434" t="s">
        <v>1630</v>
      </c>
      <c r="I7" s="906" t="s">
        <v>1630</v>
      </c>
      <c r="J7" s="2352" t="s">
        <v>1630</v>
      </c>
    </row>
    <row r="8" spans="1:10" ht="12.75" customHeight="1">
      <c r="A8" s="147" t="s">
        <v>141</v>
      </c>
      <c r="B8" s="1669" t="s">
        <v>1631</v>
      </c>
      <c r="C8" s="1670" t="s">
        <v>1632</v>
      </c>
      <c r="D8" s="1671" t="s">
        <v>1633</v>
      </c>
      <c r="E8" s="2492" t="s">
        <v>1634</v>
      </c>
      <c r="F8" s="1670" t="s">
        <v>1635</v>
      </c>
      <c r="G8" s="1671" t="s">
        <v>1636</v>
      </c>
      <c r="H8" s="2492" t="s">
        <v>1637</v>
      </c>
      <c r="I8" s="1670" t="s">
        <v>1638</v>
      </c>
      <c r="J8" s="1672" t="s">
        <v>1639</v>
      </c>
    </row>
    <row r="9" spans="1:10" ht="13.5" thickBot="1">
      <c r="A9" s="72" t="s">
        <v>517</v>
      </c>
      <c r="B9" s="2715"/>
      <c r="C9" s="2716"/>
      <c r="D9" s="1995" t="s">
        <v>1640</v>
      </c>
      <c r="E9" s="1994"/>
      <c r="F9" s="2716"/>
      <c r="G9" s="1995"/>
      <c r="H9" s="1994"/>
      <c r="I9" s="2716"/>
      <c r="J9" s="2717" t="s">
        <v>1641</v>
      </c>
    </row>
    <row r="10" spans="1:10" s="201" customFormat="1">
      <c r="A10" s="67">
        <v>1994.01</v>
      </c>
      <c r="B10" s="193">
        <v>30277</v>
      </c>
      <c r="C10" s="767">
        <v>43818</v>
      </c>
      <c r="D10" s="426">
        <f>B10+C10</f>
        <v>74095</v>
      </c>
      <c r="E10" s="864"/>
      <c r="F10" s="913"/>
      <c r="G10" s="1038"/>
      <c r="H10" s="55">
        <v>50587</v>
      </c>
      <c r="I10" s="767">
        <v>76270</v>
      </c>
      <c r="J10" s="427">
        <f>H10+I10</f>
        <v>126857</v>
      </c>
    </row>
    <row r="11" spans="1:10">
      <c r="A11" s="63">
        <v>1994.02</v>
      </c>
      <c r="B11" s="252">
        <v>29925</v>
      </c>
      <c r="C11" s="3034">
        <v>43486</v>
      </c>
      <c r="D11" s="194">
        <f>B11+C11</f>
        <v>73411</v>
      </c>
      <c r="E11" s="1968"/>
      <c r="F11" s="3153"/>
      <c r="G11" s="128"/>
      <c r="H11" s="260">
        <v>51341</v>
      </c>
      <c r="I11" s="3034">
        <v>77020</v>
      </c>
      <c r="J11" s="206">
        <f>H11+I11</f>
        <v>128361</v>
      </c>
    </row>
    <row r="12" spans="1:10">
      <c r="A12" s="63">
        <v>1994.03</v>
      </c>
      <c r="B12" s="252">
        <v>30249</v>
      </c>
      <c r="C12" s="3034">
        <v>43322</v>
      </c>
      <c r="D12" s="194">
        <f>B12+C12</f>
        <v>73571</v>
      </c>
      <c r="E12" s="1968"/>
      <c r="F12" s="3153"/>
      <c r="G12" s="128"/>
      <c r="H12" s="260">
        <v>51411</v>
      </c>
      <c r="I12" s="3034">
        <v>79214</v>
      </c>
      <c r="J12" s="206">
        <f t="shared" ref="J12:J75" si="0">H12+I12</f>
        <v>130625</v>
      </c>
    </row>
    <row r="13" spans="1:10">
      <c r="A13" s="63">
        <v>1994.04</v>
      </c>
      <c r="B13" s="252">
        <v>31136</v>
      </c>
      <c r="C13" s="3034">
        <v>43816</v>
      </c>
      <c r="D13" s="194">
        <f t="shared" ref="D13:D75" si="1">B13+C13</f>
        <v>74952</v>
      </c>
      <c r="E13" s="1968"/>
      <c r="F13" s="3153"/>
      <c r="G13" s="128"/>
      <c r="H13" s="260">
        <v>53959</v>
      </c>
      <c r="I13" s="3034">
        <v>78168</v>
      </c>
      <c r="J13" s="206">
        <f t="shared" si="0"/>
        <v>132127</v>
      </c>
    </row>
    <row r="14" spans="1:10">
      <c r="A14" s="63">
        <v>1994.05</v>
      </c>
      <c r="B14" s="252">
        <v>31456</v>
      </c>
      <c r="C14" s="3034">
        <v>43747</v>
      </c>
      <c r="D14" s="194">
        <f t="shared" si="1"/>
        <v>75203</v>
      </c>
      <c r="E14" s="1968"/>
      <c r="F14" s="3153"/>
      <c r="G14" s="128"/>
      <c r="H14" s="260">
        <v>53702</v>
      </c>
      <c r="I14" s="3034">
        <v>77924</v>
      </c>
      <c r="J14" s="206">
        <f t="shared" si="0"/>
        <v>131626</v>
      </c>
    </row>
    <row r="15" spans="1:10">
      <c r="A15" s="63">
        <v>1994.06</v>
      </c>
      <c r="B15" s="252">
        <v>30189</v>
      </c>
      <c r="C15" s="3034">
        <v>43265</v>
      </c>
      <c r="D15" s="194">
        <f t="shared" si="1"/>
        <v>73454</v>
      </c>
      <c r="E15" s="1968"/>
      <c r="F15" s="3153"/>
      <c r="G15" s="128"/>
      <c r="H15" s="260">
        <v>51824</v>
      </c>
      <c r="I15" s="3034">
        <v>78211</v>
      </c>
      <c r="J15" s="206">
        <f t="shared" si="0"/>
        <v>130035</v>
      </c>
    </row>
    <row r="16" spans="1:10">
      <c r="A16" s="63">
        <v>1994.07</v>
      </c>
      <c r="B16" s="252">
        <v>30426</v>
      </c>
      <c r="C16" s="3034">
        <v>41841</v>
      </c>
      <c r="D16" s="194">
        <f t="shared" si="1"/>
        <v>72267</v>
      </c>
      <c r="E16" s="1968"/>
      <c r="F16" s="3153"/>
      <c r="G16" s="128"/>
      <c r="H16" s="260">
        <v>50483</v>
      </c>
      <c r="I16" s="3034">
        <v>75786</v>
      </c>
      <c r="J16" s="206">
        <f t="shared" si="0"/>
        <v>126269</v>
      </c>
    </row>
    <row r="17" spans="1:10">
      <c r="A17" s="63">
        <v>1994.08</v>
      </c>
      <c r="B17" s="252">
        <v>30598</v>
      </c>
      <c r="C17" s="3034">
        <v>43603</v>
      </c>
      <c r="D17" s="194">
        <f t="shared" si="1"/>
        <v>74201</v>
      </c>
      <c r="E17" s="1968"/>
      <c r="F17" s="3153"/>
      <c r="G17" s="128"/>
      <c r="H17" s="260">
        <v>50104</v>
      </c>
      <c r="I17" s="3034">
        <v>75717</v>
      </c>
      <c r="J17" s="206">
        <f t="shared" si="0"/>
        <v>125821</v>
      </c>
    </row>
    <row r="18" spans="1:10">
      <c r="A18" s="63">
        <v>1994.09</v>
      </c>
      <c r="B18" s="252">
        <v>29900</v>
      </c>
      <c r="C18" s="3034">
        <v>43324</v>
      </c>
      <c r="D18" s="194">
        <f t="shared" si="1"/>
        <v>73224</v>
      </c>
      <c r="E18" s="1968"/>
      <c r="F18" s="3153"/>
      <c r="G18" s="128"/>
      <c r="H18" s="260">
        <v>51030</v>
      </c>
      <c r="I18" s="3034">
        <v>76038</v>
      </c>
      <c r="J18" s="206">
        <f t="shared" si="0"/>
        <v>127068</v>
      </c>
    </row>
    <row r="19" spans="1:10">
      <c r="A19" s="63">
        <v>1994.1</v>
      </c>
      <c r="B19" s="252">
        <v>30337</v>
      </c>
      <c r="C19" s="3034">
        <v>42999</v>
      </c>
      <c r="D19" s="194">
        <f t="shared" si="1"/>
        <v>73336</v>
      </c>
      <c r="E19" s="1968"/>
      <c r="F19" s="3153"/>
      <c r="G19" s="128"/>
      <c r="H19" s="260">
        <v>51077</v>
      </c>
      <c r="I19" s="3034">
        <v>75322</v>
      </c>
      <c r="J19" s="206">
        <f t="shared" si="0"/>
        <v>126399</v>
      </c>
    </row>
    <row r="20" spans="1:10">
      <c r="A20" s="63">
        <v>1994.11</v>
      </c>
      <c r="B20" s="252">
        <v>29551</v>
      </c>
      <c r="C20" s="3034">
        <v>43427</v>
      </c>
      <c r="D20" s="194">
        <f t="shared" si="1"/>
        <v>72978</v>
      </c>
      <c r="E20" s="1968"/>
      <c r="F20" s="3153"/>
      <c r="G20" s="128"/>
      <c r="H20" s="260">
        <v>48701</v>
      </c>
      <c r="I20" s="3034">
        <v>75541</v>
      </c>
      <c r="J20" s="206">
        <f t="shared" si="0"/>
        <v>124242</v>
      </c>
    </row>
    <row r="21" spans="1:10">
      <c r="A21" s="63">
        <v>1994.12</v>
      </c>
      <c r="B21" s="252">
        <v>28702</v>
      </c>
      <c r="C21" s="3034">
        <v>42363</v>
      </c>
      <c r="D21" s="194">
        <f t="shared" si="1"/>
        <v>71065</v>
      </c>
      <c r="E21" s="1968"/>
      <c r="F21" s="3153"/>
      <c r="G21" s="128"/>
      <c r="H21" s="260">
        <v>48004</v>
      </c>
      <c r="I21" s="3034">
        <v>74744</v>
      </c>
      <c r="J21" s="206">
        <f t="shared" si="0"/>
        <v>122748</v>
      </c>
    </row>
    <row r="22" spans="1:10">
      <c r="A22" s="63">
        <v>1995.01</v>
      </c>
      <c r="B22" s="252">
        <v>29737</v>
      </c>
      <c r="C22" s="3034">
        <v>40900</v>
      </c>
      <c r="D22" s="194">
        <f t="shared" si="1"/>
        <v>70637</v>
      </c>
      <c r="E22" s="1968"/>
      <c r="F22" s="3153"/>
      <c r="G22" s="128"/>
      <c r="H22" s="260">
        <v>48963</v>
      </c>
      <c r="I22" s="3034">
        <v>73082</v>
      </c>
      <c r="J22" s="206">
        <f t="shared" si="0"/>
        <v>122045</v>
      </c>
    </row>
    <row r="23" spans="1:10">
      <c r="A23" s="63">
        <v>1995.02</v>
      </c>
      <c r="B23" s="252">
        <v>29280</v>
      </c>
      <c r="C23" s="3034">
        <v>41845</v>
      </c>
      <c r="D23" s="194">
        <f t="shared" si="1"/>
        <v>71125</v>
      </c>
      <c r="E23" s="1968"/>
      <c r="F23" s="3153"/>
      <c r="G23" s="128"/>
      <c r="H23" s="260">
        <v>49658</v>
      </c>
      <c r="I23" s="3034">
        <v>74775</v>
      </c>
      <c r="J23" s="206">
        <f t="shared" si="0"/>
        <v>124433</v>
      </c>
    </row>
    <row r="24" spans="1:10">
      <c r="A24" s="63">
        <v>1995.03</v>
      </c>
      <c r="B24" s="252">
        <v>29195</v>
      </c>
      <c r="C24" s="3034">
        <v>41958</v>
      </c>
      <c r="D24" s="194">
        <f t="shared" si="1"/>
        <v>71153</v>
      </c>
      <c r="E24" s="1968"/>
      <c r="F24" s="3153"/>
      <c r="G24" s="128"/>
      <c r="H24" s="260">
        <v>47276</v>
      </c>
      <c r="I24" s="3034">
        <v>74192</v>
      </c>
      <c r="J24" s="206">
        <f t="shared" si="0"/>
        <v>121468</v>
      </c>
    </row>
    <row r="25" spans="1:10">
      <c r="A25" s="63">
        <v>1995.04</v>
      </c>
      <c r="B25" s="252">
        <v>29241</v>
      </c>
      <c r="C25" s="3034">
        <v>41032</v>
      </c>
      <c r="D25" s="194">
        <f t="shared" si="1"/>
        <v>70273</v>
      </c>
      <c r="E25" s="1968"/>
      <c r="F25" s="3153"/>
      <c r="G25" s="128"/>
      <c r="H25" s="260">
        <v>46489</v>
      </c>
      <c r="I25" s="3034">
        <v>70611</v>
      </c>
      <c r="J25" s="206">
        <f t="shared" si="0"/>
        <v>117100</v>
      </c>
    </row>
    <row r="26" spans="1:10">
      <c r="A26" s="63">
        <v>1995.05</v>
      </c>
      <c r="B26" s="252">
        <v>28049</v>
      </c>
      <c r="C26" s="3034">
        <v>40019</v>
      </c>
      <c r="D26" s="194">
        <f t="shared" si="1"/>
        <v>68068</v>
      </c>
      <c r="E26" s="1968"/>
      <c r="F26" s="3153"/>
      <c r="G26" s="128"/>
      <c r="H26" s="260">
        <v>45523</v>
      </c>
      <c r="I26" s="3034">
        <v>67496</v>
      </c>
      <c r="J26" s="206">
        <f t="shared" si="0"/>
        <v>113019</v>
      </c>
    </row>
    <row r="27" spans="1:10">
      <c r="A27" s="63">
        <v>1995.06</v>
      </c>
      <c r="B27" s="252">
        <v>27458</v>
      </c>
      <c r="C27" s="3034">
        <v>39920</v>
      </c>
      <c r="D27" s="194">
        <f t="shared" si="1"/>
        <v>67378</v>
      </c>
      <c r="E27" s="1968"/>
      <c r="F27" s="3153"/>
      <c r="G27" s="128"/>
      <c r="H27" s="260">
        <v>43792</v>
      </c>
      <c r="I27" s="3034">
        <v>65940</v>
      </c>
      <c r="J27" s="206">
        <f t="shared" si="0"/>
        <v>109732</v>
      </c>
    </row>
    <row r="28" spans="1:10">
      <c r="A28" s="63">
        <v>1995.07</v>
      </c>
      <c r="B28" s="252">
        <v>29056</v>
      </c>
      <c r="C28" s="3034">
        <v>46190</v>
      </c>
      <c r="D28" s="194">
        <f t="shared" si="1"/>
        <v>75246</v>
      </c>
      <c r="E28" s="1968"/>
      <c r="F28" s="3153"/>
      <c r="G28" s="128"/>
      <c r="H28" s="260">
        <v>43741</v>
      </c>
      <c r="I28" s="3034">
        <v>65307</v>
      </c>
      <c r="J28" s="206">
        <f t="shared" si="0"/>
        <v>109048</v>
      </c>
    </row>
    <row r="29" spans="1:10">
      <c r="A29" s="63">
        <v>1995.08</v>
      </c>
      <c r="B29" s="252">
        <v>27480</v>
      </c>
      <c r="C29" s="3034">
        <v>42612</v>
      </c>
      <c r="D29" s="194">
        <f t="shared" si="1"/>
        <v>70092</v>
      </c>
      <c r="E29" s="1968"/>
      <c r="F29" s="3153"/>
      <c r="G29" s="128"/>
      <c r="H29" s="260">
        <v>42192</v>
      </c>
      <c r="I29" s="3034">
        <v>63450</v>
      </c>
      <c r="J29" s="206">
        <f t="shared" si="0"/>
        <v>105642</v>
      </c>
    </row>
    <row r="30" spans="1:10">
      <c r="A30" s="63">
        <v>1995.09</v>
      </c>
      <c r="B30" s="252">
        <v>26996</v>
      </c>
      <c r="C30" s="3034">
        <v>39031</v>
      </c>
      <c r="D30" s="194">
        <f t="shared" si="1"/>
        <v>66027</v>
      </c>
      <c r="E30" s="1968"/>
      <c r="F30" s="3153"/>
      <c r="G30" s="128"/>
      <c r="H30" s="260">
        <v>41713</v>
      </c>
      <c r="I30" s="3034">
        <v>63091</v>
      </c>
      <c r="J30" s="206">
        <f t="shared" si="0"/>
        <v>104804</v>
      </c>
    </row>
    <row r="31" spans="1:10">
      <c r="A31" s="63">
        <v>1995.1</v>
      </c>
      <c r="B31" s="252">
        <v>27241</v>
      </c>
      <c r="C31" s="3034">
        <v>38118</v>
      </c>
      <c r="D31" s="194">
        <f t="shared" si="1"/>
        <v>65359</v>
      </c>
      <c r="E31" s="1968"/>
      <c r="F31" s="3153"/>
      <c r="G31" s="128"/>
      <c r="H31" s="260">
        <v>41100</v>
      </c>
      <c r="I31" s="3034">
        <v>61978</v>
      </c>
      <c r="J31" s="206">
        <f t="shared" si="0"/>
        <v>103078</v>
      </c>
    </row>
    <row r="32" spans="1:10">
      <c r="A32" s="63">
        <v>1995.11</v>
      </c>
      <c r="B32" s="252">
        <v>26247</v>
      </c>
      <c r="C32" s="3034">
        <v>37425</v>
      </c>
      <c r="D32" s="194">
        <f t="shared" si="1"/>
        <v>63672</v>
      </c>
      <c r="E32" s="1968"/>
      <c r="F32" s="3153"/>
      <c r="G32" s="128"/>
      <c r="H32" s="260">
        <v>42160</v>
      </c>
      <c r="I32" s="3034">
        <v>64138</v>
      </c>
      <c r="J32" s="206">
        <f t="shared" si="0"/>
        <v>106298</v>
      </c>
    </row>
    <row r="33" spans="1:10">
      <c r="A33" s="63">
        <v>1995.12</v>
      </c>
      <c r="B33" s="252">
        <v>26509</v>
      </c>
      <c r="C33" s="3034">
        <v>37183</v>
      </c>
      <c r="D33" s="194">
        <f t="shared" si="1"/>
        <v>63692</v>
      </c>
      <c r="E33" s="1968"/>
      <c r="F33" s="3153"/>
      <c r="G33" s="128"/>
      <c r="H33" s="260">
        <v>42846</v>
      </c>
      <c r="I33" s="3034">
        <v>62947</v>
      </c>
      <c r="J33" s="206">
        <f t="shared" si="0"/>
        <v>105793</v>
      </c>
    </row>
    <row r="34" spans="1:10">
      <c r="A34" s="63">
        <v>1996.01</v>
      </c>
      <c r="B34" s="252">
        <v>26465</v>
      </c>
      <c r="C34" s="3034">
        <v>37161</v>
      </c>
      <c r="D34" s="194">
        <f t="shared" si="1"/>
        <v>63626</v>
      </c>
      <c r="E34" s="1968"/>
      <c r="F34" s="3153"/>
      <c r="G34" s="128"/>
      <c r="H34" s="260">
        <v>39958</v>
      </c>
      <c r="I34" s="3034">
        <v>60837</v>
      </c>
      <c r="J34" s="206">
        <f t="shared" si="0"/>
        <v>100795</v>
      </c>
    </row>
    <row r="35" spans="1:10">
      <c r="A35" s="63">
        <v>1996.02</v>
      </c>
      <c r="B35" s="252">
        <v>26754</v>
      </c>
      <c r="C35" s="3034">
        <v>37904</v>
      </c>
      <c r="D35" s="194">
        <f t="shared" si="1"/>
        <v>64658</v>
      </c>
      <c r="E35" s="1968"/>
      <c r="F35" s="3153"/>
      <c r="G35" s="128"/>
      <c r="H35" s="260">
        <v>40699</v>
      </c>
      <c r="I35" s="3034">
        <v>62808</v>
      </c>
      <c r="J35" s="206">
        <f t="shared" si="0"/>
        <v>103507</v>
      </c>
    </row>
    <row r="36" spans="1:10">
      <c r="A36" s="63">
        <v>1996.03</v>
      </c>
      <c r="B36" s="252">
        <v>27364</v>
      </c>
      <c r="C36" s="3034">
        <v>38444</v>
      </c>
      <c r="D36" s="194">
        <f t="shared" si="1"/>
        <v>65808</v>
      </c>
      <c r="E36" s="1968"/>
      <c r="F36" s="3153"/>
      <c r="G36" s="128"/>
      <c r="H36" s="260">
        <v>41644</v>
      </c>
      <c r="I36" s="3034">
        <v>65299</v>
      </c>
      <c r="J36" s="206">
        <f t="shared" si="0"/>
        <v>106943</v>
      </c>
    </row>
    <row r="37" spans="1:10">
      <c r="A37" s="63">
        <v>1996.04</v>
      </c>
      <c r="B37" s="252">
        <v>26713</v>
      </c>
      <c r="C37" s="3034">
        <v>39088</v>
      </c>
      <c r="D37" s="194">
        <f t="shared" si="1"/>
        <v>65801</v>
      </c>
      <c r="E37" s="1968"/>
      <c r="F37" s="3153"/>
      <c r="G37" s="128"/>
      <c r="H37" s="260">
        <v>39820</v>
      </c>
      <c r="I37" s="3034">
        <v>64448</v>
      </c>
      <c r="J37" s="206">
        <f t="shared" si="0"/>
        <v>104268</v>
      </c>
    </row>
    <row r="38" spans="1:10">
      <c r="A38" s="63">
        <v>1996.05</v>
      </c>
      <c r="B38" s="252">
        <v>26796</v>
      </c>
      <c r="C38" s="3034">
        <v>40765</v>
      </c>
      <c r="D38" s="194">
        <f t="shared" si="1"/>
        <v>67561</v>
      </c>
      <c r="E38" s="1968"/>
      <c r="F38" s="3153"/>
      <c r="G38" s="128"/>
      <c r="H38" s="260">
        <v>38921</v>
      </c>
      <c r="I38" s="3034">
        <v>63674</v>
      </c>
      <c r="J38" s="206">
        <f t="shared" si="0"/>
        <v>102595</v>
      </c>
    </row>
    <row r="39" spans="1:10">
      <c r="A39" s="63">
        <v>1996.06</v>
      </c>
      <c r="B39" s="252">
        <v>26178</v>
      </c>
      <c r="C39" s="3034">
        <v>39190</v>
      </c>
      <c r="D39" s="194">
        <f t="shared" si="1"/>
        <v>65368</v>
      </c>
      <c r="E39" s="1968"/>
      <c r="F39" s="3153"/>
      <c r="G39" s="128"/>
      <c r="H39" s="260">
        <v>39707</v>
      </c>
      <c r="I39" s="3034">
        <v>62839</v>
      </c>
      <c r="J39" s="206">
        <f t="shared" si="0"/>
        <v>102546</v>
      </c>
    </row>
    <row r="40" spans="1:10">
      <c r="A40" s="63">
        <v>1996.07</v>
      </c>
      <c r="B40" s="252">
        <v>26126</v>
      </c>
      <c r="C40" s="3034">
        <v>42179</v>
      </c>
      <c r="D40" s="194">
        <f t="shared" si="1"/>
        <v>68305</v>
      </c>
      <c r="E40" s="1968"/>
      <c r="F40" s="3153"/>
      <c r="G40" s="128"/>
      <c r="H40" s="260">
        <v>37703</v>
      </c>
      <c r="I40" s="3034">
        <v>62817</v>
      </c>
      <c r="J40" s="206">
        <f t="shared" si="0"/>
        <v>100520</v>
      </c>
    </row>
    <row r="41" spans="1:10">
      <c r="A41" s="63">
        <v>1996.08</v>
      </c>
      <c r="B41" s="252">
        <v>26218</v>
      </c>
      <c r="C41" s="3034">
        <v>39714</v>
      </c>
      <c r="D41" s="194">
        <f t="shared" si="1"/>
        <v>65932</v>
      </c>
      <c r="E41" s="1968"/>
      <c r="F41" s="3153"/>
      <c r="G41" s="128"/>
      <c r="H41" s="260">
        <v>38083</v>
      </c>
      <c r="I41" s="3034">
        <v>65132</v>
      </c>
      <c r="J41" s="206">
        <f t="shared" si="0"/>
        <v>103215</v>
      </c>
    </row>
    <row r="42" spans="1:10">
      <c r="A42" s="63">
        <v>1996.09</v>
      </c>
      <c r="B42" s="252">
        <v>26401</v>
      </c>
      <c r="C42" s="3034">
        <v>38228</v>
      </c>
      <c r="D42" s="194">
        <f t="shared" si="1"/>
        <v>64629</v>
      </c>
      <c r="E42" s="1968"/>
      <c r="F42" s="3153"/>
      <c r="G42" s="128"/>
      <c r="H42" s="260">
        <v>38793</v>
      </c>
      <c r="I42" s="3034">
        <v>66173</v>
      </c>
      <c r="J42" s="206">
        <f t="shared" si="0"/>
        <v>104966</v>
      </c>
    </row>
    <row r="43" spans="1:10">
      <c r="A43" s="63">
        <v>1996.1</v>
      </c>
      <c r="B43" s="252">
        <v>24759</v>
      </c>
      <c r="C43" s="3034">
        <v>37576</v>
      </c>
      <c r="D43" s="194">
        <f t="shared" si="1"/>
        <v>62335</v>
      </c>
      <c r="E43" s="1968"/>
      <c r="F43" s="3153"/>
      <c r="G43" s="128"/>
      <c r="H43" s="260">
        <v>36943</v>
      </c>
      <c r="I43" s="3034">
        <v>64642</v>
      </c>
      <c r="J43" s="206">
        <f t="shared" si="0"/>
        <v>101585</v>
      </c>
    </row>
    <row r="44" spans="1:10">
      <c r="A44" s="63">
        <v>1996.11</v>
      </c>
      <c r="B44" s="252">
        <v>24438</v>
      </c>
      <c r="C44" s="3034">
        <v>37505</v>
      </c>
      <c r="D44" s="194">
        <f t="shared" si="1"/>
        <v>61943</v>
      </c>
      <c r="E44" s="1968"/>
      <c r="F44" s="3153"/>
      <c r="G44" s="128"/>
      <c r="H44" s="260">
        <v>36528</v>
      </c>
      <c r="I44" s="3034">
        <v>64014</v>
      </c>
      <c r="J44" s="206">
        <f t="shared" si="0"/>
        <v>100542</v>
      </c>
    </row>
    <row r="45" spans="1:10">
      <c r="A45" s="63">
        <v>1996.12</v>
      </c>
      <c r="B45" s="252">
        <v>25471</v>
      </c>
      <c r="C45" s="3034">
        <v>36523</v>
      </c>
      <c r="D45" s="194">
        <f t="shared" si="1"/>
        <v>61994</v>
      </c>
      <c r="E45" s="1968"/>
      <c r="F45" s="3153"/>
      <c r="G45" s="128"/>
      <c r="H45" s="260">
        <v>36959</v>
      </c>
      <c r="I45" s="3034">
        <v>64142</v>
      </c>
      <c r="J45" s="206">
        <f t="shared" si="0"/>
        <v>101101</v>
      </c>
    </row>
    <row r="46" spans="1:10">
      <c r="A46" s="63">
        <v>1997.01</v>
      </c>
      <c r="B46" s="252">
        <v>23059</v>
      </c>
      <c r="C46" s="3034">
        <v>35931</v>
      </c>
      <c r="D46" s="194">
        <f t="shared" si="1"/>
        <v>58990</v>
      </c>
      <c r="E46" s="1968"/>
      <c r="F46" s="3153"/>
      <c r="G46" s="128"/>
      <c r="H46" s="260">
        <v>35377</v>
      </c>
      <c r="I46" s="3034">
        <v>63609</v>
      </c>
      <c r="J46" s="206">
        <f t="shared" si="0"/>
        <v>98986</v>
      </c>
    </row>
    <row r="47" spans="1:10">
      <c r="A47" s="63">
        <v>1997.02</v>
      </c>
      <c r="B47" s="252">
        <v>24166</v>
      </c>
      <c r="C47" s="3034">
        <v>37248</v>
      </c>
      <c r="D47" s="194">
        <f t="shared" si="1"/>
        <v>61414</v>
      </c>
      <c r="E47" s="1968"/>
      <c r="F47" s="3153"/>
      <c r="G47" s="128"/>
      <c r="H47" s="260">
        <v>38504</v>
      </c>
      <c r="I47" s="3034">
        <v>66188</v>
      </c>
      <c r="J47" s="206">
        <f t="shared" si="0"/>
        <v>104692</v>
      </c>
    </row>
    <row r="48" spans="1:10">
      <c r="A48" s="63">
        <v>1997.03</v>
      </c>
      <c r="B48" s="252">
        <v>25131</v>
      </c>
      <c r="C48" s="3034">
        <v>37835</v>
      </c>
      <c r="D48" s="194">
        <f t="shared" si="1"/>
        <v>62966</v>
      </c>
      <c r="E48" s="1968"/>
      <c r="F48" s="3153"/>
      <c r="G48" s="128"/>
      <c r="H48" s="260">
        <v>40600</v>
      </c>
      <c r="I48" s="3034">
        <v>67529</v>
      </c>
      <c r="J48" s="206">
        <f t="shared" si="0"/>
        <v>108129</v>
      </c>
    </row>
    <row r="49" spans="1:10">
      <c r="A49" s="63">
        <v>1997.04</v>
      </c>
      <c r="B49" s="252">
        <v>24592</v>
      </c>
      <c r="C49" s="3034">
        <v>36486</v>
      </c>
      <c r="D49" s="194">
        <f t="shared" si="1"/>
        <v>61078</v>
      </c>
      <c r="E49" s="1968"/>
      <c r="F49" s="3153"/>
      <c r="G49" s="128"/>
      <c r="H49" s="260">
        <v>38440</v>
      </c>
      <c r="I49" s="3034">
        <v>66978</v>
      </c>
      <c r="J49" s="206">
        <f t="shared" si="0"/>
        <v>105418</v>
      </c>
    </row>
    <row r="50" spans="1:10">
      <c r="A50" s="63">
        <v>1997.05</v>
      </c>
      <c r="B50" s="252">
        <v>24731</v>
      </c>
      <c r="C50" s="3034">
        <v>36814</v>
      </c>
      <c r="D50" s="194">
        <f t="shared" si="1"/>
        <v>61545</v>
      </c>
      <c r="E50" s="1968"/>
      <c r="F50" s="3153"/>
      <c r="G50" s="128"/>
      <c r="H50" s="260">
        <v>36756</v>
      </c>
      <c r="I50" s="3034">
        <v>66655</v>
      </c>
      <c r="J50" s="206">
        <f t="shared" si="0"/>
        <v>103411</v>
      </c>
    </row>
    <row r="51" spans="1:10">
      <c r="A51" s="63">
        <v>1997.06</v>
      </c>
      <c r="B51" s="252">
        <v>24049</v>
      </c>
      <c r="C51" s="3034">
        <v>35223</v>
      </c>
      <c r="D51" s="194">
        <f t="shared" si="1"/>
        <v>59272</v>
      </c>
      <c r="E51" s="1968"/>
      <c r="F51" s="3153"/>
      <c r="G51" s="128"/>
      <c r="H51" s="260">
        <v>36862</v>
      </c>
      <c r="I51" s="3034">
        <v>64913</v>
      </c>
      <c r="J51" s="206">
        <f t="shared" si="0"/>
        <v>101775</v>
      </c>
    </row>
    <row r="52" spans="1:10">
      <c r="A52" s="63">
        <v>1997.07</v>
      </c>
      <c r="B52" s="252">
        <v>23537</v>
      </c>
      <c r="C52" s="3034">
        <v>35880</v>
      </c>
      <c r="D52" s="194">
        <f t="shared" si="1"/>
        <v>59417</v>
      </c>
      <c r="E52" s="1968"/>
      <c r="F52" s="3153"/>
      <c r="G52" s="128"/>
      <c r="H52" s="260">
        <v>34634</v>
      </c>
      <c r="I52" s="3034">
        <v>64220</v>
      </c>
      <c r="J52" s="206">
        <f t="shared" si="0"/>
        <v>98854</v>
      </c>
    </row>
    <row r="53" spans="1:10">
      <c r="A53" s="63">
        <v>1997.08</v>
      </c>
      <c r="B53" s="252">
        <v>25437</v>
      </c>
      <c r="C53" s="3034">
        <v>36011</v>
      </c>
      <c r="D53" s="194">
        <f t="shared" si="1"/>
        <v>61448</v>
      </c>
      <c r="E53" s="1968"/>
      <c r="F53" s="3153"/>
      <c r="G53" s="128"/>
      <c r="H53" s="260">
        <v>36360</v>
      </c>
      <c r="I53" s="3034">
        <v>65815</v>
      </c>
      <c r="J53" s="206">
        <f t="shared" si="0"/>
        <v>102175</v>
      </c>
    </row>
    <row r="54" spans="1:10">
      <c r="A54" s="63">
        <v>1997.09</v>
      </c>
      <c r="B54" s="252">
        <v>25475</v>
      </c>
      <c r="C54" s="3034">
        <v>35662</v>
      </c>
      <c r="D54" s="194">
        <f t="shared" si="1"/>
        <v>61137</v>
      </c>
      <c r="E54" s="1968"/>
      <c r="F54" s="3153"/>
      <c r="G54" s="128"/>
      <c r="H54" s="260">
        <v>34927</v>
      </c>
      <c r="I54" s="3034">
        <v>64541</v>
      </c>
      <c r="J54" s="206">
        <f t="shared" si="0"/>
        <v>99468</v>
      </c>
    </row>
    <row r="55" spans="1:10">
      <c r="A55" s="63">
        <v>1997.1</v>
      </c>
      <c r="B55" s="252">
        <v>24548</v>
      </c>
      <c r="C55" s="3034">
        <v>35143</v>
      </c>
      <c r="D55" s="194">
        <f t="shared" si="1"/>
        <v>59691</v>
      </c>
      <c r="E55" s="1968"/>
      <c r="F55" s="3153"/>
      <c r="G55" s="128"/>
      <c r="H55" s="260">
        <v>34750</v>
      </c>
      <c r="I55" s="3034">
        <v>64485</v>
      </c>
      <c r="J55" s="206">
        <f t="shared" si="0"/>
        <v>99235</v>
      </c>
    </row>
    <row r="56" spans="1:10">
      <c r="A56" s="63">
        <v>1997.11</v>
      </c>
      <c r="B56" s="252">
        <v>24507</v>
      </c>
      <c r="C56" s="3034">
        <v>35121</v>
      </c>
      <c r="D56" s="194">
        <f t="shared" si="1"/>
        <v>59628</v>
      </c>
      <c r="E56" s="1968"/>
      <c r="F56" s="3153"/>
      <c r="G56" s="128"/>
      <c r="H56" s="260">
        <v>36425</v>
      </c>
      <c r="I56" s="3034">
        <v>64697</v>
      </c>
      <c r="J56" s="206">
        <f t="shared" si="0"/>
        <v>101122</v>
      </c>
    </row>
    <row r="57" spans="1:10">
      <c r="A57" s="63">
        <v>1997.12</v>
      </c>
      <c r="B57" s="252">
        <v>24476</v>
      </c>
      <c r="C57" s="3034">
        <v>33280</v>
      </c>
      <c r="D57" s="194">
        <f t="shared" si="1"/>
        <v>57756</v>
      </c>
      <c r="E57" s="1968"/>
      <c r="F57" s="3153"/>
      <c r="G57" s="128"/>
      <c r="H57" s="260">
        <v>33990</v>
      </c>
      <c r="I57" s="3034">
        <v>64461</v>
      </c>
      <c r="J57" s="206">
        <f t="shared" si="0"/>
        <v>98451</v>
      </c>
    </row>
    <row r="58" spans="1:10">
      <c r="A58" s="63">
        <v>1998.01</v>
      </c>
      <c r="B58" s="252">
        <v>23260</v>
      </c>
      <c r="C58" s="3034">
        <v>33181</v>
      </c>
      <c r="D58" s="194">
        <f t="shared" si="1"/>
        <v>56441</v>
      </c>
      <c r="E58" s="1968"/>
      <c r="F58" s="3153"/>
      <c r="G58" s="128"/>
      <c r="H58" s="260">
        <v>33494</v>
      </c>
      <c r="I58" s="3034">
        <v>63983</v>
      </c>
      <c r="J58" s="206">
        <f t="shared" si="0"/>
        <v>97477</v>
      </c>
    </row>
    <row r="59" spans="1:10">
      <c r="A59" s="63">
        <v>1998.02</v>
      </c>
      <c r="B59" s="252">
        <v>24649</v>
      </c>
      <c r="C59" s="3034">
        <v>34664</v>
      </c>
      <c r="D59" s="194">
        <f t="shared" si="1"/>
        <v>59313</v>
      </c>
      <c r="E59" s="1968"/>
      <c r="F59" s="3153"/>
      <c r="G59" s="128"/>
      <c r="H59" s="260">
        <v>34669</v>
      </c>
      <c r="I59" s="3034">
        <v>65656</v>
      </c>
      <c r="J59" s="206">
        <f t="shared" si="0"/>
        <v>100325</v>
      </c>
    </row>
    <row r="60" spans="1:10">
      <c r="A60" s="63">
        <v>1998.03</v>
      </c>
      <c r="B60" s="252">
        <v>25256</v>
      </c>
      <c r="C60" s="3034">
        <v>34677</v>
      </c>
      <c r="D60" s="194">
        <f t="shared" si="1"/>
        <v>59933</v>
      </c>
      <c r="E60" s="1968"/>
      <c r="F60" s="3153"/>
      <c r="G60" s="128"/>
      <c r="H60" s="260">
        <v>35174</v>
      </c>
      <c r="I60" s="3034">
        <v>67281</v>
      </c>
      <c r="J60" s="206">
        <f t="shared" si="0"/>
        <v>102455</v>
      </c>
    </row>
    <row r="61" spans="1:10">
      <c r="A61" s="63">
        <v>1998.04</v>
      </c>
      <c r="B61" s="252">
        <v>25661</v>
      </c>
      <c r="C61" s="3034">
        <v>33990</v>
      </c>
      <c r="D61" s="194">
        <f t="shared" si="1"/>
        <v>59651</v>
      </c>
      <c r="E61" s="1968"/>
      <c r="F61" s="3153"/>
      <c r="G61" s="128"/>
      <c r="H61" s="260">
        <v>33199</v>
      </c>
      <c r="I61" s="3034">
        <v>66339</v>
      </c>
      <c r="J61" s="206">
        <f t="shared" si="0"/>
        <v>99538</v>
      </c>
    </row>
    <row r="62" spans="1:10">
      <c r="A62" s="63">
        <v>1998.05</v>
      </c>
      <c r="B62" s="252">
        <v>25660</v>
      </c>
      <c r="C62" s="3034">
        <v>34030</v>
      </c>
      <c r="D62" s="194">
        <f t="shared" si="1"/>
        <v>59690</v>
      </c>
      <c r="E62" s="1968"/>
      <c r="F62" s="3153"/>
      <c r="G62" s="128"/>
      <c r="H62" s="260">
        <v>34904</v>
      </c>
      <c r="I62" s="3034">
        <v>65536</v>
      </c>
      <c r="J62" s="206">
        <f t="shared" si="0"/>
        <v>100440</v>
      </c>
    </row>
    <row r="63" spans="1:10">
      <c r="A63" s="63">
        <v>1998.06</v>
      </c>
      <c r="B63" s="252">
        <v>24471</v>
      </c>
      <c r="C63" s="3034">
        <v>32961</v>
      </c>
      <c r="D63" s="194">
        <f t="shared" si="1"/>
        <v>57432</v>
      </c>
      <c r="E63" s="1968"/>
      <c r="F63" s="3153"/>
      <c r="G63" s="128"/>
      <c r="H63" s="260">
        <v>32575</v>
      </c>
      <c r="I63" s="3034">
        <v>61789</v>
      </c>
      <c r="J63" s="206">
        <f t="shared" si="0"/>
        <v>94364</v>
      </c>
    </row>
    <row r="64" spans="1:10">
      <c r="A64" s="63">
        <v>1998.07</v>
      </c>
      <c r="B64" s="252">
        <v>23902</v>
      </c>
      <c r="C64" s="3034">
        <v>32977</v>
      </c>
      <c r="D64" s="194">
        <f t="shared" si="1"/>
        <v>56879</v>
      </c>
      <c r="E64" s="1968"/>
      <c r="F64" s="3153"/>
      <c r="G64" s="128"/>
      <c r="H64" s="260">
        <v>32745</v>
      </c>
      <c r="I64" s="3034">
        <v>63906</v>
      </c>
      <c r="J64" s="206">
        <f t="shared" si="0"/>
        <v>96651</v>
      </c>
    </row>
    <row r="65" spans="1:10">
      <c r="A65" s="63">
        <v>1998.08</v>
      </c>
      <c r="B65" s="252">
        <v>24846</v>
      </c>
      <c r="C65" s="3034">
        <v>34298</v>
      </c>
      <c r="D65" s="194">
        <f t="shared" si="1"/>
        <v>59144</v>
      </c>
      <c r="E65" s="1968"/>
      <c r="F65" s="3153"/>
      <c r="G65" s="128"/>
      <c r="H65" s="260">
        <v>35782</v>
      </c>
      <c r="I65" s="3034">
        <v>66333</v>
      </c>
      <c r="J65" s="206">
        <f t="shared" si="0"/>
        <v>102115</v>
      </c>
    </row>
    <row r="66" spans="1:10">
      <c r="A66" s="63">
        <v>1998.09</v>
      </c>
      <c r="B66" s="252">
        <v>24054</v>
      </c>
      <c r="C66" s="3034">
        <v>33280</v>
      </c>
      <c r="D66" s="194">
        <f t="shared" si="1"/>
        <v>57334</v>
      </c>
      <c r="E66" s="1968"/>
      <c r="F66" s="3153"/>
      <c r="G66" s="128"/>
      <c r="H66" s="260">
        <v>35601</v>
      </c>
      <c r="I66" s="3034">
        <v>63254</v>
      </c>
      <c r="J66" s="206">
        <f t="shared" si="0"/>
        <v>98855</v>
      </c>
    </row>
    <row r="67" spans="1:10">
      <c r="A67" s="63">
        <v>1998.1</v>
      </c>
      <c r="B67" s="252">
        <v>22331</v>
      </c>
      <c r="C67" s="3034">
        <v>32699</v>
      </c>
      <c r="D67" s="194">
        <f t="shared" si="1"/>
        <v>55030</v>
      </c>
      <c r="E67" s="1968"/>
      <c r="F67" s="3153"/>
      <c r="G67" s="128"/>
      <c r="H67" s="260">
        <v>36153</v>
      </c>
      <c r="I67" s="3034">
        <v>62120</v>
      </c>
      <c r="J67" s="206">
        <f t="shared" si="0"/>
        <v>98273</v>
      </c>
    </row>
    <row r="68" spans="1:10">
      <c r="A68" s="63">
        <v>1998.11</v>
      </c>
      <c r="B68" s="252">
        <v>22891</v>
      </c>
      <c r="C68" s="3034">
        <v>32641</v>
      </c>
      <c r="D68" s="194">
        <f t="shared" si="1"/>
        <v>55532</v>
      </c>
      <c r="E68" s="1968"/>
      <c r="F68" s="3153"/>
      <c r="G68" s="128"/>
      <c r="H68" s="260">
        <v>36290</v>
      </c>
      <c r="I68" s="3034">
        <v>62707</v>
      </c>
      <c r="J68" s="206">
        <f t="shared" si="0"/>
        <v>98997</v>
      </c>
    </row>
    <row r="69" spans="1:10">
      <c r="A69" s="63">
        <v>1998.12</v>
      </c>
      <c r="B69" s="252">
        <v>22028</v>
      </c>
      <c r="C69" s="3034">
        <v>32262</v>
      </c>
      <c r="D69" s="194">
        <f t="shared" si="1"/>
        <v>54290</v>
      </c>
      <c r="E69" s="1968"/>
      <c r="F69" s="3153"/>
      <c r="G69" s="128"/>
      <c r="H69" s="260">
        <v>32727</v>
      </c>
      <c r="I69" s="3034">
        <v>62121</v>
      </c>
      <c r="J69" s="206">
        <f t="shared" si="0"/>
        <v>94848</v>
      </c>
    </row>
    <row r="70" spans="1:10">
      <c r="A70" s="63">
        <v>1999.01</v>
      </c>
      <c r="B70" s="252">
        <v>22554</v>
      </c>
      <c r="C70" s="3034">
        <v>33237</v>
      </c>
      <c r="D70" s="194">
        <f t="shared" si="1"/>
        <v>55791</v>
      </c>
      <c r="E70" s="1968"/>
      <c r="F70" s="3153"/>
      <c r="G70" s="128"/>
      <c r="H70" s="260">
        <v>32614</v>
      </c>
      <c r="I70" s="3034">
        <v>62070</v>
      </c>
      <c r="J70" s="206">
        <f t="shared" si="0"/>
        <v>94684</v>
      </c>
    </row>
    <row r="71" spans="1:10">
      <c r="A71" s="63">
        <v>1999.02</v>
      </c>
      <c r="B71" s="252">
        <v>22627</v>
      </c>
      <c r="C71" s="3034">
        <v>33419</v>
      </c>
      <c r="D71" s="194">
        <f t="shared" si="1"/>
        <v>56046</v>
      </c>
      <c r="E71" s="1968"/>
      <c r="F71" s="3153"/>
      <c r="G71" s="128"/>
      <c r="H71" s="260">
        <v>32368</v>
      </c>
      <c r="I71" s="3034">
        <v>64230</v>
      </c>
      <c r="J71" s="206">
        <f t="shared" si="0"/>
        <v>96598</v>
      </c>
    </row>
    <row r="72" spans="1:10">
      <c r="A72" s="63">
        <v>1999.03</v>
      </c>
      <c r="B72" s="252">
        <v>22801</v>
      </c>
      <c r="C72" s="3034">
        <v>33589</v>
      </c>
      <c r="D72" s="194">
        <f t="shared" si="1"/>
        <v>56390</v>
      </c>
      <c r="E72" s="1968"/>
      <c r="F72" s="3153"/>
      <c r="G72" s="128"/>
      <c r="H72" s="260">
        <v>32425</v>
      </c>
      <c r="I72" s="3034">
        <v>66472</v>
      </c>
      <c r="J72" s="206">
        <f t="shared" si="0"/>
        <v>98897</v>
      </c>
    </row>
    <row r="73" spans="1:10">
      <c r="A73" s="63">
        <v>1999.04</v>
      </c>
      <c r="B73" s="252">
        <v>22695</v>
      </c>
      <c r="C73" s="3034">
        <v>32788</v>
      </c>
      <c r="D73" s="194">
        <f t="shared" si="1"/>
        <v>55483</v>
      </c>
      <c r="E73" s="1968"/>
      <c r="F73" s="3153"/>
      <c r="G73" s="128"/>
      <c r="H73" s="260">
        <v>33719</v>
      </c>
      <c r="I73" s="3034">
        <v>67959</v>
      </c>
      <c r="J73" s="206">
        <f t="shared" si="0"/>
        <v>101678</v>
      </c>
    </row>
    <row r="74" spans="1:10">
      <c r="A74" s="63">
        <v>1999.05</v>
      </c>
      <c r="B74" s="252">
        <v>23051</v>
      </c>
      <c r="C74" s="3034">
        <v>33657</v>
      </c>
      <c r="D74" s="194">
        <f t="shared" si="1"/>
        <v>56708</v>
      </c>
      <c r="E74" s="1968"/>
      <c r="F74" s="3153"/>
      <c r="G74" s="128"/>
      <c r="H74" s="260">
        <v>35272</v>
      </c>
      <c r="I74" s="3034">
        <v>66459</v>
      </c>
      <c r="J74" s="206">
        <f t="shared" si="0"/>
        <v>101731</v>
      </c>
    </row>
    <row r="75" spans="1:10">
      <c r="A75" s="63">
        <v>1999.06</v>
      </c>
      <c r="B75" s="252">
        <v>22191</v>
      </c>
      <c r="C75" s="3034">
        <v>33069</v>
      </c>
      <c r="D75" s="194">
        <f t="shared" si="1"/>
        <v>55260</v>
      </c>
      <c r="E75" s="1968"/>
      <c r="F75" s="3153"/>
      <c r="G75" s="128"/>
      <c r="H75" s="260">
        <v>32527</v>
      </c>
      <c r="I75" s="3034">
        <v>63412</v>
      </c>
      <c r="J75" s="206">
        <f t="shared" si="0"/>
        <v>95939</v>
      </c>
    </row>
    <row r="76" spans="1:10">
      <c r="A76" s="63">
        <v>1999.07</v>
      </c>
      <c r="B76" s="252">
        <v>22106</v>
      </c>
      <c r="C76" s="3034">
        <v>32662</v>
      </c>
      <c r="D76" s="194">
        <f t="shared" ref="D76:D139" si="2">B76+C76</f>
        <v>54768</v>
      </c>
      <c r="E76" s="1968"/>
      <c r="F76" s="3153"/>
      <c r="G76" s="128"/>
      <c r="H76" s="260">
        <v>30794</v>
      </c>
      <c r="I76" s="3034">
        <v>61041</v>
      </c>
      <c r="J76" s="206">
        <f t="shared" ref="J76:J139" si="3">H76+I76</f>
        <v>91835</v>
      </c>
    </row>
    <row r="77" spans="1:10">
      <c r="A77" s="63">
        <v>1999.08</v>
      </c>
      <c r="B77" s="252">
        <v>23005</v>
      </c>
      <c r="C77" s="3034">
        <v>32595</v>
      </c>
      <c r="D77" s="194">
        <f t="shared" si="2"/>
        <v>55600</v>
      </c>
      <c r="E77" s="1968"/>
      <c r="F77" s="3153"/>
      <c r="G77" s="128"/>
      <c r="H77" s="260">
        <v>33103</v>
      </c>
      <c r="I77" s="3034">
        <v>61119</v>
      </c>
      <c r="J77" s="206">
        <f t="shared" si="3"/>
        <v>94222</v>
      </c>
    </row>
    <row r="78" spans="1:10">
      <c r="A78" s="63">
        <v>1999.09</v>
      </c>
      <c r="B78" s="252">
        <v>21986</v>
      </c>
      <c r="C78" s="3034">
        <v>32282</v>
      </c>
      <c r="D78" s="194">
        <f t="shared" si="2"/>
        <v>54268</v>
      </c>
      <c r="E78" s="1968"/>
      <c r="F78" s="3153"/>
      <c r="G78" s="128"/>
      <c r="H78" s="260">
        <v>31682</v>
      </c>
      <c r="I78" s="3034">
        <v>60111</v>
      </c>
      <c r="J78" s="206">
        <f t="shared" si="3"/>
        <v>91793</v>
      </c>
    </row>
    <row r="79" spans="1:10">
      <c r="A79" s="63">
        <v>1999.1</v>
      </c>
      <c r="B79" s="252">
        <v>21802</v>
      </c>
      <c r="C79" s="3034">
        <v>31322</v>
      </c>
      <c r="D79" s="194">
        <f t="shared" si="2"/>
        <v>53124</v>
      </c>
      <c r="E79" s="1968"/>
      <c r="F79" s="3153"/>
      <c r="G79" s="128"/>
      <c r="H79" s="260">
        <v>32240</v>
      </c>
      <c r="I79" s="3034">
        <v>57273</v>
      </c>
      <c r="J79" s="206">
        <f t="shared" si="3"/>
        <v>89513</v>
      </c>
    </row>
    <row r="80" spans="1:10">
      <c r="A80" s="63">
        <v>1999.11</v>
      </c>
      <c r="B80" s="252">
        <v>20863</v>
      </c>
      <c r="C80" s="3034">
        <v>26165</v>
      </c>
      <c r="D80" s="194">
        <f t="shared" si="2"/>
        <v>47028</v>
      </c>
      <c r="E80" s="1968"/>
      <c r="F80" s="3153"/>
      <c r="G80" s="128"/>
      <c r="H80" s="260">
        <v>29937</v>
      </c>
      <c r="I80" s="3034">
        <v>57007</v>
      </c>
      <c r="J80" s="206">
        <f t="shared" si="3"/>
        <v>86944</v>
      </c>
    </row>
    <row r="81" spans="1:10">
      <c r="A81" s="63">
        <v>1999.12</v>
      </c>
      <c r="B81" s="252">
        <v>21402</v>
      </c>
      <c r="C81" s="3034">
        <v>32749</v>
      </c>
      <c r="D81" s="194">
        <f t="shared" si="2"/>
        <v>54151</v>
      </c>
      <c r="E81" s="1968"/>
      <c r="F81" s="3153"/>
      <c r="G81" s="128"/>
      <c r="H81" s="260">
        <v>30845</v>
      </c>
      <c r="I81" s="3034">
        <v>56756</v>
      </c>
      <c r="J81" s="206">
        <f t="shared" si="3"/>
        <v>87601</v>
      </c>
    </row>
    <row r="82" spans="1:10">
      <c r="A82" s="63">
        <v>2000.01</v>
      </c>
      <c r="B82" s="252">
        <v>21277</v>
      </c>
      <c r="C82" s="3034">
        <v>31200</v>
      </c>
      <c r="D82" s="194">
        <f t="shared" si="2"/>
        <v>52477</v>
      </c>
      <c r="E82" s="1968"/>
      <c r="F82" s="3153"/>
      <c r="G82" s="128"/>
      <c r="H82" s="260">
        <v>29756</v>
      </c>
      <c r="I82" s="3034">
        <v>56597</v>
      </c>
      <c r="J82" s="206">
        <f t="shared" si="3"/>
        <v>86353</v>
      </c>
    </row>
    <row r="83" spans="1:10">
      <c r="A83" s="63">
        <v>2000.02</v>
      </c>
      <c r="B83" s="252">
        <v>21393</v>
      </c>
      <c r="C83" s="3034">
        <v>31080</v>
      </c>
      <c r="D83" s="194">
        <f t="shared" si="2"/>
        <v>52473</v>
      </c>
      <c r="E83" s="1968"/>
      <c r="F83" s="3153"/>
      <c r="G83" s="128"/>
      <c r="H83" s="260">
        <v>29669</v>
      </c>
      <c r="I83" s="3034">
        <v>59492</v>
      </c>
      <c r="J83" s="206">
        <f t="shared" si="3"/>
        <v>89161</v>
      </c>
    </row>
    <row r="84" spans="1:10">
      <c r="A84" s="63">
        <v>2000.03</v>
      </c>
      <c r="B84" s="252">
        <v>21489</v>
      </c>
      <c r="C84" s="3034">
        <v>31117</v>
      </c>
      <c r="D84" s="194">
        <f t="shared" si="2"/>
        <v>52606</v>
      </c>
      <c r="E84" s="1968"/>
      <c r="F84" s="3153"/>
      <c r="G84" s="128"/>
      <c r="H84" s="260">
        <v>39979</v>
      </c>
      <c r="I84" s="3034">
        <v>62170</v>
      </c>
      <c r="J84" s="206">
        <f t="shared" si="3"/>
        <v>102149</v>
      </c>
    </row>
    <row r="85" spans="1:10">
      <c r="A85" s="63">
        <v>2000.04</v>
      </c>
      <c r="B85" s="252">
        <v>21745</v>
      </c>
      <c r="C85" s="3034">
        <v>31265</v>
      </c>
      <c r="D85" s="194">
        <f t="shared" si="2"/>
        <v>53010</v>
      </c>
      <c r="E85" s="1968"/>
      <c r="F85" s="3153"/>
      <c r="G85" s="128"/>
      <c r="H85" s="260">
        <v>41771</v>
      </c>
      <c r="I85" s="3034">
        <v>59489</v>
      </c>
      <c r="J85" s="206">
        <f t="shared" si="3"/>
        <v>101260</v>
      </c>
    </row>
    <row r="86" spans="1:10">
      <c r="A86" s="63">
        <v>2000.05</v>
      </c>
      <c r="B86" s="252">
        <v>21011</v>
      </c>
      <c r="C86" s="3034">
        <v>31411</v>
      </c>
      <c r="D86" s="194">
        <f t="shared" si="2"/>
        <v>52422</v>
      </c>
      <c r="E86" s="1968"/>
      <c r="F86" s="3153"/>
      <c r="G86" s="128"/>
      <c r="H86" s="260">
        <v>41569</v>
      </c>
      <c r="I86" s="3034">
        <v>65434</v>
      </c>
      <c r="J86" s="206">
        <f t="shared" si="3"/>
        <v>107003</v>
      </c>
    </row>
    <row r="87" spans="1:10">
      <c r="A87" s="63">
        <v>2000.06</v>
      </c>
      <c r="B87" s="252">
        <v>20425</v>
      </c>
      <c r="C87" s="3034">
        <v>32211</v>
      </c>
      <c r="D87" s="194">
        <f t="shared" si="2"/>
        <v>52636</v>
      </c>
      <c r="E87" s="1968"/>
      <c r="F87" s="3153"/>
      <c r="G87" s="128"/>
      <c r="H87" s="260">
        <v>40313</v>
      </c>
      <c r="I87" s="3034">
        <v>64736</v>
      </c>
      <c r="J87" s="206">
        <f t="shared" si="3"/>
        <v>105049</v>
      </c>
    </row>
    <row r="88" spans="1:10">
      <c r="A88" s="63">
        <v>2000.07</v>
      </c>
      <c r="B88" s="252">
        <v>21257</v>
      </c>
      <c r="C88" s="3034">
        <v>31725</v>
      </c>
      <c r="D88" s="194">
        <f t="shared" si="2"/>
        <v>52982</v>
      </c>
      <c r="E88" s="1968"/>
      <c r="F88" s="3153"/>
      <c r="G88" s="128"/>
      <c r="H88" s="260">
        <v>39271</v>
      </c>
      <c r="I88" s="3034">
        <v>64185</v>
      </c>
      <c r="J88" s="206">
        <f t="shared" si="3"/>
        <v>103456</v>
      </c>
    </row>
    <row r="89" spans="1:10">
      <c r="A89" s="63">
        <v>2000.08</v>
      </c>
      <c r="B89" s="252">
        <v>20439</v>
      </c>
      <c r="C89" s="3034">
        <v>31705</v>
      </c>
      <c r="D89" s="194">
        <f t="shared" si="2"/>
        <v>52144</v>
      </c>
      <c r="E89" s="1968"/>
      <c r="F89" s="3153"/>
      <c r="G89" s="128"/>
      <c r="H89" s="260">
        <v>39302</v>
      </c>
      <c r="I89" s="3034">
        <v>63819</v>
      </c>
      <c r="J89" s="206">
        <f t="shared" si="3"/>
        <v>103121</v>
      </c>
    </row>
    <row r="90" spans="1:10">
      <c r="A90" s="63">
        <v>2000.09</v>
      </c>
      <c r="B90" s="252">
        <v>20113</v>
      </c>
      <c r="C90" s="3034">
        <v>31343</v>
      </c>
      <c r="D90" s="194">
        <f t="shared" si="2"/>
        <v>51456</v>
      </c>
      <c r="E90" s="1968"/>
      <c r="F90" s="3153"/>
      <c r="G90" s="128"/>
      <c r="H90" s="260">
        <v>39909</v>
      </c>
      <c r="I90" s="3034">
        <v>64509</v>
      </c>
      <c r="J90" s="206">
        <f t="shared" si="3"/>
        <v>104418</v>
      </c>
    </row>
    <row r="91" spans="1:10">
      <c r="A91" s="63">
        <v>2000.1</v>
      </c>
      <c r="B91" s="252">
        <v>20395</v>
      </c>
      <c r="C91" s="3034">
        <v>31117</v>
      </c>
      <c r="D91" s="194">
        <f t="shared" si="2"/>
        <v>51512</v>
      </c>
      <c r="E91" s="1968"/>
      <c r="F91" s="3153"/>
      <c r="G91" s="128"/>
      <c r="H91" s="260">
        <v>39682</v>
      </c>
      <c r="I91" s="3034">
        <v>62872</v>
      </c>
      <c r="J91" s="206">
        <f t="shared" si="3"/>
        <v>102554</v>
      </c>
    </row>
    <row r="92" spans="1:10">
      <c r="A92" s="63">
        <v>2000.11</v>
      </c>
      <c r="B92" s="252">
        <v>19736</v>
      </c>
      <c r="C92" s="3034">
        <v>32209</v>
      </c>
      <c r="D92" s="194">
        <f t="shared" si="2"/>
        <v>51945</v>
      </c>
      <c r="E92" s="1968"/>
      <c r="F92" s="3153"/>
      <c r="G92" s="128"/>
      <c r="H92" s="260">
        <v>38901</v>
      </c>
      <c r="I92" s="3034">
        <v>62735</v>
      </c>
      <c r="J92" s="206">
        <f t="shared" si="3"/>
        <v>101636</v>
      </c>
    </row>
    <row r="93" spans="1:10">
      <c r="A93" s="63">
        <v>2000.12</v>
      </c>
      <c r="B93" s="252">
        <v>19675</v>
      </c>
      <c r="C93" s="3034">
        <v>29056</v>
      </c>
      <c r="D93" s="194">
        <f t="shared" si="2"/>
        <v>48731</v>
      </c>
      <c r="E93" s="1968"/>
      <c r="F93" s="3153"/>
      <c r="G93" s="128"/>
      <c r="H93" s="260">
        <v>38724</v>
      </c>
      <c r="I93" s="3034">
        <v>60553</v>
      </c>
      <c r="J93" s="206">
        <f t="shared" si="3"/>
        <v>99277</v>
      </c>
    </row>
    <row r="94" spans="1:10">
      <c r="A94" s="63">
        <v>2001.01</v>
      </c>
      <c r="B94" s="252">
        <v>18941</v>
      </c>
      <c r="C94" s="3034">
        <v>29408</v>
      </c>
      <c r="D94" s="194">
        <f t="shared" si="2"/>
        <v>48349</v>
      </c>
      <c r="E94" s="1968"/>
      <c r="F94" s="3153"/>
      <c r="G94" s="128"/>
      <c r="H94" s="260">
        <v>37159</v>
      </c>
      <c r="I94" s="3034">
        <v>60545</v>
      </c>
      <c r="J94" s="206">
        <f t="shared" si="3"/>
        <v>97704</v>
      </c>
    </row>
    <row r="95" spans="1:10">
      <c r="A95" s="63">
        <v>2001.02</v>
      </c>
      <c r="B95" s="252">
        <v>19979</v>
      </c>
      <c r="C95" s="3034">
        <v>31324</v>
      </c>
      <c r="D95" s="194">
        <f t="shared" si="2"/>
        <v>51303</v>
      </c>
      <c r="E95" s="1968"/>
      <c r="F95" s="3153"/>
      <c r="G95" s="128"/>
      <c r="H95" s="260">
        <v>39468</v>
      </c>
      <c r="I95" s="3034">
        <v>63846</v>
      </c>
      <c r="J95" s="206">
        <f t="shared" si="3"/>
        <v>103314</v>
      </c>
    </row>
    <row r="96" spans="1:10">
      <c r="A96" s="63">
        <v>2001.03</v>
      </c>
      <c r="B96" s="252">
        <v>19666</v>
      </c>
      <c r="C96" s="3034">
        <v>31239</v>
      </c>
      <c r="D96" s="194">
        <f t="shared" si="2"/>
        <v>50905</v>
      </c>
      <c r="E96" s="1968"/>
      <c r="F96" s="3153"/>
      <c r="G96" s="128"/>
      <c r="H96" s="260">
        <v>39390</v>
      </c>
      <c r="I96" s="3034">
        <v>64985</v>
      </c>
      <c r="J96" s="206">
        <f t="shared" si="3"/>
        <v>104375</v>
      </c>
    </row>
    <row r="97" spans="1:15">
      <c r="A97" s="63">
        <v>2001.04</v>
      </c>
      <c r="B97" s="252">
        <v>20433</v>
      </c>
      <c r="C97" s="3034">
        <v>31822</v>
      </c>
      <c r="D97" s="194">
        <f t="shared" si="2"/>
        <v>52255</v>
      </c>
      <c r="E97" s="1968"/>
      <c r="F97" s="3153"/>
      <c r="G97" s="128"/>
      <c r="H97" s="260">
        <v>40146</v>
      </c>
      <c r="I97" s="3034">
        <v>62936</v>
      </c>
      <c r="J97" s="206">
        <f t="shared" si="3"/>
        <v>103082</v>
      </c>
      <c r="K97" s="201"/>
      <c r="L97" s="201"/>
      <c r="M97" s="201"/>
      <c r="N97" s="201"/>
      <c r="O97" s="201"/>
    </row>
    <row r="98" spans="1:15">
      <c r="A98" s="63">
        <v>2001.05</v>
      </c>
      <c r="B98" s="252">
        <v>19148</v>
      </c>
      <c r="C98" s="3034">
        <v>30681</v>
      </c>
      <c r="D98" s="194">
        <f t="shared" si="2"/>
        <v>49829</v>
      </c>
      <c r="E98" s="1968"/>
      <c r="F98" s="3153"/>
      <c r="G98" s="128"/>
      <c r="H98" s="260">
        <v>36607</v>
      </c>
      <c r="I98" s="3034">
        <v>59132</v>
      </c>
      <c r="J98" s="206">
        <f t="shared" si="3"/>
        <v>95739</v>
      </c>
      <c r="K98" s="201"/>
      <c r="L98" s="201"/>
      <c r="M98" s="201"/>
      <c r="N98" s="201"/>
      <c r="O98" s="201"/>
    </row>
    <row r="99" spans="1:15">
      <c r="A99" s="63">
        <v>2001.06</v>
      </c>
      <c r="B99" s="252">
        <v>18728</v>
      </c>
      <c r="C99" s="3034">
        <v>29672</v>
      </c>
      <c r="D99" s="194">
        <f t="shared" si="2"/>
        <v>48400</v>
      </c>
      <c r="E99" s="1968"/>
      <c r="F99" s="3153"/>
      <c r="G99" s="128"/>
      <c r="H99" s="260">
        <v>36969</v>
      </c>
      <c r="I99" s="3034">
        <v>59420</v>
      </c>
      <c r="J99" s="206">
        <f t="shared" si="3"/>
        <v>96389</v>
      </c>
      <c r="K99" s="201"/>
      <c r="L99" s="201"/>
      <c r="M99" s="201"/>
      <c r="N99" s="201"/>
      <c r="O99" s="201"/>
    </row>
    <row r="100" spans="1:15">
      <c r="A100" s="63">
        <v>2001.07</v>
      </c>
      <c r="B100" s="252">
        <v>18814</v>
      </c>
      <c r="C100" s="3034">
        <v>26194</v>
      </c>
      <c r="D100" s="194">
        <f t="shared" si="2"/>
        <v>45008</v>
      </c>
      <c r="E100" s="1968"/>
      <c r="F100" s="3153"/>
      <c r="G100" s="128"/>
      <c r="H100" s="260">
        <v>37014</v>
      </c>
      <c r="I100" s="3034">
        <v>58964</v>
      </c>
      <c r="J100" s="206">
        <f t="shared" si="3"/>
        <v>95978</v>
      </c>
      <c r="K100" s="201"/>
      <c r="L100" s="201"/>
      <c r="M100" s="201"/>
      <c r="N100" s="201"/>
      <c r="O100" s="201"/>
    </row>
    <row r="101" spans="1:15">
      <c r="A101" s="63">
        <v>2001.08</v>
      </c>
      <c r="B101" s="252">
        <v>19376</v>
      </c>
      <c r="C101" s="3034">
        <v>32800</v>
      </c>
      <c r="D101" s="194">
        <f t="shared" si="2"/>
        <v>52176</v>
      </c>
      <c r="E101" s="1968"/>
      <c r="F101" s="3153"/>
      <c r="G101" s="128"/>
      <c r="H101" s="260">
        <v>36382</v>
      </c>
      <c r="I101" s="3034">
        <v>58862</v>
      </c>
      <c r="J101" s="206">
        <f t="shared" si="3"/>
        <v>95244</v>
      </c>
      <c r="K101" s="201"/>
      <c r="L101" s="201"/>
      <c r="M101" s="201"/>
      <c r="N101" s="201"/>
      <c r="O101" s="201"/>
    </row>
    <row r="102" spans="1:15">
      <c r="A102" s="63">
        <v>2001.09</v>
      </c>
      <c r="B102" s="252">
        <v>19232</v>
      </c>
      <c r="C102" s="3034">
        <v>30614</v>
      </c>
      <c r="D102" s="194">
        <f t="shared" si="2"/>
        <v>49846</v>
      </c>
      <c r="E102" s="1968"/>
      <c r="F102" s="3153"/>
      <c r="G102" s="128"/>
      <c r="H102" s="260">
        <v>37549</v>
      </c>
      <c r="I102" s="3034">
        <v>58346</v>
      </c>
      <c r="J102" s="206">
        <f t="shared" si="3"/>
        <v>95895</v>
      </c>
      <c r="K102" s="201"/>
      <c r="L102" s="201"/>
      <c r="M102" s="201"/>
      <c r="N102" s="201"/>
      <c r="O102" s="201"/>
    </row>
    <row r="103" spans="1:15">
      <c r="A103" s="63">
        <v>2001.1</v>
      </c>
      <c r="B103" s="252">
        <v>18344</v>
      </c>
      <c r="C103" s="3034">
        <v>28981</v>
      </c>
      <c r="D103" s="194">
        <f t="shared" si="2"/>
        <v>47325</v>
      </c>
      <c r="E103" s="1968"/>
      <c r="F103" s="3153"/>
      <c r="G103" s="128"/>
      <c r="H103" s="260">
        <v>35988</v>
      </c>
      <c r="I103" s="3034">
        <v>56601</v>
      </c>
      <c r="J103" s="206">
        <f t="shared" si="3"/>
        <v>92589</v>
      </c>
      <c r="K103" s="201"/>
      <c r="L103" s="201"/>
      <c r="M103" s="201"/>
      <c r="N103" s="201"/>
      <c r="O103" s="201"/>
    </row>
    <row r="104" spans="1:15">
      <c r="A104" s="63">
        <v>2001.11</v>
      </c>
      <c r="B104" s="252">
        <v>17646</v>
      </c>
      <c r="C104" s="3034">
        <v>28437</v>
      </c>
      <c r="D104" s="194">
        <f t="shared" si="2"/>
        <v>46083</v>
      </c>
      <c r="E104" s="1968"/>
      <c r="F104" s="3153"/>
      <c r="G104" s="128"/>
      <c r="H104" s="260">
        <v>35735</v>
      </c>
      <c r="I104" s="3034">
        <v>57227</v>
      </c>
      <c r="J104" s="206">
        <f t="shared" si="3"/>
        <v>92962</v>
      </c>
      <c r="K104" s="201"/>
      <c r="L104" s="201"/>
      <c r="M104" s="201"/>
      <c r="N104" s="201"/>
      <c r="O104" s="201"/>
    </row>
    <row r="105" spans="1:15">
      <c r="A105" s="63">
        <v>2001.12</v>
      </c>
      <c r="B105" s="252">
        <v>18017</v>
      </c>
      <c r="C105" s="3034">
        <v>28816</v>
      </c>
      <c r="D105" s="194">
        <f t="shared" si="2"/>
        <v>46833</v>
      </c>
      <c r="E105" s="1968"/>
      <c r="F105" s="3153"/>
      <c r="G105" s="128"/>
      <c r="H105" s="260">
        <v>36379</v>
      </c>
      <c r="I105" s="3034">
        <v>53779</v>
      </c>
      <c r="J105" s="206">
        <f t="shared" si="3"/>
        <v>90158</v>
      </c>
      <c r="K105" s="201"/>
      <c r="L105" s="201"/>
      <c r="M105" s="201"/>
      <c r="N105" s="201"/>
      <c r="O105" s="201"/>
    </row>
    <row r="106" spans="1:15">
      <c r="A106" s="202">
        <v>2002.01</v>
      </c>
      <c r="B106" s="252">
        <v>16602</v>
      </c>
      <c r="C106" s="3034">
        <v>27244</v>
      </c>
      <c r="D106" s="194">
        <f t="shared" si="2"/>
        <v>43846</v>
      </c>
      <c r="E106" s="1968"/>
      <c r="F106" s="3153"/>
      <c r="G106" s="128"/>
      <c r="H106" s="260">
        <v>33346</v>
      </c>
      <c r="I106" s="3034">
        <v>50613</v>
      </c>
      <c r="J106" s="206">
        <f t="shared" si="3"/>
        <v>83959</v>
      </c>
      <c r="K106" s="32"/>
      <c r="L106" s="32"/>
      <c r="M106" s="32"/>
      <c r="N106" s="32"/>
      <c r="O106" s="10"/>
    </row>
    <row r="107" spans="1:15">
      <c r="A107" s="202">
        <v>2002.02</v>
      </c>
      <c r="B107" s="252">
        <v>16846</v>
      </c>
      <c r="C107" s="3034">
        <v>27171</v>
      </c>
      <c r="D107" s="194">
        <f t="shared" si="2"/>
        <v>44017</v>
      </c>
      <c r="E107" s="1968"/>
      <c r="F107" s="3153"/>
      <c r="G107" s="128"/>
      <c r="H107" s="260">
        <v>34045</v>
      </c>
      <c r="I107" s="3034">
        <v>52213</v>
      </c>
      <c r="J107" s="206">
        <f t="shared" si="3"/>
        <v>86258</v>
      </c>
      <c r="K107" s="32"/>
      <c r="L107" s="32"/>
      <c r="M107" s="32"/>
      <c r="N107" s="32"/>
      <c r="O107" s="32"/>
    </row>
    <row r="108" spans="1:15">
      <c r="A108" s="202">
        <v>2002.03</v>
      </c>
      <c r="B108" s="252">
        <v>16963</v>
      </c>
      <c r="C108" s="3034">
        <v>27346</v>
      </c>
      <c r="D108" s="194">
        <f t="shared" si="2"/>
        <v>44309</v>
      </c>
      <c r="E108" s="1968"/>
      <c r="F108" s="3153"/>
      <c r="G108" s="128"/>
      <c r="H108" s="260">
        <v>34854</v>
      </c>
      <c r="I108" s="3034">
        <v>53618</v>
      </c>
      <c r="J108" s="206">
        <f t="shared" si="3"/>
        <v>88472</v>
      </c>
      <c r="K108" s="32"/>
      <c r="L108" s="32"/>
      <c r="M108" s="32"/>
      <c r="N108" s="32"/>
      <c r="O108" s="32"/>
    </row>
    <row r="109" spans="1:15">
      <c r="A109" s="202">
        <v>2002.04</v>
      </c>
      <c r="B109" s="252">
        <v>16511</v>
      </c>
      <c r="C109" s="3034">
        <v>27113</v>
      </c>
      <c r="D109" s="194">
        <f t="shared" si="2"/>
        <v>43624</v>
      </c>
      <c r="E109" s="1968"/>
      <c r="F109" s="3153"/>
      <c r="G109" s="128"/>
      <c r="H109" s="260">
        <v>34237</v>
      </c>
      <c r="I109" s="3034">
        <v>54396</v>
      </c>
      <c r="J109" s="206">
        <f t="shared" si="3"/>
        <v>88633</v>
      </c>
      <c r="K109" s="32"/>
      <c r="L109" s="32"/>
      <c r="M109" s="32"/>
      <c r="N109" s="32"/>
      <c r="O109" s="32"/>
    </row>
    <row r="110" spans="1:15">
      <c r="A110" s="202">
        <v>2002.05</v>
      </c>
      <c r="B110" s="252">
        <v>16361</v>
      </c>
      <c r="C110" s="3034">
        <v>27159</v>
      </c>
      <c r="D110" s="194">
        <f t="shared" si="2"/>
        <v>43520</v>
      </c>
      <c r="E110" s="1968"/>
      <c r="F110" s="3153"/>
      <c r="G110" s="128"/>
      <c r="H110" s="260">
        <v>33369</v>
      </c>
      <c r="I110" s="3034">
        <v>53651</v>
      </c>
      <c r="J110" s="206">
        <f t="shared" si="3"/>
        <v>87020</v>
      </c>
      <c r="K110" s="32"/>
      <c r="L110" s="32"/>
      <c r="M110" s="32"/>
      <c r="N110" s="32"/>
      <c r="O110" s="32"/>
    </row>
    <row r="111" spans="1:15">
      <c r="A111" s="202">
        <v>2002.06</v>
      </c>
      <c r="B111" s="252">
        <v>16405</v>
      </c>
      <c r="C111" s="3034">
        <v>27070</v>
      </c>
      <c r="D111" s="194">
        <f t="shared" si="2"/>
        <v>43475</v>
      </c>
      <c r="E111" s="1968"/>
      <c r="F111" s="3153"/>
      <c r="G111" s="128"/>
      <c r="H111" s="260">
        <v>31654</v>
      </c>
      <c r="I111" s="3034">
        <v>51942</v>
      </c>
      <c r="J111" s="206">
        <f t="shared" si="3"/>
        <v>83596</v>
      </c>
      <c r="K111" s="32"/>
      <c r="L111" s="32"/>
      <c r="M111" s="32"/>
      <c r="N111" s="32"/>
      <c r="O111" s="32"/>
    </row>
    <row r="112" spans="1:15">
      <c r="A112" s="202">
        <v>2002.07</v>
      </c>
      <c r="B112" s="252">
        <v>16481</v>
      </c>
      <c r="C112" s="3034">
        <v>28077</v>
      </c>
      <c r="D112" s="194">
        <f t="shared" si="2"/>
        <v>44558</v>
      </c>
      <c r="E112" s="1968"/>
      <c r="F112" s="3153"/>
      <c r="G112" s="128"/>
      <c r="H112" s="260">
        <v>31815</v>
      </c>
      <c r="I112" s="3034">
        <v>53891</v>
      </c>
      <c r="J112" s="206">
        <f t="shared" si="3"/>
        <v>85706</v>
      </c>
      <c r="K112" s="32"/>
      <c r="L112" s="32"/>
      <c r="M112" s="32"/>
      <c r="N112" s="32"/>
      <c r="O112" s="32"/>
    </row>
    <row r="113" spans="1:15">
      <c r="A113" s="202">
        <v>2002.08</v>
      </c>
      <c r="B113" s="252">
        <v>16685</v>
      </c>
      <c r="C113" s="3034">
        <v>27611</v>
      </c>
      <c r="D113" s="194">
        <f t="shared" si="2"/>
        <v>44296</v>
      </c>
      <c r="E113" s="1968"/>
      <c r="F113" s="3153"/>
      <c r="G113" s="128"/>
      <c r="H113" s="260">
        <v>33137</v>
      </c>
      <c r="I113" s="3034">
        <v>57242</v>
      </c>
      <c r="J113" s="206">
        <f t="shared" si="3"/>
        <v>90379</v>
      </c>
      <c r="K113" s="32"/>
      <c r="L113" s="32"/>
      <c r="M113" s="32"/>
      <c r="N113" s="32"/>
      <c r="O113" s="32"/>
    </row>
    <row r="114" spans="1:15">
      <c r="A114" s="202">
        <v>2002.09</v>
      </c>
      <c r="B114" s="252">
        <v>17379</v>
      </c>
      <c r="C114" s="3034">
        <v>30214</v>
      </c>
      <c r="D114" s="194">
        <f t="shared" si="2"/>
        <v>47593</v>
      </c>
      <c r="E114" s="1968"/>
      <c r="F114" s="3153"/>
      <c r="G114" s="128"/>
      <c r="H114" s="260">
        <v>34361</v>
      </c>
      <c r="I114" s="3034">
        <v>57403</v>
      </c>
      <c r="J114" s="206">
        <f t="shared" si="3"/>
        <v>91764</v>
      </c>
      <c r="K114" s="32"/>
      <c r="L114" s="32"/>
      <c r="M114" s="32"/>
      <c r="N114" s="32"/>
      <c r="O114" s="32"/>
    </row>
    <row r="115" spans="1:15">
      <c r="A115" s="202">
        <v>2002.1</v>
      </c>
      <c r="B115" s="252">
        <v>16265</v>
      </c>
      <c r="C115" s="3034">
        <v>27185</v>
      </c>
      <c r="D115" s="194">
        <f t="shared" si="2"/>
        <v>43450</v>
      </c>
      <c r="E115" s="1968"/>
      <c r="F115" s="3153"/>
      <c r="G115" s="128"/>
      <c r="H115" s="260">
        <v>33098</v>
      </c>
      <c r="I115" s="3034">
        <v>57179</v>
      </c>
      <c r="J115" s="206">
        <f t="shared" si="3"/>
        <v>90277</v>
      </c>
      <c r="K115" s="32"/>
      <c r="L115" s="32"/>
      <c r="M115" s="32"/>
      <c r="N115" s="32"/>
      <c r="O115" s="32"/>
    </row>
    <row r="116" spans="1:15">
      <c r="A116" s="202">
        <v>2002.11</v>
      </c>
      <c r="B116" s="252">
        <v>16219</v>
      </c>
      <c r="C116" s="3034">
        <v>28400</v>
      </c>
      <c r="D116" s="194">
        <f t="shared" si="2"/>
        <v>44619</v>
      </c>
      <c r="E116" s="1968"/>
      <c r="F116" s="3153"/>
      <c r="G116" s="128"/>
      <c r="H116" s="260">
        <v>34529</v>
      </c>
      <c r="I116" s="3034">
        <v>58760</v>
      </c>
      <c r="J116" s="206">
        <f t="shared" si="3"/>
        <v>93289</v>
      </c>
      <c r="K116" s="32"/>
      <c r="L116" s="32"/>
      <c r="M116" s="32"/>
      <c r="N116" s="32"/>
      <c r="O116" s="32"/>
    </row>
    <row r="117" spans="1:15">
      <c r="A117" s="202">
        <v>2002.12</v>
      </c>
      <c r="B117" s="252">
        <v>17017</v>
      </c>
      <c r="C117" s="3034">
        <v>29042</v>
      </c>
      <c r="D117" s="194">
        <f t="shared" si="2"/>
        <v>46059</v>
      </c>
      <c r="E117" s="1968"/>
      <c r="F117" s="3153"/>
      <c r="G117" s="128"/>
      <c r="H117" s="260">
        <v>35331</v>
      </c>
      <c r="I117" s="3034">
        <v>60825</v>
      </c>
      <c r="J117" s="206">
        <f t="shared" si="3"/>
        <v>96156</v>
      </c>
      <c r="K117" s="32"/>
      <c r="L117" s="32"/>
      <c r="M117" s="32"/>
      <c r="N117" s="32"/>
      <c r="O117" s="10"/>
    </row>
    <row r="118" spans="1:15">
      <c r="A118" s="202">
        <v>2003.01</v>
      </c>
      <c r="B118" s="252">
        <v>16552</v>
      </c>
      <c r="C118" s="3034">
        <v>29007</v>
      </c>
      <c r="D118" s="194">
        <f t="shared" si="2"/>
        <v>45559</v>
      </c>
      <c r="E118" s="1968"/>
      <c r="F118" s="3153"/>
      <c r="G118" s="128"/>
      <c r="H118" s="260">
        <v>33856</v>
      </c>
      <c r="I118" s="3034">
        <v>59269</v>
      </c>
      <c r="J118" s="206">
        <f t="shared" si="3"/>
        <v>93125</v>
      </c>
      <c r="K118" s="201"/>
      <c r="L118" s="201"/>
      <c r="M118" s="201"/>
      <c r="N118" s="201"/>
      <c r="O118" s="201"/>
    </row>
    <row r="119" spans="1:15">
      <c r="A119" s="202">
        <v>2003.02</v>
      </c>
      <c r="B119" s="252">
        <v>17699</v>
      </c>
      <c r="C119" s="3034">
        <v>30250</v>
      </c>
      <c r="D119" s="194">
        <f t="shared" si="2"/>
        <v>47949</v>
      </c>
      <c r="E119" s="1968"/>
      <c r="F119" s="3153"/>
      <c r="G119" s="128"/>
      <c r="H119" s="260">
        <v>35809</v>
      </c>
      <c r="I119" s="3034">
        <v>62424</v>
      </c>
      <c r="J119" s="206">
        <f t="shared" si="3"/>
        <v>98233</v>
      </c>
      <c r="K119" s="201"/>
      <c r="L119" s="201"/>
      <c r="M119" s="201"/>
      <c r="N119" s="201"/>
      <c r="O119" s="201"/>
    </row>
    <row r="120" spans="1:15">
      <c r="A120" s="202">
        <v>2003.03</v>
      </c>
      <c r="B120" s="252">
        <v>18268</v>
      </c>
      <c r="C120" s="3034">
        <v>30564</v>
      </c>
      <c r="D120" s="194">
        <f t="shared" si="2"/>
        <v>48832</v>
      </c>
      <c r="E120" s="1968"/>
      <c r="F120" s="3153"/>
      <c r="G120" s="128"/>
      <c r="H120" s="260">
        <v>39280</v>
      </c>
      <c r="I120" s="3034">
        <v>68235</v>
      </c>
      <c r="J120" s="206">
        <f t="shared" si="3"/>
        <v>107515</v>
      </c>
      <c r="K120" s="201"/>
      <c r="L120" s="201"/>
      <c r="M120" s="201"/>
      <c r="N120" s="201"/>
      <c r="O120" s="201"/>
    </row>
    <row r="121" spans="1:15">
      <c r="A121" s="202">
        <v>2003.04</v>
      </c>
      <c r="B121" s="252">
        <v>17596</v>
      </c>
      <c r="C121" s="3034">
        <v>30678</v>
      </c>
      <c r="D121" s="194">
        <f t="shared" si="2"/>
        <v>48274</v>
      </c>
      <c r="E121" s="1968"/>
      <c r="F121" s="3153"/>
      <c r="G121" s="128"/>
      <c r="H121" s="260">
        <v>38142</v>
      </c>
      <c r="I121" s="3034">
        <v>63665</v>
      </c>
      <c r="J121" s="206">
        <f t="shared" si="3"/>
        <v>101807</v>
      </c>
      <c r="K121" s="201"/>
      <c r="L121" s="201"/>
      <c r="M121" s="201"/>
      <c r="N121" s="201"/>
      <c r="O121" s="201"/>
    </row>
    <row r="122" spans="1:15">
      <c r="A122" s="202">
        <v>2003.05</v>
      </c>
      <c r="B122" s="252">
        <v>19931</v>
      </c>
      <c r="C122" s="3034">
        <v>34080</v>
      </c>
      <c r="D122" s="194">
        <f t="shared" si="2"/>
        <v>54011</v>
      </c>
      <c r="E122" s="1968"/>
      <c r="F122" s="3153"/>
      <c r="G122" s="128"/>
      <c r="H122" s="260">
        <v>39138</v>
      </c>
      <c r="I122" s="3034">
        <v>65280</v>
      </c>
      <c r="J122" s="206">
        <f t="shared" si="3"/>
        <v>104418</v>
      </c>
      <c r="K122" s="201"/>
      <c r="L122" s="201"/>
      <c r="M122" s="201"/>
      <c r="N122" s="201"/>
      <c r="O122" s="201"/>
    </row>
    <row r="123" spans="1:15">
      <c r="A123" s="202">
        <v>2003.06</v>
      </c>
      <c r="B123" s="252">
        <v>20620</v>
      </c>
      <c r="C123" s="3034">
        <v>33392</v>
      </c>
      <c r="D123" s="194">
        <f t="shared" si="2"/>
        <v>54012</v>
      </c>
      <c r="E123" s="1968"/>
      <c r="F123" s="3153"/>
      <c r="G123" s="128"/>
      <c r="H123" s="260">
        <v>40185</v>
      </c>
      <c r="I123" s="3034">
        <v>66520</v>
      </c>
      <c r="J123" s="206">
        <f t="shared" si="3"/>
        <v>106705</v>
      </c>
      <c r="K123" s="201"/>
      <c r="L123" s="201"/>
      <c r="M123" s="201"/>
      <c r="N123" s="201"/>
      <c r="O123" s="201"/>
    </row>
    <row r="124" spans="1:15">
      <c r="A124" s="202">
        <v>2003.07</v>
      </c>
      <c r="B124" s="252">
        <v>20126</v>
      </c>
      <c r="C124" s="3034">
        <v>35784</v>
      </c>
      <c r="D124" s="194">
        <f t="shared" si="2"/>
        <v>55910</v>
      </c>
      <c r="E124" s="1968"/>
      <c r="F124" s="3153"/>
      <c r="G124" s="128"/>
      <c r="H124" s="260">
        <v>38008</v>
      </c>
      <c r="I124" s="3034">
        <v>66289</v>
      </c>
      <c r="J124" s="206">
        <f t="shared" si="3"/>
        <v>104297</v>
      </c>
      <c r="K124" s="201"/>
      <c r="L124" s="201"/>
      <c r="M124" s="201"/>
      <c r="N124" s="201"/>
      <c r="O124" s="201"/>
    </row>
    <row r="125" spans="1:15">
      <c r="A125" s="202">
        <v>2003.08</v>
      </c>
      <c r="B125" s="252">
        <v>21300</v>
      </c>
      <c r="C125" s="3034">
        <v>35488</v>
      </c>
      <c r="D125" s="194">
        <f t="shared" si="2"/>
        <v>56788</v>
      </c>
      <c r="E125" s="1968"/>
      <c r="F125" s="3153"/>
      <c r="G125" s="128"/>
      <c r="H125" s="260">
        <v>38896</v>
      </c>
      <c r="I125" s="3034">
        <v>68040</v>
      </c>
      <c r="J125" s="206">
        <f t="shared" si="3"/>
        <v>106936</v>
      </c>
      <c r="K125" s="201"/>
      <c r="L125" s="201"/>
      <c r="M125" s="201"/>
      <c r="N125" s="201"/>
      <c r="O125" s="201"/>
    </row>
    <row r="126" spans="1:15">
      <c r="A126" s="202">
        <v>2003.09</v>
      </c>
      <c r="B126" s="252">
        <v>19817</v>
      </c>
      <c r="C126" s="3034">
        <v>35651</v>
      </c>
      <c r="D126" s="194">
        <f t="shared" si="2"/>
        <v>55468</v>
      </c>
      <c r="E126" s="1968"/>
      <c r="F126" s="3153"/>
      <c r="G126" s="128"/>
      <c r="H126" s="260">
        <v>37384</v>
      </c>
      <c r="I126" s="3034">
        <v>68628</v>
      </c>
      <c r="J126" s="206">
        <f t="shared" si="3"/>
        <v>106012</v>
      </c>
      <c r="K126" s="201"/>
      <c r="L126" s="201"/>
      <c r="M126" s="201"/>
      <c r="N126" s="201"/>
      <c r="O126" s="201"/>
    </row>
    <row r="127" spans="1:15">
      <c r="A127" s="202">
        <v>2003.1</v>
      </c>
      <c r="B127" s="252">
        <v>18783</v>
      </c>
      <c r="C127" s="3034">
        <v>34554</v>
      </c>
      <c r="D127" s="194">
        <f t="shared" si="2"/>
        <v>53337</v>
      </c>
      <c r="E127" s="1968"/>
      <c r="F127" s="3153"/>
      <c r="G127" s="128"/>
      <c r="H127" s="260">
        <v>37772</v>
      </c>
      <c r="I127" s="3034">
        <v>69246</v>
      </c>
      <c r="J127" s="206">
        <f t="shared" si="3"/>
        <v>107018</v>
      </c>
      <c r="K127" s="201"/>
      <c r="L127" s="201"/>
      <c r="M127" s="201"/>
      <c r="N127" s="201"/>
      <c r="O127" s="201"/>
    </row>
    <row r="128" spans="1:15">
      <c r="A128" s="202">
        <v>2003.11</v>
      </c>
      <c r="B128" s="252">
        <v>19572</v>
      </c>
      <c r="C128" s="3034">
        <v>35913</v>
      </c>
      <c r="D128" s="194">
        <f t="shared" si="2"/>
        <v>55485</v>
      </c>
      <c r="E128" s="1968"/>
      <c r="F128" s="3153"/>
      <c r="G128" s="128"/>
      <c r="H128" s="260">
        <v>39512</v>
      </c>
      <c r="I128" s="3034">
        <v>71419</v>
      </c>
      <c r="J128" s="206">
        <f t="shared" si="3"/>
        <v>110931</v>
      </c>
      <c r="K128" s="201"/>
      <c r="L128" s="201"/>
      <c r="M128" s="201"/>
      <c r="N128" s="201"/>
      <c r="O128" s="201"/>
    </row>
    <row r="129" spans="1:10">
      <c r="A129" s="202">
        <v>2003.12</v>
      </c>
      <c r="B129" s="252">
        <v>19439</v>
      </c>
      <c r="C129" s="3034">
        <v>36682</v>
      </c>
      <c r="D129" s="194">
        <f t="shared" si="2"/>
        <v>56121</v>
      </c>
      <c r="E129" s="1968"/>
      <c r="F129" s="3153"/>
      <c r="G129" s="128"/>
      <c r="H129" s="260">
        <v>39168</v>
      </c>
      <c r="I129" s="3034">
        <v>71512</v>
      </c>
      <c r="J129" s="206">
        <f t="shared" si="3"/>
        <v>110680</v>
      </c>
    </row>
    <row r="130" spans="1:10">
      <c r="A130" s="202">
        <v>2004.01</v>
      </c>
      <c r="B130" s="252">
        <v>18842</v>
      </c>
      <c r="C130" s="3034">
        <v>37240</v>
      </c>
      <c r="D130" s="194">
        <f t="shared" si="2"/>
        <v>56082</v>
      </c>
      <c r="E130" s="1968"/>
      <c r="F130" s="3153"/>
      <c r="G130" s="128"/>
      <c r="H130" s="260">
        <v>40955</v>
      </c>
      <c r="I130" s="3034">
        <v>72745</v>
      </c>
      <c r="J130" s="206">
        <f t="shared" si="3"/>
        <v>113700</v>
      </c>
    </row>
    <row r="131" spans="1:10">
      <c r="A131" s="202">
        <v>2004.02</v>
      </c>
      <c r="B131" s="252">
        <v>20213</v>
      </c>
      <c r="C131" s="3034">
        <v>37335</v>
      </c>
      <c r="D131" s="194">
        <f t="shared" si="2"/>
        <v>57548</v>
      </c>
      <c r="E131" s="1968"/>
      <c r="F131" s="3153"/>
      <c r="G131" s="128"/>
      <c r="H131" s="260">
        <v>45193</v>
      </c>
      <c r="I131" s="3034">
        <v>78776</v>
      </c>
      <c r="J131" s="206">
        <f t="shared" si="3"/>
        <v>123969</v>
      </c>
    </row>
    <row r="132" spans="1:10">
      <c r="A132" s="202">
        <v>2004.03</v>
      </c>
      <c r="B132" s="252">
        <v>19086</v>
      </c>
      <c r="C132" s="3034">
        <v>38771</v>
      </c>
      <c r="D132" s="194">
        <f t="shared" si="2"/>
        <v>57857</v>
      </c>
      <c r="E132" s="1968"/>
      <c r="F132" s="3153"/>
      <c r="G132" s="128"/>
      <c r="H132" s="260">
        <v>43826</v>
      </c>
      <c r="I132" s="3034">
        <v>82927</v>
      </c>
      <c r="J132" s="206">
        <f t="shared" si="3"/>
        <v>126753</v>
      </c>
    </row>
    <row r="133" spans="1:10">
      <c r="A133" s="202">
        <v>2004.04</v>
      </c>
      <c r="B133" s="252">
        <v>19302</v>
      </c>
      <c r="C133" s="3034">
        <v>37797</v>
      </c>
      <c r="D133" s="194">
        <f t="shared" si="2"/>
        <v>57099</v>
      </c>
      <c r="E133" s="1968"/>
      <c r="F133" s="3153"/>
      <c r="G133" s="128"/>
      <c r="H133" s="260">
        <v>43818</v>
      </c>
      <c r="I133" s="3034">
        <v>80786</v>
      </c>
      <c r="J133" s="206">
        <f t="shared" si="3"/>
        <v>124604</v>
      </c>
    </row>
    <row r="134" spans="1:10">
      <c r="A134" s="202">
        <v>2004.05</v>
      </c>
      <c r="B134" s="252">
        <v>19924</v>
      </c>
      <c r="C134" s="3034">
        <v>38270</v>
      </c>
      <c r="D134" s="194">
        <f t="shared" si="2"/>
        <v>58194</v>
      </c>
      <c r="E134" s="1968"/>
      <c r="F134" s="3153"/>
      <c r="G134" s="128"/>
      <c r="H134" s="260">
        <v>44615</v>
      </c>
      <c r="I134" s="3034">
        <v>79655</v>
      </c>
      <c r="J134" s="206">
        <f t="shared" si="3"/>
        <v>124270</v>
      </c>
    </row>
    <row r="135" spans="1:10">
      <c r="A135" s="202">
        <v>2004.06</v>
      </c>
      <c r="B135" s="252">
        <v>18764</v>
      </c>
      <c r="C135" s="3034">
        <v>36920</v>
      </c>
      <c r="D135" s="194">
        <f t="shared" si="2"/>
        <v>55684</v>
      </c>
      <c r="E135" s="1968"/>
      <c r="F135" s="3153"/>
      <c r="G135" s="128"/>
      <c r="H135" s="260">
        <v>40062</v>
      </c>
      <c r="I135" s="3034">
        <v>75615</v>
      </c>
      <c r="J135" s="206">
        <f t="shared" si="3"/>
        <v>115677</v>
      </c>
    </row>
    <row r="136" spans="1:10">
      <c r="A136" s="202">
        <v>2004.07</v>
      </c>
      <c r="B136" s="252">
        <v>18792</v>
      </c>
      <c r="C136" s="3034">
        <v>36899</v>
      </c>
      <c r="D136" s="194">
        <f t="shared" si="2"/>
        <v>55691</v>
      </c>
      <c r="E136" s="1968"/>
      <c r="F136" s="3153"/>
      <c r="G136" s="128"/>
      <c r="H136" s="260">
        <v>39571</v>
      </c>
      <c r="I136" s="3034">
        <v>75507</v>
      </c>
      <c r="J136" s="206">
        <f t="shared" si="3"/>
        <v>115078</v>
      </c>
    </row>
    <row r="137" spans="1:10">
      <c r="A137" s="202">
        <v>2004.08</v>
      </c>
      <c r="B137" s="252">
        <v>19497</v>
      </c>
      <c r="C137" s="3034">
        <v>37329</v>
      </c>
      <c r="D137" s="194">
        <f t="shared" si="2"/>
        <v>56826</v>
      </c>
      <c r="E137" s="1968"/>
      <c r="F137" s="3153"/>
      <c r="G137" s="128"/>
      <c r="H137" s="260">
        <v>40940</v>
      </c>
      <c r="I137" s="3034">
        <v>76631</v>
      </c>
      <c r="J137" s="206">
        <f t="shared" si="3"/>
        <v>117571</v>
      </c>
    </row>
    <row r="138" spans="1:10">
      <c r="A138" s="202">
        <v>2004.09</v>
      </c>
      <c r="B138" s="252">
        <v>18679</v>
      </c>
      <c r="C138" s="3034">
        <v>37158</v>
      </c>
      <c r="D138" s="194">
        <f t="shared" si="2"/>
        <v>55837</v>
      </c>
      <c r="E138" s="1968"/>
      <c r="F138" s="3153"/>
      <c r="G138" s="128"/>
      <c r="H138" s="260">
        <v>39220</v>
      </c>
      <c r="I138" s="3034">
        <v>76354</v>
      </c>
      <c r="J138" s="206">
        <f t="shared" si="3"/>
        <v>115574</v>
      </c>
    </row>
    <row r="139" spans="1:10">
      <c r="A139" s="202">
        <v>2004.1</v>
      </c>
      <c r="B139" s="252">
        <v>19079</v>
      </c>
      <c r="C139" s="3034">
        <v>36632</v>
      </c>
      <c r="D139" s="194">
        <f t="shared" si="2"/>
        <v>55711</v>
      </c>
      <c r="E139" s="1968"/>
      <c r="F139" s="3153"/>
      <c r="G139" s="128"/>
      <c r="H139" s="260">
        <v>40799</v>
      </c>
      <c r="I139" s="3034">
        <v>76247</v>
      </c>
      <c r="J139" s="206">
        <f t="shared" si="3"/>
        <v>117046</v>
      </c>
    </row>
    <row r="140" spans="1:10">
      <c r="A140" s="202">
        <v>2004.11</v>
      </c>
      <c r="B140" s="252">
        <v>17628</v>
      </c>
      <c r="C140" s="3034">
        <v>37749</v>
      </c>
      <c r="D140" s="194">
        <f t="shared" ref="D140:D203" si="4">B140+C140</f>
        <v>55377</v>
      </c>
      <c r="E140" s="1968"/>
      <c r="F140" s="3153"/>
      <c r="G140" s="128"/>
      <c r="H140" s="260">
        <v>40793</v>
      </c>
      <c r="I140" s="3034">
        <v>80794</v>
      </c>
      <c r="J140" s="206">
        <f t="shared" ref="J140:J203" si="5">H140+I140</f>
        <v>121587</v>
      </c>
    </row>
    <row r="141" spans="1:10">
      <c r="A141" s="202">
        <v>2004.12</v>
      </c>
      <c r="B141" s="252">
        <v>18190</v>
      </c>
      <c r="C141" s="3034">
        <v>36717</v>
      </c>
      <c r="D141" s="194">
        <f t="shared" si="4"/>
        <v>54907</v>
      </c>
      <c r="E141" s="1968"/>
      <c r="F141" s="3153"/>
      <c r="G141" s="128"/>
      <c r="H141" s="260">
        <v>40134</v>
      </c>
      <c r="I141" s="3034">
        <v>77324</v>
      </c>
      <c r="J141" s="206">
        <f t="shared" si="5"/>
        <v>117458</v>
      </c>
    </row>
    <row r="142" spans="1:10">
      <c r="A142" s="202">
        <v>2005.01</v>
      </c>
      <c r="B142" s="252">
        <v>18509</v>
      </c>
      <c r="C142" s="3034">
        <v>36299</v>
      </c>
      <c r="D142" s="194">
        <f t="shared" si="4"/>
        <v>54808</v>
      </c>
      <c r="E142" s="1968"/>
      <c r="F142" s="3153"/>
      <c r="G142" s="128"/>
      <c r="H142" s="260">
        <v>39706</v>
      </c>
      <c r="I142" s="3034">
        <v>77318</v>
      </c>
      <c r="J142" s="206">
        <f t="shared" si="5"/>
        <v>117024</v>
      </c>
    </row>
    <row r="143" spans="1:10">
      <c r="A143" s="202">
        <v>2005.02</v>
      </c>
      <c r="B143" s="252">
        <v>18798</v>
      </c>
      <c r="C143" s="3034">
        <v>37599</v>
      </c>
      <c r="D143" s="194">
        <f t="shared" si="4"/>
        <v>56397</v>
      </c>
      <c r="E143" s="1968"/>
      <c r="F143" s="3153"/>
      <c r="G143" s="128"/>
      <c r="H143" s="260">
        <v>40440</v>
      </c>
      <c r="I143" s="3034">
        <v>79858</v>
      </c>
      <c r="J143" s="206">
        <f t="shared" si="5"/>
        <v>120298</v>
      </c>
    </row>
    <row r="144" spans="1:10">
      <c r="A144" s="202">
        <v>2005.03</v>
      </c>
      <c r="B144" s="252">
        <v>18732</v>
      </c>
      <c r="C144" s="3034">
        <v>38356</v>
      </c>
      <c r="D144" s="194">
        <f t="shared" si="4"/>
        <v>57088</v>
      </c>
      <c r="E144" s="1968"/>
      <c r="F144" s="3153"/>
      <c r="G144" s="128"/>
      <c r="H144" s="260">
        <v>39825</v>
      </c>
      <c r="I144" s="3034">
        <v>80534</v>
      </c>
      <c r="J144" s="206">
        <f t="shared" si="5"/>
        <v>120359</v>
      </c>
    </row>
    <row r="145" spans="1:10">
      <c r="A145" s="202">
        <v>2005.04</v>
      </c>
      <c r="B145" s="252">
        <v>19406</v>
      </c>
      <c r="C145" s="3034">
        <v>40235</v>
      </c>
      <c r="D145" s="194">
        <f t="shared" si="4"/>
        <v>59641</v>
      </c>
      <c r="E145" s="1968"/>
      <c r="F145" s="3153"/>
      <c r="G145" s="128"/>
      <c r="H145" s="260">
        <v>42172</v>
      </c>
      <c r="I145" s="3034">
        <v>83086</v>
      </c>
      <c r="J145" s="206">
        <f t="shared" si="5"/>
        <v>125258</v>
      </c>
    </row>
    <row r="146" spans="1:10">
      <c r="A146" s="202">
        <v>2005.05</v>
      </c>
      <c r="B146" s="252">
        <v>19734</v>
      </c>
      <c r="C146" s="3034">
        <v>38259</v>
      </c>
      <c r="D146" s="194">
        <f t="shared" si="4"/>
        <v>57993</v>
      </c>
      <c r="E146" s="1968"/>
      <c r="F146" s="3153"/>
      <c r="G146" s="128"/>
      <c r="H146" s="260">
        <v>40466</v>
      </c>
      <c r="I146" s="3034">
        <v>79742</v>
      </c>
      <c r="J146" s="206">
        <f t="shared" si="5"/>
        <v>120208</v>
      </c>
    </row>
    <row r="147" spans="1:10">
      <c r="A147" s="202">
        <v>2005.06</v>
      </c>
      <c r="B147" s="252">
        <v>18639</v>
      </c>
      <c r="C147" s="3034">
        <v>38250</v>
      </c>
      <c r="D147" s="194">
        <f t="shared" si="4"/>
        <v>56889</v>
      </c>
      <c r="E147" s="1968"/>
      <c r="F147" s="3153"/>
      <c r="G147" s="128"/>
      <c r="H147" s="260">
        <v>40338</v>
      </c>
      <c r="I147" s="3034">
        <v>79288</v>
      </c>
      <c r="J147" s="206">
        <f t="shared" si="5"/>
        <v>119626</v>
      </c>
    </row>
    <row r="148" spans="1:10">
      <c r="A148" s="202">
        <v>2005.07</v>
      </c>
      <c r="B148" s="252">
        <v>19597</v>
      </c>
      <c r="C148" s="3034">
        <v>39401</v>
      </c>
      <c r="D148" s="194">
        <f t="shared" si="4"/>
        <v>58998</v>
      </c>
      <c r="E148" s="1968"/>
      <c r="F148" s="3153"/>
      <c r="G148" s="128"/>
      <c r="H148" s="260">
        <v>40883</v>
      </c>
      <c r="I148" s="3034">
        <v>80212</v>
      </c>
      <c r="J148" s="206">
        <f t="shared" si="5"/>
        <v>121095</v>
      </c>
    </row>
    <row r="149" spans="1:10">
      <c r="A149" s="202">
        <v>2005.08</v>
      </c>
      <c r="B149" s="252">
        <v>19081</v>
      </c>
      <c r="C149" s="3034">
        <v>39911</v>
      </c>
      <c r="D149" s="194">
        <f t="shared" si="4"/>
        <v>58992</v>
      </c>
      <c r="E149" s="1968"/>
      <c r="F149" s="3153"/>
      <c r="G149" s="128"/>
      <c r="H149" s="260">
        <v>39979</v>
      </c>
      <c r="I149" s="3034">
        <v>80736</v>
      </c>
      <c r="J149" s="206">
        <f t="shared" si="5"/>
        <v>120715</v>
      </c>
    </row>
    <row r="150" spans="1:10">
      <c r="A150" s="202">
        <v>2005.09</v>
      </c>
      <c r="B150" s="252">
        <v>19604</v>
      </c>
      <c r="C150" s="3034">
        <v>41574</v>
      </c>
      <c r="D150" s="194">
        <f t="shared" si="4"/>
        <v>61178</v>
      </c>
      <c r="E150" s="1968"/>
      <c r="F150" s="3153"/>
      <c r="G150" s="128"/>
      <c r="H150" s="260">
        <v>38655</v>
      </c>
      <c r="I150" s="3034">
        <v>78857</v>
      </c>
      <c r="J150" s="206">
        <f t="shared" si="5"/>
        <v>117512</v>
      </c>
    </row>
    <row r="151" spans="1:10">
      <c r="A151" s="202">
        <v>2005.1</v>
      </c>
      <c r="B151" s="252">
        <v>19907</v>
      </c>
      <c r="C151" s="3034">
        <v>38618</v>
      </c>
      <c r="D151" s="194">
        <f t="shared" si="4"/>
        <v>58525</v>
      </c>
      <c r="E151" s="1968"/>
      <c r="F151" s="3153"/>
      <c r="G151" s="128"/>
      <c r="H151" s="260">
        <v>39848</v>
      </c>
      <c r="I151" s="3034">
        <v>77431</v>
      </c>
      <c r="J151" s="206">
        <f t="shared" si="5"/>
        <v>117279</v>
      </c>
    </row>
    <row r="152" spans="1:10">
      <c r="A152" s="202">
        <v>2005.11</v>
      </c>
      <c r="B152" s="252">
        <v>19111</v>
      </c>
      <c r="C152" s="3034">
        <v>38600</v>
      </c>
      <c r="D152" s="194">
        <f t="shared" si="4"/>
        <v>57711</v>
      </c>
      <c r="E152" s="1968"/>
      <c r="F152" s="3153"/>
      <c r="G152" s="128"/>
      <c r="H152" s="260">
        <v>39264</v>
      </c>
      <c r="I152" s="3034">
        <v>78963</v>
      </c>
      <c r="J152" s="206">
        <f t="shared" si="5"/>
        <v>118227</v>
      </c>
    </row>
    <row r="153" spans="1:10">
      <c r="A153" s="202">
        <v>2005.12</v>
      </c>
      <c r="B153" s="252">
        <v>18515</v>
      </c>
      <c r="C153" s="3034">
        <v>39418</v>
      </c>
      <c r="D153" s="194">
        <f t="shared" si="4"/>
        <v>57933</v>
      </c>
      <c r="E153" s="1968"/>
      <c r="F153" s="3153"/>
      <c r="G153" s="128"/>
      <c r="H153" s="260">
        <v>39398</v>
      </c>
      <c r="I153" s="3034">
        <v>78757</v>
      </c>
      <c r="J153" s="206">
        <f t="shared" si="5"/>
        <v>118155</v>
      </c>
    </row>
    <row r="154" spans="1:10">
      <c r="A154" s="202">
        <v>2006.01</v>
      </c>
      <c r="B154" s="252">
        <v>19035</v>
      </c>
      <c r="C154" s="3034">
        <v>37944</v>
      </c>
      <c r="D154" s="194">
        <f t="shared" si="4"/>
        <v>56979</v>
      </c>
      <c r="E154" s="1968"/>
      <c r="F154" s="3153"/>
      <c r="G154" s="128"/>
      <c r="H154" s="260">
        <v>38204</v>
      </c>
      <c r="I154" s="3034">
        <v>77718</v>
      </c>
      <c r="J154" s="206">
        <f t="shared" si="5"/>
        <v>115922</v>
      </c>
    </row>
    <row r="155" spans="1:10">
      <c r="A155" s="202">
        <v>2006.02</v>
      </c>
      <c r="B155" s="252">
        <v>19245</v>
      </c>
      <c r="C155" s="3034">
        <v>39447</v>
      </c>
      <c r="D155" s="194">
        <f t="shared" si="4"/>
        <v>58692</v>
      </c>
      <c r="E155" s="1968"/>
      <c r="F155" s="3153"/>
      <c r="G155" s="128"/>
      <c r="H155" s="260">
        <v>40105</v>
      </c>
      <c r="I155" s="3034">
        <v>81617</v>
      </c>
      <c r="J155" s="206">
        <f t="shared" si="5"/>
        <v>121722</v>
      </c>
    </row>
    <row r="156" spans="1:10">
      <c r="A156" s="202">
        <v>2006.03</v>
      </c>
      <c r="B156" s="252">
        <v>19067</v>
      </c>
      <c r="C156" s="3034">
        <v>40910</v>
      </c>
      <c r="D156" s="194">
        <f t="shared" si="4"/>
        <v>59977</v>
      </c>
      <c r="E156" s="1968"/>
      <c r="F156" s="3153"/>
      <c r="G156" s="128"/>
      <c r="H156" s="260">
        <v>40701</v>
      </c>
      <c r="I156" s="3034">
        <v>86487</v>
      </c>
      <c r="J156" s="206">
        <f t="shared" si="5"/>
        <v>127188</v>
      </c>
    </row>
    <row r="157" spans="1:10">
      <c r="A157" s="202">
        <v>2006.04</v>
      </c>
      <c r="B157" s="252">
        <v>20356</v>
      </c>
      <c r="C157" s="3034">
        <v>40932</v>
      </c>
      <c r="D157" s="194">
        <f t="shared" si="4"/>
        <v>61288</v>
      </c>
      <c r="E157" s="1968"/>
      <c r="F157" s="3153"/>
      <c r="G157" s="128"/>
      <c r="H157" s="260">
        <v>45020</v>
      </c>
      <c r="I157" s="3034">
        <v>89176</v>
      </c>
      <c r="J157" s="206">
        <f t="shared" si="5"/>
        <v>134196</v>
      </c>
    </row>
    <row r="158" spans="1:10">
      <c r="A158" s="202">
        <v>2006.05</v>
      </c>
      <c r="B158" s="252">
        <v>19474</v>
      </c>
      <c r="C158" s="3034">
        <v>41646</v>
      </c>
      <c r="D158" s="194">
        <f t="shared" si="4"/>
        <v>61120</v>
      </c>
      <c r="E158" s="1968"/>
      <c r="F158" s="3153"/>
      <c r="G158" s="128"/>
      <c r="H158" s="260">
        <v>40428</v>
      </c>
      <c r="I158" s="3034">
        <v>83025</v>
      </c>
      <c r="J158" s="206">
        <f t="shared" si="5"/>
        <v>123453</v>
      </c>
    </row>
    <row r="159" spans="1:10">
      <c r="A159" s="202">
        <v>2006.06</v>
      </c>
      <c r="B159" s="252">
        <v>18553</v>
      </c>
      <c r="C159" s="3034">
        <v>40018</v>
      </c>
      <c r="D159" s="194">
        <f t="shared" si="4"/>
        <v>58571</v>
      </c>
      <c r="E159" s="1968"/>
      <c r="F159" s="3153"/>
      <c r="G159" s="128"/>
      <c r="H159" s="260">
        <v>38204</v>
      </c>
      <c r="I159" s="3034">
        <v>81470</v>
      </c>
      <c r="J159" s="206">
        <f t="shared" si="5"/>
        <v>119674</v>
      </c>
    </row>
    <row r="160" spans="1:10">
      <c r="A160" s="202">
        <v>2006.07</v>
      </c>
      <c r="B160" s="252">
        <v>18753</v>
      </c>
      <c r="C160" s="3034">
        <v>39368</v>
      </c>
      <c r="D160" s="194">
        <f t="shared" si="4"/>
        <v>58121</v>
      </c>
      <c r="E160" s="1968"/>
      <c r="F160" s="3153"/>
      <c r="G160" s="128"/>
      <c r="H160" s="260">
        <v>41034</v>
      </c>
      <c r="I160" s="3034">
        <v>82937</v>
      </c>
      <c r="J160" s="206">
        <f t="shared" si="5"/>
        <v>123971</v>
      </c>
    </row>
    <row r="161" spans="1:10">
      <c r="A161" s="202">
        <v>2006.08</v>
      </c>
      <c r="B161" s="252">
        <v>18041</v>
      </c>
      <c r="C161" s="3034">
        <v>39756</v>
      </c>
      <c r="D161" s="194">
        <f t="shared" si="4"/>
        <v>57797</v>
      </c>
      <c r="E161" s="1968"/>
      <c r="F161" s="3153"/>
      <c r="G161" s="128"/>
      <c r="H161" s="260">
        <v>39161</v>
      </c>
      <c r="I161" s="3034">
        <v>82998</v>
      </c>
      <c r="J161" s="206">
        <f t="shared" si="5"/>
        <v>122159</v>
      </c>
    </row>
    <row r="162" spans="1:10">
      <c r="A162" s="202">
        <v>2006.09</v>
      </c>
      <c r="B162" s="252">
        <v>18014</v>
      </c>
      <c r="C162" s="3034">
        <v>39637</v>
      </c>
      <c r="D162" s="194">
        <f t="shared" si="4"/>
        <v>57651</v>
      </c>
      <c r="E162" s="1968"/>
      <c r="F162" s="3153"/>
      <c r="G162" s="128"/>
      <c r="H162" s="260">
        <v>39526</v>
      </c>
      <c r="I162" s="3034">
        <v>82318</v>
      </c>
      <c r="J162" s="206">
        <f t="shared" si="5"/>
        <v>121844</v>
      </c>
    </row>
    <row r="163" spans="1:10">
      <c r="A163" s="202">
        <v>2006.1</v>
      </c>
      <c r="B163" s="252">
        <v>18265</v>
      </c>
      <c r="C163" s="3034">
        <v>38589</v>
      </c>
      <c r="D163" s="194">
        <f t="shared" si="4"/>
        <v>56854</v>
      </c>
      <c r="E163" s="1968"/>
      <c r="F163" s="3153"/>
      <c r="G163" s="128"/>
      <c r="H163" s="260">
        <v>40892</v>
      </c>
      <c r="I163" s="3034">
        <v>81307</v>
      </c>
      <c r="J163" s="206">
        <f t="shared" si="5"/>
        <v>122199</v>
      </c>
    </row>
    <row r="164" spans="1:10">
      <c r="A164" s="202">
        <v>2006.11</v>
      </c>
      <c r="B164" s="252">
        <v>17677</v>
      </c>
      <c r="C164" s="3034">
        <v>38419</v>
      </c>
      <c r="D164" s="194">
        <f t="shared" si="4"/>
        <v>56096</v>
      </c>
      <c r="E164" s="1968"/>
      <c r="F164" s="3153"/>
      <c r="G164" s="128"/>
      <c r="H164" s="260">
        <v>40087</v>
      </c>
      <c r="I164" s="3034">
        <v>81906</v>
      </c>
      <c r="J164" s="206">
        <f t="shared" si="5"/>
        <v>121993</v>
      </c>
    </row>
    <row r="165" spans="1:10">
      <c r="A165" s="202">
        <v>2006.12</v>
      </c>
      <c r="B165" s="252">
        <v>18069</v>
      </c>
      <c r="C165" s="3034">
        <v>36221</v>
      </c>
      <c r="D165" s="194">
        <f t="shared" si="4"/>
        <v>54290</v>
      </c>
      <c r="E165" s="1968"/>
      <c r="F165" s="3153"/>
      <c r="G165" s="128"/>
      <c r="H165" s="260">
        <v>41007</v>
      </c>
      <c r="I165" s="3034">
        <v>77988</v>
      </c>
      <c r="J165" s="206">
        <f t="shared" si="5"/>
        <v>118995</v>
      </c>
    </row>
    <row r="166" spans="1:10">
      <c r="A166" s="202">
        <v>2007.01</v>
      </c>
      <c r="B166" s="252">
        <v>17586</v>
      </c>
      <c r="C166" s="3034">
        <v>38296</v>
      </c>
      <c r="D166" s="194">
        <f t="shared" si="4"/>
        <v>55882</v>
      </c>
      <c r="E166" s="1968"/>
      <c r="F166" s="3153"/>
      <c r="G166" s="128"/>
      <c r="H166" s="260">
        <v>39211</v>
      </c>
      <c r="I166" s="3034">
        <v>81553</v>
      </c>
      <c r="J166" s="206">
        <f t="shared" si="5"/>
        <v>120764</v>
      </c>
    </row>
    <row r="167" spans="1:10">
      <c r="A167" s="202">
        <v>2007.02</v>
      </c>
      <c r="B167" s="252">
        <v>18502</v>
      </c>
      <c r="C167" s="3034">
        <v>40240</v>
      </c>
      <c r="D167" s="194">
        <f t="shared" si="4"/>
        <v>58742</v>
      </c>
      <c r="E167" s="1968"/>
      <c r="F167" s="3153"/>
      <c r="G167" s="128"/>
      <c r="H167" s="260">
        <v>41301</v>
      </c>
      <c r="I167" s="3034">
        <v>84741</v>
      </c>
      <c r="J167" s="206">
        <f t="shared" si="5"/>
        <v>126042</v>
      </c>
    </row>
    <row r="168" spans="1:10">
      <c r="A168" s="202">
        <v>2007.03</v>
      </c>
      <c r="B168" s="252">
        <v>18906</v>
      </c>
      <c r="C168" s="3034">
        <v>41851</v>
      </c>
      <c r="D168" s="194">
        <f t="shared" si="4"/>
        <v>60757</v>
      </c>
      <c r="E168" s="1968"/>
      <c r="F168" s="3153"/>
      <c r="G168" s="128"/>
      <c r="H168" s="260">
        <v>42071</v>
      </c>
      <c r="I168" s="3034">
        <v>88263</v>
      </c>
      <c r="J168" s="206">
        <f t="shared" si="5"/>
        <v>130334</v>
      </c>
    </row>
    <row r="169" spans="1:10">
      <c r="A169" s="202">
        <v>2007.04</v>
      </c>
      <c r="B169" s="252">
        <v>19836</v>
      </c>
      <c r="C169" s="3034">
        <v>42385</v>
      </c>
      <c r="D169" s="194">
        <f t="shared" si="4"/>
        <v>62221</v>
      </c>
      <c r="E169" s="1968"/>
      <c r="F169" s="3153"/>
      <c r="G169" s="128"/>
      <c r="H169" s="260">
        <v>43750</v>
      </c>
      <c r="I169" s="3034">
        <v>86748</v>
      </c>
      <c r="J169" s="206">
        <f t="shared" si="5"/>
        <v>130498</v>
      </c>
    </row>
    <row r="170" spans="1:10">
      <c r="A170" s="202">
        <v>2007.05</v>
      </c>
      <c r="B170" s="252">
        <v>18456</v>
      </c>
      <c r="C170" s="3034">
        <v>42010</v>
      </c>
      <c r="D170" s="194">
        <f t="shared" si="4"/>
        <v>60466</v>
      </c>
      <c r="E170" s="1968"/>
      <c r="F170" s="3153"/>
      <c r="G170" s="128"/>
      <c r="H170" s="260">
        <v>41422</v>
      </c>
      <c r="I170" s="3034">
        <v>86422</v>
      </c>
      <c r="J170" s="206">
        <f t="shared" si="5"/>
        <v>127844</v>
      </c>
    </row>
    <row r="171" spans="1:10">
      <c r="A171" s="202">
        <v>2007.06</v>
      </c>
      <c r="B171" s="252">
        <v>18648</v>
      </c>
      <c r="C171" s="3034">
        <v>41515</v>
      </c>
      <c r="D171" s="194">
        <f t="shared" si="4"/>
        <v>60163</v>
      </c>
      <c r="E171" s="1968"/>
      <c r="F171" s="3153"/>
      <c r="G171" s="128"/>
      <c r="H171" s="260">
        <v>41621</v>
      </c>
      <c r="I171" s="3034">
        <v>84172</v>
      </c>
      <c r="J171" s="206">
        <f t="shared" si="5"/>
        <v>125793</v>
      </c>
    </row>
    <row r="172" spans="1:10">
      <c r="A172" s="202">
        <v>2007.07</v>
      </c>
      <c r="B172" s="252">
        <v>19171</v>
      </c>
      <c r="C172" s="3034">
        <v>40969</v>
      </c>
      <c r="D172" s="194">
        <f t="shared" si="4"/>
        <v>60140</v>
      </c>
      <c r="E172" s="1968"/>
      <c r="F172" s="3153"/>
      <c r="G172" s="128"/>
      <c r="H172" s="260">
        <v>43010</v>
      </c>
      <c r="I172" s="3034">
        <v>84112</v>
      </c>
      <c r="J172" s="206">
        <f t="shared" si="5"/>
        <v>127122</v>
      </c>
    </row>
    <row r="173" spans="1:10">
      <c r="A173" s="202">
        <v>2007.08</v>
      </c>
      <c r="B173" s="252">
        <v>18276</v>
      </c>
      <c r="C173" s="3034">
        <v>41737</v>
      </c>
      <c r="D173" s="194">
        <f t="shared" si="4"/>
        <v>60013</v>
      </c>
      <c r="E173" s="1968"/>
      <c r="F173" s="3153"/>
      <c r="G173" s="128"/>
      <c r="H173" s="260">
        <v>40552</v>
      </c>
      <c r="I173" s="3034">
        <v>84451</v>
      </c>
      <c r="J173" s="206">
        <f t="shared" si="5"/>
        <v>125003</v>
      </c>
    </row>
    <row r="174" spans="1:10">
      <c r="A174" s="202">
        <v>2007.09</v>
      </c>
      <c r="B174" s="252">
        <v>19469</v>
      </c>
      <c r="C174" s="3034">
        <v>42039</v>
      </c>
      <c r="D174" s="194">
        <f t="shared" si="4"/>
        <v>61508</v>
      </c>
      <c r="E174" s="1968"/>
      <c r="F174" s="3153"/>
      <c r="G174" s="128"/>
      <c r="H174" s="260">
        <v>43310</v>
      </c>
      <c r="I174" s="3034">
        <v>84590</v>
      </c>
      <c r="J174" s="206">
        <f t="shared" si="5"/>
        <v>127900</v>
      </c>
    </row>
    <row r="175" spans="1:10">
      <c r="A175" s="202">
        <v>2007.1</v>
      </c>
      <c r="B175" s="252">
        <v>18261</v>
      </c>
      <c r="C175" s="3034">
        <v>41180</v>
      </c>
      <c r="D175" s="194">
        <f t="shared" si="4"/>
        <v>59441</v>
      </c>
      <c r="E175" s="1968"/>
      <c r="F175" s="3153"/>
      <c r="G175" s="128"/>
      <c r="H175" s="260">
        <v>41097</v>
      </c>
      <c r="I175" s="3034">
        <v>84282</v>
      </c>
      <c r="J175" s="206">
        <f t="shared" si="5"/>
        <v>125379</v>
      </c>
    </row>
    <row r="176" spans="1:10">
      <c r="A176" s="202">
        <v>2007.11</v>
      </c>
      <c r="B176" s="252">
        <v>18596</v>
      </c>
      <c r="C176" s="3034">
        <v>42290</v>
      </c>
      <c r="D176" s="194">
        <f t="shared" si="4"/>
        <v>60886</v>
      </c>
      <c r="E176" s="1968"/>
      <c r="F176" s="3153"/>
      <c r="G176" s="128"/>
      <c r="H176" s="260">
        <v>42699</v>
      </c>
      <c r="I176" s="3034">
        <v>85311</v>
      </c>
      <c r="J176" s="206">
        <f t="shared" si="5"/>
        <v>128010</v>
      </c>
    </row>
    <row r="177" spans="1:10">
      <c r="A177" s="202">
        <v>2007.12</v>
      </c>
      <c r="B177" s="252">
        <v>19142</v>
      </c>
      <c r="C177" s="3034">
        <v>40086</v>
      </c>
      <c r="D177" s="194">
        <f t="shared" si="4"/>
        <v>59228</v>
      </c>
      <c r="E177" s="1968"/>
      <c r="F177" s="3153"/>
      <c r="G177" s="128"/>
      <c r="H177" s="260">
        <v>42859</v>
      </c>
      <c r="I177" s="3034">
        <v>83689</v>
      </c>
      <c r="J177" s="206">
        <f t="shared" si="5"/>
        <v>126548</v>
      </c>
    </row>
    <row r="178" spans="1:10">
      <c r="A178" s="202">
        <f t="shared" ref="A178:A241" si="6">A166+1</f>
        <v>2008.01</v>
      </c>
      <c r="B178" s="252">
        <v>18452</v>
      </c>
      <c r="C178" s="3034">
        <v>41358</v>
      </c>
      <c r="D178" s="194">
        <f t="shared" si="4"/>
        <v>59810</v>
      </c>
      <c r="E178" s="1968"/>
      <c r="F178" s="3153"/>
      <c r="G178" s="128"/>
      <c r="H178" s="260">
        <v>40200</v>
      </c>
      <c r="I178" s="3034">
        <v>84338</v>
      </c>
      <c r="J178" s="206">
        <f t="shared" si="5"/>
        <v>124538</v>
      </c>
    </row>
    <row r="179" spans="1:10">
      <c r="A179" s="202">
        <f t="shared" si="6"/>
        <v>2008.02</v>
      </c>
      <c r="B179" s="252">
        <v>19377</v>
      </c>
      <c r="C179" s="3034">
        <v>43437</v>
      </c>
      <c r="D179" s="194">
        <f t="shared" si="4"/>
        <v>62814</v>
      </c>
      <c r="E179" s="1968"/>
      <c r="F179" s="3153"/>
      <c r="G179" s="128"/>
      <c r="H179" s="260">
        <v>42212</v>
      </c>
      <c r="I179" s="3034">
        <v>88310</v>
      </c>
      <c r="J179" s="206">
        <f t="shared" si="5"/>
        <v>130522</v>
      </c>
    </row>
    <row r="180" spans="1:10">
      <c r="A180" s="202">
        <f t="shared" si="6"/>
        <v>2008.03</v>
      </c>
      <c r="B180" s="252">
        <v>19491</v>
      </c>
      <c r="C180" s="3034">
        <v>43102</v>
      </c>
      <c r="D180" s="194">
        <f t="shared" si="4"/>
        <v>62593</v>
      </c>
      <c r="E180" s="1968"/>
      <c r="F180" s="3153"/>
      <c r="G180" s="128"/>
      <c r="H180" s="260">
        <v>44817</v>
      </c>
      <c r="I180" s="3034">
        <v>90571</v>
      </c>
      <c r="J180" s="206">
        <f t="shared" si="5"/>
        <v>135388</v>
      </c>
    </row>
    <row r="181" spans="1:10">
      <c r="A181" s="202">
        <f t="shared" si="6"/>
        <v>2008.04</v>
      </c>
      <c r="B181" s="252">
        <v>18158</v>
      </c>
      <c r="C181" s="3034">
        <v>42690</v>
      </c>
      <c r="D181" s="194">
        <f t="shared" si="4"/>
        <v>60848</v>
      </c>
      <c r="E181" s="1968"/>
      <c r="F181" s="3153"/>
      <c r="G181" s="128"/>
      <c r="H181" s="260">
        <v>42697</v>
      </c>
      <c r="I181" s="3034">
        <v>87714</v>
      </c>
      <c r="J181" s="206">
        <f t="shared" si="5"/>
        <v>130411</v>
      </c>
    </row>
    <row r="182" spans="1:10">
      <c r="A182" s="202">
        <f t="shared" si="6"/>
        <v>2008.05</v>
      </c>
      <c r="B182" s="252">
        <v>18054</v>
      </c>
      <c r="C182" s="3034">
        <v>41794</v>
      </c>
      <c r="D182" s="194">
        <f t="shared" si="4"/>
        <v>59848</v>
      </c>
      <c r="E182" s="1968"/>
      <c r="F182" s="3153"/>
      <c r="G182" s="128"/>
      <c r="H182" s="260">
        <v>42589</v>
      </c>
      <c r="I182" s="3034">
        <v>90363</v>
      </c>
      <c r="J182" s="206">
        <f t="shared" si="5"/>
        <v>132952</v>
      </c>
    </row>
    <row r="183" spans="1:10">
      <c r="A183" s="202">
        <f t="shared" si="6"/>
        <v>2008.06</v>
      </c>
      <c r="B183" s="252">
        <v>18550</v>
      </c>
      <c r="C183" s="3034">
        <v>39412</v>
      </c>
      <c r="D183" s="194">
        <f t="shared" si="4"/>
        <v>57962</v>
      </c>
      <c r="E183" s="1968"/>
      <c r="F183" s="3153"/>
      <c r="G183" s="128"/>
      <c r="H183" s="260">
        <v>42802</v>
      </c>
      <c r="I183" s="3034">
        <v>85192</v>
      </c>
      <c r="J183" s="206">
        <f t="shared" si="5"/>
        <v>127994</v>
      </c>
    </row>
    <row r="184" spans="1:10">
      <c r="A184" s="202">
        <f t="shared" si="6"/>
        <v>2008.07</v>
      </c>
      <c r="B184" s="252">
        <v>17429</v>
      </c>
      <c r="C184" s="3034">
        <v>40088</v>
      </c>
      <c r="D184" s="194">
        <f t="shared" si="4"/>
        <v>57517</v>
      </c>
      <c r="E184" s="1968"/>
      <c r="F184" s="3153"/>
      <c r="G184" s="128"/>
      <c r="H184" s="260">
        <v>40320</v>
      </c>
      <c r="I184" s="3034">
        <v>85160</v>
      </c>
      <c r="J184" s="206">
        <f t="shared" si="5"/>
        <v>125480</v>
      </c>
    </row>
    <row r="185" spans="1:10">
      <c r="A185" s="202">
        <f t="shared" si="6"/>
        <v>2008.08</v>
      </c>
      <c r="B185" s="252">
        <v>18882</v>
      </c>
      <c r="C185" s="3034">
        <v>40543</v>
      </c>
      <c r="D185" s="194">
        <f t="shared" si="4"/>
        <v>59425</v>
      </c>
      <c r="E185" s="1968"/>
      <c r="F185" s="3153"/>
      <c r="G185" s="128"/>
      <c r="H185" s="260">
        <v>42618</v>
      </c>
      <c r="I185" s="3034">
        <v>85750</v>
      </c>
      <c r="J185" s="206">
        <f t="shared" si="5"/>
        <v>128368</v>
      </c>
    </row>
    <row r="186" spans="1:10">
      <c r="A186" s="202">
        <f t="shared" si="6"/>
        <v>2008.09</v>
      </c>
      <c r="B186" s="252">
        <v>17309</v>
      </c>
      <c r="C186" s="3034">
        <v>39749</v>
      </c>
      <c r="D186" s="194">
        <f t="shared" si="4"/>
        <v>57058</v>
      </c>
      <c r="E186" s="1968"/>
      <c r="F186" s="3153"/>
      <c r="G186" s="128"/>
      <c r="H186" s="260">
        <v>40110</v>
      </c>
      <c r="I186" s="3034">
        <v>84684</v>
      </c>
      <c r="J186" s="206">
        <f t="shared" si="5"/>
        <v>124794</v>
      </c>
    </row>
    <row r="187" spans="1:10">
      <c r="A187" s="202">
        <f t="shared" si="6"/>
        <v>2008.1</v>
      </c>
      <c r="B187" s="252">
        <v>16739</v>
      </c>
      <c r="C187" s="3034">
        <v>38436</v>
      </c>
      <c r="D187" s="194">
        <f t="shared" si="4"/>
        <v>55175</v>
      </c>
      <c r="E187" s="1968"/>
      <c r="F187" s="3153"/>
      <c r="G187" s="128"/>
      <c r="H187" s="260">
        <v>39425</v>
      </c>
      <c r="I187" s="3034">
        <v>82415</v>
      </c>
      <c r="J187" s="206">
        <f t="shared" si="5"/>
        <v>121840</v>
      </c>
    </row>
    <row r="188" spans="1:10">
      <c r="A188" s="202">
        <f t="shared" si="6"/>
        <v>2008.11</v>
      </c>
      <c r="B188" s="252">
        <v>17606</v>
      </c>
      <c r="C188" s="3034">
        <v>37775</v>
      </c>
      <c r="D188" s="194">
        <f t="shared" si="4"/>
        <v>55381</v>
      </c>
      <c r="E188" s="1968"/>
      <c r="F188" s="3153"/>
      <c r="G188" s="128"/>
      <c r="H188" s="260">
        <v>41396</v>
      </c>
      <c r="I188" s="3034">
        <v>81837</v>
      </c>
      <c r="J188" s="206">
        <f t="shared" si="5"/>
        <v>123233</v>
      </c>
    </row>
    <row r="189" spans="1:10">
      <c r="A189" s="202">
        <f t="shared" si="6"/>
        <v>2008.12</v>
      </c>
      <c r="B189" s="252">
        <v>17257</v>
      </c>
      <c r="C189" s="3034">
        <v>35167</v>
      </c>
      <c r="D189" s="194">
        <f t="shared" si="4"/>
        <v>52424</v>
      </c>
      <c r="E189" s="1968"/>
      <c r="F189" s="3153"/>
      <c r="G189" s="128"/>
      <c r="H189" s="260">
        <v>41319</v>
      </c>
      <c r="I189" s="3034">
        <v>80373</v>
      </c>
      <c r="J189" s="206">
        <f t="shared" si="5"/>
        <v>121692</v>
      </c>
    </row>
    <row r="190" spans="1:10">
      <c r="A190" s="202">
        <f t="shared" si="6"/>
        <v>2009.01</v>
      </c>
      <c r="B190" s="252">
        <v>17082.5</v>
      </c>
      <c r="C190" s="3034">
        <v>35914</v>
      </c>
      <c r="D190" s="194">
        <f t="shared" si="4"/>
        <v>52996.5</v>
      </c>
      <c r="E190" s="1968"/>
      <c r="F190" s="3153"/>
      <c r="G190" s="128"/>
      <c r="H190" s="260">
        <v>39637</v>
      </c>
      <c r="I190" s="3034">
        <v>81359</v>
      </c>
      <c r="J190" s="206">
        <f t="shared" si="5"/>
        <v>120996</v>
      </c>
    </row>
    <row r="191" spans="1:10">
      <c r="A191" s="202">
        <f t="shared" si="6"/>
        <v>2009.02</v>
      </c>
      <c r="B191" s="252">
        <v>16908</v>
      </c>
      <c r="C191" s="3034">
        <v>37056</v>
      </c>
      <c r="D191" s="194">
        <f t="shared" si="4"/>
        <v>53964</v>
      </c>
      <c r="E191" s="1968"/>
      <c r="F191" s="3153"/>
      <c r="G191" s="128"/>
      <c r="H191" s="260">
        <v>41242</v>
      </c>
      <c r="I191" s="3034">
        <v>85516</v>
      </c>
      <c r="J191" s="206">
        <f t="shared" si="5"/>
        <v>126758</v>
      </c>
    </row>
    <row r="192" spans="1:10">
      <c r="A192" s="202">
        <f t="shared" si="6"/>
        <v>2009.03</v>
      </c>
      <c r="B192" s="252">
        <v>17233</v>
      </c>
      <c r="C192" s="3034">
        <v>37368</v>
      </c>
      <c r="D192" s="194">
        <f t="shared" si="4"/>
        <v>54601</v>
      </c>
      <c r="E192" s="1968"/>
      <c r="F192" s="3153"/>
      <c r="G192" s="128"/>
      <c r="H192" s="260">
        <v>42160</v>
      </c>
      <c r="I192" s="3034">
        <v>85673</v>
      </c>
      <c r="J192" s="206">
        <f t="shared" si="5"/>
        <v>127833</v>
      </c>
    </row>
    <row r="193" spans="1:10">
      <c r="A193" s="202">
        <f t="shared" si="6"/>
        <v>2009.04</v>
      </c>
      <c r="B193" s="252">
        <v>16498</v>
      </c>
      <c r="C193" s="3034">
        <v>36310</v>
      </c>
      <c r="D193" s="194">
        <f t="shared" si="4"/>
        <v>52808</v>
      </c>
      <c r="E193" s="1968"/>
      <c r="F193" s="3153"/>
      <c r="G193" s="128"/>
      <c r="H193" s="260">
        <v>40345</v>
      </c>
      <c r="I193" s="3034">
        <v>83456</v>
      </c>
      <c r="J193" s="206">
        <f t="shared" si="5"/>
        <v>123801</v>
      </c>
    </row>
    <row r="194" spans="1:10">
      <c r="A194" s="202">
        <f t="shared" si="6"/>
        <v>2009.05</v>
      </c>
      <c r="B194" s="252">
        <v>17074</v>
      </c>
      <c r="C194" s="3034">
        <v>36131</v>
      </c>
      <c r="D194" s="194">
        <f t="shared" si="4"/>
        <v>53205</v>
      </c>
      <c r="E194" s="1968"/>
      <c r="F194" s="3153"/>
      <c r="G194" s="128"/>
      <c r="H194" s="260">
        <v>41421</v>
      </c>
      <c r="I194" s="3034">
        <v>84017</v>
      </c>
      <c r="J194" s="206">
        <f t="shared" si="5"/>
        <v>125438</v>
      </c>
    </row>
    <row r="195" spans="1:10">
      <c r="A195" s="202">
        <f t="shared" si="6"/>
        <v>2009.06</v>
      </c>
      <c r="B195" s="252">
        <v>15938</v>
      </c>
      <c r="C195" s="3034">
        <v>34215</v>
      </c>
      <c r="D195" s="194">
        <f t="shared" si="4"/>
        <v>50153</v>
      </c>
      <c r="E195" s="1968"/>
      <c r="F195" s="3153"/>
      <c r="G195" s="128"/>
      <c r="H195" s="260">
        <v>39392</v>
      </c>
      <c r="I195" s="3034">
        <v>81816</v>
      </c>
      <c r="J195" s="206">
        <f t="shared" si="5"/>
        <v>121208</v>
      </c>
    </row>
    <row r="196" spans="1:10">
      <c r="A196" s="202">
        <f t="shared" si="6"/>
        <v>2009.07</v>
      </c>
      <c r="B196" s="252">
        <v>16208</v>
      </c>
      <c r="C196" s="3034">
        <v>35981</v>
      </c>
      <c r="D196" s="194">
        <f t="shared" si="4"/>
        <v>52189</v>
      </c>
      <c r="E196" s="1968"/>
      <c r="F196" s="3153"/>
      <c r="G196" s="128"/>
      <c r="H196" s="260">
        <v>39164</v>
      </c>
      <c r="I196" s="3034">
        <v>83438</v>
      </c>
      <c r="J196" s="206">
        <f t="shared" si="5"/>
        <v>122602</v>
      </c>
    </row>
    <row r="197" spans="1:10">
      <c r="A197" s="202">
        <f t="shared" si="6"/>
        <v>2009.08</v>
      </c>
      <c r="B197" s="252">
        <v>17138</v>
      </c>
      <c r="C197" s="3034">
        <v>35871</v>
      </c>
      <c r="D197" s="194">
        <f t="shared" si="4"/>
        <v>53009</v>
      </c>
      <c r="E197" s="1968"/>
      <c r="F197" s="3153"/>
      <c r="G197" s="128"/>
      <c r="H197" s="260">
        <v>40890</v>
      </c>
      <c r="I197" s="3034">
        <v>82773</v>
      </c>
      <c r="J197" s="206">
        <f t="shared" si="5"/>
        <v>123663</v>
      </c>
    </row>
    <row r="198" spans="1:10">
      <c r="A198" s="202">
        <f t="shared" si="6"/>
        <v>2009.09</v>
      </c>
      <c r="B198" s="252">
        <v>16133</v>
      </c>
      <c r="C198" s="3034">
        <v>35153</v>
      </c>
      <c r="D198" s="194">
        <f t="shared" si="4"/>
        <v>51286</v>
      </c>
      <c r="E198" s="1968"/>
      <c r="F198" s="3153"/>
      <c r="G198" s="128"/>
      <c r="H198" s="260">
        <v>39114</v>
      </c>
      <c r="I198" s="3034">
        <v>82739</v>
      </c>
      <c r="J198" s="206">
        <f t="shared" si="5"/>
        <v>121853</v>
      </c>
    </row>
    <row r="199" spans="1:10">
      <c r="A199" s="202">
        <f t="shared" si="6"/>
        <v>2009.1</v>
      </c>
      <c r="B199" s="252">
        <v>16102</v>
      </c>
      <c r="C199" s="3034">
        <v>34759</v>
      </c>
      <c r="D199" s="194">
        <f t="shared" si="4"/>
        <v>50861</v>
      </c>
      <c r="E199" s="1968"/>
      <c r="F199" s="3153"/>
      <c r="G199" s="128"/>
      <c r="H199" s="260">
        <v>38787</v>
      </c>
      <c r="I199" s="3034">
        <v>82765</v>
      </c>
      <c r="J199" s="206">
        <f t="shared" si="5"/>
        <v>121552</v>
      </c>
    </row>
    <row r="200" spans="1:10" s="201" customFormat="1">
      <c r="A200" s="202">
        <f t="shared" si="6"/>
        <v>2009.11</v>
      </c>
      <c r="B200" s="252">
        <v>16789</v>
      </c>
      <c r="C200" s="3034">
        <v>34219</v>
      </c>
      <c r="D200" s="194">
        <f t="shared" si="4"/>
        <v>51008</v>
      </c>
      <c r="E200" s="1036">
        <v>6190</v>
      </c>
      <c r="F200" s="3159">
        <v>14149</v>
      </c>
      <c r="G200" s="198">
        <f>E200+F200</f>
        <v>20339</v>
      </c>
      <c r="H200" s="260">
        <v>40467</v>
      </c>
      <c r="I200" s="3034">
        <v>80900</v>
      </c>
      <c r="J200" s="206">
        <f t="shared" si="5"/>
        <v>121367</v>
      </c>
    </row>
    <row r="201" spans="1:10">
      <c r="A201" s="202">
        <f t="shared" si="6"/>
        <v>2009.12</v>
      </c>
      <c r="B201" s="252">
        <v>15841</v>
      </c>
      <c r="C201" s="3034">
        <v>34037</v>
      </c>
      <c r="D201" s="194">
        <f t="shared" si="4"/>
        <v>49878</v>
      </c>
      <c r="E201" s="260">
        <v>6315</v>
      </c>
      <c r="F201" s="3034">
        <v>16451</v>
      </c>
      <c r="G201" s="194">
        <f>E201+F201</f>
        <v>22766</v>
      </c>
      <c r="H201" s="260">
        <v>38362</v>
      </c>
      <c r="I201" s="3034">
        <v>80516</v>
      </c>
      <c r="J201" s="206">
        <f t="shared" si="5"/>
        <v>118878</v>
      </c>
    </row>
    <row r="202" spans="1:10">
      <c r="A202" s="202">
        <f t="shared" si="6"/>
        <v>2010.01</v>
      </c>
      <c r="B202" s="252">
        <v>16428</v>
      </c>
      <c r="C202" s="3034">
        <v>33814</v>
      </c>
      <c r="D202" s="194">
        <f t="shared" si="4"/>
        <v>50242</v>
      </c>
      <c r="E202" s="260">
        <v>6823</v>
      </c>
      <c r="F202" s="3034">
        <v>17393</v>
      </c>
      <c r="G202" s="194">
        <f>E202+F202</f>
        <v>24216</v>
      </c>
      <c r="H202" s="260">
        <v>39176</v>
      </c>
      <c r="I202" s="3034">
        <v>79142</v>
      </c>
      <c r="J202" s="206">
        <f t="shared" si="5"/>
        <v>118318</v>
      </c>
    </row>
    <row r="203" spans="1:10">
      <c r="A203" s="202">
        <f t="shared" si="6"/>
        <v>2010.02</v>
      </c>
      <c r="B203" s="252">
        <v>16142</v>
      </c>
      <c r="C203" s="3034">
        <v>34724</v>
      </c>
      <c r="D203" s="194">
        <f t="shared" si="4"/>
        <v>50866</v>
      </c>
      <c r="E203" s="260">
        <v>6969</v>
      </c>
      <c r="F203" s="3034">
        <v>19407</v>
      </c>
      <c r="G203" s="194">
        <f>E203+F203</f>
        <v>26376</v>
      </c>
      <c r="H203" s="260">
        <v>38396</v>
      </c>
      <c r="I203" s="3034">
        <v>83227</v>
      </c>
      <c r="J203" s="206">
        <f t="shared" si="5"/>
        <v>121623</v>
      </c>
    </row>
    <row r="204" spans="1:10">
      <c r="A204" s="202">
        <f t="shared" si="6"/>
        <v>2010.03</v>
      </c>
      <c r="B204" s="252">
        <v>15917</v>
      </c>
      <c r="C204" s="3034">
        <v>35743</v>
      </c>
      <c r="D204" s="194">
        <f t="shared" ref="D204:D225" si="7">B204+C204</f>
        <v>51660</v>
      </c>
      <c r="E204" s="260">
        <v>7071</v>
      </c>
      <c r="F204" s="3034">
        <v>21340</v>
      </c>
      <c r="G204" s="194">
        <f t="shared" ref="G204:G267" si="8">E204+F204</f>
        <v>28411</v>
      </c>
      <c r="H204" s="260">
        <v>39459</v>
      </c>
      <c r="I204" s="3034">
        <v>85969</v>
      </c>
      <c r="J204" s="206">
        <f t="shared" ref="J204:J225" si="9">H204+I204</f>
        <v>125428</v>
      </c>
    </row>
    <row r="205" spans="1:10">
      <c r="A205" s="202">
        <f t="shared" si="6"/>
        <v>2010.04</v>
      </c>
      <c r="B205" s="252">
        <v>16024</v>
      </c>
      <c r="C205" s="3034">
        <v>34712</v>
      </c>
      <c r="D205" s="194">
        <f t="shared" si="7"/>
        <v>50736</v>
      </c>
      <c r="E205" s="260">
        <v>6844</v>
      </c>
      <c r="F205" s="3034">
        <v>22120</v>
      </c>
      <c r="G205" s="194">
        <f t="shared" si="8"/>
        <v>28964</v>
      </c>
      <c r="H205" s="260">
        <v>38416</v>
      </c>
      <c r="I205" s="3034">
        <v>85243</v>
      </c>
      <c r="J205" s="206">
        <f t="shared" si="9"/>
        <v>123659</v>
      </c>
    </row>
    <row r="206" spans="1:10">
      <c r="A206" s="202">
        <f t="shared" si="6"/>
        <v>2010.05</v>
      </c>
      <c r="B206" s="252">
        <v>16222</v>
      </c>
      <c r="C206" s="3034">
        <v>33302</v>
      </c>
      <c r="D206" s="194">
        <f t="shared" si="7"/>
        <v>49524</v>
      </c>
      <c r="E206" s="260">
        <v>7605</v>
      </c>
      <c r="F206" s="3034">
        <v>24538</v>
      </c>
      <c r="G206" s="194">
        <f t="shared" si="8"/>
        <v>32143</v>
      </c>
      <c r="H206" s="260">
        <v>40320</v>
      </c>
      <c r="I206" s="3034">
        <v>82280</v>
      </c>
      <c r="J206" s="206">
        <f t="shared" si="9"/>
        <v>122600</v>
      </c>
    </row>
    <row r="207" spans="1:10">
      <c r="A207" s="202">
        <f t="shared" si="6"/>
        <v>2010.06</v>
      </c>
      <c r="B207" s="252">
        <v>15475</v>
      </c>
      <c r="C207" s="3034">
        <v>33246</v>
      </c>
      <c r="D207" s="194">
        <f t="shared" si="7"/>
        <v>48721</v>
      </c>
      <c r="E207" s="260">
        <v>6887</v>
      </c>
      <c r="F207" s="3034">
        <v>26111</v>
      </c>
      <c r="G207" s="194">
        <f t="shared" si="8"/>
        <v>32998</v>
      </c>
      <c r="H207" s="260">
        <v>36735</v>
      </c>
      <c r="I207" s="3034">
        <v>79597</v>
      </c>
      <c r="J207" s="206">
        <f t="shared" si="9"/>
        <v>116332</v>
      </c>
    </row>
    <row r="208" spans="1:10">
      <c r="A208" s="202">
        <f t="shared" si="6"/>
        <v>2010.07</v>
      </c>
      <c r="B208" s="252">
        <v>15484</v>
      </c>
      <c r="C208" s="3034">
        <v>33558</v>
      </c>
      <c r="D208" s="194">
        <f t="shared" si="7"/>
        <v>49042</v>
      </c>
      <c r="E208" s="260">
        <v>6574</v>
      </c>
      <c r="F208" s="3034">
        <v>26343</v>
      </c>
      <c r="G208" s="194">
        <f t="shared" si="8"/>
        <v>32917</v>
      </c>
      <c r="H208" s="260">
        <v>36346</v>
      </c>
      <c r="I208" s="3034">
        <v>78099</v>
      </c>
      <c r="J208" s="206">
        <f t="shared" si="9"/>
        <v>114445</v>
      </c>
    </row>
    <row r="209" spans="1:10">
      <c r="A209" s="202">
        <f t="shared" si="6"/>
        <v>2010.08</v>
      </c>
      <c r="B209" s="252">
        <v>16506</v>
      </c>
      <c r="C209" s="3034">
        <v>34826</v>
      </c>
      <c r="D209" s="194">
        <f t="shared" si="7"/>
        <v>51332</v>
      </c>
      <c r="E209" s="260">
        <v>6924</v>
      </c>
      <c r="F209" s="3034">
        <v>25083</v>
      </c>
      <c r="G209" s="194">
        <f t="shared" si="8"/>
        <v>32007</v>
      </c>
      <c r="H209" s="260">
        <v>39062</v>
      </c>
      <c r="I209" s="3034">
        <v>80079</v>
      </c>
      <c r="J209" s="206">
        <f t="shared" si="9"/>
        <v>119141</v>
      </c>
    </row>
    <row r="210" spans="1:10">
      <c r="A210" s="202">
        <f t="shared" si="6"/>
        <v>2010.09</v>
      </c>
      <c r="B210" s="252">
        <v>15776</v>
      </c>
      <c r="C210" s="3034">
        <v>34083</v>
      </c>
      <c r="D210" s="194">
        <f t="shared" si="7"/>
        <v>49859</v>
      </c>
      <c r="E210" s="260">
        <v>6262</v>
      </c>
      <c r="F210" s="3034">
        <v>24479</v>
      </c>
      <c r="G210" s="194">
        <f t="shared" si="8"/>
        <v>30741</v>
      </c>
      <c r="H210" s="260">
        <v>38445</v>
      </c>
      <c r="I210" s="3034">
        <v>80400</v>
      </c>
      <c r="J210" s="206">
        <f t="shared" si="9"/>
        <v>118845</v>
      </c>
    </row>
    <row r="211" spans="1:10">
      <c r="A211" s="202">
        <f t="shared" si="6"/>
        <v>2010.1</v>
      </c>
      <c r="B211" s="252">
        <v>16183</v>
      </c>
      <c r="C211" s="3034">
        <v>32519</v>
      </c>
      <c r="D211" s="194">
        <f t="shared" si="7"/>
        <v>48702</v>
      </c>
      <c r="E211" s="260">
        <v>6638</v>
      </c>
      <c r="F211" s="3034">
        <v>24087</v>
      </c>
      <c r="G211" s="194">
        <f t="shared" si="8"/>
        <v>30725</v>
      </c>
      <c r="H211" s="260">
        <v>39924</v>
      </c>
      <c r="I211" s="3034">
        <v>78841</v>
      </c>
      <c r="J211" s="206">
        <f t="shared" si="9"/>
        <v>118765</v>
      </c>
    </row>
    <row r="212" spans="1:10">
      <c r="A212" s="202">
        <f t="shared" si="6"/>
        <v>2010.11</v>
      </c>
      <c r="B212" s="252">
        <v>15156</v>
      </c>
      <c r="C212" s="3034">
        <v>32587</v>
      </c>
      <c r="D212" s="194">
        <f t="shared" si="7"/>
        <v>47743</v>
      </c>
      <c r="E212" s="260">
        <v>5990</v>
      </c>
      <c r="F212" s="3034">
        <v>22040</v>
      </c>
      <c r="G212" s="194">
        <f t="shared" si="8"/>
        <v>28030</v>
      </c>
      <c r="H212" s="260">
        <v>36735</v>
      </c>
      <c r="I212" s="3034">
        <v>80102</v>
      </c>
      <c r="J212" s="206">
        <f t="shared" si="9"/>
        <v>116837</v>
      </c>
    </row>
    <row r="213" spans="1:10">
      <c r="A213" s="202">
        <f t="shared" si="6"/>
        <v>2010.12</v>
      </c>
      <c r="B213" s="252">
        <v>15471</v>
      </c>
      <c r="C213" s="3034">
        <v>32073</v>
      </c>
      <c r="D213" s="194">
        <f t="shared" si="7"/>
        <v>47544</v>
      </c>
      <c r="E213" s="260">
        <v>6083</v>
      </c>
      <c r="F213" s="3034">
        <v>22365</v>
      </c>
      <c r="G213" s="194">
        <f t="shared" si="8"/>
        <v>28448</v>
      </c>
      <c r="H213" s="260">
        <v>36199</v>
      </c>
      <c r="I213" s="3034">
        <v>77757</v>
      </c>
      <c r="J213" s="206">
        <f t="shared" si="9"/>
        <v>113956</v>
      </c>
    </row>
    <row r="214" spans="1:10">
      <c r="A214" s="202">
        <f t="shared" si="6"/>
        <v>2011.01</v>
      </c>
      <c r="B214" s="252">
        <v>15772</v>
      </c>
      <c r="C214" s="3034">
        <v>32062</v>
      </c>
      <c r="D214" s="194">
        <f t="shared" si="7"/>
        <v>47834</v>
      </c>
      <c r="E214" s="260">
        <v>6105</v>
      </c>
      <c r="F214" s="3034">
        <v>19607</v>
      </c>
      <c r="G214" s="194">
        <f t="shared" si="8"/>
        <v>25712</v>
      </c>
      <c r="H214" s="260">
        <v>37099</v>
      </c>
      <c r="I214" s="3034">
        <v>76387</v>
      </c>
      <c r="J214" s="206">
        <f t="shared" si="9"/>
        <v>113486</v>
      </c>
    </row>
    <row r="215" spans="1:10">
      <c r="A215" s="202">
        <f t="shared" si="6"/>
        <v>2011.02</v>
      </c>
      <c r="B215" s="252">
        <v>15990</v>
      </c>
      <c r="C215" s="3034">
        <v>33215</v>
      </c>
      <c r="D215" s="194">
        <f t="shared" si="7"/>
        <v>49205</v>
      </c>
      <c r="E215" s="260">
        <v>5579</v>
      </c>
      <c r="F215" s="3034">
        <v>19312</v>
      </c>
      <c r="G215" s="194">
        <f t="shared" si="8"/>
        <v>24891</v>
      </c>
      <c r="H215" s="260">
        <v>37187</v>
      </c>
      <c r="I215" s="3034">
        <v>81382</v>
      </c>
      <c r="J215" s="206">
        <f t="shared" si="9"/>
        <v>118569</v>
      </c>
    </row>
    <row r="216" spans="1:10">
      <c r="A216" s="202">
        <f t="shared" si="6"/>
        <v>2011.03</v>
      </c>
      <c r="B216" s="252">
        <v>15590</v>
      </c>
      <c r="C216" s="3034">
        <v>33428</v>
      </c>
      <c r="D216" s="194">
        <f t="shared" si="7"/>
        <v>49018</v>
      </c>
      <c r="E216" s="260">
        <v>5373</v>
      </c>
      <c r="F216" s="3034">
        <v>19681</v>
      </c>
      <c r="G216" s="194">
        <f t="shared" si="8"/>
        <v>25054</v>
      </c>
      <c r="H216" s="260">
        <v>37753</v>
      </c>
      <c r="I216" s="3034">
        <v>83453</v>
      </c>
      <c r="J216" s="206">
        <f t="shared" si="9"/>
        <v>121206</v>
      </c>
    </row>
    <row r="217" spans="1:10">
      <c r="A217" s="202">
        <f t="shared" si="6"/>
        <v>2011.04</v>
      </c>
      <c r="B217" s="252">
        <v>16330</v>
      </c>
      <c r="C217" s="3034">
        <v>33466</v>
      </c>
      <c r="D217" s="194">
        <f t="shared" si="7"/>
        <v>49796</v>
      </c>
      <c r="E217" s="260">
        <v>5981</v>
      </c>
      <c r="F217" s="3034">
        <v>19995</v>
      </c>
      <c r="G217" s="194">
        <f t="shared" si="8"/>
        <v>25976</v>
      </c>
      <c r="H217" s="260">
        <v>39789</v>
      </c>
      <c r="I217" s="3034">
        <v>83200</v>
      </c>
      <c r="J217" s="206">
        <f t="shared" si="9"/>
        <v>122989</v>
      </c>
    </row>
    <row r="218" spans="1:10">
      <c r="A218" s="202">
        <f t="shared" si="6"/>
        <v>2011.05</v>
      </c>
      <c r="B218" s="252">
        <v>15642</v>
      </c>
      <c r="C218" s="3034">
        <v>33139</v>
      </c>
      <c r="D218" s="194">
        <f t="shared" si="7"/>
        <v>48781</v>
      </c>
      <c r="E218" s="260">
        <v>5392</v>
      </c>
      <c r="F218" s="3034">
        <v>19702</v>
      </c>
      <c r="G218" s="194">
        <f t="shared" si="8"/>
        <v>25094</v>
      </c>
      <c r="H218" s="260">
        <v>39127</v>
      </c>
      <c r="I218" s="3034">
        <v>81559</v>
      </c>
      <c r="J218" s="206">
        <f t="shared" si="9"/>
        <v>120686</v>
      </c>
    </row>
    <row r="219" spans="1:10">
      <c r="A219" s="202">
        <f t="shared" si="6"/>
        <v>2011.06</v>
      </c>
      <c r="B219" s="252">
        <v>15820</v>
      </c>
      <c r="C219" s="3034">
        <v>33778</v>
      </c>
      <c r="D219" s="194">
        <f t="shared" si="7"/>
        <v>49598</v>
      </c>
      <c r="E219" s="260">
        <v>5409</v>
      </c>
      <c r="F219" s="3034">
        <v>19908</v>
      </c>
      <c r="G219" s="194">
        <f t="shared" si="8"/>
        <v>25317</v>
      </c>
      <c r="H219" s="260">
        <v>37812</v>
      </c>
      <c r="I219" s="3034">
        <v>80006</v>
      </c>
      <c r="J219" s="206">
        <f t="shared" si="9"/>
        <v>117818</v>
      </c>
    </row>
    <row r="220" spans="1:10">
      <c r="A220" s="202">
        <f t="shared" si="6"/>
        <v>2011.07</v>
      </c>
      <c r="B220" s="252">
        <v>15917</v>
      </c>
      <c r="C220" s="3034">
        <v>32100</v>
      </c>
      <c r="D220" s="194">
        <f t="shared" si="7"/>
        <v>48017</v>
      </c>
      <c r="E220" s="260">
        <v>5655</v>
      </c>
      <c r="F220" s="3034">
        <v>19203</v>
      </c>
      <c r="G220" s="194">
        <f t="shared" si="8"/>
        <v>24858</v>
      </c>
      <c r="H220" s="260">
        <v>39258</v>
      </c>
      <c r="I220" s="3034">
        <v>78419</v>
      </c>
      <c r="J220" s="206">
        <f t="shared" si="9"/>
        <v>117677</v>
      </c>
    </row>
    <row r="221" spans="1:10">
      <c r="A221" s="202">
        <f t="shared" si="6"/>
        <v>2011.08</v>
      </c>
      <c r="B221" s="252">
        <v>15594</v>
      </c>
      <c r="C221" s="3034">
        <v>32559</v>
      </c>
      <c r="D221" s="194">
        <f t="shared" si="7"/>
        <v>48153</v>
      </c>
      <c r="E221" s="260">
        <v>5416</v>
      </c>
      <c r="F221" s="3034">
        <v>20193</v>
      </c>
      <c r="G221" s="194">
        <f t="shared" si="8"/>
        <v>25609</v>
      </c>
      <c r="H221" s="260">
        <v>36815</v>
      </c>
      <c r="I221" s="3034">
        <v>78926</v>
      </c>
      <c r="J221" s="206">
        <f t="shared" si="9"/>
        <v>115741</v>
      </c>
    </row>
    <row r="222" spans="1:10">
      <c r="A222" s="202">
        <f t="shared" si="6"/>
        <v>2011.09</v>
      </c>
      <c r="B222" s="252">
        <v>15387</v>
      </c>
      <c r="C222" s="3034">
        <v>32559</v>
      </c>
      <c r="D222" s="194">
        <f t="shared" si="7"/>
        <v>47946</v>
      </c>
      <c r="E222" s="260">
        <v>5336</v>
      </c>
      <c r="F222" s="3034">
        <v>19249</v>
      </c>
      <c r="G222" s="194">
        <f t="shared" si="8"/>
        <v>24585</v>
      </c>
      <c r="H222" s="260">
        <v>36391</v>
      </c>
      <c r="I222" s="3034">
        <v>77220</v>
      </c>
      <c r="J222" s="206">
        <f t="shared" si="9"/>
        <v>113611</v>
      </c>
    </row>
    <row r="223" spans="1:10">
      <c r="A223" s="202">
        <f t="shared" si="6"/>
        <v>2011.1</v>
      </c>
      <c r="B223" s="252">
        <v>15725</v>
      </c>
      <c r="C223" s="3034">
        <v>30981</v>
      </c>
      <c r="D223" s="194">
        <f t="shared" si="7"/>
        <v>46706</v>
      </c>
      <c r="E223" s="260">
        <v>5913</v>
      </c>
      <c r="F223" s="3034">
        <v>20656</v>
      </c>
      <c r="G223" s="194">
        <f t="shared" si="8"/>
        <v>26569</v>
      </c>
      <c r="H223" s="260">
        <v>36931</v>
      </c>
      <c r="I223" s="3034">
        <v>75484</v>
      </c>
      <c r="J223" s="206">
        <f t="shared" si="9"/>
        <v>112415</v>
      </c>
    </row>
    <row r="224" spans="1:10">
      <c r="A224" s="202">
        <f t="shared" si="6"/>
        <v>2011.11</v>
      </c>
      <c r="B224" s="252">
        <v>15188</v>
      </c>
      <c r="C224" s="3034">
        <v>30837</v>
      </c>
      <c r="D224" s="194">
        <f t="shared" si="7"/>
        <v>46025</v>
      </c>
      <c r="E224" s="260">
        <v>5472</v>
      </c>
      <c r="F224" s="3034">
        <v>20707</v>
      </c>
      <c r="G224" s="194">
        <f t="shared" si="8"/>
        <v>26179</v>
      </c>
      <c r="H224" s="260">
        <v>35259</v>
      </c>
      <c r="I224" s="3034">
        <v>74986</v>
      </c>
      <c r="J224" s="206">
        <f t="shared" si="9"/>
        <v>110245</v>
      </c>
    </row>
    <row r="225" spans="1:10">
      <c r="A225" s="202">
        <f t="shared" si="6"/>
        <v>2011.12</v>
      </c>
      <c r="B225" s="252">
        <v>14761</v>
      </c>
      <c r="C225" s="3034">
        <v>30271</v>
      </c>
      <c r="D225" s="194">
        <f t="shared" si="7"/>
        <v>45032</v>
      </c>
      <c r="E225" s="260">
        <v>6919</v>
      </c>
      <c r="F225" s="3034">
        <v>22000</v>
      </c>
      <c r="G225" s="194">
        <f t="shared" si="8"/>
        <v>28919</v>
      </c>
      <c r="H225" s="260">
        <v>34828</v>
      </c>
      <c r="I225" s="3034">
        <v>74174</v>
      </c>
      <c r="J225" s="206">
        <f t="shared" si="9"/>
        <v>109002</v>
      </c>
    </row>
    <row r="226" spans="1:10">
      <c r="A226" s="202">
        <f t="shared" si="6"/>
        <v>2012.01</v>
      </c>
      <c r="B226" s="252">
        <v>14780</v>
      </c>
      <c r="C226" s="3034">
        <v>29453</v>
      </c>
      <c r="D226" s="194">
        <f t="shared" ref="D226:D273" si="10">B226+C226</f>
        <v>44233</v>
      </c>
      <c r="E226" s="260">
        <v>5449</v>
      </c>
      <c r="F226" s="3034">
        <v>19724</v>
      </c>
      <c r="G226" s="194">
        <f t="shared" si="8"/>
        <v>25173</v>
      </c>
      <c r="H226" s="260">
        <v>33795</v>
      </c>
      <c r="I226" s="3034">
        <v>72546</v>
      </c>
      <c r="J226" s="206">
        <f t="shared" ref="J226:J273" si="11">H226+I226</f>
        <v>106341</v>
      </c>
    </row>
    <row r="227" spans="1:10">
      <c r="A227" s="202">
        <f t="shared" si="6"/>
        <v>2012.02</v>
      </c>
      <c r="B227" s="252">
        <v>15052</v>
      </c>
      <c r="C227" s="3034">
        <v>30603</v>
      </c>
      <c r="D227" s="194">
        <f t="shared" si="10"/>
        <v>45655</v>
      </c>
      <c r="E227" s="260">
        <v>6264</v>
      </c>
      <c r="F227" s="3034">
        <v>21160</v>
      </c>
      <c r="G227" s="194">
        <f t="shared" si="8"/>
        <v>27424</v>
      </c>
      <c r="H227" s="260">
        <v>34918</v>
      </c>
      <c r="I227" s="3034">
        <v>76015</v>
      </c>
      <c r="J227" s="206">
        <f t="shared" si="11"/>
        <v>110933</v>
      </c>
    </row>
    <row r="228" spans="1:10">
      <c r="A228" s="202">
        <f t="shared" si="6"/>
        <v>2012.03</v>
      </c>
      <c r="B228" s="252">
        <v>14973</v>
      </c>
      <c r="C228" s="3034">
        <v>29891</v>
      </c>
      <c r="D228" s="194">
        <f t="shared" si="10"/>
        <v>44864</v>
      </c>
      <c r="E228" s="260">
        <v>6365</v>
      </c>
      <c r="F228" s="3034">
        <v>21390</v>
      </c>
      <c r="G228" s="194">
        <f t="shared" si="8"/>
        <v>27755</v>
      </c>
      <c r="H228" s="260">
        <v>35372</v>
      </c>
      <c r="I228" s="3034">
        <v>78192</v>
      </c>
      <c r="J228" s="206">
        <f t="shared" si="11"/>
        <v>113564</v>
      </c>
    </row>
    <row r="229" spans="1:10">
      <c r="A229" s="202">
        <f t="shared" si="6"/>
        <v>2012.04</v>
      </c>
      <c r="B229" s="252">
        <v>15850</v>
      </c>
      <c r="C229" s="3034">
        <v>30984</v>
      </c>
      <c r="D229" s="194">
        <f t="shared" si="10"/>
        <v>46834</v>
      </c>
      <c r="E229" s="260">
        <v>6666</v>
      </c>
      <c r="F229" s="3034">
        <v>20798</v>
      </c>
      <c r="G229" s="194">
        <f t="shared" si="8"/>
        <v>27464</v>
      </c>
      <c r="H229" s="260">
        <v>37163</v>
      </c>
      <c r="I229" s="3034">
        <v>75947</v>
      </c>
      <c r="J229" s="206">
        <f t="shared" si="11"/>
        <v>113110</v>
      </c>
    </row>
    <row r="230" spans="1:10">
      <c r="A230" s="202">
        <f t="shared" si="6"/>
        <v>2012.05</v>
      </c>
      <c r="B230" s="252">
        <v>15011</v>
      </c>
      <c r="C230" s="3034">
        <v>30940</v>
      </c>
      <c r="D230" s="194">
        <f t="shared" si="10"/>
        <v>45951</v>
      </c>
      <c r="E230" s="260">
        <v>6059</v>
      </c>
      <c r="F230" s="3034">
        <v>20961</v>
      </c>
      <c r="G230" s="194">
        <f t="shared" si="8"/>
        <v>27020</v>
      </c>
      <c r="H230" s="260">
        <v>35310</v>
      </c>
      <c r="I230" s="3034">
        <v>75570</v>
      </c>
      <c r="J230" s="206">
        <f t="shared" si="11"/>
        <v>110880</v>
      </c>
    </row>
    <row r="231" spans="1:10">
      <c r="A231" s="202">
        <f t="shared" si="6"/>
        <v>2012.06</v>
      </c>
      <c r="B231" s="252">
        <v>15080</v>
      </c>
      <c r="C231" s="3034">
        <v>29934</v>
      </c>
      <c r="D231" s="194">
        <f t="shared" si="10"/>
        <v>45014</v>
      </c>
      <c r="E231" s="260">
        <v>5564</v>
      </c>
      <c r="F231" s="3034">
        <v>20073</v>
      </c>
      <c r="G231" s="194">
        <f t="shared" si="8"/>
        <v>25637</v>
      </c>
      <c r="H231" s="260">
        <v>34411</v>
      </c>
      <c r="I231" s="3034">
        <v>73383</v>
      </c>
      <c r="J231" s="206">
        <f t="shared" si="11"/>
        <v>107794</v>
      </c>
    </row>
    <row r="232" spans="1:10">
      <c r="A232" s="202">
        <f t="shared" si="6"/>
        <v>2012.07</v>
      </c>
      <c r="B232" s="252">
        <v>15414</v>
      </c>
      <c r="C232" s="3034">
        <v>30583</v>
      </c>
      <c r="D232" s="194">
        <f t="shared" si="10"/>
        <v>45997</v>
      </c>
      <c r="E232" s="260">
        <v>5903</v>
      </c>
      <c r="F232" s="3034">
        <v>20309</v>
      </c>
      <c r="G232" s="194">
        <f t="shared" si="8"/>
        <v>26212</v>
      </c>
      <c r="H232" s="260">
        <v>35505</v>
      </c>
      <c r="I232" s="3034">
        <v>73629</v>
      </c>
      <c r="J232" s="206">
        <f t="shared" si="11"/>
        <v>109134</v>
      </c>
    </row>
    <row r="233" spans="1:10">
      <c r="A233" s="202">
        <f t="shared" si="6"/>
        <v>2012.08</v>
      </c>
      <c r="B233" s="252">
        <v>14662</v>
      </c>
      <c r="C233" s="3034">
        <v>30884</v>
      </c>
      <c r="D233" s="194">
        <f t="shared" si="10"/>
        <v>45546</v>
      </c>
      <c r="E233" s="260">
        <v>5364</v>
      </c>
      <c r="F233" s="3034">
        <v>20014</v>
      </c>
      <c r="G233" s="194">
        <f t="shared" si="8"/>
        <v>25378</v>
      </c>
      <c r="H233" s="260">
        <v>33024</v>
      </c>
      <c r="I233" s="3034">
        <v>73323</v>
      </c>
      <c r="J233" s="206">
        <f t="shared" si="11"/>
        <v>106347</v>
      </c>
    </row>
    <row r="234" spans="1:10">
      <c r="A234" s="202">
        <f t="shared" si="6"/>
        <v>2012.09</v>
      </c>
      <c r="B234" s="252">
        <v>15258</v>
      </c>
      <c r="C234" s="3034">
        <v>30108</v>
      </c>
      <c r="D234" s="194">
        <f t="shared" si="10"/>
        <v>45366</v>
      </c>
      <c r="E234" s="260">
        <v>5663</v>
      </c>
      <c r="F234" s="3034">
        <v>20155</v>
      </c>
      <c r="G234" s="194">
        <f t="shared" si="8"/>
        <v>25818</v>
      </c>
      <c r="H234" s="260">
        <v>35483</v>
      </c>
      <c r="I234" s="3034">
        <v>72810</v>
      </c>
      <c r="J234" s="206">
        <f t="shared" si="11"/>
        <v>108293</v>
      </c>
    </row>
    <row r="235" spans="1:10">
      <c r="A235" s="202">
        <f t="shared" si="6"/>
        <v>2012.1</v>
      </c>
      <c r="B235" s="252">
        <v>14381</v>
      </c>
      <c r="C235" s="3034">
        <v>29507</v>
      </c>
      <c r="D235" s="194">
        <f t="shared" si="10"/>
        <v>43888</v>
      </c>
      <c r="E235" s="260">
        <v>5013</v>
      </c>
      <c r="F235" s="3034">
        <v>20179</v>
      </c>
      <c r="G235" s="194">
        <f t="shared" si="8"/>
        <v>25192</v>
      </c>
      <c r="H235" s="260">
        <v>33214</v>
      </c>
      <c r="I235" s="3034">
        <v>70342</v>
      </c>
      <c r="J235" s="206">
        <f t="shared" si="11"/>
        <v>103556</v>
      </c>
    </row>
    <row r="236" spans="1:10">
      <c r="A236" s="202">
        <f t="shared" si="6"/>
        <v>2012.11</v>
      </c>
      <c r="B236" s="252">
        <v>14294</v>
      </c>
      <c r="C236" s="3034">
        <v>28478</v>
      </c>
      <c r="D236" s="194">
        <f t="shared" si="10"/>
        <v>42772</v>
      </c>
      <c r="E236" s="260">
        <v>4757</v>
      </c>
      <c r="F236" s="3034">
        <v>17368</v>
      </c>
      <c r="G236" s="194">
        <f t="shared" si="8"/>
        <v>22125</v>
      </c>
      <c r="H236" s="260">
        <v>34516</v>
      </c>
      <c r="I236" s="3034">
        <v>74143</v>
      </c>
      <c r="J236" s="206">
        <f t="shared" si="11"/>
        <v>108659</v>
      </c>
    </row>
    <row r="237" spans="1:10">
      <c r="A237" s="202">
        <f t="shared" si="6"/>
        <v>2012.12</v>
      </c>
      <c r="B237" s="252">
        <v>14909</v>
      </c>
      <c r="C237" s="3034">
        <v>28738</v>
      </c>
      <c r="D237" s="194">
        <f t="shared" si="10"/>
        <v>43647</v>
      </c>
      <c r="E237" s="260">
        <v>4122</v>
      </c>
      <c r="F237" s="3034">
        <v>12207</v>
      </c>
      <c r="G237" s="194">
        <f t="shared" si="8"/>
        <v>16329</v>
      </c>
      <c r="H237" s="260">
        <v>33516</v>
      </c>
      <c r="I237" s="3034">
        <v>66991</v>
      </c>
      <c r="J237" s="206">
        <f t="shared" si="11"/>
        <v>100507</v>
      </c>
    </row>
    <row r="238" spans="1:10">
      <c r="A238" s="202">
        <f t="shared" si="6"/>
        <v>2013.01</v>
      </c>
      <c r="B238" s="252">
        <v>13699</v>
      </c>
      <c r="C238" s="3034">
        <v>28307</v>
      </c>
      <c r="D238" s="194">
        <f t="shared" si="10"/>
        <v>42006</v>
      </c>
      <c r="E238" s="260">
        <v>3067</v>
      </c>
      <c r="F238" s="3034">
        <v>10674</v>
      </c>
      <c r="G238" s="194">
        <f t="shared" si="8"/>
        <v>13741</v>
      </c>
      <c r="H238" s="260">
        <v>31154</v>
      </c>
      <c r="I238" s="3034">
        <v>67274</v>
      </c>
      <c r="J238" s="206">
        <f t="shared" si="11"/>
        <v>98428</v>
      </c>
    </row>
    <row r="239" spans="1:10">
      <c r="A239" s="202">
        <f t="shared" si="6"/>
        <v>2013.02</v>
      </c>
      <c r="B239" s="252">
        <v>14128</v>
      </c>
      <c r="C239" s="3034">
        <v>28798</v>
      </c>
      <c r="D239" s="194">
        <f t="shared" si="10"/>
        <v>42926</v>
      </c>
      <c r="E239" s="260">
        <v>2980</v>
      </c>
      <c r="F239" s="3034">
        <v>9063</v>
      </c>
      <c r="G239" s="194">
        <f t="shared" si="8"/>
        <v>12043</v>
      </c>
      <c r="H239" s="260">
        <v>32551</v>
      </c>
      <c r="I239" s="3034">
        <v>69358</v>
      </c>
      <c r="J239" s="206">
        <f t="shared" si="11"/>
        <v>101909</v>
      </c>
    </row>
    <row r="240" spans="1:10">
      <c r="A240" s="202">
        <f t="shared" si="6"/>
        <v>2013.03</v>
      </c>
      <c r="B240" s="252">
        <v>14878</v>
      </c>
      <c r="C240" s="3034">
        <v>29232</v>
      </c>
      <c r="D240" s="194">
        <f t="shared" si="10"/>
        <v>44110</v>
      </c>
      <c r="E240" s="260">
        <v>3443</v>
      </c>
      <c r="F240" s="3034">
        <v>8551</v>
      </c>
      <c r="G240" s="194">
        <f t="shared" si="8"/>
        <v>11994</v>
      </c>
      <c r="H240" s="260">
        <v>34327</v>
      </c>
      <c r="I240" s="3034">
        <v>69979</v>
      </c>
      <c r="J240" s="206">
        <f t="shared" si="11"/>
        <v>104306</v>
      </c>
    </row>
    <row r="241" spans="1:10">
      <c r="A241" s="202">
        <f t="shared" si="6"/>
        <v>2013.04</v>
      </c>
      <c r="B241" s="252">
        <v>14106</v>
      </c>
      <c r="C241" s="3034">
        <v>28992</v>
      </c>
      <c r="D241" s="194">
        <f t="shared" si="10"/>
        <v>43098</v>
      </c>
      <c r="E241" s="260">
        <v>3289</v>
      </c>
      <c r="F241" s="3034">
        <v>8612</v>
      </c>
      <c r="G241" s="194">
        <f t="shared" si="8"/>
        <v>11901</v>
      </c>
      <c r="H241" s="260">
        <v>32252</v>
      </c>
      <c r="I241" s="3034">
        <v>69486</v>
      </c>
      <c r="J241" s="206">
        <f t="shared" si="11"/>
        <v>101738</v>
      </c>
    </row>
    <row r="242" spans="1:10">
      <c r="A242" s="202">
        <f t="shared" ref="A242:A305" si="12">A230+1</f>
        <v>2013.05</v>
      </c>
      <c r="B242" s="252">
        <v>13899</v>
      </c>
      <c r="C242" s="3034">
        <v>28395</v>
      </c>
      <c r="D242" s="194">
        <f t="shared" si="10"/>
        <v>42294</v>
      </c>
      <c r="E242" s="260">
        <v>3589</v>
      </c>
      <c r="F242" s="3034">
        <v>8810</v>
      </c>
      <c r="G242" s="194">
        <f t="shared" si="8"/>
        <v>12399</v>
      </c>
      <c r="H242" s="260">
        <v>32812</v>
      </c>
      <c r="I242" s="3034">
        <v>68152</v>
      </c>
      <c r="J242" s="206">
        <f t="shared" si="11"/>
        <v>100964</v>
      </c>
    </row>
    <row r="243" spans="1:10">
      <c r="A243" s="202">
        <f t="shared" si="12"/>
        <v>2013.06</v>
      </c>
      <c r="B243" s="252">
        <v>14518</v>
      </c>
      <c r="C243" s="3034">
        <v>28243</v>
      </c>
      <c r="D243" s="194">
        <f t="shared" si="10"/>
        <v>42761</v>
      </c>
      <c r="E243" s="260">
        <v>3801</v>
      </c>
      <c r="F243" s="3034">
        <v>9196</v>
      </c>
      <c r="G243" s="194">
        <f t="shared" si="8"/>
        <v>12997</v>
      </c>
      <c r="H243" s="260">
        <v>34885</v>
      </c>
      <c r="I243" s="3034">
        <v>67418</v>
      </c>
      <c r="J243" s="206">
        <f t="shared" si="11"/>
        <v>102303</v>
      </c>
    </row>
    <row r="244" spans="1:10">
      <c r="A244" s="202">
        <f t="shared" si="12"/>
        <v>2013.07</v>
      </c>
      <c r="B244" s="252">
        <v>14012</v>
      </c>
      <c r="C244" s="3034">
        <v>27863</v>
      </c>
      <c r="D244" s="194">
        <f t="shared" si="10"/>
        <v>41875</v>
      </c>
      <c r="E244" s="260">
        <v>3540</v>
      </c>
      <c r="F244" s="3034">
        <v>9052</v>
      </c>
      <c r="G244" s="194">
        <f t="shared" si="8"/>
        <v>12592</v>
      </c>
      <c r="H244" s="260">
        <v>31373</v>
      </c>
      <c r="I244" s="3034">
        <v>65717</v>
      </c>
      <c r="J244" s="206">
        <f t="shared" si="11"/>
        <v>97090</v>
      </c>
    </row>
    <row r="245" spans="1:10">
      <c r="A245" s="202">
        <f t="shared" si="12"/>
        <v>2013.08</v>
      </c>
      <c r="B245" s="252">
        <v>14033</v>
      </c>
      <c r="C245" s="3034">
        <v>27124</v>
      </c>
      <c r="D245" s="194">
        <f t="shared" si="10"/>
        <v>41157</v>
      </c>
      <c r="E245" s="260">
        <v>3622</v>
      </c>
      <c r="F245" s="3034">
        <v>8988</v>
      </c>
      <c r="G245" s="194">
        <f t="shared" si="8"/>
        <v>12610</v>
      </c>
      <c r="H245" s="260">
        <v>34319</v>
      </c>
      <c r="I245" s="3034">
        <v>68748</v>
      </c>
      <c r="J245" s="206">
        <f t="shared" si="11"/>
        <v>103067</v>
      </c>
    </row>
    <row r="246" spans="1:10">
      <c r="A246" s="202">
        <f t="shared" si="12"/>
        <v>2013.09</v>
      </c>
      <c r="B246" s="252">
        <v>14232</v>
      </c>
      <c r="C246" s="3034">
        <v>26689</v>
      </c>
      <c r="D246" s="194">
        <f t="shared" si="10"/>
        <v>40921</v>
      </c>
      <c r="E246" s="260">
        <v>3839</v>
      </c>
      <c r="F246" s="3034">
        <v>8870</v>
      </c>
      <c r="G246" s="194">
        <f t="shared" si="8"/>
        <v>12709</v>
      </c>
      <c r="H246" s="260">
        <v>32990</v>
      </c>
      <c r="I246" s="3034">
        <v>65772</v>
      </c>
      <c r="J246" s="206">
        <f t="shared" si="11"/>
        <v>98762</v>
      </c>
    </row>
    <row r="247" spans="1:10">
      <c r="A247" s="202">
        <f t="shared" si="12"/>
        <v>2013.1</v>
      </c>
      <c r="B247" s="252">
        <v>13312</v>
      </c>
      <c r="C247" s="3034">
        <v>26074</v>
      </c>
      <c r="D247" s="194">
        <f t="shared" si="10"/>
        <v>39386</v>
      </c>
      <c r="E247" s="260">
        <v>4004</v>
      </c>
      <c r="F247" s="3034">
        <v>8911</v>
      </c>
      <c r="G247" s="194">
        <f t="shared" si="8"/>
        <v>12915</v>
      </c>
      <c r="H247" s="260">
        <v>31245</v>
      </c>
      <c r="I247" s="3034">
        <v>64016</v>
      </c>
      <c r="J247" s="206">
        <f t="shared" si="11"/>
        <v>95261</v>
      </c>
    </row>
    <row r="248" spans="1:10">
      <c r="A248" s="202">
        <f t="shared" si="12"/>
        <v>2013.11</v>
      </c>
      <c r="B248" s="252">
        <v>13427</v>
      </c>
      <c r="C248" s="3034">
        <v>25557</v>
      </c>
      <c r="D248" s="194">
        <f t="shared" si="10"/>
        <v>38984</v>
      </c>
      <c r="E248" s="260">
        <v>3963</v>
      </c>
      <c r="F248" s="3034">
        <v>8909</v>
      </c>
      <c r="G248" s="194">
        <f t="shared" si="8"/>
        <v>12872</v>
      </c>
      <c r="H248" s="260">
        <v>31032</v>
      </c>
      <c r="I248" s="3034">
        <v>64336</v>
      </c>
      <c r="J248" s="206">
        <f t="shared" si="11"/>
        <v>95368</v>
      </c>
    </row>
    <row r="249" spans="1:10">
      <c r="A249" s="202">
        <f t="shared" si="12"/>
        <v>2013.12</v>
      </c>
      <c r="B249" s="252">
        <v>13588</v>
      </c>
      <c r="C249" s="3034">
        <v>24850</v>
      </c>
      <c r="D249" s="194">
        <f t="shared" si="10"/>
        <v>38438</v>
      </c>
      <c r="E249" s="260">
        <v>4010</v>
      </c>
      <c r="F249" s="3034">
        <v>8613</v>
      </c>
      <c r="G249" s="194">
        <f t="shared" si="8"/>
        <v>12623</v>
      </c>
      <c r="H249" s="260">
        <v>31137</v>
      </c>
      <c r="I249" s="3034">
        <v>61831</v>
      </c>
      <c r="J249" s="206">
        <f t="shared" si="11"/>
        <v>92968</v>
      </c>
    </row>
    <row r="250" spans="1:10">
      <c r="A250" s="202">
        <f t="shared" si="12"/>
        <v>2014.01</v>
      </c>
      <c r="B250" s="252">
        <v>12573</v>
      </c>
      <c r="C250" s="3034">
        <v>24834</v>
      </c>
      <c r="D250" s="194">
        <f t="shared" si="10"/>
        <v>37407</v>
      </c>
      <c r="E250" s="260">
        <v>3745</v>
      </c>
      <c r="F250" s="3034">
        <v>8885</v>
      </c>
      <c r="G250" s="194">
        <f t="shared" si="8"/>
        <v>12630</v>
      </c>
      <c r="H250" s="260">
        <v>29179</v>
      </c>
      <c r="I250" s="3034">
        <v>61639</v>
      </c>
      <c r="J250" s="206">
        <f t="shared" si="11"/>
        <v>90818</v>
      </c>
    </row>
    <row r="251" spans="1:10">
      <c r="A251" s="202">
        <f t="shared" si="12"/>
        <v>2014.02</v>
      </c>
      <c r="B251" s="252">
        <v>13245</v>
      </c>
      <c r="C251" s="3034">
        <v>25689</v>
      </c>
      <c r="D251" s="194">
        <f t="shared" si="10"/>
        <v>38934</v>
      </c>
      <c r="E251" s="260">
        <v>4003</v>
      </c>
      <c r="F251" s="3034">
        <v>8933</v>
      </c>
      <c r="G251" s="194">
        <f t="shared" si="8"/>
        <v>12936</v>
      </c>
      <c r="H251" s="260">
        <v>30284</v>
      </c>
      <c r="I251" s="3034">
        <v>62124</v>
      </c>
      <c r="J251" s="206">
        <f t="shared" si="11"/>
        <v>92408</v>
      </c>
    </row>
    <row r="252" spans="1:10">
      <c r="A252" s="202">
        <f t="shared" si="12"/>
        <v>2014.03</v>
      </c>
      <c r="B252" s="252">
        <v>13545</v>
      </c>
      <c r="C252" s="3034">
        <v>25467</v>
      </c>
      <c r="D252" s="194">
        <f t="shared" si="10"/>
        <v>39012</v>
      </c>
      <c r="E252" s="260">
        <v>4019</v>
      </c>
      <c r="F252" s="3034">
        <v>8835</v>
      </c>
      <c r="G252" s="194">
        <f t="shared" si="8"/>
        <v>12854</v>
      </c>
      <c r="H252" s="260">
        <v>31599</v>
      </c>
      <c r="I252" s="3034">
        <v>63494</v>
      </c>
      <c r="J252" s="206">
        <f t="shared" si="11"/>
        <v>95093</v>
      </c>
    </row>
    <row r="253" spans="1:10">
      <c r="A253" s="202">
        <f t="shared" si="12"/>
        <v>2014.04</v>
      </c>
      <c r="B253" s="252">
        <v>13024</v>
      </c>
      <c r="C253" s="3034">
        <v>25087</v>
      </c>
      <c r="D253" s="194">
        <f t="shared" si="10"/>
        <v>38111</v>
      </c>
      <c r="E253" s="260">
        <v>4003</v>
      </c>
      <c r="F253" s="3034">
        <v>8902</v>
      </c>
      <c r="G253" s="194">
        <f t="shared" si="8"/>
        <v>12905</v>
      </c>
      <c r="H253" s="260">
        <v>31719</v>
      </c>
      <c r="I253" s="3034">
        <v>62817</v>
      </c>
      <c r="J253" s="206">
        <f t="shared" si="11"/>
        <v>94536</v>
      </c>
    </row>
    <row r="254" spans="1:10">
      <c r="A254" s="202">
        <f t="shared" si="12"/>
        <v>2014.05</v>
      </c>
      <c r="B254" s="252">
        <v>12925</v>
      </c>
      <c r="C254" s="3034">
        <v>25003</v>
      </c>
      <c r="D254" s="194">
        <f t="shared" si="10"/>
        <v>37928</v>
      </c>
      <c r="E254" s="260">
        <v>4001</v>
      </c>
      <c r="F254" s="3034">
        <v>8904</v>
      </c>
      <c r="G254" s="194">
        <f t="shared" si="8"/>
        <v>12905</v>
      </c>
      <c r="H254" s="260">
        <v>31351</v>
      </c>
      <c r="I254" s="3034">
        <v>61796</v>
      </c>
      <c r="J254" s="206">
        <f t="shared" si="11"/>
        <v>93147</v>
      </c>
    </row>
    <row r="255" spans="1:10">
      <c r="A255" s="202">
        <f t="shared" si="12"/>
        <v>2014.06</v>
      </c>
      <c r="B255" s="252">
        <v>13156</v>
      </c>
      <c r="C255" s="3034">
        <v>24305</v>
      </c>
      <c r="D255" s="194">
        <f>B255+C255</f>
        <v>37461</v>
      </c>
      <c r="E255" s="260">
        <v>4083</v>
      </c>
      <c r="F255" s="3034">
        <v>8648</v>
      </c>
      <c r="G255" s="194">
        <f>E255+F255</f>
        <v>12731</v>
      </c>
      <c r="H255" s="260">
        <v>32410</v>
      </c>
      <c r="I255" s="3034">
        <v>60054</v>
      </c>
      <c r="J255" s="206">
        <f t="shared" si="11"/>
        <v>92464</v>
      </c>
    </row>
    <row r="256" spans="1:10">
      <c r="A256" s="202">
        <f t="shared" si="12"/>
        <v>2014.07</v>
      </c>
      <c r="B256" s="252">
        <v>12409</v>
      </c>
      <c r="C256" s="3034">
        <v>23753</v>
      </c>
      <c r="D256" s="194">
        <f t="shared" si="10"/>
        <v>36162</v>
      </c>
      <c r="E256" s="260">
        <v>3962</v>
      </c>
      <c r="F256" s="3034">
        <v>8622</v>
      </c>
      <c r="G256" s="194">
        <f t="shared" si="8"/>
        <v>12584</v>
      </c>
      <c r="H256" s="260">
        <v>29759</v>
      </c>
      <c r="I256" s="3034">
        <v>59137</v>
      </c>
      <c r="J256" s="206">
        <f t="shared" si="11"/>
        <v>88896</v>
      </c>
    </row>
    <row r="257" spans="1:10">
      <c r="A257" s="202">
        <f t="shared" si="12"/>
        <v>2014.08</v>
      </c>
      <c r="B257" s="252">
        <v>13416</v>
      </c>
      <c r="C257" s="3034">
        <v>25383</v>
      </c>
      <c r="D257" s="194">
        <f t="shared" si="10"/>
        <v>38799</v>
      </c>
      <c r="E257" s="260">
        <v>4002</v>
      </c>
      <c r="F257" s="3034">
        <v>8608</v>
      </c>
      <c r="G257" s="194">
        <f t="shared" si="8"/>
        <v>12610</v>
      </c>
      <c r="H257" s="260">
        <v>31487</v>
      </c>
      <c r="I257" s="3034">
        <v>59663</v>
      </c>
      <c r="J257" s="206">
        <f t="shared" si="11"/>
        <v>91150</v>
      </c>
    </row>
    <row r="258" spans="1:10">
      <c r="A258" s="202">
        <f t="shared" si="12"/>
        <v>2014.09</v>
      </c>
      <c r="B258" s="252">
        <v>12814</v>
      </c>
      <c r="C258" s="3034">
        <v>24617</v>
      </c>
      <c r="D258" s="194">
        <f t="shared" si="10"/>
        <v>37431</v>
      </c>
      <c r="E258" s="260">
        <v>3883</v>
      </c>
      <c r="F258" s="3034">
        <v>8658</v>
      </c>
      <c r="G258" s="194">
        <f t="shared" si="8"/>
        <v>12541</v>
      </c>
      <c r="H258" s="260">
        <v>29825</v>
      </c>
      <c r="I258" s="3034">
        <v>58681</v>
      </c>
      <c r="J258" s="206">
        <f t="shared" si="11"/>
        <v>88506</v>
      </c>
    </row>
    <row r="259" spans="1:10">
      <c r="A259" s="202">
        <f t="shared" si="12"/>
        <v>2014.1</v>
      </c>
      <c r="B259" s="252">
        <v>12345</v>
      </c>
      <c r="C259" s="3034">
        <v>23778</v>
      </c>
      <c r="D259" s="194">
        <f t="shared" si="10"/>
        <v>36123</v>
      </c>
      <c r="E259" s="260">
        <v>3946</v>
      </c>
      <c r="F259" s="3034">
        <v>8654</v>
      </c>
      <c r="G259" s="194">
        <f t="shared" si="8"/>
        <v>12600</v>
      </c>
      <c r="H259" s="260">
        <v>28668</v>
      </c>
      <c r="I259" s="3034">
        <v>56356</v>
      </c>
      <c r="J259" s="206">
        <f t="shared" si="11"/>
        <v>85024</v>
      </c>
    </row>
    <row r="260" spans="1:10">
      <c r="A260" s="202">
        <f t="shared" si="12"/>
        <v>2014.11</v>
      </c>
      <c r="B260" s="252">
        <v>13603</v>
      </c>
      <c r="C260" s="3034">
        <v>24363</v>
      </c>
      <c r="D260" s="194">
        <f t="shared" si="10"/>
        <v>37966</v>
      </c>
      <c r="E260" s="260">
        <v>3986</v>
      </c>
      <c r="F260" s="3034">
        <v>8318</v>
      </c>
      <c r="G260" s="194">
        <f t="shared" si="8"/>
        <v>12304</v>
      </c>
      <c r="H260" s="260">
        <v>30506</v>
      </c>
      <c r="I260" s="3034">
        <v>55770</v>
      </c>
      <c r="J260" s="206">
        <f t="shared" si="11"/>
        <v>86276</v>
      </c>
    </row>
    <row r="261" spans="1:10">
      <c r="A261" s="202">
        <f t="shared" si="12"/>
        <v>2014.12</v>
      </c>
      <c r="B261" s="252">
        <v>12852</v>
      </c>
      <c r="C261" s="3034">
        <v>23171</v>
      </c>
      <c r="D261" s="194">
        <f t="shared" si="10"/>
        <v>36023</v>
      </c>
      <c r="E261" s="260">
        <v>3605</v>
      </c>
      <c r="F261" s="3034">
        <v>7928</v>
      </c>
      <c r="G261" s="194">
        <f t="shared" si="8"/>
        <v>11533</v>
      </c>
      <c r="H261" s="260">
        <v>28613</v>
      </c>
      <c r="I261" s="3034">
        <v>54791</v>
      </c>
      <c r="J261" s="206">
        <f t="shared" si="11"/>
        <v>83404</v>
      </c>
    </row>
    <row r="262" spans="1:10">
      <c r="A262" s="202">
        <f t="shared" si="12"/>
        <v>2015.01</v>
      </c>
      <c r="B262" s="252">
        <v>11517</v>
      </c>
      <c r="C262" s="3034">
        <v>21990</v>
      </c>
      <c r="D262" s="194">
        <f t="shared" si="10"/>
        <v>33507</v>
      </c>
      <c r="E262" s="260">
        <v>2951</v>
      </c>
      <c r="F262" s="3034">
        <v>7337</v>
      </c>
      <c r="G262" s="194">
        <f t="shared" si="8"/>
        <v>10288</v>
      </c>
      <c r="H262" s="260">
        <v>27426</v>
      </c>
      <c r="I262" s="3034">
        <v>54967</v>
      </c>
      <c r="J262" s="206">
        <f t="shared" si="11"/>
        <v>82393</v>
      </c>
    </row>
    <row r="263" spans="1:10">
      <c r="A263" s="202">
        <f t="shared" si="12"/>
        <v>2015.02</v>
      </c>
      <c r="B263" s="252">
        <v>12045</v>
      </c>
      <c r="C263" s="3034">
        <v>21943</v>
      </c>
      <c r="D263" s="194">
        <f t="shared" si="10"/>
        <v>33988</v>
      </c>
      <c r="E263" s="260">
        <v>3305</v>
      </c>
      <c r="F263" s="3034">
        <v>7337</v>
      </c>
      <c r="G263" s="194">
        <f t="shared" si="8"/>
        <v>10642</v>
      </c>
      <c r="H263" s="260">
        <v>28685</v>
      </c>
      <c r="I263" s="3034">
        <v>55877</v>
      </c>
      <c r="J263" s="206">
        <f t="shared" si="11"/>
        <v>84562</v>
      </c>
    </row>
    <row r="264" spans="1:10">
      <c r="A264" s="202">
        <f t="shared" si="12"/>
        <v>2015.03</v>
      </c>
      <c r="B264" s="252">
        <v>12152</v>
      </c>
      <c r="C264" s="3034">
        <v>21952</v>
      </c>
      <c r="D264" s="194">
        <f t="shared" si="10"/>
        <v>34104</v>
      </c>
      <c r="E264" s="260">
        <v>3360</v>
      </c>
      <c r="F264" s="3034">
        <v>7558</v>
      </c>
      <c r="G264" s="194">
        <f t="shared" si="8"/>
        <v>10918</v>
      </c>
      <c r="H264" s="260">
        <v>29971</v>
      </c>
      <c r="I264" s="3034">
        <v>58968</v>
      </c>
      <c r="J264" s="206">
        <f t="shared" si="11"/>
        <v>88939</v>
      </c>
    </row>
    <row r="265" spans="1:10">
      <c r="A265" s="202">
        <f t="shared" si="12"/>
        <v>2015.04</v>
      </c>
      <c r="B265" s="252">
        <v>11859</v>
      </c>
      <c r="C265" s="3034">
        <v>21944</v>
      </c>
      <c r="D265" s="194">
        <f t="shared" si="10"/>
        <v>33803</v>
      </c>
      <c r="E265" s="260">
        <v>3292</v>
      </c>
      <c r="F265" s="3034">
        <v>7324</v>
      </c>
      <c r="G265" s="194">
        <f t="shared" si="8"/>
        <v>10616</v>
      </c>
      <c r="H265" s="260">
        <v>29401</v>
      </c>
      <c r="I265" s="3034">
        <v>57742</v>
      </c>
      <c r="J265" s="206">
        <f t="shared" si="11"/>
        <v>87143</v>
      </c>
    </row>
    <row r="266" spans="1:10">
      <c r="A266" s="202">
        <f t="shared" si="12"/>
        <v>2015.05</v>
      </c>
      <c r="B266" s="252">
        <v>12005</v>
      </c>
      <c r="C266" s="3034">
        <v>21746</v>
      </c>
      <c r="D266" s="194">
        <f t="shared" si="10"/>
        <v>33751</v>
      </c>
      <c r="E266" s="260">
        <v>3410</v>
      </c>
      <c r="F266" s="3034">
        <v>7529</v>
      </c>
      <c r="G266" s="194">
        <f t="shared" si="8"/>
        <v>10939</v>
      </c>
      <c r="H266" s="260">
        <v>28480</v>
      </c>
      <c r="I266" s="3034">
        <v>55739</v>
      </c>
      <c r="J266" s="206">
        <f t="shared" si="11"/>
        <v>84219</v>
      </c>
    </row>
    <row r="267" spans="1:10">
      <c r="A267" s="202">
        <f t="shared" si="12"/>
        <v>2015.06</v>
      </c>
      <c r="B267" s="252">
        <v>11938</v>
      </c>
      <c r="C267" s="3034">
        <v>22072</v>
      </c>
      <c r="D267" s="194">
        <f t="shared" si="10"/>
        <v>34010</v>
      </c>
      <c r="E267" s="260">
        <v>3296</v>
      </c>
      <c r="F267" s="3034">
        <v>7509</v>
      </c>
      <c r="G267" s="194">
        <f t="shared" si="8"/>
        <v>10805</v>
      </c>
      <c r="H267" s="260">
        <v>27592</v>
      </c>
      <c r="I267" s="3034">
        <v>55338</v>
      </c>
      <c r="J267" s="206">
        <f t="shared" si="11"/>
        <v>82930</v>
      </c>
    </row>
    <row r="268" spans="1:10">
      <c r="A268" s="202">
        <f t="shared" si="12"/>
        <v>2015.07</v>
      </c>
      <c r="B268" s="252">
        <v>11846</v>
      </c>
      <c r="C268" s="3034">
        <v>21861</v>
      </c>
      <c r="D268" s="194">
        <f t="shared" si="10"/>
        <v>33707</v>
      </c>
      <c r="E268" s="260">
        <v>3206</v>
      </c>
      <c r="F268" s="3034">
        <v>7561</v>
      </c>
      <c r="G268" s="194">
        <f t="shared" ref="G268:G273" si="13">E268+F268</f>
        <v>10767</v>
      </c>
      <c r="H268" s="260">
        <v>27380</v>
      </c>
      <c r="I268" s="3034">
        <v>54159</v>
      </c>
      <c r="J268" s="206">
        <f t="shared" si="11"/>
        <v>81539</v>
      </c>
    </row>
    <row r="269" spans="1:10">
      <c r="A269" s="202">
        <f t="shared" si="12"/>
        <v>2015.08</v>
      </c>
      <c r="B269" s="252">
        <v>12212</v>
      </c>
      <c r="C269" s="3034">
        <v>20875</v>
      </c>
      <c r="D269" s="194">
        <f t="shared" si="10"/>
        <v>33087</v>
      </c>
      <c r="E269" s="260">
        <v>3239</v>
      </c>
      <c r="F269" s="3034">
        <v>7277</v>
      </c>
      <c r="G269" s="194">
        <f t="shared" si="13"/>
        <v>10516</v>
      </c>
      <c r="H269" s="260">
        <v>28175</v>
      </c>
      <c r="I269" s="3034">
        <v>53591</v>
      </c>
      <c r="J269" s="206">
        <f t="shared" si="11"/>
        <v>81766</v>
      </c>
    </row>
    <row r="270" spans="1:10">
      <c r="A270" s="202">
        <f t="shared" si="12"/>
        <v>2015.09</v>
      </c>
      <c r="B270" s="252">
        <v>11651</v>
      </c>
      <c r="C270" s="3034">
        <v>20961</v>
      </c>
      <c r="D270" s="194">
        <f t="shared" si="10"/>
        <v>32612</v>
      </c>
      <c r="E270" s="260">
        <v>3086</v>
      </c>
      <c r="F270" s="3034">
        <v>7110</v>
      </c>
      <c r="G270" s="194">
        <f t="shared" si="13"/>
        <v>10196</v>
      </c>
      <c r="H270" s="260">
        <v>26795</v>
      </c>
      <c r="I270" s="3034">
        <v>53669</v>
      </c>
      <c r="J270" s="206">
        <f t="shared" si="11"/>
        <v>80464</v>
      </c>
    </row>
    <row r="271" spans="1:10">
      <c r="A271" s="202">
        <f t="shared" si="12"/>
        <v>2015.1</v>
      </c>
      <c r="B271" s="252">
        <v>11428</v>
      </c>
      <c r="C271" s="3034">
        <v>20416</v>
      </c>
      <c r="D271" s="194">
        <f t="shared" si="10"/>
        <v>31844</v>
      </c>
      <c r="E271" s="260">
        <v>3027</v>
      </c>
      <c r="F271" s="3034">
        <v>6992</v>
      </c>
      <c r="G271" s="194">
        <f t="shared" si="13"/>
        <v>10019</v>
      </c>
      <c r="H271" s="260">
        <v>25634</v>
      </c>
      <c r="I271" s="3034">
        <v>51205</v>
      </c>
      <c r="J271" s="206">
        <f t="shared" si="11"/>
        <v>76839</v>
      </c>
    </row>
    <row r="272" spans="1:10">
      <c r="A272" s="202">
        <f t="shared" si="12"/>
        <v>2015.11</v>
      </c>
      <c r="B272" s="252">
        <v>11880</v>
      </c>
      <c r="C272" s="3034">
        <v>20249</v>
      </c>
      <c r="D272" s="194">
        <f t="shared" si="10"/>
        <v>32129</v>
      </c>
      <c r="E272" s="260">
        <v>3237</v>
      </c>
      <c r="F272" s="3034">
        <v>6911</v>
      </c>
      <c r="G272" s="194">
        <f t="shared" si="13"/>
        <v>10148</v>
      </c>
      <c r="H272" s="260">
        <v>26794</v>
      </c>
      <c r="I272" s="3034">
        <v>50851</v>
      </c>
      <c r="J272" s="206">
        <f t="shared" si="11"/>
        <v>77645</v>
      </c>
    </row>
    <row r="273" spans="1:10">
      <c r="A273" s="202">
        <f t="shared" si="12"/>
        <v>2015.12</v>
      </c>
      <c r="B273" s="252">
        <v>11224</v>
      </c>
      <c r="C273" s="3034">
        <v>19726</v>
      </c>
      <c r="D273" s="194">
        <f t="shared" si="10"/>
        <v>30950</v>
      </c>
      <c r="E273" s="260">
        <v>3024</v>
      </c>
      <c r="F273" s="3034">
        <v>6884</v>
      </c>
      <c r="G273" s="194">
        <f t="shared" si="13"/>
        <v>9908</v>
      </c>
      <c r="H273" s="260">
        <v>24933</v>
      </c>
      <c r="I273" s="3034">
        <v>49017</v>
      </c>
      <c r="J273" s="206">
        <f t="shared" si="11"/>
        <v>73950</v>
      </c>
    </row>
    <row r="274" spans="1:10">
      <c r="A274" s="202">
        <f t="shared" si="12"/>
        <v>2016.01</v>
      </c>
      <c r="B274" s="252">
        <v>10689</v>
      </c>
      <c r="C274" s="3034">
        <v>18720</v>
      </c>
      <c r="D274" s="194">
        <f t="shared" ref="D274:D287" si="14">B274+C274</f>
        <v>29409</v>
      </c>
      <c r="E274" s="260">
        <v>2787</v>
      </c>
      <c r="F274" s="3034">
        <v>6686</v>
      </c>
      <c r="G274" s="194">
        <f t="shared" ref="G274:G287" si="15">E274+F274</f>
        <v>9473</v>
      </c>
      <c r="H274" s="260">
        <v>24859</v>
      </c>
      <c r="I274" s="3034">
        <v>47972</v>
      </c>
      <c r="J274" s="206">
        <f t="shared" ref="J274:J287" si="16">H274+I274</f>
        <v>72831</v>
      </c>
    </row>
    <row r="275" spans="1:10">
      <c r="A275" s="202">
        <f t="shared" si="12"/>
        <v>2016.02</v>
      </c>
      <c r="B275" s="252">
        <v>10379</v>
      </c>
      <c r="C275" s="3034">
        <v>18002</v>
      </c>
      <c r="D275" s="194">
        <f t="shared" si="14"/>
        <v>28381</v>
      </c>
      <c r="E275" s="260">
        <v>2763</v>
      </c>
      <c r="F275" s="3034">
        <v>6538</v>
      </c>
      <c r="G275" s="194">
        <f t="shared" si="15"/>
        <v>9301</v>
      </c>
      <c r="H275" s="260">
        <v>24521</v>
      </c>
      <c r="I275" s="3034">
        <v>47932</v>
      </c>
      <c r="J275" s="206">
        <f t="shared" si="16"/>
        <v>72453</v>
      </c>
    </row>
    <row r="276" spans="1:10">
      <c r="A276" s="202">
        <f t="shared" si="12"/>
        <v>2016.03</v>
      </c>
      <c r="B276" s="252">
        <v>10463</v>
      </c>
      <c r="C276" s="3034">
        <v>19013</v>
      </c>
      <c r="D276" s="194">
        <f t="shared" si="14"/>
        <v>29476</v>
      </c>
      <c r="E276" s="260">
        <v>2573</v>
      </c>
      <c r="F276" s="3034">
        <v>6153</v>
      </c>
      <c r="G276" s="194">
        <f t="shared" si="15"/>
        <v>8726</v>
      </c>
      <c r="H276" s="260">
        <v>23985</v>
      </c>
      <c r="I276" s="3034">
        <v>48152</v>
      </c>
      <c r="J276" s="206">
        <f t="shared" si="16"/>
        <v>72137</v>
      </c>
    </row>
    <row r="277" spans="1:10">
      <c r="A277" s="202">
        <f t="shared" si="12"/>
        <v>2016.04</v>
      </c>
      <c r="B277" s="252">
        <v>10806</v>
      </c>
      <c r="C277" s="3034">
        <v>18729</v>
      </c>
      <c r="D277" s="194">
        <f t="shared" si="14"/>
        <v>29535</v>
      </c>
      <c r="E277" s="260">
        <v>2678</v>
      </c>
      <c r="F277" s="3034">
        <v>5774</v>
      </c>
      <c r="G277" s="194">
        <f t="shared" si="15"/>
        <v>8452</v>
      </c>
      <c r="H277" s="260">
        <v>24495</v>
      </c>
      <c r="I277" s="3034">
        <v>48184</v>
      </c>
      <c r="J277" s="206">
        <f t="shared" si="16"/>
        <v>72679</v>
      </c>
    </row>
    <row r="278" spans="1:10">
      <c r="A278" s="202">
        <f t="shared" si="12"/>
        <v>2016.05</v>
      </c>
      <c r="B278" s="252">
        <v>10451</v>
      </c>
      <c r="C278" s="3034">
        <v>18148</v>
      </c>
      <c r="D278" s="194">
        <f t="shared" si="14"/>
        <v>28599</v>
      </c>
      <c r="E278" s="260">
        <v>2443</v>
      </c>
      <c r="F278" s="3034">
        <v>5345</v>
      </c>
      <c r="G278" s="194">
        <f t="shared" si="15"/>
        <v>7788</v>
      </c>
      <c r="H278" s="260">
        <v>23455</v>
      </c>
      <c r="I278" s="3034">
        <v>46677</v>
      </c>
      <c r="J278" s="206">
        <f t="shared" si="16"/>
        <v>70132</v>
      </c>
    </row>
    <row r="279" spans="1:10">
      <c r="A279" s="202">
        <f t="shared" si="12"/>
        <v>2016.06</v>
      </c>
      <c r="B279" s="252">
        <v>9723</v>
      </c>
      <c r="C279" s="3034">
        <v>16974</v>
      </c>
      <c r="D279" s="194">
        <f t="shared" si="14"/>
        <v>26697</v>
      </c>
      <c r="E279" s="260">
        <v>2482</v>
      </c>
      <c r="F279" s="3034">
        <v>5330</v>
      </c>
      <c r="G279" s="194">
        <f t="shared" si="15"/>
        <v>7812</v>
      </c>
      <c r="H279" s="260">
        <v>22761</v>
      </c>
      <c r="I279" s="3034">
        <v>44864</v>
      </c>
      <c r="J279" s="206">
        <f t="shared" si="16"/>
        <v>67625</v>
      </c>
    </row>
    <row r="280" spans="1:10">
      <c r="A280" s="202">
        <f t="shared" si="12"/>
        <v>2016.07</v>
      </c>
      <c r="B280" s="252">
        <v>9931</v>
      </c>
      <c r="C280" s="3034">
        <v>16960</v>
      </c>
      <c r="D280" s="194">
        <f t="shared" si="14"/>
        <v>26891</v>
      </c>
      <c r="E280" s="260">
        <v>2520</v>
      </c>
      <c r="F280" s="3034">
        <v>5129</v>
      </c>
      <c r="G280" s="194">
        <f t="shared" si="15"/>
        <v>7649</v>
      </c>
      <c r="H280" s="260">
        <v>23365</v>
      </c>
      <c r="I280" s="3034">
        <v>44818</v>
      </c>
      <c r="J280" s="206">
        <f t="shared" si="16"/>
        <v>68183</v>
      </c>
    </row>
    <row r="281" spans="1:10">
      <c r="A281" s="202">
        <f t="shared" si="12"/>
        <v>2016.08</v>
      </c>
      <c r="B281" s="252">
        <v>9710</v>
      </c>
      <c r="C281" s="3034">
        <v>16717</v>
      </c>
      <c r="D281" s="194">
        <f t="shared" si="14"/>
        <v>26427</v>
      </c>
      <c r="E281" s="260">
        <v>2408</v>
      </c>
      <c r="F281" s="3034">
        <v>5014</v>
      </c>
      <c r="G281" s="194">
        <f t="shared" si="15"/>
        <v>7422</v>
      </c>
      <c r="H281" s="260">
        <v>22348</v>
      </c>
      <c r="I281" s="3034">
        <v>44100</v>
      </c>
      <c r="J281" s="206">
        <f t="shared" si="16"/>
        <v>66448</v>
      </c>
    </row>
    <row r="282" spans="1:10">
      <c r="A282" s="202">
        <f t="shared" si="12"/>
        <v>2016.09</v>
      </c>
      <c r="B282" s="252">
        <v>9887</v>
      </c>
      <c r="C282" s="3034">
        <v>17051</v>
      </c>
      <c r="D282" s="194">
        <f t="shared" si="14"/>
        <v>26938</v>
      </c>
      <c r="E282" s="260">
        <v>2378</v>
      </c>
      <c r="F282" s="3034">
        <v>4919</v>
      </c>
      <c r="G282" s="194">
        <f t="shared" si="15"/>
        <v>7297</v>
      </c>
      <c r="H282" s="260">
        <v>22010</v>
      </c>
      <c r="I282" s="3034">
        <v>43501</v>
      </c>
      <c r="J282" s="206">
        <f t="shared" si="16"/>
        <v>65511</v>
      </c>
    </row>
    <row r="283" spans="1:10">
      <c r="A283" s="202">
        <f t="shared" si="12"/>
        <v>2016.1</v>
      </c>
      <c r="B283" s="252">
        <v>10424</v>
      </c>
      <c r="C283" s="3034">
        <v>17027</v>
      </c>
      <c r="D283" s="194">
        <f t="shared" si="14"/>
        <v>27451</v>
      </c>
      <c r="E283" s="260">
        <v>2386</v>
      </c>
      <c r="F283" s="3034">
        <v>4747</v>
      </c>
      <c r="G283" s="194">
        <f t="shared" si="15"/>
        <v>7133</v>
      </c>
      <c r="H283" s="260">
        <v>23192</v>
      </c>
      <c r="I283" s="3034">
        <v>43375</v>
      </c>
      <c r="J283" s="206">
        <f t="shared" si="16"/>
        <v>66567</v>
      </c>
    </row>
    <row r="284" spans="1:10">
      <c r="A284" s="202">
        <f t="shared" si="12"/>
        <v>2016.11</v>
      </c>
      <c r="B284" s="252">
        <v>10087</v>
      </c>
      <c r="C284" s="3034">
        <v>16717</v>
      </c>
      <c r="D284" s="194">
        <f t="shared" si="14"/>
        <v>26804</v>
      </c>
      <c r="E284" s="260">
        <v>2222</v>
      </c>
      <c r="F284" s="3034">
        <v>4274</v>
      </c>
      <c r="G284" s="194">
        <f t="shared" si="15"/>
        <v>6496</v>
      </c>
      <c r="H284" s="260">
        <v>22424</v>
      </c>
      <c r="I284" s="3034">
        <v>43111</v>
      </c>
      <c r="J284" s="206">
        <f t="shared" si="16"/>
        <v>65535</v>
      </c>
    </row>
    <row r="285" spans="1:10">
      <c r="A285" s="202">
        <f t="shared" si="12"/>
        <v>2016.12</v>
      </c>
      <c r="B285" s="252">
        <v>10058</v>
      </c>
      <c r="C285" s="3034">
        <v>16419</v>
      </c>
      <c r="D285" s="194">
        <f t="shared" si="14"/>
        <v>26477</v>
      </c>
      <c r="E285" s="260">
        <v>2207</v>
      </c>
      <c r="F285" s="3034">
        <v>4434</v>
      </c>
      <c r="G285" s="194">
        <f t="shared" si="15"/>
        <v>6641</v>
      </c>
      <c r="H285" s="260">
        <v>21417</v>
      </c>
      <c r="I285" s="3034">
        <v>42354</v>
      </c>
      <c r="J285" s="206">
        <f t="shared" si="16"/>
        <v>63771</v>
      </c>
    </row>
    <row r="286" spans="1:10">
      <c r="A286" s="202">
        <f t="shared" si="12"/>
        <v>2017.01</v>
      </c>
      <c r="B286" s="252">
        <v>9527</v>
      </c>
      <c r="C286" s="3034">
        <v>15919</v>
      </c>
      <c r="D286" s="194">
        <f t="shared" si="14"/>
        <v>25446</v>
      </c>
      <c r="E286" s="260">
        <v>2060</v>
      </c>
      <c r="F286" s="3034">
        <v>3975</v>
      </c>
      <c r="G286" s="194">
        <f t="shared" si="15"/>
        <v>6035</v>
      </c>
      <c r="H286" s="260">
        <v>20639</v>
      </c>
      <c r="I286" s="3034">
        <v>39914</v>
      </c>
      <c r="J286" s="206">
        <f t="shared" si="16"/>
        <v>60553</v>
      </c>
    </row>
    <row r="287" spans="1:10">
      <c r="A287" s="202">
        <f t="shared" si="12"/>
        <v>2017.02</v>
      </c>
      <c r="B287" s="252">
        <v>9691</v>
      </c>
      <c r="C287" s="3034">
        <v>16181</v>
      </c>
      <c r="D287" s="194">
        <f t="shared" si="14"/>
        <v>25872</v>
      </c>
      <c r="E287" s="260">
        <v>2004</v>
      </c>
      <c r="F287" s="3034">
        <v>3737</v>
      </c>
      <c r="G287" s="194">
        <f t="shared" si="15"/>
        <v>5741</v>
      </c>
      <c r="H287" s="260">
        <v>21125</v>
      </c>
      <c r="I287" s="3034">
        <v>41372</v>
      </c>
      <c r="J287" s="206">
        <f t="shared" si="16"/>
        <v>62497</v>
      </c>
    </row>
    <row r="288" spans="1:10">
      <c r="A288" s="202">
        <f t="shared" si="12"/>
        <v>2017.03</v>
      </c>
      <c r="B288" s="252">
        <v>9609</v>
      </c>
      <c r="C288" s="3034">
        <v>16765</v>
      </c>
      <c r="D288" s="194">
        <f t="shared" ref="D288:D333" si="17">B288+C288</f>
        <v>26374</v>
      </c>
      <c r="E288" s="260">
        <v>1966</v>
      </c>
      <c r="F288" s="3034">
        <v>3511</v>
      </c>
      <c r="G288" s="194">
        <f>E288+F288</f>
        <v>5477</v>
      </c>
      <c r="H288" s="260">
        <v>20358</v>
      </c>
      <c r="I288" s="3034">
        <v>41491</v>
      </c>
      <c r="J288" s="206">
        <f t="shared" ref="J288:J333" si="18">H288+I288</f>
        <v>61849</v>
      </c>
    </row>
    <row r="289" spans="1:10">
      <c r="A289" s="202">
        <f t="shared" si="12"/>
        <v>2017.04</v>
      </c>
      <c r="B289" s="252">
        <v>9680</v>
      </c>
      <c r="C289" s="3034">
        <v>15368</v>
      </c>
      <c r="D289" s="194">
        <f t="shared" si="17"/>
        <v>25048</v>
      </c>
      <c r="E289" s="1037" t="s">
        <v>1642</v>
      </c>
      <c r="F289" s="3271" t="s">
        <v>1642</v>
      </c>
      <c r="G289" s="1039" t="s">
        <v>1642</v>
      </c>
      <c r="H289" s="260">
        <v>22207</v>
      </c>
      <c r="I289" s="3034">
        <v>40984</v>
      </c>
      <c r="J289" s="206">
        <f t="shared" si="18"/>
        <v>63191</v>
      </c>
    </row>
    <row r="290" spans="1:10">
      <c r="A290" s="202">
        <f t="shared" si="12"/>
        <v>2017.05</v>
      </c>
      <c r="B290" s="252">
        <v>9600</v>
      </c>
      <c r="C290" s="3034">
        <v>15940</v>
      </c>
      <c r="D290" s="194">
        <f t="shared" si="17"/>
        <v>25540</v>
      </c>
      <c r="E290" s="2353"/>
      <c r="F290" s="3078"/>
      <c r="G290" s="302"/>
      <c r="H290" s="260">
        <v>20987</v>
      </c>
      <c r="I290" s="3034">
        <v>40814</v>
      </c>
      <c r="J290" s="206">
        <f t="shared" si="18"/>
        <v>61801</v>
      </c>
    </row>
    <row r="291" spans="1:10">
      <c r="A291" s="202">
        <f t="shared" si="12"/>
        <v>2017.06</v>
      </c>
      <c r="B291" s="252">
        <v>9872</v>
      </c>
      <c r="C291" s="3034">
        <v>16273</v>
      </c>
      <c r="D291" s="194">
        <f t="shared" si="17"/>
        <v>26145</v>
      </c>
      <c r="E291" s="2353"/>
      <c r="F291" s="3078"/>
      <c r="G291" s="302"/>
      <c r="H291" s="260">
        <v>20502</v>
      </c>
      <c r="I291" s="3034">
        <v>39935</v>
      </c>
      <c r="J291" s="206">
        <f t="shared" si="18"/>
        <v>60437</v>
      </c>
    </row>
    <row r="292" spans="1:10">
      <c r="A292" s="202">
        <f t="shared" si="12"/>
        <v>2017.07</v>
      </c>
      <c r="B292" s="252">
        <v>9788</v>
      </c>
      <c r="C292" s="3034">
        <v>15783</v>
      </c>
      <c r="D292" s="194">
        <f t="shared" si="17"/>
        <v>25571</v>
      </c>
      <c r="E292" s="2353"/>
      <c r="F292" s="3078"/>
      <c r="G292" s="302"/>
      <c r="H292" s="260">
        <v>21807</v>
      </c>
      <c r="I292" s="3034">
        <v>40374</v>
      </c>
      <c r="J292" s="206">
        <f t="shared" si="18"/>
        <v>62181</v>
      </c>
    </row>
    <row r="293" spans="1:10">
      <c r="A293" s="202">
        <f t="shared" si="12"/>
        <v>2017.08</v>
      </c>
      <c r="B293" s="252">
        <v>10015</v>
      </c>
      <c r="C293" s="3034">
        <v>15979</v>
      </c>
      <c r="D293" s="194">
        <f t="shared" si="17"/>
        <v>25994</v>
      </c>
      <c r="E293" s="2353"/>
      <c r="F293" s="3078"/>
      <c r="G293" s="302"/>
      <c r="H293" s="260">
        <v>21712</v>
      </c>
      <c r="I293" s="3034">
        <v>40246</v>
      </c>
      <c r="J293" s="206">
        <f t="shared" si="18"/>
        <v>61958</v>
      </c>
    </row>
    <row r="294" spans="1:10">
      <c r="A294" s="202">
        <f t="shared" si="12"/>
        <v>2017.09</v>
      </c>
      <c r="B294" s="252">
        <v>10001</v>
      </c>
      <c r="C294" s="3034">
        <v>15953</v>
      </c>
      <c r="D294" s="194">
        <f t="shared" si="17"/>
        <v>25954</v>
      </c>
      <c r="E294" s="2353"/>
      <c r="F294" s="3078"/>
      <c r="G294" s="302"/>
      <c r="H294" s="260">
        <v>21792</v>
      </c>
      <c r="I294" s="3034">
        <v>40425</v>
      </c>
      <c r="J294" s="206">
        <f t="shared" si="18"/>
        <v>62217</v>
      </c>
    </row>
    <row r="295" spans="1:10">
      <c r="A295" s="2354">
        <f t="shared" si="12"/>
        <v>2017.1</v>
      </c>
      <c r="B295" s="252">
        <v>10009</v>
      </c>
      <c r="C295" s="3034">
        <v>15509</v>
      </c>
      <c r="D295" s="194">
        <f t="shared" si="17"/>
        <v>25518</v>
      </c>
      <c r="E295" s="2353"/>
      <c r="F295" s="3078"/>
      <c r="G295" s="302"/>
      <c r="H295" s="260">
        <v>21832</v>
      </c>
      <c r="I295" s="3034">
        <v>37979</v>
      </c>
      <c r="J295" s="206">
        <f t="shared" si="18"/>
        <v>59811</v>
      </c>
    </row>
    <row r="296" spans="1:10">
      <c r="A296" s="2354">
        <f t="shared" si="12"/>
        <v>2017.11</v>
      </c>
      <c r="B296" s="252">
        <v>10040</v>
      </c>
      <c r="C296" s="3034">
        <v>15556</v>
      </c>
      <c r="D296" s="194">
        <f t="shared" si="17"/>
        <v>25596</v>
      </c>
      <c r="E296" s="2353"/>
      <c r="F296" s="3078"/>
      <c r="G296" s="302"/>
      <c r="H296" s="260">
        <v>20960</v>
      </c>
      <c r="I296" s="3034">
        <v>37839</v>
      </c>
      <c r="J296" s="206">
        <f t="shared" si="18"/>
        <v>58799</v>
      </c>
    </row>
    <row r="297" spans="1:10">
      <c r="A297" s="2354">
        <f t="shared" si="12"/>
        <v>2017.12</v>
      </c>
      <c r="B297" s="252">
        <v>10004</v>
      </c>
      <c r="C297" s="3034">
        <v>15312</v>
      </c>
      <c r="D297" s="194">
        <f t="shared" si="17"/>
        <v>25316</v>
      </c>
      <c r="E297" s="2353"/>
      <c r="F297" s="3078"/>
      <c r="G297" s="302"/>
      <c r="H297" s="260">
        <v>22065</v>
      </c>
      <c r="I297" s="3034">
        <v>37280</v>
      </c>
      <c r="J297" s="206">
        <f t="shared" si="18"/>
        <v>59345</v>
      </c>
    </row>
    <row r="298" spans="1:10">
      <c r="A298" s="202">
        <f t="shared" si="12"/>
        <v>2018.01</v>
      </c>
      <c r="B298" s="252">
        <v>10005</v>
      </c>
      <c r="C298" s="3034">
        <v>15896</v>
      </c>
      <c r="D298" s="194">
        <f t="shared" si="17"/>
        <v>25901</v>
      </c>
      <c r="E298" s="2353"/>
      <c r="F298" s="3078"/>
      <c r="G298" s="302"/>
      <c r="H298" s="260">
        <v>20110</v>
      </c>
      <c r="I298" s="3034">
        <v>37024</v>
      </c>
      <c r="J298" s="206">
        <f t="shared" si="18"/>
        <v>57134</v>
      </c>
    </row>
    <row r="299" spans="1:10">
      <c r="A299" s="202">
        <f t="shared" si="12"/>
        <v>2018.02</v>
      </c>
      <c r="B299" s="252">
        <v>10015</v>
      </c>
      <c r="C299" s="3034">
        <v>15777</v>
      </c>
      <c r="D299" s="194">
        <f t="shared" si="17"/>
        <v>25792</v>
      </c>
      <c r="E299" s="2353"/>
      <c r="F299" s="3078"/>
      <c r="G299" s="302"/>
      <c r="H299" s="260">
        <v>20390</v>
      </c>
      <c r="I299" s="3034">
        <v>37081</v>
      </c>
      <c r="J299" s="206">
        <f t="shared" si="18"/>
        <v>57471</v>
      </c>
    </row>
    <row r="300" spans="1:10">
      <c r="A300" s="202">
        <f t="shared" si="12"/>
        <v>2018.03</v>
      </c>
      <c r="B300" s="252">
        <v>10006</v>
      </c>
      <c r="C300" s="3034">
        <v>15729</v>
      </c>
      <c r="D300" s="194">
        <f t="shared" si="17"/>
        <v>25735</v>
      </c>
      <c r="E300" s="2353"/>
      <c r="F300" s="3078"/>
      <c r="G300" s="302"/>
      <c r="H300" s="260">
        <v>20769</v>
      </c>
      <c r="I300" s="3034">
        <v>38643</v>
      </c>
      <c r="J300" s="206">
        <f t="shared" si="18"/>
        <v>59412</v>
      </c>
    </row>
    <row r="301" spans="1:10">
      <c r="A301" s="202">
        <f t="shared" si="12"/>
        <v>2018.04</v>
      </c>
      <c r="B301" s="252">
        <v>10003</v>
      </c>
      <c r="C301" s="3034">
        <v>15457</v>
      </c>
      <c r="D301" s="194">
        <f t="shared" si="17"/>
        <v>25460</v>
      </c>
      <c r="E301" s="2353"/>
      <c r="F301" s="3078"/>
      <c r="G301" s="302"/>
      <c r="H301" s="260">
        <v>20579</v>
      </c>
      <c r="I301" s="3034">
        <v>35706</v>
      </c>
      <c r="J301" s="206">
        <f t="shared" si="18"/>
        <v>56285</v>
      </c>
    </row>
    <row r="302" spans="1:10">
      <c r="A302" s="202">
        <f t="shared" si="12"/>
        <v>2018.05</v>
      </c>
      <c r="B302" s="252">
        <v>10070</v>
      </c>
      <c r="C302" s="3034">
        <v>15893</v>
      </c>
      <c r="D302" s="194">
        <f t="shared" si="17"/>
        <v>25963</v>
      </c>
      <c r="E302" s="2353"/>
      <c r="F302" s="3078"/>
      <c r="G302" s="302"/>
      <c r="H302" s="260">
        <v>20025</v>
      </c>
      <c r="I302" s="3034">
        <v>36248</v>
      </c>
      <c r="J302" s="206">
        <f t="shared" si="18"/>
        <v>56273</v>
      </c>
    </row>
    <row r="303" spans="1:10">
      <c r="A303" s="202">
        <f t="shared" si="12"/>
        <v>2018.06</v>
      </c>
      <c r="B303" s="252">
        <v>10030</v>
      </c>
      <c r="C303" s="3034">
        <v>15375</v>
      </c>
      <c r="D303" s="194">
        <f t="shared" si="17"/>
        <v>25405</v>
      </c>
      <c r="E303" s="2353"/>
      <c r="F303" s="3078"/>
      <c r="G303" s="302"/>
      <c r="H303" s="260">
        <v>20060</v>
      </c>
      <c r="I303" s="3034">
        <v>36173</v>
      </c>
      <c r="J303" s="206">
        <f t="shared" si="18"/>
        <v>56233</v>
      </c>
    </row>
    <row r="304" spans="1:10">
      <c r="A304" s="202">
        <f t="shared" si="12"/>
        <v>2018.07</v>
      </c>
      <c r="B304" s="252">
        <v>10214</v>
      </c>
      <c r="C304" s="3034">
        <v>15223</v>
      </c>
      <c r="D304" s="194">
        <f t="shared" si="17"/>
        <v>25437</v>
      </c>
      <c r="E304" s="2353"/>
      <c r="F304" s="3078"/>
      <c r="G304" s="302"/>
      <c r="H304" s="260">
        <v>19717</v>
      </c>
      <c r="I304" s="3034">
        <v>33923</v>
      </c>
      <c r="J304" s="206">
        <f t="shared" si="18"/>
        <v>53640</v>
      </c>
    </row>
    <row r="305" spans="1:10">
      <c r="A305" s="202">
        <f t="shared" si="12"/>
        <v>2018.08</v>
      </c>
      <c r="B305" s="252">
        <v>10029</v>
      </c>
      <c r="C305" s="3034">
        <v>15278</v>
      </c>
      <c r="D305" s="194">
        <f t="shared" si="17"/>
        <v>25307</v>
      </c>
      <c r="E305" s="2353"/>
      <c r="F305" s="3078"/>
      <c r="G305" s="302"/>
      <c r="H305" s="260">
        <v>19300</v>
      </c>
      <c r="I305" s="3034">
        <v>34327</v>
      </c>
      <c r="J305" s="206">
        <f t="shared" si="18"/>
        <v>53627</v>
      </c>
    </row>
    <row r="306" spans="1:10">
      <c r="A306" s="202">
        <f t="shared" ref="A306:A369" si="19">A294+1</f>
        <v>2018.09</v>
      </c>
      <c r="B306" s="252">
        <v>10083</v>
      </c>
      <c r="C306" s="3034">
        <v>14624</v>
      </c>
      <c r="D306" s="194">
        <f t="shared" si="17"/>
        <v>24707</v>
      </c>
      <c r="E306" s="2353"/>
      <c r="F306" s="3078"/>
      <c r="G306" s="302"/>
      <c r="H306" s="260">
        <v>19671</v>
      </c>
      <c r="I306" s="3034">
        <v>33377</v>
      </c>
      <c r="J306" s="206">
        <f t="shared" si="18"/>
        <v>53048</v>
      </c>
    </row>
    <row r="307" spans="1:10">
      <c r="A307" s="202">
        <f t="shared" si="19"/>
        <v>2018.1</v>
      </c>
      <c r="B307" s="252">
        <v>10012</v>
      </c>
      <c r="C307" s="3034">
        <v>14631</v>
      </c>
      <c r="D307" s="194">
        <f t="shared" si="17"/>
        <v>24643</v>
      </c>
      <c r="E307" s="2353"/>
      <c r="F307" s="3078"/>
      <c r="G307" s="302"/>
      <c r="H307" s="260">
        <v>18460</v>
      </c>
      <c r="I307" s="3034">
        <v>32420</v>
      </c>
      <c r="J307" s="206">
        <f t="shared" si="18"/>
        <v>50880</v>
      </c>
    </row>
    <row r="308" spans="1:10">
      <c r="A308" s="202">
        <f t="shared" si="19"/>
        <v>2018.11</v>
      </c>
      <c r="B308" s="252">
        <v>10072</v>
      </c>
      <c r="C308" s="3034">
        <v>14229</v>
      </c>
      <c r="D308" s="194">
        <f t="shared" si="17"/>
        <v>24301</v>
      </c>
      <c r="E308" s="2353"/>
      <c r="F308" s="3078"/>
      <c r="G308" s="302"/>
      <c r="H308" s="260">
        <v>18151</v>
      </c>
      <c r="I308" s="3034">
        <v>29325</v>
      </c>
      <c r="J308" s="206">
        <f t="shared" si="18"/>
        <v>47476</v>
      </c>
    </row>
    <row r="309" spans="1:10">
      <c r="A309" s="202">
        <f t="shared" si="19"/>
        <v>2018.12</v>
      </c>
      <c r="B309" s="252">
        <v>10012</v>
      </c>
      <c r="C309" s="3034">
        <v>13932</v>
      </c>
      <c r="D309" s="194">
        <f t="shared" si="17"/>
        <v>23944</v>
      </c>
      <c r="E309" s="2353"/>
      <c r="F309" s="3078"/>
      <c r="G309" s="302"/>
      <c r="H309" s="260">
        <v>19855</v>
      </c>
      <c r="I309" s="3034">
        <v>31307</v>
      </c>
      <c r="J309" s="206">
        <f t="shared" si="18"/>
        <v>51162</v>
      </c>
    </row>
    <row r="310" spans="1:10">
      <c r="A310" s="202">
        <f t="shared" si="19"/>
        <v>2019.01</v>
      </c>
      <c r="B310" s="252">
        <v>10014</v>
      </c>
      <c r="C310" s="3034">
        <v>14268</v>
      </c>
      <c r="D310" s="194">
        <f t="shared" si="17"/>
        <v>24282</v>
      </c>
      <c r="E310" s="2353"/>
      <c r="F310" s="3078"/>
      <c r="G310" s="302"/>
      <c r="H310" s="260">
        <v>17271</v>
      </c>
      <c r="I310" s="3034">
        <v>30030</v>
      </c>
      <c r="J310" s="206">
        <f t="shared" si="18"/>
        <v>47301</v>
      </c>
    </row>
    <row r="311" spans="1:10">
      <c r="A311" s="202">
        <f t="shared" si="19"/>
        <v>2019.02</v>
      </c>
      <c r="B311" s="252">
        <v>10767</v>
      </c>
      <c r="C311" s="3034">
        <v>15136</v>
      </c>
      <c r="D311" s="194">
        <f t="shared" si="17"/>
        <v>25903</v>
      </c>
      <c r="E311" s="2353"/>
      <c r="F311" s="3078"/>
      <c r="G311" s="302"/>
      <c r="H311" s="260">
        <v>17831</v>
      </c>
      <c r="I311" s="3034">
        <v>32573</v>
      </c>
      <c r="J311" s="206">
        <f t="shared" si="18"/>
        <v>50404</v>
      </c>
    </row>
    <row r="312" spans="1:10">
      <c r="A312" s="202">
        <f t="shared" si="19"/>
        <v>2019.03</v>
      </c>
      <c r="B312" s="252">
        <v>10025</v>
      </c>
      <c r="C312" s="3034">
        <v>13964</v>
      </c>
      <c r="D312" s="194">
        <f t="shared" si="17"/>
        <v>23989</v>
      </c>
      <c r="E312" s="2353"/>
      <c r="F312" s="3078"/>
      <c r="G312" s="302"/>
      <c r="H312" s="260">
        <v>17984</v>
      </c>
      <c r="I312" s="3034">
        <v>31263</v>
      </c>
      <c r="J312" s="206">
        <f t="shared" si="18"/>
        <v>49247</v>
      </c>
    </row>
    <row r="313" spans="1:10">
      <c r="A313" s="202">
        <f t="shared" si="19"/>
        <v>2019.04</v>
      </c>
      <c r="B313" s="252">
        <v>10007</v>
      </c>
      <c r="C313" s="3034">
        <v>14171</v>
      </c>
      <c r="D313" s="194">
        <f t="shared" si="17"/>
        <v>24178</v>
      </c>
      <c r="E313" s="2353"/>
      <c r="F313" s="3078"/>
      <c r="G313" s="302"/>
      <c r="H313" s="260">
        <v>17519</v>
      </c>
      <c r="I313" s="3034">
        <v>30375</v>
      </c>
      <c r="J313" s="206">
        <f t="shared" si="18"/>
        <v>47894</v>
      </c>
    </row>
    <row r="314" spans="1:10">
      <c r="A314" s="202">
        <f t="shared" si="19"/>
        <v>2019.05</v>
      </c>
      <c r="B314" s="252">
        <v>10008</v>
      </c>
      <c r="C314" s="3034">
        <v>14362</v>
      </c>
      <c r="D314" s="194">
        <f t="shared" si="17"/>
        <v>24370</v>
      </c>
      <c r="E314" s="2353"/>
      <c r="F314" s="3078"/>
      <c r="G314" s="302"/>
      <c r="H314" s="260">
        <v>17375</v>
      </c>
      <c r="I314" s="3034">
        <v>30270</v>
      </c>
      <c r="J314" s="206">
        <f t="shared" si="18"/>
        <v>47645</v>
      </c>
    </row>
    <row r="315" spans="1:10">
      <c r="A315" s="202">
        <f t="shared" si="19"/>
        <v>2019.06</v>
      </c>
      <c r="B315" s="252">
        <v>10006</v>
      </c>
      <c r="C315" s="3034">
        <v>14030</v>
      </c>
      <c r="D315" s="194">
        <f t="shared" si="17"/>
        <v>24036</v>
      </c>
      <c r="E315" s="2353"/>
      <c r="F315" s="3078"/>
      <c r="G315" s="302"/>
      <c r="H315" s="260">
        <v>17690</v>
      </c>
      <c r="I315" s="3034">
        <v>29736</v>
      </c>
      <c r="J315" s="206">
        <f t="shared" si="18"/>
        <v>47426</v>
      </c>
    </row>
    <row r="316" spans="1:10">
      <c r="A316" s="202">
        <f t="shared" si="19"/>
        <v>2019.07</v>
      </c>
      <c r="B316" s="252">
        <v>10013</v>
      </c>
      <c r="C316" s="3034">
        <v>14200</v>
      </c>
      <c r="D316" s="194">
        <f t="shared" si="17"/>
        <v>24213</v>
      </c>
      <c r="E316" s="2353"/>
      <c r="F316" s="3078"/>
      <c r="G316" s="302"/>
      <c r="H316" s="260">
        <v>16746</v>
      </c>
      <c r="I316" s="3034">
        <v>29385</v>
      </c>
      <c r="J316" s="206">
        <f t="shared" si="18"/>
        <v>46131</v>
      </c>
    </row>
    <row r="317" spans="1:10">
      <c r="A317" s="202">
        <f t="shared" si="19"/>
        <v>2019.08</v>
      </c>
      <c r="B317" s="252">
        <v>10024</v>
      </c>
      <c r="C317" s="3034">
        <v>13913</v>
      </c>
      <c r="D317" s="194">
        <f t="shared" si="17"/>
        <v>23937</v>
      </c>
      <c r="E317" s="2353"/>
      <c r="F317" s="3078"/>
      <c r="G317" s="302"/>
      <c r="H317" s="260">
        <v>16596</v>
      </c>
      <c r="I317" s="3034">
        <v>29179</v>
      </c>
      <c r="J317" s="206">
        <f t="shared" si="18"/>
        <v>45775</v>
      </c>
    </row>
    <row r="318" spans="1:10">
      <c r="A318" s="202">
        <f t="shared" si="19"/>
        <v>2019.09</v>
      </c>
      <c r="B318" s="252">
        <v>9840</v>
      </c>
      <c r="C318" s="3034">
        <v>13777</v>
      </c>
      <c r="D318" s="194">
        <f t="shared" si="17"/>
        <v>23617</v>
      </c>
      <c r="E318" s="2353"/>
      <c r="F318" s="3078"/>
      <c r="G318" s="302"/>
      <c r="H318" s="260">
        <v>16847</v>
      </c>
      <c r="I318" s="3034">
        <v>28296</v>
      </c>
      <c r="J318" s="206">
        <f t="shared" si="18"/>
        <v>45143</v>
      </c>
    </row>
    <row r="319" spans="1:10">
      <c r="A319" s="202">
        <f t="shared" si="19"/>
        <v>2019.1</v>
      </c>
      <c r="B319" s="252">
        <v>9821</v>
      </c>
      <c r="C319" s="3034">
        <v>13537</v>
      </c>
      <c r="D319" s="194">
        <f t="shared" si="17"/>
        <v>23358</v>
      </c>
      <c r="E319" s="2353"/>
      <c r="F319" s="3078"/>
      <c r="G319" s="302"/>
      <c r="H319" s="260">
        <v>16060</v>
      </c>
      <c r="I319" s="3034">
        <v>27655</v>
      </c>
      <c r="J319" s="206">
        <f t="shared" si="18"/>
        <v>43715</v>
      </c>
    </row>
    <row r="320" spans="1:10">
      <c r="A320" s="202">
        <f t="shared" si="19"/>
        <v>2019.11</v>
      </c>
      <c r="B320" s="252">
        <v>9710</v>
      </c>
      <c r="C320" s="3034">
        <v>13851</v>
      </c>
      <c r="D320" s="194">
        <f t="shared" si="17"/>
        <v>23561</v>
      </c>
      <c r="E320" s="2353"/>
      <c r="F320" s="3078"/>
      <c r="G320" s="302"/>
      <c r="H320" s="260">
        <v>16110</v>
      </c>
      <c r="I320" s="3034">
        <v>27513</v>
      </c>
      <c r="J320" s="206">
        <f t="shared" si="18"/>
        <v>43623</v>
      </c>
    </row>
    <row r="321" spans="1:10">
      <c r="A321" s="202">
        <f t="shared" si="19"/>
        <v>2019.12</v>
      </c>
      <c r="B321" s="252">
        <v>9620</v>
      </c>
      <c r="C321" s="3034">
        <v>13226</v>
      </c>
      <c r="D321" s="194">
        <f t="shared" si="17"/>
        <v>22846</v>
      </c>
      <c r="E321" s="2353"/>
      <c r="F321" s="3078"/>
      <c r="G321" s="302"/>
      <c r="H321" s="260">
        <v>16215</v>
      </c>
      <c r="I321" s="3034">
        <v>27151</v>
      </c>
      <c r="J321" s="206">
        <f t="shared" si="18"/>
        <v>43366</v>
      </c>
    </row>
    <row r="322" spans="1:10">
      <c r="A322" s="202">
        <f t="shared" si="19"/>
        <v>2020.01</v>
      </c>
      <c r="B322" s="252">
        <v>9354</v>
      </c>
      <c r="C322" s="3034">
        <v>12984</v>
      </c>
      <c r="D322" s="194">
        <f t="shared" si="17"/>
        <v>22338</v>
      </c>
      <c r="E322" s="2353"/>
      <c r="F322" s="3078"/>
      <c r="G322" s="302"/>
      <c r="H322" s="260">
        <v>14277</v>
      </c>
      <c r="I322" s="3034">
        <v>25430</v>
      </c>
      <c r="J322" s="206">
        <f t="shared" si="18"/>
        <v>39707</v>
      </c>
    </row>
    <row r="323" spans="1:10">
      <c r="A323" s="202">
        <f t="shared" si="19"/>
        <v>2020.02</v>
      </c>
      <c r="B323" s="252">
        <v>9140</v>
      </c>
      <c r="C323" s="3034">
        <v>12860</v>
      </c>
      <c r="D323" s="194">
        <f t="shared" si="17"/>
        <v>22000</v>
      </c>
      <c r="E323" s="2353"/>
      <c r="F323" s="3078"/>
      <c r="G323" s="302"/>
      <c r="H323" s="260">
        <v>15299</v>
      </c>
      <c r="I323" s="3034">
        <v>26552</v>
      </c>
      <c r="J323" s="206">
        <f t="shared" si="18"/>
        <v>41851</v>
      </c>
    </row>
    <row r="324" spans="1:10">
      <c r="A324" s="202">
        <f t="shared" si="19"/>
        <v>2020.03</v>
      </c>
      <c r="B324" s="252">
        <v>8888</v>
      </c>
      <c r="C324" s="3034">
        <v>12139</v>
      </c>
      <c r="D324" s="194">
        <f t="shared" si="17"/>
        <v>21027</v>
      </c>
      <c r="E324" s="2353"/>
      <c r="F324" s="3078"/>
      <c r="G324" s="302"/>
      <c r="H324" s="260">
        <v>14189</v>
      </c>
      <c r="I324" s="3034">
        <v>24462</v>
      </c>
      <c r="J324" s="206">
        <f t="shared" si="18"/>
        <v>38651</v>
      </c>
    </row>
    <row r="325" spans="1:10">
      <c r="A325" s="202">
        <f t="shared" si="19"/>
        <v>2020.04</v>
      </c>
      <c r="B325" s="252">
        <v>8805</v>
      </c>
      <c r="C325" s="3034">
        <v>11729</v>
      </c>
      <c r="D325" s="194">
        <f t="shared" si="17"/>
        <v>20534</v>
      </c>
      <c r="E325" s="2353"/>
      <c r="F325" s="3078"/>
      <c r="G325" s="302"/>
      <c r="H325" s="260">
        <v>11535</v>
      </c>
      <c r="I325" s="3034">
        <v>21162</v>
      </c>
      <c r="J325" s="206">
        <f t="shared" si="18"/>
        <v>32697</v>
      </c>
    </row>
    <row r="326" spans="1:10">
      <c r="A326" s="202">
        <f t="shared" si="19"/>
        <v>2020.05</v>
      </c>
      <c r="B326" s="252">
        <v>8878</v>
      </c>
      <c r="C326" s="3034">
        <v>11805</v>
      </c>
      <c r="D326" s="194">
        <f t="shared" si="17"/>
        <v>20683</v>
      </c>
      <c r="E326" s="2353"/>
      <c r="F326" s="3078"/>
      <c r="G326" s="302"/>
      <c r="H326" s="260">
        <v>15521</v>
      </c>
      <c r="I326" s="3034">
        <v>27639</v>
      </c>
      <c r="J326" s="206">
        <f t="shared" si="18"/>
        <v>43160</v>
      </c>
    </row>
    <row r="327" spans="1:10">
      <c r="A327" s="202">
        <f t="shared" si="19"/>
        <v>2020.06</v>
      </c>
      <c r="B327" s="252">
        <v>8454</v>
      </c>
      <c r="C327" s="3034">
        <v>11372</v>
      </c>
      <c r="D327" s="194">
        <f t="shared" si="17"/>
        <v>19826</v>
      </c>
      <c r="E327" s="2353"/>
      <c r="F327" s="3078"/>
      <c r="G327" s="302"/>
      <c r="H327" s="260">
        <v>16916</v>
      </c>
      <c r="I327" s="3034">
        <v>30966</v>
      </c>
      <c r="J327" s="206">
        <f t="shared" si="18"/>
        <v>47882</v>
      </c>
    </row>
    <row r="328" spans="1:10">
      <c r="A328" s="202">
        <f t="shared" si="19"/>
        <v>2020.07</v>
      </c>
      <c r="B328" s="252">
        <v>8399</v>
      </c>
      <c r="C328" s="3034">
        <v>11494</v>
      </c>
      <c r="D328" s="194">
        <f t="shared" si="17"/>
        <v>19893</v>
      </c>
      <c r="E328" s="2353"/>
      <c r="F328" s="3078"/>
      <c r="G328" s="302"/>
      <c r="H328" s="260">
        <v>17064</v>
      </c>
      <c r="I328" s="3034">
        <v>35580</v>
      </c>
      <c r="J328" s="206">
        <f t="shared" si="18"/>
        <v>52644</v>
      </c>
    </row>
    <row r="329" spans="1:10">
      <c r="A329" s="202">
        <f t="shared" si="19"/>
        <v>2020.08</v>
      </c>
      <c r="B329" s="252">
        <v>8136</v>
      </c>
      <c r="C329" s="3034">
        <v>10875</v>
      </c>
      <c r="D329" s="194">
        <f t="shared" si="17"/>
        <v>19011</v>
      </c>
      <c r="E329" s="2353"/>
      <c r="F329" s="3078"/>
      <c r="G329" s="302"/>
      <c r="H329" s="260">
        <v>16185</v>
      </c>
      <c r="I329" s="3034">
        <v>36614</v>
      </c>
      <c r="J329" s="206">
        <f t="shared" si="18"/>
        <v>52799</v>
      </c>
    </row>
    <row r="330" spans="1:10">
      <c r="A330" s="202">
        <f t="shared" si="19"/>
        <v>2020.09</v>
      </c>
      <c r="B330" s="252">
        <v>8233</v>
      </c>
      <c r="C330" s="3034">
        <v>11007</v>
      </c>
      <c r="D330" s="194">
        <f t="shared" si="17"/>
        <v>19240</v>
      </c>
      <c r="E330" s="2353"/>
      <c r="F330" s="3078"/>
      <c r="G330" s="302"/>
      <c r="H330" s="260">
        <v>16141</v>
      </c>
      <c r="I330" s="3034">
        <v>34298</v>
      </c>
      <c r="J330" s="206">
        <f t="shared" si="18"/>
        <v>50439</v>
      </c>
    </row>
    <row r="331" spans="1:10">
      <c r="A331" s="202">
        <f t="shared" si="19"/>
        <v>2020.1</v>
      </c>
      <c r="B331" s="252">
        <v>8306</v>
      </c>
      <c r="C331" s="3034">
        <v>11414</v>
      </c>
      <c r="D331" s="194">
        <f t="shared" si="17"/>
        <v>19720</v>
      </c>
      <c r="E331" s="2353"/>
      <c r="F331" s="3078"/>
      <c r="G331" s="302"/>
      <c r="H331" s="260">
        <v>16084</v>
      </c>
      <c r="I331" s="3034">
        <v>34304</v>
      </c>
      <c r="J331" s="206">
        <f t="shared" si="18"/>
        <v>50388</v>
      </c>
    </row>
    <row r="332" spans="1:10">
      <c r="A332" s="202">
        <f t="shared" si="19"/>
        <v>2020.11</v>
      </c>
      <c r="B332" s="252">
        <v>8432</v>
      </c>
      <c r="C332" s="3034">
        <v>11481</v>
      </c>
      <c r="D332" s="194">
        <f t="shared" si="17"/>
        <v>19913</v>
      </c>
      <c r="E332" s="2353"/>
      <c r="F332" s="3078"/>
      <c r="G332" s="302"/>
      <c r="H332" s="260">
        <v>15804</v>
      </c>
      <c r="I332" s="3034">
        <v>31621</v>
      </c>
      <c r="J332" s="206">
        <f t="shared" si="18"/>
        <v>47425</v>
      </c>
    </row>
    <row r="333" spans="1:10">
      <c r="A333" s="202">
        <f t="shared" si="19"/>
        <v>2020.12</v>
      </c>
      <c r="B333" s="252">
        <v>8268</v>
      </c>
      <c r="C333" s="3034">
        <v>11519</v>
      </c>
      <c r="D333" s="194">
        <f t="shared" si="17"/>
        <v>19787</v>
      </c>
      <c r="E333" s="2353"/>
      <c r="F333" s="3078"/>
      <c r="G333" s="302"/>
      <c r="H333" s="260">
        <v>15795</v>
      </c>
      <c r="I333" s="3034">
        <v>33216</v>
      </c>
      <c r="J333" s="206">
        <f t="shared" si="18"/>
        <v>49011</v>
      </c>
    </row>
    <row r="334" spans="1:10">
      <c r="A334" s="202">
        <f t="shared" si="19"/>
        <v>2021.01</v>
      </c>
      <c r="B334" s="252">
        <v>8023</v>
      </c>
      <c r="C334" s="3034">
        <v>10808</v>
      </c>
      <c r="D334" s="194">
        <f t="shared" ref="D334:D393" si="20">B334+C334</f>
        <v>18831</v>
      </c>
      <c r="E334" s="2353"/>
      <c r="F334" s="3078"/>
      <c r="G334" s="302"/>
      <c r="H334" s="260">
        <v>15240</v>
      </c>
      <c r="I334" s="3034">
        <v>30095</v>
      </c>
      <c r="J334" s="206">
        <f t="shared" ref="J334:J393" si="21">H334+I334</f>
        <v>45335</v>
      </c>
    </row>
    <row r="335" spans="1:10">
      <c r="A335" s="202">
        <f t="shared" si="19"/>
        <v>2021.02</v>
      </c>
      <c r="B335" s="252">
        <v>8034</v>
      </c>
      <c r="C335" s="3034">
        <v>10915</v>
      </c>
      <c r="D335" s="194">
        <f t="shared" si="20"/>
        <v>18949</v>
      </c>
      <c r="E335" s="2353"/>
      <c r="F335" s="3078"/>
      <c r="G335" s="302"/>
      <c r="H335" s="260">
        <v>15641</v>
      </c>
      <c r="I335" s="3034">
        <v>31248</v>
      </c>
      <c r="J335" s="206">
        <f t="shared" si="21"/>
        <v>46889</v>
      </c>
    </row>
    <row r="336" spans="1:10">
      <c r="A336" s="202">
        <f t="shared" si="19"/>
        <v>2021.03</v>
      </c>
      <c r="B336" s="252">
        <v>8037</v>
      </c>
      <c r="C336" s="3034">
        <v>10918</v>
      </c>
      <c r="D336" s="194">
        <f t="shared" si="20"/>
        <v>18955</v>
      </c>
      <c r="E336" s="2353"/>
      <c r="F336" s="3078"/>
      <c r="G336" s="302"/>
      <c r="H336" s="260">
        <v>16109</v>
      </c>
      <c r="I336" s="3034">
        <v>32817</v>
      </c>
      <c r="J336" s="206">
        <f t="shared" si="21"/>
        <v>48926</v>
      </c>
    </row>
    <row r="337" spans="1:10">
      <c r="A337" s="202">
        <f t="shared" si="19"/>
        <v>2021.04</v>
      </c>
      <c r="B337" s="252">
        <v>8289</v>
      </c>
      <c r="C337" s="3034">
        <v>10889</v>
      </c>
      <c r="D337" s="194">
        <f t="shared" si="20"/>
        <v>19178</v>
      </c>
      <c r="E337" s="2353"/>
      <c r="F337" s="3078"/>
      <c r="G337" s="302"/>
      <c r="H337" s="260">
        <v>16195</v>
      </c>
      <c r="I337" s="3034">
        <v>34631</v>
      </c>
      <c r="J337" s="206">
        <f t="shared" si="21"/>
        <v>50826</v>
      </c>
    </row>
    <row r="338" spans="1:10">
      <c r="A338" s="202">
        <f t="shared" si="19"/>
        <v>2021.05</v>
      </c>
      <c r="B338" s="252">
        <v>8002</v>
      </c>
      <c r="C338" s="3034">
        <v>10716</v>
      </c>
      <c r="D338" s="194">
        <f t="shared" si="20"/>
        <v>18718</v>
      </c>
      <c r="E338" s="2353"/>
      <c r="F338" s="3078"/>
      <c r="G338" s="302"/>
      <c r="H338" s="260">
        <v>16118</v>
      </c>
      <c r="I338" s="3034">
        <v>33006</v>
      </c>
      <c r="J338" s="206">
        <f t="shared" si="21"/>
        <v>49124</v>
      </c>
    </row>
    <row r="339" spans="1:10">
      <c r="A339" s="202">
        <f t="shared" si="19"/>
        <v>2021.06</v>
      </c>
      <c r="B339" s="252">
        <v>8561</v>
      </c>
      <c r="C339" s="3034">
        <v>11305</v>
      </c>
      <c r="D339" s="194">
        <f t="shared" si="20"/>
        <v>19866</v>
      </c>
      <c r="E339" s="2353"/>
      <c r="F339" s="3078"/>
      <c r="G339" s="302"/>
      <c r="H339" s="260">
        <v>16425</v>
      </c>
      <c r="I339" s="3034">
        <v>34884</v>
      </c>
      <c r="J339" s="206">
        <f t="shared" si="21"/>
        <v>51309</v>
      </c>
    </row>
    <row r="340" spans="1:10">
      <c r="A340" s="202">
        <f t="shared" si="19"/>
        <v>2021.07</v>
      </c>
      <c r="B340" s="252">
        <v>8005</v>
      </c>
      <c r="C340" s="3034">
        <v>10823</v>
      </c>
      <c r="D340" s="194">
        <f t="shared" si="20"/>
        <v>18828</v>
      </c>
      <c r="E340" s="2353"/>
      <c r="F340" s="3078"/>
      <c r="G340" s="302"/>
      <c r="H340" s="260">
        <v>16109</v>
      </c>
      <c r="I340" s="3034">
        <v>35252</v>
      </c>
      <c r="J340" s="206">
        <f t="shared" si="21"/>
        <v>51361</v>
      </c>
    </row>
    <row r="341" spans="1:10">
      <c r="A341" s="202">
        <f t="shared" si="19"/>
        <v>2021.08</v>
      </c>
      <c r="B341" s="252">
        <v>8195</v>
      </c>
      <c r="C341" s="3034">
        <v>10592</v>
      </c>
      <c r="D341" s="194">
        <f t="shared" si="20"/>
        <v>18787</v>
      </c>
      <c r="E341" s="2353"/>
      <c r="F341" s="3078"/>
      <c r="G341" s="302"/>
      <c r="H341" s="260">
        <v>16100</v>
      </c>
      <c r="I341" s="3034">
        <v>32923</v>
      </c>
      <c r="J341" s="206">
        <f t="shared" si="21"/>
        <v>49023</v>
      </c>
    </row>
    <row r="342" spans="1:10">
      <c r="A342" s="202">
        <f t="shared" si="19"/>
        <v>2021.09</v>
      </c>
      <c r="B342" s="252">
        <v>8080</v>
      </c>
      <c r="C342" s="3034">
        <v>10299</v>
      </c>
      <c r="D342" s="194">
        <f t="shared" si="20"/>
        <v>18379</v>
      </c>
      <c r="E342" s="2353"/>
      <c r="F342" s="3078"/>
      <c r="G342" s="302"/>
      <c r="H342" s="260">
        <v>16119</v>
      </c>
      <c r="I342" s="3034">
        <v>33944</v>
      </c>
      <c r="J342" s="206">
        <f t="shared" si="21"/>
        <v>50063</v>
      </c>
    </row>
    <row r="343" spans="1:10">
      <c r="A343" s="202">
        <f t="shared" si="19"/>
        <v>2021.1</v>
      </c>
      <c r="B343" s="252">
        <v>8016</v>
      </c>
      <c r="C343" s="3034">
        <v>10251</v>
      </c>
      <c r="D343" s="194">
        <f t="shared" si="20"/>
        <v>18267</v>
      </c>
      <c r="E343" s="2353"/>
      <c r="F343" s="3078"/>
      <c r="G343" s="302"/>
      <c r="H343" s="260">
        <v>16117</v>
      </c>
      <c r="I343" s="3034">
        <v>33941</v>
      </c>
      <c r="J343" s="206">
        <f t="shared" si="21"/>
        <v>50058</v>
      </c>
    </row>
    <row r="344" spans="1:10">
      <c r="A344" s="202">
        <f t="shared" si="19"/>
        <v>2021.11</v>
      </c>
      <c r="B344" s="252">
        <v>7889</v>
      </c>
      <c r="C344" s="3034">
        <v>10205</v>
      </c>
      <c r="D344" s="194">
        <f t="shared" si="20"/>
        <v>18094</v>
      </c>
      <c r="E344" s="2353"/>
      <c r="F344" s="3078"/>
      <c r="G344" s="302"/>
      <c r="H344" s="260">
        <v>15578</v>
      </c>
      <c r="I344" s="3034">
        <v>27967</v>
      </c>
      <c r="J344" s="206">
        <f t="shared" si="21"/>
        <v>43545</v>
      </c>
    </row>
    <row r="345" spans="1:10">
      <c r="A345" s="202">
        <f t="shared" si="19"/>
        <v>2021.12</v>
      </c>
      <c r="B345" s="252">
        <v>7849</v>
      </c>
      <c r="C345" s="3034">
        <v>10463</v>
      </c>
      <c r="D345" s="194">
        <f t="shared" si="20"/>
        <v>18312</v>
      </c>
      <c r="E345" s="2353"/>
      <c r="F345" s="3078"/>
      <c r="G345" s="302"/>
      <c r="H345" s="260">
        <v>16126</v>
      </c>
      <c r="I345" s="3034">
        <v>33005</v>
      </c>
      <c r="J345" s="206">
        <f t="shared" si="21"/>
        <v>49131</v>
      </c>
    </row>
    <row r="346" spans="1:10">
      <c r="A346" s="202">
        <f t="shared" si="19"/>
        <v>2022.01</v>
      </c>
      <c r="B346" s="252">
        <v>7270</v>
      </c>
      <c r="C346" s="3034">
        <v>9507</v>
      </c>
      <c r="D346" s="194">
        <f t="shared" si="20"/>
        <v>16777</v>
      </c>
      <c r="E346" s="2353"/>
      <c r="F346" s="3078"/>
      <c r="G346" s="302"/>
      <c r="H346" s="260">
        <v>15820</v>
      </c>
      <c r="I346" s="3034">
        <v>31671</v>
      </c>
      <c r="J346" s="206">
        <f t="shared" si="21"/>
        <v>47491</v>
      </c>
    </row>
    <row r="347" spans="1:10">
      <c r="A347" s="202">
        <f t="shared" si="19"/>
        <v>2022.02</v>
      </c>
      <c r="B347" s="252">
        <v>7758</v>
      </c>
      <c r="C347" s="3034">
        <v>10142</v>
      </c>
      <c r="D347" s="194">
        <f t="shared" si="20"/>
        <v>17900</v>
      </c>
      <c r="E347" s="2353"/>
      <c r="F347" s="3078"/>
      <c r="G347" s="302"/>
      <c r="H347" s="260">
        <v>15838</v>
      </c>
      <c r="I347" s="3034">
        <v>32366</v>
      </c>
      <c r="J347" s="206">
        <f t="shared" si="21"/>
        <v>48204</v>
      </c>
    </row>
    <row r="348" spans="1:10">
      <c r="A348" s="202">
        <f t="shared" si="19"/>
        <v>2022.03</v>
      </c>
      <c r="B348" s="252">
        <v>7658</v>
      </c>
      <c r="C348" s="3034">
        <v>10253</v>
      </c>
      <c r="D348" s="194">
        <f t="shared" si="20"/>
        <v>17911</v>
      </c>
      <c r="E348" s="2353"/>
      <c r="F348" s="3078"/>
      <c r="G348" s="302"/>
      <c r="H348" s="260">
        <v>15826</v>
      </c>
      <c r="I348" s="3034">
        <v>32913</v>
      </c>
      <c r="J348" s="206">
        <f t="shared" si="21"/>
        <v>48739</v>
      </c>
    </row>
    <row r="349" spans="1:10">
      <c r="A349" s="202">
        <f t="shared" si="19"/>
        <v>2022.04</v>
      </c>
      <c r="B349" s="252">
        <v>7879</v>
      </c>
      <c r="C349" s="3034">
        <v>9989</v>
      </c>
      <c r="D349" s="194">
        <f t="shared" si="20"/>
        <v>17868</v>
      </c>
      <c r="E349" s="2353"/>
      <c r="F349" s="3078"/>
      <c r="G349" s="302"/>
      <c r="H349" s="260">
        <v>15858</v>
      </c>
      <c r="I349" s="3034">
        <v>31008</v>
      </c>
      <c r="J349" s="206">
        <f t="shared" si="21"/>
        <v>46866</v>
      </c>
    </row>
    <row r="350" spans="1:10">
      <c r="A350" s="202">
        <f t="shared" si="19"/>
        <v>2022.05</v>
      </c>
      <c r="B350" s="252">
        <v>7720</v>
      </c>
      <c r="C350" s="3034">
        <v>9974</v>
      </c>
      <c r="D350" s="194">
        <f>B350+C350</f>
        <v>17694</v>
      </c>
      <c r="E350" s="2353"/>
      <c r="F350" s="3078"/>
      <c r="G350" s="302"/>
      <c r="H350" s="260">
        <v>15124</v>
      </c>
      <c r="I350" s="3034">
        <v>30673</v>
      </c>
      <c r="J350" s="206">
        <f t="shared" si="21"/>
        <v>45797</v>
      </c>
    </row>
    <row r="351" spans="1:10">
      <c r="A351" s="202">
        <f t="shared" si="19"/>
        <v>2022.06</v>
      </c>
      <c r="B351" s="252">
        <v>7598</v>
      </c>
      <c r="C351" s="3034">
        <v>9913</v>
      </c>
      <c r="D351" s="194">
        <f t="shared" ref="D351:D354" si="22">B351+C351</f>
        <v>17511</v>
      </c>
      <c r="E351" s="2353"/>
      <c r="F351" s="3078"/>
      <c r="G351" s="302"/>
      <c r="H351" s="260">
        <v>15125</v>
      </c>
      <c r="I351" s="3034">
        <v>31018</v>
      </c>
      <c r="J351" s="206">
        <f t="shared" si="21"/>
        <v>46143</v>
      </c>
    </row>
    <row r="352" spans="1:10">
      <c r="A352" s="202">
        <f t="shared" si="19"/>
        <v>2022.07</v>
      </c>
      <c r="B352" s="252">
        <v>7626</v>
      </c>
      <c r="C352" s="3034">
        <v>9821</v>
      </c>
      <c r="D352" s="194">
        <f t="shared" si="22"/>
        <v>17447</v>
      </c>
      <c r="E352" s="2353"/>
      <c r="F352" s="3078"/>
      <c r="G352" s="302"/>
      <c r="H352" s="260">
        <v>14771</v>
      </c>
      <c r="I352" s="3034">
        <v>29060</v>
      </c>
      <c r="J352" s="206">
        <f t="shared" si="21"/>
        <v>43831</v>
      </c>
    </row>
    <row r="353" spans="1:10">
      <c r="A353" s="202">
        <f t="shared" si="19"/>
        <v>2022.08</v>
      </c>
      <c r="B353" s="252">
        <v>7460</v>
      </c>
      <c r="C353" s="3034">
        <v>9770</v>
      </c>
      <c r="D353" s="194">
        <f t="shared" si="22"/>
        <v>17230</v>
      </c>
      <c r="E353" s="2353"/>
      <c r="F353" s="3078"/>
      <c r="G353" s="302"/>
      <c r="H353" s="260">
        <v>14872</v>
      </c>
      <c r="I353" s="3034">
        <v>31577</v>
      </c>
      <c r="J353" s="206">
        <f t="shared" si="21"/>
        <v>46449</v>
      </c>
    </row>
    <row r="354" spans="1:10">
      <c r="A354" s="202">
        <f t="shared" si="19"/>
        <v>2022.09</v>
      </c>
      <c r="B354" s="252">
        <v>7031</v>
      </c>
      <c r="C354" s="3034">
        <v>9035</v>
      </c>
      <c r="D354" s="194">
        <f t="shared" si="22"/>
        <v>16066</v>
      </c>
      <c r="E354" s="2353"/>
      <c r="F354" s="3078"/>
      <c r="G354" s="302"/>
      <c r="H354" s="260">
        <v>14688</v>
      </c>
      <c r="I354" s="3034">
        <v>29758</v>
      </c>
      <c r="J354" s="206">
        <f t="shared" si="21"/>
        <v>44446</v>
      </c>
    </row>
    <row r="355" spans="1:10">
      <c r="A355" s="202">
        <f t="shared" si="19"/>
        <v>2022.1</v>
      </c>
      <c r="B355" s="252">
        <v>7435</v>
      </c>
      <c r="C355" s="3034">
        <v>9326</v>
      </c>
      <c r="D355" s="194">
        <f>B355+C355</f>
        <v>16761</v>
      </c>
      <c r="E355" s="2353"/>
      <c r="F355" s="3078"/>
      <c r="G355" s="302"/>
      <c r="H355" s="260">
        <v>14555</v>
      </c>
      <c r="I355" s="3034">
        <v>28647</v>
      </c>
      <c r="J355" s="206">
        <f t="shared" si="21"/>
        <v>43202</v>
      </c>
    </row>
    <row r="356" spans="1:10">
      <c r="A356" s="202">
        <f t="shared" si="19"/>
        <v>2022.11</v>
      </c>
      <c r="B356" s="252">
        <v>7882</v>
      </c>
      <c r="C356" s="3034">
        <v>9703</v>
      </c>
      <c r="D356" s="194">
        <f t="shared" si="20"/>
        <v>17585</v>
      </c>
      <c r="E356" s="2353"/>
      <c r="F356" s="3078"/>
      <c r="G356" s="302"/>
      <c r="H356" s="260">
        <v>14613</v>
      </c>
      <c r="I356" s="3034">
        <v>28954</v>
      </c>
      <c r="J356" s="206">
        <f t="shared" si="21"/>
        <v>43567</v>
      </c>
    </row>
    <row r="357" spans="1:10">
      <c r="A357" s="202">
        <f t="shared" si="19"/>
        <v>2022.12</v>
      </c>
      <c r="B357" s="252">
        <v>7227</v>
      </c>
      <c r="C357" s="3034">
        <v>9216</v>
      </c>
      <c r="D357" s="194">
        <f t="shared" si="20"/>
        <v>16443</v>
      </c>
      <c r="E357" s="2353"/>
      <c r="F357" s="3078"/>
      <c r="G357" s="302"/>
      <c r="H357" s="260">
        <v>14776</v>
      </c>
      <c r="I357" s="3034">
        <v>28571</v>
      </c>
      <c r="J357" s="206">
        <f t="shared" si="21"/>
        <v>43347</v>
      </c>
    </row>
    <row r="358" spans="1:10">
      <c r="A358" s="202">
        <f t="shared" si="19"/>
        <v>2023.01</v>
      </c>
      <c r="B358" s="252">
        <v>7038</v>
      </c>
      <c r="C358" s="3034">
        <v>8896</v>
      </c>
      <c r="D358" s="194">
        <f t="shared" si="20"/>
        <v>15934</v>
      </c>
      <c r="E358" s="2353"/>
      <c r="F358" s="3078"/>
      <c r="G358" s="302"/>
      <c r="H358" s="260">
        <v>14617</v>
      </c>
      <c r="I358" s="3034">
        <v>29633</v>
      </c>
      <c r="J358" s="206">
        <f t="shared" si="21"/>
        <v>44250</v>
      </c>
    </row>
    <row r="359" spans="1:10">
      <c r="A359" s="202">
        <f t="shared" si="19"/>
        <v>2023.02</v>
      </c>
      <c r="B359" s="252">
        <v>7064</v>
      </c>
      <c r="C359" s="3034">
        <v>8891</v>
      </c>
      <c r="D359" s="194">
        <f>B359+C359</f>
        <v>15955</v>
      </c>
      <c r="E359" s="2353"/>
      <c r="F359" s="3078"/>
      <c r="G359" s="302"/>
      <c r="H359" s="260">
        <v>15425</v>
      </c>
      <c r="I359" s="3034">
        <v>29794</v>
      </c>
      <c r="J359" s="206">
        <f>H359+I359</f>
        <v>45219</v>
      </c>
    </row>
    <row r="360" spans="1:10">
      <c r="A360" s="202">
        <f t="shared" si="19"/>
        <v>2023.03</v>
      </c>
      <c r="B360" s="252">
        <v>6844</v>
      </c>
      <c r="C360" s="3034">
        <v>8843</v>
      </c>
      <c r="D360" s="194">
        <f t="shared" si="20"/>
        <v>15687</v>
      </c>
      <c r="E360" s="2353"/>
      <c r="F360" s="3078"/>
      <c r="G360" s="302"/>
      <c r="H360" s="260">
        <v>15330</v>
      </c>
      <c r="I360" s="3034">
        <v>30630</v>
      </c>
      <c r="J360" s="206">
        <f t="shared" si="21"/>
        <v>45960</v>
      </c>
    </row>
    <row r="361" spans="1:10">
      <c r="A361" s="202">
        <f t="shared" si="19"/>
        <v>2023.04</v>
      </c>
      <c r="B361" s="252">
        <v>7289</v>
      </c>
      <c r="C361" s="3034">
        <v>8743</v>
      </c>
      <c r="D361" s="194">
        <f t="shared" si="20"/>
        <v>16032</v>
      </c>
      <c r="E361" s="2353"/>
      <c r="F361" s="3078"/>
      <c r="G361" s="302"/>
      <c r="H361" s="260">
        <v>15246</v>
      </c>
      <c r="I361" s="3034">
        <v>27962</v>
      </c>
      <c r="J361" s="206">
        <f>H361+I361</f>
        <v>43208</v>
      </c>
    </row>
    <row r="362" spans="1:10">
      <c r="A362" s="202">
        <f t="shared" si="19"/>
        <v>2023.05</v>
      </c>
      <c r="B362" s="252">
        <v>6776</v>
      </c>
      <c r="C362" s="3034">
        <v>8577</v>
      </c>
      <c r="D362" s="194">
        <f t="shared" si="20"/>
        <v>15353</v>
      </c>
      <c r="E362" s="2353"/>
      <c r="F362" s="3078"/>
      <c r="G362" s="302"/>
      <c r="H362" s="260">
        <v>15295</v>
      </c>
      <c r="I362" s="3034">
        <v>29973</v>
      </c>
      <c r="J362" s="206">
        <f t="shared" si="21"/>
        <v>45268</v>
      </c>
    </row>
    <row r="363" spans="1:10">
      <c r="A363" s="202">
        <f t="shared" si="19"/>
        <v>2023.06</v>
      </c>
      <c r="B363" s="252">
        <v>6785</v>
      </c>
      <c r="C363" s="3034">
        <v>8595</v>
      </c>
      <c r="D363" s="194">
        <f t="shared" si="20"/>
        <v>15380</v>
      </c>
      <c r="E363" s="2353"/>
      <c r="F363" s="3078"/>
      <c r="G363" s="302"/>
      <c r="H363" s="260">
        <v>15153</v>
      </c>
      <c r="I363" s="3034">
        <v>29628</v>
      </c>
      <c r="J363" s="206">
        <f t="shared" si="21"/>
        <v>44781</v>
      </c>
    </row>
    <row r="364" spans="1:10">
      <c r="A364" s="202">
        <f t="shared" si="19"/>
        <v>2023.07</v>
      </c>
      <c r="B364" s="252">
        <v>6862</v>
      </c>
      <c r="C364" s="3034">
        <v>8409</v>
      </c>
      <c r="D364" s="194">
        <f t="shared" si="20"/>
        <v>15271</v>
      </c>
      <c r="E364" s="2353"/>
      <c r="F364" s="3078"/>
      <c r="G364" s="302"/>
      <c r="H364" s="260">
        <v>15199</v>
      </c>
      <c r="I364" s="3034">
        <v>28473</v>
      </c>
      <c r="J364" s="206">
        <f t="shared" si="21"/>
        <v>43672</v>
      </c>
    </row>
    <row r="365" spans="1:10">
      <c r="A365" s="202">
        <f t="shared" si="19"/>
        <v>2023.08</v>
      </c>
      <c r="B365" s="252">
        <v>6337</v>
      </c>
      <c r="C365" s="3034">
        <v>8058</v>
      </c>
      <c r="D365" s="194">
        <f t="shared" si="20"/>
        <v>14395</v>
      </c>
      <c r="E365" s="2353"/>
      <c r="F365" s="3078"/>
      <c r="G365" s="302"/>
      <c r="H365" s="260">
        <v>14532</v>
      </c>
      <c r="I365" s="3034">
        <v>27945</v>
      </c>
      <c r="J365" s="206">
        <f t="shared" si="21"/>
        <v>42477</v>
      </c>
    </row>
    <row r="366" spans="1:10">
      <c r="A366" s="202">
        <f t="shared" si="19"/>
        <v>2023.09</v>
      </c>
      <c r="B366" s="252">
        <v>8125</v>
      </c>
      <c r="C366" s="3034">
        <v>9784</v>
      </c>
      <c r="D366" s="194">
        <f t="shared" si="20"/>
        <v>17909</v>
      </c>
      <c r="E366" s="2353"/>
      <c r="F366" s="3078"/>
      <c r="G366" s="302"/>
      <c r="H366" s="260">
        <v>14511</v>
      </c>
      <c r="I366" s="3034">
        <v>27314</v>
      </c>
      <c r="J366" s="206">
        <f t="shared" si="21"/>
        <v>41825</v>
      </c>
    </row>
    <row r="367" spans="1:10">
      <c r="A367" s="202">
        <f t="shared" si="19"/>
        <v>2023.1</v>
      </c>
      <c r="B367" s="252">
        <v>8386</v>
      </c>
      <c r="C367" s="3034">
        <v>10056</v>
      </c>
      <c r="D367" s="194">
        <f t="shared" si="20"/>
        <v>18442</v>
      </c>
      <c r="E367" s="2353"/>
      <c r="F367" s="3078"/>
      <c r="G367" s="302"/>
      <c r="H367" s="260">
        <v>14368</v>
      </c>
      <c r="I367" s="3034">
        <v>25867</v>
      </c>
      <c r="J367" s="206">
        <f t="shared" si="21"/>
        <v>40235</v>
      </c>
    </row>
    <row r="368" spans="1:10">
      <c r="A368" s="202">
        <f t="shared" si="19"/>
        <v>2023.11</v>
      </c>
      <c r="B368" s="252">
        <v>9904</v>
      </c>
      <c r="C368" s="3034">
        <v>8224</v>
      </c>
      <c r="D368" s="194">
        <f t="shared" si="20"/>
        <v>18128</v>
      </c>
      <c r="E368" s="2353"/>
      <c r="F368" s="3078"/>
      <c r="G368" s="302"/>
      <c r="H368" s="260">
        <v>18279</v>
      </c>
      <c r="I368" s="3034">
        <v>30885</v>
      </c>
      <c r="J368" s="206">
        <f t="shared" si="21"/>
        <v>49164</v>
      </c>
    </row>
    <row r="369" spans="1:10">
      <c r="A369" s="202">
        <f t="shared" si="19"/>
        <v>2023.12</v>
      </c>
      <c r="B369" s="252" t="e">
        <v>#N/A</v>
      </c>
      <c r="C369" s="3034" t="e">
        <v>#N/A</v>
      </c>
      <c r="D369" s="194" t="e">
        <f t="shared" si="20"/>
        <v>#N/A</v>
      </c>
      <c r="E369" s="2353"/>
      <c r="F369" s="3078"/>
      <c r="G369" s="302"/>
      <c r="H369" s="260">
        <v>18064</v>
      </c>
      <c r="I369" s="3034">
        <v>28465</v>
      </c>
      <c r="J369" s="206">
        <f t="shared" si="21"/>
        <v>46529</v>
      </c>
    </row>
    <row r="370" spans="1:10">
      <c r="A370" s="202">
        <f t="shared" ref="A370:A393" si="23">A358+1</f>
        <v>2024.01</v>
      </c>
      <c r="B370" s="252">
        <v>6024</v>
      </c>
      <c r="C370" s="3034">
        <v>6786</v>
      </c>
      <c r="D370" s="194">
        <f t="shared" si="20"/>
        <v>12810</v>
      </c>
      <c r="E370" s="2353"/>
      <c r="F370" s="3078"/>
      <c r="G370" s="302"/>
      <c r="H370" s="260">
        <v>26242</v>
      </c>
      <c r="I370" s="3034">
        <v>39160</v>
      </c>
      <c r="J370" s="206">
        <f t="shared" si="21"/>
        <v>65402</v>
      </c>
    </row>
    <row r="371" spans="1:10">
      <c r="A371" s="202">
        <f t="shared" si="23"/>
        <v>2024.02</v>
      </c>
      <c r="B371" s="252">
        <v>6405</v>
      </c>
      <c r="C371" s="3034">
        <v>7860</v>
      </c>
      <c r="D371" s="194">
        <f t="shared" si="20"/>
        <v>14265</v>
      </c>
      <c r="E371" s="2353"/>
      <c r="F371" s="3078"/>
      <c r="G371" s="302"/>
      <c r="H371" s="260">
        <v>43072</v>
      </c>
      <c r="I371" s="3034">
        <v>145538</v>
      </c>
      <c r="J371" s="206">
        <f t="shared" si="21"/>
        <v>188610</v>
      </c>
    </row>
    <row r="372" spans="1:10">
      <c r="A372" s="202">
        <f t="shared" si="23"/>
        <v>2024.03</v>
      </c>
      <c r="B372" s="252">
        <v>5695</v>
      </c>
      <c r="C372" s="3034">
        <v>6891</v>
      </c>
      <c r="D372" s="194">
        <f t="shared" si="20"/>
        <v>12586</v>
      </c>
      <c r="E372" s="2353"/>
      <c r="F372" s="3078"/>
      <c r="G372" s="302"/>
      <c r="H372" s="260">
        <v>27584</v>
      </c>
      <c r="I372" s="3034">
        <v>37922</v>
      </c>
      <c r="J372" s="206">
        <f t="shared" si="21"/>
        <v>65506</v>
      </c>
    </row>
    <row r="373" spans="1:10">
      <c r="A373" s="202">
        <f t="shared" si="23"/>
        <v>2024.04</v>
      </c>
      <c r="B373" s="252">
        <v>5440</v>
      </c>
      <c r="C373" s="3034">
        <v>6817</v>
      </c>
      <c r="D373" s="194">
        <f t="shared" si="20"/>
        <v>12257</v>
      </c>
      <c r="E373" s="2353"/>
      <c r="F373" s="3078"/>
      <c r="G373" s="302"/>
      <c r="H373" s="260">
        <v>27438</v>
      </c>
      <c r="I373" s="3034">
        <v>38541</v>
      </c>
      <c r="J373" s="206">
        <f t="shared" si="21"/>
        <v>65979</v>
      </c>
    </row>
    <row r="374" spans="1:10">
      <c r="A374" s="202">
        <f t="shared" si="23"/>
        <v>2024.05</v>
      </c>
      <c r="B374" s="252">
        <v>5279</v>
      </c>
      <c r="C374" s="3034">
        <v>6673</v>
      </c>
      <c r="D374" s="194">
        <f t="shared" si="20"/>
        <v>11952</v>
      </c>
      <c r="E374" s="2353"/>
      <c r="F374" s="3078"/>
      <c r="G374" s="302"/>
      <c r="H374" s="260">
        <v>27518</v>
      </c>
      <c r="I374" s="3034">
        <v>38373</v>
      </c>
      <c r="J374" s="206">
        <f t="shared" si="21"/>
        <v>65891</v>
      </c>
    </row>
    <row r="375" spans="1:10">
      <c r="A375" s="202">
        <f t="shared" si="23"/>
        <v>2024.06</v>
      </c>
      <c r="B375" s="252">
        <v>5259</v>
      </c>
      <c r="C375" s="3034">
        <v>6611</v>
      </c>
      <c r="D375" s="194">
        <f t="shared" si="20"/>
        <v>11870</v>
      </c>
      <c r="E375" s="2353"/>
      <c r="F375" s="3078"/>
      <c r="G375" s="302"/>
      <c r="H375" s="260">
        <v>27389</v>
      </c>
      <c r="I375" s="3034">
        <v>37571</v>
      </c>
      <c r="J375" s="206">
        <f t="shared" si="21"/>
        <v>64960</v>
      </c>
    </row>
    <row r="376" spans="1:10">
      <c r="A376" s="202">
        <f t="shared" si="23"/>
        <v>2024.07</v>
      </c>
      <c r="B376" s="252">
        <v>5226</v>
      </c>
      <c r="C376" s="3034">
        <v>6671</v>
      </c>
      <c r="D376" s="194">
        <f t="shared" si="20"/>
        <v>11897</v>
      </c>
      <c r="E376" s="2353"/>
      <c r="F376" s="3078"/>
      <c r="G376" s="302"/>
      <c r="H376" s="260">
        <v>27325</v>
      </c>
      <c r="I376" s="3034">
        <v>38025</v>
      </c>
      <c r="J376" s="206">
        <f t="shared" si="21"/>
        <v>65350</v>
      </c>
    </row>
    <row r="377" spans="1:10">
      <c r="A377" s="202">
        <f t="shared" si="23"/>
        <v>2024.08</v>
      </c>
      <c r="B377" s="252">
        <v>5040</v>
      </c>
      <c r="C377" s="3034">
        <v>6444</v>
      </c>
      <c r="D377" s="194">
        <f t="shared" si="20"/>
        <v>11484</v>
      </c>
      <c r="E377" s="2353"/>
      <c r="F377" s="3078"/>
      <c r="G377" s="302"/>
      <c r="H377" s="260">
        <v>27461</v>
      </c>
      <c r="I377" s="3034">
        <v>38781</v>
      </c>
      <c r="J377" s="206">
        <f t="shared" si="21"/>
        <v>66242</v>
      </c>
    </row>
    <row r="378" spans="1:10">
      <c r="A378" s="202">
        <f t="shared" si="23"/>
        <v>2024.09</v>
      </c>
      <c r="B378" s="252">
        <v>5063</v>
      </c>
      <c r="C378" s="3034">
        <v>6445</v>
      </c>
      <c r="D378" s="194">
        <f t="shared" si="20"/>
        <v>11508</v>
      </c>
      <c r="E378" s="2353"/>
      <c r="F378" s="3078"/>
      <c r="G378" s="302"/>
      <c r="H378" s="260">
        <v>27180</v>
      </c>
      <c r="I378" s="3034">
        <v>36911</v>
      </c>
      <c r="J378" s="206">
        <f t="shared" si="21"/>
        <v>64091</v>
      </c>
    </row>
    <row r="379" spans="1:10">
      <c r="A379" s="202">
        <f t="shared" si="23"/>
        <v>2024.1</v>
      </c>
      <c r="B379" s="252">
        <v>4946</v>
      </c>
      <c r="C379" s="3034">
        <v>6356</v>
      </c>
      <c r="D379" s="194">
        <f t="shared" si="20"/>
        <v>11302</v>
      </c>
      <c r="E379" s="2353"/>
      <c r="F379" s="3078"/>
      <c r="G379" s="302"/>
      <c r="H379" s="260">
        <v>27174</v>
      </c>
      <c r="I379" s="3034">
        <v>37299</v>
      </c>
      <c r="J379" s="206">
        <f t="shared" si="21"/>
        <v>64473</v>
      </c>
    </row>
    <row r="380" spans="1:10">
      <c r="A380" s="202">
        <f t="shared" si="23"/>
        <v>2024.11</v>
      </c>
      <c r="B380" s="252">
        <v>4989</v>
      </c>
      <c r="C380" s="3034">
        <v>6501</v>
      </c>
      <c r="D380" s="194">
        <f t="shared" si="20"/>
        <v>11490</v>
      </c>
      <c r="E380" s="2353"/>
      <c r="F380" s="3078"/>
      <c r="G380" s="302"/>
      <c r="H380" s="260">
        <v>27118</v>
      </c>
      <c r="I380" s="3034">
        <v>36825</v>
      </c>
      <c r="J380" s="206">
        <f t="shared" si="21"/>
        <v>63943</v>
      </c>
    </row>
    <row r="381" spans="1:10">
      <c r="A381" s="202">
        <f t="shared" si="23"/>
        <v>2024.12</v>
      </c>
      <c r="B381" s="252">
        <v>4972</v>
      </c>
      <c r="C381" s="3034">
        <v>6219</v>
      </c>
      <c r="D381" s="194">
        <f t="shared" si="20"/>
        <v>11191</v>
      </c>
      <c r="E381" s="2353"/>
      <c r="F381" s="3078"/>
      <c r="G381" s="302"/>
      <c r="H381" s="260">
        <v>27062</v>
      </c>
      <c r="I381" s="3034">
        <v>35997</v>
      </c>
      <c r="J381" s="206">
        <f t="shared" si="21"/>
        <v>63059</v>
      </c>
    </row>
    <row r="382" spans="1:10">
      <c r="A382" s="202">
        <f t="shared" si="23"/>
        <v>2025.01</v>
      </c>
      <c r="B382" s="252" t="e">
        <v>#N/A</v>
      </c>
      <c r="C382" s="3034" t="e">
        <v>#N/A</v>
      </c>
      <c r="D382" s="194" t="e">
        <f t="shared" si="20"/>
        <v>#N/A</v>
      </c>
      <c r="E382" s="2353"/>
      <c r="F382" s="3078"/>
      <c r="G382" s="302"/>
      <c r="H382" s="260">
        <v>26992</v>
      </c>
      <c r="I382" s="3034">
        <v>36322</v>
      </c>
      <c r="J382" s="206">
        <f t="shared" si="21"/>
        <v>63314</v>
      </c>
    </row>
    <row r="383" spans="1:10">
      <c r="A383" s="202">
        <f t="shared" si="23"/>
        <v>2025.02</v>
      </c>
      <c r="B383" s="252" t="e">
        <v>#N/A</v>
      </c>
      <c r="C383" s="3034" t="e">
        <v>#N/A</v>
      </c>
      <c r="D383" s="194" t="e">
        <f t="shared" si="20"/>
        <v>#N/A</v>
      </c>
      <c r="E383" s="2353"/>
      <c r="F383" s="3078"/>
      <c r="G383" s="302"/>
      <c r="H383" s="260" t="e">
        <v>#N/A</v>
      </c>
      <c r="I383" s="3034" t="e">
        <v>#N/A</v>
      </c>
      <c r="J383" s="206" t="e">
        <f t="shared" si="21"/>
        <v>#N/A</v>
      </c>
    </row>
    <row r="384" spans="1:10">
      <c r="A384" s="202">
        <f t="shared" si="23"/>
        <v>2025.03</v>
      </c>
      <c r="B384" s="252" t="e">
        <v>#N/A</v>
      </c>
      <c r="C384" s="3034" t="e">
        <v>#N/A</v>
      </c>
      <c r="D384" s="194" t="e">
        <f t="shared" si="20"/>
        <v>#N/A</v>
      </c>
      <c r="E384" s="2353"/>
      <c r="F384" s="3078"/>
      <c r="G384" s="302"/>
      <c r="H384" s="260" t="e">
        <v>#N/A</v>
      </c>
      <c r="I384" s="3034" t="e">
        <v>#N/A</v>
      </c>
      <c r="J384" s="206" t="e">
        <f t="shared" si="21"/>
        <v>#N/A</v>
      </c>
    </row>
    <row r="385" spans="1:10">
      <c r="A385" s="202">
        <f t="shared" si="23"/>
        <v>2025.04</v>
      </c>
      <c r="B385" s="252" t="e">
        <v>#N/A</v>
      </c>
      <c r="C385" s="3034" t="e">
        <v>#N/A</v>
      </c>
      <c r="D385" s="194" t="e">
        <f t="shared" si="20"/>
        <v>#N/A</v>
      </c>
      <c r="E385" s="2353"/>
      <c r="F385" s="3078"/>
      <c r="G385" s="302"/>
      <c r="H385" s="260" t="e">
        <v>#N/A</v>
      </c>
      <c r="I385" s="3034" t="e">
        <v>#N/A</v>
      </c>
      <c r="J385" s="206" t="e">
        <f t="shared" si="21"/>
        <v>#N/A</v>
      </c>
    </row>
    <row r="386" spans="1:10">
      <c r="A386" s="202">
        <f t="shared" si="23"/>
        <v>2025.05</v>
      </c>
      <c r="B386" s="252" t="e">
        <v>#N/A</v>
      </c>
      <c r="C386" s="3034" t="e">
        <v>#N/A</v>
      </c>
      <c r="D386" s="194" t="e">
        <f t="shared" si="20"/>
        <v>#N/A</v>
      </c>
      <c r="E386" s="2353"/>
      <c r="F386" s="3078"/>
      <c r="G386" s="302"/>
      <c r="H386" s="260" t="e">
        <v>#N/A</v>
      </c>
      <c r="I386" s="3034" t="e">
        <v>#N/A</v>
      </c>
      <c r="J386" s="206" t="e">
        <f t="shared" si="21"/>
        <v>#N/A</v>
      </c>
    </row>
    <row r="387" spans="1:10">
      <c r="A387" s="202">
        <f t="shared" si="23"/>
        <v>2025.06</v>
      </c>
      <c r="B387" s="252" t="e">
        <v>#N/A</v>
      </c>
      <c r="C387" s="3034" t="e">
        <v>#N/A</v>
      </c>
      <c r="D387" s="194" t="e">
        <f t="shared" si="20"/>
        <v>#N/A</v>
      </c>
      <c r="E387" s="2353"/>
      <c r="F387" s="3078"/>
      <c r="G387" s="302"/>
      <c r="H387" s="260" t="e">
        <v>#N/A</v>
      </c>
      <c r="I387" s="3034" t="e">
        <v>#N/A</v>
      </c>
      <c r="J387" s="206" t="e">
        <f t="shared" si="21"/>
        <v>#N/A</v>
      </c>
    </row>
    <row r="388" spans="1:10">
      <c r="A388" s="202">
        <f t="shared" si="23"/>
        <v>2025.07</v>
      </c>
      <c r="B388" s="252" t="e">
        <v>#N/A</v>
      </c>
      <c r="C388" s="3034" t="e">
        <v>#N/A</v>
      </c>
      <c r="D388" s="194" t="e">
        <f t="shared" si="20"/>
        <v>#N/A</v>
      </c>
      <c r="E388" s="2353"/>
      <c r="F388" s="3078"/>
      <c r="G388" s="302"/>
      <c r="H388" s="260" t="e">
        <v>#N/A</v>
      </c>
      <c r="I388" s="3034" t="e">
        <v>#N/A</v>
      </c>
      <c r="J388" s="206" t="e">
        <f t="shared" si="21"/>
        <v>#N/A</v>
      </c>
    </row>
    <row r="389" spans="1:10">
      <c r="A389" s="202">
        <f t="shared" si="23"/>
        <v>2025.08</v>
      </c>
      <c r="B389" s="252" t="e">
        <v>#N/A</v>
      </c>
      <c r="C389" s="3034" t="e">
        <v>#N/A</v>
      </c>
      <c r="D389" s="194" t="e">
        <f t="shared" si="20"/>
        <v>#N/A</v>
      </c>
      <c r="E389" s="2353"/>
      <c r="F389" s="3078"/>
      <c r="G389" s="302"/>
      <c r="H389" s="260" t="e">
        <v>#N/A</v>
      </c>
      <c r="I389" s="3034" t="e">
        <v>#N/A</v>
      </c>
      <c r="J389" s="206" t="e">
        <f t="shared" si="21"/>
        <v>#N/A</v>
      </c>
    </row>
    <row r="390" spans="1:10">
      <c r="A390" s="202">
        <f t="shared" si="23"/>
        <v>2025.09</v>
      </c>
      <c r="B390" s="252" t="e">
        <v>#N/A</v>
      </c>
      <c r="C390" s="3034" t="e">
        <v>#N/A</v>
      </c>
      <c r="D390" s="194" t="e">
        <f t="shared" si="20"/>
        <v>#N/A</v>
      </c>
      <c r="E390" s="2353"/>
      <c r="F390" s="3078"/>
      <c r="G390" s="302"/>
      <c r="H390" s="260" t="e">
        <v>#N/A</v>
      </c>
      <c r="I390" s="3034" t="e">
        <v>#N/A</v>
      </c>
      <c r="J390" s="206" t="e">
        <f t="shared" si="21"/>
        <v>#N/A</v>
      </c>
    </row>
    <row r="391" spans="1:10">
      <c r="A391" s="202">
        <f t="shared" si="23"/>
        <v>2025.1</v>
      </c>
      <c r="B391" s="252" t="e">
        <v>#N/A</v>
      </c>
      <c r="C391" s="3034" t="e">
        <v>#N/A</v>
      </c>
      <c r="D391" s="194" t="e">
        <f t="shared" si="20"/>
        <v>#N/A</v>
      </c>
      <c r="E391" s="2353"/>
      <c r="F391" s="3078"/>
      <c r="G391" s="302"/>
      <c r="H391" s="260" t="e">
        <v>#N/A</v>
      </c>
      <c r="I391" s="3034" t="e">
        <v>#N/A</v>
      </c>
      <c r="J391" s="206" t="e">
        <f t="shared" si="21"/>
        <v>#N/A</v>
      </c>
    </row>
    <row r="392" spans="1:10">
      <c r="A392" s="202">
        <f t="shared" si="23"/>
        <v>2025.11</v>
      </c>
      <c r="B392" s="252" t="e">
        <v>#N/A</v>
      </c>
      <c r="C392" s="3034" t="e">
        <v>#N/A</v>
      </c>
      <c r="D392" s="194" t="e">
        <f t="shared" si="20"/>
        <v>#N/A</v>
      </c>
      <c r="E392" s="2353"/>
      <c r="F392" s="3078"/>
      <c r="G392" s="302"/>
      <c r="H392" s="260" t="e">
        <v>#N/A</v>
      </c>
      <c r="I392" s="3034" t="e">
        <v>#N/A</v>
      </c>
      <c r="J392" s="206" t="e">
        <f t="shared" si="21"/>
        <v>#N/A</v>
      </c>
    </row>
    <row r="393" spans="1:10">
      <c r="A393" s="202">
        <f t="shared" si="23"/>
        <v>2025.12</v>
      </c>
      <c r="B393" s="252" t="e">
        <v>#N/A</v>
      </c>
      <c r="C393" s="3034" t="e">
        <v>#N/A</v>
      </c>
      <c r="D393" s="194" t="e">
        <f t="shared" si="20"/>
        <v>#N/A</v>
      </c>
      <c r="E393" s="2353"/>
      <c r="F393" s="3078"/>
      <c r="G393" s="302"/>
      <c r="H393" s="260" t="e">
        <v>#N/A</v>
      </c>
      <c r="I393" s="3034" t="e">
        <v>#N/A</v>
      </c>
      <c r="J393" s="206" t="e">
        <f t="shared" si="21"/>
        <v>#N/A</v>
      </c>
    </row>
    <row r="394" spans="1:10">
      <c r="A394" s="1340">
        <v>2026.01</v>
      </c>
      <c r="B394" s="252" t="e">
        <v>#N/A</v>
      </c>
      <c r="C394" s="3034" t="e">
        <v>#N/A</v>
      </c>
      <c r="D394" s="194" t="e">
        <f t="shared" ref="D394:D453" si="24">B394+C394</f>
        <v>#N/A</v>
      </c>
      <c r="E394" s="2353"/>
      <c r="F394" s="3078"/>
      <c r="G394" s="302"/>
      <c r="H394" s="260" t="e">
        <v>#N/A</v>
      </c>
      <c r="I394" s="3034" t="e">
        <v>#N/A</v>
      </c>
      <c r="J394" s="206" t="e">
        <f t="shared" ref="J394:J453" si="25">H394+I394</f>
        <v>#N/A</v>
      </c>
    </row>
    <row r="395" spans="1:10">
      <c r="A395" s="1340">
        <v>2026.02</v>
      </c>
      <c r="B395" s="252" t="e">
        <v>#N/A</v>
      </c>
      <c r="C395" s="3034" t="e">
        <v>#N/A</v>
      </c>
      <c r="D395" s="194" t="e">
        <f t="shared" si="24"/>
        <v>#N/A</v>
      </c>
      <c r="E395" s="2353"/>
      <c r="F395" s="3078"/>
      <c r="G395" s="302"/>
      <c r="H395" s="260" t="e">
        <v>#N/A</v>
      </c>
      <c r="I395" s="3034" t="e">
        <v>#N/A</v>
      </c>
      <c r="J395" s="206" t="e">
        <f t="shared" si="25"/>
        <v>#N/A</v>
      </c>
    </row>
    <row r="396" spans="1:10">
      <c r="A396" s="1340">
        <v>2026.03</v>
      </c>
      <c r="B396" s="252" t="e">
        <v>#N/A</v>
      </c>
      <c r="C396" s="3034" t="e">
        <v>#N/A</v>
      </c>
      <c r="D396" s="194" t="e">
        <f t="shared" si="24"/>
        <v>#N/A</v>
      </c>
      <c r="E396" s="2353"/>
      <c r="F396" s="3078"/>
      <c r="G396" s="302"/>
      <c r="H396" s="260" t="e">
        <v>#N/A</v>
      </c>
      <c r="I396" s="3034" t="e">
        <v>#N/A</v>
      </c>
      <c r="J396" s="206" t="e">
        <f t="shared" si="25"/>
        <v>#N/A</v>
      </c>
    </row>
    <row r="397" spans="1:10">
      <c r="A397" s="1340">
        <v>2026.04</v>
      </c>
      <c r="B397" s="252" t="e">
        <v>#N/A</v>
      </c>
      <c r="C397" s="3034" t="e">
        <v>#N/A</v>
      </c>
      <c r="D397" s="194" t="e">
        <f t="shared" si="24"/>
        <v>#N/A</v>
      </c>
      <c r="E397" s="2353"/>
      <c r="F397" s="3078"/>
      <c r="G397" s="302"/>
      <c r="H397" s="260" t="e">
        <v>#N/A</v>
      </c>
      <c r="I397" s="3034" t="e">
        <v>#N/A</v>
      </c>
      <c r="J397" s="206" t="e">
        <f t="shared" si="25"/>
        <v>#N/A</v>
      </c>
    </row>
    <row r="398" spans="1:10">
      <c r="A398" s="1340">
        <v>2026.05</v>
      </c>
      <c r="B398" s="252" t="e">
        <v>#N/A</v>
      </c>
      <c r="C398" s="3034" t="e">
        <v>#N/A</v>
      </c>
      <c r="D398" s="194" t="e">
        <f t="shared" si="24"/>
        <v>#N/A</v>
      </c>
      <c r="E398" s="2353"/>
      <c r="F398" s="3078"/>
      <c r="G398" s="302"/>
      <c r="H398" s="260" t="e">
        <v>#N/A</v>
      </c>
      <c r="I398" s="3034" t="e">
        <v>#N/A</v>
      </c>
      <c r="J398" s="206" t="e">
        <f t="shared" si="25"/>
        <v>#N/A</v>
      </c>
    </row>
    <row r="399" spans="1:10">
      <c r="A399" s="1340">
        <v>2026.06</v>
      </c>
      <c r="B399" s="252" t="e">
        <v>#N/A</v>
      </c>
      <c r="C399" s="3034" t="e">
        <v>#N/A</v>
      </c>
      <c r="D399" s="194" t="e">
        <f t="shared" si="24"/>
        <v>#N/A</v>
      </c>
      <c r="E399" s="2353"/>
      <c r="F399" s="3078"/>
      <c r="G399" s="302"/>
      <c r="H399" s="260" t="e">
        <v>#N/A</v>
      </c>
      <c r="I399" s="3034" t="e">
        <v>#N/A</v>
      </c>
      <c r="J399" s="206" t="e">
        <f t="shared" si="25"/>
        <v>#N/A</v>
      </c>
    </row>
    <row r="400" spans="1:10">
      <c r="A400" s="1340">
        <v>2026.07</v>
      </c>
      <c r="B400" s="252" t="e">
        <v>#N/A</v>
      </c>
      <c r="C400" s="3034" t="e">
        <v>#N/A</v>
      </c>
      <c r="D400" s="194" t="e">
        <f t="shared" si="24"/>
        <v>#N/A</v>
      </c>
      <c r="E400" s="2353"/>
      <c r="F400" s="3078"/>
      <c r="G400" s="302"/>
      <c r="H400" s="260" t="e">
        <v>#N/A</v>
      </c>
      <c r="I400" s="3034" t="e">
        <v>#N/A</v>
      </c>
      <c r="J400" s="206" t="e">
        <f t="shared" si="25"/>
        <v>#N/A</v>
      </c>
    </row>
    <row r="401" spans="1:10">
      <c r="A401" s="1340">
        <v>2026.08</v>
      </c>
      <c r="B401" s="252" t="e">
        <v>#N/A</v>
      </c>
      <c r="C401" s="3034" t="e">
        <v>#N/A</v>
      </c>
      <c r="D401" s="194" t="e">
        <f t="shared" si="24"/>
        <v>#N/A</v>
      </c>
      <c r="E401" s="2353"/>
      <c r="F401" s="3078"/>
      <c r="G401" s="302"/>
      <c r="H401" s="260" t="e">
        <v>#N/A</v>
      </c>
      <c r="I401" s="3034" t="e">
        <v>#N/A</v>
      </c>
      <c r="J401" s="206" t="e">
        <f t="shared" si="25"/>
        <v>#N/A</v>
      </c>
    </row>
    <row r="402" spans="1:10">
      <c r="A402" s="1340">
        <v>2026.09</v>
      </c>
      <c r="B402" s="252" t="e">
        <v>#N/A</v>
      </c>
      <c r="C402" s="3034" t="e">
        <v>#N/A</v>
      </c>
      <c r="D402" s="194" t="e">
        <f t="shared" si="24"/>
        <v>#N/A</v>
      </c>
      <c r="E402" s="2353"/>
      <c r="F402" s="3078"/>
      <c r="G402" s="302"/>
      <c r="H402" s="260" t="e">
        <v>#N/A</v>
      </c>
      <c r="I402" s="3034" t="e">
        <v>#N/A</v>
      </c>
      <c r="J402" s="206" t="e">
        <f t="shared" si="25"/>
        <v>#N/A</v>
      </c>
    </row>
    <row r="403" spans="1:10">
      <c r="A403" s="1340">
        <v>2026.1</v>
      </c>
      <c r="B403" s="252" t="e">
        <v>#N/A</v>
      </c>
      <c r="C403" s="3034" t="e">
        <v>#N/A</v>
      </c>
      <c r="D403" s="194" t="e">
        <f t="shared" si="24"/>
        <v>#N/A</v>
      </c>
      <c r="E403" s="2353"/>
      <c r="F403" s="3078"/>
      <c r="G403" s="302"/>
      <c r="H403" s="260" t="e">
        <v>#N/A</v>
      </c>
      <c r="I403" s="3034" t="e">
        <v>#N/A</v>
      </c>
      <c r="J403" s="206" t="e">
        <f t="shared" si="25"/>
        <v>#N/A</v>
      </c>
    </row>
    <row r="404" spans="1:10">
      <c r="A404" s="1340">
        <v>2026.11</v>
      </c>
      <c r="B404" s="252" t="e">
        <v>#N/A</v>
      </c>
      <c r="C404" s="3034" t="e">
        <v>#N/A</v>
      </c>
      <c r="D404" s="194" t="e">
        <f t="shared" si="24"/>
        <v>#N/A</v>
      </c>
      <c r="E404" s="2353"/>
      <c r="F404" s="3078"/>
      <c r="G404" s="302"/>
      <c r="H404" s="260" t="e">
        <v>#N/A</v>
      </c>
      <c r="I404" s="3034" t="e">
        <v>#N/A</v>
      </c>
      <c r="J404" s="206" t="e">
        <f t="shared" si="25"/>
        <v>#N/A</v>
      </c>
    </row>
    <row r="405" spans="1:10">
      <c r="A405" s="1340">
        <v>2026.12</v>
      </c>
      <c r="B405" s="252" t="e">
        <v>#N/A</v>
      </c>
      <c r="C405" s="3034" t="e">
        <v>#N/A</v>
      </c>
      <c r="D405" s="194" t="e">
        <f t="shared" si="24"/>
        <v>#N/A</v>
      </c>
      <c r="E405" s="2353"/>
      <c r="F405" s="3078"/>
      <c r="G405" s="302"/>
      <c r="H405" s="260" t="e">
        <v>#N/A</v>
      </c>
      <c r="I405" s="3034" t="e">
        <v>#N/A</v>
      </c>
      <c r="J405" s="206" t="e">
        <f t="shared" si="25"/>
        <v>#N/A</v>
      </c>
    </row>
    <row r="406" spans="1:10">
      <c r="A406" s="1340">
        <v>2027.01</v>
      </c>
      <c r="B406" s="252" t="e">
        <v>#N/A</v>
      </c>
      <c r="C406" s="3034" t="e">
        <v>#N/A</v>
      </c>
      <c r="D406" s="194" t="e">
        <f t="shared" si="24"/>
        <v>#N/A</v>
      </c>
      <c r="E406" s="2353"/>
      <c r="F406" s="3078"/>
      <c r="G406" s="302"/>
      <c r="H406" s="260" t="e">
        <v>#N/A</v>
      </c>
      <c r="I406" s="3034" t="e">
        <v>#N/A</v>
      </c>
      <c r="J406" s="206" t="e">
        <f t="shared" si="25"/>
        <v>#N/A</v>
      </c>
    </row>
    <row r="407" spans="1:10">
      <c r="A407" s="1340">
        <v>2027.02</v>
      </c>
      <c r="B407" s="252" t="e">
        <v>#N/A</v>
      </c>
      <c r="C407" s="3034" t="e">
        <v>#N/A</v>
      </c>
      <c r="D407" s="194" t="e">
        <f t="shared" si="24"/>
        <v>#N/A</v>
      </c>
      <c r="E407" s="2353"/>
      <c r="F407" s="3078"/>
      <c r="G407" s="302"/>
      <c r="H407" s="260" t="e">
        <v>#N/A</v>
      </c>
      <c r="I407" s="3034" t="e">
        <v>#N/A</v>
      </c>
      <c r="J407" s="206" t="e">
        <f t="shared" si="25"/>
        <v>#N/A</v>
      </c>
    </row>
    <row r="408" spans="1:10">
      <c r="A408" s="1340">
        <v>2027.03</v>
      </c>
      <c r="B408" s="252" t="e">
        <v>#N/A</v>
      </c>
      <c r="C408" s="3034" t="e">
        <v>#N/A</v>
      </c>
      <c r="D408" s="194" t="e">
        <f t="shared" si="24"/>
        <v>#N/A</v>
      </c>
      <c r="E408" s="2353"/>
      <c r="F408" s="3078"/>
      <c r="G408" s="302"/>
      <c r="H408" s="260" t="e">
        <v>#N/A</v>
      </c>
      <c r="I408" s="3034" t="e">
        <v>#N/A</v>
      </c>
      <c r="J408" s="206" t="e">
        <f t="shared" si="25"/>
        <v>#N/A</v>
      </c>
    </row>
    <row r="409" spans="1:10">
      <c r="A409" s="1340">
        <v>2027.04</v>
      </c>
      <c r="B409" s="252" t="e">
        <v>#N/A</v>
      </c>
      <c r="C409" s="3034" t="e">
        <v>#N/A</v>
      </c>
      <c r="D409" s="194" t="e">
        <f t="shared" si="24"/>
        <v>#N/A</v>
      </c>
      <c r="E409" s="2353"/>
      <c r="F409" s="3078"/>
      <c r="G409" s="302"/>
      <c r="H409" s="260" t="e">
        <v>#N/A</v>
      </c>
      <c r="I409" s="3034" t="e">
        <v>#N/A</v>
      </c>
      <c r="J409" s="206" t="e">
        <f t="shared" si="25"/>
        <v>#N/A</v>
      </c>
    </row>
    <row r="410" spans="1:10">
      <c r="A410" s="1340">
        <v>2027.05</v>
      </c>
      <c r="B410" s="252" t="e">
        <v>#N/A</v>
      </c>
      <c r="C410" s="3034" t="e">
        <v>#N/A</v>
      </c>
      <c r="D410" s="194" t="e">
        <f t="shared" si="24"/>
        <v>#N/A</v>
      </c>
      <c r="E410" s="2353"/>
      <c r="F410" s="3078"/>
      <c r="G410" s="302"/>
      <c r="H410" s="260" t="e">
        <v>#N/A</v>
      </c>
      <c r="I410" s="3034" t="e">
        <v>#N/A</v>
      </c>
      <c r="J410" s="206" t="e">
        <f t="shared" si="25"/>
        <v>#N/A</v>
      </c>
    </row>
    <row r="411" spans="1:10">
      <c r="A411" s="1340">
        <v>2027.06</v>
      </c>
      <c r="B411" s="252" t="e">
        <v>#N/A</v>
      </c>
      <c r="C411" s="3034" t="e">
        <v>#N/A</v>
      </c>
      <c r="D411" s="194" t="e">
        <f t="shared" si="24"/>
        <v>#N/A</v>
      </c>
      <c r="E411" s="2353"/>
      <c r="F411" s="3078"/>
      <c r="G411" s="302"/>
      <c r="H411" s="260" t="e">
        <v>#N/A</v>
      </c>
      <c r="I411" s="3034" t="e">
        <v>#N/A</v>
      </c>
      <c r="J411" s="206" t="e">
        <f t="shared" si="25"/>
        <v>#N/A</v>
      </c>
    </row>
    <row r="412" spans="1:10">
      <c r="A412" s="1340">
        <v>2027.07</v>
      </c>
      <c r="B412" s="252" t="e">
        <v>#N/A</v>
      </c>
      <c r="C412" s="3034" t="e">
        <v>#N/A</v>
      </c>
      <c r="D412" s="194" t="e">
        <f t="shared" si="24"/>
        <v>#N/A</v>
      </c>
      <c r="E412" s="2353"/>
      <c r="F412" s="3078"/>
      <c r="G412" s="302"/>
      <c r="H412" s="260" t="e">
        <v>#N/A</v>
      </c>
      <c r="I412" s="3034" t="e">
        <v>#N/A</v>
      </c>
      <c r="J412" s="206" t="e">
        <f t="shared" si="25"/>
        <v>#N/A</v>
      </c>
    </row>
    <row r="413" spans="1:10">
      <c r="A413" s="1340">
        <v>2027.08</v>
      </c>
      <c r="B413" s="252" t="e">
        <v>#N/A</v>
      </c>
      <c r="C413" s="3034" t="e">
        <v>#N/A</v>
      </c>
      <c r="D413" s="194" t="e">
        <f t="shared" si="24"/>
        <v>#N/A</v>
      </c>
      <c r="E413" s="2353"/>
      <c r="F413" s="3078"/>
      <c r="G413" s="302"/>
      <c r="H413" s="260" t="e">
        <v>#N/A</v>
      </c>
      <c r="I413" s="3034" t="e">
        <v>#N/A</v>
      </c>
      <c r="J413" s="206" t="e">
        <f t="shared" si="25"/>
        <v>#N/A</v>
      </c>
    </row>
    <row r="414" spans="1:10">
      <c r="A414" s="1340">
        <v>2027.09</v>
      </c>
      <c r="B414" s="252" t="e">
        <v>#N/A</v>
      </c>
      <c r="C414" s="3034" t="e">
        <v>#N/A</v>
      </c>
      <c r="D414" s="194" t="e">
        <f t="shared" si="24"/>
        <v>#N/A</v>
      </c>
      <c r="E414" s="2353"/>
      <c r="F414" s="3078"/>
      <c r="G414" s="302"/>
      <c r="H414" s="260" t="e">
        <v>#N/A</v>
      </c>
      <c r="I414" s="3034" t="e">
        <v>#N/A</v>
      </c>
      <c r="J414" s="206" t="e">
        <f t="shared" si="25"/>
        <v>#N/A</v>
      </c>
    </row>
    <row r="415" spans="1:10">
      <c r="A415" s="1340">
        <v>2027.1</v>
      </c>
      <c r="B415" s="252" t="e">
        <v>#N/A</v>
      </c>
      <c r="C415" s="3034" t="e">
        <v>#N/A</v>
      </c>
      <c r="D415" s="194" t="e">
        <f t="shared" si="24"/>
        <v>#N/A</v>
      </c>
      <c r="E415" s="2353"/>
      <c r="F415" s="3078"/>
      <c r="G415" s="302"/>
      <c r="H415" s="260" t="e">
        <v>#N/A</v>
      </c>
      <c r="I415" s="3034" t="e">
        <v>#N/A</v>
      </c>
      <c r="J415" s="206" t="e">
        <f t="shared" si="25"/>
        <v>#N/A</v>
      </c>
    </row>
    <row r="416" spans="1:10">
      <c r="A416" s="1340">
        <v>2027.11</v>
      </c>
      <c r="B416" s="252" t="e">
        <v>#N/A</v>
      </c>
      <c r="C416" s="3034" t="e">
        <v>#N/A</v>
      </c>
      <c r="D416" s="194" t="e">
        <f t="shared" si="24"/>
        <v>#N/A</v>
      </c>
      <c r="E416" s="2353"/>
      <c r="F416" s="3078"/>
      <c r="G416" s="302"/>
      <c r="H416" s="260" t="e">
        <v>#N/A</v>
      </c>
      <c r="I416" s="3034" t="e">
        <v>#N/A</v>
      </c>
      <c r="J416" s="206" t="e">
        <f t="shared" si="25"/>
        <v>#N/A</v>
      </c>
    </row>
    <row r="417" spans="1:10">
      <c r="A417" s="1340">
        <v>2027.12</v>
      </c>
      <c r="B417" s="252" t="e">
        <v>#N/A</v>
      </c>
      <c r="C417" s="3034" t="e">
        <v>#N/A</v>
      </c>
      <c r="D417" s="194" t="e">
        <f t="shared" si="24"/>
        <v>#N/A</v>
      </c>
      <c r="E417" s="2353"/>
      <c r="F417" s="3078"/>
      <c r="G417" s="302"/>
      <c r="H417" s="260" t="e">
        <v>#N/A</v>
      </c>
      <c r="I417" s="3034" t="e">
        <v>#N/A</v>
      </c>
      <c r="J417" s="206" t="e">
        <f t="shared" si="25"/>
        <v>#N/A</v>
      </c>
    </row>
    <row r="418" spans="1:10">
      <c r="A418" s="1340">
        <v>2028.01</v>
      </c>
      <c r="B418" s="252" t="e">
        <v>#N/A</v>
      </c>
      <c r="C418" s="3034" t="e">
        <v>#N/A</v>
      </c>
      <c r="D418" s="194" t="e">
        <f t="shared" si="24"/>
        <v>#N/A</v>
      </c>
      <c r="E418" s="2353"/>
      <c r="F418" s="3078"/>
      <c r="G418" s="302"/>
      <c r="H418" s="260" t="e">
        <v>#N/A</v>
      </c>
      <c r="I418" s="3034" t="e">
        <v>#N/A</v>
      </c>
      <c r="J418" s="206" t="e">
        <f t="shared" si="25"/>
        <v>#N/A</v>
      </c>
    </row>
    <row r="419" spans="1:10">
      <c r="A419" s="1340">
        <v>2028.02</v>
      </c>
      <c r="B419" s="252" t="e">
        <v>#N/A</v>
      </c>
      <c r="C419" s="3034" t="e">
        <v>#N/A</v>
      </c>
      <c r="D419" s="194" t="e">
        <f t="shared" si="24"/>
        <v>#N/A</v>
      </c>
      <c r="E419" s="2353"/>
      <c r="F419" s="3078"/>
      <c r="G419" s="302"/>
      <c r="H419" s="260" t="e">
        <v>#N/A</v>
      </c>
      <c r="I419" s="3034" t="e">
        <v>#N/A</v>
      </c>
      <c r="J419" s="206" t="e">
        <f t="shared" si="25"/>
        <v>#N/A</v>
      </c>
    </row>
    <row r="420" spans="1:10">
      <c r="A420" s="1340">
        <v>2028.03</v>
      </c>
      <c r="B420" s="252" t="e">
        <v>#N/A</v>
      </c>
      <c r="C420" s="3034" t="e">
        <v>#N/A</v>
      </c>
      <c r="D420" s="194" t="e">
        <f t="shared" si="24"/>
        <v>#N/A</v>
      </c>
      <c r="E420" s="2353"/>
      <c r="F420" s="3078"/>
      <c r="G420" s="302"/>
      <c r="H420" s="260" t="e">
        <v>#N/A</v>
      </c>
      <c r="I420" s="3034" t="e">
        <v>#N/A</v>
      </c>
      <c r="J420" s="206" t="e">
        <f t="shared" si="25"/>
        <v>#N/A</v>
      </c>
    </row>
    <row r="421" spans="1:10">
      <c r="A421" s="1340">
        <v>2028.04</v>
      </c>
      <c r="B421" s="252" t="e">
        <v>#N/A</v>
      </c>
      <c r="C421" s="3034" t="e">
        <v>#N/A</v>
      </c>
      <c r="D421" s="194" t="e">
        <f t="shared" si="24"/>
        <v>#N/A</v>
      </c>
      <c r="E421" s="2353"/>
      <c r="F421" s="3078"/>
      <c r="G421" s="302"/>
      <c r="H421" s="260" t="e">
        <v>#N/A</v>
      </c>
      <c r="I421" s="3034" t="e">
        <v>#N/A</v>
      </c>
      <c r="J421" s="206" t="e">
        <f t="shared" si="25"/>
        <v>#N/A</v>
      </c>
    </row>
    <row r="422" spans="1:10">
      <c r="A422" s="1340">
        <v>2028.05</v>
      </c>
      <c r="B422" s="252" t="e">
        <v>#N/A</v>
      </c>
      <c r="C422" s="3034" t="e">
        <v>#N/A</v>
      </c>
      <c r="D422" s="194" t="e">
        <f t="shared" si="24"/>
        <v>#N/A</v>
      </c>
      <c r="E422" s="2353"/>
      <c r="F422" s="3078"/>
      <c r="G422" s="302"/>
      <c r="H422" s="260" t="e">
        <v>#N/A</v>
      </c>
      <c r="I422" s="3034" t="e">
        <v>#N/A</v>
      </c>
      <c r="J422" s="206" t="e">
        <f t="shared" si="25"/>
        <v>#N/A</v>
      </c>
    </row>
    <row r="423" spans="1:10">
      <c r="A423" s="1340">
        <v>2028.06</v>
      </c>
      <c r="B423" s="252" t="e">
        <v>#N/A</v>
      </c>
      <c r="C423" s="3034" t="e">
        <v>#N/A</v>
      </c>
      <c r="D423" s="194" t="e">
        <f t="shared" si="24"/>
        <v>#N/A</v>
      </c>
      <c r="E423" s="2353"/>
      <c r="F423" s="3078"/>
      <c r="G423" s="302"/>
      <c r="H423" s="260" t="e">
        <v>#N/A</v>
      </c>
      <c r="I423" s="3034" t="e">
        <v>#N/A</v>
      </c>
      <c r="J423" s="206" t="e">
        <f t="shared" si="25"/>
        <v>#N/A</v>
      </c>
    </row>
    <row r="424" spans="1:10">
      <c r="A424" s="1340">
        <v>2028.07</v>
      </c>
      <c r="B424" s="252" t="e">
        <v>#N/A</v>
      </c>
      <c r="C424" s="3034" t="e">
        <v>#N/A</v>
      </c>
      <c r="D424" s="194" t="e">
        <f t="shared" si="24"/>
        <v>#N/A</v>
      </c>
      <c r="E424" s="2353"/>
      <c r="F424" s="3078"/>
      <c r="G424" s="302"/>
      <c r="H424" s="260" t="e">
        <v>#N/A</v>
      </c>
      <c r="I424" s="3034" t="e">
        <v>#N/A</v>
      </c>
      <c r="J424" s="206" t="e">
        <f t="shared" si="25"/>
        <v>#N/A</v>
      </c>
    </row>
    <row r="425" spans="1:10">
      <c r="A425" s="1340">
        <v>2028.08</v>
      </c>
      <c r="B425" s="252" t="e">
        <v>#N/A</v>
      </c>
      <c r="C425" s="3034" t="e">
        <v>#N/A</v>
      </c>
      <c r="D425" s="194" t="e">
        <f t="shared" si="24"/>
        <v>#N/A</v>
      </c>
      <c r="E425" s="2353"/>
      <c r="F425" s="3078"/>
      <c r="G425" s="302"/>
      <c r="H425" s="260" t="e">
        <v>#N/A</v>
      </c>
      <c r="I425" s="3034" t="e">
        <v>#N/A</v>
      </c>
      <c r="J425" s="206" t="e">
        <f t="shared" si="25"/>
        <v>#N/A</v>
      </c>
    </row>
    <row r="426" spans="1:10">
      <c r="A426" s="1340">
        <v>2028.09</v>
      </c>
      <c r="B426" s="252" t="e">
        <v>#N/A</v>
      </c>
      <c r="C426" s="3034" t="e">
        <v>#N/A</v>
      </c>
      <c r="D426" s="194" t="e">
        <f t="shared" si="24"/>
        <v>#N/A</v>
      </c>
      <c r="E426" s="2353"/>
      <c r="F426" s="3078"/>
      <c r="G426" s="302"/>
      <c r="H426" s="260" t="e">
        <v>#N/A</v>
      </c>
      <c r="I426" s="3034" t="e">
        <v>#N/A</v>
      </c>
      <c r="J426" s="206" t="e">
        <f t="shared" si="25"/>
        <v>#N/A</v>
      </c>
    </row>
    <row r="427" spans="1:10">
      <c r="A427" s="1340">
        <v>2028.1</v>
      </c>
      <c r="B427" s="252" t="e">
        <v>#N/A</v>
      </c>
      <c r="C427" s="3034" t="e">
        <v>#N/A</v>
      </c>
      <c r="D427" s="194" t="e">
        <f t="shared" si="24"/>
        <v>#N/A</v>
      </c>
      <c r="E427" s="2353"/>
      <c r="F427" s="3078"/>
      <c r="G427" s="302"/>
      <c r="H427" s="260" t="e">
        <v>#N/A</v>
      </c>
      <c r="I427" s="3034" t="e">
        <v>#N/A</v>
      </c>
      <c r="J427" s="206" t="e">
        <f t="shared" si="25"/>
        <v>#N/A</v>
      </c>
    </row>
    <row r="428" spans="1:10">
      <c r="A428" s="1340">
        <v>2028.11</v>
      </c>
      <c r="B428" s="252" t="e">
        <v>#N/A</v>
      </c>
      <c r="C428" s="3034" t="e">
        <v>#N/A</v>
      </c>
      <c r="D428" s="194" t="e">
        <f t="shared" si="24"/>
        <v>#N/A</v>
      </c>
      <c r="E428" s="2353"/>
      <c r="F428" s="3078"/>
      <c r="G428" s="302"/>
      <c r="H428" s="260" t="e">
        <v>#N/A</v>
      </c>
      <c r="I428" s="3034" t="e">
        <v>#N/A</v>
      </c>
      <c r="J428" s="206" t="e">
        <f t="shared" si="25"/>
        <v>#N/A</v>
      </c>
    </row>
    <row r="429" spans="1:10">
      <c r="A429" s="1340">
        <v>2028.12</v>
      </c>
      <c r="B429" s="252" t="e">
        <v>#N/A</v>
      </c>
      <c r="C429" s="3034" t="e">
        <v>#N/A</v>
      </c>
      <c r="D429" s="194" t="e">
        <f t="shared" si="24"/>
        <v>#N/A</v>
      </c>
      <c r="E429" s="2353"/>
      <c r="F429" s="3078"/>
      <c r="G429" s="302"/>
      <c r="H429" s="260" t="e">
        <v>#N/A</v>
      </c>
      <c r="I429" s="3034" t="e">
        <v>#N/A</v>
      </c>
      <c r="J429" s="206" t="e">
        <f t="shared" si="25"/>
        <v>#N/A</v>
      </c>
    </row>
    <row r="430" spans="1:10">
      <c r="A430" s="1340">
        <v>2029.01</v>
      </c>
      <c r="B430" s="252" t="e">
        <v>#N/A</v>
      </c>
      <c r="C430" s="3034" t="e">
        <v>#N/A</v>
      </c>
      <c r="D430" s="194" t="e">
        <f t="shared" si="24"/>
        <v>#N/A</v>
      </c>
      <c r="E430" s="2353"/>
      <c r="F430" s="3078"/>
      <c r="G430" s="302"/>
      <c r="H430" s="260" t="e">
        <v>#N/A</v>
      </c>
      <c r="I430" s="3034" t="e">
        <v>#N/A</v>
      </c>
      <c r="J430" s="206" t="e">
        <f t="shared" si="25"/>
        <v>#N/A</v>
      </c>
    </row>
    <row r="431" spans="1:10">
      <c r="A431" s="1340">
        <v>2029.02</v>
      </c>
      <c r="B431" s="252" t="e">
        <v>#N/A</v>
      </c>
      <c r="C431" s="3034" t="e">
        <v>#N/A</v>
      </c>
      <c r="D431" s="194" t="e">
        <f t="shared" si="24"/>
        <v>#N/A</v>
      </c>
      <c r="E431" s="2353"/>
      <c r="F431" s="3078"/>
      <c r="G431" s="302"/>
      <c r="H431" s="260" t="e">
        <v>#N/A</v>
      </c>
      <c r="I431" s="3034" t="e">
        <v>#N/A</v>
      </c>
      <c r="J431" s="206" t="e">
        <f t="shared" si="25"/>
        <v>#N/A</v>
      </c>
    </row>
    <row r="432" spans="1:10">
      <c r="A432" s="1340">
        <v>2029.03</v>
      </c>
      <c r="B432" s="252" t="e">
        <v>#N/A</v>
      </c>
      <c r="C432" s="3034" t="e">
        <v>#N/A</v>
      </c>
      <c r="D432" s="194" t="e">
        <f t="shared" si="24"/>
        <v>#N/A</v>
      </c>
      <c r="E432" s="2353"/>
      <c r="F432" s="3078"/>
      <c r="G432" s="302"/>
      <c r="H432" s="260" t="e">
        <v>#N/A</v>
      </c>
      <c r="I432" s="3034" t="e">
        <v>#N/A</v>
      </c>
      <c r="J432" s="206" t="e">
        <f t="shared" si="25"/>
        <v>#N/A</v>
      </c>
    </row>
    <row r="433" spans="1:10">
      <c r="A433" s="1340">
        <v>2029.04</v>
      </c>
      <c r="B433" s="252" t="e">
        <v>#N/A</v>
      </c>
      <c r="C433" s="3034" t="e">
        <v>#N/A</v>
      </c>
      <c r="D433" s="194" t="e">
        <f t="shared" si="24"/>
        <v>#N/A</v>
      </c>
      <c r="E433" s="2353"/>
      <c r="F433" s="3078"/>
      <c r="G433" s="302"/>
      <c r="H433" s="260" t="e">
        <v>#N/A</v>
      </c>
      <c r="I433" s="3034" t="e">
        <v>#N/A</v>
      </c>
      <c r="J433" s="206" t="e">
        <f t="shared" si="25"/>
        <v>#N/A</v>
      </c>
    </row>
    <row r="434" spans="1:10">
      <c r="A434" s="1340">
        <v>2029.05</v>
      </c>
      <c r="B434" s="252" t="e">
        <v>#N/A</v>
      </c>
      <c r="C434" s="3034" t="e">
        <v>#N/A</v>
      </c>
      <c r="D434" s="194" t="e">
        <f t="shared" si="24"/>
        <v>#N/A</v>
      </c>
      <c r="E434" s="2353"/>
      <c r="F434" s="3078"/>
      <c r="G434" s="302"/>
      <c r="H434" s="260" t="e">
        <v>#N/A</v>
      </c>
      <c r="I434" s="3034" t="e">
        <v>#N/A</v>
      </c>
      <c r="J434" s="206" t="e">
        <f t="shared" si="25"/>
        <v>#N/A</v>
      </c>
    </row>
    <row r="435" spans="1:10">
      <c r="A435" s="1340">
        <v>2029.06</v>
      </c>
      <c r="B435" s="252" t="e">
        <v>#N/A</v>
      </c>
      <c r="C435" s="3034" t="e">
        <v>#N/A</v>
      </c>
      <c r="D435" s="194" t="e">
        <f t="shared" si="24"/>
        <v>#N/A</v>
      </c>
      <c r="E435" s="2353"/>
      <c r="F435" s="3078"/>
      <c r="G435" s="302"/>
      <c r="H435" s="260" t="e">
        <v>#N/A</v>
      </c>
      <c r="I435" s="3034" t="e">
        <v>#N/A</v>
      </c>
      <c r="J435" s="206" t="e">
        <f t="shared" si="25"/>
        <v>#N/A</v>
      </c>
    </row>
    <row r="436" spans="1:10">
      <c r="A436" s="1340">
        <v>2029.07</v>
      </c>
      <c r="B436" s="252" t="e">
        <v>#N/A</v>
      </c>
      <c r="C436" s="3034" t="e">
        <v>#N/A</v>
      </c>
      <c r="D436" s="194" t="e">
        <f t="shared" si="24"/>
        <v>#N/A</v>
      </c>
      <c r="E436" s="2353"/>
      <c r="F436" s="3078"/>
      <c r="G436" s="302"/>
      <c r="H436" s="260" t="e">
        <v>#N/A</v>
      </c>
      <c r="I436" s="3034" t="e">
        <v>#N/A</v>
      </c>
      <c r="J436" s="206" t="e">
        <f t="shared" si="25"/>
        <v>#N/A</v>
      </c>
    </row>
    <row r="437" spans="1:10">
      <c r="A437" s="1340">
        <v>2029.08</v>
      </c>
      <c r="B437" s="252" t="e">
        <v>#N/A</v>
      </c>
      <c r="C437" s="3034" t="e">
        <v>#N/A</v>
      </c>
      <c r="D437" s="194" t="e">
        <f t="shared" si="24"/>
        <v>#N/A</v>
      </c>
      <c r="E437" s="2353"/>
      <c r="F437" s="3078"/>
      <c r="G437" s="302"/>
      <c r="H437" s="260" t="e">
        <v>#N/A</v>
      </c>
      <c r="I437" s="3034" t="e">
        <v>#N/A</v>
      </c>
      <c r="J437" s="206" t="e">
        <f t="shared" si="25"/>
        <v>#N/A</v>
      </c>
    </row>
    <row r="438" spans="1:10">
      <c r="A438" s="1340">
        <v>2029.09</v>
      </c>
      <c r="B438" s="252" t="e">
        <v>#N/A</v>
      </c>
      <c r="C438" s="3034" t="e">
        <v>#N/A</v>
      </c>
      <c r="D438" s="194" t="e">
        <f t="shared" si="24"/>
        <v>#N/A</v>
      </c>
      <c r="E438" s="2353"/>
      <c r="F438" s="3078"/>
      <c r="G438" s="302"/>
      <c r="H438" s="260" t="e">
        <v>#N/A</v>
      </c>
      <c r="I438" s="3034" t="e">
        <v>#N/A</v>
      </c>
      <c r="J438" s="206" t="e">
        <f t="shared" si="25"/>
        <v>#N/A</v>
      </c>
    </row>
    <row r="439" spans="1:10">
      <c r="A439" s="1340">
        <v>2029.1</v>
      </c>
      <c r="B439" s="252" t="e">
        <v>#N/A</v>
      </c>
      <c r="C439" s="3034" t="e">
        <v>#N/A</v>
      </c>
      <c r="D439" s="194" t="e">
        <f t="shared" si="24"/>
        <v>#N/A</v>
      </c>
      <c r="E439" s="2353"/>
      <c r="F439" s="3078"/>
      <c r="G439" s="302"/>
      <c r="H439" s="260" t="e">
        <v>#N/A</v>
      </c>
      <c r="I439" s="3034" t="e">
        <v>#N/A</v>
      </c>
      <c r="J439" s="206" t="e">
        <f t="shared" si="25"/>
        <v>#N/A</v>
      </c>
    </row>
    <row r="440" spans="1:10">
      <c r="A440" s="1340">
        <v>2029.11</v>
      </c>
      <c r="B440" s="252" t="e">
        <v>#N/A</v>
      </c>
      <c r="C440" s="3034" t="e">
        <v>#N/A</v>
      </c>
      <c r="D440" s="194" t="e">
        <f t="shared" si="24"/>
        <v>#N/A</v>
      </c>
      <c r="E440" s="2353"/>
      <c r="F440" s="3078"/>
      <c r="G440" s="302"/>
      <c r="H440" s="260" t="e">
        <v>#N/A</v>
      </c>
      <c r="I440" s="3034" t="e">
        <v>#N/A</v>
      </c>
      <c r="J440" s="206" t="e">
        <f t="shared" si="25"/>
        <v>#N/A</v>
      </c>
    </row>
    <row r="441" spans="1:10">
      <c r="A441" s="1340">
        <v>2029.12</v>
      </c>
      <c r="B441" s="252" t="e">
        <v>#N/A</v>
      </c>
      <c r="C441" s="3034" t="e">
        <v>#N/A</v>
      </c>
      <c r="D441" s="194" t="e">
        <f t="shared" si="24"/>
        <v>#N/A</v>
      </c>
      <c r="E441" s="2353"/>
      <c r="F441" s="3078"/>
      <c r="G441" s="302"/>
      <c r="H441" s="260" t="e">
        <v>#N/A</v>
      </c>
      <c r="I441" s="3034" t="e">
        <v>#N/A</v>
      </c>
      <c r="J441" s="206" t="e">
        <f t="shared" si="25"/>
        <v>#N/A</v>
      </c>
    </row>
    <row r="442" spans="1:10">
      <c r="A442" s="1340">
        <v>2030.01</v>
      </c>
      <c r="B442" s="252" t="e">
        <v>#N/A</v>
      </c>
      <c r="C442" s="3034" t="e">
        <v>#N/A</v>
      </c>
      <c r="D442" s="194" t="e">
        <f t="shared" si="24"/>
        <v>#N/A</v>
      </c>
      <c r="E442" s="2353"/>
      <c r="F442" s="3078"/>
      <c r="G442" s="302"/>
      <c r="H442" s="260" t="e">
        <v>#N/A</v>
      </c>
      <c r="I442" s="3034" t="e">
        <v>#N/A</v>
      </c>
      <c r="J442" s="206" t="e">
        <f t="shared" si="25"/>
        <v>#N/A</v>
      </c>
    </row>
    <row r="443" spans="1:10">
      <c r="A443" s="1340">
        <v>2030.02</v>
      </c>
      <c r="B443" s="252" t="e">
        <v>#N/A</v>
      </c>
      <c r="C443" s="3034" t="e">
        <v>#N/A</v>
      </c>
      <c r="D443" s="194" t="e">
        <f t="shared" si="24"/>
        <v>#N/A</v>
      </c>
      <c r="E443" s="2353"/>
      <c r="F443" s="3078"/>
      <c r="G443" s="302"/>
      <c r="H443" s="260" t="e">
        <v>#N/A</v>
      </c>
      <c r="I443" s="3034" t="e">
        <v>#N/A</v>
      </c>
      <c r="J443" s="206" t="e">
        <f t="shared" si="25"/>
        <v>#N/A</v>
      </c>
    </row>
    <row r="444" spans="1:10">
      <c r="A444" s="1340">
        <v>2030.03</v>
      </c>
      <c r="B444" s="252" t="e">
        <v>#N/A</v>
      </c>
      <c r="C444" s="3034" t="e">
        <v>#N/A</v>
      </c>
      <c r="D444" s="194" t="e">
        <f t="shared" si="24"/>
        <v>#N/A</v>
      </c>
      <c r="E444" s="2353"/>
      <c r="F444" s="3078"/>
      <c r="G444" s="302"/>
      <c r="H444" s="260" t="e">
        <v>#N/A</v>
      </c>
      <c r="I444" s="3034" t="e">
        <v>#N/A</v>
      </c>
      <c r="J444" s="206" t="e">
        <f t="shared" si="25"/>
        <v>#N/A</v>
      </c>
    </row>
    <row r="445" spans="1:10">
      <c r="A445" s="1340">
        <v>2030.04</v>
      </c>
      <c r="B445" s="252" t="e">
        <v>#N/A</v>
      </c>
      <c r="C445" s="3034" t="e">
        <v>#N/A</v>
      </c>
      <c r="D445" s="194" t="e">
        <f t="shared" si="24"/>
        <v>#N/A</v>
      </c>
      <c r="E445" s="2353"/>
      <c r="F445" s="3078"/>
      <c r="G445" s="302"/>
      <c r="H445" s="260" t="e">
        <v>#N/A</v>
      </c>
      <c r="I445" s="3034" t="e">
        <v>#N/A</v>
      </c>
      <c r="J445" s="206" t="e">
        <f t="shared" si="25"/>
        <v>#N/A</v>
      </c>
    </row>
    <row r="446" spans="1:10">
      <c r="A446" s="1340">
        <v>2030.05</v>
      </c>
      <c r="B446" s="252" t="e">
        <v>#N/A</v>
      </c>
      <c r="C446" s="3034" t="e">
        <v>#N/A</v>
      </c>
      <c r="D446" s="194" t="e">
        <f t="shared" si="24"/>
        <v>#N/A</v>
      </c>
      <c r="E446" s="2353"/>
      <c r="F446" s="3078"/>
      <c r="G446" s="302"/>
      <c r="H446" s="260" t="e">
        <v>#N/A</v>
      </c>
      <c r="I446" s="3034" t="e">
        <v>#N/A</v>
      </c>
      <c r="J446" s="206" t="e">
        <f t="shared" si="25"/>
        <v>#N/A</v>
      </c>
    </row>
    <row r="447" spans="1:10">
      <c r="A447" s="1340">
        <v>2030.06</v>
      </c>
      <c r="B447" s="252" t="e">
        <v>#N/A</v>
      </c>
      <c r="C447" s="3034" t="e">
        <v>#N/A</v>
      </c>
      <c r="D447" s="194" t="e">
        <f t="shared" si="24"/>
        <v>#N/A</v>
      </c>
      <c r="E447" s="2353"/>
      <c r="F447" s="3078"/>
      <c r="G447" s="302"/>
      <c r="H447" s="260" t="e">
        <v>#N/A</v>
      </c>
      <c r="I447" s="3034" t="e">
        <v>#N/A</v>
      </c>
      <c r="J447" s="206" t="e">
        <f t="shared" si="25"/>
        <v>#N/A</v>
      </c>
    </row>
    <row r="448" spans="1:10">
      <c r="A448" s="1340">
        <v>2030.07</v>
      </c>
      <c r="B448" s="252" t="e">
        <v>#N/A</v>
      </c>
      <c r="C448" s="3034" t="e">
        <v>#N/A</v>
      </c>
      <c r="D448" s="194" t="e">
        <f t="shared" si="24"/>
        <v>#N/A</v>
      </c>
      <c r="E448" s="2353"/>
      <c r="F448" s="3078"/>
      <c r="G448" s="302"/>
      <c r="H448" s="260" t="e">
        <v>#N/A</v>
      </c>
      <c r="I448" s="3034" t="e">
        <v>#N/A</v>
      </c>
      <c r="J448" s="206" t="e">
        <f t="shared" si="25"/>
        <v>#N/A</v>
      </c>
    </row>
    <row r="449" spans="1:10">
      <c r="A449" s="1340">
        <v>2030.08</v>
      </c>
      <c r="B449" s="252" t="e">
        <v>#N/A</v>
      </c>
      <c r="C449" s="3034" t="e">
        <v>#N/A</v>
      </c>
      <c r="D449" s="194" t="e">
        <f t="shared" si="24"/>
        <v>#N/A</v>
      </c>
      <c r="E449" s="2353"/>
      <c r="F449" s="3078"/>
      <c r="G449" s="302"/>
      <c r="H449" s="260" t="e">
        <v>#N/A</v>
      </c>
      <c r="I449" s="3034" t="e">
        <v>#N/A</v>
      </c>
      <c r="J449" s="206" t="e">
        <f t="shared" si="25"/>
        <v>#N/A</v>
      </c>
    </row>
    <row r="450" spans="1:10">
      <c r="A450" s="1340">
        <v>2030.09</v>
      </c>
      <c r="B450" s="252" t="e">
        <v>#N/A</v>
      </c>
      <c r="C450" s="3034" t="e">
        <v>#N/A</v>
      </c>
      <c r="D450" s="194" t="e">
        <f t="shared" si="24"/>
        <v>#N/A</v>
      </c>
      <c r="E450" s="2353"/>
      <c r="F450" s="3078"/>
      <c r="G450" s="302"/>
      <c r="H450" s="260" t="e">
        <v>#N/A</v>
      </c>
      <c r="I450" s="3034" t="e">
        <v>#N/A</v>
      </c>
      <c r="J450" s="206" t="e">
        <f t="shared" si="25"/>
        <v>#N/A</v>
      </c>
    </row>
    <row r="451" spans="1:10">
      <c r="A451" s="1340">
        <v>2030.1</v>
      </c>
      <c r="B451" s="252" t="e">
        <v>#N/A</v>
      </c>
      <c r="C451" s="3034" t="e">
        <v>#N/A</v>
      </c>
      <c r="D451" s="194" t="e">
        <f t="shared" si="24"/>
        <v>#N/A</v>
      </c>
      <c r="E451" s="2353"/>
      <c r="F451" s="3078"/>
      <c r="G451" s="302"/>
      <c r="H451" s="260" t="e">
        <v>#N/A</v>
      </c>
      <c r="I451" s="3034" t="e">
        <v>#N/A</v>
      </c>
      <c r="J451" s="206" t="e">
        <f t="shared" si="25"/>
        <v>#N/A</v>
      </c>
    </row>
    <row r="452" spans="1:10">
      <c r="A452" s="1340">
        <v>2030.11</v>
      </c>
      <c r="B452" s="252" t="e">
        <v>#N/A</v>
      </c>
      <c r="C452" s="3034" t="e">
        <v>#N/A</v>
      </c>
      <c r="D452" s="194" t="e">
        <f t="shared" si="24"/>
        <v>#N/A</v>
      </c>
      <c r="E452" s="2353"/>
      <c r="F452" s="3078"/>
      <c r="G452" s="302"/>
      <c r="H452" s="260" t="e">
        <v>#N/A</v>
      </c>
      <c r="I452" s="3034" t="e">
        <v>#N/A</v>
      </c>
      <c r="J452" s="206" t="e">
        <f t="shared" si="25"/>
        <v>#N/A</v>
      </c>
    </row>
    <row r="453" spans="1:10">
      <c r="A453" s="1340">
        <v>2030.12</v>
      </c>
      <c r="B453" s="252" t="e">
        <v>#N/A</v>
      </c>
      <c r="C453" s="3034" t="e">
        <v>#N/A</v>
      </c>
      <c r="D453" s="194" t="e">
        <f t="shared" si="24"/>
        <v>#N/A</v>
      </c>
      <c r="E453" s="2353"/>
      <c r="F453" s="3078"/>
      <c r="G453" s="302"/>
      <c r="H453" s="260" t="e">
        <v>#N/A</v>
      </c>
      <c r="I453" s="3034" t="e">
        <v>#N/A</v>
      </c>
      <c r="J453" s="206" t="e">
        <f t="shared" si="25"/>
        <v>#N/A</v>
      </c>
    </row>
  </sheetData>
  <phoneticPr fontId="62" type="noConversion"/>
  <hyperlinks>
    <hyperlink ref="A5" location="INDICE!A13" display="VOLVER AL INDICE" xr:uid="{00000000-0004-0000-3D00-000000000000}"/>
  </hyperlinks>
  <pageMargins left="0.75" right="0.75" top="1" bottom="1" header="0" footer="0"/>
  <pageSetup paperSize="9" orientation="portrait" horizontalDpi="300" verticalDpi="300"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54"/>
  <dimension ref="A1:U453"/>
  <sheetViews>
    <sheetView zoomScale="130" zoomScaleNormal="130" workbookViewId="0">
      <pane xSplit="1" ySplit="9" topLeftCell="B380" activePane="bottomRight" state="frozen"/>
      <selection pane="topRight" activeCell="A5" sqref="A5"/>
      <selection pane="bottomLeft" activeCell="A5" sqref="A5"/>
      <selection pane="bottomRight" activeCell="A5" sqref="A5"/>
    </sheetView>
  </sheetViews>
  <sheetFormatPr baseColWidth="10" defaultColWidth="12.5703125" defaultRowHeight="12.75"/>
  <cols>
    <col min="1" max="1" width="11" style="103" customWidth="1"/>
    <col min="2" max="3" width="16.7109375" style="1659" customWidth="1"/>
    <col min="4" max="4" width="16.7109375" style="1660" customWidth="1"/>
    <col min="5" max="6" width="16.7109375" style="1659" customWidth="1"/>
    <col min="7" max="7" width="16.7109375" style="1660" customWidth="1"/>
    <col min="8" max="17" width="15.5703125" style="201" customWidth="1"/>
    <col min="18" max="20" width="18.7109375" style="103" customWidth="1"/>
    <col min="21" max="16384" width="12.5703125" style="21"/>
  </cols>
  <sheetData>
    <row r="1" spans="1:21" s="19" customFormat="1" ht="3.75" customHeight="1">
      <c r="A1" s="34"/>
      <c r="B1" s="2995"/>
      <c r="C1" s="2996"/>
      <c r="D1" s="3272"/>
      <c r="E1" s="2996"/>
      <c r="F1" s="2996"/>
      <c r="G1" s="2997"/>
      <c r="H1" s="1214"/>
      <c r="I1" s="82"/>
      <c r="J1" s="82"/>
      <c r="K1" s="82"/>
      <c r="L1" s="82"/>
      <c r="M1" s="82"/>
      <c r="N1" s="82"/>
      <c r="O1" s="82"/>
      <c r="P1" s="82"/>
      <c r="Q1" s="83"/>
      <c r="R1" s="2187"/>
      <c r="S1" s="2187"/>
      <c r="T1" s="2188"/>
      <c r="U1" s="2189"/>
    </row>
    <row r="2" spans="1:21" s="19" customFormat="1" ht="22.5">
      <c r="A2" s="59" t="s">
        <v>105</v>
      </c>
      <c r="B2" s="1675" t="s">
        <v>1643</v>
      </c>
      <c r="C2" s="1676"/>
      <c r="D2" s="1709"/>
      <c r="E2" s="1676" t="s">
        <v>1644</v>
      </c>
      <c r="F2" s="1676"/>
      <c r="G2" s="382"/>
      <c r="H2" s="2379" t="s">
        <v>1645</v>
      </c>
      <c r="I2" s="382"/>
      <c r="J2" s="382"/>
      <c r="K2" s="382"/>
      <c r="L2" s="382"/>
      <c r="M2" s="382"/>
      <c r="N2" s="382"/>
      <c r="O2" s="382"/>
      <c r="P2" s="382"/>
      <c r="Q2" s="378"/>
      <c r="R2" s="3273" t="s">
        <v>1646</v>
      </c>
      <c r="S2" s="3273"/>
      <c r="T2" s="3274"/>
      <c r="U2" s="2189"/>
    </row>
    <row r="3" spans="1:21" s="19" customFormat="1" ht="22.5">
      <c r="A3" s="59" t="s">
        <v>109</v>
      </c>
      <c r="B3" s="1677" t="s">
        <v>1647</v>
      </c>
      <c r="C3" s="1678"/>
      <c r="D3" s="1679"/>
      <c r="E3" s="1706" t="s">
        <v>1647</v>
      </c>
      <c r="F3" s="1678"/>
      <c r="G3" s="1679"/>
      <c r="H3" s="1706" t="s">
        <v>1647</v>
      </c>
      <c r="I3" s="1538"/>
      <c r="J3" s="1538"/>
      <c r="K3" s="1538"/>
      <c r="L3" s="1538"/>
      <c r="M3" s="1538"/>
      <c r="N3" s="1538"/>
      <c r="O3" s="1538"/>
      <c r="P3" s="1538"/>
      <c r="Q3" s="1541"/>
      <c r="R3" s="224" t="s">
        <v>1648</v>
      </c>
      <c r="S3" s="2355"/>
      <c r="T3" s="2356"/>
      <c r="U3" s="2189"/>
    </row>
    <row r="4" spans="1:21" s="19" customFormat="1" ht="3.75" hidden="1" customHeight="1">
      <c r="A4" s="104"/>
      <c r="B4" s="1231"/>
      <c r="C4" s="1223"/>
      <c r="D4" s="1710"/>
      <c r="E4" s="1716"/>
      <c r="F4" s="1223"/>
      <c r="G4" s="1218"/>
      <c r="H4" s="2493"/>
      <c r="I4" s="1680"/>
      <c r="J4" s="1680"/>
      <c r="K4" s="1680"/>
      <c r="L4" s="1680"/>
      <c r="M4" s="1680"/>
      <c r="N4" s="1681"/>
      <c r="O4" s="1680"/>
      <c r="P4" s="1680"/>
      <c r="Q4" s="1682"/>
      <c r="R4" s="132"/>
      <c r="S4" s="132"/>
      <c r="T4" s="108"/>
      <c r="U4" s="2189"/>
    </row>
    <row r="5" spans="1:21" s="19" customFormat="1" ht="45">
      <c r="A5" s="2390" t="s">
        <v>137</v>
      </c>
      <c r="B5" s="1688" t="s">
        <v>1649</v>
      </c>
      <c r="C5" s="1683" t="s">
        <v>1650</v>
      </c>
      <c r="D5" s="1711" t="s">
        <v>1651</v>
      </c>
      <c r="E5" s="1717" t="s">
        <v>1649</v>
      </c>
      <c r="F5" s="1683" t="s">
        <v>1650</v>
      </c>
      <c r="G5" s="1684" t="s">
        <v>1651</v>
      </c>
      <c r="H5" s="1547" t="s">
        <v>1652</v>
      </c>
      <c r="I5" s="1548" t="s">
        <v>1653</v>
      </c>
      <c r="J5" s="1548" t="s">
        <v>1654</v>
      </c>
      <c r="K5" s="1548" t="s">
        <v>1655</v>
      </c>
      <c r="L5" s="1548" t="s">
        <v>1656</v>
      </c>
      <c r="M5" s="1175" t="s">
        <v>1657</v>
      </c>
      <c r="N5" s="1685" t="s">
        <v>1658</v>
      </c>
      <c r="O5" s="1548" t="s">
        <v>1659</v>
      </c>
      <c r="P5" s="1686" t="s">
        <v>1660</v>
      </c>
      <c r="Q5" s="1549" t="s">
        <v>1661</v>
      </c>
      <c r="R5" s="285" t="s">
        <v>764</v>
      </c>
      <c r="S5" s="2193" t="s">
        <v>1662</v>
      </c>
      <c r="T5" s="2357" t="s">
        <v>1663</v>
      </c>
      <c r="U5" s="2189"/>
    </row>
    <row r="6" spans="1:21" s="19" customFormat="1" ht="3.75" hidden="1" customHeight="1">
      <c r="A6" s="104"/>
      <c r="B6" s="1226"/>
      <c r="C6" s="1224"/>
      <c r="D6" s="1712"/>
      <c r="E6" s="1224"/>
      <c r="F6" s="1224"/>
      <c r="G6" s="168"/>
      <c r="H6" s="2381"/>
      <c r="I6" s="70"/>
      <c r="J6" s="358"/>
      <c r="K6" s="358"/>
      <c r="L6" s="358"/>
      <c r="M6" s="1687"/>
      <c r="N6" s="358"/>
      <c r="O6" s="70"/>
      <c r="P6" s="358"/>
      <c r="Q6" s="360"/>
      <c r="R6" s="132"/>
      <c r="S6" s="132"/>
      <c r="T6" s="108"/>
      <c r="U6" s="2189"/>
    </row>
    <row r="7" spans="1:21" s="19" customFormat="1" ht="22.5">
      <c r="A7" s="2373" t="s">
        <v>123</v>
      </c>
      <c r="B7" s="1688" t="s">
        <v>1664</v>
      </c>
      <c r="C7" s="1689" t="s">
        <v>1664</v>
      </c>
      <c r="D7" s="1713" t="s">
        <v>1664</v>
      </c>
      <c r="E7" s="1717" t="s">
        <v>1664</v>
      </c>
      <c r="F7" s="1689" t="s">
        <v>1664</v>
      </c>
      <c r="G7" s="1690" t="s">
        <v>1664</v>
      </c>
      <c r="H7" s="2494" t="s">
        <v>1664</v>
      </c>
      <c r="I7" s="1689" t="s">
        <v>1664</v>
      </c>
      <c r="J7" s="1689" t="s">
        <v>1664</v>
      </c>
      <c r="K7" s="1689" t="s">
        <v>1664</v>
      </c>
      <c r="L7" s="1689" t="s">
        <v>1664</v>
      </c>
      <c r="M7" s="1689" t="s">
        <v>1664</v>
      </c>
      <c r="N7" s="1689" t="s">
        <v>1664</v>
      </c>
      <c r="O7" s="1689" t="s">
        <v>1664</v>
      </c>
      <c r="P7" s="1689" t="s">
        <v>1664</v>
      </c>
      <c r="Q7" s="1210" t="s">
        <v>1664</v>
      </c>
      <c r="R7" s="2193" t="s">
        <v>1665</v>
      </c>
      <c r="S7" s="2193" t="s">
        <v>1665</v>
      </c>
      <c r="T7" s="2357" t="s">
        <v>1665</v>
      </c>
      <c r="U7" s="2189"/>
    </row>
    <row r="8" spans="1:21" s="19" customFormat="1" ht="14.25" customHeight="1" thickBot="1">
      <c r="A8" s="105" t="s">
        <v>141</v>
      </c>
      <c r="B8" s="1722" t="s">
        <v>1666</v>
      </c>
      <c r="C8" s="1723" t="s">
        <v>1667</v>
      </c>
      <c r="D8" s="1724" t="s">
        <v>1668</v>
      </c>
      <c r="E8" s="1729" t="s">
        <v>1669</v>
      </c>
      <c r="F8" s="1723" t="s">
        <v>1670</v>
      </c>
      <c r="G8" s="1724" t="s">
        <v>1671</v>
      </c>
      <c r="H8" s="1729" t="s">
        <v>1672</v>
      </c>
      <c r="I8" s="1723" t="s">
        <v>1673</v>
      </c>
      <c r="J8" s="1723" t="s">
        <v>1674</v>
      </c>
      <c r="K8" s="1723" t="s">
        <v>1675</v>
      </c>
      <c r="L8" s="1723" t="s">
        <v>1676</v>
      </c>
      <c r="M8" s="1723" t="s">
        <v>1677</v>
      </c>
      <c r="N8" s="1723" t="s">
        <v>1678</v>
      </c>
      <c r="O8" s="1723" t="s">
        <v>1679</v>
      </c>
      <c r="P8" s="1723" t="s">
        <v>1680</v>
      </c>
      <c r="Q8" s="1725" t="s">
        <v>1681</v>
      </c>
      <c r="R8" s="1726" t="s">
        <v>1682</v>
      </c>
      <c r="S8" s="1727" t="s">
        <v>1683</v>
      </c>
      <c r="T8" s="1728" t="s">
        <v>1684</v>
      </c>
      <c r="U8" s="2189"/>
    </row>
    <row r="9" spans="1:21" s="20" customFormat="1" ht="3.75" hidden="1" customHeight="1" thickBot="1">
      <c r="A9" s="72"/>
      <c r="B9" s="2718"/>
      <c r="C9" s="1691"/>
      <c r="D9" s="1714"/>
      <c r="E9" s="1718"/>
      <c r="F9" s="1691"/>
      <c r="G9" s="1692"/>
      <c r="H9" s="1693"/>
      <c r="I9" s="1694"/>
      <c r="J9" s="1694"/>
      <c r="K9" s="1694"/>
      <c r="L9" s="1694"/>
      <c r="M9" s="1695"/>
      <c r="N9" s="1696"/>
      <c r="O9" s="1694"/>
      <c r="P9" s="1694"/>
      <c r="Q9" s="1697"/>
      <c r="R9" s="1569"/>
      <c r="S9" s="2358"/>
      <c r="T9" s="2200"/>
      <c r="U9" s="2201"/>
    </row>
    <row r="10" spans="1:21" s="20" customFormat="1">
      <c r="A10" s="2320">
        <v>1994.01</v>
      </c>
      <c r="B10" s="1227"/>
      <c r="C10" s="2719"/>
      <c r="D10" s="2720"/>
      <c r="E10" s="1719"/>
      <c r="F10" s="2719"/>
      <c r="G10" s="2721"/>
      <c r="H10" s="2722"/>
      <c r="I10" s="2723"/>
      <c r="J10" s="2723"/>
      <c r="K10" s="2723"/>
      <c r="L10" s="2723"/>
      <c r="M10" s="2723"/>
      <c r="N10" s="2724"/>
      <c r="O10" s="2723"/>
      <c r="P10" s="2723"/>
      <c r="Q10" s="2725"/>
      <c r="R10" s="2360"/>
      <c r="S10" s="2726"/>
      <c r="T10" s="2362"/>
      <c r="U10" s="2201"/>
    </row>
    <row r="11" spans="1:21" s="20" customFormat="1">
      <c r="A11" s="2202">
        <v>1994.02</v>
      </c>
      <c r="B11" s="1228"/>
      <c r="C11" s="3002"/>
      <c r="D11" s="2359"/>
      <c r="E11" s="1720"/>
      <c r="F11" s="3002"/>
      <c r="G11" s="1809"/>
      <c r="H11" s="1705"/>
      <c r="I11" s="3002"/>
      <c r="J11" s="3002"/>
      <c r="K11" s="3002"/>
      <c r="L11" s="3002"/>
      <c r="M11" s="3002"/>
      <c r="N11" s="3002"/>
      <c r="O11" s="3002"/>
      <c r="P11" s="3002"/>
      <c r="Q11" s="3275"/>
      <c r="R11" s="2363"/>
      <c r="S11" s="2361"/>
      <c r="T11" s="2364"/>
      <c r="U11" s="2201"/>
    </row>
    <row r="12" spans="1:21" s="20" customFormat="1">
      <c r="A12" s="2202">
        <v>1994.03</v>
      </c>
      <c r="B12" s="1228"/>
      <c r="C12" s="3002"/>
      <c r="D12" s="2359"/>
      <c r="E12" s="1720"/>
      <c r="F12" s="3002"/>
      <c r="G12" s="1809"/>
      <c r="H12" s="1705"/>
      <c r="I12" s="3002"/>
      <c r="J12" s="3002"/>
      <c r="K12" s="3002"/>
      <c r="L12" s="3002"/>
      <c r="M12" s="3002"/>
      <c r="N12" s="3002"/>
      <c r="O12" s="3002"/>
      <c r="P12" s="3002"/>
      <c r="Q12" s="3275"/>
      <c r="R12" s="2363"/>
      <c r="S12" s="2361"/>
      <c r="T12" s="2364"/>
      <c r="U12" s="2201"/>
    </row>
    <row r="13" spans="1:21" s="20" customFormat="1">
      <c r="A13" s="2202">
        <v>1994.04</v>
      </c>
      <c r="B13" s="1228"/>
      <c r="C13" s="3002"/>
      <c r="D13" s="2359"/>
      <c r="E13" s="1720"/>
      <c r="F13" s="3002"/>
      <c r="G13" s="1809"/>
      <c r="H13" s="1705"/>
      <c r="I13" s="3002"/>
      <c r="J13" s="3002"/>
      <c r="K13" s="3002"/>
      <c r="L13" s="3002"/>
      <c r="M13" s="3002"/>
      <c r="N13" s="3002"/>
      <c r="O13" s="3002"/>
      <c r="P13" s="3002"/>
      <c r="Q13" s="3275"/>
      <c r="R13" s="2363"/>
      <c r="S13" s="2361"/>
      <c r="T13" s="2364"/>
      <c r="U13" s="2201"/>
    </row>
    <row r="14" spans="1:21" s="20" customFormat="1">
      <c r="A14" s="2202">
        <v>1994.05</v>
      </c>
      <c r="B14" s="1228"/>
      <c r="C14" s="3002"/>
      <c r="D14" s="2359"/>
      <c r="E14" s="1720"/>
      <c r="F14" s="3002"/>
      <c r="G14" s="1809"/>
      <c r="H14" s="1705"/>
      <c r="I14" s="3002"/>
      <c r="J14" s="3002"/>
      <c r="K14" s="3002"/>
      <c r="L14" s="3002"/>
      <c r="M14" s="3002"/>
      <c r="N14" s="3002"/>
      <c r="O14" s="3002"/>
      <c r="P14" s="3002"/>
      <c r="Q14" s="3275"/>
      <c r="R14" s="2363"/>
      <c r="S14" s="2361"/>
      <c r="T14" s="2364"/>
      <c r="U14" s="2201"/>
    </row>
    <row r="15" spans="1:21" s="20" customFormat="1">
      <c r="A15" s="2202">
        <v>1994.06</v>
      </c>
      <c r="B15" s="1228"/>
      <c r="C15" s="3002"/>
      <c r="D15" s="2359"/>
      <c r="E15" s="1720"/>
      <c r="F15" s="3002"/>
      <c r="G15" s="1809"/>
      <c r="H15" s="1705"/>
      <c r="I15" s="3002"/>
      <c r="J15" s="3002"/>
      <c r="K15" s="3002"/>
      <c r="L15" s="3002"/>
      <c r="M15" s="3002"/>
      <c r="N15" s="3002"/>
      <c r="O15" s="3002"/>
      <c r="P15" s="3002"/>
      <c r="Q15" s="3275"/>
      <c r="R15" s="2363"/>
      <c r="S15" s="2361"/>
      <c r="T15" s="2364"/>
      <c r="U15" s="2201"/>
    </row>
    <row r="16" spans="1:21" s="20" customFormat="1">
      <c r="A16" s="2202">
        <v>1994.07</v>
      </c>
      <c r="B16" s="1228"/>
      <c r="C16" s="3002"/>
      <c r="D16" s="2359"/>
      <c r="E16" s="1720"/>
      <c r="F16" s="3002"/>
      <c r="G16" s="1809"/>
      <c r="H16" s="1705"/>
      <c r="I16" s="3002"/>
      <c r="J16" s="3002"/>
      <c r="K16" s="3002"/>
      <c r="L16" s="3002"/>
      <c r="M16" s="3002"/>
      <c r="N16" s="3002"/>
      <c r="O16" s="3002"/>
      <c r="P16" s="3002"/>
      <c r="Q16" s="3275"/>
      <c r="R16" s="2363"/>
      <c r="S16" s="2361"/>
      <c r="T16" s="2364"/>
      <c r="U16" s="2201"/>
    </row>
    <row r="17" spans="1:21" s="20" customFormat="1">
      <c r="A17" s="2202">
        <v>1994.08</v>
      </c>
      <c r="B17" s="1228"/>
      <c r="C17" s="3002"/>
      <c r="D17" s="2359"/>
      <c r="E17" s="1720"/>
      <c r="F17" s="3002"/>
      <c r="G17" s="1809"/>
      <c r="H17" s="1705"/>
      <c r="I17" s="3002"/>
      <c r="J17" s="3002"/>
      <c r="K17" s="3002"/>
      <c r="L17" s="3002"/>
      <c r="M17" s="3002"/>
      <c r="N17" s="3002"/>
      <c r="O17" s="3002"/>
      <c r="P17" s="3002"/>
      <c r="Q17" s="3275"/>
      <c r="R17" s="2363"/>
      <c r="S17" s="2361"/>
      <c r="T17" s="2364"/>
      <c r="U17" s="2201"/>
    </row>
    <row r="18" spans="1:21" s="20" customFormat="1">
      <c r="A18" s="2202">
        <v>1994.09</v>
      </c>
      <c r="B18" s="1228"/>
      <c r="C18" s="3002"/>
      <c r="D18" s="2359"/>
      <c r="E18" s="1720"/>
      <c r="F18" s="3002"/>
      <c r="G18" s="1809"/>
      <c r="H18" s="1705"/>
      <c r="I18" s="3002"/>
      <c r="J18" s="3002"/>
      <c r="K18" s="3002"/>
      <c r="L18" s="3002"/>
      <c r="M18" s="3002"/>
      <c r="N18" s="3002"/>
      <c r="O18" s="3002"/>
      <c r="P18" s="3002"/>
      <c r="Q18" s="3275"/>
      <c r="R18" s="2363"/>
      <c r="S18" s="2361"/>
      <c r="T18" s="2364"/>
      <c r="U18" s="2201"/>
    </row>
    <row r="19" spans="1:21" s="20" customFormat="1">
      <c r="A19" s="2202">
        <v>1994.1</v>
      </c>
      <c r="B19" s="1228"/>
      <c r="C19" s="3002"/>
      <c r="D19" s="2359"/>
      <c r="E19" s="1720"/>
      <c r="F19" s="3002"/>
      <c r="G19" s="1809"/>
      <c r="H19" s="1705"/>
      <c r="I19" s="3002"/>
      <c r="J19" s="3002"/>
      <c r="K19" s="3002"/>
      <c r="L19" s="3002"/>
      <c r="M19" s="3002"/>
      <c r="N19" s="3002"/>
      <c r="O19" s="3002"/>
      <c r="P19" s="3002"/>
      <c r="Q19" s="3275"/>
      <c r="R19" s="2363"/>
      <c r="S19" s="2361"/>
      <c r="T19" s="2364"/>
      <c r="U19" s="2201"/>
    </row>
    <row r="20" spans="1:21" s="20" customFormat="1">
      <c r="A20" s="2202">
        <v>1994.11</v>
      </c>
      <c r="B20" s="1228"/>
      <c r="C20" s="3002"/>
      <c r="D20" s="2359"/>
      <c r="E20" s="1720"/>
      <c r="F20" s="3002"/>
      <c r="G20" s="1809"/>
      <c r="H20" s="1705"/>
      <c r="I20" s="3002"/>
      <c r="J20" s="3002"/>
      <c r="K20" s="3002"/>
      <c r="L20" s="3002"/>
      <c r="M20" s="3002"/>
      <c r="N20" s="3002"/>
      <c r="O20" s="3002"/>
      <c r="P20" s="3002"/>
      <c r="Q20" s="3275"/>
      <c r="R20" s="2363"/>
      <c r="S20" s="2361"/>
      <c r="T20" s="2364"/>
      <c r="U20" s="2201"/>
    </row>
    <row r="21" spans="1:21" s="20" customFormat="1">
      <c r="A21" s="2202">
        <v>1994.12</v>
      </c>
      <c r="B21" s="1228"/>
      <c r="C21" s="3002"/>
      <c r="D21" s="2359"/>
      <c r="E21" s="1720"/>
      <c r="F21" s="3002"/>
      <c r="G21" s="1809"/>
      <c r="H21" s="1705"/>
      <c r="I21" s="3002"/>
      <c r="J21" s="3002"/>
      <c r="K21" s="3002"/>
      <c r="L21" s="3002"/>
      <c r="M21" s="3002"/>
      <c r="N21" s="3002"/>
      <c r="O21" s="3002"/>
      <c r="P21" s="3002"/>
      <c r="Q21" s="3275"/>
      <c r="R21" s="2363"/>
      <c r="S21" s="2361"/>
      <c r="T21" s="2364"/>
      <c r="U21" s="2201"/>
    </row>
    <row r="22" spans="1:21" s="20" customFormat="1">
      <c r="A22" s="2202">
        <v>1995.01</v>
      </c>
      <c r="B22" s="1228"/>
      <c r="C22" s="3002"/>
      <c r="D22" s="2359"/>
      <c r="E22" s="1720"/>
      <c r="F22" s="3002"/>
      <c r="G22" s="1809"/>
      <c r="H22" s="1705"/>
      <c r="I22" s="3002"/>
      <c r="J22" s="3002"/>
      <c r="K22" s="3002"/>
      <c r="L22" s="3002"/>
      <c r="M22" s="3002"/>
      <c r="N22" s="3002"/>
      <c r="O22" s="3002"/>
      <c r="P22" s="3002"/>
      <c r="Q22" s="3275"/>
      <c r="R22" s="2363"/>
      <c r="S22" s="2361"/>
      <c r="T22" s="2364"/>
      <c r="U22" s="2201"/>
    </row>
    <row r="23" spans="1:21" s="20" customFormat="1">
      <c r="A23" s="2202">
        <v>1995.02</v>
      </c>
      <c r="B23" s="1228"/>
      <c r="C23" s="3002"/>
      <c r="D23" s="2359"/>
      <c r="E23" s="1720"/>
      <c r="F23" s="3002"/>
      <c r="G23" s="1809"/>
      <c r="H23" s="1705"/>
      <c r="I23" s="3002"/>
      <c r="J23" s="3002"/>
      <c r="K23" s="3002"/>
      <c r="L23" s="3002"/>
      <c r="M23" s="3002"/>
      <c r="N23" s="3002"/>
      <c r="O23" s="3002"/>
      <c r="P23" s="3002"/>
      <c r="Q23" s="3275"/>
      <c r="R23" s="2363"/>
      <c r="S23" s="2361"/>
      <c r="T23" s="2364"/>
      <c r="U23" s="2201"/>
    </row>
    <row r="24" spans="1:21" s="20" customFormat="1">
      <c r="A24" s="2202">
        <v>1995.03</v>
      </c>
      <c r="B24" s="1228"/>
      <c r="C24" s="3002"/>
      <c r="D24" s="2359"/>
      <c r="E24" s="1720"/>
      <c r="F24" s="3002"/>
      <c r="G24" s="1809"/>
      <c r="H24" s="1705"/>
      <c r="I24" s="3002"/>
      <c r="J24" s="3002"/>
      <c r="K24" s="3002"/>
      <c r="L24" s="3002"/>
      <c r="M24" s="3002"/>
      <c r="N24" s="3002"/>
      <c r="O24" s="3002"/>
      <c r="P24" s="3002"/>
      <c r="Q24" s="3275"/>
      <c r="R24" s="2363"/>
      <c r="S24" s="2361"/>
      <c r="T24" s="2364"/>
      <c r="U24" s="2201"/>
    </row>
    <row r="25" spans="1:21" s="20" customFormat="1">
      <c r="A25" s="2202">
        <v>1995.04</v>
      </c>
      <c r="B25" s="1228"/>
      <c r="C25" s="3002"/>
      <c r="D25" s="2359"/>
      <c r="E25" s="1720"/>
      <c r="F25" s="3002"/>
      <c r="G25" s="1809"/>
      <c r="H25" s="1705"/>
      <c r="I25" s="3002"/>
      <c r="J25" s="3002"/>
      <c r="K25" s="3002"/>
      <c r="L25" s="3002"/>
      <c r="M25" s="3002"/>
      <c r="N25" s="3002"/>
      <c r="O25" s="3002"/>
      <c r="P25" s="3002"/>
      <c r="Q25" s="3275"/>
      <c r="R25" s="2363"/>
      <c r="S25" s="2361"/>
      <c r="T25" s="2364"/>
      <c r="U25" s="2201"/>
    </row>
    <row r="26" spans="1:21" s="20" customFormat="1">
      <c r="A26" s="2202">
        <v>1995.05</v>
      </c>
      <c r="B26" s="1228"/>
      <c r="C26" s="3002"/>
      <c r="D26" s="2359"/>
      <c r="E26" s="1720"/>
      <c r="F26" s="3002"/>
      <c r="G26" s="1809"/>
      <c r="H26" s="1705"/>
      <c r="I26" s="3002"/>
      <c r="J26" s="3002"/>
      <c r="K26" s="3002"/>
      <c r="L26" s="3002"/>
      <c r="M26" s="3002"/>
      <c r="N26" s="3002"/>
      <c r="O26" s="3002"/>
      <c r="P26" s="3002"/>
      <c r="Q26" s="3275"/>
      <c r="R26" s="2363"/>
      <c r="S26" s="2361"/>
      <c r="T26" s="2364"/>
      <c r="U26" s="2201"/>
    </row>
    <row r="27" spans="1:21" s="20" customFormat="1">
      <c r="A27" s="2202">
        <v>1995.06</v>
      </c>
      <c r="B27" s="1228"/>
      <c r="C27" s="3002"/>
      <c r="D27" s="2359"/>
      <c r="E27" s="1720"/>
      <c r="F27" s="3002"/>
      <c r="G27" s="1809"/>
      <c r="H27" s="1705"/>
      <c r="I27" s="3002"/>
      <c r="J27" s="3002"/>
      <c r="K27" s="3002"/>
      <c r="L27" s="3002"/>
      <c r="M27" s="3002"/>
      <c r="N27" s="3002"/>
      <c r="O27" s="3002"/>
      <c r="P27" s="3002"/>
      <c r="Q27" s="3275"/>
      <c r="R27" s="2363"/>
      <c r="S27" s="2361"/>
      <c r="T27" s="2364"/>
      <c r="U27" s="2201"/>
    </row>
    <row r="28" spans="1:21" s="20" customFormat="1">
      <c r="A28" s="2202">
        <v>1995.07</v>
      </c>
      <c r="B28" s="1228"/>
      <c r="C28" s="3002"/>
      <c r="D28" s="2359"/>
      <c r="E28" s="1720"/>
      <c r="F28" s="3002"/>
      <c r="G28" s="1809"/>
      <c r="H28" s="1705"/>
      <c r="I28" s="3002"/>
      <c r="J28" s="3002"/>
      <c r="K28" s="3002"/>
      <c r="L28" s="3002"/>
      <c r="M28" s="3002"/>
      <c r="N28" s="3002"/>
      <c r="O28" s="3002"/>
      <c r="P28" s="3002"/>
      <c r="Q28" s="3275"/>
      <c r="R28" s="2363"/>
      <c r="S28" s="2361"/>
      <c r="T28" s="2364"/>
      <c r="U28" s="2201"/>
    </row>
    <row r="29" spans="1:21" s="20" customFormat="1">
      <c r="A29" s="2202">
        <v>1995.08</v>
      </c>
      <c r="B29" s="1228"/>
      <c r="C29" s="3002"/>
      <c r="D29" s="2359"/>
      <c r="E29" s="1720"/>
      <c r="F29" s="3002"/>
      <c r="G29" s="1809"/>
      <c r="H29" s="1705"/>
      <c r="I29" s="3002"/>
      <c r="J29" s="3002"/>
      <c r="K29" s="3002"/>
      <c r="L29" s="3002"/>
      <c r="M29" s="3002"/>
      <c r="N29" s="3002"/>
      <c r="O29" s="3002"/>
      <c r="P29" s="3002"/>
      <c r="Q29" s="3275"/>
      <c r="R29" s="2363"/>
      <c r="S29" s="2361"/>
      <c r="T29" s="2364"/>
      <c r="U29" s="2201"/>
    </row>
    <row r="30" spans="1:21" s="20" customFormat="1">
      <c r="A30" s="2202">
        <v>1995.09</v>
      </c>
      <c r="B30" s="1228"/>
      <c r="C30" s="3002"/>
      <c r="D30" s="2359"/>
      <c r="E30" s="1720"/>
      <c r="F30" s="3002"/>
      <c r="G30" s="1809"/>
      <c r="H30" s="1705"/>
      <c r="I30" s="3002"/>
      <c r="J30" s="3002"/>
      <c r="K30" s="3002"/>
      <c r="L30" s="3002"/>
      <c r="M30" s="3002"/>
      <c r="N30" s="3002"/>
      <c r="O30" s="3002"/>
      <c r="P30" s="3002"/>
      <c r="Q30" s="3275"/>
      <c r="R30" s="2363"/>
      <c r="S30" s="2361"/>
      <c r="T30" s="2364"/>
      <c r="U30" s="2201"/>
    </row>
    <row r="31" spans="1:21" s="20" customFormat="1">
      <c r="A31" s="2202">
        <v>1995.1</v>
      </c>
      <c r="B31" s="1228"/>
      <c r="C31" s="3002"/>
      <c r="D31" s="2359"/>
      <c r="E31" s="1720"/>
      <c r="F31" s="3002"/>
      <c r="G31" s="1809"/>
      <c r="H31" s="1705"/>
      <c r="I31" s="3002"/>
      <c r="J31" s="3002"/>
      <c r="K31" s="3002"/>
      <c r="L31" s="3002"/>
      <c r="M31" s="3002"/>
      <c r="N31" s="3002"/>
      <c r="O31" s="3002"/>
      <c r="P31" s="3002"/>
      <c r="Q31" s="3275"/>
      <c r="R31" s="2363"/>
      <c r="S31" s="2361"/>
      <c r="T31" s="2364"/>
      <c r="U31" s="2201"/>
    </row>
    <row r="32" spans="1:21" s="20" customFormat="1">
      <c r="A32" s="2202">
        <v>1995.11</v>
      </c>
      <c r="B32" s="1228"/>
      <c r="C32" s="3002"/>
      <c r="D32" s="2359"/>
      <c r="E32" s="1720"/>
      <c r="F32" s="3002"/>
      <c r="G32" s="1809"/>
      <c r="H32" s="1705"/>
      <c r="I32" s="3002"/>
      <c r="J32" s="3002"/>
      <c r="K32" s="3002"/>
      <c r="L32" s="3002"/>
      <c r="M32" s="3002"/>
      <c r="N32" s="3002"/>
      <c r="O32" s="3002"/>
      <c r="P32" s="3002"/>
      <c r="Q32" s="3275"/>
      <c r="R32" s="2363"/>
      <c r="S32" s="2361"/>
      <c r="T32" s="2364"/>
      <c r="U32" s="2201"/>
    </row>
    <row r="33" spans="1:21" s="20" customFormat="1">
      <c r="A33" s="2202">
        <v>1995.12</v>
      </c>
      <c r="B33" s="1228"/>
      <c r="C33" s="3002"/>
      <c r="D33" s="2359"/>
      <c r="E33" s="1720"/>
      <c r="F33" s="3002"/>
      <c r="G33" s="1809"/>
      <c r="H33" s="1705"/>
      <c r="I33" s="3002"/>
      <c r="J33" s="3002"/>
      <c r="K33" s="3002"/>
      <c r="L33" s="3002"/>
      <c r="M33" s="3002"/>
      <c r="N33" s="3002"/>
      <c r="O33" s="3002"/>
      <c r="P33" s="3002"/>
      <c r="Q33" s="3275"/>
      <c r="R33" s="2363"/>
      <c r="S33" s="2361"/>
      <c r="T33" s="2364"/>
      <c r="U33" s="2201"/>
    </row>
    <row r="34" spans="1:21">
      <c r="A34" s="2202">
        <v>1996.01</v>
      </c>
      <c r="B34" s="1228"/>
      <c r="C34" s="3002"/>
      <c r="D34" s="2359"/>
      <c r="E34" s="1720"/>
      <c r="F34" s="3002"/>
      <c r="G34" s="1809"/>
      <c r="H34" s="1705"/>
      <c r="I34" s="3002"/>
      <c r="J34" s="3002"/>
      <c r="K34" s="3002"/>
      <c r="L34" s="3002"/>
      <c r="M34" s="3002"/>
      <c r="N34" s="3002"/>
      <c r="O34" s="3002"/>
      <c r="P34" s="3002"/>
      <c r="Q34" s="3275"/>
      <c r="R34" s="2363"/>
      <c r="S34" s="2361"/>
      <c r="T34" s="2364"/>
      <c r="U34" s="2300"/>
    </row>
    <row r="35" spans="1:21">
      <c r="A35" s="2202">
        <v>1996.02</v>
      </c>
      <c r="B35" s="1228"/>
      <c r="C35" s="3002"/>
      <c r="D35" s="2359"/>
      <c r="E35" s="1720"/>
      <c r="F35" s="3002"/>
      <c r="G35" s="1809"/>
      <c r="H35" s="1705"/>
      <c r="I35" s="3002"/>
      <c r="J35" s="3002"/>
      <c r="K35" s="3002"/>
      <c r="L35" s="3002"/>
      <c r="M35" s="3002"/>
      <c r="N35" s="3002"/>
      <c r="O35" s="3002"/>
      <c r="P35" s="3002"/>
      <c r="Q35" s="3275"/>
      <c r="R35" s="2363"/>
      <c r="S35" s="2361"/>
      <c r="T35" s="2364"/>
      <c r="U35" s="2300"/>
    </row>
    <row r="36" spans="1:21">
      <c r="A36" s="2202">
        <v>1996.03</v>
      </c>
      <c r="B36" s="1228"/>
      <c r="C36" s="3002"/>
      <c r="D36" s="2359"/>
      <c r="E36" s="1720"/>
      <c r="F36" s="3002"/>
      <c r="G36" s="1809"/>
      <c r="H36" s="1705"/>
      <c r="I36" s="3002"/>
      <c r="J36" s="3002"/>
      <c r="K36" s="3002"/>
      <c r="L36" s="3002"/>
      <c r="M36" s="3002"/>
      <c r="N36" s="3002"/>
      <c r="O36" s="3002"/>
      <c r="P36" s="3002"/>
      <c r="Q36" s="3275"/>
      <c r="R36" s="2363"/>
      <c r="S36" s="2361"/>
      <c r="T36" s="2364"/>
      <c r="U36" s="2300"/>
    </row>
    <row r="37" spans="1:21">
      <c r="A37" s="2202">
        <v>1996.04</v>
      </c>
      <c r="B37" s="1228"/>
      <c r="C37" s="3002"/>
      <c r="D37" s="2359"/>
      <c r="E37" s="1720"/>
      <c r="F37" s="3002"/>
      <c r="G37" s="1809"/>
      <c r="H37" s="1705"/>
      <c r="I37" s="3002"/>
      <c r="J37" s="3002"/>
      <c r="K37" s="3002"/>
      <c r="L37" s="3002"/>
      <c r="M37" s="3002"/>
      <c r="N37" s="3002"/>
      <c r="O37" s="3002"/>
      <c r="P37" s="3002"/>
      <c r="Q37" s="3275"/>
      <c r="R37" s="2363"/>
      <c r="S37" s="2361"/>
      <c r="T37" s="2364"/>
      <c r="U37" s="2300"/>
    </row>
    <row r="38" spans="1:21">
      <c r="A38" s="2202">
        <v>1996.05</v>
      </c>
      <c r="B38" s="1228"/>
      <c r="C38" s="3002"/>
      <c r="D38" s="2359"/>
      <c r="E38" s="1720"/>
      <c r="F38" s="3002"/>
      <c r="G38" s="1809"/>
      <c r="H38" s="1705"/>
      <c r="I38" s="3002"/>
      <c r="J38" s="3002"/>
      <c r="K38" s="3002"/>
      <c r="L38" s="3002"/>
      <c r="M38" s="3002"/>
      <c r="N38" s="3002"/>
      <c r="O38" s="3002"/>
      <c r="P38" s="3002"/>
      <c r="Q38" s="3275"/>
      <c r="R38" s="2363"/>
      <c r="S38" s="2361"/>
      <c r="T38" s="2364"/>
      <c r="U38" s="2300"/>
    </row>
    <row r="39" spans="1:21">
      <c r="A39" s="2202">
        <v>1996.06</v>
      </c>
      <c r="B39" s="1228"/>
      <c r="C39" s="3002"/>
      <c r="D39" s="2359"/>
      <c r="E39" s="1720"/>
      <c r="F39" s="3002"/>
      <c r="G39" s="1809"/>
      <c r="H39" s="1705"/>
      <c r="I39" s="3002"/>
      <c r="J39" s="3002"/>
      <c r="K39" s="3002"/>
      <c r="L39" s="3002"/>
      <c r="M39" s="3002"/>
      <c r="N39" s="3002"/>
      <c r="O39" s="3002"/>
      <c r="P39" s="3002"/>
      <c r="Q39" s="3275"/>
      <c r="R39" s="2363"/>
      <c r="S39" s="2361"/>
      <c r="T39" s="2364"/>
      <c r="U39" s="2300"/>
    </row>
    <row r="40" spans="1:21">
      <c r="A40" s="2202">
        <v>1996.07</v>
      </c>
      <c r="B40" s="1698">
        <v>318723</v>
      </c>
      <c r="C40" s="3002"/>
      <c r="D40" s="2365">
        <v>318723</v>
      </c>
      <c r="E40" s="1720"/>
      <c r="F40" s="3002"/>
      <c r="G40" s="1809"/>
      <c r="H40" s="1705"/>
      <c r="I40" s="3002"/>
      <c r="J40" s="3002"/>
      <c r="K40" s="3002"/>
      <c r="L40" s="3002"/>
      <c r="M40" s="3002"/>
      <c r="N40" s="3002"/>
      <c r="O40" s="3002"/>
      <c r="P40" s="3002"/>
      <c r="Q40" s="3275"/>
      <c r="R40" s="2363"/>
      <c r="S40" s="2361"/>
      <c r="T40" s="2364"/>
      <c r="U40" s="2300"/>
    </row>
    <row r="41" spans="1:21">
      <c r="A41" s="2202">
        <v>1996.08</v>
      </c>
      <c r="B41" s="1707">
        <v>331789</v>
      </c>
      <c r="C41" s="3002"/>
      <c r="D41" s="2366">
        <v>331789</v>
      </c>
      <c r="E41" s="1720"/>
      <c r="F41" s="3002"/>
      <c r="G41" s="1809"/>
      <c r="H41" s="1705"/>
      <c r="I41" s="3002"/>
      <c r="J41" s="3002"/>
      <c r="K41" s="3002"/>
      <c r="L41" s="3002"/>
      <c r="M41" s="3002"/>
      <c r="N41" s="3002"/>
      <c r="O41" s="3002"/>
      <c r="P41" s="3002"/>
      <c r="Q41" s="3275"/>
      <c r="R41" s="2363"/>
      <c r="S41" s="2361"/>
      <c r="T41" s="2364"/>
      <c r="U41" s="2300"/>
    </row>
    <row r="42" spans="1:21">
      <c r="A42" s="2202">
        <v>1996.09</v>
      </c>
      <c r="B42" s="1707">
        <v>337432</v>
      </c>
      <c r="C42" s="3002"/>
      <c r="D42" s="2366">
        <v>337432</v>
      </c>
      <c r="E42" s="1720"/>
      <c r="F42" s="3002"/>
      <c r="G42" s="1809"/>
      <c r="H42" s="1705"/>
      <c r="I42" s="3002"/>
      <c r="J42" s="3002"/>
      <c r="K42" s="3002"/>
      <c r="L42" s="3002"/>
      <c r="M42" s="3002"/>
      <c r="N42" s="3002"/>
      <c r="O42" s="3002"/>
      <c r="P42" s="3002"/>
      <c r="Q42" s="3275"/>
      <c r="R42" s="2363"/>
      <c r="S42" s="2361"/>
      <c r="T42" s="2364"/>
      <c r="U42" s="2300"/>
    </row>
    <row r="43" spans="1:21">
      <c r="A43" s="2202">
        <v>1996.1</v>
      </c>
      <c r="B43" s="1707">
        <v>340906</v>
      </c>
      <c r="C43" s="3002"/>
      <c r="D43" s="2366">
        <v>340906</v>
      </c>
      <c r="E43" s="1720"/>
      <c r="F43" s="3002"/>
      <c r="G43" s="1809"/>
      <c r="H43" s="1705"/>
      <c r="I43" s="3002"/>
      <c r="J43" s="3002"/>
      <c r="K43" s="3002"/>
      <c r="L43" s="3002"/>
      <c r="M43" s="3002"/>
      <c r="N43" s="3002"/>
      <c r="O43" s="3002"/>
      <c r="P43" s="3002"/>
      <c r="Q43" s="3275"/>
      <c r="R43" s="2363"/>
      <c r="S43" s="2361"/>
      <c r="T43" s="2364"/>
      <c r="U43" s="2300"/>
    </row>
    <row r="44" spans="1:21">
      <c r="A44" s="2202">
        <v>1996.11</v>
      </c>
      <c r="B44" s="1707">
        <v>343505</v>
      </c>
      <c r="C44" s="3002"/>
      <c r="D44" s="2366">
        <v>343505</v>
      </c>
      <c r="E44" s="1720"/>
      <c r="F44" s="3002"/>
      <c r="G44" s="1809"/>
      <c r="H44" s="1705"/>
      <c r="I44" s="3002"/>
      <c r="J44" s="3002"/>
      <c r="K44" s="3002"/>
      <c r="L44" s="3002"/>
      <c r="M44" s="3002"/>
      <c r="N44" s="3002"/>
      <c r="O44" s="3002"/>
      <c r="P44" s="3002"/>
      <c r="Q44" s="3275"/>
      <c r="R44" s="2363"/>
      <c r="S44" s="2361"/>
      <c r="T44" s="2364"/>
      <c r="U44" s="2300"/>
    </row>
    <row r="45" spans="1:21">
      <c r="A45" s="2202">
        <v>1996.12</v>
      </c>
      <c r="B45" s="1707">
        <v>344775</v>
      </c>
      <c r="C45" s="3002"/>
      <c r="D45" s="2366">
        <v>344775</v>
      </c>
      <c r="E45" s="1720"/>
      <c r="F45" s="3002"/>
      <c r="G45" s="1809"/>
      <c r="H45" s="1705"/>
      <c r="I45" s="3002"/>
      <c r="J45" s="3002"/>
      <c r="K45" s="3002"/>
      <c r="L45" s="3002"/>
      <c r="M45" s="3002"/>
      <c r="N45" s="3002"/>
      <c r="O45" s="3002"/>
      <c r="P45" s="3002"/>
      <c r="Q45" s="3275"/>
      <c r="R45" s="2363"/>
      <c r="S45" s="2361"/>
      <c r="T45" s="2364"/>
      <c r="U45" s="2300"/>
    </row>
    <row r="46" spans="1:21">
      <c r="A46" s="2202">
        <v>1997.01</v>
      </c>
      <c r="B46" s="1707">
        <v>344476</v>
      </c>
      <c r="C46" s="3002"/>
      <c r="D46" s="2366">
        <v>344476</v>
      </c>
      <c r="E46" s="1720"/>
      <c r="F46" s="3002"/>
      <c r="G46" s="1809"/>
      <c r="H46" s="1705"/>
      <c r="I46" s="3002"/>
      <c r="J46" s="3002"/>
      <c r="K46" s="3002"/>
      <c r="L46" s="3002"/>
      <c r="M46" s="3002"/>
      <c r="N46" s="3002"/>
      <c r="O46" s="3002"/>
      <c r="P46" s="3002"/>
      <c r="Q46" s="3275"/>
      <c r="R46" s="2363"/>
      <c r="S46" s="2361"/>
      <c r="T46" s="2364"/>
      <c r="U46" s="2300"/>
    </row>
    <row r="47" spans="1:21">
      <c r="A47" s="2202">
        <v>1997.02</v>
      </c>
      <c r="B47" s="1707">
        <v>345122</v>
      </c>
      <c r="C47" s="3002"/>
      <c r="D47" s="2366">
        <v>345122</v>
      </c>
      <c r="E47" s="1720"/>
      <c r="F47" s="3002"/>
      <c r="G47" s="1809"/>
      <c r="H47" s="1705"/>
      <c r="I47" s="3002"/>
      <c r="J47" s="3002"/>
      <c r="K47" s="3002"/>
      <c r="L47" s="3002"/>
      <c r="M47" s="3002"/>
      <c r="N47" s="3002"/>
      <c r="O47" s="3002"/>
      <c r="P47" s="3002"/>
      <c r="Q47" s="3275"/>
      <c r="R47" s="2363"/>
      <c r="S47" s="2361"/>
      <c r="T47" s="2364"/>
      <c r="U47" s="2300"/>
    </row>
    <row r="48" spans="1:21">
      <c r="A48" s="2202">
        <v>1997.03</v>
      </c>
      <c r="B48" s="1707">
        <v>346572</v>
      </c>
      <c r="C48" s="3002"/>
      <c r="D48" s="2366">
        <v>346572</v>
      </c>
      <c r="E48" s="1720"/>
      <c r="F48" s="3002"/>
      <c r="G48" s="1809"/>
      <c r="H48" s="1705"/>
      <c r="I48" s="3002"/>
      <c r="J48" s="3002"/>
      <c r="K48" s="3002"/>
      <c r="L48" s="3002"/>
      <c r="M48" s="3002"/>
      <c r="N48" s="3002"/>
      <c r="O48" s="3002"/>
      <c r="P48" s="3002"/>
      <c r="Q48" s="3275"/>
      <c r="R48" s="2363"/>
      <c r="S48" s="2361"/>
      <c r="T48" s="2364"/>
      <c r="U48" s="2300"/>
    </row>
    <row r="49" spans="1:21">
      <c r="A49" s="2202">
        <v>1997.04</v>
      </c>
      <c r="B49" s="1707">
        <v>347071</v>
      </c>
      <c r="C49" s="3002"/>
      <c r="D49" s="2366">
        <v>347071</v>
      </c>
      <c r="E49" s="1720"/>
      <c r="F49" s="3002"/>
      <c r="G49" s="1809"/>
      <c r="H49" s="1705"/>
      <c r="I49" s="3002"/>
      <c r="J49" s="3002"/>
      <c r="K49" s="3002"/>
      <c r="L49" s="3002"/>
      <c r="M49" s="3002"/>
      <c r="N49" s="3002"/>
      <c r="O49" s="3002"/>
      <c r="P49" s="3002"/>
      <c r="Q49" s="3275"/>
      <c r="R49" s="2363"/>
      <c r="S49" s="2361"/>
      <c r="T49" s="2364"/>
      <c r="U49" s="2300"/>
    </row>
    <row r="50" spans="1:21">
      <c r="A50" s="2202">
        <v>1997.05</v>
      </c>
      <c r="B50" s="1707">
        <v>347071</v>
      </c>
      <c r="C50" s="3002"/>
      <c r="D50" s="2366">
        <v>347071</v>
      </c>
      <c r="E50" s="1720"/>
      <c r="F50" s="3002"/>
      <c r="G50" s="1809"/>
      <c r="H50" s="1705"/>
      <c r="I50" s="3002"/>
      <c r="J50" s="3002"/>
      <c r="K50" s="3002"/>
      <c r="L50" s="3002"/>
      <c r="M50" s="3002"/>
      <c r="N50" s="3002"/>
      <c r="O50" s="3002"/>
      <c r="P50" s="3002"/>
      <c r="Q50" s="3275"/>
      <c r="R50" s="2363"/>
      <c r="S50" s="2361"/>
      <c r="T50" s="2364"/>
      <c r="U50" s="2300"/>
    </row>
    <row r="51" spans="1:21">
      <c r="A51" s="2202">
        <v>1997.06</v>
      </c>
      <c r="B51" s="1707">
        <v>349408</v>
      </c>
      <c r="C51" s="3002"/>
      <c r="D51" s="2366">
        <v>349408</v>
      </c>
      <c r="E51" s="1720"/>
      <c r="F51" s="3002"/>
      <c r="G51" s="1809"/>
      <c r="H51" s="1705"/>
      <c r="I51" s="3002"/>
      <c r="J51" s="3002"/>
      <c r="K51" s="3002"/>
      <c r="L51" s="3002"/>
      <c r="M51" s="3002"/>
      <c r="N51" s="3002"/>
      <c r="O51" s="3002"/>
      <c r="P51" s="3002"/>
      <c r="Q51" s="3275"/>
      <c r="R51" s="2363"/>
      <c r="S51" s="2361"/>
      <c r="T51" s="2364"/>
      <c r="U51" s="2300"/>
    </row>
    <row r="52" spans="1:21">
      <c r="A52" s="2202">
        <v>1997.07</v>
      </c>
      <c r="B52" s="1707">
        <v>348885</v>
      </c>
      <c r="C52" s="3002"/>
      <c r="D52" s="2366">
        <v>348885</v>
      </c>
      <c r="E52" s="1720"/>
      <c r="F52" s="3002"/>
      <c r="G52" s="1809"/>
      <c r="H52" s="1705"/>
      <c r="I52" s="3002"/>
      <c r="J52" s="3002"/>
      <c r="K52" s="3002"/>
      <c r="L52" s="3002"/>
      <c r="M52" s="3002"/>
      <c r="N52" s="3002"/>
      <c r="O52" s="3002"/>
      <c r="P52" s="3002"/>
      <c r="Q52" s="3275"/>
      <c r="R52" s="2363"/>
      <c r="S52" s="2361"/>
      <c r="T52" s="2364"/>
      <c r="U52" s="2300"/>
    </row>
    <row r="53" spans="1:21">
      <c r="A53" s="2202">
        <v>1997.08</v>
      </c>
      <c r="B53" s="1707">
        <v>349595</v>
      </c>
      <c r="C53" s="3002"/>
      <c r="D53" s="2366">
        <v>349595</v>
      </c>
      <c r="E53" s="1720"/>
      <c r="F53" s="3002"/>
      <c r="G53" s="1809"/>
      <c r="H53" s="1705"/>
      <c r="I53" s="3002"/>
      <c r="J53" s="3002"/>
      <c r="K53" s="3002"/>
      <c r="L53" s="3002"/>
      <c r="M53" s="3002"/>
      <c r="N53" s="3002"/>
      <c r="O53" s="3002"/>
      <c r="P53" s="3002"/>
      <c r="Q53" s="3275"/>
      <c r="R53" s="2363"/>
      <c r="S53" s="2361"/>
      <c r="T53" s="2364"/>
      <c r="U53" s="2300"/>
    </row>
    <row r="54" spans="1:21">
      <c r="A54" s="2202">
        <v>1997.09</v>
      </c>
      <c r="B54" s="1707">
        <v>350862</v>
      </c>
      <c r="C54" s="3002"/>
      <c r="D54" s="2366">
        <v>350862</v>
      </c>
      <c r="E54" s="1720"/>
      <c r="F54" s="3002"/>
      <c r="G54" s="1809"/>
      <c r="H54" s="1705"/>
      <c r="I54" s="3002"/>
      <c r="J54" s="3002"/>
      <c r="K54" s="3002"/>
      <c r="L54" s="3002"/>
      <c r="M54" s="3002"/>
      <c r="N54" s="3002"/>
      <c r="O54" s="3002"/>
      <c r="P54" s="3002"/>
      <c r="Q54" s="3275"/>
      <c r="R54" s="2363"/>
      <c r="S54" s="2361"/>
      <c r="T54" s="2364"/>
      <c r="U54" s="2300"/>
    </row>
    <row r="55" spans="1:21">
      <c r="A55" s="2202">
        <v>1997.1</v>
      </c>
      <c r="B55" s="1707">
        <v>351402</v>
      </c>
      <c r="C55" s="3002"/>
      <c r="D55" s="2366">
        <v>351402</v>
      </c>
      <c r="E55" s="1720"/>
      <c r="F55" s="3002"/>
      <c r="G55" s="1809"/>
      <c r="H55" s="1705"/>
      <c r="I55" s="3002"/>
      <c r="J55" s="3002"/>
      <c r="K55" s="3002"/>
      <c r="L55" s="3002"/>
      <c r="M55" s="3002"/>
      <c r="N55" s="3002"/>
      <c r="O55" s="3002"/>
      <c r="P55" s="3002"/>
      <c r="Q55" s="3275"/>
      <c r="R55" s="2363"/>
      <c r="S55" s="2361"/>
      <c r="T55" s="2364"/>
      <c r="U55" s="2300"/>
    </row>
    <row r="56" spans="1:21">
      <c r="A56" s="2202">
        <v>1997.11</v>
      </c>
      <c r="B56" s="1707">
        <v>352859</v>
      </c>
      <c r="C56" s="3002"/>
      <c r="D56" s="2366">
        <v>352859</v>
      </c>
      <c r="E56" s="1720"/>
      <c r="F56" s="3002"/>
      <c r="G56" s="1809"/>
      <c r="H56" s="1705"/>
      <c r="I56" s="3002"/>
      <c r="J56" s="3002"/>
      <c r="K56" s="3002"/>
      <c r="L56" s="3002"/>
      <c r="M56" s="3002"/>
      <c r="N56" s="3002"/>
      <c r="O56" s="3002"/>
      <c r="P56" s="3002"/>
      <c r="Q56" s="3275"/>
      <c r="R56" s="2363"/>
      <c r="S56" s="2361"/>
      <c r="T56" s="2364"/>
      <c r="U56" s="2300"/>
    </row>
    <row r="57" spans="1:21">
      <c r="A57" s="2202">
        <v>1997.12</v>
      </c>
      <c r="B57" s="1707">
        <v>352972</v>
      </c>
      <c r="C57" s="3002"/>
      <c r="D57" s="2366">
        <v>352972</v>
      </c>
      <c r="E57" s="1720"/>
      <c r="F57" s="3002"/>
      <c r="G57" s="1809"/>
      <c r="H57" s="1705"/>
      <c r="I57" s="3002"/>
      <c r="J57" s="3002"/>
      <c r="K57" s="3002"/>
      <c r="L57" s="3002"/>
      <c r="M57" s="3002"/>
      <c r="N57" s="3002"/>
      <c r="O57" s="3002"/>
      <c r="P57" s="3002"/>
      <c r="Q57" s="3275"/>
      <c r="R57" s="2363"/>
      <c r="S57" s="2361"/>
      <c r="T57" s="2364"/>
      <c r="U57" s="2300"/>
    </row>
    <row r="58" spans="1:21">
      <c r="A58" s="2202">
        <v>1998.01</v>
      </c>
      <c r="B58" s="1707">
        <v>352632</v>
      </c>
      <c r="C58" s="3002"/>
      <c r="D58" s="2366">
        <v>352632</v>
      </c>
      <c r="E58" s="1720"/>
      <c r="F58" s="3002"/>
      <c r="G58" s="1809"/>
      <c r="H58" s="1705"/>
      <c r="I58" s="3002"/>
      <c r="J58" s="3002"/>
      <c r="K58" s="3002"/>
      <c r="L58" s="3002"/>
      <c r="M58" s="3002"/>
      <c r="N58" s="3002"/>
      <c r="O58" s="3002"/>
      <c r="P58" s="3002"/>
      <c r="Q58" s="3275"/>
      <c r="R58" s="2363"/>
      <c r="S58" s="2361"/>
      <c r="T58" s="2364"/>
      <c r="U58" s="2300"/>
    </row>
    <row r="59" spans="1:21">
      <c r="A59" s="2202">
        <v>1998.02</v>
      </c>
      <c r="B59" s="1707">
        <v>352340</v>
      </c>
      <c r="C59" s="3002"/>
      <c r="D59" s="2366">
        <v>352340</v>
      </c>
      <c r="E59" s="1721">
        <v>39813</v>
      </c>
      <c r="F59" s="3002"/>
      <c r="G59" s="1809"/>
      <c r="H59" s="1699">
        <v>8202</v>
      </c>
      <c r="I59" s="3276">
        <v>25</v>
      </c>
      <c r="J59" s="3276">
        <v>5794</v>
      </c>
      <c r="K59" s="3276">
        <v>143</v>
      </c>
      <c r="L59" s="3276">
        <v>1515</v>
      </c>
      <c r="M59" s="3276">
        <v>10413</v>
      </c>
      <c r="N59" s="3276">
        <v>3140</v>
      </c>
      <c r="O59" s="3276">
        <v>3597</v>
      </c>
      <c r="P59" s="3276">
        <v>6926</v>
      </c>
      <c r="Q59" s="3277">
        <v>58</v>
      </c>
      <c r="R59" s="2363"/>
      <c r="S59" s="2361"/>
      <c r="T59" s="2364"/>
      <c r="U59" s="2300"/>
    </row>
    <row r="60" spans="1:21">
      <c r="A60" s="2202">
        <v>1998.03</v>
      </c>
      <c r="B60" s="1707">
        <v>352409</v>
      </c>
      <c r="C60" s="3002"/>
      <c r="D60" s="2366">
        <v>352409</v>
      </c>
      <c r="E60" s="1702">
        <v>40203</v>
      </c>
      <c r="F60" s="3002"/>
      <c r="G60" s="1809"/>
      <c r="H60" s="1700">
        <v>8275</v>
      </c>
      <c r="I60" s="3278">
        <v>25</v>
      </c>
      <c r="J60" s="3278">
        <v>5847</v>
      </c>
      <c r="K60" s="3278">
        <v>142</v>
      </c>
      <c r="L60" s="3278">
        <v>1540</v>
      </c>
      <c r="M60" s="3278">
        <v>10530</v>
      </c>
      <c r="N60" s="3278">
        <v>3186</v>
      </c>
      <c r="O60" s="3278">
        <v>3621</v>
      </c>
      <c r="P60" s="3278">
        <v>6979</v>
      </c>
      <c r="Q60" s="3279">
        <v>58</v>
      </c>
      <c r="R60" s="2363"/>
      <c r="S60" s="2361"/>
      <c r="T60" s="2364"/>
      <c r="U60" s="2300"/>
    </row>
    <row r="61" spans="1:21">
      <c r="A61" s="2202">
        <v>1998.04</v>
      </c>
      <c r="B61" s="1707">
        <v>352165</v>
      </c>
      <c r="C61" s="3002"/>
      <c r="D61" s="2366">
        <v>352165</v>
      </c>
      <c r="E61" s="1702">
        <v>40328</v>
      </c>
      <c r="F61" s="3002"/>
      <c r="G61" s="1809"/>
      <c r="H61" s="1700">
        <v>8329</v>
      </c>
      <c r="I61" s="3278">
        <v>25</v>
      </c>
      <c r="J61" s="3278">
        <v>5853</v>
      </c>
      <c r="K61" s="3278">
        <v>142</v>
      </c>
      <c r="L61" s="3278">
        <v>1543</v>
      </c>
      <c r="M61" s="3278">
        <v>10545</v>
      </c>
      <c r="N61" s="3278">
        <v>3201</v>
      </c>
      <c r="O61" s="3278">
        <v>3632</v>
      </c>
      <c r="P61" s="3278">
        <v>7001</v>
      </c>
      <c r="Q61" s="3279">
        <v>57</v>
      </c>
      <c r="R61" s="2363"/>
      <c r="S61" s="2361"/>
      <c r="T61" s="2364"/>
      <c r="U61" s="2300"/>
    </row>
    <row r="62" spans="1:21">
      <c r="A62" s="2202">
        <v>1998.05</v>
      </c>
      <c r="B62" s="1707">
        <v>349211</v>
      </c>
      <c r="C62" s="3002"/>
      <c r="D62" s="2366">
        <v>349211</v>
      </c>
      <c r="E62" s="1702">
        <v>40062</v>
      </c>
      <c r="F62" s="3002"/>
      <c r="G62" s="1809"/>
      <c r="H62" s="1700">
        <v>8299</v>
      </c>
      <c r="I62" s="3278">
        <v>25</v>
      </c>
      <c r="J62" s="3278">
        <v>5763</v>
      </c>
      <c r="K62" s="3278">
        <v>142</v>
      </c>
      <c r="L62" s="3278">
        <v>1527</v>
      </c>
      <c r="M62" s="3278">
        <v>10477</v>
      </c>
      <c r="N62" s="3278">
        <v>3185</v>
      </c>
      <c r="O62" s="3278">
        <v>3614</v>
      </c>
      <c r="P62" s="3278">
        <v>6973</v>
      </c>
      <c r="Q62" s="3279">
        <v>57</v>
      </c>
      <c r="R62" s="2363"/>
      <c r="S62" s="2361"/>
      <c r="T62" s="2364"/>
      <c r="U62" s="2300"/>
    </row>
    <row r="63" spans="1:21">
      <c r="A63" s="2202">
        <v>1998.06</v>
      </c>
      <c r="B63" s="1707">
        <v>350225</v>
      </c>
      <c r="C63" s="3002"/>
      <c r="D63" s="2366">
        <v>350225</v>
      </c>
      <c r="E63" s="1702">
        <v>40094</v>
      </c>
      <c r="F63" s="3002"/>
      <c r="G63" s="1809"/>
      <c r="H63" s="1700">
        <v>8287</v>
      </c>
      <c r="I63" s="3278">
        <v>25</v>
      </c>
      <c r="J63" s="3278">
        <v>5739</v>
      </c>
      <c r="K63" s="3278">
        <v>141</v>
      </c>
      <c r="L63" s="3278">
        <v>1536</v>
      </c>
      <c r="M63" s="3278">
        <v>10505</v>
      </c>
      <c r="N63" s="3278">
        <v>3193</v>
      </c>
      <c r="O63" s="3278">
        <v>3625</v>
      </c>
      <c r="P63" s="3278">
        <v>6986</v>
      </c>
      <c r="Q63" s="3279">
        <v>57</v>
      </c>
      <c r="R63" s="2363"/>
      <c r="S63" s="2361"/>
      <c r="T63" s="2364"/>
      <c r="U63" s="2300"/>
    </row>
    <row r="64" spans="1:21">
      <c r="A64" s="2202">
        <v>1998.07</v>
      </c>
      <c r="B64" s="1707">
        <v>349571</v>
      </c>
      <c r="C64" s="3002"/>
      <c r="D64" s="2366">
        <v>349571</v>
      </c>
      <c r="E64" s="1702">
        <v>39660</v>
      </c>
      <c r="F64" s="3002"/>
      <c r="G64" s="1809"/>
      <c r="H64" s="1700">
        <v>8142</v>
      </c>
      <c r="I64" s="3278">
        <v>25</v>
      </c>
      <c r="J64" s="3278">
        <v>5669</v>
      </c>
      <c r="K64" s="3278">
        <v>141</v>
      </c>
      <c r="L64" s="3278">
        <v>1525</v>
      </c>
      <c r="M64" s="3278">
        <v>10360</v>
      </c>
      <c r="N64" s="3278">
        <v>3168</v>
      </c>
      <c r="O64" s="3278">
        <v>3624</v>
      </c>
      <c r="P64" s="3278">
        <v>6949</v>
      </c>
      <c r="Q64" s="3279">
        <v>57</v>
      </c>
      <c r="R64" s="2363"/>
      <c r="S64" s="2361"/>
      <c r="T64" s="2364"/>
      <c r="U64" s="2300"/>
    </row>
    <row r="65" spans="1:21">
      <c r="A65" s="2202">
        <v>1998.08</v>
      </c>
      <c r="B65" s="1707">
        <v>350121</v>
      </c>
      <c r="C65" s="3002"/>
      <c r="D65" s="2366">
        <v>350121</v>
      </c>
      <c r="E65" s="1702">
        <v>39913</v>
      </c>
      <c r="F65" s="3002"/>
      <c r="G65" s="1809"/>
      <c r="H65" s="1700">
        <v>8163</v>
      </c>
      <c r="I65" s="3278">
        <v>25</v>
      </c>
      <c r="J65" s="3278">
        <v>5695</v>
      </c>
      <c r="K65" s="3278">
        <v>142</v>
      </c>
      <c r="L65" s="3278">
        <v>1532</v>
      </c>
      <c r="M65" s="3278">
        <v>10441</v>
      </c>
      <c r="N65" s="3278">
        <v>3205</v>
      </c>
      <c r="O65" s="3278">
        <v>3651</v>
      </c>
      <c r="P65" s="3278">
        <v>7002</v>
      </c>
      <c r="Q65" s="3279">
        <v>57</v>
      </c>
      <c r="R65" s="2363"/>
      <c r="S65" s="2361"/>
      <c r="T65" s="2364"/>
      <c r="U65" s="2300"/>
    </row>
    <row r="66" spans="1:21">
      <c r="A66" s="2202">
        <v>1998.09</v>
      </c>
      <c r="B66" s="1707">
        <v>351480</v>
      </c>
      <c r="C66" s="3002"/>
      <c r="D66" s="2366">
        <v>351480</v>
      </c>
      <c r="E66" s="1702">
        <v>40303</v>
      </c>
      <c r="F66" s="3002"/>
      <c r="G66" s="1809"/>
      <c r="H66" s="1700">
        <v>8223</v>
      </c>
      <c r="I66" s="3278">
        <v>25</v>
      </c>
      <c r="J66" s="3278">
        <v>5749</v>
      </c>
      <c r="K66" s="3278">
        <v>143</v>
      </c>
      <c r="L66" s="3278">
        <v>1551</v>
      </c>
      <c r="M66" s="3278">
        <v>10564</v>
      </c>
      <c r="N66" s="3278">
        <v>3265</v>
      </c>
      <c r="O66" s="3278">
        <v>3671</v>
      </c>
      <c r="P66" s="3278">
        <v>7055</v>
      </c>
      <c r="Q66" s="3279">
        <v>57</v>
      </c>
      <c r="R66" s="2363"/>
      <c r="S66" s="2361"/>
      <c r="T66" s="2364"/>
      <c r="U66" s="2300"/>
    </row>
    <row r="67" spans="1:21">
      <c r="A67" s="2202">
        <v>1998.1</v>
      </c>
      <c r="B67" s="1707">
        <v>352309</v>
      </c>
      <c r="C67" s="3002"/>
      <c r="D67" s="2366">
        <v>352309</v>
      </c>
      <c r="E67" s="1702">
        <v>40389</v>
      </c>
      <c r="F67" s="3002"/>
      <c r="G67" s="1809"/>
      <c r="H67" s="1700">
        <v>8255</v>
      </c>
      <c r="I67" s="3278">
        <v>24</v>
      </c>
      <c r="J67" s="3278">
        <v>5733</v>
      </c>
      <c r="K67" s="3278">
        <v>143</v>
      </c>
      <c r="L67" s="3278">
        <v>1558</v>
      </c>
      <c r="M67" s="3278">
        <v>10591</v>
      </c>
      <c r="N67" s="3278">
        <v>3291</v>
      </c>
      <c r="O67" s="3278">
        <v>3670</v>
      </c>
      <c r="P67" s="3278">
        <v>7069</v>
      </c>
      <c r="Q67" s="3279">
        <v>55</v>
      </c>
      <c r="R67" s="2363"/>
      <c r="S67" s="2361"/>
      <c r="T67" s="2364"/>
      <c r="U67" s="2300"/>
    </row>
    <row r="68" spans="1:21">
      <c r="A68" s="2202">
        <v>1998.11</v>
      </c>
      <c r="B68" s="1707">
        <v>351828</v>
      </c>
      <c r="C68" s="3002"/>
      <c r="D68" s="2366">
        <v>351828</v>
      </c>
      <c r="E68" s="1702">
        <v>40633</v>
      </c>
      <c r="F68" s="3002"/>
      <c r="G68" s="1809"/>
      <c r="H68" s="1700">
        <v>8284</v>
      </c>
      <c r="I68" s="3278">
        <v>24</v>
      </c>
      <c r="J68" s="3278">
        <v>5762</v>
      </c>
      <c r="K68" s="3278">
        <v>144</v>
      </c>
      <c r="L68" s="3278">
        <v>1580</v>
      </c>
      <c r="M68" s="3278">
        <v>10652</v>
      </c>
      <c r="N68" s="3278">
        <v>3345</v>
      </c>
      <c r="O68" s="3278">
        <v>3685</v>
      </c>
      <c r="P68" s="3278">
        <v>7104</v>
      </c>
      <c r="Q68" s="3279">
        <v>53</v>
      </c>
      <c r="R68" s="2363"/>
      <c r="S68" s="2361"/>
      <c r="T68" s="2364"/>
      <c r="U68" s="2300"/>
    </row>
    <row r="69" spans="1:21">
      <c r="A69" s="2202">
        <v>1998.12</v>
      </c>
      <c r="B69" s="1707">
        <v>351825</v>
      </c>
      <c r="C69" s="3002"/>
      <c r="D69" s="2366">
        <v>351825</v>
      </c>
      <c r="E69" s="1702">
        <v>40904</v>
      </c>
      <c r="F69" s="3002"/>
      <c r="G69" s="1809"/>
      <c r="H69" s="1700">
        <v>8327</v>
      </c>
      <c r="I69" s="3278">
        <v>24</v>
      </c>
      <c r="J69" s="3278">
        <v>5771</v>
      </c>
      <c r="K69" s="3278">
        <v>143</v>
      </c>
      <c r="L69" s="3278">
        <v>1597</v>
      </c>
      <c r="M69" s="3278">
        <v>10723</v>
      </c>
      <c r="N69" s="3278">
        <v>3431</v>
      </c>
      <c r="O69" s="3278">
        <v>3702</v>
      </c>
      <c r="P69" s="3278">
        <v>7133</v>
      </c>
      <c r="Q69" s="3279">
        <v>53</v>
      </c>
      <c r="R69" s="2363"/>
      <c r="S69" s="2361"/>
      <c r="T69" s="2364"/>
      <c r="U69" s="2300"/>
    </row>
    <row r="70" spans="1:21">
      <c r="A70" s="2202">
        <v>1999.01</v>
      </c>
      <c r="B70" s="1707">
        <v>350543</v>
      </c>
      <c r="C70" s="3002"/>
      <c r="D70" s="2366">
        <v>350543</v>
      </c>
      <c r="E70" s="1702">
        <v>41078</v>
      </c>
      <c r="F70" s="3002"/>
      <c r="G70" s="1809"/>
      <c r="H70" s="1700">
        <v>8317</v>
      </c>
      <c r="I70" s="3278">
        <v>24</v>
      </c>
      <c r="J70" s="3278">
        <v>5744</v>
      </c>
      <c r="K70" s="3278">
        <v>142</v>
      </c>
      <c r="L70" s="3278">
        <v>1620</v>
      </c>
      <c r="M70" s="3278">
        <v>10766</v>
      </c>
      <c r="N70" s="3278">
        <v>3529</v>
      </c>
      <c r="O70" s="3278">
        <v>3730</v>
      </c>
      <c r="P70" s="3278">
        <v>7153</v>
      </c>
      <c r="Q70" s="3279">
        <v>53</v>
      </c>
      <c r="R70" s="2363"/>
      <c r="S70" s="2361"/>
      <c r="T70" s="2364"/>
      <c r="U70" s="2300"/>
    </row>
    <row r="71" spans="1:21">
      <c r="A71" s="2202">
        <v>1999.02</v>
      </c>
      <c r="B71" s="1707">
        <v>350077</v>
      </c>
      <c r="C71" s="3002"/>
      <c r="D71" s="2366">
        <v>350077</v>
      </c>
      <c r="E71" s="1702">
        <v>41454</v>
      </c>
      <c r="F71" s="3002"/>
      <c r="G71" s="1809"/>
      <c r="H71" s="1700">
        <v>8356</v>
      </c>
      <c r="I71" s="3278">
        <v>24</v>
      </c>
      <c r="J71" s="3278">
        <v>5756</v>
      </c>
      <c r="K71" s="3278">
        <v>142</v>
      </c>
      <c r="L71" s="3278">
        <v>1639</v>
      </c>
      <c r="M71" s="3278">
        <v>10844</v>
      </c>
      <c r="N71" s="3278">
        <v>3696</v>
      </c>
      <c r="O71" s="3278">
        <v>3763</v>
      </c>
      <c r="P71" s="3278">
        <v>7181</v>
      </c>
      <c r="Q71" s="3279">
        <v>53</v>
      </c>
      <c r="R71" s="2363"/>
      <c r="S71" s="2361"/>
      <c r="T71" s="2364"/>
      <c r="U71" s="2300"/>
    </row>
    <row r="72" spans="1:21">
      <c r="A72" s="2202">
        <v>1999.03</v>
      </c>
      <c r="B72" s="1707">
        <v>349476</v>
      </c>
      <c r="C72" s="3002"/>
      <c r="D72" s="2366">
        <v>349476</v>
      </c>
      <c r="E72" s="1702">
        <v>41843</v>
      </c>
      <c r="F72" s="3002"/>
      <c r="G72" s="1809"/>
      <c r="H72" s="1700">
        <v>8381</v>
      </c>
      <c r="I72" s="3278">
        <v>25</v>
      </c>
      <c r="J72" s="3278">
        <v>5755</v>
      </c>
      <c r="K72" s="3278">
        <v>140</v>
      </c>
      <c r="L72" s="3278">
        <v>1655</v>
      </c>
      <c r="M72" s="3278">
        <v>10915</v>
      </c>
      <c r="N72" s="3278">
        <v>3935</v>
      </c>
      <c r="O72" s="3278">
        <v>3774</v>
      </c>
      <c r="P72" s="3278">
        <v>7210</v>
      </c>
      <c r="Q72" s="3279">
        <v>53</v>
      </c>
      <c r="R72" s="2363"/>
      <c r="S72" s="2361"/>
      <c r="T72" s="2364"/>
      <c r="U72" s="2300"/>
    </row>
    <row r="73" spans="1:21">
      <c r="A73" s="2202">
        <v>1999.04</v>
      </c>
      <c r="B73" s="1733">
        <v>348458</v>
      </c>
      <c r="C73" s="3002"/>
      <c r="D73" s="2366">
        <v>348458</v>
      </c>
      <c r="E73" s="1708">
        <f>AVERAGE(E72,E74)</f>
        <v>42098.5</v>
      </c>
      <c r="F73" s="3002"/>
      <c r="G73" s="1809"/>
      <c r="H73" s="947">
        <f>AVERAGE(H72,H74)</f>
        <v>8405.5</v>
      </c>
      <c r="I73" s="3033">
        <f>AVERAGE(I72,I74)</f>
        <v>25</v>
      </c>
      <c r="J73" s="3033">
        <f>AVERAGE(J72,J74)</f>
        <v>5758</v>
      </c>
      <c r="K73" s="3033">
        <f t="shared" ref="K73:Q73" si="0">AVERAGE(K72,K74)</f>
        <v>140</v>
      </c>
      <c r="L73" s="3033">
        <f t="shared" si="0"/>
        <v>1663.5</v>
      </c>
      <c r="M73" s="3033">
        <f t="shared" si="0"/>
        <v>10953</v>
      </c>
      <c r="N73" s="3033">
        <f t="shared" si="0"/>
        <v>4079.5</v>
      </c>
      <c r="O73" s="3033">
        <f t="shared" si="0"/>
        <v>3789.5</v>
      </c>
      <c r="P73" s="3033">
        <f t="shared" si="0"/>
        <v>7230.5</v>
      </c>
      <c r="Q73" s="3280">
        <f t="shared" si="0"/>
        <v>54</v>
      </c>
      <c r="R73" s="2363"/>
      <c r="S73" s="2361"/>
      <c r="T73" s="2364"/>
      <c r="U73" s="2300"/>
    </row>
    <row r="74" spans="1:21">
      <c r="A74" s="2202">
        <v>1999.05</v>
      </c>
      <c r="B74" s="1707">
        <v>350371</v>
      </c>
      <c r="C74" s="3002"/>
      <c r="D74" s="2366">
        <v>350371</v>
      </c>
      <c r="E74" s="1702">
        <v>42354</v>
      </c>
      <c r="F74" s="3002"/>
      <c r="G74" s="1809"/>
      <c r="H74" s="1700">
        <v>8430</v>
      </c>
      <c r="I74" s="3278">
        <v>25</v>
      </c>
      <c r="J74" s="3278">
        <v>5761</v>
      </c>
      <c r="K74" s="3278">
        <v>140</v>
      </c>
      <c r="L74" s="3278">
        <v>1672</v>
      </c>
      <c r="M74" s="3278">
        <v>10991</v>
      </c>
      <c r="N74" s="3278">
        <v>4224</v>
      </c>
      <c r="O74" s="3278">
        <v>3805</v>
      </c>
      <c r="P74" s="3278">
        <v>7251</v>
      </c>
      <c r="Q74" s="3279">
        <v>55</v>
      </c>
      <c r="R74" s="2363"/>
      <c r="S74" s="2361"/>
      <c r="T74" s="2364"/>
      <c r="U74" s="2300"/>
    </row>
    <row r="75" spans="1:21">
      <c r="A75" s="2202">
        <v>1999.06</v>
      </c>
      <c r="B75" s="1707">
        <v>351480</v>
      </c>
      <c r="C75" s="3002"/>
      <c r="D75" s="2366">
        <v>351480</v>
      </c>
      <c r="E75" s="1702">
        <v>42576</v>
      </c>
      <c r="F75" s="3002"/>
      <c r="G75" s="1809"/>
      <c r="H75" s="1700">
        <v>8451</v>
      </c>
      <c r="I75" s="3278">
        <v>25</v>
      </c>
      <c r="J75" s="3278">
        <v>5760</v>
      </c>
      <c r="K75" s="3278">
        <v>141</v>
      </c>
      <c r="L75" s="3278">
        <v>1669</v>
      </c>
      <c r="M75" s="3278">
        <v>11026</v>
      </c>
      <c r="N75" s="3278">
        <v>4353</v>
      </c>
      <c r="O75" s="3278">
        <v>3823</v>
      </c>
      <c r="P75" s="3278">
        <v>7273</v>
      </c>
      <c r="Q75" s="3279">
        <v>55</v>
      </c>
      <c r="R75" s="2363"/>
      <c r="S75" s="2361"/>
      <c r="T75" s="2364"/>
      <c r="U75" s="2300"/>
    </row>
    <row r="76" spans="1:21">
      <c r="A76" s="2202">
        <v>1999.07</v>
      </c>
      <c r="B76" s="1707">
        <v>350871</v>
      </c>
      <c r="C76" s="3002"/>
      <c r="D76" s="2366">
        <v>350871</v>
      </c>
      <c r="E76" s="1702">
        <v>42669</v>
      </c>
      <c r="F76" s="3002"/>
      <c r="G76" s="1809"/>
      <c r="H76" s="1700">
        <v>8440</v>
      </c>
      <c r="I76" s="3278">
        <v>25</v>
      </c>
      <c r="J76" s="3278">
        <v>5727</v>
      </c>
      <c r="K76" s="3278">
        <v>141</v>
      </c>
      <c r="L76" s="3278">
        <v>1660</v>
      </c>
      <c r="M76" s="3278">
        <v>11050</v>
      </c>
      <c r="N76" s="3278">
        <v>4443</v>
      </c>
      <c r="O76" s="3278">
        <v>3824</v>
      </c>
      <c r="P76" s="3278">
        <v>7305</v>
      </c>
      <c r="Q76" s="3279">
        <v>54</v>
      </c>
      <c r="R76" s="2363"/>
      <c r="S76" s="2361"/>
      <c r="T76" s="2364"/>
      <c r="U76" s="2300"/>
    </row>
    <row r="77" spans="1:21">
      <c r="A77" s="2202">
        <v>1999.08</v>
      </c>
      <c r="B77" s="1707">
        <v>350809</v>
      </c>
      <c r="C77" s="3002"/>
      <c r="D77" s="2366">
        <v>350809</v>
      </c>
      <c r="E77" s="1702">
        <v>43551</v>
      </c>
      <c r="F77" s="3002"/>
      <c r="G77" s="1809"/>
      <c r="H77" s="1700">
        <v>8516</v>
      </c>
      <c r="I77" s="3278">
        <v>27</v>
      </c>
      <c r="J77" s="3278">
        <v>5791</v>
      </c>
      <c r="K77" s="3278">
        <v>141</v>
      </c>
      <c r="L77" s="3278">
        <v>1717</v>
      </c>
      <c r="M77" s="3278">
        <v>11253</v>
      </c>
      <c r="N77" s="3278">
        <v>4764</v>
      </c>
      <c r="O77" s="3278">
        <v>3857</v>
      </c>
      <c r="P77" s="3278">
        <v>7435</v>
      </c>
      <c r="Q77" s="3279">
        <v>50</v>
      </c>
      <c r="R77" s="2363"/>
      <c r="S77" s="2361"/>
      <c r="T77" s="2364"/>
      <c r="U77" s="2300"/>
    </row>
    <row r="78" spans="1:21">
      <c r="A78" s="2202">
        <v>1999.09</v>
      </c>
      <c r="B78" s="1707">
        <v>351308</v>
      </c>
      <c r="C78" s="3002"/>
      <c r="D78" s="2366">
        <v>351308</v>
      </c>
      <c r="E78" s="1702">
        <v>43124</v>
      </c>
      <c r="F78" s="3002"/>
      <c r="G78" s="1809"/>
      <c r="H78" s="1700">
        <v>8458</v>
      </c>
      <c r="I78" s="3278">
        <v>27</v>
      </c>
      <c r="J78" s="3278">
        <v>5699</v>
      </c>
      <c r="K78" s="3278">
        <v>141</v>
      </c>
      <c r="L78" s="3278">
        <v>1682</v>
      </c>
      <c r="M78" s="3278">
        <v>11134</v>
      </c>
      <c r="N78" s="3278">
        <v>4729</v>
      </c>
      <c r="O78" s="3278">
        <v>3856</v>
      </c>
      <c r="P78" s="3278">
        <v>7347</v>
      </c>
      <c r="Q78" s="3279">
        <v>51</v>
      </c>
      <c r="R78" s="2363"/>
      <c r="S78" s="2361"/>
      <c r="T78" s="2364"/>
      <c r="U78" s="2300"/>
    </row>
    <row r="79" spans="1:21">
      <c r="A79" s="2202">
        <v>1999.1</v>
      </c>
      <c r="B79" s="1707">
        <v>351199</v>
      </c>
      <c r="C79" s="3002"/>
      <c r="D79" s="2366">
        <v>351199</v>
      </c>
      <c r="E79" s="1702">
        <v>43096</v>
      </c>
      <c r="F79" s="3002"/>
      <c r="G79" s="1809"/>
      <c r="H79" s="1700">
        <v>8419</v>
      </c>
      <c r="I79" s="3278">
        <v>27</v>
      </c>
      <c r="J79" s="3278">
        <v>5656</v>
      </c>
      <c r="K79" s="3278">
        <v>142</v>
      </c>
      <c r="L79" s="3278">
        <v>1660</v>
      </c>
      <c r="M79" s="3278">
        <v>11152</v>
      </c>
      <c r="N79" s="3278">
        <v>4771</v>
      </c>
      <c r="O79" s="3278">
        <v>3851</v>
      </c>
      <c r="P79" s="3278">
        <v>7368</v>
      </c>
      <c r="Q79" s="3279">
        <v>50</v>
      </c>
      <c r="R79" s="2363"/>
      <c r="S79" s="2361"/>
      <c r="T79" s="2364"/>
      <c r="U79" s="2300"/>
    </row>
    <row r="80" spans="1:21">
      <c r="A80" s="2202">
        <v>1999.11</v>
      </c>
      <c r="B80" s="1707">
        <v>350625</v>
      </c>
      <c r="C80" s="3002"/>
      <c r="D80" s="2366">
        <v>350625</v>
      </c>
      <c r="E80" s="1702">
        <v>43237</v>
      </c>
      <c r="F80" s="3002"/>
      <c r="G80" s="1809"/>
      <c r="H80" s="1700">
        <v>8420</v>
      </c>
      <c r="I80" s="3278">
        <v>25</v>
      </c>
      <c r="J80" s="3278">
        <v>5619</v>
      </c>
      <c r="K80" s="3278">
        <v>142</v>
      </c>
      <c r="L80" s="3278">
        <v>1646</v>
      </c>
      <c r="M80" s="3278">
        <v>11193</v>
      </c>
      <c r="N80" s="3278">
        <v>4869</v>
      </c>
      <c r="O80" s="3278">
        <v>3864</v>
      </c>
      <c r="P80" s="3278">
        <v>7409</v>
      </c>
      <c r="Q80" s="3279">
        <v>50</v>
      </c>
      <c r="R80" s="2363"/>
      <c r="S80" s="2361"/>
      <c r="T80" s="2364"/>
      <c r="U80" s="2300"/>
    </row>
    <row r="81" spans="1:21">
      <c r="A81" s="2202">
        <v>1999.12</v>
      </c>
      <c r="B81" s="1707">
        <v>350560</v>
      </c>
      <c r="C81" s="3002"/>
      <c r="D81" s="2366">
        <v>350560</v>
      </c>
      <c r="E81" s="1702">
        <v>43703</v>
      </c>
      <c r="F81" s="3002"/>
      <c r="G81" s="1809"/>
      <c r="H81" s="1700">
        <v>8509</v>
      </c>
      <c r="I81" s="3278">
        <v>26</v>
      </c>
      <c r="J81" s="3278">
        <v>5643</v>
      </c>
      <c r="K81" s="3278">
        <v>142</v>
      </c>
      <c r="L81" s="3278">
        <v>1675</v>
      </c>
      <c r="M81" s="3278">
        <v>11299</v>
      </c>
      <c r="N81" s="3278">
        <v>4989</v>
      </c>
      <c r="O81" s="3278">
        <v>3880</v>
      </c>
      <c r="P81" s="3278">
        <v>7489</v>
      </c>
      <c r="Q81" s="3279">
        <v>51</v>
      </c>
      <c r="R81" s="2363"/>
      <c r="S81" s="2361"/>
      <c r="T81" s="2364"/>
      <c r="U81" s="2300"/>
    </row>
    <row r="82" spans="1:21">
      <c r="A82" s="2202">
        <v>2000.01</v>
      </c>
      <c r="B82" s="1707">
        <v>349325</v>
      </c>
      <c r="C82" s="3002"/>
      <c r="D82" s="2366">
        <v>349325</v>
      </c>
      <c r="E82" s="1702">
        <v>43599</v>
      </c>
      <c r="F82" s="3002"/>
      <c r="G82" s="1809"/>
      <c r="H82" s="1700">
        <v>8480</v>
      </c>
      <c r="I82" s="3278">
        <v>26</v>
      </c>
      <c r="J82" s="3278">
        <v>5564</v>
      </c>
      <c r="K82" s="3278">
        <v>141</v>
      </c>
      <c r="L82" s="3278">
        <v>1662</v>
      </c>
      <c r="M82" s="3278">
        <v>11281</v>
      </c>
      <c r="N82" s="3278">
        <v>5020</v>
      </c>
      <c r="O82" s="3278">
        <v>3889</v>
      </c>
      <c r="P82" s="3278">
        <v>7484</v>
      </c>
      <c r="Q82" s="3279">
        <v>52</v>
      </c>
      <c r="R82" s="2363"/>
      <c r="S82" s="2361"/>
      <c r="T82" s="2364"/>
      <c r="U82" s="2300"/>
    </row>
    <row r="83" spans="1:21">
      <c r="A83" s="2202">
        <v>2000.02</v>
      </c>
      <c r="B83" s="1707">
        <v>348157</v>
      </c>
      <c r="C83" s="3002"/>
      <c r="D83" s="2366">
        <v>348157</v>
      </c>
      <c r="E83" s="1702">
        <v>42944</v>
      </c>
      <c r="F83" s="3002"/>
      <c r="G83" s="1809"/>
      <c r="H83" s="1700">
        <v>8336</v>
      </c>
      <c r="I83" s="3278">
        <v>25</v>
      </c>
      <c r="J83" s="3278">
        <v>5473</v>
      </c>
      <c r="K83" s="3278">
        <v>141</v>
      </c>
      <c r="L83" s="3278">
        <v>1582</v>
      </c>
      <c r="M83" s="3278">
        <v>11077</v>
      </c>
      <c r="N83" s="3278">
        <v>4969</v>
      </c>
      <c r="O83" s="3278">
        <v>3865</v>
      </c>
      <c r="P83" s="3278">
        <v>7424</v>
      </c>
      <c r="Q83" s="3279">
        <v>52</v>
      </c>
      <c r="R83" s="2363"/>
      <c r="S83" s="2361"/>
      <c r="T83" s="2364"/>
      <c r="U83" s="2300"/>
    </row>
    <row r="84" spans="1:21">
      <c r="A84" s="2202">
        <v>2000.03</v>
      </c>
      <c r="B84" s="1707">
        <v>349023</v>
      </c>
      <c r="C84" s="3002"/>
      <c r="D84" s="2366">
        <v>349023</v>
      </c>
      <c r="E84" s="1702">
        <v>43220</v>
      </c>
      <c r="F84" s="3002"/>
      <c r="G84" s="1809"/>
      <c r="H84" s="1700">
        <v>8357</v>
      </c>
      <c r="I84" s="3278">
        <v>26</v>
      </c>
      <c r="J84" s="3278">
        <v>5484</v>
      </c>
      <c r="K84" s="3278">
        <v>141</v>
      </c>
      <c r="L84" s="3278">
        <v>1599</v>
      </c>
      <c r="M84" s="3278">
        <v>11155</v>
      </c>
      <c r="N84" s="3278">
        <v>5046</v>
      </c>
      <c r="O84" s="3278">
        <v>3888</v>
      </c>
      <c r="P84" s="3278">
        <v>7472</v>
      </c>
      <c r="Q84" s="3279">
        <v>52</v>
      </c>
      <c r="R84" s="2363"/>
      <c r="S84" s="2361"/>
      <c r="T84" s="2364"/>
      <c r="U84" s="2300"/>
    </row>
    <row r="85" spans="1:21">
      <c r="A85" s="2202">
        <v>2000.04</v>
      </c>
      <c r="B85" s="1707">
        <v>347804</v>
      </c>
      <c r="C85" s="3002"/>
      <c r="D85" s="2366">
        <v>347804</v>
      </c>
      <c r="E85" s="1702">
        <v>43157</v>
      </c>
      <c r="F85" s="3002"/>
      <c r="G85" s="1809"/>
      <c r="H85" s="1700">
        <v>8328</v>
      </c>
      <c r="I85" s="3278">
        <v>26</v>
      </c>
      <c r="J85" s="3278">
        <v>5456</v>
      </c>
      <c r="K85" s="3278">
        <v>142</v>
      </c>
      <c r="L85" s="3278">
        <v>1592</v>
      </c>
      <c r="M85" s="3278">
        <v>11134</v>
      </c>
      <c r="N85" s="3278">
        <v>5071</v>
      </c>
      <c r="O85" s="3278">
        <v>3872</v>
      </c>
      <c r="P85" s="3278">
        <v>7484</v>
      </c>
      <c r="Q85" s="3279">
        <v>52</v>
      </c>
      <c r="R85" s="2363"/>
      <c r="S85" s="2361"/>
      <c r="T85" s="2364"/>
      <c r="U85" s="2300"/>
    </row>
    <row r="86" spans="1:21">
      <c r="A86" s="2202">
        <v>2000.05</v>
      </c>
      <c r="B86" s="1707">
        <v>347791</v>
      </c>
      <c r="C86" s="3002"/>
      <c r="D86" s="2366">
        <v>347791</v>
      </c>
      <c r="E86" s="1702">
        <v>42800</v>
      </c>
      <c r="F86" s="3002"/>
      <c r="G86" s="1809"/>
      <c r="H86" s="1700">
        <v>8254</v>
      </c>
      <c r="I86" s="3278">
        <v>26</v>
      </c>
      <c r="J86" s="3278">
        <v>5389</v>
      </c>
      <c r="K86" s="3278">
        <v>142</v>
      </c>
      <c r="L86" s="3278">
        <v>1550</v>
      </c>
      <c r="M86" s="3278">
        <v>11027</v>
      </c>
      <c r="N86" s="3278">
        <v>5049</v>
      </c>
      <c r="O86" s="3278">
        <v>3874</v>
      </c>
      <c r="P86" s="3278">
        <v>7437</v>
      </c>
      <c r="Q86" s="3279">
        <v>52</v>
      </c>
      <c r="R86" s="2363"/>
      <c r="S86" s="2361"/>
      <c r="T86" s="2364"/>
      <c r="U86" s="2300"/>
    </row>
    <row r="87" spans="1:21">
      <c r="A87" s="2202">
        <v>2000.06</v>
      </c>
      <c r="B87" s="1707">
        <v>347447</v>
      </c>
      <c r="C87" s="3002"/>
      <c r="D87" s="2366">
        <v>347447</v>
      </c>
      <c r="E87" s="1702">
        <v>42915</v>
      </c>
      <c r="F87" s="3002"/>
      <c r="G87" s="1809"/>
      <c r="H87" s="1700">
        <v>8263</v>
      </c>
      <c r="I87" s="3278">
        <v>26</v>
      </c>
      <c r="J87" s="3278">
        <v>5393</v>
      </c>
      <c r="K87" s="3278">
        <v>142</v>
      </c>
      <c r="L87" s="3278">
        <v>1559</v>
      </c>
      <c r="M87" s="3278">
        <v>11038</v>
      </c>
      <c r="N87" s="3278">
        <v>5117</v>
      </c>
      <c r="O87" s="3278">
        <v>3884</v>
      </c>
      <c r="P87" s="3278">
        <v>7441</v>
      </c>
      <c r="Q87" s="3279">
        <v>52</v>
      </c>
      <c r="R87" s="2363"/>
      <c r="S87" s="2361"/>
      <c r="T87" s="2364"/>
      <c r="U87" s="2300"/>
    </row>
    <row r="88" spans="1:21">
      <c r="A88" s="2202">
        <v>2000.07</v>
      </c>
      <c r="B88" s="1707">
        <v>346301</v>
      </c>
      <c r="C88" s="3002"/>
      <c r="D88" s="2366">
        <v>346301</v>
      </c>
      <c r="E88" s="1702">
        <v>42861</v>
      </c>
      <c r="F88" s="3002"/>
      <c r="G88" s="1809"/>
      <c r="H88" s="1700">
        <v>8264</v>
      </c>
      <c r="I88" s="3278">
        <v>26</v>
      </c>
      <c r="J88" s="3278">
        <v>5376</v>
      </c>
      <c r="K88" s="3278">
        <v>143</v>
      </c>
      <c r="L88" s="3278">
        <v>1563</v>
      </c>
      <c r="M88" s="3278">
        <v>10999</v>
      </c>
      <c r="N88" s="3278">
        <v>5120</v>
      </c>
      <c r="O88" s="3278">
        <v>3888</v>
      </c>
      <c r="P88" s="3278">
        <v>7430</v>
      </c>
      <c r="Q88" s="3279">
        <v>52</v>
      </c>
      <c r="R88" s="2363"/>
      <c r="S88" s="2361"/>
      <c r="T88" s="2364"/>
      <c r="U88" s="2300"/>
    </row>
    <row r="89" spans="1:21">
      <c r="A89" s="2202">
        <v>2000.08</v>
      </c>
      <c r="B89" s="1707">
        <v>346613</v>
      </c>
      <c r="C89" s="3002"/>
      <c r="D89" s="2366">
        <v>346613</v>
      </c>
      <c r="E89" s="1702">
        <v>42714</v>
      </c>
      <c r="F89" s="3002"/>
      <c r="G89" s="1809"/>
      <c r="H89" s="1700">
        <v>8223</v>
      </c>
      <c r="I89" s="3278">
        <v>26</v>
      </c>
      <c r="J89" s="3278">
        <v>5335</v>
      </c>
      <c r="K89" s="3278">
        <v>143</v>
      </c>
      <c r="L89" s="3278">
        <v>1548</v>
      </c>
      <c r="M89" s="3278">
        <v>10949</v>
      </c>
      <c r="N89" s="3278">
        <v>5127</v>
      </c>
      <c r="O89" s="3278">
        <v>3896</v>
      </c>
      <c r="P89" s="3278">
        <v>7415</v>
      </c>
      <c r="Q89" s="3279">
        <v>52</v>
      </c>
      <c r="R89" s="2363"/>
      <c r="S89" s="2361"/>
      <c r="T89" s="2364"/>
      <c r="U89" s="2300"/>
    </row>
    <row r="90" spans="1:21">
      <c r="A90" s="2202">
        <v>2000.09</v>
      </c>
      <c r="B90" s="1707">
        <v>347791</v>
      </c>
      <c r="C90" s="3002"/>
      <c r="D90" s="2366">
        <v>347791</v>
      </c>
      <c r="E90" s="1702">
        <v>42876</v>
      </c>
      <c r="F90" s="3002"/>
      <c r="G90" s="1809"/>
      <c r="H90" s="1700">
        <v>8251</v>
      </c>
      <c r="I90" s="3278">
        <v>28</v>
      </c>
      <c r="J90" s="3278">
        <v>5335</v>
      </c>
      <c r="K90" s="3278">
        <v>143</v>
      </c>
      <c r="L90" s="3278">
        <v>1559</v>
      </c>
      <c r="M90" s="3278">
        <v>10995</v>
      </c>
      <c r="N90" s="3278">
        <v>5161</v>
      </c>
      <c r="O90" s="3278">
        <v>3908</v>
      </c>
      <c r="P90" s="3278">
        <v>7445</v>
      </c>
      <c r="Q90" s="3279">
        <v>51</v>
      </c>
      <c r="R90" s="2363"/>
      <c r="S90" s="2361"/>
      <c r="T90" s="2364"/>
      <c r="U90" s="2300"/>
    </row>
    <row r="91" spans="1:21">
      <c r="A91" s="2202">
        <v>2000.1</v>
      </c>
      <c r="B91" s="1707">
        <v>348867</v>
      </c>
      <c r="C91" s="3002"/>
      <c r="D91" s="2366">
        <v>348867</v>
      </c>
      <c r="E91" s="1702">
        <v>42873</v>
      </c>
      <c r="F91" s="3002"/>
      <c r="G91" s="1809"/>
      <c r="H91" s="1700">
        <v>8250</v>
      </c>
      <c r="I91" s="3278">
        <v>29</v>
      </c>
      <c r="J91" s="3278">
        <v>5318</v>
      </c>
      <c r="K91" s="3278">
        <v>143</v>
      </c>
      <c r="L91" s="3278">
        <v>1572</v>
      </c>
      <c r="M91" s="3278">
        <v>10943</v>
      </c>
      <c r="N91" s="3278">
        <v>5209</v>
      </c>
      <c r="O91" s="3278">
        <v>3902</v>
      </c>
      <c r="P91" s="3278">
        <v>7456</v>
      </c>
      <c r="Q91" s="3279">
        <v>51</v>
      </c>
      <c r="R91" s="2363"/>
      <c r="S91" s="2361"/>
      <c r="T91" s="2364"/>
      <c r="U91" s="2300"/>
    </row>
    <row r="92" spans="1:21">
      <c r="A92" s="2202">
        <v>2000.11</v>
      </c>
      <c r="B92" s="1707">
        <v>350116</v>
      </c>
      <c r="C92" s="3002"/>
      <c r="D92" s="2366">
        <v>350116</v>
      </c>
      <c r="E92" s="1702">
        <v>42991</v>
      </c>
      <c r="F92" s="3002"/>
      <c r="G92" s="1809"/>
      <c r="H92" s="1700">
        <v>8275</v>
      </c>
      <c r="I92" s="3278">
        <v>31</v>
      </c>
      <c r="J92" s="3278">
        <v>5329</v>
      </c>
      <c r="K92" s="3278">
        <v>143</v>
      </c>
      <c r="L92" s="3278">
        <v>1560</v>
      </c>
      <c r="M92" s="3278">
        <v>10994</v>
      </c>
      <c r="N92" s="3278">
        <v>5221</v>
      </c>
      <c r="O92" s="3278">
        <v>3914</v>
      </c>
      <c r="P92" s="3278">
        <v>7473</v>
      </c>
      <c r="Q92" s="3279">
        <v>51</v>
      </c>
      <c r="R92" s="2363"/>
      <c r="S92" s="2361"/>
      <c r="T92" s="2364"/>
      <c r="U92" s="2300"/>
    </row>
    <row r="93" spans="1:21">
      <c r="A93" s="2202">
        <v>2000.12</v>
      </c>
      <c r="B93" s="1707">
        <v>350920</v>
      </c>
      <c r="C93" s="3002"/>
      <c r="D93" s="2366">
        <v>350920</v>
      </c>
      <c r="E93" s="1702">
        <v>43184</v>
      </c>
      <c r="F93" s="3002"/>
      <c r="G93" s="1809"/>
      <c r="H93" s="1700">
        <v>8323</v>
      </c>
      <c r="I93" s="3278">
        <v>31</v>
      </c>
      <c r="J93" s="3278">
        <v>5333</v>
      </c>
      <c r="K93" s="3278">
        <v>143</v>
      </c>
      <c r="L93" s="3278">
        <v>1572</v>
      </c>
      <c r="M93" s="3278">
        <v>11047</v>
      </c>
      <c r="N93" s="3278">
        <v>5260</v>
      </c>
      <c r="O93" s="3278">
        <v>3936</v>
      </c>
      <c r="P93" s="3278">
        <v>7488</v>
      </c>
      <c r="Q93" s="3279">
        <v>51</v>
      </c>
      <c r="R93" s="2363"/>
      <c r="S93" s="2361"/>
      <c r="T93" s="2364"/>
      <c r="U93" s="2300"/>
    </row>
    <row r="94" spans="1:21">
      <c r="A94" s="2202">
        <v>2001.01</v>
      </c>
      <c r="B94" s="1707">
        <v>350849</v>
      </c>
      <c r="C94" s="3002"/>
      <c r="D94" s="2366">
        <v>350849</v>
      </c>
      <c r="E94" s="1702">
        <v>43221</v>
      </c>
      <c r="F94" s="3002"/>
      <c r="G94" s="2367"/>
      <c r="H94" s="1700">
        <v>8334</v>
      </c>
      <c r="I94" s="3278">
        <v>30</v>
      </c>
      <c r="J94" s="3278">
        <v>5335</v>
      </c>
      <c r="K94" s="3278">
        <v>143</v>
      </c>
      <c r="L94" s="3278">
        <v>1582</v>
      </c>
      <c r="M94" s="3278">
        <v>11054</v>
      </c>
      <c r="N94" s="3278">
        <v>5262</v>
      </c>
      <c r="O94" s="3278">
        <v>3944</v>
      </c>
      <c r="P94" s="3278">
        <v>7486</v>
      </c>
      <c r="Q94" s="3279">
        <v>51</v>
      </c>
      <c r="R94" s="2363"/>
      <c r="S94" s="2361"/>
      <c r="T94" s="2364"/>
      <c r="U94" s="2300"/>
    </row>
    <row r="95" spans="1:21">
      <c r="A95" s="2202">
        <v>2001.02</v>
      </c>
      <c r="B95" s="1707">
        <v>349105</v>
      </c>
      <c r="C95" s="3002"/>
      <c r="D95" s="2366">
        <v>349105</v>
      </c>
      <c r="E95" s="1702">
        <v>42123</v>
      </c>
      <c r="F95" s="3002"/>
      <c r="G95" s="2367"/>
      <c r="H95" s="1700">
        <v>8189</v>
      </c>
      <c r="I95" s="3278">
        <v>30</v>
      </c>
      <c r="J95" s="3278">
        <v>5153</v>
      </c>
      <c r="K95" s="3278">
        <v>138</v>
      </c>
      <c r="L95" s="3278">
        <v>1532</v>
      </c>
      <c r="M95" s="3278">
        <v>10700</v>
      </c>
      <c r="N95" s="3278">
        <v>5094</v>
      </c>
      <c r="O95" s="3278">
        <v>3881</v>
      </c>
      <c r="P95" s="3278">
        <v>7355</v>
      </c>
      <c r="Q95" s="3279">
        <v>51</v>
      </c>
      <c r="R95" s="2363"/>
      <c r="S95" s="2361"/>
      <c r="T95" s="2364"/>
      <c r="U95" s="2300"/>
    </row>
    <row r="96" spans="1:21">
      <c r="A96" s="2202">
        <v>2001.03</v>
      </c>
      <c r="B96" s="1707">
        <v>349498</v>
      </c>
      <c r="C96" s="3002"/>
      <c r="D96" s="2366">
        <v>349498</v>
      </c>
      <c r="E96" s="1702">
        <v>42006</v>
      </c>
      <c r="F96" s="3002"/>
      <c r="G96" s="2367"/>
      <c r="H96" s="1700">
        <v>8241</v>
      </c>
      <c r="I96" s="3278">
        <v>31</v>
      </c>
      <c r="J96" s="3278">
        <v>5172</v>
      </c>
      <c r="K96" s="3278">
        <v>141</v>
      </c>
      <c r="L96" s="3278">
        <v>1536</v>
      </c>
      <c r="M96" s="3278">
        <v>10723</v>
      </c>
      <c r="N96" s="3278">
        <v>4785</v>
      </c>
      <c r="O96" s="3278">
        <v>3928</v>
      </c>
      <c r="P96" s="3278">
        <v>7398</v>
      </c>
      <c r="Q96" s="3279">
        <v>51</v>
      </c>
      <c r="R96" s="2363"/>
      <c r="S96" s="2361"/>
      <c r="T96" s="2364"/>
      <c r="U96" s="2300"/>
    </row>
    <row r="97" spans="1:21">
      <c r="A97" s="2202">
        <v>2001.04</v>
      </c>
      <c r="B97" s="1707">
        <v>347187</v>
      </c>
      <c r="C97" s="3002"/>
      <c r="D97" s="2366">
        <v>347187</v>
      </c>
      <c r="E97" s="1702">
        <v>42139</v>
      </c>
      <c r="F97" s="3002"/>
      <c r="G97" s="2367"/>
      <c r="H97" s="1700">
        <v>8264</v>
      </c>
      <c r="I97" s="3278">
        <v>31</v>
      </c>
      <c r="J97" s="3278">
        <v>5189</v>
      </c>
      <c r="K97" s="3278">
        <v>141</v>
      </c>
      <c r="L97" s="3278">
        <v>1525</v>
      </c>
      <c r="M97" s="3278">
        <v>10756</v>
      </c>
      <c r="N97" s="3278">
        <v>4827</v>
      </c>
      <c r="O97" s="3278">
        <v>3943</v>
      </c>
      <c r="P97" s="3278">
        <v>7412</v>
      </c>
      <c r="Q97" s="3279">
        <v>51</v>
      </c>
      <c r="R97" s="2363"/>
      <c r="S97" s="2361"/>
      <c r="T97" s="2364"/>
      <c r="U97" s="2300"/>
    </row>
    <row r="98" spans="1:21">
      <c r="A98" s="2202">
        <v>2001.05</v>
      </c>
      <c r="B98" s="1707">
        <v>337386</v>
      </c>
      <c r="C98" s="3002"/>
      <c r="D98" s="2366">
        <v>337386</v>
      </c>
      <c r="E98" s="1702">
        <v>41763</v>
      </c>
      <c r="F98" s="3002"/>
      <c r="G98" s="2367"/>
      <c r="H98" s="1700">
        <v>8222</v>
      </c>
      <c r="I98" s="3278">
        <v>30</v>
      </c>
      <c r="J98" s="3278">
        <v>5124</v>
      </c>
      <c r="K98" s="3278">
        <v>142</v>
      </c>
      <c r="L98" s="3278">
        <v>1510</v>
      </c>
      <c r="M98" s="3278">
        <v>10612</v>
      </c>
      <c r="N98" s="3278">
        <v>4754</v>
      </c>
      <c r="O98" s="3278">
        <v>3940</v>
      </c>
      <c r="P98" s="3278">
        <v>7379</v>
      </c>
      <c r="Q98" s="3279">
        <v>50</v>
      </c>
      <c r="R98" s="2363"/>
      <c r="S98" s="2361"/>
      <c r="T98" s="2364"/>
      <c r="U98" s="2300"/>
    </row>
    <row r="99" spans="1:21">
      <c r="A99" s="2202">
        <v>2001.06</v>
      </c>
      <c r="B99" s="1707">
        <v>346965</v>
      </c>
      <c r="C99" s="3002"/>
      <c r="D99" s="2366">
        <v>346965</v>
      </c>
      <c r="E99" s="1702">
        <v>41829</v>
      </c>
      <c r="F99" s="3002"/>
      <c r="G99" s="2367"/>
      <c r="H99" s="1700">
        <v>8239</v>
      </c>
      <c r="I99" s="3278">
        <v>30</v>
      </c>
      <c r="J99" s="3278">
        <v>5123</v>
      </c>
      <c r="K99" s="3278">
        <v>142</v>
      </c>
      <c r="L99" s="3278">
        <v>1507</v>
      </c>
      <c r="M99" s="3278">
        <v>10615</v>
      </c>
      <c r="N99" s="3278">
        <v>4788</v>
      </c>
      <c r="O99" s="3278">
        <v>3949</v>
      </c>
      <c r="P99" s="3278">
        <v>7387</v>
      </c>
      <c r="Q99" s="3279">
        <v>49</v>
      </c>
      <c r="R99" s="2363"/>
      <c r="S99" s="2361"/>
      <c r="T99" s="2364"/>
      <c r="U99" s="2300"/>
    </row>
    <row r="100" spans="1:21">
      <c r="A100" s="2202">
        <v>2001.07</v>
      </c>
      <c r="B100" s="1707">
        <v>346562</v>
      </c>
      <c r="C100" s="3002"/>
      <c r="D100" s="2366">
        <v>346562</v>
      </c>
      <c r="E100" s="1702">
        <v>41439</v>
      </c>
      <c r="F100" s="3002"/>
      <c r="G100" s="2367"/>
      <c r="H100" s="1700">
        <v>8195</v>
      </c>
      <c r="I100" s="3278">
        <v>26</v>
      </c>
      <c r="J100" s="3278">
        <v>5031</v>
      </c>
      <c r="K100" s="3278">
        <v>141</v>
      </c>
      <c r="L100" s="3278">
        <v>1477</v>
      </c>
      <c r="M100" s="3278">
        <v>10485</v>
      </c>
      <c r="N100" s="3278">
        <v>4749</v>
      </c>
      <c r="O100" s="3278">
        <v>3930</v>
      </c>
      <c r="P100" s="3278">
        <v>7358</v>
      </c>
      <c r="Q100" s="3279">
        <v>47</v>
      </c>
      <c r="R100" s="2363"/>
      <c r="S100" s="2361"/>
      <c r="T100" s="2364"/>
      <c r="U100" s="2300"/>
    </row>
    <row r="101" spans="1:21">
      <c r="A101" s="2202">
        <v>2001.08</v>
      </c>
      <c r="B101" s="1707">
        <v>343961</v>
      </c>
      <c r="C101" s="3002"/>
      <c r="D101" s="2366">
        <v>343961</v>
      </c>
      <c r="E101" s="1702">
        <v>41244</v>
      </c>
      <c r="F101" s="3002"/>
      <c r="G101" s="2367"/>
      <c r="H101" s="1700">
        <v>8176</v>
      </c>
      <c r="I101" s="3278">
        <v>26</v>
      </c>
      <c r="J101" s="3278">
        <v>4990</v>
      </c>
      <c r="K101" s="3278">
        <v>141</v>
      </c>
      <c r="L101" s="3278">
        <v>1462</v>
      </c>
      <c r="M101" s="3278">
        <v>10399</v>
      </c>
      <c r="N101" s="3278">
        <v>4755</v>
      </c>
      <c r="O101" s="3278">
        <v>3924</v>
      </c>
      <c r="P101" s="3278">
        <v>7325</v>
      </c>
      <c r="Q101" s="3279">
        <v>46</v>
      </c>
      <c r="R101" s="2363"/>
      <c r="S101" s="2361"/>
      <c r="T101" s="2364"/>
      <c r="U101" s="2300"/>
    </row>
    <row r="102" spans="1:21">
      <c r="A102" s="2202">
        <v>2001.09</v>
      </c>
      <c r="B102" s="1707">
        <v>342257</v>
      </c>
      <c r="C102" s="3002"/>
      <c r="D102" s="2366">
        <v>342257</v>
      </c>
      <c r="E102" s="1702">
        <v>41342</v>
      </c>
      <c r="F102" s="3002"/>
      <c r="G102" s="2367"/>
      <c r="H102" s="1700">
        <v>8185</v>
      </c>
      <c r="I102" s="3278">
        <v>26</v>
      </c>
      <c r="J102" s="3278">
        <v>4978</v>
      </c>
      <c r="K102" s="3278">
        <v>142</v>
      </c>
      <c r="L102" s="3278">
        <v>1471</v>
      </c>
      <c r="M102" s="3278">
        <v>10426</v>
      </c>
      <c r="N102" s="3278">
        <v>4780</v>
      </c>
      <c r="O102" s="3278">
        <v>3940</v>
      </c>
      <c r="P102" s="3278">
        <v>7348</v>
      </c>
      <c r="Q102" s="3279">
        <v>46</v>
      </c>
      <c r="R102" s="2363"/>
      <c r="S102" s="2361"/>
      <c r="T102" s="2364"/>
      <c r="U102" s="2300"/>
    </row>
    <row r="103" spans="1:21">
      <c r="A103" s="2202">
        <v>2001.1</v>
      </c>
      <c r="B103" s="1707">
        <v>340234</v>
      </c>
      <c r="C103" s="3002"/>
      <c r="D103" s="2366">
        <v>340234</v>
      </c>
      <c r="E103" s="1702">
        <v>41418</v>
      </c>
      <c r="F103" s="3002"/>
      <c r="G103" s="2367"/>
      <c r="H103" s="1700">
        <v>8201</v>
      </c>
      <c r="I103" s="3278">
        <v>26</v>
      </c>
      <c r="J103" s="3278">
        <v>4978</v>
      </c>
      <c r="K103" s="3278">
        <v>143</v>
      </c>
      <c r="L103" s="3278">
        <v>1471</v>
      </c>
      <c r="M103" s="3278">
        <v>10448</v>
      </c>
      <c r="N103" s="3278">
        <v>4804</v>
      </c>
      <c r="O103" s="3278">
        <v>3947</v>
      </c>
      <c r="P103" s="3278">
        <v>7354</v>
      </c>
      <c r="Q103" s="3279">
        <v>46</v>
      </c>
      <c r="R103" s="2363"/>
      <c r="S103" s="2361"/>
      <c r="T103" s="2364"/>
      <c r="U103" s="2300"/>
    </row>
    <row r="104" spans="1:21">
      <c r="A104" s="2202">
        <v>2001.11</v>
      </c>
      <c r="B104" s="1707">
        <v>334892</v>
      </c>
      <c r="C104" s="3002"/>
      <c r="D104" s="2366">
        <v>334892</v>
      </c>
      <c r="E104" s="1702">
        <v>40987</v>
      </c>
      <c r="F104" s="3002"/>
      <c r="G104" s="2367"/>
      <c r="H104" s="1700">
        <v>8157</v>
      </c>
      <c r="I104" s="3278">
        <v>27</v>
      </c>
      <c r="J104" s="3278">
        <v>4862</v>
      </c>
      <c r="K104" s="3278">
        <v>142</v>
      </c>
      <c r="L104" s="3278">
        <v>1446</v>
      </c>
      <c r="M104" s="3278">
        <v>10347</v>
      </c>
      <c r="N104" s="3278">
        <v>4734</v>
      </c>
      <c r="O104" s="3278">
        <v>3922</v>
      </c>
      <c r="P104" s="3278">
        <v>7304</v>
      </c>
      <c r="Q104" s="3279">
        <v>46</v>
      </c>
      <c r="R104" s="2363"/>
      <c r="S104" s="2361"/>
      <c r="T104" s="2364"/>
      <c r="U104" s="2300"/>
    </row>
    <row r="105" spans="1:21">
      <c r="A105" s="2202">
        <v>2001.12</v>
      </c>
      <c r="B105" s="1707">
        <v>330276</v>
      </c>
      <c r="C105" s="3002"/>
      <c r="D105" s="2366">
        <v>330276</v>
      </c>
      <c r="E105" s="1702">
        <v>40418</v>
      </c>
      <c r="F105" s="3002"/>
      <c r="G105" s="2367"/>
      <c r="H105" s="1700">
        <v>8034</v>
      </c>
      <c r="I105" s="3278">
        <v>27</v>
      </c>
      <c r="J105" s="3278">
        <v>4740</v>
      </c>
      <c r="K105" s="3278">
        <v>142</v>
      </c>
      <c r="L105" s="3278">
        <v>1443</v>
      </c>
      <c r="M105" s="3278">
        <v>10154</v>
      </c>
      <c r="N105" s="3278">
        <v>4722</v>
      </c>
      <c r="O105" s="3278">
        <v>3888</v>
      </c>
      <c r="P105" s="3278">
        <v>7222</v>
      </c>
      <c r="Q105" s="3279">
        <v>46</v>
      </c>
      <c r="R105" s="2363"/>
      <c r="S105" s="2361"/>
      <c r="T105" s="2364"/>
      <c r="U105" s="2300"/>
    </row>
    <row r="106" spans="1:21">
      <c r="A106" s="2202">
        <v>2002.01</v>
      </c>
      <c r="B106" s="1707">
        <v>325189</v>
      </c>
      <c r="C106" s="3002"/>
      <c r="D106" s="2366">
        <v>325189</v>
      </c>
      <c r="E106" s="1702">
        <v>40291</v>
      </c>
      <c r="F106" s="3002"/>
      <c r="G106" s="2367"/>
      <c r="H106" s="1700">
        <v>8030</v>
      </c>
      <c r="I106" s="3278">
        <v>27</v>
      </c>
      <c r="J106" s="3278">
        <v>4674</v>
      </c>
      <c r="K106" s="3278">
        <v>142</v>
      </c>
      <c r="L106" s="3278">
        <v>1433</v>
      </c>
      <c r="M106" s="3278">
        <v>10146</v>
      </c>
      <c r="N106" s="3278">
        <v>4711</v>
      </c>
      <c r="O106" s="3278">
        <v>3862</v>
      </c>
      <c r="P106" s="3278">
        <v>7220</v>
      </c>
      <c r="Q106" s="3279">
        <v>46</v>
      </c>
      <c r="R106" s="2363"/>
      <c r="S106" s="2361"/>
      <c r="T106" s="2364"/>
      <c r="U106" s="2300"/>
    </row>
    <row r="107" spans="1:21">
      <c r="A107" s="2202">
        <v>2002.02</v>
      </c>
      <c r="B107" s="1707">
        <v>318103</v>
      </c>
      <c r="C107" s="3002"/>
      <c r="D107" s="2366">
        <v>318103</v>
      </c>
      <c r="E107" s="1702">
        <v>39973</v>
      </c>
      <c r="F107" s="3002"/>
      <c r="G107" s="2367"/>
      <c r="H107" s="1700">
        <v>7979</v>
      </c>
      <c r="I107" s="3278">
        <v>27</v>
      </c>
      <c r="J107" s="3278">
        <v>4599</v>
      </c>
      <c r="K107" s="3278">
        <v>143</v>
      </c>
      <c r="L107" s="3278">
        <v>1405</v>
      </c>
      <c r="M107" s="3278">
        <v>10063</v>
      </c>
      <c r="N107" s="3278">
        <v>4655</v>
      </c>
      <c r="O107" s="3278">
        <v>3863</v>
      </c>
      <c r="P107" s="3278">
        <v>7194</v>
      </c>
      <c r="Q107" s="3279">
        <v>45</v>
      </c>
      <c r="R107" s="2363"/>
      <c r="S107" s="2361"/>
      <c r="T107" s="2364"/>
      <c r="U107" s="2300"/>
    </row>
    <row r="108" spans="1:21">
      <c r="A108" s="2202">
        <v>2002.03</v>
      </c>
      <c r="B108" s="1707">
        <v>312796</v>
      </c>
      <c r="C108" s="3002"/>
      <c r="D108" s="2366">
        <v>312796</v>
      </c>
      <c r="E108" s="1702">
        <v>39760</v>
      </c>
      <c r="F108" s="3002"/>
      <c r="G108" s="2367"/>
      <c r="H108" s="1700">
        <v>7993</v>
      </c>
      <c r="I108" s="3278">
        <v>26</v>
      </c>
      <c r="J108" s="3278">
        <v>4533</v>
      </c>
      <c r="K108" s="3278">
        <v>142</v>
      </c>
      <c r="L108" s="3278">
        <v>1386</v>
      </c>
      <c r="M108" s="3278">
        <v>9982</v>
      </c>
      <c r="N108" s="3278">
        <v>4625</v>
      </c>
      <c r="O108" s="3278">
        <v>3854</v>
      </c>
      <c r="P108" s="3278">
        <v>7175</v>
      </c>
      <c r="Q108" s="3279">
        <v>44</v>
      </c>
      <c r="R108" s="2363"/>
      <c r="S108" s="2361"/>
      <c r="T108" s="2364"/>
      <c r="U108" s="2300"/>
    </row>
    <row r="109" spans="1:21">
      <c r="A109" s="2202">
        <v>2002.04</v>
      </c>
      <c r="B109" s="1707">
        <v>307199</v>
      </c>
      <c r="C109" s="3002"/>
      <c r="D109" s="2366">
        <v>307199</v>
      </c>
      <c r="E109" s="1702">
        <v>39575</v>
      </c>
      <c r="F109" s="3002"/>
      <c r="G109" s="2367"/>
      <c r="H109" s="1700">
        <v>8023</v>
      </c>
      <c r="I109" s="3278">
        <v>25</v>
      </c>
      <c r="J109" s="3278">
        <v>4466</v>
      </c>
      <c r="K109" s="3278">
        <v>142</v>
      </c>
      <c r="L109" s="3278">
        <v>1367</v>
      </c>
      <c r="M109" s="3278">
        <v>9888</v>
      </c>
      <c r="N109" s="3278">
        <v>4633</v>
      </c>
      <c r="O109" s="3278">
        <v>3845</v>
      </c>
      <c r="P109" s="3278">
        <v>7142</v>
      </c>
      <c r="Q109" s="3279">
        <v>44</v>
      </c>
      <c r="R109" s="2363"/>
      <c r="S109" s="2361"/>
      <c r="T109" s="2364"/>
      <c r="U109" s="2300"/>
    </row>
    <row r="110" spans="1:21">
      <c r="A110" s="2202">
        <v>2002.05</v>
      </c>
      <c r="B110" s="1707">
        <v>302772</v>
      </c>
      <c r="C110" s="3002"/>
      <c r="D110" s="2366">
        <v>302772</v>
      </c>
      <c r="E110" s="1702">
        <v>39194</v>
      </c>
      <c r="F110" s="3002"/>
      <c r="G110" s="2367"/>
      <c r="H110" s="1700">
        <v>7986</v>
      </c>
      <c r="I110" s="3278">
        <v>25</v>
      </c>
      <c r="J110" s="3278">
        <v>4398</v>
      </c>
      <c r="K110" s="3278">
        <v>142</v>
      </c>
      <c r="L110" s="3278">
        <v>1336</v>
      </c>
      <c r="M110" s="3278">
        <v>9787</v>
      </c>
      <c r="N110" s="3278">
        <v>4573</v>
      </c>
      <c r="O110" s="3278">
        <v>3821</v>
      </c>
      <c r="P110" s="3278">
        <v>7082</v>
      </c>
      <c r="Q110" s="3279">
        <v>44</v>
      </c>
      <c r="R110" s="2363"/>
      <c r="S110" s="2361"/>
      <c r="T110" s="2364"/>
      <c r="U110" s="2300"/>
    </row>
    <row r="111" spans="1:21">
      <c r="A111" s="2202">
        <v>2002.06</v>
      </c>
      <c r="B111" s="1707">
        <v>301171</v>
      </c>
      <c r="C111" s="3002"/>
      <c r="D111" s="2366">
        <v>301171</v>
      </c>
      <c r="E111" s="1702">
        <v>39137</v>
      </c>
      <c r="F111" s="3002"/>
      <c r="G111" s="2367"/>
      <c r="H111" s="1700">
        <v>8005</v>
      </c>
      <c r="I111" s="3278">
        <v>24</v>
      </c>
      <c r="J111" s="3278">
        <v>4346</v>
      </c>
      <c r="K111" s="3278">
        <v>143</v>
      </c>
      <c r="L111" s="3278">
        <v>1320</v>
      </c>
      <c r="M111" s="3278">
        <v>9775</v>
      </c>
      <c r="N111" s="3278">
        <v>4569</v>
      </c>
      <c r="O111" s="3278">
        <v>3824</v>
      </c>
      <c r="P111" s="3278">
        <v>7089</v>
      </c>
      <c r="Q111" s="3279">
        <v>42</v>
      </c>
      <c r="R111" s="2363"/>
      <c r="S111" s="2361"/>
      <c r="T111" s="2364"/>
      <c r="U111" s="2300"/>
    </row>
    <row r="112" spans="1:21">
      <c r="A112" s="2202">
        <v>2002.07</v>
      </c>
      <c r="B112" s="1707">
        <v>302334</v>
      </c>
      <c r="C112" s="3002"/>
      <c r="D112" s="2366">
        <v>302334</v>
      </c>
      <c r="E112" s="1702">
        <v>38713</v>
      </c>
      <c r="F112" s="3002"/>
      <c r="G112" s="2367"/>
      <c r="H112" s="1700">
        <v>8006</v>
      </c>
      <c r="I112" s="3278">
        <v>25</v>
      </c>
      <c r="J112" s="3278">
        <v>4276</v>
      </c>
      <c r="K112" s="3278">
        <v>142</v>
      </c>
      <c r="L112" s="3278">
        <v>1309</v>
      </c>
      <c r="M112" s="3278">
        <v>9591</v>
      </c>
      <c r="N112" s="3278">
        <v>4480</v>
      </c>
      <c r="O112" s="3278">
        <v>3796</v>
      </c>
      <c r="P112" s="3278">
        <v>7046</v>
      </c>
      <c r="Q112" s="3279">
        <v>42</v>
      </c>
      <c r="R112" s="2363"/>
      <c r="S112" s="2361"/>
      <c r="T112" s="2364"/>
      <c r="U112" s="2300"/>
    </row>
    <row r="113" spans="1:21">
      <c r="A113" s="2202">
        <v>2002.08</v>
      </c>
      <c r="B113" s="1707">
        <v>301101</v>
      </c>
      <c r="C113" s="3002"/>
      <c r="D113" s="2366">
        <v>301101</v>
      </c>
      <c r="E113" s="1702">
        <v>38623</v>
      </c>
      <c r="F113" s="3002"/>
      <c r="G113" s="2367"/>
      <c r="H113" s="1700">
        <v>7994</v>
      </c>
      <c r="I113" s="3278">
        <v>27</v>
      </c>
      <c r="J113" s="3278">
        <v>4279</v>
      </c>
      <c r="K113" s="3278">
        <v>144</v>
      </c>
      <c r="L113" s="3278">
        <v>1307</v>
      </c>
      <c r="M113" s="3278">
        <v>9555</v>
      </c>
      <c r="N113" s="3278">
        <v>4462</v>
      </c>
      <c r="O113" s="3278">
        <v>3785</v>
      </c>
      <c r="P113" s="3278">
        <v>7028</v>
      </c>
      <c r="Q113" s="3279">
        <v>42</v>
      </c>
      <c r="R113" s="2363"/>
      <c r="S113" s="2361"/>
      <c r="T113" s="2364"/>
      <c r="U113" s="2300"/>
    </row>
    <row r="114" spans="1:21">
      <c r="A114" s="2202">
        <v>2002.09</v>
      </c>
      <c r="B114" s="1707">
        <v>302304</v>
      </c>
      <c r="C114" s="3002"/>
      <c r="D114" s="2366">
        <v>302304</v>
      </c>
      <c r="E114" s="1702">
        <v>38894</v>
      </c>
      <c r="F114" s="3002"/>
      <c r="G114" s="2367"/>
      <c r="H114" s="1700">
        <v>8058</v>
      </c>
      <c r="I114" s="3278">
        <v>29</v>
      </c>
      <c r="J114" s="3278">
        <v>4315</v>
      </c>
      <c r="K114" s="3278">
        <v>144</v>
      </c>
      <c r="L114" s="3278">
        <v>1314</v>
      </c>
      <c r="M114" s="3278">
        <v>9624</v>
      </c>
      <c r="N114" s="3278">
        <v>4501</v>
      </c>
      <c r="O114" s="3278">
        <v>3808</v>
      </c>
      <c r="P114" s="3278">
        <v>7059</v>
      </c>
      <c r="Q114" s="3279">
        <v>42</v>
      </c>
      <c r="R114" s="2363"/>
      <c r="S114" s="2361"/>
      <c r="T114" s="2364"/>
      <c r="U114" s="2300"/>
    </row>
    <row r="115" spans="1:21">
      <c r="A115" s="2202">
        <v>2002.1</v>
      </c>
      <c r="B115" s="1707">
        <v>303612</v>
      </c>
      <c r="C115" s="3002"/>
      <c r="D115" s="2366">
        <v>303612</v>
      </c>
      <c r="E115" s="1702">
        <v>39177</v>
      </c>
      <c r="F115" s="3002"/>
      <c r="G115" s="2367"/>
      <c r="H115" s="1700">
        <v>8120</v>
      </c>
      <c r="I115" s="3278">
        <v>30</v>
      </c>
      <c r="J115" s="3278">
        <v>4353</v>
      </c>
      <c r="K115" s="3278">
        <v>144</v>
      </c>
      <c r="L115" s="3278">
        <v>1327</v>
      </c>
      <c r="M115" s="3278">
        <v>9694</v>
      </c>
      <c r="N115" s="3278">
        <v>4540</v>
      </c>
      <c r="O115" s="3278">
        <v>3827</v>
      </c>
      <c r="P115" s="3278">
        <v>7100</v>
      </c>
      <c r="Q115" s="3279">
        <v>42</v>
      </c>
      <c r="R115" s="2363"/>
      <c r="S115" s="2361"/>
      <c r="T115" s="2364"/>
      <c r="U115" s="2300"/>
    </row>
    <row r="116" spans="1:21">
      <c r="A116" s="2202">
        <v>2002.11</v>
      </c>
      <c r="B116" s="1707">
        <v>306015</v>
      </c>
      <c r="C116" s="3002"/>
      <c r="D116" s="2366">
        <v>306015</v>
      </c>
      <c r="E116" s="1702">
        <v>39495</v>
      </c>
      <c r="F116" s="3002"/>
      <c r="G116" s="2367"/>
      <c r="H116" s="1700">
        <v>8209</v>
      </c>
      <c r="I116" s="3278">
        <v>31</v>
      </c>
      <c r="J116" s="3278">
        <v>4396</v>
      </c>
      <c r="K116" s="3278">
        <v>143</v>
      </c>
      <c r="L116" s="3278">
        <v>1338</v>
      </c>
      <c r="M116" s="3278">
        <v>9774</v>
      </c>
      <c r="N116" s="3278">
        <v>4580</v>
      </c>
      <c r="O116" s="3278">
        <v>3844</v>
      </c>
      <c r="P116" s="3278">
        <v>7138</v>
      </c>
      <c r="Q116" s="3279">
        <v>42</v>
      </c>
      <c r="R116" s="2363"/>
      <c r="S116" s="2361"/>
      <c r="T116" s="2364"/>
      <c r="U116" s="2300"/>
    </row>
    <row r="117" spans="1:21">
      <c r="A117" s="2202">
        <v>2002.12</v>
      </c>
      <c r="B117" s="1707">
        <v>308423</v>
      </c>
      <c r="C117" s="3002"/>
      <c r="D117" s="2366">
        <v>308423</v>
      </c>
      <c r="E117" s="1702">
        <v>39792</v>
      </c>
      <c r="F117" s="3002"/>
      <c r="G117" s="2367"/>
      <c r="H117" s="1700">
        <v>8274</v>
      </c>
      <c r="I117" s="3278">
        <v>30</v>
      </c>
      <c r="J117" s="3278">
        <v>4438</v>
      </c>
      <c r="K117" s="3278">
        <v>145</v>
      </c>
      <c r="L117" s="3278">
        <v>1342</v>
      </c>
      <c r="M117" s="3278">
        <v>9851</v>
      </c>
      <c r="N117" s="3278">
        <v>4630</v>
      </c>
      <c r="O117" s="3278">
        <v>3873</v>
      </c>
      <c r="P117" s="3278">
        <v>7167</v>
      </c>
      <c r="Q117" s="3279">
        <v>42</v>
      </c>
      <c r="R117" s="2363"/>
      <c r="S117" s="2361"/>
      <c r="T117" s="2364"/>
      <c r="U117" s="2300"/>
    </row>
    <row r="118" spans="1:21">
      <c r="A118" s="2202">
        <v>2003.01</v>
      </c>
      <c r="B118" s="1707">
        <v>310353</v>
      </c>
      <c r="C118" s="3002"/>
      <c r="D118" s="2366">
        <v>310353</v>
      </c>
      <c r="E118" s="1702">
        <v>39949</v>
      </c>
      <c r="F118" s="3002"/>
      <c r="G118" s="2367"/>
      <c r="H118" s="1700">
        <v>8348</v>
      </c>
      <c r="I118" s="3278">
        <v>31</v>
      </c>
      <c r="J118" s="3278">
        <v>4462</v>
      </c>
      <c r="K118" s="3278">
        <v>145</v>
      </c>
      <c r="L118" s="3278">
        <v>1359</v>
      </c>
      <c r="M118" s="3278">
        <v>9877</v>
      </c>
      <c r="N118" s="3278">
        <v>4611</v>
      </c>
      <c r="O118" s="3278">
        <v>3883</v>
      </c>
      <c r="P118" s="3278">
        <v>7191</v>
      </c>
      <c r="Q118" s="3279">
        <v>42</v>
      </c>
      <c r="R118" s="2363"/>
      <c r="S118" s="2361"/>
      <c r="T118" s="2364"/>
      <c r="U118" s="2300"/>
    </row>
    <row r="119" spans="1:21">
      <c r="A119" s="2202">
        <v>2003.02</v>
      </c>
      <c r="B119" s="1707">
        <v>313125</v>
      </c>
      <c r="C119" s="3002"/>
      <c r="D119" s="2366">
        <v>313125</v>
      </c>
      <c r="E119" s="1702">
        <v>40183</v>
      </c>
      <c r="F119" s="3002"/>
      <c r="G119" s="2367"/>
      <c r="H119" s="1700">
        <v>8392</v>
      </c>
      <c r="I119" s="3278">
        <v>32</v>
      </c>
      <c r="J119" s="3278">
        <v>4510</v>
      </c>
      <c r="K119" s="3278">
        <v>145</v>
      </c>
      <c r="L119" s="3278">
        <v>1364</v>
      </c>
      <c r="M119" s="3278">
        <v>9922</v>
      </c>
      <c r="N119" s="3278">
        <v>4638</v>
      </c>
      <c r="O119" s="3278">
        <v>3915</v>
      </c>
      <c r="P119" s="3278">
        <v>7223</v>
      </c>
      <c r="Q119" s="3279">
        <v>42</v>
      </c>
      <c r="R119" s="2363"/>
      <c r="S119" s="2361"/>
      <c r="T119" s="2364"/>
      <c r="U119" s="2300"/>
    </row>
    <row r="120" spans="1:21">
      <c r="A120" s="2202">
        <v>2003.03</v>
      </c>
      <c r="B120" s="1707">
        <v>315311</v>
      </c>
      <c r="C120" s="3002"/>
      <c r="D120" s="2366">
        <v>315311</v>
      </c>
      <c r="E120" s="1702">
        <v>40541</v>
      </c>
      <c r="F120" s="3002"/>
      <c r="G120" s="2367"/>
      <c r="H120" s="1700">
        <v>8460</v>
      </c>
      <c r="I120" s="3278">
        <v>32</v>
      </c>
      <c r="J120" s="3278">
        <v>4567</v>
      </c>
      <c r="K120" s="3278">
        <v>145</v>
      </c>
      <c r="L120" s="3278">
        <v>1385</v>
      </c>
      <c r="M120" s="3278">
        <v>10023</v>
      </c>
      <c r="N120" s="3278">
        <v>4706</v>
      </c>
      <c r="O120" s="3278">
        <v>3925</v>
      </c>
      <c r="P120" s="3278">
        <v>7256</v>
      </c>
      <c r="Q120" s="3279">
        <v>42</v>
      </c>
      <c r="R120" s="2363"/>
      <c r="S120" s="2361"/>
      <c r="T120" s="2364"/>
      <c r="U120" s="2300"/>
    </row>
    <row r="121" spans="1:21">
      <c r="A121" s="2202">
        <v>2003.04</v>
      </c>
      <c r="B121" s="1707">
        <v>317404</v>
      </c>
      <c r="C121" s="3002"/>
      <c r="D121" s="2366">
        <v>317404</v>
      </c>
      <c r="E121" s="1702">
        <v>41022</v>
      </c>
      <c r="F121" s="3002"/>
      <c r="G121" s="2367"/>
      <c r="H121" s="1700">
        <v>8566</v>
      </c>
      <c r="I121" s="3278">
        <v>32</v>
      </c>
      <c r="J121" s="3278">
        <v>4654</v>
      </c>
      <c r="K121" s="3278">
        <v>145</v>
      </c>
      <c r="L121" s="3278">
        <v>1404</v>
      </c>
      <c r="M121" s="3278">
        <v>10138</v>
      </c>
      <c r="N121" s="3278">
        <v>4802</v>
      </c>
      <c r="O121" s="3278">
        <v>3950</v>
      </c>
      <c r="P121" s="3278">
        <v>7290</v>
      </c>
      <c r="Q121" s="3279">
        <v>41</v>
      </c>
      <c r="R121" s="2363"/>
      <c r="S121" s="2361"/>
      <c r="T121" s="2364"/>
      <c r="U121" s="2300"/>
    </row>
    <row r="122" spans="1:21">
      <c r="A122" s="2202">
        <v>2003.05</v>
      </c>
      <c r="B122" s="1707">
        <v>321443</v>
      </c>
      <c r="C122" s="3002"/>
      <c r="D122" s="2366">
        <v>321443</v>
      </c>
      <c r="E122" s="1702">
        <v>41353</v>
      </c>
      <c r="F122" s="3002"/>
      <c r="G122" s="2367"/>
      <c r="H122" s="1700">
        <v>8611</v>
      </c>
      <c r="I122" s="3278">
        <v>32</v>
      </c>
      <c r="J122" s="3278">
        <v>4738</v>
      </c>
      <c r="K122" s="3278">
        <v>145</v>
      </c>
      <c r="L122" s="3278">
        <v>1408</v>
      </c>
      <c r="M122" s="3278">
        <v>10219</v>
      </c>
      <c r="N122" s="3278">
        <v>4850</v>
      </c>
      <c r="O122" s="3278">
        <v>3972</v>
      </c>
      <c r="P122" s="3278">
        <v>7337</v>
      </c>
      <c r="Q122" s="3279">
        <v>41</v>
      </c>
      <c r="R122" s="2363"/>
      <c r="S122" s="2361"/>
      <c r="T122" s="2364"/>
      <c r="U122" s="2300"/>
    </row>
    <row r="123" spans="1:21">
      <c r="A123" s="2202">
        <v>2003.06</v>
      </c>
      <c r="B123" s="1707">
        <v>325309</v>
      </c>
      <c r="C123" s="3002"/>
      <c r="D123" s="2366">
        <v>325309</v>
      </c>
      <c r="E123" s="1702">
        <v>41717</v>
      </c>
      <c r="F123" s="3002"/>
      <c r="G123" s="2367"/>
      <c r="H123" s="1700">
        <v>8667</v>
      </c>
      <c r="I123" s="3278">
        <v>32</v>
      </c>
      <c r="J123" s="3278">
        <v>4807</v>
      </c>
      <c r="K123" s="3278">
        <v>146</v>
      </c>
      <c r="L123" s="3278">
        <v>1419</v>
      </c>
      <c r="M123" s="3278">
        <v>10316</v>
      </c>
      <c r="N123" s="3278">
        <v>4900</v>
      </c>
      <c r="O123" s="3278">
        <v>3998</v>
      </c>
      <c r="P123" s="3278">
        <v>7391</v>
      </c>
      <c r="Q123" s="3279">
        <v>41</v>
      </c>
      <c r="R123" s="2363"/>
      <c r="S123" s="2361"/>
      <c r="T123" s="2364"/>
      <c r="U123" s="2300"/>
    </row>
    <row r="124" spans="1:21">
      <c r="A124" s="2202">
        <v>2003.07</v>
      </c>
      <c r="B124" s="1707">
        <v>326545</v>
      </c>
      <c r="C124" s="3002"/>
      <c r="D124" s="2366">
        <v>326545</v>
      </c>
      <c r="E124" s="1702">
        <v>42146</v>
      </c>
      <c r="F124" s="3002"/>
      <c r="G124" s="2367"/>
      <c r="H124" s="1700">
        <v>8728</v>
      </c>
      <c r="I124" s="3278">
        <v>33</v>
      </c>
      <c r="J124" s="3278">
        <v>4886</v>
      </c>
      <c r="K124" s="3278">
        <v>146</v>
      </c>
      <c r="L124" s="3278">
        <v>1446</v>
      </c>
      <c r="M124" s="3278">
        <v>10480</v>
      </c>
      <c r="N124" s="3278">
        <v>4941</v>
      </c>
      <c r="O124" s="3278">
        <v>4027</v>
      </c>
      <c r="P124" s="3278">
        <v>7419</v>
      </c>
      <c r="Q124" s="3279">
        <v>40</v>
      </c>
      <c r="R124" s="2363"/>
      <c r="S124" s="2361"/>
      <c r="T124" s="2364"/>
      <c r="U124" s="2300"/>
    </row>
    <row r="125" spans="1:21">
      <c r="A125" s="2202">
        <v>2003.08</v>
      </c>
      <c r="B125" s="1707">
        <v>332432</v>
      </c>
      <c r="C125" s="3002"/>
      <c r="D125" s="2366">
        <v>332432</v>
      </c>
      <c r="E125" s="1702">
        <v>42653</v>
      </c>
      <c r="F125" s="3002"/>
      <c r="G125" s="2367"/>
      <c r="H125" s="1700">
        <v>8794</v>
      </c>
      <c r="I125" s="3278">
        <v>35</v>
      </c>
      <c r="J125" s="3278">
        <v>4976</v>
      </c>
      <c r="K125" s="3278">
        <v>147</v>
      </c>
      <c r="L125" s="3278">
        <v>1474</v>
      </c>
      <c r="M125" s="3278">
        <v>10649</v>
      </c>
      <c r="N125" s="3278">
        <v>5002</v>
      </c>
      <c r="O125" s="3278">
        <v>4065</v>
      </c>
      <c r="P125" s="3278">
        <v>7471</v>
      </c>
      <c r="Q125" s="3279">
        <v>40</v>
      </c>
      <c r="R125" s="2363"/>
      <c r="S125" s="2361"/>
      <c r="T125" s="2364"/>
      <c r="U125" s="2300"/>
    </row>
    <row r="126" spans="1:21">
      <c r="A126" s="2202">
        <v>2003.09</v>
      </c>
      <c r="B126" s="1707">
        <v>336907</v>
      </c>
      <c r="C126" s="3002"/>
      <c r="D126" s="2366">
        <v>336907</v>
      </c>
      <c r="E126" s="1702">
        <v>43399</v>
      </c>
      <c r="F126" s="3002"/>
      <c r="G126" s="2367"/>
      <c r="H126" s="1700">
        <v>8868</v>
      </c>
      <c r="I126" s="3278">
        <v>36</v>
      </c>
      <c r="J126" s="3278">
        <v>5086</v>
      </c>
      <c r="K126" s="3278">
        <v>147</v>
      </c>
      <c r="L126" s="3278">
        <v>1501</v>
      </c>
      <c r="M126" s="3278">
        <v>10948</v>
      </c>
      <c r="N126" s="3278">
        <v>5097</v>
      </c>
      <c r="O126" s="3278">
        <v>4109</v>
      </c>
      <c r="P126" s="3278">
        <v>7566</v>
      </c>
      <c r="Q126" s="3279">
        <v>41</v>
      </c>
      <c r="R126" s="2363"/>
      <c r="S126" s="2361"/>
      <c r="T126" s="2364"/>
      <c r="U126" s="2300"/>
    </row>
    <row r="127" spans="1:21">
      <c r="A127" s="2202">
        <v>2003.1</v>
      </c>
      <c r="B127" s="1707">
        <v>342777</v>
      </c>
      <c r="C127" s="3002"/>
      <c r="D127" s="2366">
        <v>342777</v>
      </c>
      <c r="E127" s="1702">
        <v>44035</v>
      </c>
      <c r="F127" s="3002"/>
      <c r="G127" s="2367"/>
      <c r="H127" s="1700">
        <v>8966</v>
      </c>
      <c r="I127" s="3278">
        <v>37</v>
      </c>
      <c r="J127" s="3278">
        <v>5177</v>
      </c>
      <c r="K127" s="3278">
        <v>147</v>
      </c>
      <c r="L127" s="3278">
        <v>1528</v>
      </c>
      <c r="M127" s="3278">
        <v>11151</v>
      </c>
      <c r="N127" s="3278">
        <v>5181</v>
      </c>
      <c r="O127" s="3278">
        <v>4137</v>
      </c>
      <c r="P127" s="3278">
        <v>7671</v>
      </c>
      <c r="Q127" s="3279">
        <v>40</v>
      </c>
      <c r="R127" s="2363"/>
      <c r="S127" s="2361"/>
      <c r="T127" s="2364"/>
      <c r="U127" s="2300"/>
    </row>
    <row r="128" spans="1:21">
      <c r="A128" s="2202">
        <v>2003.11</v>
      </c>
      <c r="B128" s="1707">
        <v>348141</v>
      </c>
      <c r="C128" s="3002"/>
      <c r="D128" s="2366">
        <v>348141</v>
      </c>
      <c r="E128" s="1702">
        <v>44540</v>
      </c>
      <c r="F128" s="3002"/>
      <c r="G128" s="2367"/>
      <c r="H128" s="1700">
        <v>9037</v>
      </c>
      <c r="I128" s="3278">
        <v>36</v>
      </c>
      <c r="J128" s="3278">
        <v>5255</v>
      </c>
      <c r="K128" s="3278">
        <v>147</v>
      </c>
      <c r="L128" s="3278">
        <v>1546</v>
      </c>
      <c r="M128" s="3278">
        <v>11323</v>
      </c>
      <c r="N128" s="3278">
        <v>5272</v>
      </c>
      <c r="O128" s="3278">
        <v>4171</v>
      </c>
      <c r="P128" s="3278">
        <v>7713</v>
      </c>
      <c r="Q128" s="3279">
        <v>40</v>
      </c>
      <c r="R128" s="2363"/>
      <c r="S128" s="2361"/>
      <c r="T128" s="2364"/>
      <c r="U128" s="2300"/>
    </row>
    <row r="129" spans="1:21">
      <c r="A129" s="2202">
        <v>2003.12</v>
      </c>
      <c r="B129" s="1707">
        <v>350383</v>
      </c>
      <c r="C129" s="3002"/>
      <c r="D129" s="2366">
        <v>350383</v>
      </c>
      <c r="E129" s="1702">
        <v>45006</v>
      </c>
      <c r="F129" s="3002"/>
      <c r="G129" s="2367"/>
      <c r="H129" s="1700">
        <v>9102</v>
      </c>
      <c r="I129" s="3278">
        <v>36</v>
      </c>
      <c r="J129" s="3278">
        <v>5312</v>
      </c>
      <c r="K129" s="3278">
        <v>147</v>
      </c>
      <c r="L129" s="3278">
        <v>1570</v>
      </c>
      <c r="M129" s="3278">
        <v>11468</v>
      </c>
      <c r="N129" s="3278">
        <v>5353</v>
      </c>
      <c r="O129" s="3278">
        <v>4201</v>
      </c>
      <c r="P129" s="3278">
        <v>7777</v>
      </c>
      <c r="Q129" s="3279">
        <v>40</v>
      </c>
      <c r="R129" s="2363"/>
      <c r="S129" s="2361"/>
      <c r="T129" s="2364"/>
      <c r="U129" s="2300"/>
    </row>
    <row r="130" spans="1:21">
      <c r="A130" s="2202">
        <v>2004.01</v>
      </c>
      <c r="B130" s="1707">
        <v>357370</v>
      </c>
      <c r="C130" s="3002"/>
      <c r="D130" s="2366">
        <v>357370</v>
      </c>
      <c r="E130" s="1702">
        <v>47587</v>
      </c>
      <c r="F130" s="3002"/>
      <c r="G130" s="2367"/>
      <c r="H130" s="1700">
        <v>9509</v>
      </c>
      <c r="I130" s="3278">
        <v>37</v>
      </c>
      <c r="J130" s="3278">
        <v>5682</v>
      </c>
      <c r="K130" s="3278">
        <v>148</v>
      </c>
      <c r="L130" s="3278">
        <v>1687</v>
      </c>
      <c r="M130" s="3278">
        <v>12182</v>
      </c>
      <c r="N130" s="3278">
        <v>5832</v>
      </c>
      <c r="O130" s="3278">
        <v>4373</v>
      </c>
      <c r="P130" s="3278">
        <v>8097</v>
      </c>
      <c r="Q130" s="3279">
        <v>40</v>
      </c>
      <c r="R130" s="2363"/>
      <c r="S130" s="2361"/>
      <c r="T130" s="2364"/>
      <c r="U130" s="2300"/>
    </row>
    <row r="131" spans="1:21">
      <c r="A131" s="2202">
        <v>2004.02</v>
      </c>
      <c r="B131" s="1707">
        <v>360157</v>
      </c>
      <c r="C131" s="3002"/>
      <c r="D131" s="2366">
        <v>360157</v>
      </c>
      <c r="E131" s="1702">
        <v>47587</v>
      </c>
      <c r="F131" s="3002"/>
      <c r="G131" s="2367"/>
      <c r="H131" s="1700">
        <v>9509</v>
      </c>
      <c r="I131" s="3278">
        <v>37</v>
      </c>
      <c r="J131" s="3278">
        <v>5682</v>
      </c>
      <c r="K131" s="3278">
        <v>148</v>
      </c>
      <c r="L131" s="3278">
        <v>1687</v>
      </c>
      <c r="M131" s="3278">
        <v>12182</v>
      </c>
      <c r="N131" s="3278">
        <v>5832</v>
      </c>
      <c r="O131" s="3278">
        <v>4373</v>
      </c>
      <c r="P131" s="3278">
        <v>8097</v>
      </c>
      <c r="Q131" s="3279">
        <v>40</v>
      </c>
      <c r="R131" s="2363"/>
      <c r="S131" s="2361"/>
      <c r="T131" s="2364"/>
      <c r="U131" s="2300"/>
    </row>
    <row r="132" spans="1:21">
      <c r="A132" s="2202">
        <v>2004.03</v>
      </c>
      <c r="B132" s="1707">
        <v>361732</v>
      </c>
      <c r="C132" s="3002"/>
      <c r="D132" s="2366">
        <v>361732</v>
      </c>
      <c r="E132" s="1702">
        <v>47587</v>
      </c>
      <c r="F132" s="3002"/>
      <c r="G132" s="2367"/>
      <c r="H132" s="1700">
        <v>9509</v>
      </c>
      <c r="I132" s="3278">
        <v>37</v>
      </c>
      <c r="J132" s="3278">
        <v>5682</v>
      </c>
      <c r="K132" s="3278">
        <v>148</v>
      </c>
      <c r="L132" s="3278">
        <v>1687</v>
      </c>
      <c r="M132" s="3278">
        <v>12182</v>
      </c>
      <c r="N132" s="3278">
        <v>5832</v>
      </c>
      <c r="O132" s="3278">
        <v>4373</v>
      </c>
      <c r="P132" s="3278">
        <v>8097</v>
      </c>
      <c r="Q132" s="3279">
        <v>40</v>
      </c>
      <c r="R132" s="2363"/>
      <c r="S132" s="2361"/>
      <c r="T132" s="2364"/>
      <c r="U132" s="2300"/>
    </row>
    <row r="133" spans="1:21">
      <c r="A133" s="2202">
        <v>2004.04</v>
      </c>
      <c r="B133" s="1707">
        <v>363825</v>
      </c>
      <c r="C133" s="3002"/>
      <c r="D133" s="2366">
        <v>363825</v>
      </c>
      <c r="E133" s="1702">
        <v>47587</v>
      </c>
      <c r="F133" s="3002"/>
      <c r="G133" s="2367"/>
      <c r="H133" s="1700">
        <v>9509</v>
      </c>
      <c r="I133" s="3278">
        <v>37</v>
      </c>
      <c r="J133" s="3278">
        <v>5682</v>
      </c>
      <c r="K133" s="3278">
        <v>148</v>
      </c>
      <c r="L133" s="3278">
        <v>1687</v>
      </c>
      <c r="M133" s="3278">
        <v>12182</v>
      </c>
      <c r="N133" s="3278">
        <v>5832</v>
      </c>
      <c r="O133" s="3278">
        <v>4373</v>
      </c>
      <c r="P133" s="3278">
        <v>8097</v>
      </c>
      <c r="Q133" s="3279">
        <v>40</v>
      </c>
      <c r="R133" s="2363"/>
      <c r="S133" s="2361"/>
      <c r="T133" s="2364"/>
      <c r="U133" s="2300"/>
    </row>
    <row r="134" spans="1:21">
      <c r="A134" s="2202">
        <v>2004.05</v>
      </c>
      <c r="B134" s="1707">
        <v>366790</v>
      </c>
      <c r="C134" s="3002"/>
      <c r="D134" s="2366">
        <v>366790</v>
      </c>
      <c r="E134" s="1702">
        <v>47587</v>
      </c>
      <c r="F134" s="3002"/>
      <c r="G134" s="2367"/>
      <c r="H134" s="1700">
        <v>9509</v>
      </c>
      <c r="I134" s="3278">
        <v>37</v>
      </c>
      <c r="J134" s="3278">
        <v>5682</v>
      </c>
      <c r="K134" s="3278">
        <v>148</v>
      </c>
      <c r="L134" s="3278">
        <v>1687</v>
      </c>
      <c r="M134" s="3278">
        <v>12182</v>
      </c>
      <c r="N134" s="3278">
        <v>5832</v>
      </c>
      <c r="O134" s="3278">
        <v>4373</v>
      </c>
      <c r="P134" s="3278">
        <v>8097</v>
      </c>
      <c r="Q134" s="3279">
        <v>40</v>
      </c>
      <c r="R134" s="2363"/>
      <c r="S134" s="2361"/>
      <c r="T134" s="2364"/>
      <c r="U134" s="2300"/>
    </row>
    <row r="135" spans="1:21">
      <c r="A135" s="2202">
        <v>2004.06</v>
      </c>
      <c r="B135" s="1707">
        <v>370235</v>
      </c>
      <c r="C135" s="3002"/>
      <c r="D135" s="2366">
        <v>370235</v>
      </c>
      <c r="E135" s="1702">
        <v>47587</v>
      </c>
      <c r="F135" s="3002"/>
      <c r="G135" s="2367"/>
      <c r="H135" s="1700">
        <v>9509</v>
      </c>
      <c r="I135" s="3278">
        <v>37</v>
      </c>
      <c r="J135" s="3278">
        <v>5682</v>
      </c>
      <c r="K135" s="3278">
        <v>148</v>
      </c>
      <c r="L135" s="3278">
        <v>1687</v>
      </c>
      <c r="M135" s="3278">
        <v>12182</v>
      </c>
      <c r="N135" s="3278">
        <v>5832</v>
      </c>
      <c r="O135" s="3278">
        <v>4373</v>
      </c>
      <c r="P135" s="3278">
        <v>8097</v>
      </c>
      <c r="Q135" s="3279">
        <v>40</v>
      </c>
      <c r="R135" s="2363"/>
      <c r="S135" s="2361"/>
      <c r="T135" s="2364"/>
      <c r="U135" s="2300"/>
    </row>
    <row r="136" spans="1:21">
      <c r="A136" s="2202">
        <v>2004.07</v>
      </c>
      <c r="B136" s="1707">
        <v>371795</v>
      </c>
      <c r="C136" s="3002"/>
      <c r="D136" s="2366">
        <v>371795</v>
      </c>
      <c r="E136" s="1702">
        <v>47587</v>
      </c>
      <c r="F136" s="3002"/>
      <c r="G136" s="2367"/>
      <c r="H136" s="1700">
        <v>9509</v>
      </c>
      <c r="I136" s="3278">
        <v>37</v>
      </c>
      <c r="J136" s="3278">
        <v>5682</v>
      </c>
      <c r="K136" s="3278">
        <v>148</v>
      </c>
      <c r="L136" s="3278">
        <v>1687</v>
      </c>
      <c r="M136" s="3278">
        <v>12182</v>
      </c>
      <c r="N136" s="3278">
        <v>5832</v>
      </c>
      <c r="O136" s="3278">
        <v>4373</v>
      </c>
      <c r="P136" s="3278">
        <v>8097</v>
      </c>
      <c r="Q136" s="3279">
        <v>40</v>
      </c>
      <c r="R136" s="2363"/>
      <c r="S136" s="2361"/>
      <c r="T136" s="2364"/>
      <c r="U136" s="2300"/>
    </row>
    <row r="137" spans="1:21">
      <c r="A137" s="2202">
        <v>2004.08</v>
      </c>
      <c r="B137" s="1707">
        <v>375730</v>
      </c>
      <c r="C137" s="3002"/>
      <c r="D137" s="2366">
        <v>375730</v>
      </c>
      <c r="E137" s="1702">
        <v>47587</v>
      </c>
      <c r="F137" s="3002"/>
      <c r="G137" s="2367"/>
      <c r="H137" s="1700">
        <v>9509</v>
      </c>
      <c r="I137" s="3278">
        <v>37</v>
      </c>
      <c r="J137" s="3278">
        <v>5682</v>
      </c>
      <c r="K137" s="3278">
        <v>148</v>
      </c>
      <c r="L137" s="3278">
        <v>1687</v>
      </c>
      <c r="M137" s="3278">
        <v>12182</v>
      </c>
      <c r="N137" s="3278">
        <v>5832</v>
      </c>
      <c r="O137" s="3278">
        <v>4373</v>
      </c>
      <c r="P137" s="3278">
        <v>8097</v>
      </c>
      <c r="Q137" s="3279">
        <v>40</v>
      </c>
      <c r="R137" s="2363"/>
      <c r="S137" s="2361"/>
      <c r="T137" s="2364"/>
      <c r="U137" s="2300"/>
    </row>
    <row r="138" spans="1:21">
      <c r="A138" s="2202">
        <v>2004.09</v>
      </c>
      <c r="B138" s="1707">
        <v>380246</v>
      </c>
      <c r="C138" s="3002"/>
      <c r="D138" s="2366">
        <v>380246</v>
      </c>
      <c r="E138" s="1702">
        <v>47587</v>
      </c>
      <c r="F138" s="3002"/>
      <c r="G138" s="2367"/>
      <c r="H138" s="1700">
        <v>9509</v>
      </c>
      <c r="I138" s="3278">
        <v>37</v>
      </c>
      <c r="J138" s="3278">
        <v>5682</v>
      </c>
      <c r="K138" s="3278">
        <v>148</v>
      </c>
      <c r="L138" s="3278">
        <v>1687</v>
      </c>
      <c r="M138" s="3278">
        <v>12182</v>
      </c>
      <c r="N138" s="3278">
        <v>5832</v>
      </c>
      <c r="O138" s="3278">
        <v>4373</v>
      </c>
      <c r="P138" s="3278">
        <v>8097</v>
      </c>
      <c r="Q138" s="3279">
        <v>40</v>
      </c>
      <c r="R138" s="2363"/>
      <c r="S138" s="2361"/>
      <c r="T138" s="2364"/>
      <c r="U138" s="2300"/>
    </row>
    <row r="139" spans="1:21">
      <c r="A139" s="2202">
        <v>2004.1</v>
      </c>
      <c r="B139" s="1707">
        <v>383940</v>
      </c>
      <c r="C139" s="3002"/>
      <c r="D139" s="2366">
        <v>383940</v>
      </c>
      <c r="E139" s="1702">
        <v>47587</v>
      </c>
      <c r="F139" s="3002"/>
      <c r="G139" s="2367"/>
      <c r="H139" s="1700">
        <v>9509</v>
      </c>
      <c r="I139" s="3278">
        <v>37</v>
      </c>
      <c r="J139" s="3278">
        <v>5682</v>
      </c>
      <c r="K139" s="3278">
        <v>148</v>
      </c>
      <c r="L139" s="3278">
        <v>1687</v>
      </c>
      <c r="M139" s="3278">
        <v>12182</v>
      </c>
      <c r="N139" s="3278">
        <v>5832</v>
      </c>
      <c r="O139" s="3278">
        <v>4373</v>
      </c>
      <c r="P139" s="3278">
        <v>8097</v>
      </c>
      <c r="Q139" s="3279">
        <v>40</v>
      </c>
      <c r="R139" s="2363"/>
      <c r="S139" s="2361"/>
      <c r="T139" s="2364"/>
      <c r="U139" s="2300"/>
    </row>
    <row r="140" spans="1:21">
      <c r="A140" s="2202">
        <v>2004.11</v>
      </c>
      <c r="B140" s="1707">
        <v>386414</v>
      </c>
      <c r="C140" s="3002"/>
      <c r="D140" s="2366">
        <v>386414</v>
      </c>
      <c r="E140" s="1702">
        <v>47587</v>
      </c>
      <c r="F140" s="3002"/>
      <c r="G140" s="2367"/>
      <c r="H140" s="1700">
        <v>9509</v>
      </c>
      <c r="I140" s="3278">
        <v>37</v>
      </c>
      <c r="J140" s="3278">
        <v>5682</v>
      </c>
      <c r="K140" s="3278">
        <v>148</v>
      </c>
      <c r="L140" s="3278">
        <v>1687</v>
      </c>
      <c r="M140" s="3278">
        <v>12182</v>
      </c>
      <c r="N140" s="3278">
        <v>5832</v>
      </c>
      <c r="O140" s="3278">
        <v>4373</v>
      </c>
      <c r="P140" s="3278">
        <v>8097</v>
      </c>
      <c r="Q140" s="3279">
        <v>40</v>
      </c>
      <c r="R140" s="2363"/>
      <c r="S140" s="2361"/>
      <c r="T140" s="2364"/>
      <c r="U140" s="2300"/>
    </row>
    <row r="141" spans="1:21">
      <c r="A141" s="2202">
        <v>2004.12</v>
      </c>
      <c r="B141" s="1707">
        <v>389834</v>
      </c>
      <c r="C141" s="3002"/>
      <c r="D141" s="2366">
        <v>389834</v>
      </c>
      <c r="E141" s="1702">
        <v>47587</v>
      </c>
      <c r="F141" s="3002"/>
      <c r="G141" s="2367"/>
      <c r="H141" s="1700">
        <v>9509</v>
      </c>
      <c r="I141" s="3278">
        <v>37</v>
      </c>
      <c r="J141" s="3278">
        <v>5682</v>
      </c>
      <c r="K141" s="3278">
        <v>148</v>
      </c>
      <c r="L141" s="3278">
        <v>1687</v>
      </c>
      <c r="M141" s="3278">
        <v>12182</v>
      </c>
      <c r="N141" s="3278">
        <v>5832</v>
      </c>
      <c r="O141" s="3278">
        <v>4373</v>
      </c>
      <c r="P141" s="3278">
        <v>8097</v>
      </c>
      <c r="Q141" s="3279">
        <v>40</v>
      </c>
      <c r="R141" s="2363"/>
      <c r="S141" s="2361"/>
      <c r="T141" s="2364"/>
      <c r="U141" s="2300"/>
    </row>
    <row r="142" spans="1:21">
      <c r="A142" s="2202">
        <v>2005.01</v>
      </c>
      <c r="B142" s="1707">
        <v>393916</v>
      </c>
      <c r="C142" s="3002"/>
      <c r="D142" s="2366">
        <v>393916</v>
      </c>
      <c r="E142" s="1702">
        <v>52838</v>
      </c>
      <c r="F142" s="3002"/>
      <c r="G142" s="2367"/>
      <c r="H142" s="1700">
        <v>10322</v>
      </c>
      <c r="I142" s="3278">
        <v>39</v>
      </c>
      <c r="J142" s="3278">
        <v>6337</v>
      </c>
      <c r="K142" s="3278">
        <v>148</v>
      </c>
      <c r="L142" s="3278">
        <v>1959</v>
      </c>
      <c r="M142" s="3278">
        <v>13738</v>
      </c>
      <c r="N142" s="3278">
        <v>6758</v>
      </c>
      <c r="O142" s="3278">
        <v>4727</v>
      </c>
      <c r="P142" s="3278">
        <v>8767</v>
      </c>
      <c r="Q142" s="3279">
        <v>43</v>
      </c>
      <c r="R142" s="2363"/>
      <c r="S142" s="2361"/>
      <c r="T142" s="2364"/>
      <c r="U142" s="2300"/>
    </row>
    <row r="143" spans="1:21">
      <c r="A143" s="2202">
        <v>2005.02</v>
      </c>
      <c r="B143" s="1707">
        <v>396571</v>
      </c>
      <c r="C143" s="3002"/>
      <c r="D143" s="2366">
        <v>396571</v>
      </c>
      <c r="E143" s="1702">
        <v>52838</v>
      </c>
      <c r="F143" s="3002"/>
      <c r="G143" s="2367"/>
      <c r="H143" s="1700">
        <v>10322</v>
      </c>
      <c r="I143" s="3278">
        <v>39</v>
      </c>
      <c r="J143" s="3278">
        <v>6337</v>
      </c>
      <c r="K143" s="3278">
        <v>148</v>
      </c>
      <c r="L143" s="3278">
        <v>1959</v>
      </c>
      <c r="M143" s="3278">
        <v>13738</v>
      </c>
      <c r="N143" s="3278">
        <v>6758</v>
      </c>
      <c r="O143" s="3278">
        <v>4727</v>
      </c>
      <c r="P143" s="3278">
        <v>8767</v>
      </c>
      <c r="Q143" s="3279">
        <v>43</v>
      </c>
      <c r="R143" s="2363"/>
      <c r="S143" s="2361"/>
      <c r="T143" s="2364"/>
      <c r="U143" s="2300"/>
    </row>
    <row r="144" spans="1:21">
      <c r="A144" s="2202">
        <v>2005.03</v>
      </c>
      <c r="B144" s="1707">
        <v>398939</v>
      </c>
      <c r="C144" s="3002"/>
      <c r="D144" s="2366">
        <v>398939</v>
      </c>
      <c r="E144" s="1702">
        <v>52838</v>
      </c>
      <c r="F144" s="3002"/>
      <c r="G144" s="2367"/>
      <c r="H144" s="1700">
        <v>10322</v>
      </c>
      <c r="I144" s="3278">
        <v>39</v>
      </c>
      <c r="J144" s="3278">
        <v>6337</v>
      </c>
      <c r="K144" s="3278">
        <v>148</v>
      </c>
      <c r="L144" s="3278">
        <v>1959</v>
      </c>
      <c r="M144" s="3278">
        <v>13738</v>
      </c>
      <c r="N144" s="3278">
        <v>6758</v>
      </c>
      <c r="O144" s="3278">
        <v>4727</v>
      </c>
      <c r="P144" s="3278">
        <v>8767</v>
      </c>
      <c r="Q144" s="3279">
        <v>43</v>
      </c>
      <c r="R144" s="2363"/>
      <c r="S144" s="2361"/>
      <c r="T144" s="2364"/>
      <c r="U144" s="2300"/>
    </row>
    <row r="145" spans="1:21">
      <c r="A145" s="2202">
        <v>2005.04</v>
      </c>
      <c r="B145" s="1707">
        <v>401500</v>
      </c>
      <c r="C145" s="3002"/>
      <c r="D145" s="2366">
        <v>401500</v>
      </c>
      <c r="E145" s="1702">
        <v>52838</v>
      </c>
      <c r="F145" s="3002"/>
      <c r="G145" s="2367"/>
      <c r="H145" s="1700">
        <v>10322</v>
      </c>
      <c r="I145" s="3278">
        <v>39</v>
      </c>
      <c r="J145" s="3278">
        <v>6337</v>
      </c>
      <c r="K145" s="3278">
        <v>148</v>
      </c>
      <c r="L145" s="3278">
        <v>1959</v>
      </c>
      <c r="M145" s="3278">
        <v>13738</v>
      </c>
      <c r="N145" s="3278">
        <v>6758</v>
      </c>
      <c r="O145" s="3278">
        <v>4727</v>
      </c>
      <c r="P145" s="3278">
        <v>8767</v>
      </c>
      <c r="Q145" s="3279">
        <v>43</v>
      </c>
      <c r="R145" s="2363"/>
      <c r="S145" s="2361"/>
      <c r="T145" s="2364"/>
      <c r="U145" s="2300"/>
    </row>
    <row r="146" spans="1:21">
      <c r="A146" s="2202">
        <v>2005.05</v>
      </c>
      <c r="B146" s="1707">
        <v>403548</v>
      </c>
      <c r="C146" s="3002"/>
      <c r="D146" s="2366">
        <v>403548</v>
      </c>
      <c r="E146" s="1702">
        <v>52838</v>
      </c>
      <c r="F146" s="3002"/>
      <c r="G146" s="2367"/>
      <c r="H146" s="1700">
        <v>10322</v>
      </c>
      <c r="I146" s="3278">
        <v>39</v>
      </c>
      <c r="J146" s="3278">
        <v>6337</v>
      </c>
      <c r="K146" s="3278">
        <v>148</v>
      </c>
      <c r="L146" s="3278">
        <v>1959</v>
      </c>
      <c r="M146" s="3278">
        <v>13738</v>
      </c>
      <c r="N146" s="3278">
        <v>6758</v>
      </c>
      <c r="O146" s="3278">
        <v>4727</v>
      </c>
      <c r="P146" s="3278">
        <v>8767</v>
      </c>
      <c r="Q146" s="3279">
        <v>43</v>
      </c>
      <c r="R146" s="2363"/>
      <c r="S146" s="2361"/>
      <c r="T146" s="2364"/>
      <c r="U146" s="2300"/>
    </row>
    <row r="147" spans="1:21">
      <c r="A147" s="2202">
        <v>2005.06</v>
      </c>
      <c r="B147" s="1707">
        <v>407639</v>
      </c>
      <c r="C147" s="3002"/>
      <c r="D147" s="2366">
        <v>407639</v>
      </c>
      <c r="E147" s="1702">
        <v>52838</v>
      </c>
      <c r="F147" s="3002"/>
      <c r="G147" s="2367"/>
      <c r="H147" s="1700">
        <v>10322</v>
      </c>
      <c r="I147" s="3278">
        <v>39</v>
      </c>
      <c r="J147" s="3278">
        <v>6337</v>
      </c>
      <c r="K147" s="3278">
        <v>148</v>
      </c>
      <c r="L147" s="3278">
        <v>1959</v>
      </c>
      <c r="M147" s="3278">
        <v>13738</v>
      </c>
      <c r="N147" s="3278">
        <v>6758</v>
      </c>
      <c r="O147" s="3278">
        <v>4727</v>
      </c>
      <c r="P147" s="3278">
        <v>8767</v>
      </c>
      <c r="Q147" s="3279">
        <v>43</v>
      </c>
      <c r="R147" s="2363"/>
      <c r="S147" s="2361"/>
      <c r="T147" s="2364"/>
      <c r="U147" s="2300"/>
    </row>
    <row r="148" spans="1:21">
      <c r="A148" s="2202">
        <v>2005.07</v>
      </c>
      <c r="B148" s="1707">
        <v>411350</v>
      </c>
      <c r="C148" s="3002"/>
      <c r="D148" s="2366">
        <v>411350</v>
      </c>
      <c r="E148" s="1702">
        <v>52838</v>
      </c>
      <c r="F148" s="3002"/>
      <c r="G148" s="2367"/>
      <c r="H148" s="1700">
        <v>10322</v>
      </c>
      <c r="I148" s="3278">
        <v>39</v>
      </c>
      <c r="J148" s="3278">
        <v>6337</v>
      </c>
      <c r="K148" s="3278">
        <v>148</v>
      </c>
      <c r="L148" s="3278">
        <v>1959</v>
      </c>
      <c r="M148" s="3278">
        <v>13738</v>
      </c>
      <c r="N148" s="3278">
        <v>6758</v>
      </c>
      <c r="O148" s="3278">
        <v>4727</v>
      </c>
      <c r="P148" s="3278">
        <v>8767</v>
      </c>
      <c r="Q148" s="3279">
        <v>43</v>
      </c>
      <c r="R148" s="2363"/>
      <c r="S148" s="2361"/>
      <c r="T148" s="2364"/>
      <c r="U148" s="2300"/>
    </row>
    <row r="149" spans="1:21">
      <c r="A149" s="2202">
        <v>2005.08</v>
      </c>
      <c r="B149" s="1707">
        <v>414926</v>
      </c>
      <c r="C149" s="3002"/>
      <c r="D149" s="2366">
        <v>414926</v>
      </c>
      <c r="E149" s="1702">
        <v>52838</v>
      </c>
      <c r="F149" s="3002"/>
      <c r="G149" s="2367"/>
      <c r="H149" s="1700">
        <v>10322</v>
      </c>
      <c r="I149" s="3278">
        <v>39</v>
      </c>
      <c r="J149" s="3278">
        <v>6337</v>
      </c>
      <c r="K149" s="3278">
        <v>148</v>
      </c>
      <c r="L149" s="3278">
        <v>1959</v>
      </c>
      <c r="M149" s="3278">
        <v>13738</v>
      </c>
      <c r="N149" s="3278">
        <v>6758</v>
      </c>
      <c r="O149" s="3278">
        <v>4727</v>
      </c>
      <c r="P149" s="3278">
        <v>8767</v>
      </c>
      <c r="Q149" s="3279">
        <v>43</v>
      </c>
      <c r="R149" s="2363"/>
      <c r="S149" s="2361"/>
      <c r="T149" s="2364"/>
      <c r="U149" s="2300"/>
    </row>
    <row r="150" spans="1:21">
      <c r="A150" s="2202">
        <v>2005.09</v>
      </c>
      <c r="B150" s="1707">
        <v>419833</v>
      </c>
      <c r="C150" s="3002"/>
      <c r="D150" s="2366">
        <v>419833</v>
      </c>
      <c r="E150" s="1702">
        <v>52838</v>
      </c>
      <c r="F150" s="3002"/>
      <c r="G150" s="2367"/>
      <c r="H150" s="1700">
        <v>10322</v>
      </c>
      <c r="I150" s="3278">
        <v>39</v>
      </c>
      <c r="J150" s="3278">
        <v>6337</v>
      </c>
      <c r="K150" s="3278">
        <v>148</v>
      </c>
      <c r="L150" s="3278">
        <v>1959</v>
      </c>
      <c r="M150" s="3278">
        <v>13738</v>
      </c>
      <c r="N150" s="3278">
        <v>6758</v>
      </c>
      <c r="O150" s="3278">
        <v>4727</v>
      </c>
      <c r="P150" s="3278">
        <v>8767</v>
      </c>
      <c r="Q150" s="3279">
        <v>43</v>
      </c>
      <c r="R150" s="2363"/>
      <c r="S150" s="2361"/>
      <c r="T150" s="2364"/>
      <c r="U150" s="2300"/>
    </row>
    <row r="151" spans="1:21">
      <c r="A151" s="2202">
        <v>2005.1</v>
      </c>
      <c r="B151" s="1707">
        <v>423690</v>
      </c>
      <c r="C151" s="3002"/>
      <c r="D151" s="2366">
        <v>423690</v>
      </c>
      <c r="E151" s="1702">
        <v>52838</v>
      </c>
      <c r="F151" s="3002"/>
      <c r="G151" s="2367"/>
      <c r="H151" s="1700">
        <v>10322</v>
      </c>
      <c r="I151" s="3278">
        <v>39</v>
      </c>
      <c r="J151" s="3278">
        <v>6337</v>
      </c>
      <c r="K151" s="3278">
        <v>148</v>
      </c>
      <c r="L151" s="3278">
        <v>1959</v>
      </c>
      <c r="M151" s="3278">
        <v>13738</v>
      </c>
      <c r="N151" s="3278">
        <v>6758</v>
      </c>
      <c r="O151" s="3278">
        <v>4727</v>
      </c>
      <c r="P151" s="3278">
        <v>8767</v>
      </c>
      <c r="Q151" s="3279">
        <v>43</v>
      </c>
      <c r="R151" s="2363"/>
      <c r="S151" s="2361"/>
      <c r="T151" s="2364"/>
      <c r="U151" s="2300"/>
    </row>
    <row r="152" spans="1:21">
      <c r="A152" s="2202">
        <v>2005.11</v>
      </c>
      <c r="B152" s="1707">
        <v>427401</v>
      </c>
      <c r="C152" s="3002"/>
      <c r="D152" s="2366">
        <v>427401</v>
      </c>
      <c r="E152" s="1702">
        <v>52838</v>
      </c>
      <c r="F152" s="3002"/>
      <c r="G152" s="2367"/>
      <c r="H152" s="1700">
        <v>10322</v>
      </c>
      <c r="I152" s="3278">
        <v>39</v>
      </c>
      <c r="J152" s="3278">
        <v>6337</v>
      </c>
      <c r="K152" s="3278">
        <v>148</v>
      </c>
      <c r="L152" s="3278">
        <v>1959</v>
      </c>
      <c r="M152" s="3278">
        <v>13738</v>
      </c>
      <c r="N152" s="3278">
        <v>6758</v>
      </c>
      <c r="O152" s="3278">
        <v>4727</v>
      </c>
      <c r="P152" s="3278">
        <v>8767</v>
      </c>
      <c r="Q152" s="3279">
        <v>43</v>
      </c>
      <c r="R152" s="2363"/>
      <c r="S152" s="2361"/>
      <c r="T152" s="2364"/>
      <c r="U152" s="2300"/>
    </row>
    <row r="153" spans="1:21">
      <c r="A153" s="2202">
        <v>2005.12</v>
      </c>
      <c r="B153" s="1707">
        <v>431282</v>
      </c>
      <c r="C153" s="3002"/>
      <c r="D153" s="2366">
        <v>431282</v>
      </c>
      <c r="E153" s="1702">
        <v>52838</v>
      </c>
      <c r="F153" s="3002"/>
      <c r="G153" s="2367"/>
      <c r="H153" s="1700">
        <v>10322</v>
      </c>
      <c r="I153" s="3278">
        <v>39</v>
      </c>
      <c r="J153" s="3278">
        <v>6337</v>
      </c>
      <c r="K153" s="3278">
        <v>148</v>
      </c>
      <c r="L153" s="3278">
        <v>1959</v>
      </c>
      <c r="M153" s="3278">
        <v>13738</v>
      </c>
      <c r="N153" s="3278">
        <v>6758</v>
      </c>
      <c r="O153" s="3278">
        <v>4727</v>
      </c>
      <c r="P153" s="3278">
        <v>8767</v>
      </c>
      <c r="Q153" s="3279">
        <v>43</v>
      </c>
      <c r="R153" s="2363"/>
      <c r="S153" s="2361"/>
      <c r="T153" s="2364"/>
      <c r="U153" s="2300"/>
    </row>
    <row r="154" spans="1:21">
      <c r="A154" s="2202">
        <v>2006.01</v>
      </c>
      <c r="B154" s="1707">
        <v>435742</v>
      </c>
      <c r="C154" s="3002"/>
      <c r="D154" s="2366">
        <v>435742</v>
      </c>
      <c r="E154" s="1702">
        <v>58780</v>
      </c>
      <c r="F154" s="3002"/>
      <c r="G154" s="2367"/>
      <c r="H154" s="1700">
        <v>11191</v>
      </c>
      <c r="I154" s="3278">
        <v>40</v>
      </c>
      <c r="J154" s="3278">
        <v>6999</v>
      </c>
      <c r="K154" s="3278">
        <v>151</v>
      </c>
      <c r="L154" s="3278">
        <v>2278</v>
      </c>
      <c r="M154" s="3278">
        <v>15528</v>
      </c>
      <c r="N154" s="3278">
        <v>7812</v>
      </c>
      <c r="O154" s="3278">
        <v>5144</v>
      </c>
      <c r="P154" s="3278">
        <v>9591</v>
      </c>
      <c r="Q154" s="3279">
        <v>46</v>
      </c>
      <c r="R154" s="192">
        <v>45579</v>
      </c>
      <c r="S154" s="192">
        <v>5317</v>
      </c>
      <c r="T154" s="1730">
        <v>18177</v>
      </c>
      <c r="U154" s="2300"/>
    </row>
    <row r="155" spans="1:21">
      <c r="A155" s="2202">
        <v>2006.02</v>
      </c>
      <c r="B155" s="1707">
        <v>438454</v>
      </c>
      <c r="C155" s="3002"/>
      <c r="D155" s="2366">
        <v>438454</v>
      </c>
      <c r="E155" s="1702">
        <v>58780</v>
      </c>
      <c r="F155" s="3002"/>
      <c r="G155" s="2367"/>
      <c r="H155" s="1700">
        <v>11191</v>
      </c>
      <c r="I155" s="3278">
        <v>40</v>
      </c>
      <c r="J155" s="3278">
        <v>6999</v>
      </c>
      <c r="K155" s="3278">
        <v>151</v>
      </c>
      <c r="L155" s="3278">
        <v>2278</v>
      </c>
      <c r="M155" s="3278">
        <v>15528</v>
      </c>
      <c r="N155" s="3278">
        <v>7812</v>
      </c>
      <c r="O155" s="3278">
        <v>5144</v>
      </c>
      <c r="P155" s="3278">
        <v>9591</v>
      </c>
      <c r="Q155" s="3279">
        <v>46</v>
      </c>
      <c r="R155" s="2311">
        <v>45619</v>
      </c>
      <c r="S155" s="2311">
        <v>5353</v>
      </c>
      <c r="T155" s="2368">
        <v>18210</v>
      </c>
      <c r="U155" s="2300"/>
    </row>
    <row r="156" spans="1:21">
      <c r="A156" s="2202">
        <v>2006.03</v>
      </c>
      <c r="B156" s="1707">
        <v>439741</v>
      </c>
      <c r="C156" s="3002"/>
      <c r="D156" s="2366">
        <v>439741</v>
      </c>
      <c r="E156" s="1702">
        <v>58780</v>
      </c>
      <c r="F156" s="3002"/>
      <c r="G156" s="2367"/>
      <c r="H156" s="1700">
        <v>11191</v>
      </c>
      <c r="I156" s="3278">
        <v>40</v>
      </c>
      <c r="J156" s="3278">
        <v>6999</v>
      </c>
      <c r="K156" s="3278">
        <v>151</v>
      </c>
      <c r="L156" s="3278">
        <v>2278</v>
      </c>
      <c r="M156" s="3278">
        <v>15528</v>
      </c>
      <c r="N156" s="3278">
        <v>7812</v>
      </c>
      <c r="O156" s="3278">
        <v>5144</v>
      </c>
      <c r="P156" s="3278">
        <v>9591</v>
      </c>
      <c r="Q156" s="3279">
        <v>46</v>
      </c>
      <c r="R156" s="2311">
        <v>46233</v>
      </c>
      <c r="S156" s="2311">
        <v>5400</v>
      </c>
      <c r="T156" s="2368">
        <v>18255</v>
      </c>
      <c r="U156" s="2300"/>
    </row>
    <row r="157" spans="1:21">
      <c r="A157" s="2202">
        <v>2006.04</v>
      </c>
      <c r="B157" s="1707">
        <v>441392</v>
      </c>
      <c r="C157" s="3002"/>
      <c r="D157" s="2366">
        <v>441392</v>
      </c>
      <c r="E157" s="1702">
        <v>58780</v>
      </c>
      <c r="F157" s="3002"/>
      <c r="G157" s="2367"/>
      <c r="H157" s="1700">
        <v>11191</v>
      </c>
      <c r="I157" s="3278">
        <v>40</v>
      </c>
      <c r="J157" s="3278">
        <v>6999</v>
      </c>
      <c r="K157" s="3278">
        <v>151</v>
      </c>
      <c r="L157" s="3278">
        <v>2278</v>
      </c>
      <c r="M157" s="3278">
        <v>15528</v>
      </c>
      <c r="N157" s="3278">
        <v>7812</v>
      </c>
      <c r="O157" s="3278">
        <v>5144</v>
      </c>
      <c r="P157" s="3278">
        <v>9591</v>
      </c>
      <c r="Q157" s="3279">
        <v>46</v>
      </c>
      <c r="R157" s="2311">
        <v>46661</v>
      </c>
      <c r="S157" s="2311">
        <v>5439</v>
      </c>
      <c r="T157" s="2368">
        <v>18368</v>
      </c>
      <c r="U157" s="2300"/>
    </row>
    <row r="158" spans="1:21">
      <c r="A158" s="2202">
        <v>2006.05</v>
      </c>
      <c r="B158" s="1707">
        <v>444161</v>
      </c>
      <c r="C158" s="3002"/>
      <c r="D158" s="2366">
        <v>444161</v>
      </c>
      <c r="E158" s="1702">
        <v>58780</v>
      </c>
      <c r="F158" s="3002"/>
      <c r="G158" s="2367"/>
      <c r="H158" s="1700">
        <v>11191</v>
      </c>
      <c r="I158" s="3278">
        <v>40</v>
      </c>
      <c r="J158" s="3278">
        <v>6999</v>
      </c>
      <c r="K158" s="3278">
        <v>151</v>
      </c>
      <c r="L158" s="3278">
        <v>2278</v>
      </c>
      <c r="M158" s="3278">
        <v>15528</v>
      </c>
      <c r="N158" s="3278">
        <v>7812</v>
      </c>
      <c r="O158" s="3278">
        <v>5144</v>
      </c>
      <c r="P158" s="3278">
        <v>9591</v>
      </c>
      <c r="Q158" s="3279">
        <v>46</v>
      </c>
      <c r="R158" s="2311">
        <v>46836</v>
      </c>
      <c r="S158" s="2311">
        <v>5489</v>
      </c>
      <c r="T158" s="2368">
        <v>18481</v>
      </c>
      <c r="U158" s="2300"/>
    </row>
    <row r="159" spans="1:21">
      <c r="A159" s="2202">
        <v>2006.06</v>
      </c>
      <c r="B159" s="1707">
        <v>447095</v>
      </c>
      <c r="C159" s="3002"/>
      <c r="D159" s="2366">
        <v>447095</v>
      </c>
      <c r="E159" s="1702">
        <v>58780</v>
      </c>
      <c r="F159" s="3002"/>
      <c r="G159" s="2367"/>
      <c r="H159" s="1700">
        <v>11191</v>
      </c>
      <c r="I159" s="3278">
        <v>40</v>
      </c>
      <c r="J159" s="3278">
        <v>6999</v>
      </c>
      <c r="K159" s="3278">
        <v>151</v>
      </c>
      <c r="L159" s="3278">
        <v>2278</v>
      </c>
      <c r="M159" s="3278">
        <v>15528</v>
      </c>
      <c r="N159" s="3278">
        <v>7812</v>
      </c>
      <c r="O159" s="3278">
        <v>5144</v>
      </c>
      <c r="P159" s="3278">
        <v>9591</v>
      </c>
      <c r="Q159" s="3279">
        <v>46</v>
      </c>
      <c r="R159" s="2311">
        <v>46745</v>
      </c>
      <c r="S159" s="2311">
        <v>5505</v>
      </c>
      <c r="T159" s="2368">
        <v>18614</v>
      </c>
      <c r="U159" s="2300"/>
    </row>
    <row r="160" spans="1:21">
      <c r="A160" s="2202">
        <v>2006.07</v>
      </c>
      <c r="B160" s="1707">
        <v>449902</v>
      </c>
      <c r="C160" s="3002"/>
      <c r="D160" s="2366">
        <v>449902</v>
      </c>
      <c r="E160" s="1702">
        <v>58780</v>
      </c>
      <c r="F160" s="3002"/>
      <c r="G160" s="2367"/>
      <c r="H160" s="1700">
        <v>11191</v>
      </c>
      <c r="I160" s="3278">
        <v>40</v>
      </c>
      <c r="J160" s="3278">
        <v>6999</v>
      </c>
      <c r="K160" s="3278">
        <v>151</v>
      </c>
      <c r="L160" s="3278">
        <v>2278</v>
      </c>
      <c r="M160" s="3278">
        <v>15528</v>
      </c>
      <c r="N160" s="3278">
        <v>7812</v>
      </c>
      <c r="O160" s="3278">
        <v>5144</v>
      </c>
      <c r="P160" s="3278">
        <v>9591</v>
      </c>
      <c r="Q160" s="3279">
        <v>46</v>
      </c>
      <c r="R160" s="2311">
        <v>46923</v>
      </c>
      <c r="S160" s="2311">
        <v>5546</v>
      </c>
      <c r="T160" s="2368">
        <v>18710</v>
      </c>
      <c r="U160" s="2300"/>
    </row>
    <row r="161" spans="1:21">
      <c r="A161" s="2202">
        <v>2006.08</v>
      </c>
      <c r="B161" s="1707">
        <v>453368</v>
      </c>
      <c r="C161" s="3002"/>
      <c r="D161" s="2366">
        <v>453368</v>
      </c>
      <c r="E161" s="1702">
        <v>58780</v>
      </c>
      <c r="F161" s="3002"/>
      <c r="G161" s="2367"/>
      <c r="H161" s="1700">
        <v>11191</v>
      </c>
      <c r="I161" s="3278">
        <v>40</v>
      </c>
      <c r="J161" s="3278">
        <v>6999</v>
      </c>
      <c r="K161" s="3278">
        <v>151</v>
      </c>
      <c r="L161" s="3278">
        <v>2278</v>
      </c>
      <c r="M161" s="3278">
        <v>15528</v>
      </c>
      <c r="N161" s="3278">
        <v>7812</v>
      </c>
      <c r="O161" s="3278">
        <v>5144</v>
      </c>
      <c r="P161" s="3278">
        <v>9591</v>
      </c>
      <c r="Q161" s="3279">
        <v>46</v>
      </c>
      <c r="R161" s="2311">
        <v>47210</v>
      </c>
      <c r="S161" s="2311">
        <v>5584</v>
      </c>
      <c r="T161" s="2368">
        <v>18837</v>
      </c>
      <c r="U161" s="2300"/>
    </row>
    <row r="162" spans="1:21">
      <c r="A162" s="2202">
        <v>2006.09</v>
      </c>
      <c r="B162" s="1707">
        <v>456913</v>
      </c>
      <c r="C162" s="3002"/>
      <c r="D162" s="2366">
        <v>456913</v>
      </c>
      <c r="E162" s="1702">
        <v>58780</v>
      </c>
      <c r="F162" s="3002"/>
      <c r="G162" s="2367"/>
      <c r="H162" s="1700">
        <v>11191</v>
      </c>
      <c r="I162" s="3278">
        <v>40</v>
      </c>
      <c r="J162" s="3278">
        <v>6999</v>
      </c>
      <c r="K162" s="3278">
        <v>151</v>
      </c>
      <c r="L162" s="3278">
        <v>2278</v>
      </c>
      <c r="M162" s="3278">
        <v>15528</v>
      </c>
      <c r="N162" s="3278">
        <v>7812</v>
      </c>
      <c r="O162" s="3278">
        <v>5144</v>
      </c>
      <c r="P162" s="3278">
        <v>9591</v>
      </c>
      <c r="Q162" s="3279">
        <v>46</v>
      </c>
      <c r="R162" s="2311">
        <v>47585</v>
      </c>
      <c r="S162" s="2311">
        <v>5625</v>
      </c>
      <c r="T162" s="2368">
        <v>19008</v>
      </c>
      <c r="U162" s="2300"/>
    </row>
    <row r="163" spans="1:21">
      <c r="A163" s="2202">
        <v>2006.1</v>
      </c>
      <c r="B163" s="1707">
        <v>460154</v>
      </c>
      <c r="C163" s="3002"/>
      <c r="D163" s="2366">
        <v>460154</v>
      </c>
      <c r="E163" s="1702">
        <v>58780</v>
      </c>
      <c r="F163" s="3002"/>
      <c r="G163" s="2367"/>
      <c r="H163" s="1700">
        <v>11191</v>
      </c>
      <c r="I163" s="3278">
        <v>40</v>
      </c>
      <c r="J163" s="3278">
        <v>6999</v>
      </c>
      <c r="K163" s="3278">
        <v>151</v>
      </c>
      <c r="L163" s="3278">
        <v>2278</v>
      </c>
      <c r="M163" s="3278">
        <v>15528</v>
      </c>
      <c r="N163" s="3278">
        <v>7812</v>
      </c>
      <c r="O163" s="3278">
        <v>5144</v>
      </c>
      <c r="P163" s="3278">
        <v>9591</v>
      </c>
      <c r="Q163" s="3279">
        <v>46</v>
      </c>
      <c r="R163" s="2311">
        <v>47989</v>
      </c>
      <c r="S163" s="2311">
        <v>5669</v>
      </c>
      <c r="T163" s="2368">
        <v>19134</v>
      </c>
      <c r="U163" s="2300"/>
    </row>
    <row r="164" spans="1:21">
      <c r="A164" s="2202">
        <v>2006.11</v>
      </c>
      <c r="B164" s="1707">
        <v>463458</v>
      </c>
      <c r="C164" s="3002"/>
      <c r="D164" s="2366">
        <v>463458</v>
      </c>
      <c r="E164" s="1702">
        <v>58780</v>
      </c>
      <c r="F164" s="3002"/>
      <c r="G164" s="2367"/>
      <c r="H164" s="1700">
        <v>11191</v>
      </c>
      <c r="I164" s="3278">
        <v>40</v>
      </c>
      <c r="J164" s="3278">
        <v>6999</v>
      </c>
      <c r="K164" s="3278">
        <v>151</v>
      </c>
      <c r="L164" s="3278">
        <v>2278</v>
      </c>
      <c r="M164" s="3278">
        <v>15528</v>
      </c>
      <c r="N164" s="3278">
        <v>7812</v>
      </c>
      <c r="O164" s="3278">
        <v>5144</v>
      </c>
      <c r="P164" s="3278">
        <v>9591</v>
      </c>
      <c r="Q164" s="3279">
        <v>46</v>
      </c>
      <c r="R164" s="2311">
        <v>48466</v>
      </c>
      <c r="S164" s="2311">
        <v>5693</v>
      </c>
      <c r="T164" s="2368">
        <v>19249</v>
      </c>
      <c r="U164" s="2300"/>
    </row>
    <row r="165" spans="1:21">
      <c r="A165" s="2202">
        <v>2006.12</v>
      </c>
      <c r="B165" s="1707">
        <v>474318</v>
      </c>
      <c r="C165" s="3002"/>
      <c r="D165" s="2366">
        <v>474318</v>
      </c>
      <c r="E165" s="1702">
        <v>58780</v>
      </c>
      <c r="F165" s="3002"/>
      <c r="G165" s="2367"/>
      <c r="H165" s="1700">
        <v>11191</v>
      </c>
      <c r="I165" s="3278">
        <v>40</v>
      </c>
      <c r="J165" s="3278">
        <v>6999</v>
      </c>
      <c r="K165" s="3278">
        <v>151</v>
      </c>
      <c r="L165" s="3278">
        <v>2278</v>
      </c>
      <c r="M165" s="3278">
        <v>15528</v>
      </c>
      <c r="N165" s="3278">
        <v>7812</v>
      </c>
      <c r="O165" s="3278">
        <v>5144</v>
      </c>
      <c r="P165" s="3278">
        <v>9591</v>
      </c>
      <c r="Q165" s="3279">
        <v>46</v>
      </c>
      <c r="R165" s="2311">
        <v>48509</v>
      </c>
      <c r="S165" s="2311">
        <v>5692</v>
      </c>
      <c r="T165" s="2368">
        <v>19255</v>
      </c>
      <c r="U165" s="2300"/>
    </row>
    <row r="166" spans="1:21">
      <c r="A166" s="2202">
        <v>2007.01</v>
      </c>
      <c r="B166" s="1707">
        <v>468457</v>
      </c>
      <c r="C166" s="3002"/>
      <c r="D166" s="2366">
        <v>468457</v>
      </c>
      <c r="E166" s="1702">
        <v>61127</v>
      </c>
      <c r="F166" s="3002"/>
      <c r="G166" s="2367"/>
      <c r="H166" s="1700">
        <v>11520</v>
      </c>
      <c r="I166" s="3278">
        <v>38</v>
      </c>
      <c r="J166" s="3278">
        <v>7202</v>
      </c>
      <c r="K166" s="3278">
        <v>151</v>
      </c>
      <c r="L166" s="3278">
        <v>2380</v>
      </c>
      <c r="M166" s="3278">
        <v>16232</v>
      </c>
      <c r="N166" s="3278">
        <v>8234</v>
      </c>
      <c r="O166" s="3278">
        <v>5358</v>
      </c>
      <c r="P166" s="3278">
        <v>9964</v>
      </c>
      <c r="Q166" s="3279">
        <v>48</v>
      </c>
      <c r="R166" s="2311">
        <v>48344</v>
      </c>
      <c r="S166" s="2311">
        <v>5693</v>
      </c>
      <c r="T166" s="2368">
        <v>19324</v>
      </c>
      <c r="U166" s="2300"/>
    </row>
    <row r="167" spans="1:21">
      <c r="A167" s="2202">
        <v>2007.02</v>
      </c>
      <c r="B167" s="1707">
        <v>471075</v>
      </c>
      <c r="C167" s="3002"/>
      <c r="D167" s="2366">
        <v>471075</v>
      </c>
      <c r="E167" s="1702">
        <v>61463</v>
      </c>
      <c r="F167" s="3002"/>
      <c r="G167" s="2367"/>
      <c r="H167" s="1700">
        <v>11561</v>
      </c>
      <c r="I167" s="3278">
        <v>38</v>
      </c>
      <c r="J167" s="3278">
        <v>7241</v>
      </c>
      <c r="K167" s="3278">
        <v>152</v>
      </c>
      <c r="L167" s="3278">
        <v>2404</v>
      </c>
      <c r="M167" s="3278">
        <v>16353</v>
      </c>
      <c r="N167" s="3278">
        <v>8291</v>
      </c>
      <c r="O167" s="3278">
        <v>5395</v>
      </c>
      <c r="P167" s="3278">
        <v>9981</v>
      </c>
      <c r="Q167" s="3279">
        <v>47</v>
      </c>
      <c r="R167" s="2311">
        <v>48462</v>
      </c>
      <c r="S167" s="2311">
        <v>5702</v>
      </c>
      <c r="T167" s="2368">
        <v>19412</v>
      </c>
      <c r="U167" s="2300"/>
    </row>
    <row r="168" spans="1:21">
      <c r="A168" s="2202">
        <v>2007.03</v>
      </c>
      <c r="B168" s="1707">
        <v>472082</v>
      </c>
      <c r="C168" s="3002"/>
      <c r="D168" s="2366">
        <v>472082</v>
      </c>
      <c r="E168" s="1702">
        <v>61979</v>
      </c>
      <c r="F168" s="3002"/>
      <c r="G168" s="2367"/>
      <c r="H168" s="1700">
        <v>11655</v>
      </c>
      <c r="I168" s="3278">
        <v>38</v>
      </c>
      <c r="J168" s="3278">
        <v>7291</v>
      </c>
      <c r="K168" s="3278">
        <v>152</v>
      </c>
      <c r="L168" s="3278">
        <v>2437</v>
      </c>
      <c r="M168" s="3278">
        <v>16486</v>
      </c>
      <c r="N168" s="3278">
        <v>8410</v>
      </c>
      <c r="O168" s="3278">
        <v>5419</v>
      </c>
      <c r="P168" s="3278">
        <v>10044</v>
      </c>
      <c r="Q168" s="3279">
        <v>47</v>
      </c>
      <c r="R168" s="2311">
        <v>49025</v>
      </c>
      <c r="S168" s="2311">
        <v>5719</v>
      </c>
      <c r="T168" s="2368">
        <v>19473</v>
      </c>
      <c r="U168" s="2300"/>
    </row>
    <row r="169" spans="1:21">
      <c r="A169" s="2202">
        <v>2007.04</v>
      </c>
      <c r="B169" s="1707">
        <v>472646</v>
      </c>
      <c r="C169" s="3002"/>
      <c r="D169" s="2366">
        <v>472646</v>
      </c>
      <c r="E169" s="1702">
        <v>62402</v>
      </c>
      <c r="F169" s="3002"/>
      <c r="G169" s="2367"/>
      <c r="H169" s="1700">
        <v>11711</v>
      </c>
      <c r="I169" s="3278">
        <v>38</v>
      </c>
      <c r="J169" s="3278">
        <v>7330</v>
      </c>
      <c r="K169" s="3278">
        <v>152</v>
      </c>
      <c r="L169" s="3278">
        <v>2476</v>
      </c>
      <c r="M169" s="3278">
        <v>16618</v>
      </c>
      <c r="N169" s="3278">
        <v>8467</v>
      </c>
      <c r="O169" s="3278">
        <v>5458</v>
      </c>
      <c r="P169" s="3278">
        <v>10105</v>
      </c>
      <c r="Q169" s="3279">
        <v>47</v>
      </c>
      <c r="R169" s="2311">
        <v>49196</v>
      </c>
      <c r="S169" s="2311">
        <v>5713</v>
      </c>
      <c r="T169" s="2368">
        <v>19515</v>
      </c>
      <c r="U169" s="2300"/>
    </row>
    <row r="170" spans="1:21">
      <c r="A170" s="2202">
        <v>2007.05</v>
      </c>
      <c r="B170" s="1707">
        <v>474761</v>
      </c>
      <c r="C170" s="3002"/>
      <c r="D170" s="2366">
        <v>474761</v>
      </c>
      <c r="E170" s="1702">
        <v>62935</v>
      </c>
      <c r="F170" s="3002"/>
      <c r="G170" s="2367"/>
      <c r="H170" s="1700">
        <v>11763</v>
      </c>
      <c r="I170" s="3278">
        <v>38</v>
      </c>
      <c r="J170" s="3278">
        <v>7383</v>
      </c>
      <c r="K170" s="3278">
        <v>152</v>
      </c>
      <c r="L170" s="3278">
        <v>2507</v>
      </c>
      <c r="M170" s="3278">
        <v>16768</v>
      </c>
      <c r="N170" s="3278">
        <v>8565</v>
      </c>
      <c r="O170" s="3278">
        <v>5513</v>
      </c>
      <c r="P170" s="3278">
        <v>10199</v>
      </c>
      <c r="Q170" s="3279">
        <v>47</v>
      </c>
      <c r="R170" s="2311">
        <v>49315</v>
      </c>
      <c r="S170" s="2311">
        <v>5734</v>
      </c>
      <c r="T170" s="2368">
        <v>19616</v>
      </c>
      <c r="U170" s="2300"/>
    </row>
    <row r="171" spans="1:21">
      <c r="A171" s="2202">
        <v>2007.06</v>
      </c>
      <c r="B171" s="1707">
        <v>475999</v>
      </c>
      <c r="C171" s="3002"/>
      <c r="D171" s="2366">
        <v>475999</v>
      </c>
      <c r="E171" s="1702">
        <v>63145</v>
      </c>
      <c r="F171" s="3002"/>
      <c r="G171" s="2367"/>
      <c r="H171" s="1700">
        <v>11770</v>
      </c>
      <c r="I171" s="3278">
        <v>37</v>
      </c>
      <c r="J171" s="3278">
        <v>7377</v>
      </c>
      <c r="K171" s="3278">
        <v>153</v>
      </c>
      <c r="L171" s="3278">
        <v>2509</v>
      </c>
      <c r="M171" s="3278">
        <v>16828</v>
      </c>
      <c r="N171" s="3278">
        <v>8670</v>
      </c>
      <c r="O171" s="3278">
        <v>5537</v>
      </c>
      <c r="P171" s="3278">
        <v>10218</v>
      </c>
      <c r="Q171" s="3279">
        <v>46</v>
      </c>
      <c r="R171" s="2311">
        <v>49318</v>
      </c>
      <c r="S171" s="2311">
        <v>5754</v>
      </c>
      <c r="T171" s="2368">
        <v>19765</v>
      </c>
      <c r="U171" s="2300"/>
    </row>
    <row r="172" spans="1:21">
      <c r="A172" s="2202">
        <v>2007.07</v>
      </c>
      <c r="B172" s="1707">
        <v>479354</v>
      </c>
      <c r="C172" s="3002"/>
      <c r="D172" s="2366">
        <v>479354</v>
      </c>
      <c r="E172" s="1702">
        <v>63664</v>
      </c>
      <c r="F172" s="3002"/>
      <c r="G172" s="2367"/>
      <c r="H172" s="1700">
        <v>11811</v>
      </c>
      <c r="I172" s="3278">
        <v>37</v>
      </c>
      <c r="J172" s="3278">
        <v>7432</v>
      </c>
      <c r="K172" s="3278">
        <v>152</v>
      </c>
      <c r="L172" s="3278">
        <v>2547</v>
      </c>
      <c r="M172" s="3278">
        <v>16985</v>
      </c>
      <c r="N172" s="3278">
        <v>8791</v>
      </c>
      <c r="O172" s="3278">
        <v>5575</v>
      </c>
      <c r="P172" s="3278">
        <v>10285</v>
      </c>
      <c r="Q172" s="3279">
        <v>49</v>
      </c>
      <c r="R172" s="2311">
        <v>49398</v>
      </c>
      <c r="S172" s="2311">
        <v>5764</v>
      </c>
      <c r="T172" s="2368">
        <v>19908</v>
      </c>
      <c r="U172" s="2300"/>
    </row>
    <row r="173" spans="1:21">
      <c r="A173" s="2202">
        <v>2007.08</v>
      </c>
      <c r="B173" s="1707">
        <v>482387</v>
      </c>
      <c r="C173" s="3002"/>
      <c r="D173" s="2366">
        <v>482387</v>
      </c>
      <c r="E173" s="1702">
        <v>64099</v>
      </c>
      <c r="F173" s="3002"/>
      <c r="G173" s="2367"/>
      <c r="H173" s="1700">
        <v>11869</v>
      </c>
      <c r="I173" s="3278">
        <v>38</v>
      </c>
      <c r="J173" s="3278">
        <v>7472</v>
      </c>
      <c r="K173" s="3278">
        <v>152</v>
      </c>
      <c r="L173" s="3278">
        <v>2560</v>
      </c>
      <c r="M173" s="3278">
        <v>17083</v>
      </c>
      <c r="N173" s="3278">
        <v>8934</v>
      </c>
      <c r="O173" s="3278">
        <v>5612</v>
      </c>
      <c r="P173" s="3278">
        <v>10331</v>
      </c>
      <c r="Q173" s="3279">
        <v>48</v>
      </c>
      <c r="R173" s="2311">
        <v>50214</v>
      </c>
      <c r="S173" s="2311">
        <v>5872</v>
      </c>
      <c r="T173" s="2368">
        <v>20214</v>
      </c>
      <c r="U173" s="2300"/>
    </row>
    <row r="174" spans="1:21">
      <c r="A174" s="2202">
        <v>2007.09</v>
      </c>
      <c r="B174" s="1707">
        <v>485886</v>
      </c>
      <c r="C174" s="3002"/>
      <c r="D174" s="2366">
        <v>485886</v>
      </c>
      <c r="E174" s="1702">
        <v>64629</v>
      </c>
      <c r="F174" s="3002"/>
      <c r="G174" s="2367"/>
      <c r="H174" s="1700">
        <v>11928</v>
      </c>
      <c r="I174" s="3278">
        <v>38</v>
      </c>
      <c r="J174" s="3278">
        <v>7536</v>
      </c>
      <c r="K174" s="3278">
        <v>152</v>
      </c>
      <c r="L174" s="3278">
        <v>2586</v>
      </c>
      <c r="M174" s="3278">
        <v>17231</v>
      </c>
      <c r="N174" s="3278">
        <v>9089</v>
      </c>
      <c r="O174" s="3278">
        <v>5639</v>
      </c>
      <c r="P174" s="3278">
        <v>10383</v>
      </c>
      <c r="Q174" s="3279">
        <v>47</v>
      </c>
      <c r="R174" s="2311">
        <v>50451</v>
      </c>
      <c r="S174" s="2311">
        <v>5910</v>
      </c>
      <c r="T174" s="2368">
        <v>20415</v>
      </c>
      <c r="U174" s="2300"/>
    </row>
    <row r="175" spans="1:21">
      <c r="A175" s="2202">
        <v>2007.1</v>
      </c>
      <c r="B175" s="1707">
        <v>488913</v>
      </c>
      <c r="C175" s="3002"/>
      <c r="D175" s="2366">
        <v>488913</v>
      </c>
      <c r="E175" s="1702">
        <v>65052</v>
      </c>
      <c r="F175" s="3002"/>
      <c r="G175" s="2367"/>
      <c r="H175" s="1700">
        <v>11988</v>
      </c>
      <c r="I175" s="3278">
        <v>38</v>
      </c>
      <c r="J175" s="3278">
        <v>7573</v>
      </c>
      <c r="K175" s="3278">
        <v>152</v>
      </c>
      <c r="L175" s="3278">
        <v>2605</v>
      </c>
      <c r="M175" s="3278">
        <v>17352</v>
      </c>
      <c r="N175" s="3278">
        <v>9217</v>
      </c>
      <c r="O175" s="3278">
        <v>5661</v>
      </c>
      <c r="P175" s="3278">
        <v>10419</v>
      </c>
      <c r="Q175" s="3279">
        <v>47</v>
      </c>
      <c r="R175" s="2311">
        <v>50855</v>
      </c>
      <c r="S175" s="2311">
        <v>5931</v>
      </c>
      <c r="T175" s="2368">
        <v>20561</v>
      </c>
      <c r="U175" s="2300"/>
    </row>
    <row r="176" spans="1:21">
      <c r="A176" s="2202">
        <v>2007.11</v>
      </c>
      <c r="B176" s="1707">
        <v>492402</v>
      </c>
      <c r="C176" s="3002"/>
      <c r="D176" s="2366">
        <v>492402</v>
      </c>
      <c r="E176" s="1702">
        <v>65474</v>
      </c>
      <c r="F176" s="3002"/>
      <c r="G176" s="2367"/>
      <c r="H176" s="1700">
        <v>12038</v>
      </c>
      <c r="I176" s="3278">
        <v>37</v>
      </c>
      <c r="J176" s="3278">
        <v>7622</v>
      </c>
      <c r="K176" s="3278">
        <v>152</v>
      </c>
      <c r="L176" s="3278">
        <v>2624</v>
      </c>
      <c r="M176" s="3278">
        <v>17473</v>
      </c>
      <c r="N176" s="3278">
        <v>9306</v>
      </c>
      <c r="O176" s="3278">
        <v>5708</v>
      </c>
      <c r="P176" s="3278">
        <v>10466</v>
      </c>
      <c r="Q176" s="3279">
        <v>48</v>
      </c>
      <c r="R176" s="2311">
        <v>51262</v>
      </c>
      <c r="S176" s="2311">
        <v>5955</v>
      </c>
      <c r="T176" s="2368">
        <v>20667</v>
      </c>
      <c r="U176" s="2300"/>
    </row>
    <row r="177" spans="1:21">
      <c r="A177" s="2202">
        <v>2007.12</v>
      </c>
      <c r="B177" s="1707">
        <v>495626</v>
      </c>
      <c r="C177" s="3002"/>
      <c r="D177" s="2366">
        <v>495626</v>
      </c>
      <c r="E177" s="1702">
        <v>65775</v>
      </c>
      <c r="F177" s="3002"/>
      <c r="G177" s="2367"/>
      <c r="H177" s="1700">
        <v>12094</v>
      </c>
      <c r="I177" s="3278">
        <v>37</v>
      </c>
      <c r="J177" s="3278">
        <v>7655</v>
      </c>
      <c r="K177" s="3278">
        <v>152</v>
      </c>
      <c r="L177" s="3278">
        <v>2640</v>
      </c>
      <c r="M177" s="3278">
        <v>17563</v>
      </c>
      <c r="N177" s="3278">
        <v>9365</v>
      </c>
      <c r="O177" s="3278">
        <v>5738</v>
      </c>
      <c r="P177" s="3278">
        <v>10483</v>
      </c>
      <c r="Q177" s="3279">
        <v>48</v>
      </c>
      <c r="R177" s="2311">
        <v>51420</v>
      </c>
      <c r="S177" s="2311">
        <v>5986</v>
      </c>
      <c r="T177" s="2368">
        <v>20659</v>
      </c>
      <c r="U177" s="2300"/>
    </row>
    <row r="178" spans="1:21">
      <c r="A178" s="2202">
        <f t="shared" ref="A178:A209" si="1">A166+1</f>
        <v>2008.01</v>
      </c>
      <c r="B178" s="1707">
        <v>496343</v>
      </c>
      <c r="C178" s="3002"/>
      <c r="D178" s="2366">
        <v>496343</v>
      </c>
      <c r="E178" s="1702">
        <v>65953</v>
      </c>
      <c r="F178" s="3002"/>
      <c r="G178" s="2367"/>
      <c r="H178" s="1700">
        <v>12129</v>
      </c>
      <c r="I178" s="3278">
        <v>37</v>
      </c>
      <c r="J178" s="3278">
        <v>7645</v>
      </c>
      <c r="K178" s="3278">
        <v>152</v>
      </c>
      <c r="L178" s="3278">
        <v>2642</v>
      </c>
      <c r="M178" s="3278">
        <v>17627</v>
      </c>
      <c r="N178" s="3278">
        <v>9416</v>
      </c>
      <c r="O178" s="3278">
        <v>5755</v>
      </c>
      <c r="P178" s="3278">
        <v>10501</v>
      </c>
      <c r="Q178" s="3279">
        <v>49</v>
      </c>
      <c r="R178" s="2311">
        <v>50925</v>
      </c>
      <c r="S178" s="2311">
        <v>5973</v>
      </c>
      <c r="T178" s="2368">
        <v>20562</v>
      </c>
      <c r="U178" s="2300"/>
    </row>
    <row r="179" spans="1:21">
      <c r="A179" s="2202">
        <f t="shared" si="1"/>
        <v>2008.02</v>
      </c>
      <c r="B179" s="1707">
        <v>495101</v>
      </c>
      <c r="C179" s="3002"/>
      <c r="D179" s="2366">
        <v>495101</v>
      </c>
      <c r="E179" s="1702">
        <v>65994</v>
      </c>
      <c r="F179" s="3002"/>
      <c r="G179" s="2367"/>
      <c r="H179" s="1700">
        <v>12137</v>
      </c>
      <c r="I179" s="3278">
        <v>37</v>
      </c>
      <c r="J179" s="3278">
        <v>7638</v>
      </c>
      <c r="K179" s="3278">
        <v>152</v>
      </c>
      <c r="L179" s="3278">
        <v>2639</v>
      </c>
      <c r="M179" s="3278">
        <v>17662</v>
      </c>
      <c r="N179" s="3278">
        <v>9427</v>
      </c>
      <c r="O179" s="3278">
        <v>5774</v>
      </c>
      <c r="P179" s="3278">
        <v>10478</v>
      </c>
      <c r="Q179" s="3279">
        <v>50</v>
      </c>
      <c r="R179" s="2311">
        <v>49964</v>
      </c>
      <c r="S179" s="2311">
        <v>5925</v>
      </c>
      <c r="T179" s="2368">
        <v>20283</v>
      </c>
      <c r="U179" s="2300"/>
    </row>
    <row r="180" spans="1:21">
      <c r="A180" s="2202">
        <f t="shared" si="1"/>
        <v>2008.03</v>
      </c>
      <c r="B180" s="1707">
        <v>498060</v>
      </c>
      <c r="C180" s="3002"/>
      <c r="D180" s="2366">
        <v>498060</v>
      </c>
      <c r="E180" s="1702">
        <v>66300</v>
      </c>
      <c r="F180" s="3002"/>
      <c r="G180" s="2367"/>
      <c r="H180" s="1700">
        <v>12202</v>
      </c>
      <c r="I180" s="3278">
        <v>37</v>
      </c>
      <c r="J180" s="3278">
        <v>7666</v>
      </c>
      <c r="K180" s="3278">
        <v>152</v>
      </c>
      <c r="L180" s="3278">
        <v>2649</v>
      </c>
      <c r="M180" s="3278">
        <v>17767</v>
      </c>
      <c r="N180" s="3278">
        <v>9473</v>
      </c>
      <c r="O180" s="3278">
        <v>5798</v>
      </c>
      <c r="P180" s="3278">
        <v>10506</v>
      </c>
      <c r="Q180" s="3279">
        <v>50</v>
      </c>
      <c r="R180" s="2311">
        <v>51792</v>
      </c>
      <c r="S180" s="2311">
        <v>6060</v>
      </c>
      <c r="T180" s="2368">
        <v>20761</v>
      </c>
      <c r="U180" s="2300"/>
    </row>
    <row r="181" spans="1:21">
      <c r="A181" s="2202">
        <f t="shared" si="1"/>
        <v>2008.04</v>
      </c>
      <c r="B181" s="1707">
        <v>498702</v>
      </c>
      <c r="C181" s="3002"/>
      <c r="D181" s="2366">
        <v>498702</v>
      </c>
      <c r="E181" s="1702">
        <v>66697</v>
      </c>
      <c r="F181" s="3002"/>
      <c r="G181" s="2367"/>
      <c r="H181" s="1700">
        <v>12257</v>
      </c>
      <c r="I181" s="3278">
        <v>37</v>
      </c>
      <c r="J181" s="3278">
        <v>7702</v>
      </c>
      <c r="K181" s="3278">
        <v>152</v>
      </c>
      <c r="L181" s="3278">
        <v>2672</v>
      </c>
      <c r="M181" s="3278">
        <v>17885</v>
      </c>
      <c r="N181" s="3278">
        <v>9556</v>
      </c>
      <c r="O181" s="3278">
        <v>5824</v>
      </c>
      <c r="P181" s="3278">
        <v>10562</v>
      </c>
      <c r="Q181" s="3279">
        <v>50</v>
      </c>
      <c r="R181" s="2311">
        <v>52139</v>
      </c>
      <c r="S181" s="2311">
        <v>6139</v>
      </c>
      <c r="T181" s="2368">
        <v>20858</v>
      </c>
      <c r="U181" s="2300"/>
    </row>
    <row r="182" spans="1:21">
      <c r="A182" s="2202">
        <f t="shared" si="1"/>
        <v>2008.05</v>
      </c>
      <c r="B182" s="1707">
        <v>499871</v>
      </c>
      <c r="C182" s="3002"/>
      <c r="D182" s="2366">
        <v>499871</v>
      </c>
      <c r="E182" s="1702">
        <v>66942</v>
      </c>
      <c r="F182" s="3002"/>
      <c r="G182" s="2367"/>
      <c r="H182" s="1700">
        <v>12280</v>
      </c>
      <c r="I182" s="3278">
        <v>37</v>
      </c>
      <c r="J182" s="3278">
        <v>7703</v>
      </c>
      <c r="K182" s="3278">
        <v>153</v>
      </c>
      <c r="L182" s="3278">
        <v>2696</v>
      </c>
      <c r="M182" s="3278">
        <v>17998</v>
      </c>
      <c r="N182" s="3278">
        <v>9585</v>
      </c>
      <c r="O182" s="3278">
        <v>5842</v>
      </c>
      <c r="P182" s="3278">
        <v>10597</v>
      </c>
      <c r="Q182" s="3279">
        <v>51</v>
      </c>
      <c r="R182" s="2311">
        <v>52197</v>
      </c>
      <c r="S182" s="2311">
        <v>6167</v>
      </c>
      <c r="T182" s="2368">
        <v>20950</v>
      </c>
      <c r="U182" s="2300"/>
    </row>
    <row r="183" spans="1:21">
      <c r="A183" s="2202">
        <f t="shared" si="1"/>
        <v>2008.06</v>
      </c>
      <c r="B183" s="1707">
        <v>502863</v>
      </c>
      <c r="C183" s="3002"/>
      <c r="D183" s="2366">
        <v>502863</v>
      </c>
      <c r="E183" s="1702">
        <v>67220</v>
      </c>
      <c r="F183" s="3002"/>
      <c r="G183" s="2367"/>
      <c r="H183" s="1700">
        <v>12305</v>
      </c>
      <c r="I183" s="3278">
        <v>37</v>
      </c>
      <c r="J183" s="3278">
        <v>7718</v>
      </c>
      <c r="K183" s="3278">
        <v>152</v>
      </c>
      <c r="L183" s="3278">
        <v>2732</v>
      </c>
      <c r="M183" s="3278">
        <v>18113</v>
      </c>
      <c r="N183" s="3278">
        <v>9607</v>
      </c>
      <c r="O183" s="3278">
        <v>5867</v>
      </c>
      <c r="P183" s="3278">
        <v>10638</v>
      </c>
      <c r="Q183" s="3279">
        <v>51</v>
      </c>
      <c r="R183" s="2311">
        <v>52117</v>
      </c>
      <c r="S183" s="2311">
        <v>6183</v>
      </c>
      <c r="T183" s="2368">
        <v>21028</v>
      </c>
      <c r="U183" s="2300"/>
    </row>
    <row r="184" spans="1:21">
      <c r="A184" s="2202">
        <f t="shared" si="1"/>
        <v>2008.07</v>
      </c>
      <c r="B184" s="1707">
        <v>504213</v>
      </c>
      <c r="C184" s="3002"/>
      <c r="D184" s="2366">
        <v>504213</v>
      </c>
      <c r="E184" s="1702">
        <v>67689</v>
      </c>
      <c r="F184" s="3002"/>
      <c r="G184" s="2367"/>
      <c r="H184" s="1700">
        <v>12378</v>
      </c>
      <c r="I184" s="3278">
        <v>37</v>
      </c>
      <c r="J184" s="3278">
        <v>7763</v>
      </c>
      <c r="K184" s="3278">
        <v>153</v>
      </c>
      <c r="L184" s="3278">
        <v>2760</v>
      </c>
      <c r="M184" s="3278">
        <v>18266</v>
      </c>
      <c r="N184" s="3278">
        <v>9679</v>
      </c>
      <c r="O184" s="3278">
        <v>5918</v>
      </c>
      <c r="P184" s="3278">
        <v>10684</v>
      </c>
      <c r="Q184" s="3279">
        <v>51</v>
      </c>
      <c r="R184" s="2311">
        <v>52188</v>
      </c>
      <c r="S184" s="2311">
        <v>6222</v>
      </c>
      <c r="T184" s="2368">
        <v>21037</v>
      </c>
      <c r="U184" s="2300"/>
    </row>
    <row r="185" spans="1:21">
      <c r="A185" s="2202">
        <f t="shared" si="1"/>
        <v>2008.08</v>
      </c>
      <c r="B185" s="1707">
        <v>505448</v>
      </c>
      <c r="C185" s="3002"/>
      <c r="D185" s="2366">
        <v>505448</v>
      </c>
      <c r="E185" s="1702">
        <v>67697</v>
      </c>
      <c r="F185" s="3002"/>
      <c r="G185" s="2367"/>
      <c r="H185" s="1700">
        <v>12382</v>
      </c>
      <c r="I185" s="3278">
        <v>37</v>
      </c>
      <c r="J185" s="3278">
        <v>7731</v>
      </c>
      <c r="K185" s="3278">
        <v>153</v>
      </c>
      <c r="L185" s="3278">
        <v>2754</v>
      </c>
      <c r="M185" s="3278">
        <v>18279</v>
      </c>
      <c r="N185" s="3278">
        <v>9704</v>
      </c>
      <c r="O185" s="3278">
        <v>5924</v>
      </c>
      <c r="P185" s="3278">
        <v>10682</v>
      </c>
      <c r="Q185" s="3279">
        <v>51</v>
      </c>
      <c r="R185" s="2311">
        <v>52398</v>
      </c>
      <c r="S185" s="2311">
        <v>6272</v>
      </c>
      <c r="T185" s="2368">
        <v>21150</v>
      </c>
      <c r="U185" s="2300"/>
    </row>
    <row r="186" spans="1:21">
      <c r="A186" s="2202">
        <f t="shared" si="1"/>
        <v>2008.09</v>
      </c>
      <c r="B186" s="1707">
        <v>507936</v>
      </c>
      <c r="C186" s="3002"/>
      <c r="D186" s="2366">
        <v>507936</v>
      </c>
      <c r="E186" s="1702">
        <v>68166</v>
      </c>
      <c r="F186" s="3002"/>
      <c r="G186" s="2367"/>
      <c r="H186" s="1700">
        <v>12435</v>
      </c>
      <c r="I186" s="3278">
        <v>38</v>
      </c>
      <c r="J186" s="3278">
        <v>7782</v>
      </c>
      <c r="K186" s="3278">
        <v>155</v>
      </c>
      <c r="L186" s="3278">
        <v>2782</v>
      </c>
      <c r="M186" s="3278">
        <v>18448</v>
      </c>
      <c r="N186" s="3278">
        <v>9768</v>
      </c>
      <c r="O186" s="3278">
        <v>5987</v>
      </c>
      <c r="P186" s="3278">
        <v>10721</v>
      </c>
      <c r="Q186" s="3279">
        <v>50</v>
      </c>
      <c r="R186" s="2311">
        <v>52670</v>
      </c>
      <c r="S186" s="2311">
        <v>6321</v>
      </c>
      <c r="T186" s="2368">
        <v>21252</v>
      </c>
      <c r="U186" s="2300"/>
    </row>
    <row r="187" spans="1:21">
      <c r="A187" s="2202">
        <f t="shared" si="1"/>
        <v>2008.1</v>
      </c>
      <c r="B187" s="1707">
        <v>510868</v>
      </c>
      <c r="C187" s="3002"/>
      <c r="D187" s="2366">
        <v>510868</v>
      </c>
      <c r="E187" s="1702">
        <v>68698</v>
      </c>
      <c r="F187" s="3002"/>
      <c r="G187" s="2367"/>
      <c r="H187" s="1700">
        <v>12476</v>
      </c>
      <c r="I187" s="3278">
        <v>38</v>
      </c>
      <c r="J187" s="3278">
        <v>7823</v>
      </c>
      <c r="K187" s="3278">
        <v>155</v>
      </c>
      <c r="L187" s="3278">
        <v>2821</v>
      </c>
      <c r="M187" s="3278">
        <v>18655</v>
      </c>
      <c r="N187" s="3278">
        <v>9873</v>
      </c>
      <c r="O187" s="3278">
        <v>6046</v>
      </c>
      <c r="P187" s="3278">
        <v>10763</v>
      </c>
      <c r="Q187" s="3279">
        <v>48</v>
      </c>
      <c r="R187" s="2311">
        <v>52904</v>
      </c>
      <c r="S187" s="2311">
        <v>6358</v>
      </c>
      <c r="T187" s="2368">
        <v>21339</v>
      </c>
      <c r="U187" s="2300"/>
    </row>
    <row r="188" spans="1:21">
      <c r="A188" s="2202">
        <f t="shared" si="1"/>
        <v>2008.11</v>
      </c>
      <c r="B188" s="1707">
        <v>513887</v>
      </c>
      <c r="C188" s="3002"/>
      <c r="D188" s="2366">
        <v>513887</v>
      </c>
      <c r="E188" s="1702">
        <v>69178</v>
      </c>
      <c r="F188" s="3002"/>
      <c r="G188" s="2367"/>
      <c r="H188" s="1700">
        <v>12548</v>
      </c>
      <c r="I188" s="3278">
        <v>38</v>
      </c>
      <c r="J188" s="3278">
        <v>7852</v>
      </c>
      <c r="K188" s="3278">
        <v>155</v>
      </c>
      <c r="L188" s="3278">
        <v>2850</v>
      </c>
      <c r="M188" s="3278">
        <v>18838</v>
      </c>
      <c r="N188" s="3278">
        <v>9954</v>
      </c>
      <c r="O188" s="3278">
        <v>6070</v>
      </c>
      <c r="P188" s="3278">
        <v>10826</v>
      </c>
      <c r="Q188" s="3279">
        <v>47</v>
      </c>
      <c r="R188" s="2311">
        <v>53207</v>
      </c>
      <c r="S188" s="2311">
        <v>6365</v>
      </c>
      <c r="T188" s="2368">
        <v>21375</v>
      </c>
      <c r="U188" s="2300"/>
    </row>
    <row r="189" spans="1:21">
      <c r="A189" s="2202">
        <f t="shared" si="1"/>
        <v>2008.12</v>
      </c>
      <c r="B189" s="1707">
        <v>514455</v>
      </c>
      <c r="C189" s="3002"/>
      <c r="D189" s="2366">
        <v>514455</v>
      </c>
      <c r="E189" s="1702">
        <v>69340</v>
      </c>
      <c r="F189" s="3002"/>
      <c r="G189" s="2367"/>
      <c r="H189" s="1700">
        <v>12583</v>
      </c>
      <c r="I189" s="3278">
        <v>37</v>
      </c>
      <c r="J189" s="3278">
        <v>7839</v>
      </c>
      <c r="K189" s="3278">
        <v>155</v>
      </c>
      <c r="L189" s="3278">
        <v>2857</v>
      </c>
      <c r="M189" s="3278">
        <v>18892</v>
      </c>
      <c r="N189" s="3278">
        <v>10014</v>
      </c>
      <c r="O189" s="3278">
        <v>6082</v>
      </c>
      <c r="P189" s="3278">
        <v>10833</v>
      </c>
      <c r="Q189" s="3279">
        <v>48</v>
      </c>
      <c r="R189" s="2311">
        <v>53161</v>
      </c>
      <c r="S189" s="2311">
        <v>6374</v>
      </c>
      <c r="T189" s="2368">
        <v>21383</v>
      </c>
      <c r="U189" s="2300"/>
    </row>
    <row r="190" spans="1:21">
      <c r="A190" s="2202">
        <f t="shared" si="1"/>
        <v>2009.01</v>
      </c>
      <c r="B190" s="1707">
        <v>514133</v>
      </c>
      <c r="C190" s="3002"/>
      <c r="D190" s="2366">
        <v>514133</v>
      </c>
      <c r="E190" s="1702">
        <v>69572</v>
      </c>
      <c r="F190" s="3002"/>
      <c r="G190" s="2367"/>
      <c r="H190" s="1700">
        <v>12605</v>
      </c>
      <c r="I190" s="3278">
        <v>36</v>
      </c>
      <c r="J190" s="3278">
        <v>7845</v>
      </c>
      <c r="K190" s="3278">
        <v>154</v>
      </c>
      <c r="L190" s="3278">
        <v>2886</v>
      </c>
      <c r="M190" s="3278">
        <v>19001</v>
      </c>
      <c r="N190" s="3278">
        <v>10032</v>
      </c>
      <c r="O190" s="3278">
        <v>6100</v>
      </c>
      <c r="P190" s="3278">
        <v>10865</v>
      </c>
      <c r="Q190" s="3279">
        <v>48</v>
      </c>
      <c r="R190" s="2311">
        <v>52676</v>
      </c>
      <c r="S190" s="2311">
        <v>6322</v>
      </c>
      <c r="T190" s="2368">
        <v>21311</v>
      </c>
      <c r="U190" s="2300"/>
    </row>
    <row r="191" spans="1:21">
      <c r="A191" s="2202">
        <f t="shared" si="1"/>
        <v>2009.02</v>
      </c>
      <c r="B191" s="1707">
        <v>513306</v>
      </c>
      <c r="C191" s="3002"/>
      <c r="D191" s="2366">
        <v>513306</v>
      </c>
      <c r="E191" s="1702">
        <v>69787</v>
      </c>
      <c r="F191" s="3002"/>
      <c r="G191" s="2367"/>
      <c r="H191" s="1700">
        <v>12633</v>
      </c>
      <c r="I191" s="3278">
        <v>36</v>
      </c>
      <c r="J191" s="3278">
        <v>7867</v>
      </c>
      <c r="K191" s="3278">
        <v>154</v>
      </c>
      <c r="L191" s="3278">
        <v>2905</v>
      </c>
      <c r="M191" s="3278">
        <v>19079</v>
      </c>
      <c r="N191" s="3278">
        <v>10063</v>
      </c>
      <c r="O191" s="3278">
        <v>6107</v>
      </c>
      <c r="P191" s="3278">
        <v>10896</v>
      </c>
      <c r="Q191" s="3279">
        <v>47</v>
      </c>
      <c r="R191" s="2311">
        <v>52657</v>
      </c>
      <c r="S191" s="2311">
        <v>6376</v>
      </c>
      <c r="T191" s="2368">
        <v>21318</v>
      </c>
      <c r="U191" s="2300"/>
    </row>
    <row r="192" spans="1:21">
      <c r="A192" s="2202">
        <f t="shared" si="1"/>
        <v>2009.03</v>
      </c>
      <c r="B192" s="1707">
        <v>511066</v>
      </c>
      <c r="C192" s="3002"/>
      <c r="D192" s="2366">
        <v>511066</v>
      </c>
      <c r="E192" s="1702">
        <v>69634</v>
      </c>
      <c r="F192" s="3002"/>
      <c r="G192" s="2367"/>
      <c r="H192" s="1700">
        <v>12602</v>
      </c>
      <c r="I192" s="3278">
        <v>36</v>
      </c>
      <c r="J192" s="3278">
        <v>7842</v>
      </c>
      <c r="K192" s="3278">
        <v>154</v>
      </c>
      <c r="L192" s="3278">
        <v>2889</v>
      </c>
      <c r="M192" s="3278">
        <v>19025</v>
      </c>
      <c r="N192" s="3278">
        <v>10080</v>
      </c>
      <c r="O192" s="3278">
        <v>6099</v>
      </c>
      <c r="P192" s="3278">
        <v>10860</v>
      </c>
      <c r="Q192" s="3279">
        <v>47</v>
      </c>
      <c r="R192" s="2311">
        <v>53085</v>
      </c>
      <c r="S192" s="2311">
        <v>6374</v>
      </c>
      <c r="T192" s="2368">
        <v>21337</v>
      </c>
      <c r="U192" s="2300"/>
    </row>
    <row r="193" spans="1:21">
      <c r="A193" s="2202">
        <f t="shared" si="1"/>
        <v>2009.04</v>
      </c>
      <c r="B193" s="1707">
        <v>509938</v>
      </c>
      <c r="C193" s="3002"/>
      <c r="D193" s="2366">
        <v>509938</v>
      </c>
      <c r="E193" s="1702">
        <v>69939</v>
      </c>
      <c r="F193" s="3002"/>
      <c r="G193" s="2367"/>
      <c r="H193" s="1700">
        <v>12640</v>
      </c>
      <c r="I193" s="3278">
        <v>36</v>
      </c>
      <c r="J193" s="3278">
        <v>7874</v>
      </c>
      <c r="K193" s="3278">
        <v>154</v>
      </c>
      <c r="L193" s="3278">
        <v>2898</v>
      </c>
      <c r="M193" s="3278">
        <v>19099</v>
      </c>
      <c r="N193" s="3278">
        <v>10151</v>
      </c>
      <c r="O193" s="3278">
        <v>6131</v>
      </c>
      <c r="P193" s="3278">
        <v>10909</v>
      </c>
      <c r="Q193" s="3279">
        <v>47</v>
      </c>
      <c r="R193" s="2311">
        <v>53109</v>
      </c>
      <c r="S193" s="2311">
        <v>6390</v>
      </c>
      <c r="T193" s="2368">
        <v>21321</v>
      </c>
      <c r="U193" s="2300"/>
    </row>
    <row r="194" spans="1:21">
      <c r="A194" s="2202">
        <f t="shared" si="1"/>
        <v>2009.05</v>
      </c>
      <c r="B194" s="1707">
        <v>509702</v>
      </c>
      <c r="C194" s="3002"/>
      <c r="D194" s="2366">
        <v>509702</v>
      </c>
      <c r="E194" s="1702">
        <v>70318</v>
      </c>
      <c r="F194" s="3002"/>
      <c r="G194" s="2367"/>
      <c r="H194" s="1700">
        <v>12660</v>
      </c>
      <c r="I194" s="3278">
        <v>36</v>
      </c>
      <c r="J194" s="3278">
        <v>7895</v>
      </c>
      <c r="K194" s="3278">
        <v>154</v>
      </c>
      <c r="L194" s="3278">
        <v>2933</v>
      </c>
      <c r="M194" s="3278">
        <v>19262</v>
      </c>
      <c r="N194" s="3278">
        <v>10232</v>
      </c>
      <c r="O194" s="3278">
        <v>6154</v>
      </c>
      <c r="P194" s="3278">
        <v>10945</v>
      </c>
      <c r="Q194" s="3279">
        <v>47</v>
      </c>
      <c r="R194" s="2311">
        <v>52969</v>
      </c>
      <c r="S194" s="2311">
        <v>6425</v>
      </c>
      <c r="T194" s="2368">
        <v>21280</v>
      </c>
      <c r="U194" s="2300"/>
    </row>
    <row r="195" spans="1:21">
      <c r="A195" s="2202">
        <f t="shared" si="1"/>
        <v>2009.06</v>
      </c>
      <c r="B195" s="1707">
        <v>508803</v>
      </c>
      <c r="C195" s="3002"/>
      <c r="D195" s="2366">
        <v>508803</v>
      </c>
      <c r="E195" s="1702">
        <v>70490</v>
      </c>
      <c r="F195" s="3002"/>
      <c r="G195" s="2367"/>
      <c r="H195" s="1700">
        <v>12649</v>
      </c>
      <c r="I195" s="3278">
        <v>35</v>
      </c>
      <c r="J195" s="3278">
        <v>7903</v>
      </c>
      <c r="K195" s="3278">
        <v>154</v>
      </c>
      <c r="L195" s="3278">
        <v>2948</v>
      </c>
      <c r="M195" s="3278">
        <v>19333</v>
      </c>
      <c r="N195" s="3278">
        <v>10286</v>
      </c>
      <c r="O195" s="3278">
        <v>6176</v>
      </c>
      <c r="P195" s="3278">
        <v>10959</v>
      </c>
      <c r="Q195" s="3279">
        <v>47</v>
      </c>
      <c r="R195" s="2311">
        <v>52714</v>
      </c>
      <c r="S195" s="2311">
        <v>6474</v>
      </c>
      <c r="T195" s="2368">
        <v>21293</v>
      </c>
      <c r="U195" s="2300"/>
    </row>
    <row r="196" spans="1:21">
      <c r="A196" s="2202">
        <f t="shared" si="1"/>
        <v>2009.07</v>
      </c>
      <c r="B196" s="1707">
        <v>508310</v>
      </c>
      <c r="C196" s="3002"/>
      <c r="D196" s="2366">
        <v>508310</v>
      </c>
      <c r="E196" s="1702">
        <v>70740</v>
      </c>
      <c r="F196" s="3002"/>
      <c r="G196" s="2367"/>
      <c r="H196" s="1700">
        <v>12669</v>
      </c>
      <c r="I196" s="3278">
        <v>36</v>
      </c>
      <c r="J196" s="3278">
        <v>7908</v>
      </c>
      <c r="K196" s="3278">
        <v>152</v>
      </c>
      <c r="L196" s="3278">
        <v>2968</v>
      </c>
      <c r="M196" s="3278">
        <v>19429</v>
      </c>
      <c r="N196" s="3278">
        <v>10326</v>
      </c>
      <c r="O196" s="3278">
        <v>6211</v>
      </c>
      <c r="P196" s="3278">
        <v>10995</v>
      </c>
      <c r="Q196" s="3279">
        <v>46</v>
      </c>
      <c r="R196" s="2311">
        <v>52525</v>
      </c>
      <c r="S196" s="2311">
        <v>6477</v>
      </c>
      <c r="T196" s="2368">
        <v>21262</v>
      </c>
      <c r="U196" s="2300"/>
    </row>
    <row r="197" spans="1:21">
      <c r="A197" s="2202">
        <f t="shared" si="1"/>
        <v>2009.08</v>
      </c>
      <c r="B197" s="1707">
        <v>507688</v>
      </c>
      <c r="C197" s="3002"/>
      <c r="D197" s="2366">
        <v>507688</v>
      </c>
      <c r="E197" s="1702">
        <v>70892</v>
      </c>
      <c r="F197" s="3002"/>
      <c r="G197" s="2367"/>
      <c r="H197" s="1700">
        <v>12664</v>
      </c>
      <c r="I197" s="3278">
        <v>38</v>
      </c>
      <c r="J197" s="3278">
        <v>7909</v>
      </c>
      <c r="K197" s="3278">
        <v>152</v>
      </c>
      <c r="L197" s="3278">
        <v>2981</v>
      </c>
      <c r="M197" s="3278">
        <v>19488</v>
      </c>
      <c r="N197" s="3278">
        <v>10344</v>
      </c>
      <c r="O197" s="3278">
        <v>6240</v>
      </c>
      <c r="P197" s="3278">
        <v>11031</v>
      </c>
      <c r="Q197" s="3279">
        <v>45</v>
      </c>
      <c r="R197" s="2311">
        <v>52499</v>
      </c>
      <c r="S197" s="2311">
        <v>6491</v>
      </c>
      <c r="T197" s="2368">
        <v>21353</v>
      </c>
      <c r="U197" s="2300"/>
    </row>
    <row r="198" spans="1:21">
      <c r="A198" s="2202">
        <f t="shared" si="1"/>
        <v>2009.09</v>
      </c>
      <c r="B198" s="1707">
        <v>506756</v>
      </c>
      <c r="C198" s="3002"/>
      <c r="D198" s="2366">
        <v>506756</v>
      </c>
      <c r="E198" s="1702">
        <v>70873</v>
      </c>
      <c r="F198" s="3002"/>
      <c r="G198" s="2367"/>
      <c r="H198" s="1700">
        <v>12652</v>
      </c>
      <c r="I198" s="3278">
        <v>38</v>
      </c>
      <c r="J198" s="3278">
        <v>7873</v>
      </c>
      <c r="K198" s="3278">
        <v>152</v>
      </c>
      <c r="L198" s="3278">
        <v>2967</v>
      </c>
      <c r="M198" s="3278">
        <v>19746</v>
      </c>
      <c r="N198" s="3278">
        <v>10298</v>
      </c>
      <c r="O198" s="3278">
        <v>6311</v>
      </c>
      <c r="P198" s="3278">
        <v>10791</v>
      </c>
      <c r="Q198" s="3279">
        <v>45</v>
      </c>
      <c r="R198" s="2311">
        <v>52524</v>
      </c>
      <c r="S198" s="2311">
        <v>6535</v>
      </c>
      <c r="T198" s="2368">
        <v>21372</v>
      </c>
      <c r="U198" s="2300"/>
    </row>
    <row r="199" spans="1:21">
      <c r="A199" s="2202">
        <f t="shared" si="1"/>
        <v>2009.1</v>
      </c>
      <c r="B199" s="1707">
        <v>507925</v>
      </c>
      <c r="C199" s="3002"/>
      <c r="D199" s="2366">
        <v>507925</v>
      </c>
      <c r="E199" s="1702">
        <v>71070</v>
      </c>
      <c r="F199" s="3002"/>
      <c r="G199" s="2367"/>
      <c r="H199" s="1700">
        <v>12680</v>
      </c>
      <c r="I199" s="3278">
        <v>38</v>
      </c>
      <c r="J199" s="3278">
        <v>7894</v>
      </c>
      <c r="K199" s="3278">
        <v>152</v>
      </c>
      <c r="L199" s="3278">
        <v>2993</v>
      </c>
      <c r="M199" s="3278">
        <v>19835</v>
      </c>
      <c r="N199" s="3278">
        <v>10306</v>
      </c>
      <c r="O199" s="3278">
        <v>6323</v>
      </c>
      <c r="P199" s="3278">
        <v>10806</v>
      </c>
      <c r="Q199" s="3279">
        <v>43</v>
      </c>
      <c r="R199" s="2311">
        <v>52725</v>
      </c>
      <c r="S199" s="2311">
        <v>6575</v>
      </c>
      <c r="T199" s="2368">
        <v>21465</v>
      </c>
      <c r="U199" s="2300"/>
    </row>
    <row r="200" spans="1:21">
      <c r="A200" s="2202">
        <f t="shared" si="1"/>
        <v>2009.11</v>
      </c>
      <c r="B200" s="1707">
        <v>509624</v>
      </c>
      <c r="C200" s="3002"/>
      <c r="D200" s="2366">
        <v>509624</v>
      </c>
      <c r="E200" s="1702">
        <v>71378</v>
      </c>
      <c r="F200" s="3002"/>
      <c r="G200" s="2367"/>
      <c r="H200" s="1700">
        <v>12719</v>
      </c>
      <c r="I200" s="3278">
        <v>38</v>
      </c>
      <c r="J200" s="3278">
        <v>7927</v>
      </c>
      <c r="K200" s="3278">
        <v>152</v>
      </c>
      <c r="L200" s="3278">
        <v>3017</v>
      </c>
      <c r="M200" s="3278">
        <v>19954</v>
      </c>
      <c r="N200" s="3278">
        <v>10345</v>
      </c>
      <c r="O200" s="3278">
        <v>6346</v>
      </c>
      <c r="P200" s="3278">
        <v>10836</v>
      </c>
      <c r="Q200" s="3279">
        <v>44</v>
      </c>
      <c r="R200" s="2311">
        <v>52851</v>
      </c>
      <c r="S200" s="2311">
        <v>6582</v>
      </c>
      <c r="T200" s="2368">
        <v>21527</v>
      </c>
      <c r="U200" s="2300"/>
    </row>
    <row r="201" spans="1:21">
      <c r="A201" s="2202">
        <f t="shared" si="1"/>
        <v>2009.12</v>
      </c>
      <c r="B201" s="1707">
        <v>509686</v>
      </c>
      <c r="C201" s="3002"/>
      <c r="D201" s="2366">
        <v>509686</v>
      </c>
      <c r="E201" s="1702">
        <v>71654</v>
      </c>
      <c r="F201" s="3002"/>
      <c r="G201" s="2367"/>
      <c r="H201" s="1700">
        <v>12741</v>
      </c>
      <c r="I201" s="3278">
        <v>38</v>
      </c>
      <c r="J201" s="3278">
        <v>7938</v>
      </c>
      <c r="K201" s="3278">
        <v>152</v>
      </c>
      <c r="L201" s="3278">
        <v>3049</v>
      </c>
      <c r="M201" s="3278">
        <v>20101</v>
      </c>
      <c r="N201" s="3278">
        <v>10359</v>
      </c>
      <c r="O201" s="3278">
        <v>6366</v>
      </c>
      <c r="P201" s="3278">
        <v>10866</v>
      </c>
      <c r="Q201" s="3279">
        <v>44</v>
      </c>
      <c r="R201" s="2311">
        <v>52803</v>
      </c>
      <c r="S201" s="2311">
        <v>6561</v>
      </c>
      <c r="T201" s="2368">
        <v>21543</v>
      </c>
      <c r="U201" s="2300"/>
    </row>
    <row r="202" spans="1:21">
      <c r="A202" s="2202">
        <f t="shared" si="1"/>
        <v>2010.01</v>
      </c>
      <c r="B202" s="1707">
        <v>509904</v>
      </c>
      <c r="C202" s="3002"/>
      <c r="D202" s="2366">
        <v>509904</v>
      </c>
      <c r="E202" s="1702">
        <v>71725</v>
      </c>
      <c r="F202" s="3002"/>
      <c r="G202" s="2367"/>
      <c r="H202" s="1700">
        <v>12703</v>
      </c>
      <c r="I202" s="3278">
        <v>38</v>
      </c>
      <c r="J202" s="3278">
        <v>7924</v>
      </c>
      <c r="K202" s="3278">
        <v>154</v>
      </c>
      <c r="L202" s="3278">
        <v>3046</v>
      </c>
      <c r="M202" s="3278">
        <v>19882</v>
      </c>
      <c r="N202" s="3278">
        <v>10328</v>
      </c>
      <c r="O202" s="3278">
        <v>6349</v>
      </c>
      <c r="P202" s="3278">
        <v>11136</v>
      </c>
      <c r="Q202" s="3279">
        <v>165</v>
      </c>
      <c r="R202" s="2311">
        <v>52499</v>
      </c>
      <c r="S202" s="2311">
        <v>6547</v>
      </c>
      <c r="T202" s="2368">
        <v>21448</v>
      </c>
      <c r="U202" s="2300"/>
    </row>
    <row r="203" spans="1:21">
      <c r="A203" s="2202">
        <f t="shared" si="1"/>
        <v>2010.02</v>
      </c>
      <c r="B203" s="1707">
        <v>508671</v>
      </c>
      <c r="C203" s="3002"/>
      <c r="D203" s="2366">
        <v>508671</v>
      </c>
      <c r="E203" s="1702">
        <v>71685</v>
      </c>
      <c r="F203" s="3002"/>
      <c r="G203" s="2367"/>
      <c r="H203" s="1700">
        <v>12705</v>
      </c>
      <c r="I203" s="3278">
        <v>38</v>
      </c>
      <c r="J203" s="3278">
        <v>7886</v>
      </c>
      <c r="K203" s="3278">
        <v>154</v>
      </c>
      <c r="L203" s="3278">
        <v>3046</v>
      </c>
      <c r="M203" s="3278">
        <v>19876</v>
      </c>
      <c r="N203" s="3278">
        <v>10241</v>
      </c>
      <c r="O203" s="3278">
        <v>6461</v>
      </c>
      <c r="P203" s="3278">
        <v>11120</v>
      </c>
      <c r="Q203" s="3279">
        <v>158</v>
      </c>
      <c r="R203" s="2311">
        <v>52513</v>
      </c>
      <c r="S203" s="2311">
        <v>6577</v>
      </c>
      <c r="T203" s="2368">
        <v>21482</v>
      </c>
      <c r="U203" s="2300"/>
    </row>
    <row r="204" spans="1:21">
      <c r="A204" s="2202">
        <f t="shared" si="1"/>
        <v>2010.03</v>
      </c>
      <c r="B204" s="1707">
        <v>508834</v>
      </c>
      <c r="C204" s="3002"/>
      <c r="D204" s="2366">
        <v>508834</v>
      </c>
      <c r="E204" s="1702">
        <v>72115</v>
      </c>
      <c r="F204" s="3002"/>
      <c r="G204" s="2367"/>
      <c r="H204" s="1700">
        <v>12763</v>
      </c>
      <c r="I204" s="3278">
        <v>37</v>
      </c>
      <c r="J204" s="3278">
        <v>7898</v>
      </c>
      <c r="K204" s="3278">
        <v>156</v>
      </c>
      <c r="L204" s="3278">
        <v>3077</v>
      </c>
      <c r="M204" s="3278">
        <v>20018</v>
      </c>
      <c r="N204" s="3278">
        <v>10328</v>
      </c>
      <c r="O204" s="3278">
        <v>6496</v>
      </c>
      <c r="P204" s="3278">
        <v>11188</v>
      </c>
      <c r="Q204" s="3279">
        <v>154</v>
      </c>
      <c r="R204" s="2311">
        <v>53221</v>
      </c>
      <c r="S204" s="2311">
        <v>6597</v>
      </c>
      <c r="T204" s="2368">
        <v>21536</v>
      </c>
      <c r="U204" s="2300"/>
    </row>
    <row r="205" spans="1:21">
      <c r="A205" s="2202">
        <f t="shared" si="1"/>
        <v>2010.04</v>
      </c>
      <c r="B205" s="1707">
        <v>509830</v>
      </c>
      <c r="C205" s="3002"/>
      <c r="D205" s="2366">
        <v>509830</v>
      </c>
      <c r="E205" s="1702">
        <v>75942</v>
      </c>
      <c r="F205" s="3002"/>
      <c r="G205" s="2367"/>
      <c r="H205" s="1700">
        <v>13190</v>
      </c>
      <c r="I205" s="3278">
        <v>38</v>
      </c>
      <c r="J205" s="3278">
        <v>8246</v>
      </c>
      <c r="K205" s="3278">
        <v>158</v>
      </c>
      <c r="L205" s="3278">
        <v>3469</v>
      </c>
      <c r="M205" s="3278">
        <v>21084</v>
      </c>
      <c r="N205" s="3278">
        <v>11122</v>
      </c>
      <c r="O205" s="3278">
        <v>6778</v>
      </c>
      <c r="P205" s="3278">
        <v>11688</v>
      </c>
      <c r="Q205" s="3279">
        <v>169</v>
      </c>
      <c r="R205" s="2311">
        <v>53406</v>
      </c>
      <c r="S205" s="2311">
        <v>6598</v>
      </c>
      <c r="T205" s="2368">
        <v>21527</v>
      </c>
      <c r="U205" s="2300"/>
    </row>
    <row r="206" spans="1:21">
      <c r="A206" s="2202">
        <f t="shared" si="1"/>
        <v>2010.05</v>
      </c>
      <c r="B206" s="1707">
        <v>509985</v>
      </c>
      <c r="C206" s="3002"/>
      <c r="D206" s="2366">
        <v>509985</v>
      </c>
      <c r="E206" s="1702">
        <v>76056</v>
      </c>
      <c r="F206" s="3002"/>
      <c r="G206" s="2367"/>
      <c r="H206" s="1700">
        <v>13201</v>
      </c>
      <c r="I206" s="3278">
        <v>38</v>
      </c>
      <c r="J206" s="3278">
        <v>8240</v>
      </c>
      <c r="K206" s="3278">
        <v>157</v>
      </c>
      <c r="L206" s="3278">
        <v>3487</v>
      </c>
      <c r="M206" s="3278">
        <v>21098</v>
      </c>
      <c r="N206" s="3278">
        <v>11144</v>
      </c>
      <c r="O206" s="3278">
        <v>6797</v>
      </c>
      <c r="P206" s="3278">
        <v>11726</v>
      </c>
      <c r="Q206" s="3279">
        <v>168</v>
      </c>
      <c r="R206" s="2311">
        <v>53353</v>
      </c>
      <c r="S206" s="2311">
        <v>6624</v>
      </c>
      <c r="T206" s="2368">
        <v>21530</v>
      </c>
      <c r="U206" s="2300"/>
    </row>
    <row r="207" spans="1:21">
      <c r="A207" s="2202">
        <f t="shared" si="1"/>
        <v>2010.06</v>
      </c>
      <c r="B207" s="1707">
        <v>511357</v>
      </c>
      <c r="C207" s="3002"/>
      <c r="D207" s="2366">
        <v>511357</v>
      </c>
      <c r="E207" s="1702">
        <v>76510</v>
      </c>
      <c r="F207" s="3002"/>
      <c r="G207" s="2367"/>
      <c r="H207" s="1700">
        <v>13249</v>
      </c>
      <c r="I207" s="3278">
        <v>37</v>
      </c>
      <c r="J207" s="3278">
        <v>8286</v>
      </c>
      <c r="K207" s="3278">
        <v>157</v>
      </c>
      <c r="L207" s="3278">
        <v>3520</v>
      </c>
      <c r="M207" s="3278">
        <v>21251</v>
      </c>
      <c r="N207" s="3278">
        <v>11213</v>
      </c>
      <c r="O207" s="3278">
        <v>6844</v>
      </c>
      <c r="P207" s="3278">
        <v>11785</v>
      </c>
      <c r="Q207" s="3279">
        <v>168</v>
      </c>
      <c r="R207" s="2311">
        <v>53254</v>
      </c>
      <c r="S207" s="2311">
        <v>6635</v>
      </c>
      <c r="T207" s="2368">
        <v>21561</v>
      </c>
      <c r="U207" s="2300"/>
    </row>
    <row r="208" spans="1:21">
      <c r="A208" s="2202">
        <f t="shared" si="1"/>
        <v>2010.07</v>
      </c>
      <c r="B208" s="1707">
        <v>512491</v>
      </c>
      <c r="C208" s="3002"/>
      <c r="D208" s="2366">
        <v>512491</v>
      </c>
      <c r="E208" s="1702">
        <v>76823</v>
      </c>
      <c r="F208" s="3002"/>
      <c r="G208" s="2367"/>
      <c r="H208" s="1700">
        <v>13300</v>
      </c>
      <c r="I208" s="3278">
        <v>37</v>
      </c>
      <c r="J208" s="3278">
        <v>8301</v>
      </c>
      <c r="K208" s="3278">
        <v>156</v>
      </c>
      <c r="L208" s="3278">
        <v>3535</v>
      </c>
      <c r="M208" s="3278">
        <v>21371</v>
      </c>
      <c r="N208" s="3278">
        <v>11276</v>
      </c>
      <c r="O208" s="3278">
        <v>6862</v>
      </c>
      <c r="P208" s="3278">
        <v>11817</v>
      </c>
      <c r="Q208" s="3279">
        <v>168</v>
      </c>
      <c r="R208" s="2311">
        <v>53156</v>
      </c>
      <c r="S208" s="2311">
        <v>6679</v>
      </c>
      <c r="T208" s="2368">
        <v>21545</v>
      </c>
      <c r="U208" s="2300"/>
    </row>
    <row r="209" spans="1:21">
      <c r="A209" s="2202">
        <f t="shared" si="1"/>
        <v>2010.08</v>
      </c>
      <c r="B209" s="1707">
        <v>513677</v>
      </c>
      <c r="C209" s="3002"/>
      <c r="D209" s="2366">
        <v>513677</v>
      </c>
      <c r="E209" s="1702">
        <v>77064</v>
      </c>
      <c r="F209" s="3002"/>
      <c r="G209" s="2367"/>
      <c r="H209" s="1700">
        <v>13339</v>
      </c>
      <c r="I209" s="3278">
        <v>37</v>
      </c>
      <c r="J209" s="3278">
        <v>8322</v>
      </c>
      <c r="K209" s="3278">
        <v>154</v>
      </c>
      <c r="L209" s="3278">
        <v>3540</v>
      </c>
      <c r="M209" s="3278">
        <v>21460</v>
      </c>
      <c r="N209" s="3278">
        <v>11330</v>
      </c>
      <c r="O209" s="3278">
        <v>6879</v>
      </c>
      <c r="P209" s="3278">
        <v>11857</v>
      </c>
      <c r="Q209" s="3279">
        <v>146</v>
      </c>
      <c r="R209" s="2311">
        <v>53244</v>
      </c>
      <c r="S209" s="2311">
        <v>6755</v>
      </c>
      <c r="T209" s="2368">
        <v>21605</v>
      </c>
      <c r="U209" s="2300"/>
    </row>
    <row r="210" spans="1:21">
      <c r="A210" s="2202">
        <f t="shared" ref="A210:A241" si="2">A198+1</f>
        <v>2010.09</v>
      </c>
      <c r="B210" s="1707">
        <v>515706</v>
      </c>
      <c r="C210" s="3002"/>
      <c r="D210" s="2366">
        <v>515706</v>
      </c>
      <c r="E210" s="1702">
        <v>77550</v>
      </c>
      <c r="F210" s="3002"/>
      <c r="G210" s="2367"/>
      <c r="H210" s="1700">
        <v>13390</v>
      </c>
      <c r="I210" s="3278">
        <v>38</v>
      </c>
      <c r="J210" s="3278">
        <v>8355</v>
      </c>
      <c r="K210" s="3278">
        <v>154</v>
      </c>
      <c r="L210" s="3278">
        <v>3573</v>
      </c>
      <c r="M210" s="3278">
        <v>21624</v>
      </c>
      <c r="N210" s="3278">
        <v>11409</v>
      </c>
      <c r="O210" s="3278">
        <v>6934</v>
      </c>
      <c r="P210" s="3278">
        <v>11928</v>
      </c>
      <c r="Q210" s="3279">
        <v>145</v>
      </c>
      <c r="R210" s="2311">
        <v>53332</v>
      </c>
      <c r="S210" s="2311">
        <v>6825</v>
      </c>
      <c r="T210" s="2368">
        <v>21617</v>
      </c>
      <c r="U210" s="2300"/>
    </row>
    <row r="211" spans="1:21">
      <c r="A211" s="2202">
        <f t="shared" si="2"/>
        <v>2010.1</v>
      </c>
      <c r="B211" s="1707">
        <v>517222</v>
      </c>
      <c r="C211" s="3002"/>
      <c r="D211" s="2366">
        <v>517222</v>
      </c>
      <c r="E211" s="1702">
        <v>77881</v>
      </c>
      <c r="F211" s="3002"/>
      <c r="G211" s="2367"/>
      <c r="H211" s="1700">
        <v>13440</v>
      </c>
      <c r="I211" s="3278">
        <v>36</v>
      </c>
      <c r="J211" s="3278">
        <v>8354</v>
      </c>
      <c r="K211" s="3278">
        <v>155</v>
      </c>
      <c r="L211" s="3278">
        <v>3607</v>
      </c>
      <c r="M211" s="3278">
        <v>21758</v>
      </c>
      <c r="N211" s="3278">
        <v>11449</v>
      </c>
      <c r="O211" s="3278">
        <v>6971</v>
      </c>
      <c r="P211" s="3278">
        <v>11966</v>
      </c>
      <c r="Q211" s="3279">
        <v>145</v>
      </c>
      <c r="R211" s="2311">
        <v>53594</v>
      </c>
      <c r="S211" s="2311">
        <v>6834</v>
      </c>
      <c r="T211" s="2368">
        <v>21686</v>
      </c>
      <c r="U211" s="2300"/>
    </row>
    <row r="212" spans="1:21">
      <c r="A212" s="2202">
        <f t="shared" si="2"/>
        <v>2010.11</v>
      </c>
      <c r="B212" s="1707">
        <v>518856</v>
      </c>
      <c r="C212" s="3002"/>
      <c r="D212" s="2366">
        <v>518856</v>
      </c>
      <c r="E212" s="1702">
        <v>78324</v>
      </c>
      <c r="F212" s="3002"/>
      <c r="G212" s="2367"/>
      <c r="H212" s="1700">
        <v>13481</v>
      </c>
      <c r="I212" s="3278">
        <v>36</v>
      </c>
      <c r="J212" s="3278">
        <v>8408</v>
      </c>
      <c r="K212" s="3278">
        <v>155</v>
      </c>
      <c r="L212" s="3278">
        <v>3632</v>
      </c>
      <c r="M212" s="3278">
        <v>21904</v>
      </c>
      <c r="N212" s="3278">
        <v>11521</v>
      </c>
      <c r="O212" s="3278">
        <v>7023</v>
      </c>
      <c r="P212" s="3278">
        <v>12019</v>
      </c>
      <c r="Q212" s="3279">
        <v>145</v>
      </c>
      <c r="R212" s="2311">
        <v>53882</v>
      </c>
      <c r="S212" s="2311">
        <v>6839</v>
      </c>
      <c r="T212" s="2368">
        <v>21746</v>
      </c>
      <c r="U212" s="2300"/>
    </row>
    <row r="213" spans="1:21">
      <c r="A213" s="2202">
        <f t="shared" si="2"/>
        <v>2010.12</v>
      </c>
      <c r="B213" s="1707">
        <v>520385</v>
      </c>
      <c r="C213" s="3002"/>
      <c r="D213" s="2366">
        <v>520385</v>
      </c>
      <c r="E213" s="1702">
        <v>78693</v>
      </c>
      <c r="F213" s="3002"/>
      <c r="G213" s="2367"/>
      <c r="H213" s="1700">
        <v>13519</v>
      </c>
      <c r="I213" s="3278">
        <v>36</v>
      </c>
      <c r="J213" s="3278">
        <v>8429</v>
      </c>
      <c r="K213" s="3278">
        <v>156</v>
      </c>
      <c r="L213" s="3278">
        <v>3664</v>
      </c>
      <c r="M213" s="3278">
        <v>22047</v>
      </c>
      <c r="N213" s="3278">
        <v>11580</v>
      </c>
      <c r="O213" s="3278">
        <v>7053</v>
      </c>
      <c r="P213" s="3278">
        <v>12064</v>
      </c>
      <c r="Q213" s="3279">
        <v>145</v>
      </c>
      <c r="R213" s="2311">
        <v>53920</v>
      </c>
      <c r="S213" s="2311">
        <v>6850</v>
      </c>
      <c r="T213" s="2368">
        <v>21731</v>
      </c>
      <c r="U213" s="2300"/>
    </row>
    <row r="214" spans="1:21">
      <c r="A214" s="2202">
        <f t="shared" si="2"/>
        <v>2011.01</v>
      </c>
      <c r="B214" s="1707">
        <v>520567</v>
      </c>
      <c r="C214" s="3002"/>
      <c r="D214" s="2366">
        <v>520567</v>
      </c>
      <c r="E214" s="1702">
        <v>78834</v>
      </c>
      <c r="F214" s="3002"/>
      <c r="G214" s="2367"/>
      <c r="H214" s="1700">
        <v>13548</v>
      </c>
      <c r="I214" s="3278">
        <v>36</v>
      </c>
      <c r="J214" s="3278">
        <v>8430</v>
      </c>
      <c r="K214" s="3278">
        <v>157</v>
      </c>
      <c r="L214" s="3278">
        <v>3687</v>
      </c>
      <c r="M214" s="3278">
        <v>22091</v>
      </c>
      <c r="N214" s="3278">
        <v>11619</v>
      </c>
      <c r="O214" s="3278">
        <v>7062</v>
      </c>
      <c r="P214" s="3278">
        <v>12071</v>
      </c>
      <c r="Q214" s="3279">
        <v>133</v>
      </c>
      <c r="R214" s="2311">
        <v>53593</v>
      </c>
      <c r="S214" s="2311">
        <v>6818</v>
      </c>
      <c r="T214" s="2368">
        <v>21639</v>
      </c>
      <c r="U214" s="2300"/>
    </row>
    <row r="215" spans="1:21">
      <c r="A215" s="2202">
        <f t="shared" si="2"/>
        <v>2011.02</v>
      </c>
      <c r="B215" s="1707">
        <v>520973</v>
      </c>
      <c r="C215" s="3002"/>
      <c r="D215" s="2366">
        <v>520973</v>
      </c>
      <c r="E215" s="1702">
        <v>78977</v>
      </c>
      <c r="F215" s="3002"/>
      <c r="G215" s="2367"/>
      <c r="H215" s="1700">
        <v>13574</v>
      </c>
      <c r="I215" s="3278">
        <v>36</v>
      </c>
      <c r="J215" s="3278">
        <v>8429</v>
      </c>
      <c r="K215" s="3278">
        <v>157</v>
      </c>
      <c r="L215" s="3278">
        <v>3701</v>
      </c>
      <c r="M215" s="3278">
        <v>22144</v>
      </c>
      <c r="N215" s="3278">
        <v>11660</v>
      </c>
      <c r="O215" s="3278">
        <v>7070</v>
      </c>
      <c r="P215" s="3278">
        <v>12073</v>
      </c>
      <c r="Q215" s="3279">
        <v>133</v>
      </c>
      <c r="R215" s="2311">
        <v>53554</v>
      </c>
      <c r="S215" s="2311">
        <v>6821</v>
      </c>
      <c r="T215" s="2368">
        <v>21677</v>
      </c>
      <c r="U215" s="2300"/>
    </row>
    <row r="216" spans="1:21">
      <c r="A216" s="2202">
        <f t="shared" si="2"/>
        <v>2011.03</v>
      </c>
      <c r="B216" s="1707">
        <v>521080</v>
      </c>
      <c r="C216" s="3002"/>
      <c r="D216" s="2366">
        <v>521080</v>
      </c>
      <c r="E216" s="1702">
        <v>79449</v>
      </c>
      <c r="F216" s="3002"/>
      <c r="G216" s="2367"/>
      <c r="H216" s="1700">
        <v>13714</v>
      </c>
      <c r="I216" s="3278">
        <v>37</v>
      </c>
      <c r="J216" s="3278">
        <v>8453</v>
      </c>
      <c r="K216" s="3278">
        <v>157</v>
      </c>
      <c r="L216" s="3278">
        <v>3736</v>
      </c>
      <c r="M216" s="3278">
        <v>22262</v>
      </c>
      <c r="N216" s="3278">
        <v>11722</v>
      </c>
      <c r="O216" s="3278">
        <v>7113</v>
      </c>
      <c r="P216" s="3278">
        <v>12124</v>
      </c>
      <c r="Q216" s="3279">
        <v>131</v>
      </c>
      <c r="R216" s="2311">
        <v>54230</v>
      </c>
      <c r="S216" s="2311">
        <v>6841</v>
      </c>
      <c r="T216" s="2368">
        <v>21661</v>
      </c>
      <c r="U216" s="2300"/>
    </row>
    <row r="217" spans="1:21">
      <c r="A217" s="2202">
        <f t="shared" si="2"/>
        <v>2011.04</v>
      </c>
      <c r="B217" s="1707">
        <v>520904</v>
      </c>
      <c r="C217" s="3002"/>
      <c r="D217" s="2366">
        <v>520904</v>
      </c>
      <c r="E217" s="1702">
        <v>79945</v>
      </c>
      <c r="F217" s="3002"/>
      <c r="G217" s="2367"/>
      <c r="H217" s="1700">
        <v>13863</v>
      </c>
      <c r="I217" s="3278">
        <v>37</v>
      </c>
      <c r="J217" s="3278">
        <v>8500</v>
      </c>
      <c r="K217" s="3278">
        <v>156</v>
      </c>
      <c r="L217" s="3278">
        <v>3758</v>
      </c>
      <c r="M217" s="3278">
        <v>22405</v>
      </c>
      <c r="N217" s="3278">
        <v>11777</v>
      </c>
      <c r="O217" s="3278">
        <v>7144</v>
      </c>
      <c r="P217" s="3278">
        <v>12174</v>
      </c>
      <c r="Q217" s="3279">
        <v>131</v>
      </c>
      <c r="R217" s="2311">
        <v>54651</v>
      </c>
      <c r="S217" s="2311">
        <v>6877</v>
      </c>
      <c r="T217" s="2368">
        <v>21717</v>
      </c>
      <c r="U217" s="2300"/>
    </row>
    <row r="218" spans="1:21">
      <c r="A218" s="2202">
        <f t="shared" si="2"/>
        <v>2011.05</v>
      </c>
      <c r="B218" s="1707">
        <v>522491</v>
      </c>
      <c r="C218" s="3002"/>
      <c r="D218" s="2366">
        <v>522491</v>
      </c>
      <c r="E218" s="1702">
        <v>80290</v>
      </c>
      <c r="F218" s="3002"/>
      <c r="G218" s="2367"/>
      <c r="H218" s="1700">
        <v>13953</v>
      </c>
      <c r="I218" s="3278">
        <v>39</v>
      </c>
      <c r="J218" s="3278">
        <v>8522</v>
      </c>
      <c r="K218" s="3278">
        <v>156</v>
      </c>
      <c r="L218" s="3278">
        <v>3776</v>
      </c>
      <c r="M218" s="3278">
        <v>22502</v>
      </c>
      <c r="N218" s="3278">
        <v>11821</v>
      </c>
      <c r="O218" s="3278">
        <v>7172</v>
      </c>
      <c r="P218" s="3278">
        <v>12219</v>
      </c>
      <c r="Q218" s="3279">
        <v>130</v>
      </c>
      <c r="R218" s="2311">
        <v>54703</v>
      </c>
      <c r="S218" s="2311">
        <v>6887</v>
      </c>
      <c r="T218" s="2368">
        <v>21788</v>
      </c>
      <c r="U218" s="2300"/>
    </row>
    <row r="219" spans="1:21">
      <c r="A219" s="2202">
        <f t="shared" si="2"/>
        <v>2011.06</v>
      </c>
      <c r="B219" s="1707">
        <v>524472</v>
      </c>
      <c r="C219" s="3002"/>
      <c r="D219" s="2366">
        <v>524472</v>
      </c>
      <c r="E219" s="1702">
        <v>80665</v>
      </c>
      <c r="F219" s="3002"/>
      <c r="G219" s="2367"/>
      <c r="H219" s="1700">
        <v>13997</v>
      </c>
      <c r="I219" s="3278">
        <v>39</v>
      </c>
      <c r="J219" s="3278">
        <v>8549</v>
      </c>
      <c r="K219" s="3278">
        <v>156</v>
      </c>
      <c r="L219" s="3278">
        <v>3795</v>
      </c>
      <c r="M219" s="3278">
        <v>22637</v>
      </c>
      <c r="N219" s="3278">
        <v>11898</v>
      </c>
      <c r="O219" s="3278">
        <v>7213</v>
      </c>
      <c r="P219" s="3278">
        <v>12252</v>
      </c>
      <c r="Q219" s="3279">
        <v>129</v>
      </c>
      <c r="R219" s="2311">
        <v>54569</v>
      </c>
      <c r="S219" s="2311">
        <v>6885</v>
      </c>
      <c r="T219" s="2368">
        <v>21852</v>
      </c>
      <c r="U219" s="2300"/>
    </row>
    <row r="220" spans="1:21">
      <c r="A220" s="2202">
        <f t="shared" si="2"/>
        <v>2011.07</v>
      </c>
      <c r="B220" s="1707">
        <v>525244</v>
      </c>
      <c r="C220" s="3002"/>
      <c r="D220" s="2366">
        <v>525244</v>
      </c>
      <c r="E220" s="1702">
        <v>81004</v>
      </c>
      <c r="F220" s="3002"/>
      <c r="G220" s="2367"/>
      <c r="H220" s="1700">
        <v>14050</v>
      </c>
      <c r="I220" s="3278">
        <v>39</v>
      </c>
      <c r="J220" s="3278">
        <v>8581</v>
      </c>
      <c r="K220" s="3278">
        <v>159</v>
      </c>
      <c r="L220" s="3278">
        <v>3828</v>
      </c>
      <c r="M220" s="3278">
        <v>22739</v>
      </c>
      <c r="N220" s="3278">
        <v>11948</v>
      </c>
      <c r="O220" s="3278">
        <v>7249</v>
      </c>
      <c r="P220" s="3278">
        <v>12283</v>
      </c>
      <c r="Q220" s="3279">
        <v>128</v>
      </c>
      <c r="R220" s="2311">
        <v>54487</v>
      </c>
      <c r="S220" s="2311">
        <v>6889</v>
      </c>
      <c r="T220" s="2368">
        <v>21899</v>
      </c>
      <c r="U220" s="2300"/>
    </row>
    <row r="221" spans="1:21">
      <c r="A221" s="2202">
        <f t="shared" si="2"/>
        <v>2011.08</v>
      </c>
      <c r="B221" s="1707">
        <v>526740</v>
      </c>
      <c r="C221" s="3002"/>
      <c r="D221" s="2366">
        <v>526740</v>
      </c>
      <c r="E221" s="1702">
        <v>81509</v>
      </c>
      <c r="F221" s="3002"/>
      <c r="G221" s="2367"/>
      <c r="H221" s="1700">
        <v>14101</v>
      </c>
      <c r="I221" s="3278">
        <v>39</v>
      </c>
      <c r="J221" s="3278">
        <v>8606</v>
      </c>
      <c r="K221" s="3278">
        <v>159</v>
      </c>
      <c r="L221" s="3278">
        <v>3865</v>
      </c>
      <c r="M221" s="3278">
        <v>22925</v>
      </c>
      <c r="N221" s="3278">
        <v>12034</v>
      </c>
      <c r="O221" s="3278">
        <v>7295</v>
      </c>
      <c r="P221" s="3278">
        <v>12359</v>
      </c>
      <c r="Q221" s="3279">
        <v>126</v>
      </c>
      <c r="R221" s="2311">
        <v>54607</v>
      </c>
      <c r="S221" s="2311">
        <v>6937</v>
      </c>
      <c r="T221" s="2368">
        <v>21979</v>
      </c>
      <c r="U221" s="2300"/>
    </row>
    <row r="222" spans="1:21">
      <c r="A222" s="2202">
        <f t="shared" si="2"/>
        <v>2011.09</v>
      </c>
      <c r="B222" s="1707">
        <v>528382</v>
      </c>
      <c r="C222" s="3002"/>
      <c r="D222" s="2366">
        <v>528382</v>
      </c>
      <c r="E222" s="1702">
        <v>81943</v>
      </c>
      <c r="F222" s="3002"/>
      <c r="G222" s="2367"/>
      <c r="H222" s="1700">
        <v>14156</v>
      </c>
      <c r="I222" s="3278">
        <v>40</v>
      </c>
      <c r="J222" s="3278">
        <v>8633</v>
      </c>
      <c r="K222" s="3278">
        <v>160</v>
      </c>
      <c r="L222" s="3278">
        <v>3902</v>
      </c>
      <c r="M222" s="3278">
        <v>23102</v>
      </c>
      <c r="N222" s="3278">
        <v>12088</v>
      </c>
      <c r="O222" s="3278">
        <v>7350</v>
      </c>
      <c r="P222" s="3278">
        <v>12388</v>
      </c>
      <c r="Q222" s="3279">
        <v>124</v>
      </c>
      <c r="R222" s="2311">
        <v>54663</v>
      </c>
      <c r="S222" s="2311">
        <v>6937</v>
      </c>
      <c r="T222" s="2368">
        <v>22021</v>
      </c>
      <c r="U222" s="2300"/>
    </row>
    <row r="223" spans="1:21">
      <c r="A223" s="2202">
        <f t="shared" si="2"/>
        <v>2011.1</v>
      </c>
      <c r="B223" s="1707">
        <v>531340</v>
      </c>
      <c r="C223" s="3002"/>
      <c r="D223" s="2366">
        <v>531340</v>
      </c>
      <c r="E223" s="1702">
        <v>82408</v>
      </c>
      <c r="F223" s="3002"/>
      <c r="G223" s="2367"/>
      <c r="H223" s="1700">
        <v>14222</v>
      </c>
      <c r="I223" s="3278">
        <v>40</v>
      </c>
      <c r="J223" s="3278">
        <v>8683</v>
      </c>
      <c r="K223" s="3278">
        <v>159</v>
      </c>
      <c r="L223" s="3278">
        <v>3926</v>
      </c>
      <c r="M223" s="3278">
        <v>23243</v>
      </c>
      <c r="N223" s="3278">
        <v>12172</v>
      </c>
      <c r="O223" s="3278">
        <v>7394</v>
      </c>
      <c r="P223" s="3278">
        <v>12446</v>
      </c>
      <c r="Q223" s="3279">
        <v>123</v>
      </c>
      <c r="R223" s="2311">
        <v>54832</v>
      </c>
      <c r="S223" s="2311">
        <v>6951</v>
      </c>
      <c r="T223" s="2368">
        <v>22058</v>
      </c>
      <c r="U223" s="2300"/>
    </row>
    <row r="224" spans="1:21">
      <c r="A224" s="2202">
        <f t="shared" si="2"/>
        <v>2011.11</v>
      </c>
      <c r="B224" s="1707">
        <v>534805</v>
      </c>
      <c r="C224" s="3002"/>
      <c r="D224" s="2366">
        <v>534805</v>
      </c>
      <c r="E224" s="1702">
        <v>82958</v>
      </c>
      <c r="F224" s="3002"/>
      <c r="G224" s="2367"/>
      <c r="H224" s="1700">
        <v>14310</v>
      </c>
      <c r="I224" s="3278">
        <v>41</v>
      </c>
      <c r="J224" s="3278">
        <v>8719</v>
      </c>
      <c r="K224" s="3278">
        <v>158</v>
      </c>
      <c r="L224" s="3278">
        <v>3963</v>
      </c>
      <c r="M224" s="3278">
        <v>23413</v>
      </c>
      <c r="N224" s="3278">
        <v>12265</v>
      </c>
      <c r="O224" s="3278">
        <v>7442</v>
      </c>
      <c r="P224" s="3278">
        <v>12525</v>
      </c>
      <c r="Q224" s="3279">
        <v>122</v>
      </c>
      <c r="R224" s="2311">
        <v>55265</v>
      </c>
      <c r="S224" s="2311">
        <v>6993</v>
      </c>
      <c r="T224" s="2368">
        <v>22183</v>
      </c>
      <c r="U224" s="2300"/>
    </row>
    <row r="225" spans="1:21">
      <c r="A225" s="2202">
        <f t="shared" si="2"/>
        <v>2011.12</v>
      </c>
      <c r="B225" s="1707">
        <v>537879</v>
      </c>
      <c r="C225" s="3002"/>
      <c r="D225" s="2366">
        <v>537879</v>
      </c>
      <c r="E225" s="1702">
        <v>83419</v>
      </c>
      <c r="F225" s="3002"/>
      <c r="G225" s="2367"/>
      <c r="H225" s="1700">
        <v>14347</v>
      </c>
      <c r="I225" s="3278">
        <v>40</v>
      </c>
      <c r="J225" s="3278">
        <v>8751</v>
      </c>
      <c r="K225" s="3278">
        <v>158</v>
      </c>
      <c r="L225" s="3278">
        <v>3993</v>
      </c>
      <c r="M225" s="3278">
        <v>23583</v>
      </c>
      <c r="N225" s="3278">
        <v>12351</v>
      </c>
      <c r="O225" s="3278">
        <v>7483</v>
      </c>
      <c r="P225" s="3278">
        <v>12591</v>
      </c>
      <c r="Q225" s="3279">
        <v>122</v>
      </c>
      <c r="R225" s="2311">
        <v>55243</v>
      </c>
      <c r="S225" s="2311">
        <v>6980</v>
      </c>
      <c r="T225" s="2368">
        <v>22204</v>
      </c>
      <c r="U225" s="2300"/>
    </row>
    <row r="226" spans="1:21">
      <c r="A226" s="2202">
        <f t="shared" si="2"/>
        <v>2012.01</v>
      </c>
      <c r="B226" s="1707">
        <v>539487</v>
      </c>
      <c r="C226" s="3002"/>
      <c r="D226" s="2366">
        <v>539487</v>
      </c>
      <c r="E226" s="1702">
        <v>83785</v>
      </c>
      <c r="F226" s="3002"/>
      <c r="G226" s="2367"/>
      <c r="H226" s="1700">
        <v>14386</v>
      </c>
      <c r="I226" s="3278">
        <v>41</v>
      </c>
      <c r="J226" s="3278">
        <v>8804</v>
      </c>
      <c r="K226" s="3278">
        <v>158</v>
      </c>
      <c r="L226" s="3278">
        <v>4025</v>
      </c>
      <c r="M226" s="3278">
        <v>23720</v>
      </c>
      <c r="N226" s="3278">
        <v>12426</v>
      </c>
      <c r="O226" s="3278">
        <v>7522</v>
      </c>
      <c r="P226" s="3278">
        <v>12648</v>
      </c>
      <c r="Q226" s="3279">
        <v>55</v>
      </c>
      <c r="R226" s="2311">
        <v>54816</v>
      </c>
      <c r="S226" s="2311">
        <v>6956</v>
      </c>
      <c r="T226" s="2368">
        <v>22029</v>
      </c>
      <c r="U226" s="2300"/>
    </row>
    <row r="227" spans="1:21">
      <c r="A227" s="2202">
        <f t="shared" si="2"/>
        <v>2012.02</v>
      </c>
      <c r="B227" s="1707">
        <v>540282</v>
      </c>
      <c r="C227" s="3002"/>
      <c r="D227" s="2366">
        <v>540282</v>
      </c>
      <c r="E227" s="1702">
        <v>84003</v>
      </c>
      <c r="F227" s="3002"/>
      <c r="G227" s="2367"/>
      <c r="H227" s="1700">
        <v>14429</v>
      </c>
      <c r="I227" s="3278">
        <v>41</v>
      </c>
      <c r="J227" s="3278">
        <v>8806</v>
      </c>
      <c r="K227" s="3278">
        <v>158</v>
      </c>
      <c r="L227" s="3278">
        <v>4026</v>
      </c>
      <c r="M227" s="3278">
        <v>23807</v>
      </c>
      <c r="N227" s="3278">
        <v>12461</v>
      </c>
      <c r="O227" s="3278">
        <v>7546</v>
      </c>
      <c r="P227" s="3278">
        <v>12674</v>
      </c>
      <c r="Q227" s="3279">
        <v>55</v>
      </c>
      <c r="R227" s="2311">
        <v>53246</v>
      </c>
      <c r="S227" s="2311">
        <v>6703</v>
      </c>
      <c r="T227" s="2368">
        <v>21399</v>
      </c>
      <c r="U227" s="2300"/>
    </row>
    <row r="228" spans="1:21">
      <c r="A228" s="2202">
        <f t="shared" si="2"/>
        <v>2012.03</v>
      </c>
      <c r="B228" s="1707">
        <v>539421</v>
      </c>
      <c r="C228" s="3002"/>
      <c r="D228" s="2366">
        <v>539421</v>
      </c>
      <c r="E228" s="1702">
        <v>84255</v>
      </c>
      <c r="F228" s="3002"/>
      <c r="G228" s="2367"/>
      <c r="H228" s="1700">
        <v>14459</v>
      </c>
      <c r="I228" s="3278">
        <v>41</v>
      </c>
      <c r="J228" s="3278">
        <v>8822</v>
      </c>
      <c r="K228" s="3278">
        <v>159</v>
      </c>
      <c r="L228" s="3278">
        <v>4040</v>
      </c>
      <c r="M228" s="3278">
        <v>23908</v>
      </c>
      <c r="N228" s="3278">
        <v>12498</v>
      </c>
      <c r="O228" s="3278">
        <v>7576</v>
      </c>
      <c r="P228" s="3278">
        <v>12702</v>
      </c>
      <c r="Q228" s="3279">
        <v>50</v>
      </c>
      <c r="R228" s="2311">
        <v>55274</v>
      </c>
      <c r="S228" s="2311">
        <v>6999</v>
      </c>
      <c r="T228" s="2368">
        <v>22068</v>
      </c>
      <c r="U228" s="2300"/>
    </row>
    <row r="229" spans="1:21">
      <c r="A229" s="2202">
        <f t="shared" si="2"/>
        <v>2012.04</v>
      </c>
      <c r="B229" s="1707">
        <v>537110</v>
      </c>
      <c r="C229" s="3002"/>
      <c r="D229" s="2366">
        <v>537110</v>
      </c>
      <c r="E229" s="1702">
        <v>84496</v>
      </c>
      <c r="F229" s="3002"/>
      <c r="G229" s="2367"/>
      <c r="H229" s="1700">
        <v>14503</v>
      </c>
      <c r="I229" s="3278">
        <v>41</v>
      </c>
      <c r="J229" s="3278">
        <v>8839</v>
      </c>
      <c r="K229" s="3278">
        <v>159</v>
      </c>
      <c r="L229" s="3278">
        <v>4065</v>
      </c>
      <c r="M229" s="3278">
        <v>23999</v>
      </c>
      <c r="N229" s="3278">
        <v>12517</v>
      </c>
      <c r="O229" s="3278">
        <v>7609</v>
      </c>
      <c r="P229" s="3278">
        <v>12714</v>
      </c>
      <c r="Q229" s="3279">
        <v>50</v>
      </c>
      <c r="R229" s="2311">
        <v>55466</v>
      </c>
      <c r="S229" s="2311">
        <v>7026</v>
      </c>
      <c r="T229" s="2368">
        <v>22043</v>
      </c>
      <c r="U229" s="2300"/>
    </row>
    <row r="230" spans="1:21">
      <c r="A230" s="2202">
        <f t="shared" si="2"/>
        <v>2012.05</v>
      </c>
      <c r="B230" s="1707">
        <v>536598</v>
      </c>
      <c r="C230" s="3002"/>
      <c r="D230" s="2366">
        <v>536598</v>
      </c>
      <c r="E230" s="1702">
        <v>84902</v>
      </c>
      <c r="F230" s="3002"/>
      <c r="G230" s="2367"/>
      <c r="H230" s="1700">
        <v>14552</v>
      </c>
      <c r="I230" s="3278">
        <v>41</v>
      </c>
      <c r="J230" s="3278">
        <v>8854</v>
      </c>
      <c r="K230" s="3278">
        <v>159</v>
      </c>
      <c r="L230" s="3278">
        <v>4089</v>
      </c>
      <c r="M230" s="3278">
        <v>24133</v>
      </c>
      <c r="N230" s="3278">
        <v>12609</v>
      </c>
      <c r="O230" s="3278">
        <v>7648</v>
      </c>
      <c r="P230" s="3278">
        <v>12767</v>
      </c>
      <c r="Q230" s="3279">
        <v>50</v>
      </c>
      <c r="R230" s="2311">
        <v>55445</v>
      </c>
      <c r="S230" s="2311">
        <v>7046</v>
      </c>
      <c r="T230" s="2368">
        <v>22053</v>
      </c>
      <c r="U230" s="2300"/>
    </row>
    <row r="231" spans="1:21">
      <c r="A231" s="2202">
        <f t="shared" si="2"/>
        <v>2012.06</v>
      </c>
      <c r="B231" s="1707">
        <v>535018</v>
      </c>
      <c r="C231" s="3002"/>
      <c r="D231" s="2366">
        <v>535018</v>
      </c>
      <c r="E231" s="1702">
        <v>85136</v>
      </c>
      <c r="F231" s="3002"/>
      <c r="G231" s="2367"/>
      <c r="H231" s="1700">
        <v>14583</v>
      </c>
      <c r="I231" s="3278">
        <v>41</v>
      </c>
      <c r="J231" s="3278">
        <v>8862</v>
      </c>
      <c r="K231" s="3278">
        <v>158</v>
      </c>
      <c r="L231" s="3278">
        <v>4099</v>
      </c>
      <c r="M231" s="3278">
        <v>24232</v>
      </c>
      <c r="N231" s="3278">
        <v>12641</v>
      </c>
      <c r="O231" s="3278">
        <v>7666</v>
      </c>
      <c r="P231" s="3278">
        <v>12805</v>
      </c>
      <c r="Q231" s="3279">
        <v>49</v>
      </c>
      <c r="R231" s="2311">
        <v>55278</v>
      </c>
      <c r="S231" s="2311">
        <v>7019</v>
      </c>
      <c r="T231" s="2368">
        <v>22093</v>
      </c>
      <c r="U231" s="2300"/>
    </row>
    <row r="232" spans="1:21">
      <c r="A232" s="2202">
        <f t="shared" si="2"/>
        <v>2012.07</v>
      </c>
      <c r="B232" s="1707">
        <v>535910</v>
      </c>
      <c r="C232" s="3002"/>
      <c r="D232" s="2366">
        <v>535910</v>
      </c>
      <c r="E232" s="1702">
        <v>85333</v>
      </c>
      <c r="F232" s="3002"/>
      <c r="G232" s="2367"/>
      <c r="H232" s="1700">
        <v>14601</v>
      </c>
      <c r="I232" s="3278">
        <v>41</v>
      </c>
      <c r="J232" s="3278">
        <v>8868</v>
      </c>
      <c r="K232" s="3278">
        <v>161</v>
      </c>
      <c r="L232" s="3278">
        <v>4112</v>
      </c>
      <c r="M232" s="3278">
        <v>24339</v>
      </c>
      <c r="N232" s="3278">
        <v>12652</v>
      </c>
      <c r="O232" s="3278">
        <v>7691</v>
      </c>
      <c r="P232" s="3278">
        <v>12820</v>
      </c>
      <c r="Q232" s="3279">
        <v>48</v>
      </c>
      <c r="R232" s="2311">
        <v>55100</v>
      </c>
      <c r="S232" s="2311">
        <v>7030</v>
      </c>
      <c r="T232" s="2368">
        <v>22085</v>
      </c>
      <c r="U232" s="2300"/>
    </row>
    <row r="233" spans="1:21">
      <c r="A233" s="2202">
        <f t="shared" si="2"/>
        <v>2012.08</v>
      </c>
      <c r="B233" s="1707">
        <v>534078</v>
      </c>
      <c r="C233" s="3002"/>
      <c r="D233" s="2366">
        <v>534078</v>
      </c>
      <c r="E233" s="1702">
        <v>85478</v>
      </c>
      <c r="F233" s="3002"/>
      <c r="G233" s="2367"/>
      <c r="H233" s="1700">
        <v>14609</v>
      </c>
      <c r="I233" s="3278">
        <v>41</v>
      </c>
      <c r="J233" s="3278">
        <v>8866</v>
      </c>
      <c r="K233" s="3278">
        <v>161</v>
      </c>
      <c r="L233" s="3278">
        <v>4111</v>
      </c>
      <c r="M233" s="3278">
        <v>24393</v>
      </c>
      <c r="N233" s="3278">
        <v>12682</v>
      </c>
      <c r="O233" s="3278">
        <v>7729</v>
      </c>
      <c r="P233" s="3278">
        <v>12838</v>
      </c>
      <c r="Q233" s="3279">
        <v>48</v>
      </c>
      <c r="R233" s="2311">
        <v>54985</v>
      </c>
      <c r="S233" s="2311">
        <v>7059</v>
      </c>
      <c r="T233" s="2368">
        <v>22072</v>
      </c>
      <c r="U233" s="2300"/>
    </row>
    <row r="234" spans="1:21">
      <c r="A234" s="2202">
        <f t="shared" si="2"/>
        <v>2012.09</v>
      </c>
      <c r="B234" s="1707">
        <v>533826</v>
      </c>
      <c r="C234" s="3002"/>
      <c r="D234" s="2366">
        <v>533826</v>
      </c>
      <c r="E234" s="1702">
        <v>85858</v>
      </c>
      <c r="F234" s="3002"/>
      <c r="G234" s="2367"/>
      <c r="H234" s="1700">
        <v>14645</v>
      </c>
      <c r="I234" s="3278">
        <v>41</v>
      </c>
      <c r="J234" s="3278">
        <v>8886</v>
      </c>
      <c r="K234" s="3278">
        <v>162</v>
      </c>
      <c r="L234" s="3278">
        <v>4122</v>
      </c>
      <c r="M234" s="3278">
        <v>24541</v>
      </c>
      <c r="N234" s="3278">
        <v>12749</v>
      </c>
      <c r="O234" s="3278">
        <v>7770</v>
      </c>
      <c r="P234" s="3278">
        <v>12896</v>
      </c>
      <c r="Q234" s="3279">
        <v>46</v>
      </c>
      <c r="R234" s="2311">
        <v>54912</v>
      </c>
      <c r="S234" s="2311">
        <v>7091</v>
      </c>
      <c r="T234" s="2368">
        <v>22058</v>
      </c>
      <c r="U234" s="2300"/>
    </row>
    <row r="235" spans="1:21">
      <c r="A235" s="2202">
        <f t="shared" si="2"/>
        <v>2012.1</v>
      </c>
      <c r="B235" s="1707">
        <v>534770</v>
      </c>
      <c r="C235" s="3002"/>
      <c r="D235" s="2366">
        <v>534770</v>
      </c>
      <c r="E235" s="1702">
        <v>86283</v>
      </c>
      <c r="F235" s="3002"/>
      <c r="G235" s="2367"/>
      <c r="H235" s="1700">
        <v>14687</v>
      </c>
      <c r="I235" s="3278">
        <v>42</v>
      </c>
      <c r="J235" s="3278">
        <v>8918</v>
      </c>
      <c r="K235" s="3278">
        <v>164</v>
      </c>
      <c r="L235" s="3278">
        <v>4153</v>
      </c>
      <c r="M235" s="3278">
        <v>24704</v>
      </c>
      <c r="N235" s="3278">
        <v>12810</v>
      </c>
      <c r="O235" s="3278">
        <v>7808</v>
      </c>
      <c r="P235" s="3278">
        <v>12951</v>
      </c>
      <c r="Q235" s="3279">
        <v>46</v>
      </c>
      <c r="R235" s="2311">
        <v>55129</v>
      </c>
      <c r="S235" s="2311">
        <v>7105</v>
      </c>
      <c r="T235" s="2368">
        <v>22107</v>
      </c>
      <c r="U235" s="2300"/>
    </row>
    <row r="236" spans="1:21">
      <c r="A236" s="2202">
        <f t="shared" si="2"/>
        <v>2012.11</v>
      </c>
      <c r="B236" s="1707">
        <v>536460</v>
      </c>
      <c r="C236" s="3002"/>
      <c r="D236" s="2366">
        <v>536460</v>
      </c>
      <c r="E236" s="1702">
        <v>86665</v>
      </c>
      <c r="F236" s="3002"/>
      <c r="G236" s="2367"/>
      <c r="H236" s="1700">
        <v>14744</v>
      </c>
      <c r="I236" s="3278">
        <v>42</v>
      </c>
      <c r="J236" s="3278">
        <v>8931</v>
      </c>
      <c r="K236" s="3278">
        <v>166</v>
      </c>
      <c r="L236" s="3278">
        <v>4168</v>
      </c>
      <c r="M236" s="3278">
        <v>24894</v>
      </c>
      <c r="N236" s="3278">
        <v>12844</v>
      </c>
      <c r="O236" s="3278">
        <v>7851</v>
      </c>
      <c r="P236" s="3278">
        <v>12997</v>
      </c>
      <c r="Q236" s="3279">
        <v>28</v>
      </c>
      <c r="R236" s="2311">
        <v>55291</v>
      </c>
      <c r="S236" s="2311">
        <v>7102</v>
      </c>
      <c r="T236" s="2368">
        <v>22144</v>
      </c>
      <c r="U236" s="2300"/>
    </row>
    <row r="237" spans="1:21">
      <c r="A237" s="2202">
        <f t="shared" si="2"/>
        <v>2012.12</v>
      </c>
      <c r="B237" s="1707">
        <v>537415</v>
      </c>
      <c r="C237" s="3002"/>
      <c r="D237" s="2366">
        <v>537415</v>
      </c>
      <c r="E237" s="1702">
        <v>86908</v>
      </c>
      <c r="F237" s="3002"/>
      <c r="G237" s="2367"/>
      <c r="H237" s="1700">
        <v>14786</v>
      </c>
      <c r="I237" s="3278">
        <v>42</v>
      </c>
      <c r="J237" s="3278">
        <v>8949</v>
      </c>
      <c r="K237" s="3278">
        <v>167</v>
      </c>
      <c r="L237" s="3278">
        <v>4180</v>
      </c>
      <c r="M237" s="3278">
        <v>24969</v>
      </c>
      <c r="N237" s="3278">
        <v>12869</v>
      </c>
      <c r="O237" s="3278">
        <v>7867</v>
      </c>
      <c r="P237" s="3278">
        <v>13051</v>
      </c>
      <c r="Q237" s="3279">
        <v>28</v>
      </c>
      <c r="R237" s="2311">
        <v>55234</v>
      </c>
      <c r="S237" s="2311">
        <v>7101</v>
      </c>
      <c r="T237" s="2368">
        <v>22128</v>
      </c>
      <c r="U237" s="2300"/>
    </row>
    <row r="238" spans="1:21">
      <c r="A238" s="2202">
        <f t="shared" si="2"/>
        <v>2013.01</v>
      </c>
      <c r="B238" s="1707">
        <v>537315</v>
      </c>
      <c r="C238" s="3002"/>
      <c r="D238" s="2366">
        <v>537315</v>
      </c>
      <c r="E238" s="1702">
        <v>86947</v>
      </c>
      <c r="F238" s="3002"/>
      <c r="G238" s="2367"/>
      <c r="H238" s="1700">
        <v>14787</v>
      </c>
      <c r="I238" s="3278">
        <v>42</v>
      </c>
      <c r="J238" s="3278">
        <v>8942</v>
      </c>
      <c r="K238" s="3278">
        <v>167</v>
      </c>
      <c r="L238" s="3278">
        <v>4184</v>
      </c>
      <c r="M238" s="3278">
        <v>25000</v>
      </c>
      <c r="N238" s="3278">
        <v>12889</v>
      </c>
      <c r="O238" s="3278">
        <v>7870</v>
      </c>
      <c r="P238" s="3278">
        <v>13039</v>
      </c>
      <c r="Q238" s="3279">
        <v>27</v>
      </c>
      <c r="R238" s="2311">
        <v>54910</v>
      </c>
      <c r="S238" s="2311">
        <v>7075</v>
      </c>
      <c r="T238" s="2368">
        <v>22059</v>
      </c>
      <c r="U238" s="2300"/>
    </row>
    <row r="239" spans="1:21">
      <c r="A239" s="2202">
        <f t="shared" si="2"/>
        <v>2013.02</v>
      </c>
      <c r="B239" s="1707">
        <v>537841</v>
      </c>
      <c r="C239" s="3002"/>
      <c r="D239" s="2366">
        <v>537841</v>
      </c>
      <c r="E239" s="1702">
        <v>87063</v>
      </c>
      <c r="F239" s="3002"/>
      <c r="G239" s="2367"/>
      <c r="H239" s="1700">
        <v>14794</v>
      </c>
      <c r="I239" s="3278">
        <v>42</v>
      </c>
      <c r="J239" s="3278">
        <v>8954</v>
      </c>
      <c r="K239" s="3278">
        <v>168</v>
      </c>
      <c r="L239" s="3278">
        <v>4181</v>
      </c>
      <c r="M239" s="3278">
        <v>25051</v>
      </c>
      <c r="N239" s="3278">
        <v>12925</v>
      </c>
      <c r="O239" s="3278">
        <v>7888</v>
      </c>
      <c r="P239" s="3278">
        <v>13033</v>
      </c>
      <c r="Q239" s="3279">
        <v>27</v>
      </c>
      <c r="R239" s="2311">
        <v>54451</v>
      </c>
      <c r="S239" s="2311">
        <v>7000</v>
      </c>
      <c r="T239" s="2368">
        <v>21918</v>
      </c>
      <c r="U239" s="2300"/>
    </row>
    <row r="240" spans="1:21">
      <c r="A240" s="2202">
        <f t="shared" si="2"/>
        <v>2013.03</v>
      </c>
      <c r="B240" s="1707">
        <v>537103</v>
      </c>
      <c r="C240" s="3002"/>
      <c r="D240" s="2366">
        <v>537103</v>
      </c>
      <c r="E240" s="1702">
        <v>87549</v>
      </c>
      <c r="F240" s="3002"/>
      <c r="G240" s="2367"/>
      <c r="H240" s="1700">
        <v>14850</v>
      </c>
      <c r="I240" s="3278">
        <v>42</v>
      </c>
      <c r="J240" s="3278">
        <v>8997</v>
      </c>
      <c r="K240" s="3278">
        <v>168</v>
      </c>
      <c r="L240" s="3278">
        <v>4223</v>
      </c>
      <c r="M240" s="3278">
        <v>25218</v>
      </c>
      <c r="N240" s="3278">
        <v>13012</v>
      </c>
      <c r="O240" s="3278">
        <v>7937</v>
      </c>
      <c r="P240" s="3278">
        <v>13076</v>
      </c>
      <c r="Q240" s="3279">
        <v>26</v>
      </c>
      <c r="R240" s="2311">
        <v>54904</v>
      </c>
      <c r="S240" s="2311">
        <v>7041</v>
      </c>
      <c r="T240" s="2368">
        <v>21960</v>
      </c>
      <c r="U240" s="2300"/>
    </row>
    <row r="241" spans="1:21">
      <c r="A241" s="2202">
        <f t="shared" si="2"/>
        <v>2013.04</v>
      </c>
      <c r="B241" s="1707">
        <v>536070</v>
      </c>
      <c r="C241" s="3002"/>
      <c r="D241" s="2366">
        <v>536070</v>
      </c>
      <c r="E241" s="1702">
        <v>87919</v>
      </c>
      <c r="F241" s="3002"/>
      <c r="G241" s="2367"/>
      <c r="H241" s="1700">
        <v>14900</v>
      </c>
      <c r="I241" s="3278">
        <v>43</v>
      </c>
      <c r="J241" s="3278">
        <v>9026</v>
      </c>
      <c r="K241" s="3278">
        <v>167</v>
      </c>
      <c r="L241" s="3278">
        <v>4272</v>
      </c>
      <c r="M241" s="3278">
        <v>25367</v>
      </c>
      <c r="N241" s="3278">
        <v>13043</v>
      </c>
      <c r="O241" s="3278">
        <v>7960</v>
      </c>
      <c r="P241" s="3278">
        <v>13115</v>
      </c>
      <c r="Q241" s="3279">
        <v>26</v>
      </c>
      <c r="R241" s="2311">
        <v>55233</v>
      </c>
      <c r="S241" s="2311">
        <v>7034</v>
      </c>
      <c r="T241" s="2368">
        <v>22016</v>
      </c>
      <c r="U241" s="2300"/>
    </row>
    <row r="242" spans="1:21">
      <c r="A242" s="2202">
        <f t="shared" ref="A242:A305" si="3">A230+1</f>
        <v>2013.05</v>
      </c>
      <c r="B242" s="1707">
        <v>535731</v>
      </c>
      <c r="C242" s="3002"/>
      <c r="D242" s="2366">
        <v>535731</v>
      </c>
      <c r="E242" s="1702">
        <v>88276</v>
      </c>
      <c r="F242" s="3002"/>
      <c r="G242" s="2367"/>
      <c r="H242" s="1700">
        <v>14917</v>
      </c>
      <c r="I242" s="3278">
        <v>43</v>
      </c>
      <c r="J242" s="3278">
        <v>9038</v>
      </c>
      <c r="K242" s="3278">
        <v>167</v>
      </c>
      <c r="L242" s="3278">
        <v>4294</v>
      </c>
      <c r="M242" s="3278">
        <v>25519</v>
      </c>
      <c r="N242" s="3278">
        <v>13099</v>
      </c>
      <c r="O242" s="3278">
        <v>8003</v>
      </c>
      <c r="P242" s="3278">
        <v>13170</v>
      </c>
      <c r="Q242" s="3279">
        <v>26</v>
      </c>
      <c r="R242" s="2311">
        <v>55118</v>
      </c>
      <c r="S242" s="2311">
        <v>7061</v>
      </c>
      <c r="T242" s="2368">
        <v>22032</v>
      </c>
      <c r="U242" s="2300"/>
    </row>
    <row r="243" spans="1:21">
      <c r="A243" s="2202">
        <f t="shared" si="3"/>
        <v>2013.06</v>
      </c>
      <c r="B243" s="1707">
        <v>532304</v>
      </c>
      <c r="C243" s="3002"/>
      <c r="D243" s="2366">
        <v>532304</v>
      </c>
      <c r="E243" s="1702">
        <v>88171</v>
      </c>
      <c r="F243" s="3002"/>
      <c r="G243" s="2367"/>
      <c r="H243" s="1700">
        <v>14923</v>
      </c>
      <c r="I243" s="3278">
        <v>43</v>
      </c>
      <c r="J243" s="3278">
        <v>8990</v>
      </c>
      <c r="K243" s="3278">
        <v>164</v>
      </c>
      <c r="L243" s="3278">
        <v>4273</v>
      </c>
      <c r="M243" s="3278">
        <v>25495</v>
      </c>
      <c r="N243" s="3278">
        <v>13111</v>
      </c>
      <c r="O243" s="3278">
        <v>7992</v>
      </c>
      <c r="P243" s="3278">
        <v>13154</v>
      </c>
      <c r="Q243" s="3279">
        <v>26</v>
      </c>
      <c r="R243" s="2311">
        <v>54853</v>
      </c>
      <c r="S243" s="2311">
        <v>7061</v>
      </c>
      <c r="T243" s="2368">
        <v>22026</v>
      </c>
      <c r="U243" s="2300"/>
    </row>
    <row r="244" spans="1:21">
      <c r="A244" s="2202">
        <f t="shared" si="3"/>
        <v>2013.07</v>
      </c>
      <c r="B244" s="1707">
        <v>532306</v>
      </c>
      <c r="C244" s="3002"/>
      <c r="D244" s="2366">
        <v>532306</v>
      </c>
      <c r="E244" s="1702">
        <v>88530</v>
      </c>
      <c r="F244" s="3002"/>
      <c r="G244" s="2367"/>
      <c r="H244" s="1700">
        <v>14956</v>
      </c>
      <c r="I244" s="3278">
        <v>43</v>
      </c>
      <c r="J244" s="3278">
        <v>9013</v>
      </c>
      <c r="K244" s="3278">
        <v>164</v>
      </c>
      <c r="L244" s="3278">
        <v>4301</v>
      </c>
      <c r="M244" s="3278">
        <v>25629</v>
      </c>
      <c r="N244" s="3278">
        <v>13190</v>
      </c>
      <c r="O244" s="3278">
        <v>8019</v>
      </c>
      <c r="P244" s="3278">
        <v>13189</v>
      </c>
      <c r="Q244" s="3279">
        <v>26</v>
      </c>
      <c r="R244" s="2311">
        <v>54689</v>
      </c>
      <c r="S244" s="2311">
        <v>7045</v>
      </c>
      <c r="T244" s="2368">
        <v>22045</v>
      </c>
      <c r="U244" s="2300"/>
    </row>
    <row r="245" spans="1:21">
      <c r="A245" s="2202">
        <f t="shared" si="3"/>
        <v>2013.08</v>
      </c>
      <c r="B245" s="1707">
        <v>533083</v>
      </c>
      <c r="C245" s="3002"/>
      <c r="D245" s="2366">
        <v>533083</v>
      </c>
      <c r="E245" s="1702">
        <v>88910</v>
      </c>
      <c r="F245" s="3002"/>
      <c r="G245" s="2367"/>
      <c r="H245" s="1700">
        <v>14982</v>
      </c>
      <c r="I245" s="3278">
        <v>43</v>
      </c>
      <c r="J245" s="3278">
        <v>9046</v>
      </c>
      <c r="K245" s="3278">
        <v>165</v>
      </c>
      <c r="L245" s="3278">
        <v>4324</v>
      </c>
      <c r="M245" s="3278">
        <v>25768</v>
      </c>
      <c r="N245" s="3278">
        <v>13264</v>
      </c>
      <c r="O245" s="3278">
        <v>8055</v>
      </c>
      <c r="P245" s="3278">
        <v>13237</v>
      </c>
      <c r="Q245" s="3279">
        <v>26</v>
      </c>
      <c r="R245" s="2311">
        <v>54618</v>
      </c>
      <c r="S245" s="2311">
        <v>7086</v>
      </c>
      <c r="T245" s="2368">
        <v>22059</v>
      </c>
      <c r="U245" s="2300"/>
    </row>
    <row r="246" spans="1:21">
      <c r="A246" s="2202">
        <f t="shared" si="3"/>
        <v>2013.09</v>
      </c>
      <c r="B246" s="1707">
        <v>532173</v>
      </c>
      <c r="C246" s="3002"/>
      <c r="D246" s="2366">
        <v>532173</v>
      </c>
      <c r="E246" s="1702">
        <v>88855</v>
      </c>
      <c r="F246" s="3002"/>
      <c r="G246" s="2367"/>
      <c r="H246" s="1700">
        <v>14967</v>
      </c>
      <c r="I246" s="3278">
        <v>43</v>
      </c>
      <c r="J246" s="3278">
        <v>9020</v>
      </c>
      <c r="K246" s="3278">
        <v>165</v>
      </c>
      <c r="L246" s="3278">
        <v>4318</v>
      </c>
      <c r="M246" s="3278">
        <v>25758</v>
      </c>
      <c r="N246" s="3278">
        <v>13248</v>
      </c>
      <c r="O246" s="3278">
        <v>8072</v>
      </c>
      <c r="P246" s="3278">
        <v>13238</v>
      </c>
      <c r="Q246" s="3279">
        <v>26</v>
      </c>
      <c r="R246" s="2311">
        <v>54616</v>
      </c>
      <c r="S246" s="2311">
        <v>7069</v>
      </c>
      <c r="T246" s="2368">
        <v>22125</v>
      </c>
      <c r="U246" s="2300"/>
    </row>
    <row r="247" spans="1:21">
      <c r="A247" s="2202">
        <f t="shared" si="3"/>
        <v>2013.1</v>
      </c>
      <c r="B247" s="1707">
        <v>532843</v>
      </c>
      <c r="C247" s="3002"/>
      <c r="D247" s="2366">
        <v>532843</v>
      </c>
      <c r="E247" s="1702">
        <v>89229</v>
      </c>
      <c r="F247" s="3002"/>
      <c r="G247" s="2367"/>
      <c r="H247" s="1700">
        <v>15013</v>
      </c>
      <c r="I247" s="3278">
        <v>42</v>
      </c>
      <c r="J247" s="3278">
        <v>9054</v>
      </c>
      <c r="K247" s="3278">
        <v>165</v>
      </c>
      <c r="L247" s="3278">
        <v>4333</v>
      </c>
      <c r="M247" s="3278">
        <v>25864</v>
      </c>
      <c r="N247" s="3278">
        <v>13332</v>
      </c>
      <c r="O247" s="3278">
        <v>8106</v>
      </c>
      <c r="P247" s="3278">
        <v>13294</v>
      </c>
      <c r="Q247" s="3279">
        <v>26</v>
      </c>
      <c r="R247" s="2311">
        <v>54731</v>
      </c>
      <c r="S247" s="2311">
        <v>7095</v>
      </c>
      <c r="T247" s="2368">
        <v>22203</v>
      </c>
      <c r="U247" s="2300"/>
    </row>
    <row r="248" spans="1:21">
      <c r="A248" s="2202">
        <f t="shared" si="3"/>
        <v>2013.11</v>
      </c>
      <c r="B248" s="1707">
        <v>533732</v>
      </c>
      <c r="C248" s="3002"/>
      <c r="D248" s="2366">
        <v>533732</v>
      </c>
      <c r="E248" s="1702">
        <v>89598</v>
      </c>
      <c r="F248" s="3002"/>
      <c r="G248" s="2367"/>
      <c r="H248" s="1700">
        <v>15042</v>
      </c>
      <c r="I248" s="3278">
        <v>42</v>
      </c>
      <c r="J248" s="3278">
        <v>9075</v>
      </c>
      <c r="K248" s="3278">
        <v>164</v>
      </c>
      <c r="L248" s="3278">
        <v>4370</v>
      </c>
      <c r="M248" s="3278">
        <v>25995</v>
      </c>
      <c r="N248" s="3278">
        <v>13402</v>
      </c>
      <c r="O248" s="3278">
        <v>8131</v>
      </c>
      <c r="P248" s="3278">
        <v>13351</v>
      </c>
      <c r="Q248" s="3279">
        <v>26</v>
      </c>
      <c r="R248" s="2311">
        <v>54959</v>
      </c>
      <c r="S248" s="2311">
        <v>7116</v>
      </c>
      <c r="T248" s="2368">
        <v>22269</v>
      </c>
      <c r="U248" s="2300"/>
    </row>
    <row r="249" spans="1:21">
      <c r="A249" s="2202">
        <f t="shared" si="3"/>
        <v>2013.12</v>
      </c>
      <c r="B249" s="1707">
        <v>533861</v>
      </c>
      <c r="C249" s="3002"/>
      <c r="D249" s="2366">
        <v>533861</v>
      </c>
      <c r="E249" s="1702">
        <v>89760</v>
      </c>
      <c r="F249" s="3002"/>
      <c r="G249" s="2367"/>
      <c r="H249" s="1700">
        <v>15042</v>
      </c>
      <c r="I249" s="3278">
        <v>42</v>
      </c>
      <c r="J249" s="3278">
        <v>9088</v>
      </c>
      <c r="K249" s="3278">
        <v>165</v>
      </c>
      <c r="L249" s="3278">
        <v>4367</v>
      </c>
      <c r="M249" s="3278">
        <v>26063</v>
      </c>
      <c r="N249" s="3278">
        <v>13443</v>
      </c>
      <c r="O249" s="3278">
        <v>8147</v>
      </c>
      <c r="P249" s="3278">
        <v>13377</v>
      </c>
      <c r="Q249" s="3279">
        <v>26</v>
      </c>
      <c r="R249" s="2311">
        <v>54943</v>
      </c>
      <c r="S249" s="2311">
        <v>7124</v>
      </c>
      <c r="T249" s="2368">
        <v>22277</v>
      </c>
      <c r="U249" s="2300"/>
    </row>
    <row r="250" spans="1:21">
      <c r="A250" s="2202">
        <f t="shared" si="3"/>
        <v>2014.01</v>
      </c>
      <c r="B250" s="1707">
        <v>535385</v>
      </c>
      <c r="C250" s="3002"/>
      <c r="D250" s="2366">
        <v>535385</v>
      </c>
      <c r="E250" s="1702">
        <v>90098</v>
      </c>
      <c r="F250" s="3002"/>
      <c r="G250" s="2367"/>
      <c r="H250" s="1700">
        <v>15082</v>
      </c>
      <c r="I250" s="3278">
        <v>42</v>
      </c>
      <c r="J250" s="3278">
        <v>9111</v>
      </c>
      <c r="K250" s="3278">
        <v>164</v>
      </c>
      <c r="L250" s="3278">
        <v>4387</v>
      </c>
      <c r="M250" s="3278">
        <v>26173</v>
      </c>
      <c r="N250" s="3278">
        <v>13512</v>
      </c>
      <c r="O250" s="3278">
        <v>8180</v>
      </c>
      <c r="P250" s="3278">
        <v>13421</v>
      </c>
      <c r="Q250" s="3279">
        <v>26</v>
      </c>
      <c r="R250" s="2311">
        <v>54562</v>
      </c>
      <c r="S250" s="2311">
        <v>7065</v>
      </c>
      <c r="T250" s="2368">
        <v>22209</v>
      </c>
      <c r="U250" s="2300"/>
    </row>
    <row r="251" spans="1:21">
      <c r="A251" s="2202">
        <f t="shared" si="3"/>
        <v>2014.02</v>
      </c>
      <c r="B251" s="1707">
        <v>535715</v>
      </c>
      <c r="C251" s="3002"/>
      <c r="D251" s="2366">
        <v>535715</v>
      </c>
      <c r="E251" s="1702">
        <v>90234</v>
      </c>
      <c r="F251" s="3002"/>
      <c r="G251" s="2367"/>
      <c r="H251" s="1700">
        <v>15084</v>
      </c>
      <c r="I251" s="3278">
        <v>42</v>
      </c>
      <c r="J251" s="3278">
        <v>9112</v>
      </c>
      <c r="K251" s="3278">
        <v>165</v>
      </c>
      <c r="L251" s="3278">
        <v>4388</v>
      </c>
      <c r="M251" s="3278">
        <v>26225</v>
      </c>
      <c r="N251" s="3278">
        <v>13555</v>
      </c>
      <c r="O251" s="3278">
        <v>8201</v>
      </c>
      <c r="P251" s="3278">
        <v>13436</v>
      </c>
      <c r="Q251" s="3279">
        <v>26</v>
      </c>
      <c r="R251" s="2311">
        <v>54369</v>
      </c>
      <c r="S251" s="2311">
        <v>7066</v>
      </c>
      <c r="T251" s="2368">
        <v>22180</v>
      </c>
      <c r="U251" s="2300"/>
    </row>
    <row r="252" spans="1:21">
      <c r="A252" s="2202">
        <f t="shared" si="3"/>
        <v>2014.03</v>
      </c>
      <c r="B252" s="1707">
        <v>533480</v>
      </c>
      <c r="C252" s="3002"/>
      <c r="D252" s="2366">
        <v>533480</v>
      </c>
      <c r="E252" s="1702">
        <v>90473</v>
      </c>
      <c r="F252" s="3002"/>
      <c r="G252" s="2367"/>
      <c r="H252" s="1700">
        <v>15142</v>
      </c>
      <c r="I252" s="3278">
        <v>42</v>
      </c>
      <c r="J252" s="3278">
        <v>9117</v>
      </c>
      <c r="K252" s="3278">
        <v>166</v>
      </c>
      <c r="L252" s="3278">
        <v>4402</v>
      </c>
      <c r="M252" s="3278">
        <v>26294</v>
      </c>
      <c r="N252" s="3278">
        <v>13609</v>
      </c>
      <c r="O252" s="3278">
        <v>8217</v>
      </c>
      <c r="P252" s="3278">
        <v>13458</v>
      </c>
      <c r="Q252" s="3279">
        <v>26</v>
      </c>
      <c r="R252" s="2311">
        <v>54799</v>
      </c>
      <c r="S252" s="2311">
        <v>7060</v>
      </c>
      <c r="T252" s="2368">
        <v>22232</v>
      </c>
      <c r="U252" s="2300"/>
    </row>
    <row r="253" spans="1:21">
      <c r="A253" s="2202">
        <f t="shared" si="3"/>
        <v>2014.04</v>
      </c>
      <c r="B253" s="1707">
        <v>529754</v>
      </c>
      <c r="C253" s="3002"/>
      <c r="D253" s="2366">
        <v>529754</v>
      </c>
      <c r="E253" s="1702">
        <v>90691</v>
      </c>
      <c r="F253" s="3002"/>
      <c r="G253" s="2367"/>
      <c r="H253" s="1700">
        <v>15175</v>
      </c>
      <c r="I253" s="3278">
        <v>42</v>
      </c>
      <c r="J253" s="3278">
        <v>9115</v>
      </c>
      <c r="K253" s="3278">
        <v>166</v>
      </c>
      <c r="L253" s="3278">
        <v>4415</v>
      </c>
      <c r="M253" s="3278">
        <v>26365</v>
      </c>
      <c r="N253" s="3278">
        <v>13648</v>
      </c>
      <c r="O253" s="3278">
        <v>8248</v>
      </c>
      <c r="P253" s="3278">
        <v>13491</v>
      </c>
      <c r="Q253" s="3279">
        <v>26</v>
      </c>
      <c r="R253" s="2311">
        <v>55199</v>
      </c>
      <c r="S253" s="2311">
        <v>7070</v>
      </c>
      <c r="T253" s="2368">
        <v>22229</v>
      </c>
      <c r="U253" s="2300"/>
    </row>
    <row r="254" spans="1:21">
      <c r="A254" s="2202">
        <f t="shared" si="3"/>
        <v>2014.05</v>
      </c>
      <c r="B254" s="1707">
        <v>529206</v>
      </c>
      <c r="C254" s="3002"/>
      <c r="D254" s="2366">
        <v>529206</v>
      </c>
      <c r="E254" s="1702">
        <v>90850</v>
      </c>
      <c r="F254" s="3002"/>
      <c r="G254" s="2367"/>
      <c r="H254" s="1700">
        <v>15212</v>
      </c>
      <c r="I254" s="3278">
        <v>42</v>
      </c>
      <c r="J254" s="3278">
        <v>9122</v>
      </c>
      <c r="K254" s="3278">
        <v>165</v>
      </c>
      <c r="L254" s="3278">
        <v>4403</v>
      </c>
      <c r="M254" s="3278">
        <v>26402</v>
      </c>
      <c r="N254" s="3278">
        <v>13696</v>
      </c>
      <c r="O254" s="3278">
        <v>8271</v>
      </c>
      <c r="P254" s="3278">
        <v>13512</v>
      </c>
      <c r="Q254" s="3279">
        <v>25</v>
      </c>
      <c r="R254" s="2311">
        <v>53432</v>
      </c>
      <c r="S254" s="2311">
        <v>6811</v>
      </c>
      <c r="T254" s="2368">
        <v>21797</v>
      </c>
      <c r="U254" s="2300"/>
    </row>
    <row r="255" spans="1:21">
      <c r="A255" s="2202">
        <f t="shared" si="3"/>
        <v>2014.06</v>
      </c>
      <c r="B255" s="1707">
        <v>528015</v>
      </c>
      <c r="C255" s="3002"/>
      <c r="D255" s="2366">
        <v>528015</v>
      </c>
      <c r="E255" s="1702">
        <v>90928</v>
      </c>
      <c r="F255" s="3002"/>
      <c r="G255" s="2367"/>
      <c r="H255" s="1700">
        <v>15205</v>
      </c>
      <c r="I255" s="3278">
        <v>42</v>
      </c>
      <c r="J255" s="3278">
        <v>9135</v>
      </c>
      <c r="K255" s="3278">
        <v>166</v>
      </c>
      <c r="L255" s="3278">
        <v>4411</v>
      </c>
      <c r="M255" s="3278">
        <v>26460</v>
      </c>
      <c r="N255" s="3278">
        <v>13681</v>
      </c>
      <c r="O255" s="3278">
        <v>8274</v>
      </c>
      <c r="P255" s="3278">
        <v>13529</v>
      </c>
      <c r="Q255" s="3279">
        <v>25</v>
      </c>
      <c r="R255" s="2311">
        <v>53232</v>
      </c>
      <c r="S255" s="2311">
        <v>6724</v>
      </c>
      <c r="T255" s="2368">
        <v>21729</v>
      </c>
      <c r="U255" s="2300"/>
    </row>
    <row r="256" spans="1:21">
      <c r="A256" s="2202">
        <f t="shared" si="3"/>
        <v>2014.07</v>
      </c>
      <c r="B256" s="1707">
        <v>528395</v>
      </c>
      <c r="C256" s="3002"/>
      <c r="D256" s="2366">
        <v>528395</v>
      </c>
      <c r="E256" s="1702">
        <v>91247</v>
      </c>
      <c r="F256" s="3002"/>
      <c r="G256" s="2367"/>
      <c r="H256" s="1700">
        <v>15236</v>
      </c>
      <c r="I256" s="3278">
        <v>42</v>
      </c>
      <c r="J256" s="3278">
        <v>9168</v>
      </c>
      <c r="K256" s="3278">
        <v>168</v>
      </c>
      <c r="L256" s="3278">
        <v>4432</v>
      </c>
      <c r="M256" s="3278">
        <v>26569</v>
      </c>
      <c r="N256" s="3278">
        <v>13748</v>
      </c>
      <c r="O256" s="3278">
        <v>8299</v>
      </c>
      <c r="P256" s="3278">
        <v>13560</v>
      </c>
      <c r="Q256" s="3279">
        <v>25</v>
      </c>
      <c r="R256" s="2311">
        <v>53138</v>
      </c>
      <c r="S256" s="2311">
        <v>6837</v>
      </c>
      <c r="T256" s="2368">
        <v>21618</v>
      </c>
      <c r="U256" s="2300"/>
    </row>
    <row r="257" spans="1:21">
      <c r="A257" s="2202">
        <f t="shared" si="3"/>
        <v>2014.08</v>
      </c>
      <c r="B257" s="1707">
        <v>528952</v>
      </c>
      <c r="C257" s="3002"/>
      <c r="D257" s="2366">
        <v>528952</v>
      </c>
      <c r="E257" s="1702">
        <v>91538</v>
      </c>
      <c r="F257" s="3002"/>
      <c r="G257" s="2367"/>
      <c r="H257" s="1700">
        <v>15264</v>
      </c>
      <c r="I257" s="3278">
        <v>43</v>
      </c>
      <c r="J257" s="3278">
        <v>9191</v>
      </c>
      <c r="K257" s="3278">
        <v>169</v>
      </c>
      <c r="L257" s="3278">
        <v>4448</v>
      </c>
      <c r="M257" s="3278">
        <v>26676</v>
      </c>
      <c r="N257" s="3278">
        <v>13782</v>
      </c>
      <c r="O257" s="3278">
        <v>8337</v>
      </c>
      <c r="P257" s="3278">
        <v>13602</v>
      </c>
      <c r="Q257" s="3279">
        <v>26</v>
      </c>
      <c r="R257" s="2311">
        <v>55824</v>
      </c>
      <c r="S257" s="2311">
        <v>7207</v>
      </c>
      <c r="T257" s="2368">
        <v>22584</v>
      </c>
      <c r="U257" s="2300"/>
    </row>
    <row r="258" spans="1:21">
      <c r="A258" s="2202">
        <f t="shared" si="3"/>
        <v>2014.09</v>
      </c>
      <c r="B258" s="1707">
        <v>529353</v>
      </c>
      <c r="C258" s="3002"/>
      <c r="D258" s="2366">
        <v>529353</v>
      </c>
      <c r="E258" s="1702">
        <v>91835</v>
      </c>
      <c r="F258" s="3002"/>
      <c r="G258" s="2367"/>
      <c r="H258" s="1700">
        <v>15292</v>
      </c>
      <c r="I258" s="3278">
        <v>43</v>
      </c>
      <c r="J258" s="3278">
        <v>9204</v>
      </c>
      <c r="K258" s="3278">
        <v>167</v>
      </c>
      <c r="L258" s="3278">
        <v>4480</v>
      </c>
      <c r="M258" s="3278">
        <v>26785</v>
      </c>
      <c r="N258" s="3278">
        <v>13836</v>
      </c>
      <c r="O258" s="3278">
        <v>8388</v>
      </c>
      <c r="P258" s="3278">
        <v>13614</v>
      </c>
      <c r="Q258" s="3279">
        <v>26</v>
      </c>
      <c r="R258" s="2311">
        <v>53583</v>
      </c>
      <c r="S258" s="2311">
        <v>6964</v>
      </c>
      <c r="T258" s="2368">
        <v>21810</v>
      </c>
      <c r="U258" s="2300"/>
    </row>
    <row r="259" spans="1:21">
      <c r="A259" s="2202">
        <f t="shared" si="3"/>
        <v>2014.1</v>
      </c>
      <c r="B259" s="1707">
        <v>529478</v>
      </c>
      <c r="C259" s="3002"/>
      <c r="D259" s="2366">
        <v>529478</v>
      </c>
      <c r="E259" s="1702">
        <v>92113</v>
      </c>
      <c r="F259" s="3002"/>
      <c r="G259" s="2367"/>
      <c r="H259" s="1700">
        <v>15331</v>
      </c>
      <c r="I259" s="3278">
        <v>43</v>
      </c>
      <c r="J259" s="3278">
        <v>9225</v>
      </c>
      <c r="K259" s="3278">
        <v>166</v>
      </c>
      <c r="L259" s="3278">
        <v>4492</v>
      </c>
      <c r="M259" s="3278">
        <v>26877</v>
      </c>
      <c r="N259" s="3278">
        <v>13872</v>
      </c>
      <c r="O259" s="3278">
        <v>8413</v>
      </c>
      <c r="P259" s="3278">
        <v>13669</v>
      </c>
      <c r="Q259" s="3279">
        <v>25</v>
      </c>
      <c r="R259" s="2311">
        <v>54244</v>
      </c>
      <c r="S259" s="2311">
        <v>7043</v>
      </c>
      <c r="T259" s="2368">
        <v>22087</v>
      </c>
      <c r="U259" s="2300"/>
    </row>
    <row r="260" spans="1:21">
      <c r="A260" s="2202">
        <f t="shared" si="3"/>
        <v>2014.11</v>
      </c>
      <c r="B260" s="1707">
        <v>793489</v>
      </c>
      <c r="C260" s="3276">
        <v>264619</v>
      </c>
      <c r="D260" s="2366">
        <v>528870</v>
      </c>
      <c r="E260" s="1702">
        <v>80187</v>
      </c>
      <c r="F260" s="3002"/>
      <c r="G260" s="2367"/>
      <c r="H260" s="1700">
        <v>7846</v>
      </c>
      <c r="I260" s="3278">
        <v>33</v>
      </c>
      <c r="J260" s="3278">
        <v>6257</v>
      </c>
      <c r="K260" s="3278">
        <v>156</v>
      </c>
      <c r="L260" s="3278">
        <v>2041</v>
      </c>
      <c r="M260" s="3278">
        <v>15550</v>
      </c>
      <c r="N260" s="3278">
        <v>7822</v>
      </c>
      <c r="O260" s="3278">
        <v>5555</v>
      </c>
      <c r="P260" s="3278">
        <v>34925</v>
      </c>
      <c r="Q260" s="3279">
        <v>2</v>
      </c>
      <c r="R260" s="2311">
        <v>55810</v>
      </c>
      <c r="S260" s="2311">
        <v>7244</v>
      </c>
      <c r="T260" s="2368">
        <v>22607</v>
      </c>
      <c r="U260" s="2300"/>
    </row>
    <row r="261" spans="1:21">
      <c r="A261" s="2202">
        <f t="shared" si="3"/>
        <v>2014.12</v>
      </c>
      <c r="B261" s="1707">
        <v>860129</v>
      </c>
      <c r="C261" s="3278">
        <v>331051</v>
      </c>
      <c r="D261" s="2366">
        <v>529078</v>
      </c>
      <c r="E261" s="1702">
        <v>85607</v>
      </c>
      <c r="F261" s="3002"/>
      <c r="G261" s="2367"/>
      <c r="H261" s="1700">
        <v>7993</v>
      </c>
      <c r="I261" s="3278">
        <v>33</v>
      </c>
      <c r="J261" s="3278">
        <v>6250</v>
      </c>
      <c r="K261" s="3278">
        <v>156</v>
      </c>
      <c r="L261" s="3278">
        <v>2048</v>
      </c>
      <c r="M261" s="3278">
        <v>15544</v>
      </c>
      <c r="N261" s="3278">
        <v>7801</v>
      </c>
      <c r="O261" s="3278">
        <v>5552</v>
      </c>
      <c r="P261" s="3278">
        <v>40228</v>
      </c>
      <c r="Q261" s="3279">
        <v>2</v>
      </c>
      <c r="R261" s="2311">
        <v>53626</v>
      </c>
      <c r="S261" s="2311">
        <v>6944</v>
      </c>
      <c r="T261" s="2368">
        <v>22073</v>
      </c>
      <c r="U261" s="2300"/>
    </row>
    <row r="262" spans="1:21">
      <c r="A262" s="2202">
        <f t="shared" si="3"/>
        <v>2015.01</v>
      </c>
      <c r="B262" s="1707">
        <v>892819</v>
      </c>
      <c r="C262" s="3278">
        <v>361785</v>
      </c>
      <c r="D262" s="2366">
        <v>531034</v>
      </c>
      <c r="E262" s="1702">
        <v>93142</v>
      </c>
      <c r="F262" s="3002"/>
      <c r="G262" s="2367"/>
      <c r="H262" s="1700">
        <v>9153</v>
      </c>
      <c r="I262" s="3278">
        <v>34</v>
      </c>
      <c r="J262" s="3278">
        <v>6577</v>
      </c>
      <c r="K262" s="3278">
        <v>158</v>
      </c>
      <c r="L262" s="3278">
        <v>2099</v>
      </c>
      <c r="M262" s="3278">
        <v>17006</v>
      </c>
      <c r="N262" s="3278">
        <v>8215</v>
      </c>
      <c r="O262" s="3278">
        <v>6534</v>
      </c>
      <c r="P262" s="3278">
        <v>43363</v>
      </c>
      <c r="Q262" s="3279">
        <v>3</v>
      </c>
      <c r="R262" s="2311">
        <v>54488</v>
      </c>
      <c r="S262" s="2311">
        <v>7082</v>
      </c>
      <c r="T262" s="2368">
        <v>22221</v>
      </c>
      <c r="U262" s="2300"/>
    </row>
    <row r="263" spans="1:21">
      <c r="A263" s="2202">
        <f t="shared" si="3"/>
        <v>2015.02</v>
      </c>
      <c r="B263" s="1707">
        <v>900850</v>
      </c>
      <c r="C263" s="3278">
        <v>369390</v>
      </c>
      <c r="D263" s="2366">
        <v>531460</v>
      </c>
      <c r="E263" s="1702">
        <v>93320</v>
      </c>
      <c r="F263" s="3002"/>
      <c r="G263" s="2367"/>
      <c r="H263" s="1700">
        <v>8914</v>
      </c>
      <c r="I263" s="3278">
        <v>35</v>
      </c>
      <c r="J263" s="3278">
        <v>6552</v>
      </c>
      <c r="K263" s="3278">
        <v>158</v>
      </c>
      <c r="L263" s="3278">
        <v>2066</v>
      </c>
      <c r="M263" s="3278">
        <v>16979</v>
      </c>
      <c r="N263" s="3278">
        <v>8161</v>
      </c>
      <c r="O263" s="3278">
        <v>6488</v>
      </c>
      <c r="P263" s="3278">
        <v>43965</v>
      </c>
      <c r="Q263" s="3279">
        <v>2</v>
      </c>
      <c r="R263" s="2311">
        <v>54172</v>
      </c>
      <c r="S263" s="2311">
        <v>7041</v>
      </c>
      <c r="T263" s="2368">
        <v>22019</v>
      </c>
      <c r="U263" s="2300"/>
    </row>
    <row r="264" spans="1:21">
      <c r="A264" s="2202">
        <f t="shared" si="3"/>
        <v>2015.03</v>
      </c>
      <c r="B264" s="1707">
        <v>906537</v>
      </c>
      <c r="C264" s="3278">
        <v>375489</v>
      </c>
      <c r="D264" s="2366">
        <v>531048</v>
      </c>
      <c r="E264" s="1702">
        <v>93684</v>
      </c>
      <c r="F264" s="3002"/>
      <c r="G264" s="2367"/>
      <c r="H264" s="1700">
        <v>8813</v>
      </c>
      <c r="I264" s="3278">
        <v>36</v>
      </c>
      <c r="J264" s="3278">
        <v>6537</v>
      </c>
      <c r="K264" s="3278">
        <v>161</v>
      </c>
      <c r="L264" s="3278">
        <v>2045</v>
      </c>
      <c r="M264" s="3278">
        <v>16952</v>
      </c>
      <c r="N264" s="3278">
        <v>8141</v>
      </c>
      <c r="O264" s="3278">
        <v>6477</v>
      </c>
      <c r="P264" s="3278">
        <v>44520</v>
      </c>
      <c r="Q264" s="3279">
        <v>2</v>
      </c>
      <c r="R264" s="2311">
        <v>52299</v>
      </c>
      <c r="S264" s="2311">
        <v>6706</v>
      </c>
      <c r="T264" s="2368">
        <v>21346</v>
      </c>
      <c r="U264" s="2300"/>
    </row>
    <row r="265" spans="1:21">
      <c r="A265" s="2202">
        <f t="shared" si="3"/>
        <v>2015.04</v>
      </c>
      <c r="B265" s="1707">
        <v>910642</v>
      </c>
      <c r="C265" s="3278">
        <v>382272</v>
      </c>
      <c r="D265" s="2366">
        <v>528370</v>
      </c>
      <c r="E265" s="1702">
        <v>94477</v>
      </c>
      <c r="F265" s="3002"/>
      <c r="G265" s="2367"/>
      <c r="H265" s="1700">
        <v>9103</v>
      </c>
      <c r="I265" s="3278">
        <v>35</v>
      </c>
      <c r="J265" s="3278">
        <v>6543</v>
      </c>
      <c r="K265" s="3278">
        <v>159</v>
      </c>
      <c r="L265" s="3278">
        <v>2053</v>
      </c>
      <c r="M265" s="3278">
        <v>16945</v>
      </c>
      <c r="N265" s="3278">
        <v>8157</v>
      </c>
      <c r="O265" s="3278">
        <v>6471</v>
      </c>
      <c r="P265" s="3278">
        <v>45008</v>
      </c>
      <c r="Q265" s="3279">
        <v>3</v>
      </c>
      <c r="R265" s="2311">
        <v>52424</v>
      </c>
      <c r="S265" s="2311">
        <v>6748</v>
      </c>
      <c r="T265" s="2368">
        <v>21448</v>
      </c>
      <c r="U265" s="2300"/>
    </row>
    <row r="266" spans="1:21">
      <c r="A266" s="2202">
        <f t="shared" si="3"/>
        <v>2015.05</v>
      </c>
      <c r="B266" s="1707">
        <v>916299</v>
      </c>
      <c r="C266" s="3278">
        <v>387787</v>
      </c>
      <c r="D266" s="2366">
        <v>528512</v>
      </c>
      <c r="E266" s="1702">
        <v>95098</v>
      </c>
      <c r="F266" s="3002"/>
      <c r="G266" s="2367"/>
      <c r="H266" s="1700">
        <v>9219</v>
      </c>
      <c r="I266" s="3278">
        <v>34</v>
      </c>
      <c r="J266" s="3278">
        <v>6532</v>
      </c>
      <c r="K266" s="3278">
        <v>159</v>
      </c>
      <c r="L266" s="3278">
        <v>2064</v>
      </c>
      <c r="M266" s="3278">
        <v>16974</v>
      </c>
      <c r="N266" s="3278">
        <v>8188</v>
      </c>
      <c r="O266" s="3278">
        <v>6479</v>
      </c>
      <c r="P266" s="3278">
        <v>45447</v>
      </c>
      <c r="Q266" s="3279">
        <v>2</v>
      </c>
      <c r="R266" s="2311">
        <v>55448</v>
      </c>
      <c r="S266" s="2311">
        <v>7138</v>
      </c>
      <c r="T266" s="2368">
        <v>22318</v>
      </c>
      <c r="U266" s="2300"/>
    </row>
    <row r="267" spans="1:21">
      <c r="A267" s="2202">
        <f t="shared" si="3"/>
        <v>2015.06</v>
      </c>
      <c r="B267" s="1707">
        <v>922307</v>
      </c>
      <c r="C267" s="3278">
        <v>393907</v>
      </c>
      <c r="D267" s="2366">
        <v>528400</v>
      </c>
      <c r="E267" s="1702">
        <v>95427</v>
      </c>
      <c r="F267" s="3002"/>
      <c r="G267" s="2367"/>
      <c r="H267" s="1700">
        <v>9067</v>
      </c>
      <c r="I267" s="3278">
        <v>35</v>
      </c>
      <c r="J267" s="3278">
        <v>6528</v>
      </c>
      <c r="K267" s="3278">
        <v>158</v>
      </c>
      <c r="L267" s="3278">
        <v>2068</v>
      </c>
      <c r="M267" s="3278">
        <v>16970</v>
      </c>
      <c r="N267" s="3278">
        <v>8202</v>
      </c>
      <c r="O267" s="3278">
        <v>6487</v>
      </c>
      <c r="P267" s="3278">
        <v>45910</v>
      </c>
      <c r="Q267" s="3279">
        <v>2</v>
      </c>
      <c r="R267" s="2311">
        <v>53499</v>
      </c>
      <c r="S267" s="2311">
        <v>6885</v>
      </c>
      <c r="T267" s="2368">
        <v>21760</v>
      </c>
      <c r="U267" s="2300"/>
    </row>
    <row r="268" spans="1:21">
      <c r="A268" s="2202">
        <f t="shared" si="3"/>
        <v>2015.07</v>
      </c>
      <c r="B268" s="1707">
        <v>929301</v>
      </c>
      <c r="C268" s="3278">
        <v>400066</v>
      </c>
      <c r="D268" s="2366">
        <v>529235</v>
      </c>
      <c r="E268" s="1702">
        <v>95956</v>
      </c>
      <c r="F268" s="3002"/>
      <c r="G268" s="2367"/>
      <c r="H268" s="1700">
        <v>8933</v>
      </c>
      <c r="I268" s="3278">
        <v>35</v>
      </c>
      <c r="J268" s="3278">
        <v>6529</v>
      </c>
      <c r="K268" s="3278">
        <v>159</v>
      </c>
      <c r="L268" s="3278">
        <v>2077</v>
      </c>
      <c r="M268" s="3278">
        <v>17025</v>
      </c>
      <c r="N268" s="3278">
        <v>8197</v>
      </c>
      <c r="O268" s="3278">
        <v>6494</v>
      </c>
      <c r="P268" s="3278">
        <v>46505</v>
      </c>
      <c r="Q268" s="3279">
        <v>2</v>
      </c>
      <c r="R268" s="2311">
        <v>52612</v>
      </c>
      <c r="S268" s="2311">
        <v>6770</v>
      </c>
      <c r="T268" s="2368">
        <v>21503</v>
      </c>
      <c r="U268" s="2300"/>
    </row>
    <row r="269" spans="1:21">
      <c r="A269" s="2202">
        <f t="shared" si="3"/>
        <v>2015.08</v>
      </c>
      <c r="B269" s="1707">
        <v>933826</v>
      </c>
      <c r="C269" s="3278">
        <v>403559</v>
      </c>
      <c r="D269" s="2366">
        <v>530267</v>
      </c>
      <c r="E269" s="1702">
        <v>96066</v>
      </c>
      <c r="F269" s="3002"/>
      <c r="G269" s="2367"/>
      <c r="H269" s="1700">
        <v>8779</v>
      </c>
      <c r="I269" s="3278">
        <v>34</v>
      </c>
      <c r="J269" s="3278">
        <v>6547</v>
      </c>
      <c r="K269" s="3278">
        <v>158</v>
      </c>
      <c r="L269" s="3278">
        <v>2077</v>
      </c>
      <c r="M269" s="3278">
        <v>16998</v>
      </c>
      <c r="N269" s="3278">
        <v>8153</v>
      </c>
      <c r="O269" s="3278">
        <v>6478</v>
      </c>
      <c r="P269" s="3278">
        <v>46841</v>
      </c>
      <c r="Q269" s="3279">
        <v>1</v>
      </c>
      <c r="R269" s="2311">
        <v>51806</v>
      </c>
      <c r="S269" s="2311">
        <v>6594</v>
      </c>
      <c r="T269" s="2368">
        <v>21173</v>
      </c>
      <c r="U269" s="2300"/>
    </row>
    <row r="270" spans="1:21">
      <c r="A270" s="2202">
        <f t="shared" si="3"/>
        <v>2015.09</v>
      </c>
      <c r="B270" s="1707">
        <v>936398</v>
      </c>
      <c r="C270" s="3278">
        <v>405669</v>
      </c>
      <c r="D270" s="2366">
        <v>530729</v>
      </c>
      <c r="E270" s="1702">
        <v>96084</v>
      </c>
      <c r="F270" s="3002"/>
      <c r="G270" s="2367"/>
      <c r="H270" s="1700">
        <v>8656</v>
      </c>
      <c r="I270" s="3278">
        <v>35</v>
      </c>
      <c r="J270" s="3278">
        <v>6534</v>
      </c>
      <c r="K270" s="3278">
        <v>159</v>
      </c>
      <c r="L270" s="3278">
        <v>2080</v>
      </c>
      <c r="M270" s="3278">
        <v>16997</v>
      </c>
      <c r="N270" s="3278">
        <v>8137</v>
      </c>
      <c r="O270" s="3278">
        <v>6492</v>
      </c>
      <c r="P270" s="3278">
        <v>46993</v>
      </c>
      <c r="Q270" s="3279">
        <v>1</v>
      </c>
      <c r="R270" s="2311">
        <v>52261</v>
      </c>
      <c r="S270" s="2311">
        <v>6739</v>
      </c>
      <c r="T270" s="2368">
        <v>21349</v>
      </c>
      <c r="U270" s="2300"/>
    </row>
    <row r="271" spans="1:21">
      <c r="A271" s="2202">
        <f t="shared" si="3"/>
        <v>2015.1</v>
      </c>
      <c r="B271" s="1707">
        <v>940966</v>
      </c>
      <c r="C271" s="3278">
        <v>408735</v>
      </c>
      <c r="D271" s="2366">
        <v>532231</v>
      </c>
      <c r="E271" s="1702">
        <v>96489</v>
      </c>
      <c r="F271" s="3002"/>
      <c r="G271" s="2367"/>
      <c r="H271" s="1700">
        <v>8653</v>
      </c>
      <c r="I271" s="3278">
        <v>37</v>
      </c>
      <c r="J271" s="3278">
        <v>6546</v>
      </c>
      <c r="K271" s="3278">
        <v>158</v>
      </c>
      <c r="L271" s="3278">
        <v>2080</v>
      </c>
      <c r="M271" s="3278">
        <v>17043</v>
      </c>
      <c r="N271" s="3278">
        <v>8176</v>
      </c>
      <c r="O271" s="3278">
        <v>6509</v>
      </c>
      <c r="P271" s="3278">
        <v>47286</v>
      </c>
      <c r="Q271" s="3279">
        <v>1</v>
      </c>
      <c r="R271" s="2311">
        <v>53481</v>
      </c>
      <c r="S271" s="2311">
        <v>6913</v>
      </c>
      <c r="T271" s="2368">
        <v>21890</v>
      </c>
      <c r="U271" s="2300"/>
    </row>
    <row r="272" spans="1:21">
      <c r="A272" s="2202">
        <f t="shared" si="3"/>
        <v>2015.11</v>
      </c>
      <c r="B272" s="1707">
        <v>967758</v>
      </c>
      <c r="C272" s="3278">
        <v>433774</v>
      </c>
      <c r="D272" s="2366">
        <v>533984</v>
      </c>
      <c r="E272" s="1702">
        <v>98272</v>
      </c>
      <c r="F272" s="3002"/>
      <c r="G272" s="2367"/>
      <c r="H272" s="1700">
        <v>8656</v>
      </c>
      <c r="I272" s="3278">
        <v>37</v>
      </c>
      <c r="J272" s="3278">
        <v>6561</v>
      </c>
      <c r="K272" s="3278">
        <v>158</v>
      </c>
      <c r="L272" s="3278">
        <v>2085</v>
      </c>
      <c r="M272" s="3278">
        <v>17112</v>
      </c>
      <c r="N272" s="3278">
        <v>8130</v>
      </c>
      <c r="O272" s="3278">
        <v>6518</v>
      </c>
      <c r="P272" s="3278">
        <v>49014</v>
      </c>
      <c r="Q272" s="3279">
        <v>1</v>
      </c>
      <c r="R272" s="2311">
        <v>51842</v>
      </c>
      <c r="S272" s="2311">
        <v>6675</v>
      </c>
      <c r="T272" s="2368">
        <v>21309</v>
      </c>
      <c r="U272" s="2300"/>
    </row>
    <row r="273" spans="1:21">
      <c r="A273" s="2202">
        <f t="shared" si="3"/>
        <v>2015.12</v>
      </c>
      <c r="B273" s="1707">
        <v>978563</v>
      </c>
      <c r="C273" s="3278">
        <v>445456</v>
      </c>
      <c r="D273" s="2366">
        <v>533107</v>
      </c>
      <c r="E273" s="1702">
        <v>99177</v>
      </c>
      <c r="F273" s="3002"/>
      <c r="G273" s="2367"/>
      <c r="H273" s="1700">
        <v>8750</v>
      </c>
      <c r="I273" s="3278">
        <v>37</v>
      </c>
      <c r="J273" s="3278">
        <v>6572</v>
      </c>
      <c r="K273" s="3278">
        <v>157</v>
      </c>
      <c r="L273" s="3278">
        <v>2078</v>
      </c>
      <c r="M273" s="3278">
        <v>17220</v>
      </c>
      <c r="N273" s="3278">
        <v>8132</v>
      </c>
      <c r="O273" s="3278">
        <v>6551</v>
      </c>
      <c r="P273" s="3278">
        <v>49679</v>
      </c>
      <c r="Q273" s="3279">
        <v>1</v>
      </c>
      <c r="R273" s="2311">
        <v>53997</v>
      </c>
      <c r="S273" s="2311">
        <v>7031</v>
      </c>
      <c r="T273" s="2368">
        <v>22113</v>
      </c>
      <c r="U273" s="2300"/>
    </row>
    <row r="274" spans="1:21">
      <c r="A274" s="2202">
        <f t="shared" si="3"/>
        <v>2016.01</v>
      </c>
      <c r="B274" s="1707">
        <v>976008</v>
      </c>
      <c r="C274" s="3278">
        <v>442372</v>
      </c>
      <c r="D274" s="2366">
        <v>533636</v>
      </c>
      <c r="E274" s="1702">
        <v>99081</v>
      </c>
      <c r="F274" s="3002"/>
      <c r="G274" s="2367"/>
      <c r="H274" s="1700">
        <v>8744</v>
      </c>
      <c r="I274" s="3278">
        <v>37</v>
      </c>
      <c r="J274" s="3278">
        <v>6571</v>
      </c>
      <c r="K274" s="3278">
        <v>157</v>
      </c>
      <c r="L274" s="3278">
        <v>2064</v>
      </c>
      <c r="M274" s="3278">
        <v>17210</v>
      </c>
      <c r="N274" s="3278">
        <v>8105</v>
      </c>
      <c r="O274" s="3278">
        <v>6545</v>
      </c>
      <c r="P274" s="3278">
        <v>49646</v>
      </c>
      <c r="Q274" s="3279">
        <v>2</v>
      </c>
      <c r="R274" s="2311">
        <v>55493</v>
      </c>
      <c r="S274" s="2311">
        <v>7216</v>
      </c>
      <c r="T274" s="2368">
        <v>22554</v>
      </c>
      <c r="U274" s="2300"/>
    </row>
    <row r="275" spans="1:21">
      <c r="A275" s="2202">
        <f t="shared" si="3"/>
        <v>2016.02</v>
      </c>
      <c r="B275" s="1707">
        <v>976075</v>
      </c>
      <c r="C275" s="3278">
        <v>442163</v>
      </c>
      <c r="D275" s="2366">
        <v>533912</v>
      </c>
      <c r="E275" s="1702">
        <v>92588</v>
      </c>
      <c r="F275" s="3002"/>
      <c r="G275" s="2367"/>
      <c r="H275" s="1700">
        <v>7397</v>
      </c>
      <c r="I275" s="3278">
        <v>32</v>
      </c>
      <c r="J275" s="3278">
        <v>6087</v>
      </c>
      <c r="K275" s="3278">
        <v>151</v>
      </c>
      <c r="L275" s="3278">
        <v>1915</v>
      </c>
      <c r="M275" s="3278">
        <v>15424</v>
      </c>
      <c r="N275" s="3278">
        <v>7531</v>
      </c>
      <c r="O275" s="3278">
        <v>5418</v>
      </c>
      <c r="P275" s="3278">
        <v>48632</v>
      </c>
      <c r="Q275" s="3279">
        <v>1</v>
      </c>
      <c r="R275" s="2311">
        <v>52552</v>
      </c>
      <c r="S275" s="2311">
        <v>6689</v>
      </c>
      <c r="T275" s="2368">
        <v>21553</v>
      </c>
      <c r="U275" s="2300"/>
    </row>
    <row r="276" spans="1:21">
      <c r="A276" s="2202">
        <f t="shared" si="3"/>
        <v>2016.03</v>
      </c>
      <c r="B276" s="1707">
        <v>975651</v>
      </c>
      <c r="C276" s="3278">
        <v>442628</v>
      </c>
      <c r="D276" s="2366">
        <v>533023</v>
      </c>
      <c r="E276" s="1702">
        <v>92431</v>
      </c>
      <c r="F276" s="3002"/>
      <c r="G276" s="2367"/>
      <c r="H276" s="1700">
        <v>7278</v>
      </c>
      <c r="I276" s="3278">
        <v>32</v>
      </c>
      <c r="J276" s="3278">
        <v>6112</v>
      </c>
      <c r="K276" s="3278">
        <v>151</v>
      </c>
      <c r="L276" s="3278">
        <v>1917</v>
      </c>
      <c r="M276" s="3278">
        <v>15433</v>
      </c>
      <c r="N276" s="3278">
        <v>7506</v>
      </c>
      <c r="O276" s="3278">
        <v>5404</v>
      </c>
      <c r="P276" s="3278">
        <v>48597</v>
      </c>
      <c r="Q276" s="3279">
        <v>1</v>
      </c>
      <c r="R276" s="2311">
        <v>52746</v>
      </c>
      <c r="S276" s="2311">
        <v>6782</v>
      </c>
      <c r="T276" s="2368">
        <v>21519</v>
      </c>
      <c r="U276" s="2300"/>
    </row>
    <row r="277" spans="1:21">
      <c r="A277" s="2202">
        <f t="shared" si="3"/>
        <v>2016.04</v>
      </c>
      <c r="B277" s="1707">
        <v>977592</v>
      </c>
      <c r="C277" s="3278">
        <v>446649</v>
      </c>
      <c r="D277" s="2366">
        <v>530943</v>
      </c>
      <c r="E277" s="1702">
        <v>92975</v>
      </c>
      <c r="F277" s="3002"/>
      <c r="G277" s="2367"/>
      <c r="H277" s="1700">
        <v>7511</v>
      </c>
      <c r="I277" s="3278">
        <v>32</v>
      </c>
      <c r="J277" s="3278">
        <v>6104</v>
      </c>
      <c r="K277" s="3278">
        <v>153</v>
      </c>
      <c r="L277" s="3278">
        <v>1912</v>
      </c>
      <c r="M277" s="3278">
        <v>15441</v>
      </c>
      <c r="N277" s="3278">
        <v>7560</v>
      </c>
      <c r="O277" s="3278">
        <v>5431</v>
      </c>
      <c r="P277" s="3278">
        <v>48829</v>
      </c>
      <c r="Q277" s="3279">
        <v>2</v>
      </c>
      <c r="R277" s="2311">
        <v>54635</v>
      </c>
      <c r="S277" s="2311">
        <v>7088</v>
      </c>
      <c r="T277" s="2368">
        <v>22223</v>
      </c>
      <c r="U277" s="2300"/>
    </row>
    <row r="278" spans="1:21">
      <c r="A278" s="2202">
        <f t="shared" si="3"/>
        <v>2016.05</v>
      </c>
      <c r="B278" s="1707">
        <v>979811</v>
      </c>
      <c r="C278" s="3278">
        <v>450831</v>
      </c>
      <c r="D278" s="2366">
        <v>528980</v>
      </c>
      <c r="E278" s="1702">
        <v>93112</v>
      </c>
      <c r="F278" s="3002"/>
      <c r="G278" s="2367"/>
      <c r="H278" s="1700">
        <v>7575</v>
      </c>
      <c r="I278" s="3278">
        <v>31</v>
      </c>
      <c r="J278" s="3278">
        <v>6079</v>
      </c>
      <c r="K278" s="3278">
        <v>151</v>
      </c>
      <c r="L278" s="3278">
        <v>1899</v>
      </c>
      <c r="M278" s="3278">
        <v>15362</v>
      </c>
      <c r="N278" s="3278">
        <v>7554</v>
      </c>
      <c r="O278" s="3278">
        <v>5416</v>
      </c>
      <c r="P278" s="3278">
        <v>49043</v>
      </c>
      <c r="Q278" s="3279">
        <v>2</v>
      </c>
      <c r="R278" s="2311">
        <v>52538</v>
      </c>
      <c r="S278" s="2311">
        <v>6734</v>
      </c>
      <c r="T278" s="2368">
        <v>21467</v>
      </c>
      <c r="U278" s="2300"/>
    </row>
    <row r="279" spans="1:21">
      <c r="A279" s="2202">
        <f t="shared" si="3"/>
        <v>2016.06</v>
      </c>
      <c r="B279" s="1707">
        <v>983456</v>
      </c>
      <c r="C279" s="3278">
        <v>454592</v>
      </c>
      <c r="D279" s="2366">
        <v>528864</v>
      </c>
      <c r="E279" s="1702">
        <v>98526</v>
      </c>
      <c r="F279" s="3276">
        <v>45712</v>
      </c>
      <c r="G279" s="2365">
        <v>52814</v>
      </c>
      <c r="H279" s="1700">
        <v>7517</v>
      </c>
      <c r="I279" s="3278">
        <v>31</v>
      </c>
      <c r="J279" s="3278">
        <v>6073</v>
      </c>
      <c r="K279" s="3278">
        <v>150</v>
      </c>
      <c r="L279" s="3278">
        <v>1897</v>
      </c>
      <c r="M279" s="3278">
        <v>15314</v>
      </c>
      <c r="N279" s="3278">
        <v>7541</v>
      </c>
      <c r="O279" s="3278">
        <v>5400</v>
      </c>
      <c r="P279" s="3278">
        <v>8889</v>
      </c>
      <c r="Q279" s="3279">
        <v>2</v>
      </c>
      <c r="R279" s="2311">
        <v>53044</v>
      </c>
      <c r="S279" s="2311">
        <v>6850</v>
      </c>
      <c r="T279" s="2368">
        <v>21651</v>
      </c>
      <c r="U279" s="2300"/>
    </row>
    <row r="280" spans="1:21">
      <c r="A280" s="2202">
        <f t="shared" si="3"/>
        <v>2016.07</v>
      </c>
      <c r="B280" s="1707">
        <v>980956</v>
      </c>
      <c r="C280" s="3278">
        <v>453154</v>
      </c>
      <c r="D280" s="2366">
        <v>527802</v>
      </c>
      <c r="E280" s="1702">
        <v>98180</v>
      </c>
      <c r="F280" s="3278">
        <v>45590</v>
      </c>
      <c r="G280" s="2366">
        <v>52590</v>
      </c>
      <c r="H280" s="1700">
        <v>7388</v>
      </c>
      <c r="I280" s="3278">
        <v>31</v>
      </c>
      <c r="J280" s="3278">
        <v>6046</v>
      </c>
      <c r="K280" s="3278">
        <v>152</v>
      </c>
      <c r="L280" s="3278">
        <v>1903</v>
      </c>
      <c r="M280" s="3278">
        <v>15322</v>
      </c>
      <c r="N280" s="3278">
        <v>7493</v>
      </c>
      <c r="O280" s="3278">
        <v>5402</v>
      </c>
      <c r="P280" s="3278">
        <v>8851</v>
      </c>
      <c r="Q280" s="3279">
        <v>2</v>
      </c>
      <c r="R280" s="2311">
        <v>55166</v>
      </c>
      <c r="S280" s="2311">
        <v>7183</v>
      </c>
      <c r="T280" s="2368">
        <v>22382</v>
      </c>
      <c r="U280" s="2300"/>
    </row>
    <row r="281" spans="1:21">
      <c r="A281" s="2202">
        <f t="shared" si="3"/>
        <v>2016.08</v>
      </c>
      <c r="B281" s="1707">
        <v>984914</v>
      </c>
      <c r="C281" s="3278">
        <v>456463</v>
      </c>
      <c r="D281" s="2366">
        <v>528451</v>
      </c>
      <c r="E281" s="1702">
        <v>98392</v>
      </c>
      <c r="F281" s="3278">
        <v>45928</v>
      </c>
      <c r="G281" s="2366">
        <v>52464</v>
      </c>
      <c r="H281" s="1700">
        <v>7262</v>
      </c>
      <c r="I281" s="3278">
        <v>32</v>
      </c>
      <c r="J281" s="3278">
        <v>6047</v>
      </c>
      <c r="K281" s="3278">
        <v>153</v>
      </c>
      <c r="L281" s="3278">
        <v>1896</v>
      </c>
      <c r="M281" s="3278">
        <v>15370</v>
      </c>
      <c r="N281" s="3278">
        <v>7448</v>
      </c>
      <c r="O281" s="3278">
        <v>5399</v>
      </c>
      <c r="P281" s="3278">
        <v>8855</v>
      </c>
      <c r="Q281" s="3279">
        <v>2</v>
      </c>
      <c r="R281" s="2311">
        <v>52215</v>
      </c>
      <c r="S281" s="2311">
        <v>6793</v>
      </c>
      <c r="T281" s="2368">
        <v>21311</v>
      </c>
      <c r="U281" s="2300"/>
    </row>
    <row r="282" spans="1:21">
      <c r="A282" s="2202">
        <f t="shared" si="3"/>
        <v>2016.09</v>
      </c>
      <c r="B282" s="1707">
        <v>990073</v>
      </c>
      <c r="C282" s="3278">
        <v>459734</v>
      </c>
      <c r="D282" s="2366">
        <v>530339</v>
      </c>
      <c r="E282" s="1702">
        <v>98896</v>
      </c>
      <c r="F282" s="3278">
        <v>46259</v>
      </c>
      <c r="G282" s="2366">
        <v>52637</v>
      </c>
      <c r="H282" s="1700">
        <v>7227</v>
      </c>
      <c r="I282" s="3278">
        <v>31</v>
      </c>
      <c r="J282" s="3278">
        <v>6053</v>
      </c>
      <c r="K282" s="3278">
        <v>156</v>
      </c>
      <c r="L282" s="3278">
        <v>1936</v>
      </c>
      <c r="M282" s="3278">
        <v>15454</v>
      </c>
      <c r="N282" s="3278">
        <v>7478</v>
      </c>
      <c r="O282" s="3278">
        <v>5398</v>
      </c>
      <c r="P282" s="3278">
        <v>8903</v>
      </c>
      <c r="Q282" s="3279">
        <v>1</v>
      </c>
      <c r="R282" s="2311">
        <v>52491</v>
      </c>
      <c r="S282" s="2311">
        <v>6924</v>
      </c>
      <c r="T282" s="2368">
        <v>21511</v>
      </c>
      <c r="U282" s="2300"/>
    </row>
    <row r="283" spans="1:21">
      <c r="A283" s="2202">
        <f t="shared" si="3"/>
        <v>2016.1</v>
      </c>
      <c r="B283" s="1707">
        <v>993698</v>
      </c>
      <c r="C283" s="3278">
        <v>462948</v>
      </c>
      <c r="D283" s="2366">
        <v>530750</v>
      </c>
      <c r="E283" s="1702">
        <v>99169</v>
      </c>
      <c r="F283" s="3278">
        <v>46549</v>
      </c>
      <c r="G283" s="2366">
        <v>52620</v>
      </c>
      <c r="H283" s="1700">
        <v>7197</v>
      </c>
      <c r="I283" s="3278">
        <v>31</v>
      </c>
      <c r="J283" s="3278">
        <v>6053</v>
      </c>
      <c r="K283" s="3278">
        <v>155</v>
      </c>
      <c r="L283" s="3278">
        <v>1925</v>
      </c>
      <c r="M283" s="3278">
        <v>15477</v>
      </c>
      <c r="N283" s="3278">
        <v>7464</v>
      </c>
      <c r="O283" s="3278">
        <v>5418</v>
      </c>
      <c r="P283" s="3278">
        <v>8899</v>
      </c>
      <c r="Q283" s="3279">
        <v>1</v>
      </c>
      <c r="R283" s="2311">
        <v>52369</v>
      </c>
      <c r="S283" s="2311">
        <v>6853</v>
      </c>
      <c r="T283" s="2368">
        <v>21413</v>
      </c>
      <c r="U283" s="2300"/>
    </row>
    <row r="284" spans="1:21">
      <c r="A284" s="2202">
        <f t="shared" si="3"/>
        <v>2016.11</v>
      </c>
      <c r="B284" s="1707">
        <v>996562</v>
      </c>
      <c r="C284" s="3278">
        <v>465306</v>
      </c>
      <c r="D284" s="2366">
        <v>531256</v>
      </c>
      <c r="E284" s="1702">
        <v>99327</v>
      </c>
      <c r="F284" s="3278">
        <v>46718</v>
      </c>
      <c r="G284" s="2366">
        <v>52609</v>
      </c>
      <c r="H284" s="1700">
        <v>7205</v>
      </c>
      <c r="I284" s="3278">
        <v>31</v>
      </c>
      <c r="J284" s="3278">
        <v>6042</v>
      </c>
      <c r="K284" s="3278">
        <v>155</v>
      </c>
      <c r="L284" s="3278">
        <v>1928</v>
      </c>
      <c r="M284" s="3278">
        <v>15503</v>
      </c>
      <c r="N284" s="3278">
        <v>7445</v>
      </c>
      <c r="O284" s="3278">
        <v>5402</v>
      </c>
      <c r="P284" s="3278">
        <v>8897</v>
      </c>
      <c r="Q284" s="3279">
        <v>1</v>
      </c>
      <c r="R284" s="2311">
        <v>52087</v>
      </c>
      <c r="S284" s="2311">
        <v>6699</v>
      </c>
      <c r="T284" s="2368">
        <v>21354</v>
      </c>
      <c r="U284" s="2300"/>
    </row>
    <row r="285" spans="1:21">
      <c r="A285" s="2202">
        <f t="shared" si="3"/>
        <v>2016.12</v>
      </c>
      <c r="B285" s="1707">
        <v>998266</v>
      </c>
      <c r="C285" s="3278">
        <v>467552</v>
      </c>
      <c r="D285" s="2366">
        <v>530714</v>
      </c>
      <c r="E285" s="1702">
        <v>99577</v>
      </c>
      <c r="F285" s="3278">
        <v>46909</v>
      </c>
      <c r="G285" s="2366">
        <v>52668</v>
      </c>
      <c r="H285" s="1700">
        <v>7284</v>
      </c>
      <c r="I285" s="3278">
        <v>32</v>
      </c>
      <c r="J285" s="3278">
        <v>6035</v>
      </c>
      <c r="K285" s="3278">
        <v>156</v>
      </c>
      <c r="L285" s="3278">
        <v>1950</v>
      </c>
      <c r="M285" s="3278">
        <v>15509</v>
      </c>
      <c r="N285" s="3278">
        <v>7409</v>
      </c>
      <c r="O285" s="3278">
        <v>5410</v>
      </c>
      <c r="P285" s="3278">
        <v>8882</v>
      </c>
      <c r="Q285" s="3279">
        <v>1</v>
      </c>
      <c r="R285" s="2311">
        <v>54399</v>
      </c>
      <c r="S285" s="2311">
        <v>7051</v>
      </c>
      <c r="T285" s="2368">
        <v>22038</v>
      </c>
      <c r="U285" s="2300"/>
    </row>
    <row r="286" spans="1:21">
      <c r="A286" s="2202">
        <f t="shared" si="3"/>
        <v>2017.01</v>
      </c>
      <c r="B286" s="1707">
        <v>977714</v>
      </c>
      <c r="C286" s="3278">
        <v>446492</v>
      </c>
      <c r="D286" s="2366">
        <v>531222</v>
      </c>
      <c r="E286" s="1702">
        <v>99462</v>
      </c>
      <c r="F286" s="3278">
        <v>46859</v>
      </c>
      <c r="G286" s="2366">
        <v>52603</v>
      </c>
      <c r="H286" s="1700">
        <v>7299</v>
      </c>
      <c r="I286" s="3278">
        <v>32</v>
      </c>
      <c r="J286" s="3278">
        <v>6018</v>
      </c>
      <c r="K286" s="3278">
        <v>157</v>
      </c>
      <c r="L286" s="3278">
        <v>1920</v>
      </c>
      <c r="M286" s="3278">
        <v>15504</v>
      </c>
      <c r="N286" s="3278">
        <v>7387</v>
      </c>
      <c r="O286" s="3278">
        <v>5397</v>
      </c>
      <c r="P286" s="3278">
        <v>8887</v>
      </c>
      <c r="Q286" s="3279">
        <v>2</v>
      </c>
      <c r="R286" s="2311">
        <v>52777</v>
      </c>
      <c r="S286" s="2311">
        <v>6880</v>
      </c>
      <c r="T286" s="2368">
        <v>21456</v>
      </c>
      <c r="U286" s="2300"/>
    </row>
    <row r="287" spans="1:21">
      <c r="A287" s="2202">
        <f t="shared" si="3"/>
        <v>2017.02</v>
      </c>
      <c r="B287" s="1707">
        <v>979516</v>
      </c>
      <c r="C287" s="3278">
        <v>447009</v>
      </c>
      <c r="D287" s="2366">
        <v>532507</v>
      </c>
      <c r="E287" s="1702">
        <v>99040</v>
      </c>
      <c r="F287" s="3278">
        <v>46872</v>
      </c>
      <c r="G287" s="2366">
        <v>52168</v>
      </c>
      <c r="H287" s="1700">
        <v>7101</v>
      </c>
      <c r="I287" s="3278">
        <v>31</v>
      </c>
      <c r="J287" s="3278">
        <v>5994</v>
      </c>
      <c r="K287" s="3278">
        <v>155</v>
      </c>
      <c r="L287" s="3278">
        <v>1902</v>
      </c>
      <c r="M287" s="3278">
        <v>15422</v>
      </c>
      <c r="N287" s="3278">
        <v>7386</v>
      </c>
      <c r="O287" s="3278">
        <v>5390</v>
      </c>
      <c r="P287" s="3278">
        <v>8786</v>
      </c>
      <c r="Q287" s="3279">
        <v>1</v>
      </c>
      <c r="R287" s="2311">
        <v>53808</v>
      </c>
      <c r="S287" s="2311">
        <v>6921</v>
      </c>
      <c r="T287" s="2368">
        <v>21890</v>
      </c>
      <c r="U287" s="2300"/>
    </row>
    <row r="288" spans="1:21">
      <c r="A288" s="2202">
        <f t="shared" si="3"/>
        <v>2017.03</v>
      </c>
      <c r="B288" s="1707">
        <v>979236</v>
      </c>
      <c r="C288" s="3278">
        <v>448734</v>
      </c>
      <c r="D288" s="2366">
        <v>530502</v>
      </c>
      <c r="E288" s="1702">
        <v>99080</v>
      </c>
      <c r="F288" s="3278">
        <v>47060</v>
      </c>
      <c r="G288" s="2366">
        <v>52020</v>
      </c>
      <c r="H288" s="1700">
        <v>6988</v>
      </c>
      <c r="I288" s="3278">
        <v>31</v>
      </c>
      <c r="J288" s="3278">
        <v>6157</v>
      </c>
      <c r="K288" s="3278">
        <v>154</v>
      </c>
      <c r="L288" s="3278">
        <v>1922</v>
      </c>
      <c r="M288" s="3278">
        <v>15182</v>
      </c>
      <c r="N288" s="3278">
        <v>7582</v>
      </c>
      <c r="O288" s="3278">
        <v>5369</v>
      </c>
      <c r="P288" s="3278">
        <v>8634</v>
      </c>
      <c r="Q288" s="3279">
        <v>1</v>
      </c>
      <c r="R288" s="2311">
        <v>52730</v>
      </c>
      <c r="S288" s="2311">
        <v>6793</v>
      </c>
      <c r="T288" s="2368">
        <v>21440</v>
      </c>
      <c r="U288" s="2300"/>
    </row>
    <row r="289" spans="1:21">
      <c r="A289" s="2202">
        <f t="shared" si="3"/>
        <v>2017.04</v>
      </c>
      <c r="B289" s="1707">
        <v>980840</v>
      </c>
      <c r="C289" s="3278">
        <v>453076</v>
      </c>
      <c r="D289" s="2366">
        <v>527764</v>
      </c>
      <c r="E289" s="1702">
        <v>99737</v>
      </c>
      <c r="F289" s="3278">
        <v>47468</v>
      </c>
      <c r="G289" s="2366">
        <v>52269</v>
      </c>
      <c r="H289" s="1700">
        <v>7175</v>
      </c>
      <c r="I289" s="3278">
        <v>31</v>
      </c>
      <c r="J289" s="3278">
        <v>6141</v>
      </c>
      <c r="K289" s="3278">
        <v>152</v>
      </c>
      <c r="L289" s="3278">
        <v>1938</v>
      </c>
      <c r="M289" s="3278">
        <v>15180</v>
      </c>
      <c r="N289" s="3278">
        <v>7641</v>
      </c>
      <c r="O289" s="3278">
        <v>5359</v>
      </c>
      <c r="P289" s="3278">
        <v>8651</v>
      </c>
      <c r="Q289" s="3279">
        <v>1</v>
      </c>
      <c r="R289" s="2311">
        <v>54922</v>
      </c>
      <c r="S289" s="2311">
        <v>7103</v>
      </c>
      <c r="T289" s="2368">
        <v>22148</v>
      </c>
      <c r="U289" s="2300"/>
    </row>
    <row r="290" spans="1:21">
      <c r="A290" s="2202">
        <f t="shared" si="3"/>
        <v>2017.05</v>
      </c>
      <c r="B290" s="1707">
        <v>981916</v>
      </c>
      <c r="C290" s="3278">
        <v>455048</v>
      </c>
      <c r="D290" s="2366">
        <v>526868</v>
      </c>
      <c r="E290" s="1702">
        <v>98633</v>
      </c>
      <c r="F290" s="3278">
        <v>46571</v>
      </c>
      <c r="G290" s="2366">
        <v>52062</v>
      </c>
      <c r="H290" s="1700">
        <v>7216</v>
      </c>
      <c r="I290" s="3278">
        <v>31</v>
      </c>
      <c r="J290" s="3278">
        <v>6076</v>
      </c>
      <c r="K290" s="3278">
        <v>154</v>
      </c>
      <c r="L290" s="3278">
        <v>1941</v>
      </c>
      <c r="M290" s="3278">
        <v>15062</v>
      </c>
      <c r="N290" s="3278">
        <v>7626</v>
      </c>
      <c r="O290" s="3278">
        <v>5323</v>
      </c>
      <c r="P290" s="3278">
        <v>8631</v>
      </c>
      <c r="Q290" s="3279">
        <v>2</v>
      </c>
      <c r="R290" s="2311">
        <v>52163</v>
      </c>
      <c r="S290" s="2311">
        <v>6734</v>
      </c>
      <c r="T290" s="2368">
        <v>21242</v>
      </c>
      <c r="U290" s="2300"/>
    </row>
    <row r="291" spans="1:21">
      <c r="A291" s="2202">
        <f t="shared" si="3"/>
        <v>2017.06</v>
      </c>
      <c r="B291" s="1707">
        <v>986869</v>
      </c>
      <c r="C291" s="3278">
        <v>458408</v>
      </c>
      <c r="D291" s="2366">
        <v>528461</v>
      </c>
      <c r="E291" s="1702">
        <v>99322</v>
      </c>
      <c r="F291" s="3278">
        <v>46882</v>
      </c>
      <c r="G291" s="2366">
        <v>52440</v>
      </c>
      <c r="H291" s="1700">
        <v>7228</v>
      </c>
      <c r="I291" s="3278">
        <v>33</v>
      </c>
      <c r="J291" s="3278">
        <v>6102</v>
      </c>
      <c r="K291" s="3278">
        <v>154</v>
      </c>
      <c r="L291" s="3278">
        <v>1970</v>
      </c>
      <c r="M291" s="3278">
        <v>15195</v>
      </c>
      <c r="N291" s="3278">
        <v>7710</v>
      </c>
      <c r="O291" s="3278">
        <v>5373</v>
      </c>
      <c r="P291" s="3278">
        <v>8673</v>
      </c>
      <c r="Q291" s="3279">
        <v>2</v>
      </c>
      <c r="R291" s="2311">
        <v>52698</v>
      </c>
      <c r="S291" s="2311">
        <v>6862</v>
      </c>
      <c r="T291" s="2368">
        <v>21413</v>
      </c>
      <c r="U291" s="2300"/>
    </row>
    <row r="292" spans="1:21">
      <c r="A292" s="2202">
        <f t="shared" si="3"/>
        <v>2017.07</v>
      </c>
      <c r="B292" s="1707">
        <v>988905</v>
      </c>
      <c r="C292" s="3278">
        <v>461316</v>
      </c>
      <c r="D292" s="2366">
        <v>527589</v>
      </c>
      <c r="E292" s="1702">
        <v>99452</v>
      </c>
      <c r="F292" s="3278">
        <v>47152</v>
      </c>
      <c r="G292" s="2366">
        <v>52300</v>
      </c>
      <c r="H292" s="1700">
        <v>7122</v>
      </c>
      <c r="I292" s="3278">
        <v>33</v>
      </c>
      <c r="J292" s="3278">
        <v>6085</v>
      </c>
      <c r="K292" s="3278">
        <v>155</v>
      </c>
      <c r="L292" s="3278">
        <v>1972</v>
      </c>
      <c r="M292" s="3278">
        <v>15150</v>
      </c>
      <c r="N292" s="3278">
        <v>7691</v>
      </c>
      <c r="O292" s="3278">
        <v>5393</v>
      </c>
      <c r="P292" s="3278">
        <v>8697</v>
      </c>
      <c r="Q292" s="3279">
        <v>2</v>
      </c>
      <c r="R292" s="2311">
        <v>52274</v>
      </c>
      <c r="S292" s="2311">
        <v>6801</v>
      </c>
      <c r="T292" s="2368">
        <v>21247</v>
      </c>
      <c r="U292" s="2300"/>
    </row>
    <row r="293" spans="1:21">
      <c r="A293" s="2202">
        <f t="shared" si="3"/>
        <v>2017.08</v>
      </c>
      <c r="B293" s="1707">
        <v>993434</v>
      </c>
      <c r="C293" s="3278">
        <v>464733</v>
      </c>
      <c r="D293" s="2366">
        <v>528701</v>
      </c>
      <c r="E293" s="1702">
        <v>98906</v>
      </c>
      <c r="F293" s="3278">
        <v>47487</v>
      </c>
      <c r="G293" s="2366">
        <v>51419</v>
      </c>
      <c r="H293" s="1700">
        <v>7040</v>
      </c>
      <c r="I293" s="3278">
        <v>33</v>
      </c>
      <c r="J293" s="3278">
        <v>6102</v>
      </c>
      <c r="K293" s="3278">
        <v>155</v>
      </c>
      <c r="L293" s="3278">
        <v>1990</v>
      </c>
      <c r="M293" s="3278">
        <v>15212</v>
      </c>
      <c r="N293" s="3278">
        <v>7990</v>
      </c>
      <c r="O293" s="3278">
        <v>5212</v>
      </c>
      <c r="P293" s="3278">
        <v>7682</v>
      </c>
      <c r="Q293" s="3279">
        <v>3</v>
      </c>
      <c r="R293" s="2311">
        <v>52207</v>
      </c>
      <c r="S293" s="2311">
        <v>6690</v>
      </c>
      <c r="T293" s="2368">
        <v>21243</v>
      </c>
      <c r="U293" s="2300"/>
    </row>
    <row r="294" spans="1:21">
      <c r="A294" s="2202">
        <f t="shared" si="3"/>
        <v>2017.09</v>
      </c>
      <c r="B294" s="1707">
        <v>997848</v>
      </c>
      <c r="C294" s="3278">
        <v>468669</v>
      </c>
      <c r="D294" s="2366">
        <v>529179</v>
      </c>
      <c r="E294" s="1702">
        <v>100201</v>
      </c>
      <c r="F294" s="3278">
        <v>47803</v>
      </c>
      <c r="G294" s="2366">
        <v>52398</v>
      </c>
      <c r="H294" s="1700">
        <v>6973</v>
      </c>
      <c r="I294" s="3278">
        <v>31</v>
      </c>
      <c r="J294" s="3278">
        <v>6150</v>
      </c>
      <c r="K294" s="3278">
        <v>154</v>
      </c>
      <c r="L294" s="3278">
        <v>2001</v>
      </c>
      <c r="M294" s="3278">
        <v>15279</v>
      </c>
      <c r="N294" s="3278">
        <v>7680</v>
      </c>
      <c r="O294" s="3278">
        <v>5379</v>
      </c>
      <c r="P294" s="3278">
        <v>8750</v>
      </c>
      <c r="Q294" s="3279">
        <v>1</v>
      </c>
      <c r="R294" s="2311">
        <v>53851</v>
      </c>
      <c r="S294" s="2311">
        <v>6940</v>
      </c>
      <c r="T294" s="2368">
        <v>21931</v>
      </c>
      <c r="U294" s="2300"/>
    </row>
    <row r="295" spans="1:21">
      <c r="A295" s="2202">
        <f t="shared" si="3"/>
        <v>2017.1</v>
      </c>
      <c r="B295" s="1707">
        <v>1003172</v>
      </c>
      <c r="C295" s="3278">
        <v>472275</v>
      </c>
      <c r="D295" s="2366">
        <v>530897</v>
      </c>
      <c r="E295" s="1702">
        <v>100611</v>
      </c>
      <c r="F295" s="3278">
        <v>48110</v>
      </c>
      <c r="G295" s="2366">
        <v>52501</v>
      </c>
      <c r="H295" s="1700">
        <v>6952</v>
      </c>
      <c r="I295" s="3278">
        <v>31</v>
      </c>
      <c r="J295" s="3278">
        <v>6121</v>
      </c>
      <c r="K295" s="3278">
        <v>153</v>
      </c>
      <c r="L295" s="3278">
        <v>2012</v>
      </c>
      <c r="M295" s="3278">
        <v>15354</v>
      </c>
      <c r="N295" s="3278">
        <v>7699</v>
      </c>
      <c r="O295" s="3278">
        <v>5408</v>
      </c>
      <c r="P295" s="3278">
        <v>8770</v>
      </c>
      <c r="Q295" s="3279">
        <v>1</v>
      </c>
      <c r="R295" s="2311">
        <v>52122</v>
      </c>
      <c r="S295" s="2311">
        <v>6816</v>
      </c>
      <c r="T295" s="2368">
        <v>21244</v>
      </c>
      <c r="U295" s="2300"/>
    </row>
    <row r="296" spans="1:21">
      <c r="A296" s="2202">
        <f t="shared" si="3"/>
        <v>2017.11</v>
      </c>
      <c r="B296" s="1707">
        <v>1006656</v>
      </c>
      <c r="C296" s="3278">
        <v>474764</v>
      </c>
      <c r="D296" s="2366">
        <v>531892</v>
      </c>
      <c r="E296" s="1702">
        <v>100902</v>
      </c>
      <c r="F296" s="3278">
        <v>48326</v>
      </c>
      <c r="G296" s="2366">
        <v>52576</v>
      </c>
      <c r="H296" s="1700">
        <v>6968</v>
      </c>
      <c r="I296" s="3278">
        <v>31</v>
      </c>
      <c r="J296" s="3278">
        <v>6120</v>
      </c>
      <c r="K296" s="3278">
        <v>154</v>
      </c>
      <c r="L296" s="3278">
        <v>2010</v>
      </c>
      <c r="M296" s="3278">
        <v>15420</v>
      </c>
      <c r="N296" s="3278">
        <v>7673</v>
      </c>
      <c r="O296" s="3278">
        <v>5414</v>
      </c>
      <c r="P296" s="3278">
        <v>8785</v>
      </c>
      <c r="Q296" s="3279">
        <v>1</v>
      </c>
      <c r="R296" s="2311">
        <v>52274</v>
      </c>
      <c r="S296" s="2311">
        <v>6830</v>
      </c>
      <c r="T296" s="2368">
        <v>21260</v>
      </c>
      <c r="U296" s="2300"/>
    </row>
    <row r="297" spans="1:21">
      <c r="A297" s="2202">
        <f t="shared" si="3"/>
        <v>2017.12</v>
      </c>
      <c r="B297" s="1707">
        <v>1008264</v>
      </c>
      <c r="C297" s="3278">
        <v>476081</v>
      </c>
      <c r="D297" s="2366">
        <v>532183</v>
      </c>
      <c r="E297" s="1702">
        <v>100985</v>
      </c>
      <c r="F297" s="3278">
        <v>48332</v>
      </c>
      <c r="G297" s="2366">
        <v>52653</v>
      </c>
      <c r="H297" s="1700">
        <v>7066</v>
      </c>
      <c r="I297" s="3278">
        <v>32</v>
      </c>
      <c r="J297" s="3278">
        <v>6117</v>
      </c>
      <c r="K297" s="3278">
        <v>153</v>
      </c>
      <c r="L297" s="3278">
        <v>2006</v>
      </c>
      <c r="M297" s="3278">
        <v>15443</v>
      </c>
      <c r="N297" s="3278">
        <v>7677</v>
      </c>
      <c r="O297" s="3278">
        <v>5424</v>
      </c>
      <c r="P297" s="3278">
        <v>8734</v>
      </c>
      <c r="Q297" s="3279">
        <v>1</v>
      </c>
      <c r="R297" s="2311">
        <v>54910</v>
      </c>
      <c r="S297" s="2311">
        <v>7138</v>
      </c>
      <c r="T297" s="2368">
        <v>22187</v>
      </c>
      <c r="U297" s="2300"/>
    </row>
    <row r="298" spans="1:21">
      <c r="A298" s="2202">
        <f t="shared" si="3"/>
        <v>2018.01</v>
      </c>
      <c r="B298" s="1707">
        <v>1003604</v>
      </c>
      <c r="C298" s="3278">
        <v>473085</v>
      </c>
      <c r="D298" s="2366">
        <v>530519</v>
      </c>
      <c r="E298" s="1702">
        <v>100726</v>
      </c>
      <c r="F298" s="3278">
        <v>48275</v>
      </c>
      <c r="G298" s="2366">
        <v>52451</v>
      </c>
      <c r="H298" s="1700">
        <v>7022</v>
      </c>
      <c r="I298" s="3278">
        <v>32</v>
      </c>
      <c r="J298" s="3278">
        <v>6091</v>
      </c>
      <c r="K298" s="3278">
        <v>154</v>
      </c>
      <c r="L298" s="3278">
        <v>1987</v>
      </c>
      <c r="M298" s="3278">
        <v>15406</v>
      </c>
      <c r="N298" s="3278">
        <v>7642</v>
      </c>
      <c r="O298" s="3278">
        <v>5406</v>
      </c>
      <c r="P298" s="3278">
        <v>8709</v>
      </c>
      <c r="Q298" s="3279">
        <v>2</v>
      </c>
      <c r="R298" s="2311">
        <v>52021</v>
      </c>
      <c r="S298" s="2311">
        <v>6767</v>
      </c>
      <c r="T298" s="2368">
        <v>21120</v>
      </c>
      <c r="U298" s="2300"/>
    </row>
    <row r="299" spans="1:21">
      <c r="A299" s="2202">
        <f t="shared" si="3"/>
        <v>2018.02</v>
      </c>
      <c r="B299" s="1707">
        <v>1004169</v>
      </c>
      <c r="C299" s="3278">
        <v>473348</v>
      </c>
      <c r="D299" s="2366">
        <v>530821</v>
      </c>
      <c r="E299" s="1702">
        <v>100370</v>
      </c>
      <c r="F299" s="3278">
        <v>48285</v>
      </c>
      <c r="G299" s="2366">
        <v>52085</v>
      </c>
      <c r="H299" s="1700">
        <v>6864</v>
      </c>
      <c r="I299" s="3278">
        <v>33</v>
      </c>
      <c r="J299" s="3278">
        <v>6077</v>
      </c>
      <c r="K299" s="3278">
        <v>155</v>
      </c>
      <c r="L299" s="3278">
        <v>1978</v>
      </c>
      <c r="M299" s="3278">
        <v>15344</v>
      </c>
      <c r="N299" s="3278">
        <v>7583</v>
      </c>
      <c r="O299" s="3278">
        <v>5368</v>
      </c>
      <c r="P299" s="3278">
        <v>8682</v>
      </c>
      <c r="Q299" s="3279">
        <v>1</v>
      </c>
      <c r="R299" s="2311">
        <v>53434</v>
      </c>
      <c r="S299" s="2311">
        <v>7031</v>
      </c>
      <c r="T299" s="2368">
        <v>21623</v>
      </c>
      <c r="U299" s="2300"/>
    </row>
    <row r="300" spans="1:21">
      <c r="A300" s="2202">
        <f t="shared" si="3"/>
        <v>2018.03</v>
      </c>
      <c r="B300" s="1707">
        <v>1005401</v>
      </c>
      <c r="C300" s="3278">
        <v>475374</v>
      </c>
      <c r="D300" s="2366">
        <v>530027</v>
      </c>
      <c r="E300" s="1702">
        <v>100413</v>
      </c>
      <c r="F300" s="3278">
        <v>48414</v>
      </c>
      <c r="G300" s="2366">
        <v>51999</v>
      </c>
      <c r="H300" s="1700">
        <v>6805</v>
      </c>
      <c r="I300" s="3278">
        <v>31</v>
      </c>
      <c r="J300" s="3278">
        <v>6052</v>
      </c>
      <c r="K300" s="3278">
        <v>155</v>
      </c>
      <c r="L300" s="3278">
        <v>2000</v>
      </c>
      <c r="M300" s="3278">
        <v>15370</v>
      </c>
      <c r="N300" s="3278">
        <v>7567</v>
      </c>
      <c r="O300" s="3278">
        <v>5365</v>
      </c>
      <c r="P300" s="3278">
        <v>8653</v>
      </c>
      <c r="Q300" s="3279">
        <v>1</v>
      </c>
      <c r="R300" s="2311">
        <v>54123</v>
      </c>
      <c r="S300" s="2311">
        <v>7050</v>
      </c>
      <c r="T300" s="2368">
        <v>21845</v>
      </c>
      <c r="U300" s="2300"/>
    </row>
    <row r="301" spans="1:21">
      <c r="A301" s="2202">
        <f t="shared" si="3"/>
        <v>2018.04</v>
      </c>
      <c r="B301" s="1707">
        <v>1004881</v>
      </c>
      <c r="C301" s="3278">
        <v>477297</v>
      </c>
      <c r="D301" s="2366">
        <v>527584</v>
      </c>
      <c r="E301" s="1702">
        <v>100820</v>
      </c>
      <c r="F301" s="3278">
        <v>48608</v>
      </c>
      <c r="G301" s="2366">
        <v>52212</v>
      </c>
      <c r="H301" s="1700">
        <v>7013</v>
      </c>
      <c r="I301" s="3278">
        <v>31</v>
      </c>
      <c r="J301" s="3278">
        <v>6040</v>
      </c>
      <c r="K301" s="3278">
        <v>155</v>
      </c>
      <c r="L301" s="3278">
        <v>2012</v>
      </c>
      <c r="M301" s="3278">
        <v>15356</v>
      </c>
      <c r="N301" s="3278">
        <v>7599</v>
      </c>
      <c r="O301" s="3278">
        <v>5371</v>
      </c>
      <c r="P301" s="3278">
        <v>8633</v>
      </c>
      <c r="Q301" s="3279">
        <v>2</v>
      </c>
      <c r="R301" s="2311">
        <v>52293</v>
      </c>
      <c r="S301" s="2311">
        <v>6799</v>
      </c>
      <c r="T301" s="2368">
        <v>21164</v>
      </c>
      <c r="U301" s="2300"/>
    </row>
    <row r="302" spans="1:21">
      <c r="A302" s="2202">
        <f t="shared" si="3"/>
        <v>2018.05</v>
      </c>
      <c r="B302" s="1707">
        <v>1006576</v>
      </c>
      <c r="C302" s="3278">
        <v>480847</v>
      </c>
      <c r="D302" s="2366">
        <v>525729</v>
      </c>
      <c r="E302" s="1702">
        <v>101261</v>
      </c>
      <c r="F302" s="3278">
        <v>48970</v>
      </c>
      <c r="G302" s="2366">
        <v>52291</v>
      </c>
      <c r="H302" s="1700">
        <v>7091</v>
      </c>
      <c r="I302" s="3278">
        <v>32</v>
      </c>
      <c r="J302" s="3278">
        <v>6020</v>
      </c>
      <c r="K302" s="3278">
        <v>154</v>
      </c>
      <c r="L302" s="3278">
        <v>2003</v>
      </c>
      <c r="M302" s="3278">
        <v>15339</v>
      </c>
      <c r="N302" s="3278">
        <v>7623</v>
      </c>
      <c r="O302" s="3278">
        <v>5364</v>
      </c>
      <c r="P302" s="3278">
        <v>8663</v>
      </c>
      <c r="Q302" s="3279">
        <v>2</v>
      </c>
      <c r="R302" s="2311">
        <v>51580</v>
      </c>
      <c r="S302" s="2311">
        <v>6726</v>
      </c>
      <c r="T302" s="2368">
        <v>20907</v>
      </c>
      <c r="U302" s="2300"/>
    </row>
    <row r="303" spans="1:21">
      <c r="A303" s="2202">
        <f t="shared" si="3"/>
        <v>2018.06</v>
      </c>
      <c r="B303" s="1707">
        <v>1008513</v>
      </c>
      <c r="C303" s="3278">
        <v>484749</v>
      </c>
      <c r="D303" s="2366">
        <v>523764</v>
      </c>
      <c r="E303" s="1702">
        <v>101372</v>
      </c>
      <c r="F303" s="3278">
        <v>49248</v>
      </c>
      <c r="G303" s="2366">
        <v>52124</v>
      </c>
      <c r="H303" s="1700">
        <v>7022</v>
      </c>
      <c r="I303" s="3278">
        <v>30</v>
      </c>
      <c r="J303" s="3278">
        <v>5998</v>
      </c>
      <c r="K303" s="3278">
        <v>156</v>
      </c>
      <c r="L303" s="3278">
        <v>1985</v>
      </c>
      <c r="M303" s="3278">
        <v>15291</v>
      </c>
      <c r="N303" s="3278">
        <v>7634</v>
      </c>
      <c r="O303" s="3278">
        <v>5345</v>
      </c>
      <c r="P303" s="3278">
        <v>8661</v>
      </c>
      <c r="Q303" s="3279">
        <v>2</v>
      </c>
      <c r="R303" s="2311">
        <v>53647</v>
      </c>
      <c r="S303" s="2311">
        <v>7014</v>
      </c>
      <c r="T303" s="2368">
        <v>21671</v>
      </c>
      <c r="U303" s="2300"/>
    </row>
    <row r="304" spans="1:21">
      <c r="A304" s="2202">
        <f t="shared" si="3"/>
        <v>2018.07</v>
      </c>
      <c r="B304" s="1707">
        <v>1011484</v>
      </c>
      <c r="C304" s="3278">
        <v>488390</v>
      </c>
      <c r="D304" s="2366">
        <v>523094</v>
      </c>
      <c r="E304" s="1702">
        <v>101590</v>
      </c>
      <c r="F304" s="3278">
        <v>49588</v>
      </c>
      <c r="G304" s="2366">
        <v>52002</v>
      </c>
      <c r="H304" s="1700">
        <v>6943</v>
      </c>
      <c r="I304" s="3278">
        <v>30</v>
      </c>
      <c r="J304" s="3278">
        <v>5978</v>
      </c>
      <c r="K304" s="3278">
        <v>157</v>
      </c>
      <c r="L304" s="3278">
        <v>1971</v>
      </c>
      <c r="M304" s="3278">
        <v>15257</v>
      </c>
      <c r="N304" s="3278">
        <v>7627</v>
      </c>
      <c r="O304" s="3278">
        <v>5363</v>
      </c>
      <c r="P304" s="3278">
        <v>8674</v>
      </c>
      <c r="Q304" s="3279">
        <v>2</v>
      </c>
      <c r="R304" s="2311">
        <v>51320</v>
      </c>
      <c r="S304" s="2311">
        <v>6702</v>
      </c>
      <c r="T304" s="2368">
        <v>20868</v>
      </c>
      <c r="U304" s="2300"/>
    </row>
    <row r="305" spans="1:21">
      <c r="A305" s="2202">
        <f t="shared" si="3"/>
        <v>2018.08</v>
      </c>
      <c r="B305" s="1707">
        <v>1016748</v>
      </c>
      <c r="C305" s="3278">
        <v>493464</v>
      </c>
      <c r="D305" s="2366">
        <v>523284</v>
      </c>
      <c r="E305" s="1702">
        <v>101779</v>
      </c>
      <c r="F305" s="3278">
        <v>49942</v>
      </c>
      <c r="G305" s="2366">
        <v>51837</v>
      </c>
      <c r="H305" s="1700">
        <v>6857</v>
      </c>
      <c r="I305" s="3278">
        <v>29</v>
      </c>
      <c r="J305" s="3278">
        <v>5975</v>
      </c>
      <c r="K305" s="3278">
        <v>155</v>
      </c>
      <c r="L305" s="3278">
        <v>1974</v>
      </c>
      <c r="M305" s="3278">
        <v>15244</v>
      </c>
      <c r="N305" s="3278">
        <v>7557</v>
      </c>
      <c r="O305" s="3278">
        <v>5360</v>
      </c>
      <c r="P305" s="3278">
        <v>8684</v>
      </c>
      <c r="Q305" s="3279">
        <v>2</v>
      </c>
      <c r="R305" s="2311">
        <v>50993</v>
      </c>
      <c r="S305" s="2311">
        <v>6648</v>
      </c>
      <c r="T305" s="2368">
        <v>20736</v>
      </c>
      <c r="U305" s="2300"/>
    </row>
    <row r="306" spans="1:21">
      <c r="A306" s="2202">
        <f t="shared" ref="A306:A369" si="4">A294+1</f>
        <v>2018.09</v>
      </c>
      <c r="B306" s="1707">
        <v>1022058</v>
      </c>
      <c r="C306" s="3278">
        <v>498899</v>
      </c>
      <c r="D306" s="2366">
        <v>523159</v>
      </c>
      <c r="E306" s="1702">
        <v>102271</v>
      </c>
      <c r="F306" s="3278">
        <v>50442</v>
      </c>
      <c r="G306" s="2366">
        <v>51829</v>
      </c>
      <c r="H306" s="1700">
        <v>6826</v>
      </c>
      <c r="I306" s="3278">
        <v>31</v>
      </c>
      <c r="J306" s="3278">
        <v>5981</v>
      </c>
      <c r="K306" s="3278">
        <v>154</v>
      </c>
      <c r="L306" s="3278">
        <v>1974</v>
      </c>
      <c r="M306" s="3278">
        <v>15259</v>
      </c>
      <c r="N306" s="3278">
        <v>7518</v>
      </c>
      <c r="O306" s="3278">
        <v>5364</v>
      </c>
      <c r="P306" s="3278">
        <v>8721</v>
      </c>
      <c r="Q306" s="3279">
        <v>1</v>
      </c>
      <c r="R306" s="2311">
        <v>54000</v>
      </c>
      <c r="S306" s="2311">
        <v>7060</v>
      </c>
      <c r="T306" s="2368">
        <v>21855</v>
      </c>
      <c r="U306" s="2300"/>
    </row>
    <row r="307" spans="1:21">
      <c r="A307" s="2202">
        <f t="shared" si="4"/>
        <v>2018.1</v>
      </c>
      <c r="B307" s="1707">
        <v>1024661</v>
      </c>
      <c r="C307" s="3278">
        <v>502713</v>
      </c>
      <c r="D307" s="2366">
        <v>521948</v>
      </c>
      <c r="E307" s="1702">
        <v>102446</v>
      </c>
      <c r="F307" s="3278">
        <v>50818</v>
      </c>
      <c r="G307" s="2366">
        <v>51628</v>
      </c>
      <c r="H307" s="1700">
        <v>6804</v>
      </c>
      <c r="I307" s="3278">
        <v>32</v>
      </c>
      <c r="J307" s="3278">
        <v>5961</v>
      </c>
      <c r="K307" s="3278">
        <v>153</v>
      </c>
      <c r="L307" s="3278">
        <v>1958</v>
      </c>
      <c r="M307" s="3278">
        <v>15234</v>
      </c>
      <c r="N307" s="3278">
        <v>7430</v>
      </c>
      <c r="O307" s="3278">
        <v>5361</v>
      </c>
      <c r="P307" s="3278">
        <v>8694</v>
      </c>
      <c r="Q307" s="3279">
        <v>1</v>
      </c>
      <c r="R307" s="2311">
        <v>51465</v>
      </c>
      <c r="S307" s="2311">
        <v>6791</v>
      </c>
      <c r="T307" s="2368">
        <v>20908</v>
      </c>
      <c r="U307" s="2300"/>
    </row>
    <row r="308" spans="1:21">
      <c r="A308" s="2202">
        <f t="shared" si="4"/>
        <v>2018.11</v>
      </c>
      <c r="B308" s="1707">
        <v>1027664</v>
      </c>
      <c r="C308" s="3278">
        <v>505765</v>
      </c>
      <c r="D308" s="2366">
        <v>521899</v>
      </c>
      <c r="E308" s="1702">
        <v>102773</v>
      </c>
      <c r="F308" s="3278">
        <v>51049</v>
      </c>
      <c r="G308" s="2366">
        <v>51724</v>
      </c>
      <c r="H308" s="1700">
        <v>6864</v>
      </c>
      <c r="I308" s="3278">
        <v>32</v>
      </c>
      <c r="J308" s="3278">
        <v>5942</v>
      </c>
      <c r="K308" s="3278">
        <v>153</v>
      </c>
      <c r="L308" s="3278">
        <v>1970</v>
      </c>
      <c r="M308" s="3278">
        <v>15267</v>
      </c>
      <c r="N308" s="3278">
        <v>7390</v>
      </c>
      <c r="O308" s="3278">
        <v>5397</v>
      </c>
      <c r="P308" s="3278">
        <v>8708</v>
      </c>
      <c r="Q308" s="3279">
        <v>1</v>
      </c>
      <c r="R308" s="2311">
        <v>51582</v>
      </c>
      <c r="S308" s="2311">
        <v>6806</v>
      </c>
      <c r="T308" s="2368">
        <v>21021</v>
      </c>
      <c r="U308" s="2300"/>
    </row>
    <row r="309" spans="1:21">
      <c r="A309" s="2202">
        <f t="shared" si="4"/>
        <v>2018.12</v>
      </c>
      <c r="B309" s="1707">
        <v>1028593</v>
      </c>
      <c r="C309" s="3278">
        <v>507845</v>
      </c>
      <c r="D309" s="2366">
        <v>520748</v>
      </c>
      <c r="E309" s="1702">
        <v>102875</v>
      </c>
      <c r="F309" s="3278">
        <v>51166</v>
      </c>
      <c r="G309" s="2366">
        <v>51709</v>
      </c>
      <c r="H309" s="1700">
        <v>6975</v>
      </c>
      <c r="I309" s="3278">
        <v>33</v>
      </c>
      <c r="J309" s="3278">
        <v>6000</v>
      </c>
      <c r="K309" s="3278">
        <v>153</v>
      </c>
      <c r="L309" s="3278">
        <v>1985</v>
      </c>
      <c r="M309" s="3278">
        <v>15196</v>
      </c>
      <c r="N309" s="3278">
        <v>7345</v>
      </c>
      <c r="O309" s="3278">
        <v>5283</v>
      </c>
      <c r="P309" s="3278">
        <v>8738</v>
      </c>
      <c r="Q309" s="3279">
        <v>1</v>
      </c>
      <c r="R309" s="2311">
        <v>52741</v>
      </c>
      <c r="S309" s="2311">
        <v>6818</v>
      </c>
      <c r="T309" s="2368">
        <v>21430</v>
      </c>
      <c r="U309" s="2300"/>
    </row>
    <row r="310" spans="1:21">
      <c r="A310" s="2202">
        <f t="shared" si="4"/>
        <v>2019.01</v>
      </c>
      <c r="B310" s="1707">
        <v>1025152</v>
      </c>
      <c r="C310" s="3278">
        <v>504947</v>
      </c>
      <c r="D310" s="2366">
        <v>520205</v>
      </c>
      <c r="E310" s="1702">
        <v>102605</v>
      </c>
      <c r="F310" s="3278">
        <v>51106</v>
      </c>
      <c r="G310" s="2366">
        <v>51499</v>
      </c>
      <c r="H310" s="1700">
        <v>6971</v>
      </c>
      <c r="I310" s="3278">
        <v>34</v>
      </c>
      <c r="J310" s="3278">
        <v>5885</v>
      </c>
      <c r="K310" s="3278">
        <v>154</v>
      </c>
      <c r="L310" s="3278">
        <v>1965</v>
      </c>
      <c r="M310" s="3278">
        <v>15168</v>
      </c>
      <c r="N310" s="3278">
        <v>7322</v>
      </c>
      <c r="O310" s="3278">
        <v>5384</v>
      </c>
      <c r="P310" s="3278">
        <v>8614</v>
      </c>
      <c r="Q310" s="3279">
        <v>2</v>
      </c>
      <c r="R310" s="2311">
        <v>51715</v>
      </c>
      <c r="S310" s="2311">
        <v>6790</v>
      </c>
      <c r="T310" s="2368">
        <v>20958</v>
      </c>
      <c r="U310" s="2300"/>
    </row>
    <row r="311" spans="1:21">
      <c r="A311" s="2202">
        <f t="shared" si="4"/>
        <v>2019.02</v>
      </c>
      <c r="B311" s="1707">
        <v>1027186</v>
      </c>
      <c r="C311" s="3278">
        <v>506253</v>
      </c>
      <c r="D311" s="2366">
        <v>520933</v>
      </c>
      <c r="E311" s="1702">
        <v>102133</v>
      </c>
      <c r="F311" s="3278">
        <v>51031</v>
      </c>
      <c r="G311" s="2366">
        <v>51102</v>
      </c>
      <c r="H311" s="1700">
        <v>6832</v>
      </c>
      <c r="I311" s="3278">
        <v>42</v>
      </c>
      <c r="J311" s="3278">
        <v>5941</v>
      </c>
      <c r="K311" s="3278">
        <v>155</v>
      </c>
      <c r="L311" s="3278">
        <v>1960</v>
      </c>
      <c r="M311" s="3278">
        <v>15027</v>
      </c>
      <c r="N311" s="3278">
        <v>7246</v>
      </c>
      <c r="O311" s="3278">
        <v>5250</v>
      </c>
      <c r="P311" s="3278">
        <v>8647</v>
      </c>
      <c r="Q311" s="3279">
        <v>2</v>
      </c>
      <c r="R311" s="2311">
        <v>51371</v>
      </c>
      <c r="S311" s="2311">
        <v>6690</v>
      </c>
      <c r="T311" s="2368">
        <v>20948</v>
      </c>
      <c r="U311" s="2300"/>
    </row>
    <row r="312" spans="1:21">
      <c r="A312" s="2202">
        <f t="shared" si="4"/>
        <v>2019.03</v>
      </c>
      <c r="B312" s="1707">
        <v>1027555</v>
      </c>
      <c r="C312" s="3278">
        <v>508169</v>
      </c>
      <c r="D312" s="2366">
        <v>519386</v>
      </c>
      <c r="E312" s="1702">
        <v>102036</v>
      </c>
      <c r="F312" s="3278">
        <v>51171</v>
      </c>
      <c r="G312" s="2366">
        <v>50865</v>
      </c>
      <c r="H312" s="1700">
        <v>6763</v>
      </c>
      <c r="I312" s="3278">
        <v>120</v>
      </c>
      <c r="J312" s="3278">
        <v>5948</v>
      </c>
      <c r="K312" s="3278">
        <v>156</v>
      </c>
      <c r="L312" s="3278">
        <v>1951</v>
      </c>
      <c r="M312" s="3278">
        <v>14950</v>
      </c>
      <c r="N312" s="3278">
        <v>7177</v>
      </c>
      <c r="O312" s="3278">
        <v>5217</v>
      </c>
      <c r="P312" s="3278">
        <v>8582</v>
      </c>
      <c r="Q312" s="3279">
        <v>1</v>
      </c>
      <c r="R312" s="2311">
        <v>53343</v>
      </c>
      <c r="S312" s="2311">
        <v>6936</v>
      </c>
      <c r="T312" s="2368">
        <v>21496</v>
      </c>
      <c r="U312" s="2300"/>
    </row>
    <row r="313" spans="1:21">
      <c r="A313" s="2202">
        <f t="shared" si="4"/>
        <v>2019.04</v>
      </c>
      <c r="B313" s="1707">
        <v>1027334</v>
      </c>
      <c r="C313" s="3278">
        <v>512488</v>
      </c>
      <c r="D313" s="2366">
        <v>514846</v>
      </c>
      <c r="E313" s="1702">
        <v>102426</v>
      </c>
      <c r="F313" s="3278">
        <v>51467</v>
      </c>
      <c r="G313" s="2366">
        <v>50959</v>
      </c>
      <c r="H313" s="1700">
        <v>6961</v>
      </c>
      <c r="I313" s="3278">
        <v>136</v>
      </c>
      <c r="J313" s="3278">
        <v>5917</v>
      </c>
      <c r="K313" s="3278">
        <v>156</v>
      </c>
      <c r="L313" s="3278">
        <v>1951</v>
      </c>
      <c r="M313" s="3278">
        <v>14859</v>
      </c>
      <c r="N313" s="3278">
        <v>7179</v>
      </c>
      <c r="O313" s="3278">
        <v>5180</v>
      </c>
      <c r="P313" s="3278">
        <v>8619</v>
      </c>
      <c r="Q313" s="3279">
        <v>1</v>
      </c>
      <c r="R313" s="2311">
        <v>50422</v>
      </c>
      <c r="S313" s="2311">
        <v>6504</v>
      </c>
      <c r="T313" s="2368">
        <v>20521</v>
      </c>
      <c r="U313" s="2300"/>
    </row>
    <row r="314" spans="1:21">
      <c r="A314" s="2202">
        <f t="shared" si="4"/>
        <v>2019.05</v>
      </c>
      <c r="B314" s="1707">
        <v>1030144</v>
      </c>
      <c r="C314" s="3278">
        <v>516485</v>
      </c>
      <c r="D314" s="2366">
        <v>513659</v>
      </c>
      <c r="E314" s="1702">
        <v>102782</v>
      </c>
      <c r="F314" s="3278">
        <v>51843</v>
      </c>
      <c r="G314" s="2366">
        <v>50939</v>
      </c>
      <c r="H314" s="1700">
        <v>7024</v>
      </c>
      <c r="I314" s="3278">
        <v>138</v>
      </c>
      <c r="J314" s="3278">
        <v>5931</v>
      </c>
      <c r="K314" s="3278">
        <v>157</v>
      </c>
      <c r="L314" s="3278">
        <v>1934</v>
      </c>
      <c r="M314" s="3278">
        <v>14785</v>
      </c>
      <c r="N314" s="3278">
        <v>7175</v>
      </c>
      <c r="O314" s="3278">
        <v>5184</v>
      </c>
      <c r="P314" s="3278">
        <v>8610</v>
      </c>
      <c r="Q314" s="3279">
        <v>1</v>
      </c>
      <c r="R314" s="2311">
        <v>50814</v>
      </c>
      <c r="S314" s="2311">
        <v>6590</v>
      </c>
      <c r="T314" s="2368">
        <v>20506</v>
      </c>
      <c r="U314" s="2300"/>
    </row>
    <row r="315" spans="1:21">
      <c r="A315" s="2202">
        <f t="shared" si="4"/>
        <v>2019.06</v>
      </c>
      <c r="B315" s="1707">
        <v>1032347</v>
      </c>
      <c r="C315" s="3278">
        <v>520007</v>
      </c>
      <c r="D315" s="2366">
        <v>512340</v>
      </c>
      <c r="E315" s="1702">
        <v>102913</v>
      </c>
      <c r="F315" s="3278">
        <v>52082</v>
      </c>
      <c r="G315" s="2366">
        <v>50831</v>
      </c>
      <c r="H315" s="1700">
        <v>6979</v>
      </c>
      <c r="I315" s="3278">
        <v>136</v>
      </c>
      <c r="J315" s="3278">
        <v>5910</v>
      </c>
      <c r="K315" s="3278">
        <v>157</v>
      </c>
      <c r="L315" s="3278">
        <v>1948</v>
      </c>
      <c r="M315" s="3278">
        <v>14748</v>
      </c>
      <c r="N315" s="3278">
        <v>7171</v>
      </c>
      <c r="O315" s="3278">
        <v>5197</v>
      </c>
      <c r="P315" s="3278">
        <v>8584</v>
      </c>
      <c r="Q315" s="3279">
        <v>1</v>
      </c>
      <c r="R315" s="2311">
        <v>52747</v>
      </c>
      <c r="S315" s="2311">
        <v>6802</v>
      </c>
      <c r="T315" s="2368">
        <v>21124</v>
      </c>
      <c r="U315" s="2300"/>
    </row>
    <row r="316" spans="1:21">
      <c r="A316" s="2202">
        <f t="shared" si="4"/>
        <v>2019.07</v>
      </c>
      <c r="B316" s="1707">
        <v>1033042</v>
      </c>
      <c r="C316" s="3278">
        <v>522670</v>
      </c>
      <c r="D316" s="2366">
        <v>510372</v>
      </c>
      <c r="E316" s="1702">
        <v>102958</v>
      </c>
      <c r="F316" s="3278">
        <v>52348</v>
      </c>
      <c r="G316" s="2366">
        <v>50610</v>
      </c>
      <c r="H316" s="1700">
        <v>6891</v>
      </c>
      <c r="I316" s="3278">
        <v>134</v>
      </c>
      <c r="J316" s="3278">
        <v>5901</v>
      </c>
      <c r="K316" s="3278">
        <v>157</v>
      </c>
      <c r="L316" s="3278">
        <v>1946</v>
      </c>
      <c r="M316" s="3278">
        <v>14780</v>
      </c>
      <c r="N316" s="3278">
        <v>7135</v>
      </c>
      <c r="O316" s="3278">
        <v>5217</v>
      </c>
      <c r="P316" s="3278">
        <v>8448</v>
      </c>
      <c r="Q316" s="3279">
        <v>1</v>
      </c>
      <c r="R316" s="2311">
        <v>49997</v>
      </c>
      <c r="S316" s="2311">
        <v>6429</v>
      </c>
      <c r="T316" s="2368">
        <v>20055</v>
      </c>
      <c r="U316" s="2300"/>
    </row>
    <row r="317" spans="1:21">
      <c r="A317" s="2202">
        <f t="shared" si="4"/>
        <v>2019.08</v>
      </c>
      <c r="B317" s="1707">
        <v>1036577</v>
      </c>
      <c r="C317" s="3278">
        <v>526135</v>
      </c>
      <c r="D317" s="2366">
        <v>510442</v>
      </c>
      <c r="E317" s="1702">
        <v>103148</v>
      </c>
      <c r="F317" s="3278">
        <v>52631</v>
      </c>
      <c r="G317" s="2366">
        <v>50517</v>
      </c>
      <c r="H317" s="1700">
        <v>6822</v>
      </c>
      <c r="I317" s="3278">
        <v>129</v>
      </c>
      <c r="J317" s="3278">
        <v>5897</v>
      </c>
      <c r="K317" s="3278">
        <v>157</v>
      </c>
      <c r="L317" s="3278">
        <v>1958</v>
      </c>
      <c r="M317" s="3278">
        <v>14788</v>
      </c>
      <c r="N317" s="3278">
        <v>7111</v>
      </c>
      <c r="O317" s="3278">
        <v>5217</v>
      </c>
      <c r="P317" s="3278">
        <v>8437</v>
      </c>
      <c r="Q317" s="3279">
        <v>1</v>
      </c>
      <c r="R317" s="2311">
        <v>51761</v>
      </c>
      <c r="S317" s="2311">
        <v>6611</v>
      </c>
      <c r="T317" s="2368">
        <v>20532</v>
      </c>
      <c r="U317" s="2300"/>
    </row>
    <row r="318" spans="1:21">
      <c r="A318" s="2202">
        <f t="shared" si="4"/>
        <v>2019.09</v>
      </c>
      <c r="B318" s="1707">
        <v>1040713</v>
      </c>
      <c r="C318" s="3278">
        <v>529469</v>
      </c>
      <c r="D318" s="2366">
        <v>511244</v>
      </c>
      <c r="E318" s="1702">
        <v>103538</v>
      </c>
      <c r="F318" s="3278">
        <v>53004</v>
      </c>
      <c r="G318" s="2366">
        <v>50534</v>
      </c>
      <c r="H318" s="1700">
        <v>6788</v>
      </c>
      <c r="I318" s="3278">
        <v>128</v>
      </c>
      <c r="J318" s="3278">
        <v>5895</v>
      </c>
      <c r="K318" s="3278">
        <v>157</v>
      </c>
      <c r="L318" s="3278">
        <v>1960</v>
      </c>
      <c r="M318" s="3278">
        <v>14801</v>
      </c>
      <c r="N318" s="3278">
        <v>7133</v>
      </c>
      <c r="O318" s="3278">
        <v>5231</v>
      </c>
      <c r="P318" s="3278">
        <v>8440</v>
      </c>
      <c r="Q318" s="3279">
        <v>1</v>
      </c>
      <c r="R318" s="2311">
        <v>50517</v>
      </c>
      <c r="S318" s="2311">
        <v>6568</v>
      </c>
      <c r="T318" s="2368">
        <v>20398</v>
      </c>
      <c r="U318" s="2300"/>
    </row>
    <row r="319" spans="1:21">
      <c r="A319" s="2202">
        <f t="shared" si="4"/>
        <v>2019.1</v>
      </c>
      <c r="B319" s="1707">
        <v>1043119</v>
      </c>
      <c r="C319" s="3278">
        <v>532061</v>
      </c>
      <c r="D319" s="2366">
        <v>511058</v>
      </c>
      <c r="E319" s="1702">
        <v>103733</v>
      </c>
      <c r="F319" s="3278">
        <v>53252</v>
      </c>
      <c r="G319" s="2366">
        <v>50481</v>
      </c>
      <c r="H319" s="1700">
        <v>6795</v>
      </c>
      <c r="I319" s="3278">
        <v>129</v>
      </c>
      <c r="J319" s="3278">
        <v>5888</v>
      </c>
      <c r="K319" s="3278">
        <v>159</v>
      </c>
      <c r="L319" s="3278">
        <v>1950</v>
      </c>
      <c r="M319" s="3278">
        <v>14782</v>
      </c>
      <c r="N319" s="3278">
        <v>7111</v>
      </c>
      <c r="O319" s="3278">
        <v>5229</v>
      </c>
      <c r="P319" s="3278">
        <v>8437</v>
      </c>
      <c r="Q319" s="3279">
        <v>1</v>
      </c>
      <c r="R319" s="2311">
        <v>49746</v>
      </c>
      <c r="S319" s="2311">
        <v>6409</v>
      </c>
      <c r="T319" s="2368">
        <v>20210</v>
      </c>
      <c r="U319" s="2300"/>
    </row>
    <row r="320" spans="1:21">
      <c r="A320" s="2202">
        <f t="shared" si="4"/>
        <v>2019.11</v>
      </c>
      <c r="B320" s="1707">
        <v>1043763</v>
      </c>
      <c r="C320" s="3278">
        <v>533685</v>
      </c>
      <c r="D320" s="2366">
        <v>510078</v>
      </c>
      <c r="E320" s="1702">
        <v>103814</v>
      </c>
      <c r="F320" s="3278">
        <v>53342</v>
      </c>
      <c r="G320" s="2366">
        <v>50472</v>
      </c>
      <c r="H320" s="1700">
        <v>6811</v>
      </c>
      <c r="I320" s="3278">
        <v>129</v>
      </c>
      <c r="J320" s="3278">
        <v>5882</v>
      </c>
      <c r="K320" s="3278">
        <v>159</v>
      </c>
      <c r="L320" s="3278">
        <v>1933</v>
      </c>
      <c r="M320" s="3278">
        <v>14756</v>
      </c>
      <c r="N320" s="3278">
        <v>7099</v>
      </c>
      <c r="O320" s="3278">
        <v>5239</v>
      </c>
      <c r="P320" s="3278">
        <v>8463</v>
      </c>
      <c r="Q320" s="3279">
        <v>1</v>
      </c>
      <c r="R320" s="2311">
        <v>51517</v>
      </c>
      <c r="S320" s="2311">
        <v>6655</v>
      </c>
      <c r="T320" s="2368">
        <v>20831</v>
      </c>
      <c r="U320" s="2300"/>
    </row>
    <row r="321" spans="1:21">
      <c r="A321" s="2202">
        <f t="shared" si="4"/>
        <v>2019.12</v>
      </c>
      <c r="B321" s="1707">
        <v>1044518</v>
      </c>
      <c r="C321" s="3278">
        <v>536312</v>
      </c>
      <c r="D321" s="2366">
        <v>508206</v>
      </c>
      <c r="E321" s="1702">
        <v>103875</v>
      </c>
      <c r="F321" s="3278">
        <v>53486</v>
      </c>
      <c r="G321" s="2366">
        <v>50389</v>
      </c>
      <c r="H321" s="1700">
        <v>6908</v>
      </c>
      <c r="I321" s="3278">
        <v>126</v>
      </c>
      <c r="J321" s="3278">
        <v>5864</v>
      </c>
      <c r="K321" s="3278">
        <v>160</v>
      </c>
      <c r="L321" s="3278">
        <v>1907</v>
      </c>
      <c r="M321" s="3278">
        <v>14725</v>
      </c>
      <c r="N321" s="3278">
        <v>7059</v>
      </c>
      <c r="O321" s="3278">
        <v>5224</v>
      </c>
      <c r="P321" s="3278">
        <v>8415</v>
      </c>
      <c r="Q321" s="3279">
        <v>1</v>
      </c>
      <c r="R321" s="2311">
        <v>51485</v>
      </c>
      <c r="S321" s="2311">
        <v>6519</v>
      </c>
      <c r="T321" s="2368">
        <v>20666</v>
      </c>
      <c r="U321" s="2300"/>
    </row>
    <row r="322" spans="1:21">
      <c r="A322" s="2202">
        <f t="shared" si="4"/>
        <v>2020.01</v>
      </c>
      <c r="B322" s="1707">
        <v>1042253</v>
      </c>
      <c r="C322" s="3278">
        <v>533589</v>
      </c>
      <c r="D322" s="2366">
        <v>508664</v>
      </c>
      <c r="E322" s="1702">
        <v>103708</v>
      </c>
      <c r="F322" s="3278">
        <v>53502</v>
      </c>
      <c r="G322" s="2366">
        <v>50206</v>
      </c>
      <c r="H322" s="1701">
        <v>6882</v>
      </c>
      <c r="I322" s="3278">
        <v>125</v>
      </c>
      <c r="J322" s="3278">
        <v>5739</v>
      </c>
      <c r="K322" s="3278">
        <v>81</v>
      </c>
      <c r="L322" s="3278">
        <v>1881</v>
      </c>
      <c r="M322" s="1702">
        <v>15687</v>
      </c>
      <c r="N322" s="3278">
        <v>7526</v>
      </c>
      <c r="O322" s="3278">
        <v>2335</v>
      </c>
      <c r="P322" s="3278">
        <v>9949</v>
      </c>
      <c r="Q322" s="3279">
        <v>1</v>
      </c>
      <c r="R322" s="2311">
        <v>50821</v>
      </c>
      <c r="S322" s="2311">
        <v>6358</v>
      </c>
      <c r="T322" s="2368">
        <v>19951</v>
      </c>
      <c r="U322" s="2300"/>
    </row>
    <row r="323" spans="1:21">
      <c r="A323" s="2202">
        <f t="shared" si="4"/>
        <v>2020.02</v>
      </c>
      <c r="B323" s="1707">
        <v>1042022</v>
      </c>
      <c r="C323" s="3278">
        <v>533835</v>
      </c>
      <c r="D323" s="2366">
        <v>508187</v>
      </c>
      <c r="E323" s="1702">
        <v>103206</v>
      </c>
      <c r="F323" s="3278">
        <v>53449</v>
      </c>
      <c r="G323" s="2366">
        <v>49757</v>
      </c>
      <c r="H323" s="1700">
        <v>6737</v>
      </c>
      <c r="I323" s="3278">
        <v>126</v>
      </c>
      <c r="J323" s="3278">
        <v>5722</v>
      </c>
      <c r="K323" s="3278">
        <v>82</v>
      </c>
      <c r="L323" s="3278">
        <v>1839</v>
      </c>
      <c r="M323" s="1702">
        <v>15602</v>
      </c>
      <c r="N323" s="3278">
        <v>7427</v>
      </c>
      <c r="O323" s="3278">
        <v>2308</v>
      </c>
      <c r="P323" s="3278">
        <v>9914</v>
      </c>
      <c r="Q323" s="3281"/>
      <c r="R323" s="2311">
        <v>49197</v>
      </c>
      <c r="S323" s="2369" t="s">
        <v>356</v>
      </c>
      <c r="T323" s="1731" t="s">
        <v>356</v>
      </c>
      <c r="U323" s="2300"/>
    </row>
    <row r="324" spans="1:21">
      <c r="A324" s="2202">
        <f t="shared" si="4"/>
        <v>2020.03</v>
      </c>
      <c r="B324" s="1707">
        <v>1043025</v>
      </c>
      <c r="C324" s="3278">
        <v>535813</v>
      </c>
      <c r="D324" s="2366">
        <v>507212</v>
      </c>
      <c r="E324" s="1702">
        <v>103356</v>
      </c>
      <c r="F324" s="3278">
        <v>53643</v>
      </c>
      <c r="G324" s="2366">
        <v>49713</v>
      </c>
      <c r="H324" s="1701">
        <v>6728</v>
      </c>
      <c r="I324" s="3278">
        <v>126</v>
      </c>
      <c r="J324" s="3278">
        <v>5708</v>
      </c>
      <c r="K324" s="3278">
        <v>83</v>
      </c>
      <c r="L324" s="3278">
        <v>1832</v>
      </c>
      <c r="M324" s="1702">
        <v>15616</v>
      </c>
      <c r="N324" s="3278">
        <v>7408</v>
      </c>
      <c r="O324" s="3278">
        <v>2294</v>
      </c>
      <c r="P324" s="3278">
        <v>9918</v>
      </c>
      <c r="Q324" s="3281"/>
      <c r="R324" s="2311">
        <v>51211</v>
      </c>
      <c r="S324" s="2370"/>
      <c r="T324" s="2371"/>
      <c r="U324" s="2300"/>
    </row>
    <row r="325" spans="1:21">
      <c r="A325" s="2202">
        <f t="shared" si="4"/>
        <v>2020.04</v>
      </c>
      <c r="B325" s="1707">
        <v>1041947</v>
      </c>
      <c r="C325" s="3278">
        <v>537788</v>
      </c>
      <c r="D325" s="2366">
        <v>504159</v>
      </c>
      <c r="E325" s="1702">
        <v>103867</v>
      </c>
      <c r="F325" s="3278">
        <v>53912</v>
      </c>
      <c r="G325" s="2366">
        <v>49955</v>
      </c>
      <c r="H325" s="1700">
        <v>6966</v>
      </c>
      <c r="I325" s="3278">
        <v>124</v>
      </c>
      <c r="J325" s="3278">
        <v>5702</v>
      </c>
      <c r="K325" s="3278">
        <v>83</v>
      </c>
      <c r="L325" s="3278">
        <v>1805</v>
      </c>
      <c r="M325" s="1702">
        <v>15611</v>
      </c>
      <c r="N325" s="3278">
        <v>7432</v>
      </c>
      <c r="O325" s="3278">
        <v>2292</v>
      </c>
      <c r="P325" s="3278">
        <v>9940</v>
      </c>
      <c r="Q325" s="3281"/>
      <c r="R325" s="2311">
        <v>50893</v>
      </c>
      <c r="S325" s="2370"/>
      <c r="T325" s="2371"/>
      <c r="U325" s="2300"/>
    </row>
    <row r="326" spans="1:21">
      <c r="A326" s="2202">
        <f t="shared" si="4"/>
        <v>2020.05</v>
      </c>
      <c r="B326" s="1707">
        <v>1034469</v>
      </c>
      <c r="C326" s="3278">
        <v>534152</v>
      </c>
      <c r="D326" s="2366">
        <v>500317</v>
      </c>
      <c r="E326" s="1702">
        <v>103389</v>
      </c>
      <c r="F326" s="3278">
        <v>53637</v>
      </c>
      <c r="G326" s="2366">
        <v>49752</v>
      </c>
      <c r="H326" s="1701">
        <v>7043</v>
      </c>
      <c r="I326" s="3278">
        <v>124</v>
      </c>
      <c r="J326" s="3278">
        <v>5693</v>
      </c>
      <c r="K326" s="3278">
        <v>83</v>
      </c>
      <c r="L326" s="3278">
        <v>1722</v>
      </c>
      <c r="M326" s="1702">
        <v>15546</v>
      </c>
      <c r="N326" s="3278">
        <v>7359</v>
      </c>
      <c r="O326" s="3278">
        <v>2280</v>
      </c>
      <c r="P326" s="3278">
        <v>9902</v>
      </c>
      <c r="Q326" s="3281"/>
      <c r="R326" s="2311">
        <v>51021</v>
      </c>
      <c r="S326" s="2370"/>
      <c r="T326" s="2371"/>
      <c r="U326" s="2300"/>
    </row>
    <row r="327" spans="1:21">
      <c r="A327" s="2202">
        <f t="shared" si="4"/>
        <v>2020.06</v>
      </c>
      <c r="B327" s="1707">
        <v>1033784</v>
      </c>
      <c r="C327" s="3278">
        <v>534852</v>
      </c>
      <c r="D327" s="2366">
        <v>498932</v>
      </c>
      <c r="E327" s="1702">
        <v>103288</v>
      </c>
      <c r="F327" s="3278">
        <v>53642</v>
      </c>
      <c r="G327" s="2366">
        <v>49646</v>
      </c>
      <c r="H327" s="1700">
        <v>6996</v>
      </c>
      <c r="I327" s="3278">
        <v>123</v>
      </c>
      <c r="J327" s="3278">
        <v>5694</v>
      </c>
      <c r="K327" s="3278">
        <v>83</v>
      </c>
      <c r="L327" s="3278">
        <v>1738</v>
      </c>
      <c r="M327" s="1702">
        <v>15517</v>
      </c>
      <c r="N327" s="3278">
        <v>7329</v>
      </c>
      <c r="O327" s="3278">
        <v>2281</v>
      </c>
      <c r="P327" s="3278">
        <v>9885</v>
      </c>
      <c r="Q327" s="3281"/>
      <c r="R327" s="2311">
        <v>49392</v>
      </c>
      <c r="S327" s="2370"/>
      <c r="T327" s="2371"/>
      <c r="U327" s="2300"/>
    </row>
    <row r="328" spans="1:21">
      <c r="A328" s="2202">
        <f t="shared" si="4"/>
        <v>2020.07</v>
      </c>
      <c r="B328" s="1707">
        <v>1032840</v>
      </c>
      <c r="C328" s="3278">
        <v>535217</v>
      </c>
      <c r="D328" s="2366">
        <v>497623</v>
      </c>
      <c r="E328" s="1702">
        <v>103409</v>
      </c>
      <c r="F328" s="3278">
        <v>53933</v>
      </c>
      <c r="G328" s="2366">
        <v>49476</v>
      </c>
      <c r="H328" s="1701">
        <v>6926</v>
      </c>
      <c r="I328" s="3278">
        <v>123</v>
      </c>
      <c r="J328" s="3278">
        <v>5696</v>
      </c>
      <c r="K328" s="3278">
        <v>84</v>
      </c>
      <c r="L328" s="3278">
        <v>1763</v>
      </c>
      <c r="M328" s="1702">
        <v>15474</v>
      </c>
      <c r="N328" s="3278">
        <v>7280</v>
      </c>
      <c r="O328" s="3278">
        <v>2275</v>
      </c>
      <c r="P328" s="3278">
        <v>9855</v>
      </c>
      <c r="Q328" s="3281"/>
      <c r="R328" s="2311">
        <v>48904</v>
      </c>
      <c r="S328" s="2370"/>
      <c r="T328" s="2371"/>
      <c r="U328" s="2300"/>
    </row>
    <row r="329" spans="1:21">
      <c r="A329" s="2202">
        <f t="shared" si="4"/>
        <v>2020.08</v>
      </c>
      <c r="B329" s="1707">
        <v>1028936</v>
      </c>
      <c r="C329" s="3278">
        <v>534141</v>
      </c>
      <c r="D329" s="2366">
        <v>494795</v>
      </c>
      <c r="E329" s="1702">
        <v>103237</v>
      </c>
      <c r="F329" s="3278">
        <v>53933</v>
      </c>
      <c r="G329" s="2366">
        <v>49304</v>
      </c>
      <c r="H329" s="1700">
        <v>6901</v>
      </c>
      <c r="I329" s="3278">
        <v>121</v>
      </c>
      <c r="J329" s="3278">
        <v>5681</v>
      </c>
      <c r="K329" s="3278">
        <v>83</v>
      </c>
      <c r="L329" s="3278">
        <v>1765</v>
      </c>
      <c r="M329" s="1702">
        <v>15407</v>
      </c>
      <c r="N329" s="3278">
        <v>7241</v>
      </c>
      <c r="O329" s="3278">
        <v>2279</v>
      </c>
      <c r="P329" s="3278">
        <v>9826</v>
      </c>
      <c r="Q329" s="3281"/>
      <c r="R329" s="2311">
        <v>48660</v>
      </c>
      <c r="S329" s="2370"/>
      <c r="T329" s="2371"/>
      <c r="U329" s="2300"/>
    </row>
    <row r="330" spans="1:21">
      <c r="A330" s="2202">
        <f t="shared" si="4"/>
        <v>2020.09</v>
      </c>
      <c r="B330" s="1707">
        <v>1027105</v>
      </c>
      <c r="C330" s="3278">
        <v>532861</v>
      </c>
      <c r="D330" s="2366">
        <v>494244</v>
      </c>
      <c r="E330" s="1702">
        <v>103303</v>
      </c>
      <c r="F330" s="3278">
        <v>53971</v>
      </c>
      <c r="G330" s="2366">
        <v>49332</v>
      </c>
      <c r="H330" s="1701">
        <v>6864</v>
      </c>
      <c r="I330" s="3278">
        <v>121</v>
      </c>
      <c r="J330" s="3278">
        <v>5709</v>
      </c>
      <c r="K330" s="3278">
        <v>84</v>
      </c>
      <c r="L330" s="3278">
        <v>1771</v>
      </c>
      <c r="M330" s="1702">
        <v>15427</v>
      </c>
      <c r="N330" s="3278">
        <v>7248</v>
      </c>
      <c r="O330" s="3278">
        <v>2279</v>
      </c>
      <c r="P330" s="3278">
        <v>9829</v>
      </c>
      <c r="Q330" s="3281"/>
      <c r="R330" s="2311">
        <v>48986</v>
      </c>
      <c r="S330" s="2370"/>
      <c r="T330" s="2371"/>
      <c r="U330" s="2300"/>
    </row>
    <row r="331" spans="1:21">
      <c r="A331" s="2202">
        <f t="shared" si="4"/>
        <v>2020.1</v>
      </c>
      <c r="B331" s="1707">
        <v>1025948</v>
      </c>
      <c r="C331" s="3278">
        <v>531514</v>
      </c>
      <c r="D331" s="2366">
        <v>494434</v>
      </c>
      <c r="E331" s="1702">
        <v>98335</v>
      </c>
      <c r="F331" s="3278">
        <v>48983</v>
      </c>
      <c r="G331" s="2366">
        <v>49332</v>
      </c>
      <c r="H331" s="1700">
        <v>6864</v>
      </c>
      <c r="I331" s="3278">
        <v>121</v>
      </c>
      <c r="J331" s="3278">
        <v>5723</v>
      </c>
      <c r="K331" s="3278">
        <v>83</v>
      </c>
      <c r="L331" s="3278">
        <v>1776</v>
      </c>
      <c r="M331" s="1702">
        <f>13910+1500</f>
        <v>15410</v>
      </c>
      <c r="N331" s="3278">
        <f>6566+669</f>
        <v>7235</v>
      </c>
      <c r="O331" s="3278">
        <f>898+1370</f>
        <v>2268</v>
      </c>
      <c r="P331" s="3278">
        <f>189+2525+967+309+956+1706+696+2285+219</f>
        <v>9852</v>
      </c>
      <c r="Q331" s="3281"/>
      <c r="R331" s="2311">
        <v>49584</v>
      </c>
      <c r="S331" s="2370"/>
      <c r="T331" s="2371"/>
      <c r="U331" s="2300"/>
    </row>
    <row r="332" spans="1:21">
      <c r="A332" s="2202">
        <f t="shared" si="4"/>
        <v>2020.11</v>
      </c>
      <c r="B332" s="1707">
        <v>1022720</v>
      </c>
      <c r="C332" s="3278">
        <v>529403</v>
      </c>
      <c r="D332" s="2366">
        <v>493317</v>
      </c>
      <c r="E332" s="1702">
        <v>98102</v>
      </c>
      <c r="F332" s="3278">
        <v>48895</v>
      </c>
      <c r="G332" s="2366">
        <v>49207</v>
      </c>
      <c r="H332" s="1701">
        <v>6912</v>
      </c>
      <c r="I332" s="3278">
        <v>121</v>
      </c>
      <c r="J332" s="3278">
        <v>5699</v>
      </c>
      <c r="K332" s="3278">
        <v>83</v>
      </c>
      <c r="L332" s="3278">
        <v>1777</v>
      </c>
      <c r="M332" s="1702">
        <v>15379</v>
      </c>
      <c r="N332" s="3278">
        <v>7163</v>
      </c>
      <c r="O332" s="3278">
        <v>2262</v>
      </c>
      <c r="P332" s="3278">
        <v>9811</v>
      </c>
      <c r="Q332" s="3281"/>
      <c r="R332" s="2311">
        <v>48142</v>
      </c>
      <c r="S332" s="2370"/>
      <c r="T332" s="2371"/>
      <c r="U332" s="2300"/>
    </row>
    <row r="333" spans="1:21">
      <c r="A333" s="2202">
        <f t="shared" si="4"/>
        <v>2020.12</v>
      </c>
      <c r="B333" s="1707">
        <v>1017073</v>
      </c>
      <c r="C333" s="3278">
        <v>525437</v>
      </c>
      <c r="D333" s="2366">
        <v>491636</v>
      </c>
      <c r="E333" s="1702">
        <v>102807</v>
      </c>
      <c r="F333" s="3278">
        <v>53656</v>
      </c>
      <c r="G333" s="2366">
        <v>49151</v>
      </c>
      <c r="H333" s="1700">
        <v>7001</v>
      </c>
      <c r="I333" s="3278">
        <v>120</v>
      </c>
      <c r="J333" s="3278">
        <v>5685</v>
      </c>
      <c r="K333" s="3278">
        <v>83</v>
      </c>
      <c r="L333" s="3278">
        <v>1784</v>
      </c>
      <c r="M333" s="1702">
        <v>15326</v>
      </c>
      <c r="N333" s="3278">
        <v>7101</v>
      </c>
      <c r="O333" s="3278">
        <v>2256</v>
      </c>
      <c r="P333" s="3278">
        <v>9795</v>
      </c>
      <c r="Q333" s="3281"/>
      <c r="R333" s="2311">
        <v>49027</v>
      </c>
      <c r="S333" s="2370"/>
      <c r="T333" s="2371"/>
      <c r="U333" s="2300"/>
    </row>
    <row r="334" spans="1:21">
      <c r="A334" s="2202">
        <f t="shared" si="4"/>
        <v>2021.01</v>
      </c>
      <c r="B334" s="1707">
        <v>1011315</v>
      </c>
      <c r="C334" s="3278">
        <v>519501</v>
      </c>
      <c r="D334" s="2366">
        <v>491814</v>
      </c>
      <c r="E334" s="1702">
        <v>102503</v>
      </c>
      <c r="F334" s="3278">
        <v>53486</v>
      </c>
      <c r="G334" s="2366">
        <v>49017</v>
      </c>
      <c r="H334" s="1701">
        <v>6992</v>
      </c>
      <c r="I334" s="3278">
        <v>119</v>
      </c>
      <c r="J334" s="3278">
        <v>5674</v>
      </c>
      <c r="K334" s="3278">
        <v>82</v>
      </c>
      <c r="L334" s="3278">
        <v>1781</v>
      </c>
      <c r="M334" s="1702">
        <v>15301</v>
      </c>
      <c r="N334" s="3278">
        <v>7055</v>
      </c>
      <c r="O334" s="3278">
        <v>2247</v>
      </c>
      <c r="P334" s="3278">
        <v>9766</v>
      </c>
      <c r="Q334" s="3281"/>
      <c r="R334" s="2311">
        <v>49819</v>
      </c>
      <c r="S334" s="2370"/>
      <c r="T334" s="2371"/>
      <c r="U334" s="2204"/>
    </row>
    <row r="335" spans="1:21">
      <c r="A335" s="2202">
        <f t="shared" si="4"/>
        <v>2021.02</v>
      </c>
      <c r="B335" s="1707">
        <v>1008810</v>
      </c>
      <c r="C335" s="3278">
        <v>518229</v>
      </c>
      <c r="D335" s="2366">
        <v>490581</v>
      </c>
      <c r="E335" s="1702">
        <v>102107</v>
      </c>
      <c r="F335" s="3278">
        <v>53420</v>
      </c>
      <c r="G335" s="2366">
        <v>48687</v>
      </c>
      <c r="H335" s="1700">
        <v>6845</v>
      </c>
      <c r="I335" s="3278">
        <v>119</v>
      </c>
      <c r="J335" s="3278">
        <v>5666</v>
      </c>
      <c r="K335" s="3278">
        <v>82</v>
      </c>
      <c r="L335" s="3278">
        <v>1762</v>
      </c>
      <c r="M335" s="1702">
        <v>15204</v>
      </c>
      <c r="N335" s="3278">
        <v>7033</v>
      </c>
      <c r="O335" s="3278">
        <v>2247</v>
      </c>
      <c r="P335" s="3278">
        <v>9729</v>
      </c>
      <c r="Q335" s="3281"/>
      <c r="R335" s="2311">
        <v>49398</v>
      </c>
      <c r="S335" s="2370"/>
      <c r="T335" s="2371"/>
      <c r="U335" s="2204"/>
    </row>
    <row r="336" spans="1:21">
      <c r="A336" s="2202">
        <f t="shared" si="4"/>
        <v>2021.03</v>
      </c>
      <c r="B336" s="1707">
        <v>1009484</v>
      </c>
      <c r="C336" s="3278">
        <v>518783</v>
      </c>
      <c r="D336" s="2366">
        <v>490701</v>
      </c>
      <c r="E336" s="1702">
        <v>102167</v>
      </c>
      <c r="F336" s="3278">
        <v>53488</v>
      </c>
      <c r="G336" s="2366">
        <v>48679</v>
      </c>
      <c r="H336" s="1701">
        <v>6809</v>
      </c>
      <c r="I336" s="3278">
        <v>119</v>
      </c>
      <c r="J336" s="3278">
        <v>5688</v>
      </c>
      <c r="K336" s="3278">
        <v>82</v>
      </c>
      <c r="L336" s="3278">
        <v>1769</v>
      </c>
      <c r="M336" s="1702">
        <v>15236</v>
      </c>
      <c r="N336" s="3278">
        <v>7004</v>
      </c>
      <c r="O336" s="3278">
        <v>2243</v>
      </c>
      <c r="P336" s="3278">
        <v>9729</v>
      </c>
      <c r="Q336" s="3281"/>
      <c r="R336" s="2311">
        <v>46998</v>
      </c>
      <c r="S336" s="2370"/>
      <c r="T336" s="2371"/>
      <c r="U336" s="2204"/>
    </row>
    <row r="337" spans="1:20">
      <c r="A337" s="2202">
        <f t="shared" si="4"/>
        <v>2021.04</v>
      </c>
      <c r="B337" s="1707">
        <v>1012156</v>
      </c>
      <c r="C337" s="3278">
        <v>521448</v>
      </c>
      <c r="D337" s="2366">
        <v>490708</v>
      </c>
      <c r="E337" s="1702">
        <v>102810</v>
      </c>
      <c r="F337" s="3278">
        <v>53799</v>
      </c>
      <c r="G337" s="2366">
        <v>49011</v>
      </c>
      <c r="H337" s="1700">
        <v>6968</v>
      </c>
      <c r="I337" s="3278">
        <v>118</v>
      </c>
      <c r="J337" s="3278">
        <v>5708</v>
      </c>
      <c r="K337" s="3278">
        <v>82</v>
      </c>
      <c r="L337" s="3278">
        <v>1782</v>
      </c>
      <c r="M337" s="1702">
        <v>15259</v>
      </c>
      <c r="N337" s="3278">
        <v>7097</v>
      </c>
      <c r="O337" s="3278">
        <v>2241</v>
      </c>
      <c r="P337" s="3278">
        <v>9756</v>
      </c>
      <c r="Q337" s="3281"/>
      <c r="R337" s="2311">
        <v>47166</v>
      </c>
      <c r="S337" s="2370"/>
      <c r="T337" s="2371"/>
    </row>
    <row r="338" spans="1:20">
      <c r="A338" s="2202">
        <f t="shared" si="4"/>
        <v>2021.05</v>
      </c>
      <c r="B338" s="1707">
        <v>1013277</v>
      </c>
      <c r="C338" s="3278">
        <v>522620</v>
      </c>
      <c r="D338" s="2366">
        <v>490657</v>
      </c>
      <c r="E338" s="1702">
        <v>103166</v>
      </c>
      <c r="F338" s="3278">
        <v>53889</v>
      </c>
      <c r="G338" s="2366">
        <v>49277</v>
      </c>
      <c r="H338" s="1701">
        <v>7115</v>
      </c>
      <c r="I338" s="3278">
        <v>117</v>
      </c>
      <c r="J338" s="3278">
        <v>5734</v>
      </c>
      <c r="K338" s="3278">
        <v>82</v>
      </c>
      <c r="L338" s="3278">
        <v>1793</v>
      </c>
      <c r="M338" s="1702">
        <v>15292</v>
      </c>
      <c r="N338" s="3278">
        <v>7121</v>
      </c>
      <c r="O338" s="3278">
        <v>2243</v>
      </c>
      <c r="P338" s="3278">
        <v>9780</v>
      </c>
      <c r="Q338" s="3281"/>
      <c r="R338" s="2311">
        <v>46372</v>
      </c>
      <c r="S338" s="2370"/>
      <c r="T338" s="2371"/>
    </row>
    <row r="339" spans="1:20">
      <c r="A339" s="2202">
        <f t="shared" si="4"/>
        <v>2021.06</v>
      </c>
      <c r="B339" s="1707">
        <v>1012662</v>
      </c>
      <c r="C339" s="3278">
        <v>523335</v>
      </c>
      <c r="D339" s="2366">
        <v>489327</v>
      </c>
      <c r="E339" s="1702">
        <v>103284</v>
      </c>
      <c r="F339" s="3278">
        <v>54054</v>
      </c>
      <c r="G339" s="2366">
        <v>49230</v>
      </c>
      <c r="H339" s="1701">
        <v>7105</v>
      </c>
      <c r="I339" s="3278">
        <v>117</v>
      </c>
      <c r="J339" s="3278">
        <v>5745</v>
      </c>
      <c r="K339" s="3278">
        <v>80</v>
      </c>
      <c r="L339" s="3278">
        <v>1792</v>
      </c>
      <c r="M339" s="1702">
        <v>15261</v>
      </c>
      <c r="N339" s="3278">
        <v>7114</v>
      </c>
      <c r="O339" s="3278">
        <v>2233</v>
      </c>
      <c r="P339" s="3278">
        <v>9783</v>
      </c>
      <c r="Q339" s="3281"/>
      <c r="R339" s="2311">
        <v>46743</v>
      </c>
      <c r="S339" s="2370"/>
      <c r="T339" s="2371"/>
    </row>
    <row r="340" spans="1:20">
      <c r="A340" s="2202">
        <f t="shared" si="4"/>
        <v>2021.07</v>
      </c>
      <c r="B340" s="1707">
        <v>1012159</v>
      </c>
      <c r="C340" s="3278">
        <v>524021</v>
      </c>
      <c r="D340" s="2366">
        <v>488138</v>
      </c>
      <c r="E340" s="1702">
        <v>103159</v>
      </c>
      <c r="F340" s="3278">
        <v>54142</v>
      </c>
      <c r="G340" s="2366">
        <v>49017</v>
      </c>
      <c r="H340" s="1701">
        <v>7030</v>
      </c>
      <c r="I340" s="3278">
        <v>116</v>
      </c>
      <c r="J340" s="3278">
        <v>5739</v>
      </c>
      <c r="K340" s="3278">
        <v>80</v>
      </c>
      <c r="L340" s="3278">
        <v>1805</v>
      </c>
      <c r="M340" s="1702">
        <v>15189</v>
      </c>
      <c r="N340" s="3278">
        <v>7062</v>
      </c>
      <c r="O340" s="3278">
        <v>2207</v>
      </c>
      <c r="P340" s="3278">
        <v>9789</v>
      </c>
      <c r="Q340" s="3281"/>
      <c r="R340" s="2311">
        <v>46215</v>
      </c>
      <c r="S340" s="2370"/>
      <c r="T340" s="2371"/>
    </row>
    <row r="341" spans="1:20">
      <c r="A341" s="2202">
        <f t="shared" si="4"/>
        <v>2021.08</v>
      </c>
      <c r="B341" s="1707">
        <v>1012172</v>
      </c>
      <c r="C341" s="3278">
        <v>523926</v>
      </c>
      <c r="D341" s="2366">
        <v>488246</v>
      </c>
      <c r="E341" s="1702">
        <v>103331</v>
      </c>
      <c r="F341" s="3278">
        <v>54283</v>
      </c>
      <c r="G341" s="2366">
        <v>49048</v>
      </c>
      <c r="H341" s="1701">
        <v>6978</v>
      </c>
      <c r="I341" s="3278">
        <v>115</v>
      </c>
      <c r="J341" s="3278">
        <v>5760</v>
      </c>
      <c r="K341" s="3278">
        <v>80</v>
      </c>
      <c r="L341" s="3278">
        <v>1803</v>
      </c>
      <c r="M341" s="1702">
        <v>15226</v>
      </c>
      <c r="N341" s="3278">
        <v>7085</v>
      </c>
      <c r="O341" s="3278">
        <v>2213</v>
      </c>
      <c r="P341" s="3278">
        <v>9788</v>
      </c>
      <c r="Q341" s="3281"/>
      <c r="R341" s="2311">
        <v>42487</v>
      </c>
      <c r="S341" s="2370"/>
      <c r="T341" s="2371"/>
    </row>
    <row r="342" spans="1:20">
      <c r="A342" s="2202">
        <f t="shared" si="4"/>
        <v>2021.09</v>
      </c>
      <c r="B342" s="1707">
        <v>1011122</v>
      </c>
      <c r="C342" s="3278">
        <v>524340</v>
      </c>
      <c r="D342" s="2366">
        <v>486782</v>
      </c>
      <c r="E342" s="1702">
        <v>103103</v>
      </c>
      <c r="F342" s="3278">
        <v>54293</v>
      </c>
      <c r="G342" s="2366">
        <v>48810</v>
      </c>
      <c r="H342" s="1701">
        <v>6902</v>
      </c>
      <c r="I342" s="3278">
        <v>115</v>
      </c>
      <c r="J342" s="3278">
        <v>5735</v>
      </c>
      <c r="K342" s="3278">
        <v>80</v>
      </c>
      <c r="L342" s="3278">
        <v>1814</v>
      </c>
      <c r="M342" s="1702">
        <v>15193</v>
      </c>
      <c r="N342" s="3278">
        <v>7059</v>
      </c>
      <c r="O342" s="3278">
        <v>2203</v>
      </c>
      <c r="P342" s="3278">
        <v>9709</v>
      </c>
      <c r="Q342" s="3281"/>
      <c r="R342" s="2311">
        <v>43276</v>
      </c>
      <c r="S342" s="2370"/>
      <c r="T342" s="2371"/>
    </row>
    <row r="343" spans="1:20">
      <c r="A343" s="2202">
        <f t="shared" si="4"/>
        <v>2021.1</v>
      </c>
      <c r="B343" s="1707">
        <v>1014945</v>
      </c>
      <c r="C343" s="3278">
        <v>525156</v>
      </c>
      <c r="D343" s="2366">
        <v>489789</v>
      </c>
      <c r="E343" s="1702">
        <v>103719</v>
      </c>
      <c r="F343" s="3278">
        <v>54442</v>
      </c>
      <c r="G343" s="2366">
        <v>49277</v>
      </c>
      <c r="H343" s="1701">
        <v>6951</v>
      </c>
      <c r="I343" s="3278">
        <v>115</v>
      </c>
      <c r="J343" s="3278">
        <v>5783</v>
      </c>
      <c r="K343" s="3278">
        <v>80</v>
      </c>
      <c r="L343" s="3278">
        <v>1835</v>
      </c>
      <c r="M343" s="1702">
        <v>15374</v>
      </c>
      <c r="N343" s="3278">
        <v>7119</v>
      </c>
      <c r="O343" s="3278">
        <v>2215</v>
      </c>
      <c r="P343" s="3278">
        <v>9805</v>
      </c>
      <c r="Q343" s="3281"/>
      <c r="R343" s="2311">
        <v>46943</v>
      </c>
      <c r="S343" s="2370"/>
      <c r="T343" s="2371"/>
    </row>
    <row r="344" spans="1:20">
      <c r="A344" s="2202">
        <f t="shared" si="4"/>
        <v>2021.11</v>
      </c>
      <c r="B344" s="1732">
        <v>1017612</v>
      </c>
      <c r="C344" s="3034">
        <v>527268</v>
      </c>
      <c r="D344" s="2144">
        <v>490344</v>
      </c>
      <c r="E344" s="1708">
        <f>AVERAGE(E343,E345)</f>
        <v>104131.5</v>
      </c>
      <c r="F344" s="3033">
        <f>AVERAGE(F343,F345)</f>
        <v>54671</v>
      </c>
      <c r="G344" s="2372">
        <f>AVERAGE(G343,G345)</f>
        <v>49460.5</v>
      </c>
      <c r="H344" s="947">
        <f>AVERAGE(H343,H345)</f>
        <v>7031.5</v>
      </c>
      <c r="I344" s="3033">
        <f>AVERAGE(I343,I345)</f>
        <v>113.5</v>
      </c>
      <c r="J344" s="3033">
        <f t="shared" ref="J344:P344" si="5">AVERAGE(J343,J345)</f>
        <v>5782</v>
      </c>
      <c r="K344" s="3033">
        <f t="shared" si="5"/>
        <v>80</v>
      </c>
      <c r="L344" s="3033">
        <f t="shared" si="5"/>
        <v>1850</v>
      </c>
      <c r="M344" s="3033">
        <f t="shared" si="5"/>
        <v>15430.5</v>
      </c>
      <c r="N344" s="3033">
        <f t="shared" si="5"/>
        <v>7135.5</v>
      </c>
      <c r="O344" s="3033">
        <f t="shared" si="5"/>
        <v>2214.5</v>
      </c>
      <c r="P344" s="3033">
        <f t="shared" si="5"/>
        <v>9823</v>
      </c>
      <c r="Q344" s="3281"/>
      <c r="R344" s="2311">
        <v>43912</v>
      </c>
      <c r="S344" s="2370"/>
      <c r="T344" s="2371"/>
    </row>
    <row r="345" spans="1:20">
      <c r="A345" s="2202">
        <f t="shared" si="4"/>
        <v>2021.12</v>
      </c>
      <c r="B345" s="1707">
        <v>1021050</v>
      </c>
      <c r="C345" s="3278">
        <v>529881</v>
      </c>
      <c r="D345" s="2366">
        <v>491169</v>
      </c>
      <c r="E345" s="1702">
        <v>104544</v>
      </c>
      <c r="F345" s="3278">
        <v>54900</v>
      </c>
      <c r="G345" s="2366">
        <v>49644</v>
      </c>
      <c r="H345" s="1701">
        <v>7112</v>
      </c>
      <c r="I345" s="3278">
        <v>112</v>
      </c>
      <c r="J345" s="3278">
        <v>5781</v>
      </c>
      <c r="K345" s="3278">
        <v>80</v>
      </c>
      <c r="L345" s="3278">
        <v>1865</v>
      </c>
      <c r="M345" s="1702">
        <v>15487</v>
      </c>
      <c r="N345" s="3278">
        <v>7152</v>
      </c>
      <c r="O345" s="3278">
        <v>2214</v>
      </c>
      <c r="P345" s="3278">
        <v>9841</v>
      </c>
      <c r="Q345" s="3281"/>
      <c r="R345" s="2311">
        <v>42247</v>
      </c>
      <c r="S345" s="2370"/>
      <c r="T345" s="2371"/>
    </row>
    <row r="346" spans="1:20">
      <c r="A346" s="2202">
        <f t="shared" si="4"/>
        <v>2022.01</v>
      </c>
      <c r="B346" s="1707">
        <v>1019971</v>
      </c>
      <c r="C346" s="3278">
        <v>526310</v>
      </c>
      <c r="D346" s="2366">
        <v>493661</v>
      </c>
      <c r="E346" s="1702">
        <v>104701</v>
      </c>
      <c r="F346" s="3278">
        <v>55047</v>
      </c>
      <c r="G346" s="2366">
        <v>49654</v>
      </c>
      <c r="H346" s="1701">
        <v>7115</v>
      </c>
      <c r="I346" s="3278">
        <v>116</v>
      </c>
      <c r="J346" s="3278">
        <v>5774</v>
      </c>
      <c r="K346" s="3278">
        <v>80</v>
      </c>
      <c r="L346" s="3278">
        <v>1847</v>
      </c>
      <c r="M346" s="1702">
        <v>15508</v>
      </c>
      <c r="N346" s="3278">
        <v>7164</v>
      </c>
      <c r="O346" s="3278">
        <v>2216</v>
      </c>
      <c r="P346" s="3278">
        <v>9834</v>
      </c>
      <c r="Q346" s="3281"/>
      <c r="R346" s="2311">
        <v>41108</v>
      </c>
      <c r="S346" s="2370"/>
      <c r="T346" s="2371"/>
    </row>
    <row r="347" spans="1:20">
      <c r="A347" s="2202">
        <f t="shared" si="4"/>
        <v>2022.02</v>
      </c>
      <c r="B347" s="1707">
        <v>1018298</v>
      </c>
      <c r="C347" s="3278">
        <v>523207</v>
      </c>
      <c r="D347" s="2366">
        <v>495091</v>
      </c>
      <c r="E347" s="1702">
        <v>104128</v>
      </c>
      <c r="F347" s="3278">
        <v>54756</v>
      </c>
      <c r="G347" s="2366">
        <v>49372</v>
      </c>
      <c r="H347" s="1701">
        <v>6993</v>
      </c>
      <c r="I347" s="3278">
        <v>115</v>
      </c>
      <c r="J347" s="3278">
        <v>5747</v>
      </c>
      <c r="K347" s="3278">
        <v>81</v>
      </c>
      <c r="L347" s="3278">
        <v>1852</v>
      </c>
      <c r="M347" s="1702">
        <v>15514</v>
      </c>
      <c r="N347" s="3278">
        <v>7081</v>
      </c>
      <c r="O347" s="3278">
        <v>2209</v>
      </c>
      <c r="P347" s="3278">
        <v>9780</v>
      </c>
      <c r="Q347" s="3281"/>
      <c r="R347" s="2311">
        <v>41971</v>
      </c>
      <c r="S347" s="2370"/>
      <c r="T347" s="2371"/>
    </row>
    <row r="348" spans="1:20">
      <c r="A348" s="2202">
        <f t="shared" si="4"/>
        <v>2022.03</v>
      </c>
      <c r="B348" s="1707">
        <v>1017830</v>
      </c>
      <c r="C348" s="3278">
        <v>521999</v>
      </c>
      <c r="D348" s="2366">
        <v>495831</v>
      </c>
      <c r="E348" s="1702">
        <v>104240</v>
      </c>
      <c r="F348" s="3278">
        <v>54751</v>
      </c>
      <c r="G348" s="2366">
        <v>49489</v>
      </c>
      <c r="H348" s="1701">
        <v>6975</v>
      </c>
      <c r="I348" s="3278">
        <v>116</v>
      </c>
      <c r="J348" s="3278">
        <v>5769</v>
      </c>
      <c r="K348" s="3278">
        <v>81</v>
      </c>
      <c r="L348" s="3278">
        <v>1854</v>
      </c>
      <c r="M348" s="1702">
        <v>15580</v>
      </c>
      <c r="N348" s="3278">
        <v>7097</v>
      </c>
      <c r="O348" s="3278">
        <v>2208</v>
      </c>
      <c r="P348" s="3278">
        <v>9809</v>
      </c>
      <c r="Q348" s="3281"/>
      <c r="R348" s="2311">
        <v>41062</v>
      </c>
      <c r="S348" s="2370"/>
      <c r="T348" s="2371"/>
    </row>
    <row r="349" spans="1:20">
      <c r="A349" s="2202">
        <f t="shared" si="4"/>
        <v>2022.04</v>
      </c>
      <c r="B349" s="1707">
        <v>1018590</v>
      </c>
      <c r="C349" s="3278">
        <v>523132</v>
      </c>
      <c r="D349" s="2366">
        <v>495458</v>
      </c>
      <c r="E349" s="1702">
        <v>104621</v>
      </c>
      <c r="F349" s="3278">
        <v>54827</v>
      </c>
      <c r="G349" s="2366">
        <v>49794</v>
      </c>
      <c r="H349" s="1701">
        <v>7099</v>
      </c>
      <c r="I349" s="3278">
        <v>116</v>
      </c>
      <c r="J349" s="3278">
        <v>5770</v>
      </c>
      <c r="K349" s="3278">
        <v>81</v>
      </c>
      <c r="L349" s="3278">
        <v>1879</v>
      </c>
      <c r="M349" s="1702">
        <v>15676</v>
      </c>
      <c r="N349" s="3278">
        <v>7106</v>
      </c>
      <c r="O349" s="3278">
        <v>2204</v>
      </c>
      <c r="P349" s="3278">
        <v>9863</v>
      </c>
      <c r="Q349" s="3281"/>
      <c r="R349" s="2369" t="s">
        <v>356</v>
      </c>
      <c r="S349" s="2370"/>
      <c r="T349" s="2371"/>
    </row>
    <row r="350" spans="1:20">
      <c r="A350" s="2202">
        <f t="shared" si="4"/>
        <v>2022.05</v>
      </c>
      <c r="B350" s="1707">
        <v>1019899</v>
      </c>
      <c r="C350" s="3278">
        <v>523705</v>
      </c>
      <c r="D350" s="2366">
        <v>496194</v>
      </c>
      <c r="E350" s="1702">
        <v>104997</v>
      </c>
      <c r="F350" s="3278">
        <v>54967</v>
      </c>
      <c r="G350" s="2366">
        <v>50030</v>
      </c>
      <c r="H350" s="1701">
        <v>7186</v>
      </c>
      <c r="I350" s="3278">
        <v>118</v>
      </c>
      <c r="J350" s="3278">
        <v>5786</v>
      </c>
      <c r="K350" s="3278">
        <v>81</v>
      </c>
      <c r="L350" s="3278">
        <v>1905</v>
      </c>
      <c r="M350" s="1702">
        <v>15752</v>
      </c>
      <c r="N350" s="3278">
        <v>7140</v>
      </c>
      <c r="O350" s="3278">
        <v>2213</v>
      </c>
      <c r="P350" s="3278">
        <v>9849</v>
      </c>
      <c r="Q350" s="3281"/>
      <c r="R350" s="2370"/>
      <c r="S350" s="2370"/>
      <c r="T350" s="2371"/>
    </row>
    <row r="351" spans="1:20">
      <c r="A351" s="2202">
        <f t="shared" si="4"/>
        <v>2022.06</v>
      </c>
      <c r="B351" s="1707">
        <v>1023530</v>
      </c>
      <c r="C351" s="3278">
        <v>526048</v>
      </c>
      <c r="D351" s="2366">
        <v>497482</v>
      </c>
      <c r="E351" s="1702">
        <v>105342</v>
      </c>
      <c r="F351" s="3278">
        <v>55214</v>
      </c>
      <c r="G351" s="2366">
        <v>50128</v>
      </c>
      <c r="H351" s="1701">
        <v>7176</v>
      </c>
      <c r="I351" s="3278">
        <v>112</v>
      </c>
      <c r="J351" s="3278">
        <v>5789</v>
      </c>
      <c r="K351" s="3278">
        <v>81</v>
      </c>
      <c r="L351" s="3278">
        <v>1906</v>
      </c>
      <c r="M351" s="1702">
        <v>15831</v>
      </c>
      <c r="N351" s="3278">
        <v>7146</v>
      </c>
      <c r="O351" s="3278">
        <v>2211</v>
      </c>
      <c r="P351" s="3278">
        <v>9876</v>
      </c>
      <c r="Q351" s="3281"/>
      <c r="R351" s="2370"/>
      <c r="S351" s="2370"/>
      <c r="T351" s="2371"/>
    </row>
    <row r="352" spans="1:20">
      <c r="A352" s="2202">
        <f t="shared" si="4"/>
        <v>2022.07</v>
      </c>
      <c r="B352" s="1707">
        <v>1026458</v>
      </c>
      <c r="C352" s="3278">
        <v>527619</v>
      </c>
      <c r="D352" s="2366">
        <v>498839</v>
      </c>
      <c r="E352" s="1702">
        <v>105515</v>
      </c>
      <c r="F352" s="3278">
        <v>55377</v>
      </c>
      <c r="G352" s="2366">
        <v>50138</v>
      </c>
      <c r="H352" s="1701">
        <v>7103</v>
      </c>
      <c r="I352" s="3278">
        <v>115</v>
      </c>
      <c r="J352" s="3278">
        <v>5796</v>
      </c>
      <c r="K352" s="3278">
        <v>80</v>
      </c>
      <c r="L352" s="3278">
        <v>1889</v>
      </c>
      <c r="M352" s="1702">
        <v>15883</v>
      </c>
      <c r="N352" s="3278">
        <v>7158</v>
      </c>
      <c r="O352" s="3278">
        <v>2209</v>
      </c>
      <c r="P352" s="3278">
        <v>9905</v>
      </c>
      <c r="Q352" s="3281"/>
      <c r="R352" s="2370"/>
      <c r="S352" s="2370"/>
      <c r="T352" s="2371"/>
    </row>
    <row r="353" spans="1:20">
      <c r="A353" s="2202">
        <f t="shared" si="4"/>
        <v>2022.08</v>
      </c>
      <c r="B353" s="1707">
        <v>1029149</v>
      </c>
      <c r="C353" s="3278">
        <v>528433</v>
      </c>
      <c r="D353" s="2366">
        <v>500716</v>
      </c>
      <c r="E353" s="1702">
        <v>105707</v>
      </c>
      <c r="F353" s="3278">
        <v>55454</v>
      </c>
      <c r="G353" s="2366">
        <v>50253</v>
      </c>
      <c r="H353" s="1701">
        <v>7080</v>
      </c>
      <c r="I353" s="3278">
        <v>114</v>
      </c>
      <c r="J353" s="3278">
        <v>5799</v>
      </c>
      <c r="K353" s="3278">
        <v>80</v>
      </c>
      <c r="L353" s="3278">
        <v>1906</v>
      </c>
      <c r="M353" s="1702">
        <v>15975</v>
      </c>
      <c r="N353" s="3278">
        <v>7182</v>
      </c>
      <c r="O353" s="3278">
        <v>2202</v>
      </c>
      <c r="P353" s="3278">
        <v>9915</v>
      </c>
      <c r="Q353" s="3281"/>
      <c r="R353" s="2370"/>
      <c r="S353" s="2370"/>
      <c r="T353" s="2371"/>
    </row>
    <row r="354" spans="1:20">
      <c r="A354" s="2202">
        <f t="shared" si="4"/>
        <v>2022.09</v>
      </c>
      <c r="B354" s="1707">
        <v>1032338</v>
      </c>
      <c r="C354" s="3278">
        <v>529365</v>
      </c>
      <c r="D354" s="2366">
        <v>502973</v>
      </c>
      <c r="E354" s="1702">
        <v>105909</v>
      </c>
      <c r="F354" s="3278">
        <v>55571</v>
      </c>
      <c r="G354" s="2366">
        <v>252870</v>
      </c>
      <c r="H354" s="1701">
        <v>7044</v>
      </c>
      <c r="I354" s="3278">
        <v>115</v>
      </c>
      <c r="J354" s="3278">
        <v>5824</v>
      </c>
      <c r="K354" s="3278">
        <v>81</v>
      </c>
      <c r="L354" s="3278">
        <v>1927</v>
      </c>
      <c r="M354" s="1702">
        <v>16033</v>
      </c>
      <c r="N354" s="3278">
        <v>7174</v>
      </c>
      <c r="O354" s="3278">
        <v>2199</v>
      </c>
      <c r="P354" s="3278">
        <v>9941</v>
      </c>
      <c r="Q354" s="3281"/>
      <c r="R354" s="2370"/>
      <c r="S354" s="2370"/>
      <c r="T354" s="2371"/>
    </row>
    <row r="355" spans="1:20">
      <c r="A355" s="2202">
        <f t="shared" si="4"/>
        <v>2022.1</v>
      </c>
      <c r="B355" s="1707">
        <v>1034098</v>
      </c>
      <c r="C355" s="3278">
        <v>529856</v>
      </c>
      <c r="D355" s="2366">
        <v>504242</v>
      </c>
      <c r="E355" s="1702">
        <v>106186</v>
      </c>
      <c r="F355" s="3278">
        <v>55761</v>
      </c>
      <c r="G355" s="2366">
        <v>249833</v>
      </c>
      <c r="H355" s="1701">
        <v>7015</v>
      </c>
      <c r="I355" s="3278">
        <v>115</v>
      </c>
      <c r="J355" s="3278">
        <v>5843</v>
      </c>
      <c r="K355" s="3278">
        <v>82</v>
      </c>
      <c r="L355" s="3278">
        <v>1935</v>
      </c>
      <c r="M355" s="1702">
        <v>16126</v>
      </c>
      <c r="N355" s="3278">
        <v>7178</v>
      </c>
      <c r="O355" s="3278">
        <v>2198</v>
      </c>
      <c r="P355" s="3278">
        <v>9933</v>
      </c>
      <c r="Q355" s="3281"/>
      <c r="R355" s="2370"/>
      <c r="S355" s="2370"/>
      <c r="T355" s="2371"/>
    </row>
    <row r="356" spans="1:20">
      <c r="A356" s="2202">
        <f t="shared" si="4"/>
        <v>2022.11</v>
      </c>
      <c r="B356" s="1707">
        <v>1035229</v>
      </c>
      <c r="C356" s="3278">
        <v>528922</v>
      </c>
      <c r="D356" s="2366">
        <v>506307</v>
      </c>
      <c r="E356" s="1702">
        <v>106460</v>
      </c>
      <c r="F356" s="3278">
        <v>55843</v>
      </c>
      <c r="G356" s="2366">
        <v>282497</v>
      </c>
      <c r="H356" s="1701">
        <v>7021</v>
      </c>
      <c r="I356" s="3278">
        <v>114</v>
      </c>
      <c r="J356" s="3278">
        <v>5883</v>
      </c>
      <c r="K356" s="3278">
        <v>81</v>
      </c>
      <c r="L356" s="3278">
        <v>1944</v>
      </c>
      <c r="M356" s="1702">
        <v>16202</v>
      </c>
      <c r="N356" s="3278">
        <v>7232</v>
      </c>
      <c r="O356" s="3278">
        <v>2193</v>
      </c>
      <c r="P356" s="3278">
        <v>9947</v>
      </c>
      <c r="Q356" s="3281"/>
      <c r="R356" s="2370"/>
      <c r="S356" s="2370"/>
      <c r="T356" s="2371"/>
    </row>
    <row r="357" spans="1:20">
      <c r="A357" s="2202">
        <f t="shared" si="4"/>
        <v>2022.12</v>
      </c>
      <c r="B357" s="1707">
        <v>1036136</v>
      </c>
      <c r="C357" s="3278">
        <v>528974</v>
      </c>
      <c r="D357" s="2366">
        <v>507162</v>
      </c>
      <c r="E357" s="1702">
        <v>106723</v>
      </c>
      <c r="F357" s="3278">
        <v>55914</v>
      </c>
      <c r="G357" s="2366">
        <v>238982</v>
      </c>
      <c r="H357" s="1701">
        <v>7097</v>
      </c>
      <c r="I357" s="3278">
        <v>109</v>
      </c>
      <c r="J357" s="3278">
        <v>5886</v>
      </c>
      <c r="K357" s="3278">
        <v>80</v>
      </c>
      <c r="L357" s="3278">
        <v>1934</v>
      </c>
      <c r="M357" s="1702">
        <v>16253</v>
      </c>
      <c r="N357" s="3278">
        <v>7231</v>
      </c>
      <c r="O357" s="3278">
        <v>2189</v>
      </c>
      <c r="P357" s="3278">
        <v>10030</v>
      </c>
      <c r="Q357" s="3281"/>
      <c r="R357" s="2370"/>
      <c r="S357" s="2370"/>
      <c r="T357" s="2371"/>
    </row>
    <row r="358" spans="1:20">
      <c r="A358" s="2202">
        <f t="shared" si="4"/>
        <v>2023.01</v>
      </c>
      <c r="B358" s="1707">
        <v>1032885</v>
      </c>
      <c r="C358" s="3278">
        <v>1630026.6702717617</v>
      </c>
      <c r="D358" s="2366">
        <v>127132.64021630569</v>
      </c>
      <c r="E358" s="1702">
        <v>5155.1640216305696</v>
      </c>
      <c r="F358" s="3278">
        <v>35586</v>
      </c>
      <c r="G358" s="2366">
        <v>243494</v>
      </c>
      <c r="H358" s="1701">
        <v>1160</v>
      </c>
      <c r="I358" s="3278">
        <v>109</v>
      </c>
      <c r="J358" s="3282">
        <v>5891</v>
      </c>
      <c r="K358" s="3278">
        <v>80</v>
      </c>
      <c r="L358" s="3278">
        <v>1923</v>
      </c>
      <c r="M358" s="1702">
        <v>16321</v>
      </c>
      <c r="N358" s="3278">
        <v>7265</v>
      </c>
      <c r="O358" s="3278">
        <v>2187</v>
      </c>
      <c r="P358" s="3278">
        <v>9997</v>
      </c>
      <c r="Q358" s="3281"/>
      <c r="R358" s="2370"/>
      <c r="S358" s="2370"/>
      <c r="T358" s="2371"/>
    </row>
    <row r="359" spans="1:20">
      <c r="A359" s="2202">
        <f t="shared" si="4"/>
        <v>2023.02</v>
      </c>
      <c r="B359" s="1707">
        <v>1031563</v>
      </c>
      <c r="C359" s="3278">
        <v>519948</v>
      </c>
      <c r="D359" s="2366">
        <v>511615</v>
      </c>
      <c r="E359" s="1702">
        <v>106149</v>
      </c>
      <c r="F359" s="3278">
        <v>55493</v>
      </c>
      <c r="G359" s="2366">
        <v>50656</v>
      </c>
      <c r="H359" s="1701">
        <v>7004</v>
      </c>
      <c r="I359" s="3278">
        <v>112</v>
      </c>
      <c r="J359" s="3278">
        <v>5877</v>
      </c>
      <c r="K359" s="3278">
        <v>80</v>
      </c>
      <c r="L359" s="3278">
        <v>1925</v>
      </c>
      <c r="M359" s="1702">
        <v>16316</v>
      </c>
      <c r="N359" s="3278">
        <v>7229</v>
      </c>
      <c r="O359" s="3278">
        <v>2173</v>
      </c>
      <c r="P359" s="3278">
        <v>9940</v>
      </c>
      <c r="Q359" s="3281"/>
      <c r="R359" s="2370"/>
      <c r="S359" s="2370"/>
      <c r="T359" s="2371"/>
    </row>
    <row r="360" spans="1:20">
      <c r="A360" s="2202">
        <f t="shared" si="4"/>
        <v>2023.03</v>
      </c>
      <c r="B360" s="1707">
        <v>1031528</v>
      </c>
      <c r="C360" s="3278">
        <v>519369</v>
      </c>
      <c r="D360" s="2366">
        <v>512159</v>
      </c>
      <c r="E360" s="1702">
        <v>106080</v>
      </c>
      <c r="F360" s="3278">
        <v>55526</v>
      </c>
      <c r="G360" s="2366">
        <v>50554</v>
      </c>
      <c r="H360" s="1701">
        <v>6926</v>
      </c>
      <c r="I360" s="3278">
        <v>110</v>
      </c>
      <c r="J360" s="3278">
        <v>5883</v>
      </c>
      <c r="K360" s="3278">
        <v>81</v>
      </c>
      <c r="L360" s="3278">
        <v>1926</v>
      </c>
      <c r="M360" s="1702">
        <v>16291</v>
      </c>
      <c r="N360" s="3278">
        <v>7213</v>
      </c>
      <c r="O360" s="3278">
        <v>2164</v>
      </c>
      <c r="P360" s="3278">
        <v>9960</v>
      </c>
      <c r="Q360" s="3281"/>
      <c r="R360" s="2370"/>
      <c r="S360" s="2370"/>
      <c r="T360" s="2371"/>
    </row>
    <row r="361" spans="1:20">
      <c r="A361" s="2202">
        <f t="shared" si="4"/>
        <v>2023.04</v>
      </c>
      <c r="B361" s="1707">
        <v>1032902</v>
      </c>
      <c r="C361" s="3278">
        <v>522562</v>
      </c>
      <c r="D361" s="2366">
        <v>510340</v>
      </c>
      <c r="E361" s="1702">
        <v>106576</v>
      </c>
      <c r="F361" s="3278">
        <v>55900</v>
      </c>
      <c r="G361" s="2366">
        <v>50676</v>
      </c>
      <c r="H361" s="1701">
        <v>6983</v>
      </c>
      <c r="I361" s="3278">
        <v>109</v>
      </c>
      <c r="J361" s="3278">
        <v>5900</v>
      </c>
      <c r="K361" s="3278">
        <v>81</v>
      </c>
      <c r="L361" s="3278">
        <v>1951</v>
      </c>
      <c r="M361" s="1702">
        <v>16335</v>
      </c>
      <c r="N361" s="3278">
        <v>7187</v>
      </c>
      <c r="O361" s="3278">
        <v>2158</v>
      </c>
      <c r="P361" s="3278">
        <v>9972</v>
      </c>
      <c r="Q361" s="3281"/>
      <c r="R361" s="2370"/>
      <c r="S361" s="2370"/>
      <c r="T361" s="2371"/>
    </row>
    <row r="362" spans="1:20">
      <c r="A362" s="2202">
        <f t="shared" si="4"/>
        <v>2023.05</v>
      </c>
      <c r="B362" s="1707">
        <v>1033385</v>
      </c>
      <c r="C362" s="3278">
        <v>523444</v>
      </c>
      <c r="D362" s="2366">
        <v>509941</v>
      </c>
      <c r="E362" s="1702">
        <v>106764</v>
      </c>
      <c r="F362" s="3278">
        <v>56024</v>
      </c>
      <c r="G362" s="2366">
        <v>50740</v>
      </c>
      <c r="H362" s="1701">
        <v>7056</v>
      </c>
      <c r="I362" s="3278">
        <v>108</v>
      </c>
      <c r="J362" s="3278">
        <v>5894</v>
      </c>
      <c r="K362" s="3278">
        <v>80</v>
      </c>
      <c r="L362" s="3278">
        <v>1948</v>
      </c>
      <c r="M362" s="1702">
        <v>16333</v>
      </c>
      <c r="N362" s="3278">
        <v>7175</v>
      </c>
      <c r="O362" s="3278">
        <v>2146</v>
      </c>
      <c r="P362" s="3278">
        <v>10000</v>
      </c>
      <c r="Q362" s="3281"/>
      <c r="R362" s="2370"/>
      <c r="S362" s="2370"/>
      <c r="T362" s="2371"/>
    </row>
    <row r="363" spans="1:20">
      <c r="A363" s="2202">
        <f t="shared" si="4"/>
        <v>2023.06</v>
      </c>
      <c r="B363" s="1707">
        <v>1035586</v>
      </c>
      <c r="C363" s="3278">
        <v>525288</v>
      </c>
      <c r="D363" s="2366">
        <v>510298</v>
      </c>
      <c r="E363" s="1702">
        <v>107008</v>
      </c>
      <c r="F363" s="3278">
        <v>56207</v>
      </c>
      <c r="G363" s="2366">
        <v>50801</v>
      </c>
      <c r="H363" s="1701">
        <v>7044</v>
      </c>
      <c r="I363" s="3278">
        <v>104</v>
      </c>
      <c r="J363" s="3278">
        <v>5887</v>
      </c>
      <c r="K363" s="3278">
        <v>80</v>
      </c>
      <c r="L363" s="3278">
        <v>1976</v>
      </c>
      <c r="M363" s="1702">
        <v>16380</v>
      </c>
      <c r="N363" s="3278">
        <v>7155</v>
      </c>
      <c r="O363" s="3278">
        <v>2146</v>
      </c>
      <c r="P363" s="3278">
        <v>10029</v>
      </c>
      <c r="Q363" s="3281"/>
      <c r="R363" s="2370"/>
      <c r="S363" s="2370"/>
      <c r="T363" s="2371"/>
    </row>
    <row r="364" spans="1:20">
      <c r="A364" s="2202">
        <f t="shared" si="4"/>
        <v>2023.07</v>
      </c>
      <c r="B364" s="1707">
        <v>1036928</v>
      </c>
      <c r="C364" s="3278">
        <v>525776</v>
      </c>
      <c r="D364" s="2366">
        <v>511152</v>
      </c>
      <c r="E364" s="1702">
        <v>106937</v>
      </c>
      <c r="F364" s="3278">
        <v>56163</v>
      </c>
      <c r="G364" s="2366">
        <v>50774</v>
      </c>
      <c r="H364" s="1701">
        <v>6987</v>
      </c>
      <c r="I364" s="3278">
        <v>105</v>
      </c>
      <c r="J364" s="3278">
        <v>5881</v>
      </c>
      <c r="K364" s="3278">
        <v>79</v>
      </c>
      <c r="L364" s="3278">
        <v>1971</v>
      </c>
      <c r="M364" s="1702">
        <v>16409</v>
      </c>
      <c r="N364" s="3278">
        <v>7146</v>
      </c>
      <c r="O364" s="3278">
        <v>2146</v>
      </c>
      <c r="P364" s="3278">
        <v>10050</v>
      </c>
      <c r="Q364" s="3281"/>
      <c r="R364" s="2370"/>
      <c r="S364" s="2370"/>
      <c r="T364" s="2371"/>
    </row>
    <row r="365" spans="1:20">
      <c r="A365" s="2202">
        <f t="shared" si="4"/>
        <v>2023.08</v>
      </c>
      <c r="B365" s="1707">
        <v>1038024</v>
      </c>
      <c r="C365" s="3278">
        <v>526523</v>
      </c>
      <c r="D365" s="2366">
        <v>511501</v>
      </c>
      <c r="E365" s="1702">
        <v>107031</v>
      </c>
      <c r="F365" s="3278">
        <v>56312</v>
      </c>
      <c r="G365" s="2366">
        <v>50719</v>
      </c>
      <c r="H365" s="1701">
        <v>6969</v>
      </c>
      <c r="I365" s="3278">
        <v>105</v>
      </c>
      <c r="J365" s="3278">
        <v>5903</v>
      </c>
      <c r="K365" s="3278">
        <v>79</v>
      </c>
      <c r="L365" s="3278">
        <v>1957</v>
      </c>
      <c r="M365" s="1702">
        <v>16395</v>
      </c>
      <c r="N365" s="3278">
        <v>7133</v>
      </c>
      <c r="O365" s="3278">
        <v>2143</v>
      </c>
      <c r="P365" s="3278">
        <v>10035</v>
      </c>
      <c r="Q365" s="3281"/>
      <c r="R365" s="2370"/>
      <c r="S365" s="2370"/>
      <c r="T365" s="2371"/>
    </row>
    <row r="366" spans="1:20">
      <c r="A366" s="2202">
        <f t="shared" si="4"/>
        <v>2023.09</v>
      </c>
      <c r="B366" s="1707">
        <v>1039109</v>
      </c>
      <c r="C366" s="3278">
        <v>527062</v>
      </c>
      <c r="D366" s="2366">
        <v>512047</v>
      </c>
      <c r="E366" s="1702">
        <v>107153</v>
      </c>
      <c r="F366" s="3278">
        <v>56477</v>
      </c>
      <c r="G366" s="2366">
        <v>50676</v>
      </c>
      <c r="H366" s="1701">
        <v>6924</v>
      </c>
      <c r="I366" s="3278">
        <v>102</v>
      </c>
      <c r="J366" s="3278">
        <v>5921</v>
      </c>
      <c r="K366" s="3278">
        <v>79</v>
      </c>
      <c r="L366" s="3278">
        <v>1964</v>
      </c>
      <c r="M366" s="1702">
        <v>16455</v>
      </c>
      <c r="N366" s="3278">
        <v>7103</v>
      </c>
      <c r="O366" s="3278">
        <v>2109</v>
      </c>
      <c r="P366" s="3278">
        <v>10019</v>
      </c>
      <c r="Q366" s="3281"/>
      <c r="R366" s="2370"/>
      <c r="S366" s="2370"/>
      <c r="T366" s="2371"/>
    </row>
    <row r="367" spans="1:20">
      <c r="A367" s="2202">
        <f t="shared" si="4"/>
        <v>2023.1</v>
      </c>
      <c r="B367" s="1707">
        <v>1040496</v>
      </c>
      <c r="C367" s="3278">
        <v>527401</v>
      </c>
      <c r="D367" s="2366">
        <v>513095</v>
      </c>
      <c r="E367" s="1702">
        <v>107251</v>
      </c>
      <c r="F367" s="3278">
        <v>56538</v>
      </c>
      <c r="G367" s="2366">
        <v>50713</v>
      </c>
      <c r="H367" s="1701">
        <v>6904</v>
      </c>
      <c r="I367" s="3278">
        <v>104</v>
      </c>
      <c r="J367" s="3278">
        <v>5908</v>
      </c>
      <c r="K367" s="3278">
        <v>78</v>
      </c>
      <c r="L367" s="3278">
        <v>1983</v>
      </c>
      <c r="M367" s="1702">
        <v>16468</v>
      </c>
      <c r="N367" s="3278">
        <v>7063</v>
      </c>
      <c r="O367" s="3278">
        <v>2139</v>
      </c>
      <c r="P367" s="3278">
        <v>10066</v>
      </c>
      <c r="Q367" s="3281"/>
      <c r="R367" s="2370"/>
      <c r="S367" s="2370"/>
      <c r="T367" s="2371"/>
    </row>
    <row r="368" spans="1:20">
      <c r="A368" s="2202">
        <f t="shared" si="4"/>
        <v>2023.11</v>
      </c>
      <c r="B368" s="1707">
        <v>1038008</v>
      </c>
      <c r="C368" s="3278">
        <v>525651</v>
      </c>
      <c r="D368" s="2366">
        <v>512357</v>
      </c>
      <c r="E368" s="1702">
        <v>107022</v>
      </c>
      <c r="F368" s="3278">
        <v>56414</v>
      </c>
      <c r="G368" s="2366">
        <v>50608</v>
      </c>
      <c r="H368" s="1701">
        <v>6919</v>
      </c>
      <c r="I368" s="3278">
        <v>103</v>
      </c>
      <c r="J368" s="3278">
        <v>5896</v>
      </c>
      <c r="K368" s="3278">
        <v>78</v>
      </c>
      <c r="L368" s="3278">
        <v>1948</v>
      </c>
      <c r="M368" s="1702">
        <v>16482</v>
      </c>
      <c r="N368" s="3278">
        <v>7003</v>
      </c>
      <c r="O368" s="3278">
        <v>2135</v>
      </c>
      <c r="P368" s="3278">
        <v>10044</v>
      </c>
      <c r="Q368" s="3281"/>
      <c r="R368" s="2370"/>
      <c r="S368" s="2370"/>
      <c r="T368" s="2371"/>
    </row>
    <row r="369" spans="1:20">
      <c r="A369" s="2202">
        <f t="shared" si="4"/>
        <v>2023.12</v>
      </c>
      <c r="B369" s="1707">
        <v>1037002</v>
      </c>
      <c r="C369" s="3278">
        <v>523352</v>
      </c>
      <c r="D369" s="2366">
        <v>513650</v>
      </c>
      <c r="E369" s="1702">
        <v>106918</v>
      </c>
      <c r="F369" s="3278">
        <v>56189</v>
      </c>
      <c r="G369" s="2366">
        <v>50729</v>
      </c>
      <c r="H369" s="1701">
        <v>6981</v>
      </c>
      <c r="I369" s="3278">
        <v>104</v>
      </c>
      <c r="J369" s="3278">
        <v>5919</v>
      </c>
      <c r="K369" s="3278">
        <v>78</v>
      </c>
      <c r="L369" s="3278">
        <v>1946</v>
      </c>
      <c r="M369" s="1702">
        <v>16536</v>
      </c>
      <c r="N369" s="3278">
        <v>6978</v>
      </c>
      <c r="O369" s="3278">
        <v>2138</v>
      </c>
      <c r="P369" s="3278">
        <v>10049</v>
      </c>
      <c r="Q369" s="3281"/>
      <c r="R369" s="2370"/>
      <c r="S369" s="2370"/>
      <c r="T369" s="2371"/>
    </row>
    <row r="370" spans="1:20">
      <c r="A370" s="2202">
        <f t="shared" ref="A370:A393" si="6">A358+1</f>
        <v>2024.01</v>
      </c>
      <c r="B370" s="1707">
        <v>1031871</v>
      </c>
      <c r="C370" s="3278">
        <v>520241</v>
      </c>
      <c r="D370" s="2366">
        <v>511630</v>
      </c>
      <c r="E370" s="1702">
        <v>106540</v>
      </c>
      <c r="F370" s="3278">
        <v>55954</v>
      </c>
      <c r="G370" s="2366">
        <v>50586</v>
      </c>
      <c r="H370" s="1701">
        <v>6950</v>
      </c>
      <c r="I370" s="3278">
        <v>105</v>
      </c>
      <c r="J370" s="3278">
        <v>5905</v>
      </c>
      <c r="K370" s="3278">
        <v>79</v>
      </c>
      <c r="L370" s="3278">
        <v>1918</v>
      </c>
      <c r="M370" s="1702">
        <v>16549</v>
      </c>
      <c r="N370" s="3278">
        <v>6898</v>
      </c>
      <c r="O370" s="3278">
        <v>2128</v>
      </c>
      <c r="P370" s="3278">
        <v>10054</v>
      </c>
      <c r="Q370" s="3281"/>
      <c r="R370" s="2370"/>
      <c r="S370" s="2370"/>
      <c r="T370" s="2371"/>
    </row>
    <row r="371" spans="1:20">
      <c r="A371" s="2202">
        <f t="shared" si="6"/>
        <v>2024.02</v>
      </c>
      <c r="B371" s="1707">
        <v>1025899</v>
      </c>
      <c r="C371" s="3278">
        <v>515664</v>
      </c>
      <c r="D371" s="2366">
        <v>510235</v>
      </c>
      <c r="E371" s="1702">
        <v>105828</v>
      </c>
      <c r="F371" s="3278">
        <v>55592</v>
      </c>
      <c r="G371" s="2366">
        <v>50236</v>
      </c>
      <c r="H371" s="1701">
        <v>6896</v>
      </c>
      <c r="I371" s="3278">
        <v>109</v>
      </c>
      <c r="J371" s="3278">
        <v>5870</v>
      </c>
      <c r="K371" s="3278">
        <v>78</v>
      </c>
      <c r="L371" s="3278">
        <v>1872</v>
      </c>
      <c r="M371" s="1702">
        <v>16472</v>
      </c>
      <c r="N371" s="3278">
        <v>6830</v>
      </c>
      <c r="O371" s="3278">
        <f>837+1292</f>
        <v>2129</v>
      </c>
      <c r="P371" s="3278">
        <v>9980</v>
      </c>
      <c r="Q371" s="3281"/>
      <c r="R371" s="2370"/>
      <c r="S371" s="2370"/>
      <c r="T371" s="2371"/>
    </row>
    <row r="372" spans="1:20">
      <c r="A372" s="2202">
        <f t="shared" si="6"/>
        <v>2024.03</v>
      </c>
      <c r="B372" s="1707">
        <v>1021935</v>
      </c>
      <c r="C372" s="3278">
        <v>513137</v>
      </c>
      <c r="D372" s="2366">
        <v>508798</v>
      </c>
      <c r="E372" s="1702">
        <v>105309</v>
      </c>
      <c r="F372" s="3278">
        <v>55352</v>
      </c>
      <c r="G372" s="2366">
        <v>49957</v>
      </c>
      <c r="H372" s="1701">
        <v>6832</v>
      </c>
      <c r="I372" s="3278">
        <v>107</v>
      </c>
      <c r="J372" s="3278">
        <v>5838</v>
      </c>
      <c r="K372" s="3278">
        <v>78</v>
      </c>
      <c r="L372" s="3278">
        <v>1859</v>
      </c>
      <c r="M372" s="1702">
        <v>16421</v>
      </c>
      <c r="N372" s="3278">
        <v>6756</v>
      </c>
      <c r="O372" s="3278">
        <f>833+1288</f>
        <v>2121</v>
      </c>
      <c r="P372" s="3278">
        <v>9945</v>
      </c>
      <c r="Q372" s="3281"/>
      <c r="R372" s="2370"/>
      <c r="S372" s="2370"/>
      <c r="T372" s="2371"/>
    </row>
    <row r="373" spans="1:20">
      <c r="A373" s="2202">
        <f t="shared" si="6"/>
        <v>2024.04</v>
      </c>
      <c r="B373" s="1707">
        <v>1015974</v>
      </c>
      <c r="C373" s="3278">
        <v>511477</v>
      </c>
      <c r="D373" s="2366">
        <v>504497</v>
      </c>
      <c r="E373" s="1702">
        <v>105062</v>
      </c>
      <c r="F373" s="3278">
        <v>55237</v>
      </c>
      <c r="G373" s="2366">
        <v>49825</v>
      </c>
      <c r="H373" s="1701">
        <v>6909</v>
      </c>
      <c r="I373" s="3278">
        <v>106</v>
      </c>
      <c r="J373" s="3278">
        <v>5790</v>
      </c>
      <c r="K373" s="3278">
        <v>79</v>
      </c>
      <c r="L373" s="3278">
        <v>1845</v>
      </c>
      <c r="M373" s="1702">
        <v>16360</v>
      </c>
      <c r="N373" s="3278">
        <v>6700</v>
      </c>
      <c r="O373" s="3278">
        <v>2116</v>
      </c>
      <c r="P373" s="3278">
        <v>9920</v>
      </c>
      <c r="Q373" s="3281"/>
      <c r="R373" s="2370"/>
      <c r="S373" s="2370"/>
      <c r="T373" s="2371"/>
    </row>
    <row r="374" spans="1:20">
      <c r="A374" s="2202">
        <f t="shared" si="6"/>
        <v>2024.05</v>
      </c>
      <c r="B374" s="1707">
        <v>1012380</v>
      </c>
      <c r="C374" s="3278">
        <v>509995</v>
      </c>
      <c r="D374" s="2366">
        <v>502385</v>
      </c>
      <c r="E374" s="1702">
        <v>104804</v>
      </c>
      <c r="F374" s="3278">
        <v>55114</v>
      </c>
      <c r="G374" s="2366">
        <v>49690</v>
      </c>
      <c r="H374" s="1701">
        <v>6972</v>
      </c>
      <c r="I374" s="3278">
        <v>106</v>
      </c>
      <c r="J374" s="3278">
        <v>5770</v>
      </c>
      <c r="K374" s="3278">
        <v>77</v>
      </c>
      <c r="L374" s="3278">
        <v>1830</v>
      </c>
      <c r="M374" s="1702">
        <v>16303</v>
      </c>
      <c r="N374" s="3278">
        <v>6648</v>
      </c>
      <c r="O374" s="3278">
        <v>2122</v>
      </c>
      <c r="P374" s="3278">
        <v>9862</v>
      </c>
      <c r="Q374" s="3281"/>
      <c r="R374" s="2370"/>
      <c r="S374" s="2370"/>
      <c r="T374" s="2371"/>
    </row>
    <row r="375" spans="1:20">
      <c r="A375" s="2202">
        <f t="shared" si="6"/>
        <v>2024.06</v>
      </c>
      <c r="B375" s="1707">
        <v>1010873</v>
      </c>
      <c r="C375" s="3278">
        <v>509701</v>
      </c>
      <c r="D375" s="2366">
        <v>501172</v>
      </c>
      <c r="E375" s="1702">
        <v>104610</v>
      </c>
      <c r="F375" s="3278">
        <v>55041</v>
      </c>
      <c r="G375" s="2366">
        <v>49569</v>
      </c>
      <c r="H375" s="1701">
        <v>6986</v>
      </c>
      <c r="I375" s="3278">
        <v>106</v>
      </c>
      <c r="J375" s="3278">
        <v>5770</v>
      </c>
      <c r="K375" s="3278">
        <v>77</v>
      </c>
      <c r="L375" s="3278">
        <v>1829</v>
      </c>
      <c r="M375" s="1702">
        <v>16244</v>
      </c>
      <c r="N375" s="3278">
        <v>6608</v>
      </c>
      <c r="O375" s="3278">
        <v>2112</v>
      </c>
      <c r="P375" s="3278">
        <v>9837</v>
      </c>
      <c r="Q375" s="3281"/>
      <c r="R375" s="2370"/>
      <c r="S375" s="2370"/>
      <c r="T375" s="2371"/>
    </row>
    <row r="376" spans="1:20">
      <c r="A376" s="2202">
        <f t="shared" si="6"/>
        <v>2024.07</v>
      </c>
      <c r="B376" s="1707">
        <v>1008425</v>
      </c>
      <c r="C376" s="3278">
        <v>508940</v>
      </c>
      <c r="D376" s="2366">
        <v>499485</v>
      </c>
      <c r="E376" s="1702">
        <v>104345</v>
      </c>
      <c r="F376" s="3278">
        <v>54987</v>
      </c>
      <c r="G376" s="2366">
        <v>49358</v>
      </c>
      <c r="H376" s="1701">
        <v>6929</v>
      </c>
      <c r="I376" s="3278">
        <v>105</v>
      </c>
      <c r="J376" s="3278">
        <v>5760</v>
      </c>
      <c r="K376" s="3278">
        <v>77</v>
      </c>
      <c r="L376" s="3278">
        <v>1813</v>
      </c>
      <c r="M376" s="1702">
        <v>16197</v>
      </c>
      <c r="N376" s="3278">
        <v>6555</v>
      </c>
      <c r="O376" s="3278">
        <v>2114</v>
      </c>
      <c r="P376" s="3278">
        <v>9808</v>
      </c>
      <c r="Q376" s="3281"/>
      <c r="R376" s="2370"/>
      <c r="S376" s="2370"/>
      <c r="T376" s="2371"/>
    </row>
    <row r="377" spans="1:20">
      <c r="A377" s="2202">
        <f t="shared" si="6"/>
        <v>2024.08</v>
      </c>
      <c r="B377" s="1707">
        <v>1010860</v>
      </c>
      <c r="C377" s="3278">
        <v>510825</v>
      </c>
      <c r="D377" s="2366">
        <v>500035</v>
      </c>
      <c r="E377" s="1702">
        <v>104355</v>
      </c>
      <c r="F377" s="3278">
        <v>55083</v>
      </c>
      <c r="G377" s="2366">
        <v>49272</v>
      </c>
      <c r="H377" s="1701">
        <v>6864</v>
      </c>
      <c r="I377" s="3278">
        <v>102</v>
      </c>
      <c r="J377" s="3278">
        <v>5762</v>
      </c>
      <c r="K377" s="3278">
        <v>78</v>
      </c>
      <c r="L377" s="3278">
        <v>1812</v>
      </c>
      <c r="M377" s="1702">
        <v>16228</v>
      </c>
      <c r="N377" s="3278">
        <v>6538</v>
      </c>
      <c r="O377" s="3278">
        <v>2101</v>
      </c>
      <c r="P377" s="3278">
        <v>9787</v>
      </c>
      <c r="Q377" s="3281"/>
      <c r="R377" s="2370"/>
      <c r="S377" s="2370"/>
      <c r="T377" s="2371"/>
    </row>
    <row r="378" spans="1:20">
      <c r="A378" s="2202">
        <f t="shared" si="6"/>
        <v>2024.09</v>
      </c>
      <c r="B378" s="1707">
        <v>1011828</v>
      </c>
      <c r="C378" s="3278">
        <v>511402</v>
      </c>
      <c r="D378" s="2366">
        <v>500426</v>
      </c>
      <c r="E378" s="1702">
        <v>104436</v>
      </c>
      <c r="F378" s="3278">
        <v>55154</v>
      </c>
      <c r="G378" s="2366">
        <v>49282</v>
      </c>
      <c r="H378" s="1701">
        <v>6787</v>
      </c>
      <c r="I378" s="3278">
        <v>101</v>
      </c>
      <c r="J378" s="3278">
        <v>5769</v>
      </c>
      <c r="K378" s="3278">
        <v>78</v>
      </c>
      <c r="L378" s="3278">
        <v>1840</v>
      </c>
      <c r="M378" s="1702">
        <v>16289</v>
      </c>
      <c r="N378" s="3278">
        <v>6533</v>
      </c>
      <c r="O378" s="3278">
        <v>2093</v>
      </c>
      <c r="P378" s="3278">
        <v>9792</v>
      </c>
      <c r="Q378" s="3281"/>
      <c r="R378" s="2370"/>
      <c r="S378" s="2370"/>
      <c r="T378" s="2371"/>
    </row>
    <row r="379" spans="1:20">
      <c r="A379" s="2202">
        <f t="shared" si="6"/>
        <v>2024.1</v>
      </c>
      <c r="B379" s="1707">
        <v>1011510</v>
      </c>
      <c r="C379" s="3278">
        <v>511367</v>
      </c>
      <c r="D379" s="2366">
        <v>500143</v>
      </c>
      <c r="E379" s="1702">
        <v>104520</v>
      </c>
      <c r="F379" s="3278">
        <v>55196</v>
      </c>
      <c r="G379" s="2366">
        <v>49324</v>
      </c>
      <c r="H379" s="1701">
        <v>6769</v>
      </c>
      <c r="I379" s="3278">
        <v>101</v>
      </c>
      <c r="J379" s="3278">
        <v>5767</v>
      </c>
      <c r="K379" s="3278">
        <v>78</v>
      </c>
      <c r="L379" s="3278">
        <v>1845</v>
      </c>
      <c r="M379" s="1702">
        <v>16321</v>
      </c>
      <c r="N379" s="3278">
        <v>6531</v>
      </c>
      <c r="O379" s="3278">
        <v>2092</v>
      </c>
      <c r="P379" s="3278">
        <v>9820</v>
      </c>
      <c r="Q379" s="3281"/>
      <c r="R379" s="2370"/>
      <c r="S379" s="2370"/>
      <c r="T379" s="2371"/>
    </row>
    <row r="380" spans="1:20">
      <c r="A380" s="2202">
        <f t="shared" si="6"/>
        <v>2024.11</v>
      </c>
      <c r="B380" s="1707">
        <v>1011060</v>
      </c>
      <c r="C380" s="3278">
        <v>511341</v>
      </c>
      <c r="D380" s="2366">
        <v>499719</v>
      </c>
      <c r="E380" s="1702">
        <v>104527</v>
      </c>
      <c r="F380" s="3278">
        <v>55242</v>
      </c>
      <c r="G380" s="2366">
        <v>49285</v>
      </c>
      <c r="H380" s="1701">
        <v>6791</v>
      </c>
      <c r="I380" s="3278">
        <v>99</v>
      </c>
      <c r="J380" s="3278">
        <v>5746</v>
      </c>
      <c r="K380" s="3278">
        <v>78</v>
      </c>
      <c r="L380" s="3278">
        <v>1835</v>
      </c>
      <c r="M380" s="1702">
        <v>16351</v>
      </c>
      <c r="N380" s="3278">
        <v>6479</v>
      </c>
      <c r="O380" s="3278">
        <v>2089</v>
      </c>
      <c r="P380" s="3278">
        <v>9817</v>
      </c>
      <c r="Q380" s="3281"/>
      <c r="R380" s="2370"/>
      <c r="S380" s="2370"/>
      <c r="T380" s="2371"/>
    </row>
    <row r="381" spans="1:20">
      <c r="A381" s="2202">
        <v>2024.12</v>
      </c>
      <c r="B381" s="1707">
        <v>1010437</v>
      </c>
      <c r="C381" s="3278">
        <v>510755</v>
      </c>
      <c r="D381" s="2366">
        <v>499682</v>
      </c>
      <c r="E381" s="1702">
        <v>104554</v>
      </c>
      <c r="F381" s="3278">
        <v>55179</v>
      </c>
      <c r="G381" s="2366">
        <v>49375</v>
      </c>
      <c r="H381" s="1701">
        <v>6854</v>
      </c>
      <c r="I381" s="3278">
        <v>99</v>
      </c>
      <c r="J381" s="3278">
        <v>5743</v>
      </c>
      <c r="K381" s="3278">
        <v>78</v>
      </c>
      <c r="L381" s="3278">
        <v>1840</v>
      </c>
      <c r="M381" s="1702">
        <v>16426</v>
      </c>
      <c r="N381" s="3278">
        <v>6448</v>
      </c>
      <c r="O381" s="3278">
        <v>2084</v>
      </c>
      <c r="P381" s="3278">
        <v>9803</v>
      </c>
      <c r="Q381" s="3281"/>
      <c r="R381" s="2370"/>
      <c r="S381" s="2370"/>
      <c r="T381" s="2371"/>
    </row>
    <row r="382" spans="1:20">
      <c r="A382" s="2202">
        <v>2025.01</v>
      </c>
      <c r="B382" s="1707">
        <v>1008139</v>
      </c>
      <c r="C382" s="3278">
        <v>508768</v>
      </c>
      <c r="D382" s="2366">
        <v>499371</v>
      </c>
      <c r="E382" s="1702">
        <v>104272</v>
      </c>
      <c r="F382" s="3278">
        <v>54985</v>
      </c>
      <c r="G382" s="2366">
        <v>49287</v>
      </c>
      <c r="H382" s="1701">
        <v>6838</v>
      </c>
      <c r="I382" s="3278">
        <v>100</v>
      </c>
      <c r="J382" s="3278">
        <v>5719</v>
      </c>
      <c r="K382" s="3278">
        <v>78</v>
      </c>
      <c r="L382" s="3278">
        <v>1824</v>
      </c>
      <c r="M382" s="1702">
        <v>16452</v>
      </c>
      <c r="N382" s="3278">
        <v>6387</v>
      </c>
      <c r="O382" s="3278">
        <v>2098</v>
      </c>
      <c r="P382" s="3278">
        <v>9791</v>
      </c>
      <c r="Q382" s="3281"/>
      <c r="R382" s="2370"/>
      <c r="S382" s="2370"/>
      <c r="T382" s="2371"/>
    </row>
    <row r="383" spans="1:20">
      <c r="A383" s="2202">
        <f t="shared" si="6"/>
        <v>2025.02</v>
      </c>
      <c r="B383" s="1707">
        <v>1004663</v>
      </c>
      <c r="C383" s="3278">
        <v>505417</v>
      </c>
      <c r="D383" s="2366">
        <v>499246</v>
      </c>
      <c r="E383" s="1702">
        <v>103516</v>
      </c>
      <c r="F383" s="3278">
        <v>54594</v>
      </c>
      <c r="G383" s="2366">
        <v>48922</v>
      </c>
      <c r="H383" s="1701">
        <v>6713</v>
      </c>
      <c r="I383" s="3278">
        <v>97</v>
      </c>
      <c r="J383" s="3278">
        <v>5708</v>
      </c>
      <c r="K383" s="3278">
        <v>77</v>
      </c>
      <c r="L383" s="3278">
        <v>1793</v>
      </c>
      <c r="M383" s="1702">
        <v>16396</v>
      </c>
      <c r="N383" s="3278">
        <v>6316</v>
      </c>
      <c r="O383" s="3278">
        <v>2092</v>
      </c>
      <c r="P383" s="3278">
        <v>9730</v>
      </c>
      <c r="Q383" s="3281"/>
      <c r="R383" s="2370"/>
      <c r="S383" s="2370"/>
      <c r="T383" s="2371"/>
    </row>
    <row r="384" spans="1:20">
      <c r="A384" s="2202">
        <f t="shared" si="6"/>
        <v>2025.03</v>
      </c>
      <c r="B384" s="1707" t="e">
        <v>#N/A</v>
      </c>
      <c r="C384" s="3278" t="e">
        <v>#N/A</v>
      </c>
      <c r="D384" s="2366" t="e">
        <v>#N/A</v>
      </c>
      <c r="E384" s="1702" t="e">
        <v>#N/A</v>
      </c>
      <c r="F384" s="3278" t="e">
        <v>#N/A</v>
      </c>
      <c r="G384" s="2366" t="e">
        <v>#N/A</v>
      </c>
      <c r="H384" s="1216" t="e">
        <v>#N/A</v>
      </c>
      <c r="I384" s="3278" t="e">
        <v>#N/A</v>
      </c>
      <c r="J384" s="3278" t="e">
        <v>#N/A</v>
      </c>
      <c r="K384" s="3278" t="e">
        <v>#N/A</v>
      </c>
      <c r="L384" s="3278" t="e">
        <v>#N/A</v>
      </c>
      <c r="M384" s="3011" t="e">
        <v>#N/A</v>
      </c>
      <c r="N384" s="1704" t="e">
        <v>#N/A</v>
      </c>
      <c r="O384" s="3011" t="e">
        <v>#N/A</v>
      </c>
      <c r="P384" s="3011" t="e">
        <v>#N/A</v>
      </c>
      <c r="Q384" s="3281"/>
      <c r="R384" s="2370"/>
      <c r="S384" s="2370"/>
      <c r="T384" s="2371"/>
    </row>
    <row r="385" spans="1:20">
      <c r="A385" s="2202">
        <f t="shared" si="6"/>
        <v>2025.04</v>
      </c>
      <c r="B385" s="1707" t="e">
        <v>#N/A</v>
      </c>
      <c r="C385" s="3278" t="e">
        <v>#N/A</v>
      </c>
      <c r="D385" s="2366" t="e">
        <v>#N/A</v>
      </c>
      <c r="E385" s="1702" t="e">
        <v>#N/A</v>
      </c>
      <c r="F385" s="3278" t="e">
        <v>#N/A</v>
      </c>
      <c r="G385" s="2366" t="e">
        <v>#N/A</v>
      </c>
      <c r="H385" s="1216" t="e">
        <v>#N/A</v>
      </c>
      <c r="I385" s="3278" t="e">
        <v>#N/A</v>
      </c>
      <c r="J385" s="3278" t="e">
        <v>#N/A</v>
      </c>
      <c r="K385" s="3278" t="e">
        <v>#N/A</v>
      </c>
      <c r="L385" s="3278" t="e">
        <v>#N/A</v>
      </c>
      <c r="M385" s="3011" t="e">
        <v>#N/A</v>
      </c>
      <c r="N385" s="1704" t="e">
        <v>#N/A</v>
      </c>
      <c r="O385" s="3011" t="e">
        <v>#N/A</v>
      </c>
      <c r="P385" s="3011" t="e">
        <v>#N/A</v>
      </c>
      <c r="Q385" s="3281"/>
      <c r="R385" s="2370"/>
      <c r="S385" s="2370"/>
      <c r="T385" s="2371"/>
    </row>
    <row r="386" spans="1:20">
      <c r="A386" s="2202">
        <f t="shared" si="6"/>
        <v>2025.05</v>
      </c>
      <c r="B386" s="1707" t="e">
        <v>#N/A</v>
      </c>
      <c r="C386" s="3278" t="e">
        <v>#N/A</v>
      </c>
      <c r="D386" s="2366" t="e">
        <v>#N/A</v>
      </c>
      <c r="E386" s="1702" t="e">
        <v>#N/A</v>
      </c>
      <c r="F386" s="3278" t="e">
        <v>#N/A</v>
      </c>
      <c r="G386" s="2366" t="e">
        <v>#N/A</v>
      </c>
      <c r="H386" s="1216" t="e">
        <v>#N/A</v>
      </c>
      <c r="I386" s="3278" t="e">
        <v>#N/A</v>
      </c>
      <c r="J386" s="3278" t="e">
        <v>#N/A</v>
      </c>
      <c r="K386" s="3278" t="e">
        <v>#N/A</v>
      </c>
      <c r="L386" s="3278" t="e">
        <v>#N/A</v>
      </c>
      <c r="M386" s="3011" t="e">
        <v>#N/A</v>
      </c>
      <c r="N386" s="1704" t="e">
        <v>#N/A</v>
      </c>
      <c r="O386" s="3011" t="e">
        <v>#N/A</v>
      </c>
      <c r="P386" s="3011" t="e">
        <v>#N/A</v>
      </c>
      <c r="Q386" s="3281"/>
      <c r="R386" s="2370"/>
      <c r="S386" s="2370"/>
      <c r="T386" s="2371"/>
    </row>
    <row r="387" spans="1:20">
      <c r="A387" s="2202">
        <f t="shared" si="6"/>
        <v>2025.06</v>
      </c>
      <c r="B387" s="1707" t="e">
        <v>#N/A</v>
      </c>
      <c r="C387" s="3278" t="e">
        <v>#N/A</v>
      </c>
      <c r="D387" s="2366" t="e">
        <v>#N/A</v>
      </c>
      <c r="E387" s="1702" t="e">
        <v>#N/A</v>
      </c>
      <c r="F387" s="3278" t="e">
        <v>#N/A</v>
      </c>
      <c r="G387" s="2366" t="e">
        <v>#N/A</v>
      </c>
      <c r="H387" s="1216" t="e">
        <v>#N/A</v>
      </c>
      <c r="I387" s="3278" t="e">
        <v>#N/A</v>
      </c>
      <c r="J387" s="3278" t="e">
        <v>#N/A</v>
      </c>
      <c r="K387" s="3278" t="e">
        <v>#N/A</v>
      </c>
      <c r="L387" s="3278" t="e">
        <v>#N/A</v>
      </c>
      <c r="M387" s="3011" t="e">
        <v>#N/A</v>
      </c>
      <c r="N387" s="1704" t="e">
        <v>#N/A</v>
      </c>
      <c r="O387" s="3011" t="e">
        <v>#N/A</v>
      </c>
      <c r="P387" s="3011" t="e">
        <v>#N/A</v>
      </c>
      <c r="Q387" s="3281"/>
      <c r="R387" s="2370"/>
      <c r="S387" s="2370"/>
      <c r="T387" s="2371"/>
    </row>
    <row r="388" spans="1:20">
      <c r="A388" s="2202">
        <f t="shared" si="6"/>
        <v>2025.07</v>
      </c>
      <c r="B388" s="1707" t="e">
        <v>#N/A</v>
      </c>
      <c r="C388" s="3278" t="e">
        <v>#N/A</v>
      </c>
      <c r="D388" s="2366" t="e">
        <v>#N/A</v>
      </c>
      <c r="E388" s="1702" t="e">
        <v>#N/A</v>
      </c>
      <c r="F388" s="3278" t="e">
        <v>#N/A</v>
      </c>
      <c r="G388" s="2366" t="e">
        <v>#N/A</v>
      </c>
      <c r="H388" s="1216" t="e">
        <v>#N/A</v>
      </c>
      <c r="I388" s="3278" t="e">
        <v>#N/A</v>
      </c>
      <c r="J388" s="3278" t="e">
        <v>#N/A</v>
      </c>
      <c r="K388" s="3278" t="e">
        <v>#N/A</v>
      </c>
      <c r="L388" s="3278" t="e">
        <v>#N/A</v>
      </c>
      <c r="M388" s="3011" t="e">
        <v>#N/A</v>
      </c>
      <c r="N388" s="1704" t="e">
        <v>#N/A</v>
      </c>
      <c r="O388" s="3011" t="e">
        <v>#N/A</v>
      </c>
      <c r="P388" s="3011" t="e">
        <v>#N/A</v>
      </c>
      <c r="Q388" s="3281"/>
      <c r="R388" s="2370"/>
      <c r="S388" s="2370"/>
      <c r="T388" s="2371"/>
    </row>
    <row r="389" spans="1:20">
      <c r="A389" s="2202">
        <f t="shared" si="6"/>
        <v>2025.08</v>
      </c>
      <c r="B389" s="1707" t="e">
        <v>#N/A</v>
      </c>
      <c r="C389" s="3278" t="e">
        <v>#N/A</v>
      </c>
      <c r="D389" s="2366" t="e">
        <v>#N/A</v>
      </c>
      <c r="E389" s="1702" t="e">
        <v>#N/A</v>
      </c>
      <c r="F389" s="3278" t="e">
        <v>#N/A</v>
      </c>
      <c r="G389" s="2366" t="e">
        <v>#N/A</v>
      </c>
      <c r="H389" s="1216" t="e">
        <v>#N/A</v>
      </c>
      <c r="I389" s="3278" t="e">
        <v>#N/A</v>
      </c>
      <c r="J389" s="3278" t="e">
        <v>#N/A</v>
      </c>
      <c r="K389" s="3278" t="e">
        <v>#N/A</v>
      </c>
      <c r="L389" s="3278" t="e">
        <v>#N/A</v>
      </c>
      <c r="M389" s="3011" t="e">
        <v>#N/A</v>
      </c>
      <c r="N389" s="1704" t="e">
        <v>#N/A</v>
      </c>
      <c r="O389" s="3011" t="e">
        <v>#N/A</v>
      </c>
      <c r="P389" s="3011" t="e">
        <v>#N/A</v>
      </c>
      <c r="Q389" s="3281"/>
      <c r="R389" s="2370"/>
      <c r="S389" s="2370"/>
      <c r="T389" s="2371"/>
    </row>
    <row r="390" spans="1:20">
      <c r="A390" s="2202">
        <f t="shared" si="6"/>
        <v>2025.09</v>
      </c>
      <c r="B390" s="1707" t="e">
        <v>#N/A</v>
      </c>
      <c r="C390" s="3278" t="e">
        <v>#N/A</v>
      </c>
      <c r="D390" s="2366" t="e">
        <v>#N/A</v>
      </c>
      <c r="E390" s="1702" t="e">
        <v>#N/A</v>
      </c>
      <c r="F390" s="3278" t="e">
        <v>#N/A</v>
      </c>
      <c r="G390" s="2366" t="e">
        <v>#N/A</v>
      </c>
      <c r="H390" s="1216" t="e">
        <v>#N/A</v>
      </c>
      <c r="I390" s="3278" t="e">
        <v>#N/A</v>
      </c>
      <c r="J390" s="3278" t="e">
        <v>#N/A</v>
      </c>
      <c r="K390" s="3278" t="e">
        <v>#N/A</v>
      </c>
      <c r="L390" s="3278" t="e">
        <v>#N/A</v>
      </c>
      <c r="M390" s="3011" t="e">
        <v>#N/A</v>
      </c>
      <c r="N390" s="1704" t="e">
        <v>#N/A</v>
      </c>
      <c r="O390" s="3011" t="e">
        <v>#N/A</v>
      </c>
      <c r="P390" s="3011" t="e">
        <v>#N/A</v>
      </c>
      <c r="Q390" s="3281"/>
      <c r="R390" s="2370"/>
      <c r="S390" s="2370"/>
      <c r="T390" s="2371"/>
    </row>
    <row r="391" spans="1:20">
      <c r="A391" s="2202">
        <f t="shared" si="6"/>
        <v>2025.1</v>
      </c>
      <c r="B391" s="1707" t="e">
        <v>#N/A</v>
      </c>
      <c r="C391" s="3278" t="e">
        <v>#N/A</v>
      </c>
      <c r="D391" s="2366" t="e">
        <v>#N/A</v>
      </c>
      <c r="E391" s="1702" t="e">
        <v>#N/A</v>
      </c>
      <c r="F391" s="3278" t="e">
        <v>#N/A</v>
      </c>
      <c r="G391" s="2366" t="e">
        <v>#N/A</v>
      </c>
      <c r="H391" s="1216" t="e">
        <v>#N/A</v>
      </c>
      <c r="I391" s="3278" t="e">
        <v>#N/A</v>
      </c>
      <c r="J391" s="3278" t="e">
        <v>#N/A</v>
      </c>
      <c r="K391" s="3278" t="e">
        <v>#N/A</v>
      </c>
      <c r="L391" s="3278" t="e">
        <v>#N/A</v>
      </c>
      <c r="M391" s="3011" t="e">
        <v>#N/A</v>
      </c>
      <c r="N391" s="1704" t="e">
        <v>#N/A</v>
      </c>
      <c r="O391" s="3011" t="e">
        <v>#N/A</v>
      </c>
      <c r="P391" s="3011" t="e">
        <v>#N/A</v>
      </c>
      <c r="Q391" s="3281"/>
      <c r="R391" s="2370"/>
      <c r="S391" s="2370"/>
      <c r="T391" s="2371"/>
    </row>
    <row r="392" spans="1:20">
      <c r="A392" s="2202">
        <f t="shared" si="6"/>
        <v>2025.11</v>
      </c>
      <c r="B392" s="1230" t="e">
        <v>#N/A</v>
      </c>
      <c r="C392" s="3010" t="e">
        <v>#N/A</v>
      </c>
      <c r="D392" s="1715" t="e">
        <v>#N/A</v>
      </c>
      <c r="E392" s="1653" t="e">
        <v>#N/A</v>
      </c>
      <c r="F392" s="3010" t="e">
        <v>#N/A</v>
      </c>
      <c r="G392" s="1703" t="e">
        <v>#N/A</v>
      </c>
      <c r="H392" s="1216" t="e">
        <v>#N/A</v>
      </c>
      <c r="I392" s="3011" t="e">
        <v>#N/A</v>
      </c>
      <c r="J392" s="3011" t="e">
        <v>#N/A</v>
      </c>
      <c r="K392" s="3011" t="e">
        <v>#N/A</v>
      </c>
      <c r="L392" s="3011" t="e">
        <v>#N/A</v>
      </c>
      <c r="M392" s="3011" t="e">
        <v>#N/A</v>
      </c>
      <c r="N392" s="1704" t="e">
        <v>#N/A</v>
      </c>
      <c r="O392" s="3011" t="e">
        <v>#N/A</v>
      </c>
      <c r="P392" s="3011" t="e">
        <v>#N/A</v>
      </c>
      <c r="Q392" s="3281"/>
      <c r="R392" s="2370"/>
      <c r="S392" s="2370"/>
      <c r="T392" s="2371"/>
    </row>
    <row r="393" spans="1:20">
      <c r="A393" s="2202">
        <f t="shared" si="6"/>
        <v>2025.12</v>
      </c>
      <c r="B393" s="1230" t="e">
        <v>#N/A</v>
      </c>
      <c r="C393" s="3010" t="e">
        <v>#N/A</v>
      </c>
      <c r="D393" s="1715" t="e">
        <v>#N/A</v>
      </c>
      <c r="E393" s="1653" t="e">
        <v>#N/A</v>
      </c>
      <c r="F393" s="3010" t="e">
        <v>#N/A</v>
      </c>
      <c r="G393" s="1703" t="e">
        <v>#N/A</v>
      </c>
      <c r="H393" s="1216" t="e">
        <v>#N/A</v>
      </c>
      <c r="I393" s="3011" t="e">
        <v>#N/A</v>
      </c>
      <c r="J393" s="3011" t="e">
        <v>#N/A</v>
      </c>
      <c r="K393" s="3011" t="e">
        <v>#N/A</v>
      </c>
      <c r="L393" s="3011" t="e">
        <v>#N/A</v>
      </c>
      <c r="M393" s="3011" t="e">
        <v>#N/A</v>
      </c>
      <c r="N393" s="1704" t="e">
        <v>#N/A</v>
      </c>
      <c r="O393" s="3011" t="e">
        <v>#N/A</v>
      </c>
      <c r="P393" s="3011" t="e">
        <v>#N/A</v>
      </c>
      <c r="Q393" s="3281"/>
      <c r="R393" s="2370"/>
      <c r="S393" s="2370"/>
      <c r="T393" s="2371"/>
    </row>
    <row r="394" spans="1:20">
      <c r="A394" s="1340">
        <v>2026.01</v>
      </c>
      <c r="B394" s="1230" t="e">
        <v>#N/A</v>
      </c>
      <c r="C394" s="3010" t="e">
        <v>#N/A</v>
      </c>
      <c r="D394" s="1715" t="e">
        <v>#N/A</v>
      </c>
      <c r="E394" s="1653" t="e">
        <v>#N/A</v>
      </c>
      <c r="F394" s="3010" t="e">
        <v>#N/A</v>
      </c>
      <c r="G394" s="1703" t="e">
        <v>#N/A</v>
      </c>
      <c r="H394" s="1216" t="e">
        <v>#N/A</v>
      </c>
      <c r="I394" s="3011" t="e">
        <v>#N/A</v>
      </c>
      <c r="J394" s="3011" t="e">
        <v>#N/A</v>
      </c>
      <c r="K394" s="3011" t="e">
        <v>#N/A</v>
      </c>
      <c r="L394" s="3011" t="e">
        <v>#N/A</v>
      </c>
      <c r="M394" s="3011" t="e">
        <v>#N/A</v>
      </c>
      <c r="N394" s="1704" t="e">
        <v>#N/A</v>
      </c>
      <c r="O394" s="3011" t="e">
        <v>#N/A</v>
      </c>
      <c r="P394" s="3011" t="e">
        <v>#N/A</v>
      </c>
      <c r="Q394" s="3281"/>
      <c r="R394" s="2370"/>
      <c r="S394" s="2370"/>
      <c r="T394" s="2371"/>
    </row>
    <row r="395" spans="1:20">
      <c r="A395" s="1340">
        <v>2026.02</v>
      </c>
      <c r="B395" s="1230" t="e">
        <v>#N/A</v>
      </c>
      <c r="C395" s="3010" t="e">
        <v>#N/A</v>
      </c>
      <c r="D395" s="1715" t="e">
        <v>#N/A</v>
      </c>
      <c r="E395" s="1653" t="e">
        <v>#N/A</v>
      </c>
      <c r="F395" s="3010" t="e">
        <v>#N/A</v>
      </c>
      <c r="G395" s="1703" t="e">
        <v>#N/A</v>
      </c>
      <c r="H395" s="1216" t="e">
        <v>#N/A</v>
      </c>
      <c r="I395" s="3011" t="e">
        <v>#N/A</v>
      </c>
      <c r="J395" s="3011" t="e">
        <v>#N/A</v>
      </c>
      <c r="K395" s="3011" t="e">
        <v>#N/A</v>
      </c>
      <c r="L395" s="3011" t="e">
        <v>#N/A</v>
      </c>
      <c r="M395" s="3011" t="e">
        <v>#N/A</v>
      </c>
      <c r="N395" s="1704" t="e">
        <v>#N/A</v>
      </c>
      <c r="O395" s="3011" t="e">
        <v>#N/A</v>
      </c>
      <c r="P395" s="3011" t="e">
        <v>#N/A</v>
      </c>
      <c r="Q395" s="3281"/>
      <c r="R395" s="2370"/>
      <c r="S395" s="2370"/>
      <c r="T395" s="2371"/>
    </row>
    <row r="396" spans="1:20">
      <c r="A396" s="1340">
        <v>2026.03</v>
      </c>
      <c r="B396" s="1230" t="e">
        <v>#N/A</v>
      </c>
      <c r="C396" s="3010" t="e">
        <v>#N/A</v>
      </c>
      <c r="D396" s="1715" t="e">
        <v>#N/A</v>
      </c>
      <c r="E396" s="1653" t="e">
        <v>#N/A</v>
      </c>
      <c r="F396" s="3010" t="e">
        <v>#N/A</v>
      </c>
      <c r="G396" s="1703" t="e">
        <v>#N/A</v>
      </c>
      <c r="H396" s="1216" t="e">
        <v>#N/A</v>
      </c>
      <c r="I396" s="3011" t="e">
        <v>#N/A</v>
      </c>
      <c r="J396" s="3011" t="e">
        <v>#N/A</v>
      </c>
      <c r="K396" s="3011" t="e">
        <v>#N/A</v>
      </c>
      <c r="L396" s="3011" t="e">
        <v>#N/A</v>
      </c>
      <c r="M396" s="3011" t="e">
        <v>#N/A</v>
      </c>
      <c r="N396" s="1704" t="e">
        <v>#N/A</v>
      </c>
      <c r="O396" s="3011" t="e">
        <v>#N/A</v>
      </c>
      <c r="P396" s="3011" t="e">
        <v>#N/A</v>
      </c>
      <c r="Q396" s="3281"/>
      <c r="R396" s="2370"/>
      <c r="S396" s="2370"/>
      <c r="T396" s="2371"/>
    </row>
    <row r="397" spans="1:20">
      <c r="A397" s="1340">
        <v>2026.04</v>
      </c>
      <c r="B397" s="1230" t="e">
        <v>#N/A</v>
      </c>
      <c r="C397" s="3010" t="e">
        <v>#N/A</v>
      </c>
      <c r="D397" s="1715" t="e">
        <v>#N/A</v>
      </c>
      <c r="E397" s="1653" t="e">
        <v>#N/A</v>
      </c>
      <c r="F397" s="3010" t="e">
        <v>#N/A</v>
      </c>
      <c r="G397" s="1703" t="e">
        <v>#N/A</v>
      </c>
      <c r="H397" s="1216" t="e">
        <v>#N/A</v>
      </c>
      <c r="I397" s="3011" t="e">
        <v>#N/A</v>
      </c>
      <c r="J397" s="3011" t="e">
        <v>#N/A</v>
      </c>
      <c r="K397" s="3011" t="e">
        <v>#N/A</v>
      </c>
      <c r="L397" s="3011" t="e">
        <v>#N/A</v>
      </c>
      <c r="M397" s="3011" t="e">
        <v>#N/A</v>
      </c>
      <c r="N397" s="1704" t="e">
        <v>#N/A</v>
      </c>
      <c r="O397" s="3011" t="e">
        <v>#N/A</v>
      </c>
      <c r="P397" s="3011" t="e">
        <v>#N/A</v>
      </c>
      <c r="Q397" s="3281"/>
      <c r="R397" s="2370"/>
      <c r="S397" s="2370"/>
      <c r="T397" s="2371"/>
    </row>
    <row r="398" spans="1:20">
      <c r="A398" s="1340">
        <v>2026.05</v>
      </c>
      <c r="B398" s="1230" t="e">
        <v>#N/A</v>
      </c>
      <c r="C398" s="3010" t="e">
        <v>#N/A</v>
      </c>
      <c r="D398" s="1715" t="e">
        <v>#N/A</v>
      </c>
      <c r="E398" s="1653" t="e">
        <v>#N/A</v>
      </c>
      <c r="F398" s="3010" t="e">
        <v>#N/A</v>
      </c>
      <c r="G398" s="1703" t="e">
        <v>#N/A</v>
      </c>
      <c r="H398" s="1216" t="e">
        <v>#N/A</v>
      </c>
      <c r="I398" s="3011" t="e">
        <v>#N/A</v>
      </c>
      <c r="J398" s="3011" t="e">
        <v>#N/A</v>
      </c>
      <c r="K398" s="3011" t="e">
        <v>#N/A</v>
      </c>
      <c r="L398" s="3011" t="e">
        <v>#N/A</v>
      </c>
      <c r="M398" s="3011" t="e">
        <v>#N/A</v>
      </c>
      <c r="N398" s="1704" t="e">
        <v>#N/A</v>
      </c>
      <c r="O398" s="3011" t="e">
        <v>#N/A</v>
      </c>
      <c r="P398" s="3011" t="e">
        <v>#N/A</v>
      </c>
      <c r="Q398" s="3281"/>
      <c r="R398" s="2370"/>
      <c r="S398" s="2370"/>
      <c r="T398" s="2371"/>
    </row>
    <row r="399" spans="1:20">
      <c r="A399" s="1340">
        <v>2026.06</v>
      </c>
      <c r="B399" s="1230" t="e">
        <v>#N/A</v>
      </c>
      <c r="C399" s="3010" t="e">
        <v>#N/A</v>
      </c>
      <c r="D399" s="1715" t="e">
        <v>#N/A</v>
      </c>
      <c r="E399" s="1653" t="e">
        <v>#N/A</v>
      </c>
      <c r="F399" s="3010" t="e">
        <v>#N/A</v>
      </c>
      <c r="G399" s="1703" t="e">
        <v>#N/A</v>
      </c>
      <c r="H399" s="1216" t="e">
        <v>#N/A</v>
      </c>
      <c r="I399" s="3011" t="e">
        <v>#N/A</v>
      </c>
      <c r="J399" s="3011" t="e">
        <v>#N/A</v>
      </c>
      <c r="K399" s="3011" t="e">
        <v>#N/A</v>
      </c>
      <c r="L399" s="3011" t="e">
        <v>#N/A</v>
      </c>
      <c r="M399" s="3011" t="e">
        <v>#N/A</v>
      </c>
      <c r="N399" s="1704" t="e">
        <v>#N/A</v>
      </c>
      <c r="O399" s="3011" t="e">
        <v>#N/A</v>
      </c>
      <c r="P399" s="3011" t="e">
        <v>#N/A</v>
      </c>
      <c r="Q399" s="3281"/>
      <c r="R399" s="2370"/>
      <c r="S399" s="2370"/>
      <c r="T399" s="2371"/>
    </row>
    <row r="400" spans="1:20">
      <c r="A400" s="1340">
        <v>2026.07</v>
      </c>
      <c r="B400" s="1230" t="e">
        <v>#N/A</v>
      </c>
      <c r="C400" s="3010" t="e">
        <v>#N/A</v>
      </c>
      <c r="D400" s="1715" t="e">
        <v>#N/A</v>
      </c>
      <c r="E400" s="1653" t="e">
        <v>#N/A</v>
      </c>
      <c r="F400" s="3010" t="e">
        <v>#N/A</v>
      </c>
      <c r="G400" s="1703" t="e">
        <v>#N/A</v>
      </c>
      <c r="H400" s="1216" t="e">
        <v>#N/A</v>
      </c>
      <c r="I400" s="3011" t="e">
        <v>#N/A</v>
      </c>
      <c r="J400" s="3011" t="e">
        <v>#N/A</v>
      </c>
      <c r="K400" s="3011" t="e">
        <v>#N/A</v>
      </c>
      <c r="L400" s="3011" t="e">
        <v>#N/A</v>
      </c>
      <c r="M400" s="3011" t="e">
        <v>#N/A</v>
      </c>
      <c r="N400" s="1704" t="e">
        <v>#N/A</v>
      </c>
      <c r="O400" s="3011" t="e">
        <v>#N/A</v>
      </c>
      <c r="P400" s="3011" t="e">
        <v>#N/A</v>
      </c>
      <c r="Q400" s="3281"/>
      <c r="R400" s="2370"/>
      <c r="S400" s="2370"/>
      <c r="T400" s="2371"/>
    </row>
    <row r="401" spans="1:20">
      <c r="A401" s="1340">
        <v>2026.08</v>
      </c>
      <c r="B401" s="1230" t="e">
        <v>#N/A</v>
      </c>
      <c r="C401" s="3010" t="e">
        <v>#N/A</v>
      </c>
      <c r="D401" s="1715" t="e">
        <v>#N/A</v>
      </c>
      <c r="E401" s="1653" t="e">
        <v>#N/A</v>
      </c>
      <c r="F401" s="3010" t="e">
        <v>#N/A</v>
      </c>
      <c r="G401" s="1703" t="e">
        <v>#N/A</v>
      </c>
      <c r="H401" s="1216" t="e">
        <v>#N/A</v>
      </c>
      <c r="I401" s="3011" t="e">
        <v>#N/A</v>
      </c>
      <c r="J401" s="3011" t="e">
        <v>#N/A</v>
      </c>
      <c r="K401" s="3011" t="e">
        <v>#N/A</v>
      </c>
      <c r="L401" s="3011" t="e">
        <v>#N/A</v>
      </c>
      <c r="M401" s="3011" t="e">
        <v>#N/A</v>
      </c>
      <c r="N401" s="1704" t="e">
        <v>#N/A</v>
      </c>
      <c r="O401" s="3011" t="e">
        <v>#N/A</v>
      </c>
      <c r="P401" s="3011" t="e">
        <v>#N/A</v>
      </c>
      <c r="Q401" s="3281"/>
      <c r="R401" s="2370"/>
      <c r="S401" s="2370"/>
      <c r="T401" s="2371"/>
    </row>
    <row r="402" spans="1:20">
      <c r="A402" s="1340">
        <v>2026.09</v>
      </c>
      <c r="B402" s="1230" t="e">
        <v>#N/A</v>
      </c>
      <c r="C402" s="3010" t="e">
        <v>#N/A</v>
      </c>
      <c r="D402" s="1715" t="e">
        <v>#N/A</v>
      </c>
      <c r="E402" s="1653" t="e">
        <v>#N/A</v>
      </c>
      <c r="F402" s="3010" t="e">
        <v>#N/A</v>
      </c>
      <c r="G402" s="1703" t="e">
        <v>#N/A</v>
      </c>
      <c r="H402" s="1216" t="e">
        <v>#N/A</v>
      </c>
      <c r="I402" s="3011" t="e">
        <v>#N/A</v>
      </c>
      <c r="J402" s="3011" t="e">
        <v>#N/A</v>
      </c>
      <c r="K402" s="3011" t="e">
        <v>#N/A</v>
      </c>
      <c r="L402" s="3011" t="e">
        <v>#N/A</v>
      </c>
      <c r="M402" s="3011" t="e">
        <v>#N/A</v>
      </c>
      <c r="N402" s="1704" t="e">
        <v>#N/A</v>
      </c>
      <c r="O402" s="3011" t="e">
        <v>#N/A</v>
      </c>
      <c r="P402" s="3011" t="e">
        <v>#N/A</v>
      </c>
      <c r="Q402" s="3281"/>
      <c r="R402" s="2370"/>
      <c r="S402" s="2370"/>
      <c r="T402" s="2371"/>
    </row>
    <row r="403" spans="1:20">
      <c r="A403" s="1340">
        <v>2026.1</v>
      </c>
      <c r="B403" s="1230" t="e">
        <v>#N/A</v>
      </c>
      <c r="C403" s="3010" t="e">
        <v>#N/A</v>
      </c>
      <c r="D403" s="1715" t="e">
        <v>#N/A</v>
      </c>
      <c r="E403" s="1653" t="e">
        <v>#N/A</v>
      </c>
      <c r="F403" s="3010" t="e">
        <v>#N/A</v>
      </c>
      <c r="G403" s="1703" t="e">
        <v>#N/A</v>
      </c>
      <c r="H403" s="1216" t="e">
        <v>#N/A</v>
      </c>
      <c r="I403" s="3011" t="e">
        <v>#N/A</v>
      </c>
      <c r="J403" s="3011" t="e">
        <v>#N/A</v>
      </c>
      <c r="K403" s="3011" t="e">
        <v>#N/A</v>
      </c>
      <c r="L403" s="3011" t="e">
        <v>#N/A</v>
      </c>
      <c r="M403" s="3011" t="e">
        <v>#N/A</v>
      </c>
      <c r="N403" s="1704" t="e">
        <v>#N/A</v>
      </c>
      <c r="O403" s="3011" t="e">
        <v>#N/A</v>
      </c>
      <c r="P403" s="3011" t="e">
        <v>#N/A</v>
      </c>
      <c r="Q403" s="3281"/>
      <c r="R403" s="2370"/>
      <c r="S403" s="2370"/>
      <c r="T403" s="2371"/>
    </row>
    <row r="404" spans="1:20">
      <c r="A404" s="1340">
        <v>2026.11</v>
      </c>
      <c r="B404" s="1230" t="e">
        <v>#N/A</v>
      </c>
      <c r="C404" s="3010" t="e">
        <v>#N/A</v>
      </c>
      <c r="D404" s="1715" t="e">
        <v>#N/A</v>
      </c>
      <c r="E404" s="1653" t="e">
        <v>#N/A</v>
      </c>
      <c r="F404" s="3010" t="e">
        <v>#N/A</v>
      </c>
      <c r="G404" s="1703" t="e">
        <v>#N/A</v>
      </c>
      <c r="H404" s="1216" t="e">
        <v>#N/A</v>
      </c>
      <c r="I404" s="3011" t="e">
        <v>#N/A</v>
      </c>
      <c r="J404" s="3011" t="e">
        <v>#N/A</v>
      </c>
      <c r="K404" s="3011" t="e">
        <v>#N/A</v>
      </c>
      <c r="L404" s="3011" t="e">
        <v>#N/A</v>
      </c>
      <c r="M404" s="3011" t="e">
        <v>#N/A</v>
      </c>
      <c r="N404" s="1704" t="e">
        <v>#N/A</v>
      </c>
      <c r="O404" s="3011" t="e">
        <v>#N/A</v>
      </c>
      <c r="P404" s="3011" t="e">
        <v>#N/A</v>
      </c>
      <c r="Q404" s="3281"/>
      <c r="R404" s="2370"/>
      <c r="S404" s="2370"/>
      <c r="T404" s="2371"/>
    </row>
    <row r="405" spans="1:20">
      <c r="A405" s="1340">
        <v>2026.12</v>
      </c>
      <c r="B405" s="1230" t="e">
        <v>#N/A</v>
      </c>
      <c r="C405" s="3010" t="e">
        <v>#N/A</v>
      </c>
      <c r="D405" s="1715" t="e">
        <v>#N/A</v>
      </c>
      <c r="E405" s="1653" t="e">
        <v>#N/A</v>
      </c>
      <c r="F405" s="3010" t="e">
        <v>#N/A</v>
      </c>
      <c r="G405" s="1703" t="e">
        <v>#N/A</v>
      </c>
      <c r="H405" s="1216" t="e">
        <v>#N/A</v>
      </c>
      <c r="I405" s="3011" t="e">
        <v>#N/A</v>
      </c>
      <c r="J405" s="3011" t="e">
        <v>#N/A</v>
      </c>
      <c r="K405" s="3011" t="e">
        <v>#N/A</v>
      </c>
      <c r="L405" s="3011" t="e">
        <v>#N/A</v>
      </c>
      <c r="M405" s="3011" t="e">
        <v>#N/A</v>
      </c>
      <c r="N405" s="1704" t="e">
        <v>#N/A</v>
      </c>
      <c r="O405" s="3011" t="e">
        <v>#N/A</v>
      </c>
      <c r="P405" s="3011" t="e">
        <v>#N/A</v>
      </c>
      <c r="Q405" s="3281"/>
      <c r="R405" s="2370"/>
      <c r="S405" s="2370"/>
      <c r="T405" s="2371"/>
    </row>
    <row r="406" spans="1:20">
      <c r="A406" s="1340">
        <v>2027.01</v>
      </c>
      <c r="B406" s="1230" t="e">
        <v>#N/A</v>
      </c>
      <c r="C406" s="3010" t="e">
        <v>#N/A</v>
      </c>
      <c r="D406" s="1715" t="e">
        <v>#N/A</v>
      </c>
      <c r="E406" s="1653" t="e">
        <v>#N/A</v>
      </c>
      <c r="F406" s="3010" t="e">
        <v>#N/A</v>
      </c>
      <c r="G406" s="1703" t="e">
        <v>#N/A</v>
      </c>
      <c r="H406" s="1216" t="e">
        <v>#N/A</v>
      </c>
      <c r="I406" s="3011" t="e">
        <v>#N/A</v>
      </c>
      <c r="J406" s="3011" t="e">
        <v>#N/A</v>
      </c>
      <c r="K406" s="3011" t="e">
        <v>#N/A</v>
      </c>
      <c r="L406" s="3011" t="e">
        <v>#N/A</v>
      </c>
      <c r="M406" s="3011" t="e">
        <v>#N/A</v>
      </c>
      <c r="N406" s="1704" t="e">
        <v>#N/A</v>
      </c>
      <c r="O406" s="3011" t="e">
        <v>#N/A</v>
      </c>
      <c r="P406" s="3011" t="e">
        <v>#N/A</v>
      </c>
      <c r="Q406" s="3281"/>
      <c r="R406" s="2370"/>
      <c r="S406" s="2370"/>
      <c r="T406" s="2371"/>
    </row>
    <row r="407" spans="1:20">
      <c r="A407" s="1340">
        <v>2027.02</v>
      </c>
      <c r="B407" s="1230" t="e">
        <v>#N/A</v>
      </c>
      <c r="C407" s="3010" t="e">
        <v>#N/A</v>
      </c>
      <c r="D407" s="1715" t="e">
        <v>#N/A</v>
      </c>
      <c r="E407" s="1653" t="e">
        <v>#N/A</v>
      </c>
      <c r="F407" s="3010" t="e">
        <v>#N/A</v>
      </c>
      <c r="G407" s="1703" t="e">
        <v>#N/A</v>
      </c>
      <c r="H407" s="1216" t="e">
        <v>#N/A</v>
      </c>
      <c r="I407" s="3011" t="e">
        <v>#N/A</v>
      </c>
      <c r="J407" s="3011" t="e">
        <v>#N/A</v>
      </c>
      <c r="K407" s="3011" t="e">
        <v>#N/A</v>
      </c>
      <c r="L407" s="3011" t="e">
        <v>#N/A</v>
      </c>
      <c r="M407" s="3011" t="e">
        <v>#N/A</v>
      </c>
      <c r="N407" s="1704" t="e">
        <v>#N/A</v>
      </c>
      <c r="O407" s="3011" t="e">
        <v>#N/A</v>
      </c>
      <c r="P407" s="3011" t="e">
        <v>#N/A</v>
      </c>
      <c r="Q407" s="3281"/>
      <c r="R407" s="2370"/>
      <c r="S407" s="2370"/>
      <c r="T407" s="2371"/>
    </row>
    <row r="408" spans="1:20">
      <c r="A408" s="1340">
        <v>2027.03</v>
      </c>
      <c r="B408" s="1230" t="e">
        <v>#N/A</v>
      </c>
      <c r="C408" s="3010" t="e">
        <v>#N/A</v>
      </c>
      <c r="D408" s="1715" t="e">
        <v>#N/A</v>
      </c>
      <c r="E408" s="1653" t="e">
        <v>#N/A</v>
      </c>
      <c r="F408" s="3010" t="e">
        <v>#N/A</v>
      </c>
      <c r="G408" s="1703" t="e">
        <v>#N/A</v>
      </c>
      <c r="H408" s="1216" t="e">
        <v>#N/A</v>
      </c>
      <c r="I408" s="3011" t="e">
        <v>#N/A</v>
      </c>
      <c r="J408" s="3011" t="e">
        <v>#N/A</v>
      </c>
      <c r="K408" s="3011" t="e">
        <v>#N/A</v>
      </c>
      <c r="L408" s="3011" t="e">
        <v>#N/A</v>
      </c>
      <c r="M408" s="3011" t="e">
        <v>#N/A</v>
      </c>
      <c r="N408" s="1704" t="e">
        <v>#N/A</v>
      </c>
      <c r="O408" s="3011" t="e">
        <v>#N/A</v>
      </c>
      <c r="P408" s="3011" t="e">
        <v>#N/A</v>
      </c>
      <c r="Q408" s="3281"/>
      <c r="R408" s="2370"/>
      <c r="S408" s="2370"/>
      <c r="T408" s="2371"/>
    </row>
    <row r="409" spans="1:20">
      <c r="A409" s="1340">
        <v>2027.04</v>
      </c>
      <c r="B409" s="1230" t="e">
        <v>#N/A</v>
      </c>
      <c r="C409" s="3010" t="e">
        <v>#N/A</v>
      </c>
      <c r="D409" s="1715" t="e">
        <v>#N/A</v>
      </c>
      <c r="E409" s="1653" t="e">
        <v>#N/A</v>
      </c>
      <c r="F409" s="3010" t="e">
        <v>#N/A</v>
      </c>
      <c r="G409" s="1703" t="e">
        <v>#N/A</v>
      </c>
      <c r="H409" s="1216" t="e">
        <v>#N/A</v>
      </c>
      <c r="I409" s="3011" t="e">
        <v>#N/A</v>
      </c>
      <c r="J409" s="3011" t="e">
        <v>#N/A</v>
      </c>
      <c r="K409" s="3011" t="e">
        <v>#N/A</v>
      </c>
      <c r="L409" s="3011" t="e">
        <v>#N/A</v>
      </c>
      <c r="M409" s="3011" t="e">
        <v>#N/A</v>
      </c>
      <c r="N409" s="1704" t="e">
        <v>#N/A</v>
      </c>
      <c r="O409" s="3011" t="e">
        <v>#N/A</v>
      </c>
      <c r="P409" s="3011" t="e">
        <v>#N/A</v>
      </c>
      <c r="Q409" s="3281"/>
      <c r="R409" s="2370"/>
      <c r="S409" s="2370"/>
      <c r="T409" s="2371"/>
    </row>
    <row r="410" spans="1:20">
      <c r="A410" s="1340">
        <v>2027.05</v>
      </c>
      <c r="B410" s="1230" t="e">
        <v>#N/A</v>
      </c>
      <c r="C410" s="3010" t="e">
        <v>#N/A</v>
      </c>
      <c r="D410" s="1715" t="e">
        <v>#N/A</v>
      </c>
      <c r="E410" s="1653" t="e">
        <v>#N/A</v>
      </c>
      <c r="F410" s="3010" t="e">
        <v>#N/A</v>
      </c>
      <c r="G410" s="1703" t="e">
        <v>#N/A</v>
      </c>
      <c r="H410" s="1216" t="e">
        <v>#N/A</v>
      </c>
      <c r="I410" s="3011" t="e">
        <v>#N/A</v>
      </c>
      <c r="J410" s="3011" t="e">
        <v>#N/A</v>
      </c>
      <c r="K410" s="3011" t="e">
        <v>#N/A</v>
      </c>
      <c r="L410" s="3011" t="e">
        <v>#N/A</v>
      </c>
      <c r="M410" s="3011" t="e">
        <v>#N/A</v>
      </c>
      <c r="N410" s="1704" t="e">
        <v>#N/A</v>
      </c>
      <c r="O410" s="3011" t="e">
        <v>#N/A</v>
      </c>
      <c r="P410" s="3011" t="e">
        <v>#N/A</v>
      </c>
      <c r="Q410" s="3281"/>
      <c r="R410" s="2370"/>
      <c r="S410" s="2370"/>
      <c r="T410" s="2371"/>
    </row>
    <row r="411" spans="1:20">
      <c r="A411" s="1340">
        <v>2027.06</v>
      </c>
      <c r="B411" s="1230" t="e">
        <v>#N/A</v>
      </c>
      <c r="C411" s="3010" t="e">
        <v>#N/A</v>
      </c>
      <c r="D411" s="1715" t="e">
        <v>#N/A</v>
      </c>
      <c r="E411" s="1653" t="e">
        <v>#N/A</v>
      </c>
      <c r="F411" s="3010" t="e">
        <v>#N/A</v>
      </c>
      <c r="G411" s="1703" t="e">
        <v>#N/A</v>
      </c>
      <c r="H411" s="1216" t="e">
        <v>#N/A</v>
      </c>
      <c r="I411" s="3011" t="e">
        <v>#N/A</v>
      </c>
      <c r="J411" s="3011" t="e">
        <v>#N/A</v>
      </c>
      <c r="K411" s="3011" t="e">
        <v>#N/A</v>
      </c>
      <c r="L411" s="3011" t="e">
        <v>#N/A</v>
      </c>
      <c r="M411" s="3011" t="e">
        <v>#N/A</v>
      </c>
      <c r="N411" s="1704" t="e">
        <v>#N/A</v>
      </c>
      <c r="O411" s="3011" t="e">
        <v>#N/A</v>
      </c>
      <c r="P411" s="3011" t="e">
        <v>#N/A</v>
      </c>
      <c r="Q411" s="3281"/>
      <c r="R411" s="2370"/>
      <c r="S411" s="2370"/>
      <c r="T411" s="2371"/>
    </row>
    <row r="412" spans="1:20">
      <c r="A412" s="1340">
        <v>2027.07</v>
      </c>
      <c r="B412" s="1230" t="e">
        <v>#N/A</v>
      </c>
      <c r="C412" s="3010" t="e">
        <v>#N/A</v>
      </c>
      <c r="D412" s="1715" t="e">
        <v>#N/A</v>
      </c>
      <c r="E412" s="1653" t="e">
        <v>#N/A</v>
      </c>
      <c r="F412" s="3010" t="e">
        <v>#N/A</v>
      </c>
      <c r="G412" s="1703" t="e">
        <v>#N/A</v>
      </c>
      <c r="H412" s="1216" t="e">
        <v>#N/A</v>
      </c>
      <c r="I412" s="3011" t="e">
        <v>#N/A</v>
      </c>
      <c r="J412" s="3011" t="e">
        <v>#N/A</v>
      </c>
      <c r="K412" s="3011" t="e">
        <v>#N/A</v>
      </c>
      <c r="L412" s="3011" t="e">
        <v>#N/A</v>
      </c>
      <c r="M412" s="3011" t="e">
        <v>#N/A</v>
      </c>
      <c r="N412" s="1704" t="e">
        <v>#N/A</v>
      </c>
      <c r="O412" s="3011" t="e">
        <v>#N/A</v>
      </c>
      <c r="P412" s="3011" t="e">
        <v>#N/A</v>
      </c>
      <c r="Q412" s="3281"/>
      <c r="R412" s="2370"/>
      <c r="S412" s="2370"/>
      <c r="T412" s="2371"/>
    </row>
    <row r="413" spans="1:20">
      <c r="A413" s="1340">
        <v>2027.08</v>
      </c>
      <c r="B413" s="1230" t="e">
        <v>#N/A</v>
      </c>
      <c r="C413" s="3010" t="e">
        <v>#N/A</v>
      </c>
      <c r="D413" s="1715" t="e">
        <v>#N/A</v>
      </c>
      <c r="E413" s="1653" t="e">
        <v>#N/A</v>
      </c>
      <c r="F413" s="3010" t="e">
        <v>#N/A</v>
      </c>
      <c r="G413" s="1703" t="e">
        <v>#N/A</v>
      </c>
      <c r="H413" s="1216" t="e">
        <v>#N/A</v>
      </c>
      <c r="I413" s="3011" t="e">
        <v>#N/A</v>
      </c>
      <c r="J413" s="3011" t="e">
        <v>#N/A</v>
      </c>
      <c r="K413" s="3011" t="e">
        <v>#N/A</v>
      </c>
      <c r="L413" s="3011" t="e">
        <v>#N/A</v>
      </c>
      <c r="M413" s="3011" t="e">
        <v>#N/A</v>
      </c>
      <c r="N413" s="1704" t="e">
        <v>#N/A</v>
      </c>
      <c r="O413" s="3011" t="e">
        <v>#N/A</v>
      </c>
      <c r="P413" s="3011" t="e">
        <v>#N/A</v>
      </c>
      <c r="Q413" s="3281"/>
      <c r="R413" s="2370"/>
      <c r="S413" s="2370"/>
      <c r="T413" s="2371"/>
    </row>
    <row r="414" spans="1:20">
      <c r="A414" s="1340">
        <v>2027.09</v>
      </c>
      <c r="B414" s="1230" t="e">
        <v>#N/A</v>
      </c>
      <c r="C414" s="3010" t="e">
        <v>#N/A</v>
      </c>
      <c r="D414" s="1715" t="e">
        <v>#N/A</v>
      </c>
      <c r="E414" s="1653" t="e">
        <v>#N/A</v>
      </c>
      <c r="F414" s="3010" t="e">
        <v>#N/A</v>
      </c>
      <c r="G414" s="1703" t="e">
        <v>#N/A</v>
      </c>
      <c r="H414" s="1216" t="e">
        <v>#N/A</v>
      </c>
      <c r="I414" s="3011" t="e">
        <v>#N/A</v>
      </c>
      <c r="J414" s="3011" t="e">
        <v>#N/A</v>
      </c>
      <c r="K414" s="3011" t="e">
        <v>#N/A</v>
      </c>
      <c r="L414" s="3011" t="e">
        <v>#N/A</v>
      </c>
      <c r="M414" s="3011" t="e">
        <v>#N/A</v>
      </c>
      <c r="N414" s="1704" t="e">
        <v>#N/A</v>
      </c>
      <c r="O414" s="3011" t="e">
        <v>#N/A</v>
      </c>
      <c r="P414" s="3011" t="e">
        <v>#N/A</v>
      </c>
      <c r="Q414" s="3281"/>
      <c r="R414" s="2370"/>
      <c r="S414" s="2370"/>
      <c r="T414" s="2371"/>
    </row>
    <row r="415" spans="1:20">
      <c r="A415" s="1340">
        <v>2027.1</v>
      </c>
      <c r="B415" s="1230" t="e">
        <v>#N/A</v>
      </c>
      <c r="C415" s="3010" t="e">
        <v>#N/A</v>
      </c>
      <c r="D415" s="1715" t="e">
        <v>#N/A</v>
      </c>
      <c r="E415" s="1653" t="e">
        <v>#N/A</v>
      </c>
      <c r="F415" s="3010" t="e">
        <v>#N/A</v>
      </c>
      <c r="G415" s="1703" t="e">
        <v>#N/A</v>
      </c>
      <c r="H415" s="1216" t="e">
        <v>#N/A</v>
      </c>
      <c r="I415" s="3011" t="e">
        <v>#N/A</v>
      </c>
      <c r="J415" s="3011" t="e">
        <v>#N/A</v>
      </c>
      <c r="K415" s="3011" t="e">
        <v>#N/A</v>
      </c>
      <c r="L415" s="3011" t="e">
        <v>#N/A</v>
      </c>
      <c r="M415" s="3011" t="e">
        <v>#N/A</v>
      </c>
      <c r="N415" s="1704" t="e">
        <v>#N/A</v>
      </c>
      <c r="O415" s="3011" t="e">
        <v>#N/A</v>
      </c>
      <c r="P415" s="3011" t="e">
        <v>#N/A</v>
      </c>
      <c r="Q415" s="3281"/>
      <c r="R415" s="2370"/>
      <c r="S415" s="2370"/>
      <c r="T415" s="2371"/>
    </row>
    <row r="416" spans="1:20">
      <c r="A416" s="1340">
        <v>2027.11</v>
      </c>
      <c r="B416" s="1230" t="e">
        <v>#N/A</v>
      </c>
      <c r="C416" s="3010" t="e">
        <v>#N/A</v>
      </c>
      <c r="D416" s="1715" t="e">
        <v>#N/A</v>
      </c>
      <c r="E416" s="1653" t="e">
        <v>#N/A</v>
      </c>
      <c r="F416" s="3010" t="e">
        <v>#N/A</v>
      </c>
      <c r="G416" s="1703" t="e">
        <v>#N/A</v>
      </c>
      <c r="H416" s="1216" t="e">
        <v>#N/A</v>
      </c>
      <c r="I416" s="3011" t="e">
        <v>#N/A</v>
      </c>
      <c r="J416" s="3011" t="e">
        <v>#N/A</v>
      </c>
      <c r="K416" s="3011" t="e">
        <v>#N/A</v>
      </c>
      <c r="L416" s="3011" t="e">
        <v>#N/A</v>
      </c>
      <c r="M416" s="3011" t="e">
        <v>#N/A</v>
      </c>
      <c r="N416" s="1704" t="e">
        <v>#N/A</v>
      </c>
      <c r="O416" s="3011" t="e">
        <v>#N/A</v>
      </c>
      <c r="P416" s="3011" t="e">
        <v>#N/A</v>
      </c>
      <c r="Q416" s="3281"/>
      <c r="R416" s="2370"/>
      <c r="S416" s="2370"/>
      <c r="T416" s="2371"/>
    </row>
    <row r="417" spans="1:20">
      <c r="A417" s="1340">
        <v>2027.12</v>
      </c>
      <c r="B417" s="1230" t="e">
        <v>#N/A</v>
      </c>
      <c r="C417" s="3010" t="e">
        <v>#N/A</v>
      </c>
      <c r="D417" s="1715" t="e">
        <v>#N/A</v>
      </c>
      <c r="E417" s="1653" t="e">
        <v>#N/A</v>
      </c>
      <c r="F417" s="3010" t="e">
        <v>#N/A</v>
      </c>
      <c r="G417" s="1703" t="e">
        <v>#N/A</v>
      </c>
      <c r="H417" s="1216" t="e">
        <v>#N/A</v>
      </c>
      <c r="I417" s="3011" t="e">
        <v>#N/A</v>
      </c>
      <c r="J417" s="3011" t="e">
        <v>#N/A</v>
      </c>
      <c r="K417" s="3011" t="e">
        <v>#N/A</v>
      </c>
      <c r="L417" s="3011" t="e">
        <v>#N/A</v>
      </c>
      <c r="M417" s="3011" t="e">
        <v>#N/A</v>
      </c>
      <c r="N417" s="1704" t="e">
        <v>#N/A</v>
      </c>
      <c r="O417" s="3011" t="e">
        <v>#N/A</v>
      </c>
      <c r="P417" s="3011" t="e">
        <v>#N/A</v>
      </c>
      <c r="Q417" s="3281"/>
      <c r="R417" s="2370"/>
      <c r="S417" s="2370"/>
      <c r="T417" s="2371"/>
    </row>
    <row r="418" spans="1:20">
      <c r="A418" s="1340">
        <v>2028.01</v>
      </c>
      <c r="B418" s="1230" t="e">
        <v>#N/A</v>
      </c>
      <c r="C418" s="3010" t="e">
        <v>#N/A</v>
      </c>
      <c r="D418" s="1715" t="e">
        <v>#N/A</v>
      </c>
      <c r="E418" s="1653" t="e">
        <v>#N/A</v>
      </c>
      <c r="F418" s="3010" t="e">
        <v>#N/A</v>
      </c>
      <c r="G418" s="1703" t="e">
        <v>#N/A</v>
      </c>
      <c r="H418" s="1216" t="e">
        <v>#N/A</v>
      </c>
      <c r="I418" s="3011" t="e">
        <v>#N/A</v>
      </c>
      <c r="J418" s="3011" t="e">
        <v>#N/A</v>
      </c>
      <c r="K418" s="3011" t="e">
        <v>#N/A</v>
      </c>
      <c r="L418" s="3011" t="e">
        <v>#N/A</v>
      </c>
      <c r="M418" s="3011" t="e">
        <v>#N/A</v>
      </c>
      <c r="N418" s="1704" t="e">
        <v>#N/A</v>
      </c>
      <c r="O418" s="3011" t="e">
        <v>#N/A</v>
      </c>
      <c r="P418" s="3011" t="e">
        <v>#N/A</v>
      </c>
      <c r="Q418" s="3281"/>
      <c r="R418" s="2370"/>
      <c r="S418" s="2370"/>
      <c r="T418" s="2371"/>
    </row>
    <row r="419" spans="1:20">
      <c r="A419" s="1340">
        <v>2028.02</v>
      </c>
      <c r="B419" s="1230" t="e">
        <v>#N/A</v>
      </c>
      <c r="C419" s="3010" t="e">
        <v>#N/A</v>
      </c>
      <c r="D419" s="1715" t="e">
        <v>#N/A</v>
      </c>
      <c r="E419" s="1653" t="e">
        <v>#N/A</v>
      </c>
      <c r="F419" s="3010" t="e">
        <v>#N/A</v>
      </c>
      <c r="G419" s="1703" t="e">
        <v>#N/A</v>
      </c>
      <c r="H419" s="1216" t="e">
        <v>#N/A</v>
      </c>
      <c r="I419" s="3011" t="e">
        <v>#N/A</v>
      </c>
      <c r="J419" s="3011" t="e">
        <v>#N/A</v>
      </c>
      <c r="K419" s="3011" t="e">
        <v>#N/A</v>
      </c>
      <c r="L419" s="3011" t="e">
        <v>#N/A</v>
      </c>
      <c r="M419" s="3011" t="e">
        <v>#N/A</v>
      </c>
      <c r="N419" s="1704" t="e">
        <v>#N/A</v>
      </c>
      <c r="O419" s="3011" t="e">
        <v>#N/A</v>
      </c>
      <c r="P419" s="3011" t="e">
        <v>#N/A</v>
      </c>
      <c r="Q419" s="3281"/>
      <c r="R419" s="2370"/>
      <c r="S419" s="2370"/>
      <c r="T419" s="2371"/>
    </row>
    <row r="420" spans="1:20">
      <c r="A420" s="1340">
        <v>2028.03</v>
      </c>
      <c r="B420" s="1230" t="e">
        <v>#N/A</v>
      </c>
      <c r="C420" s="3010" t="e">
        <v>#N/A</v>
      </c>
      <c r="D420" s="1715" t="e">
        <v>#N/A</v>
      </c>
      <c r="E420" s="1653" t="e">
        <v>#N/A</v>
      </c>
      <c r="F420" s="3010" t="e">
        <v>#N/A</v>
      </c>
      <c r="G420" s="1703" t="e">
        <v>#N/A</v>
      </c>
      <c r="H420" s="1216" t="e">
        <v>#N/A</v>
      </c>
      <c r="I420" s="3011" t="e">
        <v>#N/A</v>
      </c>
      <c r="J420" s="3011" t="e">
        <v>#N/A</v>
      </c>
      <c r="K420" s="3011" t="e">
        <v>#N/A</v>
      </c>
      <c r="L420" s="3011" t="e">
        <v>#N/A</v>
      </c>
      <c r="M420" s="3011" t="e">
        <v>#N/A</v>
      </c>
      <c r="N420" s="1704" t="e">
        <v>#N/A</v>
      </c>
      <c r="O420" s="3011" t="e">
        <v>#N/A</v>
      </c>
      <c r="P420" s="3011" t="e">
        <v>#N/A</v>
      </c>
      <c r="Q420" s="3281"/>
      <c r="R420" s="2370"/>
      <c r="S420" s="2370"/>
      <c r="T420" s="2371"/>
    </row>
    <row r="421" spans="1:20">
      <c r="A421" s="1340">
        <v>2028.04</v>
      </c>
      <c r="B421" s="1230" t="e">
        <v>#N/A</v>
      </c>
      <c r="C421" s="3010" t="e">
        <v>#N/A</v>
      </c>
      <c r="D421" s="1715" t="e">
        <v>#N/A</v>
      </c>
      <c r="E421" s="1653" t="e">
        <v>#N/A</v>
      </c>
      <c r="F421" s="3010" t="e">
        <v>#N/A</v>
      </c>
      <c r="G421" s="1703" t="e">
        <v>#N/A</v>
      </c>
      <c r="H421" s="1216" t="e">
        <v>#N/A</v>
      </c>
      <c r="I421" s="3011" t="e">
        <v>#N/A</v>
      </c>
      <c r="J421" s="3011" t="e">
        <v>#N/A</v>
      </c>
      <c r="K421" s="3011" t="e">
        <v>#N/A</v>
      </c>
      <c r="L421" s="3011" t="e">
        <v>#N/A</v>
      </c>
      <c r="M421" s="3011" t="e">
        <v>#N/A</v>
      </c>
      <c r="N421" s="1704" t="e">
        <v>#N/A</v>
      </c>
      <c r="O421" s="3011" t="e">
        <v>#N/A</v>
      </c>
      <c r="P421" s="3011" t="e">
        <v>#N/A</v>
      </c>
      <c r="Q421" s="3281"/>
      <c r="R421" s="2370"/>
      <c r="S421" s="2370"/>
      <c r="T421" s="2371"/>
    </row>
    <row r="422" spans="1:20">
      <c r="A422" s="1340">
        <v>2028.05</v>
      </c>
      <c r="B422" s="1230" t="e">
        <v>#N/A</v>
      </c>
      <c r="C422" s="3010" t="e">
        <v>#N/A</v>
      </c>
      <c r="D422" s="1715" t="e">
        <v>#N/A</v>
      </c>
      <c r="E422" s="1653" t="e">
        <v>#N/A</v>
      </c>
      <c r="F422" s="3010" t="e">
        <v>#N/A</v>
      </c>
      <c r="G422" s="1703" t="e">
        <v>#N/A</v>
      </c>
      <c r="H422" s="1216" t="e">
        <v>#N/A</v>
      </c>
      <c r="I422" s="3011" t="e">
        <v>#N/A</v>
      </c>
      <c r="J422" s="3011" t="e">
        <v>#N/A</v>
      </c>
      <c r="K422" s="3011" t="e">
        <v>#N/A</v>
      </c>
      <c r="L422" s="3011" t="e">
        <v>#N/A</v>
      </c>
      <c r="M422" s="3011" t="e">
        <v>#N/A</v>
      </c>
      <c r="N422" s="1704" t="e">
        <v>#N/A</v>
      </c>
      <c r="O422" s="3011" t="e">
        <v>#N/A</v>
      </c>
      <c r="P422" s="3011" t="e">
        <v>#N/A</v>
      </c>
      <c r="Q422" s="3281"/>
      <c r="R422" s="2370"/>
      <c r="S422" s="2370"/>
      <c r="T422" s="2371"/>
    </row>
    <row r="423" spans="1:20">
      <c r="A423" s="1340">
        <v>2028.06</v>
      </c>
      <c r="B423" s="1230" t="e">
        <v>#N/A</v>
      </c>
      <c r="C423" s="3010" t="e">
        <v>#N/A</v>
      </c>
      <c r="D423" s="1715" t="e">
        <v>#N/A</v>
      </c>
      <c r="E423" s="1653" t="e">
        <v>#N/A</v>
      </c>
      <c r="F423" s="3010" t="e">
        <v>#N/A</v>
      </c>
      <c r="G423" s="1703" t="e">
        <v>#N/A</v>
      </c>
      <c r="H423" s="1216" t="e">
        <v>#N/A</v>
      </c>
      <c r="I423" s="3011" t="e">
        <v>#N/A</v>
      </c>
      <c r="J423" s="3011" t="e">
        <v>#N/A</v>
      </c>
      <c r="K423" s="3011" t="e">
        <v>#N/A</v>
      </c>
      <c r="L423" s="3011" t="e">
        <v>#N/A</v>
      </c>
      <c r="M423" s="3011" t="e">
        <v>#N/A</v>
      </c>
      <c r="N423" s="1704" t="e">
        <v>#N/A</v>
      </c>
      <c r="O423" s="3011" t="e">
        <v>#N/A</v>
      </c>
      <c r="P423" s="3011" t="e">
        <v>#N/A</v>
      </c>
      <c r="Q423" s="3281"/>
      <c r="R423" s="2370"/>
      <c r="S423" s="2370"/>
      <c r="T423" s="2371"/>
    </row>
    <row r="424" spans="1:20">
      <c r="A424" s="1340">
        <v>2028.07</v>
      </c>
      <c r="B424" s="1230" t="e">
        <v>#N/A</v>
      </c>
      <c r="C424" s="3010" t="e">
        <v>#N/A</v>
      </c>
      <c r="D424" s="1715" t="e">
        <v>#N/A</v>
      </c>
      <c r="E424" s="1653" t="e">
        <v>#N/A</v>
      </c>
      <c r="F424" s="3010" t="e">
        <v>#N/A</v>
      </c>
      <c r="G424" s="1703" t="e">
        <v>#N/A</v>
      </c>
      <c r="H424" s="1216" t="e">
        <v>#N/A</v>
      </c>
      <c r="I424" s="3011" t="e">
        <v>#N/A</v>
      </c>
      <c r="J424" s="3011" t="e">
        <v>#N/A</v>
      </c>
      <c r="K424" s="3011" t="e">
        <v>#N/A</v>
      </c>
      <c r="L424" s="3011" t="e">
        <v>#N/A</v>
      </c>
      <c r="M424" s="3011" t="e">
        <v>#N/A</v>
      </c>
      <c r="N424" s="1704" t="e">
        <v>#N/A</v>
      </c>
      <c r="O424" s="3011" t="e">
        <v>#N/A</v>
      </c>
      <c r="P424" s="3011" t="e">
        <v>#N/A</v>
      </c>
      <c r="Q424" s="3281"/>
      <c r="R424" s="2370"/>
      <c r="S424" s="2370"/>
      <c r="T424" s="2371"/>
    </row>
    <row r="425" spans="1:20">
      <c r="A425" s="1340">
        <v>2028.08</v>
      </c>
      <c r="B425" s="1230" t="e">
        <v>#N/A</v>
      </c>
      <c r="C425" s="3010" t="e">
        <v>#N/A</v>
      </c>
      <c r="D425" s="1715" t="e">
        <v>#N/A</v>
      </c>
      <c r="E425" s="1653" t="e">
        <v>#N/A</v>
      </c>
      <c r="F425" s="3010" t="e">
        <v>#N/A</v>
      </c>
      <c r="G425" s="1703" t="e">
        <v>#N/A</v>
      </c>
      <c r="H425" s="1216" t="e">
        <v>#N/A</v>
      </c>
      <c r="I425" s="3011" t="e">
        <v>#N/A</v>
      </c>
      <c r="J425" s="3011" t="e">
        <v>#N/A</v>
      </c>
      <c r="K425" s="3011" t="e">
        <v>#N/A</v>
      </c>
      <c r="L425" s="3011" t="e">
        <v>#N/A</v>
      </c>
      <c r="M425" s="3011" t="e">
        <v>#N/A</v>
      </c>
      <c r="N425" s="1704" t="e">
        <v>#N/A</v>
      </c>
      <c r="O425" s="3011" t="e">
        <v>#N/A</v>
      </c>
      <c r="P425" s="3011" t="e">
        <v>#N/A</v>
      </c>
      <c r="Q425" s="3281"/>
      <c r="R425" s="2370"/>
      <c r="S425" s="2370"/>
      <c r="T425" s="2371"/>
    </row>
    <row r="426" spans="1:20">
      <c r="A426" s="1340">
        <v>2028.09</v>
      </c>
      <c r="B426" s="1230" t="e">
        <v>#N/A</v>
      </c>
      <c r="C426" s="3010" t="e">
        <v>#N/A</v>
      </c>
      <c r="D426" s="1715" t="e">
        <v>#N/A</v>
      </c>
      <c r="E426" s="1653" t="e">
        <v>#N/A</v>
      </c>
      <c r="F426" s="3010" t="e">
        <v>#N/A</v>
      </c>
      <c r="G426" s="1703" t="e">
        <v>#N/A</v>
      </c>
      <c r="H426" s="1216" t="e">
        <v>#N/A</v>
      </c>
      <c r="I426" s="3011" t="e">
        <v>#N/A</v>
      </c>
      <c r="J426" s="3011" t="e">
        <v>#N/A</v>
      </c>
      <c r="K426" s="3011" t="e">
        <v>#N/A</v>
      </c>
      <c r="L426" s="3011" t="e">
        <v>#N/A</v>
      </c>
      <c r="M426" s="3011" t="e">
        <v>#N/A</v>
      </c>
      <c r="N426" s="1704" t="e">
        <v>#N/A</v>
      </c>
      <c r="O426" s="3011" t="e">
        <v>#N/A</v>
      </c>
      <c r="P426" s="3011" t="e">
        <v>#N/A</v>
      </c>
      <c r="Q426" s="3281"/>
      <c r="R426" s="2370"/>
      <c r="S426" s="2370"/>
      <c r="T426" s="2371"/>
    </row>
    <row r="427" spans="1:20">
      <c r="A427" s="1340">
        <v>2028.1</v>
      </c>
      <c r="B427" s="1230" t="e">
        <v>#N/A</v>
      </c>
      <c r="C427" s="3010" t="e">
        <v>#N/A</v>
      </c>
      <c r="D427" s="1715" t="e">
        <v>#N/A</v>
      </c>
      <c r="E427" s="1653" t="e">
        <v>#N/A</v>
      </c>
      <c r="F427" s="3010" t="e">
        <v>#N/A</v>
      </c>
      <c r="G427" s="1703" t="e">
        <v>#N/A</v>
      </c>
      <c r="H427" s="1216" t="e">
        <v>#N/A</v>
      </c>
      <c r="I427" s="3011" t="e">
        <v>#N/A</v>
      </c>
      <c r="J427" s="3011" t="e">
        <v>#N/A</v>
      </c>
      <c r="K427" s="3011" t="e">
        <v>#N/A</v>
      </c>
      <c r="L427" s="3011" t="e">
        <v>#N/A</v>
      </c>
      <c r="M427" s="3011" t="e">
        <v>#N/A</v>
      </c>
      <c r="N427" s="1704" t="e">
        <v>#N/A</v>
      </c>
      <c r="O427" s="3011" t="e">
        <v>#N/A</v>
      </c>
      <c r="P427" s="3011" t="e">
        <v>#N/A</v>
      </c>
      <c r="Q427" s="3281"/>
      <c r="R427" s="2370"/>
      <c r="S427" s="2370"/>
      <c r="T427" s="2371"/>
    </row>
    <row r="428" spans="1:20">
      <c r="A428" s="1340">
        <v>2028.11</v>
      </c>
      <c r="B428" s="1230" t="e">
        <v>#N/A</v>
      </c>
      <c r="C428" s="3010" t="e">
        <v>#N/A</v>
      </c>
      <c r="D428" s="1715" t="e">
        <v>#N/A</v>
      </c>
      <c r="E428" s="1653" t="e">
        <v>#N/A</v>
      </c>
      <c r="F428" s="3010" t="e">
        <v>#N/A</v>
      </c>
      <c r="G428" s="1703" t="e">
        <v>#N/A</v>
      </c>
      <c r="H428" s="1216" t="e">
        <v>#N/A</v>
      </c>
      <c r="I428" s="3011" t="e">
        <v>#N/A</v>
      </c>
      <c r="J428" s="3011" t="e">
        <v>#N/A</v>
      </c>
      <c r="K428" s="3011" t="e">
        <v>#N/A</v>
      </c>
      <c r="L428" s="3011" t="e">
        <v>#N/A</v>
      </c>
      <c r="M428" s="3011" t="e">
        <v>#N/A</v>
      </c>
      <c r="N428" s="1704" t="e">
        <v>#N/A</v>
      </c>
      <c r="O428" s="3011" t="e">
        <v>#N/A</v>
      </c>
      <c r="P428" s="3011" t="e">
        <v>#N/A</v>
      </c>
      <c r="Q428" s="3281"/>
      <c r="R428" s="2370"/>
      <c r="S428" s="2370"/>
      <c r="T428" s="2371"/>
    </row>
    <row r="429" spans="1:20">
      <c r="A429" s="1340">
        <v>2028.12</v>
      </c>
      <c r="B429" s="1230" t="e">
        <v>#N/A</v>
      </c>
      <c r="C429" s="3010" t="e">
        <v>#N/A</v>
      </c>
      <c r="D429" s="1715" t="e">
        <v>#N/A</v>
      </c>
      <c r="E429" s="1653" t="e">
        <v>#N/A</v>
      </c>
      <c r="F429" s="3010" t="e">
        <v>#N/A</v>
      </c>
      <c r="G429" s="1703" t="e">
        <v>#N/A</v>
      </c>
      <c r="H429" s="1216" t="e">
        <v>#N/A</v>
      </c>
      <c r="I429" s="3011" t="e">
        <v>#N/A</v>
      </c>
      <c r="J429" s="3011" t="e">
        <v>#N/A</v>
      </c>
      <c r="K429" s="3011" t="e">
        <v>#N/A</v>
      </c>
      <c r="L429" s="3011" t="e">
        <v>#N/A</v>
      </c>
      <c r="M429" s="3011" t="e">
        <v>#N/A</v>
      </c>
      <c r="N429" s="1704" t="e">
        <v>#N/A</v>
      </c>
      <c r="O429" s="3011" t="e">
        <v>#N/A</v>
      </c>
      <c r="P429" s="3011" t="e">
        <v>#N/A</v>
      </c>
      <c r="Q429" s="3281"/>
      <c r="R429" s="2370"/>
      <c r="S429" s="2370"/>
      <c r="T429" s="2371"/>
    </row>
    <row r="430" spans="1:20">
      <c r="A430" s="1340">
        <v>2029.01</v>
      </c>
      <c r="B430" s="1230" t="e">
        <v>#N/A</v>
      </c>
      <c r="C430" s="3010" t="e">
        <v>#N/A</v>
      </c>
      <c r="D430" s="1715" t="e">
        <v>#N/A</v>
      </c>
      <c r="E430" s="1653" t="e">
        <v>#N/A</v>
      </c>
      <c r="F430" s="3010" t="e">
        <v>#N/A</v>
      </c>
      <c r="G430" s="1703" t="e">
        <v>#N/A</v>
      </c>
      <c r="H430" s="1216" t="e">
        <v>#N/A</v>
      </c>
      <c r="I430" s="3011" t="e">
        <v>#N/A</v>
      </c>
      <c r="J430" s="3011" t="e">
        <v>#N/A</v>
      </c>
      <c r="K430" s="3011" t="e">
        <v>#N/A</v>
      </c>
      <c r="L430" s="3011" t="e">
        <v>#N/A</v>
      </c>
      <c r="M430" s="3011" t="e">
        <v>#N/A</v>
      </c>
      <c r="N430" s="1704" t="e">
        <v>#N/A</v>
      </c>
      <c r="O430" s="3011" t="e">
        <v>#N/A</v>
      </c>
      <c r="P430" s="3011" t="e">
        <v>#N/A</v>
      </c>
      <c r="Q430" s="3281"/>
      <c r="R430" s="2370"/>
      <c r="S430" s="2370"/>
      <c r="T430" s="2371"/>
    </row>
    <row r="431" spans="1:20">
      <c r="A431" s="1340">
        <v>2029.02</v>
      </c>
      <c r="B431" s="1230" t="e">
        <v>#N/A</v>
      </c>
      <c r="C431" s="3010" t="e">
        <v>#N/A</v>
      </c>
      <c r="D431" s="1715" t="e">
        <v>#N/A</v>
      </c>
      <c r="E431" s="1653" t="e">
        <v>#N/A</v>
      </c>
      <c r="F431" s="3010" t="e">
        <v>#N/A</v>
      </c>
      <c r="G431" s="1703" t="e">
        <v>#N/A</v>
      </c>
      <c r="H431" s="1216" t="e">
        <v>#N/A</v>
      </c>
      <c r="I431" s="3011" t="e">
        <v>#N/A</v>
      </c>
      <c r="J431" s="3011" t="e">
        <v>#N/A</v>
      </c>
      <c r="K431" s="3011" t="e">
        <v>#N/A</v>
      </c>
      <c r="L431" s="3011" t="e">
        <v>#N/A</v>
      </c>
      <c r="M431" s="3011" t="e">
        <v>#N/A</v>
      </c>
      <c r="N431" s="1704" t="e">
        <v>#N/A</v>
      </c>
      <c r="O431" s="3011" t="e">
        <v>#N/A</v>
      </c>
      <c r="P431" s="3011" t="e">
        <v>#N/A</v>
      </c>
      <c r="Q431" s="3281"/>
      <c r="R431" s="2370"/>
      <c r="S431" s="2370"/>
      <c r="T431" s="2371"/>
    </row>
    <row r="432" spans="1:20">
      <c r="A432" s="1340">
        <v>2029.03</v>
      </c>
      <c r="B432" s="1230" t="e">
        <v>#N/A</v>
      </c>
      <c r="C432" s="3010" t="e">
        <v>#N/A</v>
      </c>
      <c r="D432" s="1715" t="e">
        <v>#N/A</v>
      </c>
      <c r="E432" s="1653" t="e">
        <v>#N/A</v>
      </c>
      <c r="F432" s="3010" t="e">
        <v>#N/A</v>
      </c>
      <c r="G432" s="1703" t="e">
        <v>#N/A</v>
      </c>
      <c r="H432" s="1216" t="e">
        <v>#N/A</v>
      </c>
      <c r="I432" s="3011" t="e">
        <v>#N/A</v>
      </c>
      <c r="J432" s="3011" t="e">
        <v>#N/A</v>
      </c>
      <c r="K432" s="3011" t="e">
        <v>#N/A</v>
      </c>
      <c r="L432" s="3011" t="e">
        <v>#N/A</v>
      </c>
      <c r="M432" s="3011" t="e">
        <v>#N/A</v>
      </c>
      <c r="N432" s="1704" t="e">
        <v>#N/A</v>
      </c>
      <c r="O432" s="3011" t="e">
        <v>#N/A</v>
      </c>
      <c r="P432" s="3011" t="e">
        <v>#N/A</v>
      </c>
      <c r="Q432" s="3281"/>
      <c r="R432" s="2370"/>
      <c r="S432" s="2370"/>
      <c r="T432" s="2371"/>
    </row>
    <row r="433" spans="1:20">
      <c r="A433" s="1340">
        <v>2029.04</v>
      </c>
      <c r="B433" s="1230" t="e">
        <v>#N/A</v>
      </c>
      <c r="C433" s="3010" t="e">
        <v>#N/A</v>
      </c>
      <c r="D433" s="1715" t="e">
        <v>#N/A</v>
      </c>
      <c r="E433" s="1653" t="e">
        <v>#N/A</v>
      </c>
      <c r="F433" s="3010" t="e">
        <v>#N/A</v>
      </c>
      <c r="G433" s="1703" t="e">
        <v>#N/A</v>
      </c>
      <c r="H433" s="1216" t="e">
        <v>#N/A</v>
      </c>
      <c r="I433" s="3011" t="e">
        <v>#N/A</v>
      </c>
      <c r="J433" s="3011" t="e">
        <v>#N/A</v>
      </c>
      <c r="K433" s="3011" t="e">
        <v>#N/A</v>
      </c>
      <c r="L433" s="3011" t="e">
        <v>#N/A</v>
      </c>
      <c r="M433" s="3011" t="e">
        <v>#N/A</v>
      </c>
      <c r="N433" s="1704" t="e">
        <v>#N/A</v>
      </c>
      <c r="O433" s="3011" t="e">
        <v>#N/A</v>
      </c>
      <c r="P433" s="3011" t="e">
        <v>#N/A</v>
      </c>
      <c r="Q433" s="3281"/>
      <c r="R433" s="2370"/>
      <c r="S433" s="2370"/>
      <c r="T433" s="2371"/>
    </row>
    <row r="434" spans="1:20">
      <c r="A434" s="1340">
        <v>2029.05</v>
      </c>
      <c r="B434" s="1230" t="e">
        <v>#N/A</v>
      </c>
      <c r="C434" s="3010" t="e">
        <v>#N/A</v>
      </c>
      <c r="D434" s="1715" t="e">
        <v>#N/A</v>
      </c>
      <c r="E434" s="1653" t="e">
        <v>#N/A</v>
      </c>
      <c r="F434" s="3010" t="e">
        <v>#N/A</v>
      </c>
      <c r="G434" s="1703" t="e">
        <v>#N/A</v>
      </c>
      <c r="H434" s="1216" t="e">
        <v>#N/A</v>
      </c>
      <c r="I434" s="3011" t="e">
        <v>#N/A</v>
      </c>
      <c r="J434" s="3011" t="e">
        <v>#N/A</v>
      </c>
      <c r="K434" s="3011" t="e">
        <v>#N/A</v>
      </c>
      <c r="L434" s="3011" t="e">
        <v>#N/A</v>
      </c>
      <c r="M434" s="3011" t="e">
        <v>#N/A</v>
      </c>
      <c r="N434" s="1704" t="e">
        <v>#N/A</v>
      </c>
      <c r="O434" s="3011" t="e">
        <v>#N/A</v>
      </c>
      <c r="P434" s="3011" t="e">
        <v>#N/A</v>
      </c>
      <c r="Q434" s="3281"/>
      <c r="R434" s="2370"/>
      <c r="S434" s="2370"/>
      <c r="T434" s="2371"/>
    </row>
    <row r="435" spans="1:20">
      <c r="A435" s="1340">
        <v>2029.06</v>
      </c>
      <c r="B435" s="1230" t="e">
        <v>#N/A</v>
      </c>
      <c r="C435" s="3010" t="e">
        <v>#N/A</v>
      </c>
      <c r="D435" s="1715" t="e">
        <v>#N/A</v>
      </c>
      <c r="E435" s="1653" t="e">
        <v>#N/A</v>
      </c>
      <c r="F435" s="3010" t="e">
        <v>#N/A</v>
      </c>
      <c r="G435" s="1703" t="e">
        <v>#N/A</v>
      </c>
      <c r="H435" s="1216" t="e">
        <v>#N/A</v>
      </c>
      <c r="I435" s="3011" t="e">
        <v>#N/A</v>
      </c>
      <c r="J435" s="3011" t="e">
        <v>#N/A</v>
      </c>
      <c r="K435" s="3011" t="e">
        <v>#N/A</v>
      </c>
      <c r="L435" s="3011" t="e">
        <v>#N/A</v>
      </c>
      <c r="M435" s="3011" t="e">
        <v>#N/A</v>
      </c>
      <c r="N435" s="1704" t="e">
        <v>#N/A</v>
      </c>
      <c r="O435" s="3011" t="e">
        <v>#N/A</v>
      </c>
      <c r="P435" s="3011" t="e">
        <v>#N/A</v>
      </c>
      <c r="Q435" s="3281"/>
      <c r="R435" s="2370"/>
      <c r="S435" s="2370"/>
      <c r="T435" s="2371"/>
    </row>
    <row r="436" spans="1:20">
      <c r="A436" s="1340">
        <v>2029.07</v>
      </c>
      <c r="B436" s="1230" t="e">
        <v>#N/A</v>
      </c>
      <c r="C436" s="3010" t="e">
        <v>#N/A</v>
      </c>
      <c r="D436" s="1715" t="e">
        <v>#N/A</v>
      </c>
      <c r="E436" s="1653" t="e">
        <v>#N/A</v>
      </c>
      <c r="F436" s="3010" t="e">
        <v>#N/A</v>
      </c>
      <c r="G436" s="1703" t="e">
        <v>#N/A</v>
      </c>
      <c r="H436" s="1216" t="e">
        <v>#N/A</v>
      </c>
      <c r="I436" s="3011" t="e">
        <v>#N/A</v>
      </c>
      <c r="J436" s="3011" t="e">
        <v>#N/A</v>
      </c>
      <c r="K436" s="3011" t="e">
        <v>#N/A</v>
      </c>
      <c r="L436" s="3011" t="e">
        <v>#N/A</v>
      </c>
      <c r="M436" s="3011" t="e">
        <v>#N/A</v>
      </c>
      <c r="N436" s="1704" t="e">
        <v>#N/A</v>
      </c>
      <c r="O436" s="3011" t="e">
        <v>#N/A</v>
      </c>
      <c r="P436" s="3011" t="e">
        <v>#N/A</v>
      </c>
      <c r="Q436" s="3281"/>
      <c r="R436" s="2370"/>
      <c r="S436" s="2370"/>
      <c r="T436" s="2371"/>
    </row>
    <row r="437" spans="1:20">
      <c r="A437" s="1340">
        <v>2029.08</v>
      </c>
      <c r="B437" s="1230" t="e">
        <v>#N/A</v>
      </c>
      <c r="C437" s="3010" t="e">
        <v>#N/A</v>
      </c>
      <c r="D437" s="1715" t="e">
        <v>#N/A</v>
      </c>
      <c r="E437" s="1653" t="e">
        <v>#N/A</v>
      </c>
      <c r="F437" s="3010" t="e">
        <v>#N/A</v>
      </c>
      <c r="G437" s="1703" t="e">
        <v>#N/A</v>
      </c>
      <c r="H437" s="1216" t="e">
        <v>#N/A</v>
      </c>
      <c r="I437" s="3011" t="e">
        <v>#N/A</v>
      </c>
      <c r="J437" s="3011" t="e">
        <v>#N/A</v>
      </c>
      <c r="K437" s="3011" t="e">
        <v>#N/A</v>
      </c>
      <c r="L437" s="3011" t="e">
        <v>#N/A</v>
      </c>
      <c r="M437" s="3011" t="e">
        <v>#N/A</v>
      </c>
      <c r="N437" s="1704" t="e">
        <v>#N/A</v>
      </c>
      <c r="O437" s="3011" t="e">
        <v>#N/A</v>
      </c>
      <c r="P437" s="3011" t="e">
        <v>#N/A</v>
      </c>
      <c r="Q437" s="3281"/>
      <c r="R437" s="2370"/>
      <c r="S437" s="2370"/>
      <c r="T437" s="2371"/>
    </row>
    <row r="438" spans="1:20">
      <c r="A438" s="1340">
        <v>2029.09</v>
      </c>
      <c r="B438" s="1230" t="e">
        <v>#N/A</v>
      </c>
      <c r="C438" s="3010" t="e">
        <v>#N/A</v>
      </c>
      <c r="D438" s="1715" t="e">
        <v>#N/A</v>
      </c>
      <c r="E438" s="1653" t="e">
        <v>#N/A</v>
      </c>
      <c r="F438" s="3010" t="e">
        <v>#N/A</v>
      </c>
      <c r="G438" s="1703" t="e">
        <v>#N/A</v>
      </c>
      <c r="H438" s="1216" t="e">
        <v>#N/A</v>
      </c>
      <c r="I438" s="3011" t="e">
        <v>#N/A</v>
      </c>
      <c r="J438" s="3011" t="e">
        <v>#N/A</v>
      </c>
      <c r="K438" s="3011" t="e">
        <v>#N/A</v>
      </c>
      <c r="L438" s="3011" t="e">
        <v>#N/A</v>
      </c>
      <c r="M438" s="3011" t="e">
        <v>#N/A</v>
      </c>
      <c r="N438" s="1704" t="e">
        <v>#N/A</v>
      </c>
      <c r="O438" s="3011" t="e">
        <v>#N/A</v>
      </c>
      <c r="P438" s="3011" t="e">
        <v>#N/A</v>
      </c>
      <c r="Q438" s="3281"/>
      <c r="R438" s="2370"/>
      <c r="S438" s="2370"/>
      <c r="T438" s="2371"/>
    </row>
    <row r="439" spans="1:20">
      <c r="A439" s="1340">
        <v>2029.1</v>
      </c>
      <c r="B439" s="1230" t="e">
        <v>#N/A</v>
      </c>
      <c r="C439" s="3010" t="e">
        <v>#N/A</v>
      </c>
      <c r="D439" s="1715" t="e">
        <v>#N/A</v>
      </c>
      <c r="E439" s="1653" t="e">
        <v>#N/A</v>
      </c>
      <c r="F439" s="3010" t="e">
        <v>#N/A</v>
      </c>
      <c r="G439" s="1703" t="e">
        <v>#N/A</v>
      </c>
      <c r="H439" s="1216" t="e">
        <v>#N/A</v>
      </c>
      <c r="I439" s="3011" t="e">
        <v>#N/A</v>
      </c>
      <c r="J439" s="3011" t="e">
        <v>#N/A</v>
      </c>
      <c r="K439" s="3011" t="e">
        <v>#N/A</v>
      </c>
      <c r="L439" s="3011" t="e">
        <v>#N/A</v>
      </c>
      <c r="M439" s="3011" t="e">
        <v>#N/A</v>
      </c>
      <c r="N439" s="1704" t="e">
        <v>#N/A</v>
      </c>
      <c r="O439" s="3011" t="e">
        <v>#N/A</v>
      </c>
      <c r="P439" s="3011" t="e">
        <v>#N/A</v>
      </c>
      <c r="Q439" s="3281"/>
      <c r="R439" s="2370"/>
      <c r="S439" s="2370"/>
      <c r="T439" s="2371"/>
    </row>
    <row r="440" spans="1:20">
      <c r="A440" s="1340">
        <v>2029.11</v>
      </c>
      <c r="B440" s="1230" t="e">
        <v>#N/A</v>
      </c>
      <c r="C440" s="3010" t="e">
        <v>#N/A</v>
      </c>
      <c r="D440" s="1715" t="e">
        <v>#N/A</v>
      </c>
      <c r="E440" s="1653" t="e">
        <v>#N/A</v>
      </c>
      <c r="F440" s="3010" t="e">
        <v>#N/A</v>
      </c>
      <c r="G440" s="1703" t="e">
        <v>#N/A</v>
      </c>
      <c r="H440" s="1216" t="e">
        <v>#N/A</v>
      </c>
      <c r="I440" s="3011" t="e">
        <v>#N/A</v>
      </c>
      <c r="J440" s="3011" t="e">
        <v>#N/A</v>
      </c>
      <c r="K440" s="3011" t="e">
        <v>#N/A</v>
      </c>
      <c r="L440" s="3011" t="e">
        <v>#N/A</v>
      </c>
      <c r="M440" s="3011" t="e">
        <v>#N/A</v>
      </c>
      <c r="N440" s="1704" t="e">
        <v>#N/A</v>
      </c>
      <c r="O440" s="3011" t="e">
        <v>#N/A</v>
      </c>
      <c r="P440" s="3011" t="e">
        <v>#N/A</v>
      </c>
      <c r="Q440" s="3281"/>
      <c r="R440" s="2370"/>
      <c r="S440" s="2370"/>
      <c r="T440" s="2371"/>
    </row>
    <row r="441" spans="1:20">
      <c r="A441" s="1340">
        <v>2029.12</v>
      </c>
      <c r="B441" s="1230" t="e">
        <v>#N/A</v>
      </c>
      <c r="C441" s="3010" t="e">
        <v>#N/A</v>
      </c>
      <c r="D441" s="1715" t="e">
        <v>#N/A</v>
      </c>
      <c r="E441" s="1653" t="e">
        <v>#N/A</v>
      </c>
      <c r="F441" s="3010" t="e">
        <v>#N/A</v>
      </c>
      <c r="G441" s="1703" t="e">
        <v>#N/A</v>
      </c>
      <c r="H441" s="1216" t="e">
        <v>#N/A</v>
      </c>
      <c r="I441" s="3011" t="e">
        <v>#N/A</v>
      </c>
      <c r="J441" s="3011" t="e">
        <v>#N/A</v>
      </c>
      <c r="K441" s="3011" t="e">
        <v>#N/A</v>
      </c>
      <c r="L441" s="3011" t="e">
        <v>#N/A</v>
      </c>
      <c r="M441" s="3011" t="e">
        <v>#N/A</v>
      </c>
      <c r="N441" s="1704" t="e">
        <v>#N/A</v>
      </c>
      <c r="O441" s="3011" t="e">
        <v>#N/A</v>
      </c>
      <c r="P441" s="3011" t="e">
        <v>#N/A</v>
      </c>
      <c r="Q441" s="3281"/>
      <c r="R441" s="2370"/>
      <c r="S441" s="2370"/>
      <c r="T441" s="2371"/>
    </row>
    <row r="442" spans="1:20">
      <c r="A442" s="1340">
        <v>2030.01</v>
      </c>
      <c r="B442" s="1230" t="e">
        <v>#N/A</v>
      </c>
      <c r="C442" s="3010" t="e">
        <v>#N/A</v>
      </c>
      <c r="D442" s="1715" t="e">
        <v>#N/A</v>
      </c>
      <c r="E442" s="1653" t="e">
        <v>#N/A</v>
      </c>
      <c r="F442" s="3010" t="e">
        <v>#N/A</v>
      </c>
      <c r="G442" s="1703" t="e">
        <v>#N/A</v>
      </c>
      <c r="H442" s="1216" t="e">
        <v>#N/A</v>
      </c>
      <c r="I442" s="3011" t="e">
        <v>#N/A</v>
      </c>
      <c r="J442" s="3011" t="e">
        <v>#N/A</v>
      </c>
      <c r="K442" s="3011" t="e">
        <v>#N/A</v>
      </c>
      <c r="L442" s="3011" t="e">
        <v>#N/A</v>
      </c>
      <c r="M442" s="3011" t="e">
        <v>#N/A</v>
      </c>
      <c r="N442" s="1704" t="e">
        <v>#N/A</v>
      </c>
      <c r="O442" s="3011" t="e">
        <v>#N/A</v>
      </c>
      <c r="P442" s="3011" t="e">
        <v>#N/A</v>
      </c>
      <c r="Q442" s="3281"/>
      <c r="R442" s="2370"/>
      <c r="S442" s="2370"/>
      <c r="T442" s="2371"/>
    </row>
    <row r="443" spans="1:20">
      <c r="A443" s="1340">
        <v>2030.02</v>
      </c>
      <c r="B443" s="1230" t="e">
        <v>#N/A</v>
      </c>
      <c r="C443" s="3010" t="e">
        <v>#N/A</v>
      </c>
      <c r="D443" s="1715" t="e">
        <v>#N/A</v>
      </c>
      <c r="E443" s="1653" t="e">
        <v>#N/A</v>
      </c>
      <c r="F443" s="3010" t="e">
        <v>#N/A</v>
      </c>
      <c r="G443" s="1703" t="e">
        <v>#N/A</v>
      </c>
      <c r="H443" s="1216" t="e">
        <v>#N/A</v>
      </c>
      <c r="I443" s="3011" t="e">
        <v>#N/A</v>
      </c>
      <c r="J443" s="3011" t="e">
        <v>#N/A</v>
      </c>
      <c r="K443" s="3011" t="e">
        <v>#N/A</v>
      </c>
      <c r="L443" s="3011" t="e">
        <v>#N/A</v>
      </c>
      <c r="M443" s="3011" t="e">
        <v>#N/A</v>
      </c>
      <c r="N443" s="1704" t="e">
        <v>#N/A</v>
      </c>
      <c r="O443" s="3011" t="e">
        <v>#N/A</v>
      </c>
      <c r="P443" s="3011" t="e">
        <v>#N/A</v>
      </c>
      <c r="Q443" s="3281"/>
      <c r="R443" s="2370"/>
      <c r="S443" s="2370"/>
      <c r="T443" s="2371"/>
    </row>
    <row r="444" spans="1:20">
      <c r="A444" s="1340">
        <v>2030.03</v>
      </c>
      <c r="B444" s="1230" t="e">
        <v>#N/A</v>
      </c>
      <c r="C444" s="3010" t="e">
        <v>#N/A</v>
      </c>
      <c r="D444" s="1715" t="e">
        <v>#N/A</v>
      </c>
      <c r="E444" s="1653" t="e">
        <v>#N/A</v>
      </c>
      <c r="F444" s="3010" t="e">
        <v>#N/A</v>
      </c>
      <c r="G444" s="1703" t="e">
        <v>#N/A</v>
      </c>
      <c r="H444" s="1216" t="e">
        <v>#N/A</v>
      </c>
      <c r="I444" s="3011" t="e">
        <v>#N/A</v>
      </c>
      <c r="J444" s="3011" t="e">
        <v>#N/A</v>
      </c>
      <c r="K444" s="3011" t="e">
        <v>#N/A</v>
      </c>
      <c r="L444" s="3011" t="e">
        <v>#N/A</v>
      </c>
      <c r="M444" s="3011" t="e">
        <v>#N/A</v>
      </c>
      <c r="N444" s="1704" t="e">
        <v>#N/A</v>
      </c>
      <c r="O444" s="3011" t="e">
        <v>#N/A</v>
      </c>
      <c r="P444" s="3011" t="e">
        <v>#N/A</v>
      </c>
      <c r="Q444" s="3281"/>
      <c r="R444" s="2370"/>
      <c r="S444" s="2370"/>
      <c r="T444" s="2371"/>
    </row>
    <row r="445" spans="1:20">
      <c r="A445" s="1340">
        <v>2030.04</v>
      </c>
      <c r="B445" s="1230" t="e">
        <v>#N/A</v>
      </c>
      <c r="C445" s="3010" t="e">
        <v>#N/A</v>
      </c>
      <c r="D445" s="1715" t="e">
        <v>#N/A</v>
      </c>
      <c r="E445" s="1653" t="e">
        <v>#N/A</v>
      </c>
      <c r="F445" s="3010" t="e">
        <v>#N/A</v>
      </c>
      <c r="G445" s="1703" t="e">
        <v>#N/A</v>
      </c>
      <c r="H445" s="1216" t="e">
        <v>#N/A</v>
      </c>
      <c r="I445" s="3011" t="e">
        <v>#N/A</v>
      </c>
      <c r="J445" s="3011" t="e">
        <v>#N/A</v>
      </c>
      <c r="K445" s="3011" t="e">
        <v>#N/A</v>
      </c>
      <c r="L445" s="3011" t="e">
        <v>#N/A</v>
      </c>
      <c r="M445" s="3011" t="e">
        <v>#N/A</v>
      </c>
      <c r="N445" s="1704" t="e">
        <v>#N/A</v>
      </c>
      <c r="O445" s="3011" t="e">
        <v>#N/A</v>
      </c>
      <c r="P445" s="3011" t="e">
        <v>#N/A</v>
      </c>
      <c r="Q445" s="3281"/>
      <c r="R445" s="2370"/>
      <c r="S445" s="2370"/>
      <c r="T445" s="2371"/>
    </row>
    <row r="446" spans="1:20">
      <c r="A446" s="1340">
        <v>2030.05</v>
      </c>
      <c r="B446" s="1230" t="e">
        <v>#N/A</v>
      </c>
      <c r="C446" s="3010" t="e">
        <v>#N/A</v>
      </c>
      <c r="D446" s="1715" t="e">
        <v>#N/A</v>
      </c>
      <c r="E446" s="1653" t="e">
        <v>#N/A</v>
      </c>
      <c r="F446" s="3010" t="e">
        <v>#N/A</v>
      </c>
      <c r="G446" s="1703" t="e">
        <v>#N/A</v>
      </c>
      <c r="H446" s="1216" t="e">
        <v>#N/A</v>
      </c>
      <c r="I446" s="3011" t="e">
        <v>#N/A</v>
      </c>
      <c r="J446" s="3011" t="e">
        <v>#N/A</v>
      </c>
      <c r="K446" s="3011" t="e">
        <v>#N/A</v>
      </c>
      <c r="L446" s="3011" t="e">
        <v>#N/A</v>
      </c>
      <c r="M446" s="3011" t="e">
        <v>#N/A</v>
      </c>
      <c r="N446" s="1704" t="e">
        <v>#N/A</v>
      </c>
      <c r="O446" s="3011" t="e">
        <v>#N/A</v>
      </c>
      <c r="P446" s="3011" t="e">
        <v>#N/A</v>
      </c>
      <c r="Q446" s="3281"/>
      <c r="R446" s="2370"/>
      <c r="S446" s="2370"/>
      <c r="T446" s="2371"/>
    </row>
    <row r="447" spans="1:20">
      <c r="A447" s="1340">
        <v>2030.06</v>
      </c>
      <c r="B447" s="1230" t="e">
        <v>#N/A</v>
      </c>
      <c r="C447" s="3010" t="e">
        <v>#N/A</v>
      </c>
      <c r="D447" s="1715" t="e">
        <v>#N/A</v>
      </c>
      <c r="E447" s="1653" t="e">
        <v>#N/A</v>
      </c>
      <c r="F447" s="3010" t="e">
        <v>#N/A</v>
      </c>
      <c r="G447" s="1703" t="e">
        <v>#N/A</v>
      </c>
      <c r="H447" s="1216" t="e">
        <v>#N/A</v>
      </c>
      <c r="I447" s="3011" t="e">
        <v>#N/A</v>
      </c>
      <c r="J447" s="3011" t="e">
        <v>#N/A</v>
      </c>
      <c r="K447" s="3011" t="e">
        <v>#N/A</v>
      </c>
      <c r="L447" s="3011" t="e">
        <v>#N/A</v>
      </c>
      <c r="M447" s="3011" t="e">
        <v>#N/A</v>
      </c>
      <c r="N447" s="1704" t="e">
        <v>#N/A</v>
      </c>
      <c r="O447" s="3011" t="e">
        <v>#N/A</v>
      </c>
      <c r="P447" s="3011" t="e">
        <v>#N/A</v>
      </c>
      <c r="Q447" s="3281"/>
      <c r="R447" s="2370"/>
      <c r="S447" s="2370"/>
      <c r="T447" s="2371"/>
    </row>
    <row r="448" spans="1:20">
      <c r="A448" s="1340">
        <v>2030.07</v>
      </c>
      <c r="B448" s="1230" t="e">
        <v>#N/A</v>
      </c>
      <c r="C448" s="3010" t="e">
        <v>#N/A</v>
      </c>
      <c r="D448" s="1715" t="e">
        <v>#N/A</v>
      </c>
      <c r="E448" s="1653" t="e">
        <v>#N/A</v>
      </c>
      <c r="F448" s="3010" t="e">
        <v>#N/A</v>
      </c>
      <c r="G448" s="1703" t="e">
        <v>#N/A</v>
      </c>
      <c r="H448" s="1216" t="e">
        <v>#N/A</v>
      </c>
      <c r="I448" s="3011" t="e">
        <v>#N/A</v>
      </c>
      <c r="J448" s="3011" t="e">
        <v>#N/A</v>
      </c>
      <c r="K448" s="3011" t="e">
        <v>#N/A</v>
      </c>
      <c r="L448" s="3011" t="e">
        <v>#N/A</v>
      </c>
      <c r="M448" s="3011" t="e">
        <v>#N/A</v>
      </c>
      <c r="N448" s="1704" t="e">
        <v>#N/A</v>
      </c>
      <c r="O448" s="3011" t="e">
        <v>#N/A</v>
      </c>
      <c r="P448" s="3011" t="e">
        <v>#N/A</v>
      </c>
      <c r="Q448" s="3281"/>
      <c r="R448" s="2370"/>
      <c r="S448" s="2370"/>
      <c r="T448" s="2371"/>
    </row>
    <row r="449" spans="1:20">
      <c r="A449" s="1340">
        <v>2030.08</v>
      </c>
      <c r="B449" s="1230" t="e">
        <v>#N/A</v>
      </c>
      <c r="C449" s="3010" t="e">
        <v>#N/A</v>
      </c>
      <c r="D449" s="1715" t="e">
        <v>#N/A</v>
      </c>
      <c r="E449" s="1653" t="e">
        <v>#N/A</v>
      </c>
      <c r="F449" s="3010" t="e">
        <v>#N/A</v>
      </c>
      <c r="G449" s="1703" t="e">
        <v>#N/A</v>
      </c>
      <c r="H449" s="1216" t="e">
        <v>#N/A</v>
      </c>
      <c r="I449" s="3011" t="e">
        <v>#N/A</v>
      </c>
      <c r="J449" s="3011" t="e">
        <v>#N/A</v>
      </c>
      <c r="K449" s="3011" t="e">
        <v>#N/A</v>
      </c>
      <c r="L449" s="3011" t="e">
        <v>#N/A</v>
      </c>
      <c r="M449" s="3011" t="e">
        <v>#N/A</v>
      </c>
      <c r="N449" s="1704" t="e">
        <v>#N/A</v>
      </c>
      <c r="O449" s="3011" t="e">
        <v>#N/A</v>
      </c>
      <c r="P449" s="3011" t="e">
        <v>#N/A</v>
      </c>
      <c r="Q449" s="3281"/>
      <c r="R449" s="2370"/>
      <c r="S449" s="2370"/>
      <c r="T449" s="2371"/>
    </row>
    <row r="450" spans="1:20">
      <c r="A450" s="1340">
        <v>2030.09</v>
      </c>
      <c r="B450" s="1230" t="e">
        <v>#N/A</v>
      </c>
      <c r="C450" s="3010" t="e">
        <v>#N/A</v>
      </c>
      <c r="D450" s="1715" t="e">
        <v>#N/A</v>
      </c>
      <c r="E450" s="1653" t="e">
        <v>#N/A</v>
      </c>
      <c r="F450" s="3010" t="e">
        <v>#N/A</v>
      </c>
      <c r="G450" s="1703" t="e">
        <v>#N/A</v>
      </c>
      <c r="H450" s="1216" t="e">
        <v>#N/A</v>
      </c>
      <c r="I450" s="3011" t="e">
        <v>#N/A</v>
      </c>
      <c r="J450" s="3011" t="e">
        <v>#N/A</v>
      </c>
      <c r="K450" s="3011" t="e">
        <v>#N/A</v>
      </c>
      <c r="L450" s="3011" t="e">
        <v>#N/A</v>
      </c>
      <c r="M450" s="3011" t="e">
        <v>#N/A</v>
      </c>
      <c r="N450" s="1704" t="e">
        <v>#N/A</v>
      </c>
      <c r="O450" s="3011" t="e">
        <v>#N/A</v>
      </c>
      <c r="P450" s="3011" t="e">
        <v>#N/A</v>
      </c>
      <c r="Q450" s="3281"/>
      <c r="R450" s="2370"/>
      <c r="S450" s="2370"/>
      <c r="T450" s="2371"/>
    </row>
    <row r="451" spans="1:20">
      <c r="A451" s="1340">
        <v>2030.1</v>
      </c>
      <c r="B451" s="1230" t="e">
        <v>#N/A</v>
      </c>
      <c r="C451" s="3010" t="e">
        <v>#N/A</v>
      </c>
      <c r="D451" s="1715" t="e">
        <v>#N/A</v>
      </c>
      <c r="E451" s="1653" t="e">
        <v>#N/A</v>
      </c>
      <c r="F451" s="3010" t="e">
        <v>#N/A</v>
      </c>
      <c r="G451" s="1703" t="e">
        <v>#N/A</v>
      </c>
      <c r="H451" s="1216" t="e">
        <v>#N/A</v>
      </c>
      <c r="I451" s="3011" t="e">
        <v>#N/A</v>
      </c>
      <c r="J451" s="3011" t="e">
        <v>#N/A</v>
      </c>
      <c r="K451" s="3011" t="e">
        <v>#N/A</v>
      </c>
      <c r="L451" s="3011" t="e">
        <v>#N/A</v>
      </c>
      <c r="M451" s="3011" t="e">
        <v>#N/A</v>
      </c>
      <c r="N451" s="1704" t="e">
        <v>#N/A</v>
      </c>
      <c r="O451" s="3011" t="e">
        <v>#N/A</v>
      </c>
      <c r="P451" s="3011" t="e">
        <v>#N/A</v>
      </c>
      <c r="Q451" s="3281"/>
      <c r="R451" s="2370"/>
      <c r="S451" s="2370"/>
      <c r="T451" s="2371"/>
    </row>
    <row r="452" spans="1:20">
      <c r="A452" s="1340">
        <v>2030.11</v>
      </c>
      <c r="B452" s="1230" t="e">
        <v>#N/A</v>
      </c>
      <c r="C452" s="3010" t="e">
        <v>#N/A</v>
      </c>
      <c r="D452" s="1715" t="e">
        <v>#N/A</v>
      </c>
      <c r="E452" s="1653" t="e">
        <v>#N/A</v>
      </c>
      <c r="F452" s="3010" t="e">
        <v>#N/A</v>
      </c>
      <c r="G452" s="1703" t="e">
        <v>#N/A</v>
      </c>
      <c r="H452" s="1216" t="e">
        <v>#N/A</v>
      </c>
      <c r="I452" s="3011" t="e">
        <v>#N/A</v>
      </c>
      <c r="J452" s="3011" t="e">
        <v>#N/A</v>
      </c>
      <c r="K452" s="3011" t="e">
        <v>#N/A</v>
      </c>
      <c r="L452" s="3011" t="e">
        <v>#N/A</v>
      </c>
      <c r="M452" s="3011" t="e">
        <v>#N/A</v>
      </c>
      <c r="N452" s="1704" t="e">
        <v>#N/A</v>
      </c>
      <c r="O452" s="3011" t="e">
        <v>#N/A</v>
      </c>
      <c r="P452" s="3011" t="e">
        <v>#N/A</v>
      </c>
      <c r="Q452" s="3281"/>
      <c r="R452" s="2370"/>
      <c r="S452" s="2370"/>
      <c r="T452" s="2371"/>
    </row>
    <row r="453" spans="1:20">
      <c r="A453" s="1340">
        <v>2030.12</v>
      </c>
      <c r="B453" s="1230" t="e">
        <v>#N/A</v>
      </c>
      <c r="C453" s="3010" t="e">
        <v>#N/A</v>
      </c>
      <c r="D453" s="1715" t="e">
        <v>#N/A</v>
      </c>
      <c r="E453" s="1653" t="e">
        <v>#N/A</v>
      </c>
      <c r="F453" s="3010" t="e">
        <v>#N/A</v>
      </c>
      <c r="G453" s="1703" t="e">
        <v>#N/A</v>
      </c>
      <c r="H453" s="1216" t="e">
        <v>#N/A</v>
      </c>
      <c r="I453" s="3011" t="e">
        <v>#N/A</v>
      </c>
      <c r="J453" s="3011" t="e">
        <v>#N/A</v>
      </c>
      <c r="K453" s="3011" t="e">
        <v>#N/A</v>
      </c>
      <c r="L453" s="3011" t="e">
        <v>#N/A</v>
      </c>
      <c r="M453" s="3011" t="e">
        <v>#N/A</v>
      </c>
      <c r="N453" s="1704" t="e">
        <v>#N/A</v>
      </c>
      <c r="O453" s="3011" t="e">
        <v>#N/A</v>
      </c>
      <c r="P453" s="3011" t="e">
        <v>#N/A</v>
      </c>
      <c r="Q453" s="3281"/>
      <c r="R453" s="2370"/>
      <c r="S453" s="2370"/>
      <c r="T453" s="2371"/>
    </row>
  </sheetData>
  <phoneticPr fontId="68" type="noConversion"/>
  <hyperlinks>
    <hyperlink ref="A1:A3" location="Indice!A1" display="ÍNDICE" xr:uid="{00000000-0004-0000-3E00-000000000000}"/>
    <hyperlink ref="A5" location="INDICE!A13" display="VOLVER AL INDICE" xr:uid="{00000000-0004-0000-3E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6"/>
  <dimension ref="A1:A429"/>
  <sheetViews>
    <sheetView zoomScale="130" zoomScaleNormal="130" workbookViewId="0">
      <pane xSplit="1" ySplit="9" topLeftCell="G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325" customWidth="1"/>
    <col min="2" max="16384" width="11.42578125" style="1330"/>
  </cols>
  <sheetData>
    <row r="1" spans="1:1" s="1342" customFormat="1" ht="12.75" customHeight="1">
      <c r="A1" s="2462"/>
    </row>
    <row r="2" spans="1:1" s="1342" customFormat="1">
      <c r="A2" s="2462" t="s">
        <v>105</v>
      </c>
    </row>
    <row r="3" spans="1:1" s="1342" customFormat="1">
      <c r="A3" s="2462" t="s">
        <v>212</v>
      </c>
    </row>
    <row r="4" spans="1:1" s="1342" customFormat="1" ht="3.75" hidden="1" customHeight="1">
      <c r="A4" s="1343"/>
    </row>
    <row r="5" spans="1:1" s="1342" customFormat="1" ht="22.5">
      <c r="A5" s="2461" t="s">
        <v>137</v>
      </c>
    </row>
    <row r="6" spans="1:1" s="1342" customFormat="1" ht="12" customHeight="1">
      <c r="A6" s="1337" t="s">
        <v>141</v>
      </c>
    </row>
    <row r="7" spans="1:1" s="1342" customFormat="1" ht="22.5">
      <c r="A7" s="2462" t="s">
        <v>123</v>
      </c>
    </row>
    <row r="8" spans="1:1" s="1342" customFormat="1" ht="12.75" hidden="1" customHeight="1">
      <c r="A8" s="2462"/>
    </row>
    <row r="9" spans="1:1" s="1345" customFormat="1" ht="16.5" customHeight="1" thickBot="1">
      <c r="A9" s="1344" t="s">
        <v>517</v>
      </c>
    </row>
    <row r="10" spans="1:1" s="1345" customFormat="1">
      <c r="A10" s="1340">
        <v>1996.01</v>
      </c>
    </row>
    <row r="11" spans="1:1" s="1345" customFormat="1">
      <c r="A11" s="1340">
        <v>1996.02</v>
      </c>
    </row>
    <row r="12" spans="1:1" s="1345" customFormat="1">
      <c r="A12" s="1340">
        <v>1996.03</v>
      </c>
    </row>
    <row r="13" spans="1:1" s="1345" customFormat="1">
      <c r="A13" s="1340">
        <v>1996.04</v>
      </c>
    </row>
    <row r="14" spans="1:1" s="1345" customFormat="1">
      <c r="A14" s="1340">
        <v>1996.05</v>
      </c>
    </row>
    <row r="15" spans="1:1" s="1345" customFormat="1">
      <c r="A15" s="1340">
        <v>1996.06</v>
      </c>
    </row>
    <row r="16" spans="1:1" s="1345" customFormat="1">
      <c r="A16" s="1340">
        <v>1996.07</v>
      </c>
    </row>
    <row r="17" spans="1:1" s="1345" customFormat="1">
      <c r="A17" s="1340">
        <v>1996.08</v>
      </c>
    </row>
    <row r="18" spans="1:1" s="1345" customFormat="1">
      <c r="A18" s="1340">
        <v>1996.09</v>
      </c>
    </row>
    <row r="19" spans="1:1" s="1345" customFormat="1">
      <c r="A19" s="1340">
        <v>1996.1</v>
      </c>
    </row>
    <row r="20" spans="1:1" s="1345" customFormat="1">
      <c r="A20" s="1340">
        <v>1996.11</v>
      </c>
    </row>
    <row r="21" spans="1:1" s="1345" customFormat="1">
      <c r="A21" s="1340">
        <v>1996.12</v>
      </c>
    </row>
    <row r="22" spans="1:1" s="1345" customFormat="1">
      <c r="A22" s="1340">
        <v>1997.01</v>
      </c>
    </row>
    <row r="23" spans="1:1" s="1345" customFormat="1">
      <c r="A23" s="1340">
        <v>1997.02</v>
      </c>
    </row>
    <row r="24" spans="1:1" s="1345" customFormat="1">
      <c r="A24" s="1340">
        <v>1997.03</v>
      </c>
    </row>
    <row r="25" spans="1:1" s="1345" customFormat="1">
      <c r="A25" s="1340">
        <v>1997.04</v>
      </c>
    </row>
    <row r="26" spans="1:1" s="1345" customFormat="1">
      <c r="A26" s="1340">
        <v>1997.05</v>
      </c>
    </row>
    <row r="27" spans="1:1" s="1345" customFormat="1">
      <c r="A27" s="1340">
        <v>1997.06</v>
      </c>
    </row>
    <row r="28" spans="1:1" s="1345" customFormat="1">
      <c r="A28" s="1340">
        <v>1997.07</v>
      </c>
    </row>
    <row r="29" spans="1:1" s="1345" customFormat="1">
      <c r="A29" s="1340">
        <v>1997.08</v>
      </c>
    </row>
    <row r="30" spans="1:1" s="1345" customFormat="1">
      <c r="A30" s="1340">
        <v>1997.09</v>
      </c>
    </row>
    <row r="31" spans="1:1" s="1345" customFormat="1">
      <c r="A31" s="1340">
        <v>1997.1</v>
      </c>
    </row>
    <row r="32" spans="1:1" s="1345" customFormat="1">
      <c r="A32" s="1340">
        <v>1997.11</v>
      </c>
    </row>
    <row r="33" spans="1:1" s="1345" customFormat="1">
      <c r="A33" s="1340">
        <v>1997.12</v>
      </c>
    </row>
    <row r="34" spans="1:1" s="1345" customFormat="1">
      <c r="A34" s="1340">
        <v>1998.01</v>
      </c>
    </row>
    <row r="35" spans="1:1" s="1345" customFormat="1">
      <c r="A35" s="1340">
        <v>1998.02</v>
      </c>
    </row>
    <row r="36" spans="1:1" s="1345" customFormat="1">
      <c r="A36" s="1340">
        <v>1998.03</v>
      </c>
    </row>
    <row r="37" spans="1:1" s="1345" customFormat="1">
      <c r="A37" s="1340">
        <v>1998.04</v>
      </c>
    </row>
    <row r="38" spans="1:1" s="1345" customFormat="1">
      <c r="A38" s="1340">
        <v>1998.05</v>
      </c>
    </row>
    <row r="39" spans="1:1" s="1345" customFormat="1">
      <c r="A39" s="1340">
        <v>1998.06</v>
      </c>
    </row>
    <row r="40" spans="1:1" s="1345" customFormat="1">
      <c r="A40" s="1340">
        <v>1998.07</v>
      </c>
    </row>
    <row r="41" spans="1:1" s="1345" customFormat="1">
      <c r="A41" s="1340">
        <v>1998.08</v>
      </c>
    </row>
    <row r="42" spans="1:1" s="1345" customFormat="1">
      <c r="A42" s="1340">
        <v>1998.09</v>
      </c>
    </row>
    <row r="43" spans="1:1" s="1345" customFormat="1">
      <c r="A43" s="1340">
        <v>1998.1</v>
      </c>
    </row>
    <row r="44" spans="1:1" s="1345" customFormat="1">
      <c r="A44" s="1340">
        <v>1998.11</v>
      </c>
    </row>
    <row r="45" spans="1:1" s="1345" customFormat="1">
      <c r="A45" s="1340">
        <v>1998.12</v>
      </c>
    </row>
    <row r="46" spans="1:1">
      <c r="A46" s="63">
        <v>1999.01</v>
      </c>
    </row>
    <row r="47" spans="1:1">
      <c r="A47" s="63">
        <v>1999.02</v>
      </c>
    </row>
    <row r="48" spans="1:1">
      <c r="A48" s="63">
        <v>1999.03</v>
      </c>
    </row>
    <row r="49" spans="1:1">
      <c r="A49" s="63">
        <v>1999.04</v>
      </c>
    </row>
    <row r="50" spans="1:1">
      <c r="A50" s="63">
        <v>1999.05</v>
      </c>
    </row>
    <row r="51" spans="1:1">
      <c r="A51" s="63">
        <v>1999.06</v>
      </c>
    </row>
    <row r="52" spans="1:1">
      <c r="A52" s="63">
        <v>1999.07</v>
      </c>
    </row>
    <row r="53" spans="1:1">
      <c r="A53" s="63">
        <v>1999.08</v>
      </c>
    </row>
    <row r="54" spans="1:1">
      <c r="A54" s="63">
        <v>1999.09</v>
      </c>
    </row>
    <row r="55" spans="1:1">
      <c r="A55" s="63">
        <v>1999.1</v>
      </c>
    </row>
    <row r="56" spans="1:1">
      <c r="A56" s="63">
        <v>1999.11</v>
      </c>
    </row>
    <row r="57" spans="1:1">
      <c r="A57" s="63">
        <v>1999.12</v>
      </c>
    </row>
    <row r="58" spans="1:1">
      <c r="A58" s="63">
        <v>2000.01</v>
      </c>
    </row>
    <row r="59" spans="1:1">
      <c r="A59" s="63">
        <v>2000.02</v>
      </c>
    </row>
    <row r="60" spans="1:1">
      <c r="A60" s="63">
        <v>2000.03</v>
      </c>
    </row>
    <row r="61" spans="1:1">
      <c r="A61" s="63">
        <v>2000.04</v>
      </c>
    </row>
    <row r="62" spans="1:1">
      <c r="A62" s="63">
        <v>2000.05</v>
      </c>
    </row>
    <row r="63" spans="1:1">
      <c r="A63" s="63">
        <v>2000.06</v>
      </c>
    </row>
    <row r="64" spans="1:1">
      <c r="A64" s="63">
        <v>2000.07</v>
      </c>
    </row>
    <row r="65" spans="1:1">
      <c r="A65" s="63">
        <v>2000.08</v>
      </c>
    </row>
    <row r="66" spans="1:1">
      <c r="A66" s="63">
        <v>2000.09</v>
      </c>
    </row>
    <row r="67" spans="1:1">
      <c r="A67" s="63">
        <v>2000.1</v>
      </c>
    </row>
    <row r="68" spans="1:1">
      <c r="A68" s="63">
        <v>2000.11</v>
      </c>
    </row>
    <row r="69" spans="1:1">
      <c r="A69" s="63">
        <v>2000.12</v>
      </c>
    </row>
    <row r="70" spans="1:1">
      <c r="A70" s="63">
        <v>2001.01</v>
      </c>
    </row>
    <row r="71" spans="1:1">
      <c r="A71" s="63">
        <v>2001.02</v>
      </c>
    </row>
    <row r="72" spans="1:1">
      <c r="A72" s="63">
        <v>2001.03</v>
      </c>
    </row>
    <row r="73" spans="1:1">
      <c r="A73" s="63">
        <v>2001.04</v>
      </c>
    </row>
    <row r="74" spans="1:1">
      <c r="A74" s="63">
        <v>2001.05</v>
      </c>
    </row>
    <row r="75" spans="1:1">
      <c r="A75" s="63">
        <v>2001.06</v>
      </c>
    </row>
    <row r="76" spans="1:1">
      <c r="A76" s="63">
        <v>2001.07</v>
      </c>
    </row>
    <row r="77" spans="1:1">
      <c r="A77" s="63">
        <v>2001.08</v>
      </c>
    </row>
    <row r="78" spans="1:1">
      <c r="A78" s="63">
        <v>2001.09</v>
      </c>
    </row>
    <row r="79" spans="1:1">
      <c r="A79" s="63">
        <v>2001.1</v>
      </c>
    </row>
    <row r="80" spans="1:1">
      <c r="A80" s="63">
        <v>2001.11</v>
      </c>
    </row>
    <row r="81" spans="1:1">
      <c r="A81" s="63">
        <v>2001.12</v>
      </c>
    </row>
    <row r="82" spans="1:1">
      <c r="A82" s="63">
        <v>2002.01</v>
      </c>
    </row>
    <row r="83" spans="1:1">
      <c r="A83" s="63">
        <v>2002.02</v>
      </c>
    </row>
    <row r="84" spans="1:1">
      <c r="A84" s="63">
        <v>2002.03</v>
      </c>
    </row>
    <row r="85" spans="1:1">
      <c r="A85" s="63">
        <v>2002.04</v>
      </c>
    </row>
    <row r="86" spans="1:1">
      <c r="A86" s="63">
        <v>2002.05</v>
      </c>
    </row>
    <row r="87" spans="1:1">
      <c r="A87" s="63">
        <v>2002.06</v>
      </c>
    </row>
    <row r="88" spans="1:1">
      <c r="A88" s="63">
        <v>2002.07</v>
      </c>
    </row>
    <row r="89" spans="1:1">
      <c r="A89" s="63">
        <v>2002.08</v>
      </c>
    </row>
    <row r="90" spans="1:1">
      <c r="A90" s="63">
        <v>2002.09</v>
      </c>
    </row>
    <row r="91" spans="1:1">
      <c r="A91" s="63">
        <v>2002.1</v>
      </c>
    </row>
    <row r="92" spans="1:1">
      <c r="A92" s="63">
        <v>2002.11</v>
      </c>
    </row>
    <row r="93" spans="1:1">
      <c r="A93" s="63">
        <v>2002.12</v>
      </c>
    </row>
    <row r="94" spans="1:1">
      <c r="A94" s="63">
        <v>2003.01</v>
      </c>
    </row>
    <row r="95" spans="1:1">
      <c r="A95" s="63">
        <v>2003.02</v>
      </c>
    </row>
    <row r="96" spans="1:1">
      <c r="A96" s="63">
        <v>2003.03</v>
      </c>
    </row>
    <row r="97" spans="1:1">
      <c r="A97" s="63">
        <v>2003.04</v>
      </c>
    </row>
    <row r="98" spans="1:1">
      <c r="A98" s="63">
        <v>2003.05</v>
      </c>
    </row>
    <row r="99" spans="1:1">
      <c r="A99" s="63">
        <v>2003.06</v>
      </c>
    </row>
    <row r="100" spans="1:1">
      <c r="A100" s="63">
        <v>2003.07</v>
      </c>
    </row>
    <row r="101" spans="1:1">
      <c r="A101" s="63">
        <v>2003.08</v>
      </c>
    </row>
    <row r="102" spans="1:1">
      <c r="A102" s="63">
        <v>2003.09</v>
      </c>
    </row>
    <row r="103" spans="1:1">
      <c r="A103" s="63">
        <v>2003.1</v>
      </c>
    </row>
    <row r="104" spans="1:1">
      <c r="A104" s="63">
        <v>2003.11</v>
      </c>
    </row>
    <row r="105" spans="1:1">
      <c r="A105" s="63">
        <v>2003.12</v>
      </c>
    </row>
    <row r="106" spans="1:1">
      <c r="A106" s="63">
        <v>2004.01</v>
      </c>
    </row>
    <row r="107" spans="1:1">
      <c r="A107" s="63">
        <v>2004.02</v>
      </c>
    </row>
    <row r="108" spans="1:1">
      <c r="A108" s="63">
        <v>2004.03</v>
      </c>
    </row>
    <row r="109" spans="1:1">
      <c r="A109" s="63">
        <v>2004.04</v>
      </c>
    </row>
    <row r="110" spans="1:1">
      <c r="A110" s="63">
        <v>2004.05</v>
      </c>
    </row>
    <row r="111" spans="1:1">
      <c r="A111" s="63">
        <v>2004.06</v>
      </c>
    </row>
    <row r="112" spans="1:1">
      <c r="A112" s="63">
        <v>2004.07</v>
      </c>
    </row>
    <row r="113" spans="1:1">
      <c r="A113" s="63">
        <v>2004.08</v>
      </c>
    </row>
    <row r="114" spans="1:1">
      <c r="A114" s="63">
        <v>2004.09</v>
      </c>
    </row>
    <row r="115" spans="1:1">
      <c r="A115" s="63">
        <v>2004.1</v>
      </c>
    </row>
    <row r="116" spans="1:1">
      <c r="A116" s="63">
        <v>2004.11</v>
      </c>
    </row>
    <row r="117" spans="1:1">
      <c r="A117" s="63">
        <v>2004.12</v>
      </c>
    </row>
    <row r="118" spans="1:1">
      <c r="A118" s="63">
        <v>2005.01</v>
      </c>
    </row>
    <row r="119" spans="1:1">
      <c r="A119" s="63">
        <v>2005.02</v>
      </c>
    </row>
    <row r="120" spans="1:1">
      <c r="A120" s="63">
        <v>2005.03</v>
      </c>
    </row>
    <row r="121" spans="1:1">
      <c r="A121" s="63">
        <v>2005.04</v>
      </c>
    </row>
    <row r="122" spans="1:1">
      <c r="A122" s="63">
        <v>2005.05</v>
      </c>
    </row>
    <row r="123" spans="1:1">
      <c r="A123" s="63">
        <v>2005.06</v>
      </c>
    </row>
    <row r="124" spans="1:1">
      <c r="A124" s="63">
        <v>2005.07</v>
      </c>
    </row>
    <row r="125" spans="1:1">
      <c r="A125" s="63">
        <v>2005.08</v>
      </c>
    </row>
    <row r="126" spans="1:1">
      <c r="A126" s="63">
        <v>2005.09</v>
      </c>
    </row>
    <row r="127" spans="1:1">
      <c r="A127" s="63">
        <v>2005.1</v>
      </c>
    </row>
    <row r="128" spans="1:1">
      <c r="A128" s="63">
        <v>2005.11</v>
      </c>
    </row>
    <row r="129" spans="1:1">
      <c r="A129" s="63">
        <v>2005.12</v>
      </c>
    </row>
    <row r="130" spans="1:1">
      <c r="A130" s="63">
        <v>2006.01</v>
      </c>
    </row>
    <row r="131" spans="1:1">
      <c r="A131" s="63">
        <v>2006.02</v>
      </c>
    </row>
    <row r="132" spans="1:1">
      <c r="A132" s="63">
        <v>2006.03</v>
      </c>
    </row>
    <row r="133" spans="1:1">
      <c r="A133" s="63">
        <v>2006.04</v>
      </c>
    </row>
    <row r="134" spans="1:1">
      <c r="A134" s="63">
        <v>2006.05</v>
      </c>
    </row>
    <row r="135" spans="1:1">
      <c r="A135" s="63">
        <v>2006.06</v>
      </c>
    </row>
    <row r="136" spans="1:1">
      <c r="A136" s="63">
        <v>2006.07</v>
      </c>
    </row>
    <row r="137" spans="1:1">
      <c r="A137" s="63">
        <v>2006.08</v>
      </c>
    </row>
    <row r="138" spans="1:1">
      <c r="A138" s="63">
        <v>2006.09</v>
      </c>
    </row>
    <row r="139" spans="1:1">
      <c r="A139" s="63">
        <v>2006.1</v>
      </c>
    </row>
    <row r="140" spans="1:1">
      <c r="A140" s="63">
        <v>2006.11</v>
      </c>
    </row>
    <row r="141" spans="1:1">
      <c r="A141" s="63">
        <v>2006.12</v>
      </c>
    </row>
    <row r="142" spans="1:1">
      <c r="A142" s="63">
        <v>2007.01</v>
      </c>
    </row>
    <row r="143" spans="1:1">
      <c r="A143" s="63">
        <v>2007.02</v>
      </c>
    </row>
    <row r="144" spans="1:1">
      <c r="A144" s="63">
        <v>2007.03</v>
      </c>
    </row>
    <row r="145" spans="1:1">
      <c r="A145" s="63">
        <v>2007.04</v>
      </c>
    </row>
    <row r="146" spans="1:1">
      <c r="A146" s="63">
        <v>2007.05</v>
      </c>
    </row>
    <row r="147" spans="1:1">
      <c r="A147" s="63">
        <v>2007.06</v>
      </c>
    </row>
    <row r="148" spans="1:1">
      <c r="A148" s="63">
        <v>2007.07</v>
      </c>
    </row>
    <row r="149" spans="1:1">
      <c r="A149" s="63">
        <v>2007.08</v>
      </c>
    </row>
    <row r="150" spans="1:1">
      <c r="A150" s="63">
        <v>2007.09</v>
      </c>
    </row>
    <row r="151" spans="1:1">
      <c r="A151" s="63">
        <v>2007.1</v>
      </c>
    </row>
    <row r="152" spans="1:1">
      <c r="A152" s="63">
        <v>2007.11</v>
      </c>
    </row>
    <row r="153" spans="1:1">
      <c r="A153" s="63">
        <v>2007.12</v>
      </c>
    </row>
    <row r="154" spans="1:1">
      <c r="A154" s="63">
        <f t="shared" ref="A154:A217" si="0">A142+1</f>
        <v>2008.01</v>
      </c>
    </row>
    <row r="155" spans="1:1">
      <c r="A155" s="63">
        <f t="shared" si="0"/>
        <v>2008.02</v>
      </c>
    </row>
    <row r="156" spans="1:1">
      <c r="A156" s="63">
        <f t="shared" si="0"/>
        <v>2008.03</v>
      </c>
    </row>
    <row r="157" spans="1:1">
      <c r="A157" s="63">
        <f t="shared" si="0"/>
        <v>2008.04</v>
      </c>
    </row>
    <row r="158" spans="1:1">
      <c r="A158" s="63">
        <f t="shared" si="0"/>
        <v>2008.05</v>
      </c>
    </row>
    <row r="159" spans="1:1">
      <c r="A159" s="63">
        <f t="shared" si="0"/>
        <v>2008.06</v>
      </c>
    </row>
    <row r="160" spans="1:1">
      <c r="A160" s="63">
        <f t="shared" si="0"/>
        <v>2008.07</v>
      </c>
    </row>
    <row r="161" spans="1:1">
      <c r="A161" s="63">
        <f t="shared" si="0"/>
        <v>2008.08</v>
      </c>
    </row>
    <row r="162" spans="1:1">
      <c r="A162" s="63">
        <f t="shared" si="0"/>
        <v>2008.09</v>
      </c>
    </row>
    <row r="163" spans="1:1">
      <c r="A163" s="63">
        <f t="shared" si="0"/>
        <v>2008.1</v>
      </c>
    </row>
    <row r="164" spans="1:1">
      <c r="A164" s="63">
        <f t="shared" si="0"/>
        <v>2008.11</v>
      </c>
    </row>
    <row r="165" spans="1:1">
      <c r="A165" s="63">
        <f t="shared" si="0"/>
        <v>2008.12</v>
      </c>
    </row>
    <row r="166" spans="1:1">
      <c r="A166" s="63">
        <f t="shared" si="0"/>
        <v>2009.01</v>
      </c>
    </row>
    <row r="167" spans="1:1">
      <c r="A167" s="63">
        <f t="shared" si="0"/>
        <v>2009.02</v>
      </c>
    </row>
    <row r="168" spans="1:1">
      <c r="A168" s="63">
        <f t="shared" si="0"/>
        <v>2009.03</v>
      </c>
    </row>
    <row r="169" spans="1:1">
      <c r="A169" s="63">
        <f t="shared" si="0"/>
        <v>2009.04</v>
      </c>
    </row>
    <row r="170" spans="1:1">
      <c r="A170" s="63">
        <f t="shared" si="0"/>
        <v>2009.05</v>
      </c>
    </row>
    <row r="171" spans="1:1">
      <c r="A171" s="63">
        <f t="shared" si="0"/>
        <v>2009.06</v>
      </c>
    </row>
    <row r="172" spans="1:1">
      <c r="A172" s="63">
        <f t="shared" si="0"/>
        <v>2009.07</v>
      </c>
    </row>
    <row r="173" spans="1:1">
      <c r="A173" s="63">
        <f t="shared" si="0"/>
        <v>2009.08</v>
      </c>
    </row>
    <row r="174" spans="1:1">
      <c r="A174" s="63">
        <f t="shared" si="0"/>
        <v>2009.09</v>
      </c>
    </row>
    <row r="175" spans="1:1">
      <c r="A175" s="63">
        <f t="shared" si="0"/>
        <v>2009.1</v>
      </c>
    </row>
    <row r="176" spans="1:1">
      <c r="A176" s="63">
        <f t="shared" si="0"/>
        <v>2009.11</v>
      </c>
    </row>
    <row r="177" spans="1:1">
      <c r="A177" s="63">
        <f t="shared" si="0"/>
        <v>2009.12</v>
      </c>
    </row>
    <row r="178" spans="1:1">
      <c r="A178" s="63">
        <f t="shared" si="0"/>
        <v>2010.01</v>
      </c>
    </row>
    <row r="179" spans="1:1">
      <c r="A179" s="63">
        <f t="shared" si="0"/>
        <v>2010.02</v>
      </c>
    </row>
    <row r="180" spans="1:1">
      <c r="A180" s="63">
        <f t="shared" si="0"/>
        <v>2010.03</v>
      </c>
    </row>
    <row r="181" spans="1:1">
      <c r="A181" s="63">
        <f t="shared" si="0"/>
        <v>2010.04</v>
      </c>
    </row>
    <row r="182" spans="1:1">
      <c r="A182" s="63">
        <f t="shared" si="0"/>
        <v>2010.05</v>
      </c>
    </row>
    <row r="183" spans="1:1">
      <c r="A183" s="63">
        <f t="shared" si="0"/>
        <v>2010.06</v>
      </c>
    </row>
    <row r="184" spans="1:1">
      <c r="A184" s="63">
        <f t="shared" si="0"/>
        <v>2010.07</v>
      </c>
    </row>
    <row r="185" spans="1:1">
      <c r="A185" s="63">
        <f t="shared" si="0"/>
        <v>2010.08</v>
      </c>
    </row>
    <row r="186" spans="1:1">
      <c r="A186" s="63">
        <f t="shared" si="0"/>
        <v>2010.09</v>
      </c>
    </row>
    <row r="187" spans="1:1">
      <c r="A187" s="63">
        <f t="shared" si="0"/>
        <v>2010.1</v>
      </c>
    </row>
    <row r="188" spans="1:1">
      <c r="A188" s="63">
        <f t="shared" si="0"/>
        <v>2010.11</v>
      </c>
    </row>
    <row r="189" spans="1:1">
      <c r="A189" s="63">
        <f t="shared" si="0"/>
        <v>2010.12</v>
      </c>
    </row>
    <row r="190" spans="1:1">
      <c r="A190" s="63">
        <f t="shared" si="0"/>
        <v>2011.01</v>
      </c>
    </row>
    <row r="191" spans="1:1">
      <c r="A191" s="63">
        <f t="shared" si="0"/>
        <v>2011.02</v>
      </c>
    </row>
    <row r="192" spans="1:1">
      <c r="A192" s="63">
        <f t="shared" si="0"/>
        <v>2011.03</v>
      </c>
    </row>
    <row r="193" spans="1:1">
      <c r="A193" s="63">
        <f t="shared" si="0"/>
        <v>2011.04</v>
      </c>
    </row>
    <row r="194" spans="1:1">
      <c r="A194" s="63">
        <f t="shared" si="0"/>
        <v>2011.05</v>
      </c>
    </row>
    <row r="195" spans="1:1">
      <c r="A195" s="63">
        <f t="shared" si="0"/>
        <v>2011.06</v>
      </c>
    </row>
    <row r="196" spans="1:1">
      <c r="A196" s="63">
        <f t="shared" si="0"/>
        <v>2011.07</v>
      </c>
    </row>
    <row r="197" spans="1:1">
      <c r="A197" s="63">
        <f t="shared" si="0"/>
        <v>2011.08</v>
      </c>
    </row>
    <row r="198" spans="1:1">
      <c r="A198" s="63">
        <f t="shared" si="0"/>
        <v>2011.09</v>
      </c>
    </row>
    <row r="199" spans="1:1">
      <c r="A199" s="63">
        <f t="shared" si="0"/>
        <v>2011.1</v>
      </c>
    </row>
    <row r="200" spans="1:1">
      <c r="A200" s="63">
        <f t="shared" si="0"/>
        <v>2011.11</v>
      </c>
    </row>
    <row r="201" spans="1:1">
      <c r="A201" s="63">
        <f t="shared" si="0"/>
        <v>2011.12</v>
      </c>
    </row>
    <row r="202" spans="1:1">
      <c r="A202" s="63">
        <f t="shared" si="0"/>
        <v>2012.01</v>
      </c>
    </row>
    <row r="203" spans="1:1">
      <c r="A203" s="63">
        <f t="shared" si="0"/>
        <v>2012.02</v>
      </c>
    </row>
    <row r="204" spans="1:1">
      <c r="A204" s="63">
        <f t="shared" si="0"/>
        <v>2012.03</v>
      </c>
    </row>
    <row r="205" spans="1:1">
      <c r="A205" s="63">
        <f t="shared" si="0"/>
        <v>2012.04</v>
      </c>
    </row>
    <row r="206" spans="1:1">
      <c r="A206" s="63">
        <f t="shared" si="0"/>
        <v>2012.05</v>
      </c>
    </row>
    <row r="207" spans="1:1">
      <c r="A207" s="63">
        <f t="shared" si="0"/>
        <v>2012.06</v>
      </c>
    </row>
    <row r="208" spans="1:1">
      <c r="A208" s="63">
        <f t="shared" si="0"/>
        <v>2012.07</v>
      </c>
    </row>
    <row r="209" spans="1:1">
      <c r="A209" s="63">
        <f t="shared" si="0"/>
        <v>2012.08</v>
      </c>
    </row>
    <row r="210" spans="1:1">
      <c r="A210" s="63">
        <f t="shared" si="0"/>
        <v>2012.09</v>
      </c>
    </row>
    <row r="211" spans="1:1">
      <c r="A211" s="63">
        <f t="shared" si="0"/>
        <v>2012.1</v>
      </c>
    </row>
    <row r="212" spans="1:1">
      <c r="A212" s="63">
        <f t="shared" si="0"/>
        <v>2012.11</v>
      </c>
    </row>
    <row r="213" spans="1:1">
      <c r="A213" s="63">
        <f t="shared" si="0"/>
        <v>2012.12</v>
      </c>
    </row>
    <row r="214" spans="1:1">
      <c r="A214" s="63">
        <f t="shared" si="0"/>
        <v>2013.01</v>
      </c>
    </row>
    <row r="215" spans="1:1">
      <c r="A215" s="63">
        <f t="shared" si="0"/>
        <v>2013.02</v>
      </c>
    </row>
    <row r="216" spans="1:1">
      <c r="A216" s="63">
        <f t="shared" si="0"/>
        <v>2013.03</v>
      </c>
    </row>
    <row r="217" spans="1:1">
      <c r="A217" s="63">
        <f t="shared" si="0"/>
        <v>2013.04</v>
      </c>
    </row>
    <row r="218" spans="1:1">
      <c r="A218" s="63">
        <f t="shared" ref="A218:A281" si="1">A206+1</f>
        <v>2013.05</v>
      </c>
    </row>
    <row r="219" spans="1:1">
      <c r="A219" s="63">
        <f t="shared" si="1"/>
        <v>2013.06</v>
      </c>
    </row>
    <row r="220" spans="1:1">
      <c r="A220" s="63">
        <f t="shared" si="1"/>
        <v>2013.07</v>
      </c>
    </row>
    <row r="221" spans="1:1">
      <c r="A221" s="63">
        <f t="shared" si="1"/>
        <v>2013.08</v>
      </c>
    </row>
    <row r="222" spans="1:1">
      <c r="A222" s="63">
        <f t="shared" si="1"/>
        <v>2013.09</v>
      </c>
    </row>
    <row r="223" spans="1:1">
      <c r="A223" s="63">
        <f t="shared" si="1"/>
        <v>2013.1</v>
      </c>
    </row>
    <row r="224" spans="1:1">
      <c r="A224" s="63">
        <f t="shared" si="1"/>
        <v>2013.11</v>
      </c>
    </row>
    <row r="225" spans="1:1">
      <c r="A225" s="63">
        <f t="shared" si="1"/>
        <v>2013.12</v>
      </c>
    </row>
    <row r="226" spans="1:1">
      <c r="A226" s="63">
        <f t="shared" si="1"/>
        <v>2014.01</v>
      </c>
    </row>
    <row r="227" spans="1:1">
      <c r="A227" s="63">
        <f t="shared" si="1"/>
        <v>2014.02</v>
      </c>
    </row>
    <row r="228" spans="1:1">
      <c r="A228" s="63">
        <f t="shared" si="1"/>
        <v>2014.03</v>
      </c>
    </row>
    <row r="229" spans="1:1">
      <c r="A229" s="63">
        <f t="shared" si="1"/>
        <v>2014.04</v>
      </c>
    </row>
    <row r="230" spans="1:1">
      <c r="A230" s="63">
        <f t="shared" si="1"/>
        <v>2014.05</v>
      </c>
    </row>
    <row r="231" spans="1:1">
      <c r="A231" s="63">
        <f t="shared" si="1"/>
        <v>2014.06</v>
      </c>
    </row>
    <row r="232" spans="1:1">
      <c r="A232" s="63">
        <f t="shared" si="1"/>
        <v>2014.07</v>
      </c>
    </row>
    <row r="233" spans="1:1">
      <c r="A233" s="63">
        <f t="shared" si="1"/>
        <v>2014.08</v>
      </c>
    </row>
    <row r="234" spans="1:1">
      <c r="A234" s="63">
        <f t="shared" si="1"/>
        <v>2014.09</v>
      </c>
    </row>
    <row r="235" spans="1:1">
      <c r="A235" s="63">
        <f t="shared" si="1"/>
        <v>2014.1</v>
      </c>
    </row>
    <row r="236" spans="1:1">
      <c r="A236" s="63">
        <f t="shared" si="1"/>
        <v>2014.11</v>
      </c>
    </row>
    <row r="237" spans="1:1">
      <c r="A237" s="63">
        <f t="shared" si="1"/>
        <v>2014.12</v>
      </c>
    </row>
    <row r="238" spans="1:1">
      <c r="A238" s="63">
        <f t="shared" si="1"/>
        <v>2015.01</v>
      </c>
    </row>
    <row r="239" spans="1:1">
      <c r="A239" s="63">
        <f t="shared" si="1"/>
        <v>2015.02</v>
      </c>
    </row>
    <row r="240" spans="1:1">
      <c r="A240" s="63">
        <f t="shared" si="1"/>
        <v>2015.03</v>
      </c>
    </row>
    <row r="241" spans="1:1">
      <c r="A241" s="63">
        <f t="shared" si="1"/>
        <v>2015.04</v>
      </c>
    </row>
    <row r="242" spans="1:1">
      <c r="A242" s="63">
        <f t="shared" si="1"/>
        <v>2015.05</v>
      </c>
    </row>
    <row r="243" spans="1:1">
      <c r="A243" s="63">
        <f t="shared" si="1"/>
        <v>2015.06</v>
      </c>
    </row>
    <row r="244" spans="1:1">
      <c r="A244" s="63">
        <f t="shared" si="1"/>
        <v>2015.07</v>
      </c>
    </row>
    <row r="245" spans="1:1">
      <c r="A245" s="63">
        <f t="shared" si="1"/>
        <v>2015.08</v>
      </c>
    </row>
    <row r="246" spans="1:1">
      <c r="A246" s="63">
        <f t="shared" si="1"/>
        <v>2015.09</v>
      </c>
    </row>
    <row r="247" spans="1:1">
      <c r="A247" s="63">
        <f t="shared" si="1"/>
        <v>2015.1</v>
      </c>
    </row>
    <row r="248" spans="1:1">
      <c r="A248" s="63">
        <f t="shared" si="1"/>
        <v>2015.11</v>
      </c>
    </row>
    <row r="249" spans="1:1">
      <c r="A249" s="63">
        <f t="shared" si="1"/>
        <v>2015.12</v>
      </c>
    </row>
    <row r="250" spans="1:1">
      <c r="A250" s="63">
        <f t="shared" si="1"/>
        <v>2016.01</v>
      </c>
    </row>
    <row r="251" spans="1:1">
      <c r="A251" s="63">
        <f t="shared" si="1"/>
        <v>2016.02</v>
      </c>
    </row>
    <row r="252" spans="1:1">
      <c r="A252" s="63">
        <f t="shared" si="1"/>
        <v>2016.03</v>
      </c>
    </row>
    <row r="253" spans="1:1">
      <c r="A253" s="63">
        <f t="shared" si="1"/>
        <v>2016.04</v>
      </c>
    </row>
    <row r="254" spans="1:1">
      <c r="A254" s="63">
        <f t="shared" si="1"/>
        <v>2016.05</v>
      </c>
    </row>
    <row r="255" spans="1:1">
      <c r="A255" s="63">
        <f t="shared" si="1"/>
        <v>2016.06</v>
      </c>
    </row>
    <row r="256" spans="1:1">
      <c r="A256" s="63">
        <f t="shared" si="1"/>
        <v>2016.07</v>
      </c>
    </row>
    <row r="257" spans="1:1">
      <c r="A257" s="63">
        <f t="shared" si="1"/>
        <v>2016.08</v>
      </c>
    </row>
    <row r="258" spans="1:1">
      <c r="A258" s="63">
        <f t="shared" si="1"/>
        <v>2016.09</v>
      </c>
    </row>
    <row r="259" spans="1:1">
      <c r="A259" s="63">
        <f t="shared" si="1"/>
        <v>2016.1</v>
      </c>
    </row>
    <row r="260" spans="1:1">
      <c r="A260" s="63">
        <f t="shared" si="1"/>
        <v>2016.11</v>
      </c>
    </row>
    <row r="261" spans="1:1">
      <c r="A261" s="63">
        <f t="shared" si="1"/>
        <v>2016.12</v>
      </c>
    </row>
    <row r="262" spans="1:1">
      <c r="A262" s="63">
        <f t="shared" si="1"/>
        <v>2017.01</v>
      </c>
    </row>
    <row r="263" spans="1:1">
      <c r="A263" s="63">
        <f t="shared" si="1"/>
        <v>2017.02</v>
      </c>
    </row>
    <row r="264" spans="1:1">
      <c r="A264" s="63">
        <f t="shared" si="1"/>
        <v>2017.03</v>
      </c>
    </row>
    <row r="265" spans="1:1">
      <c r="A265" s="63">
        <f t="shared" si="1"/>
        <v>2017.04</v>
      </c>
    </row>
    <row r="266" spans="1:1">
      <c r="A266" s="63">
        <f t="shared" si="1"/>
        <v>2017.05</v>
      </c>
    </row>
    <row r="267" spans="1:1">
      <c r="A267" s="63">
        <f t="shared" si="1"/>
        <v>2017.06</v>
      </c>
    </row>
    <row r="268" spans="1:1">
      <c r="A268" s="63">
        <f t="shared" si="1"/>
        <v>2017.07</v>
      </c>
    </row>
    <row r="269" spans="1:1">
      <c r="A269" s="63">
        <f t="shared" si="1"/>
        <v>2017.08</v>
      </c>
    </row>
    <row r="270" spans="1:1">
      <c r="A270" s="63">
        <f t="shared" si="1"/>
        <v>2017.09</v>
      </c>
    </row>
    <row r="271" spans="1:1">
      <c r="A271" s="63">
        <f t="shared" si="1"/>
        <v>2017.1</v>
      </c>
    </row>
    <row r="272" spans="1:1">
      <c r="A272" s="63">
        <f t="shared" si="1"/>
        <v>2017.11</v>
      </c>
    </row>
    <row r="273" spans="1:1">
      <c r="A273" s="63">
        <f t="shared" si="1"/>
        <v>2017.12</v>
      </c>
    </row>
    <row r="274" spans="1:1">
      <c r="A274" s="63">
        <f t="shared" si="1"/>
        <v>2018.01</v>
      </c>
    </row>
    <row r="275" spans="1:1">
      <c r="A275" s="63">
        <f t="shared" si="1"/>
        <v>2018.02</v>
      </c>
    </row>
    <row r="276" spans="1:1">
      <c r="A276" s="63">
        <f t="shared" si="1"/>
        <v>2018.03</v>
      </c>
    </row>
    <row r="277" spans="1:1">
      <c r="A277" s="63">
        <f t="shared" si="1"/>
        <v>2018.04</v>
      </c>
    </row>
    <row r="278" spans="1:1">
      <c r="A278" s="63">
        <f t="shared" si="1"/>
        <v>2018.05</v>
      </c>
    </row>
    <row r="279" spans="1:1">
      <c r="A279" s="63">
        <f t="shared" si="1"/>
        <v>2018.06</v>
      </c>
    </row>
    <row r="280" spans="1:1">
      <c r="A280" s="63">
        <f t="shared" si="1"/>
        <v>2018.07</v>
      </c>
    </row>
    <row r="281" spans="1:1">
      <c r="A281" s="63">
        <f t="shared" si="1"/>
        <v>2018.08</v>
      </c>
    </row>
    <row r="282" spans="1:1">
      <c r="A282" s="63">
        <f t="shared" ref="A282:A345" si="2">A270+1</f>
        <v>2018.09</v>
      </c>
    </row>
    <row r="283" spans="1:1">
      <c r="A283" s="63">
        <f t="shared" si="2"/>
        <v>2018.1</v>
      </c>
    </row>
    <row r="284" spans="1:1">
      <c r="A284" s="63">
        <f t="shared" si="2"/>
        <v>2018.11</v>
      </c>
    </row>
    <row r="285" spans="1:1">
      <c r="A285" s="63">
        <f t="shared" si="2"/>
        <v>2018.12</v>
      </c>
    </row>
    <row r="286" spans="1:1">
      <c r="A286" s="63">
        <f t="shared" si="2"/>
        <v>2019.01</v>
      </c>
    </row>
    <row r="287" spans="1:1">
      <c r="A287" s="63">
        <f t="shared" si="2"/>
        <v>2019.02</v>
      </c>
    </row>
    <row r="288" spans="1:1">
      <c r="A288" s="63">
        <f t="shared" si="2"/>
        <v>2019.03</v>
      </c>
    </row>
    <row r="289" spans="1:1">
      <c r="A289" s="63">
        <f t="shared" si="2"/>
        <v>2019.04</v>
      </c>
    </row>
    <row r="290" spans="1:1">
      <c r="A290" s="63">
        <f t="shared" si="2"/>
        <v>2019.05</v>
      </c>
    </row>
    <row r="291" spans="1:1">
      <c r="A291" s="63">
        <f t="shared" si="2"/>
        <v>2019.06</v>
      </c>
    </row>
    <row r="292" spans="1:1">
      <c r="A292" s="63">
        <f t="shared" si="2"/>
        <v>2019.07</v>
      </c>
    </row>
    <row r="293" spans="1:1">
      <c r="A293" s="63">
        <f t="shared" si="2"/>
        <v>2019.08</v>
      </c>
    </row>
    <row r="294" spans="1:1">
      <c r="A294" s="63">
        <f t="shared" si="2"/>
        <v>2019.09</v>
      </c>
    </row>
    <row r="295" spans="1:1">
      <c r="A295" s="63">
        <f t="shared" si="2"/>
        <v>2019.1</v>
      </c>
    </row>
    <row r="296" spans="1:1">
      <c r="A296" s="63">
        <f t="shared" si="2"/>
        <v>2019.11</v>
      </c>
    </row>
    <row r="297" spans="1:1">
      <c r="A297" s="63">
        <f t="shared" si="2"/>
        <v>2019.12</v>
      </c>
    </row>
    <row r="298" spans="1:1">
      <c r="A298" s="63">
        <f t="shared" si="2"/>
        <v>2020.01</v>
      </c>
    </row>
    <row r="299" spans="1:1">
      <c r="A299" s="63">
        <f t="shared" si="2"/>
        <v>2020.02</v>
      </c>
    </row>
    <row r="300" spans="1:1">
      <c r="A300" s="63">
        <f t="shared" si="2"/>
        <v>2020.03</v>
      </c>
    </row>
    <row r="301" spans="1:1">
      <c r="A301" s="63">
        <f t="shared" si="2"/>
        <v>2020.04</v>
      </c>
    </row>
    <row r="302" spans="1:1">
      <c r="A302" s="63">
        <f t="shared" si="2"/>
        <v>2020.05</v>
      </c>
    </row>
    <row r="303" spans="1:1">
      <c r="A303" s="63">
        <f t="shared" si="2"/>
        <v>2020.06</v>
      </c>
    </row>
    <row r="304" spans="1:1">
      <c r="A304" s="63">
        <f t="shared" si="2"/>
        <v>2020.07</v>
      </c>
    </row>
    <row r="305" spans="1:1">
      <c r="A305" s="63">
        <f t="shared" si="2"/>
        <v>2020.08</v>
      </c>
    </row>
    <row r="306" spans="1:1">
      <c r="A306" s="63">
        <f t="shared" si="2"/>
        <v>2020.09</v>
      </c>
    </row>
    <row r="307" spans="1:1">
      <c r="A307" s="63">
        <f t="shared" si="2"/>
        <v>2020.1</v>
      </c>
    </row>
    <row r="308" spans="1:1">
      <c r="A308" s="63">
        <f t="shared" si="2"/>
        <v>2020.11</v>
      </c>
    </row>
    <row r="309" spans="1:1">
      <c r="A309" s="63">
        <f t="shared" si="2"/>
        <v>2020.12</v>
      </c>
    </row>
    <row r="310" spans="1:1">
      <c r="A310" s="63">
        <f t="shared" si="2"/>
        <v>2021.01</v>
      </c>
    </row>
    <row r="311" spans="1:1">
      <c r="A311" s="63">
        <f t="shared" si="2"/>
        <v>2021.02</v>
      </c>
    </row>
    <row r="312" spans="1:1">
      <c r="A312" s="63">
        <f t="shared" si="2"/>
        <v>2021.03</v>
      </c>
    </row>
    <row r="313" spans="1:1">
      <c r="A313" s="63">
        <f t="shared" si="2"/>
        <v>2021.04</v>
      </c>
    </row>
    <row r="314" spans="1:1">
      <c r="A314" s="63">
        <f t="shared" si="2"/>
        <v>2021.05</v>
      </c>
    </row>
    <row r="315" spans="1:1">
      <c r="A315" s="63">
        <f t="shared" si="2"/>
        <v>2021.06</v>
      </c>
    </row>
    <row r="316" spans="1:1">
      <c r="A316" s="63">
        <f t="shared" si="2"/>
        <v>2021.07</v>
      </c>
    </row>
    <row r="317" spans="1:1">
      <c r="A317" s="63">
        <f t="shared" si="2"/>
        <v>2021.08</v>
      </c>
    </row>
    <row r="318" spans="1:1">
      <c r="A318" s="63">
        <f t="shared" si="2"/>
        <v>2021.09</v>
      </c>
    </row>
    <row r="319" spans="1:1">
      <c r="A319" s="63">
        <f t="shared" si="2"/>
        <v>2021.1</v>
      </c>
    </row>
    <row r="320" spans="1:1">
      <c r="A320" s="63">
        <f t="shared" si="2"/>
        <v>2021.11</v>
      </c>
    </row>
    <row r="321" spans="1:1">
      <c r="A321" s="63">
        <f t="shared" si="2"/>
        <v>2021.12</v>
      </c>
    </row>
    <row r="322" spans="1:1">
      <c r="A322" s="63">
        <f t="shared" si="2"/>
        <v>2022.01</v>
      </c>
    </row>
    <row r="323" spans="1:1">
      <c r="A323" s="63">
        <f t="shared" si="2"/>
        <v>2022.02</v>
      </c>
    </row>
    <row r="324" spans="1:1">
      <c r="A324" s="63">
        <f t="shared" si="2"/>
        <v>2022.03</v>
      </c>
    </row>
    <row r="325" spans="1:1">
      <c r="A325" s="63">
        <f t="shared" si="2"/>
        <v>2022.04</v>
      </c>
    </row>
    <row r="326" spans="1:1">
      <c r="A326" s="63">
        <f t="shared" si="2"/>
        <v>2022.05</v>
      </c>
    </row>
    <row r="327" spans="1:1">
      <c r="A327" s="63">
        <f t="shared" si="2"/>
        <v>2022.06</v>
      </c>
    </row>
    <row r="328" spans="1:1">
      <c r="A328" s="63">
        <f t="shared" si="2"/>
        <v>2022.07</v>
      </c>
    </row>
    <row r="329" spans="1:1">
      <c r="A329" s="63">
        <f t="shared" si="2"/>
        <v>2022.08</v>
      </c>
    </row>
    <row r="330" spans="1:1">
      <c r="A330" s="63">
        <f t="shared" si="2"/>
        <v>2022.09</v>
      </c>
    </row>
    <row r="331" spans="1:1">
      <c r="A331" s="63">
        <f t="shared" si="2"/>
        <v>2022.1</v>
      </c>
    </row>
    <row r="332" spans="1:1">
      <c r="A332" s="63">
        <f t="shared" si="2"/>
        <v>2022.11</v>
      </c>
    </row>
    <row r="333" spans="1:1">
      <c r="A333" s="63">
        <f t="shared" si="2"/>
        <v>2022.12</v>
      </c>
    </row>
    <row r="334" spans="1:1">
      <c r="A334" s="63">
        <f t="shared" si="2"/>
        <v>2023.01</v>
      </c>
    </row>
    <row r="335" spans="1:1">
      <c r="A335" s="63">
        <f t="shared" si="2"/>
        <v>2023.02</v>
      </c>
    </row>
    <row r="336" spans="1:1">
      <c r="A336" s="63">
        <f t="shared" si="2"/>
        <v>2023.03</v>
      </c>
    </row>
    <row r="337" spans="1:1">
      <c r="A337" s="63">
        <f t="shared" si="2"/>
        <v>2023.04</v>
      </c>
    </row>
    <row r="338" spans="1:1">
      <c r="A338" s="63">
        <f t="shared" si="2"/>
        <v>2023.05</v>
      </c>
    </row>
    <row r="339" spans="1:1">
      <c r="A339" s="63">
        <f t="shared" si="2"/>
        <v>2023.06</v>
      </c>
    </row>
    <row r="340" spans="1:1">
      <c r="A340" s="63">
        <f t="shared" si="2"/>
        <v>2023.07</v>
      </c>
    </row>
    <row r="341" spans="1:1">
      <c r="A341" s="63">
        <f t="shared" si="2"/>
        <v>2023.08</v>
      </c>
    </row>
    <row r="342" spans="1:1">
      <c r="A342" s="63">
        <f t="shared" si="2"/>
        <v>2023.09</v>
      </c>
    </row>
    <row r="343" spans="1:1">
      <c r="A343" s="63">
        <f t="shared" si="2"/>
        <v>2023.1</v>
      </c>
    </row>
    <row r="344" spans="1:1">
      <c r="A344" s="63">
        <f t="shared" si="2"/>
        <v>2023.11</v>
      </c>
    </row>
    <row r="345" spans="1:1">
      <c r="A345" s="63">
        <f t="shared" si="2"/>
        <v>2023.12</v>
      </c>
    </row>
    <row r="346" spans="1:1">
      <c r="A346" s="63">
        <f t="shared" ref="A346:A369" si="3">A334+1</f>
        <v>2024.01</v>
      </c>
    </row>
    <row r="347" spans="1:1">
      <c r="A347" s="63">
        <f t="shared" si="3"/>
        <v>2024.02</v>
      </c>
    </row>
    <row r="348" spans="1:1">
      <c r="A348" s="63">
        <f t="shared" si="3"/>
        <v>2024.03</v>
      </c>
    </row>
    <row r="349" spans="1:1">
      <c r="A349" s="2523">
        <f t="shared" si="3"/>
        <v>2024.04</v>
      </c>
    </row>
    <row r="350" spans="1:1">
      <c r="A350" s="2523">
        <f t="shared" si="3"/>
        <v>2024.05</v>
      </c>
    </row>
    <row r="351" spans="1:1">
      <c r="A351" s="2523">
        <f t="shared" si="3"/>
        <v>2024.06</v>
      </c>
    </row>
    <row r="352" spans="1:1">
      <c r="A352" s="2523">
        <f t="shared" si="3"/>
        <v>2024.07</v>
      </c>
    </row>
    <row r="353" spans="1:1">
      <c r="A353" s="2523">
        <f t="shared" si="3"/>
        <v>2024.08</v>
      </c>
    </row>
    <row r="354" spans="1:1">
      <c r="A354" s="2523">
        <f t="shared" si="3"/>
        <v>2024.09</v>
      </c>
    </row>
    <row r="355" spans="1:1">
      <c r="A355" s="63">
        <f t="shared" si="3"/>
        <v>2024.1</v>
      </c>
    </row>
    <row r="356" spans="1:1">
      <c r="A356" s="63">
        <f t="shared" si="3"/>
        <v>2024.11</v>
      </c>
    </row>
    <row r="357" spans="1:1">
      <c r="A357" s="63">
        <f t="shared" si="3"/>
        <v>2024.12</v>
      </c>
    </row>
    <row r="358" spans="1:1">
      <c r="A358" s="63">
        <f t="shared" si="3"/>
        <v>2025.01</v>
      </c>
    </row>
    <row r="359" spans="1:1">
      <c r="A359" s="63">
        <f t="shared" si="3"/>
        <v>2025.02</v>
      </c>
    </row>
    <row r="360" spans="1:1">
      <c r="A360" s="63">
        <f t="shared" si="3"/>
        <v>2025.03</v>
      </c>
    </row>
    <row r="361" spans="1:1">
      <c r="A361" s="63">
        <f t="shared" si="3"/>
        <v>2025.04</v>
      </c>
    </row>
    <row r="362" spans="1:1">
      <c r="A362" s="63">
        <f t="shared" si="3"/>
        <v>2025.05</v>
      </c>
    </row>
    <row r="363" spans="1:1">
      <c r="A363" s="63">
        <f t="shared" si="3"/>
        <v>2025.06</v>
      </c>
    </row>
    <row r="364" spans="1:1">
      <c r="A364" s="63">
        <f t="shared" si="3"/>
        <v>2025.07</v>
      </c>
    </row>
    <row r="365" spans="1:1">
      <c r="A365" s="63">
        <f t="shared" si="3"/>
        <v>2025.08</v>
      </c>
    </row>
    <row r="366" spans="1:1">
      <c r="A366" s="63">
        <f t="shared" si="3"/>
        <v>2025.09</v>
      </c>
    </row>
    <row r="367" spans="1:1">
      <c r="A367" s="63">
        <f t="shared" si="3"/>
        <v>2025.1</v>
      </c>
    </row>
    <row r="368" spans="1:1">
      <c r="A368" s="63">
        <f t="shared" si="3"/>
        <v>2025.11</v>
      </c>
    </row>
    <row r="369" spans="1:1">
      <c r="A369" s="63">
        <f t="shared" si="3"/>
        <v>2025.12</v>
      </c>
    </row>
    <row r="370" spans="1:1">
      <c r="A370" s="1340">
        <v>2026.01</v>
      </c>
    </row>
    <row r="371" spans="1:1">
      <c r="A371" s="1340">
        <v>2026.02</v>
      </c>
    </row>
    <row r="372" spans="1:1">
      <c r="A372" s="1340">
        <v>2026.03</v>
      </c>
    </row>
    <row r="373" spans="1:1">
      <c r="A373" s="1340">
        <v>2026.04</v>
      </c>
    </row>
    <row r="374" spans="1:1">
      <c r="A374" s="1340">
        <v>2026.05</v>
      </c>
    </row>
    <row r="375" spans="1:1">
      <c r="A375" s="1340">
        <v>2026.06</v>
      </c>
    </row>
    <row r="376" spans="1:1">
      <c r="A376" s="1340">
        <v>2026.07</v>
      </c>
    </row>
    <row r="377" spans="1:1">
      <c r="A377" s="1340">
        <v>2026.08</v>
      </c>
    </row>
    <row r="378" spans="1:1">
      <c r="A378" s="1340">
        <v>2026.09</v>
      </c>
    </row>
    <row r="379" spans="1:1">
      <c r="A379" s="1340">
        <v>2026.1</v>
      </c>
    </row>
    <row r="380" spans="1:1">
      <c r="A380" s="1340">
        <v>2026.11</v>
      </c>
    </row>
    <row r="381" spans="1:1">
      <c r="A381" s="1340">
        <v>2026.12</v>
      </c>
    </row>
    <row r="382" spans="1:1">
      <c r="A382" s="1340">
        <v>2027.01</v>
      </c>
    </row>
    <row r="383" spans="1:1">
      <c r="A383" s="1340">
        <v>2027.02</v>
      </c>
    </row>
    <row r="384" spans="1:1">
      <c r="A384" s="1340">
        <v>2027.03</v>
      </c>
    </row>
    <row r="385" spans="1:1">
      <c r="A385" s="1340">
        <v>2027.04</v>
      </c>
    </row>
    <row r="386" spans="1:1">
      <c r="A386" s="1340">
        <v>2027.05</v>
      </c>
    </row>
    <row r="387" spans="1:1">
      <c r="A387" s="1340">
        <v>2027.06</v>
      </c>
    </row>
    <row r="388" spans="1:1">
      <c r="A388" s="1340">
        <v>2027.07</v>
      </c>
    </row>
    <row r="389" spans="1:1">
      <c r="A389" s="1340">
        <v>2027.08</v>
      </c>
    </row>
    <row r="390" spans="1:1">
      <c r="A390" s="1340">
        <v>2027.09</v>
      </c>
    </row>
    <row r="391" spans="1:1">
      <c r="A391" s="1340">
        <v>2027.1</v>
      </c>
    </row>
    <row r="392" spans="1:1">
      <c r="A392" s="1340">
        <v>2027.11</v>
      </c>
    </row>
    <row r="393" spans="1:1">
      <c r="A393" s="1340">
        <v>2027.12</v>
      </c>
    </row>
    <row r="394" spans="1:1">
      <c r="A394" s="1340">
        <v>2028.01</v>
      </c>
    </row>
    <row r="395" spans="1:1">
      <c r="A395" s="1340">
        <v>2028.02</v>
      </c>
    </row>
    <row r="396" spans="1:1">
      <c r="A396" s="1340">
        <v>2028.03</v>
      </c>
    </row>
    <row r="397" spans="1:1">
      <c r="A397" s="1340">
        <v>2028.04</v>
      </c>
    </row>
    <row r="398" spans="1:1">
      <c r="A398" s="1340">
        <v>2028.05</v>
      </c>
    </row>
    <row r="399" spans="1:1">
      <c r="A399" s="1340">
        <v>2028.06</v>
      </c>
    </row>
    <row r="400" spans="1:1">
      <c r="A400" s="1340">
        <v>2028.07</v>
      </c>
    </row>
    <row r="401" spans="1:1">
      <c r="A401" s="1340">
        <v>2028.08</v>
      </c>
    </row>
    <row r="402" spans="1:1">
      <c r="A402" s="1340">
        <v>2028.09</v>
      </c>
    </row>
    <row r="403" spans="1:1">
      <c r="A403" s="1340">
        <v>2028.1</v>
      </c>
    </row>
    <row r="404" spans="1:1">
      <c r="A404" s="1340">
        <v>2028.11</v>
      </c>
    </row>
    <row r="405" spans="1:1">
      <c r="A405" s="1340">
        <v>2028.12</v>
      </c>
    </row>
    <row r="406" spans="1:1">
      <c r="A406" s="1340">
        <v>2029.01</v>
      </c>
    </row>
    <row r="407" spans="1:1">
      <c r="A407" s="1340">
        <v>2029.02</v>
      </c>
    </row>
    <row r="408" spans="1:1">
      <c r="A408" s="1340">
        <v>2029.03</v>
      </c>
    </row>
    <row r="409" spans="1:1">
      <c r="A409" s="1340">
        <v>2029.04</v>
      </c>
    </row>
    <row r="410" spans="1:1">
      <c r="A410" s="1340">
        <v>2029.05</v>
      </c>
    </row>
    <row r="411" spans="1:1">
      <c r="A411" s="1340">
        <v>2029.06</v>
      </c>
    </row>
    <row r="412" spans="1:1">
      <c r="A412" s="1340">
        <v>2029.07</v>
      </c>
    </row>
    <row r="413" spans="1:1">
      <c r="A413" s="1340">
        <v>2029.08</v>
      </c>
    </row>
    <row r="414" spans="1:1">
      <c r="A414" s="1340">
        <v>2029.09</v>
      </c>
    </row>
    <row r="415" spans="1:1">
      <c r="A415" s="1340">
        <v>2029.1</v>
      </c>
    </row>
    <row r="416" spans="1:1">
      <c r="A416" s="1340">
        <v>2029.11</v>
      </c>
    </row>
    <row r="417" spans="1:1">
      <c r="A417" s="1340">
        <v>2029.12</v>
      </c>
    </row>
    <row r="418" spans="1:1">
      <c r="A418" s="1340">
        <v>2030.01</v>
      </c>
    </row>
    <row r="419" spans="1:1">
      <c r="A419" s="1340">
        <v>2030.02</v>
      </c>
    </row>
    <row r="420" spans="1:1">
      <c r="A420" s="1340">
        <v>2030.03</v>
      </c>
    </row>
    <row r="421" spans="1:1">
      <c r="A421" s="1340">
        <v>2030.04</v>
      </c>
    </row>
    <row r="422" spans="1:1">
      <c r="A422" s="1340">
        <v>2030.05</v>
      </c>
    </row>
    <row r="423" spans="1:1">
      <c r="A423" s="1340">
        <v>2030.06</v>
      </c>
    </row>
    <row r="424" spans="1:1">
      <c r="A424" s="1340">
        <v>2030.07</v>
      </c>
    </row>
    <row r="425" spans="1:1">
      <c r="A425" s="1340">
        <v>2030.08</v>
      </c>
    </row>
    <row r="426" spans="1:1">
      <c r="A426" s="1340">
        <v>2030.09</v>
      </c>
    </row>
    <row r="427" spans="1:1">
      <c r="A427" s="1340">
        <v>2030.1</v>
      </c>
    </row>
    <row r="428" spans="1:1">
      <c r="A428" s="1340">
        <v>2030.11</v>
      </c>
    </row>
    <row r="429" spans="1:1">
      <c r="A429" s="1340">
        <v>2030.12</v>
      </c>
    </row>
  </sheetData>
  <phoneticPr fontId="62" type="noConversion"/>
  <hyperlinks>
    <hyperlink ref="A5" location="INDICE!A13" display="VOLVER AL INDICE" xr:uid="{00000000-0004-0000-3C00-000000000000}"/>
  </hyperlinks>
  <pageMargins left="0.75" right="0.75" top="1" bottom="1" header="0" footer="0"/>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9b39ce-e1f9-4933-8424-33b611e6fdcd" xsi:nil="true"/>
    <lcf76f155ced4ddcb4097134ff3c332f xmlns="b5dd4176-d247-4204-85b8-921214f3cc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31B72-CBB4-4513-8F2B-127AAC5A2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4BDC3-D326-4205-B1E7-5A7E8E3C3502}">
  <ds:schemaRefs>
    <ds:schemaRef ds:uri="http://schemas.microsoft.com/office/2006/metadata/properties"/>
    <ds:schemaRef ds:uri="http://schemas.microsoft.com/office/infopath/2007/PartnerControls"/>
    <ds:schemaRef ds:uri="359b39ce-e1f9-4933-8424-33b611e6fdcd"/>
    <ds:schemaRef ds:uri="b5dd4176-d247-4204-85b8-921214f3ccea"/>
  </ds:schemaRefs>
</ds:datastoreItem>
</file>

<file path=customXml/itemProps3.xml><?xml version="1.0" encoding="utf-8"?>
<ds:datastoreItem xmlns:ds="http://schemas.openxmlformats.org/officeDocument/2006/customXml" ds:itemID="{4208FDE0-5B2B-4ACC-BE89-BDB6B60B61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7</vt:i4>
      </vt:variant>
    </vt:vector>
  </HeadingPairs>
  <TitlesOfParts>
    <vt:vector size="72" baseType="lpstr">
      <vt:lpstr>INDICE</vt:lpstr>
      <vt:lpstr>1.1</vt:lpstr>
      <vt:lpstr>1.2</vt:lpstr>
      <vt:lpstr>1.2.b</vt:lpstr>
      <vt:lpstr>1.3</vt:lpstr>
      <vt:lpstr>1.4</vt:lpstr>
      <vt:lpstr>1.5</vt:lpstr>
      <vt:lpstr>1.6</vt:lpstr>
      <vt:lpstr>1.7</vt:lpstr>
      <vt:lpstr>2.1</vt:lpstr>
      <vt:lpstr>2.2</vt:lpstr>
      <vt:lpstr>2.2.a</vt:lpstr>
      <vt:lpstr>2.2.b</vt:lpstr>
      <vt:lpstr>2.2.c</vt:lpstr>
      <vt:lpstr>2.2.d</vt:lpstr>
      <vt:lpstr>2.2.e</vt:lpstr>
      <vt:lpstr>2.3</vt:lpstr>
      <vt:lpstr>2.4</vt:lpstr>
      <vt:lpstr>2.5</vt:lpstr>
      <vt:lpstr>2.6</vt:lpstr>
      <vt:lpstr>2.7</vt:lpstr>
      <vt:lpstr>3.1</vt:lpstr>
      <vt:lpstr>3.2</vt:lpstr>
      <vt:lpstr>3.3</vt:lpstr>
      <vt:lpstr>3.4</vt:lpstr>
      <vt:lpstr>3.5</vt:lpstr>
      <vt:lpstr>3.6</vt:lpstr>
      <vt:lpstr>3.7</vt:lpstr>
      <vt:lpstr>3.8</vt:lpstr>
      <vt:lpstr>3.9</vt:lpstr>
      <vt:lpstr>3.10</vt:lpstr>
      <vt:lpstr>3.11</vt:lpstr>
      <vt:lpstr>4.1</vt:lpstr>
      <vt:lpstr>4.2</vt:lpstr>
      <vt:lpstr>4.3</vt:lpstr>
      <vt:lpstr>4.4</vt:lpstr>
      <vt:lpstr>4.5</vt:lpstr>
      <vt:lpstr>4.6</vt:lpstr>
      <vt:lpstr>4.7</vt:lpstr>
      <vt:lpstr>5.1</vt:lpstr>
      <vt:lpstr>5.2</vt:lpstr>
      <vt:lpstr>5.3</vt:lpstr>
      <vt:lpstr>6.1</vt:lpstr>
      <vt:lpstr>6.2</vt:lpstr>
      <vt:lpstr>6.2.b</vt:lpstr>
      <vt:lpstr>6.3</vt:lpstr>
      <vt:lpstr>6.4</vt:lpstr>
      <vt:lpstr>7.1</vt:lpstr>
      <vt:lpstr>7.2</vt:lpstr>
      <vt:lpstr>7.3</vt:lpstr>
      <vt:lpstr>7.4</vt:lpstr>
      <vt:lpstr>8.1</vt:lpstr>
      <vt:lpstr>8.2</vt:lpstr>
      <vt:lpstr>8.3</vt:lpstr>
      <vt:lpstr>8.4</vt:lpstr>
      <vt:lpstr>8.5</vt:lpstr>
      <vt:lpstr>8.6</vt:lpstr>
      <vt:lpstr>8.7</vt:lpstr>
      <vt:lpstr>8.8</vt:lpstr>
      <vt:lpstr>8.9</vt:lpstr>
      <vt:lpstr>8.10</vt:lpstr>
      <vt:lpstr>8.11</vt:lpstr>
      <vt:lpstr>9.1</vt:lpstr>
      <vt:lpstr>9.2</vt:lpstr>
      <vt:lpstr>9.3</vt:lpstr>
      <vt:lpstr>'8.8'!Área_de_impresión</vt:lpstr>
      <vt:lpstr>'8.9'!Área_de_impresión</vt:lpstr>
      <vt:lpstr>'7.1'!NA</vt:lpstr>
      <vt:lpstr>'7.2'!NA</vt:lpstr>
      <vt:lpstr>'7.3'!NA</vt:lpstr>
      <vt:lpstr>'7.4'!NA</vt:lpstr>
      <vt:lpstr>'1.3'!OLE_LINK2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subject/>
  <dc:creator>CES-BCSF</dc:creator>
  <cp:keywords/>
  <dc:description/>
  <cp:lastModifiedBy>Agustin Rodriguez</cp:lastModifiedBy>
  <cp:revision/>
  <dcterms:created xsi:type="dcterms:W3CDTF">2005-06-13T15:31:01Z</dcterms:created>
  <dcterms:modified xsi:type="dcterms:W3CDTF">2025-06-13T14:28:57Z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0x010100C5B9F2161CEE1040BBC03CB11300495F</vt:lpwstr>
  </property>
  <property fmtid="{D5CDD505-2E9C-101B-9397-08002B2CF9AE}" pid="3" name="MediaServiceImageTags">
    <vt:lpwstr/>
  </property>
</Properties>
</file>